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X:\CapitalMarkets\Pricing\02_Output\"/>
    </mc:Choice>
  </mc:AlternateContent>
  <xr:revisionPtr revIDLastSave="0" documentId="8_{6B341A26-D48F-4A92-8A7C-E851ED407253}" xr6:coauthVersionLast="47" xr6:coauthVersionMax="47" xr10:uidLastSave="{00000000-0000-0000-0000-000000000000}"/>
  <workbookProtection workbookAlgorithmName="SHA-512" workbookHashValue="qN7lxyGd/Vngy1Bc54AYlFSB/SI0Ktz5mk+i1sl4urZ1w5FRbwh2b7XQ4NEPjmsTyZfP4zT9ZuOPgzIK4HughQ==" workbookSaltValue="kANXxpZMpNd8qBk/itsqEg==" workbookSpinCount="100000" lockStructure="1"/>
  <bookViews>
    <workbookView xWindow="345" yWindow="1050" windowWidth="22650" windowHeight="12840" tabRatio="687" xr2:uid="{BC877112-EBE4-4195-BA98-772527B42B44}"/>
  </bookViews>
  <sheets>
    <sheet name="Price" sheetId="1" r:id="rId1"/>
    <sheet name="Structure" sheetId="2" state="hidden" r:id="rId2"/>
    <sheet name="Elig" sheetId="8" state="hidden" r:id="rId3"/>
    <sheet name="EligOverlay" sheetId="15" state="hidden" r:id="rId4"/>
    <sheet name="Output" sheetId="14" state="hidden" r:id="rId5"/>
    <sheet name="LoanTest" sheetId="13" state="hidden" r:id="rId6"/>
    <sheet name="Input" sheetId="5" state="hidden" r:id="rId7"/>
    <sheet name="ProductInput" sheetId="16" state="hidden" r:id="rId8"/>
  </sheets>
  <externalReferences>
    <externalReference r:id="rId9"/>
  </externalReferences>
  <definedNames>
    <definedName name="_xlnm._FilterDatabase" localSheetId="2" hidden="1">Elig!$B$6:$CJ$1633</definedName>
    <definedName name="AAA_Change_vs_Price_Multiplier">Price!$B$1</definedName>
    <definedName name="Bid_AddPrice">#REF!</definedName>
    <definedName name="Bid_AddPrice01">#REF!</definedName>
    <definedName name="Bid_AddPrice02">#REF!</definedName>
    <definedName name="Bid_AddPrice03">#REF!</definedName>
    <definedName name="Bid_AddPrice04">#REF!</definedName>
    <definedName name="Bid_AddPrice05">#REF!</definedName>
    <definedName name="Bid_AddPrice06">#REF!</definedName>
    <definedName name="Bid_AllData">#REF!</definedName>
    <definedName name="Bid_Group01">#REF!</definedName>
    <definedName name="Bid_Group02">#REF!</definedName>
    <definedName name="Bid_Group03">#REF!</definedName>
    <definedName name="Bid_Group04">#REF!</definedName>
    <definedName name="Bid_Group05">#REF!</definedName>
    <definedName name="Bid_Group06">#REF!</definedName>
    <definedName name="Bid_MaxPrice">#REF!</definedName>
    <definedName name="Bid_MaxPrice01">#REF!</definedName>
    <definedName name="Bid_MaxPrice02">#REF!</definedName>
    <definedName name="Bid_MaxPrice03">#REF!</definedName>
    <definedName name="Bid_MaxPrice04">#REF!</definedName>
    <definedName name="Bid_MaxPrice05">#REF!</definedName>
    <definedName name="Bid_MaxPrice06">#REF!</definedName>
    <definedName name="Calc_AVM_Adjusted">Price!#REF!</definedName>
    <definedName name="Calc_AVM_LTV">Price!#REF!</definedName>
    <definedName name="Calc_AVM_ValReduction">Price!#REF!</definedName>
    <definedName name="Calc_DSCR">#REF!</definedName>
    <definedName name="Elig_All">Elig!$B$7:$AE$1633</definedName>
    <definedName name="Elig_All_TestMatch">Elig!$B$7:$BA$1633</definedName>
    <definedName name="Elig_AmortTerm">Elig!$D$7:$D$1633</definedName>
    <definedName name="Elig_AmortType">Elig!$E$7:$E$1633</definedName>
    <definedName name="Elig_BankStmt">Elig!$H$7:$H$1633</definedName>
    <definedName name="Elig_BaseLimit_CashoutAmt_Max">EligOverlay!$N$7</definedName>
    <definedName name="Elig_BaseLimit_CredScore_Min">EligOverlay!$P$7</definedName>
    <definedName name="Elig_BaseLimit_DSCR_Min">EligOverlay!$S$7</definedName>
    <definedName name="Elig_BaseLimit_DTI_Max">EligOverlay!$R$7</definedName>
    <definedName name="Elig_BaseLimit_LoanAmt_Max">EligOverlay!$M$7</definedName>
    <definedName name="Elig_BaseLimit_LTV_Max">EligOverlay!$O$7</definedName>
    <definedName name="Elig_BaseLimit_Reserves_Min">EligOverlay!$Q$7</definedName>
    <definedName name="Elig_CashoutAmt_Max">Elig!$U$7:$U$1633</definedName>
    <definedName name="Elig_CashoutAmt_Min">Elig!$T$7:$T$1633</definedName>
    <definedName name="Elig_Citizenship">Elig!$O$7:$O$1633</definedName>
    <definedName name="Elig_CreditHistory">Elig!$L$7:$L$1633</definedName>
    <definedName name="Elig_CreditScore_Max">Elig!$AA$7:$AA$1633</definedName>
    <definedName name="Elig_CreditScore_Min">Elig!$Z$7:$Z$1633</definedName>
    <definedName name="Elig_DocType">Elig!$G$7:$G$1633</definedName>
    <definedName name="Elig_DSCR_Max">Elig!$Y$7:$Y$1633</definedName>
    <definedName name="Elig_DSCR_Min">Elig!$X$7:$X$1633</definedName>
    <definedName name="Elig_DTI_Max">Elig!$W$7:$W$1633</definedName>
    <definedName name="Elig_DTI_Min">Elig!$V$7:$V$1633</definedName>
    <definedName name="Elig_FinalLimit_CashoutAmt_Max">EligOverlay!$N$11</definedName>
    <definedName name="Elig_FinalLimit_CredScore_Min">EligOverlay!$P$11</definedName>
    <definedName name="Elig_FinalLimit_DSCR_Min">EligOverlay!$S$11</definedName>
    <definedName name="Elig_FinalLimit_DTI_Max">EligOverlay!$R$11</definedName>
    <definedName name="Elig_FinalLimit_LoanAmt_Max">EligOverlay!$M$11</definedName>
    <definedName name="Elig_FinalLimit_LTV_Max">EligOverlay!$O$11</definedName>
    <definedName name="Elig_FinalLimit_Reserves_Min">EligOverlay!$Q$11</definedName>
    <definedName name="Elig_FindMatrixMatch_All">Elig!$BB$4</definedName>
    <definedName name="Elig_FindMatrixMatch_LTVMax">Elig!$BC$4</definedName>
    <definedName name="Elig_FindMatrixMatch_Program">Elig!$BD$4</definedName>
    <definedName name="Elig_FirstTimeHomeBuyer">Elig!$P$7:$P$1633</definedName>
    <definedName name="Elig_HousingHistory">Elig!$M$7:$M$1633</definedName>
    <definedName name="Elig_ID">Elig!$B$7:$B$1633</definedName>
    <definedName name="Elig_LoanAmt_Max">Elig!$S$7:$S$1633</definedName>
    <definedName name="Elig_LoanAmt_Min">Elig!$R$7:$R$1633</definedName>
    <definedName name="Elig_LTV_Max">Elig!$AE$7:$AE$1633</definedName>
    <definedName name="Elig_LTV_Min">Elig!$AD$7:$AD$1633</definedName>
    <definedName name="Elig_MatchAll_Ct">Elig!$BB$6</definedName>
    <definedName name="Elig_MatchAll_Row">Elig!$BB$5</definedName>
    <definedName name="Elig_MatchCount">Elig!$BB$7:$BB$1633</definedName>
    <definedName name="Elig_MatchCountLTV">Elig!$BC$7:$BC$1633</definedName>
    <definedName name="Elig_MatchCountMult">Elig!$BD$7:$BD$1633</definedName>
    <definedName name="Elig_MatchCountMultResults">Elig!$BE$6:$BE$1633</definedName>
    <definedName name="Elig_MatchFindLTV_Ct">Elig!$BC$6</definedName>
    <definedName name="Elig_MatchFindLTV_Row">Elig!$BC$5</definedName>
    <definedName name="Elig_MatchFindProgram_Ct">Elig!$BD$6</definedName>
    <definedName name="Elig_MatchFindProgram_Row">Elig!$BD$5</definedName>
    <definedName name="Elig_MatrixLimit_LTV_Max">Elig!$BC$3</definedName>
    <definedName name="Elig_Occupancy">Elig!$F$7:$F$1633</definedName>
    <definedName name="Elig_OverlayBaseReductionRange_LTV">EligOverlay!$O$16:$O$41</definedName>
    <definedName name="Elig_OverlayLimit_CashoutAmt_Max">EligOverlay!$N$8</definedName>
    <definedName name="Elig_OverlayLimit_CredScore_Min">EligOverlay!$P$8</definedName>
    <definedName name="Elig_OverlayLimit_DSCR_Min">EligOverlay!$S$8</definedName>
    <definedName name="Elig_OverlayLimit_DTI_Max">EligOverlay!$R$8</definedName>
    <definedName name="Elig_OverlayLimit_LoanAmt_Max">EligOverlay!$M$8</definedName>
    <definedName name="Elig_OverlayLimit_LTV_Max">EligOverlay!$O$8</definedName>
    <definedName name="Elig_OverlayLimit_Reserves_Min">EligOverlay!$Q$8</definedName>
    <definedName name="Elig_OverlayLTVMatrix_Reduction">EligOverlay!$O$16:$O$40</definedName>
    <definedName name="Elig_OverlayLTVMatrix_ReductionReason">EligOverlay!$T$16:$T$40</definedName>
    <definedName name="Elig_OverlayMessage_All">EligOverlay!$T$12</definedName>
    <definedName name="Elig_OverlayMessage_CashoutAmt_Max">EligOverlay!$N$12</definedName>
    <definedName name="Elig_OverlayMessage_CredScore_Min">EligOverlay!$P$12</definedName>
    <definedName name="Elig_OverlayMessage_DSCR_Min">EligOverlay!$S$12</definedName>
    <definedName name="Elig_OverlayMessage_DTI_Max">EligOverlay!$R$12</definedName>
    <definedName name="Elig_OverlayMessage_LoanAmt_Max">EligOverlay!$M$12</definedName>
    <definedName name="Elig_OverlayMessage_LTV_Max">EligOverlay!$O$12</definedName>
    <definedName name="Elig_OverlayMessage_Reserves_Min">EligOverlay!$Q$12</definedName>
    <definedName name="Elig_OverlayMsg_CashoutAmt">EligOverlay!$N$10</definedName>
    <definedName name="Elig_OverlayMsg_CredScore">EligOverlay!$P$10</definedName>
    <definedName name="Elig_OverlayMsg_DSCR">EligOverlay!$S$10</definedName>
    <definedName name="Elig_OverlayMsg_DTI">EligOverlay!$R$10</definedName>
    <definedName name="Elig_OverlayMsg_LoanAmt">EligOverlay!$M$10</definedName>
    <definedName name="Elig_OverlayMsg_LTV">EligOverlay!$O$10</definedName>
    <definedName name="Elig_OverlayMsg_Reserves">EligOverlay!$Q$10</definedName>
    <definedName name="Elig_OverlayRange_CashoutAmt">EligOverlay!$N$42:$N$608</definedName>
    <definedName name="Elig_OverlayRange_CredScore">EligOverlay!$P$42:$P$608</definedName>
    <definedName name="Elig_OverlayRange_DSCR">EligOverlay!$S$42:$S$608</definedName>
    <definedName name="Elig_OverlayRange_DTI">EligOverlay!$R$42:$R$608</definedName>
    <definedName name="Elig_OverlayRange_LoanAmt">EligOverlay!$M$42:$M$608</definedName>
    <definedName name="Elig_OverlayRange_LTV">EligOverlay!$O$42:$O$608</definedName>
    <definedName name="Elig_OverlayRange_Reason">EligOverlay!$T$42:$T$608</definedName>
    <definedName name="Elig_OverlayRange_Reserves">EligOverlay!$Q$42:$Q$608</definedName>
    <definedName name="Elig_OverlayReason_CashoutAmt_Max">EligOverlay!$N$9</definedName>
    <definedName name="Elig_OverlayReason_CredScore_Min">EligOverlay!$P$9</definedName>
    <definedName name="Elig_OverlayReason_DSCR_Min">EligOverlay!$S$9</definedName>
    <definedName name="Elig_OverlayReason_DTI_Max">EligOverlay!$R$9</definedName>
    <definedName name="Elig_OverlayReason_LoanAmt_Max">EligOverlay!$M$9</definedName>
    <definedName name="Elig_OverlayReason_LTV_Max">EligOverlay!$O$9</definedName>
    <definedName name="Elig_OverlayReason_Reserves_Min">EligOverlay!$Q$9</definedName>
    <definedName name="Elig_PrepayPenalty">Elig!$N$7:$N$1633</definedName>
    <definedName name="Elig_Product">Elig!$C$7:$C$1633</definedName>
    <definedName name="Elig_PropType">Elig!$K$7:$K$1633</definedName>
    <definedName name="Elig_Purpose">Elig!$I$7:$I$1633</definedName>
    <definedName name="Elig_Reserves_Max">Elig!$AC$7:$AC$1633</definedName>
    <definedName name="Elig_Reserves_Min">Elig!$AB$7:$AB$1633</definedName>
    <definedName name="Elig_Servicing">Elig!$Q$7:$Q$1633</definedName>
    <definedName name="Elig_State">Elig!$J$7:$J$1633</definedName>
    <definedName name="Elig_Total_LTV_OverlayReduction">EligOverlay!$O$15</definedName>
    <definedName name="Eligible_AmortType">Structure!$F$19</definedName>
    <definedName name="Eligible_State">Structure!$F$29</definedName>
    <definedName name="Error_AmortTerm">Structure!$G$18</definedName>
    <definedName name="Error_BankStmt">Structure!$F$21</definedName>
    <definedName name="Error_CashoutAmt">Structure!$F$26</definedName>
    <definedName name="Error_Citizenship">Structure!$F$32</definedName>
    <definedName name="Error_DocType">Structure!$F$20</definedName>
    <definedName name="Error_DSCR">Structure!$F$24</definedName>
    <definedName name="Error_DTI">Structure!$F$23</definedName>
    <definedName name="Error_Employment">Structure!$F$33</definedName>
    <definedName name="Error_NoteRate">Structure!$E$18</definedName>
    <definedName name="Error_PrepayPenalty">Structure!$F$37</definedName>
    <definedName name="Error_ReservesMonths">Structure!$F$22</definedName>
    <definedName name="Find_MarginGross01">Structure!$J$12</definedName>
    <definedName name="Find_MarginGross02">Structure!$J$13</definedName>
    <definedName name="Find_NoteRate_Max">Structure!$E$12</definedName>
    <definedName name="Find_NoteRate_Min">Structure!$E$13</definedName>
    <definedName name="Find_NoteRate01">Structure!$F$12</definedName>
    <definedName name="Find_NoteRate02">Structure!$F$13</definedName>
    <definedName name="Find_NoteRatePrice01">Structure!$F$53</definedName>
    <definedName name="Find_NoteRatePrice02">Structure!$F$54</definedName>
    <definedName name="Find_PriceGross01">Structure!$G$12</definedName>
    <definedName name="Find_PriceGross02">Structure!$G$13</definedName>
    <definedName name="Find_RatePriceGross01">Structure!$G$53</definedName>
    <definedName name="Find_RatePriceGross02">Structure!$G$54</definedName>
    <definedName name="Format_Fld">Price!#REF!</definedName>
    <definedName name="HC_Fed_APR_1st_1_APORSpread">LoanTest!$J$5</definedName>
    <definedName name="HC_Fed_APR_1st_1_LnAmt_Max">LoanTest!$N$5</definedName>
    <definedName name="HC_Fed_APR_1st_1_LnAmt_Min">LoanTest!$M$5</definedName>
    <definedName name="HC_Fed_APR_1st_2_APORSpread">LoanTest!$J$6</definedName>
    <definedName name="HC_Fed_APR_1st_2_LnAmt_Max">LoanTest!$N$6</definedName>
    <definedName name="HC_Fed_APR_1st_2_LnAmt_Min">LoanTest!$M$6</definedName>
    <definedName name="HC_Fed_APR_2nd_APORSpread">LoanTest!$J$7</definedName>
    <definedName name="HC_Fed_APR_2nd_LnAmt_Max">LoanTest!$N$7</definedName>
    <definedName name="HC_Fed_APR_2nd_LnAmt_Min">LoanTest!$M$7</definedName>
    <definedName name="HC_Fed_APR_Threshold">LoanTest!$V$5</definedName>
    <definedName name="HC_Fed_PtsFees_1_FeeAmt">LoanTest!$L$8</definedName>
    <definedName name="HC_Fed_PtsFees_1_FeePct">LoanTest!$K$8</definedName>
    <definedName name="HC_Fed_PtsFees_1_LnAmt_Max">LoanTest!$N$8</definedName>
    <definedName name="HC_Fed_PtsFees_1_LnAmt_Min">LoanTest!$M$8</definedName>
    <definedName name="HC_Fed_PtsFees_2_FeePct">LoanTest!$K$9</definedName>
    <definedName name="HC_Fed_PtsFees_2_LnAmt_Max">LoanTest!$N$9</definedName>
    <definedName name="HC_Fed_PtsFees_2_LnAmt_Min">LoanTest!$M$9</definedName>
    <definedName name="HC_Fed_PtsFees_Threshold">LoanTest!$V$8</definedName>
    <definedName name="HC_State_APR_1st_IndexSpread">LoanTest!$J$11</definedName>
    <definedName name="HC_State_APR_1st_LnAmt_Max">LoanTest!$N$11</definedName>
    <definedName name="HC_State_APR_1st_LnAmt_Min">LoanTest!$M$11</definedName>
    <definedName name="HC_State_APR_1st_Occ">LoanTest!$O$11</definedName>
    <definedName name="HC_State_APR_1st_Purpose">LoanTest!$P$11</definedName>
    <definedName name="HC_State_APR_2nd_IndexSpread">LoanTest!$J$12</definedName>
    <definedName name="HC_State_APR_2nd_LnAmt_Max">LoanTest!$N$12</definedName>
    <definedName name="HC_State_APR_2nd_LnAmt_Min">LoanTest!$M$12</definedName>
    <definedName name="HC_State_APR_2nd_Occ">LoanTest!$O$12</definedName>
    <definedName name="HC_State_APR_2nd_Purpose">LoanTest!$P$12</definedName>
    <definedName name="HC_State_APR_Index">LoanTest!$I$11</definedName>
    <definedName name="HC_State_APR_IndexType">LoanTest!$H$11</definedName>
    <definedName name="HC_State_APR_Threshold">LoanTest!$V$12</definedName>
    <definedName name="HC_State_APR_ThresholdIndex">LoanTest!$V$11</definedName>
    <definedName name="HC_State_HighCost_HELOCExclude">LoanTest!$G$14</definedName>
    <definedName name="HC_State_PtsFees_FeePct">LoanTest!$K$13</definedName>
    <definedName name="HC_State_PtsFees_LnAmt_Max">LoanTest!$N$13</definedName>
    <definedName name="HC_State_PtsFees_LnAmt_Min">LoanTest!$M$13</definedName>
    <definedName name="HC_State_PtsFees_Occ">LoanTest!$O$13</definedName>
    <definedName name="HC_State_PtsFees_Purpose">LoanTest!$P$13</definedName>
    <definedName name="HC_State_PtsFees_Threshold">LoanTest!$V$13</definedName>
    <definedName name="HP_Fed_APR_1st_APORSpread">LoanTest!$J$29</definedName>
    <definedName name="HP_Fed_APR_2nd_APORSpread">LoanTest!$J$30</definedName>
    <definedName name="HP_Fed_APR_Threshold">LoanTest!$V$29</definedName>
    <definedName name="Input_ActionRequest">Price!$T$28</definedName>
    <definedName name="Input_AmortTerm">Price!$F$15</definedName>
    <definedName name="Input_AmortType">Price!$F$16</definedName>
    <definedName name="Input_APOR">LoanTest!$C$5</definedName>
    <definedName name="Input_APOR_Dt">LoanTest!$C$5</definedName>
    <definedName name="Input_AVM">Price!#REF!</definedName>
    <definedName name="Input_AVMVendor">Price!#REF!</definedName>
    <definedName name="Input_BankStmt">Price!$F$18</definedName>
    <definedName name="Input_BankStmt_Type">#REF!</definedName>
    <definedName name="Input_Borrower_Costs">#REF!</definedName>
    <definedName name="Input_BorrowerName">Price!$V$30</definedName>
    <definedName name="Input_Business_Type">#REF!</definedName>
    <definedName name="Input_BusinessOwned_Pct">#REF!</definedName>
    <definedName name="Input_Calc_APRTotalFees">LoanTest!$B$19</definedName>
    <definedName name="Input_Calc_APRTotalFeesPct">LoanTest!$C$19</definedName>
    <definedName name="Input_CashoutAmt">Price!$F$23</definedName>
    <definedName name="Input_Citizenship">Price!$F$29</definedName>
    <definedName name="Input_CompensationType">Price!$F$37</definedName>
    <definedName name="Input_Convert_New">#REF!</definedName>
    <definedName name="Input_Convert_Old">#REF!</definedName>
    <definedName name="Input_Convert_Range">#REF!</definedName>
    <definedName name="Input_CreditHistory">Price!$F$27</definedName>
    <definedName name="Input_CreditScore">Price!$F$12</definedName>
    <definedName name="Input_Date">Price!$AA$6</definedName>
    <definedName name="Input_Disclaimer_01">Input!$C$27</definedName>
    <definedName name="Input_Disclaimer_Pricer_01">Input!$C$28</definedName>
    <definedName name="Input_Disclaimer_Pricer_02">Input!$C$29</definedName>
    <definedName name="Input_DocType">Price!$F$17</definedName>
    <definedName name="Input_DocTypeCode">Price!$E$17</definedName>
    <definedName name="Input_DSCR">Price!$F$21</definedName>
    <definedName name="Input_DTI">Price!$F$20</definedName>
    <definedName name="Input_Employment">Price!$F$30</definedName>
    <definedName name="Input_ExpenseFactor">#REF!</definedName>
    <definedName name="Input_ExpenseFactor_PL">#REF!</definedName>
    <definedName name="Input_Fees_Monthly">LoanTest!$B$27</definedName>
    <definedName name="Input_Fees_Points">Price!$W$19</definedName>
    <definedName name="Input_Fees_Upfront3rdParty">Price!$V$22</definedName>
    <definedName name="Input_Fees_UpfrontBroker">Price!$V$21</definedName>
    <definedName name="Input_Fees_UpfrontLender">Price!$V$20</definedName>
    <definedName name="Input_Fees_UpfrontOther">Price!$V$23</definedName>
    <definedName name="Input_Fees_UpfrontPrepaidInterest">Price!$V$24</definedName>
    <definedName name="Input_Fees_UpfrontPrepaidInterestDays">Price!$U$24</definedName>
    <definedName name="Input_FirstTimeHomeBuyer">Price!$F$31</definedName>
    <definedName name="Input_FirstTimeHomeBuyer_Range">#REF!</definedName>
    <definedName name="Input_FSDScore">Price!#REF!</definedName>
    <definedName name="Input_Header01">Price!$W$2</definedName>
    <definedName name="Input_Header02">Price!$W$3</definedName>
    <definedName name="Input_Header03">Price!$W$4</definedName>
    <definedName name="Input_Header04">Price!$W$5</definedName>
    <definedName name="Input_Header05">Price!$W$6</definedName>
    <definedName name="Input_Header06">Price!$AA$2</definedName>
    <definedName name="Input_Header07">Price!$AA$3</definedName>
    <definedName name="Input_HousingHistory">Price!$F$28</definedName>
    <definedName name="Input_LoanAmt">Price!$F$14</definedName>
    <definedName name="Input_LoanAmt_NewLien">Price!$W$12</definedName>
    <definedName name="Input_LoanAmt_OtherLien">Price!$V$12</definedName>
    <definedName name="Input_LockTerm">Price!$F$35</definedName>
    <definedName name="Input_LockType">Price!$F$36</definedName>
    <definedName name="Input_LTV">Price!$F$13</definedName>
    <definedName name="Input_LTV_OtherLien">Price!$V$14</definedName>
    <definedName name="Input_Name_Calculator">Input!$C$26</definedName>
    <definedName name="Input_Name_ClassA">Input!$C$19</definedName>
    <definedName name="Input_Name_ClassB">Input!$C$21</definedName>
    <definedName name="Input_Name_ClassC">Input!$C$22</definedName>
    <definedName name="Input_Name_ClassF">Input!$C$23</definedName>
    <definedName name="Input_Name_ClassH">Input!$C$20</definedName>
    <definedName name="Input_Name_ClassI">Input!$C$24</definedName>
    <definedName name="Input_Name_Pricer">Input!$C$25</definedName>
    <definedName name="Input_Name_Product1">Input!$C$4</definedName>
    <definedName name="Input_Name_Product10">Input!$C$17</definedName>
    <definedName name="Input_Name_Product11">Input!$C$18</definedName>
    <definedName name="Input_Name_Product13">Input!$C$6</definedName>
    <definedName name="Input_Name_Product14">Input!$C$7</definedName>
    <definedName name="Input_Name_Product15">Input!$C$8</definedName>
    <definedName name="Input_Name_Product16">Input!$C$9</definedName>
    <definedName name="Input_Name_Product17">Input!$C$10</definedName>
    <definedName name="Input_Name_Product18">Input!$C$11</definedName>
    <definedName name="Input_Name_Product19">Input!$C$12</definedName>
    <definedName name="Input_Name_Product2">Input!$C$5</definedName>
    <definedName name="Input_Name_Product20">Input!$C$13</definedName>
    <definedName name="Input_Name_Product3">Input!$C$14</definedName>
    <definedName name="Input_Name_Product4">Input!$C$15</definedName>
    <definedName name="Input_Name_Product5">Input!$C$16</definedName>
    <definedName name="Input_NoteRate">Price!$F$10</definedName>
    <definedName name="Input_NoteRate_Calc">Structure!$F$11</definedName>
    <definedName name="Input_NoteRate_NewLien">Price!$W$13</definedName>
    <definedName name="Input_NoteRate_OtherLien">Price!$V$13</definedName>
    <definedName name="Input_Occupancy">Price!$F$11</definedName>
    <definedName name="Input_Payment">Price!$F$32</definedName>
    <definedName name="Input_PL_Incentive_Add_DE">Input!$H$8</definedName>
    <definedName name="Input_PL_Incentive_Add_IE">Input!$H$7</definedName>
    <definedName name="Input_PL_Incentive_Add_IH">Input!$H$18</definedName>
    <definedName name="Input_PL_Incentive_Add_IN">Input!$H$5</definedName>
    <definedName name="Input_PL_Incentive_Add_IR">Input!$H$16</definedName>
    <definedName name="Input_PL_Incentive_Add_MN">Input!$H$14</definedName>
    <definedName name="Input_PL_Incentive_Add_PE">Input!$H$6</definedName>
    <definedName name="Input_PL_Incentive_Add_PH">Input!$H$17</definedName>
    <definedName name="Input_PL_Incentive_Add_PN">Input!$H$4</definedName>
    <definedName name="Input_PL_Incentive_Add_PR">Input!$H$15</definedName>
    <definedName name="Input_PL_Incentive_Add_XF">Input!$H$11</definedName>
    <definedName name="Input_PL_Incentive_Add_XM">Input!$H$12</definedName>
    <definedName name="Input_PL_Incentive_Add_XN">Input!$H$13</definedName>
    <definedName name="Input_PL_Incentive_Add_XP">Input!$H$9</definedName>
    <definedName name="Input_PL_Incentive_Add_XX">Input!$H$10</definedName>
    <definedName name="Input_PL_Incentive_DE">Input!$D$8</definedName>
    <definedName name="Input_PL_Incentive_IE">Input!$D$7</definedName>
    <definedName name="Input_PL_Incentive_IH">Input!$D$18</definedName>
    <definedName name="Input_PL_Incentive_IN">Input!$D$5</definedName>
    <definedName name="Input_PL_Incentive_IR">Input!$D$16</definedName>
    <definedName name="Input_PL_Incentive_MN">Input!$D$14</definedName>
    <definedName name="Input_PL_Incentive_MP">Input!$D$14</definedName>
    <definedName name="Input_PL_Incentive_PE">Input!$D$6</definedName>
    <definedName name="Input_PL_Incentive_PH">Input!$D$17</definedName>
    <definedName name="Input_PL_Incentive_PN">Input!$D$4</definedName>
    <definedName name="Input_PL_Incentive_PR">Input!$D$15</definedName>
    <definedName name="Input_PL_Incentive_XF">Input!$D$11</definedName>
    <definedName name="Input_PL_Incentive_XM">Input!$D$12</definedName>
    <definedName name="Input_PL_Incentive_XN">Input!$D$13</definedName>
    <definedName name="Input_PL_Incentive_XP">Input!$D$9</definedName>
    <definedName name="Input_PL_Incentive_XX">Input!$D$10</definedName>
    <definedName name="Input_PL_IncentiveMaxAdj_Add_DE">Input!$I$8</definedName>
    <definedName name="Input_PL_IncentiveMaxAdj_Add_IE">Input!$I$7</definedName>
    <definedName name="Input_PL_IncentiveMaxAdj_Add_IH">Input!$I$18</definedName>
    <definedName name="Input_PL_IncentiveMaxAdj_Add_IN">Input!$I$5</definedName>
    <definedName name="Input_PL_IncentiveMaxAdj_Add_IR">Input!$I$16</definedName>
    <definedName name="Input_PL_IncentiveMaxAdj_Add_MN">Input!$I$14</definedName>
    <definedName name="Input_PL_IncentiveMaxAdj_Add_PE">Input!$I$6</definedName>
    <definedName name="Input_PL_IncentiveMaxAdj_Add_PH">Input!$I$17</definedName>
    <definedName name="Input_PL_IncentiveMaxAdj_Add_PN">Input!$I$4</definedName>
    <definedName name="Input_PL_IncentiveMaxAdj_Add_PR">Input!$I$15</definedName>
    <definedName name="Input_PL_IncentiveMaxAdj_Add_XF">Input!$I$11</definedName>
    <definedName name="Input_PL_IncentiveMaxAdj_Add_XM">Input!$I$12</definedName>
    <definedName name="Input_PL_IncentiveMaxAdj_Add_XN">Input!$I$13</definedName>
    <definedName name="Input_PL_IncentiveMaxAdj_Add_XP">Input!$I$9</definedName>
    <definedName name="Input_PL_IncentiveMaxAdj_Add_XX">Input!$I$10</definedName>
    <definedName name="Input_PL_IncentiveMaxAdj_DE">Input!$E$8</definedName>
    <definedName name="Input_PL_IncentiveMaxAdj_IE">Input!$E$7</definedName>
    <definedName name="Input_PL_IncentiveMaxAdj_IH">Input!$E$18</definedName>
    <definedName name="Input_PL_IncentiveMaxAdj_IN">Input!$E$5</definedName>
    <definedName name="Input_PL_IncentiveMaxAdj_IR">Input!$E$16</definedName>
    <definedName name="Input_PL_IncentiveMaxAdj_LenderPaidComp">Structure!$X$1</definedName>
    <definedName name="Input_PL_IncentiveMaxAdj_MN">Input!$E$14</definedName>
    <definedName name="Input_PL_IncentiveMaxAdj_PE">Input!$E$6</definedName>
    <definedName name="Input_PL_IncentiveMaxAdj_PH">Input!$E$17</definedName>
    <definedName name="Input_PL_IncentiveMaxAdj_PN">Input!$E$4</definedName>
    <definedName name="Input_PL_IncentiveMaxAdj_PR">Input!$E$15</definedName>
    <definedName name="Input_PL_IncentiveMaxAdj_XF">Input!$E$11</definedName>
    <definedName name="Input_PL_IncentiveMaxAdj_XM">Input!$E$12</definedName>
    <definedName name="Input_PL_IncentiveMaxAdj_XN">Input!$E$13</definedName>
    <definedName name="Input_PL_IncentiveMaxAdj_XP">Input!$E$9</definedName>
    <definedName name="Input_PL_IncentiveMaxAdj_XX">Input!$E$10</definedName>
    <definedName name="Input_PL_MaxPremiumFinal">Structure!#REF!</definedName>
    <definedName name="Input_PL_MaxPriceBase_DE_01PP">Structure!$AA$39</definedName>
    <definedName name="Input_PL_MaxPriceBase_DE_02PP">Structure!$AA$40</definedName>
    <definedName name="Input_PL_MaxPriceBase_DE_03PP">Structure!$AA$41</definedName>
    <definedName name="Input_PL_MaxPriceBase_DE_04PP">Structure!$AA$42</definedName>
    <definedName name="Input_PL_MaxPriceBase_DE_05PP">Structure!$AA$43</definedName>
    <definedName name="Input_PL_MaxPriceBase_DE_NoPP">Structure!$AA$38</definedName>
    <definedName name="Input_PL_MaxPriceBase_IE_01PP">Structure!$AA$23</definedName>
    <definedName name="Input_PL_MaxPriceBase_IE_02PP">Structure!$AA$24</definedName>
    <definedName name="Input_PL_MaxPriceBase_IE_03PP">Structure!$AA$25</definedName>
    <definedName name="Input_PL_MaxPriceBase_IE_04PP">Structure!$AA$26</definedName>
    <definedName name="Input_PL_MaxPriceBase_IE_05PP">Structure!$AA$27</definedName>
    <definedName name="Input_PL_MaxPriceBase_IE_NoPP">Structure!$AA$22</definedName>
    <definedName name="Input_PL_MaxPriceBase_IH_NoPP">Structure!$AA$72</definedName>
    <definedName name="Input_PL_MaxPriceBase_IN_01PP">Structure!$AA$6</definedName>
    <definedName name="Input_PL_MaxPriceBase_IN_02PP">Structure!$AA$7</definedName>
    <definedName name="Input_PL_MaxPriceBase_IN_03PP">Structure!$AA$8</definedName>
    <definedName name="Input_PL_MaxPriceBase_IN_04PP">Structure!$AA$9</definedName>
    <definedName name="Input_PL_MaxPriceBase_IN_05PP">Structure!$AA$10</definedName>
    <definedName name="Input_PL_MaxPriceBase_IN_NoPP">Structure!$AA$5</definedName>
    <definedName name="Input_PL_MaxPriceBase_IR_01PP">Structure!$AA$56</definedName>
    <definedName name="Input_PL_MaxPriceBase_IR_02PP">Structure!$AA$57</definedName>
    <definedName name="Input_PL_MaxPriceBase_IR_03PP">Structure!$AA$58</definedName>
    <definedName name="Input_PL_MaxPriceBase_IR_04PP">Structure!$AA$59</definedName>
    <definedName name="Input_PL_MaxPriceBase_IR_05PP">Structure!$AA$60</definedName>
    <definedName name="Input_PL_MaxPriceBase_IR_NoPP">Structure!$AA$55</definedName>
    <definedName name="Input_PL_MaxPriceBase_MN_01PP">Structure!$AA$156</definedName>
    <definedName name="Input_PL_MaxPriceBase_MN_02PP">Structure!$AA$157</definedName>
    <definedName name="Input_PL_MaxPriceBase_MN_03PP">Structure!$AA$158</definedName>
    <definedName name="Input_PL_MaxPriceBase_MN_04PP">Structure!$AA$159</definedName>
    <definedName name="Input_PL_MaxPriceBase_MN_05PP">Structure!$AA$160</definedName>
    <definedName name="Input_PL_MaxPriceBase_MN_NoPP">Structure!$AA$155</definedName>
    <definedName name="Input_PL_MaxPriceBase_PC_NoPP">Structure!#REF!</definedName>
    <definedName name="Input_PL_MaxPriceBase_PE_NoPP">Structure!$AA$21</definedName>
    <definedName name="Input_PL_MaxPriceBase_PH_NoPP">Structure!$AA$71</definedName>
    <definedName name="Input_PL_MaxPriceBase_PN_NoPP">Structure!$AA$4</definedName>
    <definedName name="Input_PL_MaxPriceBase_PR_NoPP">Structure!$AA$54</definedName>
    <definedName name="Input_PL_MaxPriceBase_XP_NoPP">Structure!$AA$73</definedName>
    <definedName name="Input_PL_MaxPriceBase_XX_NoPP">Structure!$AA$74</definedName>
    <definedName name="Input_PL_MaxPriceBase_YF_01PP">Structure!$AA$108</definedName>
    <definedName name="Input_PL_MaxPriceBase_YF_02PP">Structure!$AA$109</definedName>
    <definedName name="Input_PL_MaxPriceBase_YF_03PP">Structure!$AA$110</definedName>
    <definedName name="Input_PL_MaxPriceBase_YF_04PP">Structure!$AA$111</definedName>
    <definedName name="Input_PL_MaxPriceBase_YF_05PP">Structure!$AA$112</definedName>
    <definedName name="Input_PL_MaxPriceBase_YF_NoPP">Structure!$AA$107</definedName>
    <definedName name="Input_PL_MaxPriceBase_YM_01PP">Structure!$AA$124</definedName>
    <definedName name="Input_PL_MaxPriceBase_YM_02PP">Structure!$AA$125</definedName>
    <definedName name="Input_PL_MaxPriceBase_YM_03PP">Structure!$AA$126</definedName>
    <definedName name="Input_PL_MaxPriceBase_YM_04PP">Structure!$AA$127</definedName>
    <definedName name="Input_PL_MaxPriceBase_YM_05PP">Structure!$AA$128</definedName>
    <definedName name="Input_PL_MaxPriceBase_YM_NoPP">Structure!$AA$123</definedName>
    <definedName name="Input_PL_MaxPriceBase_YN_01PP">Structure!$AA$140</definedName>
    <definedName name="Input_PL_MaxPriceBase_YN_02PP">Structure!$AA$141</definedName>
    <definedName name="Input_PL_MaxPriceBase_YN_03PP">Structure!$AA$142</definedName>
    <definedName name="Input_PL_MaxPriceBase_YN_04PP">Structure!$AA$143</definedName>
    <definedName name="Input_PL_MaxPriceBase_YN_05PP">Structure!$AA$144</definedName>
    <definedName name="Input_PL_MaxPriceBase_YN_NoPP">Structure!$AA$139</definedName>
    <definedName name="Input_PL_MaxPriceBase_YP_01PP">Structure!$AA$76</definedName>
    <definedName name="Input_PL_MaxPriceBase_YP_02PP">Structure!$AA$77</definedName>
    <definedName name="Input_PL_MaxPriceBase_YP_03PP">Structure!$AA$78</definedName>
    <definedName name="Input_PL_MaxPriceBase_YP_04PP">Structure!$AA$79</definedName>
    <definedName name="Input_PL_MaxPriceBase_YP_05PP">Structure!$AA$80</definedName>
    <definedName name="Input_PL_MaxPriceBase_YP_NoPP">Structure!$AA$75</definedName>
    <definedName name="Input_PL_MaxPriceBase_YX_01PP">Structure!$AA$92</definedName>
    <definedName name="Input_PL_MaxPriceBase_YX_02PP">Structure!$AA$93</definedName>
    <definedName name="Input_PL_MaxPriceBase_YX_03PP">Structure!$AA$94</definedName>
    <definedName name="Input_PL_MaxPriceBase_YX_04PP">Structure!$AA$95</definedName>
    <definedName name="Input_PL_MaxPriceBase_YX_05PP">Structure!$AA$96</definedName>
    <definedName name="Input_PL_MaxPriceBase_YX_NoPP">Structure!$AA$91</definedName>
    <definedName name="Input_PL_MaxPriceFinal_DE_01PP">Structure!$Z$39</definedName>
    <definedName name="Input_PL_MaxPriceFinal_DE_02PP">Structure!$Z$40</definedName>
    <definedName name="Input_PL_MaxPriceFinal_DE_03PP">Structure!$Z$41</definedName>
    <definedName name="Input_PL_MaxPriceFinal_DE_04PP">Structure!$Z$42</definedName>
    <definedName name="Input_PL_MaxPriceFinal_DE_05PP">Structure!$Z$43</definedName>
    <definedName name="Input_PL_MaxPriceFinal_DE_NoPP">Structure!$Z$38</definedName>
    <definedName name="Input_PL_MaxPriceFinal_IE_01PP">Structure!$Z$23</definedName>
    <definedName name="Input_PL_MaxPriceFinal_IE_02PP">Structure!$Z$24</definedName>
    <definedName name="Input_PL_MaxPriceFinal_IE_03PP">Structure!$Z$25</definedName>
    <definedName name="Input_PL_MaxPriceFinal_IE_04PP">Structure!$Z$26</definedName>
    <definedName name="Input_PL_MaxPriceFinal_IE_05PP">Structure!$Z$27</definedName>
    <definedName name="Input_PL_MaxPriceFinal_IE_NoPP">Structure!$Z$22</definedName>
    <definedName name="Input_PL_MaxPriceFinal_IH_NoPP">Structure!$Z$72</definedName>
    <definedName name="Input_PL_MaxPriceFinal_IN_01PP">Structure!$Z$6</definedName>
    <definedName name="Input_PL_MaxPriceFinal_IN_02PP">Structure!$Z$7</definedName>
    <definedName name="Input_PL_MaxPriceFinal_IN_03PP">Structure!$Z$8</definedName>
    <definedName name="Input_PL_MaxPriceFinal_IN_04PP">Structure!$Z$9</definedName>
    <definedName name="Input_PL_MaxPriceFinal_IN_05PP">Structure!$Z$10</definedName>
    <definedName name="Input_PL_MaxPriceFinal_IN_NoPP">Structure!$Z$5</definedName>
    <definedName name="Input_PL_MaxPriceFinal_IR_01PP">Structure!$Z$56</definedName>
    <definedName name="Input_PL_MaxPriceFinal_IR_02PP">Structure!$Z$57</definedName>
    <definedName name="Input_PL_MaxPriceFinal_IR_03PP">Structure!$Z$58</definedName>
    <definedName name="Input_PL_MaxPriceFinal_IR_04PP">Structure!$Z$59</definedName>
    <definedName name="Input_PL_MaxPriceFinal_IR_05PP">Structure!$Z$60</definedName>
    <definedName name="Input_PL_MaxPriceFinal_IR_NoPP">Structure!$Z$55</definedName>
    <definedName name="Input_PL_MaxPriceFinal_MN_01PP">Structure!$Z$156</definedName>
    <definedName name="Input_PL_MaxPriceFinal_MN_02PP">Structure!$Z$157</definedName>
    <definedName name="Input_PL_MaxPriceFinal_MN_03PP">Structure!$Z$158</definedName>
    <definedName name="Input_PL_MaxPriceFinal_MN_04PP">Structure!$Z$159</definedName>
    <definedName name="Input_PL_MaxPriceFinal_MN_05PP">Structure!$Z$160</definedName>
    <definedName name="Input_PL_MaxPriceFinal_MN_NoPP">Structure!$Z$155</definedName>
    <definedName name="Input_PL_MaxPriceFinal_PC_NoPP">Structure!#REF!</definedName>
    <definedName name="Input_PL_MaxPriceFinal_PE_NoPP">Structure!$Z$21</definedName>
    <definedName name="Input_PL_MaxPriceFinal_PH_NoPP">Structure!$Z$71</definedName>
    <definedName name="Input_PL_MaxPriceFinal_PN_NoPP">Structure!$Z$4</definedName>
    <definedName name="Input_PL_MaxPriceFinal_PR_NoPP">Structure!$Z$54</definedName>
    <definedName name="Input_PL_MaxPriceFinal_XP_NoPP">Structure!$Z$73</definedName>
    <definedName name="Input_PL_MaxPriceFinal_XX_NoPP">Structure!$Z$74</definedName>
    <definedName name="Input_PL_MaxPriceFinal_YF_01PP">Structure!$Z$108</definedName>
    <definedName name="Input_PL_MaxPriceFinal_YF_02PP">Structure!$Z$109</definedName>
    <definedName name="Input_PL_MaxPriceFinal_YF_03PP">Structure!$Z$110</definedName>
    <definedName name="Input_PL_MaxPriceFinal_YF_04PP">Structure!$Z$111</definedName>
    <definedName name="Input_PL_MaxPriceFinal_YF_05PP">Structure!$Z$112</definedName>
    <definedName name="Input_PL_MaxPriceFinal_YF_NoPP">Structure!$Z$107</definedName>
    <definedName name="Input_PL_MaxPriceFinal_YM_01PP">Structure!$Z$124</definedName>
    <definedName name="Input_PL_MaxPriceFinal_YM_02PP">Structure!$Z$125</definedName>
    <definedName name="Input_PL_MaxPriceFinal_YM_03PP">Structure!$Z$126</definedName>
    <definedName name="Input_PL_MaxPriceFinal_YM_04PP">Structure!$Z$127</definedName>
    <definedName name="Input_PL_MaxPriceFinal_YM_05PP">Structure!$Z$128</definedName>
    <definedName name="Input_PL_MaxPriceFinal_YM_NoPP">Structure!$Z$123</definedName>
    <definedName name="Input_PL_MaxPriceFinal_YN_01PP">Structure!$Z$140</definedName>
    <definedName name="Input_PL_MaxPriceFinal_YN_02PP">Structure!$Z$141</definedName>
    <definedName name="Input_PL_MaxPriceFinal_YN_03PP">Structure!$Z$142</definedName>
    <definedName name="Input_PL_MaxPriceFinal_YN_04PP">Structure!$Z$143</definedName>
    <definedName name="Input_PL_MaxPriceFinal_YN_05PP">Structure!$Z$144</definedName>
    <definedName name="Input_PL_MaxPriceFinal_YN_NoPP">Structure!$Z$139</definedName>
    <definedName name="Input_PL_MaxPriceFinal_YP_01PP">Structure!$Z$76</definedName>
    <definedName name="Input_PL_MaxPriceFinal_YP_02PP">Structure!$Z$77</definedName>
    <definedName name="Input_PL_MaxPriceFinal_YP_03PP">Structure!$Z$78</definedName>
    <definedName name="Input_PL_MaxPriceFinal_YP_04PP">Structure!$Z$79</definedName>
    <definedName name="Input_PL_MaxPriceFinal_YP_05PP">Structure!$Z$80</definedName>
    <definedName name="Input_PL_MaxPriceFinal_YP_NoPP">Structure!$Z$75</definedName>
    <definedName name="Input_PL_MaxPriceFinal_YX_01PP">Structure!$Z$92</definedName>
    <definedName name="Input_PL_MaxPriceFinal_YX_02PP">Structure!$Z$93</definedName>
    <definedName name="Input_PL_MaxPriceFinal_YX_03PP">Structure!$Z$94</definedName>
    <definedName name="Input_PL_MaxPriceFinal_YX_04PP">Structure!$Z$95</definedName>
    <definedName name="Input_PL_MaxPriceFinal_YX_05PP">Structure!$Z$96</definedName>
    <definedName name="Input_PL_MaxPriceFinal_YX_NoPP">Structure!$Z$91</definedName>
    <definedName name="Input_PrepayEnforce_Type">Structure!$E$5</definedName>
    <definedName name="Input_PrepayPenalty">Price!$F$34</definedName>
    <definedName name="Input_Price_CompensationType">Price!$H$37</definedName>
    <definedName name="Input_Price_Target">Structure!$H$96</definedName>
    <definedName name="Input_PriceNegotiated">Price!$H$39</definedName>
    <definedName name="Input_PriceNegotiatedDesc">Price!$F$39</definedName>
    <definedName name="Input_Pricing_Type">Structure!$E$6</definedName>
    <definedName name="Input_Pricing_TypeMult">Structure!$F$6</definedName>
    <definedName name="Input_Product">Structure!$M$4</definedName>
    <definedName name="Input_ProductClass">Price!$F$9</definedName>
    <definedName name="Input_ProductType">Output!$F$29</definedName>
    <definedName name="Input_PropertyAddress">Price!$V$31</definedName>
    <definedName name="Input_PropertyCity">Price!$V$32</definedName>
    <definedName name="Input_PropertyState">Price!$Y$32</definedName>
    <definedName name="Input_PropertyType">Price!$F$24</definedName>
    <definedName name="Input_PropertyZip">Price!$V$33</definedName>
    <definedName name="Input_Purpose">Price!$F$22</definedName>
    <definedName name="Input_Ratesheet_Source">Input!$B$1</definedName>
    <definedName name="Input_RateSheet_Type">Structure!$E$4</definedName>
    <definedName name="Input_ReservesMonths">Price!$F$19</definedName>
    <definedName name="Input_SellerLoanID">Price!$V$29</definedName>
    <definedName name="Input_SellerName">Price!$V$28</definedName>
    <definedName name="Input_Servicing">Price!$F$33</definedName>
    <definedName name="Input_State">Price!$F$26</definedName>
    <definedName name="Input_ValuationType">Price!$F$25</definedName>
    <definedName name="Input_Version">Price!$AB$5</definedName>
    <definedName name="InputBulk_AmortTerm">#REF!</definedName>
    <definedName name="InputBulk_AmortTerm_Range">#REF!</definedName>
    <definedName name="InputBulk_AmortType">#REF!</definedName>
    <definedName name="InputBulk_AmortType_Range">#REF!</definedName>
    <definedName name="InputBulk_BankStmt">#REF!</definedName>
    <definedName name="InputBulk_BankStmt_Range">#REF!</definedName>
    <definedName name="InputBulk_CashoutAmt">#REF!</definedName>
    <definedName name="InputBulk_Citizenship">#REF!</definedName>
    <definedName name="InputBulk_Citizenship_Range">#REF!</definedName>
    <definedName name="InputBulk_CreditHistory">#REF!</definedName>
    <definedName name="InputBulk_CreditHistory_Range">#REF!</definedName>
    <definedName name="InputBulk_CreditScore">#REF!</definedName>
    <definedName name="InputBulk_DocType">#REF!</definedName>
    <definedName name="InputBulk_DocType_Range">#REF!</definedName>
    <definedName name="InputBulk_DSCR">#REF!</definedName>
    <definedName name="InputBulk_DTI">#REF!</definedName>
    <definedName name="InputBulk_FirstTimeHomeBuyer">#REF!</definedName>
    <definedName name="InputBulk_HousingHistory">#REF!</definedName>
    <definedName name="InputBulk_HousingHistory_Range">#REF!</definedName>
    <definedName name="InputBulk_LoanAmt">#REF!</definedName>
    <definedName name="InputBulk_LockTerm">#REF!</definedName>
    <definedName name="InputBulk_LTV">#REF!</definedName>
    <definedName name="InputBulk_NoteRate">#REF!</definedName>
    <definedName name="InputBulk_Occupancy">#REF!</definedName>
    <definedName name="InputBulk_Occupancy_Range">#REF!</definedName>
    <definedName name="InputBulk_Payment">#REF!</definedName>
    <definedName name="InputBulk_Payment_Range">#REF!</definedName>
    <definedName name="InputBulk_PrepayPenalty">#REF!</definedName>
    <definedName name="InputBulk_PrepayPenalty_Range">#REF!</definedName>
    <definedName name="InputBulk_Product">#REF!</definedName>
    <definedName name="InputBulk_Product_Range">#REF!</definedName>
    <definedName name="InputBulk_PropertyType">#REF!</definedName>
    <definedName name="InputBulk_PropertyType_Range">#REF!</definedName>
    <definedName name="InputBulk_Purpose">#REF!</definedName>
    <definedName name="InputBulk_Purpose_Range">#REF!</definedName>
    <definedName name="InputBulk_ReservesMonths">#REF!</definedName>
    <definedName name="InputBulk_Servicing">#REF!</definedName>
    <definedName name="InputBulk_Servicing_Range">#REF!</definedName>
    <definedName name="InputBulk_State">#REF!</definedName>
    <definedName name="InputBulk_State_Range">#REF!</definedName>
    <definedName name="List_ActionRequest">Structure!$AQ$81:$AQ$82</definedName>
    <definedName name="List_ActionRequest_All">Structure!$AQ$81:$AS$82</definedName>
    <definedName name="List_AmortTerm">Structure!$M$50:$M$67</definedName>
    <definedName name="List_AmortTerm_Dropdown">Structure!$V$50:$V$67</definedName>
    <definedName name="List_AmortTermAll">Structure!$M$50:$T$67</definedName>
    <definedName name="List_AmortType">Structure!$AC$34:$AC$35</definedName>
    <definedName name="List_AmortType_All">Structure!$AC$34:$AE$35</definedName>
    <definedName name="List_AVMVendor">Structure!$AQ$75:$AQ$77</definedName>
    <definedName name="List_AVMVendor_All">Structure!$AQ$75:$AT$77</definedName>
    <definedName name="List_AVMVendor_FSDAdj1">Structure!$AR$74</definedName>
    <definedName name="List_AVMVendor_FSDAdj2">Structure!$AS$74</definedName>
    <definedName name="List_AVMVendor_FSDAdj3">Structure!$AT$74</definedName>
    <definedName name="List_BankStmt">Structure!$AC$26:$AC$28</definedName>
    <definedName name="List_BankStmtAll">Structure!$AC$26:$AE$28</definedName>
    <definedName name="List_Citizenship">Structure!$AC$71:$AC$74</definedName>
    <definedName name="List_CompensationType">Structure!$AD$96:$AD$97</definedName>
    <definedName name="List_CreditHistory">Structure!$AC$38:$AC$43</definedName>
    <definedName name="List_CreditHistory_All">Structure!$AC$38:$AD$43</definedName>
    <definedName name="List_CreditScore">Structure!$AQ$41:$AQ$52</definedName>
    <definedName name="List_CreditScore_All">Structure!$AQ$41:$AR$52</definedName>
    <definedName name="List_DocType">Structure!$M$32:$M$39</definedName>
    <definedName name="List_DocTypeAll">Structure!$M$32:$U$39</definedName>
    <definedName name="List_DSCR">Structure!$AQ$65:$AQ$71</definedName>
    <definedName name="List_DSCR_All">Structure!$AQ$65:$AS$71</definedName>
    <definedName name="List_DTI">Structure!$AQ$56:$AQ$61</definedName>
    <definedName name="List_DTI_All">Structure!$AQ$56:$AS$61</definedName>
    <definedName name="List_Employment">Structure!$AC$77:$AC$79</definedName>
    <definedName name="List_FirstTimeHomebuyer">Structure!$AC$82:$AC$83</definedName>
    <definedName name="List_HousingHistory">Structure!$AF$64:$AF$70</definedName>
    <definedName name="List_HousingHistory_All">Structure!$AF$64:$AG$70</definedName>
    <definedName name="List_LoanAmt">Structure!$AQ$17:$AQ$37</definedName>
    <definedName name="List_LoanAmt_All">Structure!$AQ$17:$AR$37</definedName>
    <definedName name="List_LockTerm">Structure!$AC$90:$AC$92</definedName>
    <definedName name="List_LockType">Structure!$AC$96:$AC$97</definedName>
    <definedName name="List_LTV">Structure!$AQ$6:$AQ$14</definedName>
    <definedName name="List_LTV_All">Structure!$AQ$6:$AS$14</definedName>
    <definedName name="List_MaxPricing">Structure!$X$4:$X$170</definedName>
    <definedName name="List_MaxPricingAll">Structure!$Z$4:$Z$170</definedName>
    <definedName name="List_Name_Channel">Input!$K$4:$K$9</definedName>
    <definedName name="List_Occupancy">Structure!$AC$47:$AC$49</definedName>
    <definedName name="List_OccupancyAll">Structure!$AC$47:$AE$49</definedName>
    <definedName name="List_Payment">Structure!$AC$86:$AC$87</definedName>
    <definedName name="List_PrepayPenalty">Structure!$AA$174:$AA$190</definedName>
    <definedName name="List_PrepayPenalty_Find">Structure!$X$174:$X$190</definedName>
    <definedName name="List_Product">Structure!$N$5:$N$20</definedName>
    <definedName name="List_ProductAll">Structure!$N$5:$Q$20</definedName>
    <definedName name="List_ProductClass">Structure!$T$5:$T$14</definedName>
    <definedName name="List_ProductCode">Structure!$M$73:$M$226</definedName>
    <definedName name="List_ProductCodeAll">Structure!$M$73:$N$226</definedName>
    <definedName name="List_ProductFind">Structure!$M$5:$M$20</definedName>
    <definedName name="List_ProductFindAll">Structure!$M$5:$Q$20</definedName>
    <definedName name="List_PropertyType">Structure!$AC$5:$AC$23</definedName>
    <definedName name="List_PropertyType_Dropdown">Structure!$AH$5:$AH$23</definedName>
    <definedName name="List_PropertyType_Find">Structure!$AF$5:$AF$23</definedName>
    <definedName name="List_PropertyTypeAll">Structure!$AC$5:$AE$23</definedName>
    <definedName name="List_Purpose">Structure!$AC$53:$AC$55</definedName>
    <definedName name="List_Purpose_All">Structure!$AC$53:$AD$55</definedName>
    <definedName name="List_RequiredDocs_Disclosure">Structure!$AI$105:$AI$198</definedName>
    <definedName name="List_RequiredDocs_DocType">Structure!$AO$105:$AO$198</definedName>
    <definedName name="List_RequiredDocs_Recommended">Structure!$AM$105:$AM$198</definedName>
    <definedName name="List_RequiredDocs_Submission">Structure!$AK$105:$AK$198</definedName>
    <definedName name="List_Reserves">Structure!$AQ$85:$AQ$86</definedName>
    <definedName name="List_Reserves_All">Structure!$AQ$85:$AR$86</definedName>
    <definedName name="List_Servicing">Structure!$AC$67:$AC$68</definedName>
    <definedName name="List_State">Structure!$BG$5:$BG$55</definedName>
    <definedName name="List_State_All">Structure!$BG$5:$CE$55</definedName>
    <definedName name="List_Term">Structure!$P$74:$P$83</definedName>
    <definedName name="List_Term_All">Structure!$P$74:$S$83</definedName>
    <definedName name="List_Units_AgencyLoanAmount">Structure!$AF$53:$AF$60</definedName>
    <definedName name="List_Units_AgencyLoanAmount_All">Structure!$AF$53:$AH$60</definedName>
    <definedName name="List_ValuationType">Structure!$AC$100:$AC$101</definedName>
    <definedName name="Lookup_AmortType">Structure!$T$48</definedName>
    <definedName name="Lookup_AmortType_Detail">Structure!$P$48</definedName>
    <definedName name="Lookup_APR_Federal">LoanTest!$B$31</definedName>
    <definedName name="Lookup_APR_State">LoanTest!$B$32</definedName>
    <definedName name="Lookup_BankStmtMos">Structure!$AE$25</definedName>
    <definedName name="Lookup_CreditHistory_Lates">Structure!$AE$37</definedName>
    <definedName name="Lookup_DocLevel">Structure!$P$30</definedName>
    <definedName name="Lookup_LienPosition">Structure!$Q$3</definedName>
    <definedName name="Lookup_LLPA">Price!$S$57:$S$906</definedName>
    <definedName name="Lookup_LLPAAll">Price!$T$57:$AB$906</definedName>
    <definedName name="Lookup_NoteRate">Structure!$AY$5:$AY$491</definedName>
    <definedName name="Lookup_NoteRateAll">Structure!$AX$5:$BE$491</definedName>
    <definedName name="Lookup_NoteRateStack">Structure!$BE$5:$BE$491</definedName>
    <definedName name="Lookup_NoteRateText">Structure!$AX$5:$AX$491</definedName>
    <definedName name="Lookup_Price_Code_Lookup_01">Structure!$J$54</definedName>
    <definedName name="Lookup_Price_Code_Lookup_02">Structure!$J$55</definedName>
    <definedName name="Lookup_Price_Code_Output_01">Structure!$J$58</definedName>
    <definedName name="Lookup_Price_Code_Output_02">Structure!$J$59</definedName>
    <definedName name="Lookup_Price_Margin_Output_01">Structure!$J$70</definedName>
    <definedName name="Lookup_Price_Margin_Output_02">Structure!$J$71</definedName>
    <definedName name="Lookup_Price_Output_All">Structure!$D$52:$I$93</definedName>
    <definedName name="Lookup_Price_Output_Code">Structure!$D$52:$D$93</definedName>
    <definedName name="Lookup_Price_Output_Rate">Structure!$E$52:$E$93</definedName>
    <definedName name="Lookup_Price_PriceGross_Output_01">Structure!$J$66</definedName>
    <definedName name="Lookup_Price_PriceGross_Output_02">Structure!$J$67</definedName>
    <definedName name="Lookup_Price_Rate_Output_01">Structure!$J$62</definedName>
    <definedName name="Lookup_Price_Rate_Output_02">Structure!$J$63</definedName>
    <definedName name="Lookup_PriceText">Structure!$BB$5:$BB$491</definedName>
    <definedName name="Lookup_PriceText_List">Structure!$BC$5:$BC$491</definedName>
    <definedName name="Lookup_ProductClass">Structure!$O$3</definedName>
    <definedName name="Lookup_ProductPrefix">Structure!$P$3</definedName>
    <definedName name="Lookup_Property">Structure!$AD$4</definedName>
    <definedName name="Lookup_Property_Units">Structure!$AE$4</definedName>
    <definedName name="Lookup_TermAmort">Structure!$Q$48</definedName>
    <definedName name="Lookup_TermInitial">Structure!$S$48</definedName>
    <definedName name="Lookup_TermMaturity">Structure!$R$48</definedName>
    <definedName name="Lookup_Units_AgencyLoanAmount">Structure!$AH$51</definedName>
    <definedName name="Output_Display_ProductRatePriceMatrix">Output!$H$5:$K$101</definedName>
    <definedName name="Output_Display_Required_UWFee">Output!$F$5</definedName>
    <definedName name="Output_Display_RequiredDocs_Disclosure">Output!$B$5:$B$97</definedName>
    <definedName name="Output_Display_RequiredDocs_DocType">Output!$E$5:$E$97</definedName>
    <definedName name="Output_Display_RequiredDocs_Recommended">Output!$D$5:$D$97</definedName>
    <definedName name="Output_Display_RequiredDocs_Submission">Output!$C$5:$C$97</definedName>
    <definedName name="Output_Format">Price!$N$9:$AB$10,Price!$N$19:$AB$20,Price!$N$42:$AB$42,Price!$M$9:$M$42,Price!$AC$9:$AC$42</definedName>
    <definedName name="Output_LLPA_AmortTerm">Structure!$H$18</definedName>
    <definedName name="Output_LLPA_AmortType">Structure!$H$19</definedName>
    <definedName name="Output_LLPA_BankStmt">Structure!$H$21</definedName>
    <definedName name="Output_LLPA_CashoutAmt">Structure!$H$26</definedName>
    <definedName name="Output_LLPA_Citizenship">Structure!$H$32</definedName>
    <definedName name="Output_LLPA_CreditHistory">Structure!$H$30</definedName>
    <definedName name="Output_LLPA_DocType">Structure!$H$20</definedName>
    <definedName name="Output_LLPA_DSCR">Structure!$H$24</definedName>
    <definedName name="Output_LLPA_DTI">Structure!$H$23</definedName>
    <definedName name="Output_LLPA_Employment">Structure!$H$33</definedName>
    <definedName name="Output_LLPA_FirstTimeHomeBuyer">Structure!$H$34</definedName>
    <definedName name="Output_LLPA_HousingHistory">Structure!$H$31</definedName>
    <definedName name="Output_LLPA_LoanAmt">Structure!$H$17</definedName>
    <definedName name="Output_LLPA_LockTerm">Structure!$H$38</definedName>
    <definedName name="Output_LLPA_LockType">Structure!$H$39</definedName>
    <definedName name="Output_LLPA_Occupancy">Structure!$H$14</definedName>
    <definedName name="Output_LLPA_Payment">Structure!$H$35</definedName>
    <definedName name="Output_LLPA_PrepayPenalty">Structure!$H$37</definedName>
    <definedName name="Output_LLPA_PropertyType">Structure!$H$27</definedName>
    <definedName name="Output_LLPA_Purpose">Structure!$H$25</definedName>
    <definedName name="Output_LLPA_ReservesMonths">Structure!$H$22</definedName>
    <definedName name="Output_LLPA_Servicing">Structure!$H$36</definedName>
    <definedName name="Output_LLPA_State">Structure!$H$29</definedName>
    <definedName name="Output_LLPA_Total">Structure!$H$42</definedName>
    <definedName name="Output_LLPA_ValuationType">Structure!$H$28</definedName>
    <definedName name="Output_MarginNoteRate">Structure!$I$11</definedName>
    <definedName name="Output_Msg_Eligibility">Structure!$I$12</definedName>
    <definedName name="Output_Msg_LLPA_AmortTerm">Structure!$I$18</definedName>
    <definedName name="Output_Msg_LLPA_AmortType">Structure!$I$19</definedName>
    <definedName name="Output_Msg_LLPA_BankStmt">Structure!$I$21</definedName>
    <definedName name="Output_Msg_LLPA_CashoutAmt">Structure!$I$26</definedName>
    <definedName name="Output_Msg_LLPA_Citizenship">Structure!$I$32</definedName>
    <definedName name="Output_Msg_LLPA_CompensationType">Structure!$I$40</definedName>
    <definedName name="Output_Msg_LLPA_CreditHistory">Structure!$I$30</definedName>
    <definedName name="Output_Msg_LLPA_CreditScore">Structure!$I$15</definedName>
    <definedName name="Output_Msg_LLPA_DocType">Structure!$I$20</definedName>
    <definedName name="Output_Msg_LLPA_DSCR">Structure!$I$24</definedName>
    <definedName name="Output_Msg_LLPA_DTI">Structure!$I$23</definedName>
    <definedName name="Output_Msg_LLPA_Employment">Structure!$I$33</definedName>
    <definedName name="Output_Msg_LLPA_FirstTimeHomeBuyer">Structure!$I$34</definedName>
    <definedName name="Output_Msg_LLPA_HousingHistory">Structure!$I$31</definedName>
    <definedName name="Output_Msg_LLPA_LoanAmt">Structure!$I$17</definedName>
    <definedName name="Output_Msg_LLPA_LockTerm">Structure!$I$38</definedName>
    <definedName name="Output_Msg_LLPA_LockType">Structure!$I$39</definedName>
    <definedName name="Output_Msg_LLPA_LTV">Structure!$I$16</definedName>
    <definedName name="Output_Msg_LLPA_Occupancy">Structure!$I$14</definedName>
    <definedName name="Output_Msg_LLPA_Payment">Structure!$I$35</definedName>
    <definedName name="Output_Msg_LLPA_PrepayPenalty">Structure!$I$37</definedName>
    <definedName name="Output_Msg_LLPA_PropertyType">Structure!$I$27</definedName>
    <definedName name="Output_Msg_LLPA_Purpose">Structure!$I$25</definedName>
    <definedName name="Output_Msg_LLPA_ReservesMonths">Structure!$I$22</definedName>
    <definedName name="Output_Msg_LLPA_Servicing">Structure!$I$36</definedName>
    <definedName name="Output_Msg_LLPA_State">Structure!$I$29</definedName>
    <definedName name="Output_Msg_LLPA_Total">Structure!$I$42</definedName>
    <definedName name="Output_Msg_LLPA_ValuationType">Structure!$I$28</definedName>
    <definedName name="Output_Msg_PriceFinal">Structure!$I$46</definedName>
    <definedName name="Output_Msg_PriceMax">Structure!$I$45</definedName>
    <definedName name="Output_Msg_PriceNegotiated">Structure!$I$43</definedName>
    <definedName name="Output_Msg_PriceNet">Structure!$I$44</definedName>
    <definedName name="Output_Msg_PriceNoteRate">Structure!$I$13</definedName>
    <definedName name="Output_Msg_ProductCode">Structure!#REF!</definedName>
    <definedName name="Output_Msg2_ProductCode">Elig!$BH$5</definedName>
    <definedName name="Output_NoteRate_WeightedAverage">Price!$X$13</definedName>
    <definedName name="Output_PriceFinal">Structure!$H$46</definedName>
    <definedName name="Output_PriceMax">Structure!$H$45</definedName>
    <definedName name="Output_PriceMaxPriceCalc">Structure!$G$46</definedName>
    <definedName name="Output_PriceNegotiated">Structure!$H$43</definedName>
    <definedName name="Output_PriceNet">Structure!$H$44</definedName>
    <definedName name="Output_PriceNoteRate">Structure!$H$13</definedName>
    <definedName name="Output_ProductCode">Structure!$H$12</definedName>
    <definedName name="Output_Rate_Target">Structure!$H$97</definedName>
    <definedName name="_xlnm.Print_Area" localSheetId="0">Price!$C$1:$AC$906</definedName>
    <definedName name="QM_APR_1st_1_APORSpread">LoanTest!$J$19</definedName>
    <definedName name="QM_APR_1st_1_LnAmt_Max">LoanTest!$N$19</definedName>
    <definedName name="QM_APR_1st_1_LnAmt_Min">LoanTest!$M$19</definedName>
    <definedName name="QM_APR_1st_2_APORSpread">LoanTest!$J$20</definedName>
    <definedName name="QM_APR_1st_2_LnAmt_Max">LoanTest!$N$20</definedName>
    <definedName name="QM_APR_1st_2_LnAmt_Min">LoanTest!$M$20</definedName>
    <definedName name="QM_APR_1st_3_APORSpread">LoanTest!$J$21</definedName>
    <definedName name="QM_APR_1st_3_LnAmt_Max">LoanTest!$N$21</definedName>
    <definedName name="QM_APR_1st_3_LnAmt_Min">LoanTest!$M$21</definedName>
    <definedName name="QM_APR_2nd_1_APORSpread">LoanTest!$J$22</definedName>
    <definedName name="QM_APR_2nd_1_LnAmt_Max">LoanTest!$N$22</definedName>
    <definedName name="QM_APR_2nd_1_LnAmt_Min">LoanTest!$M$22</definedName>
    <definedName name="QM_APR_2nd_2_APORSpread">LoanTest!$J$23</definedName>
    <definedName name="QM_APR_2nd_2_LnAmt_Max">LoanTest!$N$23</definedName>
    <definedName name="QM_APR_2nd_2_LnAmt_Min">LoanTest!$M$23</definedName>
    <definedName name="QM_APR_Threshold">LoanTest!$V$19</definedName>
    <definedName name="QM_PtsFees_1_FeePct">LoanTest!$K$16</definedName>
    <definedName name="QM_PtsFees_1_LnAmt_Max">LoanTest!$N$16</definedName>
    <definedName name="QM_PtsFees_1_LnAmt_Min">LoanTest!$M$16</definedName>
    <definedName name="QM_PtsFees_2_FeeAmt">LoanTest!$L$17</definedName>
    <definedName name="QM_PtsFees_2_LnAmt_Max">LoanTest!$N$17</definedName>
    <definedName name="QM_PtsFees_2_LnAmt_Min">LoanTest!$M$17</definedName>
    <definedName name="QM_PtsFees_3_FeePct">LoanTest!$K$18</definedName>
    <definedName name="QM_PtsFees_3_LnAmt_Max">LoanTest!$N$18</definedName>
    <definedName name="QM_PtsFees_3_LnAmt_Min">LoanTest!$M$18</definedName>
    <definedName name="QM_PtsFees_Threshold">LoanTest!$V$16</definedName>
    <definedName name="Range_BulkHome">#REF!</definedName>
    <definedName name="Range_Convert_Selection">#REF!</definedName>
    <definedName name="Range_Convert_Start">#REF!</definedName>
    <definedName name="Range_Convert_Values">#REF!</definedName>
    <definedName name="Range_Input_Selection">#REF!</definedName>
    <definedName name="Range_Input_Values">#REF!</definedName>
    <definedName name="Range_Output_Values">#REF!</definedName>
    <definedName name="Result_AmortTerm">Price!$H$15</definedName>
    <definedName name="Result_AmortType">Price!$H$16</definedName>
    <definedName name="Result_BankStmt">Price!$H$18</definedName>
    <definedName name="Result_CashoutAmt">Price!$H$23</definedName>
    <definedName name="Result_Citizenship">Price!$H$29</definedName>
    <definedName name="Result_CreditHistory">Price!$H$27</definedName>
    <definedName name="Result_DocType">Price!$H$17</definedName>
    <definedName name="Result_DSCR">Price!$H$21</definedName>
    <definedName name="Result_DTI">Price!$H$20</definedName>
    <definedName name="Result_FirstTimeHomeBuyer">Price!$H$31</definedName>
    <definedName name="Result_HousingHistory">Price!$H$28</definedName>
    <definedName name="Result_LoanAmt">Price!$H$14</definedName>
    <definedName name="Result_LockTerm">Price!$H$35</definedName>
    <definedName name="Result_LockType">Price!$H$36</definedName>
    <definedName name="Result_Msg_LLPA_AmortTerm">Price!$I$15</definedName>
    <definedName name="Result_Msg_LLPA_AmortType">Price!$I$16</definedName>
    <definedName name="Result_Msg_LLPA_CashoutAmt">Price!$I$23</definedName>
    <definedName name="Result_Msg_LLPA_Citizenship">Price!$I$29</definedName>
    <definedName name="Result_Msg_LLPA_CreditHistory">Price!$I$27</definedName>
    <definedName name="Result_Msg_LLPA_CreditScore">Price!$I$12</definedName>
    <definedName name="Result_Msg_LLPA_DocType">Price!$I$17</definedName>
    <definedName name="Result_Msg_LLPA_DSCR">Price!$I$21</definedName>
    <definedName name="Result_Msg_LLPA_DTI">Price!$I$20</definedName>
    <definedName name="Result_Msg_LLPA_FirstTimeHomeBuyer">Price!$I$31</definedName>
    <definedName name="Result_Msg_LLPA_HousingHistory">Price!$I$28</definedName>
    <definedName name="Result_Msg_LLPA_LoanAmt">Price!$I$14</definedName>
    <definedName name="Result_Msg_LLPA_LockTerm">Price!$I$35</definedName>
    <definedName name="Result_Msg_LLPA_LTV">Price!$I$13</definedName>
    <definedName name="Result_Msg_LLPA_Occupancy">Price!$I$11</definedName>
    <definedName name="Result_Msg_LLPA_Payment">Price!$I$32</definedName>
    <definedName name="Result_Msg_LLPA_PrepayPenalty">Price!$I$34</definedName>
    <definedName name="Result_Msg_LLPA_PropertyType">Price!$I$24</definedName>
    <definedName name="Result_Msg_LLPA_Purpose">Price!$I$22</definedName>
    <definedName name="Result_Msg_LLPA_ReservesMonths">Price!$I$19</definedName>
    <definedName name="Result_Msg_LLPA_Servicing">Price!$I$33</definedName>
    <definedName name="Result_Msg_LLPA_State">Price!$I$26</definedName>
    <definedName name="Result_Msg_LLPA_Total">Price!$I$38</definedName>
    <definedName name="Result_Msg_LLPA_ValuationType">Price!$I$25</definedName>
    <definedName name="Result_Msg_PriceFinal">Price!$I$42</definedName>
    <definedName name="Result_Msg_PriceMax">Price!$I$41</definedName>
    <definedName name="Result_Msg_PriceNegotiated">Price!$I$39</definedName>
    <definedName name="Result_Msg_PriceNet">Price!$I$40</definedName>
    <definedName name="Result_Msg_PriceNoteRate">Price!$I$10</definedName>
    <definedName name="Result_Msg_ProductCode">Price!$I$9</definedName>
    <definedName name="Result_Msg2_LLPA_AmortTerm">Elig!$BI$5</definedName>
    <definedName name="Result_Msg2_LLPA_AmortType">Elig!$BJ$5</definedName>
    <definedName name="Result_Msg2_LLPA_BankStmt">Elig!$BM$5</definedName>
    <definedName name="Result_Msg2_LLPA_CashoutAmt">Elig!$BY$5</definedName>
    <definedName name="Result_Msg2_LLPA_Citizenship">Elig!$BT$5</definedName>
    <definedName name="Result_Msg2_LLPA_CreditHistory">Elig!$BQ$5</definedName>
    <definedName name="Result_Msg2_LLPA_CreditScore">Elig!$CE$5</definedName>
    <definedName name="Result_Msg2_LLPA_DocType">Elig!$BL$5</definedName>
    <definedName name="Result_Msg2_LLPA_DSCR">Elig!$CC$5</definedName>
    <definedName name="Result_Msg2_LLPA_DTI">Elig!$CA$5</definedName>
    <definedName name="Result_Msg2_LLPA_FirstTimeHomeBuyer">Elig!$BU$5</definedName>
    <definedName name="Result_Msg2_LLPA_HousingHistory">Elig!$BR$5</definedName>
    <definedName name="Result_Msg2_LLPA_LoanAmt">Elig!$BW$5</definedName>
    <definedName name="Result_Msg2_LLPA_LTV">Elig!$CI$5</definedName>
    <definedName name="Result_Msg2_LLPA_Occupancy">Elig!$BK$5</definedName>
    <definedName name="Result_Msg2_LLPA_PrepayPenalty">Elig!$BS$5</definedName>
    <definedName name="Result_Msg2_LLPA_PropertyType">Elig!$BP$5</definedName>
    <definedName name="Result_Msg2_LLPA_Purpose">Elig!$BN$5</definedName>
    <definedName name="Result_Msg2_LLPA_ReservesMonths">Elig!$CG$5</definedName>
    <definedName name="Result_Msg2_LLPA_Servicing">Elig!$BV$5</definedName>
    <definedName name="Result_Msg2_LLPA_State">Elig!$BO$5</definedName>
    <definedName name="Result_Msg3_LLPA_State">Elig!$BO$4</definedName>
    <definedName name="Result_NoteRate">Price!$H$10</definedName>
    <definedName name="Result_Occupancy">Price!$H$11</definedName>
    <definedName name="Result_Payment">Price!$H$32</definedName>
    <definedName name="Result_PrepayPenalty">Price!$H$34</definedName>
    <definedName name="Result_PriceFinal">Price!$H$42</definedName>
    <definedName name="Result_PriceMax">Price!$H$41</definedName>
    <definedName name="Result_PriceNegotiated">Price!$H$39</definedName>
    <definedName name="Result_PriceNet">Price!$H$40</definedName>
    <definedName name="Result_Product">Price!$H$9</definedName>
    <definedName name="Result_PropertyType">Price!$H$24</definedName>
    <definedName name="Result_Purpose">Price!$H$22</definedName>
    <definedName name="Result_ReservesMonths">Price!$H$19</definedName>
    <definedName name="Result_Servicing">Price!$H$33</definedName>
    <definedName name="Result_State">Price!$H$26</definedName>
    <definedName name="Result_TotalLLPA">Price!$H$38</definedName>
    <definedName name="Result_ValuationType">Price!$H$25</definedName>
    <definedName name="RoundMult">Price!#REF!</definedName>
    <definedName name="Test_HighCost_Federal">LoanTest!$Q$5:$Q$9</definedName>
    <definedName name="Test_HighCost_Federal_Msg">LoanTest!$W$5</definedName>
    <definedName name="Test_HighCost_Federal_Msg2">LoanTest!$W$6</definedName>
    <definedName name="Test_HighCost_Federal_Msg3">LoanTest!$W$7</definedName>
    <definedName name="Test_HighCost_State">LoanTest!$Q$11:$Q$13</definedName>
    <definedName name="Test_HighCost_State_Exemption">LoanTest!$S$11:$S$13</definedName>
    <definedName name="Test_HighCost_State_Msg">LoanTest!$W$11</definedName>
    <definedName name="Test_HighCost_State_Msg2">LoanTest!$W$12</definedName>
    <definedName name="Test_HighCost_State_Msg3">LoanTest!$W$13</definedName>
    <definedName name="Test_HPML">LoanTest!$Q$29:$Q$30</definedName>
    <definedName name="Test_HPML_Exemption">LoanTest!$S$29:$S$30</definedName>
    <definedName name="Test_HPML_Msg">LoanTest!$W$29</definedName>
    <definedName name="Test_HPML_Msg2">LoanTest!$W$30</definedName>
    <definedName name="Test_HPML_Msg3">LoanTest!$W$31</definedName>
    <definedName name="Test_QM">LoanTest!$Q$16:$Q$27</definedName>
    <definedName name="Test_QM_Exemption">LoanTest!$S$16:$S$27</definedName>
    <definedName name="Test_QM_Msg">LoanTest!$W$16</definedName>
    <definedName name="Test_QM_Msg2">LoanTest!$W$17</definedName>
    <definedName name="Test_QM_Msg3">LoanTest!$W$18</definedName>
    <definedName name="Test_Results_AVMLoanAmountLimit_VPM">LoanTest!$M$32</definedName>
    <definedName name="Test_Results_LoanType">LoanTest!$AC$9</definedName>
    <definedName name="Test_Results_Valuation">LoanTest!$AD$9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1280" i="8" l="1"/>
  <c r="AZ1280" i="8"/>
  <c r="AY1280" i="8"/>
  <c r="AX1280" i="8"/>
  <c r="AW1280" i="8"/>
  <c r="AV1280" i="8"/>
  <c r="AU1280" i="8"/>
  <c r="BA1279" i="8"/>
  <c r="AZ1279" i="8"/>
  <c r="AY1279" i="8"/>
  <c r="AX1279" i="8"/>
  <c r="AW1279" i="8"/>
  <c r="AV1279" i="8"/>
  <c r="AU1279" i="8"/>
  <c r="BA1278" i="8"/>
  <c r="AZ1278" i="8"/>
  <c r="AY1278" i="8"/>
  <c r="AX1278" i="8"/>
  <c r="AW1278" i="8"/>
  <c r="AV1278" i="8"/>
  <c r="AU1278" i="8"/>
  <c r="BA1277" i="8"/>
  <c r="AZ1277" i="8"/>
  <c r="AY1277" i="8"/>
  <c r="AX1277" i="8"/>
  <c r="AW1277" i="8"/>
  <c r="AV1277" i="8"/>
  <c r="AU1277" i="8"/>
  <c r="BA1276" i="8"/>
  <c r="AZ1276" i="8"/>
  <c r="AY1276" i="8"/>
  <c r="AX1276" i="8"/>
  <c r="AW1276" i="8"/>
  <c r="AV1276" i="8"/>
  <c r="AU1276" i="8"/>
  <c r="BA1275" i="8"/>
  <c r="AZ1275" i="8"/>
  <c r="AY1275" i="8"/>
  <c r="AX1275" i="8"/>
  <c r="AW1275" i="8"/>
  <c r="AV1275" i="8"/>
  <c r="AU1275" i="8"/>
  <c r="BA1274" i="8"/>
  <c r="AZ1274" i="8"/>
  <c r="AY1274" i="8"/>
  <c r="AX1274" i="8"/>
  <c r="AW1274" i="8"/>
  <c r="AV1274" i="8"/>
  <c r="AU1274" i="8"/>
  <c r="BA1273" i="8"/>
  <c r="AZ1273" i="8"/>
  <c r="AY1273" i="8"/>
  <c r="AX1273" i="8"/>
  <c r="AW1273" i="8"/>
  <c r="AV1273" i="8"/>
  <c r="AU1273" i="8"/>
  <c r="BA1272" i="8"/>
  <c r="AZ1272" i="8"/>
  <c r="AY1272" i="8"/>
  <c r="AX1272" i="8"/>
  <c r="AW1272" i="8"/>
  <c r="AV1272" i="8"/>
  <c r="AU1272" i="8"/>
  <c r="BA1271" i="8"/>
  <c r="AZ1271" i="8"/>
  <c r="AY1271" i="8"/>
  <c r="AX1271" i="8"/>
  <c r="AW1271" i="8"/>
  <c r="AV1271" i="8"/>
  <c r="AU1271" i="8"/>
  <c r="BA1270" i="8"/>
  <c r="AZ1270" i="8"/>
  <c r="AY1270" i="8"/>
  <c r="AX1270" i="8"/>
  <c r="AW1270" i="8"/>
  <c r="AV1270" i="8"/>
  <c r="AU1270" i="8"/>
  <c r="BA1269" i="8"/>
  <c r="AZ1269" i="8"/>
  <c r="AY1269" i="8"/>
  <c r="AX1269" i="8"/>
  <c r="AW1269" i="8"/>
  <c r="AV1269" i="8"/>
  <c r="AU1269" i="8"/>
  <c r="BA1268" i="8"/>
  <c r="AZ1268" i="8"/>
  <c r="AY1268" i="8"/>
  <c r="AX1268" i="8"/>
  <c r="AW1268" i="8"/>
  <c r="AV1268" i="8"/>
  <c r="AU1268" i="8"/>
  <c r="BA1267" i="8"/>
  <c r="AZ1267" i="8"/>
  <c r="AY1267" i="8"/>
  <c r="AX1267" i="8"/>
  <c r="AW1267" i="8"/>
  <c r="AV1267" i="8"/>
  <c r="AU1267" i="8"/>
  <c r="BA1266" i="8"/>
  <c r="AZ1266" i="8"/>
  <c r="AY1266" i="8"/>
  <c r="AX1266" i="8"/>
  <c r="AW1266" i="8"/>
  <c r="AV1266" i="8"/>
  <c r="AU1266" i="8"/>
  <c r="BA1265" i="8"/>
  <c r="AZ1265" i="8"/>
  <c r="AY1265" i="8"/>
  <c r="AX1265" i="8"/>
  <c r="AW1265" i="8"/>
  <c r="AV1265" i="8"/>
  <c r="AU1265" i="8"/>
  <c r="BA1264" i="8"/>
  <c r="AZ1264" i="8"/>
  <c r="AY1264" i="8"/>
  <c r="AX1264" i="8"/>
  <c r="AW1264" i="8"/>
  <c r="AV1264" i="8"/>
  <c r="AU1264" i="8"/>
  <c r="BA1263" i="8"/>
  <c r="AZ1263" i="8"/>
  <c r="AY1263" i="8"/>
  <c r="AX1263" i="8"/>
  <c r="AW1263" i="8"/>
  <c r="AV1263" i="8"/>
  <c r="AU1263" i="8"/>
  <c r="BA1262" i="8"/>
  <c r="AZ1262" i="8"/>
  <c r="AY1262" i="8"/>
  <c r="AX1262" i="8"/>
  <c r="AW1262" i="8"/>
  <c r="AV1262" i="8"/>
  <c r="AU1262" i="8"/>
  <c r="BA1261" i="8"/>
  <c r="AZ1261" i="8"/>
  <c r="AY1261" i="8"/>
  <c r="AX1261" i="8"/>
  <c r="AW1261" i="8"/>
  <c r="AV1261" i="8"/>
  <c r="AU1261" i="8"/>
  <c r="BA1260" i="8"/>
  <c r="AZ1260" i="8"/>
  <c r="AY1260" i="8"/>
  <c r="AX1260" i="8"/>
  <c r="AW1260" i="8"/>
  <c r="AV1260" i="8"/>
  <c r="AU1260" i="8"/>
  <c r="BA1259" i="8"/>
  <c r="AZ1259" i="8"/>
  <c r="AY1259" i="8"/>
  <c r="AX1259" i="8"/>
  <c r="AW1259" i="8"/>
  <c r="AV1259" i="8"/>
  <c r="AU1259" i="8"/>
  <c r="BA1258" i="8"/>
  <c r="AZ1258" i="8"/>
  <c r="AY1258" i="8"/>
  <c r="AX1258" i="8"/>
  <c r="AW1258" i="8"/>
  <c r="AV1258" i="8"/>
  <c r="AU1258" i="8"/>
  <c r="BA1257" i="8"/>
  <c r="AZ1257" i="8"/>
  <c r="AY1257" i="8"/>
  <c r="AX1257" i="8"/>
  <c r="AW1257" i="8"/>
  <c r="AV1257" i="8"/>
  <c r="AU1257" i="8"/>
  <c r="BA1256" i="8"/>
  <c r="AZ1256" i="8"/>
  <c r="AY1256" i="8"/>
  <c r="AX1256" i="8"/>
  <c r="AW1256" i="8"/>
  <c r="AV1256" i="8"/>
  <c r="AU1256" i="8"/>
  <c r="BA1255" i="8"/>
  <c r="AZ1255" i="8"/>
  <c r="AY1255" i="8"/>
  <c r="AX1255" i="8"/>
  <c r="AW1255" i="8"/>
  <c r="AV1255" i="8"/>
  <c r="AU1255" i="8"/>
  <c r="BA1254" i="8"/>
  <c r="AZ1254" i="8"/>
  <c r="AY1254" i="8"/>
  <c r="AX1254" i="8"/>
  <c r="AW1254" i="8"/>
  <c r="AV1254" i="8"/>
  <c r="AU1254" i="8"/>
  <c r="BA1253" i="8"/>
  <c r="AZ1253" i="8"/>
  <c r="AY1253" i="8"/>
  <c r="AX1253" i="8"/>
  <c r="AW1253" i="8"/>
  <c r="AV1253" i="8"/>
  <c r="AU1253" i="8"/>
  <c r="BA1252" i="8"/>
  <c r="AZ1252" i="8"/>
  <c r="AY1252" i="8"/>
  <c r="AX1252" i="8"/>
  <c r="AW1252" i="8"/>
  <c r="AV1252" i="8"/>
  <c r="AU1252" i="8"/>
  <c r="BA1251" i="8"/>
  <c r="AZ1251" i="8"/>
  <c r="AY1251" i="8"/>
  <c r="AX1251" i="8"/>
  <c r="AW1251" i="8"/>
  <c r="AV1251" i="8"/>
  <c r="AU1251" i="8"/>
  <c r="K190" i="15"/>
  <c r="K189" i="15"/>
  <c r="K199" i="15"/>
  <c r="K198" i="15"/>
  <c r="K197" i="15"/>
  <c r="L1" i="2" l="1" a="1"/>
  <c r="L1" i="2"/>
  <c r="I31" i="2"/>
  <c r="U493" i="8" l="1"/>
  <c r="AU493" i="8"/>
  <c r="AV493" i="8"/>
  <c r="AW493" i="8"/>
  <c r="AX493" i="8"/>
  <c r="AY493" i="8"/>
  <c r="AZ493" i="8"/>
  <c r="BA493" i="8"/>
  <c r="I32" i="2"/>
  <c r="BA590" i="8" l="1"/>
  <c r="AZ590" i="8"/>
  <c r="AY590" i="8"/>
  <c r="AX590" i="8"/>
  <c r="AW590" i="8"/>
  <c r="AU590" i="8"/>
  <c r="U590" i="8"/>
  <c r="AV590" i="8" s="1"/>
  <c r="BA589" i="8"/>
  <c r="AZ589" i="8"/>
  <c r="AY589" i="8"/>
  <c r="AX589" i="8"/>
  <c r="AW589" i="8"/>
  <c r="AU589" i="8"/>
  <c r="U589" i="8"/>
  <c r="AV589" i="8" s="1"/>
  <c r="BA588" i="8"/>
  <c r="AZ588" i="8"/>
  <c r="AY588" i="8"/>
  <c r="AX588" i="8"/>
  <c r="AW588" i="8"/>
  <c r="AV588" i="8"/>
  <c r="AU588" i="8"/>
  <c r="BA587" i="8"/>
  <c r="AZ587" i="8"/>
  <c r="AY587" i="8"/>
  <c r="AX587" i="8"/>
  <c r="AW587" i="8"/>
  <c r="AV587" i="8"/>
  <c r="AU587" i="8"/>
  <c r="BA560" i="8"/>
  <c r="AZ560" i="8"/>
  <c r="AY560" i="8"/>
  <c r="AX560" i="8"/>
  <c r="AW560" i="8"/>
  <c r="AU560" i="8"/>
  <c r="U560" i="8"/>
  <c r="AV560" i="8" s="1"/>
  <c r="BA559" i="8"/>
  <c r="AZ559" i="8"/>
  <c r="AY559" i="8"/>
  <c r="AX559" i="8"/>
  <c r="AW559" i="8"/>
  <c r="AU559" i="8"/>
  <c r="U559" i="8"/>
  <c r="AV559" i="8" s="1"/>
  <c r="BA558" i="8"/>
  <c r="AZ558" i="8"/>
  <c r="AY558" i="8"/>
  <c r="AX558" i="8"/>
  <c r="AW558" i="8"/>
  <c r="AU558" i="8"/>
  <c r="U558" i="8"/>
  <c r="AV558" i="8" s="1"/>
  <c r="BA557" i="8"/>
  <c r="AZ557" i="8"/>
  <c r="AY557" i="8"/>
  <c r="AX557" i="8"/>
  <c r="AW557" i="8"/>
  <c r="AV557" i="8"/>
  <c r="AU557" i="8"/>
  <c r="BA556" i="8"/>
  <c r="AZ556" i="8"/>
  <c r="AY556" i="8"/>
  <c r="AX556" i="8"/>
  <c r="AW556" i="8"/>
  <c r="AV556" i="8"/>
  <c r="AU556" i="8"/>
  <c r="BA555" i="8"/>
  <c r="AZ555" i="8"/>
  <c r="AY555" i="8"/>
  <c r="AX555" i="8"/>
  <c r="AW555" i="8"/>
  <c r="AV555" i="8"/>
  <c r="AU555" i="8"/>
  <c r="BA518" i="8"/>
  <c r="AZ518" i="8"/>
  <c r="AY518" i="8"/>
  <c r="AX518" i="8"/>
  <c r="AW518" i="8"/>
  <c r="AU518" i="8"/>
  <c r="U518" i="8"/>
  <c r="AV518" i="8" s="1"/>
  <c r="BA517" i="8"/>
  <c r="AZ517" i="8"/>
  <c r="AY517" i="8"/>
  <c r="AX517" i="8"/>
  <c r="AW517" i="8"/>
  <c r="AU517" i="8"/>
  <c r="U517" i="8"/>
  <c r="AV517" i="8" s="1"/>
  <c r="BA516" i="8"/>
  <c r="AZ516" i="8"/>
  <c r="AY516" i="8"/>
  <c r="AX516" i="8"/>
  <c r="AW516" i="8"/>
  <c r="AU516" i="8"/>
  <c r="U516" i="8"/>
  <c r="AV516" i="8" s="1"/>
  <c r="BA515" i="8"/>
  <c r="AZ515" i="8"/>
  <c r="AY515" i="8"/>
  <c r="AX515" i="8"/>
  <c r="AW515" i="8"/>
  <c r="AU515" i="8"/>
  <c r="U515" i="8"/>
  <c r="AV515" i="8" s="1"/>
  <c r="BA514" i="8"/>
  <c r="AZ514" i="8"/>
  <c r="AY514" i="8"/>
  <c r="AX514" i="8"/>
  <c r="AW514" i="8"/>
  <c r="AV514" i="8"/>
  <c r="AU514" i="8"/>
  <c r="BA513" i="8"/>
  <c r="AZ513" i="8"/>
  <c r="AY513" i="8"/>
  <c r="AX513" i="8"/>
  <c r="AW513" i="8"/>
  <c r="AV513" i="8"/>
  <c r="AU513" i="8"/>
  <c r="BA512" i="8"/>
  <c r="AZ512" i="8"/>
  <c r="AY512" i="8"/>
  <c r="AX512" i="8"/>
  <c r="AW512" i="8"/>
  <c r="AV512" i="8"/>
  <c r="AU512" i="8"/>
  <c r="BA511" i="8"/>
  <c r="AZ511" i="8"/>
  <c r="AY511" i="8"/>
  <c r="AX511" i="8"/>
  <c r="AW511" i="8"/>
  <c r="AV511" i="8"/>
  <c r="AU511" i="8"/>
  <c r="BA458" i="8"/>
  <c r="AZ458" i="8"/>
  <c r="AY458" i="8"/>
  <c r="AX458" i="8"/>
  <c r="AW458" i="8"/>
  <c r="AU458" i="8"/>
  <c r="U458" i="8"/>
  <c r="AV458" i="8" s="1"/>
  <c r="BA457" i="8"/>
  <c r="AZ457" i="8"/>
  <c r="AY457" i="8"/>
  <c r="AX457" i="8"/>
  <c r="AW457" i="8"/>
  <c r="AU457" i="8"/>
  <c r="U457" i="8"/>
  <c r="AV457" i="8" s="1"/>
  <c r="BA456" i="8"/>
  <c r="AZ456" i="8"/>
  <c r="AY456" i="8"/>
  <c r="AX456" i="8"/>
  <c r="AW456" i="8"/>
  <c r="AU456" i="8"/>
  <c r="U456" i="8"/>
  <c r="AV456" i="8" s="1"/>
  <c r="BA455" i="8"/>
  <c r="AZ455" i="8"/>
  <c r="AY455" i="8"/>
  <c r="AX455" i="8"/>
  <c r="AW455" i="8"/>
  <c r="AU455" i="8"/>
  <c r="U455" i="8"/>
  <c r="AV455" i="8" s="1"/>
  <c r="BA454" i="8"/>
  <c r="AZ454" i="8"/>
  <c r="AY454" i="8"/>
  <c r="AX454" i="8"/>
  <c r="AW454" i="8"/>
  <c r="AU454" i="8"/>
  <c r="U454" i="8"/>
  <c r="AV454" i="8" s="1"/>
  <c r="BA453" i="8"/>
  <c r="AZ453" i="8"/>
  <c r="AY453" i="8"/>
  <c r="AX453" i="8"/>
  <c r="AW453" i="8"/>
  <c r="AU453" i="8"/>
  <c r="U453" i="8"/>
  <c r="AV453" i="8" s="1"/>
  <c r="BA452" i="8"/>
  <c r="AZ452" i="8"/>
  <c r="AY452" i="8"/>
  <c r="AX452" i="8"/>
  <c r="AW452" i="8"/>
  <c r="AV452" i="8"/>
  <c r="AU452" i="8"/>
  <c r="BA451" i="8"/>
  <c r="AZ451" i="8"/>
  <c r="AY451" i="8"/>
  <c r="AX451" i="8"/>
  <c r="AW451" i="8"/>
  <c r="AV451" i="8"/>
  <c r="AU451" i="8"/>
  <c r="BA450" i="8"/>
  <c r="AZ450" i="8"/>
  <c r="AY450" i="8"/>
  <c r="AX450" i="8"/>
  <c r="AW450" i="8"/>
  <c r="AV450" i="8"/>
  <c r="AU450" i="8"/>
  <c r="BA449" i="8"/>
  <c r="AZ449" i="8"/>
  <c r="AY449" i="8"/>
  <c r="AX449" i="8"/>
  <c r="AW449" i="8"/>
  <c r="AV449" i="8"/>
  <c r="AU449" i="8"/>
  <c r="BA448" i="8"/>
  <c r="AZ448" i="8"/>
  <c r="AY448" i="8"/>
  <c r="AX448" i="8"/>
  <c r="AW448" i="8"/>
  <c r="AV448" i="8"/>
  <c r="AU448" i="8"/>
  <c r="BA447" i="8"/>
  <c r="AZ447" i="8"/>
  <c r="AY447" i="8"/>
  <c r="AX447" i="8"/>
  <c r="AW447" i="8"/>
  <c r="AV447" i="8"/>
  <c r="AU447" i="8"/>
  <c r="BA384" i="8"/>
  <c r="AZ384" i="8"/>
  <c r="AY384" i="8"/>
  <c r="AX384" i="8"/>
  <c r="AW384" i="8"/>
  <c r="AU384" i="8"/>
  <c r="U384" i="8"/>
  <c r="AV384" i="8" s="1"/>
  <c r="BA383" i="8"/>
  <c r="AZ383" i="8"/>
  <c r="AY383" i="8"/>
  <c r="AX383" i="8"/>
  <c r="AW383" i="8"/>
  <c r="AU383" i="8"/>
  <c r="U383" i="8"/>
  <c r="AV383" i="8" s="1"/>
  <c r="BA382" i="8"/>
  <c r="AZ382" i="8"/>
  <c r="AY382" i="8"/>
  <c r="AX382" i="8"/>
  <c r="AW382" i="8"/>
  <c r="AU382" i="8"/>
  <c r="U382" i="8"/>
  <c r="AV382" i="8" s="1"/>
  <c r="BA381" i="8"/>
  <c r="AZ381" i="8"/>
  <c r="AY381" i="8"/>
  <c r="AX381" i="8"/>
  <c r="AW381" i="8"/>
  <c r="AU381" i="8"/>
  <c r="U381" i="8"/>
  <c r="AV381" i="8" s="1"/>
  <c r="BA380" i="8"/>
  <c r="AZ380" i="8"/>
  <c r="AY380" i="8"/>
  <c r="AX380" i="8"/>
  <c r="AW380" i="8"/>
  <c r="AU380" i="8"/>
  <c r="U380" i="8"/>
  <c r="AV380" i="8" s="1"/>
  <c r="BA379" i="8"/>
  <c r="AZ379" i="8"/>
  <c r="AY379" i="8"/>
  <c r="AX379" i="8"/>
  <c r="AW379" i="8"/>
  <c r="AU379" i="8"/>
  <c r="U379" i="8"/>
  <c r="AV379" i="8" s="1"/>
  <c r="BA378" i="8"/>
  <c r="AZ378" i="8"/>
  <c r="AY378" i="8"/>
  <c r="AX378" i="8"/>
  <c r="AW378" i="8"/>
  <c r="AV378" i="8"/>
  <c r="AU378" i="8"/>
  <c r="BA377" i="8"/>
  <c r="AZ377" i="8"/>
  <c r="AY377" i="8"/>
  <c r="AX377" i="8"/>
  <c r="AW377" i="8"/>
  <c r="AV377" i="8"/>
  <c r="AU377" i="8"/>
  <c r="BA376" i="8"/>
  <c r="AZ376" i="8"/>
  <c r="AY376" i="8"/>
  <c r="AX376" i="8"/>
  <c r="AW376" i="8"/>
  <c r="AV376" i="8"/>
  <c r="AU376" i="8"/>
  <c r="BA375" i="8"/>
  <c r="AZ375" i="8"/>
  <c r="AY375" i="8"/>
  <c r="AX375" i="8"/>
  <c r="AW375" i="8"/>
  <c r="AV375" i="8"/>
  <c r="AU375" i="8"/>
  <c r="BA374" i="8"/>
  <c r="AZ374" i="8"/>
  <c r="AY374" i="8"/>
  <c r="AX374" i="8"/>
  <c r="AW374" i="8"/>
  <c r="AV374" i="8"/>
  <c r="AU374" i="8"/>
  <c r="BA373" i="8"/>
  <c r="AZ373" i="8"/>
  <c r="AY373" i="8"/>
  <c r="AX373" i="8"/>
  <c r="AW373" i="8"/>
  <c r="AV373" i="8"/>
  <c r="AU373" i="8"/>
  <c r="BA310" i="8"/>
  <c r="AZ310" i="8"/>
  <c r="AY310" i="8"/>
  <c r="AX310" i="8"/>
  <c r="AW310" i="8"/>
  <c r="AU310" i="8"/>
  <c r="U310" i="8"/>
  <c r="AV310" i="8" s="1"/>
  <c r="BA309" i="8"/>
  <c r="AZ309" i="8"/>
  <c r="AY309" i="8"/>
  <c r="AX309" i="8"/>
  <c r="AW309" i="8"/>
  <c r="AU309" i="8"/>
  <c r="U309" i="8"/>
  <c r="AV309" i="8" s="1"/>
  <c r="BA308" i="8"/>
  <c r="AZ308" i="8"/>
  <c r="AY308" i="8"/>
  <c r="AX308" i="8"/>
  <c r="AW308" i="8"/>
  <c r="AU308" i="8"/>
  <c r="U308" i="8"/>
  <c r="AV308" i="8" s="1"/>
  <c r="BA307" i="8"/>
  <c r="AZ307" i="8"/>
  <c r="AY307" i="8"/>
  <c r="AX307" i="8"/>
  <c r="AW307" i="8"/>
  <c r="AU307" i="8"/>
  <c r="U307" i="8"/>
  <c r="AV307" i="8" s="1"/>
  <c r="BA306" i="8"/>
  <c r="AZ306" i="8"/>
  <c r="AY306" i="8"/>
  <c r="AX306" i="8"/>
  <c r="AW306" i="8"/>
  <c r="AU306" i="8"/>
  <c r="U306" i="8"/>
  <c r="AV306" i="8" s="1"/>
  <c r="BA305" i="8"/>
  <c r="AZ305" i="8"/>
  <c r="AY305" i="8"/>
  <c r="AX305" i="8"/>
  <c r="AW305" i="8"/>
  <c r="AU305" i="8"/>
  <c r="U305" i="8"/>
  <c r="AV305" i="8" s="1"/>
  <c r="BA304" i="8"/>
  <c r="AZ304" i="8"/>
  <c r="AY304" i="8"/>
  <c r="AX304" i="8"/>
  <c r="AW304" i="8"/>
  <c r="AV304" i="8"/>
  <c r="AU304" i="8"/>
  <c r="BA303" i="8"/>
  <c r="AZ303" i="8"/>
  <c r="AY303" i="8"/>
  <c r="AX303" i="8"/>
  <c r="AW303" i="8"/>
  <c r="AV303" i="8"/>
  <c r="AU303" i="8"/>
  <c r="BA302" i="8"/>
  <c r="AZ302" i="8"/>
  <c r="AY302" i="8"/>
  <c r="AX302" i="8"/>
  <c r="AW302" i="8"/>
  <c r="AV302" i="8"/>
  <c r="AU302" i="8"/>
  <c r="BA301" i="8"/>
  <c r="AZ301" i="8"/>
  <c r="AY301" i="8"/>
  <c r="AX301" i="8"/>
  <c r="AW301" i="8"/>
  <c r="AV301" i="8"/>
  <c r="AU301" i="8"/>
  <c r="BA300" i="8"/>
  <c r="AZ300" i="8"/>
  <c r="AY300" i="8"/>
  <c r="AX300" i="8"/>
  <c r="AW300" i="8"/>
  <c r="AV300" i="8"/>
  <c r="AU300" i="8"/>
  <c r="BA299" i="8"/>
  <c r="AZ299" i="8"/>
  <c r="AY299" i="8"/>
  <c r="AX299" i="8"/>
  <c r="AW299" i="8"/>
  <c r="AV299" i="8"/>
  <c r="AU299" i="8"/>
  <c r="D48" i="15"/>
  <c r="D45" i="15"/>
  <c r="BA869" i="8"/>
  <c r="AZ869" i="8"/>
  <c r="AY869" i="8"/>
  <c r="AX869" i="8"/>
  <c r="AW869" i="8"/>
  <c r="AU869" i="8"/>
  <c r="U869" i="8"/>
  <c r="AV869" i="8" s="1"/>
  <c r="BA868" i="8"/>
  <c r="AZ868" i="8"/>
  <c r="AY868" i="8"/>
  <c r="AX868" i="8"/>
  <c r="AW868" i="8"/>
  <c r="AU868" i="8"/>
  <c r="U868" i="8"/>
  <c r="AV868" i="8" s="1"/>
  <c r="BA867" i="8"/>
  <c r="AZ867" i="8"/>
  <c r="AY867" i="8"/>
  <c r="AX867" i="8"/>
  <c r="AW867" i="8"/>
  <c r="AU867" i="8"/>
  <c r="U867" i="8"/>
  <c r="AV867" i="8" s="1"/>
  <c r="BA866" i="8"/>
  <c r="AZ866" i="8"/>
  <c r="AY866" i="8"/>
  <c r="AX866" i="8"/>
  <c r="AW866" i="8"/>
  <c r="AU866" i="8"/>
  <c r="U866" i="8"/>
  <c r="AV866" i="8" s="1"/>
  <c r="BA845" i="8"/>
  <c r="AZ845" i="8"/>
  <c r="AY845" i="8"/>
  <c r="AX845" i="8"/>
  <c r="AW845" i="8"/>
  <c r="AU845" i="8"/>
  <c r="U845" i="8"/>
  <c r="AV845" i="8" s="1"/>
  <c r="BA844" i="8"/>
  <c r="AZ844" i="8"/>
  <c r="AY844" i="8"/>
  <c r="AX844" i="8"/>
  <c r="AW844" i="8"/>
  <c r="AU844" i="8"/>
  <c r="U844" i="8"/>
  <c r="AV844" i="8" s="1"/>
  <c r="BA843" i="8"/>
  <c r="AZ843" i="8"/>
  <c r="AY843" i="8"/>
  <c r="AX843" i="8"/>
  <c r="AW843" i="8"/>
  <c r="AU843" i="8"/>
  <c r="U843" i="8"/>
  <c r="AV843" i="8" s="1"/>
  <c r="BA842" i="8"/>
  <c r="AZ842" i="8"/>
  <c r="AY842" i="8"/>
  <c r="AX842" i="8"/>
  <c r="AW842" i="8"/>
  <c r="AU842" i="8"/>
  <c r="U842" i="8"/>
  <c r="AV842" i="8" s="1"/>
  <c r="BA809" i="8"/>
  <c r="AZ809" i="8"/>
  <c r="AY809" i="8"/>
  <c r="AX809" i="8"/>
  <c r="AW809" i="8"/>
  <c r="AU809" i="8"/>
  <c r="U809" i="8"/>
  <c r="AV809" i="8" s="1"/>
  <c r="BA808" i="8"/>
  <c r="AZ808" i="8"/>
  <c r="AY808" i="8"/>
  <c r="AX808" i="8"/>
  <c r="AW808" i="8"/>
  <c r="AU808" i="8"/>
  <c r="U808" i="8"/>
  <c r="AV808" i="8" s="1"/>
  <c r="BA807" i="8"/>
  <c r="AZ807" i="8"/>
  <c r="AY807" i="8"/>
  <c r="AX807" i="8"/>
  <c r="AW807" i="8"/>
  <c r="AU807" i="8"/>
  <c r="U807" i="8"/>
  <c r="AV807" i="8" s="1"/>
  <c r="BA806" i="8"/>
  <c r="AZ806" i="8"/>
  <c r="AY806" i="8"/>
  <c r="AX806" i="8"/>
  <c r="AW806" i="8"/>
  <c r="AU806" i="8"/>
  <c r="U806" i="8"/>
  <c r="AV806" i="8" s="1"/>
  <c r="BA805" i="8"/>
  <c r="AZ805" i="8"/>
  <c r="AY805" i="8"/>
  <c r="AX805" i="8"/>
  <c r="AW805" i="8"/>
  <c r="AU805" i="8"/>
  <c r="U805" i="8"/>
  <c r="AV805" i="8" s="1"/>
  <c r="BA804" i="8"/>
  <c r="AZ804" i="8"/>
  <c r="AY804" i="8"/>
  <c r="AX804" i="8"/>
  <c r="AW804" i="8"/>
  <c r="AU804" i="8"/>
  <c r="U804" i="8"/>
  <c r="AV804" i="8" s="1"/>
  <c r="BA803" i="8"/>
  <c r="AZ803" i="8"/>
  <c r="AY803" i="8"/>
  <c r="AX803" i="8"/>
  <c r="AW803" i="8"/>
  <c r="AU803" i="8"/>
  <c r="U803" i="8"/>
  <c r="AV803" i="8" s="1"/>
  <c r="BA802" i="8"/>
  <c r="AZ802" i="8"/>
  <c r="AY802" i="8"/>
  <c r="AX802" i="8"/>
  <c r="AW802" i="8"/>
  <c r="AU802" i="8"/>
  <c r="U802" i="8"/>
  <c r="AV802" i="8" s="1"/>
  <c r="BA777" i="8"/>
  <c r="AZ777" i="8"/>
  <c r="AY777" i="8"/>
  <c r="AX777" i="8"/>
  <c r="AW777" i="8"/>
  <c r="AU777" i="8"/>
  <c r="U777" i="8"/>
  <c r="AV777" i="8" s="1"/>
  <c r="BA776" i="8"/>
  <c r="AZ776" i="8"/>
  <c r="AY776" i="8"/>
  <c r="AX776" i="8"/>
  <c r="AW776" i="8"/>
  <c r="AU776" i="8"/>
  <c r="U776" i="8"/>
  <c r="AV776" i="8" s="1"/>
  <c r="BA775" i="8"/>
  <c r="AZ775" i="8"/>
  <c r="AY775" i="8"/>
  <c r="AX775" i="8"/>
  <c r="AW775" i="8"/>
  <c r="AU775" i="8"/>
  <c r="U775" i="8"/>
  <c r="AV775" i="8" s="1"/>
  <c r="BA774" i="8"/>
  <c r="AZ774" i="8"/>
  <c r="AY774" i="8"/>
  <c r="AX774" i="8"/>
  <c r="AW774" i="8"/>
  <c r="AU774" i="8"/>
  <c r="U774" i="8"/>
  <c r="AV774" i="8" s="1"/>
  <c r="BA757" i="8"/>
  <c r="AZ757" i="8"/>
  <c r="AY757" i="8"/>
  <c r="AX757" i="8"/>
  <c r="AW757" i="8"/>
  <c r="AU757" i="8"/>
  <c r="U757" i="8"/>
  <c r="AV757" i="8" s="1"/>
  <c r="BA756" i="8"/>
  <c r="AZ756" i="8"/>
  <c r="AY756" i="8"/>
  <c r="AX756" i="8"/>
  <c r="AW756" i="8"/>
  <c r="AU756" i="8"/>
  <c r="U756" i="8"/>
  <c r="AV756" i="8" s="1"/>
  <c r="BA755" i="8"/>
  <c r="AZ755" i="8"/>
  <c r="AY755" i="8"/>
  <c r="AX755" i="8"/>
  <c r="AW755" i="8"/>
  <c r="AU755" i="8"/>
  <c r="U755" i="8"/>
  <c r="AV755" i="8" s="1"/>
  <c r="BA754" i="8"/>
  <c r="AZ754" i="8"/>
  <c r="AY754" i="8"/>
  <c r="AX754" i="8"/>
  <c r="AW754" i="8"/>
  <c r="AU754" i="8"/>
  <c r="U754" i="8"/>
  <c r="AV754" i="8" s="1"/>
  <c r="BA737" i="8"/>
  <c r="AZ737" i="8"/>
  <c r="AY737" i="8"/>
  <c r="AX737" i="8"/>
  <c r="AW737" i="8"/>
  <c r="AU737" i="8"/>
  <c r="U737" i="8"/>
  <c r="AV737" i="8" s="1"/>
  <c r="BA736" i="8"/>
  <c r="AZ736" i="8"/>
  <c r="AY736" i="8"/>
  <c r="AX736" i="8"/>
  <c r="AW736" i="8"/>
  <c r="AU736" i="8"/>
  <c r="U736" i="8"/>
  <c r="AV736" i="8" s="1"/>
  <c r="BA735" i="8"/>
  <c r="AZ735" i="8"/>
  <c r="AY735" i="8"/>
  <c r="AX735" i="8"/>
  <c r="AW735" i="8"/>
  <c r="AU735" i="8"/>
  <c r="U735" i="8"/>
  <c r="AV735" i="8" s="1"/>
  <c r="BA734" i="8"/>
  <c r="AZ734" i="8"/>
  <c r="AY734" i="8"/>
  <c r="AX734" i="8"/>
  <c r="AW734" i="8"/>
  <c r="AU734" i="8"/>
  <c r="U734" i="8"/>
  <c r="AV734" i="8" s="1"/>
  <c r="BA717" i="8"/>
  <c r="AZ717" i="8"/>
  <c r="AY717" i="8"/>
  <c r="AX717" i="8"/>
  <c r="AW717" i="8"/>
  <c r="AU717" i="8"/>
  <c r="U717" i="8"/>
  <c r="AV717" i="8" s="1"/>
  <c r="BA716" i="8"/>
  <c r="AZ716" i="8"/>
  <c r="AY716" i="8"/>
  <c r="AX716" i="8"/>
  <c r="AW716" i="8"/>
  <c r="AU716" i="8"/>
  <c r="U716" i="8"/>
  <c r="AV716" i="8" s="1"/>
  <c r="BA715" i="8"/>
  <c r="AZ715" i="8"/>
  <c r="AY715" i="8"/>
  <c r="AX715" i="8"/>
  <c r="AW715" i="8"/>
  <c r="AU715" i="8"/>
  <c r="U715" i="8"/>
  <c r="AV715" i="8" s="1"/>
  <c r="BA714" i="8"/>
  <c r="AZ714" i="8"/>
  <c r="AY714" i="8"/>
  <c r="AX714" i="8"/>
  <c r="AW714" i="8"/>
  <c r="AU714" i="8"/>
  <c r="U714" i="8"/>
  <c r="AV714" i="8" s="1"/>
  <c r="BA689" i="8"/>
  <c r="AZ689" i="8"/>
  <c r="AY689" i="8"/>
  <c r="AX689" i="8"/>
  <c r="AW689" i="8"/>
  <c r="AU689" i="8"/>
  <c r="U689" i="8"/>
  <c r="AV689" i="8" s="1"/>
  <c r="BA688" i="8"/>
  <c r="AZ688" i="8"/>
  <c r="AY688" i="8"/>
  <c r="AX688" i="8"/>
  <c r="AW688" i="8"/>
  <c r="AU688" i="8"/>
  <c r="U688" i="8"/>
  <c r="AV688" i="8" s="1"/>
  <c r="BA687" i="8"/>
  <c r="AZ687" i="8"/>
  <c r="AY687" i="8"/>
  <c r="AX687" i="8"/>
  <c r="AW687" i="8"/>
  <c r="AU687" i="8"/>
  <c r="U687" i="8"/>
  <c r="AV687" i="8" s="1"/>
  <c r="BA686" i="8"/>
  <c r="AZ686" i="8"/>
  <c r="AY686" i="8"/>
  <c r="AX686" i="8"/>
  <c r="AW686" i="8"/>
  <c r="AU686" i="8"/>
  <c r="U686" i="8"/>
  <c r="AV686" i="8" s="1"/>
  <c r="BA685" i="8"/>
  <c r="AZ685" i="8"/>
  <c r="AY685" i="8"/>
  <c r="AX685" i="8"/>
  <c r="AW685" i="8"/>
  <c r="AU685" i="8"/>
  <c r="U685" i="8"/>
  <c r="AV685" i="8" s="1"/>
  <c r="BA684" i="8"/>
  <c r="AZ684" i="8"/>
  <c r="AY684" i="8"/>
  <c r="AX684" i="8"/>
  <c r="AW684" i="8"/>
  <c r="AU684" i="8"/>
  <c r="U684" i="8"/>
  <c r="AV684" i="8" s="1"/>
  <c r="BA683" i="8"/>
  <c r="AZ683" i="8"/>
  <c r="AY683" i="8"/>
  <c r="AX683" i="8"/>
  <c r="AW683" i="8"/>
  <c r="AU683" i="8"/>
  <c r="U683" i="8"/>
  <c r="AV683" i="8" s="1"/>
  <c r="BA682" i="8"/>
  <c r="AZ682" i="8"/>
  <c r="AY682" i="8"/>
  <c r="AX682" i="8"/>
  <c r="AW682" i="8"/>
  <c r="AU682" i="8"/>
  <c r="U682" i="8"/>
  <c r="AV682" i="8" s="1"/>
  <c r="BA649" i="8"/>
  <c r="AZ649" i="8"/>
  <c r="AY649" i="8"/>
  <c r="AX649" i="8"/>
  <c r="AW649" i="8"/>
  <c r="AU649" i="8"/>
  <c r="U649" i="8"/>
  <c r="AV649" i="8" s="1"/>
  <c r="BA648" i="8"/>
  <c r="AZ648" i="8"/>
  <c r="AY648" i="8"/>
  <c r="AX648" i="8"/>
  <c r="AW648" i="8"/>
  <c r="AU648" i="8"/>
  <c r="U648" i="8"/>
  <c r="AV648" i="8" s="1"/>
  <c r="BA647" i="8"/>
  <c r="AZ647" i="8"/>
  <c r="AY647" i="8"/>
  <c r="AX647" i="8"/>
  <c r="AW647" i="8"/>
  <c r="AU647" i="8"/>
  <c r="U647" i="8"/>
  <c r="AV647" i="8" s="1"/>
  <c r="BA646" i="8"/>
  <c r="AZ646" i="8"/>
  <c r="AY646" i="8"/>
  <c r="AX646" i="8"/>
  <c r="AW646" i="8"/>
  <c r="AU646" i="8"/>
  <c r="U646" i="8"/>
  <c r="AV646" i="8" s="1"/>
  <c r="BA645" i="8"/>
  <c r="AZ645" i="8"/>
  <c r="AY645" i="8"/>
  <c r="AX645" i="8"/>
  <c r="AW645" i="8"/>
  <c r="AU645" i="8"/>
  <c r="U645" i="8"/>
  <c r="AV645" i="8" s="1"/>
  <c r="BA644" i="8"/>
  <c r="AZ644" i="8"/>
  <c r="AY644" i="8"/>
  <c r="AX644" i="8"/>
  <c r="AW644" i="8"/>
  <c r="AU644" i="8"/>
  <c r="U644" i="8"/>
  <c r="AV644" i="8" s="1"/>
  <c r="BA643" i="8"/>
  <c r="AZ643" i="8"/>
  <c r="AY643" i="8"/>
  <c r="AX643" i="8"/>
  <c r="AW643" i="8"/>
  <c r="AU643" i="8"/>
  <c r="U643" i="8"/>
  <c r="AV643" i="8" s="1"/>
  <c r="BA642" i="8"/>
  <c r="AZ642" i="8"/>
  <c r="AY642" i="8"/>
  <c r="AX642" i="8"/>
  <c r="AW642" i="8"/>
  <c r="AU642" i="8"/>
  <c r="U642" i="8"/>
  <c r="AV642" i="8" s="1"/>
  <c r="E18" i="5" l="1" a="1"/>
  <c r="E18" i="5" s="1"/>
  <c r="D18" i="5" a="1"/>
  <c r="D18" i="5" s="1"/>
  <c r="E17" i="5" a="1"/>
  <c r="E17" i="5" s="1"/>
  <c r="D17" i="5" a="1"/>
  <c r="D17" i="5" s="1"/>
  <c r="E16" i="5" a="1"/>
  <c r="E16" i="5" s="1"/>
  <c r="D16" i="5" a="1"/>
  <c r="D16" i="5" s="1"/>
  <c r="E15" i="5" a="1"/>
  <c r="E15" i="5" s="1"/>
  <c r="D15" i="5" a="1"/>
  <c r="D15" i="5" s="1"/>
  <c r="E14" i="5" a="1"/>
  <c r="E14" i="5" s="1"/>
  <c r="D14" i="5" a="1"/>
  <c r="D14" i="5" s="1"/>
  <c r="E13" i="5" a="1"/>
  <c r="E13" i="5" s="1"/>
  <c r="D13" i="5" a="1"/>
  <c r="D13" i="5" s="1"/>
  <c r="E12" i="5" a="1"/>
  <c r="E12" i="5" s="1"/>
  <c r="D12" i="5" a="1"/>
  <c r="D12" i="5" s="1"/>
  <c r="E11" i="5" a="1"/>
  <c r="E11" i="5" s="1"/>
  <c r="D11" i="5" a="1"/>
  <c r="D11" i="5" s="1"/>
  <c r="E10" i="5" a="1"/>
  <c r="E10" i="5" s="1"/>
  <c r="D10" i="5" a="1"/>
  <c r="D10" i="5" s="1"/>
  <c r="E9" i="5" a="1"/>
  <c r="E9" i="5" s="1"/>
  <c r="D9" i="5" a="1"/>
  <c r="D9" i="5" s="1"/>
  <c r="E8" i="5" a="1"/>
  <c r="E8" i="5" s="1"/>
  <c r="D8" i="5" a="1"/>
  <c r="D8" i="5" s="1"/>
  <c r="E7" i="5" a="1"/>
  <c r="E7" i="5" s="1"/>
  <c r="D7" i="5" a="1"/>
  <c r="D7" i="5" s="1"/>
  <c r="E6" i="5" a="1"/>
  <c r="E6" i="5" s="1"/>
  <c r="D6" i="5" a="1"/>
  <c r="D6" i="5" s="1"/>
  <c r="E5" i="5" a="1"/>
  <c r="E5" i="5" s="1"/>
  <c r="D5" i="5" a="1"/>
  <c r="D5" i="5" s="1"/>
  <c r="E4" i="5" a="1"/>
  <c r="E4" i="5" s="1"/>
  <c r="D4" i="5" a="1"/>
  <c r="D4" i="5" s="1"/>
  <c r="T344" i="1" l="1" a="1"/>
  <c r="T344" i="1"/>
  <c r="U344" i="1" a="1"/>
  <c r="U344" i="1"/>
  <c r="V344" i="1" a="1"/>
  <c r="V344" i="1"/>
  <c r="W344" i="1" a="1"/>
  <c r="W344" i="1"/>
  <c r="X344" i="1" a="1"/>
  <c r="X344" i="1"/>
  <c r="Y344" i="1" a="1"/>
  <c r="Y344" i="1"/>
  <c r="Z344" i="1" a="1"/>
  <c r="Z344" i="1"/>
  <c r="J2" i="1"/>
  <c r="C24" i="5" a="1"/>
  <c r="C24" i="5" s="1"/>
  <c r="T5" i="2"/>
  <c r="C21" i="5" a="1"/>
  <c r="C21" i="5" s="1"/>
  <c r="C20" i="5" a="1"/>
  <c r="C20" i="5" s="1"/>
  <c r="C18" i="5" a="1"/>
  <c r="C18" i="5" s="1"/>
  <c r="B261" i="15" s="1"/>
  <c r="C17" i="5" a="1"/>
  <c r="C17" i="5" s="1"/>
  <c r="C16" i="5" a="1"/>
  <c r="C16" i="5" s="1"/>
  <c r="B268" i="15" s="1"/>
  <c r="C15" i="5" a="1"/>
  <c r="C15" i="5" s="1"/>
  <c r="C14" i="5" a="1"/>
  <c r="C14" i="5" s="1"/>
  <c r="C13" i="5" a="1"/>
  <c r="C13" i="5" s="1"/>
  <c r="T13" i="2" s="1"/>
  <c r="C12" i="5" a="1"/>
  <c r="C12" i="5" s="1"/>
  <c r="T12" i="2" s="1"/>
  <c r="C11" i="5" a="1"/>
  <c r="C11" i="5" s="1"/>
  <c r="C10" i="5" a="1"/>
  <c r="C10" i="5" s="1"/>
  <c r="C9" i="5" a="1"/>
  <c r="C9" i="5" s="1"/>
  <c r="T9" i="2" s="1"/>
  <c r="C8" i="5" a="1"/>
  <c r="C8" i="5" s="1"/>
  <c r="C7" i="5" a="1"/>
  <c r="C7" i="5" s="1"/>
  <c r="C6" i="5" a="1"/>
  <c r="C6" i="5" s="1"/>
  <c r="C5" i="5" a="1"/>
  <c r="C5" i="5" s="1"/>
  <c r="C4" i="5" a="1"/>
  <c r="C4" i="5" s="1"/>
  <c r="B17" i="15" s="1"/>
  <c r="C1280" i="8" l="1"/>
  <c r="C1279" i="8"/>
  <c r="C1278" i="8"/>
  <c r="C1277" i="8"/>
  <c r="C1276" i="8"/>
  <c r="C1275" i="8"/>
  <c r="C1274" i="8"/>
  <c r="C1273" i="8"/>
  <c r="C1272" i="8"/>
  <c r="C1271" i="8"/>
  <c r="C1270" i="8"/>
  <c r="C1269" i="8"/>
  <c r="C1268" i="8"/>
  <c r="C1267" i="8"/>
  <c r="C1266" i="8"/>
  <c r="C1265" i="8"/>
  <c r="C1264" i="8"/>
  <c r="C1263" i="8"/>
  <c r="C1262" i="8"/>
  <c r="C1261" i="8"/>
  <c r="C1260" i="8"/>
  <c r="C1259" i="8"/>
  <c r="C1258" i="8"/>
  <c r="C1257" i="8"/>
  <c r="C1256" i="8"/>
  <c r="C1255" i="8"/>
  <c r="C1254" i="8"/>
  <c r="C1253" i="8"/>
  <c r="C1252" i="8"/>
  <c r="C1251" i="8"/>
  <c r="B84" i="15"/>
  <c r="B23" i="15"/>
  <c r="B22" i="15"/>
  <c r="B21" i="15"/>
  <c r="B20" i="15"/>
  <c r="B86" i="15"/>
  <c r="B85" i="15"/>
  <c r="B29" i="15"/>
  <c r="B28" i="15"/>
  <c r="B260" i="15"/>
  <c r="C493" i="8"/>
  <c r="T10" i="2"/>
  <c r="B199" i="15"/>
  <c r="B198" i="15"/>
  <c r="B197" i="15"/>
  <c r="T11" i="2"/>
  <c r="B190" i="15"/>
  <c r="B189" i="15"/>
  <c r="B46" i="15"/>
  <c r="B212" i="15"/>
  <c r="C590" i="8"/>
  <c r="C589" i="8"/>
  <c r="C588" i="8"/>
  <c r="C587" i="8"/>
  <c r="C560" i="8"/>
  <c r="C559" i="8"/>
  <c r="C558" i="8"/>
  <c r="C557" i="8"/>
  <c r="C556" i="8"/>
  <c r="C555" i="8"/>
  <c r="C518" i="8"/>
  <c r="C517" i="8"/>
  <c r="C516" i="8"/>
  <c r="C515" i="8"/>
  <c r="C514" i="8"/>
  <c r="C513" i="8"/>
  <c r="C512" i="8"/>
  <c r="C511" i="8"/>
  <c r="C458" i="8"/>
  <c r="C457" i="8"/>
  <c r="C456" i="8"/>
  <c r="C455" i="8"/>
  <c r="C454" i="8"/>
  <c r="C453" i="8"/>
  <c r="C452" i="8"/>
  <c r="C451" i="8"/>
  <c r="C450" i="8"/>
  <c r="C449" i="8"/>
  <c r="C448" i="8"/>
  <c r="C447" i="8"/>
  <c r="C384" i="8"/>
  <c r="C383" i="8"/>
  <c r="C382" i="8"/>
  <c r="C381" i="8"/>
  <c r="C380" i="8"/>
  <c r="C379" i="8"/>
  <c r="C378" i="8"/>
  <c r="C377" i="8"/>
  <c r="C376" i="8"/>
  <c r="C375" i="8"/>
  <c r="C374" i="8"/>
  <c r="C373" i="8"/>
  <c r="C310" i="8"/>
  <c r="C309" i="8"/>
  <c r="C308" i="8"/>
  <c r="C307" i="8"/>
  <c r="C306" i="8"/>
  <c r="C305" i="8"/>
  <c r="C304" i="8"/>
  <c r="C303" i="8"/>
  <c r="C302" i="8"/>
  <c r="C301" i="8"/>
  <c r="C300" i="8"/>
  <c r="C299" i="8"/>
  <c r="C777" i="8"/>
  <c r="C776" i="8"/>
  <c r="C775" i="8"/>
  <c r="C774" i="8"/>
  <c r="C757" i="8"/>
  <c r="C756" i="8"/>
  <c r="C755" i="8"/>
  <c r="C754" i="8"/>
  <c r="C737" i="8"/>
  <c r="C736" i="8"/>
  <c r="C735" i="8"/>
  <c r="C734" i="8"/>
  <c r="C717" i="8"/>
  <c r="C716" i="8"/>
  <c r="C715" i="8"/>
  <c r="C714" i="8"/>
  <c r="C689" i="8"/>
  <c r="C688" i="8"/>
  <c r="C687" i="8"/>
  <c r="C686" i="8"/>
  <c r="C685" i="8"/>
  <c r="C684" i="8"/>
  <c r="C683" i="8"/>
  <c r="C682" i="8"/>
  <c r="C649" i="8"/>
  <c r="C648" i="8"/>
  <c r="C647" i="8"/>
  <c r="C646" i="8"/>
  <c r="C645" i="8"/>
  <c r="C644" i="8"/>
  <c r="C643" i="8"/>
  <c r="C642" i="8"/>
  <c r="C869" i="8"/>
  <c r="C868" i="8"/>
  <c r="C867" i="8"/>
  <c r="C866" i="8"/>
  <c r="C845" i="8"/>
  <c r="C844" i="8"/>
  <c r="C843" i="8"/>
  <c r="C842" i="8"/>
  <c r="C809" i="8"/>
  <c r="C808" i="8"/>
  <c r="C807" i="8"/>
  <c r="C806" i="8"/>
  <c r="C805" i="8"/>
  <c r="C804" i="8"/>
  <c r="C803" i="8"/>
  <c r="C802" i="8"/>
  <c r="B37" i="15"/>
  <c r="B36" i="15"/>
  <c r="B40" i="15"/>
  <c r="B39" i="15"/>
  <c r="B38" i="15"/>
  <c r="O189" i="15" l="1"/>
  <c r="M189" i="15"/>
  <c r="O190" i="15"/>
  <c r="M190" i="15"/>
  <c r="O197" i="15"/>
  <c r="M197" i="15"/>
  <c r="O198" i="15"/>
  <c r="M198" i="15"/>
  <c r="O199" i="15"/>
  <c r="M199" i="15"/>
  <c r="AA902" i="1" a="1"/>
  <c r="AA902" i="1" s="1"/>
  <c r="AA901" i="1" a="1"/>
  <c r="AA901" i="1" s="1"/>
  <c r="AA900" i="1" a="1"/>
  <c r="AA900" i="1" s="1"/>
  <c r="AA899" i="1" a="1"/>
  <c r="AA899" i="1" s="1"/>
  <c r="AA898" i="1" a="1"/>
  <c r="AA898" i="1" s="1"/>
  <c r="AF101" i="2" l="1" a="1"/>
  <c r="AF101" i="2"/>
  <c r="AG105" i="2"/>
  <c r="AG106" i="2"/>
  <c r="AG107" i="2"/>
  <c r="AG108" i="2"/>
  <c r="AG110" i="2"/>
  <c r="AG111" i="2"/>
  <c r="U785" i="8"/>
  <c r="U784" i="8"/>
  <c r="U783" i="8"/>
  <c r="U782" i="8"/>
  <c r="U781" i="8"/>
  <c r="U780" i="8"/>
  <c r="U779" i="8"/>
  <c r="U778" i="8"/>
  <c r="U773" i="8"/>
  <c r="U772" i="8"/>
  <c r="U771" i="8"/>
  <c r="U770" i="8"/>
  <c r="U769" i="8"/>
  <c r="U768" i="8"/>
  <c r="U767" i="8"/>
  <c r="U766" i="8"/>
  <c r="U765" i="8"/>
  <c r="U764" i="8"/>
  <c r="U763" i="8"/>
  <c r="U762" i="8"/>
  <c r="U761" i="8"/>
  <c r="U760" i="8"/>
  <c r="U759" i="8"/>
  <c r="U758" i="8"/>
  <c r="U753" i="8"/>
  <c r="U752" i="8"/>
  <c r="U751" i="8"/>
  <c r="U750" i="8"/>
  <c r="U749" i="8"/>
  <c r="U748" i="8"/>
  <c r="U747" i="8"/>
  <c r="U746" i="8"/>
  <c r="U745" i="8"/>
  <c r="U744" i="8"/>
  <c r="U743" i="8"/>
  <c r="U742" i="8"/>
  <c r="U741" i="8"/>
  <c r="U740" i="8"/>
  <c r="U739" i="8"/>
  <c r="U738" i="8"/>
  <c r="U733" i="8"/>
  <c r="U732" i="8"/>
  <c r="U731" i="8"/>
  <c r="U730" i="8"/>
  <c r="U729" i="8"/>
  <c r="U728" i="8"/>
  <c r="U727" i="8"/>
  <c r="U726" i="8"/>
  <c r="U725" i="8"/>
  <c r="U724" i="8"/>
  <c r="U723" i="8"/>
  <c r="U722" i="8"/>
  <c r="U721" i="8"/>
  <c r="U720" i="8"/>
  <c r="U719" i="8"/>
  <c r="U718" i="8"/>
  <c r="U713" i="8"/>
  <c r="U712" i="8"/>
  <c r="U711" i="8"/>
  <c r="U710" i="8"/>
  <c r="U709" i="8"/>
  <c r="U708" i="8"/>
  <c r="U707" i="8"/>
  <c r="U706" i="8"/>
  <c r="U705" i="8"/>
  <c r="U704" i="8"/>
  <c r="U703" i="8"/>
  <c r="U702" i="8"/>
  <c r="U701" i="8"/>
  <c r="U700" i="8"/>
  <c r="U699" i="8"/>
  <c r="U698" i="8"/>
  <c r="U697" i="8"/>
  <c r="U696" i="8"/>
  <c r="U695" i="8"/>
  <c r="U694" i="8"/>
  <c r="U693" i="8"/>
  <c r="U692" i="8"/>
  <c r="U691" i="8"/>
  <c r="U690" i="8"/>
  <c r="U681" i="8"/>
  <c r="U680" i="8"/>
  <c r="U679" i="8"/>
  <c r="U678" i="8"/>
  <c r="U677" i="8"/>
  <c r="U676" i="8"/>
  <c r="U675" i="8"/>
  <c r="U674" i="8"/>
  <c r="U673" i="8"/>
  <c r="U672" i="8"/>
  <c r="U671" i="8"/>
  <c r="U670" i="8"/>
  <c r="U669" i="8"/>
  <c r="U668" i="8"/>
  <c r="U667" i="8"/>
  <c r="U666" i="8"/>
  <c r="U665" i="8"/>
  <c r="U664" i="8"/>
  <c r="U663" i="8"/>
  <c r="U662" i="8"/>
  <c r="U661" i="8"/>
  <c r="U660" i="8"/>
  <c r="U659" i="8"/>
  <c r="U658" i="8"/>
  <c r="U657" i="8"/>
  <c r="U656" i="8"/>
  <c r="U655" i="8"/>
  <c r="U654" i="8"/>
  <c r="U653" i="8"/>
  <c r="U652" i="8"/>
  <c r="U651" i="8"/>
  <c r="U650" i="8"/>
  <c r="U641" i="8"/>
  <c r="U640" i="8"/>
  <c r="U639" i="8"/>
  <c r="U638" i="8"/>
  <c r="U637" i="8"/>
  <c r="U636" i="8"/>
  <c r="U635" i="8"/>
  <c r="U634" i="8"/>
  <c r="U633" i="8"/>
  <c r="U632" i="8"/>
  <c r="U631" i="8"/>
  <c r="U630" i="8"/>
  <c r="U629" i="8"/>
  <c r="U628" i="8"/>
  <c r="U627" i="8"/>
  <c r="U626" i="8"/>
  <c r="U880" i="8"/>
  <c r="U879" i="8"/>
  <c r="U878" i="8"/>
  <c r="U877" i="8"/>
  <c r="U876" i="8"/>
  <c r="U875" i="8"/>
  <c r="U874" i="8"/>
  <c r="U873" i="8"/>
  <c r="U872" i="8"/>
  <c r="U871" i="8"/>
  <c r="U870" i="8"/>
  <c r="U865" i="8"/>
  <c r="U864" i="8"/>
  <c r="U863" i="8"/>
  <c r="U862" i="8"/>
  <c r="U861" i="8"/>
  <c r="U860" i="8"/>
  <c r="U859" i="8"/>
  <c r="U858" i="8"/>
  <c r="U857" i="8"/>
  <c r="U856" i="8"/>
  <c r="U855" i="8"/>
  <c r="U854" i="8"/>
  <c r="U853" i="8"/>
  <c r="U852" i="8"/>
  <c r="U851" i="8"/>
  <c r="U850" i="8"/>
  <c r="U849" i="8"/>
  <c r="U848" i="8"/>
  <c r="U847" i="8"/>
  <c r="U846" i="8"/>
  <c r="U841" i="8"/>
  <c r="U840" i="8"/>
  <c r="U839" i="8"/>
  <c r="U838" i="8"/>
  <c r="U837" i="8"/>
  <c r="U836" i="8"/>
  <c r="U835" i="8"/>
  <c r="U834" i="8"/>
  <c r="U833" i="8"/>
  <c r="U832" i="8"/>
  <c r="U831" i="8"/>
  <c r="U830" i="8"/>
  <c r="U829" i="8"/>
  <c r="U828" i="8"/>
  <c r="U827" i="8"/>
  <c r="U826" i="8"/>
  <c r="U825" i="8"/>
  <c r="U824" i="8"/>
  <c r="U823" i="8"/>
  <c r="U822" i="8"/>
  <c r="U821" i="8"/>
  <c r="U820" i="8"/>
  <c r="U819" i="8"/>
  <c r="U818" i="8"/>
  <c r="U817" i="8"/>
  <c r="U816" i="8"/>
  <c r="U815" i="8"/>
  <c r="U814" i="8"/>
  <c r="U813" i="8"/>
  <c r="U812" i="8"/>
  <c r="U811" i="8"/>
  <c r="U810" i="8"/>
  <c r="U801" i="8"/>
  <c r="U800" i="8"/>
  <c r="U799" i="8"/>
  <c r="U798" i="8"/>
  <c r="U797" i="8"/>
  <c r="U796" i="8"/>
  <c r="U795" i="8"/>
  <c r="U794" i="8"/>
  <c r="U793" i="8"/>
  <c r="U792" i="8"/>
  <c r="U791" i="8"/>
  <c r="U790" i="8"/>
  <c r="U789" i="8"/>
  <c r="U788" i="8"/>
  <c r="U787" i="8"/>
  <c r="U786" i="8"/>
  <c r="U881" i="8"/>
  <c r="BA881" i="8"/>
  <c r="AZ881" i="8"/>
  <c r="AY881" i="8"/>
  <c r="AX881" i="8"/>
  <c r="AW881" i="8"/>
  <c r="AV881" i="8"/>
  <c r="AU881" i="8"/>
  <c r="BA880" i="8"/>
  <c r="AZ880" i="8"/>
  <c r="AY880" i="8"/>
  <c r="AX880" i="8"/>
  <c r="AW880" i="8"/>
  <c r="AV880" i="8"/>
  <c r="AU880" i="8"/>
  <c r="BA879" i="8"/>
  <c r="AZ879" i="8"/>
  <c r="AY879" i="8"/>
  <c r="AX879" i="8"/>
  <c r="AW879" i="8"/>
  <c r="AV879" i="8"/>
  <c r="AU879" i="8"/>
  <c r="BA878" i="8"/>
  <c r="AZ878" i="8"/>
  <c r="AY878" i="8"/>
  <c r="AX878" i="8"/>
  <c r="AW878" i="8"/>
  <c r="AV878" i="8"/>
  <c r="AU878" i="8"/>
  <c r="BA857" i="8"/>
  <c r="AZ857" i="8"/>
  <c r="AY857" i="8"/>
  <c r="AX857" i="8"/>
  <c r="AW857" i="8"/>
  <c r="AV857" i="8"/>
  <c r="AU857" i="8"/>
  <c r="BA856" i="8"/>
  <c r="AZ856" i="8"/>
  <c r="AY856" i="8"/>
  <c r="AX856" i="8"/>
  <c r="AW856" i="8"/>
  <c r="AV856" i="8"/>
  <c r="AU856" i="8"/>
  <c r="BA855" i="8"/>
  <c r="AZ855" i="8"/>
  <c r="AY855" i="8"/>
  <c r="AX855" i="8"/>
  <c r="AW855" i="8"/>
  <c r="AV855" i="8"/>
  <c r="AU855" i="8"/>
  <c r="BA854" i="8"/>
  <c r="AZ854" i="8"/>
  <c r="AY854" i="8"/>
  <c r="AX854" i="8"/>
  <c r="AW854" i="8"/>
  <c r="AV854" i="8"/>
  <c r="AU854" i="8"/>
  <c r="BA833" i="8"/>
  <c r="AZ833" i="8"/>
  <c r="AY833" i="8"/>
  <c r="AX833" i="8"/>
  <c r="AW833" i="8"/>
  <c r="AV833" i="8"/>
  <c r="AU833" i="8"/>
  <c r="BA832" i="8"/>
  <c r="AZ832" i="8"/>
  <c r="AY832" i="8"/>
  <c r="AX832" i="8"/>
  <c r="AW832" i="8"/>
  <c r="AV832" i="8"/>
  <c r="AU832" i="8"/>
  <c r="BA831" i="8"/>
  <c r="AZ831" i="8"/>
  <c r="AY831" i="8"/>
  <c r="AX831" i="8"/>
  <c r="AW831" i="8"/>
  <c r="AV831" i="8"/>
  <c r="AU831" i="8"/>
  <c r="BA830" i="8"/>
  <c r="AZ830" i="8"/>
  <c r="AY830" i="8"/>
  <c r="AX830" i="8"/>
  <c r="AW830" i="8"/>
  <c r="AV830" i="8"/>
  <c r="AU830" i="8"/>
  <c r="BA829" i="8"/>
  <c r="AZ829" i="8"/>
  <c r="AY829" i="8"/>
  <c r="AX829" i="8"/>
  <c r="AW829" i="8"/>
  <c r="AV829" i="8"/>
  <c r="AU829" i="8"/>
  <c r="BA828" i="8"/>
  <c r="AZ828" i="8"/>
  <c r="AY828" i="8"/>
  <c r="AX828" i="8"/>
  <c r="AW828" i="8"/>
  <c r="AV828" i="8"/>
  <c r="AU828" i="8"/>
  <c r="BA827" i="8"/>
  <c r="AZ827" i="8"/>
  <c r="AY827" i="8"/>
  <c r="AX827" i="8"/>
  <c r="AW827" i="8"/>
  <c r="AV827" i="8"/>
  <c r="AU827" i="8"/>
  <c r="BA826" i="8"/>
  <c r="AZ826" i="8"/>
  <c r="AY826" i="8"/>
  <c r="AX826" i="8"/>
  <c r="AW826" i="8"/>
  <c r="AV826" i="8"/>
  <c r="AU826" i="8"/>
  <c r="BA595" i="8"/>
  <c r="AZ595" i="8"/>
  <c r="AY595" i="8"/>
  <c r="AX595" i="8"/>
  <c r="AW595" i="8"/>
  <c r="AV595" i="8"/>
  <c r="AU595" i="8"/>
  <c r="BA594" i="8"/>
  <c r="AZ594" i="8"/>
  <c r="AY594" i="8"/>
  <c r="AX594" i="8"/>
  <c r="AW594" i="8"/>
  <c r="AU594" i="8"/>
  <c r="U594" i="8"/>
  <c r="AV594" i="8" s="1"/>
  <c r="BA593" i="8"/>
  <c r="AZ593" i="8"/>
  <c r="AY593" i="8"/>
  <c r="AX593" i="8"/>
  <c r="AW593" i="8"/>
  <c r="AU593" i="8"/>
  <c r="U593" i="8"/>
  <c r="AV593" i="8" s="1"/>
  <c r="BA592" i="8"/>
  <c r="AZ592" i="8"/>
  <c r="AY592" i="8"/>
  <c r="AX592" i="8"/>
  <c r="AW592" i="8"/>
  <c r="AV592" i="8"/>
  <c r="AU592" i="8"/>
  <c r="BA591" i="8"/>
  <c r="AZ591" i="8"/>
  <c r="AY591" i="8"/>
  <c r="AX591" i="8"/>
  <c r="AW591" i="8"/>
  <c r="AV591" i="8"/>
  <c r="AU591" i="8"/>
  <c r="BA586" i="8"/>
  <c r="AZ586" i="8"/>
  <c r="AY586" i="8"/>
  <c r="AX586" i="8"/>
  <c r="AW586" i="8"/>
  <c r="AU586" i="8"/>
  <c r="U586" i="8"/>
  <c r="AV586" i="8" s="1"/>
  <c r="BA585" i="8"/>
  <c r="AZ585" i="8"/>
  <c r="AY585" i="8"/>
  <c r="AX585" i="8"/>
  <c r="AW585" i="8"/>
  <c r="AU585" i="8"/>
  <c r="U585" i="8"/>
  <c r="AV585" i="8" s="1"/>
  <c r="BA584" i="8"/>
  <c r="AZ584" i="8"/>
  <c r="AY584" i="8"/>
  <c r="AX584" i="8"/>
  <c r="AW584" i="8"/>
  <c r="AV584" i="8"/>
  <c r="AU584" i="8"/>
  <c r="BA583" i="8"/>
  <c r="AZ583" i="8"/>
  <c r="AY583" i="8"/>
  <c r="AX583" i="8"/>
  <c r="AW583" i="8"/>
  <c r="AV583" i="8"/>
  <c r="AU583" i="8"/>
  <c r="BA582" i="8"/>
  <c r="AZ582" i="8"/>
  <c r="AY582" i="8"/>
  <c r="AX582" i="8"/>
  <c r="AW582" i="8"/>
  <c r="AU582" i="8"/>
  <c r="U582" i="8"/>
  <c r="AV582" i="8" s="1"/>
  <c r="BA581" i="8"/>
  <c r="AZ581" i="8"/>
  <c r="AY581" i="8"/>
  <c r="AX581" i="8"/>
  <c r="AW581" i="8"/>
  <c r="AU581" i="8"/>
  <c r="U581" i="8"/>
  <c r="AV581" i="8" s="1"/>
  <c r="BA580" i="8"/>
  <c r="AZ580" i="8"/>
  <c r="AY580" i="8"/>
  <c r="AX580" i="8"/>
  <c r="AW580" i="8"/>
  <c r="AV580" i="8"/>
  <c r="AU580" i="8"/>
  <c r="BA579" i="8"/>
  <c r="AZ579" i="8"/>
  <c r="AY579" i="8"/>
  <c r="AX579" i="8"/>
  <c r="AW579" i="8"/>
  <c r="AV579" i="8"/>
  <c r="AU579" i="8"/>
  <c r="BA541" i="8"/>
  <c r="AZ541" i="8"/>
  <c r="AY541" i="8"/>
  <c r="AX541" i="8"/>
  <c r="AW541" i="8"/>
  <c r="AU541" i="8"/>
  <c r="U541" i="8"/>
  <c r="AV541" i="8" s="1"/>
  <c r="BA537" i="8"/>
  <c r="AZ537" i="8"/>
  <c r="AY537" i="8"/>
  <c r="AX537" i="8"/>
  <c r="AW537" i="8"/>
  <c r="AV537" i="8"/>
  <c r="AU537" i="8"/>
  <c r="BA533" i="8"/>
  <c r="AZ533" i="8"/>
  <c r="AY533" i="8"/>
  <c r="AX533" i="8"/>
  <c r="AW533" i="8"/>
  <c r="AU533" i="8"/>
  <c r="U533" i="8"/>
  <c r="AV533" i="8" s="1"/>
  <c r="BA529" i="8"/>
  <c r="AZ529" i="8"/>
  <c r="AY529" i="8"/>
  <c r="AX529" i="8"/>
  <c r="AW529" i="8"/>
  <c r="AV529" i="8"/>
  <c r="AU529" i="8"/>
  <c r="BA525" i="8"/>
  <c r="AZ525" i="8"/>
  <c r="AY525" i="8"/>
  <c r="AX525" i="8"/>
  <c r="AW525" i="8"/>
  <c r="AU525" i="8"/>
  <c r="U525" i="8"/>
  <c r="AV525" i="8" s="1"/>
  <c r="BA521" i="8"/>
  <c r="AZ521" i="8"/>
  <c r="AY521" i="8"/>
  <c r="AX521" i="8"/>
  <c r="AW521" i="8"/>
  <c r="AV521" i="8"/>
  <c r="AU521" i="8"/>
  <c r="BA509" i="8"/>
  <c r="AZ509" i="8"/>
  <c r="AY509" i="8"/>
  <c r="AX509" i="8"/>
  <c r="AW509" i="8"/>
  <c r="AU509" i="8"/>
  <c r="U509" i="8"/>
  <c r="AV509" i="8" s="1"/>
  <c r="BA505" i="8"/>
  <c r="AZ505" i="8"/>
  <c r="AY505" i="8"/>
  <c r="AX505" i="8"/>
  <c r="AW505" i="8"/>
  <c r="AV505" i="8"/>
  <c r="AU505" i="8"/>
  <c r="BA501" i="8"/>
  <c r="AZ501" i="8"/>
  <c r="AY501" i="8"/>
  <c r="AX501" i="8"/>
  <c r="AW501" i="8"/>
  <c r="AU501" i="8"/>
  <c r="U501" i="8"/>
  <c r="AV501" i="8" s="1"/>
  <c r="BA497" i="8"/>
  <c r="AZ497" i="8"/>
  <c r="AY497" i="8"/>
  <c r="AX497" i="8"/>
  <c r="AW497" i="8"/>
  <c r="AV497" i="8"/>
  <c r="AU497" i="8"/>
  <c r="BA578" i="8"/>
  <c r="AZ578" i="8"/>
  <c r="AY578" i="8"/>
  <c r="AX578" i="8"/>
  <c r="AW578" i="8"/>
  <c r="AU578" i="8"/>
  <c r="U578" i="8"/>
  <c r="AV578" i="8" s="1"/>
  <c r="BA577" i="8"/>
  <c r="AZ577" i="8"/>
  <c r="AY577" i="8"/>
  <c r="AX577" i="8"/>
  <c r="AW577" i="8"/>
  <c r="AU577" i="8"/>
  <c r="U577" i="8"/>
  <c r="AV577" i="8" s="1"/>
  <c r="BA576" i="8"/>
  <c r="AZ576" i="8"/>
  <c r="AY576" i="8"/>
  <c r="AX576" i="8"/>
  <c r="AW576" i="8"/>
  <c r="AU576" i="8"/>
  <c r="U576" i="8"/>
  <c r="AV576" i="8" s="1"/>
  <c r="BA575" i="8"/>
  <c r="AZ575" i="8"/>
  <c r="AY575" i="8"/>
  <c r="AX575" i="8"/>
  <c r="AW575" i="8"/>
  <c r="AV575" i="8"/>
  <c r="AU575" i="8"/>
  <c r="BA574" i="8"/>
  <c r="AZ574" i="8"/>
  <c r="AY574" i="8"/>
  <c r="AX574" i="8"/>
  <c r="AW574" i="8"/>
  <c r="AV574" i="8"/>
  <c r="AU574" i="8"/>
  <c r="BA573" i="8"/>
  <c r="AZ573" i="8"/>
  <c r="AY573" i="8"/>
  <c r="AX573" i="8"/>
  <c r="AW573" i="8"/>
  <c r="AV573" i="8"/>
  <c r="AU573" i="8"/>
  <c r="BA572" i="8"/>
  <c r="AZ572" i="8"/>
  <c r="AY572" i="8"/>
  <c r="AX572" i="8"/>
  <c r="AW572" i="8"/>
  <c r="AU572" i="8"/>
  <c r="U572" i="8"/>
  <c r="AV572" i="8" s="1"/>
  <c r="BA571" i="8"/>
  <c r="AZ571" i="8"/>
  <c r="AY571" i="8"/>
  <c r="AX571" i="8"/>
  <c r="AW571" i="8"/>
  <c r="AU571" i="8"/>
  <c r="U571" i="8"/>
  <c r="AV571" i="8" s="1"/>
  <c r="BA570" i="8"/>
  <c r="AZ570" i="8"/>
  <c r="AY570" i="8"/>
  <c r="AX570" i="8"/>
  <c r="AW570" i="8"/>
  <c r="AU570" i="8"/>
  <c r="U570" i="8"/>
  <c r="AV570" i="8" s="1"/>
  <c r="BA569" i="8"/>
  <c r="AZ569" i="8"/>
  <c r="AY569" i="8"/>
  <c r="AX569" i="8"/>
  <c r="AW569" i="8"/>
  <c r="AV569" i="8"/>
  <c r="AU569" i="8"/>
  <c r="BA568" i="8"/>
  <c r="AZ568" i="8"/>
  <c r="AY568" i="8"/>
  <c r="AX568" i="8"/>
  <c r="AW568" i="8"/>
  <c r="AV568" i="8"/>
  <c r="AU568" i="8"/>
  <c r="BA567" i="8"/>
  <c r="AZ567" i="8"/>
  <c r="AY567" i="8"/>
  <c r="AX567" i="8"/>
  <c r="AW567" i="8"/>
  <c r="AV567" i="8"/>
  <c r="AU567" i="8"/>
  <c r="BA566" i="8"/>
  <c r="AZ566" i="8"/>
  <c r="AY566" i="8"/>
  <c r="AX566" i="8"/>
  <c r="AW566" i="8"/>
  <c r="AU566" i="8"/>
  <c r="U566" i="8"/>
  <c r="AV566" i="8" s="1"/>
  <c r="BA565" i="8"/>
  <c r="AZ565" i="8"/>
  <c r="AY565" i="8"/>
  <c r="AX565" i="8"/>
  <c r="AW565" i="8"/>
  <c r="AU565" i="8"/>
  <c r="U565" i="8"/>
  <c r="AV565" i="8" s="1"/>
  <c r="BA564" i="8"/>
  <c r="AZ564" i="8"/>
  <c r="AY564" i="8"/>
  <c r="AX564" i="8"/>
  <c r="AW564" i="8"/>
  <c r="AU564" i="8"/>
  <c r="U564" i="8"/>
  <c r="AV564" i="8" s="1"/>
  <c r="BA563" i="8"/>
  <c r="AZ563" i="8"/>
  <c r="AY563" i="8"/>
  <c r="AX563" i="8"/>
  <c r="AW563" i="8"/>
  <c r="AV563" i="8"/>
  <c r="AU563" i="8"/>
  <c r="BA562" i="8"/>
  <c r="AZ562" i="8"/>
  <c r="AY562" i="8"/>
  <c r="AX562" i="8"/>
  <c r="AW562" i="8"/>
  <c r="AV562" i="8"/>
  <c r="AU562" i="8"/>
  <c r="BA561" i="8"/>
  <c r="AZ561" i="8"/>
  <c r="AY561" i="8"/>
  <c r="AX561" i="8"/>
  <c r="AW561" i="8"/>
  <c r="AV561" i="8"/>
  <c r="AU561" i="8"/>
  <c r="BA554" i="8"/>
  <c r="AZ554" i="8"/>
  <c r="AY554" i="8"/>
  <c r="AX554" i="8"/>
  <c r="AW554" i="8"/>
  <c r="AU554" i="8"/>
  <c r="U554" i="8"/>
  <c r="AV554" i="8" s="1"/>
  <c r="BA553" i="8"/>
  <c r="AZ553" i="8"/>
  <c r="AY553" i="8"/>
  <c r="AX553" i="8"/>
  <c r="AW553" i="8"/>
  <c r="AU553" i="8"/>
  <c r="U553" i="8"/>
  <c r="AV553" i="8" s="1"/>
  <c r="BA552" i="8"/>
  <c r="AZ552" i="8"/>
  <c r="AY552" i="8"/>
  <c r="AX552" i="8"/>
  <c r="AW552" i="8"/>
  <c r="AU552" i="8"/>
  <c r="U552" i="8"/>
  <c r="AV552" i="8" s="1"/>
  <c r="BA551" i="8"/>
  <c r="AZ551" i="8"/>
  <c r="AY551" i="8"/>
  <c r="AX551" i="8"/>
  <c r="AW551" i="8"/>
  <c r="AV551" i="8"/>
  <c r="AU551" i="8"/>
  <c r="BA550" i="8"/>
  <c r="AZ550" i="8"/>
  <c r="AY550" i="8"/>
  <c r="AX550" i="8"/>
  <c r="AW550" i="8"/>
  <c r="AV550" i="8"/>
  <c r="AU550" i="8"/>
  <c r="BA549" i="8"/>
  <c r="AZ549" i="8"/>
  <c r="AY549" i="8"/>
  <c r="AX549" i="8"/>
  <c r="AW549" i="8"/>
  <c r="AV549" i="8"/>
  <c r="AU549" i="8"/>
  <c r="BA548" i="8"/>
  <c r="AZ548" i="8"/>
  <c r="AY548" i="8"/>
  <c r="AX548" i="8"/>
  <c r="AW548" i="8"/>
  <c r="AU548" i="8"/>
  <c r="U548" i="8"/>
  <c r="AV548" i="8" s="1"/>
  <c r="BA547" i="8"/>
  <c r="AZ547" i="8"/>
  <c r="AY547" i="8"/>
  <c r="AX547" i="8"/>
  <c r="AW547" i="8"/>
  <c r="AU547" i="8"/>
  <c r="U547" i="8"/>
  <c r="AV547" i="8" s="1"/>
  <c r="BA546" i="8"/>
  <c r="AZ546" i="8"/>
  <c r="AY546" i="8"/>
  <c r="AX546" i="8"/>
  <c r="AW546" i="8"/>
  <c r="AU546" i="8"/>
  <c r="U546" i="8"/>
  <c r="AV546" i="8" s="1"/>
  <c r="BA545" i="8"/>
  <c r="AZ545" i="8"/>
  <c r="AY545" i="8"/>
  <c r="AX545" i="8"/>
  <c r="AW545" i="8"/>
  <c r="AV545" i="8"/>
  <c r="AU545" i="8"/>
  <c r="BA544" i="8"/>
  <c r="AZ544" i="8"/>
  <c r="AY544" i="8"/>
  <c r="AX544" i="8"/>
  <c r="AW544" i="8"/>
  <c r="AV544" i="8"/>
  <c r="AU544" i="8"/>
  <c r="BA543" i="8"/>
  <c r="AZ543" i="8"/>
  <c r="AY543" i="8"/>
  <c r="AX543" i="8"/>
  <c r="AW543" i="8"/>
  <c r="AV543" i="8"/>
  <c r="AU543" i="8"/>
  <c r="BA274" i="8"/>
  <c r="AZ274" i="8"/>
  <c r="AY274" i="8"/>
  <c r="AX274" i="8"/>
  <c r="AW274" i="8"/>
  <c r="AU274" i="8"/>
  <c r="U274" i="8"/>
  <c r="AV274" i="8" s="1"/>
  <c r="BA273" i="8"/>
  <c r="AZ273" i="8"/>
  <c r="AY273" i="8"/>
  <c r="AX273" i="8"/>
  <c r="AW273" i="8"/>
  <c r="AV273" i="8"/>
  <c r="AU273" i="8"/>
  <c r="BA272" i="8"/>
  <c r="AZ272" i="8"/>
  <c r="AY272" i="8"/>
  <c r="AX272" i="8"/>
  <c r="AW272" i="8"/>
  <c r="AU272" i="8"/>
  <c r="U272" i="8"/>
  <c r="AV272" i="8" s="1"/>
  <c r="BA271" i="8"/>
  <c r="AZ271" i="8"/>
  <c r="AY271" i="8"/>
  <c r="AX271" i="8"/>
  <c r="AW271" i="8"/>
  <c r="AV271" i="8"/>
  <c r="AU271" i="8"/>
  <c r="BA270" i="8"/>
  <c r="AZ270" i="8"/>
  <c r="AY270" i="8"/>
  <c r="AX270" i="8"/>
  <c r="AW270" i="8"/>
  <c r="AU270" i="8"/>
  <c r="U270" i="8"/>
  <c r="AV270" i="8" s="1"/>
  <c r="BA269" i="8"/>
  <c r="AZ269" i="8"/>
  <c r="AY269" i="8"/>
  <c r="AX269" i="8"/>
  <c r="AW269" i="8"/>
  <c r="AV269" i="8"/>
  <c r="AU269" i="8"/>
  <c r="BA268" i="8"/>
  <c r="AZ268" i="8"/>
  <c r="AY268" i="8"/>
  <c r="AX268" i="8"/>
  <c r="AW268" i="8"/>
  <c r="AU268" i="8"/>
  <c r="U268" i="8"/>
  <c r="AV268" i="8" s="1"/>
  <c r="BA267" i="8"/>
  <c r="AZ267" i="8"/>
  <c r="AY267" i="8"/>
  <c r="AX267" i="8"/>
  <c r="AW267" i="8"/>
  <c r="AU267" i="8"/>
  <c r="U267" i="8"/>
  <c r="AV267" i="8" s="1"/>
  <c r="BA266" i="8"/>
  <c r="AZ266" i="8"/>
  <c r="AY266" i="8"/>
  <c r="AX266" i="8"/>
  <c r="AW266" i="8"/>
  <c r="AV266" i="8"/>
  <c r="AU266" i="8"/>
  <c r="BA265" i="8"/>
  <c r="AZ265" i="8"/>
  <c r="AY265" i="8"/>
  <c r="AX265" i="8"/>
  <c r="AW265" i="8"/>
  <c r="AV265" i="8"/>
  <c r="AU265" i="8"/>
  <c r="BA264" i="8"/>
  <c r="AZ264" i="8"/>
  <c r="AY264" i="8"/>
  <c r="AX264" i="8"/>
  <c r="AW264" i="8"/>
  <c r="AU264" i="8"/>
  <c r="U264" i="8"/>
  <c r="AV264" i="8" s="1"/>
  <c r="BA263" i="8"/>
  <c r="AZ263" i="8"/>
  <c r="AY263" i="8"/>
  <c r="AX263" i="8"/>
  <c r="AW263" i="8"/>
  <c r="AU263" i="8"/>
  <c r="U263" i="8"/>
  <c r="AV263" i="8" s="1"/>
  <c r="BA262" i="8"/>
  <c r="AZ262" i="8"/>
  <c r="AY262" i="8"/>
  <c r="AX262" i="8"/>
  <c r="AW262" i="8"/>
  <c r="AV262" i="8"/>
  <c r="AU262" i="8"/>
  <c r="BA261" i="8"/>
  <c r="AZ261" i="8"/>
  <c r="AY261" i="8"/>
  <c r="AX261" i="8"/>
  <c r="AW261" i="8"/>
  <c r="AV261" i="8"/>
  <c r="AU261" i="8"/>
  <c r="BA260" i="8"/>
  <c r="AZ260" i="8"/>
  <c r="AY260" i="8"/>
  <c r="AX260" i="8"/>
  <c r="AW260" i="8"/>
  <c r="AU260" i="8"/>
  <c r="U260" i="8"/>
  <c r="AV260" i="8" s="1"/>
  <c r="BA259" i="8"/>
  <c r="AZ259" i="8"/>
  <c r="AY259" i="8"/>
  <c r="AX259" i="8"/>
  <c r="AW259" i="8"/>
  <c r="AU259" i="8"/>
  <c r="U259" i="8"/>
  <c r="AV259" i="8" s="1"/>
  <c r="BA258" i="8"/>
  <c r="AZ258" i="8"/>
  <c r="AY258" i="8"/>
  <c r="AX258" i="8"/>
  <c r="AW258" i="8"/>
  <c r="AV258" i="8"/>
  <c r="AU258" i="8"/>
  <c r="BA257" i="8"/>
  <c r="AZ257" i="8"/>
  <c r="AY257" i="8"/>
  <c r="AX257" i="8"/>
  <c r="AW257" i="8"/>
  <c r="AV257" i="8"/>
  <c r="AU257" i="8"/>
  <c r="BA225" i="8"/>
  <c r="AZ225" i="8"/>
  <c r="AY225" i="8"/>
  <c r="AX225" i="8"/>
  <c r="AW225" i="8"/>
  <c r="AU225" i="8"/>
  <c r="U225" i="8"/>
  <c r="AV225" i="8" s="1"/>
  <c r="BA221" i="8"/>
  <c r="AZ221" i="8"/>
  <c r="AY221" i="8"/>
  <c r="AX221" i="8"/>
  <c r="AW221" i="8"/>
  <c r="AV221" i="8"/>
  <c r="AU221" i="8"/>
  <c r="BA217" i="8"/>
  <c r="AZ217" i="8"/>
  <c r="AY217" i="8"/>
  <c r="AX217" i="8"/>
  <c r="AW217" i="8"/>
  <c r="AU217" i="8"/>
  <c r="U217" i="8"/>
  <c r="AV217" i="8" s="1"/>
  <c r="BA213" i="8"/>
  <c r="AZ213" i="8"/>
  <c r="AY213" i="8"/>
  <c r="AX213" i="8"/>
  <c r="AW213" i="8"/>
  <c r="AV213" i="8"/>
  <c r="AU213" i="8"/>
  <c r="BA209" i="8"/>
  <c r="AZ209" i="8"/>
  <c r="AY209" i="8"/>
  <c r="AX209" i="8"/>
  <c r="AW209" i="8"/>
  <c r="AU209" i="8"/>
  <c r="U209" i="8"/>
  <c r="AV209" i="8" s="1"/>
  <c r="BA205" i="8"/>
  <c r="AZ205" i="8"/>
  <c r="AY205" i="8"/>
  <c r="AX205" i="8"/>
  <c r="AW205" i="8"/>
  <c r="AV205" i="8"/>
  <c r="AU205" i="8"/>
  <c r="BA201" i="8"/>
  <c r="AZ201" i="8"/>
  <c r="AY201" i="8"/>
  <c r="AX201" i="8"/>
  <c r="AW201" i="8"/>
  <c r="AU201" i="8"/>
  <c r="U201" i="8"/>
  <c r="AV201" i="8" s="1"/>
  <c r="BA197" i="8"/>
  <c r="AZ197" i="8"/>
  <c r="AY197" i="8"/>
  <c r="AX197" i="8"/>
  <c r="AW197" i="8"/>
  <c r="AV197" i="8"/>
  <c r="AU197" i="8"/>
  <c r="BA193" i="8"/>
  <c r="AZ193" i="8"/>
  <c r="AY193" i="8"/>
  <c r="AX193" i="8"/>
  <c r="AW193" i="8"/>
  <c r="AU193" i="8"/>
  <c r="U193" i="8"/>
  <c r="AV193" i="8" s="1"/>
  <c r="BA189" i="8"/>
  <c r="AZ189" i="8"/>
  <c r="AY189" i="8"/>
  <c r="AX189" i="8"/>
  <c r="AW189" i="8"/>
  <c r="AV189" i="8"/>
  <c r="AU189" i="8"/>
  <c r="BA256" i="8"/>
  <c r="AZ256" i="8"/>
  <c r="AY256" i="8"/>
  <c r="AX256" i="8"/>
  <c r="AW256" i="8"/>
  <c r="AU256" i="8"/>
  <c r="U256" i="8"/>
  <c r="AV256" i="8" s="1"/>
  <c r="BA255" i="8"/>
  <c r="AZ255" i="8"/>
  <c r="AY255" i="8"/>
  <c r="AX255" i="8"/>
  <c r="AW255" i="8"/>
  <c r="AU255" i="8"/>
  <c r="U255" i="8"/>
  <c r="AV255" i="8" s="1"/>
  <c r="BA254" i="8"/>
  <c r="AZ254" i="8"/>
  <c r="AY254" i="8"/>
  <c r="AX254" i="8"/>
  <c r="AW254" i="8"/>
  <c r="AU254" i="8"/>
  <c r="U254" i="8"/>
  <c r="AV254" i="8" s="1"/>
  <c r="BA253" i="8"/>
  <c r="AZ253" i="8"/>
  <c r="AY253" i="8"/>
  <c r="AX253" i="8"/>
  <c r="AW253" i="8"/>
  <c r="AV253" i="8"/>
  <c r="AU253" i="8"/>
  <c r="BA252" i="8"/>
  <c r="AZ252" i="8"/>
  <c r="AY252" i="8"/>
  <c r="AX252" i="8"/>
  <c r="AW252" i="8"/>
  <c r="AV252" i="8"/>
  <c r="AU252" i="8"/>
  <c r="BA251" i="8"/>
  <c r="AZ251" i="8"/>
  <c r="AY251" i="8"/>
  <c r="AX251" i="8"/>
  <c r="AW251" i="8"/>
  <c r="AV251" i="8"/>
  <c r="AU251" i="8"/>
  <c r="BA250" i="8"/>
  <c r="AZ250" i="8"/>
  <c r="AY250" i="8"/>
  <c r="AX250" i="8"/>
  <c r="AW250" i="8"/>
  <c r="AU250" i="8"/>
  <c r="U250" i="8"/>
  <c r="AV250" i="8" s="1"/>
  <c r="BA249" i="8"/>
  <c r="AZ249" i="8"/>
  <c r="AY249" i="8"/>
  <c r="AX249" i="8"/>
  <c r="AW249" i="8"/>
  <c r="AU249" i="8"/>
  <c r="U249" i="8"/>
  <c r="AV249" i="8" s="1"/>
  <c r="BA248" i="8"/>
  <c r="AZ248" i="8"/>
  <c r="AY248" i="8"/>
  <c r="AX248" i="8"/>
  <c r="AW248" i="8"/>
  <c r="AU248" i="8"/>
  <c r="U248" i="8"/>
  <c r="AV248" i="8" s="1"/>
  <c r="BA247" i="8"/>
  <c r="AZ247" i="8"/>
  <c r="AY247" i="8"/>
  <c r="AX247" i="8"/>
  <c r="AW247" i="8"/>
  <c r="AV247" i="8"/>
  <c r="AU247" i="8"/>
  <c r="BA246" i="8"/>
  <c r="AZ246" i="8"/>
  <c r="AY246" i="8"/>
  <c r="AX246" i="8"/>
  <c r="AW246" i="8"/>
  <c r="AV246" i="8"/>
  <c r="AU246" i="8"/>
  <c r="BA245" i="8"/>
  <c r="AZ245" i="8"/>
  <c r="AY245" i="8"/>
  <c r="AX245" i="8"/>
  <c r="AW245" i="8"/>
  <c r="AV245" i="8"/>
  <c r="AU245" i="8"/>
  <c r="BA244" i="8"/>
  <c r="AZ244" i="8"/>
  <c r="AY244" i="8"/>
  <c r="AX244" i="8"/>
  <c r="AW244" i="8"/>
  <c r="AU244" i="8"/>
  <c r="U244" i="8"/>
  <c r="AV244" i="8" s="1"/>
  <c r="BA243" i="8"/>
  <c r="AZ243" i="8"/>
  <c r="AY243" i="8"/>
  <c r="AX243" i="8"/>
  <c r="AW243" i="8"/>
  <c r="AU243" i="8"/>
  <c r="U243" i="8"/>
  <c r="AV243" i="8" s="1"/>
  <c r="BA242" i="8"/>
  <c r="AZ242" i="8"/>
  <c r="AY242" i="8"/>
  <c r="AX242" i="8"/>
  <c r="AW242" i="8"/>
  <c r="AU242" i="8"/>
  <c r="U242" i="8"/>
  <c r="AV242" i="8" s="1"/>
  <c r="BA241" i="8"/>
  <c r="AZ241" i="8"/>
  <c r="AY241" i="8"/>
  <c r="AX241" i="8"/>
  <c r="AW241" i="8"/>
  <c r="AV241" i="8"/>
  <c r="AU241" i="8"/>
  <c r="BA240" i="8"/>
  <c r="AZ240" i="8"/>
  <c r="AY240" i="8"/>
  <c r="AX240" i="8"/>
  <c r="AW240" i="8"/>
  <c r="AV240" i="8"/>
  <c r="AU240" i="8"/>
  <c r="BA239" i="8"/>
  <c r="AZ239" i="8"/>
  <c r="AY239" i="8"/>
  <c r="AX239" i="8"/>
  <c r="AW239" i="8"/>
  <c r="AV239" i="8"/>
  <c r="AU239" i="8"/>
  <c r="BA238" i="8"/>
  <c r="AZ238" i="8"/>
  <c r="AY238" i="8"/>
  <c r="AX238" i="8"/>
  <c r="AW238" i="8"/>
  <c r="AU238" i="8"/>
  <c r="U238" i="8"/>
  <c r="AV238" i="8" s="1"/>
  <c r="BA237" i="8"/>
  <c r="AZ237" i="8"/>
  <c r="AY237" i="8"/>
  <c r="AX237" i="8"/>
  <c r="AW237" i="8"/>
  <c r="AU237" i="8"/>
  <c r="U237" i="8"/>
  <c r="AV237" i="8" s="1"/>
  <c r="BA236" i="8"/>
  <c r="AZ236" i="8"/>
  <c r="AY236" i="8"/>
  <c r="AX236" i="8"/>
  <c r="AW236" i="8"/>
  <c r="AU236" i="8"/>
  <c r="U236" i="8"/>
  <c r="AV236" i="8" s="1"/>
  <c r="BA235" i="8"/>
  <c r="AZ235" i="8"/>
  <c r="AY235" i="8"/>
  <c r="AX235" i="8"/>
  <c r="AW235" i="8"/>
  <c r="AV235" i="8"/>
  <c r="AU235" i="8"/>
  <c r="BA234" i="8"/>
  <c r="AZ234" i="8"/>
  <c r="AY234" i="8"/>
  <c r="AX234" i="8"/>
  <c r="AW234" i="8"/>
  <c r="AV234" i="8"/>
  <c r="AU234" i="8"/>
  <c r="BA233" i="8"/>
  <c r="AZ233" i="8"/>
  <c r="AY233" i="8"/>
  <c r="AX233" i="8"/>
  <c r="AW233" i="8"/>
  <c r="AV233" i="8"/>
  <c r="AU233" i="8"/>
  <c r="BA232" i="8"/>
  <c r="AZ232" i="8"/>
  <c r="AY232" i="8"/>
  <c r="AX232" i="8"/>
  <c r="AW232" i="8"/>
  <c r="AU232" i="8"/>
  <c r="U232" i="8"/>
  <c r="AV232" i="8" s="1"/>
  <c r="BA231" i="8"/>
  <c r="AZ231" i="8"/>
  <c r="AY231" i="8"/>
  <c r="AX231" i="8"/>
  <c r="AW231" i="8"/>
  <c r="AU231" i="8"/>
  <c r="U231" i="8"/>
  <c r="AV231" i="8" s="1"/>
  <c r="BA230" i="8"/>
  <c r="AZ230" i="8"/>
  <c r="AY230" i="8"/>
  <c r="AX230" i="8"/>
  <c r="AW230" i="8"/>
  <c r="AU230" i="8"/>
  <c r="U230" i="8"/>
  <c r="AV230" i="8" s="1"/>
  <c r="BA229" i="8"/>
  <c r="AZ229" i="8"/>
  <c r="AY229" i="8"/>
  <c r="AX229" i="8"/>
  <c r="AW229" i="8"/>
  <c r="AV229" i="8"/>
  <c r="AU229" i="8"/>
  <c r="BA228" i="8"/>
  <c r="AZ228" i="8"/>
  <c r="AY228" i="8"/>
  <c r="AX228" i="8"/>
  <c r="AW228" i="8"/>
  <c r="AV228" i="8"/>
  <c r="AU228" i="8"/>
  <c r="BA227" i="8"/>
  <c r="AZ227" i="8"/>
  <c r="AY227" i="8"/>
  <c r="AX227" i="8"/>
  <c r="AW227" i="8"/>
  <c r="AV227" i="8"/>
  <c r="AU227" i="8"/>
  <c r="M51" i="2"/>
  <c r="M20" i="2" a="1"/>
  <c r="M20" i="2" s="1"/>
  <c r="M19" i="2" a="1"/>
  <c r="M19" i="2" s="1"/>
  <c r="M18" i="2" a="1"/>
  <c r="M18" i="2" s="1"/>
  <c r="M17" i="2" a="1"/>
  <c r="M17" i="2" s="1"/>
  <c r="M16" i="2" a="1"/>
  <c r="M16" i="2" s="1"/>
  <c r="M15" i="2" a="1"/>
  <c r="M15" i="2" s="1"/>
  <c r="M14" i="2" a="1"/>
  <c r="M14" i="2" s="1"/>
  <c r="H96" i="2"/>
  <c r="I46" i="2"/>
  <c r="BV9" i="2" l="1"/>
  <c r="CH5" i="2"/>
  <c r="CF5" i="2" a="1"/>
  <c r="CF5" i="2" s="1"/>
  <c r="CK1" i="8"/>
  <c r="B215" i="15" l="1"/>
  <c r="B214" i="15"/>
  <c r="B24" i="15"/>
  <c r="B18" i="15"/>
  <c r="B253" i="15"/>
  <c r="B252" i="15"/>
  <c r="B27" i="15"/>
  <c r="B26" i="15"/>
  <c r="B255" i="15"/>
  <c r="B254" i="15"/>
  <c r="C274" i="8"/>
  <c r="C273" i="8"/>
  <c r="C272" i="8"/>
  <c r="C271" i="8"/>
  <c r="C270" i="8"/>
  <c r="C269" i="8"/>
  <c r="C268" i="8"/>
  <c r="C267" i="8"/>
  <c r="C266" i="8"/>
  <c r="C265" i="8"/>
  <c r="C264" i="8"/>
  <c r="C263" i="8"/>
  <c r="C262" i="8"/>
  <c r="C261" i="8"/>
  <c r="C260" i="8"/>
  <c r="C259" i="8"/>
  <c r="C258" i="8"/>
  <c r="C257" i="8"/>
  <c r="C225" i="8"/>
  <c r="C221" i="8"/>
  <c r="C217" i="8"/>
  <c r="C213" i="8"/>
  <c r="C209" i="8"/>
  <c r="C205" i="8"/>
  <c r="C201" i="8"/>
  <c r="C197" i="8"/>
  <c r="C193" i="8"/>
  <c r="C189"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595" i="8"/>
  <c r="C594" i="8"/>
  <c r="C593" i="8"/>
  <c r="C592" i="8"/>
  <c r="C591" i="8"/>
  <c r="C586" i="8"/>
  <c r="C585" i="8"/>
  <c r="C584" i="8"/>
  <c r="C583" i="8"/>
  <c r="C582" i="8"/>
  <c r="C581" i="8"/>
  <c r="C580" i="8"/>
  <c r="C579" i="8"/>
  <c r="C541" i="8"/>
  <c r="C537" i="8"/>
  <c r="C533" i="8"/>
  <c r="C529" i="8"/>
  <c r="C525" i="8"/>
  <c r="C521" i="8"/>
  <c r="C509" i="8"/>
  <c r="C505" i="8"/>
  <c r="C501" i="8"/>
  <c r="C497" i="8"/>
  <c r="C578" i="8"/>
  <c r="C577" i="8"/>
  <c r="C576" i="8"/>
  <c r="C575" i="8"/>
  <c r="C574" i="8"/>
  <c r="C573" i="8"/>
  <c r="C572" i="8"/>
  <c r="C571" i="8"/>
  <c r="C570" i="8"/>
  <c r="C569" i="8"/>
  <c r="C568" i="8"/>
  <c r="C567" i="8"/>
  <c r="C566" i="8"/>
  <c r="C565" i="8"/>
  <c r="C564" i="8"/>
  <c r="C563" i="8"/>
  <c r="C562" i="8"/>
  <c r="C561" i="8"/>
  <c r="C554" i="8"/>
  <c r="C553" i="8"/>
  <c r="C552" i="8"/>
  <c r="C551" i="8"/>
  <c r="C550" i="8"/>
  <c r="C549" i="8"/>
  <c r="C548" i="8"/>
  <c r="C547" i="8"/>
  <c r="C546" i="8"/>
  <c r="C545" i="8"/>
  <c r="C544" i="8"/>
  <c r="C543" i="8"/>
  <c r="C881" i="8"/>
  <c r="C880" i="8"/>
  <c r="C879" i="8"/>
  <c r="C878" i="8"/>
  <c r="C857" i="8"/>
  <c r="C856" i="8"/>
  <c r="C855" i="8"/>
  <c r="C854" i="8"/>
  <c r="C833" i="8"/>
  <c r="C832" i="8"/>
  <c r="C831" i="8"/>
  <c r="C830" i="8"/>
  <c r="C829" i="8"/>
  <c r="C828" i="8"/>
  <c r="C827" i="8"/>
  <c r="C826" i="8"/>
  <c r="X1" i="2"/>
  <c r="M60" i="2" l="1"/>
  <c r="M59" i="2"/>
  <c r="T32" i="2"/>
  <c r="M52" i="2" l="1"/>
  <c r="M50" i="2"/>
  <c r="M54" i="2"/>
  <c r="M66" i="2"/>
  <c r="M65" i="2"/>
  <c r="M63" i="2"/>
  <c r="M62" i="2"/>
  <c r="O180" i="15" l="1"/>
  <c r="U1421" i="8" l="1"/>
  <c r="U1420" i="8"/>
  <c r="U1419" i="8"/>
  <c r="U1418" i="8"/>
  <c r="U1417" i="8"/>
  <c r="U1416" i="8"/>
  <c r="U1415" i="8"/>
  <c r="U1414" i="8"/>
  <c r="U1413" i="8"/>
  <c r="U1412" i="8"/>
  <c r="U1411" i="8"/>
  <c r="U1410" i="8"/>
  <c r="U1409" i="8"/>
  <c r="U1408" i="8"/>
  <c r="U1407" i="8"/>
  <c r="U1406" i="8"/>
  <c r="U1405" i="8"/>
  <c r="U1404" i="8"/>
  <c r="U1403" i="8"/>
  <c r="U1358" i="8"/>
  <c r="U1357" i="8"/>
  <c r="U1356" i="8"/>
  <c r="U1355" i="8"/>
  <c r="U1354" i="8"/>
  <c r="U1353" i="8"/>
  <c r="U1352" i="8"/>
  <c r="U1351" i="8"/>
  <c r="U1350" i="8"/>
  <c r="U1349" i="8"/>
  <c r="U1348" i="8"/>
  <c r="U1347" i="8"/>
  <c r="U1346" i="8"/>
  <c r="U1345" i="8"/>
  <c r="U1344" i="8"/>
  <c r="U1343" i="8"/>
  <c r="U1342" i="8"/>
  <c r="U1341" i="8"/>
  <c r="U1340" i="8"/>
  <c r="B179" i="15" l="1"/>
  <c r="M16" i="13" a="1"/>
  <c r="M16" i="13"/>
  <c r="N8" i="13" a="1"/>
  <c r="N8" i="13"/>
  <c r="D12" i="13" a="1"/>
  <c r="D12" i="13"/>
  <c r="N9" i="13" a="1"/>
  <c r="N9" i="13"/>
  <c r="C10" i="13" a="1"/>
  <c r="C10" i="13"/>
  <c r="L8" i="13" a="1"/>
  <c r="L8" i="13"/>
  <c r="D14" i="13" a="1"/>
  <c r="D14" i="13"/>
  <c r="C8" i="13" a="1"/>
  <c r="C8" i="13"/>
  <c r="D15" i="13" a="1"/>
  <c r="D15" i="13"/>
  <c r="M8" i="13" a="1"/>
  <c r="M8" i="13"/>
  <c r="N20" i="13" a="1"/>
  <c r="N20" i="13"/>
  <c r="D13" i="13" a="1"/>
  <c r="D13" i="13"/>
  <c r="M20" i="13" a="1"/>
  <c r="M20" i="13"/>
  <c r="N18" i="13" a="1"/>
  <c r="N18" i="13"/>
  <c r="N17" i="13" a="1"/>
  <c r="N17" i="13"/>
  <c r="J20" i="13" a="1"/>
  <c r="J20" i="13"/>
  <c r="N19" i="13" a="1"/>
  <c r="N19" i="13"/>
  <c r="M19" i="13" a="1"/>
  <c r="M19" i="13"/>
  <c r="J19" i="13" a="1"/>
  <c r="J19" i="13"/>
  <c r="K18" i="13" a="1"/>
  <c r="K18" i="13"/>
  <c r="B9" i="13" a="1"/>
  <c r="B9" i="13"/>
  <c r="L17" i="13" a="1"/>
  <c r="L17" i="13"/>
  <c r="K9" i="13" a="1"/>
  <c r="K9" i="13"/>
  <c r="N16" i="13" a="1"/>
  <c r="N16" i="13"/>
  <c r="B11" i="13" a="1"/>
  <c r="B11" i="13"/>
  <c r="K8" i="13" a="1"/>
  <c r="K8" i="13"/>
  <c r="K16" i="13" a="1"/>
  <c r="K16" i="13"/>
  <c r="D16" i="13" a="1"/>
  <c r="D16" i="13"/>
  <c r="C11" i="13" a="1"/>
  <c r="C11" i="13"/>
  <c r="D11" i="13" a="1"/>
  <c r="D11" i="13"/>
  <c r="M9" i="13" a="1"/>
  <c r="M9" i="13"/>
  <c r="C9" i="13" a="1"/>
  <c r="C9" i="13"/>
  <c r="M18" i="13" a="1"/>
  <c r="M18" i="13"/>
  <c r="M17" i="13" a="1"/>
  <c r="M17" i="13"/>
  <c r="B8" i="13" a="1"/>
  <c r="B8" i="13"/>
  <c r="N7" i="13" a="1"/>
  <c r="N7" i="13"/>
  <c r="J7" i="13" a="1"/>
  <c r="J7" i="13"/>
  <c r="M7" i="13" a="1"/>
  <c r="M7" i="13"/>
  <c r="C4" i="13" a="1"/>
  <c r="C4" i="13"/>
  <c r="C7" i="13" a="1"/>
  <c r="C7" i="13"/>
  <c r="J5" i="13" a="1"/>
  <c r="J5" i="13"/>
  <c r="M6" i="13" a="1"/>
  <c r="M6" i="13"/>
  <c r="N6" i="13" a="1"/>
  <c r="N6" i="13"/>
  <c r="J6" i="13" a="1"/>
  <c r="J6" i="13"/>
  <c r="N5" i="13" a="1"/>
  <c r="N5" i="13"/>
  <c r="B4" i="13" a="1"/>
  <c r="B4" i="13"/>
  <c r="M5" i="13" a="1"/>
  <c r="M5" i="13"/>
  <c r="N21" i="13" a="1"/>
  <c r="N21" i="13"/>
  <c r="N23" i="13" a="1"/>
  <c r="N23" i="13"/>
  <c r="M22" i="13" a="1"/>
  <c r="M22" i="13"/>
  <c r="J21" i="13" a="1"/>
  <c r="J21" i="13"/>
  <c r="M32" i="13" a="1"/>
  <c r="M32" i="13"/>
  <c r="J30" i="13" a="1"/>
  <c r="J30" i="13"/>
  <c r="J23" i="13" a="1"/>
  <c r="J23" i="13"/>
  <c r="J29" i="13" a="1"/>
  <c r="J29" i="13"/>
  <c r="J22" i="13" a="1"/>
  <c r="J22" i="13"/>
  <c r="M23" i="13" a="1"/>
  <c r="M23" i="13"/>
  <c r="M21" i="13" a="1"/>
  <c r="M21" i="13"/>
  <c r="N22" i="13" a="1"/>
  <c r="N22" i="13"/>
  <c r="AA169" i="2" a="1"/>
  <c r="AA169" i="2"/>
  <c r="AA170" i="2" a="1"/>
  <c r="AA170" i="2"/>
  <c r="BD117" i="2" a="1"/>
  <c r="BD117" i="2"/>
  <c r="AA140" i="2" a="1"/>
  <c r="AA140" i="2"/>
  <c r="BD107" i="2" a="1"/>
  <c r="BD107" i="2"/>
  <c r="AA148" i="2" a="1"/>
  <c r="AA148" i="2"/>
  <c r="BD99" i="2" a="1"/>
  <c r="BD99" i="2"/>
  <c r="AA163" i="2" a="1"/>
  <c r="AA163" i="2"/>
  <c r="AA143" i="2" a="1"/>
  <c r="AA143" i="2"/>
  <c r="AA142" i="2" a="1"/>
  <c r="AA142" i="2"/>
  <c r="BD121" i="2" a="1"/>
  <c r="BD121" i="2"/>
  <c r="AA159" i="2" a="1"/>
  <c r="AA159" i="2"/>
  <c r="BD118" i="2" a="1"/>
  <c r="BD118" i="2"/>
  <c r="AA157" i="2" a="1"/>
  <c r="AA157" i="2"/>
  <c r="AA138" i="2" a="1"/>
  <c r="AA138" i="2"/>
  <c r="BD115" i="2" a="1"/>
  <c r="BD115" i="2"/>
  <c r="BD100" i="2" a="1"/>
  <c r="BD100" i="2"/>
  <c r="AA168" i="2" a="1"/>
  <c r="AA168" i="2"/>
  <c r="BD110" i="2" a="1"/>
  <c r="BD110" i="2"/>
  <c r="BD119" i="2" a="1"/>
  <c r="BD119" i="2"/>
  <c r="BD105" i="2" a="1"/>
  <c r="BD105" i="2"/>
  <c r="AA158" i="2" a="1"/>
  <c r="AA158" i="2"/>
  <c r="BD116" i="2" a="1"/>
  <c r="BD116" i="2"/>
  <c r="AA153" i="2" a="1"/>
  <c r="AA153" i="2"/>
  <c r="BD127" i="2" a="1"/>
  <c r="BD127" i="2"/>
  <c r="BD126" i="2" a="1"/>
  <c r="BD126" i="2"/>
  <c r="BD109" i="2" a="1"/>
  <c r="BD109" i="2"/>
  <c r="BD122" i="2" a="1"/>
  <c r="BD122" i="2"/>
  <c r="BD108" i="2" a="1"/>
  <c r="BD108" i="2"/>
  <c r="BD123" i="2" a="1"/>
  <c r="BD123" i="2"/>
  <c r="AA152" i="2" a="1"/>
  <c r="AA152" i="2"/>
  <c r="AA144" i="2" a="1"/>
  <c r="AA144" i="2"/>
  <c r="BD98" i="2" a="1"/>
  <c r="BD98" i="2"/>
  <c r="AA147" i="2" a="1"/>
  <c r="AA147" i="2"/>
  <c r="AA161" i="2" a="1"/>
  <c r="AA161" i="2"/>
  <c r="BD106" i="2" a="1"/>
  <c r="BD106" i="2"/>
  <c r="AA145" i="2" a="1"/>
  <c r="AA145" i="2"/>
  <c r="AA156" i="2" a="1"/>
  <c r="AA156" i="2"/>
  <c r="AA155" i="2" a="1"/>
  <c r="AA155" i="2"/>
  <c r="AA150" i="2" a="1"/>
  <c r="AA150" i="2"/>
  <c r="BD101" i="2" a="1"/>
  <c r="BD101" i="2"/>
  <c r="BD113" i="2" a="1"/>
  <c r="BD113" i="2"/>
  <c r="BD112" i="2" a="1"/>
  <c r="BD112" i="2"/>
  <c r="BD111" i="2" a="1"/>
  <c r="BD111" i="2"/>
  <c r="AA139" i="2" a="1"/>
  <c r="AA139" i="2"/>
  <c r="Z139" i="2" s="1"/>
  <c r="AA151" i="2" a="1"/>
  <c r="AA151" i="2"/>
  <c r="AA141" i="2" a="1"/>
  <c r="AA141" i="2"/>
  <c r="AA146" i="2" a="1"/>
  <c r="AA146" i="2"/>
  <c r="BD102" i="2" a="1"/>
  <c r="BD102" i="2"/>
  <c r="BD103" i="2" a="1"/>
  <c r="BD103" i="2"/>
  <c r="AA167" i="2" a="1"/>
  <c r="AA167" i="2"/>
  <c r="AA149" i="2" a="1"/>
  <c r="AA149" i="2"/>
  <c r="AA166" i="2" a="1"/>
  <c r="AA166" i="2"/>
  <c r="BD120" i="2" a="1"/>
  <c r="BD120" i="2"/>
  <c r="BD125" i="2" a="1"/>
  <c r="BD125" i="2"/>
  <c r="AA165" i="2" a="1"/>
  <c r="AA165" i="2"/>
  <c r="BD124" i="2" a="1"/>
  <c r="BD124" i="2"/>
  <c r="AA164" i="2" a="1"/>
  <c r="AA164" i="2"/>
  <c r="BD104" i="2" a="1"/>
  <c r="BD104" i="2"/>
  <c r="AA162" i="2" a="1"/>
  <c r="AA162" i="2"/>
  <c r="AA160" i="2" a="1"/>
  <c r="AA160" i="2"/>
  <c r="BD114" i="2" a="1"/>
  <c r="BD114" i="2"/>
  <c r="AA154" i="2" a="1"/>
  <c r="AA154" i="2"/>
  <c r="BD81" i="2" a="1"/>
  <c r="BD81" i="2"/>
  <c r="BD92" i="2" a="1"/>
  <c r="BD92" i="2"/>
  <c r="BD90" i="2" a="1"/>
  <c r="BD90" i="2"/>
  <c r="BD96" i="2" a="1"/>
  <c r="BD96" i="2"/>
  <c r="AA126" i="2" a="1"/>
  <c r="AA126" i="2"/>
  <c r="BD93" i="2" a="1"/>
  <c r="BD93" i="2"/>
  <c r="AA130" i="2" a="1"/>
  <c r="AA130" i="2"/>
  <c r="AA127" i="2" a="1"/>
  <c r="AA127" i="2"/>
  <c r="AA125" i="2" a="1"/>
  <c r="AA125" i="2"/>
  <c r="AA124" i="2" a="1"/>
  <c r="AA124" i="2"/>
  <c r="BD94" i="2" a="1"/>
  <c r="BD94" i="2"/>
  <c r="AA136" i="2" a="1"/>
  <c r="AA136" i="2"/>
  <c r="AA135" i="2" a="1"/>
  <c r="AA135" i="2"/>
  <c r="BD88" i="2" a="1"/>
  <c r="BD88" i="2"/>
  <c r="AA134" i="2" a="1"/>
  <c r="AA134" i="2"/>
  <c r="BD89" i="2" a="1"/>
  <c r="BD89" i="2"/>
  <c r="BD84" i="2" a="1"/>
  <c r="BD84" i="2"/>
  <c r="AA132" i="2" a="1"/>
  <c r="AA132" i="2"/>
  <c r="BD91" i="2" a="1"/>
  <c r="BD91" i="2"/>
  <c r="AA131" i="2" a="1"/>
  <c r="AA131" i="2"/>
  <c r="BD87" i="2" a="1"/>
  <c r="BD87" i="2"/>
  <c r="AA122" i="2" a="1"/>
  <c r="AA122" i="2"/>
  <c r="BD83" i="2" a="1"/>
  <c r="BD83" i="2"/>
  <c r="BD85" i="2" a="1"/>
  <c r="BD85" i="2"/>
  <c r="AA123" i="2" a="1"/>
  <c r="AA123" i="2"/>
  <c r="Z123" i="2" s="1"/>
  <c r="BD95" i="2" a="1"/>
  <c r="BD95" i="2"/>
  <c r="BD97" i="2" a="1"/>
  <c r="BD97" i="2"/>
  <c r="AA137" i="2" a="1"/>
  <c r="AA137" i="2"/>
  <c r="AA133" i="2" a="1"/>
  <c r="AA133" i="2"/>
  <c r="BD86" i="2" a="1"/>
  <c r="BD86" i="2"/>
  <c r="AA129" i="2" a="1"/>
  <c r="AA129" i="2"/>
  <c r="AA128" i="2" a="1"/>
  <c r="AA128" i="2"/>
  <c r="BD82" i="2" a="1"/>
  <c r="BD82" i="2"/>
  <c r="BD78" i="2" a="1"/>
  <c r="BD78" i="2"/>
  <c r="AA120" i="2" a="1"/>
  <c r="AA120" i="2"/>
  <c r="BD79" i="2" a="1"/>
  <c r="BD79" i="2"/>
  <c r="AA112" i="2" a="1"/>
  <c r="AA112" i="2"/>
  <c r="BD75" i="2" a="1"/>
  <c r="BD75" i="2"/>
  <c r="AA115" i="2" a="1"/>
  <c r="AA115" i="2"/>
  <c r="BD70" i="2" a="1"/>
  <c r="BD70" i="2"/>
  <c r="BD72" i="2" a="1"/>
  <c r="BD72" i="2"/>
  <c r="BD77" i="2" a="1"/>
  <c r="BD77" i="2"/>
  <c r="AA116" i="2" a="1"/>
  <c r="AA116" i="2"/>
  <c r="AA114" i="2" a="1"/>
  <c r="AA114" i="2"/>
  <c r="AA117" i="2" a="1"/>
  <c r="AA117" i="2"/>
  <c r="AA113" i="2" a="1"/>
  <c r="AA113" i="2"/>
  <c r="BD71" i="2" a="1"/>
  <c r="BD71" i="2"/>
  <c r="BD80" i="2" a="1"/>
  <c r="BD80" i="2"/>
  <c r="BD74" i="2" a="1"/>
  <c r="BD74" i="2"/>
  <c r="AA121" i="2" a="1"/>
  <c r="AA121" i="2"/>
  <c r="AA119" i="2" a="1"/>
  <c r="AA119" i="2"/>
  <c r="BD73" i="2" a="1"/>
  <c r="BD73" i="2"/>
  <c r="AA118" i="2" a="1"/>
  <c r="AA118" i="2"/>
  <c r="BD76" i="2" a="1"/>
  <c r="BD76" i="2"/>
  <c r="AA111" i="2" a="1"/>
  <c r="AA111" i="2"/>
  <c r="BD62" i="2" a="1"/>
  <c r="BD62" i="2"/>
  <c r="BD63" i="2" a="1"/>
  <c r="BD63" i="2"/>
  <c r="AA104" i="2" a="1"/>
  <c r="AA104" i="2"/>
  <c r="BD65" i="2" a="1"/>
  <c r="BD65" i="2"/>
  <c r="BD68" i="2" a="1"/>
  <c r="BD68" i="2"/>
  <c r="AA100" i="2" a="1"/>
  <c r="AA100" i="2"/>
  <c r="AA108" i="2" a="1"/>
  <c r="AA108" i="2"/>
  <c r="BD67" i="2" a="1"/>
  <c r="BD67" i="2"/>
  <c r="AA105" i="2" a="1"/>
  <c r="AA105" i="2"/>
  <c r="BD61" i="2" a="1"/>
  <c r="BD61" i="2"/>
  <c r="BD64" i="2" a="1"/>
  <c r="BD64" i="2"/>
  <c r="AA101" i="2" a="1"/>
  <c r="AA101" i="2"/>
  <c r="AA110" i="2" a="1"/>
  <c r="AA110" i="2"/>
  <c r="BD69" i="2" a="1"/>
  <c r="BD69" i="2"/>
  <c r="AA109" i="2" a="1"/>
  <c r="AA109" i="2"/>
  <c r="AA107" i="2" a="1"/>
  <c r="AA107" i="2"/>
  <c r="Z107" i="2" s="1"/>
  <c r="AA102" i="2" a="1"/>
  <c r="AA102" i="2"/>
  <c r="AA103" i="2" a="1"/>
  <c r="AA103" i="2"/>
  <c r="BD66" i="2" a="1"/>
  <c r="BD66" i="2"/>
  <c r="AA106" i="2" a="1"/>
  <c r="AA106" i="2"/>
  <c r="BD59" i="2" a="1"/>
  <c r="BD59" i="2"/>
  <c r="BD60" i="2" a="1"/>
  <c r="BD60" i="2"/>
  <c r="AA87" i="2" a="1"/>
  <c r="AA87" i="2"/>
  <c r="AA89" i="2" a="1"/>
  <c r="AA89" i="2"/>
  <c r="BD46" i="2" a="1"/>
  <c r="BD46" i="2"/>
  <c r="BD50" i="2" a="1"/>
  <c r="BD50" i="2"/>
  <c r="BD54" i="2" a="1"/>
  <c r="BD54" i="2"/>
  <c r="AA88" i="2" a="1"/>
  <c r="AA88" i="2"/>
  <c r="BD51" i="2" a="1"/>
  <c r="BD51" i="2"/>
  <c r="AA90" i="2" a="1"/>
  <c r="AA90" i="2"/>
  <c r="AA92" i="2" a="1"/>
  <c r="AA92" i="2"/>
  <c r="BD47" i="2" a="1"/>
  <c r="BD47" i="2"/>
  <c r="BD53" i="2" a="1"/>
  <c r="BD53" i="2"/>
  <c r="AA93" i="2" a="1"/>
  <c r="AA93" i="2"/>
  <c r="AA91" i="2" a="1"/>
  <c r="AA91" i="2"/>
  <c r="Z91" i="2" s="1"/>
  <c r="AA99" i="2" a="1"/>
  <c r="AA99" i="2"/>
  <c r="AA94" i="2" a="1"/>
  <c r="AA94" i="2"/>
  <c r="BD58" i="2" a="1"/>
  <c r="BD58" i="2"/>
  <c r="AA96" i="2" a="1"/>
  <c r="AA96" i="2"/>
  <c r="BD56" i="2" a="1"/>
  <c r="BD56" i="2"/>
  <c r="BD55" i="2" a="1"/>
  <c r="BD55" i="2"/>
  <c r="BD49" i="2" a="1"/>
  <c r="BD49" i="2"/>
  <c r="BD52" i="2" a="1"/>
  <c r="BD52" i="2"/>
  <c r="BD48" i="2" a="1"/>
  <c r="BD48" i="2"/>
  <c r="AA98" i="2" a="1"/>
  <c r="AA98" i="2"/>
  <c r="BD57" i="2" a="1"/>
  <c r="BD57" i="2"/>
  <c r="AA97" i="2" a="1"/>
  <c r="AA97" i="2"/>
  <c r="AA95" i="2" a="1"/>
  <c r="AA95" i="2"/>
  <c r="AA72" i="2" a="1"/>
  <c r="AA72" i="2"/>
  <c r="Z72" i="2" s="1"/>
  <c r="AA83" i="2" a="1"/>
  <c r="AA83" i="2"/>
  <c r="AA86" i="2" a="1"/>
  <c r="AA86" i="2"/>
  <c r="S83" i="2" a="1"/>
  <c r="S83" i="2"/>
  <c r="AA67" i="2" a="1"/>
  <c r="AA67" i="2"/>
  <c r="R83" i="2" a="1"/>
  <c r="R83" i="2"/>
  <c r="Q83" i="2" a="1"/>
  <c r="Q83" i="2"/>
  <c r="S81" i="2" a="1"/>
  <c r="S81" i="2"/>
  <c r="S74" i="2" a="1"/>
  <c r="S74" i="2"/>
  <c r="R79" i="2" a="1"/>
  <c r="R79" i="2"/>
  <c r="R75" i="2" a="1"/>
  <c r="R75" i="2"/>
  <c r="R77" i="2" a="1"/>
  <c r="R77" i="2"/>
  <c r="AA70" i="2" a="1"/>
  <c r="AA70" i="2"/>
  <c r="AA68" i="2" a="1"/>
  <c r="AA68" i="2"/>
  <c r="AA81" i="2" a="1"/>
  <c r="AA81" i="2"/>
  <c r="S82" i="2" a="1"/>
  <c r="S82" i="2"/>
  <c r="R81" i="2" a="1"/>
  <c r="R81" i="2"/>
  <c r="AA71" i="2" a="1"/>
  <c r="AA71" i="2"/>
  <c r="Z71" i="2" s="1"/>
  <c r="R80" i="2" a="1"/>
  <c r="R80" i="2"/>
  <c r="Q74" i="2" a="1"/>
  <c r="Q74" i="2"/>
  <c r="Q80" i="2" a="1"/>
  <c r="Q80" i="2"/>
  <c r="R78" i="2" a="1"/>
  <c r="R78" i="2"/>
  <c r="AA78" i="2" a="1"/>
  <c r="AA78" i="2"/>
  <c r="S79" i="2" a="1"/>
  <c r="S79" i="2"/>
  <c r="S78" i="2" a="1"/>
  <c r="S78" i="2"/>
  <c r="AA75" i="2" a="1"/>
  <c r="AA75" i="2"/>
  <c r="Z75" i="2" s="1"/>
  <c r="AA73" i="2" a="1"/>
  <c r="AA73" i="2"/>
  <c r="Z73" i="2" s="1"/>
  <c r="AA69" i="2" a="1"/>
  <c r="AA69" i="2"/>
  <c r="S76" i="2" a="1"/>
  <c r="S76" i="2"/>
  <c r="S80" i="2" a="1"/>
  <c r="S80" i="2"/>
  <c r="R76" i="2" a="1"/>
  <c r="R76" i="2"/>
  <c r="Q81" i="2" a="1"/>
  <c r="Q81" i="2"/>
  <c r="AA77" i="2" a="1"/>
  <c r="AA77" i="2"/>
  <c r="AA74" i="2" a="1"/>
  <c r="AA74" i="2"/>
  <c r="Z74" i="2" s="1"/>
  <c r="AA85" i="2" a="1"/>
  <c r="AA85" i="2"/>
  <c r="AA84" i="2" a="1"/>
  <c r="AA84" i="2"/>
  <c r="S77" i="2" a="1"/>
  <c r="S77" i="2"/>
  <c r="AA79" i="2" a="1"/>
  <c r="AA79" i="2"/>
  <c r="Q75" i="2" a="1"/>
  <c r="Q75" i="2"/>
  <c r="AA82" i="2" a="1"/>
  <c r="AA82" i="2"/>
  <c r="Q77" i="2" a="1"/>
  <c r="Q77" i="2"/>
  <c r="R82" i="2" a="1"/>
  <c r="R82" i="2"/>
  <c r="Q82" i="2" a="1"/>
  <c r="Q82" i="2"/>
  <c r="AA65" i="2" a="1"/>
  <c r="AA65" i="2"/>
  <c r="AA80" i="2" a="1"/>
  <c r="AA80" i="2"/>
  <c r="AA66" i="2" a="1"/>
  <c r="AA66" i="2"/>
  <c r="Q79" i="2" a="1"/>
  <c r="Q79" i="2"/>
  <c r="Q78" i="2" a="1"/>
  <c r="Q78" i="2"/>
  <c r="AA76" i="2" a="1"/>
  <c r="AA76" i="2"/>
  <c r="Q76" i="2" a="1"/>
  <c r="Q76" i="2"/>
  <c r="S75" i="2" a="1"/>
  <c r="S75" i="2"/>
  <c r="R74" i="2" a="1"/>
  <c r="R74" i="2"/>
  <c r="AH56" i="2" a="1"/>
  <c r="AH56" i="2"/>
  <c r="AG56" i="2" a="1"/>
  <c r="AG56" i="2"/>
  <c r="AA55" i="2" a="1"/>
  <c r="AA55" i="2"/>
  <c r="Z55" i="2" s="1"/>
  <c r="AA58" i="2" a="1"/>
  <c r="AA58" i="2"/>
  <c r="AA57" i="2" a="1"/>
  <c r="AA57" i="2"/>
  <c r="AA56" i="2" a="1"/>
  <c r="AA56" i="2"/>
  <c r="Z56" i="2" s="1"/>
  <c r="F274" i="1" s="1"/>
  <c r="AA64" i="2" a="1"/>
  <c r="AA64" i="2"/>
  <c r="AA63" i="2" a="1"/>
  <c r="AA63" i="2"/>
  <c r="AA59" i="2" a="1"/>
  <c r="AA59" i="2"/>
  <c r="AA62" i="2" a="1"/>
  <c r="AA62" i="2"/>
  <c r="AA61" i="2" a="1"/>
  <c r="AA61" i="2"/>
  <c r="AA60" i="2" a="1"/>
  <c r="AA60" i="2"/>
  <c r="AH55" i="2" a="1"/>
  <c r="AH55" i="2"/>
  <c r="AG55" i="2" a="1"/>
  <c r="AG55" i="2"/>
  <c r="AA53" i="2" a="1"/>
  <c r="AA53" i="2"/>
  <c r="AA54" i="2" a="1"/>
  <c r="AA54" i="2"/>
  <c r="Z54" i="2" s="1"/>
  <c r="AG54" i="2" a="1"/>
  <c r="AG54" i="2"/>
  <c r="AH54" i="2" a="1"/>
  <c r="AH54" i="2"/>
  <c r="AG53" i="2" a="1"/>
  <c r="AG53" i="2"/>
  <c r="AA51" i="2" a="1"/>
  <c r="AA51" i="2"/>
  <c r="AA52" i="2" a="1"/>
  <c r="AA52" i="2"/>
  <c r="AA50" i="2" a="1"/>
  <c r="AA50" i="2"/>
  <c r="AA49" i="2" a="1"/>
  <c r="AA49" i="2"/>
  <c r="AA48" i="2" a="1"/>
  <c r="AA48" i="2"/>
  <c r="AA47" i="2" a="1"/>
  <c r="AA47" i="2"/>
  <c r="AA46" i="2" a="1"/>
  <c r="AA46" i="2"/>
  <c r="AA45" i="2" a="1"/>
  <c r="AA45" i="2"/>
  <c r="AA44" i="2" a="1"/>
  <c r="AA44" i="2"/>
  <c r="AA43" i="2" a="1"/>
  <c r="AA43" i="2"/>
  <c r="AA41" i="2" a="1"/>
  <c r="AA41" i="2"/>
  <c r="AA42" i="2" a="1"/>
  <c r="AA42" i="2"/>
  <c r="AA39" i="2" a="1"/>
  <c r="AA39" i="2"/>
  <c r="AA38" i="2" a="1"/>
  <c r="AA38" i="2"/>
  <c r="Z38" i="2" s="1"/>
  <c r="AA35" i="2" a="1"/>
  <c r="AA35" i="2"/>
  <c r="AA36" i="2" a="1"/>
  <c r="AA36" i="2"/>
  <c r="AA37" i="2" a="1"/>
  <c r="AA37" i="2"/>
  <c r="AA33" i="2" a="1"/>
  <c r="AA33" i="2"/>
  <c r="AA34" i="2" a="1"/>
  <c r="AA34" i="2"/>
  <c r="AA32" i="2" a="1"/>
  <c r="AA32" i="2"/>
  <c r="AA31" i="2" a="1"/>
  <c r="AA31" i="2"/>
  <c r="AA30" i="2" a="1"/>
  <c r="AA30" i="2"/>
  <c r="AA29" i="2" a="1"/>
  <c r="AA29" i="2"/>
  <c r="AA28" i="2" a="1"/>
  <c r="AA28" i="2"/>
  <c r="AA27" i="2" a="1"/>
  <c r="AA27" i="2"/>
  <c r="AA25" i="2" a="1"/>
  <c r="AA25" i="2"/>
  <c r="AA26" i="2" a="1"/>
  <c r="AA26" i="2"/>
  <c r="AA23" i="2" a="1"/>
  <c r="AA23" i="2"/>
  <c r="AA24" i="2" a="1"/>
  <c r="AA24" i="2"/>
  <c r="AA21" i="2" a="1"/>
  <c r="AA21" i="2"/>
  <c r="Z21" i="2" s="1"/>
  <c r="AA22" i="2" a="1"/>
  <c r="AA22" i="2"/>
  <c r="Z22" i="2" s="1"/>
  <c r="AA18" i="2" a="1"/>
  <c r="AA18" i="2"/>
  <c r="AA20" i="2" a="1"/>
  <c r="AA20" i="2"/>
  <c r="AA19" i="2" a="1"/>
  <c r="AA19" i="2"/>
  <c r="AA17" i="2" a="1"/>
  <c r="AA17" i="2"/>
  <c r="AA16" i="2" a="1"/>
  <c r="AA16" i="2"/>
  <c r="AA13" i="2" a="1"/>
  <c r="AA13" i="2"/>
  <c r="AA15" i="2" a="1"/>
  <c r="AA15" i="2"/>
  <c r="AA14" i="2" a="1"/>
  <c r="AA14" i="2"/>
  <c r="AA12" i="2" a="1"/>
  <c r="AA12" i="2"/>
  <c r="AA11" i="2" a="1"/>
  <c r="AA11" i="2"/>
  <c r="AA9" i="2" a="1"/>
  <c r="AA9" i="2"/>
  <c r="AA10" i="2" a="1"/>
  <c r="AA10" i="2"/>
  <c r="AA6" i="2" a="1"/>
  <c r="AA6" i="2"/>
  <c r="AA8" i="2" a="1"/>
  <c r="AA8" i="2"/>
  <c r="AA7" i="2" a="1"/>
  <c r="AA7" i="2"/>
  <c r="AA4" i="2" a="1"/>
  <c r="AA4" i="2"/>
  <c r="Z4" i="2" s="1"/>
  <c r="AA5" i="2" a="1"/>
  <c r="AA5" i="2"/>
  <c r="Z5" i="2" s="1"/>
  <c r="AA40" i="2" a="1"/>
  <c r="AA40" i="2"/>
  <c r="CE55" i="2"/>
  <c r="CD55" i="2"/>
  <c r="CC55" i="2"/>
  <c r="CB55" i="2"/>
  <c r="CA55" i="2"/>
  <c r="BZ55" i="2"/>
  <c r="BY55" i="2"/>
  <c r="BX55" i="2"/>
  <c r="BW55" i="2"/>
  <c r="BV55" i="2"/>
  <c r="BU55" i="2"/>
  <c r="BS55" i="2"/>
  <c r="BR55" i="2"/>
  <c r="BQ55" i="2"/>
  <c r="BP55" i="2"/>
  <c r="BO55" i="2"/>
  <c r="BN55" i="2"/>
  <c r="BM55" i="2"/>
  <c r="BL55" i="2"/>
  <c r="BK55" i="2"/>
  <c r="BJ55" i="2"/>
  <c r="BI55" i="2"/>
  <c r="BT55" i="2" s="1"/>
  <c r="BH55" i="2"/>
  <c r="CE54" i="2"/>
  <c r="CD54" i="2"/>
  <c r="CC54" i="2"/>
  <c r="CB54" i="2"/>
  <c r="CA54" i="2"/>
  <c r="BZ54" i="2"/>
  <c r="BY54" i="2"/>
  <c r="BX54" i="2"/>
  <c r="BW54" i="2"/>
  <c r="BV54" i="2"/>
  <c r="BU54" i="2"/>
  <c r="BS54" i="2"/>
  <c r="BR54" i="2"/>
  <c r="BQ54" i="2"/>
  <c r="BP54" i="2"/>
  <c r="BO54" i="2"/>
  <c r="BN54" i="2"/>
  <c r="BM54" i="2"/>
  <c r="BL54" i="2"/>
  <c r="BK54" i="2"/>
  <c r="BJ54" i="2"/>
  <c r="BI54" i="2"/>
  <c r="BT54" i="2" s="1"/>
  <c r="BH54" i="2"/>
  <c r="CE53" i="2"/>
  <c r="CD53" i="2"/>
  <c r="CC53" i="2"/>
  <c r="CB53" i="2"/>
  <c r="CA53" i="2"/>
  <c r="BZ53" i="2"/>
  <c r="BY53" i="2"/>
  <c r="BX53" i="2"/>
  <c r="BW53" i="2"/>
  <c r="BV53" i="2"/>
  <c r="BU53" i="2"/>
  <c r="BS53" i="2"/>
  <c r="BR53" i="2"/>
  <c r="BQ53" i="2"/>
  <c r="BP53" i="2"/>
  <c r="BO53" i="2"/>
  <c r="BN53" i="2"/>
  <c r="BM53" i="2"/>
  <c r="BL53" i="2"/>
  <c r="BK53" i="2"/>
  <c r="BJ53" i="2"/>
  <c r="BI53" i="2"/>
  <c r="BT53" i="2" s="1"/>
  <c r="BH53" i="2"/>
  <c r="CE52" i="2"/>
  <c r="CD52" i="2"/>
  <c r="CC52" i="2"/>
  <c r="CB52" i="2"/>
  <c r="CA52" i="2"/>
  <c r="BZ52" i="2"/>
  <c r="BY52" i="2"/>
  <c r="BX52" i="2"/>
  <c r="BW52" i="2"/>
  <c r="BV52" i="2"/>
  <c r="BU52" i="2"/>
  <c r="BS52" i="2"/>
  <c r="BR52" i="2"/>
  <c r="BQ52" i="2"/>
  <c r="BP52" i="2"/>
  <c r="BO52" i="2"/>
  <c r="BN52" i="2"/>
  <c r="BM52" i="2"/>
  <c r="BL52" i="2"/>
  <c r="BK52" i="2"/>
  <c r="BJ52" i="2"/>
  <c r="BI52" i="2"/>
  <c r="BT52" i="2" s="1"/>
  <c r="BH52" i="2"/>
  <c r="CE51" i="2"/>
  <c r="CD51" i="2"/>
  <c r="CC51" i="2"/>
  <c r="CB51" i="2"/>
  <c r="CA51" i="2"/>
  <c r="BZ51" i="2"/>
  <c r="BY51" i="2"/>
  <c r="BX51" i="2"/>
  <c r="BW51" i="2"/>
  <c r="BV51" i="2"/>
  <c r="BU51" i="2"/>
  <c r="BS51" i="2"/>
  <c r="BR51" i="2"/>
  <c r="BQ51" i="2"/>
  <c r="BP51" i="2"/>
  <c r="BO51" i="2"/>
  <c r="BN51" i="2"/>
  <c r="BM51" i="2"/>
  <c r="BL51" i="2"/>
  <c r="BK51" i="2"/>
  <c r="BJ51" i="2"/>
  <c r="BI51" i="2"/>
  <c r="BT51" i="2" s="1"/>
  <c r="BH51" i="2"/>
  <c r="CE50" i="2"/>
  <c r="CD50" i="2"/>
  <c r="CC50" i="2"/>
  <c r="CB50" i="2"/>
  <c r="CA50" i="2"/>
  <c r="BZ50" i="2"/>
  <c r="BY50" i="2"/>
  <c r="BX50" i="2"/>
  <c r="BW50" i="2"/>
  <c r="BV50" i="2"/>
  <c r="BU50" i="2"/>
  <c r="BS50" i="2"/>
  <c r="BR50" i="2"/>
  <c r="BQ50" i="2"/>
  <c r="BP50" i="2"/>
  <c r="BO50" i="2"/>
  <c r="BN50" i="2"/>
  <c r="BM50" i="2"/>
  <c r="BL50" i="2"/>
  <c r="BK50" i="2"/>
  <c r="BJ50" i="2"/>
  <c r="BI50" i="2"/>
  <c r="BT50" i="2" s="1"/>
  <c r="BH50" i="2"/>
  <c r="CE49" i="2"/>
  <c r="CD49" i="2"/>
  <c r="CC49" i="2"/>
  <c r="CB49" i="2"/>
  <c r="CA49" i="2"/>
  <c r="BZ49" i="2"/>
  <c r="BY49" i="2"/>
  <c r="BX49" i="2"/>
  <c r="BW49" i="2"/>
  <c r="BV49" i="2"/>
  <c r="BU49" i="2"/>
  <c r="BS49" i="2"/>
  <c r="BR49" i="2"/>
  <c r="BQ49" i="2"/>
  <c r="BP49" i="2"/>
  <c r="BO49" i="2"/>
  <c r="BN49" i="2"/>
  <c r="BM49" i="2"/>
  <c r="BL49" i="2"/>
  <c r="BK49" i="2"/>
  <c r="BJ49" i="2"/>
  <c r="BI49" i="2"/>
  <c r="BT49" i="2" s="1"/>
  <c r="BH49" i="2"/>
  <c r="CE48" i="2"/>
  <c r="CD48" i="2"/>
  <c r="CC48" i="2"/>
  <c r="CB48" i="2"/>
  <c r="CA48" i="2"/>
  <c r="BZ48" i="2"/>
  <c r="BY48" i="2"/>
  <c r="BX48" i="2"/>
  <c r="BW48" i="2"/>
  <c r="BV48" i="2"/>
  <c r="BU48" i="2"/>
  <c r="BS48" i="2"/>
  <c r="BR48" i="2"/>
  <c r="BQ48" i="2"/>
  <c r="BP48" i="2"/>
  <c r="BO48" i="2"/>
  <c r="BN48" i="2"/>
  <c r="BM48" i="2"/>
  <c r="BL48" i="2"/>
  <c r="BK48" i="2"/>
  <c r="BJ48" i="2"/>
  <c r="BI48" i="2"/>
  <c r="BT48" i="2" s="1"/>
  <c r="BH48" i="2"/>
  <c r="CE47" i="2"/>
  <c r="CD47" i="2"/>
  <c r="CC47" i="2"/>
  <c r="CB47" i="2"/>
  <c r="CA47" i="2"/>
  <c r="BZ47" i="2"/>
  <c r="BY47" i="2"/>
  <c r="BX47" i="2"/>
  <c r="BW47" i="2"/>
  <c r="BV47" i="2"/>
  <c r="BU47" i="2"/>
  <c r="BS47" i="2"/>
  <c r="BR47" i="2"/>
  <c r="BQ47" i="2"/>
  <c r="BP47" i="2"/>
  <c r="BO47" i="2"/>
  <c r="BN47" i="2"/>
  <c r="BM47" i="2"/>
  <c r="BL47" i="2"/>
  <c r="BK47" i="2"/>
  <c r="BJ47" i="2"/>
  <c r="BI47" i="2"/>
  <c r="BT47" i="2" s="1"/>
  <c r="BH47" i="2"/>
  <c r="CE46" i="2"/>
  <c r="CD46" i="2"/>
  <c r="CC46" i="2"/>
  <c r="CB46" i="2"/>
  <c r="CA46" i="2"/>
  <c r="BZ46" i="2"/>
  <c r="BY46" i="2"/>
  <c r="BX46" i="2"/>
  <c r="BW46" i="2"/>
  <c r="BV46" i="2"/>
  <c r="BU46" i="2"/>
  <c r="BS46" i="2"/>
  <c r="BR46" i="2"/>
  <c r="BQ46" i="2"/>
  <c r="BP46" i="2"/>
  <c r="BO46" i="2"/>
  <c r="BN46" i="2"/>
  <c r="BM46" i="2"/>
  <c r="BL46" i="2"/>
  <c r="BK46" i="2"/>
  <c r="BJ46" i="2"/>
  <c r="BI46" i="2"/>
  <c r="BT46" i="2" s="1"/>
  <c r="BH46" i="2"/>
  <c r="CE45" i="2"/>
  <c r="CD45" i="2"/>
  <c r="CC45" i="2"/>
  <c r="CB45" i="2"/>
  <c r="CA45" i="2"/>
  <c r="BZ45" i="2"/>
  <c r="BY45" i="2"/>
  <c r="BX45" i="2"/>
  <c r="BW45" i="2"/>
  <c r="BV45" i="2"/>
  <c r="BU45" i="2"/>
  <c r="BS45" i="2"/>
  <c r="BR45" i="2"/>
  <c r="BQ45" i="2"/>
  <c r="BP45" i="2"/>
  <c r="BO45" i="2"/>
  <c r="BN45" i="2"/>
  <c r="BM45" i="2"/>
  <c r="BL45" i="2"/>
  <c r="BK45" i="2"/>
  <c r="BJ45" i="2"/>
  <c r="BI45" i="2"/>
  <c r="BT45" i="2" s="1"/>
  <c r="BH45" i="2"/>
  <c r="CE44" i="2"/>
  <c r="CD44" i="2"/>
  <c r="CC44" i="2"/>
  <c r="CB44" i="2"/>
  <c r="CA44" i="2"/>
  <c r="BZ44" i="2"/>
  <c r="BY44" i="2"/>
  <c r="BX44" i="2"/>
  <c r="BW44" i="2"/>
  <c r="BV44" i="2"/>
  <c r="BU44" i="2"/>
  <c r="BS44" i="2"/>
  <c r="BR44" i="2"/>
  <c r="BQ44" i="2"/>
  <c r="BP44" i="2"/>
  <c r="BO44" i="2"/>
  <c r="BN44" i="2"/>
  <c r="BM44" i="2"/>
  <c r="BL44" i="2"/>
  <c r="BK44" i="2"/>
  <c r="BJ44" i="2"/>
  <c r="BI44" i="2"/>
  <c r="BT44" i="2" s="1"/>
  <c r="BH44" i="2"/>
  <c r="CE43" i="2"/>
  <c r="CD43" i="2"/>
  <c r="CC43" i="2"/>
  <c r="CB43" i="2"/>
  <c r="CA43" i="2"/>
  <c r="BZ43" i="2"/>
  <c r="BY43" i="2"/>
  <c r="BX43" i="2"/>
  <c r="BW43" i="2"/>
  <c r="BV43" i="2"/>
  <c r="BU43" i="2"/>
  <c r="BS43" i="2"/>
  <c r="BR43" i="2"/>
  <c r="BQ43" i="2"/>
  <c r="BP43" i="2"/>
  <c r="BO43" i="2"/>
  <c r="BN43" i="2"/>
  <c r="BM43" i="2"/>
  <c r="BL43" i="2"/>
  <c r="BK43" i="2"/>
  <c r="BJ43" i="2"/>
  <c r="BI43" i="2"/>
  <c r="BT43" i="2" s="1"/>
  <c r="BH43" i="2"/>
  <c r="CE42" i="2"/>
  <c r="CD42" i="2"/>
  <c r="CC42" i="2"/>
  <c r="CB42" i="2"/>
  <c r="CA42" i="2"/>
  <c r="BZ42" i="2"/>
  <c r="BY42" i="2"/>
  <c r="BX42" i="2"/>
  <c r="BW42" i="2"/>
  <c r="BV42" i="2"/>
  <c r="BU42" i="2"/>
  <c r="BS42" i="2"/>
  <c r="BR42" i="2"/>
  <c r="BQ42" i="2"/>
  <c r="BP42" i="2"/>
  <c r="BO42" i="2"/>
  <c r="BN42" i="2"/>
  <c r="BM42" i="2"/>
  <c r="BL42" i="2"/>
  <c r="BK42" i="2"/>
  <c r="BJ42" i="2"/>
  <c r="BI42" i="2"/>
  <c r="BT42" i="2" s="1"/>
  <c r="BH42" i="2"/>
  <c r="CE41" i="2"/>
  <c r="CD41" i="2"/>
  <c r="CC41" i="2"/>
  <c r="CB41" i="2"/>
  <c r="CA41" i="2"/>
  <c r="BZ41" i="2"/>
  <c r="BY41" i="2"/>
  <c r="BX41" i="2"/>
  <c r="BW41" i="2"/>
  <c r="BV41" i="2"/>
  <c r="BU41" i="2"/>
  <c r="BS41" i="2"/>
  <c r="BR41" i="2"/>
  <c r="BQ41" i="2"/>
  <c r="BP41" i="2"/>
  <c r="BO41" i="2"/>
  <c r="BN41" i="2"/>
  <c r="BM41" i="2"/>
  <c r="BL41" i="2"/>
  <c r="BK41" i="2"/>
  <c r="BJ41" i="2"/>
  <c r="BI41" i="2"/>
  <c r="BT41" i="2" s="1"/>
  <c r="BH41" i="2"/>
  <c r="CE40" i="2"/>
  <c r="CD40" i="2"/>
  <c r="CC40" i="2"/>
  <c r="CB40" i="2"/>
  <c r="CA40" i="2"/>
  <c r="BZ40" i="2"/>
  <c r="BY40" i="2"/>
  <c r="BX40" i="2"/>
  <c r="BW40" i="2"/>
  <c r="BV40" i="2"/>
  <c r="BU40" i="2"/>
  <c r="BS40" i="2"/>
  <c r="BR40" i="2"/>
  <c r="BQ40" i="2"/>
  <c r="BP40" i="2"/>
  <c r="BO40" i="2"/>
  <c r="BN40" i="2"/>
  <c r="BM40" i="2"/>
  <c r="BL40" i="2"/>
  <c r="BK40" i="2"/>
  <c r="BJ40" i="2"/>
  <c r="BI40" i="2"/>
  <c r="BT40" i="2" s="1"/>
  <c r="BH40" i="2"/>
  <c r="CE39" i="2"/>
  <c r="CD39" i="2"/>
  <c r="CC39" i="2"/>
  <c r="CB39" i="2"/>
  <c r="CA39" i="2"/>
  <c r="BZ39" i="2"/>
  <c r="BY39" i="2"/>
  <c r="BX39" i="2"/>
  <c r="BW39" i="2"/>
  <c r="BV39" i="2"/>
  <c r="BU39" i="2"/>
  <c r="BS39" i="2"/>
  <c r="BR39" i="2"/>
  <c r="BQ39" i="2"/>
  <c r="BP39" i="2"/>
  <c r="BO39" i="2"/>
  <c r="BN39" i="2"/>
  <c r="BM39" i="2"/>
  <c r="BL39" i="2"/>
  <c r="BK39" i="2"/>
  <c r="BJ39" i="2"/>
  <c r="BI39" i="2"/>
  <c r="BT39" i="2" s="1"/>
  <c r="CE38" i="2"/>
  <c r="CD38" i="2"/>
  <c r="CC38" i="2"/>
  <c r="CB38" i="2"/>
  <c r="CA38" i="2"/>
  <c r="BZ38" i="2"/>
  <c r="BY38" i="2"/>
  <c r="BX38" i="2"/>
  <c r="BW38" i="2"/>
  <c r="BV38" i="2"/>
  <c r="BU38" i="2"/>
  <c r="BS38" i="2"/>
  <c r="BR38" i="2"/>
  <c r="BQ38" i="2"/>
  <c r="BP38" i="2"/>
  <c r="BO38" i="2"/>
  <c r="BN38" i="2"/>
  <c r="BM38" i="2"/>
  <c r="BL38" i="2"/>
  <c r="BK38" i="2"/>
  <c r="BJ38" i="2"/>
  <c r="BI38" i="2"/>
  <c r="BT38" i="2" s="1"/>
  <c r="BH38" i="2"/>
  <c r="CE37" i="2"/>
  <c r="CD37" i="2"/>
  <c r="CC37" i="2"/>
  <c r="CB37" i="2"/>
  <c r="CA37" i="2"/>
  <c r="BZ37" i="2"/>
  <c r="BY37" i="2"/>
  <c r="BX37" i="2"/>
  <c r="BW37" i="2"/>
  <c r="BV37" i="2"/>
  <c r="BU37" i="2"/>
  <c r="BS37" i="2"/>
  <c r="BR37" i="2"/>
  <c r="BQ37" i="2"/>
  <c r="BP37" i="2"/>
  <c r="BO37" i="2"/>
  <c r="BN37" i="2"/>
  <c r="BM37" i="2"/>
  <c r="BL37" i="2"/>
  <c r="BK37" i="2"/>
  <c r="BJ37" i="2"/>
  <c r="BI37" i="2"/>
  <c r="BT37" i="2" s="1"/>
  <c r="BH37" i="2"/>
  <c r="CE36" i="2"/>
  <c r="CD36" i="2"/>
  <c r="CC36" i="2"/>
  <c r="CB36" i="2"/>
  <c r="CA36" i="2"/>
  <c r="BZ36" i="2"/>
  <c r="BY36" i="2"/>
  <c r="BX36" i="2"/>
  <c r="BW36" i="2"/>
  <c r="BV36" i="2"/>
  <c r="BU36" i="2"/>
  <c r="BS36" i="2"/>
  <c r="BR36" i="2"/>
  <c r="BQ36" i="2"/>
  <c r="BP36" i="2"/>
  <c r="BO36" i="2"/>
  <c r="BN36" i="2"/>
  <c r="BM36" i="2"/>
  <c r="BL36" i="2"/>
  <c r="BK36" i="2"/>
  <c r="BJ36" i="2"/>
  <c r="BI36" i="2"/>
  <c r="BT36" i="2" s="1"/>
  <c r="CE35" i="2"/>
  <c r="CD35" i="2"/>
  <c r="CC35" i="2"/>
  <c r="CB35" i="2"/>
  <c r="CA35" i="2"/>
  <c r="BZ35" i="2"/>
  <c r="BY35" i="2"/>
  <c r="BX35" i="2"/>
  <c r="BW35" i="2"/>
  <c r="BV35" i="2"/>
  <c r="BU35" i="2"/>
  <c r="BS35" i="2"/>
  <c r="BR35" i="2"/>
  <c r="BQ35" i="2"/>
  <c r="BP35" i="2"/>
  <c r="BO35" i="2"/>
  <c r="BN35" i="2"/>
  <c r="BM35" i="2"/>
  <c r="BL35" i="2"/>
  <c r="BK35" i="2"/>
  <c r="BJ35" i="2"/>
  <c r="BI35" i="2"/>
  <c r="BT35" i="2" s="1"/>
  <c r="BH35" i="2"/>
  <c r="CE34" i="2"/>
  <c r="CD34" i="2"/>
  <c r="CC34" i="2"/>
  <c r="CB34" i="2"/>
  <c r="CA34" i="2"/>
  <c r="BZ34" i="2"/>
  <c r="BY34" i="2"/>
  <c r="BX34" i="2"/>
  <c r="BW34" i="2"/>
  <c r="BV34" i="2"/>
  <c r="BU34" i="2"/>
  <c r="BS34" i="2"/>
  <c r="BR34" i="2"/>
  <c r="BQ34" i="2"/>
  <c r="BP34" i="2"/>
  <c r="BO34" i="2"/>
  <c r="BN34" i="2"/>
  <c r="BM34" i="2"/>
  <c r="BL34" i="2"/>
  <c r="BK34" i="2"/>
  <c r="BJ34" i="2"/>
  <c r="BI34" i="2"/>
  <c r="BT34" i="2" s="1"/>
  <c r="BH34" i="2"/>
  <c r="CE33" i="2"/>
  <c r="CD33" i="2"/>
  <c r="CC33" i="2"/>
  <c r="CB33" i="2"/>
  <c r="CA33" i="2"/>
  <c r="BZ33" i="2"/>
  <c r="BY33" i="2"/>
  <c r="BX33" i="2"/>
  <c r="BW33" i="2"/>
  <c r="BV33" i="2"/>
  <c r="BU33" i="2"/>
  <c r="BS33" i="2"/>
  <c r="BR33" i="2"/>
  <c r="BQ33" i="2"/>
  <c r="BP33" i="2"/>
  <c r="BO33" i="2"/>
  <c r="BN33" i="2"/>
  <c r="BM33" i="2"/>
  <c r="BL33" i="2"/>
  <c r="BK33" i="2"/>
  <c r="BJ33" i="2"/>
  <c r="BI33" i="2"/>
  <c r="BT33" i="2" s="1"/>
  <c r="BH33" i="2"/>
  <c r="CE32" i="2"/>
  <c r="CD32" i="2"/>
  <c r="CC32" i="2"/>
  <c r="CB32" i="2"/>
  <c r="CA32" i="2"/>
  <c r="BZ32" i="2"/>
  <c r="BY32" i="2"/>
  <c r="BX32" i="2"/>
  <c r="BW32" i="2"/>
  <c r="BV32" i="2"/>
  <c r="BU32" i="2"/>
  <c r="BS32" i="2"/>
  <c r="BR32" i="2"/>
  <c r="BQ32" i="2"/>
  <c r="BP32" i="2"/>
  <c r="BO32" i="2"/>
  <c r="BN32" i="2"/>
  <c r="BM32" i="2"/>
  <c r="BL32" i="2"/>
  <c r="BK32" i="2"/>
  <c r="BJ32" i="2"/>
  <c r="BI32" i="2"/>
  <c r="BT32" i="2" s="1"/>
  <c r="BH32" i="2"/>
  <c r="CE31" i="2"/>
  <c r="CD31" i="2"/>
  <c r="CC31" i="2"/>
  <c r="CB31" i="2"/>
  <c r="CA31" i="2"/>
  <c r="BZ31" i="2"/>
  <c r="BY31" i="2"/>
  <c r="BX31" i="2"/>
  <c r="BW31" i="2"/>
  <c r="BV31" i="2"/>
  <c r="BU31" i="2"/>
  <c r="BS31" i="2"/>
  <c r="BR31" i="2"/>
  <c r="BQ31" i="2"/>
  <c r="BP31" i="2"/>
  <c r="BO31" i="2"/>
  <c r="BN31" i="2"/>
  <c r="BM31" i="2"/>
  <c r="BL31" i="2"/>
  <c r="BK31" i="2"/>
  <c r="BJ31" i="2"/>
  <c r="BI31" i="2"/>
  <c r="BT31" i="2" s="1"/>
  <c r="BH31" i="2"/>
  <c r="CE30" i="2"/>
  <c r="CD30" i="2"/>
  <c r="CC30" i="2"/>
  <c r="CB30" i="2"/>
  <c r="CA30" i="2"/>
  <c r="BZ30" i="2"/>
  <c r="BY30" i="2"/>
  <c r="BX30" i="2"/>
  <c r="BW30" i="2"/>
  <c r="BV30" i="2"/>
  <c r="BU30" i="2"/>
  <c r="BS30" i="2"/>
  <c r="BR30" i="2"/>
  <c r="BQ30" i="2"/>
  <c r="BP30" i="2"/>
  <c r="BO30" i="2"/>
  <c r="BN30" i="2"/>
  <c r="BM30" i="2"/>
  <c r="BL30" i="2"/>
  <c r="BK30" i="2"/>
  <c r="BJ30" i="2"/>
  <c r="BI30" i="2"/>
  <c r="BT30" i="2" s="1"/>
  <c r="BH30" i="2"/>
  <c r="CE29" i="2"/>
  <c r="CD29" i="2"/>
  <c r="CC29" i="2"/>
  <c r="CB29" i="2"/>
  <c r="CA29" i="2"/>
  <c r="BZ29" i="2"/>
  <c r="BY29" i="2"/>
  <c r="BX29" i="2"/>
  <c r="BW29" i="2"/>
  <c r="BV29" i="2"/>
  <c r="BU29" i="2"/>
  <c r="BS29" i="2"/>
  <c r="BR29" i="2"/>
  <c r="BQ29" i="2"/>
  <c r="BP29" i="2"/>
  <c r="BO29" i="2"/>
  <c r="BN29" i="2"/>
  <c r="BM29" i="2"/>
  <c r="BL29" i="2"/>
  <c r="BK29" i="2"/>
  <c r="BJ29" i="2"/>
  <c r="BI29" i="2"/>
  <c r="BT29" i="2" s="1"/>
  <c r="BH29" i="2"/>
  <c r="CE28" i="2"/>
  <c r="CD28" i="2"/>
  <c r="CC28" i="2"/>
  <c r="CB28" i="2"/>
  <c r="CA28" i="2"/>
  <c r="BZ28" i="2"/>
  <c r="BY28" i="2"/>
  <c r="BX28" i="2"/>
  <c r="BW28" i="2"/>
  <c r="BV28" i="2"/>
  <c r="BU28" i="2"/>
  <c r="BS28" i="2"/>
  <c r="BR28" i="2"/>
  <c r="BQ28" i="2"/>
  <c r="BP28" i="2"/>
  <c r="BO28" i="2"/>
  <c r="BN28" i="2"/>
  <c r="BM28" i="2"/>
  <c r="BL28" i="2"/>
  <c r="BK28" i="2"/>
  <c r="BJ28" i="2"/>
  <c r="BI28" i="2"/>
  <c r="BT28" i="2" s="1"/>
  <c r="BH28" i="2"/>
  <c r="CE27" i="2"/>
  <c r="CD27" i="2"/>
  <c r="CC27" i="2"/>
  <c r="CB27" i="2"/>
  <c r="CA27" i="2"/>
  <c r="BZ27" i="2"/>
  <c r="BY27" i="2"/>
  <c r="BX27" i="2"/>
  <c r="BW27" i="2"/>
  <c r="BV27" i="2"/>
  <c r="BU27" i="2"/>
  <c r="BS27" i="2"/>
  <c r="BR27" i="2"/>
  <c r="BQ27" i="2"/>
  <c r="BP27" i="2"/>
  <c r="BO27" i="2"/>
  <c r="BN27" i="2"/>
  <c r="BM27" i="2"/>
  <c r="BL27" i="2"/>
  <c r="BK27" i="2"/>
  <c r="BJ27" i="2"/>
  <c r="BI27" i="2"/>
  <c r="BT27" i="2" s="1"/>
  <c r="BH27" i="2"/>
  <c r="CE26" i="2"/>
  <c r="CD26" i="2"/>
  <c r="CC26" i="2"/>
  <c r="CB26" i="2"/>
  <c r="CA26" i="2"/>
  <c r="BZ26" i="2"/>
  <c r="BY26" i="2"/>
  <c r="BX26" i="2"/>
  <c r="BW26" i="2"/>
  <c r="BV26" i="2"/>
  <c r="BU26" i="2"/>
  <c r="BS26" i="2"/>
  <c r="BR26" i="2"/>
  <c r="BQ26" i="2"/>
  <c r="BP26" i="2"/>
  <c r="BO26" i="2"/>
  <c r="BN26" i="2"/>
  <c r="BM26" i="2"/>
  <c r="BL26" i="2"/>
  <c r="BK26" i="2"/>
  <c r="BJ26" i="2"/>
  <c r="BI26" i="2"/>
  <c r="BT26" i="2" s="1"/>
  <c r="BH26" i="2"/>
  <c r="CE25" i="2"/>
  <c r="CD25" i="2"/>
  <c r="CC25" i="2"/>
  <c r="CB25" i="2"/>
  <c r="CA25" i="2"/>
  <c r="BZ25" i="2"/>
  <c r="BY25" i="2"/>
  <c r="BX25" i="2"/>
  <c r="BW25" i="2"/>
  <c r="BV25" i="2"/>
  <c r="BU25" i="2"/>
  <c r="BS25" i="2"/>
  <c r="BR25" i="2"/>
  <c r="BQ25" i="2"/>
  <c r="BP25" i="2"/>
  <c r="BO25" i="2"/>
  <c r="BN25" i="2"/>
  <c r="BM25" i="2"/>
  <c r="BL25" i="2"/>
  <c r="BK25" i="2"/>
  <c r="BJ25" i="2"/>
  <c r="BI25" i="2"/>
  <c r="BT25" i="2" s="1"/>
  <c r="BH25" i="2"/>
  <c r="CE24" i="2"/>
  <c r="CD24" i="2"/>
  <c r="CC24" i="2"/>
  <c r="CB24" i="2"/>
  <c r="CA24" i="2"/>
  <c r="BZ24" i="2"/>
  <c r="BY24" i="2"/>
  <c r="BX24" i="2"/>
  <c r="BW24" i="2"/>
  <c r="BV24" i="2"/>
  <c r="BU24" i="2"/>
  <c r="BS24" i="2"/>
  <c r="BR24" i="2"/>
  <c r="BQ24" i="2"/>
  <c r="BP24" i="2"/>
  <c r="BO24" i="2"/>
  <c r="BN24" i="2"/>
  <c r="BM24" i="2"/>
  <c r="BL24" i="2"/>
  <c r="BK24" i="2"/>
  <c r="BJ24" i="2"/>
  <c r="BI24" i="2"/>
  <c r="BT24" i="2" s="1"/>
  <c r="BH24" i="2"/>
  <c r="CE23" i="2"/>
  <c r="CD23" i="2"/>
  <c r="CC23" i="2"/>
  <c r="CB23" i="2"/>
  <c r="CA23" i="2"/>
  <c r="BZ23" i="2"/>
  <c r="BY23" i="2"/>
  <c r="BX23" i="2"/>
  <c r="BW23" i="2"/>
  <c r="BV23" i="2"/>
  <c r="BU23" i="2"/>
  <c r="BS23" i="2"/>
  <c r="BR23" i="2"/>
  <c r="BQ23" i="2"/>
  <c r="BP23" i="2"/>
  <c r="BO23" i="2"/>
  <c r="BN23" i="2"/>
  <c r="BM23" i="2"/>
  <c r="BL23" i="2"/>
  <c r="BK23" i="2"/>
  <c r="BJ23" i="2"/>
  <c r="BI23" i="2"/>
  <c r="BT23" i="2" s="1"/>
  <c r="BH23" i="2"/>
  <c r="CE22" i="2"/>
  <c r="CD22" i="2"/>
  <c r="CC22" i="2"/>
  <c r="CB22" i="2"/>
  <c r="CA22" i="2"/>
  <c r="BZ22" i="2"/>
  <c r="BY22" i="2"/>
  <c r="BX22" i="2"/>
  <c r="BW22" i="2"/>
  <c r="BV22" i="2"/>
  <c r="BU22" i="2"/>
  <c r="BS22" i="2"/>
  <c r="BR22" i="2"/>
  <c r="BQ22" i="2"/>
  <c r="BP22" i="2"/>
  <c r="BO22" i="2"/>
  <c r="BN22" i="2"/>
  <c r="BM22" i="2"/>
  <c r="BL22" i="2"/>
  <c r="BK22" i="2"/>
  <c r="BJ22" i="2"/>
  <c r="BI22" i="2"/>
  <c r="BT22" i="2" s="1"/>
  <c r="BH22" i="2"/>
  <c r="CE21" i="2"/>
  <c r="CD21" i="2"/>
  <c r="CC21" i="2"/>
  <c r="CB21" i="2"/>
  <c r="CA21" i="2"/>
  <c r="BZ21" i="2"/>
  <c r="BY21" i="2"/>
  <c r="BX21" i="2"/>
  <c r="BW21" i="2"/>
  <c r="BV21" i="2"/>
  <c r="BU21" i="2"/>
  <c r="BS21" i="2"/>
  <c r="BR21" i="2"/>
  <c r="BQ21" i="2"/>
  <c r="BP21" i="2"/>
  <c r="BO21" i="2"/>
  <c r="BN21" i="2"/>
  <c r="BM21" i="2"/>
  <c r="BL21" i="2"/>
  <c r="BK21" i="2"/>
  <c r="BJ21" i="2"/>
  <c r="BI21" i="2"/>
  <c r="BT21" i="2" s="1"/>
  <c r="BH21" i="2"/>
  <c r="CE20" i="2"/>
  <c r="CD20" i="2"/>
  <c r="CC20" i="2"/>
  <c r="CB20" i="2"/>
  <c r="CA20" i="2"/>
  <c r="BZ20" i="2"/>
  <c r="BY20" i="2"/>
  <c r="BX20" i="2"/>
  <c r="BW20" i="2"/>
  <c r="BV20" i="2"/>
  <c r="BU20" i="2"/>
  <c r="BS20" i="2"/>
  <c r="BR20" i="2"/>
  <c r="BQ20" i="2"/>
  <c r="BP20" i="2"/>
  <c r="BO20" i="2"/>
  <c r="BN20" i="2"/>
  <c r="BM20" i="2"/>
  <c r="BL20" i="2"/>
  <c r="BK20" i="2"/>
  <c r="BJ20" i="2"/>
  <c r="BI20" i="2"/>
  <c r="BT20" i="2" s="1"/>
  <c r="BH20" i="2"/>
  <c r="CE19" i="2"/>
  <c r="CD19" i="2"/>
  <c r="CC19" i="2"/>
  <c r="CB19" i="2"/>
  <c r="CA19" i="2"/>
  <c r="BZ19" i="2"/>
  <c r="BY19" i="2"/>
  <c r="BX19" i="2"/>
  <c r="BW19" i="2"/>
  <c r="BV19" i="2"/>
  <c r="BU19" i="2"/>
  <c r="BS19" i="2"/>
  <c r="BR19" i="2"/>
  <c r="BQ19" i="2"/>
  <c r="BP19" i="2"/>
  <c r="BO19" i="2"/>
  <c r="BN19" i="2"/>
  <c r="BM19" i="2"/>
  <c r="BL19" i="2"/>
  <c r="BK19" i="2"/>
  <c r="BJ19" i="2"/>
  <c r="BI19" i="2"/>
  <c r="BT19" i="2" s="1"/>
  <c r="CE18" i="2"/>
  <c r="CD18" i="2"/>
  <c r="CC18" i="2"/>
  <c r="CB18" i="2"/>
  <c r="CA18" i="2"/>
  <c r="BZ18" i="2"/>
  <c r="BY18" i="2"/>
  <c r="BX18" i="2"/>
  <c r="BW18" i="2"/>
  <c r="BV18" i="2"/>
  <c r="BU18" i="2"/>
  <c r="BS18" i="2"/>
  <c r="BR18" i="2"/>
  <c r="BQ18" i="2"/>
  <c r="BP18" i="2"/>
  <c r="BO18" i="2"/>
  <c r="BN18" i="2"/>
  <c r="BM18" i="2"/>
  <c r="BL18" i="2"/>
  <c r="BK18" i="2"/>
  <c r="BJ18" i="2"/>
  <c r="BI18" i="2"/>
  <c r="BT18" i="2" s="1"/>
  <c r="BH18" i="2"/>
  <c r="CE17" i="2"/>
  <c r="CD17" i="2"/>
  <c r="CC17" i="2"/>
  <c r="CB17" i="2"/>
  <c r="CA17" i="2"/>
  <c r="BZ17" i="2"/>
  <c r="BY17" i="2"/>
  <c r="BX17" i="2"/>
  <c r="BW17" i="2"/>
  <c r="BV17" i="2"/>
  <c r="BU17" i="2"/>
  <c r="BS17" i="2"/>
  <c r="BR17" i="2"/>
  <c r="BQ17" i="2"/>
  <c r="BP17" i="2"/>
  <c r="BO17" i="2"/>
  <c r="BN17" i="2"/>
  <c r="BM17" i="2"/>
  <c r="BL17" i="2"/>
  <c r="BK17" i="2"/>
  <c r="BJ17" i="2"/>
  <c r="BI17" i="2"/>
  <c r="BT17" i="2" s="1"/>
  <c r="BH17" i="2"/>
  <c r="CE16" i="2"/>
  <c r="CD16" i="2"/>
  <c r="CC16" i="2"/>
  <c r="CB16" i="2"/>
  <c r="CA16" i="2"/>
  <c r="BZ16" i="2"/>
  <c r="BY16" i="2"/>
  <c r="BX16" i="2"/>
  <c r="BW16" i="2"/>
  <c r="BV16" i="2"/>
  <c r="BU16" i="2"/>
  <c r="BS16" i="2"/>
  <c r="BR16" i="2"/>
  <c r="BQ16" i="2"/>
  <c r="BP16" i="2"/>
  <c r="BO16" i="2"/>
  <c r="BN16" i="2"/>
  <c r="BM16" i="2"/>
  <c r="BL16" i="2"/>
  <c r="BK16" i="2"/>
  <c r="BJ16" i="2"/>
  <c r="BI16" i="2"/>
  <c r="BT16" i="2" s="1"/>
  <c r="BH16" i="2"/>
  <c r="CE15" i="2"/>
  <c r="CD15" i="2"/>
  <c r="CC15" i="2"/>
  <c r="CB15" i="2"/>
  <c r="CA15" i="2"/>
  <c r="BZ15" i="2"/>
  <c r="BY15" i="2"/>
  <c r="BX15" i="2"/>
  <c r="BW15" i="2"/>
  <c r="BV15" i="2"/>
  <c r="BU15" i="2"/>
  <c r="BS15" i="2"/>
  <c r="BR15" i="2"/>
  <c r="BQ15" i="2"/>
  <c r="BP15" i="2"/>
  <c r="BO15" i="2"/>
  <c r="BN15" i="2"/>
  <c r="BM15" i="2"/>
  <c r="BL15" i="2"/>
  <c r="BK15" i="2"/>
  <c r="BJ15" i="2"/>
  <c r="BI15" i="2"/>
  <c r="BT15" i="2" s="1"/>
  <c r="BH15" i="2"/>
  <c r="CE14" i="2"/>
  <c r="CD14" i="2"/>
  <c r="CC14" i="2"/>
  <c r="CB14" i="2"/>
  <c r="CA14" i="2"/>
  <c r="BZ14" i="2"/>
  <c r="BY14" i="2"/>
  <c r="BX14" i="2"/>
  <c r="BW14" i="2"/>
  <c r="BV14" i="2"/>
  <c r="BU14" i="2"/>
  <c r="BS14" i="2"/>
  <c r="BR14" i="2"/>
  <c r="BQ14" i="2"/>
  <c r="BP14" i="2"/>
  <c r="BO14" i="2"/>
  <c r="BN14" i="2"/>
  <c r="BM14" i="2"/>
  <c r="BL14" i="2"/>
  <c r="BK14" i="2"/>
  <c r="BJ14" i="2"/>
  <c r="BI14" i="2"/>
  <c r="BT14" i="2" s="1"/>
  <c r="CE13" i="2"/>
  <c r="CD13" i="2"/>
  <c r="CC13" i="2"/>
  <c r="CB13" i="2"/>
  <c r="CA13" i="2"/>
  <c r="BZ13" i="2"/>
  <c r="BY13" i="2"/>
  <c r="BX13" i="2"/>
  <c r="BW13" i="2"/>
  <c r="BV13" i="2"/>
  <c r="BU13" i="2"/>
  <c r="BS13" i="2"/>
  <c r="BR13" i="2"/>
  <c r="BQ13" i="2"/>
  <c r="BP13" i="2"/>
  <c r="BO13" i="2"/>
  <c r="BN13" i="2"/>
  <c r="BM13" i="2"/>
  <c r="BL13" i="2"/>
  <c r="BK13" i="2"/>
  <c r="BJ13" i="2"/>
  <c r="BI13" i="2"/>
  <c r="BT13" i="2" s="1"/>
  <c r="BH13" i="2"/>
  <c r="CE12" i="2"/>
  <c r="CD12" i="2"/>
  <c r="CC12" i="2"/>
  <c r="CB12" i="2"/>
  <c r="CA12" i="2"/>
  <c r="BZ12" i="2"/>
  <c r="BY12" i="2"/>
  <c r="BX12" i="2"/>
  <c r="BW12" i="2"/>
  <c r="BV12" i="2"/>
  <c r="BU12" i="2"/>
  <c r="BS12" i="2"/>
  <c r="BR12" i="2"/>
  <c r="BQ12" i="2"/>
  <c r="BP12" i="2"/>
  <c r="BO12" i="2"/>
  <c r="BN12" i="2"/>
  <c r="BM12" i="2"/>
  <c r="BL12" i="2"/>
  <c r="BK12" i="2"/>
  <c r="BJ12" i="2"/>
  <c r="BI12" i="2"/>
  <c r="BT12" i="2" s="1"/>
  <c r="BH12" i="2"/>
  <c r="CE11" i="2"/>
  <c r="CD11" i="2"/>
  <c r="CC11" i="2"/>
  <c r="CB11" i="2"/>
  <c r="CA11" i="2"/>
  <c r="BZ11" i="2"/>
  <c r="BY11" i="2"/>
  <c r="BX11" i="2"/>
  <c r="BW11" i="2"/>
  <c r="BV11" i="2"/>
  <c r="BU11" i="2"/>
  <c r="BS11" i="2"/>
  <c r="BR11" i="2"/>
  <c r="BQ11" i="2"/>
  <c r="BP11" i="2"/>
  <c r="BO11" i="2"/>
  <c r="BN11" i="2"/>
  <c r="BM11" i="2"/>
  <c r="BL11" i="2"/>
  <c r="BK11" i="2"/>
  <c r="BJ11" i="2"/>
  <c r="BI11" i="2"/>
  <c r="BT11" i="2" s="1"/>
  <c r="CE10" i="2"/>
  <c r="CD10" i="2"/>
  <c r="CC10" i="2"/>
  <c r="CB10" i="2"/>
  <c r="CA10" i="2"/>
  <c r="BZ10" i="2"/>
  <c r="BY10" i="2"/>
  <c r="BX10" i="2"/>
  <c r="BW10" i="2"/>
  <c r="BV10" i="2"/>
  <c r="BU10" i="2"/>
  <c r="BS10" i="2"/>
  <c r="BR10" i="2"/>
  <c r="BQ10" i="2"/>
  <c r="BP10" i="2"/>
  <c r="BO10" i="2"/>
  <c r="BN10" i="2"/>
  <c r="BM10" i="2"/>
  <c r="BL10" i="2"/>
  <c r="BK10" i="2"/>
  <c r="BJ10" i="2"/>
  <c r="BI10" i="2"/>
  <c r="BT10" i="2" s="1"/>
  <c r="BH10" i="2"/>
  <c r="CE9" i="2"/>
  <c r="CD9" i="2"/>
  <c r="CC9" i="2"/>
  <c r="CB9" i="2"/>
  <c r="CA9" i="2"/>
  <c r="BZ9" i="2"/>
  <c r="BY9" i="2"/>
  <c r="BX9" i="2"/>
  <c r="BW9" i="2"/>
  <c r="BU9" i="2"/>
  <c r="BS9" i="2"/>
  <c r="BR9" i="2"/>
  <c r="BQ9" i="2"/>
  <c r="BP9" i="2"/>
  <c r="BO9" i="2"/>
  <c r="BN9" i="2"/>
  <c r="BM9" i="2"/>
  <c r="BL9" i="2"/>
  <c r="BK9" i="2"/>
  <c r="BJ9" i="2"/>
  <c r="BI9" i="2"/>
  <c r="BT9" i="2" s="1"/>
  <c r="BH9" i="2"/>
  <c r="CE8" i="2"/>
  <c r="CD8" i="2"/>
  <c r="CC8" i="2"/>
  <c r="CB8" i="2"/>
  <c r="CA8" i="2"/>
  <c r="BZ8" i="2"/>
  <c r="BY8" i="2"/>
  <c r="BX8" i="2"/>
  <c r="BW8" i="2"/>
  <c r="BV8" i="2"/>
  <c r="BU8" i="2"/>
  <c r="BS8" i="2"/>
  <c r="BR8" i="2"/>
  <c r="BQ8" i="2"/>
  <c r="BP8" i="2"/>
  <c r="BO8" i="2"/>
  <c r="BN8" i="2"/>
  <c r="BM8" i="2"/>
  <c r="BL8" i="2"/>
  <c r="BK8" i="2"/>
  <c r="BJ8" i="2"/>
  <c r="BI8" i="2"/>
  <c r="BT8" i="2" s="1"/>
  <c r="BH8" i="2"/>
  <c r="CE7" i="2"/>
  <c r="CD7" i="2"/>
  <c r="CC7" i="2"/>
  <c r="CB7" i="2"/>
  <c r="CA7" i="2"/>
  <c r="BZ7" i="2"/>
  <c r="BY7" i="2"/>
  <c r="BX7" i="2"/>
  <c r="BW7" i="2"/>
  <c r="BV7" i="2"/>
  <c r="BU7" i="2"/>
  <c r="BS7" i="2"/>
  <c r="BR7" i="2"/>
  <c r="BQ7" i="2"/>
  <c r="BP7" i="2"/>
  <c r="BO7" i="2"/>
  <c r="BN7" i="2"/>
  <c r="BM7" i="2"/>
  <c r="BL7" i="2"/>
  <c r="BK7" i="2"/>
  <c r="BJ7" i="2"/>
  <c r="BI7" i="2"/>
  <c r="BT7" i="2" s="1"/>
  <c r="BH7" i="2"/>
  <c r="CE6" i="2"/>
  <c r="CD6" i="2"/>
  <c r="CC6" i="2"/>
  <c r="CB6" i="2"/>
  <c r="CA6" i="2"/>
  <c r="BZ6" i="2"/>
  <c r="BY6" i="2"/>
  <c r="BX6" i="2"/>
  <c r="BW6" i="2"/>
  <c r="BV6" i="2"/>
  <c r="BU6" i="2"/>
  <c r="BS6" i="2"/>
  <c r="BR6" i="2"/>
  <c r="BQ6" i="2"/>
  <c r="BP6" i="2"/>
  <c r="BO6" i="2"/>
  <c r="BN6" i="2"/>
  <c r="BM6" i="2"/>
  <c r="BL6" i="2"/>
  <c r="BK6" i="2"/>
  <c r="BJ6" i="2"/>
  <c r="BI6" i="2"/>
  <c r="BT6" i="2" s="1"/>
  <c r="BH6" i="2"/>
  <c r="CE5" i="2"/>
  <c r="CD5" i="2"/>
  <c r="CC5" i="2"/>
  <c r="CB5" i="2"/>
  <c r="CA5" i="2"/>
  <c r="BZ5" i="2"/>
  <c r="BY5" i="2"/>
  <c r="BX5" i="2"/>
  <c r="BW5" i="2"/>
  <c r="BV5" i="2"/>
  <c r="CG5" i="2" s="1"/>
  <c r="BU5" i="2"/>
  <c r="BS5" i="2"/>
  <c r="BR5" i="2"/>
  <c r="BQ5" i="2"/>
  <c r="BP5" i="2"/>
  <c r="BO5" i="2"/>
  <c r="BN5" i="2"/>
  <c r="BM5" i="2"/>
  <c r="BL5" i="2"/>
  <c r="BK5" i="2"/>
  <c r="BJ5" i="2"/>
  <c r="BI5" i="2"/>
  <c r="BT5" i="2" s="1"/>
  <c r="BH5" i="2"/>
  <c r="BA490" i="2"/>
  <c r="AZ490" i="2"/>
  <c r="AY490" i="2"/>
  <c r="BA489" i="2"/>
  <c r="AZ489" i="2"/>
  <c r="AY489" i="2"/>
  <c r="BA488" i="2"/>
  <c r="AZ488" i="2"/>
  <c r="AY488" i="2"/>
  <c r="BA487" i="2"/>
  <c r="AZ487" i="2"/>
  <c r="AY487" i="2"/>
  <c r="BA486" i="2"/>
  <c r="AZ486" i="2"/>
  <c r="AY486" i="2"/>
  <c r="BA485" i="2"/>
  <c r="AZ485" i="2"/>
  <c r="AY485" i="2"/>
  <c r="BA484" i="2"/>
  <c r="AZ484" i="2"/>
  <c r="AY484" i="2"/>
  <c r="BA483" i="2"/>
  <c r="AZ483" i="2"/>
  <c r="AY483" i="2"/>
  <c r="BA482" i="2"/>
  <c r="AZ482" i="2"/>
  <c r="AY482" i="2"/>
  <c r="BA481" i="2"/>
  <c r="AZ481" i="2"/>
  <c r="AY481" i="2"/>
  <c r="BA480" i="2"/>
  <c r="AZ480" i="2"/>
  <c r="AY480" i="2"/>
  <c r="BA479" i="2"/>
  <c r="AZ479" i="2"/>
  <c r="AY479" i="2"/>
  <c r="BA478" i="2"/>
  <c r="AZ478" i="2"/>
  <c r="AY478" i="2"/>
  <c r="BA477" i="2"/>
  <c r="AZ477" i="2"/>
  <c r="AY477" i="2"/>
  <c r="BA476" i="2"/>
  <c r="AZ476" i="2"/>
  <c r="AY476" i="2"/>
  <c r="BA475" i="2"/>
  <c r="AZ475" i="2"/>
  <c r="AY475" i="2"/>
  <c r="BA474" i="2"/>
  <c r="AZ474" i="2"/>
  <c r="AY474" i="2"/>
  <c r="BA473" i="2"/>
  <c r="AZ473" i="2"/>
  <c r="AY473" i="2"/>
  <c r="BA472" i="2"/>
  <c r="AZ472" i="2"/>
  <c r="AY472" i="2"/>
  <c r="BA471" i="2"/>
  <c r="AZ471" i="2"/>
  <c r="AY471" i="2"/>
  <c r="BA470" i="2"/>
  <c r="AZ470" i="2"/>
  <c r="AY470" i="2"/>
  <c r="BA469" i="2"/>
  <c r="AZ469" i="2"/>
  <c r="AY469" i="2"/>
  <c r="BA468" i="2"/>
  <c r="AZ468" i="2"/>
  <c r="AY468" i="2"/>
  <c r="BA467" i="2"/>
  <c r="AZ467" i="2"/>
  <c r="AY467" i="2"/>
  <c r="BA466" i="2"/>
  <c r="AZ466" i="2"/>
  <c r="AY466" i="2"/>
  <c r="BA465" i="2"/>
  <c r="AZ465" i="2"/>
  <c r="AY465" i="2"/>
  <c r="BA464" i="2"/>
  <c r="AZ464" i="2"/>
  <c r="AY464" i="2"/>
  <c r="BA463" i="2"/>
  <c r="AZ463" i="2"/>
  <c r="AY463" i="2"/>
  <c r="BA462" i="2"/>
  <c r="AZ462" i="2"/>
  <c r="AY462" i="2"/>
  <c r="BA461" i="2"/>
  <c r="AZ461" i="2"/>
  <c r="AY461" i="2"/>
  <c r="BA460" i="2"/>
  <c r="AZ460" i="2"/>
  <c r="AY460" i="2"/>
  <c r="BA459" i="2"/>
  <c r="AZ459" i="2"/>
  <c r="AY459" i="2"/>
  <c r="BA458" i="2"/>
  <c r="AZ458" i="2"/>
  <c r="AY458" i="2"/>
  <c r="BA457" i="2"/>
  <c r="AZ457" i="2"/>
  <c r="AY457" i="2"/>
  <c r="BA456" i="2"/>
  <c r="AZ456" i="2"/>
  <c r="AY456" i="2"/>
  <c r="BA455" i="2"/>
  <c r="AZ455" i="2"/>
  <c r="AY455" i="2"/>
  <c r="BA454" i="2"/>
  <c r="AZ454" i="2"/>
  <c r="AY454" i="2"/>
  <c r="BA453" i="2"/>
  <c r="AZ453" i="2"/>
  <c r="AY453" i="2"/>
  <c r="BA452" i="2"/>
  <c r="AZ452" i="2"/>
  <c r="AY452" i="2"/>
  <c r="BA451" i="2"/>
  <c r="AZ451" i="2"/>
  <c r="AY451" i="2"/>
  <c r="BA450" i="2"/>
  <c r="AZ450" i="2"/>
  <c r="AY450" i="2"/>
  <c r="BA449" i="2"/>
  <c r="AZ449" i="2"/>
  <c r="AY449" i="2"/>
  <c r="BA448" i="2"/>
  <c r="AZ448" i="2"/>
  <c r="AY448" i="2"/>
  <c r="BA447" i="2"/>
  <c r="AZ447" i="2"/>
  <c r="AY447" i="2"/>
  <c r="BA446" i="2"/>
  <c r="AZ446" i="2"/>
  <c r="AY446" i="2"/>
  <c r="BA445" i="2"/>
  <c r="AZ445" i="2"/>
  <c r="AY445" i="2"/>
  <c r="BA444" i="2"/>
  <c r="AZ444" i="2"/>
  <c r="AY444" i="2"/>
  <c r="BA443" i="2"/>
  <c r="AZ443" i="2"/>
  <c r="AY443" i="2"/>
  <c r="BA442" i="2"/>
  <c r="AZ442" i="2"/>
  <c r="AY442" i="2"/>
  <c r="BA441" i="2"/>
  <c r="AZ441" i="2"/>
  <c r="AY441" i="2"/>
  <c r="BA440" i="2"/>
  <c r="AZ440" i="2"/>
  <c r="AY440" i="2"/>
  <c r="BA439" i="2"/>
  <c r="AZ439" i="2"/>
  <c r="AY439" i="2"/>
  <c r="BA438" i="2"/>
  <c r="AZ438" i="2"/>
  <c r="AY438" i="2"/>
  <c r="BA437" i="2"/>
  <c r="AZ437" i="2"/>
  <c r="AY437" i="2"/>
  <c r="BA436" i="2"/>
  <c r="AZ436" i="2"/>
  <c r="AY436" i="2"/>
  <c r="BA435" i="2"/>
  <c r="AZ435" i="2"/>
  <c r="AY435" i="2"/>
  <c r="BA434" i="2"/>
  <c r="AZ434" i="2"/>
  <c r="AY434" i="2"/>
  <c r="BA433" i="2"/>
  <c r="AZ433" i="2"/>
  <c r="AY433" i="2"/>
  <c r="BA432" i="2"/>
  <c r="AZ432" i="2"/>
  <c r="AY432" i="2"/>
  <c r="BA431" i="2"/>
  <c r="AZ431" i="2"/>
  <c r="AY431" i="2"/>
  <c r="BA430" i="2"/>
  <c r="AZ430" i="2"/>
  <c r="AY430" i="2"/>
  <c r="BA429" i="2"/>
  <c r="AZ429" i="2"/>
  <c r="AY429" i="2"/>
  <c r="BA428" i="2"/>
  <c r="AZ428" i="2"/>
  <c r="AY428" i="2"/>
  <c r="BA427" i="2"/>
  <c r="AZ427" i="2"/>
  <c r="AY427" i="2"/>
  <c r="BA426" i="2"/>
  <c r="AZ426" i="2"/>
  <c r="AY426" i="2"/>
  <c r="BA425" i="2"/>
  <c r="AZ425" i="2"/>
  <c r="AY425" i="2"/>
  <c r="BA424" i="2"/>
  <c r="AZ424" i="2"/>
  <c r="AY424" i="2"/>
  <c r="BA423" i="2"/>
  <c r="AZ423" i="2"/>
  <c r="AY423" i="2"/>
  <c r="BA422" i="2"/>
  <c r="AZ422" i="2"/>
  <c r="AY422" i="2"/>
  <c r="BA421" i="2"/>
  <c r="AZ421" i="2"/>
  <c r="AY421" i="2"/>
  <c r="BA420" i="2"/>
  <c r="AZ420" i="2"/>
  <c r="AY420" i="2"/>
  <c r="BA419" i="2"/>
  <c r="AZ419" i="2"/>
  <c r="AY419" i="2"/>
  <c r="BA418" i="2"/>
  <c r="AZ418" i="2"/>
  <c r="AY418" i="2"/>
  <c r="BA417" i="2"/>
  <c r="AZ417" i="2"/>
  <c r="AY417" i="2"/>
  <c r="BA416" i="2"/>
  <c r="AZ416" i="2"/>
  <c r="AY416" i="2"/>
  <c r="BA415" i="2"/>
  <c r="AZ415" i="2"/>
  <c r="AY415" i="2"/>
  <c r="BA414" i="2"/>
  <c r="AZ414" i="2"/>
  <c r="AY414" i="2"/>
  <c r="BA413" i="2"/>
  <c r="AZ413" i="2"/>
  <c r="AY413" i="2"/>
  <c r="BA412" i="2"/>
  <c r="AZ412" i="2"/>
  <c r="AY412" i="2"/>
  <c r="BA411" i="2"/>
  <c r="AZ411" i="2"/>
  <c r="AY411" i="2"/>
  <c r="BA410" i="2"/>
  <c r="AZ410" i="2"/>
  <c r="AY410" i="2"/>
  <c r="BA409" i="2"/>
  <c r="AZ409" i="2"/>
  <c r="AY409" i="2"/>
  <c r="BA408" i="2"/>
  <c r="AZ408" i="2"/>
  <c r="AY408" i="2"/>
  <c r="BA407" i="2"/>
  <c r="AZ407" i="2"/>
  <c r="AY407" i="2"/>
  <c r="BA406" i="2"/>
  <c r="AZ406" i="2"/>
  <c r="AY406" i="2"/>
  <c r="BA405" i="2"/>
  <c r="AZ405" i="2"/>
  <c r="AY405" i="2"/>
  <c r="BA404" i="2"/>
  <c r="AZ404" i="2"/>
  <c r="AY404" i="2"/>
  <c r="BA403" i="2"/>
  <c r="AZ403" i="2"/>
  <c r="AY403" i="2"/>
  <c r="BA402" i="2"/>
  <c r="AZ402" i="2"/>
  <c r="AY402" i="2"/>
  <c r="BA401" i="2"/>
  <c r="AZ401" i="2"/>
  <c r="AY401" i="2"/>
  <c r="BA400" i="2"/>
  <c r="AZ400" i="2"/>
  <c r="AY400" i="2"/>
  <c r="BA399" i="2"/>
  <c r="AZ399" i="2"/>
  <c r="AY399" i="2"/>
  <c r="BA398" i="2"/>
  <c r="AZ398" i="2"/>
  <c r="AY398" i="2"/>
  <c r="BA397" i="2"/>
  <c r="AZ397" i="2"/>
  <c r="AY397" i="2"/>
  <c r="BA396" i="2"/>
  <c r="AZ396" i="2"/>
  <c r="AY396" i="2"/>
  <c r="BA395" i="2"/>
  <c r="AZ395" i="2"/>
  <c r="AY395" i="2"/>
  <c r="BA394" i="2"/>
  <c r="AZ394" i="2"/>
  <c r="AY394" i="2"/>
  <c r="BA393" i="2"/>
  <c r="AZ393" i="2"/>
  <c r="AY393" i="2"/>
  <c r="BA392" i="2"/>
  <c r="AZ392" i="2"/>
  <c r="AY392" i="2"/>
  <c r="BA391" i="2"/>
  <c r="AZ391" i="2"/>
  <c r="AY391" i="2"/>
  <c r="BA390" i="2"/>
  <c r="AZ390" i="2"/>
  <c r="AY390" i="2"/>
  <c r="BA389" i="2"/>
  <c r="AZ389" i="2"/>
  <c r="AY389" i="2"/>
  <c r="BA388" i="2"/>
  <c r="AZ388" i="2"/>
  <c r="AY388" i="2"/>
  <c r="BA387" i="2"/>
  <c r="AZ387" i="2"/>
  <c r="AY387" i="2"/>
  <c r="BA386" i="2"/>
  <c r="AZ386" i="2"/>
  <c r="AY386" i="2"/>
  <c r="BA385" i="2"/>
  <c r="AZ385" i="2"/>
  <c r="AY385" i="2"/>
  <c r="BA384" i="2"/>
  <c r="AZ384" i="2"/>
  <c r="AY384" i="2"/>
  <c r="BA383" i="2"/>
  <c r="AZ383" i="2"/>
  <c r="AY383" i="2"/>
  <c r="BA382" i="2"/>
  <c r="AZ382" i="2"/>
  <c r="AY382" i="2"/>
  <c r="BA381" i="2"/>
  <c r="AZ381" i="2"/>
  <c r="AY381" i="2"/>
  <c r="BA380" i="2"/>
  <c r="AZ380" i="2"/>
  <c r="AY380" i="2"/>
  <c r="BA379" i="2"/>
  <c r="AZ379" i="2"/>
  <c r="AY379" i="2"/>
  <c r="BA378" i="2"/>
  <c r="AZ378" i="2"/>
  <c r="AY378" i="2"/>
  <c r="BA377" i="2"/>
  <c r="AZ377" i="2"/>
  <c r="AY377" i="2"/>
  <c r="BA376" i="2"/>
  <c r="AZ376" i="2"/>
  <c r="AY376" i="2"/>
  <c r="BA375" i="2"/>
  <c r="AZ375" i="2"/>
  <c r="AY375" i="2"/>
  <c r="BA374" i="2"/>
  <c r="AZ374" i="2"/>
  <c r="AY374" i="2"/>
  <c r="BA373" i="2"/>
  <c r="AZ373" i="2"/>
  <c r="AY373" i="2"/>
  <c r="BA372" i="2"/>
  <c r="AZ372" i="2"/>
  <c r="AY372" i="2"/>
  <c r="BA371" i="2"/>
  <c r="AZ371" i="2"/>
  <c r="AY371" i="2"/>
  <c r="BA370" i="2"/>
  <c r="AZ370" i="2"/>
  <c r="AY370" i="2"/>
  <c r="BA369" i="2"/>
  <c r="AZ369" i="2"/>
  <c r="AY369" i="2"/>
  <c r="BA368" i="2"/>
  <c r="AZ368" i="2"/>
  <c r="AY368" i="2"/>
  <c r="BA367" i="2"/>
  <c r="AZ367" i="2"/>
  <c r="AY367" i="2"/>
  <c r="BA366" i="2"/>
  <c r="AZ366" i="2"/>
  <c r="AY366" i="2"/>
  <c r="BA365" i="2"/>
  <c r="AZ365" i="2"/>
  <c r="AY365" i="2"/>
  <c r="BA364" i="2"/>
  <c r="AZ364" i="2"/>
  <c r="AY364" i="2"/>
  <c r="BA363" i="2"/>
  <c r="AZ363" i="2"/>
  <c r="AY363" i="2"/>
  <c r="BA362" i="2"/>
  <c r="AZ362" i="2"/>
  <c r="AY362" i="2"/>
  <c r="BA361" i="2"/>
  <c r="AZ361" i="2"/>
  <c r="AY361" i="2"/>
  <c r="BA360" i="2"/>
  <c r="AZ360" i="2"/>
  <c r="AY360" i="2"/>
  <c r="BA359" i="2"/>
  <c r="AZ359" i="2"/>
  <c r="AY359" i="2"/>
  <c r="BA358" i="2"/>
  <c r="AZ358" i="2"/>
  <c r="AY358" i="2"/>
  <c r="BA357" i="2"/>
  <c r="AZ357" i="2"/>
  <c r="AY357" i="2"/>
  <c r="BA356" i="2"/>
  <c r="AZ356" i="2"/>
  <c r="AY356" i="2"/>
  <c r="BA355" i="2"/>
  <c r="AZ355" i="2"/>
  <c r="AY355" i="2"/>
  <c r="BA354" i="2"/>
  <c r="AZ354" i="2"/>
  <c r="AY354" i="2"/>
  <c r="BA353" i="2"/>
  <c r="AZ353" i="2"/>
  <c r="AY353" i="2"/>
  <c r="BA352" i="2"/>
  <c r="AZ352" i="2"/>
  <c r="AY352" i="2"/>
  <c r="BA351" i="2"/>
  <c r="AZ351" i="2"/>
  <c r="AY351" i="2"/>
  <c r="BA350" i="2"/>
  <c r="AZ350" i="2"/>
  <c r="AY350" i="2"/>
  <c r="BA349" i="2"/>
  <c r="AZ349" i="2"/>
  <c r="AY349" i="2"/>
  <c r="BA348" i="2"/>
  <c r="AZ348" i="2"/>
  <c r="AY348" i="2"/>
  <c r="BA347" i="2"/>
  <c r="AZ347" i="2"/>
  <c r="AY347" i="2"/>
  <c r="BA346" i="2"/>
  <c r="AZ346" i="2"/>
  <c r="AY346" i="2"/>
  <c r="BA345" i="2"/>
  <c r="AZ345" i="2"/>
  <c r="AY345" i="2"/>
  <c r="BA344" i="2"/>
  <c r="AZ344" i="2"/>
  <c r="AY344" i="2"/>
  <c r="BA343" i="2"/>
  <c r="AZ343" i="2"/>
  <c r="AY343" i="2"/>
  <c r="BA342" i="2"/>
  <c r="AZ342" i="2"/>
  <c r="AY342" i="2"/>
  <c r="BA341" i="2"/>
  <c r="AZ341" i="2"/>
  <c r="AY341" i="2"/>
  <c r="BA340" i="2"/>
  <c r="AZ340" i="2"/>
  <c r="AY340" i="2"/>
  <c r="BA339" i="2"/>
  <c r="AZ339" i="2"/>
  <c r="AY339" i="2"/>
  <c r="BA338" i="2"/>
  <c r="AZ338" i="2"/>
  <c r="AY338" i="2"/>
  <c r="BA337" i="2"/>
  <c r="AZ337" i="2"/>
  <c r="AY337" i="2"/>
  <c r="BA336" i="2"/>
  <c r="AZ336" i="2"/>
  <c r="AY336" i="2"/>
  <c r="BA335" i="2"/>
  <c r="AZ335" i="2"/>
  <c r="AY335" i="2"/>
  <c r="BA334" i="2"/>
  <c r="AZ334" i="2"/>
  <c r="AY334" i="2"/>
  <c r="BA333" i="2"/>
  <c r="AZ333" i="2"/>
  <c r="AY333" i="2"/>
  <c r="BA332" i="2"/>
  <c r="AZ332" i="2"/>
  <c r="AY332" i="2"/>
  <c r="BA331" i="2"/>
  <c r="AZ331" i="2"/>
  <c r="AY331" i="2"/>
  <c r="BA330" i="2"/>
  <c r="AZ330" i="2"/>
  <c r="AY330" i="2"/>
  <c r="BA329" i="2"/>
  <c r="AZ329" i="2"/>
  <c r="AY329" i="2"/>
  <c r="BA328" i="2"/>
  <c r="AZ328" i="2"/>
  <c r="AY328" i="2"/>
  <c r="BA327" i="2"/>
  <c r="AZ327" i="2"/>
  <c r="AY327" i="2"/>
  <c r="BA326" i="2"/>
  <c r="AZ326" i="2"/>
  <c r="AY326" i="2"/>
  <c r="BA325" i="2"/>
  <c r="AZ325" i="2"/>
  <c r="AY325" i="2"/>
  <c r="BA324" i="2"/>
  <c r="AZ324" i="2"/>
  <c r="AY324" i="2"/>
  <c r="BA323" i="2"/>
  <c r="AZ323" i="2"/>
  <c r="AY323" i="2"/>
  <c r="BA322" i="2"/>
  <c r="AZ322" i="2"/>
  <c r="AY322" i="2"/>
  <c r="BA321" i="2"/>
  <c r="AZ321" i="2"/>
  <c r="AY321" i="2"/>
  <c r="BA320" i="2"/>
  <c r="AZ320" i="2"/>
  <c r="AY320" i="2"/>
  <c r="BA319" i="2"/>
  <c r="AZ319" i="2"/>
  <c r="AY319" i="2"/>
  <c r="BA318" i="2"/>
  <c r="AZ318" i="2"/>
  <c r="AY318" i="2"/>
  <c r="BA317" i="2"/>
  <c r="AZ317" i="2"/>
  <c r="AY317" i="2"/>
  <c r="BA316" i="2"/>
  <c r="AZ316" i="2"/>
  <c r="AY316" i="2"/>
  <c r="BA315" i="2"/>
  <c r="AZ315" i="2"/>
  <c r="AY315" i="2"/>
  <c r="BA314" i="2"/>
  <c r="AZ314" i="2"/>
  <c r="AY314" i="2"/>
  <c r="BA313" i="2"/>
  <c r="AZ313" i="2"/>
  <c r="AY313" i="2"/>
  <c r="BA312" i="2"/>
  <c r="AZ312" i="2"/>
  <c r="AY312" i="2"/>
  <c r="BA311" i="2"/>
  <c r="AZ311" i="2"/>
  <c r="AY311" i="2"/>
  <c r="BA310" i="2"/>
  <c r="AZ310" i="2"/>
  <c r="AY310" i="2"/>
  <c r="BA309" i="2"/>
  <c r="AZ309" i="2"/>
  <c r="AY309" i="2"/>
  <c r="BA308" i="2"/>
  <c r="AZ308" i="2"/>
  <c r="AY308" i="2"/>
  <c r="BA307" i="2"/>
  <c r="AZ307" i="2"/>
  <c r="AY307" i="2"/>
  <c r="BA306" i="2"/>
  <c r="AZ306" i="2"/>
  <c r="AY306" i="2"/>
  <c r="BA305" i="2"/>
  <c r="AZ305" i="2"/>
  <c r="AY305" i="2"/>
  <c r="BA304" i="2"/>
  <c r="AZ304" i="2"/>
  <c r="AY304" i="2"/>
  <c r="BA303" i="2"/>
  <c r="AZ303" i="2"/>
  <c r="AY303" i="2"/>
  <c r="BA302" i="2"/>
  <c r="AZ302" i="2"/>
  <c r="AY302" i="2"/>
  <c r="BA301" i="2"/>
  <c r="AZ301" i="2"/>
  <c r="AY301" i="2"/>
  <c r="BA300" i="2"/>
  <c r="AZ300" i="2"/>
  <c r="AY300" i="2"/>
  <c r="BA299" i="2"/>
  <c r="AZ299" i="2"/>
  <c r="AY299" i="2"/>
  <c r="BA298" i="2"/>
  <c r="AZ298" i="2"/>
  <c r="AY298" i="2"/>
  <c r="BA297" i="2"/>
  <c r="AZ297" i="2"/>
  <c r="AY297" i="2"/>
  <c r="BA296" i="2"/>
  <c r="AZ296" i="2"/>
  <c r="AY296" i="2"/>
  <c r="BA295" i="2"/>
  <c r="AZ295" i="2"/>
  <c r="AY295" i="2"/>
  <c r="BA294" i="2"/>
  <c r="AZ294" i="2"/>
  <c r="AY294" i="2"/>
  <c r="BA293" i="2"/>
  <c r="AZ293" i="2"/>
  <c r="AY293" i="2"/>
  <c r="BA292" i="2"/>
  <c r="AZ292" i="2"/>
  <c r="AY292" i="2"/>
  <c r="BA291" i="2"/>
  <c r="AZ291" i="2"/>
  <c r="AY291" i="2"/>
  <c r="BA290" i="2"/>
  <c r="AZ290" i="2"/>
  <c r="AY290" i="2"/>
  <c r="BA289" i="2"/>
  <c r="AZ289" i="2"/>
  <c r="AY289" i="2"/>
  <c r="BA288" i="2"/>
  <c r="AZ288" i="2"/>
  <c r="AY288" i="2"/>
  <c r="BA287" i="2"/>
  <c r="AZ287" i="2"/>
  <c r="AY287" i="2"/>
  <c r="BA286" i="2"/>
  <c r="AZ286" i="2"/>
  <c r="AY286" i="2"/>
  <c r="BA285" i="2"/>
  <c r="AZ285" i="2"/>
  <c r="AY285" i="2"/>
  <c r="BA284" i="2"/>
  <c r="AZ284" i="2"/>
  <c r="AY284" i="2"/>
  <c r="BA283" i="2"/>
  <c r="AZ283" i="2"/>
  <c r="AY283" i="2"/>
  <c r="BA282" i="2"/>
  <c r="AZ282" i="2"/>
  <c r="AY282" i="2"/>
  <c r="BA281" i="2"/>
  <c r="AZ281" i="2"/>
  <c r="AY281" i="2"/>
  <c r="BA280" i="2"/>
  <c r="AZ280" i="2"/>
  <c r="AY280" i="2"/>
  <c r="BA279" i="2"/>
  <c r="AZ279" i="2"/>
  <c r="AY279" i="2"/>
  <c r="BA278" i="2"/>
  <c r="AZ278" i="2"/>
  <c r="AY278" i="2"/>
  <c r="BA277" i="2"/>
  <c r="AZ277" i="2"/>
  <c r="AY277" i="2"/>
  <c r="BA276" i="2"/>
  <c r="AZ276" i="2"/>
  <c r="AY276" i="2"/>
  <c r="BA275" i="2"/>
  <c r="AZ275" i="2"/>
  <c r="AY275" i="2"/>
  <c r="BA274" i="2"/>
  <c r="AZ274" i="2"/>
  <c r="AY274" i="2"/>
  <c r="BA273" i="2"/>
  <c r="AZ273" i="2"/>
  <c r="AY273" i="2"/>
  <c r="BA272" i="2"/>
  <c r="AZ272" i="2"/>
  <c r="AY272" i="2"/>
  <c r="BA271" i="2"/>
  <c r="AZ271" i="2"/>
  <c r="AY271" i="2"/>
  <c r="BA270" i="2"/>
  <c r="AZ270" i="2"/>
  <c r="AY270" i="2"/>
  <c r="BA269" i="2"/>
  <c r="AZ269" i="2"/>
  <c r="AY269" i="2"/>
  <c r="BA268" i="2"/>
  <c r="AZ268" i="2"/>
  <c r="AY268" i="2"/>
  <c r="BA267" i="2"/>
  <c r="AZ267" i="2"/>
  <c r="AY267" i="2"/>
  <c r="BA266" i="2"/>
  <c r="AZ266" i="2"/>
  <c r="AY266" i="2"/>
  <c r="BA265" i="2"/>
  <c r="AZ265" i="2"/>
  <c r="AY265" i="2"/>
  <c r="BA264" i="2"/>
  <c r="AZ264" i="2"/>
  <c r="AY264" i="2"/>
  <c r="BA263" i="2"/>
  <c r="AZ263" i="2"/>
  <c r="AY263" i="2"/>
  <c r="BA262" i="2"/>
  <c r="AZ262" i="2"/>
  <c r="AY262" i="2"/>
  <c r="BA261" i="2"/>
  <c r="AZ261" i="2"/>
  <c r="AY261" i="2"/>
  <c r="BA260" i="2"/>
  <c r="AZ260" i="2"/>
  <c r="AY260" i="2"/>
  <c r="BA259" i="2"/>
  <c r="AZ259" i="2"/>
  <c r="AY259" i="2"/>
  <c r="BA258" i="2"/>
  <c r="AZ258" i="2"/>
  <c r="AY258" i="2"/>
  <c r="BA257" i="2"/>
  <c r="AZ257" i="2"/>
  <c r="AY257" i="2"/>
  <c r="BA256" i="2"/>
  <c r="AZ256" i="2"/>
  <c r="AY256" i="2"/>
  <c r="BA255" i="2"/>
  <c r="AZ255" i="2"/>
  <c r="AY255" i="2"/>
  <c r="BA254" i="2"/>
  <c r="AZ254" i="2"/>
  <c r="AY254" i="2"/>
  <c r="BA253" i="2"/>
  <c r="AZ253" i="2"/>
  <c r="AY253" i="2"/>
  <c r="BA252" i="2"/>
  <c r="AZ252" i="2"/>
  <c r="AY252" i="2"/>
  <c r="BA251" i="2"/>
  <c r="AZ251" i="2"/>
  <c r="AY251" i="2"/>
  <c r="BA250" i="2"/>
  <c r="AZ250" i="2"/>
  <c r="AY250" i="2"/>
  <c r="BA249" i="2"/>
  <c r="AZ249" i="2"/>
  <c r="AY249" i="2"/>
  <c r="BA248" i="2"/>
  <c r="AZ248" i="2"/>
  <c r="AY248" i="2"/>
  <c r="BA247" i="2"/>
  <c r="AZ247" i="2"/>
  <c r="AY247" i="2"/>
  <c r="D772" i="1" s="1"/>
  <c r="BA246" i="2"/>
  <c r="AZ246" i="2"/>
  <c r="AY246" i="2"/>
  <c r="BA245" i="2"/>
  <c r="AZ245" i="2"/>
  <c r="AY245" i="2"/>
  <c r="BA244" i="2"/>
  <c r="AZ244" i="2"/>
  <c r="AY244" i="2"/>
  <c r="BA243" i="2"/>
  <c r="AZ243" i="2"/>
  <c r="AY243" i="2"/>
  <c r="BA242" i="2"/>
  <c r="AZ242" i="2"/>
  <c r="AY242" i="2"/>
  <c r="BA241" i="2"/>
  <c r="AZ241" i="2"/>
  <c r="AY241" i="2"/>
  <c r="BA240" i="2"/>
  <c r="AZ240" i="2"/>
  <c r="AY240" i="2"/>
  <c r="BA239" i="2"/>
  <c r="AZ239" i="2"/>
  <c r="AY239" i="2"/>
  <c r="BA238" i="2"/>
  <c r="AZ238" i="2"/>
  <c r="AY238" i="2"/>
  <c r="BA237" i="2"/>
  <c r="AZ237" i="2"/>
  <c r="AY237" i="2"/>
  <c r="BA236" i="2"/>
  <c r="AZ236" i="2"/>
  <c r="AY236" i="2"/>
  <c r="BA235" i="2"/>
  <c r="AZ235" i="2"/>
  <c r="AY235" i="2"/>
  <c r="BA234" i="2"/>
  <c r="AZ234" i="2"/>
  <c r="AY234" i="2"/>
  <c r="BA233" i="2"/>
  <c r="AZ233" i="2"/>
  <c r="AY233" i="2"/>
  <c r="BA232" i="2"/>
  <c r="AZ232" i="2"/>
  <c r="AY232" i="2"/>
  <c r="BA231" i="2"/>
  <c r="AZ231" i="2"/>
  <c r="AY231" i="2"/>
  <c r="BA230" i="2"/>
  <c r="AZ230" i="2"/>
  <c r="AY230" i="2"/>
  <c r="BA229" i="2"/>
  <c r="AZ229" i="2"/>
  <c r="AY229" i="2"/>
  <c r="BA228" i="2"/>
  <c r="AZ228" i="2"/>
  <c r="AY228" i="2"/>
  <c r="BA227" i="2"/>
  <c r="AZ227" i="2"/>
  <c r="AY227" i="2"/>
  <c r="BA226" i="2"/>
  <c r="AZ226" i="2"/>
  <c r="AY226" i="2"/>
  <c r="BA225" i="2"/>
  <c r="AZ225" i="2"/>
  <c r="AY225" i="2"/>
  <c r="BA224" i="2"/>
  <c r="AZ224" i="2"/>
  <c r="AY224" i="2"/>
  <c r="BA223" i="2"/>
  <c r="AZ223" i="2"/>
  <c r="AY223" i="2"/>
  <c r="BA222" i="2"/>
  <c r="AZ222" i="2"/>
  <c r="AY222" i="2"/>
  <c r="BA221" i="2"/>
  <c r="AZ221" i="2"/>
  <c r="AY221" i="2"/>
  <c r="BA220" i="2"/>
  <c r="AZ220" i="2"/>
  <c r="AY220" i="2"/>
  <c r="BA219" i="2"/>
  <c r="AZ219" i="2"/>
  <c r="AY219" i="2"/>
  <c r="BA218" i="2"/>
  <c r="AZ218" i="2"/>
  <c r="AY218" i="2"/>
  <c r="BA217" i="2"/>
  <c r="AZ217" i="2"/>
  <c r="AY217" i="2"/>
  <c r="BA216" i="2"/>
  <c r="AZ216" i="2"/>
  <c r="AY216" i="2"/>
  <c r="BA215" i="2"/>
  <c r="AZ215" i="2"/>
  <c r="AY215" i="2"/>
  <c r="BA214" i="2"/>
  <c r="AZ214" i="2"/>
  <c r="AY214" i="2"/>
  <c r="BA213" i="2"/>
  <c r="AZ213" i="2"/>
  <c r="AY213" i="2"/>
  <c r="BA212" i="2"/>
  <c r="AZ212" i="2"/>
  <c r="AY212" i="2"/>
  <c r="BA211" i="2"/>
  <c r="AZ211" i="2"/>
  <c r="AY211" i="2"/>
  <c r="BA210" i="2"/>
  <c r="AZ210" i="2"/>
  <c r="AY210" i="2"/>
  <c r="BA209" i="2"/>
  <c r="AZ209" i="2"/>
  <c r="AY209" i="2"/>
  <c r="BA208" i="2"/>
  <c r="AZ208" i="2"/>
  <c r="AY208" i="2"/>
  <c r="BA207" i="2"/>
  <c r="AZ207" i="2"/>
  <c r="AY207" i="2"/>
  <c r="BA206" i="2"/>
  <c r="AZ206" i="2"/>
  <c r="AY206" i="2"/>
  <c r="BA205" i="2"/>
  <c r="AZ205" i="2"/>
  <c r="AY205" i="2"/>
  <c r="BA204" i="2"/>
  <c r="AZ204" i="2"/>
  <c r="AY204" i="2"/>
  <c r="BA203" i="2"/>
  <c r="AZ203" i="2"/>
  <c r="AY203" i="2"/>
  <c r="BA202" i="2"/>
  <c r="AZ202" i="2"/>
  <c r="AY202" i="2"/>
  <c r="BA201" i="2"/>
  <c r="AZ201" i="2"/>
  <c r="AY201" i="2"/>
  <c r="BA200" i="2"/>
  <c r="AZ200" i="2"/>
  <c r="AY200" i="2"/>
  <c r="BA199" i="2"/>
  <c r="AZ199" i="2"/>
  <c r="AY199" i="2"/>
  <c r="BA198" i="2"/>
  <c r="AZ198" i="2"/>
  <c r="AY198" i="2"/>
  <c r="BA197" i="2"/>
  <c r="AZ197" i="2"/>
  <c r="AY197" i="2"/>
  <c r="BA196" i="2"/>
  <c r="AZ196" i="2"/>
  <c r="AY196" i="2"/>
  <c r="BA195" i="2"/>
  <c r="AZ195" i="2"/>
  <c r="AY195" i="2"/>
  <c r="BA194" i="2"/>
  <c r="AZ194" i="2"/>
  <c r="AY194" i="2"/>
  <c r="BA193" i="2"/>
  <c r="AZ193" i="2"/>
  <c r="AY193" i="2"/>
  <c r="BA192" i="2"/>
  <c r="AZ192" i="2"/>
  <c r="AY192" i="2"/>
  <c r="BA191" i="2"/>
  <c r="AZ191" i="2"/>
  <c r="AY191" i="2"/>
  <c r="BA190" i="2"/>
  <c r="AZ190" i="2"/>
  <c r="AY190" i="2"/>
  <c r="BA189" i="2"/>
  <c r="AZ189" i="2"/>
  <c r="AY189" i="2"/>
  <c r="BA188" i="2"/>
  <c r="AZ188" i="2"/>
  <c r="AY188" i="2"/>
  <c r="BA187" i="2"/>
  <c r="AZ187" i="2"/>
  <c r="AY187" i="2"/>
  <c r="BA186" i="2"/>
  <c r="AZ186" i="2"/>
  <c r="AY186" i="2"/>
  <c r="BA185" i="2"/>
  <c r="AZ185" i="2"/>
  <c r="AY185" i="2"/>
  <c r="BA184" i="2"/>
  <c r="AZ184" i="2"/>
  <c r="AY184" i="2"/>
  <c r="BA183" i="2"/>
  <c r="AZ183" i="2"/>
  <c r="AY183" i="2"/>
  <c r="BA182" i="2"/>
  <c r="AZ182" i="2"/>
  <c r="AY182" i="2"/>
  <c r="BA181" i="2"/>
  <c r="AZ181" i="2"/>
  <c r="AY181" i="2"/>
  <c r="BA180" i="2"/>
  <c r="AZ180" i="2"/>
  <c r="AY180" i="2"/>
  <c r="BA179" i="2"/>
  <c r="AZ179" i="2"/>
  <c r="AY179" i="2"/>
  <c r="BA178" i="2"/>
  <c r="AZ178" i="2"/>
  <c r="AY178" i="2"/>
  <c r="BA177" i="2"/>
  <c r="AZ177" i="2"/>
  <c r="AY177" i="2"/>
  <c r="BA176" i="2"/>
  <c r="AZ176" i="2"/>
  <c r="AY176" i="2"/>
  <c r="BA175" i="2"/>
  <c r="AZ175" i="2"/>
  <c r="AY175" i="2"/>
  <c r="BA174" i="2"/>
  <c r="AZ174" i="2"/>
  <c r="AY174" i="2"/>
  <c r="BA173" i="2"/>
  <c r="AZ173" i="2"/>
  <c r="AY173" i="2"/>
  <c r="BA172" i="2"/>
  <c r="AZ172" i="2"/>
  <c r="AY172" i="2"/>
  <c r="BA171" i="2"/>
  <c r="AZ171" i="2"/>
  <c r="AY171" i="2"/>
  <c r="BA170" i="2"/>
  <c r="AZ170" i="2"/>
  <c r="AY170" i="2"/>
  <c r="BA169" i="2"/>
  <c r="AZ169" i="2"/>
  <c r="AY169" i="2"/>
  <c r="BA168" i="2"/>
  <c r="AZ168" i="2"/>
  <c r="AY168" i="2"/>
  <c r="BA167" i="2"/>
  <c r="AZ167" i="2"/>
  <c r="AY167" i="2"/>
  <c r="BA166" i="2"/>
  <c r="AZ166" i="2"/>
  <c r="AY166" i="2"/>
  <c r="BA165" i="2"/>
  <c r="AZ165" i="2"/>
  <c r="AY165" i="2"/>
  <c r="BA164" i="2"/>
  <c r="AZ164" i="2"/>
  <c r="AY164" i="2"/>
  <c r="BA163" i="2"/>
  <c r="AZ163" i="2"/>
  <c r="AY163" i="2"/>
  <c r="BA162" i="2"/>
  <c r="AZ162" i="2"/>
  <c r="AY162" i="2"/>
  <c r="BA161" i="2"/>
  <c r="AZ161" i="2"/>
  <c r="AY161" i="2"/>
  <c r="BA160" i="2"/>
  <c r="AZ160" i="2"/>
  <c r="AY160" i="2"/>
  <c r="BA159" i="2"/>
  <c r="AZ159" i="2"/>
  <c r="AY159" i="2"/>
  <c r="BA158" i="2"/>
  <c r="AZ158" i="2"/>
  <c r="AY158" i="2"/>
  <c r="BA157" i="2"/>
  <c r="AZ157" i="2"/>
  <c r="AY157" i="2"/>
  <c r="BA156" i="2"/>
  <c r="AZ156" i="2"/>
  <c r="AY156" i="2"/>
  <c r="BA155" i="2"/>
  <c r="AZ155" i="2"/>
  <c r="AY155" i="2"/>
  <c r="BA154" i="2"/>
  <c r="AZ154" i="2"/>
  <c r="AY154" i="2"/>
  <c r="BA153" i="2"/>
  <c r="AZ153" i="2"/>
  <c r="AY153" i="2"/>
  <c r="BA152" i="2"/>
  <c r="AZ152" i="2"/>
  <c r="AY152" i="2"/>
  <c r="BA151" i="2"/>
  <c r="AZ151" i="2"/>
  <c r="AY151" i="2"/>
  <c r="BA150" i="2"/>
  <c r="AZ150" i="2"/>
  <c r="AY150" i="2"/>
  <c r="BA149" i="2"/>
  <c r="AZ149" i="2"/>
  <c r="AY149" i="2"/>
  <c r="BA148" i="2"/>
  <c r="AZ148" i="2"/>
  <c r="AY148" i="2"/>
  <c r="BA147" i="2"/>
  <c r="AZ147" i="2"/>
  <c r="AY147" i="2"/>
  <c r="BA146" i="2"/>
  <c r="AZ146" i="2"/>
  <c r="AY146" i="2"/>
  <c r="BA145" i="2"/>
  <c r="AZ145" i="2"/>
  <c r="AY145" i="2"/>
  <c r="BA144" i="2"/>
  <c r="AZ144" i="2"/>
  <c r="AY144" i="2"/>
  <c r="BA143" i="2"/>
  <c r="AZ143" i="2"/>
  <c r="AY143" i="2"/>
  <c r="BA142" i="2"/>
  <c r="AZ142" i="2"/>
  <c r="AY142" i="2"/>
  <c r="BA141" i="2"/>
  <c r="AZ141" i="2"/>
  <c r="AY141" i="2"/>
  <c r="BA140" i="2"/>
  <c r="AZ140" i="2"/>
  <c r="AY140" i="2"/>
  <c r="BA139" i="2"/>
  <c r="AZ139" i="2"/>
  <c r="AY139" i="2"/>
  <c r="BA138" i="2"/>
  <c r="AZ138" i="2"/>
  <c r="AY138" i="2"/>
  <c r="BA137" i="2"/>
  <c r="AZ137" i="2"/>
  <c r="AY137" i="2"/>
  <c r="BA136" i="2"/>
  <c r="AZ136" i="2"/>
  <c r="AY136" i="2"/>
  <c r="BA135" i="2"/>
  <c r="AZ135" i="2"/>
  <c r="AY135" i="2"/>
  <c r="BA134" i="2"/>
  <c r="AZ134" i="2"/>
  <c r="AY134" i="2"/>
  <c r="BA133" i="2"/>
  <c r="AZ133" i="2"/>
  <c r="AY133" i="2"/>
  <c r="BA132" i="2"/>
  <c r="AZ132" i="2"/>
  <c r="AY132" i="2"/>
  <c r="BA131" i="2"/>
  <c r="AZ131" i="2"/>
  <c r="AY131" i="2"/>
  <c r="BA130" i="2"/>
  <c r="AZ130" i="2"/>
  <c r="AY130" i="2"/>
  <c r="BA129" i="2"/>
  <c r="AZ129" i="2"/>
  <c r="AY129" i="2"/>
  <c r="BA128" i="2"/>
  <c r="AZ128" i="2"/>
  <c r="AY128" i="2"/>
  <c r="BA127" i="2"/>
  <c r="AY127" i="2"/>
  <c r="BA126" i="2"/>
  <c r="AY126" i="2"/>
  <c r="BA125" i="2"/>
  <c r="AY125" i="2"/>
  <c r="BA124" i="2"/>
  <c r="AY124" i="2"/>
  <c r="BA123" i="2"/>
  <c r="AY123" i="2"/>
  <c r="BA122" i="2"/>
  <c r="AY122" i="2"/>
  <c r="BA121" i="2"/>
  <c r="AY121" i="2"/>
  <c r="BA120" i="2"/>
  <c r="AY120" i="2"/>
  <c r="BA119" i="2"/>
  <c r="AY119" i="2"/>
  <c r="BA118" i="2"/>
  <c r="AY118" i="2"/>
  <c r="BA117" i="2"/>
  <c r="AY117" i="2"/>
  <c r="BA116" i="2"/>
  <c r="AY116" i="2"/>
  <c r="BA115" i="2"/>
  <c r="AY115" i="2"/>
  <c r="BA114" i="2"/>
  <c r="AY114" i="2"/>
  <c r="BA113" i="2"/>
  <c r="AY113" i="2"/>
  <c r="BA112" i="2"/>
  <c r="AY112" i="2"/>
  <c r="BA111" i="2"/>
  <c r="AY111" i="2"/>
  <c r="BA110" i="2"/>
  <c r="AY110" i="2"/>
  <c r="BA109" i="2"/>
  <c r="AY109" i="2"/>
  <c r="BA108" i="2"/>
  <c r="AY108" i="2"/>
  <c r="BA107" i="2"/>
  <c r="AY107" i="2"/>
  <c r="BA106" i="2"/>
  <c r="AY106" i="2"/>
  <c r="BA105" i="2"/>
  <c r="AY105" i="2"/>
  <c r="BA104" i="2"/>
  <c r="AY104" i="2"/>
  <c r="BA103" i="2"/>
  <c r="AY103" i="2"/>
  <c r="BA102" i="2"/>
  <c r="AY102" i="2"/>
  <c r="BA101" i="2"/>
  <c r="AY101" i="2"/>
  <c r="BA100" i="2"/>
  <c r="AY100" i="2"/>
  <c r="BA99" i="2"/>
  <c r="AY99" i="2"/>
  <c r="BA98" i="2"/>
  <c r="AY98" i="2"/>
  <c r="BA97" i="2"/>
  <c r="AY97" i="2"/>
  <c r="BA96" i="2"/>
  <c r="AY96" i="2"/>
  <c r="BA95" i="2"/>
  <c r="AY95" i="2"/>
  <c r="BA94" i="2"/>
  <c r="AY94" i="2"/>
  <c r="BA93" i="2"/>
  <c r="AY93" i="2"/>
  <c r="BA92" i="2"/>
  <c r="AY92" i="2"/>
  <c r="BA91" i="2"/>
  <c r="AY91" i="2"/>
  <c r="BA90" i="2"/>
  <c r="AY90" i="2"/>
  <c r="BA89" i="2"/>
  <c r="AY89" i="2"/>
  <c r="BA88" i="2"/>
  <c r="AY88" i="2"/>
  <c r="BA87" i="2"/>
  <c r="AY87" i="2"/>
  <c r="BA86" i="2"/>
  <c r="AY86" i="2"/>
  <c r="BA85" i="2"/>
  <c r="AY85" i="2"/>
  <c r="BA84" i="2"/>
  <c r="AY84" i="2"/>
  <c r="BA83" i="2"/>
  <c r="AY83" i="2"/>
  <c r="BA82" i="2"/>
  <c r="AY82" i="2"/>
  <c r="BA81" i="2"/>
  <c r="AY81" i="2"/>
  <c r="BA80" i="2"/>
  <c r="AY80" i="2"/>
  <c r="BA79" i="2"/>
  <c r="AY79" i="2"/>
  <c r="BA78" i="2"/>
  <c r="AY78" i="2"/>
  <c r="BA77" i="2"/>
  <c r="AY77" i="2"/>
  <c r="BA76" i="2"/>
  <c r="AY76" i="2"/>
  <c r="BA75" i="2"/>
  <c r="AY75" i="2"/>
  <c r="BA74" i="2"/>
  <c r="AY74" i="2"/>
  <c r="BA73" i="2"/>
  <c r="AY73" i="2"/>
  <c r="BA72" i="2"/>
  <c r="AY72" i="2"/>
  <c r="BA71" i="2"/>
  <c r="AY71" i="2"/>
  <c r="BA70" i="2"/>
  <c r="AY70" i="2"/>
  <c r="BA69" i="2"/>
  <c r="AY69" i="2"/>
  <c r="BA68" i="2"/>
  <c r="AY68" i="2"/>
  <c r="BA67" i="2"/>
  <c r="AY67" i="2"/>
  <c r="BA66" i="2"/>
  <c r="AY66" i="2"/>
  <c r="BA65" i="2"/>
  <c r="AY65" i="2"/>
  <c r="BA64" i="2"/>
  <c r="AY64" i="2"/>
  <c r="BA63" i="2"/>
  <c r="AY63" i="2"/>
  <c r="BA62" i="2"/>
  <c r="AY62" i="2"/>
  <c r="BA61" i="2"/>
  <c r="AY61" i="2"/>
  <c r="BA60" i="2"/>
  <c r="AY60" i="2"/>
  <c r="BA59" i="2"/>
  <c r="AY59" i="2"/>
  <c r="BA58" i="2"/>
  <c r="AY58" i="2"/>
  <c r="BA57" i="2"/>
  <c r="AY57" i="2"/>
  <c r="BA56" i="2"/>
  <c r="AY56" i="2"/>
  <c r="BA55" i="2"/>
  <c r="AY55" i="2"/>
  <c r="BA54" i="2"/>
  <c r="AY54" i="2"/>
  <c r="BA53" i="2"/>
  <c r="AY53" i="2"/>
  <c r="BA52" i="2"/>
  <c r="AY52" i="2"/>
  <c r="BA51" i="2"/>
  <c r="AY51" i="2"/>
  <c r="BA50" i="2"/>
  <c r="AY50" i="2"/>
  <c r="BA49" i="2"/>
  <c r="AY49" i="2"/>
  <c r="BA48" i="2"/>
  <c r="AY48" i="2"/>
  <c r="BA47" i="2"/>
  <c r="AY47" i="2"/>
  <c r="BA46" i="2"/>
  <c r="AY46" i="2"/>
  <c r="BA45" i="2"/>
  <c r="AZ45" i="2"/>
  <c r="AY45" i="2"/>
  <c r="BA44" i="2"/>
  <c r="AZ44" i="2"/>
  <c r="AY44" i="2"/>
  <c r="BA43" i="2"/>
  <c r="AZ43" i="2"/>
  <c r="AY43" i="2"/>
  <c r="BA42" i="2"/>
  <c r="AZ42" i="2"/>
  <c r="AY42" i="2"/>
  <c r="BA41" i="2"/>
  <c r="AZ41" i="2"/>
  <c r="AY41" i="2"/>
  <c r="BA40" i="2"/>
  <c r="AZ40" i="2"/>
  <c r="AY40" i="2"/>
  <c r="BA39" i="2"/>
  <c r="AZ39" i="2"/>
  <c r="AY39" i="2"/>
  <c r="BA38" i="2"/>
  <c r="AZ38" i="2"/>
  <c r="AY38" i="2"/>
  <c r="BA37" i="2"/>
  <c r="AZ37" i="2"/>
  <c r="AY37" i="2"/>
  <c r="BA36" i="2"/>
  <c r="AZ36" i="2"/>
  <c r="AY36" i="2"/>
  <c r="BA35" i="2"/>
  <c r="AZ35" i="2"/>
  <c r="AY35" i="2"/>
  <c r="BA34" i="2"/>
  <c r="AZ34" i="2"/>
  <c r="AY34" i="2"/>
  <c r="BA33" i="2"/>
  <c r="AZ33" i="2"/>
  <c r="AY33" i="2"/>
  <c r="BA32" i="2"/>
  <c r="AZ32" i="2"/>
  <c r="AY32" i="2"/>
  <c r="BA31" i="2"/>
  <c r="AZ31" i="2"/>
  <c r="AY31" i="2"/>
  <c r="BA30" i="2"/>
  <c r="AZ30" i="2"/>
  <c r="AY30" i="2"/>
  <c r="BA29" i="2"/>
  <c r="AZ29" i="2"/>
  <c r="AY29" i="2"/>
  <c r="BA28" i="2"/>
  <c r="AZ28" i="2"/>
  <c r="AY28" i="2"/>
  <c r="BA27" i="2"/>
  <c r="AZ27" i="2"/>
  <c r="AY27" i="2"/>
  <c r="BA26" i="2"/>
  <c r="AZ26" i="2"/>
  <c r="AY26" i="2"/>
  <c r="BA25" i="2"/>
  <c r="AZ25" i="2"/>
  <c r="AY25" i="2"/>
  <c r="BA24" i="2"/>
  <c r="AZ24" i="2"/>
  <c r="AY24" i="2"/>
  <c r="BA23" i="2"/>
  <c r="AZ23" i="2"/>
  <c r="AY23" i="2"/>
  <c r="BA22" i="2"/>
  <c r="AZ22" i="2"/>
  <c r="AY22" i="2"/>
  <c r="BA21" i="2"/>
  <c r="AZ21" i="2"/>
  <c r="AY21" i="2"/>
  <c r="BA20" i="2"/>
  <c r="AZ20" i="2"/>
  <c r="AY20" i="2"/>
  <c r="BA19" i="2"/>
  <c r="AZ19" i="2"/>
  <c r="AY19" i="2"/>
  <c r="BA18" i="2"/>
  <c r="AZ18" i="2"/>
  <c r="AY18" i="2"/>
  <c r="BA17" i="2"/>
  <c r="AZ17" i="2"/>
  <c r="AY17" i="2"/>
  <c r="BA16" i="2"/>
  <c r="AZ16" i="2"/>
  <c r="AY16" i="2"/>
  <c r="BA15" i="2"/>
  <c r="AZ15" i="2"/>
  <c r="AY15" i="2"/>
  <c r="BA14" i="2"/>
  <c r="AZ14" i="2"/>
  <c r="AY14" i="2"/>
  <c r="BA13" i="2"/>
  <c r="AZ13" i="2"/>
  <c r="AY13" i="2"/>
  <c r="BA12" i="2"/>
  <c r="AZ12" i="2"/>
  <c r="AY12" i="2"/>
  <c r="BA11" i="2"/>
  <c r="AZ11" i="2"/>
  <c r="AY11" i="2"/>
  <c r="BA10" i="2"/>
  <c r="AZ10" i="2"/>
  <c r="AY10" i="2"/>
  <c r="BA9" i="2"/>
  <c r="AZ9" i="2"/>
  <c r="AY9" i="2"/>
  <c r="BA8" i="2"/>
  <c r="AZ8" i="2"/>
  <c r="AY8" i="2"/>
  <c r="BA7" i="2"/>
  <c r="AZ7" i="2"/>
  <c r="AY7" i="2"/>
  <c r="BA6" i="2"/>
  <c r="AZ6" i="2"/>
  <c r="AY6" i="2"/>
  <c r="BA5" i="2"/>
  <c r="AZ5" i="2"/>
  <c r="AY5" i="2"/>
  <c r="Y902" i="1" a="1"/>
  <c r="Y902" i="1"/>
  <c r="W902" i="1" a="1"/>
  <c r="W902" i="1"/>
  <c r="T902" i="1" a="1"/>
  <c r="T902" i="1"/>
  <c r="Z902" i="1" a="1"/>
  <c r="Z902" i="1"/>
  <c r="X902" i="1" a="1"/>
  <c r="X902" i="1"/>
  <c r="U902" i="1" a="1"/>
  <c r="U902" i="1"/>
  <c r="V902" i="1" a="1"/>
  <c r="V902" i="1"/>
  <c r="U733" i="1" a="1"/>
  <c r="U733" i="1"/>
  <c r="X898" i="1" a="1"/>
  <c r="X898" i="1"/>
  <c r="T898" i="1" a="1"/>
  <c r="T898" i="1"/>
  <c r="Y733" i="1" a="1"/>
  <c r="Y733" i="1"/>
  <c r="Z732" i="1" a="1"/>
  <c r="Z732" i="1"/>
  <c r="AA732" i="1" a="1"/>
  <c r="AA732" i="1"/>
  <c r="Z901" i="1" a="1"/>
  <c r="Z901" i="1"/>
  <c r="Y901" i="1" a="1"/>
  <c r="Y901" i="1"/>
  <c r="Z734" i="1" a="1"/>
  <c r="Z734" i="1"/>
  <c r="X901" i="1" a="1"/>
  <c r="X901" i="1"/>
  <c r="W901" i="1" a="1"/>
  <c r="W901" i="1"/>
  <c r="U732" i="1" a="1"/>
  <c r="U732" i="1"/>
  <c r="V733" i="1" a="1"/>
  <c r="V733" i="1"/>
  <c r="V732" i="1" a="1"/>
  <c r="V732" i="1"/>
  <c r="U900" i="1" a="1"/>
  <c r="U900" i="1"/>
  <c r="W733" i="1" a="1"/>
  <c r="W733" i="1"/>
  <c r="T899" i="1" a="1"/>
  <c r="T899" i="1"/>
  <c r="W734" i="1" a="1"/>
  <c r="W734" i="1"/>
  <c r="V901" i="1" a="1"/>
  <c r="V901" i="1"/>
  <c r="U901" i="1" a="1"/>
  <c r="U901" i="1"/>
  <c r="Y734" i="1" a="1"/>
  <c r="Y734" i="1"/>
  <c r="T901" i="1" a="1"/>
  <c r="T901" i="1"/>
  <c r="Y900" i="1" a="1"/>
  <c r="Y900" i="1"/>
  <c r="AB732" i="1" a="1"/>
  <c r="AB732" i="1"/>
  <c r="AA733" i="1" a="1"/>
  <c r="AA733" i="1"/>
  <c r="T733" i="1" a="1"/>
  <c r="T733" i="1"/>
  <c r="Y899" i="1" a="1"/>
  <c r="Y899" i="1"/>
  <c r="U734" i="1" a="1"/>
  <c r="U734" i="1"/>
  <c r="U898" i="1" a="1"/>
  <c r="U898" i="1"/>
  <c r="X733" i="1" a="1"/>
  <c r="X733" i="1"/>
  <c r="T732" i="1" a="1"/>
  <c r="T732" i="1"/>
  <c r="AA734" i="1" a="1"/>
  <c r="AA734" i="1"/>
  <c r="X899" i="1" a="1"/>
  <c r="X899" i="1"/>
  <c r="Z898" i="1" a="1"/>
  <c r="Z898" i="1"/>
  <c r="W899" i="1" a="1"/>
  <c r="W899" i="1"/>
  <c r="W898" i="1" a="1"/>
  <c r="W898" i="1"/>
  <c r="X732" i="1" a="1"/>
  <c r="X732" i="1"/>
  <c r="T734" i="1" a="1"/>
  <c r="T734" i="1"/>
  <c r="Z733" i="1" a="1"/>
  <c r="Z733" i="1"/>
  <c r="W732" i="1" a="1"/>
  <c r="W732" i="1"/>
  <c r="X900" i="1" a="1"/>
  <c r="X900" i="1"/>
  <c r="Z900" i="1" a="1"/>
  <c r="Z900" i="1"/>
  <c r="W900" i="1" a="1"/>
  <c r="W900" i="1"/>
  <c r="V900" i="1" a="1"/>
  <c r="V900" i="1"/>
  <c r="T900" i="1" a="1"/>
  <c r="T900" i="1"/>
  <c r="Z899" i="1" a="1"/>
  <c r="Z899" i="1"/>
  <c r="V899" i="1" a="1"/>
  <c r="V899" i="1"/>
  <c r="U899" i="1" a="1"/>
  <c r="U899" i="1"/>
  <c r="Y898" i="1" a="1"/>
  <c r="Y898" i="1"/>
  <c r="X734" i="1" a="1"/>
  <c r="X734" i="1"/>
  <c r="V898" i="1" a="1"/>
  <c r="V898" i="1"/>
  <c r="Y732" i="1" a="1"/>
  <c r="Y732" i="1"/>
  <c r="V734" i="1" a="1"/>
  <c r="V734" i="1"/>
  <c r="AA730" i="1" a="1"/>
  <c r="AA730" i="1"/>
  <c r="W730" i="1" a="1"/>
  <c r="W730" i="1"/>
  <c r="X731" i="1" a="1"/>
  <c r="X731" i="1"/>
  <c r="V731" i="1" a="1"/>
  <c r="V731" i="1"/>
  <c r="V730" i="1" a="1"/>
  <c r="V730" i="1"/>
  <c r="U730" i="1" a="1"/>
  <c r="U730" i="1"/>
  <c r="Z730" i="1" a="1"/>
  <c r="Z730" i="1"/>
  <c r="X730" i="1" a="1"/>
  <c r="X730" i="1"/>
  <c r="T730" i="1" a="1"/>
  <c r="T730" i="1"/>
  <c r="AB731" i="1" a="1"/>
  <c r="AB731" i="1"/>
  <c r="AA731" i="1" a="1"/>
  <c r="AA731" i="1"/>
  <c r="Z731" i="1" a="1"/>
  <c r="Z731" i="1"/>
  <c r="Y731" i="1" a="1"/>
  <c r="Y731" i="1"/>
  <c r="W731" i="1" a="1"/>
  <c r="W731" i="1"/>
  <c r="U731" i="1" a="1"/>
  <c r="U731" i="1"/>
  <c r="Y730" i="1" a="1"/>
  <c r="Y730" i="1"/>
  <c r="T731" i="1" a="1"/>
  <c r="T731" i="1"/>
  <c r="AB730" i="1" a="1"/>
  <c r="AB730" i="1"/>
  <c r="W591" i="1" a="1"/>
  <c r="W591" i="1"/>
  <c r="U591" i="1" a="1"/>
  <c r="U591" i="1"/>
  <c r="T588" i="1" a="1"/>
  <c r="T588" i="1"/>
  <c r="X588" i="1" a="1"/>
  <c r="X588" i="1"/>
  <c r="V591" i="1" a="1"/>
  <c r="V591" i="1"/>
  <c r="X590" i="1" a="1"/>
  <c r="X590" i="1"/>
  <c r="T591" i="1" a="1"/>
  <c r="T591" i="1"/>
  <c r="T587" i="1" a="1"/>
  <c r="T587" i="1"/>
  <c r="V587" i="1" a="1"/>
  <c r="V587" i="1"/>
  <c r="W587" i="1" a="1"/>
  <c r="W587" i="1"/>
  <c r="V588" i="1" a="1"/>
  <c r="V588" i="1"/>
  <c r="X591" i="1" a="1"/>
  <c r="X591" i="1"/>
  <c r="W590" i="1" a="1"/>
  <c r="W590" i="1"/>
  <c r="V590" i="1" a="1"/>
  <c r="V590" i="1"/>
  <c r="U588" i="1" a="1"/>
  <c r="U588" i="1"/>
  <c r="U587" i="1" a="1"/>
  <c r="U587" i="1"/>
  <c r="W588" i="1" a="1"/>
  <c r="W588" i="1"/>
  <c r="T590" i="1" a="1"/>
  <c r="T590" i="1"/>
  <c r="X587" i="1" a="1"/>
  <c r="X587" i="1"/>
  <c r="U590" i="1" a="1"/>
  <c r="U590" i="1"/>
  <c r="W465" i="1" a="1"/>
  <c r="W465" i="1"/>
  <c r="V469" i="1" a="1"/>
  <c r="V469" i="1"/>
  <c r="U469" i="1" a="1"/>
  <c r="U469" i="1"/>
  <c r="AA466" i="1" a="1"/>
  <c r="AA466" i="1"/>
  <c r="T467" i="1" a="1"/>
  <c r="T467" i="1"/>
  <c r="V466" i="1" a="1"/>
  <c r="V466" i="1"/>
  <c r="AB465" i="1" a="1"/>
  <c r="AB465" i="1"/>
  <c r="T466" i="1" a="1"/>
  <c r="T466" i="1"/>
  <c r="U465" i="1" a="1"/>
  <c r="U465" i="1"/>
  <c r="Z465" i="1" a="1"/>
  <c r="Z465" i="1"/>
  <c r="X469" i="1" a="1"/>
  <c r="X469" i="1"/>
  <c r="AB466" i="1" a="1"/>
  <c r="AB466" i="1"/>
  <c r="U470" i="1" a="1"/>
  <c r="U470" i="1"/>
  <c r="AB467" i="1" a="1"/>
  <c r="AB467" i="1"/>
  <c r="Z466" i="1" a="1"/>
  <c r="Z466" i="1"/>
  <c r="AA465" i="1" a="1"/>
  <c r="AA465" i="1"/>
  <c r="Y467" i="1" a="1"/>
  <c r="Y467" i="1"/>
  <c r="U466" i="1" a="1"/>
  <c r="U466" i="1"/>
  <c r="X467" i="1" a="1"/>
  <c r="X467" i="1"/>
  <c r="U467" i="1" a="1"/>
  <c r="U467" i="1"/>
  <c r="Y466" i="1" a="1"/>
  <c r="Y466" i="1"/>
  <c r="Y470" i="1" a="1"/>
  <c r="Y470" i="1"/>
  <c r="T470" i="1" a="1"/>
  <c r="T470" i="1"/>
  <c r="X465" i="1" a="1"/>
  <c r="X465" i="1"/>
  <c r="W469" i="1" a="1"/>
  <c r="W469" i="1"/>
  <c r="W467" i="1" a="1"/>
  <c r="W467" i="1"/>
  <c r="X466" i="1" a="1"/>
  <c r="X466" i="1"/>
  <c r="AB470" i="1" a="1"/>
  <c r="AB470" i="1"/>
  <c r="AA470" i="1" a="1"/>
  <c r="AA470" i="1"/>
  <c r="Z470" i="1" a="1"/>
  <c r="Z470" i="1"/>
  <c r="X470" i="1" a="1"/>
  <c r="X470" i="1"/>
  <c r="W470" i="1" a="1"/>
  <c r="W470" i="1"/>
  <c r="V470" i="1" a="1"/>
  <c r="V470" i="1"/>
  <c r="AB469" i="1" a="1"/>
  <c r="AB469" i="1"/>
  <c r="AA469" i="1" a="1"/>
  <c r="AA469" i="1"/>
  <c r="T465" i="1" a="1"/>
  <c r="T465" i="1"/>
  <c r="T469" i="1" a="1"/>
  <c r="T469" i="1"/>
  <c r="Z469" i="1" a="1"/>
  <c r="Z469" i="1"/>
  <c r="Y469" i="1" a="1"/>
  <c r="Y469" i="1"/>
  <c r="AA467" i="1" a="1"/>
  <c r="AA467" i="1"/>
  <c r="Z467" i="1" a="1"/>
  <c r="Z467" i="1"/>
  <c r="V467" i="1" a="1"/>
  <c r="V467" i="1"/>
  <c r="W466" i="1" a="1"/>
  <c r="W466" i="1"/>
  <c r="Y465" i="1" a="1"/>
  <c r="Y465" i="1"/>
  <c r="V465" i="1" a="1"/>
  <c r="V465" i="1"/>
  <c r="AB184" i="1" a="1"/>
  <c r="AB184" i="1"/>
  <c r="W184" i="1" a="1"/>
  <c r="W184" i="1"/>
  <c r="U346" i="1" a="1"/>
  <c r="U346" i="1"/>
  <c r="T346" i="1" a="1"/>
  <c r="T346" i="1"/>
  <c r="V184" i="1" a="1"/>
  <c r="V184" i="1"/>
  <c r="AA184" i="1" a="1"/>
  <c r="AA184" i="1"/>
  <c r="Y185" i="1" a="1"/>
  <c r="Y185" i="1"/>
  <c r="W185" i="1" a="1"/>
  <c r="W185" i="1"/>
  <c r="Y184" i="1" a="1"/>
  <c r="Y184" i="1"/>
  <c r="X184" i="1" a="1"/>
  <c r="X184" i="1"/>
  <c r="W347" i="1" a="1"/>
  <c r="W347" i="1"/>
  <c r="Z348" i="1" a="1"/>
  <c r="Z348" i="1"/>
  <c r="V345" i="1" a="1"/>
  <c r="V345" i="1"/>
  <c r="X347" i="1" a="1"/>
  <c r="X347" i="1"/>
  <c r="W345" i="1" a="1"/>
  <c r="W345" i="1"/>
  <c r="X345" i="1" a="1"/>
  <c r="X345" i="1"/>
  <c r="W346" i="1" a="1"/>
  <c r="W346" i="1"/>
  <c r="Z346" i="1" a="1"/>
  <c r="Z346" i="1"/>
  <c r="V346" i="1" a="1"/>
  <c r="V346" i="1"/>
  <c r="Z185" i="1" a="1"/>
  <c r="Z185" i="1"/>
  <c r="X185" i="1" a="1"/>
  <c r="X185" i="1"/>
  <c r="Y348" i="1" a="1"/>
  <c r="Y348" i="1"/>
  <c r="V347" i="1" a="1"/>
  <c r="V347" i="1"/>
  <c r="Z183" i="1" a="1"/>
  <c r="Z183" i="1"/>
  <c r="Z184" i="1" a="1"/>
  <c r="Z184" i="1"/>
  <c r="U185" i="1" a="1"/>
  <c r="U185" i="1"/>
  <c r="Y345" i="1" a="1"/>
  <c r="Y345" i="1"/>
  <c r="AB185" i="1" a="1"/>
  <c r="AB185" i="1"/>
  <c r="T184" i="1" a="1"/>
  <c r="T184" i="1"/>
  <c r="U345" i="1" a="1"/>
  <c r="U345" i="1"/>
  <c r="U348" i="1" a="1"/>
  <c r="U348" i="1"/>
  <c r="T185" i="1" a="1"/>
  <c r="T185" i="1"/>
  <c r="Z347" i="1" a="1"/>
  <c r="Z347" i="1"/>
  <c r="T345" i="1" a="1"/>
  <c r="T345" i="1"/>
  <c r="Y347" i="1" a="1"/>
  <c r="Y347" i="1"/>
  <c r="W348" i="1" a="1"/>
  <c r="W348" i="1"/>
  <c r="T347" i="1" a="1"/>
  <c r="T347" i="1"/>
  <c r="Z345" i="1" a="1"/>
  <c r="Z345" i="1"/>
  <c r="AA183" i="1" a="1"/>
  <c r="AA183" i="1"/>
  <c r="U184" i="1" a="1"/>
  <c r="U184" i="1"/>
  <c r="X348" i="1" a="1"/>
  <c r="X348" i="1"/>
  <c r="V348" i="1" a="1"/>
  <c r="V348" i="1"/>
  <c r="T348" i="1" a="1"/>
  <c r="T348" i="1"/>
  <c r="Y346" i="1" a="1"/>
  <c r="Y346" i="1"/>
  <c r="X346" i="1" a="1"/>
  <c r="X346" i="1"/>
  <c r="AB183" i="1" a="1"/>
  <c r="AB183" i="1"/>
  <c r="AA185" i="1" a="1"/>
  <c r="AA185" i="1"/>
  <c r="V185" i="1" a="1"/>
  <c r="V185" i="1"/>
  <c r="U347" i="1" a="1"/>
  <c r="U347" i="1"/>
  <c r="W182" i="1" a="1"/>
  <c r="W182" i="1"/>
  <c r="Y181" i="1" a="1"/>
  <c r="Y181" i="1"/>
  <c r="AB181" i="1" a="1"/>
  <c r="AB181" i="1"/>
  <c r="U181" i="1" a="1"/>
  <c r="U181" i="1"/>
  <c r="Y183" i="1" a="1"/>
  <c r="Y183" i="1"/>
  <c r="Y182" i="1" a="1"/>
  <c r="Y182" i="1"/>
  <c r="X182" i="1" a="1"/>
  <c r="X182" i="1"/>
  <c r="U182" i="1" a="1"/>
  <c r="U182" i="1"/>
  <c r="V181" i="1" a="1"/>
  <c r="V181" i="1"/>
  <c r="AA181" i="1" a="1"/>
  <c r="AA181" i="1"/>
  <c r="W181" i="1" a="1"/>
  <c r="W181" i="1"/>
  <c r="X183" i="1" a="1"/>
  <c r="X183" i="1"/>
  <c r="W183" i="1" a="1"/>
  <c r="W183" i="1"/>
  <c r="X181" i="1" a="1"/>
  <c r="X181" i="1"/>
  <c r="T183" i="1" a="1"/>
  <c r="T183" i="1"/>
  <c r="Z182" i="1" a="1"/>
  <c r="Z182" i="1"/>
  <c r="Z181" i="1" a="1"/>
  <c r="Z181" i="1"/>
  <c r="V182" i="1" a="1"/>
  <c r="V182" i="1"/>
  <c r="T182" i="1" a="1"/>
  <c r="T182" i="1"/>
  <c r="V183" i="1" a="1"/>
  <c r="V183" i="1"/>
  <c r="T181" i="1" a="1"/>
  <c r="T181" i="1"/>
  <c r="U183" i="1" a="1"/>
  <c r="U183" i="1"/>
  <c r="AB182" i="1" a="1"/>
  <c r="AB182" i="1"/>
  <c r="AA182" i="1" a="1"/>
  <c r="AA182" i="1"/>
  <c r="AB5" i="1" a="1"/>
  <c r="AB5" i="1"/>
  <c r="BA877" i="8"/>
  <c r="AZ877" i="8"/>
  <c r="AY877" i="8"/>
  <c r="AX877" i="8"/>
  <c r="AW877" i="8"/>
  <c r="AV877" i="8"/>
  <c r="AU877" i="8"/>
  <c r="BA876" i="8"/>
  <c r="AZ876" i="8"/>
  <c r="AY876" i="8"/>
  <c r="AX876" i="8"/>
  <c r="AW876" i="8"/>
  <c r="AV876" i="8"/>
  <c r="AU876" i="8"/>
  <c r="BA875" i="8"/>
  <c r="AZ875" i="8"/>
  <c r="AY875" i="8"/>
  <c r="AX875" i="8"/>
  <c r="AW875" i="8"/>
  <c r="AV875" i="8"/>
  <c r="AU875" i="8"/>
  <c r="BA874" i="8"/>
  <c r="AZ874" i="8"/>
  <c r="AY874" i="8"/>
  <c r="AX874" i="8"/>
  <c r="AW874" i="8"/>
  <c r="AV874" i="8"/>
  <c r="AU874" i="8"/>
  <c r="BA873" i="8"/>
  <c r="AZ873" i="8"/>
  <c r="AY873" i="8"/>
  <c r="AX873" i="8"/>
  <c r="AW873" i="8"/>
  <c r="AV873" i="8"/>
  <c r="AU873" i="8"/>
  <c r="BA872" i="8"/>
  <c r="AZ872" i="8"/>
  <c r="AY872" i="8"/>
  <c r="AX872" i="8"/>
  <c r="AW872" i="8"/>
  <c r="AV872" i="8"/>
  <c r="AU872" i="8"/>
  <c r="BA871" i="8"/>
  <c r="AZ871" i="8"/>
  <c r="AY871" i="8"/>
  <c r="AX871" i="8"/>
  <c r="AW871" i="8"/>
  <c r="AV871" i="8"/>
  <c r="AU871" i="8"/>
  <c r="BA870" i="8"/>
  <c r="AZ870" i="8"/>
  <c r="AY870" i="8"/>
  <c r="AX870" i="8"/>
  <c r="AW870" i="8"/>
  <c r="AV870" i="8"/>
  <c r="AU870" i="8"/>
  <c r="BA865" i="8"/>
  <c r="AZ865" i="8"/>
  <c r="AY865" i="8"/>
  <c r="AX865" i="8"/>
  <c r="AW865" i="8"/>
  <c r="AV865" i="8"/>
  <c r="AU865" i="8"/>
  <c r="BA864" i="8"/>
  <c r="AZ864" i="8"/>
  <c r="AY864" i="8"/>
  <c r="AX864" i="8"/>
  <c r="AW864" i="8"/>
  <c r="AV864" i="8"/>
  <c r="AU864" i="8"/>
  <c r="BA863" i="8"/>
  <c r="AZ863" i="8"/>
  <c r="AY863" i="8"/>
  <c r="AX863" i="8"/>
  <c r="AW863" i="8"/>
  <c r="AV863" i="8"/>
  <c r="AU863" i="8"/>
  <c r="BA862" i="8"/>
  <c r="AZ862" i="8"/>
  <c r="AY862" i="8"/>
  <c r="AX862" i="8"/>
  <c r="AW862" i="8"/>
  <c r="AV862" i="8"/>
  <c r="AU862" i="8"/>
  <c r="BA861" i="8"/>
  <c r="AZ861" i="8"/>
  <c r="AY861" i="8"/>
  <c r="AX861" i="8"/>
  <c r="AW861" i="8"/>
  <c r="AV861" i="8"/>
  <c r="AU861" i="8"/>
  <c r="BA860" i="8"/>
  <c r="AZ860" i="8"/>
  <c r="AY860" i="8"/>
  <c r="AX860" i="8"/>
  <c r="AW860" i="8"/>
  <c r="AV860" i="8"/>
  <c r="AU860" i="8"/>
  <c r="BA859" i="8"/>
  <c r="AZ859" i="8"/>
  <c r="AY859" i="8"/>
  <c r="AX859" i="8"/>
  <c r="AW859" i="8"/>
  <c r="AV859" i="8"/>
  <c r="AU859" i="8"/>
  <c r="BA858" i="8"/>
  <c r="AZ858" i="8"/>
  <c r="AY858" i="8"/>
  <c r="AX858" i="8"/>
  <c r="AW858" i="8"/>
  <c r="AV858" i="8"/>
  <c r="AU858" i="8"/>
  <c r="BA853" i="8"/>
  <c r="AZ853" i="8"/>
  <c r="AY853" i="8"/>
  <c r="AX853" i="8"/>
  <c r="AW853" i="8"/>
  <c r="AV853" i="8"/>
  <c r="AU853" i="8"/>
  <c r="BA852" i="8"/>
  <c r="AZ852" i="8"/>
  <c r="AY852" i="8"/>
  <c r="AX852" i="8"/>
  <c r="AW852" i="8"/>
  <c r="AV852" i="8"/>
  <c r="AU852" i="8"/>
  <c r="BA851" i="8"/>
  <c r="AZ851" i="8"/>
  <c r="AY851" i="8"/>
  <c r="AX851" i="8"/>
  <c r="AW851" i="8"/>
  <c r="AV851" i="8"/>
  <c r="AU851" i="8"/>
  <c r="BA850" i="8"/>
  <c r="AZ850" i="8"/>
  <c r="AY850" i="8"/>
  <c r="AX850" i="8"/>
  <c r="AW850" i="8"/>
  <c r="AV850" i="8"/>
  <c r="AU850" i="8"/>
  <c r="BA849" i="8"/>
  <c r="AZ849" i="8"/>
  <c r="AY849" i="8"/>
  <c r="AX849" i="8"/>
  <c r="AW849" i="8"/>
  <c r="AV849" i="8"/>
  <c r="AU849" i="8"/>
  <c r="BA848" i="8"/>
  <c r="AZ848" i="8"/>
  <c r="AY848" i="8"/>
  <c r="AX848" i="8"/>
  <c r="AW848" i="8"/>
  <c r="AV848" i="8"/>
  <c r="AU848" i="8"/>
  <c r="BA847" i="8"/>
  <c r="AZ847" i="8"/>
  <c r="AY847" i="8"/>
  <c r="AX847" i="8"/>
  <c r="AW847" i="8"/>
  <c r="AV847" i="8"/>
  <c r="AU847" i="8"/>
  <c r="BA846" i="8"/>
  <c r="AZ846" i="8"/>
  <c r="AY846" i="8"/>
  <c r="AX846" i="8"/>
  <c r="AW846" i="8"/>
  <c r="AV846" i="8"/>
  <c r="AU846" i="8"/>
  <c r="BA841" i="8"/>
  <c r="AZ841" i="8"/>
  <c r="AY841" i="8"/>
  <c r="AX841" i="8"/>
  <c r="AW841" i="8"/>
  <c r="AV841" i="8"/>
  <c r="AU841" i="8"/>
  <c r="BA840" i="8"/>
  <c r="AZ840" i="8"/>
  <c r="AY840" i="8"/>
  <c r="AX840" i="8"/>
  <c r="AW840" i="8"/>
  <c r="AV840" i="8"/>
  <c r="AU840" i="8"/>
  <c r="BA839" i="8"/>
  <c r="AZ839" i="8"/>
  <c r="AY839" i="8"/>
  <c r="AX839" i="8"/>
  <c r="AW839" i="8"/>
  <c r="AV839" i="8"/>
  <c r="AU839" i="8"/>
  <c r="BA838" i="8"/>
  <c r="AZ838" i="8"/>
  <c r="AY838" i="8"/>
  <c r="AX838" i="8"/>
  <c r="AW838" i="8"/>
  <c r="AV838" i="8"/>
  <c r="AU838" i="8"/>
  <c r="BA837" i="8"/>
  <c r="AZ837" i="8"/>
  <c r="AY837" i="8"/>
  <c r="AX837" i="8"/>
  <c r="AW837" i="8"/>
  <c r="AV837" i="8"/>
  <c r="AU837" i="8"/>
  <c r="BA836" i="8"/>
  <c r="AZ836" i="8"/>
  <c r="AY836" i="8"/>
  <c r="AX836" i="8"/>
  <c r="AW836" i="8"/>
  <c r="AV836" i="8"/>
  <c r="AU836" i="8"/>
  <c r="BA835" i="8"/>
  <c r="AZ835" i="8"/>
  <c r="AY835" i="8"/>
  <c r="AX835" i="8"/>
  <c r="AW835" i="8"/>
  <c r="AV835" i="8"/>
  <c r="AU835" i="8"/>
  <c r="BA834" i="8"/>
  <c r="AZ834" i="8"/>
  <c r="AY834" i="8"/>
  <c r="AX834" i="8"/>
  <c r="AW834" i="8"/>
  <c r="AV834" i="8"/>
  <c r="AU834" i="8"/>
  <c r="BA825" i="8"/>
  <c r="AZ825" i="8"/>
  <c r="AY825" i="8"/>
  <c r="AX825" i="8"/>
  <c r="AW825" i="8"/>
  <c r="AV825" i="8"/>
  <c r="AU825" i="8"/>
  <c r="BA824" i="8"/>
  <c r="AZ824" i="8"/>
  <c r="AY824" i="8"/>
  <c r="AX824" i="8"/>
  <c r="AW824" i="8"/>
  <c r="AV824" i="8"/>
  <c r="AU824" i="8"/>
  <c r="BA823" i="8"/>
  <c r="AZ823" i="8"/>
  <c r="AY823" i="8"/>
  <c r="AX823" i="8"/>
  <c r="AW823" i="8"/>
  <c r="AV823" i="8"/>
  <c r="AU823" i="8"/>
  <c r="BA822" i="8"/>
  <c r="AZ822" i="8"/>
  <c r="AY822" i="8"/>
  <c r="AX822" i="8"/>
  <c r="AW822" i="8"/>
  <c r="AV822" i="8"/>
  <c r="AU822" i="8"/>
  <c r="BA821" i="8"/>
  <c r="AZ821" i="8"/>
  <c r="AY821" i="8"/>
  <c r="AX821" i="8"/>
  <c r="AW821" i="8"/>
  <c r="AV821" i="8"/>
  <c r="AU821" i="8"/>
  <c r="BA820" i="8"/>
  <c r="AZ820" i="8"/>
  <c r="AY820" i="8"/>
  <c r="AX820" i="8"/>
  <c r="AW820" i="8"/>
  <c r="AV820" i="8"/>
  <c r="AU820" i="8"/>
  <c r="BA819" i="8"/>
  <c r="AZ819" i="8"/>
  <c r="AY819" i="8"/>
  <c r="AX819" i="8"/>
  <c r="AW819" i="8"/>
  <c r="AV819" i="8"/>
  <c r="AU819" i="8"/>
  <c r="BA818" i="8"/>
  <c r="AZ818" i="8"/>
  <c r="AY818" i="8"/>
  <c r="AX818" i="8"/>
  <c r="AW818" i="8"/>
  <c r="AV818" i="8"/>
  <c r="AU818" i="8"/>
  <c r="BA817" i="8"/>
  <c r="AZ817" i="8"/>
  <c r="AY817" i="8"/>
  <c r="AX817" i="8"/>
  <c r="AW817" i="8"/>
  <c r="AV817" i="8"/>
  <c r="AU817" i="8"/>
  <c r="BA816" i="8"/>
  <c r="AZ816" i="8"/>
  <c r="AY816" i="8"/>
  <c r="AX816" i="8"/>
  <c r="AW816" i="8"/>
  <c r="AV816" i="8"/>
  <c r="AU816" i="8"/>
  <c r="BA815" i="8"/>
  <c r="AZ815" i="8"/>
  <c r="AY815" i="8"/>
  <c r="AX815" i="8"/>
  <c r="AW815" i="8"/>
  <c r="AV815" i="8"/>
  <c r="AU815" i="8"/>
  <c r="BA814" i="8"/>
  <c r="AZ814" i="8"/>
  <c r="AY814" i="8"/>
  <c r="AX814" i="8"/>
  <c r="AW814" i="8"/>
  <c r="AV814" i="8"/>
  <c r="AU814" i="8"/>
  <c r="BA813" i="8"/>
  <c r="AZ813" i="8"/>
  <c r="AY813" i="8"/>
  <c r="AX813" i="8"/>
  <c r="AW813" i="8"/>
  <c r="AV813" i="8"/>
  <c r="AU813" i="8"/>
  <c r="BA812" i="8"/>
  <c r="AZ812" i="8"/>
  <c r="AY812" i="8"/>
  <c r="AX812" i="8"/>
  <c r="AW812" i="8"/>
  <c r="AV812" i="8"/>
  <c r="AU812" i="8"/>
  <c r="BA811" i="8"/>
  <c r="AZ811" i="8"/>
  <c r="AY811" i="8"/>
  <c r="AX811" i="8"/>
  <c r="AW811" i="8"/>
  <c r="AV811" i="8"/>
  <c r="AU811" i="8"/>
  <c r="BA810" i="8"/>
  <c r="AZ810" i="8"/>
  <c r="AY810" i="8"/>
  <c r="AX810" i="8"/>
  <c r="AW810" i="8"/>
  <c r="AV810" i="8"/>
  <c r="AU810" i="8"/>
  <c r="BA801" i="8"/>
  <c r="AZ801" i="8"/>
  <c r="AY801" i="8"/>
  <c r="AX801" i="8"/>
  <c r="AW801" i="8"/>
  <c r="AV801" i="8"/>
  <c r="AU801" i="8"/>
  <c r="BA800" i="8"/>
  <c r="AZ800" i="8"/>
  <c r="AY800" i="8"/>
  <c r="AX800" i="8"/>
  <c r="AW800" i="8"/>
  <c r="AV800" i="8"/>
  <c r="AU800" i="8"/>
  <c r="BA799" i="8"/>
  <c r="AZ799" i="8"/>
  <c r="AY799" i="8"/>
  <c r="AX799" i="8"/>
  <c r="AW799" i="8"/>
  <c r="AV799" i="8"/>
  <c r="AU799" i="8"/>
  <c r="BA798" i="8"/>
  <c r="AZ798" i="8"/>
  <c r="AY798" i="8"/>
  <c r="AX798" i="8"/>
  <c r="AW798" i="8"/>
  <c r="AV798" i="8"/>
  <c r="AU798" i="8"/>
  <c r="BA797" i="8"/>
  <c r="AZ797" i="8"/>
  <c r="AY797" i="8"/>
  <c r="AX797" i="8"/>
  <c r="AW797" i="8"/>
  <c r="AV797" i="8"/>
  <c r="AU797" i="8"/>
  <c r="BA796" i="8"/>
  <c r="AZ796" i="8"/>
  <c r="AY796" i="8"/>
  <c r="AX796" i="8"/>
  <c r="AW796" i="8"/>
  <c r="AV796" i="8"/>
  <c r="AU796" i="8"/>
  <c r="BA795" i="8"/>
  <c r="AZ795" i="8"/>
  <c r="AY795" i="8"/>
  <c r="AX795" i="8"/>
  <c r="AW795" i="8"/>
  <c r="AV795" i="8"/>
  <c r="AU795" i="8"/>
  <c r="BA794" i="8"/>
  <c r="AZ794" i="8"/>
  <c r="AY794" i="8"/>
  <c r="AX794" i="8"/>
  <c r="AW794" i="8"/>
  <c r="AV794" i="8"/>
  <c r="AU794" i="8"/>
  <c r="BA793" i="8"/>
  <c r="AZ793" i="8"/>
  <c r="AY793" i="8"/>
  <c r="AX793" i="8"/>
  <c r="AW793" i="8"/>
  <c r="AV793" i="8"/>
  <c r="AU793" i="8"/>
  <c r="BA792" i="8"/>
  <c r="AZ792" i="8"/>
  <c r="AY792" i="8"/>
  <c r="AX792" i="8"/>
  <c r="AW792" i="8"/>
  <c r="AV792" i="8"/>
  <c r="AU792" i="8"/>
  <c r="BA791" i="8"/>
  <c r="AZ791" i="8"/>
  <c r="AY791" i="8"/>
  <c r="AX791" i="8"/>
  <c r="AW791" i="8"/>
  <c r="AV791" i="8"/>
  <c r="AU791" i="8"/>
  <c r="BA790" i="8"/>
  <c r="AZ790" i="8"/>
  <c r="AY790" i="8"/>
  <c r="AX790" i="8"/>
  <c r="AW790" i="8"/>
  <c r="AV790" i="8"/>
  <c r="AU790" i="8"/>
  <c r="BA789" i="8"/>
  <c r="AZ789" i="8"/>
  <c r="AY789" i="8"/>
  <c r="AX789" i="8"/>
  <c r="AW789" i="8"/>
  <c r="AV789" i="8"/>
  <c r="AU789" i="8"/>
  <c r="BA788" i="8"/>
  <c r="AZ788" i="8"/>
  <c r="AY788" i="8"/>
  <c r="AX788" i="8"/>
  <c r="AW788" i="8"/>
  <c r="AV788" i="8"/>
  <c r="AU788" i="8"/>
  <c r="BA787" i="8"/>
  <c r="AZ787" i="8"/>
  <c r="AY787" i="8"/>
  <c r="AX787" i="8"/>
  <c r="AW787" i="8"/>
  <c r="AV787" i="8"/>
  <c r="AU787" i="8"/>
  <c r="BA786" i="8"/>
  <c r="AZ786" i="8"/>
  <c r="AY786" i="8"/>
  <c r="AX786" i="8"/>
  <c r="AW786" i="8"/>
  <c r="AV786" i="8"/>
  <c r="AU786" i="8"/>
  <c r="BA785" i="8"/>
  <c r="AZ785" i="8"/>
  <c r="AY785" i="8"/>
  <c r="AX785" i="8"/>
  <c r="AW785" i="8"/>
  <c r="AV785" i="8"/>
  <c r="AU785" i="8"/>
  <c r="BA784" i="8"/>
  <c r="AZ784" i="8"/>
  <c r="AY784" i="8"/>
  <c r="AX784" i="8"/>
  <c r="AW784" i="8"/>
  <c r="AV784" i="8"/>
  <c r="AU784" i="8"/>
  <c r="BA783" i="8"/>
  <c r="AZ783" i="8"/>
  <c r="AY783" i="8"/>
  <c r="AX783" i="8"/>
  <c r="AW783" i="8"/>
  <c r="AV783" i="8"/>
  <c r="AU783" i="8"/>
  <c r="BA782" i="8"/>
  <c r="AZ782" i="8"/>
  <c r="AY782" i="8"/>
  <c r="AX782" i="8"/>
  <c r="AW782" i="8"/>
  <c r="AV782" i="8"/>
  <c r="AU782" i="8"/>
  <c r="BA781" i="8"/>
  <c r="AZ781" i="8"/>
  <c r="AY781" i="8"/>
  <c r="AX781" i="8"/>
  <c r="AW781" i="8"/>
  <c r="AV781" i="8"/>
  <c r="AU781" i="8"/>
  <c r="BA780" i="8"/>
  <c r="AZ780" i="8"/>
  <c r="AY780" i="8"/>
  <c r="AX780" i="8"/>
  <c r="AW780" i="8"/>
  <c r="AV780" i="8"/>
  <c r="AU780" i="8"/>
  <c r="BA779" i="8"/>
  <c r="AZ779" i="8"/>
  <c r="AY779" i="8"/>
  <c r="AX779" i="8"/>
  <c r="AW779" i="8"/>
  <c r="AV779" i="8"/>
  <c r="AU779" i="8"/>
  <c r="BA778" i="8"/>
  <c r="AZ778" i="8"/>
  <c r="AY778" i="8"/>
  <c r="AX778" i="8"/>
  <c r="AW778" i="8"/>
  <c r="AV778" i="8"/>
  <c r="AU778" i="8"/>
  <c r="BA773" i="8"/>
  <c r="AZ773" i="8"/>
  <c r="AY773" i="8"/>
  <c r="AX773" i="8"/>
  <c r="AW773" i="8"/>
  <c r="AV773" i="8"/>
  <c r="AU773" i="8"/>
  <c r="BA772" i="8"/>
  <c r="AZ772" i="8"/>
  <c r="AY772" i="8"/>
  <c r="AX772" i="8"/>
  <c r="AW772" i="8"/>
  <c r="AV772" i="8"/>
  <c r="AU772" i="8"/>
  <c r="BA771" i="8"/>
  <c r="AZ771" i="8"/>
  <c r="AY771" i="8"/>
  <c r="AX771" i="8"/>
  <c r="AW771" i="8"/>
  <c r="AV771" i="8"/>
  <c r="AU771" i="8"/>
  <c r="BA770" i="8"/>
  <c r="AZ770" i="8"/>
  <c r="AY770" i="8"/>
  <c r="AX770" i="8"/>
  <c r="AW770" i="8"/>
  <c r="AV770" i="8"/>
  <c r="AU770" i="8"/>
  <c r="BA769" i="8"/>
  <c r="AZ769" i="8"/>
  <c r="AY769" i="8"/>
  <c r="AX769" i="8"/>
  <c r="AW769" i="8"/>
  <c r="AV769" i="8"/>
  <c r="AU769" i="8"/>
  <c r="BA768" i="8"/>
  <c r="AZ768" i="8"/>
  <c r="AY768" i="8"/>
  <c r="AX768" i="8"/>
  <c r="AW768" i="8"/>
  <c r="AV768" i="8"/>
  <c r="AU768" i="8"/>
  <c r="BA767" i="8"/>
  <c r="AZ767" i="8"/>
  <c r="AY767" i="8"/>
  <c r="AX767" i="8"/>
  <c r="AW767" i="8"/>
  <c r="AV767" i="8"/>
  <c r="AU767" i="8"/>
  <c r="BA766" i="8"/>
  <c r="AZ766" i="8"/>
  <c r="AY766" i="8"/>
  <c r="AX766" i="8"/>
  <c r="AW766" i="8"/>
  <c r="AV766" i="8"/>
  <c r="AU766" i="8"/>
  <c r="BA765" i="8"/>
  <c r="AZ765" i="8"/>
  <c r="AY765" i="8"/>
  <c r="AX765" i="8"/>
  <c r="AW765" i="8"/>
  <c r="AV765" i="8"/>
  <c r="AU765" i="8"/>
  <c r="BA764" i="8"/>
  <c r="AZ764" i="8"/>
  <c r="AY764" i="8"/>
  <c r="AX764" i="8"/>
  <c r="AW764" i="8"/>
  <c r="AV764" i="8"/>
  <c r="AU764" i="8"/>
  <c r="BA763" i="8"/>
  <c r="AZ763" i="8"/>
  <c r="AY763" i="8"/>
  <c r="AX763" i="8"/>
  <c r="AW763" i="8"/>
  <c r="AV763" i="8"/>
  <c r="AU763" i="8"/>
  <c r="BA762" i="8"/>
  <c r="AZ762" i="8"/>
  <c r="AY762" i="8"/>
  <c r="AX762" i="8"/>
  <c r="AW762" i="8"/>
  <c r="AV762" i="8"/>
  <c r="AU762" i="8"/>
  <c r="BA761" i="8"/>
  <c r="AZ761" i="8"/>
  <c r="AY761" i="8"/>
  <c r="AX761" i="8"/>
  <c r="AW761" i="8"/>
  <c r="AV761" i="8"/>
  <c r="AU761" i="8"/>
  <c r="BA760" i="8"/>
  <c r="AZ760" i="8"/>
  <c r="AY760" i="8"/>
  <c r="AX760" i="8"/>
  <c r="AW760" i="8"/>
  <c r="AV760" i="8"/>
  <c r="AU760" i="8"/>
  <c r="BA759" i="8"/>
  <c r="AZ759" i="8"/>
  <c r="AY759" i="8"/>
  <c r="AX759" i="8"/>
  <c r="AW759" i="8"/>
  <c r="AV759" i="8"/>
  <c r="AU759" i="8"/>
  <c r="BA758" i="8"/>
  <c r="AZ758" i="8"/>
  <c r="AY758" i="8"/>
  <c r="AX758" i="8"/>
  <c r="AW758" i="8"/>
  <c r="AV758" i="8"/>
  <c r="AU758" i="8"/>
  <c r="BA753" i="8"/>
  <c r="AZ753" i="8"/>
  <c r="AY753" i="8"/>
  <c r="AX753" i="8"/>
  <c r="AW753" i="8"/>
  <c r="AV753" i="8"/>
  <c r="AU753" i="8"/>
  <c r="BA752" i="8"/>
  <c r="AZ752" i="8"/>
  <c r="AY752" i="8"/>
  <c r="AX752" i="8"/>
  <c r="AW752" i="8"/>
  <c r="AV752" i="8"/>
  <c r="AU752" i="8"/>
  <c r="BA751" i="8"/>
  <c r="AZ751" i="8"/>
  <c r="AY751" i="8"/>
  <c r="AX751" i="8"/>
  <c r="AW751" i="8"/>
  <c r="AV751" i="8"/>
  <c r="AU751" i="8"/>
  <c r="BA750" i="8"/>
  <c r="AZ750" i="8"/>
  <c r="AY750" i="8"/>
  <c r="AX750" i="8"/>
  <c r="AW750" i="8"/>
  <c r="AV750" i="8"/>
  <c r="AU750" i="8"/>
  <c r="BA749" i="8"/>
  <c r="AZ749" i="8"/>
  <c r="AY749" i="8"/>
  <c r="AX749" i="8"/>
  <c r="AW749" i="8"/>
  <c r="AV749" i="8"/>
  <c r="AU749" i="8"/>
  <c r="BA748" i="8"/>
  <c r="AZ748" i="8"/>
  <c r="AY748" i="8"/>
  <c r="AX748" i="8"/>
  <c r="AW748" i="8"/>
  <c r="AV748" i="8"/>
  <c r="AU748" i="8"/>
  <c r="BA747" i="8"/>
  <c r="AZ747" i="8"/>
  <c r="AY747" i="8"/>
  <c r="AX747" i="8"/>
  <c r="AW747" i="8"/>
  <c r="AV747" i="8"/>
  <c r="AU747" i="8"/>
  <c r="BA746" i="8"/>
  <c r="AZ746" i="8"/>
  <c r="AY746" i="8"/>
  <c r="AX746" i="8"/>
  <c r="AW746" i="8"/>
  <c r="AV746" i="8"/>
  <c r="AU746" i="8"/>
  <c r="BA745" i="8"/>
  <c r="AZ745" i="8"/>
  <c r="AY745" i="8"/>
  <c r="AX745" i="8"/>
  <c r="AW745" i="8"/>
  <c r="AV745" i="8"/>
  <c r="AU745" i="8"/>
  <c r="BA744" i="8"/>
  <c r="AZ744" i="8"/>
  <c r="AY744" i="8"/>
  <c r="AX744" i="8"/>
  <c r="AW744" i="8"/>
  <c r="AV744" i="8"/>
  <c r="AU744" i="8"/>
  <c r="BA743" i="8"/>
  <c r="AZ743" i="8"/>
  <c r="AY743" i="8"/>
  <c r="AX743" i="8"/>
  <c r="AW743" i="8"/>
  <c r="AV743" i="8"/>
  <c r="AU743" i="8"/>
  <c r="BA742" i="8"/>
  <c r="AZ742" i="8"/>
  <c r="AY742" i="8"/>
  <c r="AX742" i="8"/>
  <c r="AW742" i="8"/>
  <c r="AV742" i="8"/>
  <c r="AU742" i="8"/>
  <c r="BA741" i="8"/>
  <c r="AZ741" i="8"/>
  <c r="AY741" i="8"/>
  <c r="AX741" i="8"/>
  <c r="AW741" i="8"/>
  <c r="AV741" i="8"/>
  <c r="AU741" i="8"/>
  <c r="BA740" i="8"/>
  <c r="AZ740" i="8"/>
  <c r="AY740" i="8"/>
  <c r="AX740" i="8"/>
  <c r="AW740" i="8"/>
  <c r="AV740" i="8"/>
  <c r="AU740" i="8"/>
  <c r="BA739" i="8"/>
  <c r="AZ739" i="8"/>
  <c r="AY739" i="8"/>
  <c r="AX739" i="8"/>
  <c r="AW739" i="8"/>
  <c r="AV739" i="8"/>
  <c r="AU739" i="8"/>
  <c r="BA738" i="8"/>
  <c r="AZ738" i="8"/>
  <c r="AY738" i="8"/>
  <c r="AX738" i="8"/>
  <c r="AW738" i="8"/>
  <c r="AV738" i="8"/>
  <c r="AU738" i="8"/>
  <c r="BA733" i="8"/>
  <c r="AZ733" i="8"/>
  <c r="AY733" i="8"/>
  <c r="AX733" i="8"/>
  <c r="AW733" i="8"/>
  <c r="AV733" i="8"/>
  <c r="AU733" i="8"/>
  <c r="BA732" i="8"/>
  <c r="AZ732" i="8"/>
  <c r="AY732" i="8"/>
  <c r="AX732" i="8"/>
  <c r="AW732" i="8"/>
  <c r="AV732" i="8"/>
  <c r="AU732" i="8"/>
  <c r="BA731" i="8"/>
  <c r="AZ731" i="8"/>
  <c r="AY731" i="8"/>
  <c r="AX731" i="8"/>
  <c r="AW731" i="8"/>
  <c r="AV731" i="8"/>
  <c r="AU731" i="8"/>
  <c r="BA730" i="8"/>
  <c r="AZ730" i="8"/>
  <c r="AY730" i="8"/>
  <c r="AX730" i="8"/>
  <c r="AW730" i="8"/>
  <c r="AV730" i="8"/>
  <c r="AU730" i="8"/>
  <c r="BA729" i="8"/>
  <c r="AZ729" i="8"/>
  <c r="AY729" i="8"/>
  <c r="AX729" i="8"/>
  <c r="AW729" i="8"/>
  <c r="AV729" i="8"/>
  <c r="AU729" i="8"/>
  <c r="BA728" i="8"/>
  <c r="AZ728" i="8"/>
  <c r="AY728" i="8"/>
  <c r="AX728" i="8"/>
  <c r="AW728" i="8"/>
  <c r="AV728" i="8"/>
  <c r="AU728" i="8"/>
  <c r="BA727" i="8"/>
  <c r="AZ727" i="8"/>
  <c r="AY727" i="8"/>
  <c r="AX727" i="8"/>
  <c r="AW727" i="8"/>
  <c r="AV727" i="8"/>
  <c r="AU727" i="8"/>
  <c r="BA726" i="8"/>
  <c r="AZ726" i="8"/>
  <c r="AY726" i="8"/>
  <c r="AX726" i="8"/>
  <c r="AW726" i="8"/>
  <c r="AV726" i="8"/>
  <c r="AU726" i="8"/>
  <c r="BA725" i="8"/>
  <c r="AZ725" i="8"/>
  <c r="AY725" i="8"/>
  <c r="AX725" i="8"/>
  <c r="AW725" i="8"/>
  <c r="AV725" i="8"/>
  <c r="AU725" i="8"/>
  <c r="BA724" i="8"/>
  <c r="AZ724" i="8"/>
  <c r="AY724" i="8"/>
  <c r="AX724" i="8"/>
  <c r="AW724" i="8"/>
  <c r="AV724" i="8"/>
  <c r="AU724" i="8"/>
  <c r="BA723" i="8"/>
  <c r="AZ723" i="8"/>
  <c r="AY723" i="8"/>
  <c r="AX723" i="8"/>
  <c r="AW723" i="8"/>
  <c r="AV723" i="8"/>
  <c r="AU723" i="8"/>
  <c r="BA722" i="8"/>
  <c r="AZ722" i="8"/>
  <c r="AY722" i="8"/>
  <c r="AX722" i="8"/>
  <c r="AW722" i="8"/>
  <c r="AV722" i="8"/>
  <c r="AU722" i="8"/>
  <c r="BA721" i="8"/>
  <c r="AZ721" i="8"/>
  <c r="AY721" i="8"/>
  <c r="AX721" i="8"/>
  <c r="AW721" i="8"/>
  <c r="AV721" i="8"/>
  <c r="AU721" i="8"/>
  <c r="BA720" i="8"/>
  <c r="AZ720" i="8"/>
  <c r="AY720" i="8"/>
  <c r="AX720" i="8"/>
  <c r="AW720" i="8"/>
  <c r="AV720" i="8"/>
  <c r="AU720" i="8"/>
  <c r="BA719" i="8"/>
  <c r="AZ719" i="8"/>
  <c r="AY719" i="8"/>
  <c r="AX719" i="8"/>
  <c r="AW719" i="8"/>
  <c r="AV719" i="8"/>
  <c r="AU719" i="8"/>
  <c r="BA718" i="8"/>
  <c r="AZ718" i="8"/>
  <c r="AY718" i="8"/>
  <c r="AX718" i="8"/>
  <c r="AW718" i="8"/>
  <c r="AV718" i="8"/>
  <c r="AU718" i="8"/>
  <c r="BA713" i="8"/>
  <c r="AZ713" i="8"/>
  <c r="AY713" i="8"/>
  <c r="AX713" i="8"/>
  <c r="AW713" i="8"/>
  <c r="AV713" i="8"/>
  <c r="AU713" i="8"/>
  <c r="BA712" i="8"/>
  <c r="AZ712" i="8"/>
  <c r="AY712" i="8"/>
  <c r="AX712" i="8"/>
  <c r="AW712" i="8"/>
  <c r="AV712" i="8"/>
  <c r="AU712" i="8"/>
  <c r="BA711" i="8"/>
  <c r="AZ711" i="8"/>
  <c r="AY711" i="8"/>
  <c r="AX711" i="8"/>
  <c r="AW711" i="8"/>
  <c r="AV711" i="8"/>
  <c r="AU711" i="8"/>
  <c r="BA710" i="8"/>
  <c r="AZ710" i="8"/>
  <c r="AY710" i="8"/>
  <c r="AX710" i="8"/>
  <c r="AW710" i="8"/>
  <c r="AV710" i="8"/>
  <c r="AU710" i="8"/>
  <c r="BA709" i="8"/>
  <c r="AZ709" i="8"/>
  <c r="AY709" i="8"/>
  <c r="AX709" i="8"/>
  <c r="AW709" i="8"/>
  <c r="AV709" i="8"/>
  <c r="AU709" i="8"/>
  <c r="BA708" i="8"/>
  <c r="AZ708" i="8"/>
  <c r="AY708" i="8"/>
  <c r="AX708" i="8"/>
  <c r="AW708" i="8"/>
  <c r="AV708" i="8"/>
  <c r="AU708" i="8"/>
  <c r="BA707" i="8"/>
  <c r="AZ707" i="8"/>
  <c r="AY707" i="8"/>
  <c r="AX707" i="8"/>
  <c r="AW707" i="8"/>
  <c r="AV707" i="8"/>
  <c r="AU707" i="8"/>
  <c r="BA706" i="8"/>
  <c r="AZ706" i="8"/>
  <c r="AY706" i="8"/>
  <c r="AX706" i="8"/>
  <c r="AW706" i="8"/>
  <c r="AV706" i="8"/>
  <c r="AU706" i="8"/>
  <c r="BA705" i="8"/>
  <c r="AZ705" i="8"/>
  <c r="AY705" i="8"/>
  <c r="AX705" i="8"/>
  <c r="AW705" i="8"/>
  <c r="AU705" i="8"/>
  <c r="BA704" i="8"/>
  <c r="AZ704" i="8"/>
  <c r="AY704" i="8"/>
  <c r="AX704" i="8"/>
  <c r="AW704" i="8"/>
  <c r="AU704" i="8"/>
  <c r="BA703" i="8"/>
  <c r="AZ703" i="8"/>
  <c r="AY703" i="8"/>
  <c r="AX703" i="8"/>
  <c r="AW703" i="8"/>
  <c r="AU703" i="8"/>
  <c r="BA702" i="8"/>
  <c r="AZ702" i="8"/>
  <c r="AY702" i="8"/>
  <c r="AX702" i="8"/>
  <c r="AW702" i="8"/>
  <c r="AU702" i="8"/>
  <c r="BA701" i="8"/>
  <c r="AZ701" i="8"/>
  <c r="AY701" i="8"/>
  <c r="AX701" i="8"/>
  <c r="AW701" i="8"/>
  <c r="AU701" i="8"/>
  <c r="BA700" i="8"/>
  <c r="AZ700" i="8"/>
  <c r="AY700" i="8"/>
  <c r="AX700" i="8"/>
  <c r="AW700" i="8"/>
  <c r="AU700" i="8"/>
  <c r="BA699" i="8"/>
  <c r="AZ699" i="8"/>
  <c r="AY699" i="8"/>
  <c r="AX699" i="8"/>
  <c r="AW699" i="8"/>
  <c r="AU699" i="8"/>
  <c r="BA698" i="8"/>
  <c r="AZ698" i="8"/>
  <c r="AY698" i="8"/>
  <c r="AX698" i="8"/>
  <c r="AW698" i="8"/>
  <c r="AU698" i="8"/>
  <c r="BA697" i="8"/>
  <c r="AZ697" i="8"/>
  <c r="AY697" i="8"/>
  <c r="AX697" i="8"/>
  <c r="AW697" i="8"/>
  <c r="AU697" i="8"/>
  <c r="BA696" i="8"/>
  <c r="AZ696" i="8"/>
  <c r="AY696" i="8"/>
  <c r="AX696" i="8"/>
  <c r="AW696" i="8"/>
  <c r="AU696" i="8"/>
  <c r="BA695" i="8"/>
  <c r="AZ695" i="8"/>
  <c r="AY695" i="8"/>
  <c r="AX695" i="8"/>
  <c r="AW695" i="8"/>
  <c r="AU695" i="8"/>
  <c r="BA694" i="8"/>
  <c r="AZ694" i="8"/>
  <c r="AY694" i="8"/>
  <c r="AX694" i="8"/>
  <c r="AW694" i="8"/>
  <c r="AU694" i="8"/>
  <c r="BA693" i="8"/>
  <c r="AZ693" i="8"/>
  <c r="AY693" i="8"/>
  <c r="AX693" i="8"/>
  <c r="AW693" i="8"/>
  <c r="AU693" i="8"/>
  <c r="BA692" i="8"/>
  <c r="AZ692" i="8"/>
  <c r="AY692" i="8"/>
  <c r="AX692" i="8"/>
  <c r="AW692" i="8"/>
  <c r="AU692" i="8"/>
  <c r="BA691" i="8"/>
  <c r="AZ691" i="8"/>
  <c r="AY691" i="8"/>
  <c r="AX691" i="8"/>
  <c r="AW691" i="8"/>
  <c r="AU691" i="8"/>
  <c r="BA690" i="8"/>
  <c r="AZ690" i="8"/>
  <c r="AY690" i="8"/>
  <c r="AX690" i="8"/>
  <c r="AW690" i="8"/>
  <c r="AU690" i="8"/>
  <c r="BA681" i="8"/>
  <c r="AZ681" i="8"/>
  <c r="AY681" i="8"/>
  <c r="AX681" i="8"/>
  <c r="AW681" i="8"/>
  <c r="AU681" i="8"/>
  <c r="BA680" i="8"/>
  <c r="AZ680" i="8"/>
  <c r="AY680" i="8"/>
  <c r="AX680" i="8"/>
  <c r="AW680" i="8"/>
  <c r="AU680" i="8"/>
  <c r="BA679" i="8"/>
  <c r="AZ679" i="8"/>
  <c r="AY679" i="8"/>
  <c r="AX679" i="8"/>
  <c r="AW679" i="8"/>
  <c r="AU679" i="8"/>
  <c r="BA678" i="8"/>
  <c r="AZ678" i="8"/>
  <c r="AY678" i="8"/>
  <c r="AX678" i="8"/>
  <c r="AW678" i="8"/>
  <c r="AU678" i="8"/>
  <c r="BA677" i="8"/>
  <c r="AZ677" i="8"/>
  <c r="AY677" i="8"/>
  <c r="AX677" i="8"/>
  <c r="AW677" i="8"/>
  <c r="AU677" i="8"/>
  <c r="BA676" i="8"/>
  <c r="AZ676" i="8"/>
  <c r="AY676" i="8"/>
  <c r="AX676" i="8"/>
  <c r="AW676" i="8"/>
  <c r="AU676" i="8"/>
  <c r="BA675" i="8"/>
  <c r="AZ675" i="8"/>
  <c r="AY675" i="8"/>
  <c r="AX675" i="8"/>
  <c r="AW675" i="8"/>
  <c r="AU675" i="8"/>
  <c r="BA674" i="8"/>
  <c r="AZ674" i="8"/>
  <c r="AY674" i="8"/>
  <c r="AX674" i="8"/>
  <c r="AW674" i="8"/>
  <c r="AU674" i="8"/>
  <c r="BA673" i="8"/>
  <c r="AZ673" i="8"/>
  <c r="AY673" i="8"/>
  <c r="AX673" i="8"/>
  <c r="AW673" i="8"/>
  <c r="AU673" i="8"/>
  <c r="BA672" i="8"/>
  <c r="AZ672" i="8"/>
  <c r="AY672" i="8"/>
  <c r="AX672" i="8"/>
  <c r="AW672" i="8"/>
  <c r="AU672" i="8"/>
  <c r="BA671" i="8"/>
  <c r="AZ671" i="8"/>
  <c r="AY671" i="8"/>
  <c r="AX671" i="8"/>
  <c r="AW671" i="8"/>
  <c r="AU671" i="8"/>
  <c r="BA670" i="8"/>
  <c r="AZ670" i="8"/>
  <c r="AY670" i="8"/>
  <c r="AX670" i="8"/>
  <c r="AW670" i="8"/>
  <c r="AU670" i="8"/>
  <c r="BA669" i="8"/>
  <c r="AZ669" i="8"/>
  <c r="AY669" i="8"/>
  <c r="AX669" i="8"/>
  <c r="AW669" i="8"/>
  <c r="AU669" i="8"/>
  <c r="BA668" i="8"/>
  <c r="AZ668" i="8"/>
  <c r="AY668" i="8"/>
  <c r="AX668" i="8"/>
  <c r="AW668" i="8"/>
  <c r="AU668" i="8"/>
  <c r="BA667" i="8"/>
  <c r="AZ667" i="8"/>
  <c r="AY667" i="8"/>
  <c r="AX667" i="8"/>
  <c r="AW667" i="8"/>
  <c r="AU667" i="8"/>
  <c r="BA666" i="8"/>
  <c r="AZ666" i="8"/>
  <c r="AY666" i="8"/>
  <c r="AX666" i="8"/>
  <c r="AW666" i="8"/>
  <c r="AU666" i="8"/>
  <c r="BA665" i="8"/>
  <c r="AZ665" i="8"/>
  <c r="AY665" i="8"/>
  <c r="AX665" i="8"/>
  <c r="AW665" i="8"/>
  <c r="AU665" i="8"/>
  <c r="BA664" i="8"/>
  <c r="AZ664" i="8"/>
  <c r="AY664" i="8"/>
  <c r="AX664" i="8"/>
  <c r="AW664" i="8"/>
  <c r="AU664" i="8"/>
  <c r="BA663" i="8"/>
  <c r="AZ663" i="8"/>
  <c r="AY663" i="8"/>
  <c r="AX663" i="8"/>
  <c r="AW663" i="8"/>
  <c r="AU663" i="8"/>
  <c r="BA662" i="8"/>
  <c r="AZ662" i="8"/>
  <c r="AY662" i="8"/>
  <c r="AX662" i="8"/>
  <c r="AW662" i="8"/>
  <c r="AU662" i="8"/>
  <c r="BA661" i="8"/>
  <c r="AZ661" i="8"/>
  <c r="AY661" i="8"/>
  <c r="AX661" i="8"/>
  <c r="AW661" i="8"/>
  <c r="AU661" i="8"/>
  <c r="BA660" i="8"/>
  <c r="AZ660" i="8"/>
  <c r="AY660" i="8"/>
  <c r="AX660" i="8"/>
  <c r="AW660" i="8"/>
  <c r="AU660" i="8"/>
  <c r="BA659" i="8"/>
  <c r="AZ659" i="8"/>
  <c r="AY659" i="8"/>
  <c r="AX659" i="8"/>
  <c r="AW659" i="8"/>
  <c r="AU659" i="8"/>
  <c r="BA658" i="8"/>
  <c r="AZ658" i="8"/>
  <c r="AY658" i="8"/>
  <c r="AX658" i="8"/>
  <c r="AW658" i="8"/>
  <c r="AU658" i="8"/>
  <c r="BA657" i="8"/>
  <c r="AZ657" i="8"/>
  <c r="AY657" i="8"/>
  <c r="AX657" i="8"/>
  <c r="AW657" i="8"/>
  <c r="AU657" i="8"/>
  <c r="BA656" i="8"/>
  <c r="AZ656" i="8"/>
  <c r="AY656" i="8"/>
  <c r="AX656" i="8"/>
  <c r="AW656" i="8"/>
  <c r="AU656" i="8"/>
  <c r="BA655" i="8"/>
  <c r="AZ655" i="8"/>
  <c r="AY655" i="8"/>
  <c r="AX655" i="8"/>
  <c r="AW655" i="8"/>
  <c r="AU655" i="8"/>
  <c r="BA654" i="8"/>
  <c r="AZ654" i="8"/>
  <c r="AY654" i="8"/>
  <c r="AX654" i="8"/>
  <c r="AW654" i="8"/>
  <c r="AU654" i="8"/>
  <c r="BA653" i="8"/>
  <c r="AZ653" i="8"/>
  <c r="AY653" i="8"/>
  <c r="AX653" i="8"/>
  <c r="AW653" i="8"/>
  <c r="AU653" i="8"/>
  <c r="BA652" i="8"/>
  <c r="AZ652" i="8"/>
  <c r="AY652" i="8"/>
  <c r="AX652" i="8"/>
  <c r="AW652" i="8"/>
  <c r="AU652" i="8"/>
  <c r="BA651" i="8"/>
  <c r="AZ651" i="8"/>
  <c r="AY651" i="8"/>
  <c r="AX651" i="8"/>
  <c r="AW651" i="8"/>
  <c r="AU651" i="8"/>
  <c r="BA650" i="8"/>
  <c r="AZ650" i="8"/>
  <c r="AY650" i="8"/>
  <c r="AX650" i="8"/>
  <c r="AW650" i="8"/>
  <c r="AU650" i="8"/>
  <c r="BA641" i="8"/>
  <c r="AZ641" i="8"/>
  <c r="AY641" i="8"/>
  <c r="AX641" i="8"/>
  <c r="AW641" i="8"/>
  <c r="AU641" i="8"/>
  <c r="BA640" i="8"/>
  <c r="AZ640" i="8"/>
  <c r="AY640" i="8"/>
  <c r="AX640" i="8"/>
  <c r="AW640" i="8"/>
  <c r="AU640" i="8"/>
  <c r="BA639" i="8"/>
  <c r="AZ639" i="8"/>
  <c r="AY639" i="8"/>
  <c r="AX639" i="8"/>
  <c r="AW639" i="8"/>
  <c r="AU639" i="8"/>
  <c r="BA638" i="8"/>
  <c r="AZ638" i="8"/>
  <c r="AY638" i="8"/>
  <c r="AX638" i="8"/>
  <c r="AW638" i="8"/>
  <c r="AU638" i="8"/>
  <c r="BA637" i="8"/>
  <c r="AZ637" i="8"/>
  <c r="AY637" i="8"/>
  <c r="AX637" i="8"/>
  <c r="AW637" i="8"/>
  <c r="AU637" i="8"/>
  <c r="BA636" i="8"/>
  <c r="AZ636" i="8"/>
  <c r="AY636" i="8"/>
  <c r="AX636" i="8"/>
  <c r="AW636" i="8"/>
  <c r="AU636" i="8"/>
  <c r="BA635" i="8"/>
  <c r="AZ635" i="8"/>
  <c r="AY635" i="8"/>
  <c r="AX635" i="8"/>
  <c r="AW635" i="8"/>
  <c r="AU635" i="8"/>
  <c r="BA634" i="8"/>
  <c r="AZ634" i="8"/>
  <c r="AY634" i="8"/>
  <c r="AX634" i="8"/>
  <c r="AW634" i="8"/>
  <c r="AU634" i="8"/>
  <c r="BA633" i="8"/>
  <c r="AZ633" i="8"/>
  <c r="AY633" i="8"/>
  <c r="AX633" i="8"/>
  <c r="AW633" i="8"/>
  <c r="AU633" i="8"/>
  <c r="BA632" i="8"/>
  <c r="AZ632" i="8"/>
  <c r="AY632" i="8"/>
  <c r="AX632" i="8"/>
  <c r="AW632" i="8"/>
  <c r="AU632" i="8"/>
  <c r="BA631" i="8"/>
  <c r="AZ631" i="8"/>
  <c r="AY631" i="8"/>
  <c r="AX631" i="8"/>
  <c r="AW631" i="8"/>
  <c r="AU631" i="8"/>
  <c r="BA630" i="8"/>
  <c r="AZ630" i="8"/>
  <c r="AY630" i="8"/>
  <c r="AX630" i="8"/>
  <c r="AW630" i="8"/>
  <c r="AU630" i="8"/>
  <c r="BA629" i="8"/>
  <c r="AZ629" i="8"/>
  <c r="AY629" i="8"/>
  <c r="AX629" i="8"/>
  <c r="AW629" i="8"/>
  <c r="AU629" i="8"/>
  <c r="BA628" i="8"/>
  <c r="AZ628" i="8"/>
  <c r="AY628" i="8"/>
  <c r="AX628" i="8"/>
  <c r="AW628" i="8"/>
  <c r="AU628" i="8"/>
  <c r="BA627" i="8"/>
  <c r="AZ627" i="8"/>
  <c r="AY627" i="8"/>
  <c r="AX627" i="8"/>
  <c r="AW627" i="8"/>
  <c r="AU627" i="8"/>
  <c r="AV697" i="8"/>
  <c r="AV696" i="8"/>
  <c r="AV695" i="8"/>
  <c r="AV694" i="8"/>
  <c r="AV693" i="8"/>
  <c r="AV692" i="8"/>
  <c r="AV691" i="8"/>
  <c r="AV690" i="8"/>
  <c r="AV657" i="8"/>
  <c r="AV656" i="8"/>
  <c r="AV655" i="8"/>
  <c r="AV654" i="8"/>
  <c r="AV653" i="8"/>
  <c r="AV652" i="8"/>
  <c r="AV651" i="8"/>
  <c r="AV650" i="8"/>
  <c r="Z50" i="2" l="1"/>
  <c r="Z45" i="2"/>
  <c r="Z40" i="2"/>
  <c r="Z17" i="2"/>
  <c r="Z12" i="2"/>
  <c r="Z7" i="2"/>
  <c r="Z18" i="2"/>
  <c r="Z13" i="2"/>
  <c r="Z8" i="2"/>
  <c r="Z16" i="2"/>
  <c r="Z11" i="2"/>
  <c r="Z6" i="2"/>
  <c r="Z20" i="2"/>
  <c r="Z15" i="2"/>
  <c r="Z10" i="2"/>
  <c r="Z19" i="2"/>
  <c r="Z14" i="2"/>
  <c r="Z9" i="2"/>
  <c r="Z34" i="2"/>
  <c r="Z29" i="2"/>
  <c r="Z24" i="2"/>
  <c r="Z33" i="2"/>
  <c r="Z28" i="2"/>
  <c r="Z23" i="2"/>
  <c r="Z36" i="2"/>
  <c r="Z31" i="2"/>
  <c r="Z26" i="2"/>
  <c r="Z35" i="2"/>
  <c r="Z30" i="2"/>
  <c r="Z25" i="2"/>
  <c r="Z37" i="2"/>
  <c r="Z32" i="2"/>
  <c r="Z27" i="2"/>
  <c r="Z49" i="2"/>
  <c r="Z44" i="2"/>
  <c r="Z39" i="2"/>
  <c r="Z52" i="2"/>
  <c r="Z47" i="2"/>
  <c r="Z42" i="2"/>
  <c r="Z51" i="2"/>
  <c r="Z46" i="2"/>
  <c r="Z41" i="2"/>
  <c r="Z53" i="2"/>
  <c r="Z48" i="2"/>
  <c r="Z43" i="2"/>
  <c r="Z86" i="2"/>
  <c r="Z81" i="2"/>
  <c r="Z76" i="2"/>
  <c r="Z90" i="2"/>
  <c r="Z85" i="2"/>
  <c r="Z80" i="2"/>
  <c r="Z89" i="2"/>
  <c r="Z84" i="2"/>
  <c r="Z79" i="2"/>
  <c r="Z87" i="2"/>
  <c r="Z82" i="2"/>
  <c r="Z77" i="2"/>
  <c r="Z88" i="2"/>
  <c r="Z83" i="2"/>
  <c r="Z78" i="2"/>
  <c r="Z105" i="2"/>
  <c r="Z100" i="2"/>
  <c r="Z95" i="2"/>
  <c r="Z106" i="2"/>
  <c r="Z101" i="2"/>
  <c r="Z96" i="2"/>
  <c r="Z104" i="2"/>
  <c r="Z99" i="2"/>
  <c r="Z94" i="2"/>
  <c r="Z103" i="2"/>
  <c r="Z98" i="2"/>
  <c r="Z93" i="2"/>
  <c r="Z102" i="2"/>
  <c r="Z97" i="2"/>
  <c r="Z92" i="2"/>
  <c r="Z119" i="2"/>
  <c r="Z114" i="2"/>
  <c r="Z109" i="2"/>
  <c r="Z120" i="2"/>
  <c r="Z115" i="2"/>
  <c r="Z110" i="2"/>
  <c r="Z118" i="2"/>
  <c r="Z113" i="2"/>
  <c r="Z108" i="2"/>
  <c r="Z121" i="2"/>
  <c r="Z116" i="2"/>
  <c r="Z111" i="2"/>
  <c r="Z122" i="2"/>
  <c r="Z117" i="2"/>
  <c r="Z112" i="2"/>
  <c r="Z138" i="2"/>
  <c r="Z133" i="2"/>
  <c r="Z128" i="2"/>
  <c r="Z134" i="2"/>
  <c r="Z129" i="2"/>
  <c r="Z124" i="2"/>
  <c r="Z135" i="2"/>
  <c r="Z130" i="2"/>
  <c r="Z125" i="2"/>
  <c r="Z137" i="2"/>
  <c r="Z132" i="2"/>
  <c r="Z127" i="2"/>
  <c r="Z136" i="2"/>
  <c r="Z131" i="2"/>
  <c r="Z126" i="2"/>
  <c r="Z151" i="2"/>
  <c r="Z146" i="2"/>
  <c r="Z141" i="2"/>
  <c r="Z154" i="2"/>
  <c r="Z149" i="2"/>
  <c r="Z144" i="2"/>
  <c r="Z152" i="2"/>
  <c r="Z147" i="2"/>
  <c r="Z142" i="2"/>
  <c r="Z153" i="2"/>
  <c r="Z148" i="2"/>
  <c r="Z143" i="2"/>
  <c r="Z150" i="2"/>
  <c r="Z145" i="2"/>
  <c r="Z140" i="2"/>
  <c r="Z170" i="2"/>
  <c r="Z169" i="2"/>
  <c r="Z168" i="2"/>
  <c r="Z167" i="2"/>
  <c r="Z166" i="2"/>
  <c r="Z165" i="2"/>
  <c r="Z164" i="2"/>
  <c r="Z163" i="2"/>
  <c r="Z162" i="2"/>
  <c r="Z161" i="2"/>
  <c r="Z160" i="2"/>
  <c r="Z159" i="2"/>
  <c r="Z158" i="2"/>
  <c r="Z157" i="2"/>
  <c r="Z156" i="2"/>
  <c r="Z155" i="2"/>
  <c r="Z70" i="2"/>
  <c r="Z69" i="2"/>
  <c r="Z68" i="2"/>
  <c r="Z67" i="2"/>
  <c r="Z66" i="2"/>
  <c r="Z65" i="2"/>
  <c r="Z64" i="2"/>
  <c r="Z63" i="2"/>
  <c r="Z62" i="2"/>
  <c r="Z61" i="2"/>
  <c r="Z60" i="2"/>
  <c r="F280" i="1" s="1"/>
  <c r="Z59" i="2"/>
  <c r="F279" i="1" s="1"/>
  <c r="Z58" i="2"/>
  <c r="F278" i="1" s="1"/>
  <c r="Z57" i="2"/>
  <c r="F277" i="1" s="1"/>
  <c r="D53" i="15"/>
  <c r="D51" i="15"/>
  <c r="T315" i="15"/>
  <c r="D44" i="15"/>
  <c r="D47" i="15"/>
  <c r="D49" i="15"/>
  <c r="D50" i="15"/>
  <c r="K151" i="15"/>
  <c r="K152" i="15"/>
  <c r="K153" i="15"/>
  <c r="K154" i="15"/>
  <c r="K159" i="15"/>
  <c r="T176" i="15"/>
  <c r="T177" i="15"/>
  <c r="T178" i="15"/>
  <c r="J181" i="15"/>
  <c r="K182" i="15"/>
  <c r="K185" i="15"/>
  <c r="K186" i="15"/>
  <c r="K187" i="15"/>
  <c r="K188" i="15"/>
  <c r="K191" i="15"/>
  <c r="K194" i="15"/>
  <c r="K195" i="15"/>
  <c r="K196" i="15"/>
  <c r="K206" i="15"/>
  <c r="K207" i="15"/>
  <c r="K208" i="15"/>
  <c r="K209" i="15"/>
  <c r="T279" i="15"/>
  <c r="T282" i="15"/>
  <c r="T283" i="15"/>
  <c r="T284" i="15"/>
  <c r="T285" i="15"/>
  <c r="T286" i="15"/>
  <c r="T287" i="15"/>
  <c r="T288" i="15"/>
  <c r="T289" i="15"/>
  <c r="T290" i="15"/>
  <c r="T291" i="15"/>
  <c r="T292" i="15"/>
  <c r="T293" i="15"/>
  <c r="T294" i="15"/>
  <c r="T295" i="15"/>
  <c r="T296" i="15"/>
  <c r="T297" i="15"/>
  <c r="T298" i="15"/>
  <c r="T299" i="15"/>
  <c r="T300" i="15"/>
  <c r="T301" i="15"/>
  <c r="T302" i="15"/>
  <c r="T303" i="15"/>
  <c r="T304" i="15"/>
  <c r="T305" i="15"/>
  <c r="T306" i="15"/>
  <c r="T307" i="15"/>
  <c r="T308" i="15"/>
  <c r="T309" i="15"/>
  <c r="T310" i="15"/>
  <c r="T311" i="15"/>
  <c r="T312" i="15"/>
  <c r="T313" i="15"/>
  <c r="T314" i="15"/>
  <c r="T320" i="15"/>
  <c r="T321" i="15"/>
  <c r="T322" i="15"/>
  <c r="T323" i="15"/>
  <c r="T324" i="15"/>
  <c r="T325" i="15"/>
  <c r="T326" i="15"/>
  <c r="T327" i="15"/>
  <c r="T328" i="15"/>
  <c r="T329" i="15"/>
  <c r="T330" i="15"/>
  <c r="T331" i="15"/>
  <c r="T332" i="15"/>
  <c r="T333" i="15"/>
  <c r="T334" i="15"/>
  <c r="T335" i="15"/>
  <c r="T336" i="15"/>
  <c r="T337" i="15"/>
  <c r="T338" i="15"/>
  <c r="T339" i="15"/>
  <c r="T340" i="15"/>
  <c r="T341" i="15"/>
  <c r="T343" i="15"/>
  <c r="T346" i="15"/>
  <c r="T347" i="15"/>
  <c r="T348" i="15"/>
  <c r="T349" i="15"/>
  <c r="T350" i="15"/>
  <c r="T351" i="15"/>
  <c r="T353" i="15"/>
  <c r="T354" i="15"/>
  <c r="T355" i="15"/>
  <c r="T356" i="15"/>
  <c r="T357" i="15"/>
  <c r="T358" i="15"/>
  <c r="T359" i="15"/>
  <c r="T360" i="15"/>
  <c r="T361" i="15"/>
  <c r="T362" i="15"/>
  <c r="T363" i="15"/>
  <c r="T364" i="15"/>
  <c r="T365" i="15"/>
  <c r="T366" i="15"/>
  <c r="T367" i="15"/>
  <c r="T369" i="15"/>
  <c r="T372" i="15"/>
  <c r="T373" i="15"/>
  <c r="T374" i="15"/>
  <c r="T375" i="15"/>
  <c r="T376" i="15"/>
  <c r="T377" i="15"/>
  <c r="T379" i="15"/>
  <c r="T380" i="15"/>
  <c r="T381" i="15"/>
  <c r="T382" i="15"/>
  <c r="T383" i="15"/>
  <c r="T384" i="15"/>
  <c r="T385" i="15"/>
  <c r="T386" i="15"/>
  <c r="T387" i="15"/>
  <c r="T388" i="15"/>
  <c r="T389" i="15"/>
  <c r="T390" i="15"/>
  <c r="T391" i="15"/>
  <c r="T392" i="15"/>
  <c r="T393" i="15"/>
  <c r="T395" i="15"/>
  <c r="T398" i="15"/>
  <c r="T399" i="15"/>
  <c r="T400" i="15"/>
  <c r="T401" i="15"/>
  <c r="T402" i="15"/>
  <c r="T403" i="15"/>
  <c r="T405" i="15"/>
  <c r="T406" i="15"/>
  <c r="T407" i="15"/>
  <c r="T408" i="15"/>
  <c r="T409" i="15"/>
  <c r="T410" i="15"/>
  <c r="T411" i="15"/>
  <c r="T412" i="15"/>
  <c r="T413" i="15"/>
  <c r="T414" i="15"/>
  <c r="T415" i="15"/>
  <c r="T416" i="15"/>
  <c r="T417" i="15"/>
  <c r="T418" i="15"/>
  <c r="T419" i="15"/>
  <c r="T421" i="15"/>
  <c r="T424" i="15"/>
  <c r="T425" i="15"/>
  <c r="T426" i="15"/>
  <c r="T427" i="15"/>
  <c r="T428" i="15"/>
  <c r="T429" i="15"/>
  <c r="T431" i="15"/>
  <c r="T432" i="15"/>
  <c r="T433" i="15"/>
  <c r="T434" i="15"/>
  <c r="T435" i="15"/>
  <c r="T436" i="15"/>
  <c r="T437" i="15"/>
  <c r="T438" i="15"/>
  <c r="T439" i="15"/>
  <c r="T440" i="15"/>
  <c r="T441" i="15"/>
  <c r="T442" i="15"/>
  <c r="T443" i="15"/>
  <c r="T444" i="15"/>
  <c r="T445" i="15"/>
  <c r="T447" i="15"/>
  <c r="T450" i="15"/>
  <c r="T451" i="15"/>
  <c r="T452" i="15"/>
  <c r="T453" i="15"/>
  <c r="T454" i="15"/>
  <c r="T455" i="15"/>
  <c r="T457" i="15"/>
  <c r="T458" i="15"/>
  <c r="T459" i="15"/>
  <c r="T460" i="15"/>
  <c r="T461" i="15"/>
  <c r="T462" i="15"/>
  <c r="T463" i="15"/>
  <c r="T464" i="15"/>
  <c r="T465" i="15"/>
  <c r="T466" i="15"/>
  <c r="T467" i="15"/>
  <c r="T468" i="15"/>
  <c r="T469" i="15"/>
  <c r="T470" i="15"/>
  <c r="T471" i="15"/>
  <c r="T473" i="15"/>
  <c r="T476" i="15"/>
  <c r="T477" i="15"/>
  <c r="T478" i="15"/>
  <c r="T479" i="15"/>
  <c r="T480" i="15"/>
  <c r="T481" i="15"/>
  <c r="T483" i="15"/>
  <c r="T484" i="15"/>
  <c r="T485" i="15"/>
  <c r="T486" i="15"/>
  <c r="T487" i="15"/>
  <c r="T488" i="15"/>
  <c r="T489" i="15"/>
  <c r="T490" i="15"/>
  <c r="T491" i="15"/>
  <c r="T492" i="15"/>
  <c r="T493" i="15"/>
  <c r="T494" i="15"/>
  <c r="T495" i="15"/>
  <c r="T496" i="15"/>
  <c r="T497" i="15"/>
  <c r="T499" i="15"/>
  <c r="T502" i="15"/>
  <c r="T503" i="15"/>
  <c r="T504" i="15"/>
  <c r="T505" i="15"/>
  <c r="T506" i="15"/>
  <c r="T507" i="15"/>
  <c r="T509" i="15"/>
  <c r="T510" i="15"/>
  <c r="T511" i="15"/>
  <c r="T512" i="15"/>
  <c r="T513" i="15"/>
  <c r="T514" i="15"/>
  <c r="T515" i="15"/>
  <c r="T516" i="15"/>
  <c r="T517" i="15"/>
  <c r="T518" i="15"/>
  <c r="T519" i="15"/>
  <c r="T520" i="15"/>
  <c r="T521" i="15"/>
  <c r="T522" i="15"/>
  <c r="T523" i="15"/>
  <c r="T525" i="15"/>
  <c r="T528" i="15"/>
  <c r="T529" i="15"/>
  <c r="T530" i="15"/>
  <c r="T531" i="15"/>
  <c r="T532" i="15"/>
  <c r="T533" i="15"/>
  <c r="T535" i="15"/>
  <c r="T536" i="15"/>
  <c r="T537" i="15"/>
  <c r="T538" i="15"/>
  <c r="T539" i="15"/>
  <c r="T540" i="15"/>
  <c r="T541" i="15"/>
  <c r="T542" i="15"/>
  <c r="T543" i="15"/>
  <c r="T544" i="15"/>
  <c r="T545" i="15"/>
  <c r="T546" i="15"/>
  <c r="T547" i="15"/>
  <c r="T548" i="15"/>
  <c r="T549" i="15"/>
  <c r="T551" i="15"/>
  <c r="T554" i="15"/>
  <c r="T555" i="15"/>
  <c r="T556" i="15"/>
  <c r="T557" i="15"/>
  <c r="T558" i="15"/>
  <c r="T559" i="15"/>
  <c r="T561" i="15"/>
  <c r="T562" i="15"/>
  <c r="T563" i="15"/>
  <c r="T564" i="15"/>
  <c r="T565" i="15"/>
  <c r="T566" i="15"/>
  <c r="T567" i="15"/>
  <c r="T568" i="15"/>
  <c r="T569" i="15"/>
  <c r="T570" i="15"/>
  <c r="T571" i="15"/>
  <c r="T572" i="15"/>
  <c r="T573" i="15"/>
  <c r="T574" i="15"/>
  <c r="T575" i="15"/>
  <c r="T577" i="15"/>
  <c r="T580" i="15"/>
  <c r="T581" i="15"/>
  <c r="T582" i="15"/>
  <c r="T583" i="15"/>
  <c r="T584" i="15"/>
  <c r="T585" i="15"/>
  <c r="T587" i="15"/>
  <c r="T588" i="15"/>
  <c r="T589" i="15"/>
  <c r="T590" i="15"/>
  <c r="T591" i="15"/>
  <c r="T592" i="15"/>
  <c r="T593" i="15"/>
  <c r="T594" i="15"/>
  <c r="T595" i="15"/>
  <c r="T596" i="15"/>
  <c r="T597" i="15"/>
  <c r="T598" i="15"/>
  <c r="T599" i="15"/>
  <c r="T600" i="15"/>
  <c r="T601" i="15"/>
  <c r="BA1633" i="8" l="1"/>
  <c r="AZ1633" i="8"/>
  <c r="AY1633" i="8"/>
  <c r="AX1633" i="8"/>
  <c r="AW1633" i="8"/>
  <c r="AV1633" i="8"/>
  <c r="AU1633" i="8"/>
  <c r="BA1632" i="8"/>
  <c r="AZ1632" i="8"/>
  <c r="AY1632" i="8"/>
  <c r="AX1632" i="8"/>
  <c r="AW1632" i="8"/>
  <c r="AV1632" i="8"/>
  <c r="AU1632" i="8"/>
  <c r="BA1631" i="8"/>
  <c r="AZ1631" i="8"/>
  <c r="AY1631" i="8"/>
  <c r="AX1631" i="8"/>
  <c r="AW1631" i="8"/>
  <c r="AV1631" i="8"/>
  <c r="AU1631" i="8"/>
  <c r="BA1630" i="8"/>
  <c r="AZ1630" i="8"/>
  <c r="AY1630" i="8"/>
  <c r="AX1630" i="8"/>
  <c r="AW1630" i="8"/>
  <c r="AV1630" i="8"/>
  <c r="AU1630" i="8"/>
  <c r="BA1629" i="8"/>
  <c r="AZ1629" i="8"/>
  <c r="AY1629" i="8"/>
  <c r="AX1629" i="8"/>
  <c r="AW1629" i="8"/>
  <c r="AV1629" i="8"/>
  <c r="AU1629" i="8"/>
  <c r="BA1628" i="8"/>
  <c r="AZ1628" i="8"/>
  <c r="AY1628" i="8"/>
  <c r="AX1628" i="8"/>
  <c r="AW1628" i="8"/>
  <c r="AV1628" i="8"/>
  <c r="AU1628" i="8"/>
  <c r="BA1627" i="8"/>
  <c r="AZ1627" i="8"/>
  <c r="AY1627" i="8"/>
  <c r="AX1627" i="8"/>
  <c r="AW1627" i="8"/>
  <c r="AV1627" i="8"/>
  <c r="AU1627" i="8"/>
  <c r="BA1626" i="8"/>
  <c r="AZ1626" i="8"/>
  <c r="AY1626" i="8"/>
  <c r="AX1626" i="8"/>
  <c r="AW1626" i="8"/>
  <c r="AV1626" i="8"/>
  <c r="AU1626" i="8"/>
  <c r="BA1625" i="8"/>
  <c r="AZ1625" i="8"/>
  <c r="AY1625" i="8"/>
  <c r="AX1625" i="8"/>
  <c r="AW1625" i="8"/>
  <c r="AV1625" i="8"/>
  <c r="AU1625" i="8"/>
  <c r="BA1624" i="8"/>
  <c r="AZ1624" i="8"/>
  <c r="AY1624" i="8"/>
  <c r="AX1624" i="8"/>
  <c r="AW1624" i="8"/>
  <c r="AV1624" i="8"/>
  <c r="AU1624" i="8"/>
  <c r="BA1623" i="8"/>
  <c r="AZ1623" i="8"/>
  <c r="AY1623" i="8"/>
  <c r="AX1623" i="8"/>
  <c r="AW1623" i="8"/>
  <c r="AV1623" i="8"/>
  <c r="AU1623" i="8"/>
  <c r="BA1622" i="8"/>
  <c r="AZ1622" i="8"/>
  <c r="AY1622" i="8"/>
  <c r="AX1622" i="8"/>
  <c r="AW1622" i="8"/>
  <c r="AV1622" i="8"/>
  <c r="AU1622" i="8"/>
  <c r="BA1621" i="8"/>
  <c r="AZ1621" i="8"/>
  <c r="AY1621" i="8"/>
  <c r="AX1621" i="8"/>
  <c r="AW1621" i="8"/>
  <c r="AV1621" i="8"/>
  <c r="AU1621" i="8"/>
  <c r="BA1620" i="8"/>
  <c r="AZ1620" i="8"/>
  <c r="AY1620" i="8"/>
  <c r="AX1620" i="8"/>
  <c r="AW1620" i="8"/>
  <c r="AV1620" i="8"/>
  <c r="AU1620" i="8"/>
  <c r="BA1619" i="8"/>
  <c r="AZ1619" i="8"/>
  <c r="AY1619" i="8"/>
  <c r="AX1619" i="8"/>
  <c r="AW1619" i="8"/>
  <c r="AV1619" i="8"/>
  <c r="AU1619" i="8"/>
  <c r="BA1618" i="8"/>
  <c r="AZ1618" i="8"/>
  <c r="AY1618" i="8"/>
  <c r="AX1618" i="8"/>
  <c r="AW1618" i="8"/>
  <c r="AV1618" i="8"/>
  <c r="AU1618" i="8"/>
  <c r="BA1617" i="8"/>
  <c r="AZ1617" i="8"/>
  <c r="AY1617" i="8"/>
  <c r="AX1617" i="8"/>
  <c r="AW1617" i="8"/>
  <c r="AV1617" i="8"/>
  <c r="AU1617" i="8"/>
  <c r="BA1616" i="8"/>
  <c r="AZ1616" i="8"/>
  <c r="AY1616" i="8"/>
  <c r="AX1616" i="8"/>
  <c r="AW1616" i="8"/>
  <c r="AV1616" i="8"/>
  <c r="AU1616" i="8"/>
  <c r="BA1615" i="8"/>
  <c r="AZ1615" i="8"/>
  <c r="AY1615" i="8"/>
  <c r="AX1615" i="8"/>
  <c r="AW1615" i="8"/>
  <c r="AV1615" i="8"/>
  <c r="AU1615" i="8"/>
  <c r="BA1614" i="8"/>
  <c r="AZ1614" i="8"/>
  <c r="AY1614" i="8"/>
  <c r="AX1614" i="8"/>
  <c r="AW1614" i="8"/>
  <c r="AV1614" i="8"/>
  <c r="AU1614" i="8"/>
  <c r="BA1613" i="8"/>
  <c r="AZ1613" i="8"/>
  <c r="AY1613" i="8"/>
  <c r="AX1613" i="8"/>
  <c r="AW1613" i="8"/>
  <c r="AV1613" i="8"/>
  <c r="AU1613" i="8"/>
  <c r="BA1612" i="8"/>
  <c r="AZ1612" i="8"/>
  <c r="AY1612" i="8"/>
  <c r="AX1612" i="8"/>
  <c r="AW1612" i="8"/>
  <c r="AV1612" i="8"/>
  <c r="AU1612" i="8"/>
  <c r="BA1611" i="8"/>
  <c r="AZ1611" i="8"/>
  <c r="AY1611" i="8"/>
  <c r="AX1611" i="8"/>
  <c r="AW1611" i="8"/>
  <c r="AV1611" i="8"/>
  <c r="AU1611" i="8"/>
  <c r="BA1610" i="8"/>
  <c r="AZ1610" i="8"/>
  <c r="AY1610" i="8"/>
  <c r="AX1610" i="8"/>
  <c r="AW1610" i="8"/>
  <c r="AV1610" i="8"/>
  <c r="AU1610" i="8"/>
  <c r="BA1609" i="8"/>
  <c r="AZ1609" i="8"/>
  <c r="AY1609" i="8"/>
  <c r="AX1609" i="8"/>
  <c r="AW1609" i="8"/>
  <c r="AV1609" i="8"/>
  <c r="AU1609" i="8"/>
  <c r="BA1608" i="8"/>
  <c r="AZ1608" i="8"/>
  <c r="AY1608" i="8"/>
  <c r="AX1608" i="8"/>
  <c r="AW1608" i="8"/>
  <c r="AV1608" i="8"/>
  <c r="AU1608" i="8"/>
  <c r="BA1607" i="8"/>
  <c r="AZ1607" i="8"/>
  <c r="AY1607" i="8"/>
  <c r="AX1607" i="8"/>
  <c r="AW1607" i="8"/>
  <c r="AV1607" i="8"/>
  <c r="AU1607" i="8"/>
  <c r="BA1606" i="8"/>
  <c r="AZ1606" i="8"/>
  <c r="AY1606" i="8"/>
  <c r="AX1606" i="8"/>
  <c r="AW1606" i="8"/>
  <c r="AV1606" i="8"/>
  <c r="AU1606" i="8"/>
  <c r="BA1605" i="8"/>
  <c r="AZ1605" i="8"/>
  <c r="AY1605" i="8"/>
  <c r="AX1605" i="8"/>
  <c r="AW1605" i="8"/>
  <c r="AV1605" i="8"/>
  <c r="AU1605" i="8"/>
  <c r="BA1604" i="8"/>
  <c r="AZ1604" i="8"/>
  <c r="AY1604" i="8"/>
  <c r="AX1604" i="8"/>
  <c r="AW1604" i="8"/>
  <c r="AV1604" i="8"/>
  <c r="AU1604" i="8"/>
  <c r="BA1603" i="8"/>
  <c r="AZ1603" i="8"/>
  <c r="AY1603" i="8"/>
  <c r="AX1603" i="8"/>
  <c r="AW1603" i="8"/>
  <c r="AV1603" i="8"/>
  <c r="AU1603" i="8"/>
  <c r="BA1602" i="8"/>
  <c r="AZ1602" i="8"/>
  <c r="AY1602" i="8"/>
  <c r="AX1602" i="8"/>
  <c r="AW1602" i="8"/>
  <c r="AV1602" i="8"/>
  <c r="AU1602" i="8"/>
  <c r="BA1601" i="8"/>
  <c r="AZ1601" i="8"/>
  <c r="AY1601" i="8"/>
  <c r="AX1601" i="8"/>
  <c r="AW1601" i="8"/>
  <c r="AV1601" i="8"/>
  <c r="AU1601" i="8"/>
  <c r="BA1600" i="8"/>
  <c r="AZ1600" i="8"/>
  <c r="AY1600" i="8"/>
  <c r="AX1600" i="8"/>
  <c r="AW1600" i="8"/>
  <c r="AV1600" i="8"/>
  <c r="AU1600" i="8"/>
  <c r="BA1599" i="8"/>
  <c r="AZ1599" i="8"/>
  <c r="AY1599" i="8"/>
  <c r="AX1599" i="8"/>
  <c r="AW1599" i="8"/>
  <c r="AV1599" i="8"/>
  <c r="AU1599" i="8"/>
  <c r="BA1598" i="8"/>
  <c r="AZ1598" i="8"/>
  <c r="AY1598" i="8"/>
  <c r="AX1598" i="8"/>
  <c r="AW1598" i="8"/>
  <c r="AV1598" i="8"/>
  <c r="AU1598" i="8"/>
  <c r="BA1597" i="8"/>
  <c r="AZ1597" i="8"/>
  <c r="AY1597" i="8"/>
  <c r="AX1597" i="8"/>
  <c r="AW1597" i="8"/>
  <c r="AV1597" i="8"/>
  <c r="AU1597" i="8"/>
  <c r="BA1596" i="8"/>
  <c r="AZ1596" i="8"/>
  <c r="AY1596" i="8"/>
  <c r="AX1596" i="8"/>
  <c r="AW1596" i="8"/>
  <c r="AV1596" i="8"/>
  <c r="AU1596" i="8"/>
  <c r="BA1595" i="8"/>
  <c r="AZ1595" i="8"/>
  <c r="AY1595" i="8"/>
  <c r="AX1595" i="8"/>
  <c r="AW1595" i="8"/>
  <c r="AV1595" i="8"/>
  <c r="AU1595" i="8"/>
  <c r="BA1594" i="8"/>
  <c r="AZ1594" i="8"/>
  <c r="AY1594" i="8"/>
  <c r="AX1594" i="8"/>
  <c r="AW1594" i="8"/>
  <c r="AV1594" i="8"/>
  <c r="AU1594" i="8"/>
  <c r="BA1593" i="8"/>
  <c r="AZ1593" i="8"/>
  <c r="AY1593" i="8"/>
  <c r="AX1593" i="8"/>
  <c r="AW1593" i="8"/>
  <c r="AV1593" i="8"/>
  <c r="AU1593" i="8"/>
  <c r="BA1592" i="8"/>
  <c r="AZ1592" i="8"/>
  <c r="AY1592" i="8"/>
  <c r="AX1592" i="8"/>
  <c r="AW1592" i="8"/>
  <c r="AV1592" i="8"/>
  <c r="AU1592" i="8"/>
  <c r="BA1591" i="8"/>
  <c r="AZ1591" i="8"/>
  <c r="AY1591" i="8"/>
  <c r="AX1591" i="8"/>
  <c r="AW1591" i="8"/>
  <c r="AV1591" i="8"/>
  <c r="AU1591" i="8"/>
  <c r="BA1590" i="8"/>
  <c r="AZ1590" i="8"/>
  <c r="AY1590" i="8"/>
  <c r="AX1590" i="8"/>
  <c r="AW1590" i="8"/>
  <c r="AV1590" i="8"/>
  <c r="AU1590" i="8"/>
  <c r="BA1589" i="8"/>
  <c r="AZ1589" i="8"/>
  <c r="AY1589" i="8"/>
  <c r="AX1589" i="8"/>
  <c r="AW1589" i="8"/>
  <c r="AV1589" i="8"/>
  <c r="AU1589" i="8"/>
  <c r="BA1588" i="8"/>
  <c r="AZ1588" i="8"/>
  <c r="AY1588" i="8"/>
  <c r="AX1588" i="8"/>
  <c r="AW1588" i="8"/>
  <c r="AV1588" i="8"/>
  <c r="AU1588" i="8"/>
  <c r="BA1587" i="8"/>
  <c r="AZ1587" i="8"/>
  <c r="AY1587" i="8"/>
  <c r="AX1587" i="8"/>
  <c r="AW1587" i="8"/>
  <c r="AV1587" i="8"/>
  <c r="AU1587" i="8"/>
  <c r="BA1586" i="8"/>
  <c r="AZ1586" i="8"/>
  <c r="AY1586" i="8"/>
  <c r="AX1586" i="8"/>
  <c r="AW1586" i="8"/>
  <c r="AV1586" i="8"/>
  <c r="AU1586" i="8"/>
  <c r="BA1585" i="8"/>
  <c r="AZ1585" i="8"/>
  <c r="AY1585" i="8"/>
  <c r="AX1585" i="8"/>
  <c r="AW1585" i="8"/>
  <c r="AV1585" i="8"/>
  <c r="AU1585" i="8"/>
  <c r="BA1584" i="8"/>
  <c r="AZ1584" i="8"/>
  <c r="AY1584" i="8"/>
  <c r="AX1584" i="8"/>
  <c r="AW1584" i="8"/>
  <c r="AV1584" i="8"/>
  <c r="AU1584" i="8"/>
  <c r="BA1583" i="8"/>
  <c r="AZ1583" i="8"/>
  <c r="AY1583" i="8"/>
  <c r="AX1583" i="8"/>
  <c r="AW1583" i="8"/>
  <c r="AV1583" i="8"/>
  <c r="AU1583" i="8"/>
  <c r="BA1582" i="8"/>
  <c r="AZ1582" i="8"/>
  <c r="AY1582" i="8"/>
  <c r="AX1582" i="8"/>
  <c r="AW1582" i="8"/>
  <c r="AV1582" i="8"/>
  <c r="AU1582" i="8"/>
  <c r="BA1581" i="8"/>
  <c r="AZ1581" i="8"/>
  <c r="AY1581" i="8"/>
  <c r="AX1581" i="8"/>
  <c r="AW1581" i="8"/>
  <c r="AV1581" i="8"/>
  <c r="AU1581" i="8"/>
  <c r="BA1580" i="8"/>
  <c r="AZ1580" i="8"/>
  <c r="AY1580" i="8"/>
  <c r="AX1580" i="8"/>
  <c r="AW1580" i="8"/>
  <c r="AV1580" i="8"/>
  <c r="AU1580" i="8"/>
  <c r="BA1579" i="8"/>
  <c r="AZ1579" i="8"/>
  <c r="AY1579" i="8"/>
  <c r="AX1579" i="8"/>
  <c r="AW1579" i="8"/>
  <c r="AV1579" i="8"/>
  <c r="AU1579" i="8"/>
  <c r="BA1578" i="8"/>
  <c r="AZ1578" i="8"/>
  <c r="AY1578" i="8"/>
  <c r="AX1578" i="8"/>
  <c r="AW1578" i="8"/>
  <c r="AV1578" i="8"/>
  <c r="AU1578" i="8"/>
  <c r="BA1577" i="8"/>
  <c r="AZ1577" i="8"/>
  <c r="AY1577" i="8"/>
  <c r="AX1577" i="8"/>
  <c r="AW1577" i="8"/>
  <c r="AV1577" i="8"/>
  <c r="AU1577" i="8"/>
  <c r="BA1576" i="8"/>
  <c r="AZ1576" i="8"/>
  <c r="AY1576" i="8"/>
  <c r="AX1576" i="8"/>
  <c r="AW1576" i="8"/>
  <c r="AV1576" i="8"/>
  <c r="AU1576" i="8"/>
  <c r="BA1575" i="8"/>
  <c r="AZ1575" i="8"/>
  <c r="AY1575" i="8"/>
  <c r="AX1575" i="8"/>
  <c r="AW1575" i="8"/>
  <c r="AV1575" i="8"/>
  <c r="AU1575" i="8"/>
  <c r="BA1574" i="8"/>
  <c r="AZ1574" i="8"/>
  <c r="AY1574" i="8"/>
  <c r="AX1574" i="8"/>
  <c r="AW1574" i="8"/>
  <c r="AV1574" i="8"/>
  <c r="AU1574" i="8"/>
  <c r="BA1573" i="8"/>
  <c r="AZ1573" i="8"/>
  <c r="AY1573" i="8"/>
  <c r="AX1573" i="8"/>
  <c r="AW1573" i="8"/>
  <c r="AV1573" i="8"/>
  <c r="AU1573" i="8"/>
  <c r="BA1572" i="8"/>
  <c r="AZ1572" i="8"/>
  <c r="AY1572" i="8"/>
  <c r="AX1572" i="8"/>
  <c r="AW1572" i="8"/>
  <c r="AV1572" i="8"/>
  <c r="AU1572" i="8"/>
  <c r="BA1571" i="8"/>
  <c r="AZ1571" i="8"/>
  <c r="AY1571" i="8"/>
  <c r="AX1571" i="8"/>
  <c r="AW1571" i="8"/>
  <c r="AV1571" i="8"/>
  <c r="AU1571" i="8"/>
  <c r="BA1570" i="8"/>
  <c r="AZ1570" i="8"/>
  <c r="AY1570" i="8"/>
  <c r="AX1570" i="8"/>
  <c r="AW1570" i="8"/>
  <c r="AV1570" i="8"/>
  <c r="AU1570" i="8"/>
  <c r="BA1569" i="8"/>
  <c r="AZ1569" i="8"/>
  <c r="AY1569" i="8"/>
  <c r="AX1569" i="8"/>
  <c r="AW1569" i="8"/>
  <c r="AV1569" i="8"/>
  <c r="AU1569" i="8"/>
  <c r="BA1568" i="8"/>
  <c r="AZ1568" i="8"/>
  <c r="AY1568" i="8"/>
  <c r="AX1568" i="8"/>
  <c r="AW1568" i="8"/>
  <c r="AV1568" i="8"/>
  <c r="AU1568" i="8"/>
  <c r="BA1567" i="8"/>
  <c r="AZ1567" i="8"/>
  <c r="AY1567" i="8"/>
  <c r="AX1567" i="8"/>
  <c r="AW1567" i="8"/>
  <c r="AV1567" i="8"/>
  <c r="AU1567" i="8"/>
  <c r="BA1566" i="8"/>
  <c r="AZ1566" i="8"/>
  <c r="AY1566" i="8"/>
  <c r="AX1566" i="8"/>
  <c r="AW1566" i="8"/>
  <c r="AV1566" i="8"/>
  <c r="AU1566" i="8"/>
  <c r="BA1565" i="8"/>
  <c r="AZ1565" i="8"/>
  <c r="AY1565" i="8"/>
  <c r="AX1565" i="8"/>
  <c r="AW1565" i="8"/>
  <c r="AV1565" i="8"/>
  <c r="AU1565" i="8"/>
  <c r="BA1564" i="8"/>
  <c r="AZ1564" i="8"/>
  <c r="AY1564" i="8"/>
  <c r="AX1564" i="8"/>
  <c r="AW1564" i="8"/>
  <c r="AV1564" i="8"/>
  <c r="AU1564" i="8"/>
  <c r="BA1563" i="8"/>
  <c r="AZ1563" i="8"/>
  <c r="AY1563" i="8"/>
  <c r="AX1563" i="8"/>
  <c r="AW1563" i="8"/>
  <c r="AV1563" i="8"/>
  <c r="AU1563" i="8"/>
  <c r="BA1562" i="8"/>
  <c r="AZ1562" i="8"/>
  <c r="AY1562" i="8"/>
  <c r="AX1562" i="8"/>
  <c r="AW1562" i="8"/>
  <c r="AV1562" i="8"/>
  <c r="AU1562" i="8"/>
  <c r="BA1561" i="8"/>
  <c r="AZ1561" i="8"/>
  <c r="AY1561" i="8"/>
  <c r="AX1561" i="8"/>
  <c r="AW1561" i="8"/>
  <c r="AV1561" i="8"/>
  <c r="AU1561" i="8"/>
  <c r="BA1560" i="8"/>
  <c r="AZ1560" i="8"/>
  <c r="AY1560" i="8"/>
  <c r="AX1560" i="8"/>
  <c r="AW1560" i="8"/>
  <c r="AV1560" i="8"/>
  <c r="AU1560" i="8"/>
  <c r="BA1559" i="8"/>
  <c r="AZ1559" i="8"/>
  <c r="AY1559" i="8"/>
  <c r="AX1559" i="8"/>
  <c r="AW1559" i="8"/>
  <c r="AV1559" i="8"/>
  <c r="AU1559" i="8"/>
  <c r="BA1558" i="8"/>
  <c r="AZ1558" i="8"/>
  <c r="AY1558" i="8"/>
  <c r="AX1558" i="8"/>
  <c r="AW1558" i="8"/>
  <c r="AV1558" i="8"/>
  <c r="AU1558" i="8"/>
  <c r="BA1557" i="8"/>
  <c r="AZ1557" i="8"/>
  <c r="AY1557" i="8"/>
  <c r="AX1557" i="8"/>
  <c r="AW1557" i="8"/>
  <c r="AV1557" i="8"/>
  <c r="AU1557" i="8"/>
  <c r="BA1556" i="8"/>
  <c r="AZ1556" i="8"/>
  <c r="AY1556" i="8"/>
  <c r="AX1556" i="8"/>
  <c r="AW1556" i="8"/>
  <c r="AV1556" i="8"/>
  <c r="AU1556" i="8"/>
  <c r="BA1555" i="8"/>
  <c r="AZ1555" i="8"/>
  <c r="AY1555" i="8"/>
  <c r="AX1555" i="8"/>
  <c r="AW1555" i="8"/>
  <c r="AV1555" i="8"/>
  <c r="AU1555" i="8"/>
  <c r="BA1554" i="8"/>
  <c r="AZ1554" i="8"/>
  <c r="AY1554" i="8"/>
  <c r="AX1554" i="8"/>
  <c r="AW1554" i="8"/>
  <c r="AV1554" i="8"/>
  <c r="AU1554" i="8"/>
  <c r="BA1553" i="8"/>
  <c r="AZ1553" i="8"/>
  <c r="AY1553" i="8"/>
  <c r="AX1553" i="8"/>
  <c r="AW1553" i="8"/>
  <c r="AV1553" i="8"/>
  <c r="AU1553" i="8"/>
  <c r="BA1552" i="8"/>
  <c r="AZ1552" i="8"/>
  <c r="AY1552" i="8"/>
  <c r="AX1552" i="8"/>
  <c r="AW1552" i="8"/>
  <c r="AV1552" i="8"/>
  <c r="AU1552" i="8"/>
  <c r="BA1551" i="8"/>
  <c r="AZ1551" i="8"/>
  <c r="AY1551" i="8"/>
  <c r="AX1551" i="8"/>
  <c r="AW1551" i="8"/>
  <c r="AV1551" i="8"/>
  <c r="AU1551" i="8"/>
  <c r="BA1550" i="8"/>
  <c r="AZ1550" i="8"/>
  <c r="AY1550" i="8"/>
  <c r="AX1550" i="8"/>
  <c r="AW1550" i="8"/>
  <c r="AV1550" i="8"/>
  <c r="AU1550" i="8"/>
  <c r="BA1549" i="8"/>
  <c r="AZ1549" i="8"/>
  <c r="AY1549" i="8"/>
  <c r="AX1549" i="8"/>
  <c r="AW1549" i="8"/>
  <c r="AV1549" i="8"/>
  <c r="AU1549" i="8"/>
  <c r="BA1548" i="8"/>
  <c r="AZ1548" i="8"/>
  <c r="AY1548" i="8"/>
  <c r="AX1548" i="8"/>
  <c r="AW1548" i="8"/>
  <c r="AV1548" i="8"/>
  <c r="AU1548" i="8"/>
  <c r="BA1547" i="8"/>
  <c r="AZ1547" i="8"/>
  <c r="AY1547" i="8"/>
  <c r="AX1547" i="8"/>
  <c r="AW1547" i="8"/>
  <c r="AV1547" i="8"/>
  <c r="AU1547" i="8"/>
  <c r="BA1546" i="8"/>
  <c r="AZ1546" i="8"/>
  <c r="AY1546" i="8"/>
  <c r="AX1546" i="8"/>
  <c r="AW1546" i="8"/>
  <c r="AV1546" i="8"/>
  <c r="AU1546" i="8"/>
  <c r="BA1545" i="8"/>
  <c r="AZ1545" i="8"/>
  <c r="AY1545" i="8"/>
  <c r="AX1545" i="8"/>
  <c r="AW1545" i="8"/>
  <c r="AV1545" i="8"/>
  <c r="AU1545" i="8"/>
  <c r="BA1544" i="8"/>
  <c r="AZ1544" i="8"/>
  <c r="AY1544" i="8"/>
  <c r="AX1544" i="8"/>
  <c r="AW1544" i="8"/>
  <c r="AV1544" i="8"/>
  <c r="AU1544" i="8"/>
  <c r="BA1543" i="8"/>
  <c r="AZ1543" i="8"/>
  <c r="AY1543" i="8"/>
  <c r="AX1543" i="8"/>
  <c r="AW1543" i="8"/>
  <c r="AV1543" i="8"/>
  <c r="AU1543" i="8"/>
  <c r="BA1542" i="8"/>
  <c r="AZ1542" i="8"/>
  <c r="AY1542" i="8"/>
  <c r="AX1542" i="8"/>
  <c r="AW1542" i="8"/>
  <c r="AV1542" i="8"/>
  <c r="AU1542" i="8"/>
  <c r="BA1541" i="8"/>
  <c r="AZ1541" i="8"/>
  <c r="AY1541" i="8"/>
  <c r="AX1541" i="8"/>
  <c r="AW1541" i="8"/>
  <c r="AV1541" i="8"/>
  <c r="AU1541" i="8"/>
  <c r="BA1540" i="8"/>
  <c r="AZ1540" i="8"/>
  <c r="AY1540" i="8"/>
  <c r="AX1540" i="8"/>
  <c r="AW1540" i="8"/>
  <c r="AV1540" i="8"/>
  <c r="AU1540" i="8"/>
  <c r="BA1539" i="8"/>
  <c r="AZ1539" i="8"/>
  <c r="AY1539" i="8"/>
  <c r="AX1539" i="8"/>
  <c r="AW1539" i="8"/>
  <c r="AV1539" i="8"/>
  <c r="AU1539" i="8"/>
  <c r="BA1538" i="8"/>
  <c r="AZ1538" i="8"/>
  <c r="AY1538" i="8"/>
  <c r="AX1538" i="8"/>
  <c r="AW1538" i="8"/>
  <c r="AV1538" i="8"/>
  <c r="AU1538" i="8"/>
  <c r="BA1537" i="8"/>
  <c r="AZ1537" i="8"/>
  <c r="AY1537" i="8"/>
  <c r="AX1537" i="8"/>
  <c r="AW1537" i="8"/>
  <c r="AV1537" i="8"/>
  <c r="AU1537" i="8"/>
  <c r="BA1536" i="8"/>
  <c r="AZ1536" i="8"/>
  <c r="AY1536" i="8"/>
  <c r="AX1536" i="8"/>
  <c r="AW1536" i="8"/>
  <c r="AV1536" i="8"/>
  <c r="AU1536" i="8"/>
  <c r="BA1535" i="8"/>
  <c r="AZ1535" i="8"/>
  <c r="AY1535" i="8"/>
  <c r="AX1535" i="8"/>
  <c r="AW1535" i="8"/>
  <c r="AV1535" i="8"/>
  <c r="AU1535" i="8"/>
  <c r="BA1534" i="8"/>
  <c r="AZ1534" i="8"/>
  <c r="AY1534" i="8"/>
  <c r="AX1534" i="8"/>
  <c r="AW1534" i="8"/>
  <c r="AV1534" i="8"/>
  <c r="AU1534" i="8"/>
  <c r="BA1533" i="8"/>
  <c r="AZ1533" i="8"/>
  <c r="AY1533" i="8"/>
  <c r="AX1533" i="8"/>
  <c r="AW1533" i="8"/>
  <c r="AV1533" i="8"/>
  <c r="AU1533" i="8"/>
  <c r="BA1532" i="8"/>
  <c r="AZ1532" i="8"/>
  <c r="AY1532" i="8"/>
  <c r="AX1532" i="8"/>
  <c r="AW1532" i="8"/>
  <c r="AV1532" i="8"/>
  <c r="AU1532" i="8"/>
  <c r="BA1531" i="8"/>
  <c r="AZ1531" i="8"/>
  <c r="AY1531" i="8"/>
  <c r="AX1531" i="8"/>
  <c r="AW1531" i="8"/>
  <c r="AV1531" i="8"/>
  <c r="AU1531" i="8"/>
  <c r="BA1530" i="8"/>
  <c r="AZ1530" i="8"/>
  <c r="AY1530" i="8"/>
  <c r="AX1530" i="8"/>
  <c r="AW1530" i="8"/>
  <c r="AV1530" i="8"/>
  <c r="AU1530" i="8"/>
  <c r="BA1529" i="8"/>
  <c r="AZ1529" i="8"/>
  <c r="AY1529" i="8"/>
  <c r="AX1529" i="8"/>
  <c r="AW1529" i="8"/>
  <c r="AV1529" i="8"/>
  <c r="AU1529" i="8"/>
  <c r="BA1528" i="8"/>
  <c r="AZ1528" i="8"/>
  <c r="AY1528" i="8"/>
  <c r="AX1528" i="8"/>
  <c r="AW1528" i="8"/>
  <c r="AV1528" i="8"/>
  <c r="AU1528" i="8"/>
  <c r="BA1527" i="8"/>
  <c r="AZ1527" i="8"/>
  <c r="AY1527" i="8"/>
  <c r="AX1527" i="8"/>
  <c r="AW1527" i="8"/>
  <c r="AV1527" i="8"/>
  <c r="AU1527" i="8"/>
  <c r="BA1526" i="8"/>
  <c r="AZ1526" i="8"/>
  <c r="AY1526" i="8"/>
  <c r="AX1526" i="8"/>
  <c r="AW1526" i="8"/>
  <c r="AV1526" i="8"/>
  <c r="AU1526" i="8"/>
  <c r="BA1525" i="8"/>
  <c r="AZ1525" i="8"/>
  <c r="AY1525" i="8"/>
  <c r="AX1525" i="8"/>
  <c r="AW1525" i="8"/>
  <c r="AV1525" i="8"/>
  <c r="AU1525" i="8"/>
  <c r="BA1524" i="8"/>
  <c r="AZ1524" i="8"/>
  <c r="AY1524" i="8"/>
  <c r="AX1524" i="8"/>
  <c r="AW1524" i="8"/>
  <c r="AV1524" i="8"/>
  <c r="AU1524" i="8"/>
  <c r="BA1523" i="8"/>
  <c r="AZ1523" i="8"/>
  <c r="AY1523" i="8"/>
  <c r="AX1523" i="8"/>
  <c r="AW1523" i="8"/>
  <c r="AV1523" i="8"/>
  <c r="AU1523" i="8"/>
  <c r="BA1522" i="8"/>
  <c r="AZ1522" i="8"/>
  <c r="AY1522" i="8"/>
  <c r="AX1522" i="8"/>
  <c r="AW1522" i="8"/>
  <c r="AV1522" i="8"/>
  <c r="AU1522" i="8"/>
  <c r="BA1521" i="8"/>
  <c r="AZ1521" i="8"/>
  <c r="AY1521" i="8"/>
  <c r="AX1521" i="8"/>
  <c r="AW1521" i="8"/>
  <c r="AV1521" i="8"/>
  <c r="AU1521" i="8"/>
  <c r="BA1520" i="8"/>
  <c r="AZ1520" i="8"/>
  <c r="AY1520" i="8"/>
  <c r="AX1520" i="8"/>
  <c r="AW1520" i="8"/>
  <c r="AV1520" i="8"/>
  <c r="AU1520" i="8"/>
  <c r="BA1519" i="8"/>
  <c r="AZ1519" i="8"/>
  <c r="AY1519" i="8"/>
  <c r="AX1519" i="8"/>
  <c r="AW1519" i="8"/>
  <c r="AV1519" i="8"/>
  <c r="AU1519" i="8"/>
  <c r="BA1518" i="8"/>
  <c r="AZ1518" i="8"/>
  <c r="AY1518" i="8"/>
  <c r="AX1518" i="8"/>
  <c r="AW1518" i="8"/>
  <c r="AV1518" i="8"/>
  <c r="AU1518" i="8"/>
  <c r="BA1517" i="8"/>
  <c r="AZ1517" i="8"/>
  <c r="AY1517" i="8"/>
  <c r="AX1517" i="8"/>
  <c r="AW1517" i="8"/>
  <c r="AV1517" i="8"/>
  <c r="AU1517" i="8"/>
  <c r="BA1516" i="8"/>
  <c r="AZ1516" i="8"/>
  <c r="AY1516" i="8"/>
  <c r="AX1516" i="8"/>
  <c r="AW1516" i="8"/>
  <c r="AV1516" i="8"/>
  <c r="AU1516" i="8"/>
  <c r="BA1515" i="8"/>
  <c r="AZ1515" i="8"/>
  <c r="AY1515" i="8"/>
  <c r="AX1515" i="8"/>
  <c r="AW1515" i="8"/>
  <c r="AV1515" i="8"/>
  <c r="AU1515" i="8"/>
  <c r="BA1514" i="8"/>
  <c r="AZ1514" i="8"/>
  <c r="AY1514" i="8"/>
  <c r="AX1514" i="8"/>
  <c r="AW1514" i="8"/>
  <c r="AV1514" i="8"/>
  <c r="AU1514" i="8"/>
  <c r="BA1513" i="8"/>
  <c r="AZ1513" i="8"/>
  <c r="AY1513" i="8"/>
  <c r="AX1513" i="8"/>
  <c r="AW1513" i="8"/>
  <c r="AV1513" i="8"/>
  <c r="AU1513" i="8"/>
  <c r="BA1512" i="8"/>
  <c r="AZ1512" i="8"/>
  <c r="AY1512" i="8"/>
  <c r="AX1512" i="8"/>
  <c r="AW1512" i="8"/>
  <c r="AV1512" i="8"/>
  <c r="AU1512" i="8"/>
  <c r="BA1511" i="8"/>
  <c r="AZ1511" i="8"/>
  <c r="AY1511" i="8"/>
  <c r="AX1511" i="8"/>
  <c r="AW1511" i="8"/>
  <c r="AV1511" i="8"/>
  <c r="AU1511" i="8"/>
  <c r="BA1510" i="8"/>
  <c r="AZ1510" i="8"/>
  <c r="AY1510" i="8"/>
  <c r="AX1510" i="8"/>
  <c r="AW1510" i="8"/>
  <c r="AV1510" i="8"/>
  <c r="AU1510" i="8"/>
  <c r="BA1509" i="8"/>
  <c r="AZ1509" i="8"/>
  <c r="AY1509" i="8"/>
  <c r="AX1509" i="8"/>
  <c r="AW1509" i="8"/>
  <c r="AV1509" i="8"/>
  <c r="AU1509" i="8"/>
  <c r="BA1508" i="8"/>
  <c r="AZ1508" i="8"/>
  <c r="AY1508" i="8"/>
  <c r="AX1508" i="8"/>
  <c r="AW1508" i="8"/>
  <c r="AV1508" i="8"/>
  <c r="AU1508" i="8"/>
  <c r="BA1507" i="8"/>
  <c r="AZ1507" i="8"/>
  <c r="AY1507" i="8"/>
  <c r="AX1507" i="8"/>
  <c r="AW1507" i="8"/>
  <c r="AV1507" i="8"/>
  <c r="AU1507" i="8"/>
  <c r="BA1506" i="8"/>
  <c r="AZ1506" i="8"/>
  <c r="AY1506" i="8"/>
  <c r="AX1506" i="8"/>
  <c r="AW1506" i="8"/>
  <c r="AV1506" i="8"/>
  <c r="AU1506" i="8"/>
  <c r="BA1505" i="8"/>
  <c r="AZ1505" i="8"/>
  <c r="AY1505" i="8"/>
  <c r="AX1505" i="8"/>
  <c r="AW1505" i="8"/>
  <c r="AV1505" i="8"/>
  <c r="AU1505" i="8"/>
  <c r="BA1504" i="8"/>
  <c r="AZ1504" i="8"/>
  <c r="AY1504" i="8"/>
  <c r="AX1504" i="8"/>
  <c r="AW1504" i="8"/>
  <c r="AV1504" i="8"/>
  <c r="AU1504" i="8"/>
  <c r="BA1503" i="8"/>
  <c r="AZ1503" i="8"/>
  <c r="AY1503" i="8"/>
  <c r="AX1503" i="8"/>
  <c r="AW1503" i="8"/>
  <c r="AV1503" i="8"/>
  <c r="AU1503" i="8"/>
  <c r="BA1502" i="8"/>
  <c r="AZ1502" i="8"/>
  <c r="AY1502" i="8"/>
  <c r="AX1502" i="8"/>
  <c r="AW1502" i="8"/>
  <c r="AV1502" i="8"/>
  <c r="AU1502" i="8"/>
  <c r="BA1501" i="8"/>
  <c r="AZ1501" i="8"/>
  <c r="AY1501" i="8"/>
  <c r="AX1501" i="8"/>
  <c r="AW1501" i="8"/>
  <c r="AV1501" i="8"/>
  <c r="AU1501" i="8"/>
  <c r="BA1500" i="8"/>
  <c r="AZ1500" i="8"/>
  <c r="AY1500" i="8"/>
  <c r="AX1500" i="8"/>
  <c r="AW1500" i="8"/>
  <c r="AV1500" i="8"/>
  <c r="AU1500" i="8"/>
  <c r="BA1499" i="8"/>
  <c r="AZ1499" i="8"/>
  <c r="AY1499" i="8"/>
  <c r="AX1499" i="8"/>
  <c r="AW1499" i="8"/>
  <c r="AV1499" i="8"/>
  <c r="AU1499" i="8"/>
  <c r="BA1498" i="8"/>
  <c r="AZ1498" i="8"/>
  <c r="AY1498" i="8"/>
  <c r="AX1498" i="8"/>
  <c r="AW1498" i="8"/>
  <c r="AV1498" i="8"/>
  <c r="AU1498" i="8"/>
  <c r="BA1497" i="8"/>
  <c r="AZ1497" i="8"/>
  <c r="AY1497" i="8"/>
  <c r="AX1497" i="8"/>
  <c r="AW1497" i="8"/>
  <c r="AV1497" i="8"/>
  <c r="AU1497" i="8"/>
  <c r="BA1496" i="8"/>
  <c r="AZ1496" i="8"/>
  <c r="AY1496" i="8"/>
  <c r="AX1496" i="8"/>
  <c r="AW1496" i="8"/>
  <c r="AV1496" i="8"/>
  <c r="AU1496" i="8"/>
  <c r="BA1495" i="8"/>
  <c r="AZ1495" i="8"/>
  <c r="AY1495" i="8"/>
  <c r="AX1495" i="8"/>
  <c r="AW1495" i="8"/>
  <c r="AV1495" i="8"/>
  <c r="AU1495" i="8"/>
  <c r="BA1494" i="8"/>
  <c r="AZ1494" i="8"/>
  <c r="AY1494" i="8"/>
  <c r="AX1494" i="8"/>
  <c r="AW1494" i="8"/>
  <c r="AV1494" i="8"/>
  <c r="AU1494" i="8"/>
  <c r="BA1493" i="8"/>
  <c r="AZ1493" i="8"/>
  <c r="AY1493" i="8"/>
  <c r="AX1493" i="8"/>
  <c r="AW1493" i="8"/>
  <c r="AV1493" i="8"/>
  <c r="AU1493" i="8"/>
  <c r="BA1492" i="8"/>
  <c r="AZ1492" i="8"/>
  <c r="AY1492" i="8"/>
  <c r="AX1492" i="8"/>
  <c r="AW1492" i="8"/>
  <c r="AV1492" i="8"/>
  <c r="AU1492" i="8"/>
  <c r="BA1491" i="8"/>
  <c r="AZ1491" i="8"/>
  <c r="AY1491" i="8"/>
  <c r="AX1491" i="8"/>
  <c r="AW1491" i="8"/>
  <c r="AV1491" i="8"/>
  <c r="AU1491" i="8"/>
  <c r="BA1490" i="8"/>
  <c r="AZ1490" i="8"/>
  <c r="AY1490" i="8"/>
  <c r="AX1490" i="8"/>
  <c r="AW1490" i="8"/>
  <c r="AV1490" i="8"/>
  <c r="AU1490" i="8"/>
  <c r="BA1489" i="8"/>
  <c r="AZ1489" i="8"/>
  <c r="AY1489" i="8"/>
  <c r="AX1489" i="8"/>
  <c r="AW1489" i="8"/>
  <c r="AV1489" i="8"/>
  <c r="AU1489" i="8"/>
  <c r="BA1488" i="8"/>
  <c r="AZ1488" i="8"/>
  <c r="AY1488" i="8"/>
  <c r="AX1488" i="8"/>
  <c r="AW1488" i="8"/>
  <c r="AV1488" i="8"/>
  <c r="AU1488" i="8"/>
  <c r="BA1487" i="8"/>
  <c r="AZ1487" i="8"/>
  <c r="AY1487" i="8"/>
  <c r="AX1487" i="8"/>
  <c r="AW1487" i="8"/>
  <c r="AV1487" i="8"/>
  <c r="AU1487" i="8"/>
  <c r="BA1486" i="8"/>
  <c r="AZ1486" i="8"/>
  <c r="AY1486" i="8"/>
  <c r="AX1486" i="8"/>
  <c r="AW1486" i="8"/>
  <c r="AV1486" i="8"/>
  <c r="AU1486" i="8"/>
  <c r="BA1485" i="8"/>
  <c r="AZ1485" i="8"/>
  <c r="AY1485" i="8"/>
  <c r="AX1485" i="8"/>
  <c r="AW1485" i="8"/>
  <c r="AV1485" i="8"/>
  <c r="AU1485" i="8"/>
  <c r="BA1484" i="8"/>
  <c r="AZ1484" i="8"/>
  <c r="AY1484" i="8"/>
  <c r="AX1484" i="8"/>
  <c r="AW1484" i="8"/>
  <c r="AV1484" i="8"/>
  <c r="AU1484" i="8"/>
  <c r="BA1483" i="8"/>
  <c r="AZ1483" i="8"/>
  <c r="AY1483" i="8"/>
  <c r="AX1483" i="8"/>
  <c r="AW1483" i="8"/>
  <c r="AV1483" i="8"/>
  <c r="AU1483" i="8"/>
  <c r="BA1482" i="8"/>
  <c r="AZ1482" i="8"/>
  <c r="AY1482" i="8"/>
  <c r="AX1482" i="8"/>
  <c r="AW1482" i="8"/>
  <c r="AV1482" i="8"/>
  <c r="AU1482" i="8"/>
  <c r="BA1481" i="8"/>
  <c r="AZ1481" i="8"/>
  <c r="AY1481" i="8"/>
  <c r="AX1481" i="8"/>
  <c r="AW1481" i="8"/>
  <c r="AV1481" i="8"/>
  <c r="AU1481" i="8"/>
  <c r="BA1480" i="8"/>
  <c r="AZ1480" i="8"/>
  <c r="AY1480" i="8"/>
  <c r="AX1480" i="8"/>
  <c r="AW1480" i="8"/>
  <c r="AV1480" i="8"/>
  <c r="AU1480" i="8"/>
  <c r="BA1479" i="8"/>
  <c r="AZ1479" i="8"/>
  <c r="AY1479" i="8"/>
  <c r="AX1479" i="8"/>
  <c r="AW1479" i="8"/>
  <c r="AV1479" i="8"/>
  <c r="AU1479" i="8"/>
  <c r="BA1478" i="8"/>
  <c r="AZ1478" i="8"/>
  <c r="AY1478" i="8"/>
  <c r="AX1478" i="8"/>
  <c r="AW1478" i="8"/>
  <c r="AV1478" i="8"/>
  <c r="AU1478" i="8"/>
  <c r="BA1477" i="8"/>
  <c r="AZ1477" i="8"/>
  <c r="AY1477" i="8"/>
  <c r="AX1477" i="8"/>
  <c r="AW1477" i="8"/>
  <c r="AV1477" i="8"/>
  <c r="AU1477" i="8"/>
  <c r="BA1476" i="8"/>
  <c r="AZ1476" i="8"/>
  <c r="AY1476" i="8"/>
  <c r="AX1476" i="8"/>
  <c r="AW1476" i="8"/>
  <c r="AV1476" i="8"/>
  <c r="AU1476" i="8"/>
  <c r="BA1475" i="8"/>
  <c r="AZ1475" i="8"/>
  <c r="AY1475" i="8"/>
  <c r="AX1475" i="8"/>
  <c r="AW1475" i="8"/>
  <c r="AV1475" i="8"/>
  <c r="AU1475" i="8"/>
  <c r="BA1474" i="8"/>
  <c r="AZ1474" i="8"/>
  <c r="AY1474" i="8"/>
  <c r="AX1474" i="8"/>
  <c r="AW1474" i="8"/>
  <c r="AV1474" i="8"/>
  <c r="AU1474" i="8"/>
  <c r="BA1473" i="8"/>
  <c r="AZ1473" i="8"/>
  <c r="AY1473" i="8"/>
  <c r="AX1473" i="8"/>
  <c r="AW1473" i="8"/>
  <c r="AV1473" i="8"/>
  <c r="AU1473" i="8"/>
  <c r="BA1472" i="8"/>
  <c r="AZ1472" i="8"/>
  <c r="AY1472" i="8"/>
  <c r="AX1472" i="8"/>
  <c r="AW1472" i="8"/>
  <c r="AV1472" i="8"/>
  <c r="AU1472" i="8"/>
  <c r="BA1471" i="8"/>
  <c r="AZ1471" i="8"/>
  <c r="AY1471" i="8"/>
  <c r="AX1471" i="8"/>
  <c r="AW1471" i="8"/>
  <c r="AV1471" i="8"/>
  <c r="AU1471" i="8"/>
  <c r="BA1470" i="8"/>
  <c r="AZ1470" i="8"/>
  <c r="AY1470" i="8"/>
  <c r="AX1470" i="8"/>
  <c r="AW1470" i="8"/>
  <c r="AV1470" i="8"/>
  <c r="AU1470" i="8"/>
  <c r="BA1469" i="8"/>
  <c r="AZ1469" i="8"/>
  <c r="AY1469" i="8"/>
  <c r="AX1469" i="8"/>
  <c r="AW1469" i="8"/>
  <c r="AV1469" i="8"/>
  <c r="AU1469" i="8"/>
  <c r="BA1468" i="8"/>
  <c r="AZ1468" i="8"/>
  <c r="AY1468" i="8"/>
  <c r="AX1468" i="8"/>
  <c r="AW1468" i="8"/>
  <c r="AV1468" i="8"/>
  <c r="AU1468" i="8"/>
  <c r="BA1467" i="8"/>
  <c r="AZ1467" i="8"/>
  <c r="AY1467" i="8"/>
  <c r="AX1467" i="8"/>
  <c r="AW1467" i="8"/>
  <c r="AV1467" i="8"/>
  <c r="AU1467" i="8"/>
  <c r="BA1466" i="8"/>
  <c r="AZ1466" i="8"/>
  <c r="AY1466" i="8"/>
  <c r="AX1466" i="8"/>
  <c r="AW1466" i="8"/>
  <c r="AV1466" i="8"/>
  <c r="AU1466" i="8"/>
  <c r="BA1465" i="8"/>
  <c r="AZ1465" i="8"/>
  <c r="AY1465" i="8"/>
  <c r="AX1465" i="8"/>
  <c r="AW1465" i="8"/>
  <c r="AV1465" i="8"/>
  <c r="AU1465" i="8"/>
  <c r="BA1464" i="8"/>
  <c r="AZ1464" i="8"/>
  <c r="AY1464" i="8"/>
  <c r="AX1464" i="8"/>
  <c r="AW1464" i="8"/>
  <c r="AV1464" i="8"/>
  <c r="AU1464" i="8"/>
  <c r="BA1463" i="8"/>
  <c r="AZ1463" i="8"/>
  <c r="AY1463" i="8"/>
  <c r="AX1463" i="8"/>
  <c r="AW1463" i="8"/>
  <c r="AV1463" i="8"/>
  <c r="AU1463" i="8"/>
  <c r="BA1462" i="8"/>
  <c r="AZ1462" i="8"/>
  <c r="AY1462" i="8"/>
  <c r="AX1462" i="8"/>
  <c r="AW1462" i="8"/>
  <c r="AV1462" i="8"/>
  <c r="AU1462" i="8"/>
  <c r="BA1461" i="8"/>
  <c r="AZ1461" i="8"/>
  <c r="AY1461" i="8"/>
  <c r="AX1461" i="8"/>
  <c r="AW1461" i="8"/>
  <c r="AV1461" i="8"/>
  <c r="AU1461" i="8"/>
  <c r="BA1460" i="8"/>
  <c r="AZ1460" i="8"/>
  <c r="AY1460" i="8"/>
  <c r="AX1460" i="8"/>
  <c r="AW1460" i="8"/>
  <c r="AV1460" i="8"/>
  <c r="AU1460" i="8"/>
  <c r="BA1459" i="8"/>
  <c r="AZ1459" i="8"/>
  <c r="AY1459" i="8"/>
  <c r="AX1459" i="8"/>
  <c r="AW1459" i="8"/>
  <c r="AV1459" i="8"/>
  <c r="AU1459" i="8"/>
  <c r="BA1458" i="8"/>
  <c r="AZ1458" i="8"/>
  <c r="AY1458" i="8"/>
  <c r="AX1458" i="8"/>
  <c r="AW1458" i="8"/>
  <c r="AV1458" i="8"/>
  <c r="AU1458" i="8"/>
  <c r="BA1457" i="8"/>
  <c r="AZ1457" i="8"/>
  <c r="AY1457" i="8"/>
  <c r="AX1457" i="8"/>
  <c r="AW1457" i="8"/>
  <c r="AV1457" i="8"/>
  <c r="AU1457" i="8"/>
  <c r="BA1456" i="8"/>
  <c r="AZ1456" i="8"/>
  <c r="AY1456" i="8"/>
  <c r="AX1456" i="8"/>
  <c r="AW1456" i="8"/>
  <c r="AV1456" i="8"/>
  <c r="AU1456" i="8"/>
  <c r="BA1455" i="8"/>
  <c r="AZ1455" i="8"/>
  <c r="AY1455" i="8"/>
  <c r="AX1455" i="8"/>
  <c r="AW1455" i="8"/>
  <c r="AV1455" i="8"/>
  <c r="AU1455" i="8"/>
  <c r="BA1454" i="8"/>
  <c r="AZ1454" i="8"/>
  <c r="AY1454" i="8"/>
  <c r="AX1454" i="8"/>
  <c r="AW1454" i="8"/>
  <c r="AV1454" i="8"/>
  <c r="AU1454" i="8"/>
  <c r="BA1453" i="8"/>
  <c r="AZ1453" i="8"/>
  <c r="AY1453" i="8"/>
  <c r="AX1453" i="8"/>
  <c r="AW1453" i="8"/>
  <c r="AV1453" i="8"/>
  <c r="AU1453" i="8"/>
  <c r="BA1452" i="8"/>
  <c r="AZ1452" i="8"/>
  <c r="AY1452" i="8"/>
  <c r="AX1452" i="8"/>
  <c r="AW1452" i="8"/>
  <c r="AV1452" i="8"/>
  <c r="AU1452" i="8"/>
  <c r="BA1451" i="8"/>
  <c r="AZ1451" i="8"/>
  <c r="AY1451" i="8"/>
  <c r="AX1451" i="8"/>
  <c r="AW1451" i="8"/>
  <c r="AV1451" i="8"/>
  <c r="AU1451" i="8"/>
  <c r="BA1450" i="8"/>
  <c r="AZ1450" i="8"/>
  <c r="AY1450" i="8"/>
  <c r="AX1450" i="8"/>
  <c r="AW1450" i="8"/>
  <c r="AV1450" i="8"/>
  <c r="AU1450" i="8"/>
  <c r="BA1449" i="8"/>
  <c r="AZ1449" i="8"/>
  <c r="AY1449" i="8"/>
  <c r="AX1449" i="8"/>
  <c r="AW1449" i="8"/>
  <c r="AV1449" i="8"/>
  <c r="AU1449" i="8"/>
  <c r="BA1448" i="8"/>
  <c r="AZ1448" i="8"/>
  <c r="AY1448" i="8"/>
  <c r="AX1448" i="8"/>
  <c r="AW1448" i="8"/>
  <c r="AV1448" i="8"/>
  <c r="AU1448" i="8"/>
  <c r="BA1447" i="8"/>
  <c r="AZ1447" i="8"/>
  <c r="AY1447" i="8"/>
  <c r="AX1447" i="8"/>
  <c r="AW1447" i="8"/>
  <c r="AV1447" i="8"/>
  <c r="AU1447" i="8"/>
  <c r="BA1446" i="8"/>
  <c r="AZ1446" i="8"/>
  <c r="AY1446" i="8"/>
  <c r="AX1446" i="8"/>
  <c r="AW1446" i="8"/>
  <c r="AV1446" i="8"/>
  <c r="AU1446" i="8"/>
  <c r="BA1445" i="8"/>
  <c r="AZ1445" i="8"/>
  <c r="AY1445" i="8"/>
  <c r="AX1445" i="8"/>
  <c r="AW1445" i="8"/>
  <c r="AV1445" i="8"/>
  <c r="AU1445" i="8"/>
  <c r="BA1444" i="8"/>
  <c r="AZ1444" i="8"/>
  <c r="AY1444" i="8"/>
  <c r="AX1444" i="8"/>
  <c r="AW1444" i="8"/>
  <c r="AV1444" i="8"/>
  <c r="AU1444" i="8"/>
  <c r="BA1443" i="8"/>
  <c r="AZ1443" i="8"/>
  <c r="AY1443" i="8"/>
  <c r="AX1443" i="8"/>
  <c r="AW1443" i="8"/>
  <c r="AV1443" i="8"/>
  <c r="AU1443" i="8"/>
  <c r="BA1442" i="8"/>
  <c r="AZ1442" i="8"/>
  <c r="AY1442" i="8"/>
  <c r="AX1442" i="8"/>
  <c r="AW1442" i="8"/>
  <c r="AV1442" i="8"/>
  <c r="AU1442" i="8"/>
  <c r="BA1441" i="8"/>
  <c r="AZ1441" i="8"/>
  <c r="AY1441" i="8"/>
  <c r="AX1441" i="8"/>
  <c r="AW1441" i="8"/>
  <c r="AV1441" i="8"/>
  <c r="AU1441" i="8"/>
  <c r="BA1440" i="8"/>
  <c r="AZ1440" i="8"/>
  <c r="AY1440" i="8"/>
  <c r="AX1440" i="8"/>
  <c r="AW1440" i="8"/>
  <c r="AV1440" i="8"/>
  <c r="AU1440" i="8"/>
  <c r="BA1439" i="8"/>
  <c r="AZ1439" i="8"/>
  <c r="AY1439" i="8"/>
  <c r="AX1439" i="8"/>
  <c r="AW1439" i="8"/>
  <c r="AV1439" i="8"/>
  <c r="AU1439" i="8"/>
  <c r="BA1438" i="8"/>
  <c r="AZ1438" i="8"/>
  <c r="AY1438" i="8"/>
  <c r="AX1438" i="8"/>
  <c r="AW1438" i="8"/>
  <c r="AV1438" i="8"/>
  <c r="AU1438" i="8"/>
  <c r="BA1437" i="8"/>
  <c r="AZ1437" i="8"/>
  <c r="AY1437" i="8"/>
  <c r="AX1437" i="8"/>
  <c r="AW1437" i="8"/>
  <c r="AV1437" i="8"/>
  <c r="AU1437" i="8"/>
  <c r="BA1436" i="8"/>
  <c r="AZ1436" i="8"/>
  <c r="AY1436" i="8"/>
  <c r="AX1436" i="8"/>
  <c r="AW1436" i="8"/>
  <c r="AV1436" i="8"/>
  <c r="AU1436" i="8"/>
  <c r="BA1435" i="8"/>
  <c r="AZ1435" i="8"/>
  <c r="AY1435" i="8"/>
  <c r="AX1435" i="8"/>
  <c r="AW1435" i="8"/>
  <c r="AV1435" i="8"/>
  <c r="AU1435" i="8"/>
  <c r="BA1434" i="8"/>
  <c r="AZ1434" i="8"/>
  <c r="AY1434" i="8"/>
  <c r="AX1434" i="8"/>
  <c r="AW1434" i="8"/>
  <c r="AV1434" i="8"/>
  <c r="AU1434" i="8"/>
  <c r="BA1433" i="8"/>
  <c r="AZ1433" i="8"/>
  <c r="AY1433" i="8"/>
  <c r="AX1433" i="8"/>
  <c r="AW1433" i="8"/>
  <c r="AV1433" i="8"/>
  <c r="AU1433" i="8"/>
  <c r="BA1432" i="8"/>
  <c r="AZ1432" i="8"/>
  <c r="AY1432" i="8"/>
  <c r="AX1432" i="8"/>
  <c r="AW1432" i="8"/>
  <c r="AV1432" i="8"/>
  <c r="AU1432" i="8"/>
  <c r="BA1431" i="8"/>
  <c r="AZ1431" i="8"/>
  <c r="AY1431" i="8"/>
  <c r="AX1431" i="8"/>
  <c r="AW1431" i="8"/>
  <c r="AV1431" i="8"/>
  <c r="AU1431" i="8"/>
  <c r="BA1430" i="8"/>
  <c r="AZ1430" i="8"/>
  <c r="AY1430" i="8"/>
  <c r="AX1430" i="8"/>
  <c r="AW1430" i="8"/>
  <c r="AV1430" i="8"/>
  <c r="AU1430" i="8"/>
  <c r="BA1429" i="8"/>
  <c r="AZ1429" i="8"/>
  <c r="AY1429" i="8"/>
  <c r="AX1429" i="8"/>
  <c r="AW1429" i="8"/>
  <c r="AV1429" i="8"/>
  <c r="AU1429" i="8"/>
  <c r="BA1428" i="8"/>
  <c r="AZ1428" i="8"/>
  <c r="AY1428" i="8"/>
  <c r="AX1428" i="8"/>
  <c r="AW1428" i="8"/>
  <c r="AV1428" i="8"/>
  <c r="AU1428" i="8"/>
  <c r="BA1427" i="8"/>
  <c r="AZ1427" i="8"/>
  <c r="AY1427" i="8"/>
  <c r="AX1427" i="8"/>
  <c r="AW1427" i="8"/>
  <c r="AV1427" i="8"/>
  <c r="AU1427" i="8"/>
  <c r="BA1426" i="8"/>
  <c r="AZ1426" i="8"/>
  <c r="AY1426" i="8"/>
  <c r="AX1426" i="8"/>
  <c r="AW1426" i="8"/>
  <c r="AV1426" i="8"/>
  <c r="AU1426" i="8"/>
  <c r="BA1425" i="8"/>
  <c r="AZ1425" i="8"/>
  <c r="AY1425" i="8"/>
  <c r="AX1425" i="8"/>
  <c r="AW1425" i="8"/>
  <c r="AV1425" i="8"/>
  <c r="AU1425" i="8"/>
  <c r="BA1424" i="8"/>
  <c r="AZ1424" i="8"/>
  <c r="AY1424" i="8"/>
  <c r="AX1424" i="8"/>
  <c r="AW1424" i="8"/>
  <c r="AV1424" i="8"/>
  <c r="AU1424" i="8"/>
  <c r="BA1423" i="8"/>
  <c r="AZ1423" i="8"/>
  <c r="AY1423" i="8"/>
  <c r="AX1423" i="8"/>
  <c r="AW1423" i="8"/>
  <c r="AV1423" i="8"/>
  <c r="AU1423" i="8"/>
  <c r="BA1422" i="8"/>
  <c r="AZ1422" i="8"/>
  <c r="AY1422" i="8"/>
  <c r="AX1422" i="8"/>
  <c r="AW1422" i="8"/>
  <c r="AV1422" i="8"/>
  <c r="AU1422" i="8"/>
  <c r="BA1421" i="8"/>
  <c r="AZ1421" i="8"/>
  <c r="AY1421" i="8"/>
  <c r="AX1421" i="8"/>
  <c r="AW1421" i="8"/>
  <c r="AV1421" i="8"/>
  <c r="AU1421" i="8"/>
  <c r="BA1420" i="8"/>
  <c r="AZ1420" i="8"/>
  <c r="AY1420" i="8"/>
  <c r="AX1420" i="8"/>
  <c r="AW1420" i="8"/>
  <c r="AV1420" i="8"/>
  <c r="AU1420" i="8"/>
  <c r="BA1419" i="8"/>
  <c r="AZ1419" i="8"/>
  <c r="AY1419" i="8"/>
  <c r="AX1419" i="8"/>
  <c r="AW1419" i="8"/>
  <c r="AV1419" i="8"/>
  <c r="AU1419" i="8"/>
  <c r="BA1418" i="8"/>
  <c r="AZ1418" i="8"/>
  <c r="AY1418" i="8"/>
  <c r="AX1418" i="8"/>
  <c r="AW1418" i="8"/>
  <c r="AV1418" i="8"/>
  <c r="AU1418" i="8"/>
  <c r="BA1417" i="8"/>
  <c r="AZ1417" i="8"/>
  <c r="AY1417" i="8"/>
  <c r="AX1417" i="8"/>
  <c r="AW1417" i="8"/>
  <c r="AV1417" i="8"/>
  <c r="AU1417" i="8"/>
  <c r="BA1416" i="8"/>
  <c r="AZ1416" i="8"/>
  <c r="AY1416" i="8"/>
  <c r="AX1416" i="8"/>
  <c r="AW1416" i="8"/>
  <c r="AV1416" i="8"/>
  <c r="AU1416" i="8"/>
  <c r="BA1415" i="8"/>
  <c r="AZ1415" i="8"/>
  <c r="AY1415" i="8"/>
  <c r="AX1415" i="8"/>
  <c r="AW1415" i="8"/>
  <c r="AV1415" i="8"/>
  <c r="AU1415" i="8"/>
  <c r="BA1414" i="8"/>
  <c r="AZ1414" i="8"/>
  <c r="AY1414" i="8"/>
  <c r="AX1414" i="8"/>
  <c r="AW1414" i="8"/>
  <c r="AV1414" i="8"/>
  <c r="AU1414" i="8"/>
  <c r="BA1413" i="8"/>
  <c r="AZ1413" i="8"/>
  <c r="AY1413" i="8"/>
  <c r="AX1413" i="8"/>
  <c r="AW1413" i="8"/>
  <c r="AV1413" i="8"/>
  <c r="AU1413" i="8"/>
  <c r="BA1412" i="8"/>
  <c r="AZ1412" i="8"/>
  <c r="AY1412" i="8"/>
  <c r="AX1412" i="8"/>
  <c r="AW1412" i="8"/>
  <c r="AV1412" i="8"/>
  <c r="AU1412" i="8"/>
  <c r="BA1411" i="8"/>
  <c r="AZ1411" i="8"/>
  <c r="AY1411" i="8"/>
  <c r="AX1411" i="8"/>
  <c r="AW1411" i="8"/>
  <c r="AV1411" i="8"/>
  <c r="AU1411" i="8"/>
  <c r="BA1410" i="8"/>
  <c r="AZ1410" i="8"/>
  <c r="AY1410" i="8"/>
  <c r="AX1410" i="8"/>
  <c r="AW1410" i="8"/>
  <c r="AV1410" i="8"/>
  <c r="AU1410" i="8"/>
  <c r="BA1409" i="8"/>
  <c r="AZ1409" i="8"/>
  <c r="AY1409" i="8"/>
  <c r="AX1409" i="8"/>
  <c r="AW1409" i="8"/>
  <c r="AV1409" i="8"/>
  <c r="AU1409" i="8"/>
  <c r="BA1408" i="8"/>
  <c r="AZ1408" i="8"/>
  <c r="AY1408" i="8"/>
  <c r="AX1408" i="8"/>
  <c r="AW1408" i="8"/>
  <c r="AV1408" i="8"/>
  <c r="AU1408" i="8"/>
  <c r="BA1407" i="8"/>
  <c r="AZ1407" i="8"/>
  <c r="AY1407" i="8"/>
  <c r="AX1407" i="8"/>
  <c r="AW1407" i="8"/>
  <c r="AV1407" i="8"/>
  <c r="AU1407" i="8"/>
  <c r="BA1406" i="8"/>
  <c r="AZ1406" i="8"/>
  <c r="AY1406" i="8"/>
  <c r="AX1406" i="8"/>
  <c r="AW1406" i="8"/>
  <c r="AV1406" i="8"/>
  <c r="AU1406" i="8"/>
  <c r="BA1405" i="8"/>
  <c r="AZ1405" i="8"/>
  <c r="AY1405" i="8"/>
  <c r="AX1405" i="8"/>
  <c r="AW1405" i="8"/>
  <c r="AV1405" i="8"/>
  <c r="AU1405" i="8"/>
  <c r="BA1404" i="8"/>
  <c r="AZ1404" i="8"/>
  <c r="AY1404" i="8"/>
  <c r="AX1404" i="8"/>
  <c r="AW1404" i="8"/>
  <c r="AV1404" i="8"/>
  <c r="AU1404" i="8"/>
  <c r="BA1403" i="8"/>
  <c r="AZ1403" i="8"/>
  <c r="AY1403" i="8"/>
  <c r="AX1403" i="8"/>
  <c r="AW1403" i="8"/>
  <c r="AV1403" i="8"/>
  <c r="AU1403" i="8"/>
  <c r="BA1402" i="8"/>
  <c r="AZ1402" i="8"/>
  <c r="AY1402" i="8"/>
  <c r="AX1402" i="8"/>
  <c r="AW1402" i="8"/>
  <c r="AV1402" i="8"/>
  <c r="AU1402" i="8"/>
  <c r="BA1401" i="8"/>
  <c r="AZ1401" i="8"/>
  <c r="AY1401" i="8"/>
  <c r="AX1401" i="8"/>
  <c r="AW1401" i="8"/>
  <c r="AV1401" i="8"/>
  <c r="AU1401" i="8"/>
  <c r="BA1400" i="8"/>
  <c r="AZ1400" i="8"/>
  <c r="AY1400" i="8"/>
  <c r="AX1400" i="8"/>
  <c r="AW1400" i="8"/>
  <c r="AV1400" i="8"/>
  <c r="AU1400" i="8"/>
  <c r="BA1399" i="8"/>
  <c r="AZ1399" i="8"/>
  <c r="AY1399" i="8"/>
  <c r="AX1399" i="8"/>
  <c r="AW1399" i="8"/>
  <c r="AV1399" i="8"/>
  <c r="AU1399" i="8"/>
  <c r="BA1398" i="8"/>
  <c r="AZ1398" i="8"/>
  <c r="AY1398" i="8"/>
  <c r="AX1398" i="8"/>
  <c r="AW1398" i="8"/>
  <c r="AV1398" i="8"/>
  <c r="AU1398" i="8"/>
  <c r="BA1397" i="8"/>
  <c r="AZ1397" i="8"/>
  <c r="AY1397" i="8"/>
  <c r="AX1397" i="8"/>
  <c r="AW1397" i="8"/>
  <c r="AV1397" i="8"/>
  <c r="AU1397" i="8"/>
  <c r="BA1396" i="8"/>
  <c r="AZ1396" i="8"/>
  <c r="AY1396" i="8"/>
  <c r="AX1396" i="8"/>
  <c r="AW1396" i="8"/>
  <c r="AV1396" i="8"/>
  <c r="AU1396" i="8"/>
  <c r="BA1395" i="8"/>
  <c r="AZ1395" i="8"/>
  <c r="AY1395" i="8"/>
  <c r="AX1395" i="8"/>
  <c r="AW1395" i="8"/>
  <c r="AV1395" i="8"/>
  <c r="AU1395" i="8"/>
  <c r="BA1394" i="8"/>
  <c r="AZ1394" i="8"/>
  <c r="AY1394" i="8"/>
  <c r="AX1394" i="8"/>
  <c r="AW1394" i="8"/>
  <c r="AV1394" i="8"/>
  <c r="AU1394" i="8"/>
  <c r="BA1393" i="8"/>
  <c r="AZ1393" i="8"/>
  <c r="AY1393" i="8"/>
  <c r="AX1393" i="8"/>
  <c r="AW1393" i="8"/>
  <c r="AV1393" i="8"/>
  <c r="AU1393" i="8"/>
  <c r="BA1392" i="8"/>
  <c r="AZ1392" i="8"/>
  <c r="AY1392" i="8"/>
  <c r="AX1392" i="8"/>
  <c r="AW1392" i="8"/>
  <c r="AV1392" i="8"/>
  <c r="AU1392" i="8"/>
  <c r="BA1391" i="8"/>
  <c r="AZ1391" i="8"/>
  <c r="AY1391" i="8"/>
  <c r="AX1391" i="8"/>
  <c r="AW1391" i="8"/>
  <c r="AV1391" i="8"/>
  <c r="AU1391" i="8"/>
  <c r="BA1390" i="8"/>
  <c r="AZ1390" i="8"/>
  <c r="AY1390" i="8"/>
  <c r="AX1390" i="8"/>
  <c r="AW1390" i="8"/>
  <c r="AV1390" i="8"/>
  <c r="AU1390" i="8"/>
  <c r="BA1389" i="8"/>
  <c r="AZ1389" i="8"/>
  <c r="AY1389" i="8"/>
  <c r="AX1389" i="8"/>
  <c r="AW1389" i="8"/>
  <c r="AV1389" i="8"/>
  <c r="AU1389" i="8"/>
  <c r="BA1388" i="8"/>
  <c r="AZ1388" i="8"/>
  <c r="AY1388" i="8"/>
  <c r="AX1388" i="8"/>
  <c r="AW1388" i="8"/>
  <c r="AV1388" i="8"/>
  <c r="AU1388" i="8"/>
  <c r="BA1387" i="8"/>
  <c r="AZ1387" i="8"/>
  <c r="AY1387" i="8"/>
  <c r="AX1387" i="8"/>
  <c r="AW1387" i="8"/>
  <c r="AV1387" i="8"/>
  <c r="AU1387" i="8"/>
  <c r="BA1386" i="8"/>
  <c r="AZ1386" i="8"/>
  <c r="AY1386" i="8"/>
  <c r="AX1386" i="8"/>
  <c r="AW1386" i="8"/>
  <c r="AV1386" i="8"/>
  <c r="AU1386" i="8"/>
  <c r="BA1385" i="8"/>
  <c r="AZ1385" i="8"/>
  <c r="AY1385" i="8"/>
  <c r="AX1385" i="8"/>
  <c r="AW1385" i="8"/>
  <c r="AV1385" i="8"/>
  <c r="AU1385" i="8"/>
  <c r="BA1384" i="8"/>
  <c r="AZ1384" i="8"/>
  <c r="AY1384" i="8"/>
  <c r="AX1384" i="8"/>
  <c r="AW1384" i="8"/>
  <c r="AV1384" i="8"/>
  <c r="AU1384" i="8"/>
  <c r="BA1383" i="8"/>
  <c r="AZ1383" i="8"/>
  <c r="AY1383" i="8"/>
  <c r="AX1383" i="8"/>
  <c r="AW1383" i="8"/>
  <c r="AV1383" i="8"/>
  <c r="AU1383" i="8"/>
  <c r="BA1382" i="8"/>
  <c r="AZ1382" i="8"/>
  <c r="AY1382" i="8"/>
  <c r="AX1382" i="8"/>
  <c r="AW1382" i="8"/>
  <c r="AV1382" i="8"/>
  <c r="AU1382" i="8"/>
  <c r="BA1381" i="8"/>
  <c r="AZ1381" i="8"/>
  <c r="AY1381" i="8"/>
  <c r="AX1381" i="8"/>
  <c r="AW1381" i="8"/>
  <c r="AV1381" i="8"/>
  <c r="AU1381" i="8"/>
  <c r="BA1380" i="8"/>
  <c r="AZ1380" i="8"/>
  <c r="AY1380" i="8"/>
  <c r="AX1380" i="8"/>
  <c r="AW1380" i="8"/>
  <c r="AV1380" i="8"/>
  <c r="AU1380" i="8"/>
  <c r="BA1379" i="8"/>
  <c r="AZ1379" i="8"/>
  <c r="AY1379" i="8"/>
  <c r="AX1379" i="8"/>
  <c r="AW1379" i="8"/>
  <c r="AV1379" i="8"/>
  <c r="AU1379" i="8"/>
  <c r="BA1378" i="8"/>
  <c r="AZ1378" i="8"/>
  <c r="AY1378" i="8"/>
  <c r="AX1378" i="8"/>
  <c r="AW1378" i="8"/>
  <c r="AV1378" i="8"/>
  <c r="AU1378" i="8"/>
  <c r="BA1377" i="8"/>
  <c r="AZ1377" i="8"/>
  <c r="AY1377" i="8"/>
  <c r="AX1377" i="8"/>
  <c r="AW1377" i="8"/>
  <c r="AV1377" i="8"/>
  <c r="AU1377" i="8"/>
  <c r="BA1376" i="8"/>
  <c r="AZ1376" i="8"/>
  <c r="AY1376" i="8"/>
  <c r="AX1376" i="8"/>
  <c r="AW1376" i="8"/>
  <c r="AV1376" i="8"/>
  <c r="AU1376" i="8"/>
  <c r="BA1375" i="8"/>
  <c r="AZ1375" i="8"/>
  <c r="AY1375" i="8"/>
  <c r="AX1375" i="8"/>
  <c r="AW1375" i="8"/>
  <c r="AV1375" i="8"/>
  <c r="AU1375" i="8"/>
  <c r="BA1374" i="8"/>
  <c r="AZ1374" i="8"/>
  <c r="AY1374" i="8"/>
  <c r="AX1374" i="8"/>
  <c r="AW1374" i="8"/>
  <c r="AV1374" i="8"/>
  <c r="AU1374" i="8"/>
  <c r="BA1373" i="8"/>
  <c r="AZ1373" i="8"/>
  <c r="AY1373" i="8"/>
  <c r="AX1373" i="8"/>
  <c r="AW1373" i="8"/>
  <c r="AV1373" i="8"/>
  <c r="AU1373" i="8"/>
  <c r="BA1372" i="8"/>
  <c r="AZ1372" i="8"/>
  <c r="AY1372" i="8"/>
  <c r="AX1372" i="8"/>
  <c r="AW1372" i="8"/>
  <c r="AV1372" i="8"/>
  <c r="AU1372" i="8"/>
  <c r="BA1371" i="8"/>
  <c r="AZ1371" i="8"/>
  <c r="AY1371" i="8"/>
  <c r="AX1371" i="8"/>
  <c r="AW1371" i="8"/>
  <c r="AV1371" i="8"/>
  <c r="AU1371" i="8"/>
  <c r="BA1370" i="8"/>
  <c r="AZ1370" i="8"/>
  <c r="AY1370" i="8"/>
  <c r="AX1370" i="8"/>
  <c r="AW1370" i="8"/>
  <c r="AV1370" i="8"/>
  <c r="AU1370" i="8"/>
  <c r="BA1369" i="8"/>
  <c r="AZ1369" i="8"/>
  <c r="AY1369" i="8"/>
  <c r="AX1369" i="8"/>
  <c r="AW1369" i="8"/>
  <c r="AV1369" i="8"/>
  <c r="AU1369" i="8"/>
  <c r="BA1368" i="8"/>
  <c r="AZ1368" i="8"/>
  <c r="AY1368" i="8"/>
  <c r="AX1368" i="8"/>
  <c r="AW1368" i="8"/>
  <c r="AV1368" i="8"/>
  <c r="AU1368" i="8"/>
  <c r="BA1367" i="8"/>
  <c r="AZ1367" i="8"/>
  <c r="AY1367" i="8"/>
  <c r="AX1367" i="8"/>
  <c r="AW1367" i="8"/>
  <c r="AV1367" i="8"/>
  <c r="AU1367" i="8"/>
  <c r="BA1366" i="8"/>
  <c r="AZ1366" i="8"/>
  <c r="AY1366" i="8"/>
  <c r="AX1366" i="8"/>
  <c r="AW1366" i="8"/>
  <c r="AV1366" i="8"/>
  <c r="AU1366" i="8"/>
  <c r="BA1365" i="8"/>
  <c r="AZ1365" i="8"/>
  <c r="AY1365" i="8"/>
  <c r="AX1365" i="8"/>
  <c r="AW1365" i="8"/>
  <c r="AV1365" i="8"/>
  <c r="AU1365" i="8"/>
  <c r="BA1364" i="8"/>
  <c r="AZ1364" i="8"/>
  <c r="AY1364" i="8"/>
  <c r="AX1364" i="8"/>
  <c r="AW1364" i="8"/>
  <c r="AV1364" i="8"/>
  <c r="AU1364" i="8"/>
  <c r="BA1363" i="8"/>
  <c r="AZ1363" i="8"/>
  <c r="AY1363" i="8"/>
  <c r="AX1363" i="8"/>
  <c r="AW1363" i="8"/>
  <c r="AV1363" i="8"/>
  <c r="AU1363" i="8"/>
  <c r="BA1362" i="8"/>
  <c r="AZ1362" i="8"/>
  <c r="AY1362" i="8"/>
  <c r="AX1362" i="8"/>
  <c r="AW1362" i="8"/>
  <c r="AV1362" i="8"/>
  <c r="AU1362" i="8"/>
  <c r="BA1361" i="8"/>
  <c r="AZ1361" i="8"/>
  <c r="AY1361" i="8"/>
  <c r="AX1361" i="8"/>
  <c r="AW1361" i="8"/>
  <c r="AV1361" i="8"/>
  <c r="AU1361" i="8"/>
  <c r="BA1360" i="8"/>
  <c r="AZ1360" i="8"/>
  <c r="AY1360" i="8"/>
  <c r="AX1360" i="8"/>
  <c r="AW1360" i="8"/>
  <c r="AV1360" i="8"/>
  <c r="AU1360" i="8"/>
  <c r="BA1359" i="8"/>
  <c r="AZ1359" i="8"/>
  <c r="AY1359" i="8"/>
  <c r="AX1359" i="8"/>
  <c r="AW1359" i="8"/>
  <c r="AV1359" i="8"/>
  <c r="AU1359" i="8"/>
  <c r="BA1358" i="8"/>
  <c r="AZ1358" i="8"/>
  <c r="AY1358" i="8"/>
  <c r="AX1358" i="8"/>
  <c r="AW1358" i="8"/>
  <c r="AV1358" i="8"/>
  <c r="AU1358" i="8"/>
  <c r="BA1357" i="8"/>
  <c r="AZ1357" i="8"/>
  <c r="AY1357" i="8"/>
  <c r="AX1357" i="8"/>
  <c r="AW1357" i="8"/>
  <c r="AV1357" i="8"/>
  <c r="AU1357" i="8"/>
  <c r="BA1356" i="8"/>
  <c r="AZ1356" i="8"/>
  <c r="AY1356" i="8"/>
  <c r="AX1356" i="8"/>
  <c r="AW1356" i="8"/>
  <c r="AV1356" i="8"/>
  <c r="AU1356" i="8"/>
  <c r="BA1355" i="8"/>
  <c r="AZ1355" i="8"/>
  <c r="AY1355" i="8"/>
  <c r="AX1355" i="8"/>
  <c r="AW1355" i="8"/>
  <c r="AV1355" i="8"/>
  <c r="AU1355" i="8"/>
  <c r="BA1354" i="8"/>
  <c r="AZ1354" i="8"/>
  <c r="AY1354" i="8"/>
  <c r="AX1354" i="8"/>
  <c r="AW1354" i="8"/>
  <c r="AV1354" i="8"/>
  <c r="AU1354" i="8"/>
  <c r="BA1353" i="8"/>
  <c r="AZ1353" i="8"/>
  <c r="AY1353" i="8"/>
  <c r="AX1353" i="8"/>
  <c r="AW1353" i="8"/>
  <c r="AV1353" i="8"/>
  <c r="AU1353" i="8"/>
  <c r="BA1352" i="8"/>
  <c r="AZ1352" i="8"/>
  <c r="AY1352" i="8"/>
  <c r="AX1352" i="8"/>
  <c r="AW1352" i="8"/>
  <c r="AV1352" i="8"/>
  <c r="AU1352" i="8"/>
  <c r="BA1351" i="8"/>
  <c r="AZ1351" i="8"/>
  <c r="AY1351" i="8"/>
  <c r="AX1351" i="8"/>
  <c r="AW1351" i="8"/>
  <c r="AV1351" i="8"/>
  <c r="AU1351" i="8"/>
  <c r="BA1350" i="8"/>
  <c r="AZ1350" i="8"/>
  <c r="AY1350" i="8"/>
  <c r="AX1350" i="8"/>
  <c r="AW1350" i="8"/>
  <c r="AV1350" i="8"/>
  <c r="AU1350" i="8"/>
  <c r="BA1349" i="8"/>
  <c r="AZ1349" i="8"/>
  <c r="AY1349" i="8"/>
  <c r="AX1349" i="8"/>
  <c r="AW1349" i="8"/>
  <c r="AV1349" i="8"/>
  <c r="AU1349" i="8"/>
  <c r="BA1348" i="8"/>
  <c r="AZ1348" i="8"/>
  <c r="AY1348" i="8"/>
  <c r="AX1348" i="8"/>
  <c r="AW1348" i="8"/>
  <c r="AV1348" i="8"/>
  <c r="AU1348" i="8"/>
  <c r="BA1347" i="8"/>
  <c r="AZ1347" i="8"/>
  <c r="AY1347" i="8"/>
  <c r="AX1347" i="8"/>
  <c r="AW1347" i="8"/>
  <c r="AV1347" i="8"/>
  <c r="AU1347" i="8"/>
  <c r="BA1346" i="8"/>
  <c r="AZ1346" i="8"/>
  <c r="AY1346" i="8"/>
  <c r="AX1346" i="8"/>
  <c r="AW1346" i="8"/>
  <c r="AV1346" i="8"/>
  <c r="AU1346" i="8"/>
  <c r="BA1345" i="8"/>
  <c r="AZ1345" i="8"/>
  <c r="AY1345" i="8"/>
  <c r="AX1345" i="8"/>
  <c r="AW1345" i="8"/>
  <c r="AV1345" i="8"/>
  <c r="AU1345" i="8"/>
  <c r="BA1344" i="8"/>
  <c r="AZ1344" i="8"/>
  <c r="AY1344" i="8"/>
  <c r="AX1344" i="8"/>
  <c r="AW1344" i="8"/>
  <c r="AV1344" i="8"/>
  <c r="AU1344" i="8"/>
  <c r="BA1343" i="8"/>
  <c r="AZ1343" i="8"/>
  <c r="AY1343" i="8"/>
  <c r="AX1343" i="8"/>
  <c r="AW1343" i="8"/>
  <c r="AV1343" i="8"/>
  <c r="AU1343" i="8"/>
  <c r="BA1342" i="8"/>
  <c r="AZ1342" i="8"/>
  <c r="AY1342" i="8"/>
  <c r="AX1342" i="8"/>
  <c r="AW1342" i="8"/>
  <c r="AV1342" i="8"/>
  <c r="AU1342" i="8"/>
  <c r="BA1341" i="8"/>
  <c r="AZ1341" i="8"/>
  <c r="AY1341" i="8"/>
  <c r="AX1341" i="8"/>
  <c r="AW1341" i="8"/>
  <c r="AV1341" i="8"/>
  <c r="AU1341" i="8"/>
  <c r="BA1340" i="8"/>
  <c r="AZ1340" i="8"/>
  <c r="AY1340" i="8"/>
  <c r="AX1340" i="8"/>
  <c r="AW1340" i="8"/>
  <c r="AV1340" i="8"/>
  <c r="AU1340" i="8"/>
  <c r="BA1339" i="8"/>
  <c r="AZ1339" i="8"/>
  <c r="AY1339" i="8"/>
  <c r="AX1339" i="8"/>
  <c r="AW1339" i="8"/>
  <c r="AV1339" i="8"/>
  <c r="AU1339" i="8"/>
  <c r="BA1338" i="8"/>
  <c r="AZ1338" i="8"/>
  <c r="AY1338" i="8"/>
  <c r="AX1338" i="8"/>
  <c r="AW1338" i="8"/>
  <c r="AV1338" i="8"/>
  <c r="AU1338" i="8"/>
  <c r="BA1337" i="8"/>
  <c r="AZ1337" i="8"/>
  <c r="AY1337" i="8"/>
  <c r="AX1337" i="8"/>
  <c r="AW1337" i="8"/>
  <c r="AV1337" i="8"/>
  <c r="AU1337" i="8"/>
  <c r="BA1336" i="8"/>
  <c r="AZ1336" i="8"/>
  <c r="AY1336" i="8"/>
  <c r="AX1336" i="8"/>
  <c r="AW1336" i="8"/>
  <c r="AV1336" i="8"/>
  <c r="AU1336" i="8"/>
  <c r="BA1335" i="8"/>
  <c r="AZ1335" i="8"/>
  <c r="AY1335" i="8"/>
  <c r="AX1335" i="8"/>
  <c r="AW1335" i="8"/>
  <c r="AV1335" i="8"/>
  <c r="AU1335" i="8"/>
  <c r="BA1334" i="8"/>
  <c r="AZ1334" i="8"/>
  <c r="AY1334" i="8"/>
  <c r="AX1334" i="8"/>
  <c r="AW1334" i="8"/>
  <c r="AV1334" i="8"/>
  <c r="AU1334" i="8"/>
  <c r="BA1333" i="8"/>
  <c r="AZ1333" i="8"/>
  <c r="AY1333" i="8"/>
  <c r="AX1333" i="8"/>
  <c r="AW1333" i="8"/>
  <c r="AV1333" i="8"/>
  <c r="AU1333" i="8"/>
  <c r="BA1332" i="8"/>
  <c r="AZ1332" i="8"/>
  <c r="AY1332" i="8"/>
  <c r="AX1332" i="8"/>
  <c r="AW1332" i="8"/>
  <c r="AV1332" i="8"/>
  <c r="AU1332" i="8"/>
  <c r="BA1331" i="8"/>
  <c r="AZ1331" i="8"/>
  <c r="AY1331" i="8"/>
  <c r="AX1331" i="8"/>
  <c r="AW1331" i="8"/>
  <c r="AV1331" i="8"/>
  <c r="AU1331" i="8"/>
  <c r="BA1330" i="8"/>
  <c r="AZ1330" i="8"/>
  <c r="AY1330" i="8"/>
  <c r="AX1330" i="8"/>
  <c r="AW1330" i="8"/>
  <c r="AV1330" i="8"/>
  <c r="AU1330" i="8"/>
  <c r="BA1329" i="8"/>
  <c r="AZ1329" i="8"/>
  <c r="AY1329" i="8"/>
  <c r="AX1329" i="8"/>
  <c r="AW1329" i="8"/>
  <c r="AV1329" i="8"/>
  <c r="AU1329" i="8"/>
  <c r="BA1328" i="8"/>
  <c r="AZ1328" i="8"/>
  <c r="AY1328" i="8"/>
  <c r="AX1328" i="8"/>
  <c r="AW1328" i="8"/>
  <c r="AV1328" i="8"/>
  <c r="AU1328" i="8"/>
  <c r="BA1327" i="8"/>
  <c r="AZ1327" i="8"/>
  <c r="AY1327" i="8"/>
  <c r="AX1327" i="8"/>
  <c r="AW1327" i="8"/>
  <c r="AV1327" i="8"/>
  <c r="AU1327" i="8"/>
  <c r="BA1326" i="8"/>
  <c r="AZ1326" i="8"/>
  <c r="AY1326" i="8"/>
  <c r="AX1326" i="8"/>
  <c r="AW1326" i="8"/>
  <c r="AV1326" i="8"/>
  <c r="AU1326" i="8"/>
  <c r="BA1325" i="8"/>
  <c r="AZ1325" i="8"/>
  <c r="AY1325" i="8"/>
  <c r="AX1325" i="8"/>
  <c r="AW1325" i="8"/>
  <c r="AV1325" i="8"/>
  <c r="AU1325" i="8"/>
  <c r="BA1324" i="8"/>
  <c r="AZ1324" i="8"/>
  <c r="AY1324" i="8"/>
  <c r="AX1324" i="8"/>
  <c r="AW1324" i="8"/>
  <c r="AV1324" i="8"/>
  <c r="AU1324" i="8"/>
  <c r="BA1323" i="8"/>
  <c r="AZ1323" i="8"/>
  <c r="AY1323" i="8"/>
  <c r="AX1323" i="8"/>
  <c r="AW1323" i="8"/>
  <c r="AV1323" i="8"/>
  <c r="AU1323" i="8"/>
  <c r="BA1322" i="8"/>
  <c r="AZ1322" i="8"/>
  <c r="AY1322" i="8"/>
  <c r="AX1322" i="8"/>
  <c r="AW1322" i="8"/>
  <c r="AV1322" i="8"/>
  <c r="AU1322" i="8"/>
  <c r="BA1321" i="8"/>
  <c r="AZ1321" i="8"/>
  <c r="AY1321" i="8"/>
  <c r="AX1321" i="8"/>
  <c r="AW1321" i="8"/>
  <c r="AV1321" i="8"/>
  <c r="AU1321" i="8"/>
  <c r="BA1320" i="8"/>
  <c r="AZ1320" i="8"/>
  <c r="AY1320" i="8"/>
  <c r="AX1320" i="8"/>
  <c r="AW1320" i="8"/>
  <c r="AV1320" i="8"/>
  <c r="AU1320" i="8"/>
  <c r="BA1319" i="8"/>
  <c r="AZ1319" i="8"/>
  <c r="AY1319" i="8"/>
  <c r="AX1319" i="8"/>
  <c r="AW1319" i="8"/>
  <c r="AV1319" i="8"/>
  <c r="AU1319" i="8"/>
  <c r="BA1318" i="8"/>
  <c r="AZ1318" i="8"/>
  <c r="AY1318" i="8"/>
  <c r="AX1318" i="8"/>
  <c r="AW1318" i="8"/>
  <c r="AV1318" i="8"/>
  <c r="AU1318" i="8"/>
  <c r="BA1317" i="8"/>
  <c r="AZ1317" i="8"/>
  <c r="AY1317" i="8"/>
  <c r="AX1317" i="8"/>
  <c r="AW1317" i="8"/>
  <c r="AV1317" i="8"/>
  <c r="AU1317" i="8"/>
  <c r="BA1316" i="8"/>
  <c r="AZ1316" i="8"/>
  <c r="AY1316" i="8"/>
  <c r="AX1316" i="8"/>
  <c r="AW1316" i="8"/>
  <c r="AV1316" i="8"/>
  <c r="AU1316" i="8"/>
  <c r="BA1315" i="8"/>
  <c r="AZ1315" i="8"/>
  <c r="AY1315" i="8"/>
  <c r="AX1315" i="8"/>
  <c r="AW1315" i="8"/>
  <c r="AV1315" i="8"/>
  <c r="AU1315" i="8"/>
  <c r="BA1314" i="8"/>
  <c r="AZ1314" i="8"/>
  <c r="AY1314" i="8"/>
  <c r="AX1314" i="8"/>
  <c r="AW1314" i="8"/>
  <c r="AV1314" i="8"/>
  <c r="AU1314" i="8"/>
  <c r="BA1313" i="8"/>
  <c r="AZ1313" i="8"/>
  <c r="AY1313" i="8"/>
  <c r="AX1313" i="8"/>
  <c r="AW1313" i="8"/>
  <c r="AV1313" i="8"/>
  <c r="AU1313" i="8"/>
  <c r="BA1312" i="8"/>
  <c r="AZ1312" i="8"/>
  <c r="AY1312" i="8"/>
  <c r="AX1312" i="8"/>
  <c r="AW1312" i="8"/>
  <c r="AV1312" i="8"/>
  <c r="AU1312" i="8"/>
  <c r="BA1311" i="8"/>
  <c r="AZ1311" i="8"/>
  <c r="AY1311" i="8"/>
  <c r="AX1311" i="8"/>
  <c r="AW1311" i="8"/>
  <c r="AV1311" i="8"/>
  <c r="AU1311" i="8"/>
  <c r="BA1310" i="8"/>
  <c r="AZ1310" i="8"/>
  <c r="AY1310" i="8"/>
  <c r="AX1310" i="8"/>
  <c r="AW1310" i="8"/>
  <c r="AV1310" i="8"/>
  <c r="AU1310" i="8"/>
  <c r="BA1309" i="8"/>
  <c r="AZ1309" i="8"/>
  <c r="AY1309" i="8"/>
  <c r="AX1309" i="8"/>
  <c r="AW1309" i="8"/>
  <c r="AV1309" i="8"/>
  <c r="AU1309" i="8"/>
  <c r="BA1308" i="8"/>
  <c r="AZ1308" i="8"/>
  <c r="AY1308" i="8"/>
  <c r="AX1308" i="8"/>
  <c r="AW1308" i="8"/>
  <c r="AV1308" i="8"/>
  <c r="AU1308" i="8"/>
  <c r="BA1307" i="8"/>
  <c r="AZ1307" i="8"/>
  <c r="AY1307" i="8"/>
  <c r="AX1307" i="8"/>
  <c r="AW1307" i="8"/>
  <c r="AV1307" i="8"/>
  <c r="AU1307" i="8"/>
  <c r="BA1306" i="8"/>
  <c r="AZ1306" i="8"/>
  <c r="AY1306" i="8"/>
  <c r="AX1306" i="8"/>
  <c r="AW1306" i="8"/>
  <c r="AV1306" i="8"/>
  <c r="AU1306" i="8"/>
  <c r="BA1305" i="8"/>
  <c r="AZ1305" i="8"/>
  <c r="AY1305" i="8"/>
  <c r="AX1305" i="8"/>
  <c r="AW1305" i="8"/>
  <c r="AV1305" i="8"/>
  <c r="AU1305" i="8"/>
  <c r="BA1304" i="8"/>
  <c r="AZ1304" i="8"/>
  <c r="AY1304" i="8"/>
  <c r="AX1304" i="8"/>
  <c r="AW1304" i="8"/>
  <c r="AV1304" i="8"/>
  <c r="AU1304" i="8"/>
  <c r="BA1303" i="8"/>
  <c r="AZ1303" i="8"/>
  <c r="AY1303" i="8"/>
  <c r="AX1303" i="8"/>
  <c r="AW1303" i="8"/>
  <c r="AV1303" i="8"/>
  <c r="AU1303" i="8"/>
  <c r="BA1302" i="8"/>
  <c r="AZ1302" i="8"/>
  <c r="AY1302" i="8"/>
  <c r="AX1302" i="8"/>
  <c r="AW1302" i="8"/>
  <c r="AV1302" i="8"/>
  <c r="AU1302" i="8"/>
  <c r="BA1301" i="8"/>
  <c r="AZ1301" i="8"/>
  <c r="AY1301" i="8"/>
  <c r="AX1301" i="8"/>
  <c r="AW1301" i="8"/>
  <c r="AV1301" i="8"/>
  <c r="AU1301" i="8"/>
  <c r="BA1300" i="8"/>
  <c r="AZ1300" i="8"/>
  <c r="AY1300" i="8"/>
  <c r="AX1300" i="8"/>
  <c r="AW1300" i="8"/>
  <c r="AV1300" i="8"/>
  <c r="AU1300" i="8"/>
  <c r="BA1299" i="8"/>
  <c r="AZ1299" i="8"/>
  <c r="AY1299" i="8"/>
  <c r="AX1299" i="8"/>
  <c r="AW1299" i="8"/>
  <c r="AV1299" i="8"/>
  <c r="AU1299" i="8"/>
  <c r="BA1298" i="8"/>
  <c r="AZ1298" i="8"/>
  <c r="AY1298" i="8"/>
  <c r="AX1298" i="8"/>
  <c r="AW1298" i="8"/>
  <c r="AV1298" i="8"/>
  <c r="AU1298" i="8"/>
  <c r="BA1297" i="8"/>
  <c r="AZ1297" i="8"/>
  <c r="AY1297" i="8"/>
  <c r="AX1297" i="8"/>
  <c r="AW1297" i="8"/>
  <c r="AV1297" i="8"/>
  <c r="AU1297" i="8"/>
  <c r="BA1296" i="8"/>
  <c r="AZ1296" i="8"/>
  <c r="AY1296" i="8"/>
  <c r="AX1296" i="8"/>
  <c r="AW1296" i="8"/>
  <c r="AV1296" i="8"/>
  <c r="AU1296" i="8"/>
  <c r="BA1295" i="8"/>
  <c r="AZ1295" i="8"/>
  <c r="AY1295" i="8"/>
  <c r="AX1295" i="8"/>
  <c r="AW1295" i="8"/>
  <c r="AU1295" i="8"/>
  <c r="BA1294" i="8"/>
  <c r="AZ1294" i="8"/>
  <c r="AY1294" i="8"/>
  <c r="AX1294" i="8"/>
  <c r="AW1294" i="8"/>
  <c r="AU1294" i="8"/>
  <c r="BA1293" i="8"/>
  <c r="AZ1293" i="8"/>
  <c r="AY1293" i="8"/>
  <c r="AX1293" i="8"/>
  <c r="AW1293" i="8"/>
  <c r="AU1293" i="8"/>
  <c r="BA1292" i="8"/>
  <c r="AZ1292" i="8"/>
  <c r="AY1292" i="8"/>
  <c r="AX1292" i="8"/>
  <c r="AW1292" i="8"/>
  <c r="AU1292" i="8"/>
  <c r="BA1291" i="8"/>
  <c r="AZ1291" i="8"/>
  <c r="AY1291" i="8"/>
  <c r="AX1291" i="8"/>
  <c r="AW1291" i="8"/>
  <c r="AU1291" i="8"/>
  <c r="BA1290" i="8"/>
  <c r="AZ1290" i="8"/>
  <c r="AY1290" i="8"/>
  <c r="AX1290" i="8"/>
  <c r="AW1290" i="8"/>
  <c r="AU1290" i="8"/>
  <c r="BA1289" i="8"/>
  <c r="AZ1289" i="8"/>
  <c r="AY1289" i="8"/>
  <c r="AX1289" i="8"/>
  <c r="AW1289" i="8"/>
  <c r="AU1289" i="8"/>
  <c r="BA1288" i="8"/>
  <c r="AZ1288" i="8"/>
  <c r="AY1288" i="8"/>
  <c r="AX1288" i="8"/>
  <c r="AW1288" i="8"/>
  <c r="AU1288" i="8"/>
  <c r="BA1287" i="8"/>
  <c r="AZ1287" i="8"/>
  <c r="AY1287" i="8"/>
  <c r="AX1287" i="8"/>
  <c r="AW1287" i="8"/>
  <c r="AU1287" i="8"/>
  <c r="BA1286" i="8"/>
  <c r="AZ1286" i="8"/>
  <c r="AY1286" i="8"/>
  <c r="AX1286" i="8"/>
  <c r="AW1286" i="8"/>
  <c r="AU1286" i="8"/>
  <c r="BA1285" i="8"/>
  <c r="AZ1285" i="8"/>
  <c r="AY1285" i="8"/>
  <c r="AX1285" i="8"/>
  <c r="AW1285" i="8"/>
  <c r="AU1285" i="8"/>
  <c r="BA1284" i="8"/>
  <c r="AZ1284" i="8"/>
  <c r="AY1284" i="8"/>
  <c r="AX1284" i="8"/>
  <c r="AW1284" i="8"/>
  <c r="AU1284" i="8"/>
  <c r="BA1283" i="8"/>
  <c r="AZ1283" i="8"/>
  <c r="AY1283" i="8"/>
  <c r="AX1283" i="8"/>
  <c r="AW1283" i="8"/>
  <c r="AU1283" i="8"/>
  <c r="BA1282" i="8"/>
  <c r="AZ1282" i="8"/>
  <c r="AY1282" i="8"/>
  <c r="AX1282" i="8"/>
  <c r="AW1282" i="8"/>
  <c r="AU1282" i="8"/>
  <c r="BA1281" i="8"/>
  <c r="AZ1281" i="8"/>
  <c r="AY1281" i="8"/>
  <c r="AX1281" i="8"/>
  <c r="AW1281" i="8"/>
  <c r="AU1281" i="8"/>
  <c r="BA1250" i="8"/>
  <c r="AZ1250" i="8"/>
  <c r="AY1250" i="8"/>
  <c r="AX1250" i="8"/>
  <c r="AW1250" i="8"/>
  <c r="AV1250" i="8"/>
  <c r="AU1250" i="8"/>
  <c r="BA1249" i="8"/>
  <c r="AZ1249" i="8"/>
  <c r="AY1249" i="8"/>
  <c r="AX1249" i="8"/>
  <c r="AW1249" i="8"/>
  <c r="AV1249" i="8"/>
  <c r="AU1249" i="8"/>
  <c r="BA1248" i="8"/>
  <c r="AZ1248" i="8"/>
  <c r="AY1248" i="8"/>
  <c r="AX1248" i="8"/>
  <c r="AW1248" i="8"/>
  <c r="AV1248" i="8"/>
  <c r="AU1248" i="8"/>
  <c r="BA1247" i="8"/>
  <c r="AZ1247" i="8"/>
  <c r="AY1247" i="8"/>
  <c r="AX1247" i="8"/>
  <c r="AW1247" i="8"/>
  <c r="AV1247" i="8"/>
  <c r="AU1247" i="8"/>
  <c r="BA1246" i="8"/>
  <c r="AZ1246" i="8"/>
  <c r="AY1246" i="8"/>
  <c r="AX1246" i="8"/>
  <c r="AW1246" i="8"/>
  <c r="AV1246" i="8"/>
  <c r="AU1246" i="8"/>
  <c r="BA1245" i="8"/>
  <c r="AZ1245" i="8"/>
  <c r="AY1245" i="8"/>
  <c r="AX1245" i="8"/>
  <c r="AW1245" i="8"/>
  <c r="AV1245" i="8"/>
  <c r="AU1245" i="8"/>
  <c r="BA1244" i="8"/>
  <c r="AZ1244" i="8"/>
  <c r="AY1244" i="8"/>
  <c r="AX1244" i="8"/>
  <c r="AW1244" i="8"/>
  <c r="AV1244" i="8"/>
  <c r="AU1244" i="8"/>
  <c r="BA1243" i="8"/>
  <c r="AZ1243" i="8"/>
  <c r="AY1243" i="8"/>
  <c r="AX1243" i="8"/>
  <c r="AW1243" i="8"/>
  <c r="AV1243" i="8"/>
  <c r="AU1243" i="8"/>
  <c r="BA1242" i="8"/>
  <c r="AZ1242" i="8"/>
  <c r="AY1242" i="8"/>
  <c r="AX1242" i="8"/>
  <c r="AW1242" i="8"/>
  <c r="AV1242" i="8"/>
  <c r="AU1242" i="8"/>
  <c r="BA1241" i="8"/>
  <c r="AZ1241" i="8"/>
  <c r="AY1241" i="8"/>
  <c r="AX1241" i="8"/>
  <c r="AW1241" i="8"/>
  <c r="AV1241" i="8"/>
  <c r="AU1241" i="8"/>
  <c r="BA1240" i="8"/>
  <c r="AZ1240" i="8"/>
  <c r="AY1240" i="8"/>
  <c r="AX1240" i="8"/>
  <c r="AW1240" i="8"/>
  <c r="AV1240" i="8"/>
  <c r="AU1240" i="8"/>
  <c r="BA1239" i="8"/>
  <c r="AZ1239" i="8"/>
  <c r="AY1239" i="8"/>
  <c r="AX1239" i="8"/>
  <c r="AW1239" i="8"/>
  <c r="AV1239" i="8"/>
  <c r="AU1239" i="8"/>
  <c r="BA1238" i="8"/>
  <c r="AZ1238" i="8"/>
  <c r="AY1238" i="8"/>
  <c r="AX1238" i="8"/>
  <c r="AW1238" i="8"/>
  <c r="AV1238" i="8"/>
  <c r="AU1238" i="8"/>
  <c r="BA1237" i="8"/>
  <c r="AZ1237" i="8"/>
  <c r="AY1237" i="8"/>
  <c r="AX1237" i="8"/>
  <c r="AW1237" i="8"/>
  <c r="AV1237" i="8"/>
  <c r="AU1237" i="8"/>
  <c r="BA1236" i="8"/>
  <c r="AZ1236" i="8"/>
  <c r="AY1236" i="8"/>
  <c r="AX1236" i="8"/>
  <c r="AW1236" i="8"/>
  <c r="AV1236" i="8"/>
  <c r="AU1236" i="8"/>
  <c r="BA1235" i="8"/>
  <c r="AZ1235" i="8"/>
  <c r="AY1235" i="8"/>
  <c r="AX1235" i="8"/>
  <c r="AW1235" i="8"/>
  <c r="AU1235" i="8"/>
  <c r="BA1234" i="8"/>
  <c r="AZ1234" i="8"/>
  <c r="AY1234" i="8"/>
  <c r="AX1234" i="8"/>
  <c r="AW1234" i="8"/>
  <c r="AU1234" i="8"/>
  <c r="BA1233" i="8"/>
  <c r="AZ1233" i="8"/>
  <c r="AY1233" i="8"/>
  <c r="AX1233" i="8"/>
  <c r="AW1233" i="8"/>
  <c r="AU1233" i="8"/>
  <c r="BA1232" i="8"/>
  <c r="AZ1232" i="8"/>
  <c r="AY1232" i="8"/>
  <c r="AX1232" i="8"/>
  <c r="AW1232" i="8"/>
  <c r="AU1232" i="8"/>
  <c r="BA1231" i="8"/>
  <c r="AZ1231" i="8"/>
  <c r="AY1231" i="8"/>
  <c r="AX1231" i="8"/>
  <c r="AW1231" i="8"/>
  <c r="AU1231" i="8"/>
  <c r="BA1230" i="8"/>
  <c r="AZ1230" i="8"/>
  <c r="AY1230" i="8"/>
  <c r="AX1230" i="8"/>
  <c r="AW1230" i="8"/>
  <c r="AU1230" i="8"/>
  <c r="BA1229" i="8"/>
  <c r="AZ1229" i="8"/>
  <c r="AY1229" i="8"/>
  <c r="AX1229" i="8"/>
  <c r="AW1229" i="8"/>
  <c r="AU1229" i="8"/>
  <c r="BA1228" i="8"/>
  <c r="AZ1228" i="8"/>
  <c r="AY1228" i="8"/>
  <c r="AX1228" i="8"/>
  <c r="AW1228" i="8"/>
  <c r="AU1228" i="8"/>
  <c r="BA1227" i="8"/>
  <c r="AZ1227" i="8"/>
  <c r="AY1227" i="8"/>
  <c r="AX1227" i="8"/>
  <c r="AW1227" i="8"/>
  <c r="AU1227" i="8"/>
  <c r="BA1226" i="8"/>
  <c r="AZ1226" i="8"/>
  <c r="AY1226" i="8"/>
  <c r="AX1226" i="8"/>
  <c r="AW1226" i="8"/>
  <c r="AU1226" i="8"/>
  <c r="BA1225" i="8"/>
  <c r="AZ1225" i="8"/>
  <c r="AY1225" i="8"/>
  <c r="AX1225" i="8"/>
  <c r="AW1225" i="8"/>
  <c r="AU1225" i="8"/>
  <c r="BA1224" i="8"/>
  <c r="AZ1224" i="8"/>
  <c r="AY1224" i="8"/>
  <c r="AX1224" i="8"/>
  <c r="AW1224" i="8"/>
  <c r="AU1224" i="8"/>
  <c r="BA1223" i="8"/>
  <c r="AZ1223" i="8"/>
  <c r="AY1223" i="8"/>
  <c r="AX1223" i="8"/>
  <c r="AW1223" i="8"/>
  <c r="AU1223" i="8"/>
  <c r="BA1222" i="8"/>
  <c r="AZ1222" i="8"/>
  <c r="AY1222" i="8"/>
  <c r="AX1222" i="8"/>
  <c r="AW1222" i="8"/>
  <c r="AU1222" i="8"/>
  <c r="BA1221" i="8"/>
  <c r="AZ1221" i="8"/>
  <c r="AY1221" i="8"/>
  <c r="AX1221" i="8"/>
  <c r="AW1221" i="8"/>
  <c r="AU1221" i="8"/>
  <c r="BA1220" i="8"/>
  <c r="AZ1220" i="8"/>
  <c r="AY1220" i="8"/>
  <c r="AX1220" i="8"/>
  <c r="AW1220" i="8"/>
  <c r="AU1220" i="8"/>
  <c r="BA1219" i="8"/>
  <c r="AZ1219" i="8"/>
  <c r="AY1219" i="8"/>
  <c r="AX1219" i="8"/>
  <c r="AW1219" i="8"/>
  <c r="AU1219" i="8"/>
  <c r="BA1218" i="8"/>
  <c r="AZ1218" i="8"/>
  <c r="AY1218" i="8"/>
  <c r="AX1218" i="8"/>
  <c r="AW1218" i="8"/>
  <c r="AU1218" i="8"/>
  <c r="BA1217" i="8"/>
  <c r="AZ1217" i="8"/>
  <c r="AY1217" i="8"/>
  <c r="AX1217" i="8"/>
  <c r="AW1217" i="8"/>
  <c r="AU1217" i="8"/>
  <c r="BA1216" i="8"/>
  <c r="AZ1216" i="8"/>
  <c r="AY1216" i="8"/>
  <c r="AX1216" i="8"/>
  <c r="AW1216" i="8"/>
  <c r="AU1216" i="8"/>
  <c r="BA1215" i="8"/>
  <c r="AZ1215" i="8"/>
  <c r="AY1215" i="8"/>
  <c r="AX1215" i="8"/>
  <c r="AW1215" i="8"/>
  <c r="AU1215" i="8"/>
  <c r="BA1214" i="8"/>
  <c r="AZ1214" i="8"/>
  <c r="AY1214" i="8"/>
  <c r="AX1214" i="8"/>
  <c r="AW1214" i="8"/>
  <c r="AU1214" i="8"/>
  <c r="BA1213" i="8"/>
  <c r="AZ1213" i="8"/>
  <c r="AY1213" i="8"/>
  <c r="AX1213" i="8"/>
  <c r="AW1213" i="8"/>
  <c r="AU1213" i="8"/>
  <c r="BA1212" i="8"/>
  <c r="AZ1212" i="8"/>
  <c r="AY1212" i="8"/>
  <c r="AX1212" i="8"/>
  <c r="AW1212" i="8"/>
  <c r="AU1212" i="8"/>
  <c r="BA1211" i="8"/>
  <c r="AZ1211" i="8"/>
  <c r="AY1211" i="8"/>
  <c r="AX1211" i="8"/>
  <c r="AW1211" i="8"/>
  <c r="AU1211" i="8"/>
  <c r="BA1210" i="8"/>
  <c r="AZ1210" i="8"/>
  <c r="AY1210" i="8"/>
  <c r="AX1210" i="8"/>
  <c r="AW1210" i="8"/>
  <c r="AU1210" i="8"/>
  <c r="BA1209" i="8"/>
  <c r="AZ1209" i="8"/>
  <c r="AY1209" i="8"/>
  <c r="AX1209" i="8"/>
  <c r="AW1209" i="8"/>
  <c r="AU1209" i="8"/>
  <c r="BA1208" i="8"/>
  <c r="AZ1208" i="8"/>
  <c r="AY1208" i="8"/>
  <c r="AX1208" i="8"/>
  <c r="AW1208" i="8"/>
  <c r="AU1208" i="8"/>
  <c r="BA1207" i="8"/>
  <c r="AZ1207" i="8"/>
  <c r="AY1207" i="8"/>
  <c r="AX1207" i="8"/>
  <c r="AW1207" i="8"/>
  <c r="AU1207" i="8"/>
  <c r="BA1206" i="8"/>
  <c r="AZ1206" i="8"/>
  <c r="AY1206" i="8"/>
  <c r="AX1206" i="8"/>
  <c r="AW1206" i="8"/>
  <c r="AU1206" i="8"/>
  <c r="BA1205" i="8"/>
  <c r="AZ1205" i="8"/>
  <c r="AY1205" i="8"/>
  <c r="AX1205" i="8"/>
  <c r="AW1205" i="8"/>
  <c r="AU1205" i="8"/>
  <c r="BA1204" i="8"/>
  <c r="AZ1204" i="8"/>
  <c r="AY1204" i="8"/>
  <c r="AX1204" i="8"/>
  <c r="AW1204" i="8"/>
  <c r="AU1204" i="8"/>
  <c r="BA1203" i="8"/>
  <c r="AZ1203" i="8"/>
  <c r="AY1203" i="8"/>
  <c r="AX1203" i="8"/>
  <c r="AW1203" i="8"/>
  <c r="AU1203" i="8"/>
  <c r="BA1202" i="8"/>
  <c r="AZ1202" i="8"/>
  <c r="AY1202" i="8"/>
  <c r="AX1202" i="8"/>
  <c r="AW1202" i="8"/>
  <c r="AU1202" i="8"/>
  <c r="BA1201" i="8"/>
  <c r="AZ1201" i="8"/>
  <c r="AY1201" i="8"/>
  <c r="AX1201" i="8"/>
  <c r="AW1201" i="8"/>
  <c r="AU1201" i="8"/>
  <c r="BA1200" i="8"/>
  <c r="AZ1200" i="8"/>
  <c r="AY1200" i="8"/>
  <c r="AX1200" i="8"/>
  <c r="AW1200" i="8"/>
  <c r="AU1200" i="8"/>
  <c r="BA1199" i="8"/>
  <c r="AZ1199" i="8"/>
  <c r="AY1199" i="8"/>
  <c r="AX1199" i="8"/>
  <c r="AW1199" i="8"/>
  <c r="AU1199" i="8"/>
  <c r="BA1198" i="8"/>
  <c r="AZ1198" i="8"/>
  <c r="AY1198" i="8"/>
  <c r="AX1198" i="8"/>
  <c r="AW1198" i="8"/>
  <c r="AU1198" i="8"/>
  <c r="BA1197" i="8"/>
  <c r="AZ1197" i="8"/>
  <c r="AY1197" i="8"/>
  <c r="AX1197" i="8"/>
  <c r="AW1197" i="8"/>
  <c r="AU1197" i="8"/>
  <c r="BA1196" i="8"/>
  <c r="AZ1196" i="8"/>
  <c r="AY1196" i="8"/>
  <c r="AX1196" i="8"/>
  <c r="AW1196" i="8"/>
  <c r="AU1196" i="8"/>
  <c r="BA1195" i="8"/>
  <c r="AZ1195" i="8"/>
  <c r="AY1195" i="8"/>
  <c r="AX1195" i="8"/>
  <c r="AW1195" i="8"/>
  <c r="AU1195" i="8"/>
  <c r="BA1194" i="8"/>
  <c r="AZ1194" i="8"/>
  <c r="AY1194" i="8"/>
  <c r="AX1194" i="8"/>
  <c r="AW1194" i="8"/>
  <c r="AU1194" i="8"/>
  <c r="BA1193" i="8"/>
  <c r="AZ1193" i="8"/>
  <c r="AY1193" i="8"/>
  <c r="AX1193" i="8"/>
  <c r="AW1193" i="8"/>
  <c r="AU1193" i="8"/>
  <c r="BA1192" i="8"/>
  <c r="AZ1192" i="8"/>
  <c r="AY1192" i="8"/>
  <c r="AX1192" i="8"/>
  <c r="AW1192" i="8"/>
  <c r="AU1192" i="8"/>
  <c r="BA1191" i="8"/>
  <c r="AZ1191" i="8"/>
  <c r="AY1191" i="8"/>
  <c r="AX1191" i="8"/>
  <c r="AW1191" i="8"/>
  <c r="AU1191" i="8"/>
  <c r="BA1190" i="8"/>
  <c r="AZ1190" i="8"/>
  <c r="AY1190" i="8"/>
  <c r="AX1190" i="8"/>
  <c r="AW1190" i="8"/>
  <c r="AU1190" i="8"/>
  <c r="BA1189" i="8"/>
  <c r="AZ1189" i="8"/>
  <c r="AY1189" i="8"/>
  <c r="AX1189" i="8"/>
  <c r="AW1189" i="8"/>
  <c r="AU1189" i="8"/>
  <c r="BA1188" i="8"/>
  <c r="AZ1188" i="8"/>
  <c r="AY1188" i="8"/>
  <c r="AX1188" i="8"/>
  <c r="AW1188" i="8"/>
  <c r="AU1188" i="8"/>
  <c r="BA1187" i="8"/>
  <c r="AZ1187" i="8"/>
  <c r="AY1187" i="8"/>
  <c r="AX1187" i="8"/>
  <c r="AW1187" i="8"/>
  <c r="AU1187" i="8"/>
  <c r="BA1186" i="8"/>
  <c r="AZ1186" i="8"/>
  <c r="AY1186" i="8"/>
  <c r="AX1186" i="8"/>
  <c r="AW1186" i="8"/>
  <c r="AU1186" i="8"/>
  <c r="BA1185" i="8"/>
  <c r="AZ1185" i="8"/>
  <c r="AY1185" i="8"/>
  <c r="AX1185" i="8"/>
  <c r="AW1185" i="8"/>
  <c r="AU1185" i="8"/>
  <c r="BA1184" i="8"/>
  <c r="AZ1184" i="8"/>
  <c r="AY1184" i="8"/>
  <c r="AX1184" i="8"/>
  <c r="AW1184" i="8"/>
  <c r="AU1184" i="8"/>
  <c r="BA1183" i="8"/>
  <c r="AZ1183" i="8"/>
  <c r="AY1183" i="8"/>
  <c r="AX1183" i="8"/>
  <c r="AW1183" i="8"/>
  <c r="AU1183" i="8"/>
  <c r="BA1182" i="8"/>
  <c r="AZ1182" i="8"/>
  <c r="AY1182" i="8"/>
  <c r="AX1182" i="8"/>
  <c r="AW1182" i="8"/>
  <c r="AU1182" i="8"/>
  <c r="BA1181" i="8"/>
  <c r="AZ1181" i="8"/>
  <c r="AY1181" i="8"/>
  <c r="AX1181" i="8"/>
  <c r="AW1181" i="8"/>
  <c r="AU1181" i="8"/>
  <c r="BA1180" i="8"/>
  <c r="AZ1180" i="8"/>
  <c r="AY1180" i="8"/>
  <c r="AX1180" i="8"/>
  <c r="AW1180" i="8"/>
  <c r="AU1180" i="8"/>
  <c r="BA1179" i="8"/>
  <c r="AZ1179" i="8"/>
  <c r="AY1179" i="8"/>
  <c r="AX1179" i="8"/>
  <c r="AW1179" i="8"/>
  <c r="AU1179" i="8"/>
  <c r="BA1178" i="8"/>
  <c r="AZ1178" i="8"/>
  <c r="AY1178" i="8"/>
  <c r="AX1178" i="8"/>
  <c r="AW1178" i="8"/>
  <c r="AU1178" i="8"/>
  <c r="BA1177" i="8"/>
  <c r="AZ1177" i="8"/>
  <c r="AY1177" i="8"/>
  <c r="AX1177" i="8"/>
  <c r="AW1177" i="8"/>
  <c r="AU1177" i="8"/>
  <c r="BA1176" i="8"/>
  <c r="AZ1176" i="8"/>
  <c r="AY1176" i="8"/>
  <c r="AX1176" i="8"/>
  <c r="AW1176" i="8"/>
  <c r="AU1176" i="8"/>
  <c r="BA1175" i="8"/>
  <c r="AZ1175" i="8"/>
  <c r="AY1175" i="8"/>
  <c r="AX1175" i="8"/>
  <c r="AW1175" i="8"/>
  <c r="AU1175" i="8"/>
  <c r="BA1174" i="8"/>
  <c r="AZ1174" i="8"/>
  <c r="AY1174" i="8"/>
  <c r="AX1174" i="8"/>
  <c r="AW1174" i="8"/>
  <c r="AU1174" i="8"/>
  <c r="BA1173" i="8"/>
  <c r="AZ1173" i="8"/>
  <c r="AY1173" i="8"/>
  <c r="AX1173" i="8"/>
  <c r="AW1173" i="8"/>
  <c r="AU1173" i="8"/>
  <c r="BA1172" i="8"/>
  <c r="AZ1172" i="8"/>
  <c r="AY1172" i="8"/>
  <c r="AX1172" i="8"/>
  <c r="AW1172" i="8"/>
  <c r="AU1172" i="8"/>
  <c r="BA1171" i="8"/>
  <c r="AZ1171" i="8"/>
  <c r="AY1171" i="8"/>
  <c r="AX1171" i="8"/>
  <c r="AW1171" i="8"/>
  <c r="AU1171" i="8"/>
  <c r="BA1170" i="8"/>
  <c r="AZ1170" i="8"/>
  <c r="AY1170" i="8"/>
  <c r="AX1170" i="8"/>
  <c r="AW1170" i="8"/>
  <c r="AU1170" i="8"/>
  <c r="BA1169" i="8"/>
  <c r="AZ1169" i="8"/>
  <c r="AY1169" i="8"/>
  <c r="AX1169" i="8"/>
  <c r="AW1169" i="8"/>
  <c r="AU1169" i="8"/>
  <c r="BA1168" i="8"/>
  <c r="AZ1168" i="8"/>
  <c r="AY1168" i="8"/>
  <c r="AX1168" i="8"/>
  <c r="AW1168" i="8"/>
  <c r="AU1168" i="8"/>
  <c r="BA1167" i="8"/>
  <c r="AZ1167" i="8"/>
  <c r="AY1167" i="8"/>
  <c r="AX1167" i="8"/>
  <c r="AW1167" i="8"/>
  <c r="AU1167" i="8"/>
  <c r="BA1166" i="8"/>
  <c r="AZ1166" i="8"/>
  <c r="AY1166" i="8"/>
  <c r="AX1166" i="8"/>
  <c r="AW1166" i="8"/>
  <c r="AU1166" i="8"/>
  <c r="BA1165" i="8"/>
  <c r="AZ1165" i="8"/>
  <c r="AY1165" i="8"/>
  <c r="AX1165" i="8"/>
  <c r="AW1165" i="8"/>
  <c r="AU1165" i="8"/>
  <c r="BA1164" i="8"/>
  <c r="AZ1164" i="8"/>
  <c r="AY1164" i="8"/>
  <c r="AX1164" i="8"/>
  <c r="AW1164" i="8"/>
  <c r="AU1164" i="8"/>
  <c r="BA1163" i="8"/>
  <c r="AZ1163" i="8"/>
  <c r="AY1163" i="8"/>
  <c r="AX1163" i="8"/>
  <c r="AW1163" i="8"/>
  <c r="AV1163" i="8"/>
  <c r="AU1163" i="8"/>
  <c r="BA1162" i="8"/>
  <c r="AZ1162" i="8"/>
  <c r="AY1162" i="8"/>
  <c r="AX1162" i="8"/>
  <c r="AW1162" i="8"/>
  <c r="AV1162" i="8"/>
  <c r="AU1162" i="8"/>
  <c r="BA1161" i="8"/>
  <c r="AZ1161" i="8"/>
  <c r="AY1161" i="8"/>
  <c r="AX1161" i="8"/>
  <c r="AW1161" i="8"/>
  <c r="AV1161" i="8"/>
  <c r="AU1161" i="8"/>
  <c r="BA1160" i="8"/>
  <c r="AZ1160" i="8"/>
  <c r="AY1160" i="8"/>
  <c r="AX1160" i="8"/>
  <c r="AW1160" i="8"/>
  <c r="AV1160" i="8"/>
  <c r="AU1160" i="8"/>
  <c r="BA1159" i="8"/>
  <c r="AZ1159" i="8"/>
  <c r="AY1159" i="8"/>
  <c r="AX1159" i="8"/>
  <c r="AW1159" i="8"/>
  <c r="AV1159" i="8"/>
  <c r="AU1159" i="8"/>
  <c r="BA1158" i="8"/>
  <c r="AZ1158" i="8"/>
  <c r="AY1158" i="8"/>
  <c r="AX1158" i="8"/>
  <c r="AW1158" i="8"/>
  <c r="AV1158" i="8"/>
  <c r="AU1158" i="8"/>
  <c r="BA1157" i="8"/>
  <c r="AZ1157" i="8"/>
  <c r="AY1157" i="8"/>
  <c r="AX1157" i="8"/>
  <c r="AW1157" i="8"/>
  <c r="AV1157" i="8"/>
  <c r="AU1157" i="8"/>
  <c r="BA1156" i="8"/>
  <c r="AZ1156" i="8"/>
  <c r="AY1156" i="8"/>
  <c r="AX1156" i="8"/>
  <c r="AW1156" i="8"/>
  <c r="AV1156" i="8"/>
  <c r="AU1156" i="8"/>
  <c r="BA1155" i="8"/>
  <c r="AZ1155" i="8"/>
  <c r="AY1155" i="8"/>
  <c r="AX1155" i="8"/>
  <c r="AW1155" i="8"/>
  <c r="AV1155" i="8"/>
  <c r="AU1155" i="8"/>
  <c r="BA1154" i="8"/>
  <c r="AZ1154" i="8"/>
  <c r="AY1154" i="8"/>
  <c r="AX1154" i="8"/>
  <c r="AW1154" i="8"/>
  <c r="AV1154" i="8"/>
  <c r="AU1154" i="8"/>
  <c r="BA1153" i="8"/>
  <c r="AZ1153" i="8"/>
  <c r="AY1153" i="8"/>
  <c r="AX1153" i="8"/>
  <c r="AW1153" i="8"/>
  <c r="AV1153" i="8"/>
  <c r="AU1153" i="8"/>
  <c r="BA1152" i="8"/>
  <c r="AZ1152" i="8"/>
  <c r="AY1152" i="8"/>
  <c r="AX1152" i="8"/>
  <c r="AW1152" i="8"/>
  <c r="AV1152" i="8"/>
  <c r="AU1152" i="8"/>
  <c r="BA1151" i="8"/>
  <c r="AZ1151" i="8"/>
  <c r="AY1151" i="8"/>
  <c r="AX1151" i="8"/>
  <c r="AW1151" i="8"/>
  <c r="AV1151" i="8"/>
  <c r="AU1151" i="8"/>
  <c r="BA1150" i="8"/>
  <c r="AZ1150" i="8"/>
  <c r="AY1150" i="8"/>
  <c r="AX1150" i="8"/>
  <c r="AW1150" i="8"/>
  <c r="AV1150" i="8"/>
  <c r="AU1150" i="8"/>
  <c r="BA1149" i="8"/>
  <c r="AZ1149" i="8"/>
  <c r="AY1149" i="8"/>
  <c r="AX1149" i="8"/>
  <c r="AW1149" i="8"/>
  <c r="AV1149" i="8"/>
  <c r="AU1149" i="8"/>
  <c r="BA1148" i="8"/>
  <c r="AZ1148" i="8"/>
  <c r="AY1148" i="8"/>
  <c r="AX1148" i="8"/>
  <c r="AW1148" i="8"/>
  <c r="AV1148" i="8"/>
  <c r="AU1148" i="8"/>
  <c r="BA1147" i="8"/>
  <c r="AZ1147" i="8"/>
  <c r="AY1147" i="8"/>
  <c r="AX1147" i="8"/>
  <c r="AW1147" i="8"/>
  <c r="AV1147" i="8"/>
  <c r="AU1147" i="8"/>
  <c r="BA1146" i="8"/>
  <c r="AZ1146" i="8"/>
  <c r="AY1146" i="8"/>
  <c r="AX1146" i="8"/>
  <c r="AW1146" i="8"/>
  <c r="AV1146" i="8"/>
  <c r="AU1146" i="8"/>
  <c r="BA1145" i="8"/>
  <c r="AZ1145" i="8"/>
  <c r="AY1145" i="8"/>
  <c r="AX1145" i="8"/>
  <c r="AW1145" i="8"/>
  <c r="AV1145" i="8"/>
  <c r="AU1145" i="8"/>
  <c r="BA1144" i="8"/>
  <c r="AZ1144" i="8"/>
  <c r="AY1144" i="8"/>
  <c r="AX1144" i="8"/>
  <c r="AW1144" i="8"/>
  <c r="AV1144" i="8"/>
  <c r="AU1144" i="8"/>
  <c r="BA1143" i="8"/>
  <c r="AZ1143" i="8"/>
  <c r="AY1143" i="8"/>
  <c r="AX1143" i="8"/>
  <c r="AW1143" i="8"/>
  <c r="AV1143" i="8"/>
  <c r="AU1143" i="8"/>
  <c r="BA1142" i="8"/>
  <c r="AZ1142" i="8"/>
  <c r="AY1142" i="8"/>
  <c r="AX1142" i="8"/>
  <c r="AW1142" i="8"/>
  <c r="AV1142" i="8"/>
  <c r="AU1142" i="8"/>
  <c r="BA1141" i="8"/>
  <c r="AZ1141" i="8"/>
  <c r="AY1141" i="8"/>
  <c r="AX1141" i="8"/>
  <c r="AW1141" i="8"/>
  <c r="AV1141" i="8"/>
  <c r="AU1141" i="8"/>
  <c r="BA1140" i="8"/>
  <c r="AZ1140" i="8"/>
  <c r="AY1140" i="8"/>
  <c r="AX1140" i="8"/>
  <c r="AW1140" i="8"/>
  <c r="AV1140" i="8"/>
  <c r="AU1140" i="8"/>
  <c r="BA1139" i="8"/>
  <c r="AZ1139" i="8"/>
  <c r="AY1139" i="8"/>
  <c r="AX1139" i="8"/>
  <c r="AW1139" i="8"/>
  <c r="AV1139" i="8"/>
  <c r="AU1139" i="8"/>
  <c r="BA1138" i="8"/>
  <c r="AZ1138" i="8"/>
  <c r="AY1138" i="8"/>
  <c r="AX1138" i="8"/>
  <c r="AW1138" i="8"/>
  <c r="AV1138" i="8"/>
  <c r="AU1138" i="8"/>
  <c r="BA1137" i="8"/>
  <c r="AZ1137" i="8"/>
  <c r="AY1137" i="8"/>
  <c r="AX1137" i="8"/>
  <c r="AW1137" i="8"/>
  <c r="AV1137" i="8"/>
  <c r="AU1137" i="8"/>
  <c r="BA1136" i="8"/>
  <c r="AZ1136" i="8"/>
  <c r="AY1136" i="8"/>
  <c r="AX1136" i="8"/>
  <c r="AW1136" i="8"/>
  <c r="AV1136" i="8"/>
  <c r="AU1136" i="8"/>
  <c r="BA1135" i="8"/>
  <c r="AZ1135" i="8"/>
  <c r="AY1135" i="8"/>
  <c r="AX1135" i="8"/>
  <c r="AW1135" i="8"/>
  <c r="AV1135" i="8"/>
  <c r="AU1135" i="8"/>
  <c r="BA1134" i="8"/>
  <c r="AZ1134" i="8"/>
  <c r="AY1134" i="8"/>
  <c r="AX1134" i="8"/>
  <c r="AW1134" i="8"/>
  <c r="AV1134" i="8"/>
  <c r="AU1134" i="8"/>
  <c r="BA1133" i="8"/>
  <c r="AZ1133" i="8"/>
  <c r="AY1133" i="8"/>
  <c r="AX1133" i="8"/>
  <c r="AW1133" i="8"/>
  <c r="AV1133" i="8"/>
  <c r="AU1133" i="8"/>
  <c r="BA1132" i="8"/>
  <c r="AZ1132" i="8"/>
  <c r="AY1132" i="8"/>
  <c r="AX1132" i="8"/>
  <c r="AW1132" i="8"/>
  <c r="AV1132" i="8"/>
  <c r="AU1132" i="8"/>
  <c r="BA1131" i="8"/>
  <c r="AZ1131" i="8"/>
  <c r="AY1131" i="8"/>
  <c r="AX1131" i="8"/>
  <c r="AW1131" i="8"/>
  <c r="AV1131" i="8"/>
  <c r="AU1131" i="8"/>
  <c r="BA1130" i="8"/>
  <c r="AZ1130" i="8"/>
  <c r="AY1130" i="8"/>
  <c r="AX1130" i="8"/>
  <c r="AW1130" i="8"/>
  <c r="AV1130" i="8"/>
  <c r="AU1130" i="8"/>
  <c r="BA1129" i="8"/>
  <c r="AZ1129" i="8"/>
  <c r="AY1129" i="8"/>
  <c r="AX1129" i="8"/>
  <c r="AW1129" i="8"/>
  <c r="AV1129" i="8"/>
  <c r="AU1129" i="8"/>
  <c r="BA1128" i="8"/>
  <c r="AZ1128" i="8"/>
  <c r="AY1128" i="8"/>
  <c r="AX1128" i="8"/>
  <c r="AW1128" i="8"/>
  <c r="AV1128" i="8"/>
  <c r="AU1128" i="8"/>
  <c r="BA1127" i="8"/>
  <c r="AZ1127" i="8"/>
  <c r="AY1127" i="8"/>
  <c r="AX1127" i="8"/>
  <c r="AW1127" i="8"/>
  <c r="AV1127" i="8"/>
  <c r="AU1127" i="8"/>
  <c r="BA1126" i="8"/>
  <c r="AZ1126" i="8"/>
  <c r="AY1126" i="8"/>
  <c r="AX1126" i="8"/>
  <c r="AW1126" i="8"/>
  <c r="AV1126" i="8"/>
  <c r="AU1126" i="8"/>
  <c r="BA1125" i="8"/>
  <c r="AZ1125" i="8"/>
  <c r="AY1125" i="8"/>
  <c r="AX1125" i="8"/>
  <c r="AW1125" i="8"/>
  <c r="AV1125" i="8"/>
  <c r="AU1125" i="8"/>
  <c r="BA1124" i="8"/>
  <c r="AZ1124" i="8"/>
  <c r="AY1124" i="8"/>
  <c r="AX1124" i="8"/>
  <c r="AW1124" i="8"/>
  <c r="AV1124" i="8"/>
  <c r="AU1124" i="8"/>
  <c r="BA1123" i="8"/>
  <c r="AZ1123" i="8"/>
  <c r="AY1123" i="8"/>
  <c r="AX1123" i="8"/>
  <c r="AW1123" i="8"/>
  <c r="AV1123" i="8"/>
  <c r="AU1123" i="8"/>
  <c r="BA1122" i="8"/>
  <c r="AZ1122" i="8"/>
  <c r="AY1122" i="8"/>
  <c r="AX1122" i="8"/>
  <c r="AW1122" i="8"/>
  <c r="AV1122" i="8"/>
  <c r="AU1122" i="8"/>
  <c r="BA1121" i="8"/>
  <c r="AZ1121" i="8"/>
  <c r="AY1121" i="8"/>
  <c r="AX1121" i="8"/>
  <c r="AW1121" i="8"/>
  <c r="AV1121" i="8"/>
  <c r="AU1121" i="8"/>
  <c r="BA1120" i="8"/>
  <c r="AZ1120" i="8"/>
  <c r="AY1120" i="8"/>
  <c r="AX1120" i="8"/>
  <c r="AW1120" i="8"/>
  <c r="AV1120" i="8"/>
  <c r="AU1120" i="8"/>
  <c r="BA1119" i="8"/>
  <c r="AZ1119" i="8"/>
  <c r="AY1119" i="8"/>
  <c r="AX1119" i="8"/>
  <c r="AW1119" i="8"/>
  <c r="AV1119" i="8"/>
  <c r="AU1119" i="8"/>
  <c r="BA1118" i="8"/>
  <c r="AZ1118" i="8"/>
  <c r="AY1118" i="8"/>
  <c r="AX1118" i="8"/>
  <c r="AW1118" i="8"/>
  <c r="AV1118" i="8"/>
  <c r="AU1118" i="8"/>
  <c r="BA1117" i="8"/>
  <c r="AZ1117" i="8"/>
  <c r="AY1117" i="8"/>
  <c r="AX1117" i="8"/>
  <c r="AW1117" i="8"/>
  <c r="AV1117" i="8"/>
  <c r="AU1117" i="8"/>
  <c r="BA1116" i="8"/>
  <c r="AZ1116" i="8"/>
  <c r="AY1116" i="8"/>
  <c r="AX1116" i="8"/>
  <c r="AW1116" i="8"/>
  <c r="AV1116" i="8"/>
  <c r="AU1116" i="8"/>
  <c r="BA1115" i="8"/>
  <c r="AZ1115" i="8"/>
  <c r="AY1115" i="8"/>
  <c r="AX1115" i="8"/>
  <c r="AW1115" i="8"/>
  <c r="AV1115" i="8"/>
  <c r="AU1115" i="8"/>
  <c r="BA1114" i="8"/>
  <c r="AZ1114" i="8"/>
  <c r="AY1114" i="8"/>
  <c r="AX1114" i="8"/>
  <c r="AW1114" i="8"/>
  <c r="AV1114" i="8"/>
  <c r="AU1114" i="8"/>
  <c r="BA1113" i="8"/>
  <c r="AZ1113" i="8"/>
  <c r="AY1113" i="8"/>
  <c r="AX1113" i="8"/>
  <c r="AW1113" i="8"/>
  <c r="AV1113" i="8"/>
  <c r="AU1113" i="8"/>
  <c r="BA1112" i="8"/>
  <c r="AZ1112" i="8"/>
  <c r="AY1112" i="8"/>
  <c r="AX1112" i="8"/>
  <c r="AW1112" i="8"/>
  <c r="AV1112" i="8"/>
  <c r="AU1112" i="8"/>
  <c r="BA1111" i="8"/>
  <c r="AZ1111" i="8"/>
  <c r="AY1111" i="8"/>
  <c r="AX1111" i="8"/>
  <c r="AW1111" i="8"/>
  <c r="AV1111" i="8"/>
  <c r="AU1111" i="8"/>
  <c r="BA1110" i="8"/>
  <c r="AZ1110" i="8"/>
  <c r="AY1110" i="8"/>
  <c r="AX1110" i="8"/>
  <c r="AW1110" i="8"/>
  <c r="AV1110" i="8"/>
  <c r="AU1110" i="8"/>
  <c r="BA1109" i="8"/>
  <c r="AZ1109" i="8"/>
  <c r="AY1109" i="8"/>
  <c r="AX1109" i="8"/>
  <c r="AW1109" i="8"/>
  <c r="AV1109" i="8"/>
  <c r="AU1109" i="8"/>
  <c r="BA1108" i="8"/>
  <c r="AZ1108" i="8"/>
  <c r="AY1108" i="8"/>
  <c r="AX1108" i="8"/>
  <c r="AW1108" i="8"/>
  <c r="AV1108" i="8"/>
  <c r="AU1108" i="8"/>
  <c r="BA1107" i="8"/>
  <c r="AZ1107" i="8"/>
  <c r="AY1107" i="8"/>
  <c r="AX1107" i="8"/>
  <c r="AW1107" i="8"/>
  <c r="AV1107" i="8"/>
  <c r="AU1107" i="8"/>
  <c r="BA1106" i="8"/>
  <c r="AZ1106" i="8"/>
  <c r="AY1106" i="8"/>
  <c r="AX1106" i="8"/>
  <c r="AW1106" i="8"/>
  <c r="AV1106" i="8"/>
  <c r="AU1106" i="8"/>
  <c r="BA1105" i="8"/>
  <c r="AZ1105" i="8"/>
  <c r="AY1105" i="8"/>
  <c r="AX1105" i="8"/>
  <c r="AW1105" i="8"/>
  <c r="AV1105" i="8"/>
  <c r="AU1105" i="8"/>
  <c r="BA1104" i="8"/>
  <c r="AZ1104" i="8"/>
  <c r="AY1104" i="8"/>
  <c r="AX1104" i="8"/>
  <c r="AW1104" i="8"/>
  <c r="AV1104" i="8"/>
  <c r="AU1104" i="8"/>
  <c r="BA1103" i="8"/>
  <c r="AZ1103" i="8"/>
  <c r="AY1103" i="8"/>
  <c r="AX1103" i="8"/>
  <c r="AW1103" i="8"/>
  <c r="AV1103" i="8"/>
  <c r="AU1103" i="8"/>
  <c r="BA1102" i="8"/>
  <c r="AZ1102" i="8"/>
  <c r="AY1102" i="8"/>
  <c r="AX1102" i="8"/>
  <c r="AW1102" i="8"/>
  <c r="AV1102" i="8"/>
  <c r="AU1102" i="8"/>
  <c r="BA1101" i="8"/>
  <c r="AZ1101" i="8"/>
  <c r="AY1101" i="8"/>
  <c r="AX1101" i="8"/>
  <c r="AW1101" i="8"/>
  <c r="AV1101" i="8"/>
  <c r="AU1101" i="8"/>
  <c r="BA1100" i="8"/>
  <c r="AZ1100" i="8"/>
  <c r="AY1100" i="8"/>
  <c r="AX1100" i="8"/>
  <c r="AW1100" i="8"/>
  <c r="AV1100" i="8"/>
  <c r="AU1100" i="8"/>
  <c r="BA1099" i="8"/>
  <c r="AZ1099" i="8"/>
  <c r="AY1099" i="8"/>
  <c r="AX1099" i="8"/>
  <c r="AW1099" i="8"/>
  <c r="AV1099" i="8"/>
  <c r="AU1099" i="8"/>
  <c r="BA1098" i="8"/>
  <c r="AZ1098" i="8"/>
  <c r="AY1098" i="8"/>
  <c r="AX1098" i="8"/>
  <c r="AW1098" i="8"/>
  <c r="AV1098" i="8"/>
  <c r="AU1098" i="8"/>
  <c r="BA1097" i="8"/>
  <c r="AZ1097" i="8"/>
  <c r="AY1097" i="8"/>
  <c r="AX1097" i="8"/>
  <c r="AW1097" i="8"/>
  <c r="AV1097" i="8"/>
  <c r="AU1097" i="8"/>
  <c r="BA1096" i="8"/>
  <c r="AZ1096" i="8"/>
  <c r="AY1096" i="8"/>
  <c r="AX1096" i="8"/>
  <c r="AW1096" i="8"/>
  <c r="AV1096" i="8"/>
  <c r="AU1096" i="8"/>
  <c r="BA1095" i="8"/>
  <c r="AZ1095" i="8"/>
  <c r="AY1095" i="8"/>
  <c r="AX1095" i="8"/>
  <c r="AW1095" i="8"/>
  <c r="AV1095" i="8"/>
  <c r="AU1095" i="8"/>
  <c r="BA1094" i="8"/>
  <c r="AZ1094" i="8"/>
  <c r="AY1094" i="8"/>
  <c r="AX1094" i="8"/>
  <c r="AW1094" i="8"/>
  <c r="AV1094" i="8"/>
  <c r="AU1094" i="8"/>
  <c r="BA1093" i="8"/>
  <c r="AZ1093" i="8"/>
  <c r="AY1093" i="8"/>
  <c r="AX1093" i="8"/>
  <c r="AW1093" i="8"/>
  <c r="AV1093" i="8"/>
  <c r="AU1093" i="8"/>
  <c r="BA1092" i="8"/>
  <c r="AZ1092" i="8"/>
  <c r="AY1092" i="8"/>
  <c r="AX1092" i="8"/>
  <c r="AW1092" i="8"/>
  <c r="AV1092" i="8"/>
  <c r="AU1092" i="8"/>
  <c r="BA1091" i="8"/>
  <c r="AZ1091" i="8"/>
  <c r="AY1091" i="8"/>
  <c r="AX1091" i="8"/>
  <c r="AW1091" i="8"/>
  <c r="AU1091" i="8"/>
  <c r="BA1090" i="8"/>
  <c r="AZ1090" i="8"/>
  <c r="AY1090" i="8"/>
  <c r="AX1090" i="8"/>
  <c r="AW1090" i="8"/>
  <c r="AU1090" i="8"/>
  <c r="BA1089" i="8"/>
  <c r="AZ1089" i="8"/>
  <c r="AY1089" i="8"/>
  <c r="AX1089" i="8"/>
  <c r="AW1089" i="8"/>
  <c r="AU1089" i="8"/>
  <c r="BA1088" i="8"/>
  <c r="AZ1088" i="8"/>
  <c r="AY1088" i="8"/>
  <c r="AX1088" i="8"/>
  <c r="AW1088" i="8"/>
  <c r="AU1088" i="8"/>
  <c r="BA1087" i="8"/>
  <c r="AZ1087" i="8"/>
  <c r="AY1087" i="8"/>
  <c r="AX1087" i="8"/>
  <c r="AW1087" i="8"/>
  <c r="AU1087" i="8"/>
  <c r="BA1086" i="8"/>
  <c r="AZ1086" i="8"/>
  <c r="AY1086" i="8"/>
  <c r="AX1086" i="8"/>
  <c r="AW1086" i="8"/>
  <c r="AU1086" i="8"/>
  <c r="BA1085" i="8"/>
  <c r="AZ1085" i="8"/>
  <c r="AY1085" i="8"/>
  <c r="AX1085" i="8"/>
  <c r="AW1085" i="8"/>
  <c r="AU1085" i="8"/>
  <c r="BA1084" i="8"/>
  <c r="AZ1084" i="8"/>
  <c r="AY1084" i="8"/>
  <c r="AX1084" i="8"/>
  <c r="AW1084" i="8"/>
  <c r="AU1084" i="8"/>
  <c r="BA1083" i="8"/>
  <c r="AZ1083" i="8"/>
  <c r="AY1083" i="8"/>
  <c r="AX1083" i="8"/>
  <c r="AW1083" i="8"/>
  <c r="AU1083" i="8"/>
  <c r="BA1082" i="8"/>
  <c r="AZ1082" i="8"/>
  <c r="AY1082" i="8"/>
  <c r="AX1082" i="8"/>
  <c r="AW1082" i="8"/>
  <c r="AU1082" i="8"/>
  <c r="BA1081" i="8"/>
  <c r="AZ1081" i="8"/>
  <c r="AY1081" i="8"/>
  <c r="AX1081" i="8"/>
  <c r="AW1081" i="8"/>
  <c r="AU1081" i="8"/>
  <c r="BA1080" i="8"/>
  <c r="AZ1080" i="8"/>
  <c r="AY1080" i="8"/>
  <c r="AX1080" i="8"/>
  <c r="AW1080" i="8"/>
  <c r="AU1080" i="8"/>
  <c r="BA1079" i="8"/>
  <c r="AZ1079" i="8"/>
  <c r="AY1079" i="8"/>
  <c r="AX1079" i="8"/>
  <c r="AW1079" i="8"/>
  <c r="AU1079" i="8"/>
  <c r="BA1078" i="8"/>
  <c r="AZ1078" i="8"/>
  <c r="AY1078" i="8"/>
  <c r="AX1078" i="8"/>
  <c r="AW1078" i="8"/>
  <c r="AU1078" i="8"/>
  <c r="BA1077" i="8"/>
  <c r="AZ1077" i="8"/>
  <c r="AY1077" i="8"/>
  <c r="AX1077" i="8"/>
  <c r="AW1077" i="8"/>
  <c r="AU1077" i="8"/>
  <c r="BA1076" i="8"/>
  <c r="AZ1076" i="8"/>
  <c r="AY1076" i="8"/>
  <c r="AX1076" i="8"/>
  <c r="AW1076" i="8"/>
  <c r="AU1076" i="8"/>
  <c r="BA1075" i="8"/>
  <c r="AZ1075" i="8"/>
  <c r="AY1075" i="8"/>
  <c r="AX1075" i="8"/>
  <c r="AW1075" i="8"/>
  <c r="AU1075" i="8"/>
  <c r="BA1074" i="8"/>
  <c r="AZ1074" i="8"/>
  <c r="AY1074" i="8"/>
  <c r="AX1074" i="8"/>
  <c r="AW1074" i="8"/>
  <c r="AU1074" i="8"/>
  <c r="BA1073" i="8"/>
  <c r="AZ1073" i="8"/>
  <c r="AY1073" i="8"/>
  <c r="AX1073" i="8"/>
  <c r="AW1073" i="8"/>
  <c r="AU1073" i="8"/>
  <c r="BA1072" i="8"/>
  <c r="AZ1072" i="8"/>
  <c r="AY1072" i="8"/>
  <c r="AX1072" i="8"/>
  <c r="AW1072" i="8"/>
  <c r="AU1072" i="8"/>
  <c r="BA1071" i="8"/>
  <c r="AZ1071" i="8"/>
  <c r="AY1071" i="8"/>
  <c r="AX1071" i="8"/>
  <c r="AW1071" i="8"/>
  <c r="AU1071" i="8"/>
  <c r="BA1070" i="8"/>
  <c r="AZ1070" i="8"/>
  <c r="AY1070" i="8"/>
  <c r="AX1070" i="8"/>
  <c r="AW1070" i="8"/>
  <c r="AU1070" i="8"/>
  <c r="BA1069" i="8"/>
  <c r="AZ1069" i="8"/>
  <c r="AY1069" i="8"/>
  <c r="AX1069" i="8"/>
  <c r="AW1069" i="8"/>
  <c r="AU1069" i="8"/>
  <c r="BA1068" i="8"/>
  <c r="AZ1068" i="8"/>
  <c r="AY1068" i="8"/>
  <c r="AX1068" i="8"/>
  <c r="AW1068" i="8"/>
  <c r="AU1068" i="8"/>
  <c r="BA1067" i="8"/>
  <c r="AZ1067" i="8"/>
  <c r="AY1067" i="8"/>
  <c r="AX1067" i="8"/>
  <c r="AW1067" i="8"/>
  <c r="AU1067" i="8"/>
  <c r="BA1066" i="8"/>
  <c r="AZ1066" i="8"/>
  <c r="AY1066" i="8"/>
  <c r="AX1066" i="8"/>
  <c r="AW1066" i="8"/>
  <c r="AU1066" i="8"/>
  <c r="BA1065" i="8"/>
  <c r="AZ1065" i="8"/>
  <c r="AY1065" i="8"/>
  <c r="AX1065" i="8"/>
  <c r="AW1065" i="8"/>
  <c r="AU1065" i="8"/>
  <c r="BA1064" i="8"/>
  <c r="AZ1064" i="8"/>
  <c r="AY1064" i="8"/>
  <c r="AX1064" i="8"/>
  <c r="AW1064" i="8"/>
  <c r="AU1064" i="8"/>
  <c r="BA1063" i="8"/>
  <c r="AZ1063" i="8"/>
  <c r="AY1063" i="8"/>
  <c r="AX1063" i="8"/>
  <c r="AW1063" i="8"/>
  <c r="AU1063" i="8"/>
  <c r="BA1062" i="8"/>
  <c r="AZ1062" i="8"/>
  <c r="AY1062" i="8"/>
  <c r="AX1062" i="8"/>
  <c r="AW1062" i="8"/>
  <c r="AU1062" i="8"/>
  <c r="BA1061" i="8"/>
  <c r="AZ1061" i="8"/>
  <c r="AY1061" i="8"/>
  <c r="AX1061" i="8"/>
  <c r="AW1061" i="8"/>
  <c r="AU1061" i="8"/>
  <c r="BA1060" i="8"/>
  <c r="AZ1060" i="8"/>
  <c r="AY1060" i="8"/>
  <c r="AX1060" i="8"/>
  <c r="AW1060" i="8"/>
  <c r="AU1060" i="8"/>
  <c r="BA1059" i="8"/>
  <c r="AZ1059" i="8"/>
  <c r="AY1059" i="8"/>
  <c r="AX1059" i="8"/>
  <c r="AW1059" i="8"/>
  <c r="AU1059" i="8"/>
  <c r="BA1058" i="8"/>
  <c r="AZ1058" i="8"/>
  <c r="AY1058" i="8"/>
  <c r="AX1058" i="8"/>
  <c r="AW1058" i="8"/>
  <c r="AU1058" i="8"/>
  <c r="BA1057" i="8"/>
  <c r="AZ1057" i="8"/>
  <c r="AY1057" i="8"/>
  <c r="AX1057" i="8"/>
  <c r="AW1057" i="8"/>
  <c r="AU1057" i="8"/>
  <c r="BA1056" i="8"/>
  <c r="AZ1056" i="8"/>
  <c r="AY1056" i="8"/>
  <c r="AX1056" i="8"/>
  <c r="AW1056" i="8"/>
  <c r="AU1056" i="8"/>
  <c r="BA1055" i="8"/>
  <c r="AZ1055" i="8"/>
  <c r="AY1055" i="8"/>
  <c r="AX1055" i="8"/>
  <c r="AW1055" i="8"/>
  <c r="AU1055" i="8"/>
  <c r="BA1054" i="8"/>
  <c r="AZ1054" i="8"/>
  <c r="AY1054" i="8"/>
  <c r="AX1054" i="8"/>
  <c r="AW1054" i="8"/>
  <c r="AU1054" i="8"/>
  <c r="BA1053" i="8"/>
  <c r="AZ1053" i="8"/>
  <c r="AY1053" i="8"/>
  <c r="AX1053" i="8"/>
  <c r="AW1053" i="8"/>
  <c r="AU1053" i="8"/>
  <c r="BA1052" i="8"/>
  <c r="AZ1052" i="8"/>
  <c r="AY1052" i="8"/>
  <c r="AX1052" i="8"/>
  <c r="AW1052" i="8"/>
  <c r="AU1052" i="8"/>
  <c r="BA1051" i="8"/>
  <c r="AZ1051" i="8"/>
  <c r="AY1051" i="8"/>
  <c r="AX1051" i="8"/>
  <c r="AW1051" i="8"/>
  <c r="AU1051" i="8"/>
  <c r="BA1050" i="8"/>
  <c r="AZ1050" i="8"/>
  <c r="AY1050" i="8"/>
  <c r="AX1050" i="8"/>
  <c r="AW1050" i="8"/>
  <c r="AU1050" i="8"/>
  <c r="BA1049" i="8"/>
  <c r="AZ1049" i="8"/>
  <c r="AY1049" i="8"/>
  <c r="AX1049" i="8"/>
  <c r="AW1049" i="8"/>
  <c r="AU1049" i="8"/>
  <c r="BA1048" i="8"/>
  <c r="AZ1048" i="8"/>
  <c r="AY1048" i="8"/>
  <c r="AX1048" i="8"/>
  <c r="AW1048" i="8"/>
  <c r="AU1048" i="8"/>
  <c r="BA1047" i="8"/>
  <c r="AZ1047" i="8"/>
  <c r="AY1047" i="8"/>
  <c r="AX1047" i="8"/>
  <c r="AW1047" i="8"/>
  <c r="AU1047" i="8"/>
  <c r="BA1046" i="8"/>
  <c r="AZ1046" i="8"/>
  <c r="AY1046" i="8"/>
  <c r="AX1046" i="8"/>
  <c r="AW1046" i="8"/>
  <c r="AU1046" i="8"/>
  <c r="BA1045" i="8"/>
  <c r="AZ1045" i="8"/>
  <c r="AY1045" i="8"/>
  <c r="AX1045" i="8"/>
  <c r="AW1045" i="8"/>
  <c r="AU1045" i="8"/>
  <c r="BA1044" i="8"/>
  <c r="AZ1044" i="8"/>
  <c r="AY1044" i="8"/>
  <c r="AX1044" i="8"/>
  <c r="AW1044" i="8"/>
  <c r="AU1044" i="8"/>
  <c r="BA1043" i="8"/>
  <c r="AZ1043" i="8"/>
  <c r="AY1043" i="8"/>
  <c r="AX1043" i="8"/>
  <c r="AW1043" i="8"/>
  <c r="AU1043" i="8"/>
  <c r="BA1042" i="8"/>
  <c r="AZ1042" i="8"/>
  <c r="AY1042" i="8"/>
  <c r="AX1042" i="8"/>
  <c r="AW1042" i="8"/>
  <c r="AU1042" i="8"/>
  <c r="BA1041" i="8"/>
  <c r="AZ1041" i="8"/>
  <c r="AY1041" i="8"/>
  <c r="AX1041" i="8"/>
  <c r="AW1041" i="8"/>
  <c r="AU1041" i="8"/>
  <c r="BA1040" i="8"/>
  <c r="AZ1040" i="8"/>
  <c r="AY1040" i="8"/>
  <c r="AX1040" i="8"/>
  <c r="AW1040" i="8"/>
  <c r="AU1040" i="8"/>
  <c r="BA1039" i="8"/>
  <c r="AZ1039" i="8"/>
  <c r="AY1039" i="8"/>
  <c r="AX1039" i="8"/>
  <c r="AW1039" i="8"/>
  <c r="AU1039" i="8"/>
  <c r="BA1038" i="8"/>
  <c r="AZ1038" i="8"/>
  <c r="AY1038" i="8"/>
  <c r="AX1038" i="8"/>
  <c r="AW1038" i="8"/>
  <c r="AU1038" i="8"/>
  <c r="BA1037" i="8"/>
  <c r="AZ1037" i="8"/>
  <c r="AY1037" i="8"/>
  <c r="AX1037" i="8"/>
  <c r="AW1037" i="8"/>
  <c r="AU1037" i="8"/>
  <c r="BA1036" i="8"/>
  <c r="AZ1036" i="8"/>
  <c r="AY1036" i="8"/>
  <c r="AX1036" i="8"/>
  <c r="AW1036" i="8"/>
  <c r="AU1036" i="8"/>
  <c r="BA1035" i="8"/>
  <c r="AZ1035" i="8"/>
  <c r="AY1035" i="8"/>
  <c r="AX1035" i="8"/>
  <c r="AW1035" i="8"/>
  <c r="AU1035" i="8"/>
  <c r="BA1034" i="8"/>
  <c r="AZ1034" i="8"/>
  <c r="AY1034" i="8"/>
  <c r="AX1034" i="8"/>
  <c r="AW1034" i="8"/>
  <c r="AU1034" i="8"/>
  <c r="BA1033" i="8"/>
  <c r="AZ1033" i="8"/>
  <c r="AY1033" i="8"/>
  <c r="AX1033" i="8"/>
  <c r="AW1033" i="8"/>
  <c r="AU1033" i="8"/>
  <c r="BA1032" i="8"/>
  <c r="AZ1032" i="8"/>
  <c r="AY1032" i="8"/>
  <c r="AX1032" i="8"/>
  <c r="AW1032" i="8"/>
  <c r="AU1032" i="8"/>
  <c r="BA1031" i="8"/>
  <c r="AZ1031" i="8"/>
  <c r="AY1031" i="8"/>
  <c r="AX1031" i="8"/>
  <c r="AW1031" i="8"/>
  <c r="AU1031" i="8"/>
  <c r="BA1030" i="8"/>
  <c r="AZ1030" i="8"/>
  <c r="AY1030" i="8"/>
  <c r="AX1030" i="8"/>
  <c r="AW1030" i="8"/>
  <c r="AU1030" i="8"/>
  <c r="BA1029" i="8"/>
  <c r="AZ1029" i="8"/>
  <c r="AY1029" i="8"/>
  <c r="AX1029" i="8"/>
  <c r="AW1029" i="8"/>
  <c r="AU1029" i="8"/>
  <c r="BA1028" i="8"/>
  <c r="AZ1028" i="8"/>
  <c r="AY1028" i="8"/>
  <c r="AX1028" i="8"/>
  <c r="AW1028" i="8"/>
  <c r="AU1028" i="8"/>
  <c r="BA1027" i="8"/>
  <c r="AZ1027" i="8"/>
  <c r="AY1027" i="8"/>
  <c r="AX1027" i="8"/>
  <c r="AW1027" i="8"/>
  <c r="AU1027" i="8"/>
  <c r="BA1026" i="8"/>
  <c r="AZ1026" i="8"/>
  <c r="AY1026" i="8"/>
  <c r="AX1026" i="8"/>
  <c r="AW1026" i="8"/>
  <c r="AU1026" i="8"/>
  <c r="BA1025" i="8"/>
  <c r="AZ1025" i="8"/>
  <c r="AY1025" i="8"/>
  <c r="AX1025" i="8"/>
  <c r="AW1025" i="8"/>
  <c r="AU1025" i="8"/>
  <c r="BA1024" i="8"/>
  <c r="AZ1024" i="8"/>
  <c r="AY1024" i="8"/>
  <c r="AX1024" i="8"/>
  <c r="AW1024" i="8"/>
  <c r="AU1024" i="8"/>
  <c r="BA1023" i="8"/>
  <c r="AZ1023" i="8"/>
  <c r="AY1023" i="8"/>
  <c r="AX1023" i="8"/>
  <c r="AW1023" i="8"/>
  <c r="AU1023" i="8"/>
  <c r="BA1022" i="8"/>
  <c r="AZ1022" i="8"/>
  <c r="AY1022" i="8"/>
  <c r="AX1022" i="8"/>
  <c r="AW1022" i="8"/>
  <c r="AU1022" i="8"/>
  <c r="BA1021" i="8"/>
  <c r="AZ1021" i="8"/>
  <c r="AY1021" i="8"/>
  <c r="AX1021" i="8"/>
  <c r="AW1021" i="8"/>
  <c r="AU1021" i="8"/>
  <c r="BA1020" i="8"/>
  <c r="AZ1020" i="8"/>
  <c r="AY1020" i="8"/>
  <c r="AX1020" i="8"/>
  <c r="AW1020" i="8"/>
  <c r="AU1020" i="8"/>
  <c r="BA1019" i="8"/>
  <c r="AZ1019" i="8"/>
  <c r="AY1019" i="8"/>
  <c r="AX1019" i="8"/>
  <c r="AW1019" i="8"/>
  <c r="AU1019" i="8"/>
  <c r="BA1018" i="8"/>
  <c r="AZ1018" i="8"/>
  <c r="AY1018" i="8"/>
  <c r="AX1018" i="8"/>
  <c r="AW1018" i="8"/>
  <c r="AU1018" i="8"/>
  <c r="BA1017" i="8"/>
  <c r="AZ1017" i="8"/>
  <c r="AY1017" i="8"/>
  <c r="AX1017" i="8"/>
  <c r="AW1017" i="8"/>
  <c r="AU1017" i="8"/>
  <c r="BA1016" i="8"/>
  <c r="AZ1016" i="8"/>
  <c r="AY1016" i="8"/>
  <c r="AX1016" i="8"/>
  <c r="AW1016" i="8"/>
  <c r="AU1016" i="8"/>
  <c r="BA1015" i="8"/>
  <c r="AZ1015" i="8"/>
  <c r="AY1015" i="8"/>
  <c r="AX1015" i="8"/>
  <c r="AW1015" i="8"/>
  <c r="AU1015" i="8"/>
  <c r="BA1014" i="8"/>
  <c r="AZ1014" i="8"/>
  <c r="AY1014" i="8"/>
  <c r="AX1014" i="8"/>
  <c r="AW1014" i="8"/>
  <c r="AU1014" i="8"/>
  <c r="BA1013" i="8"/>
  <c r="AZ1013" i="8"/>
  <c r="AY1013" i="8"/>
  <c r="AX1013" i="8"/>
  <c r="AW1013" i="8"/>
  <c r="AU1013" i="8"/>
  <c r="BA1012" i="8"/>
  <c r="AZ1012" i="8"/>
  <c r="AY1012" i="8"/>
  <c r="AX1012" i="8"/>
  <c r="AW1012" i="8"/>
  <c r="AU1012" i="8"/>
  <c r="BA1011" i="8"/>
  <c r="AZ1011" i="8"/>
  <c r="AY1011" i="8"/>
  <c r="AX1011" i="8"/>
  <c r="AW1011" i="8"/>
  <c r="AU1011" i="8"/>
  <c r="BA1010" i="8"/>
  <c r="AZ1010" i="8"/>
  <c r="AY1010" i="8"/>
  <c r="AX1010" i="8"/>
  <c r="AW1010" i="8"/>
  <c r="AU1010" i="8"/>
  <c r="BA1009" i="8"/>
  <c r="AZ1009" i="8"/>
  <c r="AY1009" i="8"/>
  <c r="AX1009" i="8"/>
  <c r="AW1009" i="8"/>
  <c r="AU1009" i="8"/>
  <c r="BA1008" i="8"/>
  <c r="AZ1008" i="8"/>
  <c r="AY1008" i="8"/>
  <c r="AX1008" i="8"/>
  <c r="AW1008" i="8"/>
  <c r="AU1008" i="8"/>
  <c r="BA1007" i="8"/>
  <c r="AZ1007" i="8"/>
  <c r="AY1007" i="8"/>
  <c r="AX1007" i="8"/>
  <c r="AW1007" i="8"/>
  <c r="AU1007" i="8"/>
  <c r="BA1006" i="8"/>
  <c r="AZ1006" i="8"/>
  <c r="AY1006" i="8"/>
  <c r="AX1006" i="8"/>
  <c r="AW1006" i="8"/>
  <c r="AU1006" i="8"/>
  <c r="BA1005" i="8"/>
  <c r="AZ1005" i="8"/>
  <c r="AY1005" i="8"/>
  <c r="AX1005" i="8"/>
  <c r="AW1005" i="8"/>
  <c r="AU1005" i="8"/>
  <c r="BA1004" i="8"/>
  <c r="AZ1004" i="8"/>
  <c r="AY1004" i="8"/>
  <c r="AX1004" i="8"/>
  <c r="AW1004" i="8"/>
  <c r="AU1004" i="8"/>
  <c r="BA1003" i="8"/>
  <c r="AZ1003" i="8"/>
  <c r="AY1003" i="8"/>
  <c r="AX1003" i="8"/>
  <c r="AW1003" i="8"/>
  <c r="AU1003" i="8"/>
  <c r="BA1002" i="8"/>
  <c r="AZ1002" i="8"/>
  <c r="AY1002" i="8"/>
  <c r="AX1002" i="8"/>
  <c r="AW1002" i="8"/>
  <c r="AU1002" i="8"/>
  <c r="BA1001" i="8"/>
  <c r="AZ1001" i="8"/>
  <c r="AY1001" i="8"/>
  <c r="AX1001" i="8"/>
  <c r="AW1001" i="8"/>
  <c r="AU1001" i="8"/>
  <c r="BA1000" i="8"/>
  <c r="AZ1000" i="8"/>
  <c r="AY1000" i="8"/>
  <c r="AX1000" i="8"/>
  <c r="AW1000" i="8"/>
  <c r="AU1000" i="8"/>
  <c r="BA999" i="8"/>
  <c r="AZ999" i="8"/>
  <c r="AY999" i="8"/>
  <c r="AX999" i="8"/>
  <c r="AW999" i="8"/>
  <c r="AU999" i="8"/>
  <c r="BA998" i="8"/>
  <c r="AZ998" i="8"/>
  <c r="AY998" i="8"/>
  <c r="AX998" i="8"/>
  <c r="AW998" i="8"/>
  <c r="AU998" i="8"/>
  <c r="BA997" i="8"/>
  <c r="AZ997" i="8"/>
  <c r="AY997" i="8"/>
  <c r="AX997" i="8"/>
  <c r="AW997" i="8"/>
  <c r="AU997" i="8"/>
  <c r="BA996" i="8"/>
  <c r="AZ996" i="8"/>
  <c r="AY996" i="8"/>
  <c r="AX996" i="8"/>
  <c r="AW996" i="8"/>
  <c r="AU996" i="8"/>
  <c r="BA995" i="8"/>
  <c r="AZ995" i="8"/>
  <c r="AY995" i="8"/>
  <c r="AX995" i="8"/>
  <c r="AW995" i="8"/>
  <c r="AU995" i="8"/>
  <c r="BA994" i="8"/>
  <c r="AZ994" i="8"/>
  <c r="AY994" i="8"/>
  <c r="AX994" i="8"/>
  <c r="AW994" i="8"/>
  <c r="AU994" i="8"/>
  <c r="BA993" i="8"/>
  <c r="AZ993" i="8"/>
  <c r="AY993" i="8"/>
  <c r="AX993" i="8"/>
  <c r="AW993" i="8"/>
  <c r="AU993" i="8"/>
  <c r="BA992" i="8"/>
  <c r="AZ992" i="8"/>
  <c r="AY992" i="8"/>
  <c r="AX992" i="8"/>
  <c r="AW992" i="8"/>
  <c r="AU992" i="8"/>
  <c r="BA991" i="8"/>
  <c r="AZ991" i="8"/>
  <c r="AY991" i="8"/>
  <c r="AX991" i="8"/>
  <c r="AW991" i="8"/>
  <c r="AU991" i="8"/>
  <c r="BA990" i="8"/>
  <c r="AZ990" i="8"/>
  <c r="AY990" i="8"/>
  <c r="AX990" i="8"/>
  <c r="AW990" i="8"/>
  <c r="AU990" i="8"/>
  <c r="BA989" i="8"/>
  <c r="AZ989" i="8"/>
  <c r="AY989" i="8"/>
  <c r="AX989" i="8"/>
  <c r="AW989" i="8"/>
  <c r="AU989" i="8"/>
  <c r="BA988" i="8"/>
  <c r="AZ988" i="8"/>
  <c r="AY988" i="8"/>
  <c r="AX988" i="8"/>
  <c r="AW988" i="8"/>
  <c r="AU988" i="8"/>
  <c r="BA987" i="8"/>
  <c r="AZ987" i="8"/>
  <c r="AY987" i="8"/>
  <c r="AX987" i="8"/>
  <c r="AW987" i="8"/>
  <c r="AU987" i="8"/>
  <c r="BA986" i="8"/>
  <c r="AZ986" i="8"/>
  <c r="AY986" i="8"/>
  <c r="AX986" i="8"/>
  <c r="AW986" i="8"/>
  <c r="AV986" i="8"/>
  <c r="AU986" i="8"/>
  <c r="BA985" i="8"/>
  <c r="AZ985" i="8"/>
  <c r="AY985" i="8"/>
  <c r="AX985" i="8"/>
  <c r="AW985" i="8"/>
  <c r="AV985" i="8"/>
  <c r="AU985" i="8"/>
  <c r="BA984" i="8"/>
  <c r="AZ984" i="8"/>
  <c r="AY984" i="8"/>
  <c r="AX984" i="8"/>
  <c r="AW984" i="8"/>
  <c r="AV984" i="8"/>
  <c r="AU984" i="8"/>
  <c r="BA983" i="8"/>
  <c r="AZ983" i="8"/>
  <c r="AY983" i="8"/>
  <c r="AX983" i="8"/>
  <c r="AW983" i="8"/>
  <c r="AV983" i="8"/>
  <c r="AU983" i="8"/>
  <c r="BA982" i="8"/>
  <c r="AZ982" i="8"/>
  <c r="AY982" i="8"/>
  <c r="AX982" i="8"/>
  <c r="AW982" i="8"/>
  <c r="AV982" i="8"/>
  <c r="AU982" i="8"/>
  <c r="BA981" i="8"/>
  <c r="AZ981" i="8"/>
  <c r="AY981" i="8"/>
  <c r="AX981" i="8"/>
  <c r="AW981" i="8"/>
  <c r="AV981" i="8"/>
  <c r="AU981" i="8"/>
  <c r="BA980" i="8"/>
  <c r="AZ980" i="8"/>
  <c r="AY980" i="8"/>
  <c r="AX980" i="8"/>
  <c r="AW980" i="8"/>
  <c r="AV980" i="8"/>
  <c r="AU980" i="8"/>
  <c r="BA979" i="8"/>
  <c r="AZ979" i="8"/>
  <c r="AY979" i="8"/>
  <c r="AX979" i="8"/>
  <c r="AW979" i="8"/>
  <c r="AV979" i="8"/>
  <c r="AU979" i="8"/>
  <c r="BA978" i="8"/>
  <c r="AZ978" i="8"/>
  <c r="AY978" i="8"/>
  <c r="AX978" i="8"/>
  <c r="AW978" i="8"/>
  <c r="AV978" i="8"/>
  <c r="AU978" i="8"/>
  <c r="BA977" i="8"/>
  <c r="AZ977" i="8"/>
  <c r="AY977" i="8"/>
  <c r="AX977" i="8"/>
  <c r="AW977" i="8"/>
  <c r="AV977" i="8"/>
  <c r="AU977" i="8"/>
  <c r="BA976" i="8"/>
  <c r="AZ976" i="8"/>
  <c r="AY976" i="8"/>
  <c r="AX976" i="8"/>
  <c r="AW976" i="8"/>
  <c r="AV976" i="8"/>
  <c r="AU976" i="8"/>
  <c r="BA975" i="8"/>
  <c r="AZ975" i="8"/>
  <c r="AY975" i="8"/>
  <c r="AX975" i="8"/>
  <c r="AW975" i="8"/>
  <c r="AV975" i="8"/>
  <c r="AU975" i="8"/>
  <c r="BA974" i="8"/>
  <c r="AZ974" i="8"/>
  <c r="AY974" i="8"/>
  <c r="AX974" i="8"/>
  <c r="AW974" i="8"/>
  <c r="AV974" i="8"/>
  <c r="AU974" i="8"/>
  <c r="BA973" i="8"/>
  <c r="AZ973" i="8"/>
  <c r="AY973" i="8"/>
  <c r="AX973" i="8"/>
  <c r="AW973" i="8"/>
  <c r="AV973" i="8"/>
  <c r="AU973" i="8"/>
  <c r="BA972" i="8"/>
  <c r="AZ972" i="8"/>
  <c r="AY972" i="8"/>
  <c r="AX972" i="8"/>
  <c r="AW972" i="8"/>
  <c r="AV972" i="8"/>
  <c r="AU972" i="8"/>
  <c r="BA971" i="8"/>
  <c r="AZ971" i="8"/>
  <c r="AY971" i="8"/>
  <c r="AX971" i="8"/>
  <c r="AW971" i="8"/>
  <c r="AV971" i="8"/>
  <c r="AU971" i="8"/>
  <c r="BA970" i="8"/>
  <c r="AZ970" i="8"/>
  <c r="AY970" i="8"/>
  <c r="AX970" i="8"/>
  <c r="AW970" i="8"/>
  <c r="AV970" i="8"/>
  <c r="AU970" i="8"/>
  <c r="BA969" i="8"/>
  <c r="AZ969" i="8"/>
  <c r="AY969" i="8"/>
  <c r="AX969" i="8"/>
  <c r="AW969" i="8"/>
  <c r="AV969" i="8"/>
  <c r="AU969" i="8"/>
  <c r="BA968" i="8"/>
  <c r="AZ968" i="8"/>
  <c r="AY968" i="8"/>
  <c r="AX968" i="8"/>
  <c r="AW968" i="8"/>
  <c r="AV968" i="8"/>
  <c r="AU968" i="8"/>
  <c r="BA967" i="8"/>
  <c r="AZ967" i="8"/>
  <c r="AY967" i="8"/>
  <c r="AX967" i="8"/>
  <c r="AW967" i="8"/>
  <c r="AV967" i="8"/>
  <c r="AU967" i="8"/>
  <c r="BA966" i="8"/>
  <c r="AZ966" i="8"/>
  <c r="AY966" i="8"/>
  <c r="AX966" i="8"/>
  <c r="AW966" i="8"/>
  <c r="AV966" i="8"/>
  <c r="AU966" i="8"/>
  <c r="BA965" i="8"/>
  <c r="AZ965" i="8"/>
  <c r="AY965" i="8"/>
  <c r="AX965" i="8"/>
  <c r="AW965" i="8"/>
  <c r="AV965" i="8"/>
  <c r="AU965" i="8"/>
  <c r="BA964" i="8"/>
  <c r="AZ964" i="8"/>
  <c r="AY964" i="8"/>
  <c r="AX964" i="8"/>
  <c r="AW964" i="8"/>
  <c r="AV964" i="8"/>
  <c r="AU964" i="8"/>
  <c r="BA963" i="8"/>
  <c r="AZ963" i="8"/>
  <c r="AY963" i="8"/>
  <c r="AX963" i="8"/>
  <c r="AW963" i="8"/>
  <c r="AV963" i="8"/>
  <c r="AU963" i="8"/>
  <c r="BA962" i="8"/>
  <c r="AZ962" i="8"/>
  <c r="AY962" i="8"/>
  <c r="AX962" i="8"/>
  <c r="AW962" i="8"/>
  <c r="AV962" i="8"/>
  <c r="AU962" i="8"/>
  <c r="BA961" i="8"/>
  <c r="AZ961" i="8"/>
  <c r="AY961" i="8"/>
  <c r="AX961" i="8"/>
  <c r="AW961" i="8"/>
  <c r="AV961" i="8"/>
  <c r="AU961" i="8"/>
  <c r="BA960" i="8"/>
  <c r="AZ960" i="8"/>
  <c r="AY960" i="8"/>
  <c r="AX960" i="8"/>
  <c r="AW960" i="8"/>
  <c r="AV960" i="8"/>
  <c r="AU960" i="8"/>
  <c r="BA959" i="8"/>
  <c r="AZ959" i="8"/>
  <c r="AY959" i="8"/>
  <c r="AX959" i="8"/>
  <c r="AW959" i="8"/>
  <c r="AV959" i="8"/>
  <c r="AU959" i="8"/>
  <c r="BA958" i="8"/>
  <c r="AZ958" i="8"/>
  <c r="AY958" i="8"/>
  <c r="AX958" i="8"/>
  <c r="AW958" i="8"/>
  <c r="AV958" i="8"/>
  <c r="AU958" i="8"/>
  <c r="BA957" i="8"/>
  <c r="AZ957" i="8"/>
  <c r="AY957" i="8"/>
  <c r="AX957" i="8"/>
  <c r="AW957" i="8"/>
  <c r="AV957" i="8"/>
  <c r="AU957" i="8"/>
  <c r="BA956" i="8"/>
  <c r="AZ956" i="8"/>
  <c r="AY956" i="8"/>
  <c r="AX956" i="8"/>
  <c r="AW956" i="8"/>
  <c r="AV956" i="8"/>
  <c r="AU956" i="8"/>
  <c r="BA955" i="8"/>
  <c r="AZ955" i="8"/>
  <c r="AY955" i="8"/>
  <c r="AX955" i="8"/>
  <c r="AW955" i="8"/>
  <c r="AV955" i="8"/>
  <c r="AU955" i="8"/>
  <c r="BA954" i="8"/>
  <c r="AZ954" i="8"/>
  <c r="AY954" i="8"/>
  <c r="AX954" i="8"/>
  <c r="AW954" i="8"/>
  <c r="AV954" i="8"/>
  <c r="AU954" i="8"/>
  <c r="BA953" i="8"/>
  <c r="AZ953" i="8"/>
  <c r="AY953" i="8"/>
  <c r="AX953" i="8"/>
  <c r="AW953" i="8"/>
  <c r="AV953" i="8"/>
  <c r="AU953" i="8"/>
  <c r="BA952" i="8"/>
  <c r="AZ952" i="8"/>
  <c r="AY952" i="8"/>
  <c r="AX952" i="8"/>
  <c r="AW952" i="8"/>
  <c r="AV952" i="8"/>
  <c r="AU952" i="8"/>
  <c r="BA951" i="8"/>
  <c r="AZ951" i="8"/>
  <c r="AY951" i="8"/>
  <c r="AX951" i="8"/>
  <c r="AW951" i="8"/>
  <c r="AV951" i="8"/>
  <c r="AU951" i="8"/>
  <c r="BA950" i="8"/>
  <c r="AZ950" i="8"/>
  <c r="AY950" i="8"/>
  <c r="AX950" i="8"/>
  <c r="AW950" i="8"/>
  <c r="AV950" i="8"/>
  <c r="AU950" i="8"/>
  <c r="BA949" i="8"/>
  <c r="AZ949" i="8"/>
  <c r="AY949" i="8"/>
  <c r="AX949" i="8"/>
  <c r="AW949" i="8"/>
  <c r="AV949" i="8"/>
  <c r="AU949" i="8"/>
  <c r="BA948" i="8"/>
  <c r="AZ948" i="8"/>
  <c r="AY948" i="8"/>
  <c r="AX948" i="8"/>
  <c r="AW948" i="8"/>
  <c r="AV948" i="8"/>
  <c r="AU948" i="8"/>
  <c r="BA947" i="8"/>
  <c r="AZ947" i="8"/>
  <c r="AY947" i="8"/>
  <c r="AX947" i="8"/>
  <c r="AW947" i="8"/>
  <c r="AV947" i="8"/>
  <c r="AU947" i="8"/>
  <c r="BA946" i="8"/>
  <c r="AZ946" i="8"/>
  <c r="AY946" i="8"/>
  <c r="AX946" i="8"/>
  <c r="AW946" i="8"/>
  <c r="AV946" i="8"/>
  <c r="AU946" i="8"/>
  <c r="BA945" i="8"/>
  <c r="AZ945" i="8"/>
  <c r="AY945" i="8"/>
  <c r="AX945" i="8"/>
  <c r="AW945" i="8"/>
  <c r="AV945" i="8"/>
  <c r="AU945" i="8"/>
  <c r="BA944" i="8"/>
  <c r="AZ944" i="8"/>
  <c r="AY944" i="8"/>
  <c r="AX944" i="8"/>
  <c r="AW944" i="8"/>
  <c r="AV944" i="8"/>
  <c r="AU944" i="8"/>
  <c r="BA943" i="8"/>
  <c r="AZ943" i="8"/>
  <c r="AY943" i="8"/>
  <c r="AX943" i="8"/>
  <c r="AW943" i="8"/>
  <c r="AV943" i="8"/>
  <c r="AU943" i="8"/>
  <c r="BA942" i="8"/>
  <c r="AZ942" i="8"/>
  <c r="AY942" i="8"/>
  <c r="AX942" i="8"/>
  <c r="AW942" i="8"/>
  <c r="AV942" i="8"/>
  <c r="AU942" i="8"/>
  <c r="BA941" i="8"/>
  <c r="AZ941" i="8"/>
  <c r="AY941" i="8"/>
  <c r="AX941" i="8"/>
  <c r="AW941" i="8"/>
  <c r="AV941" i="8"/>
  <c r="AU941" i="8"/>
  <c r="BA940" i="8"/>
  <c r="AZ940" i="8"/>
  <c r="AY940" i="8"/>
  <c r="AX940" i="8"/>
  <c r="AW940" i="8"/>
  <c r="AV940" i="8"/>
  <c r="AU940" i="8"/>
  <c r="BA939" i="8"/>
  <c r="AZ939" i="8"/>
  <c r="AY939" i="8"/>
  <c r="AX939" i="8"/>
  <c r="AW939" i="8"/>
  <c r="AV939" i="8"/>
  <c r="AU939" i="8"/>
  <c r="BA938" i="8"/>
  <c r="AZ938" i="8"/>
  <c r="AY938" i="8"/>
  <c r="AX938" i="8"/>
  <c r="AW938" i="8"/>
  <c r="AV938" i="8"/>
  <c r="AU938" i="8"/>
  <c r="BA937" i="8"/>
  <c r="AZ937" i="8"/>
  <c r="AY937" i="8"/>
  <c r="AX937" i="8"/>
  <c r="AW937" i="8"/>
  <c r="AV937" i="8"/>
  <c r="AU937" i="8"/>
  <c r="BA936" i="8"/>
  <c r="AZ936" i="8"/>
  <c r="AY936" i="8"/>
  <c r="AX936" i="8"/>
  <c r="AW936" i="8"/>
  <c r="AV936" i="8"/>
  <c r="AU936" i="8"/>
  <c r="BA935" i="8"/>
  <c r="AZ935" i="8"/>
  <c r="AY935" i="8"/>
  <c r="AX935" i="8"/>
  <c r="AW935" i="8"/>
  <c r="AV935" i="8"/>
  <c r="AU935" i="8"/>
  <c r="BA934" i="8"/>
  <c r="AZ934" i="8"/>
  <c r="AY934" i="8"/>
  <c r="AX934" i="8"/>
  <c r="AW934" i="8"/>
  <c r="AV934" i="8"/>
  <c r="AU934" i="8"/>
  <c r="BA933" i="8"/>
  <c r="AZ933" i="8"/>
  <c r="AY933" i="8"/>
  <c r="AX933" i="8"/>
  <c r="AW933" i="8"/>
  <c r="AV933" i="8"/>
  <c r="AU933" i="8"/>
  <c r="BA932" i="8"/>
  <c r="AZ932" i="8"/>
  <c r="AY932" i="8"/>
  <c r="AX932" i="8"/>
  <c r="AW932" i="8"/>
  <c r="AV932" i="8"/>
  <c r="AU932" i="8"/>
  <c r="BA931" i="8"/>
  <c r="AZ931" i="8"/>
  <c r="AY931" i="8"/>
  <c r="AX931" i="8"/>
  <c r="AW931" i="8"/>
  <c r="AV931" i="8"/>
  <c r="AU931" i="8"/>
  <c r="BA930" i="8"/>
  <c r="AZ930" i="8"/>
  <c r="AY930" i="8"/>
  <c r="AX930" i="8"/>
  <c r="AW930" i="8"/>
  <c r="AV930" i="8"/>
  <c r="AU930" i="8"/>
  <c r="BA929" i="8"/>
  <c r="AZ929" i="8"/>
  <c r="AY929" i="8"/>
  <c r="AX929" i="8"/>
  <c r="AW929" i="8"/>
  <c r="AV929" i="8"/>
  <c r="AU929" i="8"/>
  <c r="BA928" i="8"/>
  <c r="AZ928" i="8"/>
  <c r="AY928" i="8"/>
  <c r="AX928" i="8"/>
  <c r="AW928" i="8"/>
  <c r="AV928" i="8"/>
  <c r="AU928" i="8"/>
  <c r="BA927" i="8"/>
  <c r="AZ927" i="8"/>
  <c r="AY927" i="8"/>
  <c r="AX927" i="8"/>
  <c r="AW927" i="8"/>
  <c r="AV927" i="8"/>
  <c r="AU927" i="8"/>
  <c r="BA926" i="8"/>
  <c r="AZ926" i="8"/>
  <c r="AY926" i="8"/>
  <c r="AX926" i="8"/>
  <c r="AW926" i="8"/>
  <c r="AV926" i="8"/>
  <c r="AU926" i="8"/>
  <c r="BA925" i="8"/>
  <c r="AZ925" i="8"/>
  <c r="AY925" i="8"/>
  <c r="AX925" i="8"/>
  <c r="AW925" i="8"/>
  <c r="AV925" i="8"/>
  <c r="AU925" i="8"/>
  <c r="BA924" i="8"/>
  <c r="AZ924" i="8"/>
  <c r="AY924" i="8"/>
  <c r="AX924" i="8"/>
  <c r="AW924" i="8"/>
  <c r="AV924" i="8"/>
  <c r="AU924" i="8"/>
  <c r="BA923" i="8"/>
  <c r="AZ923" i="8"/>
  <c r="AY923" i="8"/>
  <c r="AX923" i="8"/>
  <c r="AW923" i="8"/>
  <c r="AV923" i="8"/>
  <c r="AU923" i="8"/>
  <c r="BA922" i="8"/>
  <c r="AZ922" i="8"/>
  <c r="AY922" i="8"/>
  <c r="AX922" i="8"/>
  <c r="AW922" i="8"/>
  <c r="AV922" i="8"/>
  <c r="AU922" i="8"/>
  <c r="BA921" i="8"/>
  <c r="AZ921" i="8"/>
  <c r="AY921" i="8"/>
  <c r="AX921" i="8"/>
  <c r="AW921" i="8"/>
  <c r="AV921" i="8"/>
  <c r="AU921" i="8"/>
  <c r="BA920" i="8"/>
  <c r="AZ920" i="8"/>
  <c r="AY920" i="8"/>
  <c r="AX920" i="8"/>
  <c r="AW920" i="8"/>
  <c r="AV920" i="8"/>
  <c r="AU920" i="8"/>
  <c r="BA919" i="8"/>
  <c r="AZ919" i="8"/>
  <c r="AY919" i="8"/>
  <c r="AX919" i="8"/>
  <c r="AW919" i="8"/>
  <c r="AV919" i="8"/>
  <c r="AU919" i="8"/>
  <c r="BA918" i="8"/>
  <c r="AZ918" i="8"/>
  <c r="AY918" i="8"/>
  <c r="AX918" i="8"/>
  <c r="AW918" i="8"/>
  <c r="AV918" i="8"/>
  <c r="AU918" i="8"/>
  <c r="BA917" i="8"/>
  <c r="AZ917" i="8"/>
  <c r="AY917" i="8"/>
  <c r="AX917" i="8"/>
  <c r="AW917" i="8"/>
  <c r="AV917" i="8"/>
  <c r="AU917" i="8"/>
  <c r="BA916" i="8"/>
  <c r="AZ916" i="8"/>
  <c r="AY916" i="8"/>
  <c r="AX916" i="8"/>
  <c r="AW916" i="8"/>
  <c r="AV916" i="8"/>
  <c r="AU916" i="8"/>
  <c r="BA915" i="8"/>
  <c r="AZ915" i="8"/>
  <c r="AY915" i="8"/>
  <c r="AX915" i="8"/>
  <c r="AW915" i="8"/>
  <c r="AV915" i="8"/>
  <c r="AU915" i="8"/>
  <c r="BA914" i="8"/>
  <c r="AZ914" i="8"/>
  <c r="AY914" i="8"/>
  <c r="AX914" i="8"/>
  <c r="AW914" i="8"/>
  <c r="AV914" i="8"/>
  <c r="AU914" i="8"/>
  <c r="BA913" i="8"/>
  <c r="AZ913" i="8"/>
  <c r="AY913" i="8"/>
  <c r="AX913" i="8"/>
  <c r="AW913" i="8"/>
  <c r="AV913" i="8"/>
  <c r="AU913" i="8"/>
  <c r="BA912" i="8"/>
  <c r="AZ912" i="8"/>
  <c r="AY912" i="8"/>
  <c r="AX912" i="8"/>
  <c r="AW912" i="8"/>
  <c r="AV912" i="8"/>
  <c r="AU912" i="8"/>
  <c r="BA911" i="8"/>
  <c r="AZ911" i="8"/>
  <c r="AY911" i="8"/>
  <c r="AX911" i="8"/>
  <c r="AW911" i="8"/>
  <c r="AV911" i="8"/>
  <c r="AU911" i="8"/>
  <c r="BA910" i="8"/>
  <c r="AZ910" i="8"/>
  <c r="AY910" i="8"/>
  <c r="AX910" i="8"/>
  <c r="AW910" i="8"/>
  <c r="AV910" i="8"/>
  <c r="AU910" i="8"/>
  <c r="BA909" i="8"/>
  <c r="AZ909" i="8"/>
  <c r="AY909" i="8"/>
  <c r="AX909" i="8"/>
  <c r="AW909" i="8"/>
  <c r="AV909" i="8"/>
  <c r="AU909" i="8"/>
  <c r="BA908" i="8"/>
  <c r="AZ908" i="8"/>
  <c r="AY908" i="8"/>
  <c r="AX908" i="8"/>
  <c r="AW908" i="8"/>
  <c r="AV908" i="8"/>
  <c r="AU908" i="8"/>
  <c r="BA907" i="8"/>
  <c r="AZ907" i="8"/>
  <c r="AY907" i="8"/>
  <c r="AX907" i="8"/>
  <c r="AW907" i="8"/>
  <c r="AV907" i="8"/>
  <c r="AU907" i="8"/>
  <c r="BA906" i="8"/>
  <c r="AZ906" i="8"/>
  <c r="AY906" i="8"/>
  <c r="AX906" i="8"/>
  <c r="AW906" i="8"/>
  <c r="AV906" i="8"/>
  <c r="AU906" i="8"/>
  <c r="BA905" i="8"/>
  <c r="AZ905" i="8"/>
  <c r="AY905" i="8"/>
  <c r="AX905" i="8"/>
  <c r="AW905" i="8"/>
  <c r="AV905" i="8"/>
  <c r="AU905" i="8"/>
  <c r="BA904" i="8"/>
  <c r="AZ904" i="8"/>
  <c r="AY904" i="8"/>
  <c r="AX904" i="8"/>
  <c r="AW904" i="8"/>
  <c r="AV904" i="8"/>
  <c r="AU904" i="8"/>
  <c r="BA903" i="8"/>
  <c r="AZ903" i="8"/>
  <c r="AY903" i="8"/>
  <c r="AX903" i="8"/>
  <c r="AW903" i="8"/>
  <c r="AV903" i="8"/>
  <c r="AU903" i="8"/>
  <c r="BA902" i="8"/>
  <c r="AZ902" i="8"/>
  <c r="AY902" i="8"/>
  <c r="AX902" i="8"/>
  <c r="AW902" i="8"/>
  <c r="AV902" i="8"/>
  <c r="AU902" i="8"/>
  <c r="BA901" i="8"/>
  <c r="AZ901" i="8"/>
  <c r="AY901" i="8"/>
  <c r="AX901" i="8"/>
  <c r="AW901" i="8"/>
  <c r="AV901" i="8"/>
  <c r="AU901" i="8"/>
  <c r="BA900" i="8"/>
  <c r="AZ900" i="8"/>
  <c r="AY900" i="8"/>
  <c r="AX900" i="8"/>
  <c r="AW900" i="8"/>
  <c r="AV900" i="8"/>
  <c r="AU900" i="8"/>
  <c r="BA899" i="8"/>
  <c r="AZ899" i="8"/>
  <c r="AY899" i="8"/>
  <c r="AX899" i="8"/>
  <c r="AW899" i="8"/>
  <c r="AV899" i="8"/>
  <c r="AU899" i="8"/>
  <c r="BA898" i="8"/>
  <c r="AZ898" i="8"/>
  <c r="AY898" i="8"/>
  <c r="AX898" i="8"/>
  <c r="AW898" i="8"/>
  <c r="AV898" i="8"/>
  <c r="AU898" i="8"/>
  <c r="BA897" i="8"/>
  <c r="AZ897" i="8"/>
  <c r="AY897" i="8"/>
  <c r="AX897" i="8"/>
  <c r="AW897" i="8"/>
  <c r="AV897" i="8"/>
  <c r="AU897" i="8"/>
  <c r="BA896" i="8"/>
  <c r="AZ896" i="8"/>
  <c r="AY896" i="8"/>
  <c r="AX896" i="8"/>
  <c r="AW896" i="8"/>
  <c r="AV896" i="8"/>
  <c r="AU896" i="8"/>
  <c r="BA895" i="8"/>
  <c r="AZ895" i="8"/>
  <c r="AY895" i="8"/>
  <c r="AX895" i="8"/>
  <c r="AW895" i="8"/>
  <c r="AV895" i="8"/>
  <c r="AU895" i="8"/>
  <c r="BA894" i="8"/>
  <c r="AZ894" i="8"/>
  <c r="AY894" i="8"/>
  <c r="AX894" i="8"/>
  <c r="AW894" i="8"/>
  <c r="AV894" i="8"/>
  <c r="AU894" i="8"/>
  <c r="BA893" i="8"/>
  <c r="AZ893" i="8"/>
  <c r="AY893" i="8"/>
  <c r="AX893" i="8"/>
  <c r="AW893" i="8"/>
  <c r="AV893" i="8"/>
  <c r="AU893" i="8"/>
  <c r="BA892" i="8"/>
  <c r="AZ892" i="8"/>
  <c r="AY892" i="8"/>
  <c r="AX892" i="8"/>
  <c r="AW892" i="8"/>
  <c r="AV892" i="8"/>
  <c r="AU892" i="8"/>
  <c r="BA891" i="8"/>
  <c r="AZ891" i="8"/>
  <c r="AY891" i="8"/>
  <c r="AX891" i="8"/>
  <c r="AW891" i="8"/>
  <c r="AV891" i="8"/>
  <c r="AU891" i="8"/>
  <c r="BA890" i="8"/>
  <c r="AZ890" i="8"/>
  <c r="AY890" i="8"/>
  <c r="AX890" i="8"/>
  <c r="AW890" i="8"/>
  <c r="AV890" i="8"/>
  <c r="AU890" i="8"/>
  <c r="BA889" i="8"/>
  <c r="AZ889" i="8"/>
  <c r="AY889" i="8"/>
  <c r="AX889" i="8"/>
  <c r="AW889" i="8"/>
  <c r="AV889" i="8"/>
  <c r="AU889" i="8"/>
  <c r="BA888" i="8"/>
  <c r="AZ888" i="8"/>
  <c r="AY888" i="8"/>
  <c r="AX888" i="8"/>
  <c r="AW888" i="8"/>
  <c r="AV888" i="8"/>
  <c r="AU888" i="8"/>
  <c r="BA887" i="8"/>
  <c r="AZ887" i="8"/>
  <c r="AY887" i="8"/>
  <c r="AX887" i="8"/>
  <c r="AW887" i="8"/>
  <c r="AV887" i="8"/>
  <c r="AU887" i="8"/>
  <c r="BA886" i="8"/>
  <c r="AZ886" i="8"/>
  <c r="AY886" i="8"/>
  <c r="AX886" i="8"/>
  <c r="AW886" i="8"/>
  <c r="AV886" i="8"/>
  <c r="AU886" i="8"/>
  <c r="BA885" i="8"/>
  <c r="AZ885" i="8"/>
  <c r="AY885" i="8"/>
  <c r="AX885" i="8"/>
  <c r="AW885" i="8"/>
  <c r="AV885" i="8"/>
  <c r="AU885" i="8"/>
  <c r="BA884" i="8"/>
  <c r="AZ884" i="8"/>
  <c r="AY884" i="8"/>
  <c r="AX884" i="8"/>
  <c r="AW884" i="8"/>
  <c r="AV884" i="8"/>
  <c r="AU884" i="8"/>
  <c r="BA883" i="8"/>
  <c r="AZ883" i="8"/>
  <c r="AY883" i="8"/>
  <c r="AX883" i="8"/>
  <c r="AW883" i="8"/>
  <c r="AV883" i="8"/>
  <c r="AU883" i="8"/>
  <c r="BA882" i="8"/>
  <c r="AZ882" i="8"/>
  <c r="AY882" i="8"/>
  <c r="AX882" i="8"/>
  <c r="AW882" i="8"/>
  <c r="AV882" i="8"/>
  <c r="AU882" i="8"/>
  <c r="BA626" i="8"/>
  <c r="AZ626" i="8"/>
  <c r="AY626" i="8"/>
  <c r="AX626" i="8"/>
  <c r="AW626" i="8"/>
  <c r="AU626" i="8"/>
  <c r="BA625" i="8"/>
  <c r="AZ625" i="8"/>
  <c r="AY625" i="8"/>
  <c r="AX625" i="8"/>
  <c r="AW625" i="8"/>
  <c r="AV625" i="8"/>
  <c r="AU625" i="8"/>
  <c r="BA624" i="8"/>
  <c r="AZ624" i="8"/>
  <c r="AY624" i="8"/>
  <c r="AX624" i="8"/>
  <c r="AW624" i="8"/>
  <c r="AV624" i="8"/>
  <c r="AU624" i="8"/>
  <c r="BA623" i="8"/>
  <c r="AZ623" i="8"/>
  <c r="AY623" i="8"/>
  <c r="AX623" i="8"/>
  <c r="AW623" i="8"/>
  <c r="AV623" i="8"/>
  <c r="AU623" i="8"/>
  <c r="BA622" i="8"/>
  <c r="AZ622" i="8"/>
  <c r="AY622" i="8"/>
  <c r="AX622" i="8"/>
  <c r="AW622" i="8"/>
  <c r="AV622" i="8"/>
  <c r="AU622" i="8"/>
  <c r="BA621" i="8"/>
  <c r="AZ621" i="8"/>
  <c r="AY621" i="8"/>
  <c r="AX621" i="8"/>
  <c r="AW621" i="8"/>
  <c r="AV621" i="8"/>
  <c r="AU621" i="8"/>
  <c r="BA620" i="8"/>
  <c r="AZ620" i="8"/>
  <c r="AY620" i="8"/>
  <c r="AX620" i="8"/>
  <c r="AW620" i="8"/>
  <c r="AV620" i="8"/>
  <c r="AU620" i="8"/>
  <c r="BA619" i="8"/>
  <c r="AZ619" i="8"/>
  <c r="AY619" i="8"/>
  <c r="AX619" i="8"/>
  <c r="AW619" i="8"/>
  <c r="AV619" i="8"/>
  <c r="AU619" i="8"/>
  <c r="BA618" i="8"/>
  <c r="AZ618" i="8"/>
  <c r="AY618" i="8"/>
  <c r="AX618" i="8"/>
  <c r="AW618" i="8"/>
  <c r="AV618" i="8"/>
  <c r="AU618" i="8"/>
  <c r="BA617" i="8"/>
  <c r="AZ617" i="8"/>
  <c r="AY617" i="8"/>
  <c r="AX617" i="8"/>
  <c r="AW617" i="8"/>
  <c r="AV617" i="8"/>
  <c r="AU617" i="8"/>
  <c r="BA616" i="8"/>
  <c r="AZ616" i="8"/>
  <c r="AY616" i="8"/>
  <c r="AX616" i="8"/>
  <c r="AW616" i="8"/>
  <c r="AV616" i="8"/>
  <c r="AU616" i="8"/>
  <c r="BA615" i="8"/>
  <c r="AZ615" i="8"/>
  <c r="AY615" i="8"/>
  <c r="AX615" i="8"/>
  <c r="AW615" i="8"/>
  <c r="AV615" i="8"/>
  <c r="AU615" i="8"/>
  <c r="BA614" i="8"/>
  <c r="AZ614" i="8"/>
  <c r="AY614" i="8"/>
  <c r="AX614" i="8"/>
  <c r="AW614" i="8"/>
  <c r="AV614" i="8"/>
  <c r="AU614" i="8"/>
  <c r="BA613" i="8"/>
  <c r="AZ613" i="8"/>
  <c r="AY613" i="8"/>
  <c r="AX613" i="8"/>
  <c r="AW613" i="8"/>
  <c r="AV613" i="8"/>
  <c r="AU613" i="8"/>
  <c r="BA612" i="8"/>
  <c r="AZ612" i="8"/>
  <c r="AY612" i="8"/>
  <c r="AX612" i="8"/>
  <c r="AW612" i="8"/>
  <c r="AV612" i="8"/>
  <c r="AU612" i="8"/>
  <c r="BA611" i="8"/>
  <c r="AZ611" i="8"/>
  <c r="AY611" i="8"/>
  <c r="AX611" i="8"/>
  <c r="AW611" i="8"/>
  <c r="AV611" i="8"/>
  <c r="AU611" i="8"/>
  <c r="BA610" i="8"/>
  <c r="AZ610" i="8"/>
  <c r="AY610" i="8"/>
  <c r="AX610" i="8"/>
  <c r="AW610" i="8"/>
  <c r="AV610" i="8"/>
  <c r="AU610" i="8"/>
  <c r="BA609" i="8"/>
  <c r="AZ609" i="8"/>
  <c r="AY609" i="8"/>
  <c r="AX609" i="8"/>
  <c r="AW609" i="8"/>
  <c r="AV609" i="8"/>
  <c r="AU609" i="8"/>
  <c r="BA608" i="8"/>
  <c r="AZ608" i="8"/>
  <c r="AY608" i="8"/>
  <c r="AX608" i="8"/>
  <c r="AW608" i="8"/>
  <c r="AV608" i="8"/>
  <c r="AU608" i="8"/>
  <c r="BA607" i="8"/>
  <c r="AZ607" i="8"/>
  <c r="AY607" i="8"/>
  <c r="AX607" i="8"/>
  <c r="AW607" i="8"/>
  <c r="AV607" i="8"/>
  <c r="AU607" i="8"/>
  <c r="BA606" i="8"/>
  <c r="AZ606" i="8"/>
  <c r="AY606" i="8"/>
  <c r="AX606" i="8"/>
  <c r="AW606" i="8"/>
  <c r="AV606" i="8"/>
  <c r="AU606" i="8"/>
  <c r="BA605" i="8"/>
  <c r="AZ605" i="8"/>
  <c r="AY605" i="8"/>
  <c r="AX605" i="8"/>
  <c r="AW605" i="8"/>
  <c r="AV605" i="8"/>
  <c r="AU605" i="8"/>
  <c r="BA604" i="8"/>
  <c r="AZ604" i="8"/>
  <c r="AY604" i="8"/>
  <c r="AX604" i="8"/>
  <c r="AW604" i="8"/>
  <c r="AV604" i="8"/>
  <c r="AU604" i="8"/>
  <c r="BA603" i="8"/>
  <c r="AZ603" i="8"/>
  <c r="AY603" i="8"/>
  <c r="AX603" i="8"/>
  <c r="AW603" i="8"/>
  <c r="AV603" i="8"/>
  <c r="AU603" i="8"/>
  <c r="BA602" i="8"/>
  <c r="AZ602" i="8"/>
  <c r="AY602" i="8"/>
  <c r="AX602" i="8"/>
  <c r="AW602" i="8"/>
  <c r="AV602" i="8"/>
  <c r="AU602" i="8"/>
  <c r="BA601" i="8"/>
  <c r="AZ601" i="8"/>
  <c r="AY601" i="8"/>
  <c r="AX601" i="8"/>
  <c r="AW601" i="8"/>
  <c r="AV601" i="8"/>
  <c r="AU601" i="8"/>
  <c r="BA600" i="8"/>
  <c r="AZ600" i="8"/>
  <c r="AY600" i="8"/>
  <c r="AX600" i="8"/>
  <c r="AW600" i="8"/>
  <c r="AV600" i="8"/>
  <c r="AU600" i="8"/>
  <c r="BA599" i="8"/>
  <c r="AZ599" i="8"/>
  <c r="AY599" i="8"/>
  <c r="AX599" i="8"/>
  <c r="AW599" i="8"/>
  <c r="AV599" i="8"/>
  <c r="AU599" i="8"/>
  <c r="BA598" i="8"/>
  <c r="AZ598" i="8"/>
  <c r="AY598" i="8"/>
  <c r="AX598" i="8"/>
  <c r="AW598" i="8"/>
  <c r="AV598" i="8"/>
  <c r="AU598" i="8"/>
  <c r="BA597" i="8"/>
  <c r="AZ597" i="8"/>
  <c r="AY597" i="8"/>
  <c r="AX597" i="8"/>
  <c r="AW597" i="8"/>
  <c r="AV597" i="8"/>
  <c r="AU597" i="8"/>
  <c r="BA596" i="8"/>
  <c r="AZ596" i="8"/>
  <c r="AY596" i="8"/>
  <c r="AX596" i="8"/>
  <c r="AW596" i="8"/>
  <c r="AV596" i="8"/>
  <c r="AU596" i="8"/>
  <c r="BA542" i="8"/>
  <c r="AZ542" i="8"/>
  <c r="AY542" i="8"/>
  <c r="AX542" i="8"/>
  <c r="AW542" i="8"/>
  <c r="AU542" i="8"/>
  <c r="BA540" i="8"/>
  <c r="AZ540" i="8"/>
  <c r="AY540" i="8"/>
  <c r="AX540" i="8"/>
  <c r="AW540" i="8"/>
  <c r="AU540" i="8"/>
  <c r="BA539" i="8"/>
  <c r="AZ539" i="8"/>
  <c r="AY539" i="8"/>
  <c r="AX539" i="8"/>
  <c r="AW539" i="8"/>
  <c r="AU539" i="8"/>
  <c r="BA538" i="8"/>
  <c r="AZ538" i="8"/>
  <c r="AY538" i="8"/>
  <c r="AX538" i="8"/>
  <c r="AW538" i="8"/>
  <c r="AV538" i="8"/>
  <c r="AU538" i="8"/>
  <c r="BA536" i="8"/>
  <c r="AZ536" i="8"/>
  <c r="AY536" i="8"/>
  <c r="AX536" i="8"/>
  <c r="AW536" i="8"/>
  <c r="AV536" i="8"/>
  <c r="AU536" i="8"/>
  <c r="BA535" i="8"/>
  <c r="AZ535" i="8"/>
  <c r="AY535" i="8"/>
  <c r="AX535" i="8"/>
  <c r="AW535" i="8"/>
  <c r="AV535" i="8"/>
  <c r="AU535" i="8"/>
  <c r="BA534" i="8"/>
  <c r="AZ534" i="8"/>
  <c r="AY534" i="8"/>
  <c r="AX534" i="8"/>
  <c r="AW534" i="8"/>
  <c r="AU534" i="8"/>
  <c r="BA532" i="8"/>
  <c r="AZ532" i="8"/>
  <c r="AY532" i="8"/>
  <c r="AX532" i="8"/>
  <c r="AW532" i="8"/>
  <c r="AU532" i="8"/>
  <c r="BA531" i="8"/>
  <c r="AZ531" i="8"/>
  <c r="AY531" i="8"/>
  <c r="AX531" i="8"/>
  <c r="AW531" i="8"/>
  <c r="AU531" i="8"/>
  <c r="BA530" i="8"/>
  <c r="AZ530" i="8"/>
  <c r="AY530" i="8"/>
  <c r="AX530" i="8"/>
  <c r="AW530" i="8"/>
  <c r="AV530" i="8"/>
  <c r="AU530" i="8"/>
  <c r="BA528" i="8"/>
  <c r="AZ528" i="8"/>
  <c r="AY528" i="8"/>
  <c r="AX528" i="8"/>
  <c r="AW528" i="8"/>
  <c r="AV528" i="8"/>
  <c r="AU528" i="8"/>
  <c r="BA527" i="8"/>
  <c r="AZ527" i="8"/>
  <c r="AY527" i="8"/>
  <c r="AX527" i="8"/>
  <c r="AW527" i="8"/>
  <c r="AV527" i="8"/>
  <c r="AU527" i="8"/>
  <c r="BA526" i="8"/>
  <c r="AZ526" i="8"/>
  <c r="AY526" i="8"/>
  <c r="AX526" i="8"/>
  <c r="AW526" i="8"/>
  <c r="AU526" i="8"/>
  <c r="BA524" i="8"/>
  <c r="AZ524" i="8"/>
  <c r="AY524" i="8"/>
  <c r="AX524" i="8"/>
  <c r="AW524" i="8"/>
  <c r="AU524" i="8"/>
  <c r="BA523" i="8"/>
  <c r="AZ523" i="8"/>
  <c r="AY523" i="8"/>
  <c r="AX523" i="8"/>
  <c r="AW523" i="8"/>
  <c r="AU523" i="8"/>
  <c r="BA522" i="8"/>
  <c r="AZ522" i="8"/>
  <c r="AY522" i="8"/>
  <c r="AX522" i="8"/>
  <c r="AW522" i="8"/>
  <c r="AV522" i="8"/>
  <c r="AU522" i="8"/>
  <c r="BA520" i="8"/>
  <c r="AZ520" i="8"/>
  <c r="AY520" i="8"/>
  <c r="AX520" i="8"/>
  <c r="AW520" i="8"/>
  <c r="AV520" i="8"/>
  <c r="AU520" i="8"/>
  <c r="BA519" i="8"/>
  <c r="AZ519" i="8"/>
  <c r="AY519" i="8"/>
  <c r="AX519" i="8"/>
  <c r="AW519" i="8"/>
  <c r="AV519" i="8"/>
  <c r="AU519" i="8"/>
  <c r="BA510" i="8"/>
  <c r="AZ510" i="8"/>
  <c r="AY510" i="8"/>
  <c r="AX510" i="8"/>
  <c r="AW510" i="8"/>
  <c r="AU510" i="8"/>
  <c r="BA508" i="8"/>
  <c r="AZ508" i="8"/>
  <c r="AY508" i="8"/>
  <c r="AX508" i="8"/>
  <c r="AW508" i="8"/>
  <c r="AU508" i="8"/>
  <c r="BA507" i="8"/>
  <c r="AZ507" i="8"/>
  <c r="AY507" i="8"/>
  <c r="AX507" i="8"/>
  <c r="AW507" i="8"/>
  <c r="AU507" i="8"/>
  <c r="BA506" i="8"/>
  <c r="AZ506" i="8"/>
  <c r="AY506" i="8"/>
  <c r="AX506" i="8"/>
  <c r="AW506" i="8"/>
  <c r="AV506" i="8"/>
  <c r="AU506" i="8"/>
  <c r="BA504" i="8"/>
  <c r="AZ504" i="8"/>
  <c r="AY504" i="8"/>
  <c r="AX504" i="8"/>
  <c r="AW504" i="8"/>
  <c r="AV504" i="8"/>
  <c r="AU504" i="8"/>
  <c r="BA503" i="8"/>
  <c r="AZ503" i="8"/>
  <c r="AY503" i="8"/>
  <c r="AX503" i="8"/>
  <c r="AW503" i="8"/>
  <c r="AV503" i="8"/>
  <c r="AU503" i="8"/>
  <c r="BA502" i="8"/>
  <c r="AZ502" i="8"/>
  <c r="AY502" i="8"/>
  <c r="AX502" i="8"/>
  <c r="AW502" i="8"/>
  <c r="AU502" i="8"/>
  <c r="BA500" i="8"/>
  <c r="AZ500" i="8"/>
  <c r="AY500" i="8"/>
  <c r="AX500" i="8"/>
  <c r="AW500" i="8"/>
  <c r="AU500" i="8"/>
  <c r="BA499" i="8"/>
  <c r="AZ499" i="8"/>
  <c r="AY499" i="8"/>
  <c r="AX499" i="8"/>
  <c r="AW499" i="8"/>
  <c r="AU499" i="8"/>
  <c r="BA498" i="8"/>
  <c r="AZ498" i="8"/>
  <c r="AY498" i="8"/>
  <c r="AX498" i="8"/>
  <c r="AW498" i="8"/>
  <c r="AV498" i="8"/>
  <c r="AU498" i="8"/>
  <c r="BA496" i="8"/>
  <c r="AZ496" i="8"/>
  <c r="AY496" i="8"/>
  <c r="AX496" i="8"/>
  <c r="AW496" i="8"/>
  <c r="AV496" i="8"/>
  <c r="AU496" i="8"/>
  <c r="BA495" i="8"/>
  <c r="AZ495" i="8"/>
  <c r="AY495" i="8"/>
  <c r="AX495" i="8"/>
  <c r="AW495" i="8"/>
  <c r="AV495" i="8"/>
  <c r="AU495" i="8"/>
  <c r="BA494" i="8"/>
  <c r="AZ494" i="8"/>
  <c r="AY494" i="8"/>
  <c r="AX494" i="8"/>
  <c r="AW494" i="8"/>
  <c r="AU494" i="8"/>
  <c r="BA492" i="8"/>
  <c r="AZ492" i="8"/>
  <c r="AY492" i="8"/>
  <c r="AX492" i="8"/>
  <c r="AW492" i="8"/>
  <c r="AU492" i="8"/>
  <c r="BA491" i="8"/>
  <c r="AZ491" i="8"/>
  <c r="AY491" i="8"/>
  <c r="AX491" i="8"/>
  <c r="AW491" i="8"/>
  <c r="AU491" i="8"/>
  <c r="BA490" i="8"/>
  <c r="AZ490" i="8"/>
  <c r="AY490" i="8"/>
  <c r="AX490" i="8"/>
  <c r="AW490" i="8"/>
  <c r="AU490" i="8"/>
  <c r="BA489" i="8"/>
  <c r="AZ489" i="8"/>
  <c r="AY489" i="8"/>
  <c r="AX489" i="8"/>
  <c r="AW489" i="8"/>
  <c r="AU489" i="8"/>
  <c r="BA488" i="8"/>
  <c r="AZ488" i="8"/>
  <c r="AY488" i="8"/>
  <c r="AX488" i="8"/>
  <c r="AW488" i="8"/>
  <c r="AV488" i="8"/>
  <c r="AU488" i="8"/>
  <c r="BA487" i="8"/>
  <c r="AZ487" i="8"/>
  <c r="AY487" i="8"/>
  <c r="AX487" i="8"/>
  <c r="AW487" i="8"/>
  <c r="AV487" i="8"/>
  <c r="AU487" i="8"/>
  <c r="BA486" i="8"/>
  <c r="AZ486" i="8"/>
  <c r="AY486" i="8"/>
  <c r="AX486" i="8"/>
  <c r="AW486" i="8"/>
  <c r="AV486" i="8"/>
  <c r="AU486" i="8"/>
  <c r="BA485" i="8"/>
  <c r="AZ485" i="8"/>
  <c r="AY485" i="8"/>
  <c r="AX485" i="8"/>
  <c r="AW485" i="8"/>
  <c r="AV485" i="8"/>
  <c r="AU485" i="8"/>
  <c r="BA484" i="8"/>
  <c r="AZ484" i="8"/>
  <c r="AY484" i="8"/>
  <c r="AX484" i="8"/>
  <c r="AW484" i="8"/>
  <c r="AV484" i="8"/>
  <c r="AU484" i="8"/>
  <c r="BA483" i="8"/>
  <c r="AZ483" i="8"/>
  <c r="AY483" i="8"/>
  <c r="AX483" i="8"/>
  <c r="AW483" i="8"/>
  <c r="AV483" i="8"/>
  <c r="AU483" i="8"/>
  <c r="BA482" i="8"/>
  <c r="AZ482" i="8"/>
  <c r="AY482" i="8"/>
  <c r="AX482" i="8"/>
  <c r="AW482" i="8"/>
  <c r="AU482" i="8"/>
  <c r="BA481" i="8"/>
  <c r="AZ481" i="8"/>
  <c r="AY481" i="8"/>
  <c r="AX481" i="8"/>
  <c r="AW481" i="8"/>
  <c r="AU481" i="8"/>
  <c r="BA480" i="8"/>
  <c r="AZ480" i="8"/>
  <c r="AY480" i="8"/>
  <c r="AX480" i="8"/>
  <c r="AW480" i="8"/>
  <c r="AU480" i="8"/>
  <c r="BA479" i="8"/>
  <c r="AZ479" i="8"/>
  <c r="AY479" i="8"/>
  <c r="AX479" i="8"/>
  <c r="AW479" i="8"/>
  <c r="AU479" i="8"/>
  <c r="BA478" i="8"/>
  <c r="AZ478" i="8"/>
  <c r="AY478" i="8"/>
  <c r="AX478" i="8"/>
  <c r="AW478" i="8"/>
  <c r="AU478" i="8"/>
  <c r="BA477" i="8"/>
  <c r="AZ477" i="8"/>
  <c r="AY477" i="8"/>
  <c r="AX477" i="8"/>
  <c r="AW477" i="8"/>
  <c r="AU477" i="8"/>
  <c r="BA476" i="8"/>
  <c r="AZ476" i="8"/>
  <c r="AY476" i="8"/>
  <c r="AX476" i="8"/>
  <c r="AW476" i="8"/>
  <c r="AV476" i="8"/>
  <c r="AU476" i="8"/>
  <c r="BA475" i="8"/>
  <c r="AZ475" i="8"/>
  <c r="AY475" i="8"/>
  <c r="AX475" i="8"/>
  <c r="AW475" i="8"/>
  <c r="AV475" i="8"/>
  <c r="AU475" i="8"/>
  <c r="BA474" i="8"/>
  <c r="AZ474" i="8"/>
  <c r="AY474" i="8"/>
  <c r="AX474" i="8"/>
  <c r="AW474" i="8"/>
  <c r="AV474" i="8"/>
  <c r="AU474" i="8"/>
  <c r="BA473" i="8"/>
  <c r="AZ473" i="8"/>
  <c r="AY473" i="8"/>
  <c r="AX473" i="8"/>
  <c r="AW473" i="8"/>
  <c r="AV473" i="8"/>
  <c r="AU473" i="8"/>
  <c r="BA472" i="8"/>
  <c r="AZ472" i="8"/>
  <c r="AY472" i="8"/>
  <c r="AX472" i="8"/>
  <c r="AW472" i="8"/>
  <c r="AV472" i="8"/>
  <c r="AU472" i="8"/>
  <c r="BA471" i="8"/>
  <c r="AZ471" i="8"/>
  <c r="AY471" i="8"/>
  <c r="AX471" i="8"/>
  <c r="AW471" i="8"/>
  <c r="AV471" i="8"/>
  <c r="AU471" i="8"/>
  <c r="BA470" i="8"/>
  <c r="AZ470" i="8"/>
  <c r="AY470" i="8"/>
  <c r="AX470" i="8"/>
  <c r="AW470" i="8"/>
  <c r="AU470" i="8"/>
  <c r="BA469" i="8"/>
  <c r="AZ469" i="8"/>
  <c r="AY469" i="8"/>
  <c r="AX469" i="8"/>
  <c r="AW469" i="8"/>
  <c r="AU469" i="8"/>
  <c r="BA468" i="8"/>
  <c r="AZ468" i="8"/>
  <c r="AY468" i="8"/>
  <c r="AX468" i="8"/>
  <c r="AW468" i="8"/>
  <c r="AU468" i="8"/>
  <c r="BA467" i="8"/>
  <c r="AZ467" i="8"/>
  <c r="AY467" i="8"/>
  <c r="AX467" i="8"/>
  <c r="AW467" i="8"/>
  <c r="AU467" i="8"/>
  <c r="BA466" i="8"/>
  <c r="AZ466" i="8"/>
  <c r="AY466" i="8"/>
  <c r="AX466" i="8"/>
  <c r="AW466" i="8"/>
  <c r="AU466" i="8"/>
  <c r="BA465" i="8"/>
  <c r="AZ465" i="8"/>
  <c r="AY465" i="8"/>
  <c r="AX465" i="8"/>
  <c r="AW465" i="8"/>
  <c r="AU465" i="8"/>
  <c r="BA464" i="8"/>
  <c r="AZ464" i="8"/>
  <c r="AY464" i="8"/>
  <c r="AX464" i="8"/>
  <c r="AW464" i="8"/>
  <c r="AV464" i="8"/>
  <c r="AU464" i="8"/>
  <c r="BA463" i="8"/>
  <c r="AZ463" i="8"/>
  <c r="AY463" i="8"/>
  <c r="AX463" i="8"/>
  <c r="AW463" i="8"/>
  <c r="AV463" i="8"/>
  <c r="AU463" i="8"/>
  <c r="BA462" i="8"/>
  <c r="AZ462" i="8"/>
  <c r="AY462" i="8"/>
  <c r="AX462" i="8"/>
  <c r="AW462" i="8"/>
  <c r="AV462" i="8"/>
  <c r="AU462" i="8"/>
  <c r="BA461" i="8"/>
  <c r="AZ461" i="8"/>
  <c r="AY461" i="8"/>
  <c r="AX461" i="8"/>
  <c r="AW461" i="8"/>
  <c r="AV461" i="8"/>
  <c r="AU461" i="8"/>
  <c r="BA460" i="8"/>
  <c r="AZ460" i="8"/>
  <c r="AY460" i="8"/>
  <c r="AX460" i="8"/>
  <c r="AW460" i="8"/>
  <c r="AV460" i="8"/>
  <c r="AU460" i="8"/>
  <c r="BA459" i="8"/>
  <c r="AZ459" i="8"/>
  <c r="AY459" i="8"/>
  <c r="AX459" i="8"/>
  <c r="AW459" i="8"/>
  <c r="AV459" i="8"/>
  <c r="AU459" i="8"/>
  <c r="BA446" i="8"/>
  <c r="AZ446" i="8"/>
  <c r="AY446" i="8"/>
  <c r="AX446" i="8"/>
  <c r="AW446" i="8"/>
  <c r="AU446" i="8"/>
  <c r="BA445" i="8"/>
  <c r="AZ445" i="8"/>
  <c r="AY445" i="8"/>
  <c r="AX445" i="8"/>
  <c r="AW445" i="8"/>
  <c r="AU445" i="8"/>
  <c r="BA444" i="8"/>
  <c r="AZ444" i="8"/>
  <c r="AY444" i="8"/>
  <c r="AX444" i="8"/>
  <c r="AW444" i="8"/>
  <c r="AU444" i="8"/>
  <c r="BA443" i="8"/>
  <c r="AZ443" i="8"/>
  <c r="AY443" i="8"/>
  <c r="AX443" i="8"/>
  <c r="AW443" i="8"/>
  <c r="AU443" i="8"/>
  <c r="BA442" i="8"/>
  <c r="AZ442" i="8"/>
  <c r="AY442" i="8"/>
  <c r="AX442" i="8"/>
  <c r="AW442" i="8"/>
  <c r="AU442" i="8"/>
  <c r="BA441" i="8"/>
  <c r="AZ441" i="8"/>
  <c r="AY441" i="8"/>
  <c r="AX441" i="8"/>
  <c r="AW441" i="8"/>
  <c r="AU441" i="8"/>
  <c r="BA440" i="8"/>
  <c r="AZ440" i="8"/>
  <c r="AY440" i="8"/>
  <c r="AX440" i="8"/>
  <c r="AW440" i="8"/>
  <c r="AV440" i="8"/>
  <c r="AU440" i="8"/>
  <c r="BA439" i="8"/>
  <c r="AZ439" i="8"/>
  <c r="AY439" i="8"/>
  <c r="AX439" i="8"/>
  <c r="AW439" i="8"/>
  <c r="AV439" i="8"/>
  <c r="AU439" i="8"/>
  <c r="BA438" i="8"/>
  <c r="AZ438" i="8"/>
  <c r="AY438" i="8"/>
  <c r="AX438" i="8"/>
  <c r="AW438" i="8"/>
  <c r="AV438" i="8"/>
  <c r="AU438" i="8"/>
  <c r="BA437" i="8"/>
  <c r="AZ437" i="8"/>
  <c r="AY437" i="8"/>
  <c r="AX437" i="8"/>
  <c r="AW437" i="8"/>
  <c r="AV437" i="8"/>
  <c r="AU437" i="8"/>
  <c r="BA436" i="8"/>
  <c r="AZ436" i="8"/>
  <c r="AY436" i="8"/>
  <c r="AX436" i="8"/>
  <c r="AW436" i="8"/>
  <c r="AV436" i="8"/>
  <c r="AU436" i="8"/>
  <c r="BA435" i="8"/>
  <c r="AZ435" i="8"/>
  <c r="AY435" i="8"/>
  <c r="AX435" i="8"/>
  <c r="AW435" i="8"/>
  <c r="AV435" i="8"/>
  <c r="AU435" i="8"/>
  <c r="BA434" i="8"/>
  <c r="AZ434" i="8"/>
  <c r="AY434" i="8"/>
  <c r="AX434" i="8"/>
  <c r="AW434" i="8"/>
  <c r="AU434" i="8"/>
  <c r="BA433" i="8"/>
  <c r="AZ433" i="8"/>
  <c r="AY433" i="8"/>
  <c r="AX433" i="8"/>
  <c r="AW433" i="8"/>
  <c r="AU433" i="8"/>
  <c r="BA432" i="8"/>
  <c r="AZ432" i="8"/>
  <c r="AY432" i="8"/>
  <c r="AX432" i="8"/>
  <c r="AW432" i="8"/>
  <c r="AU432" i="8"/>
  <c r="BA431" i="8"/>
  <c r="AZ431" i="8"/>
  <c r="AY431" i="8"/>
  <c r="AX431" i="8"/>
  <c r="AW431" i="8"/>
  <c r="AU431" i="8"/>
  <c r="BA430" i="8"/>
  <c r="AZ430" i="8"/>
  <c r="AY430" i="8"/>
  <c r="AX430" i="8"/>
  <c r="AW430" i="8"/>
  <c r="AU430" i="8"/>
  <c r="BA429" i="8"/>
  <c r="AZ429" i="8"/>
  <c r="AY429" i="8"/>
  <c r="AX429" i="8"/>
  <c r="AW429" i="8"/>
  <c r="AU429" i="8"/>
  <c r="BA428" i="8"/>
  <c r="AZ428" i="8"/>
  <c r="AY428" i="8"/>
  <c r="AX428" i="8"/>
  <c r="AW428" i="8"/>
  <c r="AV428" i="8"/>
  <c r="AU428" i="8"/>
  <c r="BA427" i="8"/>
  <c r="AZ427" i="8"/>
  <c r="AY427" i="8"/>
  <c r="AX427" i="8"/>
  <c r="AW427" i="8"/>
  <c r="AV427" i="8"/>
  <c r="AU427" i="8"/>
  <c r="BA426" i="8"/>
  <c r="AZ426" i="8"/>
  <c r="AY426" i="8"/>
  <c r="AX426" i="8"/>
  <c r="AW426" i="8"/>
  <c r="AV426" i="8"/>
  <c r="AU426" i="8"/>
  <c r="BA425" i="8"/>
  <c r="AZ425" i="8"/>
  <c r="AY425" i="8"/>
  <c r="AX425" i="8"/>
  <c r="AW425" i="8"/>
  <c r="AV425" i="8"/>
  <c r="AU425" i="8"/>
  <c r="BA424" i="8"/>
  <c r="AZ424" i="8"/>
  <c r="AY424" i="8"/>
  <c r="AX424" i="8"/>
  <c r="AW424" i="8"/>
  <c r="AV424" i="8"/>
  <c r="AU424" i="8"/>
  <c r="BA423" i="8"/>
  <c r="AZ423" i="8"/>
  <c r="AY423" i="8"/>
  <c r="AX423" i="8"/>
  <c r="AW423" i="8"/>
  <c r="AV423" i="8"/>
  <c r="AU423" i="8"/>
  <c r="BA422" i="8"/>
  <c r="AZ422" i="8"/>
  <c r="AY422" i="8"/>
  <c r="AX422" i="8"/>
  <c r="AW422" i="8"/>
  <c r="AU422" i="8"/>
  <c r="BA421" i="8"/>
  <c r="AZ421" i="8"/>
  <c r="AY421" i="8"/>
  <c r="AX421" i="8"/>
  <c r="AW421" i="8"/>
  <c r="AU421" i="8"/>
  <c r="BA420" i="8"/>
  <c r="AZ420" i="8"/>
  <c r="AY420" i="8"/>
  <c r="AX420" i="8"/>
  <c r="AW420" i="8"/>
  <c r="AU420" i="8"/>
  <c r="BA419" i="8"/>
  <c r="AZ419" i="8"/>
  <c r="AY419" i="8"/>
  <c r="AX419" i="8"/>
  <c r="AW419" i="8"/>
  <c r="AU419" i="8"/>
  <c r="BA418" i="8"/>
  <c r="AZ418" i="8"/>
  <c r="AY418" i="8"/>
  <c r="AX418" i="8"/>
  <c r="AW418" i="8"/>
  <c r="AU418" i="8"/>
  <c r="BA417" i="8"/>
  <c r="AZ417" i="8"/>
  <c r="AY417" i="8"/>
  <c r="AX417" i="8"/>
  <c r="AW417" i="8"/>
  <c r="AU417" i="8"/>
  <c r="BA416" i="8"/>
  <c r="AZ416" i="8"/>
  <c r="AY416" i="8"/>
  <c r="AX416" i="8"/>
  <c r="AW416" i="8"/>
  <c r="AU416" i="8"/>
  <c r="BA415" i="8"/>
  <c r="AZ415" i="8"/>
  <c r="AY415" i="8"/>
  <c r="AX415" i="8"/>
  <c r="AW415" i="8"/>
  <c r="AV415" i="8"/>
  <c r="AU415" i="8"/>
  <c r="BA414" i="8"/>
  <c r="AZ414" i="8"/>
  <c r="AY414" i="8"/>
  <c r="AX414" i="8"/>
  <c r="AW414" i="8"/>
  <c r="AV414" i="8"/>
  <c r="AU414" i="8"/>
  <c r="BA413" i="8"/>
  <c r="AZ413" i="8"/>
  <c r="AY413" i="8"/>
  <c r="AX413" i="8"/>
  <c r="AW413" i="8"/>
  <c r="AV413" i="8"/>
  <c r="AU413" i="8"/>
  <c r="BA412" i="8"/>
  <c r="AZ412" i="8"/>
  <c r="AY412" i="8"/>
  <c r="AX412" i="8"/>
  <c r="AW412" i="8"/>
  <c r="AV412" i="8"/>
  <c r="AU412" i="8"/>
  <c r="BA411" i="8"/>
  <c r="AZ411" i="8"/>
  <c r="AY411" i="8"/>
  <c r="AX411" i="8"/>
  <c r="AW411" i="8"/>
  <c r="AV411" i="8"/>
  <c r="AU411" i="8"/>
  <c r="BA410" i="8"/>
  <c r="AZ410" i="8"/>
  <c r="AY410" i="8"/>
  <c r="AX410" i="8"/>
  <c r="AW410" i="8"/>
  <c r="AV410" i="8"/>
  <c r="AU410" i="8"/>
  <c r="BA409" i="8"/>
  <c r="AZ409" i="8"/>
  <c r="AY409" i="8"/>
  <c r="AX409" i="8"/>
  <c r="AW409" i="8"/>
  <c r="AV409" i="8"/>
  <c r="AU409" i="8"/>
  <c r="BA408" i="8"/>
  <c r="AZ408" i="8"/>
  <c r="AY408" i="8"/>
  <c r="AX408" i="8"/>
  <c r="AW408" i="8"/>
  <c r="AU408" i="8"/>
  <c r="BA407" i="8"/>
  <c r="AZ407" i="8"/>
  <c r="AY407" i="8"/>
  <c r="AX407" i="8"/>
  <c r="AW407" i="8"/>
  <c r="AU407" i="8"/>
  <c r="BA406" i="8"/>
  <c r="AZ406" i="8"/>
  <c r="AY406" i="8"/>
  <c r="AX406" i="8"/>
  <c r="AW406" i="8"/>
  <c r="AU406" i="8"/>
  <c r="BA405" i="8"/>
  <c r="AZ405" i="8"/>
  <c r="AY405" i="8"/>
  <c r="AX405" i="8"/>
  <c r="AW405" i="8"/>
  <c r="AU405" i="8"/>
  <c r="BA404" i="8"/>
  <c r="AZ404" i="8"/>
  <c r="AY404" i="8"/>
  <c r="AX404" i="8"/>
  <c r="AW404" i="8"/>
  <c r="AU404" i="8"/>
  <c r="BA403" i="8"/>
  <c r="AZ403" i="8"/>
  <c r="AY403" i="8"/>
  <c r="AX403" i="8"/>
  <c r="AW403" i="8"/>
  <c r="AU403" i="8"/>
  <c r="BA402" i="8"/>
  <c r="AZ402" i="8"/>
  <c r="AY402" i="8"/>
  <c r="AX402" i="8"/>
  <c r="AW402" i="8"/>
  <c r="AV402" i="8"/>
  <c r="AU402" i="8"/>
  <c r="BA401" i="8"/>
  <c r="AZ401" i="8"/>
  <c r="AY401" i="8"/>
  <c r="AX401" i="8"/>
  <c r="AW401" i="8"/>
  <c r="AV401" i="8"/>
  <c r="AU401" i="8"/>
  <c r="BA400" i="8"/>
  <c r="AZ400" i="8"/>
  <c r="AY400" i="8"/>
  <c r="AX400" i="8"/>
  <c r="AW400" i="8"/>
  <c r="AV400" i="8"/>
  <c r="AU400" i="8"/>
  <c r="BA399" i="8"/>
  <c r="AZ399" i="8"/>
  <c r="AY399" i="8"/>
  <c r="AX399" i="8"/>
  <c r="AW399" i="8"/>
  <c r="AV399" i="8"/>
  <c r="AU399" i="8"/>
  <c r="BA398" i="8"/>
  <c r="AZ398" i="8"/>
  <c r="AY398" i="8"/>
  <c r="AX398" i="8"/>
  <c r="AW398" i="8"/>
  <c r="AV398" i="8"/>
  <c r="AU398" i="8"/>
  <c r="BA397" i="8"/>
  <c r="AZ397" i="8"/>
  <c r="AY397" i="8"/>
  <c r="AX397" i="8"/>
  <c r="AW397" i="8"/>
  <c r="AV397" i="8"/>
  <c r="AU397" i="8"/>
  <c r="BA396" i="8"/>
  <c r="AZ396" i="8"/>
  <c r="AY396" i="8"/>
  <c r="AX396" i="8"/>
  <c r="AW396" i="8"/>
  <c r="AU396" i="8"/>
  <c r="BA395" i="8"/>
  <c r="AZ395" i="8"/>
  <c r="AY395" i="8"/>
  <c r="AX395" i="8"/>
  <c r="AW395" i="8"/>
  <c r="AU395" i="8"/>
  <c r="BA394" i="8"/>
  <c r="AZ394" i="8"/>
  <c r="AY394" i="8"/>
  <c r="AX394" i="8"/>
  <c r="AW394" i="8"/>
  <c r="AU394" i="8"/>
  <c r="BA393" i="8"/>
  <c r="AZ393" i="8"/>
  <c r="AY393" i="8"/>
  <c r="AX393" i="8"/>
  <c r="AW393" i="8"/>
  <c r="AU393" i="8"/>
  <c r="BA392" i="8"/>
  <c r="AZ392" i="8"/>
  <c r="AY392" i="8"/>
  <c r="AX392" i="8"/>
  <c r="AW392" i="8"/>
  <c r="AU392" i="8"/>
  <c r="BA391" i="8"/>
  <c r="AZ391" i="8"/>
  <c r="AY391" i="8"/>
  <c r="AX391" i="8"/>
  <c r="AW391" i="8"/>
  <c r="AU391" i="8"/>
  <c r="BA390" i="8"/>
  <c r="AZ390" i="8"/>
  <c r="AY390" i="8"/>
  <c r="AX390" i="8"/>
  <c r="AW390" i="8"/>
  <c r="AV390" i="8"/>
  <c r="AU390" i="8"/>
  <c r="BA389" i="8"/>
  <c r="AZ389" i="8"/>
  <c r="AY389" i="8"/>
  <c r="AX389" i="8"/>
  <c r="AW389" i="8"/>
  <c r="AV389" i="8"/>
  <c r="AU389" i="8"/>
  <c r="BA388" i="8"/>
  <c r="AZ388" i="8"/>
  <c r="AY388" i="8"/>
  <c r="AX388" i="8"/>
  <c r="AW388" i="8"/>
  <c r="AV388" i="8"/>
  <c r="AU388" i="8"/>
  <c r="BA387" i="8"/>
  <c r="AZ387" i="8"/>
  <c r="AY387" i="8"/>
  <c r="AX387" i="8"/>
  <c r="AW387" i="8"/>
  <c r="AV387" i="8"/>
  <c r="AU387" i="8"/>
  <c r="BA386" i="8"/>
  <c r="AZ386" i="8"/>
  <c r="AY386" i="8"/>
  <c r="AX386" i="8"/>
  <c r="AW386" i="8"/>
  <c r="AV386" i="8"/>
  <c r="AU386" i="8"/>
  <c r="BA385" i="8"/>
  <c r="AZ385" i="8"/>
  <c r="AY385" i="8"/>
  <c r="AX385" i="8"/>
  <c r="AW385" i="8"/>
  <c r="AV385" i="8"/>
  <c r="AU385" i="8"/>
  <c r="BA372" i="8"/>
  <c r="AZ372" i="8"/>
  <c r="AY372" i="8"/>
  <c r="AX372" i="8"/>
  <c r="AW372" i="8"/>
  <c r="AU372" i="8"/>
  <c r="BA371" i="8"/>
  <c r="AZ371" i="8"/>
  <c r="AY371" i="8"/>
  <c r="AX371" i="8"/>
  <c r="AW371" i="8"/>
  <c r="AU371" i="8"/>
  <c r="BA370" i="8"/>
  <c r="AZ370" i="8"/>
  <c r="AY370" i="8"/>
  <c r="AX370" i="8"/>
  <c r="AW370" i="8"/>
  <c r="AU370" i="8"/>
  <c r="BA369" i="8"/>
  <c r="AZ369" i="8"/>
  <c r="AY369" i="8"/>
  <c r="AX369" i="8"/>
  <c r="AW369" i="8"/>
  <c r="AU369" i="8"/>
  <c r="BA368" i="8"/>
  <c r="AZ368" i="8"/>
  <c r="AY368" i="8"/>
  <c r="AX368" i="8"/>
  <c r="AW368" i="8"/>
  <c r="AU368" i="8"/>
  <c r="BA367" i="8"/>
  <c r="AZ367" i="8"/>
  <c r="AY367" i="8"/>
  <c r="AX367" i="8"/>
  <c r="AW367" i="8"/>
  <c r="AU367" i="8"/>
  <c r="BA366" i="8"/>
  <c r="AZ366" i="8"/>
  <c r="AY366" i="8"/>
  <c r="AX366" i="8"/>
  <c r="AW366" i="8"/>
  <c r="AV366" i="8"/>
  <c r="AU366" i="8"/>
  <c r="BA365" i="8"/>
  <c r="AZ365" i="8"/>
  <c r="AY365" i="8"/>
  <c r="AX365" i="8"/>
  <c r="AW365" i="8"/>
  <c r="AV365" i="8"/>
  <c r="AU365" i="8"/>
  <c r="BA364" i="8"/>
  <c r="AZ364" i="8"/>
  <c r="AY364" i="8"/>
  <c r="AX364" i="8"/>
  <c r="AW364" i="8"/>
  <c r="AV364" i="8"/>
  <c r="AU364" i="8"/>
  <c r="BA363" i="8"/>
  <c r="AZ363" i="8"/>
  <c r="AY363" i="8"/>
  <c r="AX363" i="8"/>
  <c r="AW363" i="8"/>
  <c r="AV363" i="8"/>
  <c r="AU363" i="8"/>
  <c r="BA362" i="8"/>
  <c r="AZ362" i="8"/>
  <c r="AY362" i="8"/>
  <c r="AX362" i="8"/>
  <c r="AW362" i="8"/>
  <c r="AV362" i="8"/>
  <c r="AU362" i="8"/>
  <c r="BA361" i="8"/>
  <c r="AZ361" i="8"/>
  <c r="AY361" i="8"/>
  <c r="AX361" i="8"/>
  <c r="AW361" i="8"/>
  <c r="AV361" i="8"/>
  <c r="AU361" i="8"/>
  <c r="BA360" i="8"/>
  <c r="AZ360" i="8"/>
  <c r="AY360" i="8"/>
  <c r="AX360" i="8"/>
  <c r="AW360" i="8"/>
  <c r="AU360" i="8"/>
  <c r="BA359" i="8"/>
  <c r="AZ359" i="8"/>
  <c r="AY359" i="8"/>
  <c r="AX359" i="8"/>
  <c r="AW359" i="8"/>
  <c r="AU359" i="8"/>
  <c r="BA358" i="8"/>
  <c r="AZ358" i="8"/>
  <c r="AY358" i="8"/>
  <c r="AX358" i="8"/>
  <c r="AW358" i="8"/>
  <c r="AU358" i="8"/>
  <c r="BA357" i="8"/>
  <c r="AZ357" i="8"/>
  <c r="AY357" i="8"/>
  <c r="AX357" i="8"/>
  <c r="AW357" i="8"/>
  <c r="AU357" i="8"/>
  <c r="BA356" i="8"/>
  <c r="AZ356" i="8"/>
  <c r="AY356" i="8"/>
  <c r="AX356" i="8"/>
  <c r="AW356" i="8"/>
  <c r="AU356" i="8"/>
  <c r="BA355" i="8"/>
  <c r="AZ355" i="8"/>
  <c r="AY355" i="8"/>
  <c r="AX355" i="8"/>
  <c r="AW355" i="8"/>
  <c r="AU355" i="8"/>
  <c r="BA354" i="8"/>
  <c r="AZ354" i="8"/>
  <c r="AY354" i="8"/>
  <c r="AX354" i="8"/>
  <c r="AW354" i="8"/>
  <c r="AV354" i="8"/>
  <c r="AU354" i="8"/>
  <c r="BA353" i="8"/>
  <c r="AZ353" i="8"/>
  <c r="AY353" i="8"/>
  <c r="AX353" i="8"/>
  <c r="AW353" i="8"/>
  <c r="AV353" i="8"/>
  <c r="AU353" i="8"/>
  <c r="BA352" i="8"/>
  <c r="AZ352" i="8"/>
  <c r="AY352" i="8"/>
  <c r="AX352" i="8"/>
  <c r="AW352" i="8"/>
  <c r="AV352" i="8"/>
  <c r="AU352" i="8"/>
  <c r="BA351" i="8"/>
  <c r="AZ351" i="8"/>
  <c r="AY351" i="8"/>
  <c r="AX351" i="8"/>
  <c r="AW351" i="8"/>
  <c r="AV351" i="8"/>
  <c r="AU351" i="8"/>
  <c r="BA350" i="8"/>
  <c r="AZ350" i="8"/>
  <c r="AY350" i="8"/>
  <c r="AX350" i="8"/>
  <c r="AW350" i="8"/>
  <c r="AV350" i="8"/>
  <c r="AU350" i="8"/>
  <c r="BA349" i="8"/>
  <c r="AZ349" i="8"/>
  <c r="AY349" i="8"/>
  <c r="AX349" i="8"/>
  <c r="AW349" i="8"/>
  <c r="AV349" i="8"/>
  <c r="AU349" i="8"/>
  <c r="BA348" i="8"/>
  <c r="AZ348" i="8"/>
  <c r="AY348" i="8"/>
  <c r="AX348" i="8"/>
  <c r="AW348" i="8"/>
  <c r="AU348" i="8"/>
  <c r="BA347" i="8"/>
  <c r="AZ347" i="8"/>
  <c r="AY347" i="8"/>
  <c r="AX347" i="8"/>
  <c r="AW347" i="8"/>
  <c r="AU347" i="8"/>
  <c r="BA346" i="8"/>
  <c r="AZ346" i="8"/>
  <c r="AY346" i="8"/>
  <c r="AX346" i="8"/>
  <c r="AW346" i="8"/>
  <c r="AU346" i="8"/>
  <c r="BA345" i="8"/>
  <c r="AZ345" i="8"/>
  <c r="AY345" i="8"/>
  <c r="AX345" i="8"/>
  <c r="AW345" i="8"/>
  <c r="AU345" i="8"/>
  <c r="BA344" i="8"/>
  <c r="AZ344" i="8"/>
  <c r="AY344" i="8"/>
  <c r="AX344" i="8"/>
  <c r="AW344" i="8"/>
  <c r="AU344" i="8"/>
  <c r="BA343" i="8"/>
  <c r="AZ343" i="8"/>
  <c r="AY343" i="8"/>
  <c r="AX343" i="8"/>
  <c r="AW343" i="8"/>
  <c r="AU343" i="8"/>
  <c r="BA342" i="8"/>
  <c r="AZ342" i="8"/>
  <c r="AY342" i="8"/>
  <c r="AX342" i="8"/>
  <c r="AW342" i="8"/>
  <c r="AU342" i="8"/>
  <c r="BA341" i="8"/>
  <c r="AZ341" i="8"/>
  <c r="AY341" i="8"/>
  <c r="AX341" i="8"/>
  <c r="AW341" i="8"/>
  <c r="AV341" i="8"/>
  <c r="AU341" i="8"/>
  <c r="BA340" i="8"/>
  <c r="AZ340" i="8"/>
  <c r="AY340" i="8"/>
  <c r="AX340" i="8"/>
  <c r="AW340" i="8"/>
  <c r="AV340" i="8"/>
  <c r="AU340" i="8"/>
  <c r="BA339" i="8"/>
  <c r="AZ339" i="8"/>
  <c r="AY339" i="8"/>
  <c r="AX339" i="8"/>
  <c r="AW339" i="8"/>
  <c r="AV339" i="8"/>
  <c r="AU339" i="8"/>
  <c r="BA338" i="8"/>
  <c r="AZ338" i="8"/>
  <c r="AY338" i="8"/>
  <c r="AX338" i="8"/>
  <c r="AW338" i="8"/>
  <c r="AV338" i="8"/>
  <c r="AU338" i="8"/>
  <c r="BA337" i="8"/>
  <c r="AZ337" i="8"/>
  <c r="AY337" i="8"/>
  <c r="AX337" i="8"/>
  <c r="AW337" i="8"/>
  <c r="AV337" i="8"/>
  <c r="AU337" i="8"/>
  <c r="BA336" i="8"/>
  <c r="AZ336" i="8"/>
  <c r="AY336" i="8"/>
  <c r="AX336" i="8"/>
  <c r="AW336" i="8"/>
  <c r="AV336" i="8"/>
  <c r="AU336" i="8"/>
  <c r="BA335" i="8"/>
  <c r="AZ335" i="8"/>
  <c r="AY335" i="8"/>
  <c r="AX335" i="8"/>
  <c r="AW335" i="8"/>
  <c r="AV335" i="8"/>
  <c r="AU335" i="8"/>
  <c r="BA334" i="8"/>
  <c r="AZ334" i="8"/>
  <c r="AY334" i="8"/>
  <c r="AX334" i="8"/>
  <c r="AW334" i="8"/>
  <c r="AU334" i="8"/>
  <c r="BA333" i="8"/>
  <c r="AZ333" i="8"/>
  <c r="AY333" i="8"/>
  <c r="AX333" i="8"/>
  <c r="AW333" i="8"/>
  <c r="AU333" i="8"/>
  <c r="BA332" i="8"/>
  <c r="AZ332" i="8"/>
  <c r="AY332" i="8"/>
  <c r="AX332" i="8"/>
  <c r="AW332" i="8"/>
  <c r="AU332" i="8"/>
  <c r="BA331" i="8"/>
  <c r="AZ331" i="8"/>
  <c r="AY331" i="8"/>
  <c r="AX331" i="8"/>
  <c r="AW331" i="8"/>
  <c r="AU331" i="8"/>
  <c r="BA330" i="8"/>
  <c r="AZ330" i="8"/>
  <c r="AY330" i="8"/>
  <c r="AX330" i="8"/>
  <c r="AW330" i="8"/>
  <c r="AU330" i="8"/>
  <c r="BA329" i="8"/>
  <c r="AZ329" i="8"/>
  <c r="AY329" i="8"/>
  <c r="AX329" i="8"/>
  <c r="AW329" i="8"/>
  <c r="AU329" i="8"/>
  <c r="BA328" i="8"/>
  <c r="AZ328" i="8"/>
  <c r="AY328" i="8"/>
  <c r="AX328" i="8"/>
  <c r="AW328" i="8"/>
  <c r="AV328" i="8"/>
  <c r="AU328" i="8"/>
  <c r="BA327" i="8"/>
  <c r="AZ327" i="8"/>
  <c r="AY327" i="8"/>
  <c r="AX327" i="8"/>
  <c r="AW327" i="8"/>
  <c r="AV327" i="8"/>
  <c r="AU327" i="8"/>
  <c r="BA326" i="8"/>
  <c r="AZ326" i="8"/>
  <c r="AY326" i="8"/>
  <c r="AX326" i="8"/>
  <c r="AW326" i="8"/>
  <c r="AV326" i="8"/>
  <c r="AU326" i="8"/>
  <c r="BA325" i="8"/>
  <c r="AZ325" i="8"/>
  <c r="AY325" i="8"/>
  <c r="AX325" i="8"/>
  <c r="AW325" i="8"/>
  <c r="AV325" i="8"/>
  <c r="AU325" i="8"/>
  <c r="BA324" i="8"/>
  <c r="AZ324" i="8"/>
  <c r="AY324" i="8"/>
  <c r="AX324" i="8"/>
  <c r="AW324" i="8"/>
  <c r="AV324" i="8"/>
  <c r="AU324" i="8"/>
  <c r="BA323" i="8"/>
  <c r="AZ323" i="8"/>
  <c r="AY323" i="8"/>
  <c r="AX323" i="8"/>
  <c r="AW323" i="8"/>
  <c r="AV323" i="8"/>
  <c r="AU323" i="8"/>
  <c r="BA322" i="8"/>
  <c r="AZ322" i="8"/>
  <c r="AY322" i="8"/>
  <c r="AX322" i="8"/>
  <c r="AW322" i="8"/>
  <c r="AU322" i="8"/>
  <c r="BA321" i="8"/>
  <c r="AZ321" i="8"/>
  <c r="AY321" i="8"/>
  <c r="AX321" i="8"/>
  <c r="AW321" i="8"/>
  <c r="AU321" i="8"/>
  <c r="BA320" i="8"/>
  <c r="AZ320" i="8"/>
  <c r="AY320" i="8"/>
  <c r="AX320" i="8"/>
  <c r="AW320" i="8"/>
  <c r="AU320" i="8"/>
  <c r="BA319" i="8"/>
  <c r="AZ319" i="8"/>
  <c r="AY319" i="8"/>
  <c r="AX319" i="8"/>
  <c r="AW319" i="8"/>
  <c r="AU319" i="8"/>
  <c r="BA318" i="8"/>
  <c r="AZ318" i="8"/>
  <c r="AY318" i="8"/>
  <c r="AX318" i="8"/>
  <c r="AW318" i="8"/>
  <c r="AU318" i="8"/>
  <c r="BA317" i="8"/>
  <c r="AZ317" i="8"/>
  <c r="AY317" i="8"/>
  <c r="AX317" i="8"/>
  <c r="AW317" i="8"/>
  <c r="AU317" i="8"/>
  <c r="BA316" i="8"/>
  <c r="AZ316" i="8"/>
  <c r="AY316" i="8"/>
  <c r="AX316" i="8"/>
  <c r="AW316" i="8"/>
  <c r="AV316" i="8"/>
  <c r="AU316" i="8"/>
  <c r="BA315" i="8"/>
  <c r="AZ315" i="8"/>
  <c r="AY315" i="8"/>
  <c r="AX315" i="8"/>
  <c r="AW315" i="8"/>
  <c r="AV315" i="8"/>
  <c r="AU315" i="8"/>
  <c r="BA314" i="8"/>
  <c r="AZ314" i="8"/>
  <c r="AY314" i="8"/>
  <c r="AX314" i="8"/>
  <c r="AW314" i="8"/>
  <c r="AV314" i="8"/>
  <c r="AU314" i="8"/>
  <c r="BA313" i="8"/>
  <c r="AZ313" i="8"/>
  <c r="AY313" i="8"/>
  <c r="AX313" i="8"/>
  <c r="AW313" i="8"/>
  <c r="AV313" i="8"/>
  <c r="AU313" i="8"/>
  <c r="BA312" i="8"/>
  <c r="AZ312" i="8"/>
  <c r="AY312" i="8"/>
  <c r="AX312" i="8"/>
  <c r="AW312" i="8"/>
  <c r="AV312" i="8"/>
  <c r="AU312" i="8"/>
  <c r="BA311" i="8"/>
  <c r="AZ311" i="8"/>
  <c r="AY311" i="8"/>
  <c r="AX311" i="8"/>
  <c r="AW311" i="8"/>
  <c r="AV311" i="8"/>
  <c r="AU311" i="8"/>
  <c r="BA298" i="8"/>
  <c r="AZ298" i="8"/>
  <c r="AY298" i="8"/>
  <c r="AX298" i="8"/>
  <c r="AW298" i="8"/>
  <c r="AU298" i="8"/>
  <c r="BA297" i="8"/>
  <c r="AZ297" i="8"/>
  <c r="AY297" i="8"/>
  <c r="AX297" i="8"/>
  <c r="AW297" i="8"/>
  <c r="AU297" i="8"/>
  <c r="BA296" i="8"/>
  <c r="AZ296" i="8"/>
  <c r="AY296" i="8"/>
  <c r="AX296" i="8"/>
  <c r="AW296" i="8"/>
  <c r="AU296" i="8"/>
  <c r="BA295" i="8"/>
  <c r="AZ295" i="8"/>
  <c r="AY295" i="8"/>
  <c r="AX295" i="8"/>
  <c r="AW295" i="8"/>
  <c r="AU295" i="8"/>
  <c r="BA294" i="8"/>
  <c r="AZ294" i="8"/>
  <c r="AY294" i="8"/>
  <c r="AX294" i="8"/>
  <c r="AW294" i="8"/>
  <c r="AU294" i="8"/>
  <c r="BA293" i="8"/>
  <c r="AZ293" i="8"/>
  <c r="AY293" i="8"/>
  <c r="AX293" i="8"/>
  <c r="AW293" i="8"/>
  <c r="AU293" i="8"/>
  <c r="BA292" i="8"/>
  <c r="AZ292" i="8"/>
  <c r="AY292" i="8"/>
  <c r="AX292" i="8"/>
  <c r="AW292" i="8"/>
  <c r="AV292" i="8"/>
  <c r="AU292" i="8"/>
  <c r="BA291" i="8"/>
  <c r="AZ291" i="8"/>
  <c r="AY291" i="8"/>
  <c r="AX291" i="8"/>
  <c r="AW291" i="8"/>
  <c r="AV291" i="8"/>
  <c r="AU291" i="8"/>
  <c r="BA290" i="8"/>
  <c r="AZ290" i="8"/>
  <c r="AY290" i="8"/>
  <c r="AX290" i="8"/>
  <c r="AW290" i="8"/>
  <c r="AV290" i="8"/>
  <c r="AU290" i="8"/>
  <c r="BA289" i="8"/>
  <c r="AZ289" i="8"/>
  <c r="AY289" i="8"/>
  <c r="AX289" i="8"/>
  <c r="AW289" i="8"/>
  <c r="AV289" i="8"/>
  <c r="AU289" i="8"/>
  <c r="BA288" i="8"/>
  <c r="AZ288" i="8"/>
  <c r="AY288" i="8"/>
  <c r="AX288" i="8"/>
  <c r="AW288" i="8"/>
  <c r="AV288" i="8"/>
  <c r="AU288" i="8"/>
  <c r="BA287" i="8"/>
  <c r="AZ287" i="8"/>
  <c r="AY287" i="8"/>
  <c r="AX287" i="8"/>
  <c r="AW287" i="8"/>
  <c r="AV287" i="8"/>
  <c r="AU287" i="8"/>
  <c r="BA286" i="8"/>
  <c r="AZ286" i="8"/>
  <c r="AY286" i="8"/>
  <c r="AX286" i="8"/>
  <c r="AW286" i="8"/>
  <c r="AU286" i="8"/>
  <c r="BA285" i="8"/>
  <c r="AZ285" i="8"/>
  <c r="AY285" i="8"/>
  <c r="AX285" i="8"/>
  <c r="AW285" i="8"/>
  <c r="AU285" i="8"/>
  <c r="BA284" i="8"/>
  <c r="AZ284" i="8"/>
  <c r="AY284" i="8"/>
  <c r="AX284" i="8"/>
  <c r="AW284" i="8"/>
  <c r="AU284" i="8"/>
  <c r="BA283" i="8"/>
  <c r="AZ283" i="8"/>
  <c r="AY283" i="8"/>
  <c r="AX283" i="8"/>
  <c r="AW283" i="8"/>
  <c r="AU283" i="8"/>
  <c r="BA282" i="8"/>
  <c r="AZ282" i="8"/>
  <c r="AY282" i="8"/>
  <c r="AX282" i="8"/>
  <c r="AW282" i="8"/>
  <c r="AU282" i="8"/>
  <c r="BA281" i="8"/>
  <c r="AZ281" i="8"/>
  <c r="AY281" i="8"/>
  <c r="AX281" i="8"/>
  <c r="AW281" i="8"/>
  <c r="AU281" i="8"/>
  <c r="BA280" i="8"/>
  <c r="AZ280" i="8"/>
  <c r="AY280" i="8"/>
  <c r="AX280" i="8"/>
  <c r="AW280" i="8"/>
  <c r="AV280" i="8"/>
  <c r="AU280" i="8"/>
  <c r="BA279" i="8"/>
  <c r="AZ279" i="8"/>
  <c r="AY279" i="8"/>
  <c r="AX279" i="8"/>
  <c r="AW279" i="8"/>
  <c r="AV279" i="8"/>
  <c r="AU279" i="8"/>
  <c r="BA278" i="8"/>
  <c r="AZ278" i="8"/>
  <c r="AY278" i="8"/>
  <c r="AX278" i="8"/>
  <c r="AW278" i="8"/>
  <c r="AV278" i="8"/>
  <c r="AU278" i="8"/>
  <c r="BA277" i="8"/>
  <c r="AZ277" i="8"/>
  <c r="AY277" i="8"/>
  <c r="AX277" i="8"/>
  <c r="AW277" i="8"/>
  <c r="AV277" i="8"/>
  <c r="AU277" i="8"/>
  <c r="BA276" i="8"/>
  <c r="AZ276" i="8"/>
  <c r="AY276" i="8"/>
  <c r="AX276" i="8"/>
  <c r="AW276" i="8"/>
  <c r="AV276" i="8"/>
  <c r="AU276" i="8"/>
  <c r="BA275" i="8"/>
  <c r="AZ275" i="8"/>
  <c r="AY275" i="8"/>
  <c r="AX275" i="8"/>
  <c r="AW275" i="8"/>
  <c r="AV275" i="8"/>
  <c r="AU275" i="8"/>
  <c r="BA226" i="8"/>
  <c r="AZ226" i="8"/>
  <c r="AY226" i="8"/>
  <c r="AX226" i="8"/>
  <c r="AW226" i="8"/>
  <c r="AU226" i="8"/>
  <c r="BA224" i="8"/>
  <c r="AZ224" i="8"/>
  <c r="AY224" i="8"/>
  <c r="AX224" i="8"/>
  <c r="AW224" i="8"/>
  <c r="AU224" i="8"/>
  <c r="BA223" i="8"/>
  <c r="AZ223" i="8"/>
  <c r="AY223" i="8"/>
  <c r="AX223" i="8"/>
  <c r="AW223" i="8"/>
  <c r="AU223" i="8"/>
  <c r="BA222" i="8"/>
  <c r="AZ222" i="8"/>
  <c r="AY222" i="8"/>
  <c r="AX222" i="8"/>
  <c r="AW222" i="8"/>
  <c r="AV222" i="8"/>
  <c r="AU222" i="8"/>
  <c r="BA220" i="8"/>
  <c r="AZ220" i="8"/>
  <c r="AY220" i="8"/>
  <c r="AX220" i="8"/>
  <c r="AW220" i="8"/>
  <c r="AV220" i="8"/>
  <c r="AU220" i="8"/>
  <c r="BA219" i="8"/>
  <c r="AZ219" i="8"/>
  <c r="AY219" i="8"/>
  <c r="AX219" i="8"/>
  <c r="AW219" i="8"/>
  <c r="AV219" i="8"/>
  <c r="AU219" i="8"/>
  <c r="BA218" i="8"/>
  <c r="AZ218" i="8"/>
  <c r="AY218" i="8"/>
  <c r="AX218" i="8"/>
  <c r="AW218" i="8"/>
  <c r="AU218" i="8"/>
  <c r="BA216" i="8"/>
  <c r="AZ216" i="8"/>
  <c r="AY216" i="8"/>
  <c r="AX216" i="8"/>
  <c r="AW216" i="8"/>
  <c r="AU216" i="8"/>
  <c r="BA215" i="8"/>
  <c r="AZ215" i="8"/>
  <c r="AY215" i="8"/>
  <c r="AX215" i="8"/>
  <c r="AW215" i="8"/>
  <c r="AU215" i="8"/>
  <c r="BA214" i="8"/>
  <c r="AZ214" i="8"/>
  <c r="AY214" i="8"/>
  <c r="AX214" i="8"/>
  <c r="AW214" i="8"/>
  <c r="AV214" i="8"/>
  <c r="AU214" i="8"/>
  <c r="BA212" i="8"/>
  <c r="AZ212" i="8"/>
  <c r="AY212" i="8"/>
  <c r="AX212" i="8"/>
  <c r="AW212" i="8"/>
  <c r="AV212" i="8"/>
  <c r="AU212" i="8"/>
  <c r="BA211" i="8"/>
  <c r="AZ211" i="8"/>
  <c r="AY211" i="8"/>
  <c r="AX211" i="8"/>
  <c r="AW211" i="8"/>
  <c r="AV211" i="8"/>
  <c r="AU211" i="8"/>
  <c r="BA210" i="8"/>
  <c r="AZ210" i="8"/>
  <c r="AY210" i="8"/>
  <c r="AX210" i="8"/>
  <c r="AW210" i="8"/>
  <c r="AU210" i="8"/>
  <c r="BA208" i="8"/>
  <c r="AZ208" i="8"/>
  <c r="AY208" i="8"/>
  <c r="AX208" i="8"/>
  <c r="AW208" i="8"/>
  <c r="AU208" i="8"/>
  <c r="BA207" i="8"/>
  <c r="AZ207" i="8"/>
  <c r="AY207" i="8"/>
  <c r="AX207" i="8"/>
  <c r="AW207" i="8"/>
  <c r="AU207" i="8"/>
  <c r="BA206" i="8"/>
  <c r="AZ206" i="8"/>
  <c r="AY206" i="8"/>
  <c r="AX206" i="8"/>
  <c r="AW206" i="8"/>
  <c r="AV206" i="8"/>
  <c r="AU206" i="8"/>
  <c r="BA204" i="8"/>
  <c r="AZ204" i="8"/>
  <c r="AY204" i="8"/>
  <c r="AX204" i="8"/>
  <c r="AW204" i="8"/>
  <c r="AV204" i="8"/>
  <c r="AU204" i="8"/>
  <c r="BA203" i="8"/>
  <c r="AZ203" i="8"/>
  <c r="AY203" i="8"/>
  <c r="AX203" i="8"/>
  <c r="AW203" i="8"/>
  <c r="AV203" i="8"/>
  <c r="AU203" i="8"/>
  <c r="BA202" i="8"/>
  <c r="AZ202" i="8"/>
  <c r="AY202" i="8"/>
  <c r="AX202" i="8"/>
  <c r="AW202" i="8"/>
  <c r="AU202" i="8"/>
  <c r="BA200" i="8"/>
  <c r="AZ200" i="8"/>
  <c r="AY200" i="8"/>
  <c r="AX200" i="8"/>
  <c r="AW200" i="8"/>
  <c r="AU200" i="8"/>
  <c r="BA199" i="8"/>
  <c r="AZ199" i="8"/>
  <c r="AY199" i="8"/>
  <c r="AX199" i="8"/>
  <c r="AW199" i="8"/>
  <c r="AU199" i="8"/>
  <c r="BA198" i="8"/>
  <c r="AZ198" i="8"/>
  <c r="AY198" i="8"/>
  <c r="AX198" i="8"/>
  <c r="AW198" i="8"/>
  <c r="AV198" i="8"/>
  <c r="AU198" i="8"/>
  <c r="BA196" i="8"/>
  <c r="AZ196" i="8"/>
  <c r="AY196" i="8"/>
  <c r="AX196" i="8"/>
  <c r="AW196" i="8"/>
  <c r="AV196" i="8"/>
  <c r="AU196" i="8"/>
  <c r="BA195" i="8"/>
  <c r="AZ195" i="8"/>
  <c r="AY195" i="8"/>
  <c r="AX195" i="8"/>
  <c r="AW195" i="8"/>
  <c r="AV195" i="8"/>
  <c r="AU195" i="8"/>
  <c r="BA194" i="8"/>
  <c r="AZ194" i="8"/>
  <c r="AY194" i="8"/>
  <c r="AX194" i="8"/>
  <c r="AW194" i="8"/>
  <c r="AU194" i="8"/>
  <c r="BA192" i="8"/>
  <c r="AZ192" i="8"/>
  <c r="AY192" i="8"/>
  <c r="AX192" i="8"/>
  <c r="AW192" i="8"/>
  <c r="AU192" i="8"/>
  <c r="BA191" i="8"/>
  <c r="AZ191" i="8"/>
  <c r="AY191" i="8"/>
  <c r="AX191" i="8"/>
  <c r="AW191" i="8"/>
  <c r="AU191" i="8"/>
  <c r="BA190" i="8"/>
  <c r="AZ190" i="8"/>
  <c r="AY190" i="8"/>
  <c r="AX190" i="8"/>
  <c r="AW190" i="8"/>
  <c r="AV190" i="8"/>
  <c r="AU190" i="8"/>
  <c r="BA188" i="8"/>
  <c r="AZ188" i="8"/>
  <c r="AY188" i="8"/>
  <c r="AX188" i="8"/>
  <c r="AW188" i="8"/>
  <c r="AV188" i="8"/>
  <c r="AU188" i="8"/>
  <c r="BA187" i="8"/>
  <c r="AZ187" i="8"/>
  <c r="AY187" i="8"/>
  <c r="AX187" i="8"/>
  <c r="AW187" i="8"/>
  <c r="AV187" i="8"/>
  <c r="AU187" i="8"/>
  <c r="BA186" i="8"/>
  <c r="AZ186" i="8"/>
  <c r="AY186" i="8"/>
  <c r="AX186" i="8"/>
  <c r="AW186" i="8"/>
  <c r="AU186" i="8"/>
  <c r="BA185" i="8"/>
  <c r="AZ185" i="8"/>
  <c r="AY185" i="8"/>
  <c r="AX185" i="8"/>
  <c r="AW185" i="8"/>
  <c r="AU185" i="8"/>
  <c r="BA184" i="8"/>
  <c r="AZ184" i="8"/>
  <c r="AY184" i="8"/>
  <c r="AX184" i="8"/>
  <c r="AW184" i="8"/>
  <c r="AU184" i="8"/>
  <c r="BA183" i="8"/>
  <c r="AZ183" i="8"/>
  <c r="AY183" i="8"/>
  <c r="AX183" i="8"/>
  <c r="AW183" i="8"/>
  <c r="AU183" i="8"/>
  <c r="BA182" i="8"/>
  <c r="AZ182" i="8"/>
  <c r="AY182" i="8"/>
  <c r="AX182" i="8"/>
  <c r="AW182" i="8"/>
  <c r="AU182" i="8"/>
  <c r="BA181" i="8"/>
  <c r="AZ181" i="8"/>
  <c r="AY181" i="8"/>
  <c r="AX181" i="8"/>
  <c r="AW181" i="8"/>
  <c r="AU181" i="8"/>
  <c r="BA180" i="8"/>
  <c r="AZ180" i="8"/>
  <c r="AY180" i="8"/>
  <c r="AX180" i="8"/>
  <c r="AW180" i="8"/>
  <c r="AV180" i="8"/>
  <c r="AU180" i="8"/>
  <c r="BA179" i="8"/>
  <c r="AZ179" i="8"/>
  <c r="AY179" i="8"/>
  <c r="AX179" i="8"/>
  <c r="AW179" i="8"/>
  <c r="AV179" i="8"/>
  <c r="AU179" i="8"/>
  <c r="BA178" i="8"/>
  <c r="AZ178" i="8"/>
  <c r="AY178" i="8"/>
  <c r="AX178" i="8"/>
  <c r="AW178" i="8"/>
  <c r="AV178" i="8"/>
  <c r="AU178" i="8"/>
  <c r="BA177" i="8"/>
  <c r="AZ177" i="8"/>
  <c r="AY177" i="8"/>
  <c r="AX177" i="8"/>
  <c r="AW177" i="8"/>
  <c r="AV177" i="8"/>
  <c r="AU177" i="8"/>
  <c r="BA176" i="8"/>
  <c r="AZ176" i="8"/>
  <c r="AY176" i="8"/>
  <c r="AX176" i="8"/>
  <c r="AW176" i="8"/>
  <c r="AV176" i="8"/>
  <c r="AU176" i="8"/>
  <c r="BA175" i="8"/>
  <c r="AZ175" i="8"/>
  <c r="AY175" i="8"/>
  <c r="AX175" i="8"/>
  <c r="AW175" i="8"/>
  <c r="AV175" i="8"/>
  <c r="AU175" i="8"/>
  <c r="BA174" i="8"/>
  <c r="AZ174" i="8"/>
  <c r="AY174" i="8"/>
  <c r="AX174" i="8"/>
  <c r="AW174" i="8"/>
  <c r="AU174" i="8"/>
  <c r="BA173" i="8"/>
  <c r="AZ173" i="8"/>
  <c r="AY173" i="8"/>
  <c r="AX173" i="8"/>
  <c r="AW173" i="8"/>
  <c r="AU173" i="8"/>
  <c r="BA172" i="8"/>
  <c r="AZ172" i="8"/>
  <c r="AY172" i="8"/>
  <c r="AX172" i="8"/>
  <c r="AW172" i="8"/>
  <c r="AU172" i="8"/>
  <c r="BA171" i="8"/>
  <c r="AZ171" i="8"/>
  <c r="AY171" i="8"/>
  <c r="AX171" i="8"/>
  <c r="AW171" i="8"/>
  <c r="AU171" i="8"/>
  <c r="BA170" i="8"/>
  <c r="AZ170" i="8"/>
  <c r="AY170" i="8"/>
  <c r="AX170" i="8"/>
  <c r="AW170" i="8"/>
  <c r="AU170" i="8"/>
  <c r="BA169" i="8"/>
  <c r="AZ169" i="8"/>
  <c r="AY169" i="8"/>
  <c r="AX169" i="8"/>
  <c r="AW169" i="8"/>
  <c r="AU169" i="8"/>
  <c r="BA168" i="8"/>
  <c r="AZ168" i="8"/>
  <c r="AY168" i="8"/>
  <c r="AX168" i="8"/>
  <c r="AW168" i="8"/>
  <c r="AV168" i="8"/>
  <c r="AU168" i="8"/>
  <c r="BA167" i="8"/>
  <c r="AZ167" i="8"/>
  <c r="AY167" i="8"/>
  <c r="AX167" i="8"/>
  <c r="AW167" i="8"/>
  <c r="AV167" i="8"/>
  <c r="AU167" i="8"/>
  <c r="BA166" i="8"/>
  <c r="AZ166" i="8"/>
  <c r="AY166" i="8"/>
  <c r="AX166" i="8"/>
  <c r="AW166" i="8"/>
  <c r="AV166" i="8"/>
  <c r="AU166" i="8"/>
  <c r="BA165" i="8"/>
  <c r="AZ165" i="8"/>
  <c r="AY165" i="8"/>
  <c r="AX165" i="8"/>
  <c r="AW165" i="8"/>
  <c r="AV165" i="8"/>
  <c r="AU165" i="8"/>
  <c r="BA164" i="8"/>
  <c r="AZ164" i="8"/>
  <c r="AY164" i="8"/>
  <c r="AX164" i="8"/>
  <c r="AW164" i="8"/>
  <c r="AV164" i="8"/>
  <c r="AU164" i="8"/>
  <c r="BA163" i="8"/>
  <c r="AZ163" i="8"/>
  <c r="AY163" i="8"/>
  <c r="AX163" i="8"/>
  <c r="AW163" i="8"/>
  <c r="AV163" i="8"/>
  <c r="AU163" i="8"/>
  <c r="BA162" i="8"/>
  <c r="AZ162" i="8"/>
  <c r="AY162" i="8"/>
  <c r="AX162" i="8"/>
  <c r="AW162" i="8"/>
  <c r="AU162" i="8"/>
  <c r="BA161" i="8"/>
  <c r="AZ161" i="8"/>
  <c r="AY161" i="8"/>
  <c r="AX161" i="8"/>
  <c r="AW161" i="8"/>
  <c r="AU161" i="8"/>
  <c r="BA160" i="8"/>
  <c r="AZ160" i="8"/>
  <c r="AY160" i="8"/>
  <c r="AX160" i="8"/>
  <c r="AW160" i="8"/>
  <c r="AU160" i="8"/>
  <c r="BA159" i="8"/>
  <c r="AZ159" i="8"/>
  <c r="AY159" i="8"/>
  <c r="AX159" i="8"/>
  <c r="AW159" i="8"/>
  <c r="AU159" i="8"/>
  <c r="BA158" i="8"/>
  <c r="AZ158" i="8"/>
  <c r="AY158" i="8"/>
  <c r="AX158" i="8"/>
  <c r="AW158" i="8"/>
  <c r="AU158" i="8"/>
  <c r="BA157" i="8"/>
  <c r="AZ157" i="8"/>
  <c r="AY157" i="8"/>
  <c r="AX157" i="8"/>
  <c r="AW157" i="8"/>
  <c r="AU157" i="8"/>
  <c r="BA156" i="8"/>
  <c r="AZ156" i="8"/>
  <c r="AY156" i="8"/>
  <c r="AX156" i="8"/>
  <c r="AW156" i="8"/>
  <c r="AV156" i="8"/>
  <c r="AU156" i="8"/>
  <c r="BA155" i="8"/>
  <c r="AZ155" i="8"/>
  <c r="AY155" i="8"/>
  <c r="AX155" i="8"/>
  <c r="AW155" i="8"/>
  <c r="AV155" i="8"/>
  <c r="AU155" i="8"/>
  <c r="BA154" i="8"/>
  <c r="AZ154" i="8"/>
  <c r="AY154" i="8"/>
  <c r="AX154" i="8"/>
  <c r="AW154" i="8"/>
  <c r="AV154" i="8"/>
  <c r="AU154" i="8"/>
  <c r="BA153" i="8"/>
  <c r="AZ153" i="8"/>
  <c r="AY153" i="8"/>
  <c r="AX153" i="8"/>
  <c r="AW153" i="8"/>
  <c r="AV153" i="8"/>
  <c r="AU153" i="8"/>
  <c r="BA152" i="8"/>
  <c r="AZ152" i="8"/>
  <c r="AY152" i="8"/>
  <c r="AX152" i="8"/>
  <c r="AW152" i="8"/>
  <c r="AV152" i="8"/>
  <c r="AU152" i="8"/>
  <c r="BA151" i="8"/>
  <c r="AZ151" i="8"/>
  <c r="AY151" i="8"/>
  <c r="AX151" i="8"/>
  <c r="AW151" i="8"/>
  <c r="AV151" i="8"/>
  <c r="AU151" i="8"/>
  <c r="BA150" i="8"/>
  <c r="AZ150" i="8"/>
  <c r="AY150" i="8"/>
  <c r="AX150" i="8"/>
  <c r="AW150" i="8"/>
  <c r="AU150" i="8"/>
  <c r="BA149" i="8"/>
  <c r="AZ149" i="8"/>
  <c r="AY149" i="8"/>
  <c r="AX149" i="8"/>
  <c r="AW149" i="8"/>
  <c r="AU149" i="8"/>
  <c r="BA148" i="8"/>
  <c r="AZ148" i="8"/>
  <c r="AY148" i="8"/>
  <c r="AX148" i="8"/>
  <c r="AW148" i="8"/>
  <c r="AU148" i="8"/>
  <c r="BA147" i="8"/>
  <c r="AZ147" i="8"/>
  <c r="AY147" i="8"/>
  <c r="AX147" i="8"/>
  <c r="AW147" i="8"/>
  <c r="AU147" i="8"/>
  <c r="BA146" i="8"/>
  <c r="AZ146" i="8"/>
  <c r="AY146" i="8"/>
  <c r="AX146" i="8"/>
  <c r="AW146" i="8"/>
  <c r="AU146" i="8"/>
  <c r="BA145" i="8"/>
  <c r="AZ145" i="8"/>
  <c r="AY145" i="8"/>
  <c r="AX145" i="8"/>
  <c r="AW145" i="8"/>
  <c r="AU145" i="8"/>
  <c r="BA144" i="8"/>
  <c r="AZ144" i="8"/>
  <c r="AY144" i="8"/>
  <c r="AX144" i="8"/>
  <c r="AW144" i="8"/>
  <c r="AV144" i="8"/>
  <c r="AU144" i="8"/>
  <c r="BA143" i="8"/>
  <c r="AZ143" i="8"/>
  <c r="AY143" i="8"/>
  <c r="AX143" i="8"/>
  <c r="AW143" i="8"/>
  <c r="AV143" i="8"/>
  <c r="AU143" i="8"/>
  <c r="BA142" i="8"/>
  <c r="AZ142" i="8"/>
  <c r="AY142" i="8"/>
  <c r="AX142" i="8"/>
  <c r="AW142" i="8"/>
  <c r="AV142" i="8"/>
  <c r="AU142" i="8"/>
  <c r="BA141" i="8"/>
  <c r="AZ141" i="8"/>
  <c r="AY141" i="8"/>
  <c r="AX141" i="8"/>
  <c r="AW141" i="8"/>
  <c r="AV141" i="8"/>
  <c r="AU141" i="8"/>
  <c r="BA140" i="8"/>
  <c r="AZ140" i="8"/>
  <c r="AY140" i="8"/>
  <c r="AX140" i="8"/>
  <c r="AW140" i="8"/>
  <c r="AV140" i="8"/>
  <c r="AU140" i="8"/>
  <c r="BA139" i="8"/>
  <c r="AZ139" i="8"/>
  <c r="AY139" i="8"/>
  <c r="AX139" i="8"/>
  <c r="AW139" i="8"/>
  <c r="AV139" i="8"/>
  <c r="AU139" i="8"/>
  <c r="BA138" i="8"/>
  <c r="AZ138" i="8"/>
  <c r="AY138" i="8"/>
  <c r="AX138" i="8"/>
  <c r="AW138" i="8"/>
  <c r="AU138" i="8"/>
  <c r="BA137" i="8"/>
  <c r="AZ137" i="8"/>
  <c r="AY137" i="8"/>
  <c r="AX137" i="8"/>
  <c r="AW137" i="8"/>
  <c r="AU137" i="8"/>
  <c r="BA136" i="8"/>
  <c r="AZ136" i="8"/>
  <c r="AY136" i="8"/>
  <c r="AX136" i="8"/>
  <c r="AW136" i="8"/>
  <c r="AU136" i="8"/>
  <c r="BA135" i="8"/>
  <c r="AZ135" i="8"/>
  <c r="AY135" i="8"/>
  <c r="AX135" i="8"/>
  <c r="AW135" i="8"/>
  <c r="AU135" i="8"/>
  <c r="BA134" i="8"/>
  <c r="AZ134" i="8"/>
  <c r="AY134" i="8"/>
  <c r="AX134" i="8"/>
  <c r="AW134" i="8"/>
  <c r="AU134" i="8"/>
  <c r="BA133" i="8"/>
  <c r="AZ133" i="8"/>
  <c r="AY133" i="8"/>
  <c r="AX133" i="8"/>
  <c r="AW133" i="8"/>
  <c r="AU133" i="8"/>
  <c r="BA132" i="8"/>
  <c r="AZ132" i="8"/>
  <c r="AY132" i="8"/>
  <c r="AX132" i="8"/>
  <c r="AW132" i="8"/>
  <c r="AV132" i="8"/>
  <c r="AU132" i="8"/>
  <c r="BA131" i="8"/>
  <c r="AZ131" i="8"/>
  <c r="AY131" i="8"/>
  <c r="AX131" i="8"/>
  <c r="AW131" i="8"/>
  <c r="AV131" i="8"/>
  <c r="AU131" i="8"/>
  <c r="BA130" i="8"/>
  <c r="AZ130" i="8"/>
  <c r="AY130" i="8"/>
  <c r="AX130" i="8"/>
  <c r="AW130" i="8"/>
  <c r="AV130" i="8"/>
  <c r="AU130" i="8"/>
  <c r="BA129" i="8"/>
  <c r="AZ129" i="8"/>
  <c r="AY129" i="8"/>
  <c r="AX129" i="8"/>
  <c r="AW129" i="8"/>
  <c r="AV129" i="8"/>
  <c r="AU129" i="8"/>
  <c r="BA128" i="8"/>
  <c r="AZ128" i="8"/>
  <c r="AY128" i="8"/>
  <c r="AX128" i="8"/>
  <c r="AW128" i="8"/>
  <c r="AV128" i="8"/>
  <c r="AU128" i="8"/>
  <c r="BA127" i="8"/>
  <c r="AZ127" i="8"/>
  <c r="AY127" i="8"/>
  <c r="AX127" i="8"/>
  <c r="AW127" i="8"/>
  <c r="AV127" i="8"/>
  <c r="AU127" i="8"/>
  <c r="BA126" i="8"/>
  <c r="AZ126" i="8"/>
  <c r="AY126" i="8"/>
  <c r="AX126" i="8"/>
  <c r="AW126" i="8"/>
  <c r="AU126" i="8"/>
  <c r="BA125" i="8"/>
  <c r="AZ125" i="8"/>
  <c r="AY125" i="8"/>
  <c r="AX125" i="8"/>
  <c r="AW125" i="8"/>
  <c r="AU125" i="8"/>
  <c r="BA124" i="8"/>
  <c r="AZ124" i="8"/>
  <c r="AY124" i="8"/>
  <c r="AX124" i="8"/>
  <c r="AW124" i="8"/>
  <c r="AU124" i="8"/>
  <c r="BA123" i="8"/>
  <c r="AZ123" i="8"/>
  <c r="AY123" i="8"/>
  <c r="AX123" i="8"/>
  <c r="AW123" i="8"/>
  <c r="AU123" i="8"/>
  <c r="BA122" i="8"/>
  <c r="AZ122" i="8"/>
  <c r="AY122" i="8"/>
  <c r="AX122" i="8"/>
  <c r="AW122" i="8"/>
  <c r="AU122" i="8"/>
  <c r="BA121" i="8"/>
  <c r="AZ121" i="8"/>
  <c r="AY121" i="8"/>
  <c r="AX121" i="8"/>
  <c r="AW121" i="8"/>
  <c r="AU121" i="8"/>
  <c r="BA120" i="8"/>
  <c r="AZ120" i="8"/>
  <c r="AY120" i="8"/>
  <c r="AX120" i="8"/>
  <c r="AW120" i="8"/>
  <c r="AV120" i="8"/>
  <c r="AU120" i="8"/>
  <c r="BA119" i="8"/>
  <c r="AZ119" i="8"/>
  <c r="AY119" i="8"/>
  <c r="AX119" i="8"/>
  <c r="AW119" i="8"/>
  <c r="AV119" i="8"/>
  <c r="AU119" i="8"/>
  <c r="BA118" i="8"/>
  <c r="AZ118" i="8"/>
  <c r="AY118" i="8"/>
  <c r="AX118" i="8"/>
  <c r="AW118" i="8"/>
  <c r="AV118" i="8"/>
  <c r="AU118" i="8"/>
  <c r="BA117" i="8"/>
  <c r="AZ117" i="8"/>
  <c r="AY117" i="8"/>
  <c r="AX117" i="8"/>
  <c r="AW117" i="8"/>
  <c r="AV117" i="8"/>
  <c r="AU117" i="8"/>
  <c r="BA116" i="8"/>
  <c r="AZ116" i="8"/>
  <c r="AY116" i="8"/>
  <c r="AX116" i="8"/>
  <c r="AW116" i="8"/>
  <c r="AV116" i="8"/>
  <c r="AU116" i="8"/>
  <c r="BA115" i="8"/>
  <c r="AZ115" i="8"/>
  <c r="AY115" i="8"/>
  <c r="AX115" i="8"/>
  <c r="AW115" i="8"/>
  <c r="AV115" i="8"/>
  <c r="AU115" i="8"/>
  <c r="BA114" i="8"/>
  <c r="AZ114" i="8"/>
  <c r="AY114" i="8"/>
  <c r="AX114" i="8"/>
  <c r="AW114" i="8"/>
  <c r="AU114" i="8"/>
  <c r="BA113" i="8"/>
  <c r="AZ113" i="8"/>
  <c r="AY113" i="8"/>
  <c r="AX113" i="8"/>
  <c r="AW113" i="8"/>
  <c r="AU113" i="8"/>
  <c r="BA112" i="8"/>
  <c r="AZ112" i="8"/>
  <c r="AY112" i="8"/>
  <c r="AX112" i="8"/>
  <c r="AW112" i="8"/>
  <c r="AU112" i="8"/>
  <c r="BA111" i="8"/>
  <c r="AZ111" i="8"/>
  <c r="AY111" i="8"/>
  <c r="AX111" i="8"/>
  <c r="AW111" i="8"/>
  <c r="AU111" i="8"/>
  <c r="BA110" i="8"/>
  <c r="AZ110" i="8"/>
  <c r="AY110" i="8"/>
  <c r="AX110" i="8"/>
  <c r="AW110" i="8"/>
  <c r="AU110" i="8"/>
  <c r="BA109" i="8"/>
  <c r="AZ109" i="8"/>
  <c r="AY109" i="8"/>
  <c r="AX109" i="8"/>
  <c r="AW109" i="8"/>
  <c r="AU109" i="8"/>
  <c r="BA108" i="8"/>
  <c r="AZ108" i="8"/>
  <c r="AY108" i="8"/>
  <c r="AX108" i="8"/>
  <c r="AW108" i="8"/>
  <c r="AV108" i="8"/>
  <c r="AU108" i="8"/>
  <c r="BA107" i="8"/>
  <c r="AZ107" i="8"/>
  <c r="AY107" i="8"/>
  <c r="AX107" i="8"/>
  <c r="AW107" i="8"/>
  <c r="AV107" i="8"/>
  <c r="AU107" i="8"/>
  <c r="BA106" i="8"/>
  <c r="AZ106" i="8"/>
  <c r="AY106" i="8"/>
  <c r="AX106" i="8"/>
  <c r="AW106" i="8"/>
  <c r="AV106" i="8"/>
  <c r="AU106" i="8"/>
  <c r="BA105" i="8"/>
  <c r="AZ105" i="8"/>
  <c r="AY105" i="8"/>
  <c r="AX105" i="8"/>
  <c r="AW105" i="8"/>
  <c r="AV105" i="8"/>
  <c r="AU105" i="8"/>
  <c r="BA104" i="8"/>
  <c r="AZ104" i="8"/>
  <c r="AY104" i="8"/>
  <c r="AX104" i="8"/>
  <c r="AW104" i="8"/>
  <c r="AV104" i="8"/>
  <c r="AU104" i="8"/>
  <c r="BA103" i="8"/>
  <c r="AZ103" i="8"/>
  <c r="AY103" i="8"/>
  <c r="AX103" i="8"/>
  <c r="AW103" i="8"/>
  <c r="AV103" i="8"/>
  <c r="AU103" i="8"/>
  <c r="BA102" i="8"/>
  <c r="AZ102" i="8"/>
  <c r="AY102" i="8"/>
  <c r="AX102" i="8"/>
  <c r="AW102" i="8"/>
  <c r="AU102" i="8"/>
  <c r="BA101" i="8"/>
  <c r="AZ101" i="8"/>
  <c r="AY101" i="8"/>
  <c r="AX101" i="8"/>
  <c r="AW101" i="8"/>
  <c r="AU101" i="8"/>
  <c r="BA100" i="8"/>
  <c r="AZ100" i="8"/>
  <c r="AY100" i="8"/>
  <c r="AX100" i="8"/>
  <c r="AW100" i="8"/>
  <c r="AU100" i="8"/>
  <c r="BA99" i="8"/>
  <c r="AZ99" i="8"/>
  <c r="AY99" i="8"/>
  <c r="AX99" i="8"/>
  <c r="AW99" i="8"/>
  <c r="AU99" i="8"/>
  <c r="BA98" i="8"/>
  <c r="AZ98" i="8"/>
  <c r="AY98" i="8"/>
  <c r="AX98" i="8"/>
  <c r="AW98" i="8"/>
  <c r="AU98" i="8"/>
  <c r="BA97" i="8"/>
  <c r="AZ97" i="8"/>
  <c r="AY97" i="8"/>
  <c r="AX97" i="8"/>
  <c r="AW97" i="8"/>
  <c r="AU97" i="8"/>
  <c r="BA96" i="8"/>
  <c r="AZ96" i="8"/>
  <c r="AY96" i="8"/>
  <c r="AX96" i="8"/>
  <c r="AW96" i="8"/>
  <c r="AV96" i="8"/>
  <c r="AU96" i="8"/>
  <c r="BA95" i="8"/>
  <c r="AZ95" i="8"/>
  <c r="AY95" i="8"/>
  <c r="AX95" i="8"/>
  <c r="AW95" i="8"/>
  <c r="AV95" i="8"/>
  <c r="AU95" i="8"/>
  <c r="BA94" i="8"/>
  <c r="AZ94" i="8"/>
  <c r="AY94" i="8"/>
  <c r="AX94" i="8"/>
  <c r="AW94" i="8"/>
  <c r="AV94" i="8"/>
  <c r="AU94" i="8"/>
  <c r="BA93" i="8"/>
  <c r="AZ93" i="8"/>
  <c r="AY93" i="8"/>
  <c r="AX93" i="8"/>
  <c r="AW93" i="8"/>
  <c r="AV93" i="8"/>
  <c r="AU93" i="8"/>
  <c r="BA92" i="8"/>
  <c r="AZ92" i="8"/>
  <c r="AY92" i="8"/>
  <c r="AX92" i="8"/>
  <c r="AW92" i="8"/>
  <c r="AV92" i="8"/>
  <c r="AU92" i="8"/>
  <c r="BA91" i="8"/>
  <c r="AZ91" i="8"/>
  <c r="AY91" i="8"/>
  <c r="AX91" i="8"/>
  <c r="AW91" i="8"/>
  <c r="AV91" i="8"/>
  <c r="AU91" i="8"/>
  <c r="BA90" i="8"/>
  <c r="AZ90" i="8"/>
  <c r="AY90" i="8"/>
  <c r="AX90" i="8"/>
  <c r="AW90" i="8"/>
  <c r="AU90" i="8"/>
  <c r="BA89" i="8"/>
  <c r="AZ89" i="8"/>
  <c r="AY89" i="8"/>
  <c r="AX89" i="8"/>
  <c r="AW89" i="8"/>
  <c r="AU89" i="8"/>
  <c r="BA88" i="8"/>
  <c r="AZ88" i="8"/>
  <c r="AY88" i="8"/>
  <c r="AX88" i="8"/>
  <c r="AW88" i="8"/>
  <c r="AU88" i="8"/>
  <c r="BA87" i="8"/>
  <c r="AZ87" i="8"/>
  <c r="AY87" i="8"/>
  <c r="AX87" i="8"/>
  <c r="AW87" i="8"/>
  <c r="AU87" i="8"/>
  <c r="BA86" i="8"/>
  <c r="AZ86" i="8"/>
  <c r="AY86" i="8"/>
  <c r="AX86" i="8"/>
  <c r="AW86" i="8"/>
  <c r="AU86" i="8"/>
  <c r="BA85" i="8"/>
  <c r="AZ85" i="8"/>
  <c r="AY85" i="8"/>
  <c r="AX85" i="8"/>
  <c r="AW85" i="8"/>
  <c r="AU85" i="8"/>
  <c r="BA84" i="8"/>
  <c r="AZ84" i="8"/>
  <c r="AY84" i="8"/>
  <c r="AX84" i="8"/>
  <c r="AW84" i="8"/>
  <c r="AV84" i="8"/>
  <c r="AU84" i="8"/>
  <c r="BA83" i="8"/>
  <c r="AZ83" i="8"/>
  <c r="AY83" i="8"/>
  <c r="AX83" i="8"/>
  <c r="AW83" i="8"/>
  <c r="AV83" i="8"/>
  <c r="AU83" i="8"/>
  <c r="BA82" i="8"/>
  <c r="AZ82" i="8"/>
  <c r="AY82" i="8"/>
  <c r="AX82" i="8"/>
  <c r="AW82" i="8"/>
  <c r="AV82" i="8"/>
  <c r="AU82" i="8"/>
  <c r="BA81" i="8"/>
  <c r="AZ81" i="8"/>
  <c r="AY81" i="8"/>
  <c r="AX81" i="8"/>
  <c r="AW81" i="8"/>
  <c r="AV81" i="8"/>
  <c r="AU81" i="8"/>
  <c r="BA80" i="8"/>
  <c r="AZ80" i="8"/>
  <c r="AY80" i="8"/>
  <c r="AX80" i="8"/>
  <c r="AW80" i="8"/>
  <c r="AV80" i="8"/>
  <c r="AU80" i="8"/>
  <c r="BA79" i="8"/>
  <c r="AZ79" i="8"/>
  <c r="AY79" i="8"/>
  <c r="AX79" i="8"/>
  <c r="AW79" i="8"/>
  <c r="AV79" i="8"/>
  <c r="AU79" i="8"/>
  <c r="BA78" i="8"/>
  <c r="AZ78" i="8"/>
  <c r="AY78" i="8"/>
  <c r="AX78" i="8"/>
  <c r="AW78" i="8"/>
  <c r="AU78" i="8"/>
  <c r="BA77" i="8"/>
  <c r="AZ77" i="8"/>
  <c r="AY77" i="8"/>
  <c r="AX77" i="8"/>
  <c r="AW77" i="8"/>
  <c r="AU77" i="8"/>
  <c r="BA76" i="8"/>
  <c r="AZ76" i="8"/>
  <c r="AY76" i="8"/>
  <c r="AX76" i="8"/>
  <c r="AW76" i="8"/>
  <c r="AU76" i="8"/>
  <c r="BA75" i="8"/>
  <c r="AZ75" i="8"/>
  <c r="AY75" i="8"/>
  <c r="AX75" i="8"/>
  <c r="AW75" i="8"/>
  <c r="AU75" i="8"/>
  <c r="BA74" i="8"/>
  <c r="AZ74" i="8"/>
  <c r="AY74" i="8"/>
  <c r="AX74" i="8"/>
  <c r="AW74" i="8"/>
  <c r="AU74" i="8"/>
  <c r="BA73" i="8"/>
  <c r="AZ73" i="8"/>
  <c r="AY73" i="8"/>
  <c r="AX73" i="8"/>
  <c r="AW73" i="8"/>
  <c r="AU73" i="8"/>
  <c r="BA72" i="8"/>
  <c r="AZ72" i="8"/>
  <c r="AY72" i="8"/>
  <c r="AX72" i="8"/>
  <c r="AW72" i="8"/>
  <c r="AV72" i="8"/>
  <c r="AU72" i="8"/>
  <c r="BA71" i="8"/>
  <c r="AZ71" i="8"/>
  <c r="AY71" i="8"/>
  <c r="AX71" i="8"/>
  <c r="AW71" i="8"/>
  <c r="AV71" i="8"/>
  <c r="AU71" i="8"/>
  <c r="BA70" i="8"/>
  <c r="AZ70" i="8"/>
  <c r="AY70" i="8"/>
  <c r="AX70" i="8"/>
  <c r="AW70" i="8"/>
  <c r="AV70" i="8"/>
  <c r="AU70" i="8"/>
  <c r="BA69" i="8"/>
  <c r="AZ69" i="8"/>
  <c r="AY69" i="8"/>
  <c r="AX69" i="8"/>
  <c r="AW69" i="8"/>
  <c r="AV69" i="8"/>
  <c r="AU69" i="8"/>
  <c r="BA68" i="8"/>
  <c r="AZ68" i="8"/>
  <c r="AY68" i="8"/>
  <c r="AX68" i="8"/>
  <c r="AW68" i="8"/>
  <c r="AV68" i="8"/>
  <c r="AU68" i="8"/>
  <c r="BA67" i="8"/>
  <c r="AZ67" i="8"/>
  <c r="AY67" i="8"/>
  <c r="AX67" i="8"/>
  <c r="AW67" i="8"/>
  <c r="AV67" i="8"/>
  <c r="AU67" i="8"/>
  <c r="BA66" i="8"/>
  <c r="AZ66" i="8"/>
  <c r="AY66" i="8"/>
  <c r="AX66" i="8"/>
  <c r="AW66" i="8"/>
  <c r="AU66" i="8"/>
  <c r="BA65" i="8"/>
  <c r="AZ65" i="8"/>
  <c r="AY65" i="8"/>
  <c r="AX65" i="8"/>
  <c r="AW65" i="8"/>
  <c r="AU65" i="8"/>
  <c r="BA64" i="8"/>
  <c r="AZ64" i="8"/>
  <c r="AY64" i="8"/>
  <c r="AX64" i="8"/>
  <c r="AW64" i="8"/>
  <c r="AU64" i="8"/>
  <c r="BA63" i="8"/>
  <c r="AZ63" i="8"/>
  <c r="AY63" i="8"/>
  <c r="AX63" i="8"/>
  <c r="AW63" i="8"/>
  <c r="AU63" i="8"/>
  <c r="BA62" i="8"/>
  <c r="AZ62" i="8"/>
  <c r="AY62" i="8"/>
  <c r="AX62" i="8"/>
  <c r="AW62" i="8"/>
  <c r="AU62" i="8"/>
  <c r="BA61" i="8"/>
  <c r="AZ61" i="8"/>
  <c r="AY61" i="8"/>
  <c r="AX61" i="8"/>
  <c r="AW61" i="8"/>
  <c r="AU61" i="8"/>
  <c r="BA60" i="8"/>
  <c r="AZ60" i="8"/>
  <c r="AY60" i="8"/>
  <c r="AX60" i="8"/>
  <c r="AW60" i="8"/>
  <c r="AV60" i="8"/>
  <c r="AU60" i="8"/>
  <c r="BA59" i="8"/>
  <c r="AZ59" i="8"/>
  <c r="AY59" i="8"/>
  <c r="AX59" i="8"/>
  <c r="AW59" i="8"/>
  <c r="AV59" i="8"/>
  <c r="AU59" i="8"/>
  <c r="BA58" i="8"/>
  <c r="AZ58" i="8"/>
  <c r="AY58" i="8"/>
  <c r="AX58" i="8"/>
  <c r="AW58" i="8"/>
  <c r="AV58" i="8"/>
  <c r="AU58" i="8"/>
  <c r="BA57" i="8"/>
  <c r="AZ57" i="8"/>
  <c r="AY57" i="8"/>
  <c r="AX57" i="8"/>
  <c r="AW57" i="8"/>
  <c r="AV57" i="8"/>
  <c r="AU57" i="8"/>
  <c r="BA56" i="8"/>
  <c r="AZ56" i="8"/>
  <c r="AY56" i="8"/>
  <c r="AX56" i="8"/>
  <c r="AW56" i="8"/>
  <c r="AV56" i="8"/>
  <c r="AU56" i="8"/>
  <c r="BA55" i="8"/>
  <c r="AZ55" i="8"/>
  <c r="AY55" i="8"/>
  <c r="AX55" i="8"/>
  <c r="AW55" i="8"/>
  <c r="AV55" i="8"/>
  <c r="AU55" i="8"/>
  <c r="BA54" i="8"/>
  <c r="AZ54" i="8"/>
  <c r="AY54" i="8"/>
  <c r="AX54" i="8"/>
  <c r="AW54" i="8"/>
  <c r="AU54" i="8"/>
  <c r="BA53" i="8"/>
  <c r="AZ53" i="8"/>
  <c r="AY53" i="8"/>
  <c r="AX53" i="8"/>
  <c r="AW53" i="8"/>
  <c r="AU53" i="8"/>
  <c r="BA52" i="8"/>
  <c r="AZ52" i="8"/>
  <c r="AY52" i="8"/>
  <c r="AX52" i="8"/>
  <c r="AW52" i="8"/>
  <c r="AU52" i="8"/>
  <c r="BA51" i="8"/>
  <c r="AZ51" i="8"/>
  <c r="AY51" i="8"/>
  <c r="AX51" i="8"/>
  <c r="AW51" i="8"/>
  <c r="AU51" i="8"/>
  <c r="BA50" i="8"/>
  <c r="AZ50" i="8"/>
  <c r="AY50" i="8"/>
  <c r="AX50" i="8"/>
  <c r="AW50" i="8"/>
  <c r="AU50" i="8"/>
  <c r="BA49" i="8"/>
  <c r="AZ49" i="8"/>
  <c r="AY49" i="8"/>
  <c r="AX49" i="8"/>
  <c r="AW49" i="8"/>
  <c r="AU49" i="8"/>
  <c r="BA48" i="8"/>
  <c r="AZ48" i="8"/>
  <c r="AY48" i="8"/>
  <c r="AX48" i="8"/>
  <c r="AW48" i="8"/>
  <c r="AV48" i="8"/>
  <c r="AU48" i="8"/>
  <c r="BA47" i="8"/>
  <c r="AZ47" i="8"/>
  <c r="AY47" i="8"/>
  <c r="AX47" i="8"/>
  <c r="AW47" i="8"/>
  <c r="AV47" i="8"/>
  <c r="AU47" i="8"/>
  <c r="BA46" i="8"/>
  <c r="AZ46" i="8"/>
  <c r="AY46" i="8"/>
  <c r="AX46" i="8"/>
  <c r="AW46" i="8"/>
  <c r="AV46" i="8"/>
  <c r="AU46" i="8"/>
  <c r="BA45" i="8"/>
  <c r="AZ45" i="8"/>
  <c r="AY45" i="8"/>
  <c r="AX45" i="8"/>
  <c r="AW45" i="8"/>
  <c r="AV45" i="8"/>
  <c r="AU45" i="8"/>
  <c r="BA44" i="8"/>
  <c r="AZ44" i="8"/>
  <c r="AY44" i="8"/>
  <c r="AX44" i="8"/>
  <c r="AW44" i="8"/>
  <c r="AV44" i="8"/>
  <c r="AU44" i="8"/>
  <c r="BA43" i="8"/>
  <c r="AZ43" i="8"/>
  <c r="AY43" i="8"/>
  <c r="AX43" i="8"/>
  <c r="AW43" i="8"/>
  <c r="AV43" i="8"/>
  <c r="AU43" i="8"/>
  <c r="BA42" i="8"/>
  <c r="AZ42" i="8"/>
  <c r="AY42" i="8"/>
  <c r="AX42" i="8"/>
  <c r="AW42" i="8"/>
  <c r="AU42" i="8"/>
  <c r="BA41" i="8"/>
  <c r="AZ41" i="8"/>
  <c r="AY41" i="8"/>
  <c r="AX41" i="8"/>
  <c r="AW41" i="8"/>
  <c r="AU41" i="8"/>
  <c r="BA40" i="8"/>
  <c r="AZ40" i="8"/>
  <c r="AY40" i="8"/>
  <c r="AX40" i="8"/>
  <c r="AW40" i="8"/>
  <c r="AU40" i="8"/>
  <c r="BA39" i="8"/>
  <c r="AZ39" i="8"/>
  <c r="AY39" i="8"/>
  <c r="AX39" i="8"/>
  <c r="AW39" i="8"/>
  <c r="AU39" i="8"/>
  <c r="BA38" i="8"/>
  <c r="AZ38" i="8"/>
  <c r="AY38" i="8"/>
  <c r="AX38" i="8"/>
  <c r="AW38" i="8"/>
  <c r="AU38" i="8"/>
  <c r="BA37" i="8"/>
  <c r="AZ37" i="8"/>
  <c r="AY37" i="8"/>
  <c r="AX37" i="8"/>
  <c r="AW37" i="8"/>
  <c r="AU37" i="8"/>
  <c r="BA36" i="8"/>
  <c r="AZ36" i="8"/>
  <c r="AY36" i="8"/>
  <c r="AX36" i="8"/>
  <c r="AW36" i="8"/>
  <c r="AV36" i="8"/>
  <c r="AU36" i="8"/>
  <c r="BA35" i="8"/>
  <c r="AZ35" i="8"/>
  <c r="AY35" i="8"/>
  <c r="AX35" i="8"/>
  <c r="AW35" i="8"/>
  <c r="AV35" i="8"/>
  <c r="AU35" i="8"/>
  <c r="BA34" i="8"/>
  <c r="AZ34" i="8"/>
  <c r="AY34" i="8"/>
  <c r="AX34" i="8"/>
  <c r="AW34" i="8"/>
  <c r="AV34" i="8"/>
  <c r="AU34" i="8"/>
  <c r="BA33" i="8"/>
  <c r="AZ33" i="8"/>
  <c r="AY33" i="8"/>
  <c r="AX33" i="8"/>
  <c r="AW33" i="8"/>
  <c r="AV33" i="8"/>
  <c r="AU33" i="8"/>
  <c r="BA32" i="8"/>
  <c r="AZ32" i="8"/>
  <c r="AY32" i="8"/>
  <c r="AX32" i="8"/>
  <c r="AW32" i="8"/>
  <c r="AV32" i="8"/>
  <c r="AU32" i="8"/>
  <c r="BA31" i="8"/>
  <c r="AZ31" i="8"/>
  <c r="AY31" i="8"/>
  <c r="AX31" i="8"/>
  <c r="AW31" i="8"/>
  <c r="AV31" i="8"/>
  <c r="AU31" i="8"/>
  <c r="BA30" i="8"/>
  <c r="AZ30" i="8"/>
  <c r="AY30" i="8"/>
  <c r="AX30" i="8"/>
  <c r="AW30" i="8"/>
  <c r="AU30" i="8"/>
  <c r="BA29" i="8"/>
  <c r="AZ29" i="8"/>
  <c r="AY29" i="8"/>
  <c r="AX29" i="8"/>
  <c r="AW29" i="8"/>
  <c r="AU29" i="8"/>
  <c r="BA28" i="8"/>
  <c r="AZ28" i="8"/>
  <c r="AY28" i="8"/>
  <c r="AX28" i="8"/>
  <c r="AW28" i="8"/>
  <c r="AU28" i="8"/>
  <c r="BA27" i="8"/>
  <c r="AZ27" i="8"/>
  <c r="AY27" i="8"/>
  <c r="AX27" i="8"/>
  <c r="AW27" i="8"/>
  <c r="AU27" i="8"/>
  <c r="BA26" i="8"/>
  <c r="AZ26" i="8"/>
  <c r="AY26" i="8"/>
  <c r="AX26" i="8"/>
  <c r="AW26" i="8"/>
  <c r="AU26" i="8"/>
  <c r="BA25" i="8"/>
  <c r="AZ25" i="8"/>
  <c r="AY25" i="8"/>
  <c r="AX25" i="8"/>
  <c r="AW25" i="8"/>
  <c r="AU25" i="8"/>
  <c r="BA24" i="8"/>
  <c r="AZ24" i="8"/>
  <c r="AY24" i="8"/>
  <c r="AX24" i="8"/>
  <c r="AW24" i="8"/>
  <c r="AV24" i="8"/>
  <c r="AU24" i="8"/>
  <c r="BA23" i="8"/>
  <c r="AZ23" i="8"/>
  <c r="AY23" i="8"/>
  <c r="AX23" i="8"/>
  <c r="AW23" i="8"/>
  <c r="AV23" i="8"/>
  <c r="AU23" i="8"/>
  <c r="BA22" i="8"/>
  <c r="AZ22" i="8"/>
  <c r="AY22" i="8"/>
  <c r="AX22" i="8"/>
  <c r="AW22" i="8"/>
  <c r="AV22" i="8"/>
  <c r="AU22" i="8"/>
  <c r="BA21" i="8"/>
  <c r="AZ21" i="8"/>
  <c r="AY21" i="8"/>
  <c r="AX21" i="8"/>
  <c r="AW21" i="8"/>
  <c r="AV21" i="8"/>
  <c r="AU21" i="8"/>
  <c r="BA20" i="8"/>
  <c r="AZ20" i="8"/>
  <c r="AY20" i="8"/>
  <c r="AX20" i="8"/>
  <c r="AW20" i="8"/>
  <c r="AV20" i="8"/>
  <c r="AU20" i="8"/>
  <c r="BA19" i="8"/>
  <c r="AZ19" i="8"/>
  <c r="AY19" i="8"/>
  <c r="AX19" i="8"/>
  <c r="AW19" i="8"/>
  <c r="AV19" i="8"/>
  <c r="AU19" i="8"/>
  <c r="BA18" i="8"/>
  <c r="AZ18" i="8"/>
  <c r="AY18" i="8"/>
  <c r="AX18" i="8"/>
  <c r="AW18" i="8"/>
  <c r="AU18" i="8"/>
  <c r="BA17" i="8"/>
  <c r="AZ17" i="8"/>
  <c r="AY17" i="8"/>
  <c r="AX17" i="8"/>
  <c r="AW17" i="8"/>
  <c r="AU17" i="8"/>
  <c r="BA16" i="8"/>
  <c r="AZ16" i="8"/>
  <c r="AY16" i="8"/>
  <c r="AX16" i="8"/>
  <c r="AW16" i="8"/>
  <c r="AU16" i="8"/>
  <c r="BA15" i="8"/>
  <c r="AZ15" i="8"/>
  <c r="AY15" i="8"/>
  <c r="AX15" i="8"/>
  <c r="AW15" i="8"/>
  <c r="AU15" i="8"/>
  <c r="BA14" i="8"/>
  <c r="AZ14" i="8"/>
  <c r="AY14" i="8"/>
  <c r="AX14" i="8"/>
  <c r="AW14" i="8"/>
  <c r="AU14" i="8"/>
  <c r="AV705" i="8"/>
  <c r="AV704" i="8"/>
  <c r="AV703" i="8"/>
  <c r="AV702" i="8"/>
  <c r="AV701" i="8"/>
  <c r="AV700" i="8"/>
  <c r="AV699" i="8"/>
  <c r="AV698" i="8"/>
  <c r="AV665" i="8"/>
  <c r="AV664" i="8"/>
  <c r="AV663" i="8"/>
  <c r="AV662" i="8"/>
  <c r="AV661" i="8"/>
  <c r="AV660" i="8"/>
  <c r="AV659" i="8"/>
  <c r="AV658" i="8"/>
  <c r="O3" i="2"/>
  <c r="N54" i="2" s="1"/>
  <c r="G14" i="13"/>
  <c r="M53" i="2" l="1"/>
  <c r="W357" i="1" l="1"/>
  <c r="W356" i="1"/>
  <c r="W355" i="1"/>
  <c r="AB354" i="1"/>
  <c r="AA354" i="1"/>
  <c r="W354" i="1"/>
  <c r="AB353" i="1"/>
  <c r="AA353" i="1"/>
  <c r="W353" i="1"/>
  <c r="W479" i="1"/>
  <c r="W478" i="1"/>
  <c r="W477" i="1"/>
  <c r="AB476" i="1"/>
  <c r="AA476" i="1"/>
  <c r="W476" i="1"/>
  <c r="AB475" i="1"/>
  <c r="AA475" i="1"/>
  <c r="W475" i="1"/>
  <c r="X513" i="1"/>
  <c r="W513" i="1"/>
  <c r="V513" i="1"/>
  <c r="U513" i="1"/>
  <c r="T513" i="1"/>
  <c r="AD55" i="2" l="1"/>
  <c r="AU8" i="8" l="1"/>
  <c r="AV8" i="8"/>
  <c r="AW8" i="8"/>
  <c r="AX8" i="8"/>
  <c r="AY8" i="8"/>
  <c r="AZ8" i="8"/>
  <c r="BA8" i="8"/>
  <c r="AU9" i="8"/>
  <c r="AV9" i="8"/>
  <c r="AW9" i="8"/>
  <c r="AX9" i="8"/>
  <c r="AY9" i="8"/>
  <c r="AZ9" i="8"/>
  <c r="BA9" i="8"/>
  <c r="AU10" i="8"/>
  <c r="AV10" i="8"/>
  <c r="AW10" i="8"/>
  <c r="AX10" i="8"/>
  <c r="AY10" i="8"/>
  <c r="AZ10" i="8"/>
  <c r="BA10" i="8"/>
  <c r="AU11" i="8"/>
  <c r="AV11" i="8"/>
  <c r="AW11" i="8"/>
  <c r="AX11" i="8"/>
  <c r="AY11" i="8"/>
  <c r="AZ11" i="8"/>
  <c r="BA11" i="8"/>
  <c r="AU12" i="8"/>
  <c r="AV12" i="8"/>
  <c r="AW12" i="8"/>
  <c r="AX12" i="8"/>
  <c r="AY12" i="8"/>
  <c r="AZ12" i="8"/>
  <c r="BA12" i="8"/>
  <c r="AU13" i="8"/>
  <c r="AW13" i="8"/>
  <c r="AX13" i="8"/>
  <c r="AY13" i="8"/>
  <c r="AZ13" i="8"/>
  <c r="BA13" i="8"/>
  <c r="B64" i="15" l="1"/>
  <c r="B66" i="15"/>
  <c r="B99" i="15"/>
  <c r="B101" i="15"/>
  <c r="B118" i="15"/>
  <c r="B120" i="15"/>
  <c r="B137" i="15"/>
  <c r="B139" i="15"/>
  <c r="B151" i="15"/>
  <c r="B152" i="15"/>
  <c r="B157" i="15"/>
  <c r="B162" i="15"/>
  <c r="Q162" i="15" s="1"/>
  <c r="B163" i="15"/>
  <c r="Q163" i="15" s="1"/>
  <c r="B164" i="15"/>
  <c r="Q164" i="15" s="1"/>
  <c r="B165" i="15"/>
  <c r="Q165" i="15" s="1"/>
  <c r="B174" i="15"/>
  <c r="B181" i="15"/>
  <c r="O181" i="15" s="1"/>
  <c r="B182" i="15"/>
  <c r="O182" i="15" s="1"/>
  <c r="B202" i="15"/>
  <c r="M202" i="15" s="1"/>
  <c r="B203" i="15"/>
  <c r="P203" i="15" s="1"/>
  <c r="B206" i="15"/>
  <c r="B207"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C1296" i="8"/>
  <c r="C1358" i="8"/>
  <c r="C1357" i="8"/>
  <c r="C1356" i="8"/>
  <c r="C1355" i="8"/>
  <c r="C1354" i="8"/>
  <c r="C1353" i="8"/>
  <c r="C1352" i="8"/>
  <c r="C1351" i="8"/>
  <c r="C1350" i="8"/>
  <c r="C1349" i="8"/>
  <c r="C1348" i="8"/>
  <c r="C1347" i="8"/>
  <c r="C1346" i="8"/>
  <c r="C1345" i="8"/>
  <c r="C1344" i="8"/>
  <c r="C1343" i="8"/>
  <c r="C1342" i="8"/>
  <c r="C1341" i="8"/>
  <c r="C1340" i="8"/>
  <c r="C1339" i="8"/>
  <c r="C1338" i="8"/>
  <c r="C1337" i="8"/>
  <c r="C1336" i="8"/>
  <c r="C1335" i="8"/>
  <c r="C1334" i="8"/>
  <c r="C1333" i="8"/>
  <c r="C1332" i="8"/>
  <c r="C1331" i="8"/>
  <c r="C1330" i="8"/>
  <c r="C1329" i="8"/>
  <c r="C1328" i="8"/>
  <c r="C1327" i="8"/>
  <c r="C1326" i="8"/>
  <c r="C1325" i="8"/>
  <c r="C1324" i="8"/>
  <c r="C1323" i="8"/>
  <c r="C1322" i="8"/>
  <c r="C1321" i="8"/>
  <c r="C1320" i="8"/>
  <c r="C1319" i="8"/>
  <c r="C1318" i="8"/>
  <c r="C1317" i="8"/>
  <c r="C1316" i="8"/>
  <c r="C1315" i="8"/>
  <c r="C1314" i="8"/>
  <c r="C1313" i="8"/>
  <c r="C1312" i="8"/>
  <c r="C1311" i="8"/>
  <c r="C1310" i="8"/>
  <c r="C1309" i="8"/>
  <c r="C1308" i="8"/>
  <c r="C1307" i="8"/>
  <c r="C1306" i="8"/>
  <c r="C1305" i="8"/>
  <c r="C1304" i="8"/>
  <c r="C1303" i="8"/>
  <c r="C1302" i="8"/>
  <c r="C1301" i="8"/>
  <c r="C1300" i="8"/>
  <c r="C1299" i="8"/>
  <c r="C1298" i="8"/>
  <c r="C1297" i="8"/>
  <c r="C1420" i="8"/>
  <c r="C1419" i="8"/>
  <c r="C1418" i="8"/>
  <c r="C1417" i="8"/>
  <c r="C1416" i="8"/>
  <c r="C1415" i="8"/>
  <c r="C1414" i="8"/>
  <c r="C1413" i="8"/>
  <c r="C1412" i="8"/>
  <c r="C1411" i="8"/>
  <c r="C1410" i="8"/>
  <c r="C1409" i="8"/>
  <c r="C1408" i="8"/>
  <c r="C1407" i="8"/>
  <c r="C1406" i="8"/>
  <c r="C1405" i="8"/>
  <c r="C1404" i="8"/>
  <c r="C1403" i="8"/>
  <c r="C1402" i="8"/>
  <c r="C1401" i="8"/>
  <c r="C1400" i="8"/>
  <c r="C1399" i="8"/>
  <c r="C1398" i="8"/>
  <c r="C1397" i="8"/>
  <c r="C1396" i="8"/>
  <c r="C1395" i="8"/>
  <c r="C1394" i="8"/>
  <c r="C1393" i="8"/>
  <c r="C1392" i="8"/>
  <c r="C1391" i="8"/>
  <c r="C1390" i="8"/>
  <c r="C1389" i="8"/>
  <c r="C1388" i="8"/>
  <c r="C1387" i="8"/>
  <c r="C1386" i="8"/>
  <c r="C1385" i="8"/>
  <c r="C1384" i="8"/>
  <c r="C1383" i="8"/>
  <c r="C1382" i="8"/>
  <c r="C1381" i="8"/>
  <c r="C1380" i="8"/>
  <c r="C1379" i="8"/>
  <c r="C1378" i="8"/>
  <c r="C1377" i="8"/>
  <c r="C1376" i="8"/>
  <c r="C1375" i="8"/>
  <c r="C1374" i="8"/>
  <c r="C1373" i="8"/>
  <c r="C1372" i="8"/>
  <c r="C1371" i="8"/>
  <c r="C1370" i="8"/>
  <c r="C1369" i="8"/>
  <c r="C1368" i="8"/>
  <c r="C1367" i="8"/>
  <c r="C1366" i="8"/>
  <c r="C1365" i="8"/>
  <c r="C1364" i="8"/>
  <c r="C1363" i="8"/>
  <c r="C1362" i="8"/>
  <c r="C1361" i="8"/>
  <c r="C1360" i="8"/>
  <c r="C1359" i="8"/>
  <c r="C1421" i="8"/>
  <c r="N16" i="2"/>
  <c r="N14" i="2"/>
  <c r="R202" i="15" l="1"/>
  <c r="O202" i="15"/>
  <c r="M207" i="15"/>
  <c r="O207" i="15"/>
  <c r="P207" i="15"/>
  <c r="M206" i="15"/>
  <c r="O206" i="15"/>
  <c r="P206" i="15"/>
  <c r="Q202" i="15"/>
  <c r="M174" i="15"/>
  <c r="T174" i="15" s="1"/>
  <c r="P174" i="15"/>
  <c r="Q174" i="15"/>
  <c r="R174" i="15"/>
  <c r="O157" i="15"/>
  <c r="P157" i="15"/>
  <c r="M152" i="15"/>
  <c r="O152" i="15"/>
  <c r="P152" i="15"/>
  <c r="M151" i="15"/>
  <c r="O151" i="15"/>
  <c r="P151" i="15"/>
  <c r="B65" i="15" l="1"/>
  <c r="B67" i="15"/>
  <c r="B100" i="15"/>
  <c r="B102" i="15"/>
  <c r="B119" i="15"/>
  <c r="B121" i="15"/>
  <c r="B138" i="15"/>
  <c r="B140" i="15"/>
  <c r="B153" i="15"/>
  <c r="B154" i="15"/>
  <c r="B158" i="15"/>
  <c r="B166" i="15"/>
  <c r="Q166" i="15" s="1"/>
  <c r="B167" i="15"/>
  <c r="Q167" i="15" s="1"/>
  <c r="B175" i="15"/>
  <c r="B194" i="15"/>
  <c r="B195" i="15"/>
  <c r="B196"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68" i="15"/>
  <c r="B69" i="15"/>
  <c r="B103" i="15"/>
  <c r="B122" i="15"/>
  <c r="B141" i="15"/>
  <c r="B159" i="15"/>
  <c r="B168" i="15"/>
  <c r="Q168" i="15" s="1"/>
  <c r="B169" i="15"/>
  <c r="Q169" i="15" s="1"/>
  <c r="B176" i="15"/>
  <c r="B185" i="15"/>
  <c r="B186" i="15"/>
  <c r="B187" i="15"/>
  <c r="B188" i="15"/>
  <c r="B191" i="15"/>
  <c r="O191" i="15" s="1"/>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70" i="15"/>
  <c r="B104" i="15"/>
  <c r="B123" i="15"/>
  <c r="B142" i="15"/>
  <c r="B170" i="15"/>
  <c r="Q170" i="15" s="1"/>
  <c r="B171" i="15"/>
  <c r="Q171" i="15" s="1"/>
  <c r="B177" i="15"/>
  <c r="M177" i="15" s="1"/>
  <c r="B208" i="15"/>
  <c r="B20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71" i="15"/>
  <c r="N71" i="15" s="1"/>
  <c r="B72" i="15"/>
  <c r="N72" i="15" s="1"/>
  <c r="B105" i="15"/>
  <c r="B124" i="15"/>
  <c r="B143" i="15"/>
  <c r="B178" i="15"/>
  <c r="B576" i="15"/>
  <c r="B577" i="15"/>
  <c r="B578" i="15"/>
  <c r="B579" i="15"/>
  <c r="B580" i="15"/>
  <c r="B581" i="15"/>
  <c r="B582" i="15"/>
  <c r="B583" i="15"/>
  <c r="B584" i="15"/>
  <c r="B585" i="15"/>
  <c r="B586" i="15"/>
  <c r="B587" i="15"/>
  <c r="B588" i="15"/>
  <c r="B589" i="15"/>
  <c r="B590" i="15"/>
  <c r="B591" i="15"/>
  <c r="B592" i="15"/>
  <c r="B593" i="15"/>
  <c r="B594" i="15"/>
  <c r="B595" i="15"/>
  <c r="B596" i="15"/>
  <c r="B597" i="15"/>
  <c r="B598" i="15"/>
  <c r="B599" i="15"/>
  <c r="B600" i="15"/>
  <c r="B601" i="15"/>
  <c r="C1460" i="8"/>
  <c r="C1459" i="8"/>
  <c r="C1458" i="8"/>
  <c r="C1457" i="8"/>
  <c r="C1456" i="8"/>
  <c r="C1455" i="8"/>
  <c r="C1454" i="8"/>
  <c r="C1453" i="8"/>
  <c r="C1452" i="8"/>
  <c r="C1451" i="8"/>
  <c r="C1450" i="8"/>
  <c r="C1449" i="8"/>
  <c r="C1448" i="8"/>
  <c r="C1447" i="8"/>
  <c r="C1446" i="8"/>
  <c r="C1445" i="8"/>
  <c r="C1444" i="8"/>
  <c r="C1443" i="8"/>
  <c r="C1442" i="8"/>
  <c r="C1441" i="8"/>
  <c r="C1440" i="8"/>
  <c r="C1439" i="8"/>
  <c r="C1438" i="8"/>
  <c r="C1437" i="8"/>
  <c r="C1436" i="8"/>
  <c r="C1435" i="8"/>
  <c r="C1434" i="8"/>
  <c r="C1433" i="8"/>
  <c r="C1432" i="8"/>
  <c r="C1431" i="8"/>
  <c r="C1430" i="8"/>
  <c r="C1429" i="8"/>
  <c r="C1428" i="8"/>
  <c r="C1427" i="8"/>
  <c r="C1426" i="8"/>
  <c r="C1425" i="8"/>
  <c r="C1424" i="8"/>
  <c r="C1423" i="8"/>
  <c r="C1422" i="8"/>
  <c r="C1461" i="8"/>
  <c r="C1500" i="8"/>
  <c r="C1499" i="8"/>
  <c r="C1498" i="8"/>
  <c r="C1497" i="8"/>
  <c r="C1496" i="8"/>
  <c r="C1495" i="8"/>
  <c r="C1494" i="8"/>
  <c r="C1493" i="8"/>
  <c r="C1492" i="8"/>
  <c r="C1491" i="8"/>
  <c r="C1490" i="8"/>
  <c r="C1489" i="8"/>
  <c r="C1488" i="8"/>
  <c r="C1487" i="8"/>
  <c r="C1486" i="8"/>
  <c r="C1485" i="8"/>
  <c r="C1484" i="8"/>
  <c r="C1483" i="8"/>
  <c r="C1482" i="8"/>
  <c r="C1481" i="8"/>
  <c r="C1480" i="8"/>
  <c r="C1479" i="8"/>
  <c r="C1478" i="8"/>
  <c r="C1477" i="8"/>
  <c r="C1476" i="8"/>
  <c r="C1475" i="8"/>
  <c r="C1474" i="8"/>
  <c r="C1473" i="8"/>
  <c r="C1472" i="8"/>
  <c r="C1471" i="8"/>
  <c r="C1470" i="8"/>
  <c r="C1469" i="8"/>
  <c r="C1468" i="8"/>
  <c r="C1467" i="8"/>
  <c r="C1466" i="8"/>
  <c r="C1465" i="8"/>
  <c r="C1464" i="8"/>
  <c r="C1463" i="8"/>
  <c r="C1462" i="8"/>
  <c r="C1501" i="8"/>
  <c r="C1552" i="8"/>
  <c r="C1551" i="8"/>
  <c r="C1550" i="8"/>
  <c r="C1549" i="8"/>
  <c r="C1548" i="8"/>
  <c r="C1547" i="8"/>
  <c r="C1546" i="8"/>
  <c r="C1545" i="8"/>
  <c r="C1544" i="8"/>
  <c r="C1543" i="8"/>
  <c r="C1542" i="8"/>
  <c r="C1541" i="8"/>
  <c r="C1540" i="8"/>
  <c r="C1539" i="8"/>
  <c r="C1538" i="8"/>
  <c r="C1537" i="8"/>
  <c r="C1536" i="8"/>
  <c r="C1535" i="8"/>
  <c r="C1534" i="8"/>
  <c r="C1533" i="8"/>
  <c r="C1532" i="8"/>
  <c r="C1531" i="8"/>
  <c r="C1530" i="8"/>
  <c r="C1529" i="8"/>
  <c r="C1528" i="8"/>
  <c r="C1527" i="8"/>
  <c r="C1526" i="8"/>
  <c r="C1525" i="8"/>
  <c r="C1524" i="8"/>
  <c r="C1523" i="8"/>
  <c r="C1522" i="8"/>
  <c r="C1521" i="8"/>
  <c r="C1520" i="8"/>
  <c r="C1519" i="8"/>
  <c r="C1518" i="8"/>
  <c r="C1517" i="8"/>
  <c r="C1516" i="8"/>
  <c r="C1515" i="8"/>
  <c r="C1514" i="8"/>
  <c r="C1513" i="8"/>
  <c r="C1512" i="8"/>
  <c r="C1511" i="8"/>
  <c r="C1510" i="8"/>
  <c r="C1509" i="8"/>
  <c r="C1508" i="8"/>
  <c r="C1507" i="8"/>
  <c r="C1506" i="8"/>
  <c r="C1505" i="8"/>
  <c r="C1504" i="8"/>
  <c r="C1503" i="8"/>
  <c r="C1502" i="8"/>
  <c r="C1553" i="8"/>
  <c r="N17" i="2"/>
  <c r="N15" i="2"/>
  <c r="N18" i="2"/>
  <c r="N19" i="2"/>
  <c r="N20" i="2"/>
  <c r="U1058" i="8"/>
  <c r="AV1058" i="8" s="1"/>
  <c r="U1057" i="8"/>
  <c r="AV1057" i="8" s="1"/>
  <c r="U1056" i="8"/>
  <c r="AV1056" i="8" s="1"/>
  <c r="U1055" i="8"/>
  <c r="AV1055" i="8" s="1"/>
  <c r="U1054" i="8"/>
  <c r="AV1054" i="8" s="1"/>
  <c r="U1053" i="8"/>
  <c r="AV1053" i="8" s="1"/>
  <c r="U1052" i="8"/>
  <c r="AV1052" i="8" s="1"/>
  <c r="U1051" i="8"/>
  <c r="AV1051" i="8" s="1"/>
  <c r="U1050" i="8"/>
  <c r="AV1050" i="8" s="1"/>
  <c r="U1049" i="8"/>
  <c r="AV1049" i="8" s="1"/>
  <c r="U1048" i="8"/>
  <c r="AV1048" i="8" s="1"/>
  <c r="U1047" i="8"/>
  <c r="AV1047" i="8" s="1"/>
  <c r="U1046" i="8"/>
  <c r="AV1046" i="8" s="1"/>
  <c r="U1045" i="8"/>
  <c r="AV1045" i="8" s="1"/>
  <c r="U1044" i="8"/>
  <c r="AV1044" i="8" s="1"/>
  <c r="U1043" i="8"/>
  <c r="AV1043" i="8" s="1"/>
  <c r="U1042" i="8"/>
  <c r="AV1042" i="8" s="1"/>
  <c r="U1041" i="8"/>
  <c r="AV1041" i="8" s="1"/>
  <c r="M178" i="15" l="1"/>
  <c r="P178" i="15"/>
  <c r="O209" i="15"/>
  <c r="P209" i="15"/>
  <c r="O208" i="15"/>
  <c r="P208" i="15"/>
  <c r="M188" i="15"/>
  <c r="O188" i="15"/>
  <c r="M187" i="15"/>
  <c r="O187" i="15"/>
  <c r="M186" i="15"/>
  <c r="O186" i="15"/>
  <c r="M185" i="15"/>
  <c r="O185" i="15"/>
  <c r="M176" i="15"/>
  <c r="P176" i="15"/>
  <c r="O159" i="15"/>
  <c r="P159" i="15"/>
  <c r="M196" i="15"/>
  <c r="O196" i="15"/>
  <c r="M195" i="15"/>
  <c r="O195" i="15"/>
  <c r="M194" i="15"/>
  <c r="O194" i="15"/>
  <c r="M175" i="15"/>
  <c r="T175" i="15" s="1"/>
  <c r="P175" i="15"/>
  <c r="Q175" i="15"/>
  <c r="R175" i="15"/>
  <c r="O158" i="15"/>
  <c r="P158" i="15"/>
  <c r="M154" i="15"/>
  <c r="O154" i="15"/>
  <c r="P154" i="15"/>
  <c r="M153" i="15"/>
  <c r="O153" i="15"/>
  <c r="P153" i="15"/>
  <c r="AG112" i="2" l="1"/>
  <c r="AG113" i="2"/>
  <c r="AN113" i="2" l="1"/>
  <c r="AL113" i="2"/>
  <c r="AH113" i="2"/>
  <c r="AG128" i="2"/>
  <c r="AG127" i="2"/>
  <c r="AG126" i="2"/>
  <c r="AG125" i="2"/>
  <c r="AG124" i="2"/>
  <c r="AG123" i="2"/>
  <c r="AG122" i="2"/>
  <c r="AG121" i="2"/>
  <c r="AG120" i="2"/>
  <c r="AG119" i="2"/>
  <c r="AG118" i="2"/>
  <c r="AG117" i="2"/>
  <c r="AG116" i="2"/>
  <c r="AG115" i="2"/>
  <c r="AG114" i="2"/>
  <c r="B315" i="15" l="1"/>
  <c r="T6" i="2"/>
  <c r="M11" i="2"/>
  <c r="AS178" i="2"/>
  <c r="I41" i="2"/>
  <c r="C873" i="8" l="1"/>
  <c r="C872" i="8"/>
  <c r="C871" i="8"/>
  <c r="C870" i="8"/>
  <c r="C849" i="8"/>
  <c r="C848" i="8"/>
  <c r="C847" i="8"/>
  <c r="C846" i="8"/>
  <c r="C817" i="8"/>
  <c r="C816" i="8"/>
  <c r="C815" i="8"/>
  <c r="C814" i="8"/>
  <c r="C813" i="8"/>
  <c r="C812" i="8"/>
  <c r="C811" i="8"/>
  <c r="C810" i="8"/>
  <c r="C781" i="8"/>
  <c r="C780" i="8"/>
  <c r="C779" i="8"/>
  <c r="C778" i="8"/>
  <c r="C761" i="8"/>
  <c r="C760" i="8"/>
  <c r="C759" i="8"/>
  <c r="C758" i="8"/>
  <c r="C741" i="8"/>
  <c r="C740" i="8"/>
  <c r="C739" i="8"/>
  <c r="C738" i="8"/>
  <c r="C721" i="8"/>
  <c r="C720" i="8"/>
  <c r="C719" i="8"/>
  <c r="C718" i="8"/>
  <c r="C697" i="8"/>
  <c r="C696" i="8"/>
  <c r="C695" i="8"/>
  <c r="C694" i="8"/>
  <c r="C693" i="8"/>
  <c r="C692" i="8"/>
  <c r="C691" i="8"/>
  <c r="C690" i="8"/>
  <c r="C657" i="8"/>
  <c r="C656" i="8"/>
  <c r="C655" i="8"/>
  <c r="C654" i="8"/>
  <c r="C653" i="8"/>
  <c r="C652" i="8"/>
  <c r="C651" i="8"/>
  <c r="C650" i="8"/>
  <c r="B57" i="15"/>
  <c r="B58" i="15"/>
  <c r="B62" i="15"/>
  <c r="B95" i="15"/>
  <c r="B114" i="15"/>
  <c r="B133" i="15"/>
  <c r="B147" i="15"/>
  <c r="B221" i="15"/>
  <c r="B228" i="15"/>
  <c r="B236" i="15"/>
  <c r="B237" i="15"/>
  <c r="B238"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73" i="15"/>
  <c r="N73" i="15" s="1"/>
  <c r="B74" i="15"/>
  <c r="N74" i="15" s="1"/>
  <c r="B91" i="15"/>
  <c r="B110" i="15"/>
  <c r="B129" i="15"/>
  <c r="B25" i="15"/>
  <c r="B30" i="15"/>
  <c r="B33" i="15"/>
  <c r="B34" i="15"/>
  <c r="B47" i="15"/>
  <c r="B48" i="15"/>
  <c r="B90" i="15"/>
  <c r="B109" i="15"/>
  <c r="B128" i="15"/>
  <c r="B216" i="15"/>
  <c r="B226" i="15"/>
  <c r="B232" i="15"/>
  <c r="B267"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55" i="15"/>
  <c r="B56" i="15"/>
  <c r="B61" i="15"/>
  <c r="B94" i="15"/>
  <c r="B113" i="15"/>
  <c r="B132" i="15"/>
  <c r="B146" i="15"/>
  <c r="B220" i="15"/>
  <c r="B227" i="15"/>
  <c r="B233" i="15"/>
  <c r="B234" i="15"/>
  <c r="B235"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59" i="15"/>
  <c r="B60" i="15"/>
  <c r="B63" i="15"/>
  <c r="B96" i="15"/>
  <c r="B115" i="15"/>
  <c r="B134" i="15"/>
  <c r="B148" i="15"/>
  <c r="B239" i="15"/>
  <c r="B240" i="15"/>
  <c r="B241" i="15"/>
  <c r="B256" i="15"/>
  <c r="B272" i="15"/>
  <c r="B273" i="15"/>
  <c r="B274" i="15"/>
  <c r="B275"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16" i="15"/>
  <c r="B19" i="15"/>
  <c r="B35" i="15"/>
  <c r="B44" i="15"/>
  <c r="B45" i="15"/>
  <c r="B83" i="15"/>
  <c r="B89" i="15"/>
  <c r="B108" i="15"/>
  <c r="B127" i="15"/>
  <c r="B213" i="15"/>
  <c r="B219" i="15"/>
  <c r="B224" i="15"/>
  <c r="B225" i="15"/>
  <c r="B231" i="15"/>
  <c r="B244" i="15"/>
  <c r="B245" i="15"/>
  <c r="B246" i="15"/>
  <c r="B259"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50" i="15"/>
  <c r="B78" i="15"/>
  <c r="B93" i="15"/>
  <c r="B112" i="15"/>
  <c r="B131" i="15"/>
  <c r="B263" i="15"/>
  <c r="B308" i="15"/>
  <c r="B309" i="15"/>
  <c r="B310" i="15"/>
  <c r="B311" i="15"/>
  <c r="B31" i="15"/>
  <c r="B51" i="15"/>
  <c r="B52" i="15"/>
  <c r="B79" i="15"/>
  <c r="B97" i="15"/>
  <c r="B116" i="15"/>
  <c r="B135" i="15"/>
  <c r="B312" i="15"/>
  <c r="B313" i="15"/>
  <c r="B49" i="15"/>
  <c r="B77" i="15"/>
  <c r="B92" i="15"/>
  <c r="B111" i="15"/>
  <c r="B130" i="15"/>
  <c r="B247" i="15"/>
  <c r="B248" i="15"/>
  <c r="B249" i="15"/>
  <c r="B262" i="15"/>
  <c r="B264" i="15"/>
  <c r="B304" i="15"/>
  <c r="B305" i="15"/>
  <c r="B306" i="15"/>
  <c r="B307" i="15"/>
  <c r="B32" i="15"/>
  <c r="B53" i="15"/>
  <c r="B54" i="15"/>
  <c r="B80" i="15"/>
  <c r="B98" i="15"/>
  <c r="B117" i="15"/>
  <c r="B136" i="15"/>
  <c r="B314" i="15"/>
  <c r="J353" i="1"/>
  <c r="AE11" i="1" s="1"/>
  <c r="J475" i="1"/>
  <c r="AE12" i="1" s="1"/>
  <c r="C877" i="8"/>
  <c r="C876" i="8"/>
  <c r="C875" i="8"/>
  <c r="C874" i="8"/>
  <c r="C853" i="8"/>
  <c r="C852" i="8"/>
  <c r="C851" i="8"/>
  <c r="C850" i="8"/>
  <c r="C825" i="8"/>
  <c r="C824" i="8"/>
  <c r="C823" i="8"/>
  <c r="C822" i="8"/>
  <c r="C821" i="8"/>
  <c r="C820" i="8"/>
  <c r="C819" i="8"/>
  <c r="C818" i="8"/>
  <c r="C785" i="8"/>
  <c r="C784" i="8"/>
  <c r="C783" i="8"/>
  <c r="C782" i="8"/>
  <c r="C765" i="8"/>
  <c r="C764" i="8"/>
  <c r="C763" i="8"/>
  <c r="C762" i="8"/>
  <c r="C745" i="8"/>
  <c r="C744" i="8"/>
  <c r="C743" i="8"/>
  <c r="C742" i="8"/>
  <c r="C725" i="8"/>
  <c r="C724" i="8"/>
  <c r="C723" i="8"/>
  <c r="C722" i="8"/>
  <c r="C705" i="8"/>
  <c r="C704" i="8"/>
  <c r="C703" i="8"/>
  <c r="C702" i="8"/>
  <c r="C701" i="8"/>
  <c r="C700" i="8"/>
  <c r="C699" i="8"/>
  <c r="C698" i="8"/>
  <c r="C665" i="8"/>
  <c r="C664" i="8"/>
  <c r="C663" i="8"/>
  <c r="C662" i="8"/>
  <c r="C661" i="8"/>
  <c r="C660" i="8"/>
  <c r="C659" i="8"/>
  <c r="C658" i="8"/>
  <c r="AB356" i="1"/>
  <c r="AB478" i="1"/>
  <c r="D593" i="1"/>
  <c r="D472" i="1"/>
  <c r="D904" i="1"/>
  <c r="C1235" i="8"/>
  <c r="C1234" i="8"/>
  <c r="C1233" i="8"/>
  <c r="C1232" i="8"/>
  <c r="C1231" i="8"/>
  <c r="C1230" i="8"/>
  <c r="C1229" i="8"/>
  <c r="C1228" i="8"/>
  <c r="C1227" i="8"/>
  <c r="C1226" i="8"/>
  <c r="C1225" i="8"/>
  <c r="C1224" i="8"/>
  <c r="C1223" i="8"/>
  <c r="C1222" i="8"/>
  <c r="C1221" i="8"/>
  <c r="C1220" i="8"/>
  <c r="C1219" i="8"/>
  <c r="C1218" i="8"/>
  <c r="C1217" i="8"/>
  <c r="C1216" i="8"/>
  <c r="C1215" i="8"/>
  <c r="C1214" i="8"/>
  <c r="C1213" i="8"/>
  <c r="C1212" i="8"/>
  <c r="C1211" i="8"/>
  <c r="C1210" i="8"/>
  <c r="C1209" i="8"/>
  <c r="C1208" i="8"/>
  <c r="C1207" i="8"/>
  <c r="C1206" i="8"/>
  <c r="C1205" i="8"/>
  <c r="C1204" i="8"/>
  <c r="C1203" i="8"/>
  <c r="C1202" i="8"/>
  <c r="C1201" i="8"/>
  <c r="C1200" i="8"/>
  <c r="C1199" i="8"/>
  <c r="C1198" i="8"/>
  <c r="C1197" i="8"/>
  <c r="C1196" i="8"/>
  <c r="C1195" i="8"/>
  <c r="C1194" i="8"/>
  <c r="C1193" i="8"/>
  <c r="C1192" i="8"/>
  <c r="C1191" i="8"/>
  <c r="C1190" i="8"/>
  <c r="C1189" i="8"/>
  <c r="C1188" i="8"/>
  <c r="C1187" i="8"/>
  <c r="C1186" i="8"/>
  <c r="C1185" i="8"/>
  <c r="C1184" i="8"/>
  <c r="C1183" i="8"/>
  <c r="C1182" i="8"/>
  <c r="C1181" i="8"/>
  <c r="C1180" i="8"/>
  <c r="C1179" i="8"/>
  <c r="C1178" i="8"/>
  <c r="C1177" i="8"/>
  <c r="C1176" i="8"/>
  <c r="C1175" i="8"/>
  <c r="C1174" i="8"/>
  <c r="C1173" i="8"/>
  <c r="C1172" i="8"/>
  <c r="C1171" i="8"/>
  <c r="C1170" i="8"/>
  <c r="C1169" i="8"/>
  <c r="C1168" i="8"/>
  <c r="C1167" i="8"/>
  <c r="C1166" i="8"/>
  <c r="C1165" i="8"/>
  <c r="C1164" i="8"/>
  <c r="C1163" i="8"/>
  <c r="C1162" i="8"/>
  <c r="C1161" i="8"/>
  <c r="C1160" i="8"/>
  <c r="C1159" i="8"/>
  <c r="C1158" i="8"/>
  <c r="C1157" i="8"/>
  <c r="C1156" i="8"/>
  <c r="C1155" i="8"/>
  <c r="C1154" i="8"/>
  <c r="C1153" i="8"/>
  <c r="C1152" i="8"/>
  <c r="C1151" i="8"/>
  <c r="C1150" i="8"/>
  <c r="C1149" i="8"/>
  <c r="C1148" i="8"/>
  <c r="C1147" i="8"/>
  <c r="C1146" i="8"/>
  <c r="C1145" i="8"/>
  <c r="C1144" i="8"/>
  <c r="C1143" i="8"/>
  <c r="C1142" i="8"/>
  <c r="C1141" i="8"/>
  <c r="C1140" i="8"/>
  <c r="C1139" i="8"/>
  <c r="C1138" i="8"/>
  <c r="C1137" i="8"/>
  <c r="C1136" i="8"/>
  <c r="C1135" i="8"/>
  <c r="C1134" i="8"/>
  <c r="C1133" i="8"/>
  <c r="C1132" i="8"/>
  <c r="C1131" i="8"/>
  <c r="C1130" i="8"/>
  <c r="C1129" i="8"/>
  <c r="C1128" i="8"/>
  <c r="C1127" i="8"/>
  <c r="C1126" i="8"/>
  <c r="C1125" i="8"/>
  <c r="C1124" i="8"/>
  <c r="C1123" i="8"/>
  <c r="C1122" i="8"/>
  <c r="C1121" i="8"/>
  <c r="C1120" i="8"/>
  <c r="C1119" i="8"/>
  <c r="C1118" i="8"/>
  <c r="C1117" i="8"/>
  <c r="C1116" i="8"/>
  <c r="C1115" i="8"/>
  <c r="C1114" i="8"/>
  <c r="C1113" i="8"/>
  <c r="C1112" i="8"/>
  <c r="C1111" i="8"/>
  <c r="C1110" i="8"/>
  <c r="C1109" i="8"/>
  <c r="C1108" i="8"/>
  <c r="C1107" i="8"/>
  <c r="C1106" i="8"/>
  <c r="C1105" i="8"/>
  <c r="C1104" i="8"/>
  <c r="C1103" i="8"/>
  <c r="C1102" i="8"/>
  <c r="C1101" i="8"/>
  <c r="C1100" i="8"/>
  <c r="C1099" i="8"/>
  <c r="C1098" i="8"/>
  <c r="C1097" i="8"/>
  <c r="C1096" i="8"/>
  <c r="C1095" i="8"/>
  <c r="C1094" i="8"/>
  <c r="C1093" i="8"/>
  <c r="C1092" i="8"/>
  <c r="C1091" i="8"/>
  <c r="C1090" i="8"/>
  <c r="C1089" i="8"/>
  <c r="C1088" i="8"/>
  <c r="C1087" i="8"/>
  <c r="C1086" i="8"/>
  <c r="C1085" i="8"/>
  <c r="C1084" i="8"/>
  <c r="C1083" i="8"/>
  <c r="C1082" i="8"/>
  <c r="C1081" i="8"/>
  <c r="C1080" i="8"/>
  <c r="C1079" i="8"/>
  <c r="C1078" i="8"/>
  <c r="C1077" i="8"/>
  <c r="C1076" i="8"/>
  <c r="C1075" i="8"/>
  <c r="C1074" i="8"/>
  <c r="C1073" i="8"/>
  <c r="C1072" i="8"/>
  <c r="C1071" i="8"/>
  <c r="C1070" i="8"/>
  <c r="C1069" i="8"/>
  <c r="C1068" i="8"/>
  <c r="C1067" i="8"/>
  <c r="C1066" i="8"/>
  <c r="C1065" i="8"/>
  <c r="C1064" i="8"/>
  <c r="C1063" i="8"/>
  <c r="C1062" i="8"/>
  <c r="C1061" i="8"/>
  <c r="C1060" i="8"/>
  <c r="C1059" i="8"/>
  <c r="C1058" i="8"/>
  <c r="C1057" i="8"/>
  <c r="C1056" i="8"/>
  <c r="C1055" i="8"/>
  <c r="C1054" i="8"/>
  <c r="C1053" i="8"/>
  <c r="C1052" i="8"/>
  <c r="C1051" i="8"/>
  <c r="C1050" i="8"/>
  <c r="C1049" i="8"/>
  <c r="C1048" i="8"/>
  <c r="C1047" i="8"/>
  <c r="C1046" i="8"/>
  <c r="C1045" i="8"/>
  <c r="C1044" i="8"/>
  <c r="C1043" i="8"/>
  <c r="C1042" i="8"/>
  <c r="C1041" i="8"/>
  <c r="C1040" i="8"/>
  <c r="C1039" i="8"/>
  <c r="C1038" i="8"/>
  <c r="C1037" i="8"/>
  <c r="C1036" i="8"/>
  <c r="C1035" i="8"/>
  <c r="C1034" i="8"/>
  <c r="C1033" i="8"/>
  <c r="C1032" i="8"/>
  <c r="C1031" i="8"/>
  <c r="C1030" i="8"/>
  <c r="C1029" i="8"/>
  <c r="C1028" i="8"/>
  <c r="C1027" i="8"/>
  <c r="C1026" i="8"/>
  <c r="C1025" i="8"/>
  <c r="C1024" i="8"/>
  <c r="C1023" i="8"/>
  <c r="C1022" i="8"/>
  <c r="C1021" i="8"/>
  <c r="C1020" i="8"/>
  <c r="C1019" i="8"/>
  <c r="C1018" i="8"/>
  <c r="C1017" i="8"/>
  <c r="C1016" i="8"/>
  <c r="C1015" i="8"/>
  <c r="C1014" i="8"/>
  <c r="C1013" i="8"/>
  <c r="C1012" i="8"/>
  <c r="C1011" i="8"/>
  <c r="C1010" i="8"/>
  <c r="C1009" i="8"/>
  <c r="C1008" i="8"/>
  <c r="C1007" i="8"/>
  <c r="C1006" i="8"/>
  <c r="C1005" i="8"/>
  <c r="C1004" i="8"/>
  <c r="C1003" i="8"/>
  <c r="C1002" i="8"/>
  <c r="C1001" i="8"/>
  <c r="C1000" i="8"/>
  <c r="C999" i="8"/>
  <c r="C998" i="8"/>
  <c r="C997" i="8"/>
  <c r="C996" i="8"/>
  <c r="C995" i="8"/>
  <c r="C994" i="8"/>
  <c r="C993" i="8"/>
  <c r="C992" i="8"/>
  <c r="C991" i="8"/>
  <c r="C990" i="8"/>
  <c r="C989" i="8"/>
  <c r="C988" i="8"/>
  <c r="C987" i="8"/>
  <c r="C986" i="8"/>
  <c r="C985" i="8"/>
  <c r="C984" i="8"/>
  <c r="C983" i="8"/>
  <c r="C982" i="8"/>
  <c r="C981" i="8"/>
  <c r="C980" i="8"/>
  <c r="C979" i="8"/>
  <c r="C978" i="8"/>
  <c r="C977" i="8"/>
  <c r="C976" i="8"/>
  <c r="C975" i="8"/>
  <c r="C974" i="8"/>
  <c r="C973" i="8"/>
  <c r="C972" i="8"/>
  <c r="C971" i="8"/>
  <c r="C970" i="8"/>
  <c r="C969" i="8"/>
  <c r="C968" i="8"/>
  <c r="C967" i="8"/>
  <c r="C966" i="8"/>
  <c r="C965" i="8"/>
  <c r="C964" i="8"/>
  <c r="C963" i="8"/>
  <c r="C962" i="8"/>
  <c r="C961" i="8"/>
  <c r="C960" i="8"/>
  <c r="C959" i="8"/>
  <c r="C958" i="8"/>
  <c r="C957" i="8"/>
  <c r="C956" i="8"/>
  <c r="C955" i="8"/>
  <c r="C954" i="8"/>
  <c r="C953" i="8"/>
  <c r="C952" i="8"/>
  <c r="C951" i="8"/>
  <c r="C950" i="8"/>
  <c r="C949" i="8"/>
  <c r="C948" i="8"/>
  <c r="C947" i="8"/>
  <c r="C946" i="8"/>
  <c r="C945" i="8"/>
  <c r="C944" i="8"/>
  <c r="C943" i="8"/>
  <c r="C942" i="8"/>
  <c r="C941" i="8"/>
  <c r="C940" i="8"/>
  <c r="C939" i="8"/>
  <c r="C938" i="8"/>
  <c r="C937" i="8"/>
  <c r="C936" i="8"/>
  <c r="C935" i="8"/>
  <c r="C934" i="8"/>
  <c r="C933" i="8"/>
  <c r="C932" i="8"/>
  <c r="C931" i="8"/>
  <c r="C930" i="8"/>
  <c r="C929" i="8"/>
  <c r="C928" i="8"/>
  <c r="C927" i="8"/>
  <c r="C926" i="8"/>
  <c r="C925" i="8"/>
  <c r="C924" i="8"/>
  <c r="C923" i="8"/>
  <c r="C922" i="8"/>
  <c r="C921" i="8"/>
  <c r="C920" i="8"/>
  <c r="C919" i="8"/>
  <c r="C918" i="8"/>
  <c r="C917" i="8"/>
  <c r="C916" i="8"/>
  <c r="C915" i="8"/>
  <c r="C914" i="8"/>
  <c r="C913" i="8"/>
  <c r="C912" i="8"/>
  <c r="C911" i="8"/>
  <c r="C910" i="8"/>
  <c r="C909" i="8"/>
  <c r="C908" i="8"/>
  <c r="C907" i="8"/>
  <c r="C906" i="8"/>
  <c r="C905" i="8"/>
  <c r="C904" i="8"/>
  <c r="C903" i="8"/>
  <c r="C902" i="8"/>
  <c r="C901" i="8"/>
  <c r="C900" i="8"/>
  <c r="C899" i="8"/>
  <c r="C898" i="8"/>
  <c r="C897" i="8"/>
  <c r="C896" i="8"/>
  <c r="C895" i="8"/>
  <c r="C894" i="8"/>
  <c r="C893" i="8"/>
  <c r="C892" i="8"/>
  <c r="C891" i="8"/>
  <c r="C890" i="8"/>
  <c r="C889" i="8"/>
  <c r="C888" i="8"/>
  <c r="C887" i="8"/>
  <c r="C886" i="8"/>
  <c r="C885" i="8"/>
  <c r="C884" i="8"/>
  <c r="C883" i="8"/>
  <c r="C882" i="8"/>
  <c r="C1295" i="8"/>
  <c r="C1294" i="8"/>
  <c r="C1293" i="8"/>
  <c r="C1292" i="8"/>
  <c r="C1291" i="8"/>
  <c r="C1290" i="8"/>
  <c r="C1289" i="8"/>
  <c r="C1288" i="8"/>
  <c r="C1287" i="8"/>
  <c r="C1286" i="8"/>
  <c r="C1285" i="8"/>
  <c r="C1284" i="8"/>
  <c r="C1283" i="8"/>
  <c r="C1282" i="8"/>
  <c r="C1281" i="8"/>
  <c r="C1250" i="8"/>
  <c r="C1249" i="8"/>
  <c r="C1248" i="8"/>
  <c r="C1247" i="8"/>
  <c r="C1246" i="8"/>
  <c r="C1245" i="8"/>
  <c r="C1244" i="8"/>
  <c r="C1243" i="8"/>
  <c r="C1242" i="8"/>
  <c r="C1241" i="8"/>
  <c r="C1240" i="8"/>
  <c r="C1239" i="8"/>
  <c r="C1238" i="8"/>
  <c r="C1237" i="8"/>
  <c r="C1236" i="8"/>
  <c r="P30" i="2"/>
  <c r="AD54" i="2" l="1"/>
  <c r="AD53" i="2"/>
  <c r="U1181" i="8" l="1"/>
  <c r="AV1181" i="8" s="1"/>
  <c r="U1180" i="8"/>
  <c r="AV1180" i="8" s="1"/>
  <c r="U1179" i="8"/>
  <c r="AV1179" i="8" s="1"/>
  <c r="U1178" i="8"/>
  <c r="AV1178" i="8" s="1"/>
  <c r="U1177" i="8"/>
  <c r="AV1177" i="8" s="1"/>
  <c r="U1176" i="8"/>
  <c r="AV1176" i="8" s="1"/>
  <c r="U1175" i="8"/>
  <c r="AV1175" i="8" s="1"/>
  <c r="U1174" i="8"/>
  <c r="AV1174" i="8" s="1"/>
  <c r="U1173" i="8"/>
  <c r="AV1173" i="8" s="1"/>
  <c r="U1172" i="8"/>
  <c r="AV1172" i="8" s="1"/>
  <c r="U1171" i="8"/>
  <c r="AV1171" i="8" s="1"/>
  <c r="U1170" i="8"/>
  <c r="AV1170" i="8" s="1"/>
  <c r="U1169" i="8"/>
  <c r="AV1169" i="8" s="1"/>
  <c r="U1168" i="8"/>
  <c r="AV1168" i="8" s="1"/>
  <c r="U1167" i="8"/>
  <c r="AV1167" i="8" s="1"/>
  <c r="U1166" i="8"/>
  <c r="AV1166" i="8" s="1"/>
  <c r="U1165" i="8"/>
  <c r="AV1165" i="8" s="1"/>
  <c r="U1164" i="8"/>
  <c r="AV1164" i="8" s="1"/>
  <c r="U1295" i="8" l="1"/>
  <c r="AV1295" i="8" s="1"/>
  <c r="U1292" i="8"/>
  <c r="AV1292" i="8" s="1"/>
  <c r="U1289" i="8"/>
  <c r="AV1289" i="8" s="1"/>
  <c r="U1286" i="8"/>
  <c r="AV1286" i="8" s="1"/>
  <c r="U1283" i="8"/>
  <c r="AV1283" i="8" s="1"/>
  <c r="U1294" i="8"/>
  <c r="AV1294" i="8" s="1"/>
  <c r="U1293" i="8"/>
  <c r="AV1293" i="8" s="1"/>
  <c r="U1291" i="8"/>
  <c r="AV1291" i="8" s="1"/>
  <c r="U1290" i="8"/>
  <c r="AV1290" i="8" s="1"/>
  <c r="U1288" i="8"/>
  <c r="AV1288" i="8" s="1"/>
  <c r="U1287" i="8"/>
  <c r="AV1287" i="8" s="1"/>
  <c r="U1285" i="8"/>
  <c r="AV1285" i="8" s="1"/>
  <c r="U1284" i="8"/>
  <c r="AV1284" i="8" s="1"/>
  <c r="U1282" i="8"/>
  <c r="AV1282" i="8" s="1"/>
  <c r="U1281" i="8"/>
  <c r="AV1281" i="8" s="1"/>
  <c r="W743" i="1" l="1"/>
  <c r="W742" i="1"/>
  <c r="W741" i="1"/>
  <c r="AB740" i="1"/>
  <c r="AA740" i="1"/>
  <c r="W740" i="1"/>
  <c r="AB739" i="1"/>
  <c r="AA739" i="1"/>
  <c r="W739" i="1"/>
  <c r="W600" i="1"/>
  <c r="W599" i="1"/>
  <c r="W598" i="1"/>
  <c r="AB597" i="1"/>
  <c r="AA597" i="1"/>
  <c r="W597" i="1"/>
  <c r="AB596" i="1"/>
  <c r="AA596" i="1"/>
  <c r="W596" i="1"/>
  <c r="W194" i="1"/>
  <c r="W193" i="1"/>
  <c r="W192" i="1"/>
  <c r="AB191" i="1"/>
  <c r="AA191" i="1"/>
  <c r="W191" i="1"/>
  <c r="AB190" i="1"/>
  <c r="AA190" i="1"/>
  <c r="W190" i="1"/>
  <c r="W61" i="1"/>
  <c r="W60" i="1"/>
  <c r="W59" i="1"/>
  <c r="AB58" i="1"/>
  <c r="AA58" i="1"/>
  <c r="W58" i="1"/>
  <c r="AB57" i="1"/>
  <c r="AA57" i="1"/>
  <c r="W57" i="1"/>
  <c r="N13" i="2" l="1" a="1"/>
  <c r="N13" i="2"/>
  <c r="AN198" i="2" l="1"/>
  <c r="AL198" i="2"/>
  <c r="AJ198" i="2"/>
  <c r="AH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L171" i="2" l="1"/>
  <c r="AJ171" i="2"/>
  <c r="AH171" i="2"/>
  <c r="AL172" i="2"/>
  <c r="AJ172" i="2"/>
  <c r="AH172" i="2"/>
  <c r="AL173" i="2"/>
  <c r="AJ173" i="2"/>
  <c r="AH173" i="2"/>
  <c r="AL175" i="2"/>
  <c r="AJ175" i="2"/>
  <c r="AH175" i="2"/>
  <c r="AL176" i="2"/>
  <c r="AJ176" i="2"/>
  <c r="AH176" i="2"/>
  <c r="AL177" i="2"/>
  <c r="AJ177" i="2"/>
  <c r="AH177" i="2"/>
  <c r="AL179" i="2"/>
  <c r="AJ179" i="2"/>
  <c r="AH179" i="2"/>
  <c r="AL180" i="2"/>
  <c r="AJ180" i="2"/>
  <c r="AH180" i="2"/>
  <c r="AL181" i="2"/>
  <c r="AJ181" i="2"/>
  <c r="AH181" i="2"/>
  <c r="AL182" i="2"/>
  <c r="AJ182" i="2"/>
  <c r="AH182" i="2"/>
  <c r="AL183" i="2"/>
  <c r="AJ183" i="2"/>
  <c r="AH183" i="2"/>
  <c r="AL184" i="2"/>
  <c r="AJ184" i="2"/>
  <c r="AH184" i="2"/>
  <c r="AL186" i="2"/>
  <c r="AJ186" i="2"/>
  <c r="AH186" i="2"/>
  <c r="AL188" i="2"/>
  <c r="AJ188" i="2"/>
  <c r="AH188" i="2"/>
  <c r="AL190" i="2"/>
  <c r="AJ190" i="2"/>
  <c r="AH190" i="2"/>
  <c r="AL191" i="2"/>
  <c r="AJ191" i="2"/>
  <c r="AH191" i="2"/>
  <c r="AL192" i="2"/>
  <c r="AJ192" i="2"/>
  <c r="AH192" i="2"/>
  <c r="AL193" i="2"/>
  <c r="AJ193" i="2"/>
  <c r="AH193" i="2"/>
  <c r="AL196" i="2"/>
  <c r="AJ196" i="2"/>
  <c r="AH196" i="2"/>
  <c r="AL194" i="2"/>
  <c r="AJ194" i="2"/>
  <c r="AH194" i="2"/>
  <c r="AL187" i="2"/>
  <c r="AJ187" i="2"/>
  <c r="AH187" i="2"/>
  <c r="AL185" i="2"/>
  <c r="AJ185" i="2"/>
  <c r="AH185" i="2"/>
  <c r="AL178" i="2"/>
  <c r="AJ178" i="2"/>
  <c r="AH178" i="2"/>
  <c r="AL174" i="2"/>
  <c r="AJ174" i="2"/>
  <c r="AH174" i="2"/>
  <c r="AL197" i="2"/>
  <c r="AJ197" i="2"/>
  <c r="AH197" i="2"/>
  <c r="AL195" i="2"/>
  <c r="AJ195" i="2"/>
  <c r="AH195" i="2"/>
  <c r="AL189" i="2"/>
  <c r="AJ189" i="2"/>
  <c r="AH189" i="2"/>
  <c r="U1235" i="8" l="1"/>
  <c r="AV1235" i="8" s="1"/>
  <c r="U1234" i="8"/>
  <c r="AV1234" i="8" s="1"/>
  <c r="U1233" i="8"/>
  <c r="AV1233" i="8" s="1"/>
  <c r="U1232" i="8"/>
  <c r="AV1232" i="8" s="1"/>
  <c r="U1231" i="8"/>
  <c r="AV1231" i="8" s="1"/>
  <c r="U1230" i="8"/>
  <c r="AV1230" i="8" s="1"/>
  <c r="U1229" i="8"/>
  <c r="AV1229" i="8" s="1"/>
  <c r="U1228" i="8"/>
  <c r="AV1228" i="8" s="1"/>
  <c r="U1227" i="8"/>
  <c r="AV1227" i="8" s="1"/>
  <c r="U1226" i="8"/>
  <c r="AV1226" i="8" s="1"/>
  <c r="U1225" i="8"/>
  <c r="AV1225" i="8" s="1"/>
  <c r="U1224" i="8"/>
  <c r="AV1224" i="8" s="1"/>
  <c r="U1223" i="8"/>
  <c r="AV1223" i="8" s="1"/>
  <c r="U1222" i="8"/>
  <c r="AV1222" i="8" s="1"/>
  <c r="U1221" i="8"/>
  <c r="AV1221" i="8" s="1"/>
  <c r="U1220" i="8"/>
  <c r="AV1220" i="8" s="1"/>
  <c r="U1219" i="8"/>
  <c r="AV1219" i="8" s="1"/>
  <c r="U1218" i="8"/>
  <c r="AV1218" i="8" s="1"/>
  <c r="U1217" i="8"/>
  <c r="AV1217" i="8" s="1"/>
  <c r="U1216" i="8"/>
  <c r="AV1216" i="8" s="1"/>
  <c r="U1215" i="8"/>
  <c r="AV1215" i="8" s="1"/>
  <c r="U1214" i="8"/>
  <c r="AV1214" i="8" s="1"/>
  <c r="U1213" i="8"/>
  <c r="AV1213" i="8" s="1"/>
  <c r="U1212" i="8"/>
  <c r="AV1212" i="8" s="1"/>
  <c r="U1211" i="8"/>
  <c r="AV1211" i="8" s="1"/>
  <c r="U1210" i="8"/>
  <c r="AV1210" i="8" s="1"/>
  <c r="U1209" i="8"/>
  <c r="AV1209" i="8" s="1"/>
  <c r="U1208" i="8"/>
  <c r="AV1208" i="8" s="1"/>
  <c r="U1207" i="8"/>
  <c r="AV1207" i="8" s="1"/>
  <c r="U1206" i="8"/>
  <c r="AV1206" i="8" s="1"/>
  <c r="U1205" i="8"/>
  <c r="AV1205" i="8" s="1"/>
  <c r="U1204" i="8"/>
  <c r="AV1204" i="8" s="1"/>
  <c r="U1203" i="8"/>
  <c r="AV1203" i="8" s="1"/>
  <c r="U1202" i="8"/>
  <c r="AV1202" i="8" s="1"/>
  <c r="U1201" i="8"/>
  <c r="AV1201" i="8" s="1"/>
  <c r="U1200" i="8"/>
  <c r="AV1200" i="8" s="1"/>
  <c r="U1199" i="8"/>
  <c r="AV1199" i="8" s="1"/>
  <c r="U1198" i="8"/>
  <c r="AV1198" i="8" s="1"/>
  <c r="U1197" i="8"/>
  <c r="AV1197" i="8" s="1"/>
  <c r="U1196" i="8"/>
  <c r="AV1196" i="8" s="1"/>
  <c r="U1195" i="8"/>
  <c r="AV1195" i="8" s="1"/>
  <c r="U1194" i="8"/>
  <c r="AV1194" i="8" s="1"/>
  <c r="U1193" i="8"/>
  <c r="AV1193" i="8" s="1"/>
  <c r="U1192" i="8"/>
  <c r="AV1192" i="8" s="1"/>
  <c r="U1191" i="8"/>
  <c r="AV1191" i="8" s="1"/>
  <c r="U1190" i="8"/>
  <c r="AV1190" i="8" s="1"/>
  <c r="U1189" i="8"/>
  <c r="AV1189" i="8" s="1"/>
  <c r="U1188" i="8"/>
  <c r="AV1188" i="8" s="1"/>
  <c r="U1187" i="8"/>
  <c r="AV1187" i="8" s="1"/>
  <c r="U1186" i="8"/>
  <c r="AV1186" i="8" s="1"/>
  <c r="U1185" i="8"/>
  <c r="AV1185" i="8" s="1"/>
  <c r="U1184" i="8"/>
  <c r="AV1184" i="8" s="1"/>
  <c r="U1183" i="8"/>
  <c r="AV1183" i="8" s="1"/>
  <c r="U1182" i="8"/>
  <c r="AV1182" i="8" s="1"/>
  <c r="U1091" i="8"/>
  <c r="AV1091" i="8" s="1"/>
  <c r="U1090" i="8"/>
  <c r="AV1090" i="8" s="1"/>
  <c r="U1089" i="8"/>
  <c r="AV1089" i="8" s="1"/>
  <c r="U1088" i="8"/>
  <c r="AV1088" i="8" s="1"/>
  <c r="U1087" i="8"/>
  <c r="AV1087" i="8" s="1"/>
  <c r="U1086" i="8"/>
  <c r="AV1086" i="8" s="1"/>
  <c r="U1085" i="8"/>
  <c r="AV1085" i="8" s="1"/>
  <c r="U1084" i="8"/>
  <c r="AV1084" i="8" s="1"/>
  <c r="U1083" i="8"/>
  <c r="AV1083" i="8" s="1"/>
  <c r="U1082" i="8"/>
  <c r="AV1082" i="8" s="1"/>
  <c r="U1081" i="8"/>
  <c r="AV1081" i="8" s="1"/>
  <c r="U1080" i="8"/>
  <c r="AV1080" i="8" s="1"/>
  <c r="U1079" i="8"/>
  <c r="AV1079" i="8" s="1"/>
  <c r="U1078" i="8"/>
  <c r="AV1078" i="8" s="1"/>
  <c r="U1077" i="8"/>
  <c r="AV1077" i="8" s="1"/>
  <c r="U1076" i="8"/>
  <c r="AV1076" i="8" s="1"/>
  <c r="U1075" i="8"/>
  <c r="AV1075" i="8" s="1"/>
  <c r="U1074" i="8"/>
  <c r="AV1074" i="8" s="1"/>
  <c r="U1073" i="8"/>
  <c r="AV1073" i="8" s="1"/>
  <c r="U1072" i="8"/>
  <c r="AV1072" i="8" s="1"/>
  <c r="U1071" i="8"/>
  <c r="AV1071" i="8" s="1"/>
  <c r="U1070" i="8"/>
  <c r="AV1070" i="8" s="1"/>
  <c r="U1069" i="8"/>
  <c r="AV1069" i="8" s="1"/>
  <c r="U1068" i="8"/>
  <c r="AV1068" i="8" s="1"/>
  <c r="U1067" i="8"/>
  <c r="AV1067" i="8" s="1"/>
  <c r="U1066" i="8"/>
  <c r="AV1066" i="8" s="1"/>
  <c r="U1065" i="8"/>
  <c r="AV1065" i="8" s="1"/>
  <c r="U1064" i="8"/>
  <c r="AV1064" i="8" s="1"/>
  <c r="U1063" i="8"/>
  <c r="AV1063" i="8" s="1"/>
  <c r="U1062" i="8"/>
  <c r="AV1062" i="8" s="1"/>
  <c r="U1061" i="8"/>
  <c r="AV1061" i="8" s="1"/>
  <c r="U1060" i="8"/>
  <c r="AV1060" i="8" s="1"/>
  <c r="U1059" i="8"/>
  <c r="AV1059" i="8" s="1"/>
  <c r="U1040" i="8"/>
  <c r="AV1040" i="8" s="1"/>
  <c r="U1039" i="8"/>
  <c r="AV1039" i="8" s="1"/>
  <c r="U1038" i="8"/>
  <c r="AV1038" i="8" s="1"/>
  <c r="U1037" i="8"/>
  <c r="AV1037" i="8" s="1"/>
  <c r="U1036" i="8"/>
  <c r="AV1036" i="8" s="1"/>
  <c r="U1035" i="8"/>
  <c r="AV1035" i="8" s="1"/>
  <c r="U1034" i="8"/>
  <c r="AV1034" i="8" s="1"/>
  <c r="U1033" i="8"/>
  <c r="AV1033" i="8" s="1"/>
  <c r="U1032" i="8"/>
  <c r="AV1032" i="8" s="1"/>
  <c r="U1031" i="8"/>
  <c r="AV1031" i="8" s="1"/>
  <c r="U1030" i="8"/>
  <c r="AV1030" i="8" s="1"/>
  <c r="U1029" i="8"/>
  <c r="AV1029" i="8" s="1"/>
  <c r="U1028" i="8"/>
  <c r="AV1028" i="8" s="1"/>
  <c r="U1027" i="8"/>
  <c r="AV1027" i="8" s="1"/>
  <c r="U1026" i="8"/>
  <c r="AV1026" i="8" s="1"/>
  <c r="U1025" i="8"/>
  <c r="AV1025" i="8" s="1"/>
  <c r="U1024" i="8"/>
  <c r="AV1024" i="8" s="1"/>
  <c r="U1023" i="8"/>
  <c r="AV1023" i="8" s="1"/>
  <c r="U1022" i="8"/>
  <c r="AV1022" i="8" s="1"/>
  <c r="U1021" i="8"/>
  <c r="AV1021" i="8" s="1"/>
  <c r="U1020" i="8"/>
  <c r="AV1020" i="8" s="1"/>
  <c r="U1019" i="8"/>
  <c r="AV1019" i="8" s="1"/>
  <c r="U1018" i="8"/>
  <c r="AV1018" i="8" s="1"/>
  <c r="U1017" i="8"/>
  <c r="AV1017" i="8" s="1"/>
  <c r="U1016" i="8"/>
  <c r="AV1016" i="8" s="1"/>
  <c r="U1015" i="8"/>
  <c r="AV1015" i="8" s="1"/>
  <c r="U1014" i="8"/>
  <c r="AV1014" i="8" s="1"/>
  <c r="U1013" i="8"/>
  <c r="AV1013" i="8" s="1"/>
  <c r="U1012" i="8"/>
  <c r="AV1012" i="8" s="1"/>
  <c r="U1011" i="8"/>
  <c r="AV1011" i="8" s="1"/>
  <c r="U1010" i="8"/>
  <c r="AV1010" i="8" s="1"/>
  <c r="U1009" i="8"/>
  <c r="AV1009" i="8" s="1"/>
  <c r="U1008" i="8"/>
  <c r="AV1008" i="8" s="1"/>
  <c r="U1007" i="8"/>
  <c r="AV1007" i="8" s="1"/>
  <c r="U1006" i="8"/>
  <c r="AV1006" i="8" s="1"/>
  <c r="U1005" i="8"/>
  <c r="AV1005" i="8" s="1"/>
  <c r="U1004" i="8"/>
  <c r="AV1004" i="8" s="1"/>
  <c r="U1003" i="8"/>
  <c r="AV1003" i="8" s="1"/>
  <c r="U1002" i="8"/>
  <c r="AV1002" i="8" s="1"/>
  <c r="U1001" i="8"/>
  <c r="AV1001" i="8" s="1"/>
  <c r="U1000" i="8"/>
  <c r="AV1000" i="8" s="1"/>
  <c r="U999" i="8"/>
  <c r="AV999" i="8" s="1"/>
  <c r="U998" i="8"/>
  <c r="AV998" i="8" s="1"/>
  <c r="U997" i="8"/>
  <c r="AV997" i="8" s="1"/>
  <c r="U996" i="8"/>
  <c r="AV996" i="8" s="1"/>
  <c r="U995" i="8"/>
  <c r="AV995" i="8" s="1"/>
  <c r="U994" i="8"/>
  <c r="AV994" i="8" s="1"/>
  <c r="U993" i="8"/>
  <c r="AV993" i="8" s="1"/>
  <c r="U992" i="8"/>
  <c r="AV992" i="8" s="1"/>
  <c r="U991" i="8"/>
  <c r="AV991" i="8" s="1"/>
  <c r="U990" i="8"/>
  <c r="AV990" i="8" s="1"/>
  <c r="U989" i="8"/>
  <c r="AV989" i="8" s="1"/>
  <c r="U988" i="8"/>
  <c r="AV988" i="8" s="1"/>
  <c r="U987" i="8"/>
  <c r="AV987" i="8" s="1"/>
  <c r="M13" i="2" l="1"/>
  <c r="T7" i="2"/>
  <c r="M12" i="2" a="1"/>
  <c r="M12" i="2" s="1"/>
  <c r="N11" i="2" l="1"/>
  <c r="N12" i="2"/>
  <c r="AG148" i="2" l="1"/>
  <c r="AG170" i="2"/>
  <c r="AG136" i="2"/>
  <c r="AG137" i="2"/>
  <c r="AG138" i="2"/>
  <c r="AG139" i="2"/>
  <c r="AG140" i="2"/>
  <c r="AG169" i="2"/>
  <c r="AG168" i="2"/>
  <c r="AG167" i="2"/>
  <c r="AG157" i="2"/>
  <c r="AG166" i="2"/>
  <c r="AG165" i="2"/>
  <c r="AG164" i="2"/>
  <c r="AG163" i="2"/>
  <c r="AG162" i="2"/>
  <c r="AG161" i="2"/>
  <c r="AG141" i="2"/>
  <c r="AG160" i="2"/>
  <c r="AG159" i="2"/>
  <c r="AG158" i="2"/>
  <c r="AG156" i="2"/>
  <c r="AG155" i="2"/>
  <c r="AG154" i="2"/>
  <c r="AG144" i="2"/>
  <c r="AG143" i="2"/>
  <c r="AG142" i="2"/>
  <c r="AG153" i="2"/>
  <c r="AG152" i="2"/>
  <c r="AG151" i="2"/>
  <c r="AG150" i="2"/>
  <c r="AG149" i="2"/>
  <c r="AG147" i="2"/>
  <c r="AG146" i="2"/>
  <c r="AG145" i="2"/>
  <c r="AG135" i="2"/>
  <c r="AG134" i="2"/>
  <c r="AG133" i="2"/>
  <c r="AG132" i="2"/>
  <c r="AG131" i="2"/>
  <c r="AG130" i="2"/>
  <c r="AG129" i="2"/>
  <c r="AN127" i="2" l="1"/>
  <c r="AL127" i="2"/>
  <c r="AH127" i="2"/>
  <c r="AN128" i="2"/>
  <c r="AL128" i="2"/>
  <c r="AH128" i="2"/>
  <c r="AN129" i="2"/>
  <c r="AL129" i="2"/>
  <c r="AH129" i="2"/>
  <c r="AN149" i="2"/>
  <c r="AJ149" i="2"/>
  <c r="AH149" i="2"/>
  <c r="AN150" i="2"/>
  <c r="AJ150" i="2"/>
  <c r="AH150" i="2"/>
  <c r="AN151" i="2"/>
  <c r="AJ151" i="2"/>
  <c r="AH151" i="2"/>
  <c r="AN152" i="2"/>
  <c r="AJ152" i="2"/>
  <c r="AH152" i="2"/>
  <c r="AN142" i="2"/>
  <c r="AJ142" i="2"/>
  <c r="AH142" i="2"/>
  <c r="AN143" i="2"/>
  <c r="AJ143" i="2"/>
  <c r="AH143" i="2"/>
  <c r="AN154" i="2"/>
  <c r="AJ154" i="2"/>
  <c r="AH154" i="2"/>
  <c r="AN155" i="2"/>
  <c r="AJ155" i="2"/>
  <c r="AH155" i="2"/>
  <c r="AN156" i="2"/>
  <c r="AJ156" i="2"/>
  <c r="AH156" i="2"/>
  <c r="AN159" i="2"/>
  <c r="AJ159" i="2"/>
  <c r="AH159" i="2"/>
  <c r="AN162" i="2"/>
  <c r="AJ162" i="2"/>
  <c r="AH162" i="2"/>
  <c r="AN163" i="2"/>
  <c r="AJ163" i="2"/>
  <c r="AH163" i="2"/>
  <c r="AN164" i="2"/>
  <c r="AJ164" i="2"/>
  <c r="AH164" i="2"/>
  <c r="AN165" i="2"/>
  <c r="AJ165" i="2"/>
  <c r="AH165" i="2"/>
  <c r="AN166" i="2"/>
  <c r="AJ166" i="2"/>
  <c r="AH166" i="2"/>
  <c r="AN157" i="2"/>
  <c r="AJ157" i="2"/>
  <c r="AH157" i="2"/>
  <c r="AN167" i="2"/>
  <c r="AJ167" i="2"/>
  <c r="AH167" i="2"/>
  <c r="AN140" i="2"/>
  <c r="AJ140" i="2"/>
  <c r="AH140" i="2"/>
  <c r="AN139" i="2"/>
  <c r="AJ139" i="2"/>
  <c r="AH139" i="2"/>
  <c r="AN138" i="2"/>
  <c r="AJ138" i="2"/>
  <c r="AH138" i="2"/>
  <c r="AN137" i="2"/>
  <c r="AJ137" i="2"/>
  <c r="AH137" i="2"/>
  <c r="AN110" i="2"/>
  <c r="AL110" i="2"/>
  <c r="AH110" i="2"/>
  <c r="AN111" i="2"/>
  <c r="AL111" i="2"/>
  <c r="AH111" i="2"/>
  <c r="AN112" i="2"/>
  <c r="AL112" i="2"/>
  <c r="AH112" i="2"/>
  <c r="AN114" i="2"/>
  <c r="AL114" i="2"/>
  <c r="AH114" i="2"/>
  <c r="AN115" i="2"/>
  <c r="AL115" i="2"/>
  <c r="AH115" i="2"/>
  <c r="AN116" i="2"/>
  <c r="AL116" i="2"/>
  <c r="AH116" i="2"/>
  <c r="AN117" i="2"/>
  <c r="AL117" i="2"/>
  <c r="AH117" i="2"/>
  <c r="AN118" i="2"/>
  <c r="AL118" i="2"/>
  <c r="AH118" i="2"/>
  <c r="AN119" i="2"/>
  <c r="AL119" i="2"/>
  <c r="AH119" i="2"/>
  <c r="AN120" i="2"/>
  <c r="AL120" i="2"/>
  <c r="AH120" i="2"/>
  <c r="AN121" i="2"/>
  <c r="AL121" i="2"/>
  <c r="AH121" i="2"/>
  <c r="AN122" i="2"/>
  <c r="AL122" i="2"/>
  <c r="AH122" i="2"/>
  <c r="AN123" i="2"/>
  <c r="AL123" i="2"/>
  <c r="AH123" i="2"/>
  <c r="AN124" i="2"/>
  <c r="AL124" i="2"/>
  <c r="AH124" i="2"/>
  <c r="AN125" i="2"/>
  <c r="AL125" i="2"/>
  <c r="AH125" i="2"/>
  <c r="AN130" i="2"/>
  <c r="AJ130" i="2"/>
  <c r="AH130" i="2"/>
  <c r="AN131" i="2"/>
  <c r="AJ131" i="2"/>
  <c r="AH131" i="2"/>
  <c r="AN132" i="2"/>
  <c r="AJ132" i="2"/>
  <c r="AH132" i="2"/>
  <c r="AN133" i="2"/>
  <c r="AJ133" i="2"/>
  <c r="AH133" i="2"/>
  <c r="AN134" i="2"/>
  <c r="AJ134" i="2"/>
  <c r="AH134" i="2"/>
  <c r="AN135" i="2"/>
  <c r="AJ135" i="2"/>
  <c r="AH135" i="2"/>
  <c r="AN145" i="2"/>
  <c r="AJ145" i="2"/>
  <c r="AH145" i="2"/>
  <c r="AN146" i="2"/>
  <c r="AJ146" i="2"/>
  <c r="AH146" i="2"/>
  <c r="AN147" i="2"/>
  <c r="AJ147" i="2"/>
  <c r="AH147" i="2"/>
  <c r="AN153" i="2"/>
  <c r="AJ153" i="2"/>
  <c r="AH153" i="2"/>
  <c r="AN144" i="2"/>
  <c r="AJ144" i="2"/>
  <c r="AH144" i="2"/>
  <c r="AN158" i="2"/>
  <c r="AJ158" i="2"/>
  <c r="AH158" i="2"/>
  <c r="AN160" i="2"/>
  <c r="AJ160" i="2"/>
  <c r="AH160" i="2"/>
  <c r="AN141" i="2"/>
  <c r="AJ141" i="2"/>
  <c r="AH141" i="2"/>
  <c r="AN161" i="2"/>
  <c r="AJ161" i="2"/>
  <c r="AH161" i="2"/>
  <c r="AN168" i="2"/>
  <c r="AJ168" i="2"/>
  <c r="AH168" i="2"/>
  <c r="AN169" i="2"/>
  <c r="AJ169" i="2"/>
  <c r="AH169" i="2"/>
  <c r="AN136" i="2"/>
  <c r="AJ136" i="2"/>
  <c r="AH136" i="2"/>
  <c r="AN170" i="2"/>
  <c r="AJ170" i="2"/>
  <c r="AH170" i="2"/>
  <c r="AN148" i="2"/>
  <c r="AJ148" i="2"/>
  <c r="AH148" i="2"/>
  <c r="AG109" i="2"/>
  <c r="AN106" i="2"/>
  <c r="AN105" i="2" l="1"/>
  <c r="AL105" i="2"/>
  <c r="AN107" i="2"/>
  <c r="AL107" i="2"/>
  <c r="AJ107" i="2"/>
  <c r="AN108" i="2"/>
  <c r="AL108" i="2"/>
  <c r="AJ108" i="2"/>
  <c r="AN109" i="2"/>
  <c r="AL109" i="2"/>
  <c r="AJ109" i="2"/>
  <c r="F541" i="1" l="1"/>
  <c r="N8" i="2"/>
  <c r="C1633" i="8" a="1"/>
  <c r="C1633" i="8" s="1"/>
  <c r="C1632" i="8" a="1"/>
  <c r="C1632" i="8" s="1"/>
  <c r="C1631" i="8" a="1"/>
  <c r="C1631" i="8" s="1"/>
  <c r="C1630" i="8" a="1"/>
  <c r="C1630" i="8" s="1"/>
  <c r="C1629" i="8" a="1"/>
  <c r="C1629" i="8" s="1"/>
  <c r="C1628" i="8" a="1"/>
  <c r="C1628" i="8" s="1"/>
  <c r="C1627" i="8" a="1"/>
  <c r="C1627" i="8" s="1"/>
  <c r="C1626" i="8" a="1"/>
  <c r="C1626" i="8" s="1"/>
  <c r="C1625" i="8" a="1"/>
  <c r="C1625" i="8" s="1"/>
  <c r="C1624" i="8" a="1"/>
  <c r="C1624" i="8" s="1"/>
  <c r="C1623" i="8" a="1"/>
  <c r="C1623" i="8" s="1"/>
  <c r="C1622" i="8" a="1"/>
  <c r="C1622" i="8" s="1"/>
  <c r="C1621" i="8" a="1"/>
  <c r="C1621" i="8" s="1"/>
  <c r="C1620" i="8" a="1"/>
  <c r="C1620" i="8" s="1"/>
  <c r="C1619" i="8" a="1"/>
  <c r="C1619" i="8" s="1"/>
  <c r="C1618" i="8" a="1"/>
  <c r="C1618" i="8" s="1"/>
  <c r="C1617" i="8" a="1"/>
  <c r="C1617" i="8" s="1"/>
  <c r="C1616" i="8" a="1"/>
  <c r="C1616" i="8" s="1"/>
  <c r="M58" i="2" l="1"/>
  <c r="M56" i="2"/>
  <c r="M57" i="2"/>
  <c r="M55" i="2"/>
  <c r="S29" i="13" l="1"/>
  <c r="M8" i="2" l="1"/>
  <c r="V19" i="1" l="1"/>
  <c r="W21" i="1"/>
  <c r="W22" i="1"/>
  <c r="W23" i="1"/>
  <c r="M67" i="2" l="1"/>
  <c r="U67" i="2" s="1"/>
  <c r="M64" i="2"/>
  <c r="U64" i="2" s="1"/>
  <c r="M61" i="2"/>
  <c r="U61" i="2" s="1"/>
  <c r="I40" i="2"/>
  <c r="I37" i="1" a="1"/>
  <c r="I37" i="1"/>
  <c r="H40" i="2"/>
  <c r="D40" i="2" a="1"/>
  <c r="D40" i="2"/>
  <c r="Z32" i="1"/>
  <c r="S48" i="2" l="1"/>
  <c r="I18" i="2"/>
  <c r="C1615" i="8"/>
  <c r="C1614" i="8"/>
  <c r="C1613" i="8"/>
  <c r="C1612" i="8"/>
  <c r="C1611" i="8"/>
  <c r="C1610" i="8"/>
  <c r="C1609" i="8"/>
  <c r="C1608" i="8"/>
  <c r="C1607" i="8"/>
  <c r="C1606" i="8"/>
  <c r="C1605" i="8"/>
  <c r="C1604" i="8"/>
  <c r="C1603" i="8"/>
  <c r="C1602" i="8"/>
  <c r="C1601" i="8"/>
  <c r="C1600" i="8"/>
  <c r="C1599" i="8"/>
  <c r="C1598" i="8"/>
  <c r="C1597" i="8"/>
  <c r="C1596" i="8"/>
  <c r="C1595" i="8"/>
  <c r="C1594" i="8"/>
  <c r="C1593" i="8"/>
  <c r="C1592" i="8"/>
  <c r="C1591" i="8"/>
  <c r="C1590" i="8"/>
  <c r="C1589" i="8"/>
  <c r="C1588" i="8"/>
  <c r="C1587" i="8"/>
  <c r="C1586" i="8"/>
  <c r="C1585" i="8"/>
  <c r="C1584" i="8"/>
  <c r="C1583" i="8"/>
  <c r="C1582" i="8"/>
  <c r="C1581" i="8"/>
  <c r="C1580" i="8"/>
  <c r="N7" i="2"/>
  <c r="H13" i="13"/>
  <c r="F428" i="1" l="1"/>
  <c r="Q26" i="13"/>
  <c r="R26" i="13"/>
  <c r="Q24" i="13" l="1"/>
  <c r="R24" i="13"/>
  <c r="C24" i="13" l="1"/>
  <c r="C23" i="13"/>
  <c r="C22" i="13"/>
  <c r="B20" i="13"/>
  <c r="C20" i="13"/>
  <c r="B22" i="13"/>
  <c r="B23" i="13"/>
  <c r="U18" i="13"/>
  <c r="U16" i="13"/>
  <c r="U9" i="13"/>
  <c r="U17" i="13" l="1"/>
  <c r="V16" i="13"/>
  <c r="AA22" i="1" s="1"/>
  <c r="B26" i="13"/>
  <c r="B24" i="13"/>
  <c r="R10" i="13" l="1"/>
  <c r="R15" i="13" l="1"/>
  <c r="H11" i="13" l="1"/>
  <c r="K13" i="13"/>
  <c r="U13" i="13" s="1"/>
  <c r="V13" i="13" s="1"/>
  <c r="AA21" i="1" s="1"/>
  <c r="O11" i="13"/>
  <c r="P11" i="13"/>
  <c r="H14" i="13"/>
  <c r="V11" i="13" l="1"/>
  <c r="J12" i="13"/>
  <c r="J11" i="13"/>
  <c r="P13" i="13"/>
  <c r="P12" i="13"/>
  <c r="O13" i="13"/>
  <c r="O12" i="13"/>
  <c r="I13" i="13"/>
  <c r="AE4" i="2"/>
  <c r="AH51" i="2" s="1" a="1"/>
  <c r="AH51" i="2" s="1"/>
  <c r="N12" i="13" l="1"/>
  <c r="N13" i="13"/>
  <c r="N11" i="13"/>
  <c r="D33" i="2"/>
  <c r="I33" i="2"/>
  <c r="AJ105" i="2" l="1"/>
  <c r="AL106" i="2"/>
  <c r="AJ106" i="2"/>
  <c r="AH105" i="2"/>
  <c r="AH106" i="2"/>
  <c r="AH107" i="2" l="1"/>
  <c r="AH108" i="2"/>
  <c r="AH109" i="2"/>
  <c r="AJ110" i="2"/>
  <c r="AJ111" i="2"/>
  <c r="AJ112" i="2" l="1"/>
  <c r="AJ113" i="2" s="1"/>
  <c r="AJ114" i="2"/>
  <c r="U542" i="8"/>
  <c r="AV542" i="8" s="1"/>
  <c r="U540" i="8"/>
  <c r="AV540" i="8" s="1"/>
  <c r="U539" i="8"/>
  <c r="AV539" i="8" s="1"/>
  <c r="U534" i="8"/>
  <c r="AV534" i="8" s="1"/>
  <c r="U532" i="8"/>
  <c r="AV532" i="8" s="1"/>
  <c r="U531" i="8"/>
  <c r="AV531" i="8" s="1"/>
  <c r="U526" i="8"/>
  <c r="AV526" i="8" s="1"/>
  <c r="U524" i="8"/>
  <c r="AV524" i="8" s="1"/>
  <c r="U523" i="8"/>
  <c r="AV523" i="8" s="1"/>
  <c r="U510" i="8"/>
  <c r="AV510" i="8" s="1"/>
  <c r="U508" i="8"/>
  <c r="AV508" i="8" s="1"/>
  <c r="U507" i="8"/>
  <c r="AV507" i="8" s="1"/>
  <c r="U502" i="8"/>
  <c r="AV502" i="8" s="1"/>
  <c r="U500" i="8"/>
  <c r="AV500" i="8" s="1"/>
  <c r="U499" i="8"/>
  <c r="AV499" i="8" s="1"/>
  <c r="U494" i="8"/>
  <c r="AV494" i="8" s="1"/>
  <c r="U492" i="8"/>
  <c r="AV492" i="8" s="1"/>
  <c r="U491" i="8"/>
  <c r="AV491" i="8" s="1"/>
  <c r="U490" i="8"/>
  <c r="AV490" i="8" s="1"/>
  <c r="U489" i="8"/>
  <c r="AV489" i="8" s="1"/>
  <c r="U482" i="8"/>
  <c r="AV482" i="8" s="1"/>
  <c r="U481" i="8"/>
  <c r="AV481" i="8" s="1"/>
  <c r="U480" i="8"/>
  <c r="AV480" i="8" s="1"/>
  <c r="U479" i="8"/>
  <c r="AV479" i="8" s="1"/>
  <c r="U478" i="8"/>
  <c r="AV478" i="8" s="1"/>
  <c r="U477" i="8"/>
  <c r="AV477" i="8" s="1"/>
  <c r="U470" i="8"/>
  <c r="AV470" i="8" s="1"/>
  <c r="U469" i="8"/>
  <c r="AV469" i="8" s="1"/>
  <c r="U468" i="8"/>
  <c r="AV468" i="8" s="1"/>
  <c r="U467" i="8"/>
  <c r="AV467" i="8" s="1"/>
  <c r="U466" i="8"/>
  <c r="AV466" i="8" s="1"/>
  <c r="U465" i="8"/>
  <c r="AV465" i="8" s="1"/>
  <c r="U446" i="8"/>
  <c r="AV446" i="8" s="1"/>
  <c r="U445" i="8"/>
  <c r="AV445" i="8" s="1"/>
  <c r="U444" i="8"/>
  <c r="AV444" i="8" s="1"/>
  <c r="U443" i="8"/>
  <c r="AV443" i="8" s="1"/>
  <c r="U442" i="8"/>
  <c r="AV442" i="8" s="1"/>
  <c r="U441" i="8"/>
  <c r="AV441" i="8" s="1"/>
  <c r="U434" i="8"/>
  <c r="AV434" i="8" s="1"/>
  <c r="U433" i="8"/>
  <c r="AV433" i="8" s="1"/>
  <c r="U432" i="8"/>
  <c r="AV432" i="8" s="1"/>
  <c r="U431" i="8"/>
  <c r="AV431" i="8" s="1"/>
  <c r="U430" i="8"/>
  <c r="AV430" i="8" s="1"/>
  <c r="U429" i="8"/>
  <c r="AV429" i="8" s="1"/>
  <c r="U422" i="8"/>
  <c r="AV422" i="8" s="1"/>
  <c r="U421" i="8"/>
  <c r="AV421" i="8" s="1"/>
  <c r="U420" i="8"/>
  <c r="AV420" i="8" s="1"/>
  <c r="U419" i="8"/>
  <c r="AV419" i="8" s="1"/>
  <c r="U418" i="8"/>
  <c r="AV418" i="8" s="1"/>
  <c r="U417" i="8"/>
  <c r="AV417" i="8" s="1"/>
  <c r="U416" i="8"/>
  <c r="AV416" i="8" s="1"/>
  <c r="U408" i="8"/>
  <c r="AV408" i="8" s="1"/>
  <c r="U407" i="8"/>
  <c r="AV407" i="8" s="1"/>
  <c r="U406" i="8"/>
  <c r="AV406" i="8" s="1"/>
  <c r="U405" i="8"/>
  <c r="AV405" i="8" s="1"/>
  <c r="U404" i="8"/>
  <c r="AV404" i="8" s="1"/>
  <c r="U403" i="8"/>
  <c r="AV403" i="8" s="1"/>
  <c r="U396" i="8"/>
  <c r="AV396" i="8" s="1"/>
  <c r="U395" i="8"/>
  <c r="AV395" i="8" s="1"/>
  <c r="U394" i="8"/>
  <c r="AV394" i="8" s="1"/>
  <c r="U393" i="8"/>
  <c r="AV393" i="8" s="1"/>
  <c r="U392" i="8"/>
  <c r="AV392" i="8" s="1"/>
  <c r="U391" i="8"/>
  <c r="AV391" i="8" s="1"/>
  <c r="U372" i="8"/>
  <c r="AV372" i="8" s="1"/>
  <c r="U371" i="8"/>
  <c r="AV371" i="8" s="1"/>
  <c r="U370" i="8"/>
  <c r="AV370" i="8" s="1"/>
  <c r="U369" i="8"/>
  <c r="AV369" i="8" s="1"/>
  <c r="U368" i="8"/>
  <c r="AV368" i="8" s="1"/>
  <c r="U367" i="8"/>
  <c r="AV367" i="8" s="1"/>
  <c r="U360" i="8"/>
  <c r="AV360" i="8" s="1"/>
  <c r="U359" i="8"/>
  <c r="AV359" i="8" s="1"/>
  <c r="U358" i="8"/>
  <c r="AV358" i="8" s="1"/>
  <c r="U357" i="8"/>
  <c r="AV357" i="8" s="1"/>
  <c r="U356" i="8"/>
  <c r="AV356" i="8" s="1"/>
  <c r="U355" i="8"/>
  <c r="AV355" i="8" s="1"/>
  <c r="U348" i="8"/>
  <c r="AV348" i="8" s="1"/>
  <c r="U347" i="8"/>
  <c r="AV347" i="8" s="1"/>
  <c r="U346" i="8"/>
  <c r="AV346" i="8" s="1"/>
  <c r="U345" i="8"/>
  <c r="AV345" i="8" s="1"/>
  <c r="U344" i="8"/>
  <c r="AV344" i="8" s="1"/>
  <c r="U343" i="8"/>
  <c r="AV343" i="8" s="1"/>
  <c r="U342" i="8"/>
  <c r="AV342" i="8" s="1"/>
  <c r="U334" i="8"/>
  <c r="AV334" i="8" s="1"/>
  <c r="U333" i="8"/>
  <c r="AV333" i="8" s="1"/>
  <c r="U332" i="8"/>
  <c r="AV332" i="8" s="1"/>
  <c r="U331" i="8"/>
  <c r="AV331" i="8" s="1"/>
  <c r="U330" i="8"/>
  <c r="AV330" i="8" s="1"/>
  <c r="U329" i="8"/>
  <c r="AV329" i="8" s="1"/>
  <c r="U322" i="8"/>
  <c r="AV322" i="8" s="1"/>
  <c r="U321" i="8"/>
  <c r="AV321" i="8" s="1"/>
  <c r="U320" i="8"/>
  <c r="AV320" i="8" s="1"/>
  <c r="U319" i="8"/>
  <c r="AV319" i="8" s="1"/>
  <c r="U318" i="8"/>
  <c r="AV318" i="8" s="1"/>
  <c r="U317" i="8"/>
  <c r="AV317" i="8" s="1"/>
  <c r="U298" i="8"/>
  <c r="AV298" i="8" s="1"/>
  <c r="U297" i="8"/>
  <c r="AV297" i="8" s="1"/>
  <c r="U296" i="8"/>
  <c r="AV296" i="8" s="1"/>
  <c r="U295" i="8"/>
  <c r="AV295" i="8" s="1"/>
  <c r="U294" i="8"/>
  <c r="AV294" i="8" s="1"/>
  <c r="U293" i="8"/>
  <c r="AV293" i="8" s="1"/>
  <c r="U286" i="8"/>
  <c r="AV286" i="8" s="1"/>
  <c r="U285" i="8"/>
  <c r="AV285" i="8" s="1"/>
  <c r="U284" i="8"/>
  <c r="AV284" i="8" s="1"/>
  <c r="U283" i="8"/>
  <c r="AV283" i="8" s="1"/>
  <c r="U282" i="8"/>
  <c r="AV282" i="8" s="1"/>
  <c r="U281" i="8"/>
  <c r="AV281" i="8" s="1"/>
  <c r="U226" i="8"/>
  <c r="AV226" i="8" s="1"/>
  <c r="U224" i="8"/>
  <c r="AV224" i="8" s="1"/>
  <c r="U223" i="8"/>
  <c r="AV223" i="8" s="1"/>
  <c r="U218" i="8"/>
  <c r="AV218" i="8" s="1"/>
  <c r="U216" i="8"/>
  <c r="AV216" i="8" s="1"/>
  <c r="U215" i="8"/>
  <c r="AV215" i="8" s="1"/>
  <c r="U210" i="8"/>
  <c r="AV210" i="8" s="1"/>
  <c r="U208" i="8"/>
  <c r="AV208" i="8" s="1"/>
  <c r="U207" i="8"/>
  <c r="AV207" i="8" s="1"/>
  <c r="U202" i="8"/>
  <c r="AV202" i="8" s="1"/>
  <c r="U200" i="8"/>
  <c r="AV200" i="8" s="1"/>
  <c r="U199" i="8"/>
  <c r="AV199" i="8" s="1"/>
  <c r="U194" i="8"/>
  <c r="AV194" i="8" s="1"/>
  <c r="U192" i="8"/>
  <c r="AV192" i="8" s="1"/>
  <c r="U191" i="8"/>
  <c r="AV191" i="8" s="1"/>
  <c r="U186" i="8"/>
  <c r="AV186" i="8" s="1"/>
  <c r="U185" i="8"/>
  <c r="AV185" i="8" s="1"/>
  <c r="U184" i="8"/>
  <c r="AV184" i="8" s="1"/>
  <c r="U183" i="8"/>
  <c r="AV183" i="8" s="1"/>
  <c r="U182" i="8"/>
  <c r="AV182" i="8" s="1"/>
  <c r="U181" i="8"/>
  <c r="AV181" i="8" s="1"/>
  <c r="U174" i="8"/>
  <c r="AV174" i="8" s="1"/>
  <c r="U173" i="8"/>
  <c r="AV173" i="8" s="1"/>
  <c r="U172" i="8"/>
  <c r="AV172" i="8" s="1"/>
  <c r="U171" i="8"/>
  <c r="AV171" i="8" s="1"/>
  <c r="U170" i="8"/>
  <c r="AV170" i="8" s="1"/>
  <c r="U169" i="8"/>
  <c r="AV169" i="8" s="1"/>
  <c r="U162" i="8"/>
  <c r="AV162" i="8" s="1"/>
  <c r="U161" i="8"/>
  <c r="AV161" i="8" s="1"/>
  <c r="U160" i="8"/>
  <c r="AV160" i="8" s="1"/>
  <c r="U159" i="8"/>
  <c r="AV159" i="8" s="1"/>
  <c r="U158" i="8"/>
  <c r="AV158" i="8" s="1"/>
  <c r="U157" i="8"/>
  <c r="AV157" i="8" s="1"/>
  <c r="U150" i="8"/>
  <c r="AV150" i="8" s="1"/>
  <c r="U149" i="8"/>
  <c r="AV149" i="8" s="1"/>
  <c r="U148" i="8"/>
  <c r="AV148" i="8" s="1"/>
  <c r="U147" i="8"/>
  <c r="AV147" i="8" s="1"/>
  <c r="U146" i="8"/>
  <c r="AV146" i="8" s="1"/>
  <c r="U145" i="8"/>
  <c r="AV145" i="8" s="1"/>
  <c r="U138" i="8"/>
  <c r="AV138" i="8" s="1"/>
  <c r="U137" i="8"/>
  <c r="AV137" i="8" s="1"/>
  <c r="U136" i="8"/>
  <c r="AV136" i="8" s="1"/>
  <c r="U135" i="8"/>
  <c r="AV135" i="8" s="1"/>
  <c r="U134" i="8"/>
  <c r="AV134" i="8" s="1"/>
  <c r="U133" i="8"/>
  <c r="AV133" i="8" s="1"/>
  <c r="U126" i="8"/>
  <c r="AV126" i="8" s="1"/>
  <c r="U125" i="8"/>
  <c r="AV125" i="8" s="1"/>
  <c r="U124" i="8"/>
  <c r="AV124" i="8" s="1"/>
  <c r="U123" i="8"/>
  <c r="AV123" i="8" s="1"/>
  <c r="U122" i="8"/>
  <c r="AV122" i="8" s="1"/>
  <c r="U121" i="8"/>
  <c r="AV121" i="8" s="1"/>
  <c r="U114" i="8"/>
  <c r="AV114" i="8" s="1"/>
  <c r="U113" i="8"/>
  <c r="AV113" i="8" s="1"/>
  <c r="U112" i="8"/>
  <c r="AV112" i="8" s="1"/>
  <c r="U111" i="8"/>
  <c r="AV111" i="8" s="1"/>
  <c r="U110" i="8"/>
  <c r="AV110" i="8" s="1"/>
  <c r="U109" i="8"/>
  <c r="AV109" i="8" s="1"/>
  <c r="U102" i="8"/>
  <c r="AV102" i="8" s="1"/>
  <c r="U101" i="8"/>
  <c r="AV101" i="8" s="1"/>
  <c r="U100" i="8"/>
  <c r="AV100" i="8" s="1"/>
  <c r="U99" i="8"/>
  <c r="AV99" i="8" s="1"/>
  <c r="U98" i="8"/>
  <c r="AV98" i="8" s="1"/>
  <c r="U97" i="8"/>
  <c r="AV97" i="8" s="1"/>
  <c r="U90" i="8"/>
  <c r="AV90" i="8" s="1"/>
  <c r="U89" i="8"/>
  <c r="AV89" i="8" s="1"/>
  <c r="U88" i="8"/>
  <c r="AV88" i="8" s="1"/>
  <c r="U87" i="8"/>
  <c r="AV87" i="8" s="1"/>
  <c r="U86" i="8"/>
  <c r="AV86" i="8" s="1"/>
  <c r="U85" i="8"/>
  <c r="AV85" i="8" s="1"/>
  <c r="U78" i="8"/>
  <c r="AV78" i="8" s="1"/>
  <c r="U77" i="8"/>
  <c r="AV77" i="8" s="1"/>
  <c r="U76" i="8"/>
  <c r="AV76" i="8" s="1"/>
  <c r="U75" i="8"/>
  <c r="AV75" i="8" s="1"/>
  <c r="U74" i="8"/>
  <c r="AV74" i="8" s="1"/>
  <c r="U73" i="8"/>
  <c r="AV73" i="8" s="1"/>
  <c r="U66" i="8"/>
  <c r="AV66" i="8" s="1"/>
  <c r="U65" i="8"/>
  <c r="AV65" i="8" s="1"/>
  <c r="U64" i="8"/>
  <c r="AV64" i="8" s="1"/>
  <c r="U63" i="8"/>
  <c r="AV63" i="8" s="1"/>
  <c r="U62" i="8"/>
  <c r="AV62" i="8" s="1"/>
  <c r="U61" i="8"/>
  <c r="AV61" i="8" s="1"/>
  <c r="U54" i="8"/>
  <c r="AV54" i="8" s="1"/>
  <c r="U53" i="8"/>
  <c r="AV53" i="8" s="1"/>
  <c r="U52" i="8"/>
  <c r="AV52" i="8" s="1"/>
  <c r="U51" i="8"/>
  <c r="AV51" i="8" s="1"/>
  <c r="U50" i="8"/>
  <c r="AV50" i="8" s="1"/>
  <c r="U49" i="8"/>
  <c r="AV49" i="8" s="1"/>
  <c r="U42" i="8"/>
  <c r="AV42" i="8" s="1"/>
  <c r="U41" i="8"/>
  <c r="AV41" i="8" s="1"/>
  <c r="U40" i="8"/>
  <c r="AV40" i="8" s="1"/>
  <c r="U39" i="8"/>
  <c r="AV39" i="8" s="1"/>
  <c r="U38" i="8"/>
  <c r="AV38" i="8" s="1"/>
  <c r="U37" i="8"/>
  <c r="AV37" i="8" s="1"/>
  <c r="U30" i="8"/>
  <c r="AV30" i="8" s="1"/>
  <c r="U29" i="8"/>
  <c r="AV29" i="8" s="1"/>
  <c r="U28" i="8"/>
  <c r="AV28" i="8" s="1"/>
  <c r="U27" i="8"/>
  <c r="AV27" i="8" s="1"/>
  <c r="U26" i="8"/>
  <c r="AV26" i="8" s="1"/>
  <c r="U25" i="8"/>
  <c r="AV25" i="8" s="1"/>
  <c r="U18" i="8"/>
  <c r="AV18" i="8" s="1"/>
  <c r="U17" i="8"/>
  <c r="AV17" i="8" s="1"/>
  <c r="U16" i="8"/>
  <c r="AV16" i="8" s="1"/>
  <c r="U15" i="8"/>
  <c r="AV15" i="8" s="1"/>
  <c r="U14" i="8"/>
  <c r="AV14" i="8" s="1"/>
  <c r="U13" i="8"/>
  <c r="AV13" i="8" s="1"/>
  <c r="AJ115" i="2" l="1"/>
  <c r="AJ116" i="2"/>
  <c r="AJ117" i="2"/>
  <c r="AJ118" i="2" l="1"/>
  <c r="AJ119" i="2"/>
  <c r="AJ120" i="2"/>
  <c r="AJ121" i="2" l="1"/>
  <c r="AJ122" i="2"/>
  <c r="AJ123" i="2"/>
  <c r="AB742" i="1"/>
  <c r="AB599" i="1"/>
  <c r="AB193" i="1"/>
  <c r="AB60" i="1"/>
  <c r="AJ124" i="2" l="1"/>
  <c r="AJ125" i="2"/>
  <c r="D113" i="1" l="1"/>
  <c r="M21" i="2" l="1"/>
  <c r="T8" i="2"/>
  <c r="N10" i="2" l="1"/>
  <c r="M10" i="2"/>
  <c r="J57" i="1"/>
  <c r="AE9" i="1" s="1"/>
  <c r="C865" i="8"/>
  <c r="D187" i="1"/>
  <c r="C773" i="8"/>
  <c r="C772" i="8"/>
  <c r="C771" i="8"/>
  <c r="C770" i="8"/>
  <c r="C769" i="8"/>
  <c r="C768" i="8"/>
  <c r="C767" i="8"/>
  <c r="C766" i="8"/>
  <c r="C753" i="8"/>
  <c r="C752" i="8"/>
  <c r="C751" i="8"/>
  <c r="C750" i="8"/>
  <c r="C749" i="8"/>
  <c r="C748" i="8"/>
  <c r="C747" i="8"/>
  <c r="C746" i="8"/>
  <c r="C841" i="8"/>
  <c r="C840" i="8"/>
  <c r="C839" i="8"/>
  <c r="C838" i="8"/>
  <c r="C837" i="8"/>
  <c r="C836" i="8"/>
  <c r="C835" i="8"/>
  <c r="C834" i="8"/>
  <c r="C420" i="8"/>
  <c r="C413" i="8"/>
  <c r="C346" i="8"/>
  <c r="C339" i="8"/>
  <c r="N21" i="2" a="1"/>
  <c r="N21" i="2" s="1"/>
  <c r="N5" i="2"/>
  <c r="C733" i="8"/>
  <c r="C732" i="8"/>
  <c r="C731" i="8"/>
  <c r="C730" i="8"/>
  <c r="C729" i="8"/>
  <c r="C728" i="8"/>
  <c r="C727" i="8"/>
  <c r="C726" i="8"/>
  <c r="C713" i="8"/>
  <c r="C712" i="8"/>
  <c r="C711" i="8"/>
  <c r="C710" i="8"/>
  <c r="C709" i="8"/>
  <c r="C708" i="8"/>
  <c r="C707" i="8"/>
  <c r="C706" i="8"/>
  <c r="C801" i="8"/>
  <c r="C800" i="8"/>
  <c r="C799" i="8"/>
  <c r="C798" i="8"/>
  <c r="C797" i="8"/>
  <c r="C796" i="8"/>
  <c r="C795" i="8"/>
  <c r="C794" i="8"/>
  <c r="C793" i="8"/>
  <c r="C792" i="8"/>
  <c r="C791" i="8"/>
  <c r="C790" i="8"/>
  <c r="C789" i="8"/>
  <c r="C788" i="8"/>
  <c r="C787" i="8"/>
  <c r="C786" i="8"/>
  <c r="C681" i="8"/>
  <c r="C680" i="8"/>
  <c r="C679" i="8"/>
  <c r="C678" i="8"/>
  <c r="C677" i="8"/>
  <c r="C676" i="8"/>
  <c r="C675" i="8"/>
  <c r="C674" i="8"/>
  <c r="C673" i="8"/>
  <c r="C672" i="8"/>
  <c r="C671" i="8"/>
  <c r="C670" i="8"/>
  <c r="C669" i="8"/>
  <c r="C668" i="8"/>
  <c r="C667" i="8"/>
  <c r="C666" i="8"/>
  <c r="C641" i="8"/>
  <c r="C640" i="8"/>
  <c r="C639" i="8"/>
  <c r="C638" i="8"/>
  <c r="C637" i="8"/>
  <c r="C636" i="8"/>
  <c r="C635" i="8"/>
  <c r="C634" i="8"/>
  <c r="C633" i="8"/>
  <c r="C632" i="8"/>
  <c r="C631" i="8"/>
  <c r="C630" i="8"/>
  <c r="C629" i="8"/>
  <c r="C628" i="8"/>
  <c r="C627" i="8"/>
  <c r="C626" i="8"/>
  <c r="C864" i="8"/>
  <c r="C863" i="8"/>
  <c r="C862" i="8"/>
  <c r="C861" i="8"/>
  <c r="C860" i="8"/>
  <c r="C859" i="8"/>
  <c r="C858" i="8"/>
  <c r="T34" i="2"/>
  <c r="AV681" i="8"/>
  <c r="AV680" i="8"/>
  <c r="AV679" i="8"/>
  <c r="AV678" i="8"/>
  <c r="AV677" i="8"/>
  <c r="AV676" i="8"/>
  <c r="AV675" i="8"/>
  <c r="AV674" i="8"/>
  <c r="AV673" i="8"/>
  <c r="AV672" i="8"/>
  <c r="AV671" i="8"/>
  <c r="AV670" i="8"/>
  <c r="AV669" i="8"/>
  <c r="AV668" i="8"/>
  <c r="AV667" i="8"/>
  <c r="AV666" i="8"/>
  <c r="AV641" i="8"/>
  <c r="AV640" i="8"/>
  <c r="AV639" i="8"/>
  <c r="AV638" i="8"/>
  <c r="AV637" i="8"/>
  <c r="AV636" i="8"/>
  <c r="AV635" i="8"/>
  <c r="AV634" i="8"/>
  <c r="AV633" i="8"/>
  <c r="AV632" i="8"/>
  <c r="AV631" i="8"/>
  <c r="AV630" i="8"/>
  <c r="AV629" i="8"/>
  <c r="AV628" i="8"/>
  <c r="AV627" i="8"/>
  <c r="AV626" i="8"/>
  <c r="W12" i="1"/>
  <c r="F24" i="2" l="1"/>
  <c r="AM7" i="8" l="1" a="1"/>
  <c r="AM7" i="8"/>
  <c r="J3" i="8" a="1"/>
  <c r="J3" i="8"/>
  <c r="AX45" i="2" l="1"/>
  <c r="I42" i="1" l="1"/>
  <c r="I41" i="1"/>
  <c r="I40" i="1"/>
  <c r="I39" i="1"/>
  <c r="I38" i="1"/>
  <c r="I33" i="1"/>
  <c r="I32" i="1"/>
  <c r="I28" i="1"/>
  <c r="I27" i="1"/>
  <c r="I25" i="1"/>
  <c r="I24" i="1"/>
  <c r="I22" i="1"/>
  <c r="E17" i="1"/>
  <c r="M5" i="2" l="1"/>
  <c r="M6" i="2"/>
  <c r="M9" i="2"/>
  <c r="J190" i="1"/>
  <c r="AE10" i="1" s="1"/>
  <c r="N9" i="2"/>
  <c r="K16" i="2"/>
  <c r="F641" i="1" a="1"/>
  <c r="F641" i="1"/>
  <c r="F780" i="1"/>
  <c r="D55" i="1"/>
  <c r="F19" i="2"/>
  <c r="Y174" i="2"/>
  <c r="Z174" i="2"/>
  <c r="Y184" i="2"/>
  <c r="Y182" i="2"/>
  <c r="Y180" i="2"/>
  <c r="Y178" i="2"/>
  <c r="Y176" i="2"/>
  <c r="Y185" i="2"/>
  <c r="Y183" i="2"/>
  <c r="Y181" i="2"/>
  <c r="Y179" i="2"/>
  <c r="Y177" i="2"/>
  <c r="CI6" i="8"/>
  <c r="CG6" i="8"/>
  <c r="CE6" i="8"/>
  <c r="CC6" i="8"/>
  <c r="CA6" i="8"/>
  <c r="BY6" i="8"/>
  <c r="BW6" i="8"/>
  <c r="Q3" i="8" a="1"/>
  <c r="Q3" i="8"/>
  <c r="P3" i="8" a="1"/>
  <c r="P3" i="8"/>
  <c r="O3" i="8" a="1"/>
  <c r="O3" i="8"/>
  <c r="N3" i="8" a="1"/>
  <c r="N3" i="8"/>
  <c r="L3" i="8" a="1"/>
  <c r="L3" i="8"/>
  <c r="M3" i="8" a="1"/>
  <c r="M3" i="8"/>
  <c r="K3" i="8" a="1"/>
  <c r="K3" i="8"/>
  <c r="H3" i="8" a="1"/>
  <c r="H3" i="8"/>
  <c r="E3" i="8" a="1"/>
  <c r="E3" i="8"/>
  <c r="D3" i="8" a="1"/>
  <c r="D3" i="8"/>
  <c r="AK7" i="8" a="1"/>
  <c r="AK7" i="8"/>
  <c r="D28" i="2" a="1"/>
  <c r="D28" i="2"/>
  <c r="F273" i="1"/>
  <c r="D350" i="1"/>
  <c r="D39" i="2" a="1"/>
  <c r="D39" i="2"/>
  <c r="AX7" i="8"/>
  <c r="AD4" i="2"/>
  <c r="AN7" i="8" a="1"/>
  <c r="AN7" i="8"/>
  <c r="AO7" i="8" a="1"/>
  <c r="AO7" i="8"/>
  <c r="N6" i="2"/>
  <c r="AI7" i="8" a="1"/>
  <c r="AI7" i="8"/>
  <c r="BE6" i="8"/>
  <c r="AE37" i="2"/>
  <c r="AE25" i="2"/>
  <c r="F6" i="2"/>
  <c r="AT7" i="8" a="1"/>
  <c r="AT7" i="8"/>
  <c r="AS7" i="8" a="1"/>
  <c r="AR7" i="8" a="1"/>
  <c r="AQ7" i="8" a="1"/>
  <c r="AP7" i="8" a="1"/>
  <c r="AP7" i="8"/>
  <c r="AL7" i="8" a="1"/>
  <c r="AH7" i="8" a="1"/>
  <c r="AH7" i="8"/>
  <c r="AG7" i="8" a="1"/>
  <c r="AL7" i="8"/>
  <c r="AS7" i="8"/>
  <c r="AR7" i="8"/>
  <c r="AQ7" i="8"/>
  <c r="AG7" i="8"/>
  <c r="I20" i="2"/>
  <c r="D736" i="1"/>
  <c r="J739" i="1"/>
  <c r="AE14" i="1"/>
  <c r="J596" i="1"/>
  <c r="AE13" i="1"/>
  <c r="U3" i="8" a="1"/>
  <c r="U3" i="8"/>
  <c r="T3" i="8" a="1"/>
  <c r="T3" i="8"/>
  <c r="Y3" i="8" a="1"/>
  <c r="Y3" i="8"/>
  <c r="X3" i="8" a="1"/>
  <c r="X3" i="8"/>
  <c r="R3" i="8" a="1"/>
  <c r="R3" i="8"/>
  <c r="B3" i="8" a="1"/>
  <c r="B3" i="8"/>
  <c r="AD3" i="8" a="1"/>
  <c r="AD3" i="8"/>
  <c r="AC3" i="8" a="1"/>
  <c r="AC3" i="8"/>
  <c r="AB3" i="8" a="1"/>
  <c r="AB3" i="8"/>
  <c r="AE3" i="8" a="1"/>
  <c r="AE3" i="8"/>
  <c r="AA3" i="8" a="1"/>
  <c r="AA3" i="8"/>
  <c r="Z3" i="8" a="1"/>
  <c r="Z3" i="8"/>
  <c r="W3" i="8" a="1"/>
  <c r="W3" i="8"/>
  <c r="V3" i="8" a="1"/>
  <c r="V3" i="8"/>
  <c r="S3" i="8" a="1"/>
  <c r="S3" i="8"/>
  <c r="I3" i="8" a="1"/>
  <c r="I3" i="8"/>
  <c r="F3" i="8" a="1"/>
  <c r="F3" i="8"/>
  <c r="G3" i="8" a="1"/>
  <c r="G3" i="8"/>
  <c r="I37" i="2"/>
  <c r="AW7" i="8"/>
  <c r="D16" i="2"/>
  <c r="BA7" i="8"/>
  <c r="D17" i="2"/>
  <c r="AU7" i="8"/>
  <c r="AJ7" i="8" a="1"/>
  <c r="F22" i="2"/>
  <c r="D15" i="2"/>
  <c r="AY7" i="8"/>
  <c r="AJ7" i="8"/>
  <c r="D43" i="2"/>
  <c r="H43" i="2"/>
  <c r="D31" i="2"/>
  <c r="D21" i="2"/>
  <c r="D38" i="2"/>
  <c r="D36" i="2"/>
  <c r="D30" i="2"/>
  <c r="D14" i="2"/>
  <c r="D27" i="2"/>
  <c r="D25" i="2"/>
  <c r="D18" i="2"/>
  <c r="D20" i="2"/>
  <c r="F23" i="2"/>
  <c r="F21" i="2"/>
  <c r="D19" i="2"/>
  <c r="I19" i="2"/>
  <c r="D35" i="2"/>
  <c r="D23" i="2"/>
  <c r="D24" i="2"/>
  <c r="F37" i="2"/>
  <c r="D37" i="2"/>
  <c r="D29" i="2"/>
  <c r="D32" i="2"/>
  <c r="AV7" i="8"/>
  <c r="D26" i="2"/>
  <c r="D34" i="2" a="1"/>
  <c r="D34" i="2"/>
  <c r="D22" i="2"/>
  <c r="AZ7" i="8"/>
  <c r="BD7" i="8"/>
  <c r="BD1266" i="8" l="1"/>
  <c r="BE1266" i="8" s="1"/>
  <c r="BD1267" i="8"/>
  <c r="BE1267" i="8" s="1"/>
  <c r="BD1268" i="8"/>
  <c r="BE1268" i="8" s="1"/>
  <c r="BD1269" i="8"/>
  <c r="BE1269" i="8" s="1"/>
  <c r="BD1270" i="8"/>
  <c r="BE1270" i="8" s="1"/>
  <c r="BD1271" i="8"/>
  <c r="BE1271" i="8" s="1"/>
  <c r="BD1272" i="8"/>
  <c r="BE1272" i="8" s="1"/>
  <c r="BD1273" i="8"/>
  <c r="BE1273" i="8" s="1"/>
  <c r="BD1274" i="8"/>
  <c r="BE1274" i="8" s="1"/>
  <c r="BD1275" i="8"/>
  <c r="BE1275" i="8" s="1"/>
  <c r="BD1276" i="8"/>
  <c r="BE1276" i="8" s="1"/>
  <c r="BD1277" i="8"/>
  <c r="BE1277" i="8" s="1"/>
  <c r="BD1278" i="8"/>
  <c r="BE1278" i="8" s="1"/>
  <c r="BD1279" i="8"/>
  <c r="BE1279" i="8" s="1"/>
  <c r="BD1280" i="8"/>
  <c r="BE1280" i="8" s="1"/>
  <c r="BD1251" i="8"/>
  <c r="BE1251" i="8" s="1"/>
  <c r="BD1252" i="8"/>
  <c r="BE1252" i="8" s="1"/>
  <c r="BD1253" i="8"/>
  <c r="BE1253" i="8" s="1"/>
  <c r="BD1254" i="8"/>
  <c r="BE1254" i="8" s="1"/>
  <c r="BD1255" i="8"/>
  <c r="BE1255" i="8" s="1"/>
  <c r="BD1256" i="8"/>
  <c r="BE1256" i="8" s="1"/>
  <c r="BD1257" i="8"/>
  <c r="BE1257" i="8" s="1"/>
  <c r="BD1258" i="8"/>
  <c r="BE1258" i="8" s="1"/>
  <c r="BD1259" i="8"/>
  <c r="BE1259" i="8" s="1"/>
  <c r="BD1260" i="8"/>
  <c r="BE1260" i="8" s="1"/>
  <c r="BD1261" i="8"/>
  <c r="BE1261" i="8" s="1"/>
  <c r="BD1262" i="8"/>
  <c r="BE1262" i="8" s="1"/>
  <c r="BD1263" i="8"/>
  <c r="BE1263" i="8" s="1"/>
  <c r="BD1264" i="8"/>
  <c r="BE1264" i="8" s="1"/>
  <c r="BD1265" i="8"/>
  <c r="BE1265" i="8" s="1"/>
  <c r="BD493" i="8"/>
  <c r="BE493" i="8" s="1"/>
  <c r="BD587" i="8"/>
  <c r="BE587" i="8" s="1"/>
  <c r="BD588" i="8"/>
  <c r="BE588" i="8" s="1"/>
  <c r="BD589" i="8"/>
  <c r="BE589" i="8" s="1"/>
  <c r="BD590" i="8"/>
  <c r="BE590" i="8" s="1"/>
  <c r="BD555" i="8"/>
  <c r="BE555" i="8" s="1"/>
  <c r="BD556" i="8"/>
  <c r="BE556" i="8" s="1"/>
  <c r="BD557" i="8"/>
  <c r="BE557" i="8" s="1"/>
  <c r="BD558" i="8"/>
  <c r="BE558" i="8" s="1"/>
  <c r="BD559" i="8"/>
  <c r="BE559" i="8" s="1"/>
  <c r="BD560" i="8"/>
  <c r="BE560" i="8" s="1"/>
  <c r="BD511" i="8"/>
  <c r="BE511" i="8" s="1"/>
  <c r="BD512" i="8"/>
  <c r="BE512" i="8" s="1"/>
  <c r="BD513" i="8"/>
  <c r="BE513" i="8" s="1"/>
  <c r="BD514" i="8"/>
  <c r="BE514" i="8" s="1"/>
  <c r="BD515" i="8"/>
  <c r="BE515" i="8" s="1"/>
  <c r="BD516" i="8"/>
  <c r="BE516" i="8" s="1"/>
  <c r="BD517" i="8"/>
  <c r="BE517" i="8" s="1"/>
  <c r="BD518" i="8"/>
  <c r="BE518" i="8" s="1"/>
  <c r="BD447" i="8"/>
  <c r="BE447" i="8" s="1"/>
  <c r="BD448" i="8"/>
  <c r="BE448" i="8" s="1"/>
  <c r="BD449" i="8"/>
  <c r="BE449" i="8" s="1"/>
  <c r="BD450" i="8"/>
  <c r="BE450" i="8" s="1"/>
  <c r="BD451" i="8"/>
  <c r="BE451" i="8" s="1"/>
  <c r="BD452" i="8"/>
  <c r="BE452" i="8" s="1"/>
  <c r="BD453" i="8"/>
  <c r="BE453" i="8" s="1"/>
  <c r="BD454" i="8"/>
  <c r="BE454" i="8" s="1"/>
  <c r="BD455" i="8"/>
  <c r="BE455" i="8" s="1"/>
  <c r="BD456" i="8"/>
  <c r="BE456" i="8" s="1"/>
  <c r="BD457" i="8"/>
  <c r="BE457" i="8" s="1"/>
  <c r="BD458" i="8"/>
  <c r="BE458" i="8" s="1"/>
  <c r="BD373" i="8"/>
  <c r="BE373" i="8" s="1"/>
  <c r="BD374" i="8"/>
  <c r="BE374" i="8" s="1"/>
  <c r="BD375" i="8"/>
  <c r="BE375" i="8" s="1"/>
  <c r="BD376" i="8"/>
  <c r="BE376" i="8" s="1"/>
  <c r="BD377" i="8"/>
  <c r="BE377" i="8" s="1"/>
  <c r="BD378" i="8"/>
  <c r="BE378" i="8" s="1"/>
  <c r="BD379" i="8"/>
  <c r="BE379" i="8" s="1"/>
  <c r="BD380" i="8"/>
  <c r="BE380" i="8" s="1"/>
  <c r="BD381" i="8"/>
  <c r="BE381" i="8" s="1"/>
  <c r="BD382" i="8"/>
  <c r="BE382" i="8" s="1"/>
  <c r="BD383" i="8"/>
  <c r="BE383" i="8" s="1"/>
  <c r="BD384" i="8"/>
  <c r="BE384" i="8" s="1"/>
  <c r="BD299" i="8"/>
  <c r="BE299" i="8" s="1"/>
  <c r="BD300" i="8"/>
  <c r="BE300" i="8" s="1"/>
  <c r="BD301" i="8"/>
  <c r="BE301" i="8" s="1"/>
  <c r="BD302" i="8"/>
  <c r="BE302" i="8" s="1"/>
  <c r="BD303" i="8"/>
  <c r="BE303" i="8" s="1"/>
  <c r="BD304" i="8"/>
  <c r="BE304" i="8" s="1"/>
  <c r="BD305" i="8"/>
  <c r="BE305" i="8" s="1"/>
  <c r="BD306" i="8"/>
  <c r="BE306" i="8" s="1"/>
  <c r="BD307" i="8"/>
  <c r="BE307" i="8" s="1"/>
  <c r="BD308" i="8"/>
  <c r="BE308" i="8" s="1"/>
  <c r="BD309" i="8"/>
  <c r="BE309" i="8" s="1"/>
  <c r="BD310" i="8"/>
  <c r="BE310" i="8" s="1"/>
  <c r="BD866" i="8"/>
  <c r="BE866" i="8" s="1"/>
  <c r="BD867" i="8"/>
  <c r="BE867" i="8" s="1"/>
  <c r="BD868" i="8"/>
  <c r="BE868" i="8" s="1"/>
  <c r="BD869" i="8"/>
  <c r="BE869" i="8" s="1"/>
  <c r="BD842" i="8"/>
  <c r="BE842" i="8" s="1"/>
  <c r="BD843" i="8"/>
  <c r="BE843" i="8" s="1"/>
  <c r="BD844" i="8"/>
  <c r="BE844" i="8" s="1"/>
  <c r="BD845" i="8"/>
  <c r="BE845" i="8" s="1"/>
  <c r="BD802" i="8"/>
  <c r="BE802" i="8" s="1"/>
  <c r="BD803" i="8"/>
  <c r="BE803" i="8" s="1"/>
  <c r="BD804" i="8"/>
  <c r="BE804" i="8" s="1"/>
  <c r="BD805" i="8"/>
  <c r="BE805" i="8" s="1"/>
  <c r="BD806" i="8"/>
  <c r="BE806" i="8" s="1"/>
  <c r="BD807" i="8"/>
  <c r="BE807" i="8" s="1"/>
  <c r="BD808" i="8"/>
  <c r="BE808" i="8" s="1"/>
  <c r="BD809" i="8"/>
  <c r="BE809" i="8" s="1"/>
  <c r="BD774" i="8"/>
  <c r="BE774" i="8" s="1"/>
  <c r="BD775" i="8"/>
  <c r="BE775" i="8" s="1"/>
  <c r="BD776" i="8"/>
  <c r="BE776" i="8" s="1"/>
  <c r="BD777" i="8"/>
  <c r="BE777" i="8" s="1"/>
  <c r="BD754" i="8"/>
  <c r="BE754" i="8" s="1"/>
  <c r="BD755" i="8"/>
  <c r="BE755" i="8" s="1"/>
  <c r="BD756" i="8"/>
  <c r="BE756" i="8" s="1"/>
  <c r="BD757" i="8"/>
  <c r="BE757" i="8" s="1"/>
  <c r="BD734" i="8"/>
  <c r="BE734" i="8" s="1"/>
  <c r="BD735" i="8"/>
  <c r="BE735" i="8" s="1"/>
  <c r="BD736" i="8"/>
  <c r="BE736" i="8" s="1"/>
  <c r="BD737" i="8"/>
  <c r="BE737" i="8" s="1"/>
  <c r="BD714" i="8"/>
  <c r="BE714" i="8" s="1"/>
  <c r="BD715" i="8"/>
  <c r="BE715" i="8" s="1"/>
  <c r="BD716" i="8"/>
  <c r="BE716" i="8" s="1"/>
  <c r="BD717" i="8"/>
  <c r="BE717" i="8" s="1"/>
  <c r="BD682" i="8"/>
  <c r="BE682" i="8" s="1"/>
  <c r="BD683" i="8"/>
  <c r="BE683" i="8" s="1"/>
  <c r="BD684" i="8"/>
  <c r="BE684" i="8" s="1"/>
  <c r="BD685" i="8"/>
  <c r="BE685" i="8" s="1"/>
  <c r="BD686" i="8"/>
  <c r="BE686" i="8" s="1"/>
  <c r="BD687" i="8"/>
  <c r="BE687" i="8" s="1"/>
  <c r="BD688" i="8"/>
  <c r="BE688" i="8" s="1"/>
  <c r="BD689" i="8"/>
  <c r="BE689" i="8" s="1"/>
  <c r="BD642" i="8"/>
  <c r="BE642" i="8" s="1"/>
  <c r="BD643" i="8"/>
  <c r="BE643" i="8" s="1"/>
  <c r="BD644" i="8"/>
  <c r="BE644" i="8" s="1"/>
  <c r="BD645" i="8"/>
  <c r="BE645" i="8" s="1"/>
  <c r="BD646" i="8"/>
  <c r="BE646" i="8" s="1"/>
  <c r="BD647" i="8"/>
  <c r="BE647" i="8" s="1"/>
  <c r="BD648" i="8"/>
  <c r="BE648" i="8" s="1"/>
  <c r="BD649" i="8"/>
  <c r="BE649" i="8" s="1"/>
  <c r="BD878" i="8"/>
  <c r="BE878" i="8" s="1"/>
  <c r="BD879" i="8"/>
  <c r="BE879" i="8" s="1"/>
  <c r="BD880" i="8"/>
  <c r="BE880" i="8" s="1"/>
  <c r="BD881" i="8"/>
  <c r="BE881" i="8" s="1"/>
  <c r="BD854" i="8"/>
  <c r="BE854" i="8" s="1"/>
  <c r="BD855" i="8"/>
  <c r="BE855" i="8" s="1"/>
  <c r="BD856" i="8"/>
  <c r="BE856" i="8" s="1"/>
  <c r="BD857" i="8"/>
  <c r="BE857" i="8" s="1"/>
  <c r="BD826" i="8"/>
  <c r="BE826" i="8" s="1"/>
  <c r="BD827" i="8"/>
  <c r="BE827" i="8" s="1"/>
  <c r="BD828" i="8"/>
  <c r="BE828" i="8" s="1"/>
  <c r="BD829" i="8"/>
  <c r="BE829" i="8" s="1"/>
  <c r="BD830" i="8"/>
  <c r="BE830" i="8" s="1"/>
  <c r="BD831" i="8"/>
  <c r="BE831" i="8" s="1"/>
  <c r="BD832" i="8"/>
  <c r="BE832" i="8" s="1"/>
  <c r="BD833" i="8"/>
  <c r="BE833" i="8" s="1"/>
  <c r="BD595" i="8"/>
  <c r="BE595" i="8" s="1"/>
  <c r="BD579" i="8"/>
  <c r="BE579" i="8" s="1"/>
  <c r="BD580" i="8"/>
  <c r="BE580" i="8" s="1"/>
  <c r="BD581" i="8"/>
  <c r="BE581" i="8" s="1"/>
  <c r="BD582" i="8"/>
  <c r="BE582" i="8" s="1"/>
  <c r="BD583" i="8"/>
  <c r="BE583" i="8" s="1"/>
  <c r="BD584" i="8"/>
  <c r="BE584" i="8" s="1"/>
  <c r="BD585" i="8"/>
  <c r="BE585" i="8" s="1"/>
  <c r="BD586" i="8"/>
  <c r="BE586" i="8" s="1"/>
  <c r="BD591" i="8"/>
  <c r="BE591" i="8" s="1"/>
  <c r="BD592" i="8"/>
  <c r="BE592" i="8" s="1"/>
  <c r="BD593" i="8"/>
  <c r="BE593" i="8" s="1"/>
  <c r="BD594" i="8"/>
  <c r="BE594" i="8" s="1"/>
  <c r="BD541" i="8"/>
  <c r="BE541" i="8" s="1"/>
  <c r="BD537" i="8"/>
  <c r="BE537" i="8" s="1"/>
  <c r="BD533" i="8"/>
  <c r="BE533" i="8" s="1"/>
  <c r="BD529" i="8"/>
  <c r="BE529" i="8" s="1"/>
  <c r="BD525" i="8"/>
  <c r="BE525" i="8" s="1"/>
  <c r="BD521" i="8"/>
  <c r="BE521" i="8" s="1"/>
  <c r="BD509" i="8"/>
  <c r="BE509" i="8" s="1"/>
  <c r="BD505" i="8"/>
  <c r="BE505" i="8" s="1"/>
  <c r="BD501" i="8"/>
  <c r="BE501" i="8" s="1"/>
  <c r="BD497" i="8"/>
  <c r="BE497" i="8" s="1"/>
  <c r="BD543" i="8"/>
  <c r="BE543" i="8" s="1"/>
  <c r="BD544" i="8"/>
  <c r="BE544" i="8" s="1"/>
  <c r="BD545" i="8"/>
  <c r="BE545" i="8" s="1"/>
  <c r="BD546" i="8"/>
  <c r="BE546" i="8" s="1"/>
  <c r="BD547" i="8"/>
  <c r="BE547" i="8" s="1"/>
  <c r="BD548" i="8"/>
  <c r="BE548" i="8" s="1"/>
  <c r="BD549" i="8"/>
  <c r="BE549" i="8" s="1"/>
  <c r="BD550" i="8"/>
  <c r="BE550" i="8" s="1"/>
  <c r="BD551" i="8"/>
  <c r="BE551" i="8" s="1"/>
  <c r="BD552" i="8"/>
  <c r="BE552" i="8" s="1"/>
  <c r="BD553" i="8"/>
  <c r="BE553" i="8" s="1"/>
  <c r="BD554" i="8"/>
  <c r="BE554" i="8" s="1"/>
  <c r="BD561" i="8"/>
  <c r="BE561" i="8" s="1"/>
  <c r="BD562" i="8"/>
  <c r="BE562" i="8" s="1"/>
  <c r="BD563" i="8"/>
  <c r="BE563" i="8" s="1"/>
  <c r="BD564" i="8"/>
  <c r="BE564" i="8" s="1"/>
  <c r="BD565" i="8"/>
  <c r="BE565" i="8" s="1"/>
  <c r="BD566" i="8"/>
  <c r="BE566" i="8" s="1"/>
  <c r="BD567" i="8"/>
  <c r="BE567" i="8" s="1"/>
  <c r="BD568" i="8"/>
  <c r="BE568" i="8" s="1"/>
  <c r="BD569" i="8"/>
  <c r="BE569" i="8" s="1"/>
  <c r="BD570" i="8"/>
  <c r="BE570" i="8" s="1"/>
  <c r="BD571" i="8"/>
  <c r="BE571" i="8" s="1"/>
  <c r="BD572" i="8"/>
  <c r="BE572" i="8" s="1"/>
  <c r="BD573" i="8"/>
  <c r="BE573" i="8" s="1"/>
  <c r="BD574" i="8"/>
  <c r="BE574" i="8" s="1"/>
  <c r="BD575" i="8"/>
  <c r="BE575" i="8" s="1"/>
  <c r="BD576" i="8"/>
  <c r="BE576" i="8" s="1"/>
  <c r="BD577" i="8"/>
  <c r="BE577" i="8" s="1"/>
  <c r="BD578" i="8"/>
  <c r="BE578" i="8" s="1"/>
  <c r="BD269" i="8"/>
  <c r="BE269" i="8" s="1"/>
  <c r="BD270" i="8"/>
  <c r="BE270" i="8" s="1"/>
  <c r="BD271" i="8"/>
  <c r="BE271" i="8" s="1"/>
  <c r="BD272" i="8"/>
  <c r="BE272" i="8" s="1"/>
  <c r="BD273" i="8"/>
  <c r="BE273" i="8" s="1"/>
  <c r="BD274" i="8"/>
  <c r="BE274" i="8" s="1"/>
  <c r="BD257" i="8"/>
  <c r="BE257" i="8" s="1"/>
  <c r="BD258" i="8"/>
  <c r="BE258" i="8" s="1"/>
  <c r="BD259" i="8"/>
  <c r="BE259" i="8" s="1"/>
  <c r="BD260" i="8"/>
  <c r="BE260" i="8" s="1"/>
  <c r="BD261" i="8"/>
  <c r="BE261" i="8" s="1"/>
  <c r="BD262" i="8"/>
  <c r="BE262" i="8" s="1"/>
  <c r="BD263" i="8"/>
  <c r="BE263" i="8" s="1"/>
  <c r="BD264" i="8"/>
  <c r="BE264" i="8" s="1"/>
  <c r="BD265" i="8"/>
  <c r="BE265" i="8" s="1"/>
  <c r="BD266" i="8"/>
  <c r="BE266" i="8" s="1"/>
  <c r="BD267" i="8"/>
  <c r="BE267" i="8" s="1"/>
  <c r="BD268" i="8"/>
  <c r="BE268" i="8" s="1"/>
  <c r="BD225" i="8"/>
  <c r="BE225" i="8" s="1"/>
  <c r="BD221" i="8"/>
  <c r="BE221" i="8" s="1"/>
  <c r="BD217" i="8"/>
  <c r="BE217" i="8" s="1"/>
  <c r="BD213" i="8"/>
  <c r="BE213" i="8" s="1"/>
  <c r="BD209" i="8"/>
  <c r="BE209" i="8" s="1"/>
  <c r="BD205" i="8"/>
  <c r="BE205" i="8" s="1"/>
  <c r="BD201" i="8"/>
  <c r="BE201" i="8" s="1"/>
  <c r="BD197" i="8"/>
  <c r="BE197" i="8" s="1"/>
  <c r="BD193" i="8"/>
  <c r="BE193" i="8" s="1"/>
  <c r="BD189" i="8"/>
  <c r="BE189" i="8" s="1"/>
  <c r="BD227" i="8"/>
  <c r="BE227" i="8" s="1"/>
  <c r="BD228" i="8"/>
  <c r="BE228" i="8" s="1"/>
  <c r="BD229" i="8"/>
  <c r="BE229" i="8" s="1"/>
  <c r="BD230" i="8"/>
  <c r="BE230" i="8" s="1"/>
  <c r="BD231" i="8"/>
  <c r="BE231" i="8" s="1"/>
  <c r="BD232" i="8"/>
  <c r="BE232" i="8" s="1"/>
  <c r="BD233" i="8"/>
  <c r="BE233" i="8" s="1"/>
  <c r="BD234" i="8"/>
  <c r="BE234" i="8" s="1"/>
  <c r="BD235" i="8"/>
  <c r="BE235" i="8" s="1"/>
  <c r="BD236" i="8"/>
  <c r="BE236" i="8" s="1"/>
  <c r="BD237" i="8"/>
  <c r="BE237" i="8" s="1"/>
  <c r="BD238" i="8"/>
  <c r="BE238" i="8" s="1"/>
  <c r="BD239" i="8"/>
  <c r="BE239" i="8" s="1"/>
  <c r="BD240" i="8"/>
  <c r="BE240" i="8" s="1"/>
  <c r="BD241" i="8"/>
  <c r="BE241" i="8" s="1"/>
  <c r="BD242" i="8"/>
  <c r="BE242" i="8" s="1"/>
  <c r="BD243" i="8"/>
  <c r="BE243" i="8" s="1"/>
  <c r="BD244" i="8"/>
  <c r="BE244" i="8" s="1"/>
  <c r="BD245" i="8"/>
  <c r="BE245" i="8" s="1"/>
  <c r="BD246" i="8"/>
  <c r="BE246" i="8" s="1"/>
  <c r="BD247" i="8"/>
  <c r="BE247" i="8" s="1"/>
  <c r="BD248" i="8"/>
  <c r="BE248" i="8" s="1"/>
  <c r="BD249" i="8"/>
  <c r="BE249" i="8" s="1"/>
  <c r="BD250" i="8"/>
  <c r="BE250" i="8" s="1"/>
  <c r="BD251" i="8"/>
  <c r="BE251" i="8" s="1"/>
  <c r="BD252" i="8"/>
  <c r="BE252" i="8" s="1"/>
  <c r="BD253" i="8"/>
  <c r="BE253" i="8" s="1"/>
  <c r="BD254" i="8"/>
  <c r="BE254" i="8" s="1"/>
  <c r="BD255" i="8"/>
  <c r="BE255" i="8" s="1"/>
  <c r="BD256" i="8"/>
  <c r="BE256" i="8" s="1"/>
  <c r="BD627" i="8"/>
  <c r="BE627" i="8" s="1"/>
  <c r="BD628" i="8"/>
  <c r="BE628" i="8" s="1"/>
  <c r="BD629" i="8"/>
  <c r="BE629" i="8" s="1"/>
  <c r="BD630" i="8"/>
  <c r="BE630" i="8" s="1"/>
  <c r="BD631" i="8"/>
  <c r="BE631" i="8" s="1"/>
  <c r="BD632" i="8"/>
  <c r="BE632" i="8" s="1"/>
  <c r="BD633" i="8"/>
  <c r="BE633" i="8" s="1"/>
  <c r="BD634" i="8"/>
  <c r="BE634" i="8" s="1"/>
  <c r="BD635" i="8"/>
  <c r="BE635" i="8" s="1"/>
  <c r="BD636" i="8"/>
  <c r="BE636" i="8" s="1"/>
  <c r="BD637" i="8"/>
  <c r="BE637" i="8" s="1"/>
  <c r="BD638" i="8"/>
  <c r="BE638" i="8" s="1"/>
  <c r="BD639" i="8"/>
  <c r="BE639" i="8" s="1"/>
  <c r="BD640" i="8"/>
  <c r="BE640" i="8" s="1"/>
  <c r="BD641" i="8"/>
  <c r="BE641" i="8" s="1"/>
  <c r="BD650" i="8"/>
  <c r="BE650" i="8" s="1"/>
  <c r="BD651" i="8"/>
  <c r="BE651" i="8" s="1"/>
  <c r="BD652" i="8"/>
  <c r="BE652" i="8" s="1"/>
  <c r="BD653" i="8"/>
  <c r="BE653" i="8" s="1"/>
  <c r="BD654" i="8"/>
  <c r="BE654" i="8" s="1"/>
  <c r="BD655" i="8"/>
  <c r="BE655" i="8" s="1"/>
  <c r="BD656" i="8"/>
  <c r="BE656" i="8" s="1"/>
  <c r="BD657" i="8"/>
  <c r="BE657" i="8" s="1"/>
  <c r="BD658" i="8"/>
  <c r="BE658" i="8" s="1"/>
  <c r="BD659" i="8"/>
  <c r="BE659" i="8" s="1"/>
  <c r="BD660" i="8"/>
  <c r="BE660" i="8" s="1"/>
  <c r="BD661" i="8"/>
  <c r="BE661" i="8" s="1"/>
  <c r="BD662" i="8"/>
  <c r="BE662" i="8" s="1"/>
  <c r="BD663" i="8"/>
  <c r="BE663" i="8" s="1"/>
  <c r="BD664" i="8"/>
  <c r="BE664" i="8" s="1"/>
  <c r="BD665" i="8"/>
  <c r="BE665" i="8" s="1"/>
  <c r="BD666" i="8"/>
  <c r="BE666" i="8" s="1"/>
  <c r="BD667" i="8"/>
  <c r="BE667" i="8" s="1"/>
  <c r="BD668" i="8"/>
  <c r="BE668" i="8" s="1"/>
  <c r="BD669" i="8"/>
  <c r="BE669" i="8" s="1"/>
  <c r="BD670" i="8"/>
  <c r="BE670" i="8" s="1"/>
  <c r="BD671" i="8"/>
  <c r="BE671" i="8" s="1"/>
  <c r="BD672" i="8"/>
  <c r="BE672" i="8" s="1"/>
  <c r="BD673" i="8"/>
  <c r="BE673" i="8" s="1"/>
  <c r="BD674" i="8"/>
  <c r="BE674" i="8" s="1"/>
  <c r="BD675" i="8"/>
  <c r="BE675" i="8" s="1"/>
  <c r="BD676" i="8"/>
  <c r="BE676" i="8" s="1"/>
  <c r="BD677" i="8"/>
  <c r="BE677" i="8" s="1"/>
  <c r="BD678" i="8"/>
  <c r="BE678" i="8" s="1"/>
  <c r="BD679" i="8"/>
  <c r="BE679" i="8" s="1"/>
  <c r="BD680" i="8"/>
  <c r="BE680" i="8" s="1"/>
  <c r="BD681" i="8"/>
  <c r="BE681" i="8" s="1"/>
  <c r="BD690" i="8"/>
  <c r="BE690" i="8" s="1"/>
  <c r="BD691" i="8"/>
  <c r="BE691" i="8" s="1"/>
  <c r="BD692" i="8"/>
  <c r="BE692" i="8" s="1"/>
  <c r="BD693" i="8"/>
  <c r="BE693" i="8" s="1"/>
  <c r="BD694" i="8"/>
  <c r="BE694" i="8" s="1"/>
  <c r="BD695" i="8"/>
  <c r="BE695" i="8" s="1"/>
  <c r="BD696" i="8"/>
  <c r="BE696" i="8" s="1"/>
  <c r="BD697" i="8"/>
  <c r="BE697" i="8" s="1"/>
  <c r="BD698" i="8"/>
  <c r="BE698" i="8" s="1"/>
  <c r="BD699" i="8"/>
  <c r="BE699" i="8" s="1"/>
  <c r="BD700" i="8"/>
  <c r="BE700" i="8" s="1"/>
  <c r="BD701" i="8"/>
  <c r="BE701" i="8" s="1"/>
  <c r="BD702" i="8"/>
  <c r="BE702" i="8" s="1"/>
  <c r="BD703" i="8"/>
  <c r="BE703" i="8" s="1"/>
  <c r="BD704" i="8"/>
  <c r="BE704" i="8" s="1"/>
  <c r="BD705" i="8"/>
  <c r="BE705" i="8" s="1"/>
  <c r="BD706" i="8"/>
  <c r="BE706" i="8" s="1"/>
  <c r="BD707" i="8"/>
  <c r="BE707" i="8" s="1"/>
  <c r="BD708" i="8"/>
  <c r="BE708" i="8" s="1"/>
  <c r="BD709" i="8"/>
  <c r="BE709" i="8" s="1"/>
  <c r="BD710" i="8"/>
  <c r="BE710" i="8" s="1"/>
  <c r="BD711" i="8"/>
  <c r="BE711" i="8" s="1"/>
  <c r="BD712" i="8"/>
  <c r="BE712" i="8" s="1"/>
  <c r="BD713" i="8"/>
  <c r="BE713" i="8" s="1"/>
  <c r="BD718" i="8"/>
  <c r="BE718" i="8" s="1"/>
  <c r="BD719" i="8"/>
  <c r="BE719" i="8" s="1"/>
  <c r="BD720" i="8"/>
  <c r="BE720" i="8" s="1"/>
  <c r="BD721" i="8"/>
  <c r="BE721" i="8" s="1"/>
  <c r="BD722" i="8"/>
  <c r="BE722" i="8" s="1"/>
  <c r="BD723" i="8"/>
  <c r="BE723" i="8" s="1"/>
  <c r="BD724" i="8"/>
  <c r="BE724" i="8" s="1"/>
  <c r="BD725" i="8"/>
  <c r="BE725" i="8" s="1"/>
  <c r="BD726" i="8"/>
  <c r="BE726" i="8" s="1"/>
  <c r="BD727" i="8"/>
  <c r="BE727" i="8" s="1"/>
  <c r="BD728" i="8"/>
  <c r="BE728" i="8" s="1"/>
  <c r="BD729" i="8"/>
  <c r="BE729" i="8" s="1"/>
  <c r="BD730" i="8"/>
  <c r="BE730" i="8" s="1"/>
  <c r="BD731" i="8"/>
  <c r="BE731" i="8" s="1"/>
  <c r="BD732" i="8"/>
  <c r="BE732" i="8" s="1"/>
  <c r="BD733" i="8"/>
  <c r="BE733" i="8" s="1"/>
  <c r="BD738" i="8"/>
  <c r="BE738" i="8" s="1"/>
  <c r="BD739" i="8"/>
  <c r="BE739" i="8" s="1"/>
  <c r="BD740" i="8"/>
  <c r="BE740" i="8" s="1"/>
  <c r="BD741" i="8"/>
  <c r="BE741" i="8" s="1"/>
  <c r="BD742" i="8"/>
  <c r="BE742" i="8" s="1"/>
  <c r="BD743" i="8"/>
  <c r="BE743" i="8" s="1"/>
  <c r="BD744" i="8"/>
  <c r="BE744" i="8" s="1"/>
  <c r="BD745" i="8"/>
  <c r="BE745" i="8" s="1"/>
  <c r="BD746" i="8"/>
  <c r="BE746" i="8" s="1"/>
  <c r="BD747" i="8"/>
  <c r="BE747" i="8" s="1"/>
  <c r="BD748" i="8"/>
  <c r="BE748" i="8" s="1"/>
  <c r="BD749" i="8"/>
  <c r="BE749" i="8" s="1"/>
  <c r="BD750" i="8"/>
  <c r="BE750" i="8" s="1"/>
  <c r="BD751" i="8"/>
  <c r="BE751" i="8" s="1"/>
  <c r="BD752" i="8"/>
  <c r="BE752" i="8" s="1"/>
  <c r="BD753" i="8"/>
  <c r="BE753" i="8" s="1"/>
  <c r="BD758" i="8"/>
  <c r="BE758" i="8" s="1"/>
  <c r="BD759" i="8"/>
  <c r="BE759" i="8" s="1"/>
  <c r="BD760" i="8"/>
  <c r="BE760" i="8" s="1"/>
  <c r="BD761" i="8"/>
  <c r="BE761" i="8" s="1"/>
  <c r="BD762" i="8"/>
  <c r="BE762" i="8" s="1"/>
  <c r="BD763" i="8"/>
  <c r="BE763" i="8" s="1"/>
  <c r="BD764" i="8"/>
  <c r="BE764" i="8" s="1"/>
  <c r="BD765" i="8"/>
  <c r="BE765" i="8" s="1"/>
  <c r="BD766" i="8"/>
  <c r="BE766" i="8" s="1"/>
  <c r="BD767" i="8"/>
  <c r="BE767" i="8" s="1"/>
  <c r="BD768" i="8"/>
  <c r="BE768" i="8" s="1"/>
  <c r="BD769" i="8"/>
  <c r="BE769" i="8" s="1"/>
  <c r="BD770" i="8"/>
  <c r="BE770" i="8" s="1"/>
  <c r="BD771" i="8"/>
  <c r="BE771" i="8" s="1"/>
  <c r="BD772" i="8"/>
  <c r="BE772" i="8" s="1"/>
  <c r="BD773" i="8"/>
  <c r="BE773" i="8" s="1"/>
  <c r="BD778" i="8"/>
  <c r="BE778" i="8" s="1"/>
  <c r="BD779" i="8"/>
  <c r="BE779" i="8" s="1"/>
  <c r="BD780" i="8"/>
  <c r="BE780" i="8" s="1"/>
  <c r="BD781" i="8"/>
  <c r="BE781" i="8" s="1"/>
  <c r="BD782" i="8"/>
  <c r="BE782" i="8" s="1"/>
  <c r="BD783" i="8"/>
  <c r="BE783" i="8" s="1"/>
  <c r="BD784" i="8"/>
  <c r="BE784" i="8" s="1"/>
  <c r="BD785" i="8"/>
  <c r="BE785" i="8" s="1"/>
  <c r="BD786" i="8"/>
  <c r="BE786" i="8" s="1"/>
  <c r="BD787" i="8"/>
  <c r="BE787" i="8" s="1"/>
  <c r="BD788" i="8"/>
  <c r="BE788" i="8" s="1"/>
  <c r="BD789" i="8"/>
  <c r="BE789" i="8" s="1"/>
  <c r="BD790" i="8"/>
  <c r="BE790" i="8" s="1"/>
  <c r="BD791" i="8"/>
  <c r="BE791" i="8" s="1"/>
  <c r="BD792" i="8"/>
  <c r="BE792" i="8" s="1"/>
  <c r="BD793" i="8"/>
  <c r="BE793" i="8" s="1"/>
  <c r="BD794" i="8"/>
  <c r="BE794" i="8" s="1"/>
  <c r="BD795" i="8"/>
  <c r="BE795" i="8" s="1"/>
  <c r="BD796" i="8"/>
  <c r="BE796" i="8" s="1"/>
  <c r="BD797" i="8"/>
  <c r="BE797" i="8" s="1"/>
  <c r="BD798" i="8"/>
  <c r="BE798" i="8" s="1"/>
  <c r="BD799" i="8"/>
  <c r="BE799" i="8" s="1"/>
  <c r="BD800" i="8"/>
  <c r="BE800" i="8" s="1"/>
  <c r="BD801" i="8"/>
  <c r="BE801" i="8" s="1"/>
  <c r="BD810" i="8"/>
  <c r="BE810" i="8" s="1"/>
  <c r="BD811" i="8"/>
  <c r="BE811" i="8" s="1"/>
  <c r="BD812" i="8"/>
  <c r="BE812" i="8" s="1"/>
  <c r="BD813" i="8"/>
  <c r="BE813" i="8" s="1"/>
  <c r="BD814" i="8"/>
  <c r="BE814" i="8" s="1"/>
  <c r="BD815" i="8"/>
  <c r="BE815" i="8" s="1"/>
  <c r="BD816" i="8"/>
  <c r="BE816" i="8" s="1"/>
  <c r="BD817" i="8"/>
  <c r="BE817" i="8" s="1"/>
  <c r="BD818" i="8"/>
  <c r="BE818" i="8" s="1"/>
  <c r="BD819" i="8"/>
  <c r="BE819" i="8" s="1"/>
  <c r="BD820" i="8"/>
  <c r="BE820" i="8" s="1"/>
  <c r="BD821" i="8"/>
  <c r="BE821" i="8" s="1"/>
  <c r="BD822" i="8"/>
  <c r="BE822" i="8" s="1"/>
  <c r="BD823" i="8"/>
  <c r="BE823" i="8" s="1"/>
  <c r="BD824" i="8"/>
  <c r="BE824" i="8" s="1"/>
  <c r="BD825" i="8"/>
  <c r="BE825" i="8" s="1"/>
  <c r="BD834" i="8"/>
  <c r="BE834" i="8" s="1"/>
  <c r="BD835" i="8"/>
  <c r="BE835" i="8" s="1"/>
  <c r="BD836" i="8"/>
  <c r="BE836" i="8" s="1"/>
  <c r="BD837" i="8"/>
  <c r="BE837" i="8" s="1"/>
  <c r="BD838" i="8"/>
  <c r="BE838" i="8" s="1"/>
  <c r="BD839" i="8"/>
  <c r="BE839" i="8" s="1"/>
  <c r="BD840" i="8"/>
  <c r="BE840" i="8" s="1"/>
  <c r="BD841" i="8"/>
  <c r="BE841" i="8" s="1"/>
  <c r="BD846" i="8"/>
  <c r="BE846" i="8" s="1"/>
  <c r="BD847" i="8"/>
  <c r="BE847" i="8" s="1"/>
  <c r="BD848" i="8"/>
  <c r="BE848" i="8" s="1"/>
  <c r="BD849" i="8"/>
  <c r="BE849" i="8" s="1"/>
  <c r="BD850" i="8"/>
  <c r="BE850" i="8" s="1"/>
  <c r="BD851" i="8"/>
  <c r="BE851" i="8" s="1"/>
  <c r="BD852" i="8"/>
  <c r="BE852" i="8" s="1"/>
  <c r="BD853" i="8"/>
  <c r="BE853" i="8" s="1"/>
  <c r="BD858" i="8"/>
  <c r="BE858" i="8" s="1"/>
  <c r="BD859" i="8"/>
  <c r="BE859" i="8" s="1"/>
  <c r="BD860" i="8"/>
  <c r="BE860" i="8" s="1"/>
  <c r="BD861" i="8"/>
  <c r="BE861" i="8" s="1"/>
  <c r="BD862" i="8"/>
  <c r="BE862" i="8" s="1"/>
  <c r="BD863" i="8"/>
  <c r="BE863" i="8" s="1"/>
  <c r="BD864" i="8"/>
  <c r="BE864" i="8" s="1"/>
  <c r="BD865" i="8"/>
  <c r="BE865" i="8" s="1"/>
  <c r="BD870" i="8"/>
  <c r="BE870" i="8" s="1"/>
  <c r="BD871" i="8"/>
  <c r="BE871" i="8" s="1"/>
  <c r="BD872" i="8"/>
  <c r="BE872" i="8" s="1"/>
  <c r="BD873" i="8"/>
  <c r="BE873" i="8" s="1"/>
  <c r="BD874" i="8"/>
  <c r="BE874" i="8" s="1"/>
  <c r="BD875" i="8"/>
  <c r="BE875" i="8" s="1"/>
  <c r="BD876" i="8"/>
  <c r="BE876" i="8" s="1"/>
  <c r="BD877" i="8"/>
  <c r="BE877" i="8" s="1"/>
  <c r="BD14" i="8"/>
  <c r="BE14" i="8" s="1"/>
  <c r="BD15" i="8"/>
  <c r="BE15" i="8" s="1"/>
  <c r="BD16" i="8"/>
  <c r="BE16" i="8" s="1"/>
  <c r="BD17" i="8"/>
  <c r="BE17" i="8" s="1"/>
  <c r="BD18" i="8"/>
  <c r="BE18" i="8" s="1"/>
  <c r="BD19" i="8"/>
  <c r="BE19" i="8" s="1"/>
  <c r="BD20" i="8"/>
  <c r="BE20" i="8" s="1"/>
  <c r="BD21" i="8"/>
  <c r="BE21" i="8" s="1"/>
  <c r="BD22" i="8"/>
  <c r="BD23" i="8"/>
  <c r="BE23" i="8" s="1"/>
  <c r="BD24" i="8"/>
  <c r="BE24" i="8" s="1"/>
  <c r="BD25" i="8"/>
  <c r="BD26" i="8"/>
  <c r="BE26" i="8" s="1"/>
  <c r="BD27" i="8"/>
  <c r="BE27" i="8" s="1"/>
  <c r="BD28" i="8"/>
  <c r="BE28" i="8" s="1"/>
  <c r="BD29" i="8"/>
  <c r="BE29" i="8" s="1"/>
  <c r="BD30" i="8"/>
  <c r="BE30" i="8" s="1"/>
  <c r="BD31" i="8"/>
  <c r="BE31" i="8" s="1"/>
  <c r="BD32" i="8"/>
  <c r="BE32" i="8" s="1"/>
  <c r="BD33" i="8"/>
  <c r="BE33" i="8" s="1"/>
  <c r="BD34" i="8"/>
  <c r="BE34" i="8" s="1"/>
  <c r="BD35" i="8"/>
  <c r="BE35" i="8" s="1"/>
  <c r="BD36" i="8"/>
  <c r="BE36" i="8" s="1"/>
  <c r="BD37" i="8"/>
  <c r="BE37" i="8" s="1"/>
  <c r="BD38" i="8"/>
  <c r="BE38" i="8" s="1"/>
  <c r="BD39" i="8"/>
  <c r="BE39" i="8" s="1"/>
  <c r="BD40" i="8"/>
  <c r="BE40" i="8" s="1"/>
  <c r="BD41" i="8"/>
  <c r="BE41" i="8" s="1"/>
  <c r="BD42" i="8"/>
  <c r="BE42" i="8" s="1"/>
  <c r="BD43" i="8"/>
  <c r="BE43" i="8" s="1"/>
  <c r="BD44" i="8"/>
  <c r="BE44" i="8" s="1"/>
  <c r="BD45" i="8"/>
  <c r="BE45" i="8" s="1"/>
  <c r="BD46" i="8"/>
  <c r="BE46" i="8" s="1"/>
  <c r="BD47" i="8"/>
  <c r="BE47" i="8" s="1"/>
  <c r="BD48" i="8"/>
  <c r="BE48" i="8" s="1"/>
  <c r="BD49" i="8"/>
  <c r="BE49" i="8" s="1"/>
  <c r="BD50" i="8"/>
  <c r="BE50" i="8" s="1"/>
  <c r="BD51" i="8"/>
  <c r="BE51" i="8" s="1"/>
  <c r="BD52" i="8"/>
  <c r="BE52" i="8" s="1"/>
  <c r="BD53" i="8"/>
  <c r="BE53" i="8" s="1"/>
  <c r="BD54" i="8"/>
  <c r="BE54" i="8" s="1"/>
  <c r="BD55" i="8"/>
  <c r="BE55" i="8" s="1"/>
  <c r="BD56" i="8"/>
  <c r="BE56" i="8" s="1"/>
  <c r="BD57" i="8"/>
  <c r="BE57" i="8" s="1"/>
  <c r="BD58" i="8"/>
  <c r="BE58" i="8" s="1"/>
  <c r="BD59" i="8"/>
  <c r="BE59" i="8" s="1"/>
  <c r="BD60" i="8"/>
  <c r="BE60" i="8" s="1"/>
  <c r="BD61" i="8"/>
  <c r="BE61" i="8" s="1"/>
  <c r="BD62" i="8"/>
  <c r="BD63" i="8"/>
  <c r="BE63" i="8" s="1"/>
  <c r="BD64" i="8"/>
  <c r="BE64" i="8" s="1"/>
  <c r="BD65" i="8"/>
  <c r="BE65" i="8" s="1"/>
  <c r="BD66" i="8"/>
  <c r="BE66" i="8" s="1"/>
  <c r="BD67" i="8"/>
  <c r="BE67" i="8" s="1"/>
  <c r="BD68" i="8"/>
  <c r="BE68" i="8" s="1"/>
  <c r="BD69" i="8"/>
  <c r="BE69" i="8" s="1"/>
  <c r="BD70" i="8"/>
  <c r="BE70" i="8" s="1"/>
  <c r="BD71" i="8"/>
  <c r="BE71" i="8" s="1"/>
  <c r="BD72" i="8"/>
  <c r="BE72" i="8" s="1"/>
  <c r="BD73" i="8"/>
  <c r="BD74" i="8"/>
  <c r="BE74" i="8" s="1"/>
  <c r="BD75" i="8"/>
  <c r="BE75" i="8" s="1"/>
  <c r="BD76" i="8"/>
  <c r="BE76" i="8" s="1"/>
  <c r="BD77" i="8"/>
  <c r="BE77" i="8" s="1"/>
  <c r="BD78" i="8"/>
  <c r="BE78" i="8" s="1"/>
  <c r="BD79" i="8"/>
  <c r="BE79" i="8" s="1"/>
  <c r="BD80" i="8"/>
  <c r="BE80" i="8" s="1"/>
  <c r="BD81" i="8"/>
  <c r="BE81" i="8" s="1"/>
  <c r="BD82" i="8"/>
  <c r="BE82" i="8" s="1"/>
  <c r="BD83" i="8"/>
  <c r="BE83" i="8" s="1"/>
  <c r="BD84" i="8"/>
  <c r="BE84" i="8" s="1"/>
  <c r="BD85" i="8"/>
  <c r="BE85" i="8" s="1"/>
  <c r="BD86" i="8"/>
  <c r="BE86" i="8" s="1"/>
  <c r="BD87" i="8"/>
  <c r="BE87" i="8" s="1"/>
  <c r="BD88" i="8"/>
  <c r="BE88" i="8" s="1"/>
  <c r="BD89" i="8"/>
  <c r="BE89" i="8" s="1"/>
  <c r="BD90" i="8"/>
  <c r="BE90" i="8" s="1"/>
  <c r="BD91" i="8"/>
  <c r="BE91" i="8" s="1"/>
  <c r="BD92" i="8"/>
  <c r="BE92" i="8" s="1"/>
  <c r="BD93" i="8"/>
  <c r="BE93" i="8" s="1"/>
  <c r="BD94" i="8"/>
  <c r="BE94" i="8" s="1"/>
  <c r="BD95" i="8"/>
  <c r="BE95" i="8" s="1"/>
  <c r="BD96" i="8"/>
  <c r="BE96" i="8" s="1"/>
  <c r="BD97" i="8"/>
  <c r="BE97" i="8" s="1"/>
  <c r="BD98" i="8"/>
  <c r="BE98" i="8" s="1"/>
  <c r="BD99" i="8"/>
  <c r="BE99" i="8" s="1"/>
  <c r="BD100" i="8"/>
  <c r="BE100" i="8" s="1"/>
  <c r="BD101" i="8"/>
  <c r="BE101" i="8" s="1"/>
  <c r="BD102" i="8"/>
  <c r="BE102" i="8" s="1"/>
  <c r="BD103" i="8"/>
  <c r="BE103" i="8" s="1"/>
  <c r="BD104" i="8"/>
  <c r="BE104" i="8" s="1"/>
  <c r="BD105" i="8"/>
  <c r="BE105" i="8" s="1"/>
  <c r="BD106" i="8"/>
  <c r="BE106" i="8" s="1"/>
  <c r="BD107" i="8"/>
  <c r="BE107" i="8" s="1"/>
  <c r="BD108" i="8"/>
  <c r="BE108" i="8" s="1"/>
  <c r="BD109" i="8"/>
  <c r="BE109" i="8" s="1"/>
  <c r="BD110" i="8"/>
  <c r="BE110" i="8" s="1"/>
  <c r="BD111" i="8"/>
  <c r="BE111" i="8" s="1"/>
  <c r="BD112" i="8"/>
  <c r="BE112" i="8" s="1"/>
  <c r="BD113" i="8"/>
  <c r="BE113" i="8" s="1"/>
  <c r="BD114" i="8"/>
  <c r="BE114" i="8" s="1"/>
  <c r="BD115" i="8"/>
  <c r="BE115" i="8" s="1"/>
  <c r="BD116" i="8"/>
  <c r="BE116" i="8" s="1"/>
  <c r="BD117" i="8"/>
  <c r="BE117" i="8" s="1"/>
  <c r="BD118" i="8"/>
  <c r="BE118" i="8" s="1"/>
  <c r="BD119" i="8"/>
  <c r="BE119" i="8" s="1"/>
  <c r="BD120" i="8"/>
  <c r="BE120" i="8" s="1"/>
  <c r="BD121" i="8"/>
  <c r="BE121" i="8" s="1"/>
  <c r="BD122" i="8"/>
  <c r="BE122" i="8" s="1"/>
  <c r="BD123" i="8"/>
  <c r="BE123" i="8" s="1"/>
  <c r="BD124" i="8"/>
  <c r="BE124" i="8" s="1"/>
  <c r="BD125" i="8"/>
  <c r="BE125" i="8" s="1"/>
  <c r="BD126" i="8"/>
  <c r="BE126" i="8" s="1"/>
  <c r="BD127" i="8"/>
  <c r="BD128" i="8"/>
  <c r="BE128" i="8" s="1"/>
  <c r="BD129" i="8"/>
  <c r="BE129" i="8" s="1"/>
  <c r="BD130" i="8"/>
  <c r="BE130" i="8" s="1"/>
  <c r="BD131" i="8"/>
  <c r="BE131" i="8" s="1"/>
  <c r="BD132" i="8"/>
  <c r="BE132" i="8" s="1"/>
  <c r="BD133" i="8"/>
  <c r="BE133" i="8" s="1"/>
  <c r="BD134" i="8"/>
  <c r="BE134" i="8" s="1"/>
  <c r="BD135" i="8"/>
  <c r="BE135" i="8" s="1"/>
  <c r="BD136" i="8"/>
  <c r="BE136" i="8" s="1"/>
  <c r="BD137" i="8"/>
  <c r="BE137" i="8" s="1"/>
  <c r="BD138" i="8"/>
  <c r="BE138" i="8" s="1"/>
  <c r="BD139" i="8"/>
  <c r="BE139" i="8" s="1"/>
  <c r="BD140" i="8"/>
  <c r="BE140" i="8" s="1"/>
  <c r="BD141" i="8"/>
  <c r="BE141" i="8" s="1"/>
  <c r="BD142" i="8"/>
  <c r="BE142" i="8" s="1"/>
  <c r="BD143" i="8"/>
  <c r="BE143" i="8" s="1"/>
  <c r="BD144" i="8"/>
  <c r="BE144" i="8" s="1"/>
  <c r="BD145" i="8"/>
  <c r="BE145" i="8" s="1"/>
  <c r="BD146" i="8"/>
  <c r="BE146" i="8" s="1"/>
  <c r="BD147" i="8"/>
  <c r="BE147" i="8" s="1"/>
  <c r="BD148" i="8"/>
  <c r="BE148" i="8" s="1"/>
  <c r="BD149" i="8"/>
  <c r="BE149" i="8" s="1"/>
  <c r="BD150" i="8"/>
  <c r="BE150" i="8" s="1"/>
  <c r="BD151" i="8"/>
  <c r="BE151" i="8" s="1"/>
  <c r="BD152" i="8"/>
  <c r="BE152" i="8" s="1"/>
  <c r="BD153" i="8"/>
  <c r="BE153" i="8" s="1"/>
  <c r="BD154" i="8"/>
  <c r="BE154" i="8" s="1"/>
  <c r="BD155" i="8"/>
  <c r="BE155" i="8" s="1"/>
  <c r="BD156" i="8"/>
  <c r="BE156" i="8" s="1"/>
  <c r="BD157" i="8"/>
  <c r="BE157" i="8" s="1"/>
  <c r="BD158" i="8"/>
  <c r="BE158" i="8" s="1"/>
  <c r="BD159" i="8"/>
  <c r="BE159" i="8" s="1"/>
  <c r="BD160" i="8"/>
  <c r="BE160" i="8" s="1"/>
  <c r="BD161" i="8"/>
  <c r="BE161" i="8" s="1"/>
  <c r="BD162" i="8"/>
  <c r="BE162" i="8" s="1"/>
  <c r="BD163" i="8"/>
  <c r="BE163" i="8" s="1"/>
  <c r="BD164" i="8"/>
  <c r="BE164" i="8" s="1"/>
  <c r="BD165" i="8"/>
  <c r="BE165" i="8" s="1"/>
  <c r="BD166" i="8"/>
  <c r="BE166" i="8" s="1"/>
  <c r="BD167" i="8"/>
  <c r="BE167" i="8" s="1"/>
  <c r="BD168" i="8"/>
  <c r="BE168" i="8" s="1"/>
  <c r="BD169" i="8"/>
  <c r="BE169" i="8" s="1"/>
  <c r="BD170" i="8"/>
  <c r="BE170" i="8" s="1"/>
  <c r="BD171" i="8"/>
  <c r="BE171" i="8" s="1"/>
  <c r="BD172" i="8"/>
  <c r="BE172" i="8" s="1"/>
  <c r="BD173" i="8"/>
  <c r="BE173" i="8" s="1"/>
  <c r="BD174" i="8"/>
  <c r="BE174" i="8" s="1"/>
  <c r="BD175" i="8"/>
  <c r="BE175" i="8" s="1"/>
  <c r="BD176" i="8"/>
  <c r="BE176" i="8" s="1"/>
  <c r="BD177" i="8"/>
  <c r="BE177" i="8" s="1"/>
  <c r="BD178" i="8"/>
  <c r="BE178" i="8" s="1"/>
  <c r="BD179" i="8"/>
  <c r="BE179" i="8" s="1"/>
  <c r="BD180" i="8"/>
  <c r="BE180" i="8" s="1"/>
  <c r="BD181" i="8"/>
  <c r="BE181" i="8" s="1"/>
  <c r="BD182" i="8"/>
  <c r="BE182" i="8" s="1"/>
  <c r="BD183" i="8"/>
  <c r="BE183" i="8" s="1"/>
  <c r="BD184" i="8"/>
  <c r="BE184" i="8" s="1"/>
  <c r="BD185" i="8"/>
  <c r="BE185" i="8" s="1"/>
  <c r="BD186" i="8"/>
  <c r="BE186" i="8" s="1"/>
  <c r="BD187" i="8"/>
  <c r="BE187" i="8" s="1"/>
  <c r="BD188" i="8"/>
  <c r="BE188" i="8" s="1"/>
  <c r="BD190" i="8"/>
  <c r="BE190" i="8" s="1"/>
  <c r="BD191" i="8"/>
  <c r="BE191" i="8" s="1"/>
  <c r="BD192" i="8"/>
  <c r="BE192" i="8" s="1"/>
  <c r="BD194" i="8"/>
  <c r="BE194" i="8" s="1"/>
  <c r="BD195" i="8"/>
  <c r="BE195" i="8" s="1"/>
  <c r="BD196" i="8"/>
  <c r="BE196" i="8" s="1"/>
  <c r="BD198" i="8"/>
  <c r="BE198" i="8" s="1"/>
  <c r="BD199" i="8"/>
  <c r="BD200" i="8"/>
  <c r="BE200" i="8" s="1"/>
  <c r="BD202" i="8"/>
  <c r="BE202" i="8" s="1"/>
  <c r="BD203" i="8"/>
  <c r="BE203" i="8" s="1"/>
  <c r="BD204" i="8"/>
  <c r="BE204" i="8" s="1"/>
  <c r="BD206" i="8"/>
  <c r="BE206" i="8" s="1"/>
  <c r="BD207" i="8"/>
  <c r="BE207" i="8" s="1"/>
  <c r="BD208" i="8"/>
  <c r="BE208" i="8" s="1"/>
  <c r="BD210" i="8"/>
  <c r="BE210" i="8" s="1"/>
  <c r="BD211" i="8"/>
  <c r="BE211" i="8" s="1"/>
  <c r="BD212" i="8"/>
  <c r="BE212" i="8" s="1"/>
  <c r="BD214" i="8"/>
  <c r="BE214" i="8" s="1"/>
  <c r="BD215" i="8"/>
  <c r="BE215" i="8" s="1"/>
  <c r="BD216" i="8"/>
  <c r="BE216" i="8" s="1"/>
  <c r="BD218" i="8"/>
  <c r="BE218" i="8" s="1"/>
  <c r="BD219" i="8"/>
  <c r="BE219" i="8" s="1"/>
  <c r="BD220" i="8"/>
  <c r="BE220" i="8" s="1"/>
  <c r="BD222" i="8"/>
  <c r="BE222" i="8" s="1"/>
  <c r="BD223" i="8"/>
  <c r="BE223" i="8" s="1"/>
  <c r="BD224" i="8"/>
  <c r="BE224" i="8" s="1"/>
  <c r="BD226" i="8"/>
  <c r="BE226" i="8" s="1"/>
  <c r="BD275" i="8"/>
  <c r="BE275" i="8" s="1"/>
  <c r="BD276" i="8"/>
  <c r="BE276" i="8" s="1"/>
  <c r="BD277" i="8"/>
  <c r="BE277" i="8" s="1"/>
  <c r="BD278" i="8"/>
  <c r="BE278" i="8" s="1"/>
  <c r="BD279" i="8"/>
  <c r="BE279" i="8" s="1"/>
  <c r="BD280" i="8"/>
  <c r="BE280" i="8" s="1"/>
  <c r="BD281" i="8"/>
  <c r="BD282" i="8"/>
  <c r="BE282" i="8" s="1"/>
  <c r="BD283" i="8"/>
  <c r="BE283" i="8" s="1"/>
  <c r="BD284" i="8"/>
  <c r="BE284" i="8" s="1"/>
  <c r="BD285" i="8"/>
  <c r="BE285" i="8" s="1"/>
  <c r="BD286" i="8"/>
  <c r="BE286" i="8" s="1"/>
  <c r="BD287" i="8"/>
  <c r="BD288" i="8"/>
  <c r="BE288" i="8" s="1"/>
  <c r="BD289" i="8"/>
  <c r="BE289" i="8" s="1"/>
  <c r="BD290" i="8"/>
  <c r="BE290" i="8" s="1"/>
  <c r="BD291" i="8"/>
  <c r="BE291" i="8" s="1"/>
  <c r="BD292" i="8"/>
  <c r="BE292" i="8" s="1"/>
  <c r="BD293" i="8"/>
  <c r="BD294" i="8"/>
  <c r="BE294" i="8" s="1"/>
  <c r="BD295" i="8"/>
  <c r="BE295" i="8" s="1"/>
  <c r="BD296" i="8"/>
  <c r="BE296" i="8" s="1"/>
  <c r="BD297" i="8"/>
  <c r="BE297" i="8" s="1"/>
  <c r="BD298" i="8"/>
  <c r="BE298" i="8" s="1"/>
  <c r="BD311" i="8"/>
  <c r="BE311" i="8" s="1"/>
  <c r="BD312" i="8"/>
  <c r="BE312" i="8" s="1"/>
  <c r="BD313" i="8"/>
  <c r="BE313" i="8" s="1"/>
  <c r="BD314" i="8"/>
  <c r="BE314" i="8" s="1"/>
  <c r="BD315" i="8"/>
  <c r="BE315" i="8" s="1"/>
  <c r="BD316" i="8"/>
  <c r="BE316" i="8" s="1"/>
  <c r="BD317" i="8"/>
  <c r="BE317" i="8" s="1"/>
  <c r="BD318" i="8"/>
  <c r="BE318" i="8" s="1"/>
  <c r="BD319" i="8"/>
  <c r="BE319" i="8" s="1"/>
  <c r="BD320" i="8"/>
  <c r="BE320" i="8" s="1"/>
  <c r="BD321" i="8"/>
  <c r="BE321" i="8" s="1"/>
  <c r="BD322" i="8"/>
  <c r="BE322" i="8" s="1"/>
  <c r="BD323" i="8"/>
  <c r="BE323" i="8" s="1"/>
  <c r="BD324" i="8"/>
  <c r="BE324" i="8" s="1"/>
  <c r="BD325" i="8"/>
  <c r="BE325" i="8" s="1"/>
  <c r="BD326" i="8"/>
  <c r="BE326" i="8" s="1"/>
  <c r="BD327" i="8"/>
  <c r="BE327" i="8" s="1"/>
  <c r="BD328" i="8"/>
  <c r="BE328" i="8" s="1"/>
  <c r="BD329" i="8"/>
  <c r="BE329" i="8" s="1"/>
  <c r="BD330" i="8"/>
  <c r="BE330" i="8" s="1"/>
  <c r="BD331" i="8"/>
  <c r="BE331" i="8" s="1"/>
  <c r="BD332" i="8"/>
  <c r="BE332" i="8" s="1"/>
  <c r="BD333" i="8"/>
  <c r="BE333" i="8" s="1"/>
  <c r="BD334" i="8"/>
  <c r="BE334" i="8" s="1"/>
  <c r="BD335" i="8"/>
  <c r="BD336" i="8"/>
  <c r="BD337" i="8"/>
  <c r="BE337" i="8" s="1"/>
  <c r="BD338" i="8"/>
  <c r="BE338" i="8" s="1"/>
  <c r="BD339" i="8"/>
  <c r="BE339" i="8" s="1"/>
  <c r="BD340" i="8"/>
  <c r="BE340" i="8" s="1"/>
  <c r="BD341" i="8"/>
  <c r="BE341" i="8" s="1"/>
  <c r="BD342" i="8"/>
  <c r="BD343" i="8"/>
  <c r="BE343" i="8" s="1"/>
  <c r="BD344" i="8"/>
  <c r="BD345" i="8"/>
  <c r="BD346" i="8"/>
  <c r="BE346" i="8" s="1"/>
  <c r="BD347" i="8"/>
  <c r="BE347" i="8" s="1"/>
  <c r="BD348" i="8"/>
  <c r="BE348" i="8" s="1"/>
  <c r="BD349" i="8"/>
  <c r="BE349" i="8" s="1"/>
  <c r="BD350" i="8"/>
  <c r="BE350" i="8" s="1"/>
  <c r="BD351" i="8"/>
  <c r="BE351" i="8" s="1"/>
  <c r="BD352" i="8"/>
  <c r="BE352" i="8" s="1"/>
  <c r="BD353" i="8"/>
  <c r="BE353" i="8" s="1"/>
  <c r="BD354" i="8"/>
  <c r="BE354" i="8" s="1"/>
  <c r="BD355" i="8"/>
  <c r="BE355" i="8" s="1"/>
  <c r="BD356" i="8"/>
  <c r="BE356" i="8" s="1"/>
  <c r="BD357" i="8"/>
  <c r="BE357" i="8" s="1"/>
  <c r="BD358" i="8"/>
  <c r="BE358" i="8" s="1"/>
  <c r="BD359" i="8"/>
  <c r="BE359" i="8" s="1"/>
  <c r="BD360" i="8"/>
  <c r="BE360" i="8" s="1"/>
  <c r="BD361" i="8"/>
  <c r="BE361" i="8" s="1"/>
  <c r="BD362" i="8"/>
  <c r="BE362" i="8" s="1"/>
  <c r="BD363" i="8"/>
  <c r="BE363" i="8" s="1"/>
  <c r="BD364" i="8"/>
  <c r="BE364" i="8" s="1"/>
  <c r="BD365" i="8"/>
  <c r="BE365" i="8" s="1"/>
  <c r="BD366" i="8"/>
  <c r="BE366" i="8" s="1"/>
  <c r="BD367" i="8"/>
  <c r="BE367" i="8" s="1"/>
  <c r="BD368" i="8"/>
  <c r="BE368" i="8" s="1"/>
  <c r="BD369" i="8"/>
  <c r="BE369" i="8" s="1"/>
  <c r="BD370" i="8"/>
  <c r="BE370" i="8" s="1"/>
  <c r="BD371" i="8"/>
  <c r="BE371" i="8" s="1"/>
  <c r="BD372" i="8"/>
  <c r="BE372" i="8" s="1"/>
  <c r="BD385" i="8"/>
  <c r="BE385" i="8" s="1"/>
  <c r="BD386" i="8"/>
  <c r="BE386" i="8" s="1"/>
  <c r="BD387" i="8"/>
  <c r="BE387" i="8" s="1"/>
  <c r="BD388" i="8"/>
  <c r="BE388" i="8" s="1"/>
  <c r="BD389" i="8"/>
  <c r="BE389" i="8" s="1"/>
  <c r="BD390" i="8"/>
  <c r="BE390" i="8" s="1"/>
  <c r="BD391" i="8"/>
  <c r="BE391" i="8" s="1"/>
  <c r="BD392" i="8"/>
  <c r="BE392" i="8" s="1"/>
  <c r="BD393" i="8"/>
  <c r="BE393" i="8" s="1"/>
  <c r="BD394" i="8"/>
  <c r="BE394" i="8" s="1"/>
  <c r="BD395" i="8"/>
  <c r="BE395" i="8" s="1"/>
  <c r="BD396" i="8"/>
  <c r="BE396" i="8" s="1"/>
  <c r="BD397" i="8"/>
  <c r="BE397" i="8" s="1"/>
  <c r="BD398" i="8"/>
  <c r="BE398" i="8" s="1"/>
  <c r="BD399" i="8"/>
  <c r="BE399" i="8" s="1"/>
  <c r="BD400" i="8"/>
  <c r="BE400" i="8" s="1"/>
  <c r="BD401" i="8"/>
  <c r="BE401" i="8" s="1"/>
  <c r="BD402" i="8"/>
  <c r="BE402" i="8" s="1"/>
  <c r="BD403" i="8"/>
  <c r="BE403" i="8" s="1"/>
  <c r="BD404" i="8"/>
  <c r="BE404" i="8" s="1"/>
  <c r="BD405" i="8"/>
  <c r="BE405" i="8" s="1"/>
  <c r="BD406" i="8"/>
  <c r="BE406" i="8" s="1"/>
  <c r="BD407" i="8"/>
  <c r="BE407" i="8" s="1"/>
  <c r="BD408" i="8"/>
  <c r="BE408" i="8" s="1"/>
  <c r="BD409" i="8"/>
  <c r="BE409" i="8" s="1"/>
  <c r="BD410" i="8"/>
  <c r="BE410" i="8" s="1"/>
  <c r="BD411" i="8"/>
  <c r="BE411" i="8" s="1"/>
  <c r="BD412" i="8"/>
  <c r="BE412" i="8" s="1"/>
  <c r="BD413" i="8"/>
  <c r="BE413" i="8" s="1"/>
  <c r="BD414" i="8"/>
  <c r="BE414" i="8" s="1"/>
  <c r="BD415" i="8"/>
  <c r="BE415" i="8" s="1"/>
  <c r="BD416" i="8"/>
  <c r="BE416" i="8" s="1"/>
  <c r="BD417" i="8"/>
  <c r="BE417" i="8" s="1"/>
  <c r="BD418" i="8"/>
  <c r="BE418" i="8" s="1"/>
  <c r="BD419" i="8"/>
  <c r="BE419" i="8" s="1"/>
  <c r="BD420" i="8"/>
  <c r="BE420" i="8" s="1"/>
  <c r="BD421" i="8"/>
  <c r="BE421" i="8" s="1"/>
  <c r="BD422" i="8"/>
  <c r="BE422" i="8" s="1"/>
  <c r="BD423" i="8"/>
  <c r="BE423" i="8" s="1"/>
  <c r="BD424" i="8"/>
  <c r="BE424" i="8" s="1"/>
  <c r="BD425" i="8"/>
  <c r="BE425" i="8" s="1"/>
  <c r="BD426" i="8"/>
  <c r="BE426" i="8" s="1"/>
  <c r="BD427" i="8"/>
  <c r="BE427" i="8" s="1"/>
  <c r="BD428" i="8"/>
  <c r="BE428" i="8" s="1"/>
  <c r="BD429" i="8"/>
  <c r="BE429" i="8" s="1"/>
  <c r="BD430" i="8"/>
  <c r="BE430" i="8" s="1"/>
  <c r="BD431" i="8"/>
  <c r="BE431" i="8" s="1"/>
  <c r="BD432" i="8"/>
  <c r="BE432" i="8" s="1"/>
  <c r="BD433" i="8"/>
  <c r="BE433" i="8" s="1"/>
  <c r="BD434" i="8"/>
  <c r="BE434" i="8" s="1"/>
  <c r="BD435" i="8"/>
  <c r="BE435" i="8" s="1"/>
  <c r="BD436" i="8"/>
  <c r="BE436" i="8" s="1"/>
  <c r="BD437" i="8"/>
  <c r="BE437" i="8" s="1"/>
  <c r="BD438" i="8"/>
  <c r="BE438" i="8" s="1"/>
  <c r="BD439" i="8"/>
  <c r="BE439" i="8" s="1"/>
  <c r="BD440" i="8"/>
  <c r="BE440" i="8" s="1"/>
  <c r="BD441" i="8"/>
  <c r="BE441" i="8" s="1"/>
  <c r="BD442" i="8"/>
  <c r="BE442" i="8" s="1"/>
  <c r="BD443" i="8"/>
  <c r="BE443" i="8" s="1"/>
  <c r="BD444" i="8"/>
  <c r="BE444" i="8" s="1"/>
  <c r="BD445" i="8"/>
  <c r="BE445" i="8" s="1"/>
  <c r="BD446" i="8"/>
  <c r="BE446" i="8" s="1"/>
  <c r="BD459" i="8"/>
  <c r="BE459" i="8" s="1"/>
  <c r="BD460" i="8"/>
  <c r="BE460" i="8" s="1"/>
  <c r="BD461" i="8"/>
  <c r="BE461" i="8" s="1"/>
  <c r="BD462" i="8"/>
  <c r="BE462" i="8" s="1"/>
  <c r="BD463" i="8"/>
  <c r="BE463" i="8" s="1"/>
  <c r="BD464" i="8"/>
  <c r="BE464" i="8" s="1"/>
  <c r="BD465" i="8"/>
  <c r="BE465" i="8" s="1"/>
  <c r="BD466" i="8"/>
  <c r="BE466" i="8" s="1"/>
  <c r="BD467" i="8"/>
  <c r="BE467" i="8" s="1"/>
  <c r="BD468" i="8"/>
  <c r="BE468" i="8" s="1"/>
  <c r="BD469" i="8"/>
  <c r="BE469" i="8" s="1"/>
  <c r="BD470" i="8"/>
  <c r="BE470" i="8" s="1"/>
  <c r="BD471" i="8"/>
  <c r="BE471" i="8" s="1"/>
  <c r="BD472" i="8"/>
  <c r="BE472" i="8" s="1"/>
  <c r="BD473" i="8"/>
  <c r="BE473" i="8" s="1"/>
  <c r="BD474" i="8"/>
  <c r="BE474" i="8" s="1"/>
  <c r="BD475" i="8"/>
  <c r="BE475" i="8" s="1"/>
  <c r="BD476" i="8"/>
  <c r="BE476" i="8" s="1"/>
  <c r="BD477" i="8"/>
  <c r="BE477" i="8" s="1"/>
  <c r="BD478" i="8"/>
  <c r="BE478" i="8" s="1"/>
  <c r="BD479" i="8"/>
  <c r="BE479" i="8" s="1"/>
  <c r="BD480" i="8"/>
  <c r="BE480" i="8" s="1"/>
  <c r="BD481" i="8"/>
  <c r="BE481" i="8" s="1"/>
  <c r="BD482" i="8"/>
  <c r="BE482" i="8" s="1"/>
  <c r="BD483" i="8"/>
  <c r="BE483" i="8" s="1"/>
  <c r="BD484" i="8"/>
  <c r="BE484" i="8" s="1"/>
  <c r="BD485" i="8"/>
  <c r="BE485" i="8" s="1"/>
  <c r="BD486" i="8"/>
  <c r="BE486" i="8" s="1"/>
  <c r="BD487" i="8"/>
  <c r="BE487" i="8" s="1"/>
  <c r="BD488" i="8"/>
  <c r="BE488" i="8" s="1"/>
  <c r="BD489" i="8"/>
  <c r="BE489" i="8" s="1"/>
  <c r="BD490" i="8"/>
  <c r="BE490" i="8" s="1"/>
  <c r="BD491" i="8"/>
  <c r="BE491" i="8" s="1"/>
  <c r="BD492" i="8"/>
  <c r="BE492" i="8" s="1"/>
  <c r="BD494" i="8"/>
  <c r="BE494" i="8" s="1"/>
  <c r="BD495" i="8"/>
  <c r="BE495" i="8" s="1"/>
  <c r="BD496" i="8"/>
  <c r="BE496" i="8" s="1"/>
  <c r="BD498" i="8"/>
  <c r="BE498" i="8" s="1"/>
  <c r="BD499" i="8"/>
  <c r="BE499" i="8" s="1"/>
  <c r="BD500" i="8"/>
  <c r="BE500" i="8" s="1"/>
  <c r="BD502" i="8"/>
  <c r="BE502" i="8" s="1"/>
  <c r="BD503" i="8"/>
  <c r="BE503" i="8" s="1"/>
  <c r="BD504" i="8"/>
  <c r="BE504" i="8" s="1"/>
  <c r="BD506" i="8"/>
  <c r="BE506" i="8" s="1"/>
  <c r="BD507" i="8"/>
  <c r="BE507" i="8" s="1"/>
  <c r="BD508" i="8"/>
  <c r="BE508" i="8" s="1"/>
  <c r="BD510" i="8"/>
  <c r="BE510" i="8" s="1"/>
  <c r="BD519" i="8"/>
  <c r="BE519" i="8" s="1"/>
  <c r="BD520" i="8"/>
  <c r="BE520" i="8" s="1"/>
  <c r="BD522" i="8"/>
  <c r="BE522" i="8" s="1"/>
  <c r="BD523" i="8"/>
  <c r="BE523" i="8" s="1"/>
  <c r="BD524" i="8"/>
  <c r="BE524" i="8" s="1"/>
  <c r="BD526" i="8"/>
  <c r="BE526" i="8" s="1"/>
  <c r="BD527" i="8"/>
  <c r="BE527" i="8" s="1"/>
  <c r="BD528" i="8"/>
  <c r="BE528" i="8" s="1"/>
  <c r="BD530" i="8"/>
  <c r="BE530" i="8" s="1"/>
  <c r="BD531" i="8"/>
  <c r="BE531" i="8" s="1"/>
  <c r="BD532" i="8"/>
  <c r="BE532" i="8" s="1"/>
  <c r="BD534" i="8"/>
  <c r="BE534" i="8" s="1"/>
  <c r="BD535" i="8"/>
  <c r="BE535" i="8" s="1"/>
  <c r="BD536" i="8"/>
  <c r="BE536" i="8" s="1"/>
  <c r="BD538" i="8"/>
  <c r="BE538" i="8" s="1"/>
  <c r="BD539" i="8"/>
  <c r="BE539" i="8" s="1"/>
  <c r="BD540" i="8"/>
  <c r="BE540" i="8" s="1"/>
  <c r="BD542" i="8"/>
  <c r="BE542" i="8" s="1"/>
  <c r="BD596" i="8"/>
  <c r="BE596" i="8" s="1"/>
  <c r="BD597" i="8"/>
  <c r="BE597" i="8" s="1"/>
  <c r="BD598" i="8"/>
  <c r="BE598" i="8" s="1"/>
  <c r="BD599" i="8"/>
  <c r="BE599" i="8" s="1"/>
  <c r="BD600" i="8"/>
  <c r="BE600" i="8" s="1"/>
  <c r="BD601" i="8"/>
  <c r="BE601" i="8" s="1"/>
  <c r="BD602" i="8"/>
  <c r="BE602" i="8" s="1"/>
  <c r="BD603" i="8"/>
  <c r="BE603" i="8" s="1"/>
  <c r="BD604" i="8"/>
  <c r="BE604" i="8" s="1"/>
  <c r="BD605" i="8"/>
  <c r="BE605" i="8" s="1"/>
  <c r="BD606" i="8"/>
  <c r="BE606" i="8" s="1"/>
  <c r="BD607" i="8"/>
  <c r="BE607" i="8" s="1"/>
  <c r="BD608" i="8"/>
  <c r="BE608" i="8" s="1"/>
  <c r="BD609" i="8"/>
  <c r="BE609" i="8" s="1"/>
  <c r="BD610" i="8"/>
  <c r="BE610" i="8" s="1"/>
  <c r="BD611" i="8"/>
  <c r="BE611" i="8" s="1"/>
  <c r="BD612" i="8"/>
  <c r="BE612" i="8" s="1"/>
  <c r="BD613" i="8"/>
  <c r="BE613" i="8" s="1"/>
  <c r="BD614" i="8"/>
  <c r="BE614" i="8" s="1"/>
  <c r="BD615" i="8"/>
  <c r="BE615" i="8" s="1"/>
  <c r="BD616" i="8"/>
  <c r="BE616" i="8" s="1"/>
  <c r="BD617" i="8"/>
  <c r="BE617" i="8" s="1"/>
  <c r="BD618" i="8"/>
  <c r="BE618" i="8" s="1"/>
  <c r="BD619" i="8"/>
  <c r="BE619" i="8" s="1"/>
  <c r="BD620" i="8"/>
  <c r="BE620" i="8" s="1"/>
  <c r="BD621" i="8"/>
  <c r="BE621" i="8" s="1"/>
  <c r="BD622" i="8"/>
  <c r="BE622" i="8" s="1"/>
  <c r="BD623" i="8"/>
  <c r="BE623" i="8" s="1"/>
  <c r="BD624" i="8"/>
  <c r="BE624" i="8" s="1"/>
  <c r="BD625" i="8"/>
  <c r="BE625" i="8" s="1"/>
  <c r="BD626" i="8"/>
  <c r="BE626" i="8" s="1"/>
  <c r="BD882" i="8"/>
  <c r="BE882" i="8" s="1"/>
  <c r="BD883" i="8"/>
  <c r="BE883" i="8" s="1"/>
  <c r="BD884" i="8"/>
  <c r="BE884" i="8" s="1"/>
  <c r="BD885" i="8"/>
  <c r="BE885" i="8" s="1"/>
  <c r="BD886" i="8"/>
  <c r="BE886" i="8" s="1"/>
  <c r="BD887" i="8"/>
  <c r="BE887" i="8" s="1"/>
  <c r="BD888" i="8"/>
  <c r="BE888" i="8" s="1"/>
  <c r="BD889" i="8"/>
  <c r="BE889" i="8" s="1"/>
  <c r="BD890" i="8"/>
  <c r="BE890" i="8" s="1"/>
  <c r="BD891" i="8"/>
  <c r="BE891" i="8" s="1"/>
  <c r="BD892" i="8"/>
  <c r="BE892" i="8" s="1"/>
  <c r="BD893" i="8"/>
  <c r="BE893" i="8" s="1"/>
  <c r="BD894" i="8"/>
  <c r="BE894" i="8" s="1"/>
  <c r="BD895" i="8"/>
  <c r="BE895" i="8" s="1"/>
  <c r="BD896" i="8"/>
  <c r="BE896" i="8" s="1"/>
  <c r="BD897" i="8"/>
  <c r="BE897" i="8" s="1"/>
  <c r="BD898" i="8"/>
  <c r="BE898" i="8" s="1"/>
  <c r="BD899" i="8"/>
  <c r="BE899" i="8" s="1"/>
  <c r="BD900" i="8"/>
  <c r="BE900" i="8" s="1"/>
  <c r="BD901" i="8"/>
  <c r="BE901" i="8" s="1"/>
  <c r="BD902" i="8"/>
  <c r="BE902" i="8" s="1"/>
  <c r="BD903" i="8"/>
  <c r="BE903" i="8" s="1"/>
  <c r="BD904" i="8"/>
  <c r="BE904" i="8" s="1"/>
  <c r="BD905" i="8"/>
  <c r="BE905" i="8" s="1"/>
  <c r="BD906" i="8"/>
  <c r="BE906" i="8" s="1"/>
  <c r="BD907" i="8"/>
  <c r="BE907" i="8" s="1"/>
  <c r="BD908" i="8"/>
  <c r="BE908" i="8" s="1"/>
  <c r="BD909" i="8"/>
  <c r="BE909" i="8" s="1"/>
  <c r="BD910" i="8"/>
  <c r="BE910" i="8" s="1"/>
  <c r="BD911" i="8"/>
  <c r="BE911" i="8" s="1"/>
  <c r="BD912" i="8"/>
  <c r="BE912" i="8" s="1"/>
  <c r="BD913" i="8"/>
  <c r="BE913" i="8" s="1"/>
  <c r="BD914" i="8"/>
  <c r="BE914" i="8" s="1"/>
  <c r="BD915" i="8"/>
  <c r="BE915" i="8" s="1"/>
  <c r="BD916" i="8"/>
  <c r="BE916" i="8" s="1"/>
  <c r="BD917" i="8"/>
  <c r="BE917" i="8" s="1"/>
  <c r="BD918" i="8"/>
  <c r="BE918" i="8" s="1"/>
  <c r="BD919" i="8"/>
  <c r="BE919" i="8" s="1"/>
  <c r="BD920" i="8"/>
  <c r="BE920" i="8" s="1"/>
  <c r="BD921" i="8"/>
  <c r="BE921" i="8" s="1"/>
  <c r="BD922" i="8"/>
  <c r="BE922" i="8" s="1"/>
  <c r="BD923" i="8"/>
  <c r="BE923" i="8" s="1"/>
  <c r="BD924" i="8"/>
  <c r="BE924" i="8" s="1"/>
  <c r="BD925" i="8"/>
  <c r="BE925" i="8" s="1"/>
  <c r="BD926" i="8"/>
  <c r="BE926" i="8" s="1"/>
  <c r="BD927" i="8"/>
  <c r="BE927" i="8" s="1"/>
  <c r="BD928" i="8"/>
  <c r="BE928" i="8" s="1"/>
  <c r="BD929" i="8"/>
  <c r="BE929" i="8" s="1"/>
  <c r="BD930" i="8"/>
  <c r="BE930" i="8" s="1"/>
  <c r="BD931" i="8"/>
  <c r="BE931" i="8" s="1"/>
  <c r="BD932" i="8"/>
  <c r="BE932" i="8" s="1"/>
  <c r="BD933" i="8"/>
  <c r="BE933" i="8" s="1"/>
  <c r="BD934" i="8"/>
  <c r="BE934" i="8" s="1"/>
  <c r="BD935" i="8"/>
  <c r="BE935" i="8" s="1"/>
  <c r="BD936" i="8"/>
  <c r="BE936" i="8" s="1"/>
  <c r="BD937" i="8"/>
  <c r="BE937" i="8" s="1"/>
  <c r="BD938" i="8"/>
  <c r="BE938" i="8" s="1"/>
  <c r="BD939" i="8"/>
  <c r="BE939" i="8" s="1"/>
  <c r="BD940" i="8"/>
  <c r="BE940" i="8" s="1"/>
  <c r="BD941" i="8"/>
  <c r="BE941" i="8" s="1"/>
  <c r="BD942" i="8"/>
  <c r="BE942" i="8" s="1"/>
  <c r="BD943" i="8"/>
  <c r="BE943" i="8" s="1"/>
  <c r="BD944" i="8"/>
  <c r="BE944" i="8" s="1"/>
  <c r="BD945" i="8"/>
  <c r="BE945" i="8" s="1"/>
  <c r="BD946" i="8"/>
  <c r="BE946" i="8" s="1"/>
  <c r="BD947" i="8"/>
  <c r="BE947" i="8" s="1"/>
  <c r="BD948" i="8"/>
  <c r="BE948" i="8" s="1"/>
  <c r="BD949" i="8"/>
  <c r="BE949" i="8" s="1"/>
  <c r="BD950" i="8"/>
  <c r="BE950" i="8" s="1"/>
  <c r="BD951" i="8"/>
  <c r="BE951" i="8" s="1"/>
  <c r="BD952" i="8"/>
  <c r="BE952" i="8" s="1"/>
  <c r="BD953" i="8"/>
  <c r="BE953" i="8" s="1"/>
  <c r="BD954" i="8"/>
  <c r="BE954" i="8" s="1"/>
  <c r="BD955" i="8"/>
  <c r="BE955" i="8" s="1"/>
  <c r="BD956" i="8"/>
  <c r="BE956" i="8" s="1"/>
  <c r="BD957" i="8"/>
  <c r="BE957" i="8" s="1"/>
  <c r="BD958" i="8"/>
  <c r="BE958" i="8" s="1"/>
  <c r="BD959" i="8"/>
  <c r="BE959" i="8" s="1"/>
  <c r="BD960" i="8"/>
  <c r="BE960" i="8" s="1"/>
  <c r="BD961" i="8"/>
  <c r="BE961" i="8" s="1"/>
  <c r="BD962" i="8"/>
  <c r="BE962" i="8" s="1"/>
  <c r="BD963" i="8"/>
  <c r="BE963" i="8" s="1"/>
  <c r="BD964" i="8"/>
  <c r="BE964" i="8" s="1"/>
  <c r="BD965" i="8"/>
  <c r="BE965" i="8" s="1"/>
  <c r="BD966" i="8"/>
  <c r="BE966" i="8" s="1"/>
  <c r="BD967" i="8"/>
  <c r="BE967" i="8" s="1"/>
  <c r="BD968" i="8"/>
  <c r="BE968" i="8" s="1"/>
  <c r="BD969" i="8"/>
  <c r="BE969" i="8" s="1"/>
  <c r="BD970" i="8"/>
  <c r="BE970" i="8" s="1"/>
  <c r="BD971" i="8"/>
  <c r="BE971" i="8" s="1"/>
  <c r="BD972" i="8"/>
  <c r="BE972" i="8" s="1"/>
  <c r="BD973" i="8"/>
  <c r="BE973" i="8" s="1"/>
  <c r="BD974" i="8"/>
  <c r="BE974" i="8" s="1"/>
  <c r="BD975" i="8"/>
  <c r="BE975" i="8" s="1"/>
  <c r="BD976" i="8"/>
  <c r="BE976" i="8" s="1"/>
  <c r="BD977" i="8"/>
  <c r="BE977" i="8" s="1"/>
  <c r="BD978" i="8"/>
  <c r="BE978" i="8" s="1"/>
  <c r="BD979" i="8"/>
  <c r="BE979" i="8" s="1"/>
  <c r="BD980" i="8"/>
  <c r="BE980" i="8" s="1"/>
  <c r="BD981" i="8"/>
  <c r="BE981" i="8" s="1"/>
  <c r="BD982" i="8"/>
  <c r="BE982" i="8" s="1"/>
  <c r="BD983" i="8"/>
  <c r="BE983" i="8" s="1"/>
  <c r="BD984" i="8"/>
  <c r="BE984" i="8" s="1"/>
  <c r="BD985" i="8"/>
  <c r="BE985" i="8" s="1"/>
  <c r="BD986" i="8"/>
  <c r="BE986" i="8" s="1"/>
  <c r="BD987" i="8"/>
  <c r="BE987" i="8" s="1"/>
  <c r="BD988" i="8"/>
  <c r="BE988" i="8" s="1"/>
  <c r="BD989" i="8"/>
  <c r="BE989" i="8" s="1"/>
  <c r="BD990" i="8"/>
  <c r="BE990" i="8" s="1"/>
  <c r="BD991" i="8"/>
  <c r="BE991" i="8" s="1"/>
  <c r="BD992" i="8"/>
  <c r="BE992" i="8" s="1"/>
  <c r="BD993" i="8"/>
  <c r="BE993" i="8" s="1"/>
  <c r="BD994" i="8"/>
  <c r="BE994" i="8" s="1"/>
  <c r="BD995" i="8"/>
  <c r="BE995" i="8" s="1"/>
  <c r="BD996" i="8"/>
  <c r="BE996" i="8" s="1"/>
  <c r="BD997" i="8"/>
  <c r="BE997" i="8" s="1"/>
  <c r="BD998" i="8"/>
  <c r="BE998" i="8" s="1"/>
  <c r="BD999" i="8"/>
  <c r="BE999" i="8" s="1"/>
  <c r="BD1000" i="8"/>
  <c r="BE1000" i="8" s="1"/>
  <c r="BD1001" i="8"/>
  <c r="BE1001" i="8" s="1"/>
  <c r="BD1002" i="8"/>
  <c r="BE1002" i="8" s="1"/>
  <c r="BD1003" i="8"/>
  <c r="BE1003" i="8" s="1"/>
  <c r="BD1004" i="8"/>
  <c r="BE1004" i="8" s="1"/>
  <c r="BD1005" i="8"/>
  <c r="BE1005" i="8" s="1"/>
  <c r="BD1006" i="8"/>
  <c r="BE1006" i="8" s="1"/>
  <c r="BD1007" i="8"/>
  <c r="BE1007" i="8" s="1"/>
  <c r="BD1008" i="8"/>
  <c r="BE1008" i="8" s="1"/>
  <c r="BD1009" i="8"/>
  <c r="BE1009" i="8" s="1"/>
  <c r="BD1010" i="8"/>
  <c r="BE1010" i="8" s="1"/>
  <c r="BD1011" i="8"/>
  <c r="BE1011" i="8" s="1"/>
  <c r="BD1012" i="8"/>
  <c r="BE1012" i="8" s="1"/>
  <c r="BD1013" i="8"/>
  <c r="BE1013" i="8" s="1"/>
  <c r="BD1014" i="8"/>
  <c r="BE1014" i="8" s="1"/>
  <c r="BD1015" i="8"/>
  <c r="BE1015" i="8" s="1"/>
  <c r="BD1016" i="8"/>
  <c r="BE1016" i="8" s="1"/>
  <c r="BD1017" i="8"/>
  <c r="BE1017" i="8" s="1"/>
  <c r="BD1018" i="8"/>
  <c r="BE1018" i="8" s="1"/>
  <c r="BD1019" i="8"/>
  <c r="BE1019" i="8" s="1"/>
  <c r="BD1020" i="8"/>
  <c r="BE1020" i="8" s="1"/>
  <c r="BD1021" i="8"/>
  <c r="BE1021" i="8" s="1"/>
  <c r="BD1022" i="8"/>
  <c r="BE1022" i="8" s="1"/>
  <c r="BD1023" i="8"/>
  <c r="BE1023" i="8" s="1"/>
  <c r="BD1024" i="8"/>
  <c r="BE1024" i="8" s="1"/>
  <c r="BD1025" i="8"/>
  <c r="BE1025" i="8" s="1"/>
  <c r="BD1026" i="8"/>
  <c r="BE1026" i="8" s="1"/>
  <c r="BD1027" i="8"/>
  <c r="BE1027" i="8" s="1"/>
  <c r="BD1028" i="8"/>
  <c r="BE1028" i="8" s="1"/>
  <c r="BD1029" i="8"/>
  <c r="BE1029" i="8" s="1"/>
  <c r="BD1030" i="8"/>
  <c r="BE1030" i="8" s="1"/>
  <c r="BD1031" i="8"/>
  <c r="BE1031" i="8" s="1"/>
  <c r="BD1032" i="8"/>
  <c r="BE1032" i="8" s="1"/>
  <c r="BD1033" i="8"/>
  <c r="BE1033" i="8" s="1"/>
  <c r="BD1034" i="8"/>
  <c r="BE1034" i="8" s="1"/>
  <c r="BD1035" i="8"/>
  <c r="BE1035" i="8" s="1"/>
  <c r="BD1036" i="8"/>
  <c r="BE1036" i="8" s="1"/>
  <c r="BD1037" i="8"/>
  <c r="BE1037" i="8" s="1"/>
  <c r="BD1038" i="8"/>
  <c r="BE1038" i="8" s="1"/>
  <c r="BD1039" i="8"/>
  <c r="BE1039" i="8" s="1"/>
  <c r="BD1040" i="8"/>
  <c r="BE1040" i="8" s="1"/>
  <c r="BD1041" i="8"/>
  <c r="BE1041" i="8" s="1"/>
  <c r="BD1042" i="8"/>
  <c r="BE1042" i="8" s="1"/>
  <c r="BD1043" i="8"/>
  <c r="BE1043" i="8" s="1"/>
  <c r="BD1044" i="8"/>
  <c r="BE1044" i="8" s="1"/>
  <c r="BD1045" i="8"/>
  <c r="BE1045" i="8" s="1"/>
  <c r="BD1046" i="8"/>
  <c r="BE1046" i="8" s="1"/>
  <c r="BD1047" i="8"/>
  <c r="BE1047" i="8" s="1"/>
  <c r="BD1048" i="8"/>
  <c r="BE1048" i="8" s="1"/>
  <c r="BD1049" i="8"/>
  <c r="BE1049" i="8" s="1"/>
  <c r="BD1050" i="8"/>
  <c r="BE1050" i="8" s="1"/>
  <c r="BD1051" i="8"/>
  <c r="BE1051" i="8" s="1"/>
  <c r="BD1052" i="8"/>
  <c r="BE1052" i="8" s="1"/>
  <c r="BD1053" i="8"/>
  <c r="BE1053" i="8" s="1"/>
  <c r="BD1054" i="8"/>
  <c r="BE1054" i="8" s="1"/>
  <c r="BD1055" i="8"/>
  <c r="BE1055" i="8" s="1"/>
  <c r="BD1056" i="8"/>
  <c r="BE1056" i="8" s="1"/>
  <c r="BD1057" i="8"/>
  <c r="BE1057" i="8" s="1"/>
  <c r="BD1058" i="8"/>
  <c r="BE1058" i="8" s="1"/>
  <c r="BD1059" i="8"/>
  <c r="BE1059" i="8" s="1"/>
  <c r="BD1060" i="8"/>
  <c r="BE1060" i="8" s="1"/>
  <c r="BD1061" i="8"/>
  <c r="BE1061" i="8" s="1"/>
  <c r="BD1062" i="8"/>
  <c r="BE1062" i="8" s="1"/>
  <c r="BD1063" i="8"/>
  <c r="BE1063" i="8" s="1"/>
  <c r="BD1064" i="8"/>
  <c r="BE1064" i="8" s="1"/>
  <c r="BD1065" i="8"/>
  <c r="BE1065" i="8" s="1"/>
  <c r="BD1066" i="8"/>
  <c r="BE1066" i="8" s="1"/>
  <c r="BD1067" i="8"/>
  <c r="BE1067" i="8" s="1"/>
  <c r="BD1068" i="8"/>
  <c r="BE1068" i="8" s="1"/>
  <c r="BD1069" i="8"/>
  <c r="BE1069" i="8" s="1"/>
  <c r="BD1070" i="8"/>
  <c r="BE1070" i="8" s="1"/>
  <c r="BD1071" i="8"/>
  <c r="BE1071" i="8" s="1"/>
  <c r="BD1072" i="8"/>
  <c r="BE1072" i="8" s="1"/>
  <c r="BD1073" i="8"/>
  <c r="BE1073" i="8" s="1"/>
  <c r="BD1074" i="8"/>
  <c r="BE1074" i="8" s="1"/>
  <c r="BD1075" i="8"/>
  <c r="BE1075" i="8" s="1"/>
  <c r="BD1076" i="8"/>
  <c r="BE1076" i="8" s="1"/>
  <c r="BD1077" i="8"/>
  <c r="BE1077" i="8" s="1"/>
  <c r="BD1078" i="8"/>
  <c r="BE1078" i="8" s="1"/>
  <c r="BD1079" i="8"/>
  <c r="BE1079" i="8" s="1"/>
  <c r="BD1080" i="8"/>
  <c r="BE1080" i="8" s="1"/>
  <c r="BD1081" i="8"/>
  <c r="BE1081" i="8" s="1"/>
  <c r="BD1082" i="8"/>
  <c r="BE1082" i="8" s="1"/>
  <c r="BD1083" i="8"/>
  <c r="BE1083" i="8" s="1"/>
  <c r="BD1084" i="8"/>
  <c r="BE1084" i="8" s="1"/>
  <c r="BD1085" i="8"/>
  <c r="BE1085" i="8" s="1"/>
  <c r="BD1086" i="8"/>
  <c r="BE1086" i="8" s="1"/>
  <c r="BD1087" i="8"/>
  <c r="BE1087" i="8" s="1"/>
  <c r="BD1088" i="8"/>
  <c r="BE1088" i="8" s="1"/>
  <c r="BD1089" i="8"/>
  <c r="BE1089" i="8" s="1"/>
  <c r="BD1090" i="8"/>
  <c r="BE1090" i="8" s="1"/>
  <c r="BD1091" i="8"/>
  <c r="BE1091" i="8" s="1"/>
  <c r="BD1092" i="8"/>
  <c r="BE1092" i="8" s="1"/>
  <c r="BD1093" i="8"/>
  <c r="BE1093" i="8" s="1"/>
  <c r="BD1094" i="8"/>
  <c r="BE1094" i="8" s="1"/>
  <c r="BD1095" i="8"/>
  <c r="BE1095" i="8" s="1"/>
  <c r="BD1096" i="8"/>
  <c r="BE1096" i="8" s="1"/>
  <c r="BD1097" i="8"/>
  <c r="BE1097" i="8" s="1"/>
  <c r="BD1098" i="8"/>
  <c r="BE1098" i="8" s="1"/>
  <c r="BD1099" i="8"/>
  <c r="BE1099" i="8" s="1"/>
  <c r="BD1100" i="8"/>
  <c r="BE1100" i="8" s="1"/>
  <c r="BD1101" i="8"/>
  <c r="BE1101" i="8" s="1"/>
  <c r="BD1102" i="8"/>
  <c r="BE1102" i="8" s="1"/>
  <c r="BD1103" i="8"/>
  <c r="BE1103" i="8" s="1"/>
  <c r="BD1104" i="8"/>
  <c r="BE1104" i="8" s="1"/>
  <c r="BD1105" i="8"/>
  <c r="BE1105" i="8" s="1"/>
  <c r="BD1106" i="8"/>
  <c r="BE1106" i="8" s="1"/>
  <c r="BD1107" i="8"/>
  <c r="BE1107" i="8" s="1"/>
  <c r="BD1108" i="8"/>
  <c r="BE1108" i="8" s="1"/>
  <c r="BD1109" i="8"/>
  <c r="BE1109" i="8" s="1"/>
  <c r="BD1110" i="8"/>
  <c r="BE1110" i="8" s="1"/>
  <c r="BD1111" i="8"/>
  <c r="BE1111" i="8" s="1"/>
  <c r="BD1112" i="8"/>
  <c r="BE1112" i="8" s="1"/>
  <c r="BD1113" i="8"/>
  <c r="BE1113" i="8" s="1"/>
  <c r="BD1114" i="8"/>
  <c r="BE1114" i="8" s="1"/>
  <c r="BD1115" i="8"/>
  <c r="BE1115" i="8" s="1"/>
  <c r="BD1116" i="8"/>
  <c r="BE1116" i="8" s="1"/>
  <c r="BD1117" i="8"/>
  <c r="BE1117" i="8" s="1"/>
  <c r="BD1118" i="8"/>
  <c r="BE1118" i="8" s="1"/>
  <c r="BD1119" i="8"/>
  <c r="BE1119" i="8" s="1"/>
  <c r="BD1120" i="8"/>
  <c r="BE1120" i="8" s="1"/>
  <c r="BD1121" i="8"/>
  <c r="BE1121" i="8" s="1"/>
  <c r="BD1122" i="8"/>
  <c r="BE1122" i="8" s="1"/>
  <c r="BD1123" i="8"/>
  <c r="BE1123" i="8" s="1"/>
  <c r="BD1124" i="8"/>
  <c r="BE1124" i="8" s="1"/>
  <c r="BD1125" i="8"/>
  <c r="BE1125" i="8" s="1"/>
  <c r="BD1126" i="8"/>
  <c r="BE1126" i="8" s="1"/>
  <c r="BD1127" i="8"/>
  <c r="BE1127" i="8" s="1"/>
  <c r="BD1128" i="8"/>
  <c r="BE1128" i="8" s="1"/>
  <c r="BD1129" i="8"/>
  <c r="BE1129" i="8" s="1"/>
  <c r="BD1130" i="8"/>
  <c r="BE1130" i="8" s="1"/>
  <c r="BD1131" i="8"/>
  <c r="BE1131" i="8" s="1"/>
  <c r="BD1132" i="8"/>
  <c r="BE1132" i="8" s="1"/>
  <c r="BD1133" i="8"/>
  <c r="BE1133" i="8" s="1"/>
  <c r="BD1134" i="8"/>
  <c r="BE1134" i="8" s="1"/>
  <c r="BD1135" i="8"/>
  <c r="BE1135" i="8" s="1"/>
  <c r="BD1136" i="8"/>
  <c r="BE1136" i="8" s="1"/>
  <c r="BD1137" i="8"/>
  <c r="BE1137" i="8" s="1"/>
  <c r="BD1138" i="8"/>
  <c r="BE1138" i="8" s="1"/>
  <c r="BD1139" i="8"/>
  <c r="BE1139" i="8" s="1"/>
  <c r="BD1140" i="8"/>
  <c r="BE1140" i="8" s="1"/>
  <c r="BD1141" i="8"/>
  <c r="BE1141" i="8" s="1"/>
  <c r="BD1142" i="8"/>
  <c r="BE1142" i="8" s="1"/>
  <c r="BD1143" i="8"/>
  <c r="BE1143" i="8" s="1"/>
  <c r="BD1144" i="8"/>
  <c r="BE1144" i="8" s="1"/>
  <c r="BD1145" i="8"/>
  <c r="BE1145" i="8" s="1"/>
  <c r="BD1146" i="8"/>
  <c r="BE1146" i="8" s="1"/>
  <c r="BD1147" i="8"/>
  <c r="BE1147" i="8" s="1"/>
  <c r="BD1148" i="8"/>
  <c r="BE1148" i="8" s="1"/>
  <c r="BD1149" i="8"/>
  <c r="BE1149" i="8" s="1"/>
  <c r="BD1150" i="8"/>
  <c r="BE1150" i="8" s="1"/>
  <c r="BD1151" i="8"/>
  <c r="BE1151" i="8" s="1"/>
  <c r="BD1152" i="8"/>
  <c r="BE1152" i="8" s="1"/>
  <c r="BD1153" i="8"/>
  <c r="BE1153" i="8" s="1"/>
  <c r="BD1154" i="8"/>
  <c r="BE1154" i="8" s="1"/>
  <c r="BD1155" i="8"/>
  <c r="BE1155" i="8" s="1"/>
  <c r="BD1156" i="8"/>
  <c r="BE1156" i="8" s="1"/>
  <c r="BD1157" i="8"/>
  <c r="BE1157" i="8" s="1"/>
  <c r="BD1158" i="8"/>
  <c r="BE1158" i="8" s="1"/>
  <c r="BD1159" i="8"/>
  <c r="BE1159" i="8" s="1"/>
  <c r="BD1160" i="8"/>
  <c r="BE1160" i="8" s="1"/>
  <c r="BD1161" i="8"/>
  <c r="BE1161" i="8" s="1"/>
  <c r="BD1162" i="8"/>
  <c r="BE1162" i="8" s="1"/>
  <c r="BD1163" i="8"/>
  <c r="BE1163" i="8" s="1"/>
  <c r="BD1164" i="8"/>
  <c r="BE1164" i="8" s="1"/>
  <c r="BD1165" i="8"/>
  <c r="BE1165" i="8" s="1"/>
  <c r="BD1166" i="8"/>
  <c r="BE1166" i="8" s="1"/>
  <c r="BD1167" i="8"/>
  <c r="BE1167" i="8" s="1"/>
  <c r="BD1168" i="8"/>
  <c r="BE1168" i="8" s="1"/>
  <c r="BD1169" i="8"/>
  <c r="BE1169" i="8" s="1"/>
  <c r="BD1170" i="8"/>
  <c r="BE1170" i="8" s="1"/>
  <c r="BD1171" i="8"/>
  <c r="BE1171" i="8" s="1"/>
  <c r="BD1172" i="8"/>
  <c r="BE1172" i="8" s="1"/>
  <c r="BD1173" i="8"/>
  <c r="BE1173" i="8" s="1"/>
  <c r="BD1174" i="8"/>
  <c r="BE1174" i="8" s="1"/>
  <c r="BD1175" i="8"/>
  <c r="BE1175" i="8" s="1"/>
  <c r="BD1176" i="8"/>
  <c r="BE1176" i="8" s="1"/>
  <c r="BD1177" i="8"/>
  <c r="BE1177" i="8" s="1"/>
  <c r="BD1178" i="8"/>
  <c r="BE1178" i="8" s="1"/>
  <c r="BD1179" i="8"/>
  <c r="BE1179" i="8" s="1"/>
  <c r="BD1180" i="8"/>
  <c r="BE1180" i="8" s="1"/>
  <c r="BD1181" i="8"/>
  <c r="BE1181" i="8" s="1"/>
  <c r="BD1182" i="8"/>
  <c r="BE1182" i="8" s="1"/>
  <c r="BD1183" i="8"/>
  <c r="BE1183" i="8" s="1"/>
  <c r="BD1184" i="8"/>
  <c r="BE1184" i="8" s="1"/>
  <c r="BD1185" i="8"/>
  <c r="BE1185" i="8" s="1"/>
  <c r="BD1186" i="8"/>
  <c r="BE1186" i="8" s="1"/>
  <c r="BD1187" i="8"/>
  <c r="BE1187" i="8" s="1"/>
  <c r="BD1188" i="8"/>
  <c r="BE1188" i="8" s="1"/>
  <c r="BD1189" i="8"/>
  <c r="BE1189" i="8" s="1"/>
  <c r="BD1190" i="8"/>
  <c r="BE1190" i="8" s="1"/>
  <c r="BD1191" i="8"/>
  <c r="BE1191" i="8" s="1"/>
  <c r="BD1192" i="8"/>
  <c r="BE1192" i="8" s="1"/>
  <c r="BD1193" i="8"/>
  <c r="BE1193" i="8" s="1"/>
  <c r="BD1194" i="8"/>
  <c r="BE1194" i="8" s="1"/>
  <c r="BD1195" i="8"/>
  <c r="BE1195" i="8" s="1"/>
  <c r="BD1196" i="8"/>
  <c r="BE1196" i="8" s="1"/>
  <c r="BD1197" i="8"/>
  <c r="BE1197" i="8" s="1"/>
  <c r="BD1198" i="8"/>
  <c r="BE1198" i="8" s="1"/>
  <c r="BD1199" i="8"/>
  <c r="BE1199" i="8" s="1"/>
  <c r="BD1200" i="8"/>
  <c r="BE1200" i="8" s="1"/>
  <c r="BD1201" i="8"/>
  <c r="BE1201" i="8" s="1"/>
  <c r="BD1202" i="8"/>
  <c r="BE1202" i="8" s="1"/>
  <c r="BD1203" i="8"/>
  <c r="BE1203" i="8" s="1"/>
  <c r="BD1204" i="8"/>
  <c r="BE1204" i="8" s="1"/>
  <c r="BD1205" i="8"/>
  <c r="BE1205" i="8" s="1"/>
  <c r="BD1206" i="8"/>
  <c r="BE1206" i="8" s="1"/>
  <c r="BD1207" i="8"/>
  <c r="BE1207" i="8" s="1"/>
  <c r="BD1208" i="8"/>
  <c r="BE1208" i="8" s="1"/>
  <c r="BD1209" i="8"/>
  <c r="BE1209" i="8" s="1"/>
  <c r="BD1210" i="8"/>
  <c r="BE1210" i="8" s="1"/>
  <c r="BD1211" i="8"/>
  <c r="BE1211" i="8" s="1"/>
  <c r="BD1212" i="8"/>
  <c r="BE1212" i="8" s="1"/>
  <c r="BD1213" i="8"/>
  <c r="BE1213" i="8" s="1"/>
  <c r="BD1214" i="8"/>
  <c r="BE1214" i="8" s="1"/>
  <c r="BD1215" i="8"/>
  <c r="BE1215" i="8" s="1"/>
  <c r="BD1216" i="8"/>
  <c r="BE1216" i="8" s="1"/>
  <c r="BD1217" i="8"/>
  <c r="BE1217" i="8" s="1"/>
  <c r="BD1218" i="8"/>
  <c r="BE1218" i="8" s="1"/>
  <c r="BD1219" i="8"/>
  <c r="BE1219" i="8" s="1"/>
  <c r="BD1220" i="8"/>
  <c r="BE1220" i="8" s="1"/>
  <c r="BD1221" i="8"/>
  <c r="BE1221" i="8" s="1"/>
  <c r="BD1222" i="8"/>
  <c r="BE1222" i="8" s="1"/>
  <c r="BD1223" i="8"/>
  <c r="BE1223" i="8" s="1"/>
  <c r="BD1224" i="8"/>
  <c r="BE1224" i="8" s="1"/>
  <c r="BD1225" i="8"/>
  <c r="BE1225" i="8" s="1"/>
  <c r="BD1226" i="8"/>
  <c r="BE1226" i="8" s="1"/>
  <c r="BD1227" i="8"/>
  <c r="BE1227" i="8" s="1"/>
  <c r="BD1228" i="8"/>
  <c r="BE1228" i="8" s="1"/>
  <c r="BD1229" i="8"/>
  <c r="BE1229" i="8" s="1"/>
  <c r="BD1230" i="8"/>
  <c r="BE1230" i="8" s="1"/>
  <c r="BD1231" i="8"/>
  <c r="BE1231" i="8" s="1"/>
  <c r="BD1232" i="8"/>
  <c r="BE1232" i="8" s="1"/>
  <c r="BD1233" i="8"/>
  <c r="BE1233" i="8" s="1"/>
  <c r="BD1234" i="8"/>
  <c r="BE1234" i="8" s="1"/>
  <c r="BD1235" i="8"/>
  <c r="BE1235" i="8" s="1"/>
  <c r="BD1236" i="8"/>
  <c r="BE1236" i="8" s="1"/>
  <c r="BD1237" i="8"/>
  <c r="BE1237" i="8" s="1"/>
  <c r="BD1238" i="8"/>
  <c r="BE1238" i="8" s="1"/>
  <c r="BD1239" i="8"/>
  <c r="BE1239" i="8" s="1"/>
  <c r="BD1240" i="8"/>
  <c r="BE1240" i="8" s="1"/>
  <c r="BD1241" i="8"/>
  <c r="BE1241" i="8" s="1"/>
  <c r="BD1242" i="8"/>
  <c r="BE1242" i="8" s="1"/>
  <c r="BD1243" i="8"/>
  <c r="BE1243" i="8" s="1"/>
  <c r="BD1244" i="8"/>
  <c r="BE1244" i="8" s="1"/>
  <c r="BD1245" i="8"/>
  <c r="BE1245" i="8" s="1"/>
  <c r="BD1246" i="8"/>
  <c r="BE1246" i="8" s="1"/>
  <c r="BD1247" i="8"/>
  <c r="BE1247" i="8" s="1"/>
  <c r="BD1248" i="8"/>
  <c r="BE1248" i="8" s="1"/>
  <c r="BD1249" i="8"/>
  <c r="BE1249" i="8" s="1"/>
  <c r="BD1250" i="8"/>
  <c r="BE1250" i="8" s="1"/>
  <c r="BD1281" i="8"/>
  <c r="BE1281" i="8" s="1"/>
  <c r="BD1282" i="8"/>
  <c r="BE1282" i="8" s="1"/>
  <c r="BD1283" i="8"/>
  <c r="BE1283" i="8" s="1"/>
  <c r="BD1284" i="8"/>
  <c r="BE1284" i="8" s="1"/>
  <c r="BD1285" i="8"/>
  <c r="BE1285" i="8" s="1"/>
  <c r="BD1286" i="8"/>
  <c r="BE1286" i="8" s="1"/>
  <c r="BD1287" i="8"/>
  <c r="BE1287" i="8" s="1"/>
  <c r="BD1288" i="8"/>
  <c r="BE1288" i="8" s="1"/>
  <c r="BD1289" i="8"/>
  <c r="BE1289" i="8" s="1"/>
  <c r="BD1290" i="8"/>
  <c r="BE1290" i="8" s="1"/>
  <c r="BD1291" i="8"/>
  <c r="BE1291" i="8" s="1"/>
  <c r="BD1292" i="8"/>
  <c r="BE1292" i="8" s="1"/>
  <c r="BD1293" i="8"/>
  <c r="BE1293" i="8" s="1"/>
  <c r="BD1294" i="8"/>
  <c r="BE1294" i="8" s="1"/>
  <c r="BD1295" i="8"/>
  <c r="BE1295" i="8" s="1"/>
  <c r="BD1296" i="8"/>
  <c r="BE1296" i="8" s="1"/>
  <c r="BD1297" i="8"/>
  <c r="BE1297" i="8" s="1"/>
  <c r="BD1298" i="8"/>
  <c r="BE1298" i="8" s="1"/>
  <c r="BD1299" i="8"/>
  <c r="BE1299" i="8" s="1"/>
  <c r="BD1300" i="8"/>
  <c r="BE1300" i="8" s="1"/>
  <c r="BD1301" i="8"/>
  <c r="BE1301" i="8" s="1"/>
  <c r="BD1302" i="8"/>
  <c r="BE1302" i="8" s="1"/>
  <c r="BD1303" i="8"/>
  <c r="BE1303" i="8" s="1"/>
  <c r="BD1304" i="8"/>
  <c r="BE1304" i="8" s="1"/>
  <c r="BD1305" i="8"/>
  <c r="BE1305" i="8" s="1"/>
  <c r="BD1306" i="8"/>
  <c r="BE1306" i="8" s="1"/>
  <c r="BD1307" i="8"/>
  <c r="BE1307" i="8" s="1"/>
  <c r="BD1308" i="8"/>
  <c r="BE1308" i="8" s="1"/>
  <c r="BD1309" i="8"/>
  <c r="BE1309" i="8" s="1"/>
  <c r="BD1310" i="8"/>
  <c r="BE1310" i="8" s="1"/>
  <c r="BD1311" i="8"/>
  <c r="BE1311" i="8" s="1"/>
  <c r="BD1312" i="8"/>
  <c r="BE1312" i="8" s="1"/>
  <c r="BD1313" i="8"/>
  <c r="BE1313" i="8" s="1"/>
  <c r="BD1314" i="8"/>
  <c r="BE1314" i="8" s="1"/>
  <c r="BD1315" i="8"/>
  <c r="BE1315" i="8" s="1"/>
  <c r="BD1316" i="8"/>
  <c r="BE1316" i="8" s="1"/>
  <c r="BD1317" i="8"/>
  <c r="BE1317" i="8" s="1"/>
  <c r="BD1318" i="8"/>
  <c r="BE1318" i="8" s="1"/>
  <c r="BD1319" i="8"/>
  <c r="BE1319" i="8" s="1"/>
  <c r="BD1320" i="8"/>
  <c r="BE1320" i="8" s="1"/>
  <c r="BD1321" i="8"/>
  <c r="BE1321" i="8" s="1"/>
  <c r="BD1322" i="8"/>
  <c r="BE1322" i="8" s="1"/>
  <c r="BD1323" i="8"/>
  <c r="BE1323" i="8" s="1"/>
  <c r="BD1324" i="8"/>
  <c r="BE1324" i="8" s="1"/>
  <c r="BD1325" i="8"/>
  <c r="BE1325" i="8" s="1"/>
  <c r="BD1326" i="8"/>
  <c r="BE1326" i="8" s="1"/>
  <c r="BD1327" i="8"/>
  <c r="BE1327" i="8" s="1"/>
  <c r="BD1328" i="8"/>
  <c r="BE1328" i="8" s="1"/>
  <c r="BD1329" i="8"/>
  <c r="BE1329" i="8" s="1"/>
  <c r="BD1330" i="8"/>
  <c r="BE1330" i="8" s="1"/>
  <c r="BD1331" i="8"/>
  <c r="BE1331" i="8" s="1"/>
  <c r="BD1332" i="8"/>
  <c r="BE1332" i="8" s="1"/>
  <c r="BD1333" i="8"/>
  <c r="BE1333" i="8" s="1"/>
  <c r="BD1334" i="8"/>
  <c r="BE1334" i="8" s="1"/>
  <c r="BD1335" i="8"/>
  <c r="BE1335" i="8" s="1"/>
  <c r="BD1336" i="8"/>
  <c r="BE1336" i="8" s="1"/>
  <c r="BD1337" i="8"/>
  <c r="BE1337" i="8" s="1"/>
  <c r="BD1338" i="8"/>
  <c r="BE1338" i="8" s="1"/>
  <c r="BD1339" i="8"/>
  <c r="BE1339" i="8" s="1"/>
  <c r="BD1340" i="8"/>
  <c r="BE1340" i="8" s="1"/>
  <c r="BD1341" i="8"/>
  <c r="BE1341" i="8" s="1"/>
  <c r="BD1342" i="8"/>
  <c r="BE1342" i="8" s="1"/>
  <c r="BD1343" i="8"/>
  <c r="BE1343" i="8" s="1"/>
  <c r="BD1344" i="8"/>
  <c r="BE1344" i="8" s="1"/>
  <c r="BD1345" i="8"/>
  <c r="BE1345" i="8" s="1"/>
  <c r="BD1346" i="8"/>
  <c r="BE1346" i="8" s="1"/>
  <c r="BD1347" i="8"/>
  <c r="BE1347" i="8" s="1"/>
  <c r="BD1348" i="8"/>
  <c r="BE1348" i="8" s="1"/>
  <c r="BD1349" i="8"/>
  <c r="BE1349" i="8" s="1"/>
  <c r="BD1350" i="8"/>
  <c r="BE1350" i="8" s="1"/>
  <c r="BD1351" i="8"/>
  <c r="BE1351" i="8" s="1"/>
  <c r="BD1352" i="8"/>
  <c r="BE1352" i="8" s="1"/>
  <c r="BD1353" i="8"/>
  <c r="BE1353" i="8" s="1"/>
  <c r="BD1354" i="8"/>
  <c r="BE1354" i="8" s="1"/>
  <c r="BD1355" i="8"/>
  <c r="BE1355" i="8" s="1"/>
  <c r="BD1356" i="8"/>
  <c r="BE1356" i="8" s="1"/>
  <c r="BD1357" i="8"/>
  <c r="BE1357" i="8" s="1"/>
  <c r="BD1358" i="8"/>
  <c r="BE1358" i="8" s="1"/>
  <c r="BD1359" i="8"/>
  <c r="BE1359" i="8" s="1"/>
  <c r="BD1360" i="8"/>
  <c r="BE1360" i="8" s="1"/>
  <c r="BD1361" i="8"/>
  <c r="BE1361" i="8" s="1"/>
  <c r="BD1362" i="8"/>
  <c r="BE1362" i="8" s="1"/>
  <c r="BD1363" i="8"/>
  <c r="BE1363" i="8" s="1"/>
  <c r="BD1364" i="8"/>
  <c r="BE1364" i="8" s="1"/>
  <c r="BD1365" i="8"/>
  <c r="BE1365" i="8" s="1"/>
  <c r="BD1366" i="8"/>
  <c r="BE1366" i="8" s="1"/>
  <c r="BD1367" i="8"/>
  <c r="BE1367" i="8" s="1"/>
  <c r="BD1368" i="8"/>
  <c r="BE1368" i="8" s="1"/>
  <c r="BD1369" i="8"/>
  <c r="BE1369" i="8" s="1"/>
  <c r="BD1370" i="8"/>
  <c r="BE1370" i="8" s="1"/>
  <c r="BD1371" i="8"/>
  <c r="BE1371" i="8" s="1"/>
  <c r="BD1372" i="8"/>
  <c r="BE1372" i="8" s="1"/>
  <c r="BD1373" i="8"/>
  <c r="BE1373" i="8" s="1"/>
  <c r="BD1374" i="8"/>
  <c r="BE1374" i="8" s="1"/>
  <c r="BD1375" i="8"/>
  <c r="BE1375" i="8" s="1"/>
  <c r="BD1376" i="8"/>
  <c r="BE1376" i="8" s="1"/>
  <c r="BD1377" i="8"/>
  <c r="BE1377" i="8" s="1"/>
  <c r="BD1378" i="8"/>
  <c r="BE1378" i="8" s="1"/>
  <c r="BD1379" i="8"/>
  <c r="BE1379" i="8" s="1"/>
  <c r="BD1380" i="8"/>
  <c r="BE1380" i="8" s="1"/>
  <c r="BD1381" i="8"/>
  <c r="BE1381" i="8" s="1"/>
  <c r="BD1382" i="8"/>
  <c r="BE1382" i="8" s="1"/>
  <c r="BD1383" i="8"/>
  <c r="BE1383" i="8" s="1"/>
  <c r="BD1384" i="8"/>
  <c r="BE1384" i="8" s="1"/>
  <c r="BD1385" i="8"/>
  <c r="BE1385" i="8" s="1"/>
  <c r="BD1386" i="8"/>
  <c r="BE1386" i="8" s="1"/>
  <c r="BD1387" i="8"/>
  <c r="BE1387" i="8" s="1"/>
  <c r="BD1388" i="8"/>
  <c r="BE1388" i="8" s="1"/>
  <c r="BD1389" i="8"/>
  <c r="BE1389" i="8" s="1"/>
  <c r="BD1390" i="8"/>
  <c r="BE1390" i="8" s="1"/>
  <c r="BD1391" i="8"/>
  <c r="BE1391" i="8" s="1"/>
  <c r="BD1392" i="8"/>
  <c r="BE1392" i="8" s="1"/>
  <c r="BD1393" i="8"/>
  <c r="BE1393" i="8" s="1"/>
  <c r="BD1394" i="8"/>
  <c r="BE1394" i="8" s="1"/>
  <c r="BD1395" i="8"/>
  <c r="BE1395" i="8" s="1"/>
  <c r="BD1396" i="8"/>
  <c r="BE1396" i="8" s="1"/>
  <c r="BD1397" i="8"/>
  <c r="BE1397" i="8" s="1"/>
  <c r="BD1398" i="8"/>
  <c r="BE1398" i="8" s="1"/>
  <c r="BD1399" i="8"/>
  <c r="BE1399" i="8" s="1"/>
  <c r="BD1400" i="8"/>
  <c r="BE1400" i="8" s="1"/>
  <c r="BD1401" i="8"/>
  <c r="BE1401" i="8" s="1"/>
  <c r="BD1402" i="8"/>
  <c r="BE1402" i="8" s="1"/>
  <c r="BD1403" i="8"/>
  <c r="BE1403" i="8" s="1"/>
  <c r="BD1404" i="8"/>
  <c r="BE1404" i="8" s="1"/>
  <c r="BD1405" i="8"/>
  <c r="BE1405" i="8" s="1"/>
  <c r="BD1406" i="8"/>
  <c r="BE1406" i="8" s="1"/>
  <c r="BD1407" i="8"/>
  <c r="BE1407" i="8" s="1"/>
  <c r="BD1408" i="8"/>
  <c r="BE1408" i="8" s="1"/>
  <c r="BD1409" i="8"/>
  <c r="BE1409" i="8" s="1"/>
  <c r="BD1410" i="8"/>
  <c r="BE1410" i="8" s="1"/>
  <c r="BD1411" i="8"/>
  <c r="BE1411" i="8" s="1"/>
  <c r="BD1412" i="8"/>
  <c r="BE1412" i="8" s="1"/>
  <c r="BD1413" i="8"/>
  <c r="BE1413" i="8" s="1"/>
  <c r="BD1414" i="8"/>
  <c r="BE1414" i="8" s="1"/>
  <c r="BD1415" i="8"/>
  <c r="BE1415" i="8" s="1"/>
  <c r="BD1416" i="8"/>
  <c r="BE1416" i="8" s="1"/>
  <c r="BD1417" i="8"/>
  <c r="BE1417" i="8" s="1"/>
  <c r="BD1418" i="8"/>
  <c r="BE1418" i="8" s="1"/>
  <c r="BD1419" i="8"/>
  <c r="BE1419" i="8" s="1"/>
  <c r="BD1420" i="8"/>
  <c r="BE1420" i="8" s="1"/>
  <c r="BD1421" i="8"/>
  <c r="BE1421" i="8" s="1"/>
  <c r="BD1422" i="8"/>
  <c r="BE1422" i="8" s="1"/>
  <c r="BD1423" i="8"/>
  <c r="BE1423" i="8" s="1"/>
  <c r="BD1424" i="8"/>
  <c r="BE1424" i="8" s="1"/>
  <c r="BD1425" i="8"/>
  <c r="BE1425" i="8" s="1"/>
  <c r="BD1426" i="8"/>
  <c r="BE1426" i="8" s="1"/>
  <c r="BD1427" i="8"/>
  <c r="BE1427" i="8" s="1"/>
  <c r="BD1428" i="8"/>
  <c r="BE1428" i="8" s="1"/>
  <c r="BD1429" i="8"/>
  <c r="BE1429" i="8" s="1"/>
  <c r="BD1430" i="8"/>
  <c r="BE1430" i="8" s="1"/>
  <c r="BD1431" i="8"/>
  <c r="BE1431" i="8" s="1"/>
  <c r="BD1432" i="8"/>
  <c r="BE1432" i="8" s="1"/>
  <c r="BD1433" i="8"/>
  <c r="BE1433" i="8" s="1"/>
  <c r="BD1434" i="8"/>
  <c r="BE1434" i="8" s="1"/>
  <c r="BD1435" i="8"/>
  <c r="BE1435" i="8" s="1"/>
  <c r="BD1436" i="8"/>
  <c r="BE1436" i="8" s="1"/>
  <c r="BD1437" i="8"/>
  <c r="BE1437" i="8" s="1"/>
  <c r="BD1438" i="8"/>
  <c r="BE1438" i="8" s="1"/>
  <c r="BD1439" i="8"/>
  <c r="BE1439" i="8" s="1"/>
  <c r="BD1440" i="8"/>
  <c r="BE1440" i="8" s="1"/>
  <c r="BD1441" i="8"/>
  <c r="BE1441" i="8" s="1"/>
  <c r="BD1442" i="8"/>
  <c r="BE1442" i="8" s="1"/>
  <c r="BD1443" i="8"/>
  <c r="BE1443" i="8" s="1"/>
  <c r="BD1444" i="8"/>
  <c r="BE1444" i="8" s="1"/>
  <c r="BD1445" i="8"/>
  <c r="BE1445" i="8" s="1"/>
  <c r="BD1446" i="8"/>
  <c r="BE1446" i="8" s="1"/>
  <c r="BD1447" i="8"/>
  <c r="BE1447" i="8" s="1"/>
  <c r="BD1448" i="8"/>
  <c r="BE1448" i="8" s="1"/>
  <c r="BD1449" i="8"/>
  <c r="BE1449" i="8" s="1"/>
  <c r="BD1450" i="8"/>
  <c r="BE1450" i="8" s="1"/>
  <c r="BD1451" i="8"/>
  <c r="BE1451" i="8" s="1"/>
  <c r="BD1452" i="8"/>
  <c r="BE1452" i="8" s="1"/>
  <c r="BD1453" i="8"/>
  <c r="BE1453" i="8" s="1"/>
  <c r="BD1454" i="8"/>
  <c r="BE1454" i="8" s="1"/>
  <c r="BD1455" i="8"/>
  <c r="BE1455" i="8" s="1"/>
  <c r="BD1456" i="8"/>
  <c r="BE1456" i="8" s="1"/>
  <c r="BD1457" i="8"/>
  <c r="BE1457" i="8" s="1"/>
  <c r="BD1458" i="8"/>
  <c r="BE1458" i="8" s="1"/>
  <c r="BD1459" i="8"/>
  <c r="BE1459" i="8" s="1"/>
  <c r="BD1460" i="8"/>
  <c r="BE1460" i="8" s="1"/>
  <c r="BD1461" i="8"/>
  <c r="BE1461" i="8" s="1"/>
  <c r="BD1462" i="8"/>
  <c r="BE1462" i="8" s="1"/>
  <c r="BD1463" i="8"/>
  <c r="BE1463" i="8" s="1"/>
  <c r="BD1464" i="8"/>
  <c r="BE1464" i="8" s="1"/>
  <c r="BD1465" i="8"/>
  <c r="BE1465" i="8" s="1"/>
  <c r="BD1466" i="8"/>
  <c r="BE1466" i="8" s="1"/>
  <c r="BD1467" i="8"/>
  <c r="BE1467" i="8" s="1"/>
  <c r="BD1468" i="8"/>
  <c r="BE1468" i="8" s="1"/>
  <c r="BD1469" i="8"/>
  <c r="BE1469" i="8" s="1"/>
  <c r="BD1470" i="8"/>
  <c r="BE1470" i="8" s="1"/>
  <c r="BD1471" i="8"/>
  <c r="BE1471" i="8" s="1"/>
  <c r="BD1472" i="8"/>
  <c r="BE1472" i="8" s="1"/>
  <c r="BD1473" i="8"/>
  <c r="BE1473" i="8" s="1"/>
  <c r="BD1474" i="8"/>
  <c r="BE1474" i="8" s="1"/>
  <c r="BD1475" i="8"/>
  <c r="BE1475" i="8" s="1"/>
  <c r="BD1476" i="8"/>
  <c r="BE1476" i="8" s="1"/>
  <c r="BD1477" i="8"/>
  <c r="BE1477" i="8" s="1"/>
  <c r="BD1478" i="8"/>
  <c r="BE1478" i="8" s="1"/>
  <c r="BD1479" i="8"/>
  <c r="BE1479" i="8" s="1"/>
  <c r="BD1480" i="8"/>
  <c r="BE1480" i="8" s="1"/>
  <c r="BD1481" i="8"/>
  <c r="BE1481" i="8" s="1"/>
  <c r="BD1482" i="8"/>
  <c r="BE1482" i="8" s="1"/>
  <c r="BD1483" i="8"/>
  <c r="BE1483" i="8" s="1"/>
  <c r="BD1484" i="8"/>
  <c r="BE1484" i="8" s="1"/>
  <c r="BD1485" i="8"/>
  <c r="BE1485" i="8" s="1"/>
  <c r="BD1486" i="8"/>
  <c r="BE1486" i="8" s="1"/>
  <c r="BD1487" i="8"/>
  <c r="BE1487" i="8" s="1"/>
  <c r="BD1488" i="8"/>
  <c r="BE1488" i="8" s="1"/>
  <c r="BD1489" i="8"/>
  <c r="BE1489" i="8" s="1"/>
  <c r="BD1490" i="8"/>
  <c r="BE1490" i="8" s="1"/>
  <c r="BD1491" i="8"/>
  <c r="BE1491" i="8" s="1"/>
  <c r="BD1492" i="8"/>
  <c r="BE1492" i="8" s="1"/>
  <c r="BD1493" i="8"/>
  <c r="BE1493" i="8" s="1"/>
  <c r="BD1494" i="8"/>
  <c r="BE1494" i="8" s="1"/>
  <c r="BD1495" i="8"/>
  <c r="BE1495" i="8" s="1"/>
  <c r="BD1496" i="8"/>
  <c r="BE1496" i="8" s="1"/>
  <c r="BD1497" i="8"/>
  <c r="BE1497" i="8" s="1"/>
  <c r="BD1498" i="8"/>
  <c r="BE1498" i="8" s="1"/>
  <c r="BD1499" i="8"/>
  <c r="BE1499" i="8" s="1"/>
  <c r="BD1500" i="8"/>
  <c r="BE1500" i="8" s="1"/>
  <c r="BD1501" i="8"/>
  <c r="BE1501" i="8" s="1"/>
  <c r="BD1502" i="8"/>
  <c r="BE1502" i="8" s="1"/>
  <c r="BD1503" i="8"/>
  <c r="BE1503" i="8" s="1"/>
  <c r="BD1504" i="8"/>
  <c r="BE1504" i="8" s="1"/>
  <c r="BD1505" i="8"/>
  <c r="BE1505" i="8" s="1"/>
  <c r="BD1506" i="8"/>
  <c r="BE1506" i="8" s="1"/>
  <c r="BD1507" i="8"/>
  <c r="BE1507" i="8" s="1"/>
  <c r="BD1508" i="8"/>
  <c r="BE1508" i="8" s="1"/>
  <c r="BD1509" i="8"/>
  <c r="BE1509" i="8" s="1"/>
  <c r="BD1510" i="8"/>
  <c r="BE1510" i="8" s="1"/>
  <c r="BD1511" i="8"/>
  <c r="BE1511" i="8" s="1"/>
  <c r="BD1512" i="8"/>
  <c r="BE1512" i="8" s="1"/>
  <c r="BD1513" i="8"/>
  <c r="BE1513" i="8" s="1"/>
  <c r="BD1514" i="8"/>
  <c r="BE1514" i="8" s="1"/>
  <c r="BD1515" i="8"/>
  <c r="BE1515" i="8" s="1"/>
  <c r="BD1516" i="8"/>
  <c r="BE1516" i="8" s="1"/>
  <c r="BD1517" i="8"/>
  <c r="BE1517" i="8" s="1"/>
  <c r="BD1518" i="8"/>
  <c r="BE1518" i="8" s="1"/>
  <c r="BD1519" i="8"/>
  <c r="BE1519" i="8" s="1"/>
  <c r="BD1520" i="8"/>
  <c r="BE1520" i="8" s="1"/>
  <c r="BD1521" i="8"/>
  <c r="BE1521" i="8" s="1"/>
  <c r="BD1522" i="8"/>
  <c r="BE1522" i="8" s="1"/>
  <c r="BD1523" i="8"/>
  <c r="BE1523" i="8" s="1"/>
  <c r="BD1524" i="8"/>
  <c r="BE1524" i="8" s="1"/>
  <c r="BD1525" i="8"/>
  <c r="BE1525" i="8" s="1"/>
  <c r="BD1526" i="8"/>
  <c r="BE1526" i="8" s="1"/>
  <c r="BD1527" i="8"/>
  <c r="BE1527" i="8" s="1"/>
  <c r="BD1528" i="8"/>
  <c r="BE1528" i="8" s="1"/>
  <c r="BD1529" i="8"/>
  <c r="BE1529" i="8" s="1"/>
  <c r="BD1530" i="8"/>
  <c r="BE1530" i="8" s="1"/>
  <c r="BD1531" i="8"/>
  <c r="BE1531" i="8" s="1"/>
  <c r="BD1532" i="8"/>
  <c r="BE1532" i="8" s="1"/>
  <c r="BD1533" i="8"/>
  <c r="BE1533" i="8" s="1"/>
  <c r="BD1534" i="8"/>
  <c r="BE1534" i="8" s="1"/>
  <c r="BD1535" i="8"/>
  <c r="BE1535" i="8" s="1"/>
  <c r="BD1536" i="8"/>
  <c r="BE1536" i="8" s="1"/>
  <c r="BD1537" i="8"/>
  <c r="BE1537" i="8" s="1"/>
  <c r="BD1538" i="8"/>
  <c r="BE1538" i="8" s="1"/>
  <c r="BD1539" i="8"/>
  <c r="BE1539" i="8" s="1"/>
  <c r="BD1540" i="8"/>
  <c r="BE1540" i="8" s="1"/>
  <c r="BD1541" i="8"/>
  <c r="BE1541" i="8" s="1"/>
  <c r="BD1542" i="8"/>
  <c r="BE1542" i="8" s="1"/>
  <c r="BD1543" i="8"/>
  <c r="BE1543" i="8" s="1"/>
  <c r="BD1544" i="8"/>
  <c r="BE1544" i="8" s="1"/>
  <c r="BD1545" i="8"/>
  <c r="BE1545" i="8" s="1"/>
  <c r="BD1546" i="8"/>
  <c r="BE1546" i="8" s="1"/>
  <c r="BD1547" i="8"/>
  <c r="BE1547" i="8" s="1"/>
  <c r="BD1548" i="8"/>
  <c r="BE1548" i="8" s="1"/>
  <c r="BD1549" i="8"/>
  <c r="BE1549" i="8" s="1"/>
  <c r="BD1550" i="8"/>
  <c r="BE1550" i="8" s="1"/>
  <c r="BD1551" i="8"/>
  <c r="BE1551" i="8" s="1"/>
  <c r="BD1552" i="8"/>
  <c r="BE1552" i="8" s="1"/>
  <c r="BD1553" i="8"/>
  <c r="BE1553" i="8" s="1"/>
  <c r="BD1554" i="8"/>
  <c r="BE1554" i="8" s="1"/>
  <c r="BD1555" i="8"/>
  <c r="BE1555" i="8" s="1"/>
  <c r="BD1556" i="8"/>
  <c r="BE1556" i="8" s="1"/>
  <c r="BD1557" i="8"/>
  <c r="BE1557" i="8" s="1"/>
  <c r="BD1558" i="8"/>
  <c r="BE1558" i="8" s="1"/>
  <c r="BD1559" i="8"/>
  <c r="BE1559" i="8" s="1"/>
  <c r="BD1560" i="8"/>
  <c r="BE1560" i="8" s="1"/>
  <c r="BD1561" i="8"/>
  <c r="BE1561" i="8" s="1"/>
  <c r="BD1562" i="8"/>
  <c r="BE1562" i="8" s="1"/>
  <c r="BD1563" i="8"/>
  <c r="BE1563" i="8" s="1"/>
  <c r="BD1564" i="8"/>
  <c r="BE1564" i="8" s="1"/>
  <c r="BD1565" i="8"/>
  <c r="BE1565" i="8" s="1"/>
  <c r="BD1566" i="8"/>
  <c r="BE1566" i="8" s="1"/>
  <c r="BD1567" i="8"/>
  <c r="BE1567" i="8" s="1"/>
  <c r="BD1568" i="8"/>
  <c r="BE1568" i="8" s="1"/>
  <c r="BD1569" i="8"/>
  <c r="BE1569" i="8" s="1"/>
  <c r="BD1570" i="8"/>
  <c r="BE1570" i="8" s="1"/>
  <c r="BD1571" i="8"/>
  <c r="BE1571" i="8" s="1"/>
  <c r="BD1572" i="8"/>
  <c r="BE1572" i="8" s="1"/>
  <c r="BD1573" i="8"/>
  <c r="BE1573" i="8" s="1"/>
  <c r="BD1574" i="8"/>
  <c r="BE1574" i="8" s="1"/>
  <c r="BD1575" i="8"/>
  <c r="BE1575" i="8" s="1"/>
  <c r="BD1576" i="8"/>
  <c r="BE1576" i="8" s="1"/>
  <c r="BD1577" i="8"/>
  <c r="BE1577" i="8" s="1"/>
  <c r="BD1578" i="8"/>
  <c r="BE1578" i="8" s="1"/>
  <c r="BD1579" i="8"/>
  <c r="BE1579" i="8" s="1"/>
  <c r="BD1580" i="8"/>
  <c r="BE1580" i="8" s="1"/>
  <c r="BD1581" i="8"/>
  <c r="BE1581" i="8" s="1"/>
  <c r="BD1582" i="8"/>
  <c r="BE1582" i="8" s="1"/>
  <c r="BD1583" i="8"/>
  <c r="BE1583" i="8" s="1"/>
  <c r="BD1584" i="8"/>
  <c r="BE1584" i="8" s="1"/>
  <c r="BD1585" i="8"/>
  <c r="BE1585" i="8" s="1"/>
  <c r="BD1586" i="8"/>
  <c r="BE1586" i="8" s="1"/>
  <c r="BD1587" i="8"/>
  <c r="BE1587" i="8" s="1"/>
  <c r="BD1588" i="8"/>
  <c r="BE1588" i="8" s="1"/>
  <c r="BD1589" i="8"/>
  <c r="BE1589" i="8" s="1"/>
  <c r="BD1590" i="8"/>
  <c r="BE1590" i="8" s="1"/>
  <c r="BD1591" i="8"/>
  <c r="BE1591" i="8" s="1"/>
  <c r="BD1592" i="8"/>
  <c r="BE1592" i="8" s="1"/>
  <c r="BD1593" i="8"/>
  <c r="BE1593" i="8" s="1"/>
  <c r="BD1594" i="8"/>
  <c r="BE1594" i="8" s="1"/>
  <c r="BD1595" i="8"/>
  <c r="BE1595" i="8" s="1"/>
  <c r="BD1596" i="8"/>
  <c r="BE1596" i="8" s="1"/>
  <c r="BD1597" i="8"/>
  <c r="BE1597" i="8" s="1"/>
  <c r="BD1598" i="8"/>
  <c r="BE1598" i="8" s="1"/>
  <c r="BD1599" i="8"/>
  <c r="BE1599" i="8" s="1"/>
  <c r="BD1600" i="8"/>
  <c r="BE1600" i="8" s="1"/>
  <c r="BD1601" i="8"/>
  <c r="BE1601" i="8" s="1"/>
  <c r="BD1602" i="8"/>
  <c r="BE1602" i="8" s="1"/>
  <c r="BD1603" i="8"/>
  <c r="BE1603" i="8" s="1"/>
  <c r="BD1604" i="8"/>
  <c r="BE1604" i="8" s="1"/>
  <c r="BD1605" i="8"/>
  <c r="BE1605" i="8" s="1"/>
  <c r="BD1606" i="8"/>
  <c r="BE1606" i="8" s="1"/>
  <c r="BD1607" i="8"/>
  <c r="BE1607" i="8" s="1"/>
  <c r="BD1608" i="8"/>
  <c r="BE1608" i="8" s="1"/>
  <c r="BD1609" i="8"/>
  <c r="BE1609" i="8" s="1"/>
  <c r="BD1610" i="8"/>
  <c r="BE1610" i="8" s="1"/>
  <c r="BD1611" i="8"/>
  <c r="BE1611" i="8" s="1"/>
  <c r="BD1612" i="8"/>
  <c r="BE1612" i="8" s="1"/>
  <c r="BD1613" i="8"/>
  <c r="BE1613" i="8" s="1"/>
  <c r="BD1614" i="8"/>
  <c r="BE1614" i="8" s="1"/>
  <c r="BD1615" i="8"/>
  <c r="BE1615" i="8" s="1"/>
  <c r="BD1616" i="8"/>
  <c r="BE1616" i="8" s="1"/>
  <c r="BD1617" i="8"/>
  <c r="BE1617" i="8" s="1"/>
  <c r="BD1618" i="8"/>
  <c r="BE1618" i="8" s="1"/>
  <c r="BD1619" i="8"/>
  <c r="BE1619" i="8" s="1"/>
  <c r="BD1620" i="8"/>
  <c r="BE1620" i="8" s="1"/>
  <c r="BD1621" i="8"/>
  <c r="BE1621" i="8" s="1"/>
  <c r="BD1622" i="8"/>
  <c r="BE1622" i="8" s="1"/>
  <c r="BD1623" i="8"/>
  <c r="BE1623" i="8" s="1"/>
  <c r="BD1624" i="8"/>
  <c r="BE1624" i="8" s="1"/>
  <c r="BD1625" i="8"/>
  <c r="BE1625" i="8" s="1"/>
  <c r="BD1626" i="8"/>
  <c r="BE1626" i="8" s="1"/>
  <c r="BD1627" i="8"/>
  <c r="BE1627" i="8" s="1"/>
  <c r="BD1628" i="8"/>
  <c r="BE1628" i="8" s="1"/>
  <c r="BD1629" i="8"/>
  <c r="BE1629" i="8" s="1"/>
  <c r="BD1630" i="8"/>
  <c r="BE1630" i="8" s="1"/>
  <c r="BD1631" i="8"/>
  <c r="BE1631" i="8" s="1"/>
  <c r="BD1632" i="8"/>
  <c r="BE1632" i="8" s="1"/>
  <c r="BD1633" i="8"/>
  <c r="BE1633" i="8" s="1"/>
  <c r="BD8" i="8"/>
  <c r="BE8" i="8" s="1"/>
  <c r="BD9" i="8"/>
  <c r="BE9" i="8" s="1"/>
  <c r="BD10" i="8"/>
  <c r="BE10" i="8" s="1"/>
  <c r="BD11" i="8"/>
  <c r="BE11" i="8" s="1"/>
  <c r="BD12" i="8"/>
  <c r="BE12" i="8" s="1"/>
  <c r="BD13" i="8"/>
  <c r="I17" i="1"/>
  <c r="I16" i="1"/>
  <c r="I34" i="1"/>
  <c r="F130" i="1"/>
  <c r="I38" i="2"/>
  <c r="H30" i="1" a="1"/>
  <c r="H30" i="1" s="1"/>
  <c r="Y175" i="2"/>
  <c r="Z175" i="2" s="1"/>
  <c r="B9" i="2"/>
  <c r="H31" i="1"/>
  <c r="Y190" i="2"/>
  <c r="Y189" i="2"/>
  <c r="Y188" i="2"/>
  <c r="Y187" i="2"/>
  <c r="Y186" i="2"/>
  <c r="Z186" i="2" s="1"/>
  <c r="I29" i="1"/>
  <c r="C226" i="8"/>
  <c r="C224" i="8"/>
  <c r="C223" i="8"/>
  <c r="C222" i="8"/>
  <c r="C220" i="8"/>
  <c r="C219" i="8"/>
  <c r="C218" i="8"/>
  <c r="C216" i="8"/>
  <c r="C215" i="8"/>
  <c r="C214" i="8"/>
  <c r="C212" i="8"/>
  <c r="C211" i="8"/>
  <c r="C210" i="8"/>
  <c r="C208" i="8"/>
  <c r="C207" i="8"/>
  <c r="C206" i="8"/>
  <c r="C204" i="8"/>
  <c r="C203" i="8"/>
  <c r="C202" i="8"/>
  <c r="C200" i="8"/>
  <c r="C199" i="8"/>
  <c r="C198" i="8"/>
  <c r="C196" i="8"/>
  <c r="C195" i="8"/>
  <c r="C194" i="8"/>
  <c r="C192" i="8"/>
  <c r="C191" i="8"/>
  <c r="C190"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542" i="8"/>
  <c r="C540" i="8"/>
  <c r="C539" i="8"/>
  <c r="C538" i="8"/>
  <c r="C536" i="8"/>
  <c r="C535" i="8"/>
  <c r="C534" i="8"/>
  <c r="C532" i="8"/>
  <c r="C531" i="8"/>
  <c r="C530" i="8"/>
  <c r="C528" i="8"/>
  <c r="C527" i="8"/>
  <c r="C526" i="8"/>
  <c r="C524" i="8"/>
  <c r="C523" i="8"/>
  <c r="C522" i="8"/>
  <c r="C520" i="8"/>
  <c r="C519" i="8"/>
  <c r="C510" i="8"/>
  <c r="C508" i="8"/>
  <c r="C507" i="8"/>
  <c r="C506" i="8"/>
  <c r="C504" i="8"/>
  <c r="C503" i="8"/>
  <c r="C502" i="8"/>
  <c r="C500" i="8"/>
  <c r="C499" i="8"/>
  <c r="C498" i="8"/>
  <c r="C496" i="8"/>
  <c r="C495" i="8"/>
  <c r="C494"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19" i="8"/>
  <c r="C418" i="8"/>
  <c r="C417" i="8"/>
  <c r="C416" i="8"/>
  <c r="C415" i="8"/>
  <c r="C414"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5" i="8"/>
  <c r="C344" i="8"/>
  <c r="C343" i="8"/>
  <c r="C342" i="8"/>
  <c r="C341" i="8"/>
  <c r="C340"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298" i="8"/>
  <c r="C297" i="8"/>
  <c r="C296" i="8"/>
  <c r="C295" i="8"/>
  <c r="C294" i="8"/>
  <c r="C293" i="8"/>
  <c r="C292" i="8"/>
  <c r="C291" i="8"/>
  <c r="C290" i="8"/>
  <c r="C289" i="8"/>
  <c r="C288" i="8"/>
  <c r="C287" i="8"/>
  <c r="C286" i="8"/>
  <c r="C285" i="8"/>
  <c r="C284" i="8"/>
  <c r="C283" i="8"/>
  <c r="C282" i="8"/>
  <c r="C281" i="8"/>
  <c r="C280" i="8"/>
  <c r="C279" i="8"/>
  <c r="C278" i="8"/>
  <c r="C277" i="8"/>
  <c r="C276" i="8"/>
  <c r="C275"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BE344" i="8" l="1"/>
  <c r="BE22" i="8"/>
  <c r="BE342" i="8"/>
  <c r="BE336" i="8"/>
  <c r="BE127" i="8"/>
  <c r="BE293" i="8"/>
  <c r="BE25" i="8"/>
  <c r="BE281" i="8"/>
  <c r="BE73" i="8"/>
  <c r="BE335" i="8"/>
  <c r="BE345" i="8"/>
  <c r="BE199" i="8"/>
  <c r="BE287" i="8"/>
  <c r="BE62" i="8"/>
  <c r="F29" i="2"/>
  <c r="BE13" i="8"/>
  <c r="I35" i="1"/>
  <c r="Z176" i="2"/>
  <c r="Z177" i="2"/>
  <c r="Z178" i="2"/>
  <c r="Z179" i="2"/>
  <c r="Z180" i="2"/>
  <c r="Z181" i="2"/>
  <c r="Z182" i="2"/>
  <c r="Z183" i="2"/>
  <c r="Z184" i="2"/>
  <c r="Z185" i="2"/>
  <c r="F785" i="1"/>
  <c r="F784" i="1"/>
  <c r="F783" i="1"/>
  <c r="F782" i="1"/>
  <c r="F781" i="1"/>
  <c r="BE7" i="8"/>
  <c r="BH1" i="8" s="1" a="1"/>
  <c r="BH1" i="8" s="1"/>
  <c r="BD5" i="8"/>
  <c r="BD6" i="8"/>
  <c r="Z187" i="2"/>
  <c r="Z188" i="2"/>
  <c r="Z189" i="2"/>
  <c r="Z190" i="2"/>
  <c r="M7" i="2" l="1" a="1"/>
  <c r="M7" i="2" s="1"/>
  <c r="M4" i="2" l="1"/>
  <c r="O17" i="15" s="1"/>
  <c r="Y1" i="2"/>
  <c r="A1" i="8" a="1"/>
  <c r="A1" i="8" s="1"/>
  <c r="C3" i="8" a="1"/>
  <c r="C3" i="8" s="1"/>
  <c r="O28" i="15" l="1"/>
  <c r="O29" i="15"/>
  <c r="O85" i="15"/>
  <c r="O86" i="15"/>
  <c r="O21" i="15"/>
  <c r="O22" i="15"/>
  <c r="O23" i="15"/>
  <c r="O84" i="15"/>
  <c r="R215" i="15"/>
  <c r="O215" i="15"/>
  <c r="M215" i="15"/>
  <c r="R214" i="15"/>
  <c r="O214" i="15"/>
  <c r="M214" i="15"/>
  <c r="R213" i="15"/>
  <c r="O213" i="15"/>
  <c r="M213" i="15"/>
  <c r="O19" i="15"/>
  <c r="O20" i="15"/>
  <c r="O260" i="15"/>
  <c r="O261" i="15"/>
  <c r="N46" i="15"/>
  <c r="O268" i="15"/>
  <c r="O264" i="15"/>
  <c r="P216" i="15"/>
  <c r="M216" i="15"/>
  <c r="P212" i="15"/>
  <c r="O317" i="15"/>
  <c r="O38" i="15"/>
  <c r="O39" i="15"/>
  <c r="O40" i="15"/>
  <c r="O36" i="15"/>
  <c r="O37" i="15"/>
  <c r="O35" i="15"/>
  <c r="O27" i="15"/>
  <c r="O26" i="15"/>
  <c r="O24" i="15"/>
  <c r="CK244" i="8"/>
  <c r="O255" i="15"/>
  <c r="O18" i="15"/>
  <c r="O254" i="15"/>
  <c r="M254" i="15"/>
  <c r="H17" i="2" a="1"/>
  <c r="H17" i="2" s="1"/>
  <c r="S179" i="15"/>
  <c r="O179" i="15"/>
  <c r="P179" i="15"/>
  <c r="Q179" i="15"/>
  <c r="P180" i="15"/>
  <c r="O315" i="15"/>
  <c r="O16" i="15"/>
  <c r="O25" i="15"/>
  <c r="O30" i="15"/>
  <c r="O31" i="15"/>
  <c r="O32" i="15"/>
  <c r="O33" i="15"/>
  <c r="O34" i="15"/>
  <c r="N44" i="15"/>
  <c r="N45" i="15"/>
  <c r="N47" i="15"/>
  <c r="N48" i="15"/>
  <c r="N49" i="15"/>
  <c r="N50" i="15"/>
  <c r="N51" i="15"/>
  <c r="N52" i="15"/>
  <c r="N53" i="15"/>
  <c r="N54" i="15"/>
  <c r="N55" i="15"/>
  <c r="N56" i="15"/>
  <c r="N57" i="15"/>
  <c r="N58" i="15"/>
  <c r="N59" i="15"/>
  <c r="N60" i="15"/>
  <c r="O61" i="15"/>
  <c r="O62" i="15"/>
  <c r="O63" i="15"/>
  <c r="N64" i="15"/>
  <c r="N65" i="15"/>
  <c r="N66" i="15"/>
  <c r="N67" i="15"/>
  <c r="N68" i="15"/>
  <c r="N69" i="15"/>
  <c r="N70" i="15"/>
  <c r="M77" i="15"/>
  <c r="M78" i="15"/>
  <c r="M79" i="15"/>
  <c r="M80" i="15"/>
  <c r="O83" i="15"/>
  <c r="O89" i="15"/>
  <c r="O90" i="15"/>
  <c r="O91" i="15"/>
  <c r="O92" i="15"/>
  <c r="O93" i="15"/>
  <c r="O94" i="15"/>
  <c r="O95" i="15"/>
  <c r="O96" i="15"/>
  <c r="O97" i="15"/>
  <c r="O98" i="15"/>
  <c r="O99" i="15"/>
  <c r="O100" i="15"/>
  <c r="O101" i="15"/>
  <c r="O102" i="15"/>
  <c r="O103" i="15"/>
  <c r="O104" i="15"/>
  <c r="O105" i="15"/>
  <c r="O108" i="15"/>
  <c r="O109" i="15"/>
  <c r="O110" i="15"/>
  <c r="O111" i="15"/>
  <c r="O112" i="15"/>
  <c r="O113" i="15"/>
  <c r="O114" i="15"/>
  <c r="O115" i="15"/>
  <c r="O116" i="15"/>
  <c r="O117" i="15"/>
  <c r="O118" i="15"/>
  <c r="O119" i="15"/>
  <c r="O120" i="15"/>
  <c r="O121" i="15"/>
  <c r="O122" i="15"/>
  <c r="O123" i="15"/>
  <c r="O124" i="15"/>
  <c r="O127" i="15"/>
  <c r="O128" i="15"/>
  <c r="O129" i="15"/>
  <c r="O130" i="15"/>
  <c r="O131" i="15"/>
  <c r="O132" i="15"/>
  <c r="O133" i="15"/>
  <c r="O134" i="15"/>
  <c r="O135" i="15"/>
  <c r="O136" i="15"/>
  <c r="O137" i="15"/>
  <c r="O138" i="15"/>
  <c r="O139" i="15"/>
  <c r="O140" i="15"/>
  <c r="O141" i="15"/>
  <c r="O142" i="15"/>
  <c r="O143" i="15"/>
  <c r="O146" i="15"/>
  <c r="O147" i="15"/>
  <c r="O148" i="15"/>
  <c r="Q219" i="15"/>
  <c r="M224" i="15"/>
  <c r="O224" i="15"/>
  <c r="P224" i="15"/>
  <c r="M225" i="15"/>
  <c r="O225" i="15"/>
  <c r="P225" i="15"/>
  <c r="Q225" i="15"/>
  <c r="M226" i="15"/>
  <c r="O226" i="15"/>
  <c r="P226" i="15"/>
  <c r="O227" i="15"/>
  <c r="O228" i="15"/>
  <c r="O231" i="15"/>
  <c r="O232" i="15"/>
  <c r="O233" i="15"/>
  <c r="P233" i="15"/>
  <c r="O234" i="15"/>
  <c r="P234" i="15"/>
  <c r="O235" i="15"/>
  <c r="P235" i="15"/>
  <c r="O236" i="15"/>
  <c r="P236" i="15"/>
  <c r="O237" i="15"/>
  <c r="P237" i="15"/>
  <c r="O238" i="15"/>
  <c r="P238" i="15"/>
  <c r="O239" i="15"/>
  <c r="P239" i="15"/>
  <c r="S239" i="15"/>
  <c r="O240" i="15"/>
  <c r="P240" i="15"/>
  <c r="S240" i="15"/>
  <c r="O241" i="15"/>
  <c r="P241" i="15"/>
  <c r="S241" i="15"/>
  <c r="O244" i="15"/>
  <c r="O245" i="15"/>
  <c r="O246" i="15"/>
  <c r="O247" i="15"/>
  <c r="O248" i="15"/>
  <c r="O249" i="15"/>
  <c r="M252" i="15"/>
  <c r="O252" i="15"/>
  <c r="O253" i="15"/>
  <c r="O256" i="15"/>
  <c r="Q256" i="15"/>
  <c r="O259" i="15"/>
  <c r="O262" i="15"/>
  <c r="O263" i="15"/>
  <c r="P267" i="15"/>
  <c r="M272" i="15"/>
  <c r="O272" i="15"/>
  <c r="P272" i="15"/>
  <c r="M273" i="15"/>
  <c r="O273" i="15"/>
  <c r="P273" i="15"/>
  <c r="O274" i="15"/>
  <c r="O275" i="15"/>
  <c r="O279" i="15"/>
  <c r="O282" i="15"/>
  <c r="O283" i="15"/>
  <c r="O284" i="15"/>
  <c r="O285" i="15"/>
  <c r="O286" i="15"/>
  <c r="O287" i="15"/>
  <c r="M288" i="15"/>
  <c r="O288" i="15"/>
  <c r="O289" i="15"/>
  <c r="O290" i="15"/>
  <c r="O291" i="15"/>
  <c r="O292" i="15"/>
  <c r="O293" i="15"/>
  <c r="O294" i="15"/>
  <c r="O295" i="15"/>
  <c r="O296" i="15"/>
  <c r="O297" i="15"/>
  <c r="O298" i="15"/>
  <c r="O299" i="15"/>
  <c r="O300" i="15"/>
  <c r="O301" i="15"/>
  <c r="O302" i="15"/>
  <c r="O303" i="15"/>
  <c r="O304" i="15"/>
  <c r="O305" i="15"/>
  <c r="O306" i="15"/>
  <c r="O307" i="15"/>
  <c r="O308" i="15"/>
  <c r="O309" i="15"/>
  <c r="O310" i="15"/>
  <c r="O311" i="15"/>
  <c r="O312" i="15"/>
  <c r="O313" i="15"/>
  <c r="O314" i="15"/>
  <c r="O320" i="15"/>
  <c r="O321" i="15"/>
  <c r="O322" i="15"/>
  <c r="O323" i="15"/>
  <c r="O324" i="15"/>
  <c r="O325" i="15"/>
  <c r="M326" i="15"/>
  <c r="O326" i="15"/>
  <c r="O327" i="15"/>
  <c r="O328" i="15"/>
  <c r="O329" i="15"/>
  <c r="O330" i="15"/>
  <c r="O331" i="15"/>
  <c r="O332" i="15"/>
  <c r="O333" i="15"/>
  <c r="O334" i="15"/>
  <c r="O335" i="15"/>
  <c r="O336" i="15"/>
  <c r="O337" i="15"/>
  <c r="O338" i="15"/>
  <c r="O339" i="15"/>
  <c r="O340" i="15"/>
  <c r="O341" i="15"/>
  <c r="O343" i="15"/>
  <c r="O346" i="15"/>
  <c r="O347" i="15"/>
  <c r="O348" i="15"/>
  <c r="O349" i="15"/>
  <c r="O350" i="15"/>
  <c r="O351" i="15"/>
  <c r="M352" i="15"/>
  <c r="O352" i="15"/>
  <c r="O353" i="15"/>
  <c r="O354" i="15"/>
  <c r="O355" i="15"/>
  <c r="O356" i="15"/>
  <c r="O357" i="15"/>
  <c r="O358" i="15"/>
  <c r="O359" i="15"/>
  <c r="O360" i="15"/>
  <c r="O361" i="15"/>
  <c r="O362" i="15"/>
  <c r="O363" i="15"/>
  <c r="O364" i="15"/>
  <c r="O365" i="15"/>
  <c r="O366" i="15"/>
  <c r="O367" i="15"/>
  <c r="O369" i="15"/>
  <c r="O372" i="15"/>
  <c r="O373" i="15"/>
  <c r="O374" i="15"/>
  <c r="O375" i="15"/>
  <c r="O376" i="15"/>
  <c r="O377" i="15"/>
  <c r="M378" i="15"/>
  <c r="O378" i="15"/>
  <c r="O379" i="15"/>
  <c r="O380" i="15"/>
  <c r="O381" i="15"/>
  <c r="O382" i="15"/>
  <c r="O383" i="15"/>
  <c r="O384" i="15"/>
  <c r="O385" i="15"/>
  <c r="O386" i="15"/>
  <c r="O387" i="15"/>
  <c r="O388" i="15"/>
  <c r="O389" i="15"/>
  <c r="O390" i="15"/>
  <c r="O391" i="15"/>
  <c r="O392" i="15"/>
  <c r="O393" i="15"/>
  <c r="O395" i="15"/>
  <c r="O398" i="15"/>
  <c r="O399" i="15"/>
  <c r="O400" i="15"/>
  <c r="O401" i="15"/>
  <c r="O402" i="15"/>
  <c r="O403" i="15"/>
  <c r="M404" i="15"/>
  <c r="O404" i="15"/>
  <c r="O405" i="15"/>
  <c r="O406" i="15"/>
  <c r="O407" i="15"/>
  <c r="O408" i="15"/>
  <c r="O409" i="15"/>
  <c r="O410" i="15"/>
  <c r="O411" i="15"/>
  <c r="O412" i="15"/>
  <c r="O413" i="15"/>
  <c r="O414" i="15"/>
  <c r="O415" i="15"/>
  <c r="O416" i="15"/>
  <c r="O417" i="15"/>
  <c r="O418" i="15"/>
  <c r="O419" i="15"/>
  <c r="O421" i="15"/>
  <c r="O424" i="15"/>
  <c r="O425" i="15"/>
  <c r="O426" i="15"/>
  <c r="O427" i="15"/>
  <c r="O428" i="15"/>
  <c r="O429" i="15"/>
  <c r="M430" i="15"/>
  <c r="O430" i="15"/>
  <c r="O431" i="15"/>
  <c r="O432" i="15"/>
  <c r="O433" i="15"/>
  <c r="O434" i="15"/>
  <c r="O435" i="15"/>
  <c r="O436" i="15"/>
  <c r="O437" i="15"/>
  <c r="O438" i="15"/>
  <c r="O439" i="15"/>
  <c r="O440" i="15"/>
  <c r="O441" i="15"/>
  <c r="O442" i="15"/>
  <c r="O443" i="15"/>
  <c r="O444" i="15"/>
  <c r="O445" i="15"/>
  <c r="O447" i="15"/>
  <c r="O450" i="15"/>
  <c r="O451" i="15"/>
  <c r="O452" i="15"/>
  <c r="O453" i="15"/>
  <c r="O454" i="15"/>
  <c r="O455" i="15"/>
  <c r="M456" i="15"/>
  <c r="O456" i="15"/>
  <c r="O457" i="15"/>
  <c r="O458" i="15"/>
  <c r="O459" i="15"/>
  <c r="O460" i="15"/>
  <c r="O461" i="15"/>
  <c r="O462" i="15"/>
  <c r="O463" i="15"/>
  <c r="O464" i="15"/>
  <c r="O465" i="15"/>
  <c r="O466" i="15"/>
  <c r="O467" i="15"/>
  <c r="O468" i="15"/>
  <c r="O469" i="15"/>
  <c r="O470" i="15"/>
  <c r="O471" i="15"/>
  <c r="O473" i="15"/>
  <c r="O476" i="15"/>
  <c r="O477" i="15"/>
  <c r="O478" i="15"/>
  <c r="O479" i="15"/>
  <c r="O480" i="15"/>
  <c r="O481" i="15"/>
  <c r="M482" i="15"/>
  <c r="O482" i="15"/>
  <c r="O483" i="15"/>
  <c r="O484" i="15"/>
  <c r="O485" i="15"/>
  <c r="O486" i="15"/>
  <c r="O487" i="15"/>
  <c r="O488" i="15"/>
  <c r="O489" i="15"/>
  <c r="O490" i="15"/>
  <c r="O491" i="15"/>
  <c r="O492" i="15"/>
  <c r="O493" i="15"/>
  <c r="O494" i="15"/>
  <c r="O495" i="15"/>
  <c r="O496" i="15"/>
  <c r="O497" i="15"/>
  <c r="O499" i="15"/>
  <c r="O502" i="15"/>
  <c r="O503" i="15"/>
  <c r="O504" i="15"/>
  <c r="O505" i="15"/>
  <c r="O506" i="15"/>
  <c r="O507" i="15"/>
  <c r="M508" i="15"/>
  <c r="O508" i="15"/>
  <c r="O509" i="15"/>
  <c r="O510" i="15"/>
  <c r="O511" i="15"/>
  <c r="O512" i="15"/>
  <c r="O513" i="15"/>
  <c r="O514" i="15"/>
  <c r="O515" i="15"/>
  <c r="O516" i="15"/>
  <c r="O517" i="15"/>
  <c r="O518" i="15"/>
  <c r="O519" i="15"/>
  <c r="O520" i="15"/>
  <c r="O521" i="15"/>
  <c r="O522" i="15"/>
  <c r="O523" i="15"/>
  <c r="O525" i="15"/>
  <c r="O528" i="15"/>
  <c r="O529" i="15"/>
  <c r="O530" i="15"/>
  <c r="O531" i="15"/>
  <c r="O532" i="15"/>
  <c r="O533" i="15"/>
  <c r="M534" i="15"/>
  <c r="O534" i="15"/>
  <c r="O535" i="15"/>
  <c r="O536" i="15"/>
  <c r="O537" i="15"/>
  <c r="O538" i="15"/>
  <c r="O539" i="15"/>
  <c r="O540" i="15"/>
  <c r="O541" i="15"/>
  <c r="O542" i="15"/>
  <c r="O543" i="15"/>
  <c r="O544" i="15"/>
  <c r="O545" i="15"/>
  <c r="O546" i="15"/>
  <c r="O547" i="15"/>
  <c r="O548" i="15"/>
  <c r="O549" i="15"/>
  <c r="O551" i="15"/>
  <c r="O554" i="15"/>
  <c r="O555" i="15"/>
  <c r="O556" i="15"/>
  <c r="O557" i="15"/>
  <c r="O558" i="15"/>
  <c r="O559" i="15"/>
  <c r="O560" i="15"/>
  <c r="O561" i="15"/>
  <c r="O562" i="15"/>
  <c r="O563" i="15"/>
  <c r="O564" i="15"/>
  <c r="O565" i="15"/>
  <c r="O566" i="15"/>
  <c r="O567" i="15"/>
  <c r="O568" i="15"/>
  <c r="O569" i="15"/>
  <c r="O570" i="15"/>
  <c r="O571" i="15"/>
  <c r="O572" i="15"/>
  <c r="O573" i="15"/>
  <c r="O574" i="15"/>
  <c r="O575" i="15"/>
  <c r="O577" i="15"/>
  <c r="O580" i="15"/>
  <c r="O581" i="15"/>
  <c r="O582" i="15"/>
  <c r="O583" i="15"/>
  <c r="O584" i="15"/>
  <c r="O585" i="15"/>
  <c r="M586" i="15"/>
  <c r="O586" i="15"/>
  <c r="O587" i="15"/>
  <c r="O588" i="15"/>
  <c r="O589" i="15"/>
  <c r="O590" i="15"/>
  <c r="O591" i="15"/>
  <c r="O592" i="15"/>
  <c r="O593" i="15"/>
  <c r="O594" i="15"/>
  <c r="O595" i="15"/>
  <c r="O596" i="15"/>
  <c r="O597" i="15"/>
  <c r="O598" i="15"/>
  <c r="O599" i="15"/>
  <c r="O600" i="15"/>
  <c r="O601" i="15"/>
  <c r="H22" i="2" a="1"/>
  <c r="H22" i="2" s="1"/>
  <c r="H19" i="1"/>
  <c r="BH14" i="2"/>
  <c r="BH19" i="2"/>
  <c r="BH39" i="2"/>
  <c r="BH36" i="2"/>
  <c r="BH11" i="2"/>
  <c r="CK210" i="8"/>
  <c r="AF23" i="2"/>
  <c r="AF22" i="2"/>
  <c r="AF21" i="2"/>
  <c r="AF20" i="2"/>
  <c r="AF19" i="2"/>
  <c r="AF18" i="2"/>
  <c r="AF17" i="2"/>
  <c r="AF16" i="2"/>
  <c r="AF15" i="2"/>
  <c r="AF14" i="2"/>
  <c r="AF13" i="2"/>
  <c r="AF12" i="2"/>
  <c r="AF11" i="2"/>
  <c r="AF10" i="2"/>
  <c r="AF9" i="2"/>
  <c r="AF8" i="2"/>
  <c r="AF7" i="2"/>
  <c r="AF6" i="2"/>
  <c r="AF5" i="2"/>
  <c r="P3" i="2"/>
  <c r="H25" i="2"/>
  <c r="D12" i="2"/>
  <c r="I31" i="1" s="1"/>
  <c r="AG5" i="2"/>
  <c r="AF7" i="8" a="1"/>
  <c r="H27" i="2"/>
  <c r="K14" i="2"/>
  <c r="H32" i="2"/>
  <c r="K20" i="2"/>
  <c r="H39" i="2"/>
  <c r="H36" i="1" s="1" a="1"/>
  <c r="H36" i="1" s="1"/>
  <c r="K25" i="2"/>
  <c r="K30" i="2"/>
  <c r="K19" i="2"/>
  <c r="H30" i="2"/>
  <c r="H36" i="2"/>
  <c r="K17" i="2"/>
  <c r="K23" i="2"/>
  <c r="K28" i="2"/>
  <c r="K32" i="2"/>
  <c r="H19" i="2"/>
  <c r="K18" i="2"/>
  <c r="H28" i="2"/>
  <c r="H25" i="1" s="1" a="1"/>
  <c r="H25" i="1" s="1"/>
  <c r="H31" i="2"/>
  <c r="H35" i="2"/>
  <c r="H38" i="2"/>
  <c r="H14" i="2"/>
  <c r="K21" i="2"/>
  <c r="K24" i="2"/>
  <c r="K27" i="2"/>
  <c r="K29" i="2"/>
  <c r="K31" i="2"/>
  <c r="K35" i="2"/>
  <c r="K36" i="2"/>
  <c r="K37" i="2"/>
  <c r="K39" i="2"/>
  <c r="K38" i="2"/>
  <c r="G46" i="2"/>
  <c r="H45" i="2" s="1"/>
  <c r="H23" i="2"/>
  <c r="H21" i="2"/>
  <c r="H37" i="2"/>
  <c r="H24" i="2"/>
  <c r="K33" i="2"/>
  <c r="Q3" i="2"/>
  <c r="H29" i="2"/>
  <c r="R48" i="2"/>
  <c r="P48" i="2"/>
  <c r="Q25" i="13" s="1"/>
  <c r="R25" i="13" s="1"/>
  <c r="T48" i="2"/>
  <c r="Q48" i="2"/>
  <c r="S16" i="13" s="1"/>
  <c r="G18" i="2"/>
  <c r="H18" i="2" s="1"/>
  <c r="U50" i="2"/>
  <c r="K12" i="2"/>
  <c r="H12" i="2"/>
  <c r="BC1266" i="8" l="1"/>
  <c r="BB1266" i="8"/>
  <c r="BC1267" i="8"/>
  <c r="BB1267" i="8"/>
  <c r="BC1268" i="8"/>
  <c r="BB1268" i="8"/>
  <c r="BC1269" i="8"/>
  <c r="BB1269" i="8"/>
  <c r="BC1270" i="8"/>
  <c r="BB1270" i="8"/>
  <c r="BC1271" i="8"/>
  <c r="BB1271" i="8"/>
  <c r="BC1272" i="8"/>
  <c r="BB1272" i="8"/>
  <c r="BC1273" i="8"/>
  <c r="BB1273" i="8"/>
  <c r="BC1274" i="8"/>
  <c r="BB1274" i="8"/>
  <c r="BC1275" i="8"/>
  <c r="BB1275" i="8"/>
  <c r="BC1276" i="8"/>
  <c r="BB1276" i="8"/>
  <c r="BC1277" i="8"/>
  <c r="BB1277" i="8"/>
  <c r="BC1278" i="8"/>
  <c r="BB1278" i="8"/>
  <c r="BC1279" i="8"/>
  <c r="BB1279" i="8"/>
  <c r="BC1280" i="8"/>
  <c r="BB1280" i="8"/>
  <c r="BC1251" i="8"/>
  <c r="BB1251" i="8"/>
  <c r="BC1252" i="8"/>
  <c r="BB1252" i="8"/>
  <c r="BC1253" i="8"/>
  <c r="BB1253" i="8"/>
  <c r="BC1254" i="8"/>
  <c r="BB1254" i="8"/>
  <c r="BC1255" i="8"/>
  <c r="BB1255" i="8"/>
  <c r="BC1256" i="8"/>
  <c r="BB1256" i="8"/>
  <c r="BC1257" i="8"/>
  <c r="BB1257" i="8"/>
  <c r="BC1258" i="8"/>
  <c r="BB1258" i="8"/>
  <c r="BC1259" i="8"/>
  <c r="BB1259" i="8"/>
  <c r="BC1260" i="8"/>
  <c r="BB1260" i="8"/>
  <c r="BC1261" i="8"/>
  <c r="BB1261" i="8"/>
  <c r="BC1262" i="8"/>
  <c r="BB1262" i="8"/>
  <c r="BC1263" i="8"/>
  <c r="BB1263" i="8"/>
  <c r="BC1264" i="8"/>
  <c r="BB1264" i="8"/>
  <c r="BC1265" i="8"/>
  <c r="BB1265" i="8"/>
  <c r="BB493" i="8"/>
  <c r="BC493" i="8"/>
  <c r="M8" i="15"/>
  <c r="R8" i="15"/>
  <c r="R9" i="15" s="1"/>
  <c r="BC587" i="8"/>
  <c r="BB587" i="8"/>
  <c r="BC588" i="8"/>
  <c r="BB588" i="8"/>
  <c r="BC589" i="8"/>
  <c r="BB589" i="8"/>
  <c r="BC590" i="8"/>
  <c r="BB590" i="8"/>
  <c r="BC555" i="8"/>
  <c r="BB555" i="8"/>
  <c r="BC556" i="8"/>
  <c r="BB556" i="8"/>
  <c r="BC557" i="8"/>
  <c r="BB557" i="8"/>
  <c r="BC558" i="8"/>
  <c r="BB558" i="8"/>
  <c r="BC559" i="8"/>
  <c r="BB559" i="8"/>
  <c r="BC560" i="8"/>
  <c r="BB560" i="8"/>
  <c r="BC511" i="8"/>
  <c r="BB511" i="8"/>
  <c r="BC512" i="8"/>
  <c r="BB512" i="8"/>
  <c r="BC513" i="8"/>
  <c r="BB513" i="8"/>
  <c r="BC514" i="8"/>
  <c r="BB514" i="8"/>
  <c r="BC515" i="8"/>
  <c r="BB515" i="8"/>
  <c r="BC516" i="8"/>
  <c r="BB516" i="8"/>
  <c r="BC517" i="8"/>
  <c r="BB517" i="8"/>
  <c r="BC518" i="8"/>
  <c r="BB518" i="8"/>
  <c r="BC447" i="8"/>
  <c r="BB447" i="8"/>
  <c r="BC448" i="8"/>
  <c r="BB448" i="8"/>
  <c r="BC449" i="8"/>
  <c r="BB449" i="8"/>
  <c r="BC450" i="8"/>
  <c r="BB450" i="8"/>
  <c r="BC451" i="8"/>
  <c r="BB451" i="8"/>
  <c r="BC452" i="8"/>
  <c r="BB452" i="8"/>
  <c r="BC453" i="8"/>
  <c r="BB453" i="8"/>
  <c r="BC454" i="8"/>
  <c r="BB454" i="8"/>
  <c r="BC455" i="8"/>
  <c r="BB455" i="8"/>
  <c r="BC456" i="8"/>
  <c r="BB456" i="8"/>
  <c r="BC457" i="8"/>
  <c r="BB457" i="8"/>
  <c r="BC458" i="8"/>
  <c r="BB458" i="8"/>
  <c r="BC373" i="8"/>
  <c r="BB373" i="8"/>
  <c r="BC374" i="8"/>
  <c r="BB374" i="8"/>
  <c r="BC375" i="8"/>
  <c r="BB375" i="8"/>
  <c r="BC376" i="8"/>
  <c r="BB376" i="8"/>
  <c r="BC377" i="8"/>
  <c r="BB377" i="8"/>
  <c r="BC378" i="8"/>
  <c r="BB378" i="8"/>
  <c r="BC379" i="8"/>
  <c r="BB379" i="8"/>
  <c r="BC380" i="8"/>
  <c r="BB380" i="8"/>
  <c r="BC381" i="8"/>
  <c r="BB381" i="8"/>
  <c r="BC382" i="8"/>
  <c r="BB382" i="8"/>
  <c r="BC383" i="8"/>
  <c r="BB383" i="8"/>
  <c r="BC384" i="8"/>
  <c r="BB384" i="8"/>
  <c r="BC299" i="8"/>
  <c r="BB299" i="8"/>
  <c r="BC300" i="8"/>
  <c r="BB300" i="8"/>
  <c r="BC301" i="8"/>
  <c r="BB301" i="8"/>
  <c r="BC302" i="8"/>
  <c r="BB302" i="8"/>
  <c r="BC303" i="8"/>
  <c r="BB303" i="8"/>
  <c r="BC304" i="8"/>
  <c r="BB304" i="8"/>
  <c r="BC305" i="8"/>
  <c r="BB305" i="8"/>
  <c r="BC306" i="8"/>
  <c r="BB306" i="8"/>
  <c r="BC307" i="8"/>
  <c r="BB307" i="8"/>
  <c r="BC308" i="8"/>
  <c r="BB308" i="8"/>
  <c r="BC309" i="8"/>
  <c r="BB309" i="8"/>
  <c r="BC310" i="8"/>
  <c r="BB310" i="8"/>
  <c r="BC866" i="8"/>
  <c r="BB866" i="8"/>
  <c r="BC867" i="8"/>
  <c r="BB867" i="8"/>
  <c r="BC868" i="8"/>
  <c r="BB868" i="8"/>
  <c r="BC869" i="8"/>
  <c r="BB869" i="8"/>
  <c r="BC842" i="8"/>
  <c r="BB842" i="8"/>
  <c r="BC843" i="8"/>
  <c r="BB843" i="8"/>
  <c r="BC844" i="8"/>
  <c r="BB844" i="8"/>
  <c r="BC845" i="8"/>
  <c r="BB845" i="8"/>
  <c r="BC802" i="8"/>
  <c r="BB802" i="8"/>
  <c r="BC803" i="8"/>
  <c r="BB803" i="8"/>
  <c r="BC804" i="8"/>
  <c r="BB804" i="8"/>
  <c r="BC805" i="8"/>
  <c r="BB805" i="8"/>
  <c r="BC806" i="8"/>
  <c r="BB806" i="8"/>
  <c r="BC807" i="8"/>
  <c r="BB807" i="8"/>
  <c r="BC808" i="8"/>
  <c r="BB808" i="8"/>
  <c r="BC809" i="8"/>
  <c r="BB809" i="8"/>
  <c r="BC774" i="8"/>
  <c r="BB774" i="8"/>
  <c r="BC775" i="8"/>
  <c r="BB775" i="8"/>
  <c r="BC776" i="8"/>
  <c r="BB776" i="8"/>
  <c r="BC777" i="8"/>
  <c r="BB777" i="8"/>
  <c r="BC754" i="8"/>
  <c r="BB754" i="8"/>
  <c r="BC755" i="8"/>
  <c r="BB755" i="8"/>
  <c r="BC756" i="8"/>
  <c r="BB756" i="8"/>
  <c r="BC757" i="8"/>
  <c r="BB757" i="8"/>
  <c r="BC734" i="8"/>
  <c r="BB734" i="8"/>
  <c r="BC735" i="8"/>
  <c r="BB735" i="8"/>
  <c r="BC736" i="8"/>
  <c r="BB736" i="8"/>
  <c r="BC737" i="8"/>
  <c r="BB737" i="8"/>
  <c r="BC714" i="8"/>
  <c r="BB714" i="8"/>
  <c r="BC715" i="8"/>
  <c r="BB715" i="8"/>
  <c r="BC716" i="8"/>
  <c r="BB716" i="8"/>
  <c r="BC717" i="8"/>
  <c r="BB717" i="8"/>
  <c r="BC682" i="8"/>
  <c r="BB682" i="8"/>
  <c r="BC683" i="8"/>
  <c r="BB683" i="8"/>
  <c r="BC684" i="8"/>
  <c r="BB684" i="8"/>
  <c r="BC685" i="8"/>
  <c r="BB685" i="8"/>
  <c r="BC686" i="8"/>
  <c r="BB686" i="8"/>
  <c r="BC687" i="8"/>
  <c r="BB687" i="8"/>
  <c r="BC688" i="8"/>
  <c r="BB688" i="8"/>
  <c r="BC689" i="8"/>
  <c r="BB689" i="8"/>
  <c r="BC642" i="8"/>
  <c r="BB642" i="8"/>
  <c r="BC643" i="8"/>
  <c r="BB643" i="8"/>
  <c r="BC644" i="8"/>
  <c r="BB644" i="8"/>
  <c r="BC645" i="8"/>
  <c r="BB645" i="8"/>
  <c r="BC646" i="8"/>
  <c r="BB646" i="8"/>
  <c r="BC647" i="8"/>
  <c r="BB647" i="8"/>
  <c r="BC648" i="8"/>
  <c r="BB648" i="8"/>
  <c r="BC649" i="8"/>
  <c r="BB649" i="8"/>
  <c r="BC878" i="8"/>
  <c r="BB878" i="8"/>
  <c r="BC879" i="8"/>
  <c r="BB879" i="8"/>
  <c r="BC880" i="8"/>
  <c r="BB880" i="8"/>
  <c r="BC881" i="8"/>
  <c r="BB881" i="8"/>
  <c r="BC854" i="8"/>
  <c r="BB854" i="8"/>
  <c r="BC855" i="8"/>
  <c r="BB855" i="8"/>
  <c r="BC856" i="8"/>
  <c r="BB856" i="8"/>
  <c r="BC857" i="8"/>
  <c r="BB857" i="8"/>
  <c r="BC826" i="8"/>
  <c r="BB826" i="8"/>
  <c r="BC827" i="8"/>
  <c r="BB827" i="8"/>
  <c r="BC828" i="8"/>
  <c r="BB828" i="8"/>
  <c r="BC829" i="8"/>
  <c r="BB829" i="8"/>
  <c r="BC830" i="8"/>
  <c r="BB830" i="8"/>
  <c r="BC831" i="8"/>
  <c r="BB831" i="8"/>
  <c r="BC832" i="8"/>
  <c r="BB832" i="8"/>
  <c r="BC833" i="8"/>
  <c r="BB833" i="8"/>
  <c r="BC595" i="8"/>
  <c r="BB595" i="8"/>
  <c r="BC579" i="8"/>
  <c r="BB579" i="8"/>
  <c r="BC580" i="8"/>
  <c r="BB580" i="8"/>
  <c r="BC581" i="8"/>
  <c r="BB581" i="8"/>
  <c r="BC582" i="8"/>
  <c r="BB582" i="8"/>
  <c r="BC583" i="8"/>
  <c r="BB583" i="8"/>
  <c r="BC584" i="8"/>
  <c r="BB584" i="8"/>
  <c r="BC585" i="8"/>
  <c r="BB585" i="8"/>
  <c r="BC586" i="8"/>
  <c r="BB586" i="8"/>
  <c r="BC591" i="8"/>
  <c r="BB591" i="8"/>
  <c r="BC592" i="8"/>
  <c r="BB592" i="8"/>
  <c r="BC593" i="8"/>
  <c r="BB593" i="8"/>
  <c r="BC594" i="8"/>
  <c r="BB594" i="8"/>
  <c r="BC541" i="8"/>
  <c r="BB541" i="8"/>
  <c r="BC537" i="8"/>
  <c r="BB537" i="8"/>
  <c r="BC533" i="8"/>
  <c r="BB533" i="8"/>
  <c r="BC529" i="8"/>
  <c r="BB529" i="8"/>
  <c r="BC525" i="8"/>
  <c r="BB525" i="8"/>
  <c r="BC521" i="8"/>
  <c r="BB521" i="8"/>
  <c r="BC509" i="8"/>
  <c r="BB509" i="8"/>
  <c r="BC505" i="8"/>
  <c r="BB505" i="8"/>
  <c r="BC501" i="8"/>
  <c r="BB501" i="8"/>
  <c r="BC497" i="8"/>
  <c r="BB497" i="8"/>
  <c r="BC543" i="8"/>
  <c r="BB543" i="8"/>
  <c r="BC544" i="8"/>
  <c r="BB544" i="8"/>
  <c r="BC545" i="8"/>
  <c r="BB545" i="8"/>
  <c r="BC546" i="8"/>
  <c r="BB546" i="8"/>
  <c r="BC547" i="8"/>
  <c r="BB547" i="8"/>
  <c r="BC548" i="8"/>
  <c r="BB548" i="8"/>
  <c r="BC549" i="8"/>
  <c r="BB549" i="8"/>
  <c r="BC550" i="8"/>
  <c r="BB550" i="8"/>
  <c r="BC551" i="8"/>
  <c r="BB551" i="8"/>
  <c r="BC552" i="8"/>
  <c r="BB552" i="8"/>
  <c r="BC553" i="8"/>
  <c r="BB553" i="8"/>
  <c r="BC554" i="8"/>
  <c r="BB554" i="8"/>
  <c r="BC561" i="8"/>
  <c r="BB561" i="8"/>
  <c r="BC562" i="8"/>
  <c r="BB562" i="8"/>
  <c r="BC563" i="8"/>
  <c r="BB563" i="8"/>
  <c r="BC564" i="8"/>
  <c r="BB564" i="8"/>
  <c r="BC565" i="8"/>
  <c r="BB565" i="8"/>
  <c r="BC566" i="8"/>
  <c r="BB566" i="8"/>
  <c r="BC567" i="8"/>
  <c r="BB567" i="8"/>
  <c r="BC568" i="8"/>
  <c r="BB568" i="8"/>
  <c r="BC569" i="8"/>
  <c r="BB569" i="8"/>
  <c r="BC570" i="8"/>
  <c r="BB570" i="8"/>
  <c r="BC571" i="8"/>
  <c r="BB571" i="8"/>
  <c r="BC572" i="8"/>
  <c r="BB572" i="8"/>
  <c r="BC573" i="8"/>
  <c r="BB573" i="8"/>
  <c r="BC574" i="8"/>
  <c r="BB574" i="8"/>
  <c r="BC575" i="8"/>
  <c r="BB575" i="8"/>
  <c r="BC576" i="8"/>
  <c r="BB576" i="8"/>
  <c r="BC577" i="8"/>
  <c r="BB577" i="8"/>
  <c r="BC578" i="8"/>
  <c r="BB578" i="8"/>
  <c r="BC269" i="8"/>
  <c r="BB269" i="8"/>
  <c r="BC270" i="8"/>
  <c r="BB270" i="8"/>
  <c r="BC271" i="8"/>
  <c r="BB271" i="8"/>
  <c r="BC272" i="8"/>
  <c r="BB272" i="8"/>
  <c r="BC273" i="8"/>
  <c r="BB273" i="8"/>
  <c r="BC274" i="8"/>
  <c r="BB274" i="8"/>
  <c r="BC257" i="8"/>
  <c r="BB257" i="8"/>
  <c r="BC258" i="8"/>
  <c r="BB258" i="8"/>
  <c r="BC259" i="8"/>
  <c r="BB259" i="8"/>
  <c r="BC260" i="8"/>
  <c r="BB260" i="8"/>
  <c r="BC261" i="8"/>
  <c r="BB261" i="8"/>
  <c r="BC262" i="8"/>
  <c r="BB262" i="8"/>
  <c r="BC263" i="8"/>
  <c r="BB263" i="8"/>
  <c r="BC264" i="8"/>
  <c r="BB264" i="8"/>
  <c r="BC265" i="8"/>
  <c r="BB265" i="8"/>
  <c r="BC266" i="8"/>
  <c r="BB266" i="8"/>
  <c r="BC267" i="8"/>
  <c r="BB267" i="8"/>
  <c r="BC268" i="8"/>
  <c r="BB268" i="8"/>
  <c r="BC225" i="8"/>
  <c r="BB225" i="8"/>
  <c r="BC221" i="8"/>
  <c r="BB221" i="8"/>
  <c r="BC217" i="8"/>
  <c r="BB217" i="8"/>
  <c r="BC213" i="8"/>
  <c r="BB213" i="8"/>
  <c r="BC209" i="8"/>
  <c r="BB209" i="8"/>
  <c r="BC205" i="8"/>
  <c r="BB205" i="8"/>
  <c r="BC201" i="8"/>
  <c r="BB201" i="8"/>
  <c r="BC197" i="8"/>
  <c r="BB197" i="8"/>
  <c r="BC193" i="8"/>
  <c r="BB193" i="8"/>
  <c r="BC189" i="8"/>
  <c r="BB189" i="8"/>
  <c r="BC227" i="8"/>
  <c r="BB227" i="8"/>
  <c r="BC228" i="8"/>
  <c r="BB228" i="8"/>
  <c r="BC229" i="8"/>
  <c r="BB229" i="8"/>
  <c r="BC230" i="8"/>
  <c r="BB230" i="8"/>
  <c r="BC231" i="8"/>
  <c r="BB231" i="8"/>
  <c r="BC232" i="8"/>
  <c r="BB232" i="8"/>
  <c r="BC233" i="8"/>
  <c r="BB233" i="8"/>
  <c r="BC234" i="8"/>
  <c r="BB234" i="8"/>
  <c r="BC235" i="8"/>
  <c r="BB235" i="8"/>
  <c r="BC236" i="8"/>
  <c r="BB236" i="8"/>
  <c r="BC237" i="8"/>
  <c r="BB237" i="8"/>
  <c r="BC238" i="8"/>
  <c r="BB238" i="8"/>
  <c r="BC239" i="8"/>
  <c r="BB239" i="8"/>
  <c r="BC240" i="8"/>
  <c r="BB240" i="8"/>
  <c r="BC241" i="8"/>
  <c r="BB241" i="8"/>
  <c r="BC242" i="8"/>
  <c r="BB242" i="8"/>
  <c r="BC243" i="8"/>
  <c r="BB243" i="8"/>
  <c r="BC244" i="8"/>
  <c r="BB244" i="8"/>
  <c r="BC245" i="8"/>
  <c r="BB245" i="8"/>
  <c r="BC246" i="8"/>
  <c r="BB246" i="8"/>
  <c r="BC247" i="8"/>
  <c r="BB247" i="8"/>
  <c r="BC248" i="8"/>
  <c r="BB248" i="8"/>
  <c r="BC249" i="8"/>
  <c r="BB249" i="8"/>
  <c r="BC250" i="8"/>
  <c r="BB250" i="8"/>
  <c r="BC251" i="8"/>
  <c r="BB251" i="8"/>
  <c r="BC252" i="8"/>
  <c r="BB252" i="8"/>
  <c r="BC253" i="8"/>
  <c r="BB253" i="8"/>
  <c r="BC254" i="8"/>
  <c r="BB254" i="8"/>
  <c r="BC255" i="8"/>
  <c r="BB255" i="8"/>
  <c r="BC256" i="8"/>
  <c r="BB256" i="8"/>
  <c r="F5" i="14"/>
  <c r="V20" i="1" s="1"/>
  <c r="BC627" i="8"/>
  <c r="BB627" i="8"/>
  <c r="BC628" i="8"/>
  <c r="BB628" i="8"/>
  <c r="BC629" i="8"/>
  <c r="BB629" i="8"/>
  <c r="BC630" i="8"/>
  <c r="BB630" i="8"/>
  <c r="BC631" i="8"/>
  <c r="BB631" i="8"/>
  <c r="BC632" i="8"/>
  <c r="BB632" i="8"/>
  <c r="BC633" i="8"/>
  <c r="BB633" i="8"/>
  <c r="BC634" i="8"/>
  <c r="BB634" i="8"/>
  <c r="BC635" i="8"/>
  <c r="BB635" i="8"/>
  <c r="BC636" i="8"/>
  <c r="BB636" i="8"/>
  <c r="BC637" i="8"/>
  <c r="BB637" i="8"/>
  <c r="BC638" i="8"/>
  <c r="BB638" i="8"/>
  <c r="BC639" i="8"/>
  <c r="BB639" i="8"/>
  <c r="BC640" i="8"/>
  <c r="BB640" i="8"/>
  <c r="BC641" i="8"/>
  <c r="BB641" i="8"/>
  <c r="BC650" i="8"/>
  <c r="BB650" i="8"/>
  <c r="BC651" i="8"/>
  <c r="BB651" i="8"/>
  <c r="BC652" i="8"/>
  <c r="BB652" i="8"/>
  <c r="BC653" i="8"/>
  <c r="BB653" i="8"/>
  <c r="BC654" i="8"/>
  <c r="BB654" i="8"/>
  <c r="BC655" i="8"/>
  <c r="BB655" i="8"/>
  <c r="BC656" i="8"/>
  <c r="BB656" i="8"/>
  <c r="BC657" i="8"/>
  <c r="BB657" i="8"/>
  <c r="BC658" i="8"/>
  <c r="BB658" i="8"/>
  <c r="BC659" i="8"/>
  <c r="BB659" i="8"/>
  <c r="BC660" i="8"/>
  <c r="BB660" i="8"/>
  <c r="BC661" i="8"/>
  <c r="BB661" i="8"/>
  <c r="BC662" i="8"/>
  <c r="BB662" i="8"/>
  <c r="BC663" i="8"/>
  <c r="BB663" i="8"/>
  <c r="BC664" i="8"/>
  <c r="BB664" i="8"/>
  <c r="BC665" i="8"/>
  <c r="BB665" i="8"/>
  <c r="BC666" i="8"/>
  <c r="BB666" i="8"/>
  <c r="BC667" i="8"/>
  <c r="BB667" i="8"/>
  <c r="BC668" i="8"/>
  <c r="BB668" i="8"/>
  <c r="BC669" i="8"/>
  <c r="BB669" i="8"/>
  <c r="BC670" i="8"/>
  <c r="BB670" i="8"/>
  <c r="BC671" i="8"/>
  <c r="BB671" i="8"/>
  <c r="BC672" i="8"/>
  <c r="BB672" i="8"/>
  <c r="BC673" i="8"/>
  <c r="BB673" i="8"/>
  <c r="BC674" i="8"/>
  <c r="BB674" i="8"/>
  <c r="BC675" i="8"/>
  <c r="BB675" i="8"/>
  <c r="BC676" i="8"/>
  <c r="BB676" i="8"/>
  <c r="BC677" i="8"/>
  <c r="BB677" i="8"/>
  <c r="BC678" i="8"/>
  <c r="BB678" i="8"/>
  <c r="BC679" i="8"/>
  <c r="BB679" i="8"/>
  <c r="BC680" i="8"/>
  <c r="BB680" i="8"/>
  <c r="BC681" i="8"/>
  <c r="BB681" i="8"/>
  <c r="BC690" i="8"/>
  <c r="BB690" i="8"/>
  <c r="BC691" i="8"/>
  <c r="BB691" i="8"/>
  <c r="BC692" i="8"/>
  <c r="BB692" i="8"/>
  <c r="BC693" i="8"/>
  <c r="BB693" i="8"/>
  <c r="BC694" i="8"/>
  <c r="BB694" i="8"/>
  <c r="BC695" i="8"/>
  <c r="BB695" i="8"/>
  <c r="BC696" i="8"/>
  <c r="BB696" i="8"/>
  <c r="BC697" i="8"/>
  <c r="BB697" i="8"/>
  <c r="BC698" i="8"/>
  <c r="BB698" i="8"/>
  <c r="BC699" i="8"/>
  <c r="BB699" i="8"/>
  <c r="BC700" i="8"/>
  <c r="BB700" i="8"/>
  <c r="BC701" i="8"/>
  <c r="BB701" i="8"/>
  <c r="BC702" i="8"/>
  <c r="BB702" i="8"/>
  <c r="BC703" i="8"/>
  <c r="BB703" i="8"/>
  <c r="BC704" i="8"/>
  <c r="BB704" i="8"/>
  <c r="BC705" i="8"/>
  <c r="BB705" i="8"/>
  <c r="BC706" i="8"/>
  <c r="BB706" i="8"/>
  <c r="BC707" i="8"/>
  <c r="BB707" i="8"/>
  <c r="BC708" i="8"/>
  <c r="BB708" i="8"/>
  <c r="BC709" i="8"/>
  <c r="BB709" i="8"/>
  <c r="BC710" i="8"/>
  <c r="BB710" i="8"/>
  <c r="BC711" i="8"/>
  <c r="BB711" i="8"/>
  <c r="BC712" i="8"/>
  <c r="BB712" i="8"/>
  <c r="BC713" i="8"/>
  <c r="BB713" i="8"/>
  <c r="BC718" i="8"/>
  <c r="BB718" i="8"/>
  <c r="BC719" i="8"/>
  <c r="BB719" i="8"/>
  <c r="BC720" i="8"/>
  <c r="BB720" i="8"/>
  <c r="BC721" i="8"/>
  <c r="BB721" i="8"/>
  <c r="BC722" i="8"/>
  <c r="BB722" i="8"/>
  <c r="BC723" i="8"/>
  <c r="BB723" i="8"/>
  <c r="BC724" i="8"/>
  <c r="BB724" i="8"/>
  <c r="BC725" i="8"/>
  <c r="BB725" i="8"/>
  <c r="BC726" i="8"/>
  <c r="BB726" i="8"/>
  <c r="BC727" i="8"/>
  <c r="BB727" i="8"/>
  <c r="BC728" i="8"/>
  <c r="BB728" i="8"/>
  <c r="BC729" i="8"/>
  <c r="BB729" i="8"/>
  <c r="BC730" i="8"/>
  <c r="BB730" i="8"/>
  <c r="BC731" i="8"/>
  <c r="BB731" i="8"/>
  <c r="BC732" i="8"/>
  <c r="BB732" i="8"/>
  <c r="BC733" i="8"/>
  <c r="BB733" i="8"/>
  <c r="BC738" i="8"/>
  <c r="BB738" i="8"/>
  <c r="BC739" i="8"/>
  <c r="BB739" i="8"/>
  <c r="BC740" i="8"/>
  <c r="BB740" i="8"/>
  <c r="BC741" i="8"/>
  <c r="BB741" i="8"/>
  <c r="BC742" i="8"/>
  <c r="BB742" i="8"/>
  <c r="BC743" i="8"/>
  <c r="BB743" i="8"/>
  <c r="BC744" i="8"/>
  <c r="BB744" i="8"/>
  <c r="BC745" i="8"/>
  <c r="BB745" i="8"/>
  <c r="BC746" i="8"/>
  <c r="BB746" i="8"/>
  <c r="BC747" i="8"/>
  <c r="BB747" i="8"/>
  <c r="BC748" i="8"/>
  <c r="BB748" i="8"/>
  <c r="BC749" i="8"/>
  <c r="BB749" i="8"/>
  <c r="BC750" i="8"/>
  <c r="BB750" i="8"/>
  <c r="BC751" i="8"/>
  <c r="BB751" i="8"/>
  <c r="BC752" i="8"/>
  <c r="BB752" i="8"/>
  <c r="BC753" i="8"/>
  <c r="BB753" i="8"/>
  <c r="BC758" i="8"/>
  <c r="BB758" i="8"/>
  <c r="BC759" i="8"/>
  <c r="BB759" i="8"/>
  <c r="BC760" i="8"/>
  <c r="BB760" i="8"/>
  <c r="BC761" i="8"/>
  <c r="BB761" i="8"/>
  <c r="BC762" i="8"/>
  <c r="BB762" i="8"/>
  <c r="BC763" i="8"/>
  <c r="BB763" i="8"/>
  <c r="BC764" i="8"/>
  <c r="BB764" i="8"/>
  <c r="BC765" i="8"/>
  <c r="BB765" i="8"/>
  <c r="BC766" i="8"/>
  <c r="BB766" i="8"/>
  <c r="BC767" i="8"/>
  <c r="BB767" i="8"/>
  <c r="BC768" i="8"/>
  <c r="BB768" i="8"/>
  <c r="BC769" i="8"/>
  <c r="BB769" i="8"/>
  <c r="BC770" i="8"/>
  <c r="BB770" i="8"/>
  <c r="BC771" i="8"/>
  <c r="BB771" i="8"/>
  <c r="BC772" i="8"/>
  <c r="BB772" i="8"/>
  <c r="BC773" i="8"/>
  <c r="BB773" i="8"/>
  <c r="BC778" i="8"/>
  <c r="BB778" i="8"/>
  <c r="BC779" i="8"/>
  <c r="BB779" i="8"/>
  <c r="BC780" i="8"/>
  <c r="BB780" i="8"/>
  <c r="BC781" i="8"/>
  <c r="BB781" i="8"/>
  <c r="BC782" i="8"/>
  <c r="BB782" i="8"/>
  <c r="BC783" i="8"/>
  <c r="BB783" i="8"/>
  <c r="BC784" i="8"/>
  <c r="BB784" i="8"/>
  <c r="BC785" i="8"/>
  <c r="BB785" i="8"/>
  <c r="BC786" i="8"/>
  <c r="BB786" i="8"/>
  <c r="BC787" i="8"/>
  <c r="BB787" i="8"/>
  <c r="BC788" i="8"/>
  <c r="BB788" i="8"/>
  <c r="BC789" i="8"/>
  <c r="BB789" i="8"/>
  <c r="BC790" i="8"/>
  <c r="BB790" i="8"/>
  <c r="BC791" i="8"/>
  <c r="BB791" i="8"/>
  <c r="BC792" i="8"/>
  <c r="BB792" i="8"/>
  <c r="BC793" i="8"/>
  <c r="BB793" i="8"/>
  <c r="BC794" i="8"/>
  <c r="BB794" i="8"/>
  <c r="BC795" i="8"/>
  <c r="BB795" i="8"/>
  <c r="BC796" i="8"/>
  <c r="BB796" i="8"/>
  <c r="BC797" i="8"/>
  <c r="BB797" i="8"/>
  <c r="BC798" i="8"/>
  <c r="BB798" i="8"/>
  <c r="BC799" i="8"/>
  <c r="BB799" i="8"/>
  <c r="BC800" i="8"/>
  <c r="BB800" i="8"/>
  <c r="BC801" i="8"/>
  <c r="BB801" i="8"/>
  <c r="BC810" i="8"/>
  <c r="BB810" i="8"/>
  <c r="BC811" i="8"/>
  <c r="BB811" i="8"/>
  <c r="BC812" i="8"/>
  <c r="BB812" i="8"/>
  <c r="BC813" i="8"/>
  <c r="BB813" i="8"/>
  <c r="BC814" i="8"/>
  <c r="BB814" i="8"/>
  <c r="BC815" i="8"/>
  <c r="BB815" i="8"/>
  <c r="BC816" i="8"/>
  <c r="BB816" i="8"/>
  <c r="BC817" i="8"/>
  <c r="BB817" i="8"/>
  <c r="BC818" i="8"/>
  <c r="BB818" i="8"/>
  <c r="BC819" i="8"/>
  <c r="BB819" i="8"/>
  <c r="BC820" i="8"/>
  <c r="BB820" i="8"/>
  <c r="BC821" i="8"/>
  <c r="BB821" i="8"/>
  <c r="BC822" i="8"/>
  <c r="BB822" i="8"/>
  <c r="BC823" i="8"/>
  <c r="BB823" i="8"/>
  <c r="BC824" i="8"/>
  <c r="BB824" i="8"/>
  <c r="BC825" i="8"/>
  <c r="BB825" i="8"/>
  <c r="BC834" i="8"/>
  <c r="BB834" i="8"/>
  <c r="BC835" i="8"/>
  <c r="BB835" i="8"/>
  <c r="BC836" i="8"/>
  <c r="BB836" i="8"/>
  <c r="BC837" i="8"/>
  <c r="BB837" i="8"/>
  <c r="BC838" i="8"/>
  <c r="BB838" i="8"/>
  <c r="BC839" i="8"/>
  <c r="BB839" i="8"/>
  <c r="BC840" i="8"/>
  <c r="BB840" i="8"/>
  <c r="BC841" i="8"/>
  <c r="BB841" i="8"/>
  <c r="BC846" i="8"/>
  <c r="BB846" i="8"/>
  <c r="BC847" i="8"/>
  <c r="BB847" i="8"/>
  <c r="BC848" i="8"/>
  <c r="BB848" i="8"/>
  <c r="BC849" i="8"/>
  <c r="BB849" i="8"/>
  <c r="BC850" i="8"/>
  <c r="BB850" i="8"/>
  <c r="BC851" i="8"/>
  <c r="BB851" i="8"/>
  <c r="BC852" i="8"/>
  <c r="BB852" i="8"/>
  <c r="BC853" i="8"/>
  <c r="BB853" i="8"/>
  <c r="BC858" i="8"/>
  <c r="BB858" i="8"/>
  <c r="BC859" i="8"/>
  <c r="BB859" i="8"/>
  <c r="BC860" i="8"/>
  <c r="BB860" i="8"/>
  <c r="BC861" i="8"/>
  <c r="BB861" i="8"/>
  <c r="BC862" i="8"/>
  <c r="BB862" i="8"/>
  <c r="BC863" i="8"/>
  <c r="BB863" i="8"/>
  <c r="BC864" i="8"/>
  <c r="BB864" i="8"/>
  <c r="BC865" i="8"/>
  <c r="BB865" i="8"/>
  <c r="BC870" i="8"/>
  <c r="BB870" i="8"/>
  <c r="BC871" i="8"/>
  <c r="BB871" i="8"/>
  <c r="BC872" i="8"/>
  <c r="BB872" i="8"/>
  <c r="BC873" i="8"/>
  <c r="BB873" i="8"/>
  <c r="BC874" i="8"/>
  <c r="BB874" i="8"/>
  <c r="BC875" i="8"/>
  <c r="BB875" i="8"/>
  <c r="BC876" i="8"/>
  <c r="BB876" i="8"/>
  <c r="BC877" i="8"/>
  <c r="BB877" i="8"/>
  <c r="P8" i="15"/>
  <c r="P9" i="15" s="1"/>
  <c r="N8" i="15"/>
  <c r="N9" i="15" s="1"/>
  <c r="BC14" i="8"/>
  <c r="BB14" i="8"/>
  <c r="BC15" i="8"/>
  <c r="BB15" i="8"/>
  <c r="BC16" i="8"/>
  <c r="BB16" i="8"/>
  <c r="BC17" i="8"/>
  <c r="BB17" i="8"/>
  <c r="BC18" i="8"/>
  <c r="BB18" i="8"/>
  <c r="BC19" i="8"/>
  <c r="BB19" i="8"/>
  <c r="BC20" i="8"/>
  <c r="BB20" i="8"/>
  <c r="BC21" i="8"/>
  <c r="BB21" i="8"/>
  <c r="BC22" i="8"/>
  <c r="BB22" i="8"/>
  <c r="BC23" i="8"/>
  <c r="BB23" i="8"/>
  <c r="BC24" i="8"/>
  <c r="BB24" i="8"/>
  <c r="BC25" i="8"/>
  <c r="BB25" i="8"/>
  <c r="BC26" i="8"/>
  <c r="BB26" i="8"/>
  <c r="BC27" i="8"/>
  <c r="BB27" i="8"/>
  <c r="BC28" i="8"/>
  <c r="BB28" i="8"/>
  <c r="BC29" i="8"/>
  <c r="BB29" i="8"/>
  <c r="BC30" i="8"/>
  <c r="BB30" i="8"/>
  <c r="BC31" i="8"/>
  <c r="BB31" i="8"/>
  <c r="BC32" i="8"/>
  <c r="BB32" i="8"/>
  <c r="BC33" i="8"/>
  <c r="BB33" i="8"/>
  <c r="BC34" i="8"/>
  <c r="BB34" i="8"/>
  <c r="BC35" i="8"/>
  <c r="BB35" i="8"/>
  <c r="BC36" i="8"/>
  <c r="BB36" i="8"/>
  <c r="BC37" i="8"/>
  <c r="BB37" i="8"/>
  <c r="BC38" i="8"/>
  <c r="BB38" i="8"/>
  <c r="BC39" i="8"/>
  <c r="BB39" i="8"/>
  <c r="BC40" i="8"/>
  <c r="BB40" i="8"/>
  <c r="BC41" i="8"/>
  <c r="BB41" i="8"/>
  <c r="BC42" i="8"/>
  <c r="BB42" i="8"/>
  <c r="BC43" i="8"/>
  <c r="BB43" i="8"/>
  <c r="BC44" i="8"/>
  <c r="BB44" i="8"/>
  <c r="BC45" i="8"/>
  <c r="BB45" i="8"/>
  <c r="BC46" i="8"/>
  <c r="BB46" i="8"/>
  <c r="BC47" i="8"/>
  <c r="BB47" i="8"/>
  <c r="BC48" i="8"/>
  <c r="BB48" i="8"/>
  <c r="BC49" i="8"/>
  <c r="BB49" i="8"/>
  <c r="BC50" i="8"/>
  <c r="BB50" i="8"/>
  <c r="BC51" i="8"/>
  <c r="BB51" i="8"/>
  <c r="BC52" i="8"/>
  <c r="BB52" i="8"/>
  <c r="BC53" i="8"/>
  <c r="BB53" i="8"/>
  <c r="BC54" i="8"/>
  <c r="BB54" i="8"/>
  <c r="BC55" i="8"/>
  <c r="BB55" i="8"/>
  <c r="BC56" i="8"/>
  <c r="BB56" i="8"/>
  <c r="BC57" i="8"/>
  <c r="BB57" i="8"/>
  <c r="BC58" i="8"/>
  <c r="BB58" i="8"/>
  <c r="BC59" i="8"/>
  <c r="BB59" i="8"/>
  <c r="BC60" i="8"/>
  <c r="BB60" i="8"/>
  <c r="BC61" i="8"/>
  <c r="BB61" i="8"/>
  <c r="BC62" i="8"/>
  <c r="BB62" i="8"/>
  <c r="BC63" i="8"/>
  <c r="BB63" i="8"/>
  <c r="BC64" i="8"/>
  <c r="BB64" i="8"/>
  <c r="BC65" i="8"/>
  <c r="BB65" i="8"/>
  <c r="BC66" i="8"/>
  <c r="BB66" i="8"/>
  <c r="BC67" i="8"/>
  <c r="BB67" i="8"/>
  <c r="BC68" i="8"/>
  <c r="BB68" i="8"/>
  <c r="BC69" i="8"/>
  <c r="BB69" i="8"/>
  <c r="BC70" i="8"/>
  <c r="BB70" i="8"/>
  <c r="BC71" i="8"/>
  <c r="BB71" i="8"/>
  <c r="BC72" i="8"/>
  <c r="BB72" i="8"/>
  <c r="BC73" i="8"/>
  <c r="BB73" i="8"/>
  <c r="BC74" i="8"/>
  <c r="BB74" i="8"/>
  <c r="BC75" i="8"/>
  <c r="BB75" i="8"/>
  <c r="BC76" i="8"/>
  <c r="BB76" i="8"/>
  <c r="BC77" i="8"/>
  <c r="BB77" i="8"/>
  <c r="BC78" i="8"/>
  <c r="BB78" i="8"/>
  <c r="BC79" i="8"/>
  <c r="BB79" i="8"/>
  <c r="BC80" i="8"/>
  <c r="BB80" i="8"/>
  <c r="BC81" i="8"/>
  <c r="BB81" i="8"/>
  <c r="BC82" i="8"/>
  <c r="BB82" i="8"/>
  <c r="BC83" i="8"/>
  <c r="BB83" i="8"/>
  <c r="BC84" i="8"/>
  <c r="BB84" i="8"/>
  <c r="BC85" i="8"/>
  <c r="BB85" i="8"/>
  <c r="BC86" i="8"/>
  <c r="BB86" i="8"/>
  <c r="BC87" i="8"/>
  <c r="BB87" i="8"/>
  <c r="BC88" i="8"/>
  <c r="BB88" i="8"/>
  <c r="BC89" i="8"/>
  <c r="BB89" i="8"/>
  <c r="BC90" i="8"/>
  <c r="BB90" i="8"/>
  <c r="BC91" i="8"/>
  <c r="BB91" i="8"/>
  <c r="BC92" i="8"/>
  <c r="BB92" i="8"/>
  <c r="BC93" i="8"/>
  <c r="BB93" i="8"/>
  <c r="BC94" i="8"/>
  <c r="BB94" i="8"/>
  <c r="BC95" i="8"/>
  <c r="BB95" i="8"/>
  <c r="BC96" i="8"/>
  <c r="BB96" i="8"/>
  <c r="BC97" i="8"/>
  <c r="BB97" i="8"/>
  <c r="BC98" i="8"/>
  <c r="BB98" i="8"/>
  <c r="BC99" i="8"/>
  <c r="BB99" i="8"/>
  <c r="BC100" i="8"/>
  <c r="BB100" i="8"/>
  <c r="BC101" i="8"/>
  <c r="BB101" i="8"/>
  <c r="BC102" i="8"/>
  <c r="BB102" i="8"/>
  <c r="BC103" i="8"/>
  <c r="BB103" i="8"/>
  <c r="BC104" i="8"/>
  <c r="BB104" i="8"/>
  <c r="BC105" i="8"/>
  <c r="BB105" i="8"/>
  <c r="BC106" i="8"/>
  <c r="BB106" i="8"/>
  <c r="BC107" i="8"/>
  <c r="BB107" i="8"/>
  <c r="BC108" i="8"/>
  <c r="BB108" i="8"/>
  <c r="BC109" i="8"/>
  <c r="BB109" i="8"/>
  <c r="BC110" i="8"/>
  <c r="BB110" i="8"/>
  <c r="BC111" i="8"/>
  <c r="BB111" i="8"/>
  <c r="BC112" i="8"/>
  <c r="BB112" i="8"/>
  <c r="BC113" i="8"/>
  <c r="BB113" i="8"/>
  <c r="BC114" i="8"/>
  <c r="BB114" i="8"/>
  <c r="BC115" i="8"/>
  <c r="BB115" i="8"/>
  <c r="BC116" i="8"/>
  <c r="BB116" i="8"/>
  <c r="BC117" i="8"/>
  <c r="BB117" i="8"/>
  <c r="BC118" i="8"/>
  <c r="BB118" i="8"/>
  <c r="BC119" i="8"/>
  <c r="BB119" i="8"/>
  <c r="BC120" i="8"/>
  <c r="BB120" i="8"/>
  <c r="BC121" i="8"/>
  <c r="BB121" i="8"/>
  <c r="BC122" i="8"/>
  <c r="BB122" i="8"/>
  <c r="BC123" i="8"/>
  <c r="BB123" i="8"/>
  <c r="BC124" i="8"/>
  <c r="BB124" i="8"/>
  <c r="BC125" i="8"/>
  <c r="BB125" i="8"/>
  <c r="BC126" i="8"/>
  <c r="BB126" i="8"/>
  <c r="BC127" i="8"/>
  <c r="BB127" i="8"/>
  <c r="BC128" i="8"/>
  <c r="BB128" i="8"/>
  <c r="BC129" i="8"/>
  <c r="BB129" i="8"/>
  <c r="BC130" i="8"/>
  <c r="BB130" i="8"/>
  <c r="BC131" i="8"/>
  <c r="BB131" i="8"/>
  <c r="BC132" i="8"/>
  <c r="BB132" i="8"/>
  <c r="BC133" i="8"/>
  <c r="BB133" i="8"/>
  <c r="BC134" i="8"/>
  <c r="BB134" i="8"/>
  <c r="BC135" i="8"/>
  <c r="BB135" i="8"/>
  <c r="BC136" i="8"/>
  <c r="BB136" i="8"/>
  <c r="BC137" i="8"/>
  <c r="BB137" i="8"/>
  <c r="BC138" i="8"/>
  <c r="BB138" i="8"/>
  <c r="BC139" i="8"/>
  <c r="BB139" i="8"/>
  <c r="BC140" i="8"/>
  <c r="BB140" i="8"/>
  <c r="BC141" i="8"/>
  <c r="BB141" i="8"/>
  <c r="BC142" i="8"/>
  <c r="BB142" i="8"/>
  <c r="BC143" i="8"/>
  <c r="BB143" i="8"/>
  <c r="BC144" i="8"/>
  <c r="BB144" i="8"/>
  <c r="BC145" i="8"/>
  <c r="BB145" i="8"/>
  <c r="BC146" i="8"/>
  <c r="BB146" i="8"/>
  <c r="BC147" i="8"/>
  <c r="BB147" i="8"/>
  <c r="BC148" i="8"/>
  <c r="BB148" i="8"/>
  <c r="BC149" i="8"/>
  <c r="BB149" i="8"/>
  <c r="BC150" i="8"/>
  <c r="BB150" i="8"/>
  <c r="BC151" i="8"/>
  <c r="BB151" i="8"/>
  <c r="BC152" i="8"/>
  <c r="BB152" i="8"/>
  <c r="BC153" i="8"/>
  <c r="BB153" i="8"/>
  <c r="BC154" i="8"/>
  <c r="BB154" i="8"/>
  <c r="BC155" i="8"/>
  <c r="BB155" i="8"/>
  <c r="BC156" i="8"/>
  <c r="BB156" i="8"/>
  <c r="BC157" i="8"/>
  <c r="BB157" i="8"/>
  <c r="BC158" i="8"/>
  <c r="BB158" i="8"/>
  <c r="BC159" i="8"/>
  <c r="BB159" i="8"/>
  <c r="BC160" i="8"/>
  <c r="BB160" i="8"/>
  <c r="BC161" i="8"/>
  <c r="BB161" i="8"/>
  <c r="BC162" i="8"/>
  <c r="BB162" i="8"/>
  <c r="BC163" i="8"/>
  <c r="BB163" i="8"/>
  <c r="BC164" i="8"/>
  <c r="BB164" i="8"/>
  <c r="BC165" i="8"/>
  <c r="BB165" i="8"/>
  <c r="BC166" i="8"/>
  <c r="BB166" i="8"/>
  <c r="BC167" i="8"/>
  <c r="BB167" i="8"/>
  <c r="BC168" i="8"/>
  <c r="BB168" i="8"/>
  <c r="BC169" i="8"/>
  <c r="BB169" i="8"/>
  <c r="BC170" i="8"/>
  <c r="BB170" i="8"/>
  <c r="BC171" i="8"/>
  <c r="BB171" i="8"/>
  <c r="BC172" i="8"/>
  <c r="BB172" i="8"/>
  <c r="BC173" i="8"/>
  <c r="BB173" i="8"/>
  <c r="BC174" i="8"/>
  <c r="BB174" i="8"/>
  <c r="BC175" i="8"/>
  <c r="BB175" i="8"/>
  <c r="BC176" i="8"/>
  <c r="BB176" i="8"/>
  <c r="BC177" i="8"/>
  <c r="BB177" i="8"/>
  <c r="BC178" i="8"/>
  <c r="BB178" i="8"/>
  <c r="BC179" i="8"/>
  <c r="BB179" i="8"/>
  <c r="BC180" i="8"/>
  <c r="BB180" i="8"/>
  <c r="BC181" i="8"/>
  <c r="BB181" i="8"/>
  <c r="BC182" i="8"/>
  <c r="BB182" i="8"/>
  <c r="BC183" i="8"/>
  <c r="BB183" i="8"/>
  <c r="BC184" i="8"/>
  <c r="BB184" i="8"/>
  <c r="BC185" i="8"/>
  <c r="BB185" i="8"/>
  <c r="BC186" i="8"/>
  <c r="BB186" i="8"/>
  <c r="BC187" i="8"/>
  <c r="BB187" i="8"/>
  <c r="BC188" i="8"/>
  <c r="BB188" i="8"/>
  <c r="BC190" i="8"/>
  <c r="BB190" i="8"/>
  <c r="BC191" i="8"/>
  <c r="BB191" i="8"/>
  <c r="BC192" i="8"/>
  <c r="BB192" i="8"/>
  <c r="BC194" i="8"/>
  <c r="BB194" i="8"/>
  <c r="BC195" i="8"/>
  <c r="BB195" i="8"/>
  <c r="BC196" i="8"/>
  <c r="BB196" i="8"/>
  <c r="BC198" i="8"/>
  <c r="BB198" i="8"/>
  <c r="BC199" i="8"/>
  <c r="BB199" i="8"/>
  <c r="BC200" i="8"/>
  <c r="BB200" i="8"/>
  <c r="BC202" i="8"/>
  <c r="BB202" i="8"/>
  <c r="BC203" i="8"/>
  <c r="BB203" i="8"/>
  <c r="BC204" i="8"/>
  <c r="BB204" i="8"/>
  <c r="BC206" i="8"/>
  <c r="BB206" i="8"/>
  <c r="BC207" i="8"/>
  <c r="BB207" i="8"/>
  <c r="BC208" i="8"/>
  <c r="BB208" i="8"/>
  <c r="BC210" i="8"/>
  <c r="BB210" i="8"/>
  <c r="BC211" i="8"/>
  <c r="BB211" i="8"/>
  <c r="BC212" i="8"/>
  <c r="BB212" i="8"/>
  <c r="BC214" i="8"/>
  <c r="BB214" i="8"/>
  <c r="BC215" i="8"/>
  <c r="BB215" i="8"/>
  <c r="BC216" i="8"/>
  <c r="BB216" i="8"/>
  <c r="BC218" i="8"/>
  <c r="BB218" i="8"/>
  <c r="BC219" i="8"/>
  <c r="BB219" i="8"/>
  <c r="BC220" i="8"/>
  <c r="BB220" i="8"/>
  <c r="BC222" i="8"/>
  <c r="BB222" i="8"/>
  <c r="BC223" i="8"/>
  <c r="BB223" i="8"/>
  <c r="BC224" i="8"/>
  <c r="BB224" i="8"/>
  <c r="BC226" i="8"/>
  <c r="BB226" i="8"/>
  <c r="BC275" i="8"/>
  <c r="BB275" i="8"/>
  <c r="BC276" i="8"/>
  <c r="BB276" i="8"/>
  <c r="BC277" i="8"/>
  <c r="BB277" i="8"/>
  <c r="BC278" i="8"/>
  <c r="BB278" i="8"/>
  <c r="BC279" i="8"/>
  <c r="BB279" i="8"/>
  <c r="BC280" i="8"/>
  <c r="BB280" i="8"/>
  <c r="BC281" i="8"/>
  <c r="BB281" i="8"/>
  <c r="BC282" i="8"/>
  <c r="BB282" i="8"/>
  <c r="BC283" i="8"/>
  <c r="BB283" i="8"/>
  <c r="BC284" i="8"/>
  <c r="BB284" i="8"/>
  <c r="BC285" i="8"/>
  <c r="BB285" i="8"/>
  <c r="BC286" i="8"/>
  <c r="BB286" i="8"/>
  <c r="BC287" i="8"/>
  <c r="BB287" i="8"/>
  <c r="BC288" i="8"/>
  <c r="BB288" i="8"/>
  <c r="BC289" i="8"/>
  <c r="BB289" i="8"/>
  <c r="BC290" i="8"/>
  <c r="BB290" i="8"/>
  <c r="BC291" i="8"/>
  <c r="BB291" i="8"/>
  <c r="BC292" i="8"/>
  <c r="BB292" i="8"/>
  <c r="BC293" i="8"/>
  <c r="BB293" i="8"/>
  <c r="BC294" i="8"/>
  <c r="BB294" i="8"/>
  <c r="BC295" i="8"/>
  <c r="BB295" i="8"/>
  <c r="BC296" i="8"/>
  <c r="BB296" i="8"/>
  <c r="BC297" i="8"/>
  <c r="BB297" i="8"/>
  <c r="BC298" i="8"/>
  <c r="BB298" i="8"/>
  <c r="BC311" i="8"/>
  <c r="BB311" i="8"/>
  <c r="BC312" i="8"/>
  <c r="BB312" i="8"/>
  <c r="BC313" i="8"/>
  <c r="BB313" i="8"/>
  <c r="BC314" i="8"/>
  <c r="BB314" i="8"/>
  <c r="BC315" i="8"/>
  <c r="BB315" i="8"/>
  <c r="BC316" i="8"/>
  <c r="BB316" i="8"/>
  <c r="BC317" i="8"/>
  <c r="BB317" i="8"/>
  <c r="BC318" i="8"/>
  <c r="BB318" i="8"/>
  <c r="BC319" i="8"/>
  <c r="BB319" i="8"/>
  <c r="BC320" i="8"/>
  <c r="BB320" i="8"/>
  <c r="BC321" i="8"/>
  <c r="BB321" i="8"/>
  <c r="BC322" i="8"/>
  <c r="BB322" i="8"/>
  <c r="BC323" i="8"/>
  <c r="BB323" i="8"/>
  <c r="BC324" i="8"/>
  <c r="BB324" i="8"/>
  <c r="BC325" i="8"/>
  <c r="BB325" i="8"/>
  <c r="BC326" i="8"/>
  <c r="BB326" i="8"/>
  <c r="BC327" i="8"/>
  <c r="BB327" i="8"/>
  <c r="BC328" i="8"/>
  <c r="BB328" i="8"/>
  <c r="BC329" i="8"/>
  <c r="BB329" i="8"/>
  <c r="BC330" i="8"/>
  <c r="BB330" i="8"/>
  <c r="BC331" i="8"/>
  <c r="BB331" i="8"/>
  <c r="BC332" i="8"/>
  <c r="BB332" i="8"/>
  <c r="BC333" i="8"/>
  <c r="BB333" i="8"/>
  <c r="BC334" i="8"/>
  <c r="BB334" i="8"/>
  <c r="BC335" i="8"/>
  <c r="BB335" i="8"/>
  <c r="BC336" i="8"/>
  <c r="BB336" i="8"/>
  <c r="BC337" i="8"/>
  <c r="BB337" i="8"/>
  <c r="BC338" i="8"/>
  <c r="BB338" i="8"/>
  <c r="BC339" i="8"/>
  <c r="BB339" i="8"/>
  <c r="BC340" i="8"/>
  <c r="BB340" i="8"/>
  <c r="BC341" i="8"/>
  <c r="BB341" i="8"/>
  <c r="BC342" i="8"/>
  <c r="BB342" i="8"/>
  <c r="BC343" i="8"/>
  <c r="BB343" i="8"/>
  <c r="BC344" i="8"/>
  <c r="BB344" i="8"/>
  <c r="BC345" i="8"/>
  <c r="BB345" i="8"/>
  <c r="BC346" i="8"/>
  <c r="BB346" i="8"/>
  <c r="BC347" i="8"/>
  <c r="BB347" i="8"/>
  <c r="BC348" i="8"/>
  <c r="BB348" i="8"/>
  <c r="BC349" i="8"/>
  <c r="BB349" i="8"/>
  <c r="BC350" i="8"/>
  <c r="BB350" i="8"/>
  <c r="BC351" i="8"/>
  <c r="BB351" i="8"/>
  <c r="BC352" i="8"/>
  <c r="BB352" i="8"/>
  <c r="BC353" i="8"/>
  <c r="BB353" i="8"/>
  <c r="BC354" i="8"/>
  <c r="BB354" i="8"/>
  <c r="BC355" i="8"/>
  <c r="BB355" i="8"/>
  <c r="BC356" i="8"/>
  <c r="BB356" i="8"/>
  <c r="BC357" i="8"/>
  <c r="BB357" i="8"/>
  <c r="BC358" i="8"/>
  <c r="BB358" i="8"/>
  <c r="BC359" i="8"/>
  <c r="BB359" i="8"/>
  <c r="BC360" i="8"/>
  <c r="BB360" i="8"/>
  <c r="BC361" i="8"/>
  <c r="BB361" i="8"/>
  <c r="BC362" i="8"/>
  <c r="BB362" i="8"/>
  <c r="BC363" i="8"/>
  <c r="BB363" i="8"/>
  <c r="BC364" i="8"/>
  <c r="BB364" i="8"/>
  <c r="BC365" i="8"/>
  <c r="BB365" i="8"/>
  <c r="BC366" i="8"/>
  <c r="BB366" i="8"/>
  <c r="BC367" i="8"/>
  <c r="BB367" i="8"/>
  <c r="BC368" i="8"/>
  <c r="BB368" i="8"/>
  <c r="BC369" i="8"/>
  <c r="BB369" i="8"/>
  <c r="BC370" i="8"/>
  <c r="BB370" i="8"/>
  <c r="BC371" i="8"/>
  <c r="BB371" i="8"/>
  <c r="BC372" i="8"/>
  <c r="BB372" i="8"/>
  <c r="BC385" i="8"/>
  <c r="BB385" i="8"/>
  <c r="BC386" i="8"/>
  <c r="BB386" i="8"/>
  <c r="BC387" i="8"/>
  <c r="BB387" i="8"/>
  <c r="BC388" i="8"/>
  <c r="BB388" i="8"/>
  <c r="BC389" i="8"/>
  <c r="BB389" i="8"/>
  <c r="BC390" i="8"/>
  <c r="BB390" i="8"/>
  <c r="BC391" i="8"/>
  <c r="BB391" i="8"/>
  <c r="BC392" i="8"/>
  <c r="BB392" i="8"/>
  <c r="BC393" i="8"/>
  <c r="BB393" i="8"/>
  <c r="BC394" i="8"/>
  <c r="BB394" i="8"/>
  <c r="BC395" i="8"/>
  <c r="BB395" i="8"/>
  <c r="BC396" i="8"/>
  <c r="BB396" i="8"/>
  <c r="BC397" i="8"/>
  <c r="BB397" i="8"/>
  <c r="BC398" i="8"/>
  <c r="BB398" i="8"/>
  <c r="BC399" i="8"/>
  <c r="BB399" i="8"/>
  <c r="BC400" i="8"/>
  <c r="BB400" i="8"/>
  <c r="BC401" i="8"/>
  <c r="BB401" i="8"/>
  <c r="BC402" i="8"/>
  <c r="BB402" i="8"/>
  <c r="BC403" i="8"/>
  <c r="BB403" i="8"/>
  <c r="BC404" i="8"/>
  <c r="BB404" i="8"/>
  <c r="BC405" i="8"/>
  <c r="BB405" i="8"/>
  <c r="BC406" i="8"/>
  <c r="BB406" i="8"/>
  <c r="BC407" i="8"/>
  <c r="BB407" i="8"/>
  <c r="BC408" i="8"/>
  <c r="BB408" i="8"/>
  <c r="BC409" i="8"/>
  <c r="BB409" i="8"/>
  <c r="BC410" i="8"/>
  <c r="BB410" i="8"/>
  <c r="BC411" i="8"/>
  <c r="BB411" i="8"/>
  <c r="BC412" i="8"/>
  <c r="BB412" i="8"/>
  <c r="BC413" i="8"/>
  <c r="BB413" i="8"/>
  <c r="BC414" i="8"/>
  <c r="BB414" i="8"/>
  <c r="BC415" i="8"/>
  <c r="BB415" i="8"/>
  <c r="BC416" i="8"/>
  <c r="BB416" i="8"/>
  <c r="BC417" i="8"/>
  <c r="BB417" i="8"/>
  <c r="BC418" i="8"/>
  <c r="BB418" i="8"/>
  <c r="BC419" i="8"/>
  <c r="BB419" i="8"/>
  <c r="BC420" i="8"/>
  <c r="BB420" i="8"/>
  <c r="BC421" i="8"/>
  <c r="BB421" i="8"/>
  <c r="BC422" i="8"/>
  <c r="BB422" i="8"/>
  <c r="BC423" i="8"/>
  <c r="BB423" i="8"/>
  <c r="BC424" i="8"/>
  <c r="BB424" i="8"/>
  <c r="BC425" i="8"/>
  <c r="BB425" i="8"/>
  <c r="BC426" i="8"/>
  <c r="BB426" i="8"/>
  <c r="BC427" i="8"/>
  <c r="BB427" i="8"/>
  <c r="BC428" i="8"/>
  <c r="BB428" i="8"/>
  <c r="BC429" i="8"/>
  <c r="BB429" i="8"/>
  <c r="BC430" i="8"/>
  <c r="BB430" i="8"/>
  <c r="BC431" i="8"/>
  <c r="BB431" i="8"/>
  <c r="BC432" i="8"/>
  <c r="BB432" i="8"/>
  <c r="BC433" i="8"/>
  <c r="BB433" i="8"/>
  <c r="BC434" i="8"/>
  <c r="BB434" i="8"/>
  <c r="BC435" i="8"/>
  <c r="BB435" i="8"/>
  <c r="BC436" i="8"/>
  <c r="BB436" i="8"/>
  <c r="BC437" i="8"/>
  <c r="BB437" i="8"/>
  <c r="BC438" i="8"/>
  <c r="BB438" i="8"/>
  <c r="BC439" i="8"/>
  <c r="BB439" i="8"/>
  <c r="BC440" i="8"/>
  <c r="BB440" i="8"/>
  <c r="BC441" i="8"/>
  <c r="BB441" i="8"/>
  <c r="BC442" i="8"/>
  <c r="BB442" i="8"/>
  <c r="BC443" i="8"/>
  <c r="BB443" i="8"/>
  <c r="BC444" i="8"/>
  <c r="BB444" i="8"/>
  <c r="BC445" i="8"/>
  <c r="BB445" i="8"/>
  <c r="BC446" i="8"/>
  <c r="BB446" i="8"/>
  <c r="BC459" i="8"/>
  <c r="BB459" i="8"/>
  <c r="BC460" i="8"/>
  <c r="BB460" i="8"/>
  <c r="BC461" i="8"/>
  <c r="BB461" i="8"/>
  <c r="BC462" i="8"/>
  <c r="BB462" i="8"/>
  <c r="BC463" i="8"/>
  <c r="BB463" i="8"/>
  <c r="BC464" i="8"/>
  <c r="BB464" i="8"/>
  <c r="BC465" i="8"/>
  <c r="BB465" i="8"/>
  <c r="BC466" i="8"/>
  <c r="BB466" i="8"/>
  <c r="BC467" i="8"/>
  <c r="BB467" i="8"/>
  <c r="BC468" i="8"/>
  <c r="BB468" i="8"/>
  <c r="BC469" i="8"/>
  <c r="BB469" i="8"/>
  <c r="BC470" i="8"/>
  <c r="BB470" i="8"/>
  <c r="BC471" i="8"/>
  <c r="BB471" i="8"/>
  <c r="BC472" i="8"/>
  <c r="BB472" i="8"/>
  <c r="BC473" i="8"/>
  <c r="BB473" i="8"/>
  <c r="BC474" i="8"/>
  <c r="BB474" i="8"/>
  <c r="BC475" i="8"/>
  <c r="BB475" i="8"/>
  <c r="BC476" i="8"/>
  <c r="BB476" i="8"/>
  <c r="BC477" i="8"/>
  <c r="BB477" i="8"/>
  <c r="BC478" i="8"/>
  <c r="BB478" i="8"/>
  <c r="BC479" i="8"/>
  <c r="BB479" i="8"/>
  <c r="BC480" i="8"/>
  <c r="BB480" i="8"/>
  <c r="BC481" i="8"/>
  <c r="BB481" i="8"/>
  <c r="BC482" i="8"/>
  <c r="BB482" i="8"/>
  <c r="BC483" i="8"/>
  <c r="BB483" i="8"/>
  <c r="BC484" i="8"/>
  <c r="BB484" i="8"/>
  <c r="BC485" i="8"/>
  <c r="BB485" i="8"/>
  <c r="BC486" i="8"/>
  <c r="BB486" i="8"/>
  <c r="BC487" i="8"/>
  <c r="BB487" i="8"/>
  <c r="BC488" i="8"/>
  <c r="BB488" i="8"/>
  <c r="BC489" i="8"/>
  <c r="BB489" i="8"/>
  <c r="BC490" i="8"/>
  <c r="BB490" i="8"/>
  <c r="BC491" i="8"/>
  <c r="BB491" i="8"/>
  <c r="BC492" i="8"/>
  <c r="BB492" i="8"/>
  <c r="BC494" i="8"/>
  <c r="BB494" i="8"/>
  <c r="BC495" i="8"/>
  <c r="BB495" i="8"/>
  <c r="BC496" i="8"/>
  <c r="BB496" i="8"/>
  <c r="BC498" i="8"/>
  <c r="BB498" i="8"/>
  <c r="BC499" i="8"/>
  <c r="BB499" i="8"/>
  <c r="BC500" i="8"/>
  <c r="BB500" i="8"/>
  <c r="BC502" i="8"/>
  <c r="BB502" i="8"/>
  <c r="BC503" i="8"/>
  <c r="BB503" i="8"/>
  <c r="BC504" i="8"/>
  <c r="BB504" i="8"/>
  <c r="BC506" i="8"/>
  <c r="BB506" i="8"/>
  <c r="BC507" i="8"/>
  <c r="BB507" i="8"/>
  <c r="BC508" i="8"/>
  <c r="BB508" i="8"/>
  <c r="BC510" i="8"/>
  <c r="BB510" i="8"/>
  <c r="BC519" i="8"/>
  <c r="BB519" i="8"/>
  <c r="BC520" i="8"/>
  <c r="BB520" i="8"/>
  <c r="BC522" i="8"/>
  <c r="BB522" i="8"/>
  <c r="BC523" i="8"/>
  <c r="BB523" i="8"/>
  <c r="BC524" i="8"/>
  <c r="BB524" i="8"/>
  <c r="BC526" i="8"/>
  <c r="BB526" i="8"/>
  <c r="BC527" i="8"/>
  <c r="BB527" i="8"/>
  <c r="BC528" i="8"/>
  <c r="BB528" i="8"/>
  <c r="BC530" i="8"/>
  <c r="BB530" i="8"/>
  <c r="BC531" i="8"/>
  <c r="BB531" i="8"/>
  <c r="BC532" i="8"/>
  <c r="BB532" i="8"/>
  <c r="BC534" i="8"/>
  <c r="BB534" i="8"/>
  <c r="BC535" i="8"/>
  <c r="BB535" i="8"/>
  <c r="BC536" i="8"/>
  <c r="BB536" i="8"/>
  <c r="BC538" i="8"/>
  <c r="BB538" i="8"/>
  <c r="BC539" i="8"/>
  <c r="BB539" i="8"/>
  <c r="BC540" i="8"/>
  <c r="BB540" i="8"/>
  <c r="BC542" i="8"/>
  <c r="BB542" i="8"/>
  <c r="BC596" i="8"/>
  <c r="BB596" i="8"/>
  <c r="BC597" i="8"/>
  <c r="BB597" i="8"/>
  <c r="BC598" i="8"/>
  <c r="BB598" i="8"/>
  <c r="BC599" i="8"/>
  <c r="BB599" i="8"/>
  <c r="BC600" i="8"/>
  <c r="BB600" i="8"/>
  <c r="BC601" i="8"/>
  <c r="BB601" i="8"/>
  <c r="BC602" i="8"/>
  <c r="BB602" i="8"/>
  <c r="BC603" i="8"/>
  <c r="BB603" i="8"/>
  <c r="BC604" i="8"/>
  <c r="BB604" i="8"/>
  <c r="BC605" i="8"/>
  <c r="BB605" i="8"/>
  <c r="BC606" i="8"/>
  <c r="BB606" i="8"/>
  <c r="BC607" i="8"/>
  <c r="BB607" i="8"/>
  <c r="BC608" i="8"/>
  <c r="BB608" i="8"/>
  <c r="BC609" i="8"/>
  <c r="BB609" i="8"/>
  <c r="BC610" i="8"/>
  <c r="BB610" i="8"/>
  <c r="BC611" i="8"/>
  <c r="BB611" i="8"/>
  <c r="BC612" i="8"/>
  <c r="BB612" i="8"/>
  <c r="BC613" i="8"/>
  <c r="BB613" i="8"/>
  <c r="BC614" i="8"/>
  <c r="BB614" i="8"/>
  <c r="BC615" i="8"/>
  <c r="BB615" i="8"/>
  <c r="BC616" i="8"/>
  <c r="BB616" i="8"/>
  <c r="BC617" i="8"/>
  <c r="BB617" i="8"/>
  <c r="BC618" i="8"/>
  <c r="BB618" i="8"/>
  <c r="BC619" i="8"/>
  <c r="BB619" i="8"/>
  <c r="BC620" i="8"/>
  <c r="BB620" i="8"/>
  <c r="BC621" i="8"/>
  <c r="BB621" i="8"/>
  <c r="BC622" i="8"/>
  <c r="BB622" i="8"/>
  <c r="BC623" i="8"/>
  <c r="BB623" i="8"/>
  <c r="BC624" i="8"/>
  <c r="BB624" i="8"/>
  <c r="BC625" i="8"/>
  <c r="BB625" i="8"/>
  <c r="BC626" i="8"/>
  <c r="BB626" i="8"/>
  <c r="BC882" i="8"/>
  <c r="BB882" i="8"/>
  <c r="BC883" i="8"/>
  <c r="BB883" i="8"/>
  <c r="BC884" i="8"/>
  <c r="BB884" i="8"/>
  <c r="BC885" i="8"/>
  <c r="BB885" i="8"/>
  <c r="BC886" i="8"/>
  <c r="BB886" i="8"/>
  <c r="BC887" i="8"/>
  <c r="BB887" i="8"/>
  <c r="BC888" i="8"/>
  <c r="BB888" i="8"/>
  <c r="BC889" i="8"/>
  <c r="BB889" i="8"/>
  <c r="BC890" i="8"/>
  <c r="BB890" i="8"/>
  <c r="BC891" i="8"/>
  <c r="BB891" i="8"/>
  <c r="BC892" i="8"/>
  <c r="BB892" i="8"/>
  <c r="BC893" i="8"/>
  <c r="BB893" i="8"/>
  <c r="BC894" i="8"/>
  <c r="BB894" i="8"/>
  <c r="BC895" i="8"/>
  <c r="BB895" i="8"/>
  <c r="BC896" i="8"/>
  <c r="BB896" i="8"/>
  <c r="BC897" i="8"/>
  <c r="BB897" i="8"/>
  <c r="BC898" i="8"/>
  <c r="BB898" i="8"/>
  <c r="BC899" i="8"/>
  <c r="BB899" i="8"/>
  <c r="BC900" i="8"/>
  <c r="BB900" i="8"/>
  <c r="BC901" i="8"/>
  <c r="BB901" i="8"/>
  <c r="BC902" i="8"/>
  <c r="BB902" i="8"/>
  <c r="BC903" i="8"/>
  <c r="BB903" i="8"/>
  <c r="BC904" i="8"/>
  <c r="BB904" i="8"/>
  <c r="BC905" i="8"/>
  <c r="BB905" i="8"/>
  <c r="BC906" i="8"/>
  <c r="BB906" i="8"/>
  <c r="BC907" i="8"/>
  <c r="BB907" i="8"/>
  <c r="BC908" i="8"/>
  <c r="BB908" i="8"/>
  <c r="BC909" i="8"/>
  <c r="BB909" i="8"/>
  <c r="BC910" i="8"/>
  <c r="BB910" i="8"/>
  <c r="BC911" i="8"/>
  <c r="BB911" i="8"/>
  <c r="BC912" i="8"/>
  <c r="BB912" i="8"/>
  <c r="BC913" i="8"/>
  <c r="BB913" i="8"/>
  <c r="BC914" i="8"/>
  <c r="BB914" i="8"/>
  <c r="BC915" i="8"/>
  <c r="BB915" i="8"/>
  <c r="BC916" i="8"/>
  <c r="BB916" i="8"/>
  <c r="BC917" i="8"/>
  <c r="BB917" i="8"/>
  <c r="BC918" i="8"/>
  <c r="BB918" i="8"/>
  <c r="BC919" i="8"/>
  <c r="BB919" i="8"/>
  <c r="BC920" i="8"/>
  <c r="BB920" i="8"/>
  <c r="BC921" i="8"/>
  <c r="BB921" i="8"/>
  <c r="BC922" i="8"/>
  <c r="BB922" i="8"/>
  <c r="BC923" i="8"/>
  <c r="BB923" i="8"/>
  <c r="BC924" i="8"/>
  <c r="BB924" i="8"/>
  <c r="BC925" i="8"/>
  <c r="BB925" i="8"/>
  <c r="BC926" i="8"/>
  <c r="BB926" i="8"/>
  <c r="BC927" i="8"/>
  <c r="BB927" i="8"/>
  <c r="BC928" i="8"/>
  <c r="BB928" i="8"/>
  <c r="BC929" i="8"/>
  <c r="BB929" i="8"/>
  <c r="BC930" i="8"/>
  <c r="BB930" i="8"/>
  <c r="BC931" i="8"/>
  <c r="BB931" i="8"/>
  <c r="BC932" i="8"/>
  <c r="BB932" i="8"/>
  <c r="BC933" i="8"/>
  <c r="BB933" i="8"/>
  <c r="BC934" i="8"/>
  <c r="BB934" i="8"/>
  <c r="BC935" i="8"/>
  <c r="BB935" i="8"/>
  <c r="BC936" i="8"/>
  <c r="BB936" i="8"/>
  <c r="BC937" i="8"/>
  <c r="BB937" i="8"/>
  <c r="BC938" i="8"/>
  <c r="BB938" i="8"/>
  <c r="BC939" i="8"/>
  <c r="BB939" i="8"/>
  <c r="BC940" i="8"/>
  <c r="BB940" i="8"/>
  <c r="BC941" i="8"/>
  <c r="BB941" i="8"/>
  <c r="BC942" i="8"/>
  <c r="BB942" i="8"/>
  <c r="BC943" i="8"/>
  <c r="BB943" i="8"/>
  <c r="BC944" i="8"/>
  <c r="BB944" i="8"/>
  <c r="BC945" i="8"/>
  <c r="BB945" i="8"/>
  <c r="BC946" i="8"/>
  <c r="BB946" i="8"/>
  <c r="BC947" i="8"/>
  <c r="BB947" i="8"/>
  <c r="BC948" i="8"/>
  <c r="BB948" i="8"/>
  <c r="BC949" i="8"/>
  <c r="BB949" i="8"/>
  <c r="BC950" i="8"/>
  <c r="BB950" i="8"/>
  <c r="BC951" i="8"/>
  <c r="BB951" i="8"/>
  <c r="BC952" i="8"/>
  <c r="BB952" i="8"/>
  <c r="BC953" i="8"/>
  <c r="BB953" i="8"/>
  <c r="BC954" i="8"/>
  <c r="BB954" i="8"/>
  <c r="BC955" i="8"/>
  <c r="BB955" i="8"/>
  <c r="BC956" i="8"/>
  <c r="BB956" i="8"/>
  <c r="BC957" i="8"/>
  <c r="BB957" i="8"/>
  <c r="BC958" i="8"/>
  <c r="BB958" i="8"/>
  <c r="BC959" i="8"/>
  <c r="BB959" i="8"/>
  <c r="BC960" i="8"/>
  <c r="BB960" i="8"/>
  <c r="BC961" i="8"/>
  <c r="BB961" i="8"/>
  <c r="BC962" i="8"/>
  <c r="BB962" i="8"/>
  <c r="BC963" i="8"/>
  <c r="BB963" i="8"/>
  <c r="BC964" i="8"/>
  <c r="BB964" i="8"/>
  <c r="BC965" i="8"/>
  <c r="BB965" i="8"/>
  <c r="BC966" i="8"/>
  <c r="BB966" i="8"/>
  <c r="BC967" i="8"/>
  <c r="BB967" i="8"/>
  <c r="BC968" i="8"/>
  <c r="BB968" i="8"/>
  <c r="BC969" i="8"/>
  <c r="BB969" i="8"/>
  <c r="BC970" i="8"/>
  <c r="BB970" i="8"/>
  <c r="BC971" i="8"/>
  <c r="BB971" i="8"/>
  <c r="BC972" i="8"/>
  <c r="BB972" i="8"/>
  <c r="BC973" i="8"/>
  <c r="BB973" i="8"/>
  <c r="BC974" i="8"/>
  <c r="BB974" i="8"/>
  <c r="BC975" i="8"/>
  <c r="BB975" i="8"/>
  <c r="BC976" i="8"/>
  <c r="BB976" i="8"/>
  <c r="BC977" i="8"/>
  <c r="BB977" i="8"/>
  <c r="BC978" i="8"/>
  <c r="BB978" i="8"/>
  <c r="BC979" i="8"/>
  <c r="BB979" i="8"/>
  <c r="BC980" i="8"/>
  <c r="BB980" i="8"/>
  <c r="BC981" i="8"/>
  <c r="BB981" i="8"/>
  <c r="BC982" i="8"/>
  <c r="BB982" i="8"/>
  <c r="BC983" i="8"/>
  <c r="BB983" i="8"/>
  <c r="BC984" i="8"/>
  <c r="BB984" i="8"/>
  <c r="BC985" i="8"/>
  <c r="BB985" i="8"/>
  <c r="BC986" i="8"/>
  <c r="BB986" i="8"/>
  <c r="BC987" i="8"/>
  <c r="BB987" i="8"/>
  <c r="BC988" i="8"/>
  <c r="BB988" i="8"/>
  <c r="BC989" i="8"/>
  <c r="BB989" i="8"/>
  <c r="BC990" i="8"/>
  <c r="BB990" i="8"/>
  <c r="BC991" i="8"/>
  <c r="BB991" i="8"/>
  <c r="BC992" i="8"/>
  <c r="BB992" i="8"/>
  <c r="BC993" i="8"/>
  <c r="BB993" i="8"/>
  <c r="BC994" i="8"/>
  <c r="BB994" i="8"/>
  <c r="BC995" i="8"/>
  <c r="BB995" i="8"/>
  <c r="BC996" i="8"/>
  <c r="BB996" i="8"/>
  <c r="BC997" i="8"/>
  <c r="BB997" i="8"/>
  <c r="BC998" i="8"/>
  <c r="BB998" i="8"/>
  <c r="BC999" i="8"/>
  <c r="BB999" i="8"/>
  <c r="BC1000" i="8"/>
  <c r="BB1000" i="8"/>
  <c r="BC1001" i="8"/>
  <c r="BB1001" i="8"/>
  <c r="BC1002" i="8"/>
  <c r="BB1002" i="8"/>
  <c r="BC1003" i="8"/>
  <c r="BB1003" i="8"/>
  <c r="BC1004" i="8"/>
  <c r="BB1004" i="8"/>
  <c r="BC1005" i="8"/>
  <c r="BB1005" i="8"/>
  <c r="BC1006" i="8"/>
  <c r="BB1006" i="8"/>
  <c r="BC1007" i="8"/>
  <c r="BB1007" i="8"/>
  <c r="BC1008" i="8"/>
  <c r="BB1008" i="8"/>
  <c r="BC1009" i="8"/>
  <c r="BB1009" i="8"/>
  <c r="BC1010" i="8"/>
  <c r="BB1010" i="8"/>
  <c r="BC1011" i="8"/>
  <c r="BB1011" i="8"/>
  <c r="BC1012" i="8"/>
  <c r="BB1012" i="8"/>
  <c r="BC1013" i="8"/>
  <c r="BB1013" i="8"/>
  <c r="BC1014" i="8"/>
  <c r="BB1014" i="8"/>
  <c r="BC1015" i="8"/>
  <c r="BB1015" i="8"/>
  <c r="BC1016" i="8"/>
  <c r="BB1016" i="8"/>
  <c r="BC1017" i="8"/>
  <c r="BB1017" i="8"/>
  <c r="BC1018" i="8"/>
  <c r="BB1018" i="8"/>
  <c r="BC1019" i="8"/>
  <c r="BB1019" i="8"/>
  <c r="BC1020" i="8"/>
  <c r="BB1020" i="8"/>
  <c r="BC1021" i="8"/>
  <c r="BB1021" i="8"/>
  <c r="BC1022" i="8"/>
  <c r="BB1022" i="8"/>
  <c r="BC1023" i="8"/>
  <c r="BB1023" i="8"/>
  <c r="BC1024" i="8"/>
  <c r="BB1024" i="8"/>
  <c r="BC1025" i="8"/>
  <c r="BB1025" i="8"/>
  <c r="BC1026" i="8"/>
  <c r="BB1026" i="8"/>
  <c r="BC1027" i="8"/>
  <c r="BB1027" i="8"/>
  <c r="BC1028" i="8"/>
  <c r="BB1028" i="8"/>
  <c r="BC1029" i="8"/>
  <c r="BB1029" i="8"/>
  <c r="BC1030" i="8"/>
  <c r="BB1030" i="8"/>
  <c r="BC1031" i="8"/>
  <c r="BB1031" i="8"/>
  <c r="BC1032" i="8"/>
  <c r="BB1032" i="8"/>
  <c r="BC1033" i="8"/>
  <c r="BB1033" i="8"/>
  <c r="BC1034" i="8"/>
  <c r="BB1034" i="8"/>
  <c r="BC1035" i="8"/>
  <c r="BB1035" i="8"/>
  <c r="BC1036" i="8"/>
  <c r="BB1036" i="8"/>
  <c r="BC1037" i="8"/>
  <c r="BB1037" i="8"/>
  <c r="BC1038" i="8"/>
  <c r="BB1038" i="8"/>
  <c r="BC1039" i="8"/>
  <c r="BB1039" i="8"/>
  <c r="BC1040" i="8"/>
  <c r="BB1040" i="8"/>
  <c r="BC1041" i="8"/>
  <c r="BB1041" i="8"/>
  <c r="BC1042" i="8"/>
  <c r="BB1042" i="8"/>
  <c r="BC1043" i="8"/>
  <c r="BB1043" i="8"/>
  <c r="BC1044" i="8"/>
  <c r="BB1044" i="8"/>
  <c r="BC1045" i="8"/>
  <c r="BB1045" i="8"/>
  <c r="BC1046" i="8"/>
  <c r="BB1046" i="8"/>
  <c r="BC1047" i="8"/>
  <c r="BB1047" i="8"/>
  <c r="BC1048" i="8"/>
  <c r="BB1048" i="8"/>
  <c r="BC1049" i="8"/>
  <c r="BB1049" i="8"/>
  <c r="BC1050" i="8"/>
  <c r="BB1050" i="8"/>
  <c r="BC1051" i="8"/>
  <c r="BB1051" i="8"/>
  <c r="BC1052" i="8"/>
  <c r="BB1052" i="8"/>
  <c r="BC1053" i="8"/>
  <c r="BB1053" i="8"/>
  <c r="BC1054" i="8"/>
  <c r="BB1054" i="8"/>
  <c r="BC1055" i="8"/>
  <c r="BB1055" i="8"/>
  <c r="BC1056" i="8"/>
  <c r="BB1056" i="8"/>
  <c r="BC1057" i="8"/>
  <c r="BB1057" i="8"/>
  <c r="BC1058" i="8"/>
  <c r="BB1058" i="8"/>
  <c r="BC1059" i="8"/>
  <c r="BB1059" i="8"/>
  <c r="BC1060" i="8"/>
  <c r="BB1060" i="8"/>
  <c r="BC1061" i="8"/>
  <c r="BB1061" i="8"/>
  <c r="BC1062" i="8"/>
  <c r="BB1062" i="8"/>
  <c r="BC1063" i="8"/>
  <c r="BB1063" i="8"/>
  <c r="BC1064" i="8"/>
  <c r="BB1064" i="8"/>
  <c r="BC1065" i="8"/>
  <c r="BB1065" i="8"/>
  <c r="BC1066" i="8"/>
  <c r="BB1066" i="8"/>
  <c r="BC1067" i="8"/>
  <c r="BB1067" i="8"/>
  <c r="BC1068" i="8"/>
  <c r="BB1068" i="8"/>
  <c r="BC1069" i="8"/>
  <c r="BB1069" i="8"/>
  <c r="BC1070" i="8"/>
  <c r="BB1070" i="8"/>
  <c r="BC1071" i="8"/>
  <c r="BB1071" i="8"/>
  <c r="BC1072" i="8"/>
  <c r="BB1072" i="8"/>
  <c r="BC1073" i="8"/>
  <c r="BB1073" i="8"/>
  <c r="BC1074" i="8"/>
  <c r="BB1074" i="8"/>
  <c r="BC1075" i="8"/>
  <c r="BB1075" i="8"/>
  <c r="BC1076" i="8"/>
  <c r="BB1076" i="8"/>
  <c r="BC1077" i="8"/>
  <c r="BB1077" i="8"/>
  <c r="BC1078" i="8"/>
  <c r="BB1078" i="8"/>
  <c r="BC1079" i="8"/>
  <c r="BB1079" i="8"/>
  <c r="BC1080" i="8"/>
  <c r="BB1080" i="8"/>
  <c r="BC1081" i="8"/>
  <c r="BB1081" i="8"/>
  <c r="BC1082" i="8"/>
  <c r="BB1082" i="8"/>
  <c r="BC1083" i="8"/>
  <c r="BB1083" i="8"/>
  <c r="BC1084" i="8"/>
  <c r="BB1084" i="8"/>
  <c r="BC1085" i="8"/>
  <c r="BB1085" i="8"/>
  <c r="BC1086" i="8"/>
  <c r="BB1086" i="8"/>
  <c r="BC1087" i="8"/>
  <c r="BB1087" i="8"/>
  <c r="BC1088" i="8"/>
  <c r="BB1088" i="8"/>
  <c r="BC1089" i="8"/>
  <c r="BB1089" i="8"/>
  <c r="BC1090" i="8"/>
  <c r="BB1090" i="8"/>
  <c r="BC1091" i="8"/>
  <c r="BB1091" i="8"/>
  <c r="BC1092" i="8"/>
  <c r="BB1092" i="8"/>
  <c r="BC1093" i="8"/>
  <c r="BB1093" i="8"/>
  <c r="BC1094" i="8"/>
  <c r="BB1094" i="8"/>
  <c r="BC1095" i="8"/>
  <c r="BB1095" i="8"/>
  <c r="BC1096" i="8"/>
  <c r="BB1096" i="8"/>
  <c r="BC1097" i="8"/>
  <c r="BB1097" i="8"/>
  <c r="BC1098" i="8"/>
  <c r="BB1098" i="8"/>
  <c r="BC1099" i="8"/>
  <c r="BB1099" i="8"/>
  <c r="BC1100" i="8"/>
  <c r="BB1100" i="8"/>
  <c r="BC1101" i="8"/>
  <c r="BB1101" i="8"/>
  <c r="BC1102" i="8"/>
  <c r="BB1102" i="8"/>
  <c r="BC1103" i="8"/>
  <c r="BB1103" i="8"/>
  <c r="BC1104" i="8"/>
  <c r="BB1104" i="8"/>
  <c r="BC1105" i="8"/>
  <c r="BB1105" i="8"/>
  <c r="BC1106" i="8"/>
  <c r="BB1106" i="8"/>
  <c r="BC1107" i="8"/>
  <c r="BB1107" i="8"/>
  <c r="BC1108" i="8"/>
  <c r="BB1108" i="8"/>
  <c r="BC1109" i="8"/>
  <c r="BB1109" i="8"/>
  <c r="BC1110" i="8"/>
  <c r="BB1110" i="8"/>
  <c r="BC1111" i="8"/>
  <c r="BB1111" i="8"/>
  <c r="BC1112" i="8"/>
  <c r="BB1112" i="8"/>
  <c r="BC1113" i="8"/>
  <c r="BB1113" i="8"/>
  <c r="BC1114" i="8"/>
  <c r="BB1114" i="8"/>
  <c r="BC1115" i="8"/>
  <c r="BB1115" i="8"/>
  <c r="BC1116" i="8"/>
  <c r="BB1116" i="8"/>
  <c r="BC1117" i="8"/>
  <c r="BB1117" i="8"/>
  <c r="BC1118" i="8"/>
  <c r="BB1118" i="8"/>
  <c r="BC1119" i="8"/>
  <c r="BB1119" i="8"/>
  <c r="BC1120" i="8"/>
  <c r="BB1120" i="8"/>
  <c r="BC1121" i="8"/>
  <c r="BB1121" i="8"/>
  <c r="BC1122" i="8"/>
  <c r="BB1122" i="8"/>
  <c r="BC1123" i="8"/>
  <c r="BB1123" i="8"/>
  <c r="BC1124" i="8"/>
  <c r="BB1124" i="8"/>
  <c r="BC1125" i="8"/>
  <c r="BB1125" i="8"/>
  <c r="BC1126" i="8"/>
  <c r="BB1126" i="8"/>
  <c r="BC1127" i="8"/>
  <c r="BB1127" i="8"/>
  <c r="BC1128" i="8"/>
  <c r="BB1128" i="8"/>
  <c r="BC1129" i="8"/>
  <c r="BB1129" i="8"/>
  <c r="BC1130" i="8"/>
  <c r="BB1130" i="8"/>
  <c r="BC1131" i="8"/>
  <c r="BB1131" i="8"/>
  <c r="BC1132" i="8"/>
  <c r="BB1132" i="8"/>
  <c r="BC1133" i="8"/>
  <c r="BB1133" i="8"/>
  <c r="BC1134" i="8"/>
  <c r="BB1134" i="8"/>
  <c r="BC1135" i="8"/>
  <c r="BB1135" i="8"/>
  <c r="BC1136" i="8"/>
  <c r="BB1136" i="8"/>
  <c r="BC1137" i="8"/>
  <c r="BB1137" i="8"/>
  <c r="BC1138" i="8"/>
  <c r="BB1138" i="8"/>
  <c r="BC1139" i="8"/>
  <c r="BB1139" i="8"/>
  <c r="BC1140" i="8"/>
  <c r="BB1140" i="8"/>
  <c r="BC1141" i="8"/>
  <c r="BB1141" i="8"/>
  <c r="BC1142" i="8"/>
  <c r="BB1142" i="8"/>
  <c r="BC1143" i="8"/>
  <c r="BB1143" i="8"/>
  <c r="BC1144" i="8"/>
  <c r="BB1144" i="8"/>
  <c r="BC1145" i="8"/>
  <c r="BB1145" i="8"/>
  <c r="BC1146" i="8"/>
  <c r="BB1146" i="8"/>
  <c r="BC1147" i="8"/>
  <c r="BB1147" i="8"/>
  <c r="BC1148" i="8"/>
  <c r="BB1148" i="8"/>
  <c r="BC1149" i="8"/>
  <c r="BB1149" i="8"/>
  <c r="BC1150" i="8"/>
  <c r="BB1150" i="8"/>
  <c r="BC1151" i="8"/>
  <c r="BB1151" i="8"/>
  <c r="BC1152" i="8"/>
  <c r="BB1152" i="8"/>
  <c r="BC1153" i="8"/>
  <c r="BB1153" i="8"/>
  <c r="BC1154" i="8"/>
  <c r="BB1154" i="8"/>
  <c r="BC1155" i="8"/>
  <c r="BB1155" i="8"/>
  <c r="BC1156" i="8"/>
  <c r="BB1156" i="8"/>
  <c r="BC1157" i="8"/>
  <c r="BB1157" i="8"/>
  <c r="BC1158" i="8"/>
  <c r="BB1158" i="8"/>
  <c r="BC1159" i="8"/>
  <c r="BB1159" i="8"/>
  <c r="BC1160" i="8"/>
  <c r="BB1160" i="8"/>
  <c r="BC1161" i="8"/>
  <c r="BB1161" i="8"/>
  <c r="BC1162" i="8"/>
  <c r="BB1162" i="8"/>
  <c r="BC1163" i="8"/>
  <c r="BB1163" i="8"/>
  <c r="BC1164" i="8"/>
  <c r="BB1164" i="8"/>
  <c r="BC1165" i="8"/>
  <c r="BB1165" i="8"/>
  <c r="BC1166" i="8"/>
  <c r="BB1166" i="8"/>
  <c r="BC1167" i="8"/>
  <c r="BB1167" i="8"/>
  <c r="BC1168" i="8"/>
  <c r="BB1168" i="8"/>
  <c r="BC1169" i="8"/>
  <c r="BB1169" i="8"/>
  <c r="BC1170" i="8"/>
  <c r="BB1170" i="8"/>
  <c r="BC1171" i="8"/>
  <c r="BB1171" i="8"/>
  <c r="BC1172" i="8"/>
  <c r="BB1172" i="8"/>
  <c r="BC1173" i="8"/>
  <c r="BB1173" i="8"/>
  <c r="BC1174" i="8"/>
  <c r="BB1174" i="8"/>
  <c r="BC1175" i="8"/>
  <c r="BB1175" i="8"/>
  <c r="BC1176" i="8"/>
  <c r="BB1176" i="8"/>
  <c r="BC1177" i="8"/>
  <c r="BB1177" i="8"/>
  <c r="BC1178" i="8"/>
  <c r="BB1178" i="8"/>
  <c r="BC1179" i="8"/>
  <c r="BB1179" i="8"/>
  <c r="BC1180" i="8"/>
  <c r="BB1180" i="8"/>
  <c r="BC1181" i="8"/>
  <c r="BB1181" i="8"/>
  <c r="BC1182" i="8"/>
  <c r="BB1182" i="8"/>
  <c r="BC1183" i="8"/>
  <c r="BB1183" i="8"/>
  <c r="BC1184" i="8"/>
  <c r="BB1184" i="8"/>
  <c r="BC1185" i="8"/>
  <c r="BB1185" i="8"/>
  <c r="BC1186" i="8"/>
  <c r="BB1186" i="8"/>
  <c r="BC1187" i="8"/>
  <c r="BB1187" i="8"/>
  <c r="BC1188" i="8"/>
  <c r="BB1188" i="8"/>
  <c r="BC1189" i="8"/>
  <c r="BB1189" i="8"/>
  <c r="BC1190" i="8"/>
  <c r="BB1190" i="8"/>
  <c r="BC1191" i="8"/>
  <c r="BB1191" i="8"/>
  <c r="BC1192" i="8"/>
  <c r="BB1192" i="8"/>
  <c r="BC1193" i="8"/>
  <c r="BB1193" i="8"/>
  <c r="BC1194" i="8"/>
  <c r="BB1194" i="8"/>
  <c r="BC1195" i="8"/>
  <c r="BB1195" i="8"/>
  <c r="BC1196" i="8"/>
  <c r="BB1196" i="8"/>
  <c r="BC1197" i="8"/>
  <c r="BB1197" i="8"/>
  <c r="BC1198" i="8"/>
  <c r="BB1198" i="8"/>
  <c r="BC1199" i="8"/>
  <c r="BB1199" i="8"/>
  <c r="BC1200" i="8"/>
  <c r="BB1200" i="8"/>
  <c r="BC1201" i="8"/>
  <c r="BB1201" i="8"/>
  <c r="BC1202" i="8"/>
  <c r="BB1202" i="8"/>
  <c r="BC1203" i="8"/>
  <c r="BB1203" i="8"/>
  <c r="BC1204" i="8"/>
  <c r="BB1204" i="8"/>
  <c r="BC1205" i="8"/>
  <c r="BB1205" i="8"/>
  <c r="BC1206" i="8"/>
  <c r="BB1206" i="8"/>
  <c r="BC1207" i="8"/>
  <c r="BB1207" i="8"/>
  <c r="BC1208" i="8"/>
  <c r="BB1208" i="8"/>
  <c r="BC1209" i="8"/>
  <c r="BB1209" i="8"/>
  <c r="BC1210" i="8"/>
  <c r="BB1210" i="8"/>
  <c r="BC1211" i="8"/>
  <c r="BB1211" i="8"/>
  <c r="BC1212" i="8"/>
  <c r="BB1212" i="8"/>
  <c r="BC1213" i="8"/>
  <c r="BB1213" i="8"/>
  <c r="BC1214" i="8"/>
  <c r="BB1214" i="8"/>
  <c r="BC1215" i="8"/>
  <c r="BB1215" i="8"/>
  <c r="BC1216" i="8"/>
  <c r="BB1216" i="8"/>
  <c r="BC1217" i="8"/>
  <c r="BB1217" i="8"/>
  <c r="BC1218" i="8"/>
  <c r="BB1218" i="8"/>
  <c r="BC1219" i="8"/>
  <c r="BB1219" i="8"/>
  <c r="BC1220" i="8"/>
  <c r="BB1220" i="8"/>
  <c r="BC1221" i="8"/>
  <c r="BB1221" i="8"/>
  <c r="BC1222" i="8"/>
  <c r="BB1222" i="8"/>
  <c r="BC1223" i="8"/>
  <c r="BB1223" i="8"/>
  <c r="BC1224" i="8"/>
  <c r="BB1224" i="8"/>
  <c r="BC1225" i="8"/>
  <c r="BB1225" i="8"/>
  <c r="BC1226" i="8"/>
  <c r="BB1226" i="8"/>
  <c r="BC1227" i="8"/>
  <c r="BB1227" i="8"/>
  <c r="BC1228" i="8"/>
  <c r="BB1228" i="8"/>
  <c r="BC1229" i="8"/>
  <c r="BB1229" i="8"/>
  <c r="BC1230" i="8"/>
  <c r="BB1230" i="8"/>
  <c r="BC1231" i="8"/>
  <c r="BB1231" i="8"/>
  <c r="BC1232" i="8"/>
  <c r="BB1232" i="8"/>
  <c r="BC1233" i="8"/>
  <c r="BB1233" i="8"/>
  <c r="BC1234" i="8"/>
  <c r="BB1234" i="8"/>
  <c r="BC1235" i="8"/>
  <c r="BB1235" i="8"/>
  <c r="BC1236" i="8"/>
  <c r="BB1236" i="8"/>
  <c r="BC1237" i="8"/>
  <c r="BB1237" i="8"/>
  <c r="BC1238" i="8"/>
  <c r="BB1238" i="8"/>
  <c r="BC1239" i="8"/>
  <c r="BB1239" i="8"/>
  <c r="BC1240" i="8"/>
  <c r="BB1240" i="8"/>
  <c r="BC1241" i="8"/>
  <c r="BB1241" i="8"/>
  <c r="BC1242" i="8"/>
  <c r="BB1242" i="8"/>
  <c r="BC1243" i="8"/>
  <c r="BB1243" i="8"/>
  <c r="BC1244" i="8"/>
  <c r="BB1244" i="8"/>
  <c r="BC1245" i="8"/>
  <c r="BB1245" i="8"/>
  <c r="BC1246" i="8"/>
  <c r="BB1246" i="8"/>
  <c r="BC1247" i="8"/>
  <c r="BB1247" i="8"/>
  <c r="BC1248" i="8"/>
  <c r="BB1248" i="8"/>
  <c r="BC1249" i="8"/>
  <c r="BB1249" i="8"/>
  <c r="BC1250" i="8"/>
  <c r="BB1250" i="8"/>
  <c r="BC1281" i="8"/>
  <c r="BB1281" i="8"/>
  <c r="BC1282" i="8"/>
  <c r="BB1282" i="8"/>
  <c r="BC1283" i="8"/>
  <c r="BB1283" i="8"/>
  <c r="BC1284" i="8"/>
  <c r="BB1284" i="8"/>
  <c r="BC1285" i="8"/>
  <c r="BB1285" i="8"/>
  <c r="BC1286" i="8"/>
  <c r="BB1286" i="8"/>
  <c r="BC1287" i="8"/>
  <c r="BB1287" i="8"/>
  <c r="BC1288" i="8"/>
  <c r="BB1288" i="8"/>
  <c r="BC1289" i="8"/>
  <c r="BB1289" i="8"/>
  <c r="BC1290" i="8"/>
  <c r="BB1290" i="8"/>
  <c r="BC1291" i="8"/>
  <c r="BB1291" i="8"/>
  <c r="BC1292" i="8"/>
  <c r="BB1292" i="8"/>
  <c r="BC1293" i="8"/>
  <c r="BB1293" i="8"/>
  <c r="BC1294" i="8"/>
  <c r="BB1294" i="8"/>
  <c r="BC1295" i="8"/>
  <c r="BB1295" i="8"/>
  <c r="BC1296" i="8"/>
  <c r="BB1296" i="8"/>
  <c r="BC1297" i="8"/>
  <c r="BB1297" i="8"/>
  <c r="BC1298" i="8"/>
  <c r="BB1298" i="8"/>
  <c r="BC1299" i="8"/>
  <c r="BB1299" i="8"/>
  <c r="BC1300" i="8"/>
  <c r="BB1300" i="8"/>
  <c r="BC1301" i="8"/>
  <c r="BB1301" i="8"/>
  <c r="BC1302" i="8"/>
  <c r="BB1302" i="8"/>
  <c r="BC1303" i="8"/>
  <c r="BB1303" i="8"/>
  <c r="BC1304" i="8"/>
  <c r="BB1304" i="8"/>
  <c r="BC1305" i="8"/>
  <c r="BB1305" i="8"/>
  <c r="BC1306" i="8"/>
  <c r="BB1306" i="8"/>
  <c r="BC1307" i="8"/>
  <c r="BB1307" i="8"/>
  <c r="BC1308" i="8"/>
  <c r="BB1308" i="8"/>
  <c r="BC1309" i="8"/>
  <c r="BB1309" i="8"/>
  <c r="BC1310" i="8"/>
  <c r="BB1310" i="8"/>
  <c r="BC1311" i="8"/>
  <c r="BB1311" i="8"/>
  <c r="BC1312" i="8"/>
  <c r="BB1312" i="8"/>
  <c r="BC1313" i="8"/>
  <c r="BB1313" i="8"/>
  <c r="BC1314" i="8"/>
  <c r="BB1314" i="8"/>
  <c r="BC1315" i="8"/>
  <c r="BB1315" i="8"/>
  <c r="BC1316" i="8"/>
  <c r="BB1316" i="8"/>
  <c r="BC1317" i="8"/>
  <c r="BB1317" i="8"/>
  <c r="BC1318" i="8"/>
  <c r="BB1318" i="8"/>
  <c r="BC1319" i="8"/>
  <c r="BB1319" i="8"/>
  <c r="BC1320" i="8"/>
  <c r="BB1320" i="8"/>
  <c r="BC1321" i="8"/>
  <c r="BB1321" i="8"/>
  <c r="BC1322" i="8"/>
  <c r="BB1322" i="8"/>
  <c r="BC1323" i="8"/>
  <c r="BB1323" i="8"/>
  <c r="BC1324" i="8"/>
  <c r="BB1324" i="8"/>
  <c r="BC1325" i="8"/>
  <c r="BB1325" i="8"/>
  <c r="BC1326" i="8"/>
  <c r="BB1326" i="8"/>
  <c r="BC1327" i="8"/>
  <c r="BB1327" i="8"/>
  <c r="BC1328" i="8"/>
  <c r="BB1328" i="8"/>
  <c r="BC1329" i="8"/>
  <c r="BB1329" i="8"/>
  <c r="BC1330" i="8"/>
  <c r="BB1330" i="8"/>
  <c r="BC1331" i="8"/>
  <c r="BB1331" i="8"/>
  <c r="BC1332" i="8"/>
  <c r="BB1332" i="8"/>
  <c r="BC1333" i="8"/>
  <c r="BB1333" i="8"/>
  <c r="BC1334" i="8"/>
  <c r="BB1334" i="8"/>
  <c r="BC1335" i="8"/>
  <c r="BB1335" i="8"/>
  <c r="BC1336" i="8"/>
  <c r="BB1336" i="8"/>
  <c r="BC1337" i="8"/>
  <c r="BB1337" i="8"/>
  <c r="BC1338" i="8"/>
  <c r="BB1338" i="8"/>
  <c r="BC1339" i="8"/>
  <c r="BB1339" i="8"/>
  <c r="BC1340" i="8"/>
  <c r="BB1340" i="8"/>
  <c r="BC1341" i="8"/>
  <c r="BB1341" i="8"/>
  <c r="BC1342" i="8"/>
  <c r="BB1342" i="8"/>
  <c r="BC1343" i="8"/>
  <c r="BB1343" i="8"/>
  <c r="BC1344" i="8"/>
  <c r="BB1344" i="8"/>
  <c r="BC1345" i="8"/>
  <c r="BB1345" i="8"/>
  <c r="BC1346" i="8"/>
  <c r="BB1346" i="8"/>
  <c r="BC1347" i="8"/>
  <c r="BB1347" i="8"/>
  <c r="BC1348" i="8"/>
  <c r="BB1348" i="8"/>
  <c r="BC1349" i="8"/>
  <c r="BB1349" i="8"/>
  <c r="BC1350" i="8"/>
  <c r="BB1350" i="8"/>
  <c r="BC1351" i="8"/>
  <c r="BB1351" i="8"/>
  <c r="BC1352" i="8"/>
  <c r="BB1352" i="8"/>
  <c r="BC1353" i="8"/>
  <c r="BB1353" i="8"/>
  <c r="BC1354" i="8"/>
  <c r="BB1354" i="8"/>
  <c r="BC1355" i="8"/>
  <c r="BB1355" i="8"/>
  <c r="BC1356" i="8"/>
  <c r="BB1356" i="8"/>
  <c r="BC1357" i="8"/>
  <c r="BB1357" i="8"/>
  <c r="BC1358" i="8"/>
  <c r="BB1358" i="8"/>
  <c r="BC1359" i="8"/>
  <c r="BB1359" i="8"/>
  <c r="BC1360" i="8"/>
  <c r="BB1360" i="8"/>
  <c r="BC1361" i="8"/>
  <c r="BB1361" i="8"/>
  <c r="BC1362" i="8"/>
  <c r="BB1362" i="8"/>
  <c r="BC1363" i="8"/>
  <c r="BB1363" i="8"/>
  <c r="BC1364" i="8"/>
  <c r="BB1364" i="8"/>
  <c r="BC1365" i="8"/>
  <c r="BB1365" i="8"/>
  <c r="BC1366" i="8"/>
  <c r="BB1366" i="8"/>
  <c r="BC1367" i="8"/>
  <c r="BB1367" i="8"/>
  <c r="BC1368" i="8"/>
  <c r="BB1368" i="8"/>
  <c r="BC1369" i="8"/>
  <c r="BB1369" i="8"/>
  <c r="BC1370" i="8"/>
  <c r="BB1370" i="8"/>
  <c r="BC1371" i="8"/>
  <c r="BB1371" i="8"/>
  <c r="BC1372" i="8"/>
  <c r="BB1372" i="8"/>
  <c r="BC1373" i="8"/>
  <c r="BB1373" i="8"/>
  <c r="BC1374" i="8"/>
  <c r="BB1374" i="8"/>
  <c r="BC1375" i="8"/>
  <c r="BB1375" i="8"/>
  <c r="BC1376" i="8"/>
  <c r="BB1376" i="8"/>
  <c r="BC1377" i="8"/>
  <c r="BB1377" i="8"/>
  <c r="BC1378" i="8"/>
  <c r="BB1378" i="8"/>
  <c r="BC1379" i="8"/>
  <c r="BB1379" i="8"/>
  <c r="BC1380" i="8"/>
  <c r="BB1380" i="8"/>
  <c r="BC1381" i="8"/>
  <c r="BB1381" i="8"/>
  <c r="BC1382" i="8"/>
  <c r="BB1382" i="8"/>
  <c r="BC1383" i="8"/>
  <c r="BB1383" i="8"/>
  <c r="BC1384" i="8"/>
  <c r="BB1384" i="8"/>
  <c r="BC1385" i="8"/>
  <c r="BB1385" i="8"/>
  <c r="BC1386" i="8"/>
  <c r="BB1386" i="8"/>
  <c r="BC1387" i="8"/>
  <c r="BB1387" i="8"/>
  <c r="BC1388" i="8"/>
  <c r="BB1388" i="8"/>
  <c r="BC1389" i="8"/>
  <c r="BB1389" i="8"/>
  <c r="BC1390" i="8"/>
  <c r="BB1390" i="8"/>
  <c r="BC1391" i="8"/>
  <c r="BB1391" i="8"/>
  <c r="BC1392" i="8"/>
  <c r="BB1392" i="8"/>
  <c r="BC1393" i="8"/>
  <c r="BB1393" i="8"/>
  <c r="BC1394" i="8"/>
  <c r="BB1394" i="8"/>
  <c r="BC1395" i="8"/>
  <c r="BB1395" i="8"/>
  <c r="BC1396" i="8"/>
  <c r="BB1396" i="8"/>
  <c r="BC1397" i="8"/>
  <c r="BB1397" i="8"/>
  <c r="BC1398" i="8"/>
  <c r="BB1398" i="8"/>
  <c r="BC1399" i="8"/>
  <c r="BB1399" i="8"/>
  <c r="BC1400" i="8"/>
  <c r="BB1400" i="8"/>
  <c r="BC1401" i="8"/>
  <c r="BB1401" i="8"/>
  <c r="BC1402" i="8"/>
  <c r="BB1402" i="8"/>
  <c r="BC1403" i="8"/>
  <c r="BB1403" i="8"/>
  <c r="BC1404" i="8"/>
  <c r="BB1404" i="8"/>
  <c r="BC1405" i="8"/>
  <c r="BB1405" i="8"/>
  <c r="BC1406" i="8"/>
  <c r="BB1406" i="8"/>
  <c r="BC1407" i="8"/>
  <c r="BB1407" i="8"/>
  <c r="BC1408" i="8"/>
  <c r="BB1408" i="8"/>
  <c r="BC1409" i="8"/>
  <c r="BB1409" i="8"/>
  <c r="BC1410" i="8"/>
  <c r="BB1410" i="8"/>
  <c r="BC1411" i="8"/>
  <c r="BB1411" i="8"/>
  <c r="BC1412" i="8"/>
  <c r="BB1412" i="8"/>
  <c r="BC1413" i="8"/>
  <c r="BB1413" i="8"/>
  <c r="BC1414" i="8"/>
  <c r="BB1414" i="8"/>
  <c r="BC1415" i="8"/>
  <c r="BB1415" i="8"/>
  <c r="BC1416" i="8"/>
  <c r="BB1416" i="8"/>
  <c r="BC1417" i="8"/>
  <c r="BB1417" i="8"/>
  <c r="BC1418" i="8"/>
  <c r="BB1418" i="8"/>
  <c r="BC1419" i="8"/>
  <c r="BB1419" i="8"/>
  <c r="BC1420" i="8"/>
  <c r="BB1420" i="8"/>
  <c r="BC1421" i="8"/>
  <c r="BB1421" i="8"/>
  <c r="BC1422" i="8"/>
  <c r="BB1422" i="8"/>
  <c r="BC1423" i="8"/>
  <c r="BB1423" i="8"/>
  <c r="BC1424" i="8"/>
  <c r="BB1424" i="8"/>
  <c r="BC1425" i="8"/>
  <c r="BB1425" i="8"/>
  <c r="BC1426" i="8"/>
  <c r="BB1426" i="8"/>
  <c r="BC1427" i="8"/>
  <c r="BB1427" i="8"/>
  <c r="BC1428" i="8"/>
  <c r="BB1428" i="8"/>
  <c r="BC1429" i="8"/>
  <c r="BB1429" i="8"/>
  <c r="BC1430" i="8"/>
  <c r="BB1430" i="8"/>
  <c r="BC1431" i="8"/>
  <c r="BB1431" i="8"/>
  <c r="BC1432" i="8"/>
  <c r="BB1432" i="8"/>
  <c r="BC1433" i="8"/>
  <c r="BB1433" i="8"/>
  <c r="BC1434" i="8"/>
  <c r="BB1434" i="8"/>
  <c r="BC1435" i="8"/>
  <c r="BB1435" i="8"/>
  <c r="BC1436" i="8"/>
  <c r="BB1436" i="8"/>
  <c r="BC1437" i="8"/>
  <c r="BB1437" i="8"/>
  <c r="BC1438" i="8"/>
  <c r="BB1438" i="8"/>
  <c r="BC1439" i="8"/>
  <c r="BB1439" i="8"/>
  <c r="BC1440" i="8"/>
  <c r="BB1440" i="8"/>
  <c r="BC1441" i="8"/>
  <c r="BB1441" i="8"/>
  <c r="BC1442" i="8"/>
  <c r="BB1442" i="8"/>
  <c r="BC1443" i="8"/>
  <c r="BB1443" i="8"/>
  <c r="BC1444" i="8"/>
  <c r="BB1444" i="8"/>
  <c r="BC1445" i="8"/>
  <c r="BB1445" i="8"/>
  <c r="BC1446" i="8"/>
  <c r="BB1446" i="8"/>
  <c r="BC1447" i="8"/>
  <c r="BB1447" i="8"/>
  <c r="BC1448" i="8"/>
  <c r="BB1448" i="8"/>
  <c r="BC1449" i="8"/>
  <c r="BB1449" i="8"/>
  <c r="BC1450" i="8"/>
  <c r="BB1450" i="8"/>
  <c r="BC1451" i="8"/>
  <c r="BB1451" i="8"/>
  <c r="BC1452" i="8"/>
  <c r="BB1452" i="8"/>
  <c r="BC1453" i="8"/>
  <c r="BB1453" i="8"/>
  <c r="BC1454" i="8"/>
  <c r="BB1454" i="8"/>
  <c r="BC1455" i="8"/>
  <c r="BB1455" i="8"/>
  <c r="BC1456" i="8"/>
  <c r="BB1456" i="8"/>
  <c r="BC1457" i="8"/>
  <c r="BB1457" i="8"/>
  <c r="BC1458" i="8"/>
  <c r="BB1458" i="8"/>
  <c r="BC1459" i="8"/>
  <c r="BB1459" i="8"/>
  <c r="BC1460" i="8"/>
  <c r="BB1460" i="8"/>
  <c r="BC1461" i="8"/>
  <c r="BB1461" i="8"/>
  <c r="BC1462" i="8"/>
  <c r="BB1462" i="8"/>
  <c r="BC1463" i="8"/>
  <c r="BB1463" i="8"/>
  <c r="BC1464" i="8"/>
  <c r="BB1464" i="8"/>
  <c r="BC1465" i="8"/>
  <c r="BB1465" i="8"/>
  <c r="BC1466" i="8"/>
  <c r="BB1466" i="8"/>
  <c r="BC1467" i="8"/>
  <c r="BB1467" i="8"/>
  <c r="BC1468" i="8"/>
  <c r="BB1468" i="8"/>
  <c r="BC1469" i="8"/>
  <c r="BB1469" i="8"/>
  <c r="BC1470" i="8"/>
  <c r="BB1470" i="8"/>
  <c r="BC1471" i="8"/>
  <c r="BB1471" i="8"/>
  <c r="BC1472" i="8"/>
  <c r="BB1472" i="8"/>
  <c r="BC1473" i="8"/>
  <c r="BB1473" i="8"/>
  <c r="BC1474" i="8"/>
  <c r="BB1474" i="8"/>
  <c r="BC1475" i="8"/>
  <c r="BB1475" i="8"/>
  <c r="BC1476" i="8"/>
  <c r="BB1476" i="8"/>
  <c r="BC1477" i="8"/>
  <c r="BB1477" i="8"/>
  <c r="BC1478" i="8"/>
  <c r="BB1478" i="8"/>
  <c r="BC1479" i="8"/>
  <c r="BB1479" i="8"/>
  <c r="BC1480" i="8"/>
  <c r="BB1480" i="8"/>
  <c r="BC1481" i="8"/>
  <c r="BB1481" i="8"/>
  <c r="BC1482" i="8"/>
  <c r="BB1482" i="8"/>
  <c r="BC1483" i="8"/>
  <c r="BB1483" i="8"/>
  <c r="BC1484" i="8"/>
  <c r="BB1484" i="8"/>
  <c r="BC1485" i="8"/>
  <c r="BB1485" i="8"/>
  <c r="BC1486" i="8"/>
  <c r="BB1486" i="8"/>
  <c r="BC1487" i="8"/>
  <c r="BB1487" i="8"/>
  <c r="BC1488" i="8"/>
  <c r="BB1488" i="8"/>
  <c r="BC1489" i="8"/>
  <c r="BB1489" i="8"/>
  <c r="BC1490" i="8"/>
  <c r="BB1490" i="8"/>
  <c r="BC1491" i="8"/>
  <c r="BB1491" i="8"/>
  <c r="BC1492" i="8"/>
  <c r="BB1492" i="8"/>
  <c r="BC1493" i="8"/>
  <c r="BB1493" i="8"/>
  <c r="BC1494" i="8"/>
  <c r="BB1494" i="8"/>
  <c r="BC1495" i="8"/>
  <c r="BB1495" i="8"/>
  <c r="BC1496" i="8"/>
  <c r="BB1496" i="8"/>
  <c r="BC1497" i="8"/>
  <c r="BB1497" i="8"/>
  <c r="BC1498" i="8"/>
  <c r="BB1498" i="8"/>
  <c r="BC1499" i="8"/>
  <c r="BB1499" i="8"/>
  <c r="BC1500" i="8"/>
  <c r="BB1500" i="8"/>
  <c r="BC1501" i="8"/>
  <c r="BB1501" i="8"/>
  <c r="BC1502" i="8"/>
  <c r="BB1502" i="8"/>
  <c r="BC1503" i="8"/>
  <c r="BB1503" i="8"/>
  <c r="BC1504" i="8"/>
  <c r="BB1504" i="8"/>
  <c r="BC1505" i="8"/>
  <c r="BB1505" i="8"/>
  <c r="BC1506" i="8"/>
  <c r="BB1506" i="8"/>
  <c r="BC1507" i="8"/>
  <c r="BB1507" i="8"/>
  <c r="BC1508" i="8"/>
  <c r="BB1508" i="8"/>
  <c r="BC1509" i="8"/>
  <c r="BB1509" i="8"/>
  <c r="BC1510" i="8"/>
  <c r="BB1510" i="8"/>
  <c r="BC1511" i="8"/>
  <c r="BB1511" i="8"/>
  <c r="BC1512" i="8"/>
  <c r="BB1512" i="8"/>
  <c r="BC1513" i="8"/>
  <c r="BB1513" i="8"/>
  <c r="BC1514" i="8"/>
  <c r="BB1514" i="8"/>
  <c r="BC1515" i="8"/>
  <c r="BB1515" i="8"/>
  <c r="BC1516" i="8"/>
  <c r="BB1516" i="8"/>
  <c r="BC1517" i="8"/>
  <c r="BB1517" i="8"/>
  <c r="BC1518" i="8"/>
  <c r="BB1518" i="8"/>
  <c r="BC1519" i="8"/>
  <c r="BB1519" i="8"/>
  <c r="BC1520" i="8"/>
  <c r="BB1520" i="8"/>
  <c r="BC1521" i="8"/>
  <c r="BB1521" i="8"/>
  <c r="BC1522" i="8"/>
  <c r="BB1522" i="8"/>
  <c r="BC1523" i="8"/>
  <c r="BB1523" i="8"/>
  <c r="BC1524" i="8"/>
  <c r="BB1524" i="8"/>
  <c r="BC1525" i="8"/>
  <c r="BB1525" i="8"/>
  <c r="BC1526" i="8"/>
  <c r="BB1526" i="8"/>
  <c r="BC1527" i="8"/>
  <c r="BB1527" i="8"/>
  <c r="BC1528" i="8"/>
  <c r="BB1528" i="8"/>
  <c r="BC1529" i="8"/>
  <c r="BB1529" i="8"/>
  <c r="BC1530" i="8"/>
  <c r="BB1530" i="8"/>
  <c r="BC1531" i="8"/>
  <c r="BB1531" i="8"/>
  <c r="BC1532" i="8"/>
  <c r="BB1532" i="8"/>
  <c r="BC1533" i="8"/>
  <c r="BB1533" i="8"/>
  <c r="BC1534" i="8"/>
  <c r="BB1534" i="8"/>
  <c r="BC1535" i="8"/>
  <c r="BB1535" i="8"/>
  <c r="BC1536" i="8"/>
  <c r="BB1536" i="8"/>
  <c r="BC1537" i="8"/>
  <c r="BB1537" i="8"/>
  <c r="BC1538" i="8"/>
  <c r="BB1538" i="8"/>
  <c r="BC1539" i="8"/>
  <c r="BB1539" i="8"/>
  <c r="BC1540" i="8"/>
  <c r="BB1540" i="8"/>
  <c r="BC1541" i="8"/>
  <c r="BB1541" i="8"/>
  <c r="BC1542" i="8"/>
  <c r="BB1542" i="8"/>
  <c r="BC1543" i="8"/>
  <c r="BB1543" i="8"/>
  <c r="BC1544" i="8"/>
  <c r="BB1544" i="8"/>
  <c r="BC1545" i="8"/>
  <c r="BB1545" i="8"/>
  <c r="BC1546" i="8"/>
  <c r="BB1546" i="8"/>
  <c r="BC1547" i="8"/>
  <c r="BB1547" i="8"/>
  <c r="BC1548" i="8"/>
  <c r="BB1548" i="8"/>
  <c r="BC1549" i="8"/>
  <c r="BB1549" i="8"/>
  <c r="BC1550" i="8"/>
  <c r="BB1550" i="8"/>
  <c r="BC1551" i="8"/>
  <c r="BB1551" i="8"/>
  <c r="BC1552" i="8"/>
  <c r="BB1552" i="8"/>
  <c r="BC1553" i="8"/>
  <c r="BB1553" i="8"/>
  <c r="BC1554" i="8"/>
  <c r="BB1554" i="8"/>
  <c r="BC1555" i="8"/>
  <c r="BB1555" i="8"/>
  <c r="BC1556" i="8"/>
  <c r="BB1556" i="8"/>
  <c r="BC1557" i="8"/>
  <c r="BB1557" i="8"/>
  <c r="BC1558" i="8"/>
  <c r="BB1558" i="8"/>
  <c r="BC1559" i="8"/>
  <c r="BB1559" i="8"/>
  <c r="BC1560" i="8"/>
  <c r="BB1560" i="8"/>
  <c r="BC1561" i="8"/>
  <c r="BB1561" i="8"/>
  <c r="BC1562" i="8"/>
  <c r="BB1562" i="8"/>
  <c r="BC1563" i="8"/>
  <c r="BB1563" i="8"/>
  <c r="BC1564" i="8"/>
  <c r="BB1564" i="8"/>
  <c r="BC1565" i="8"/>
  <c r="BB1565" i="8"/>
  <c r="BC1566" i="8"/>
  <c r="BB1566" i="8"/>
  <c r="BC1567" i="8"/>
  <c r="BB1567" i="8"/>
  <c r="BC1568" i="8"/>
  <c r="BB1568" i="8"/>
  <c r="BC1569" i="8"/>
  <c r="BB1569" i="8"/>
  <c r="BC1570" i="8"/>
  <c r="BB1570" i="8"/>
  <c r="BC1571" i="8"/>
  <c r="BB1571" i="8"/>
  <c r="BC1572" i="8"/>
  <c r="BB1572" i="8"/>
  <c r="BC1573" i="8"/>
  <c r="BB1573" i="8"/>
  <c r="BC1574" i="8"/>
  <c r="BB1574" i="8"/>
  <c r="BC1575" i="8"/>
  <c r="BB1575" i="8"/>
  <c r="BC1576" i="8"/>
  <c r="BB1576" i="8"/>
  <c r="BC1577" i="8"/>
  <c r="BB1577" i="8"/>
  <c r="BC1578" i="8"/>
  <c r="BB1578" i="8"/>
  <c r="BC1579" i="8"/>
  <c r="BB1579" i="8"/>
  <c r="BC1580" i="8"/>
  <c r="BB1580" i="8"/>
  <c r="BC1581" i="8"/>
  <c r="BB1581" i="8"/>
  <c r="BC1582" i="8"/>
  <c r="BB1582" i="8"/>
  <c r="BC1583" i="8"/>
  <c r="BB1583" i="8"/>
  <c r="BC1584" i="8"/>
  <c r="BB1584" i="8"/>
  <c r="BC1585" i="8"/>
  <c r="BB1585" i="8"/>
  <c r="BC1586" i="8"/>
  <c r="BB1586" i="8"/>
  <c r="BC1587" i="8"/>
  <c r="BB1587" i="8"/>
  <c r="BC1588" i="8"/>
  <c r="BB1588" i="8"/>
  <c r="BC1589" i="8"/>
  <c r="BB1589" i="8"/>
  <c r="BC1590" i="8"/>
  <c r="BB1590" i="8"/>
  <c r="BC1591" i="8"/>
  <c r="BB1591" i="8"/>
  <c r="BC1592" i="8"/>
  <c r="BB1592" i="8"/>
  <c r="BC1593" i="8"/>
  <c r="BB1593" i="8"/>
  <c r="BC1594" i="8"/>
  <c r="BB1594" i="8"/>
  <c r="BC1595" i="8"/>
  <c r="BB1595" i="8"/>
  <c r="BC1596" i="8"/>
  <c r="BB1596" i="8"/>
  <c r="BC1597" i="8"/>
  <c r="BB1597" i="8"/>
  <c r="BC1598" i="8"/>
  <c r="BB1598" i="8"/>
  <c r="BC1599" i="8"/>
  <c r="BB1599" i="8"/>
  <c r="BC1600" i="8"/>
  <c r="BB1600" i="8"/>
  <c r="BC1601" i="8"/>
  <c r="BB1601" i="8"/>
  <c r="BC1602" i="8"/>
  <c r="BB1602" i="8"/>
  <c r="BC1603" i="8"/>
  <c r="BB1603" i="8"/>
  <c r="BC1604" i="8"/>
  <c r="BB1604" i="8"/>
  <c r="BC1605" i="8"/>
  <c r="BB1605" i="8"/>
  <c r="BC1606" i="8"/>
  <c r="BB1606" i="8"/>
  <c r="BC1607" i="8"/>
  <c r="BB1607" i="8"/>
  <c r="BC1608" i="8"/>
  <c r="BB1608" i="8"/>
  <c r="BC1609" i="8"/>
  <c r="BB1609" i="8"/>
  <c r="BC1610" i="8"/>
  <c r="BB1610" i="8"/>
  <c r="BC1611" i="8"/>
  <c r="BB1611" i="8"/>
  <c r="BC1612" i="8"/>
  <c r="BB1612" i="8"/>
  <c r="BC1613" i="8"/>
  <c r="BB1613" i="8"/>
  <c r="BC1614" i="8"/>
  <c r="BB1614" i="8"/>
  <c r="BC1615" i="8"/>
  <c r="BB1615" i="8"/>
  <c r="BC1616" i="8"/>
  <c r="BB1616" i="8"/>
  <c r="BC1617" i="8"/>
  <c r="BB1617" i="8"/>
  <c r="BC1618" i="8"/>
  <c r="BB1618" i="8"/>
  <c r="BC1619" i="8"/>
  <c r="BB1619" i="8"/>
  <c r="BC1620" i="8"/>
  <c r="BB1620" i="8"/>
  <c r="BC1621" i="8"/>
  <c r="BB1621" i="8"/>
  <c r="BC1622" i="8"/>
  <c r="BB1622" i="8"/>
  <c r="BC1623" i="8"/>
  <c r="BB1623" i="8"/>
  <c r="BC1624" i="8"/>
  <c r="BB1624" i="8"/>
  <c r="BC1625" i="8"/>
  <c r="BB1625" i="8"/>
  <c r="BC1626" i="8"/>
  <c r="BB1626" i="8"/>
  <c r="BC1627" i="8"/>
  <c r="BB1627" i="8"/>
  <c r="BC1628" i="8"/>
  <c r="BB1628" i="8"/>
  <c r="BC1629" i="8"/>
  <c r="BB1629" i="8"/>
  <c r="BC1630" i="8"/>
  <c r="BB1630" i="8"/>
  <c r="BC1631" i="8"/>
  <c r="BB1631" i="8"/>
  <c r="BC1632" i="8"/>
  <c r="BB1632" i="8"/>
  <c r="BC1633" i="8"/>
  <c r="BB1633" i="8"/>
  <c r="I14" i="13"/>
  <c r="I11" i="13"/>
  <c r="BB8" i="8"/>
  <c r="BC8" i="8"/>
  <c r="BB9" i="8"/>
  <c r="BC9" i="8"/>
  <c r="BB10" i="8"/>
  <c r="BC10" i="8"/>
  <c r="BB11" i="8"/>
  <c r="BC11" i="8"/>
  <c r="BB12" i="8"/>
  <c r="BC12" i="8"/>
  <c r="BB13" i="8"/>
  <c r="BC13" i="8"/>
  <c r="AG6" i="2"/>
  <c r="C5" i="13"/>
  <c r="H26" i="1"/>
  <c r="V8" i="13"/>
  <c r="AA20" i="1" s="1"/>
  <c r="H21" i="1"/>
  <c r="H34" i="1"/>
  <c r="H18" i="1"/>
  <c r="H20" i="1"/>
  <c r="H41" i="1"/>
  <c r="H11" i="1"/>
  <c r="H35" i="1"/>
  <c r="H32" i="1"/>
  <c r="H28" i="1"/>
  <c r="H22" i="1"/>
  <c r="H16" i="1"/>
  <c r="H33" i="1"/>
  <c r="H27" i="1"/>
  <c r="H29" i="1"/>
  <c r="H24" i="1"/>
  <c r="H14" i="1"/>
  <c r="AF7" i="8"/>
  <c r="BI1" i="8" s="1" a="1"/>
  <c r="BI1" i="8" s="1"/>
  <c r="AG7" i="2"/>
  <c r="AG8" i="2"/>
  <c r="E15" i="2"/>
  <c r="J26" i="2"/>
  <c r="I15" i="1"/>
  <c r="F20" i="2"/>
  <c r="H20" i="2" s="1"/>
  <c r="H9" i="1"/>
  <c r="U51" i="2"/>
  <c r="H15" i="1"/>
  <c r="Q27" i="13"/>
  <c r="R27" i="13" s="1"/>
  <c r="C26" i="13"/>
  <c r="B30" i="13"/>
  <c r="V19" i="13" a="1"/>
  <c r="V19" i="13" s="1"/>
  <c r="Z22" i="1" s="1"/>
  <c r="T19" i="13"/>
  <c r="T30" i="13"/>
  <c r="T29" i="13"/>
  <c r="T23" i="13"/>
  <c r="T22" i="13"/>
  <c r="T21" i="13"/>
  <c r="T20" i="13"/>
  <c r="T6" i="13"/>
  <c r="T5" i="13"/>
  <c r="V29" i="13"/>
  <c r="Z23" i="1" s="1"/>
  <c r="H12" i="13"/>
  <c r="B29" i="13"/>
  <c r="B5" i="13"/>
  <c r="A4" i="13"/>
  <c r="T7" i="13" l="1"/>
  <c r="W20" i="1"/>
  <c r="C21" i="13"/>
  <c r="B21" i="13"/>
  <c r="F26" i="2"/>
  <c r="I26" i="2" s="1"/>
  <c r="AG9" i="2"/>
  <c r="BB7" i="8"/>
  <c r="BC7" i="8"/>
  <c r="AN126" i="2"/>
  <c r="AL126" i="2"/>
  <c r="AH126" i="2"/>
  <c r="AJ126" i="2"/>
  <c r="V5" i="13"/>
  <c r="Z20" i="1" s="1"/>
  <c r="U12" i="13"/>
  <c r="U11" i="13"/>
  <c r="U52" i="2"/>
  <c r="H17" i="1"/>
  <c r="AI107" i="2" l="1"/>
  <c r="AI108" i="2"/>
  <c r="AI105" i="2"/>
  <c r="AI106" i="2"/>
  <c r="AG10" i="2"/>
  <c r="AI109" i="2"/>
  <c r="AI113" i="2"/>
  <c r="AL130" i="2"/>
  <c r="AL131" i="2"/>
  <c r="AN171" i="2"/>
  <c r="AN172" i="2"/>
  <c r="AN173" i="2"/>
  <c r="AN174" i="2"/>
  <c r="AJ127" i="2"/>
  <c r="AJ128" i="2"/>
  <c r="AJ129" i="2"/>
  <c r="AK109" i="2" s="1"/>
  <c r="AK128" i="2"/>
  <c r="AK127" i="2"/>
  <c r="AK126" i="2"/>
  <c r="AK125" i="2"/>
  <c r="AK124" i="2"/>
  <c r="AK123" i="2"/>
  <c r="AK122" i="2"/>
  <c r="AK121" i="2"/>
  <c r="AK120" i="2"/>
  <c r="AK119" i="2"/>
  <c r="AK118" i="2"/>
  <c r="AK117" i="2"/>
  <c r="AK116" i="2"/>
  <c r="AK115" i="2"/>
  <c r="AK114" i="2"/>
  <c r="AK112" i="2"/>
  <c r="AK111" i="2"/>
  <c r="AK110" i="2"/>
  <c r="AK198" i="2"/>
  <c r="AK197" i="2"/>
  <c r="AK196" i="2"/>
  <c r="AK195" i="2"/>
  <c r="AK194" i="2"/>
  <c r="AK193" i="2"/>
  <c r="AK192" i="2"/>
  <c r="AK191" i="2"/>
  <c r="AK190" i="2"/>
  <c r="AK189" i="2"/>
  <c r="AK188" i="2"/>
  <c r="AK187" i="2"/>
  <c r="AK186" i="2"/>
  <c r="AK185" i="2"/>
  <c r="AK184" i="2"/>
  <c r="AK183" i="2"/>
  <c r="AK182" i="2"/>
  <c r="AK181" i="2"/>
  <c r="AK180" i="2"/>
  <c r="AK179" i="2"/>
  <c r="AK178" i="2"/>
  <c r="AK177" i="2"/>
  <c r="AK176" i="2"/>
  <c r="AK175" i="2"/>
  <c r="AK174" i="2"/>
  <c r="AK173" i="2"/>
  <c r="AK172" i="2"/>
  <c r="AK171" i="2"/>
  <c r="AK170" i="2"/>
  <c r="AK169" i="2"/>
  <c r="AK168" i="2"/>
  <c r="AK167" i="2"/>
  <c r="AK166" i="2"/>
  <c r="AK165" i="2"/>
  <c r="AK164" i="2"/>
  <c r="AK163" i="2"/>
  <c r="AK162" i="2"/>
  <c r="AK161" i="2"/>
  <c r="AK160" i="2"/>
  <c r="AK159" i="2"/>
  <c r="AK158" i="2"/>
  <c r="AK157" i="2"/>
  <c r="AK156" i="2"/>
  <c r="AK155" i="2"/>
  <c r="AK154" i="2"/>
  <c r="AK153" i="2"/>
  <c r="AK152" i="2"/>
  <c r="AK151" i="2"/>
  <c r="AK150" i="2"/>
  <c r="AK149" i="2"/>
  <c r="AK148" i="2"/>
  <c r="AK147" i="2"/>
  <c r="AK146" i="2"/>
  <c r="AK145" i="2"/>
  <c r="AK144" i="2"/>
  <c r="AK143" i="2"/>
  <c r="AK142" i="2"/>
  <c r="AK141" i="2"/>
  <c r="AK140" i="2"/>
  <c r="AK139" i="2"/>
  <c r="AK138" i="2"/>
  <c r="AK137" i="2"/>
  <c r="AK136" i="2"/>
  <c r="AK135" i="2"/>
  <c r="AK134" i="2"/>
  <c r="AK133" i="2"/>
  <c r="AK132" i="2"/>
  <c r="AK131" i="2"/>
  <c r="AK130" i="2"/>
  <c r="AK129" i="2"/>
  <c r="AK108" i="2"/>
  <c r="AK107" i="2"/>
  <c r="AI198" i="2"/>
  <c r="AI197" i="2"/>
  <c r="AI196" i="2"/>
  <c r="AI195" i="2"/>
  <c r="AI194" i="2"/>
  <c r="AI193" i="2"/>
  <c r="AI192" i="2"/>
  <c r="AI191" i="2"/>
  <c r="AI190" i="2"/>
  <c r="AI189" i="2"/>
  <c r="AI188" i="2"/>
  <c r="AI187" i="2"/>
  <c r="AI186" i="2"/>
  <c r="AI185" i="2"/>
  <c r="AI184" i="2"/>
  <c r="AI183" i="2"/>
  <c r="AI182" i="2"/>
  <c r="AI181" i="2"/>
  <c r="AI180" i="2"/>
  <c r="AI179" i="2"/>
  <c r="AI178" i="2"/>
  <c r="AI177" i="2"/>
  <c r="AI176" i="2"/>
  <c r="AI175" i="2"/>
  <c r="AI174" i="2"/>
  <c r="AI173" i="2"/>
  <c r="AI172" i="2"/>
  <c r="AI171" i="2"/>
  <c r="AI170" i="2"/>
  <c r="AI169" i="2"/>
  <c r="AI168" i="2"/>
  <c r="AI167" i="2"/>
  <c r="AI166" i="2"/>
  <c r="AI165" i="2"/>
  <c r="AI164" i="2"/>
  <c r="AI163" i="2"/>
  <c r="AI162" i="2"/>
  <c r="AI161" i="2"/>
  <c r="AI160" i="2"/>
  <c r="AI159" i="2"/>
  <c r="AI158" i="2"/>
  <c r="AI157" i="2"/>
  <c r="AI156" i="2"/>
  <c r="AI155" i="2"/>
  <c r="AI154" i="2"/>
  <c r="AI153" i="2"/>
  <c r="AI152" i="2"/>
  <c r="AI151" i="2"/>
  <c r="AI150" i="2"/>
  <c r="AI149" i="2"/>
  <c r="AI148" i="2"/>
  <c r="AI147" i="2"/>
  <c r="AI146" i="2"/>
  <c r="AI145" i="2"/>
  <c r="AI144" i="2"/>
  <c r="AI143" i="2"/>
  <c r="AI142" i="2"/>
  <c r="AI141" i="2"/>
  <c r="AI140" i="2"/>
  <c r="AI139" i="2"/>
  <c r="AI138" i="2"/>
  <c r="AI137" i="2"/>
  <c r="AI136" i="2"/>
  <c r="AI135" i="2"/>
  <c r="AI134" i="2"/>
  <c r="AI133" i="2"/>
  <c r="AI132" i="2"/>
  <c r="AI131" i="2"/>
  <c r="AI130" i="2"/>
  <c r="AI129" i="2"/>
  <c r="AI128" i="2"/>
  <c r="AI127" i="2"/>
  <c r="AI126" i="2"/>
  <c r="AI125" i="2"/>
  <c r="AI124" i="2"/>
  <c r="AI123" i="2"/>
  <c r="AI122" i="2"/>
  <c r="AI121" i="2"/>
  <c r="AI120" i="2"/>
  <c r="AI119" i="2"/>
  <c r="AI118" i="2"/>
  <c r="AI117" i="2"/>
  <c r="AI116" i="2"/>
  <c r="AI115" i="2"/>
  <c r="AI114" i="2"/>
  <c r="AI112" i="2"/>
  <c r="AI111" i="2"/>
  <c r="AI110" i="2"/>
  <c r="B5" i="14" s="1" a="1"/>
  <c r="B5" i="14" s="1"/>
  <c r="BC4" i="8"/>
  <c r="BC5" i="8"/>
  <c r="BC6" i="8"/>
  <c r="BB5" i="8"/>
  <c r="BD4" i="8"/>
  <c r="BB4" i="8"/>
  <c r="BJ1" i="8" s="1"/>
  <c r="BB6" i="8"/>
  <c r="V12" i="13"/>
  <c r="Z21" i="1" s="1"/>
  <c r="U53" i="2"/>
  <c r="CJ1266" i="8" l="1"/>
  <c r="CI1266" i="8"/>
  <c r="CH1266" i="8"/>
  <c r="CG1266" i="8"/>
  <c r="CF1266" i="8"/>
  <c r="CE1266" i="8"/>
  <c r="CD1266" i="8"/>
  <c r="CC1266" i="8"/>
  <c r="CB1266" i="8"/>
  <c r="CA1266" i="8"/>
  <c r="BZ1266" i="8"/>
  <c r="BY1266" i="8"/>
  <c r="BX1266" i="8"/>
  <c r="BW1266" i="8"/>
  <c r="BV1266" i="8"/>
  <c r="BU1266" i="8"/>
  <c r="BT1266" i="8"/>
  <c r="BS1266" i="8"/>
  <c r="BR1266" i="8"/>
  <c r="BQ1266" i="8"/>
  <c r="BP1266" i="8"/>
  <c r="BO1266" i="8"/>
  <c r="BN1266" i="8"/>
  <c r="BM1266" i="8"/>
  <c r="BL1266" i="8"/>
  <c r="BK1266" i="8"/>
  <c r="BJ1266" i="8"/>
  <c r="BI1266" i="8"/>
  <c r="BH1266" i="8"/>
  <c r="CJ1267" i="8"/>
  <c r="CI1267" i="8"/>
  <c r="CH1267" i="8"/>
  <c r="CG1267" i="8"/>
  <c r="CF1267" i="8"/>
  <c r="CE1267" i="8"/>
  <c r="CD1267" i="8"/>
  <c r="CC1267" i="8"/>
  <c r="CB1267" i="8"/>
  <c r="CA1267" i="8"/>
  <c r="BZ1267" i="8"/>
  <c r="BY1267" i="8"/>
  <c r="BX1267" i="8"/>
  <c r="BW1267" i="8"/>
  <c r="BV1267" i="8"/>
  <c r="BU1267" i="8"/>
  <c r="BT1267" i="8"/>
  <c r="BS1267" i="8"/>
  <c r="BR1267" i="8"/>
  <c r="BQ1267" i="8"/>
  <c r="BP1267" i="8"/>
  <c r="BO1267" i="8"/>
  <c r="BN1267" i="8"/>
  <c r="BM1267" i="8"/>
  <c r="BL1267" i="8"/>
  <c r="BK1267" i="8"/>
  <c r="BJ1267" i="8"/>
  <c r="BI1267" i="8"/>
  <c r="BH1267" i="8"/>
  <c r="CJ1268" i="8"/>
  <c r="CI1268" i="8"/>
  <c r="CH1268" i="8"/>
  <c r="CG1268" i="8"/>
  <c r="CF1268" i="8"/>
  <c r="CE1268" i="8"/>
  <c r="CD1268" i="8"/>
  <c r="CC1268" i="8"/>
  <c r="CB1268" i="8"/>
  <c r="CA1268" i="8"/>
  <c r="BZ1268" i="8"/>
  <c r="BY1268" i="8"/>
  <c r="BX1268" i="8"/>
  <c r="BW1268" i="8"/>
  <c r="BV1268" i="8"/>
  <c r="BU1268" i="8"/>
  <c r="BT1268" i="8"/>
  <c r="BS1268" i="8"/>
  <c r="BR1268" i="8"/>
  <c r="BQ1268" i="8"/>
  <c r="BP1268" i="8"/>
  <c r="BO1268" i="8"/>
  <c r="BN1268" i="8"/>
  <c r="BM1268" i="8"/>
  <c r="BL1268" i="8"/>
  <c r="BK1268" i="8"/>
  <c r="BJ1268" i="8"/>
  <c r="BI1268" i="8"/>
  <c r="BH1268" i="8"/>
  <c r="CJ1269" i="8"/>
  <c r="CI1269" i="8"/>
  <c r="CH1269" i="8"/>
  <c r="CG1269" i="8"/>
  <c r="CF1269" i="8"/>
  <c r="CE1269" i="8"/>
  <c r="CD1269" i="8"/>
  <c r="CC1269" i="8"/>
  <c r="CB1269" i="8"/>
  <c r="CA1269" i="8"/>
  <c r="BZ1269" i="8"/>
  <c r="BY1269" i="8"/>
  <c r="BX1269" i="8"/>
  <c r="BW1269" i="8"/>
  <c r="BV1269" i="8"/>
  <c r="BU1269" i="8"/>
  <c r="BT1269" i="8"/>
  <c r="BS1269" i="8"/>
  <c r="BR1269" i="8"/>
  <c r="BQ1269" i="8"/>
  <c r="BP1269" i="8"/>
  <c r="BO1269" i="8"/>
  <c r="BN1269" i="8"/>
  <c r="BM1269" i="8"/>
  <c r="BL1269" i="8"/>
  <c r="BK1269" i="8"/>
  <c r="BJ1269" i="8"/>
  <c r="BI1269" i="8"/>
  <c r="BH1269" i="8"/>
  <c r="CJ1270" i="8"/>
  <c r="CI1270" i="8"/>
  <c r="CH1270" i="8"/>
  <c r="CG1270" i="8"/>
  <c r="CF1270" i="8"/>
  <c r="CE1270" i="8"/>
  <c r="CD1270" i="8"/>
  <c r="CC1270" i="8"/>
  <c r="CB1270" i="8"/>
  <c r="CA1270" i="8"/>
  <c r="BZ1270" i="8"/>
  <c r="BY1270" i="8"/>
  <c r="BX1270" i="8"/>
  <c r="BW1270" i="8"/>
  <c r="BV1270" i="8"/>
  <c r="BU1270" i="8"/>
  <c r="BT1270" i="8"/>
  <c r="BS1270" i="8"/>
  <c r="BR1270" i="8"/>
  <c r="BQ1270" i="8"/>
  <c r="BP1270" i="8"/>
  <c r="BO1270" i="8"/>
  <c r="BN1270" i="8"/>
  <c r="BM1270" i="8"/>
  <c r="BL1270" i="8"/>
  <c r="BK1270" i="8"/>
  <c r="BJ1270" i="8"/>
  <c r="BI1270" i="8"/>
  <c r="BH1270" i="8"/>
  <c r="CJ1271" i="8"/>
  <c r="CI1271" i="8"/>
  <c r="CH1271" i="8"/>
  <c r="CG1271" i="8"/>
  <c r="CF1271" i="8"/>
  <c r="CE1271" i="8"/>
  <c r="CD1271" i="8"/>
  <c r="CC1271" i="8"/>
  <c r="CB1271" i="8"/>
  <c r="CA1271" i="8"/>
  <c r="BZ1271" i="8"/>
  <c r="BY1271" i="8"/>
  <c r="BX1271" i="8"/>
  <c r="BW1271" i="8"/>
  <c r="BV1271" i="8"/>
  <c r="BU1271" i="8"/>
  <c r="BT1271" i="8"/>
  <c r="BS1271" i="8"/>
  <c r="BR1271" i="8"/>
  <c r="BQ1271" i="8"/>
  <c r="BP1271" i="8"/>
  <c r="BO1271" i="8"/>
  <c r="BN1271" i="8"/>
  <c r="BM1271" i="8"/>
  <c r="BL1271" i="8"/>
  <c r="BK1271" i="8"/>
  <c r="BJ1271" i="8"/>
  <c r="BI1271" i="8"/>
  <c r="BH1271" i="8"/>
  <c r="CJ1272" i="8"/>
  <c r="CI1272" i="8"/>
  <c r="CH1272" i="8"/>
  <c r="CG1272" i="8"/>
  <c r="CF1272" i="8"/>
  <c r="CE1272" i="8"/>
  <c r="CD1272" i="8"/>
  <c r="CC1272" i="8"/>
  <c r="CB1272" i="8"/>
  <c r="CA1272" i="8"/>
  <c r="BZ1272" i="8"/>
  <c r="BY1272" i="8"/>
  <c r="BX1272" i="8"/>
  <c r="BW1272" i="8"/>
  <c r="BV1272" i="8"/>
  <c r="BU1272" i="8"/>
  <c r="BT1272" i="8"/>
  <c r="BS1272" i="8"/>
  <c r="BR1272" i="8"/>
  <c r="BQ1272" i="8"/>
  <c r="BP1272" i="8"/>
  <c r="BO1272" i="8"/>
  <c r="BN1272" i="8"/>
  <c r="BM1272" i="8"/>
  <c r="BL1272" i="8"/>
  <c r="BK1272" i="8"/>
  <c r="BJ1272" i="8"/>
  <c r="BI1272" i="8"/>
  <c r="BH1272" i="8"/>
  <c r="CJ1273" i="8"/>
  <c r="CI1273" i="8"/>
  <c r="CH1273" i="8"/>
  <c r="CG1273" i="8"/>
  <c r="CF1273" i="8"/>
  <c r="CE1273" i="8"/>
  <c r="CD1273" i="8"/>
  <c r="CC1273" i="8"/>
  <c r="CB1273" i="8"/>
  <c r="CA1273" i="8"/>
  <c r="BZ1273" i="8"/>
  <c r="BY1273" i="8"/>
  <c r="BX1273" i="8"/>
  <c r="BW1273" i="8"/>
  <c r="BV1273" i="8"/>
  <c r="BU1273" i="8"/>
  <c r="BT1273" i="8"/>
  <c r="BS1273" i="8"/>
  <c r="BR1273" i="8"/>
  <c r="BQ1273" i="8"/>
  <c r="BP1273" i="8"/>
  <c r="BO1273" i="8"/>
  <c r="BN1273" i="8"/>
  <c r="BM1273" i="8"/>
  <c r="BL1273" i="8"/>
  <c r="BK1273" i="8"/>
  <c r="BJ1273" i="8"/>
  <c r="BI1273" i="8"/>
  <c r="BH1273" i="8"/>
  <c r="CJ1274" i="8"/>
  <c r="CI1274" i="8"/>
  <c r="CH1274" i="8"/>
  <c r="CG1274" i="8"/>
  <c r="CF1274" i="8"/>
  <c r="CE1274" i="8"/>
  <c r="CD1274" i="8"/>
  <c r="CC1274" i="8"/>
  <c r="CB1274" i="8"/>
  <c r="CA1274" i="8"/>
  <c r="BZ1274" i="8"/>
  <c r="BY1274" i="8"/>
  <c r="BX1274" i="8"/>
  <c r="BW1274" i="8"/>
  <c r="BV1274" i="8"/>
  <c r="BU1274" i="8"/>
  <c r="BT1274" i="8"/>
  <c r="BS1274" i="8"/>
  <c r="BR1274" i="8"/>
  <c r="BQ1274" i="8"/>
  <c r="BP1274" i="8"/>
  <c r="BO1274" i="8"/>
  <c r="BN1274" i="8"/>
  <c r="BM1274" i="8"/>
  <c r="BL1274" i="8"/>
  <c r="BK1274" i="8"/>
  <c r="BJ1274" i="8"/>
  <c r="BI1274" i="8"/>
  <c r="BH1274" i="8"/>
  <c r="CJ1275" i="8"/>
  <c r="CI1275" i="8"/>
  <c r="CH1275" i="8"/>
  <c r="CG1275" i="8"/>
  <c r="CF1275" i="8"/>
  <c r="CE1275" i="8"/>
  <c r="CD1275" i="8"/>
  <c r="CC1275" i="8"/>
  <c r="CB1275" i="8"/>
  <c r="CA1275" i="8"/>
  <c r="BZ1275" i="8"/>
  <c r="BY1275" i="8"/>
  <c r="BX1275" i="8"/>
  <c r="BW1275" i="8"/>
  <c r="BV1275" i="8"/>
  <c r="BU1275" i="8"/>
  <c r="BT1275" i="8"/>
  <c r="BS1275" i="8"/>
  <c r="BR1275" i="8"/>
  <c r="BQ1275" i="8"/>
  <c r="BP1275" i="8"/>
  <c r="BO1275" i="8"/>
  <c r="BN1275" i="8"/>
  <c r="BM1275" i="8"/>
  <c r="BL1275" i="8"/>
  <c r="BK1275" i="8"/>
  <c r="BJ1275" i="8"/>
  <c r="BI1275" i="8"/>
  <c r="BH1275" i="8"/>
  <c r="CJ1276" i="8"/>
  <c r="CI1276" i="8"/>
  <c r="CH1276" i="8"/>
  <c r="CG1276" i="8"/>
  <c r="CF1276" i="8"/>
  <c r="CE1276" i="8"/>
  <c r="CD1276" i="8"/>
  <c r="CC1276" i="8"/>
  <c r="CB1276" i="8"/>
  <c r="CA1276" i="8"/>
  <c r="BZ1276" i="8"/>
  <c r="BY1276" i="8"/>
  <c r="BX1276" i="8"/>
  <c r="BW1276" i="8"/>
  <c r="BV1276" i="8"/>
  <c r="BU1276" i="8"/>
  <c r="BT1276" i="8"/>
  <c r="BS1276" i="8"/>
  <c r="BR1276" i="8"/>
  <c r="BQ1276" i="8"/>
  <c r="BP1276" i="8"/>
  <c r="BO1276" i="8"/>
  <c r="BN1276" i="8"/>
  <c r="BM1276" i="8"/>
  <c r="BL1276" i="8"/>
  <c r="BK1276" i="8"/>
  <c r="BJ1276" i="8"/>
  <c r="BI1276" i="8"/>
  <c r="BH1276" i="8"/>
  <c r="CJ1277" i="8"/>
  <c r="CI1277" i="8"/>
  <c r="CH1277" i="8"/>
  <c r="CG1277" i="8"/>
  <c r="CF1277" i="8"/>
  <c r="CE1277" i="8"/>
  <c r="CD1277" i="8"/>
  <c r="CC1277" i="8"/>
  <c r="CB1277" i="8"/>
  <c r="CA1277" i="8"/>
  <c r="BZ1277" i="8"/>
  <c r="BY1277" i="8"/>
  <c r="BX1277" i="8"/>
  <c r="BW1277" i="8"/>
  <c r="BV1277" i="8"/>
  <c r="BU1277" i="8"/>
  <c r="BT1277" i="8"/>
  <c r="BS1277" i="8"/>
  <c r="BR1277" i="8"/>
  <c r="BQ1277" i="8"/>
  <c r="BP1277" i="8"/>
  <c r="BO1277" i="8"/>
  <c r="BN1277" i="8"/>
  <c r="BM1277" i="8"/>
  <c r="BL1277" i="8"/>
  <c r="BK1277" i="8"/>
  <c r="BJ1277" i="8"/>
  <c r="BI1277" i="8"/>
  <c r="BH1277" i="8"/>
  <c r="CJ1278" i="8"/>
  <c r="CI1278" i="8"/>
  <c r="CH1278" i="8"/>
  <c r="CG1278" i="8"/>
  <c r="CF1278" i="8"/>
  <c r="CE1278" i="8"/>
  <c r="CD1278" i="8"/>
  <c r="CC1278" i="8"/>
  <c r="CB1278" i="8"/>
  <c r="CA1278" i="8"/>
  <c r="BZ1278" i="8"/>
  <c r="BY1278" i="8"/>
  <c r="BX1278" i="8"/>
  <c r="BW1278" i="8"/>
  <c r="BV1278" i="8"/>
  <c r="BU1278" i="8"/>
  <c r="BT1278" i="8"/>
  <c r="BS1278" i="8"/>
  <c r="BR1278" i="8"/>
  <c r="BQ1278" i="8"/>
  <c r="BP1278" i="8"/>
  <c r="BO1278" i="8"/>
  <c r="BN1278" i="8"/>
  <c r="BM1278" i="8"/>
  <c r="BL1278" i="8"/>
  <c r="BK1278" i="8"/>
  <c r="BJ1278" i="8"/>
  <c r="BI1278" i="8"/>
  <c r="BH1278" i="8"/>
  <c r="CJ1279" i="8"/>
  <c r="CI1279" i="8"/>
  <c r="CH1279" i="8"/>
  <c r="CG1279" i="8"/>
  <c r="CF1279" i="8"/>
  <c r="CE1279" i="8"/>
  <c r="CD1279" i="8"/>
  <c r="CC1279" i="8"/>
  <c r="CB1279" i="8"/>
  <c r="CA1279" i="8"/>
  <c r="BZ1279" i="8"/>
  <c r="BY1279" i="8"/>
  <c r="BX1279" i="8"/>
  <c r="BW1279" i="8"/>
  <c r="BV1279" i="8"/>
  <c r="BU1279" i="8"/>
  <c r="BT1279" i="8"/>
  <c r="BS1279" i="8"/>
  <c r="BR1279" i="8"/>
  <c r="BQ1279" i="8"/>
  <c r="BP1279" i="8"/>
  <c r="BO1279" i="8"/>
  <c r="BN1279" i="8"/>
  <c r="BM1279" i="8"/>
  <c r="BL1279" i="8"/>
  <c r="BK1279" i="8"/>
  <c r="BJ1279" i="8"/>
  <c r="BI1279" i="8"/>
  <c r="BH1279" i="8"/>
  <c r="CJ1280" i="8"/>
  <c r="CI1280" i="8"/>
  <c r="CH1280" i="8"/>
  <c r="CG1280" i="8"/>
  <c r="CF1280" i="8"/>
  <c r="CE1280" i="8"/>
  <c r="CD1280" i="8"/>
  <c r="CC1280" i="8"/>
  <c r="CB1280" i="8"/>
  <c r="CA1280" i="8"/>
  <c r="BZ1280" i="8"/>
  <c r="BY1280" i="8"/>
  <c r="BX1280" i="8"/>
  <c r="BW1280" i="8"/>
  <c r="BV1280" i="8"/>
  <c r="BU1280" i="8"/>
  <c r="BT1280" i="8"/>
  <c r="BS1280" i="8"/>
  <c r="BR1280" i="8"/>
  <c r="BQ1280" i="8"/>
  <c r="BP1280" i="8"/>
  <c r="BO1280" i="8"/>
  <c r="BN1280" i="8"/>
  <c r="BM1280" i="8"/>
  <c r="BL1280" i="8"/>
  <c r="BK1280" i="8"/>
  <c r="BJ1280" i="8"/>
  <c r="BI1280" i="8"/>
  <c r="BH1280" i="8"/>
  <c r="CJ1251" i="8"/>
  <c r="CI1251" i="8"/>
  <c r="CH1251" i="8"/>
  <c r="CG1251" i="8"/>
  <c r="CF1251" i="8"/>
  <c r="CE1251" i="8"/>
  <c r="CD1251" i="8"/>
  <c r="CC1251" i="8"/>
  <c r="CB1251" i="8"/>
  <c r="CA1251" i="8"/>
  <c r="BZ1251" i="8"/>
  <c r="BY1251" i="8"/>
  <c r="BX1251" i="8"/>
  <c r="BW1251" i="8"/>
  <c r="BV1251" i="8"/>
  <c r="BU1251" i="8"/>
  <c r="BT1251" i="8"/>
  <c r="BS1251" i="8"/>
  <c r="BR1251" i="8"/>
  <c r="BQ1251" i="8"/>
  <c r="BP1251" i="8"/>
  <c r="BO1251" i="8"/>
  <c r="BN1251" i="8"/>
  <c r="BM1251" i="8"/>
  <c r="BL1251" i="8"/>
  <c r="BK1251" i="8"/>
  <c r="BJ1251" i="8"/>
  <c r="BI1251" i="8"/>
  <c r="BH1251" i="8"/>
  <c r="CJ1252" i="8"/>
  <c r="CI1252" i="8"/>
  <c r="CH1252" i="8"/>
  <c r="CG1252" i="8"/>
  <c r="CF1252" i="8"/>
  <c r="CE1252" i="8"/>
  <c r="CD1252" i="8"/>
  <c r="CC1252" i="8"/>
  <c r="CB1252" i="8"/>
  <c r="CA1252" i="8"/>
  <c r="BZ1252" i="8"/>
  <c r="BY1252" i="8"/>
  <c r="BX1252" i="8"/>
  <c r="BW1252" i="8"/>
  <c r="BV1252" i="8"/>
  <c r="BU1252" i="8"/>
  <c r="BT1252" i="8"/>
  <c r="BS1252" i="8"/>
  <c r="BR1252" i="8"/>
  <c r="BQ1252" i="8"/>
  <c r="BP1252" i="8"/>
  <c r="BO1252" i="8"/>
  <c r="BN1252" i="8"/>
  <c r="BM1252" i="8"/>
  <c r="BL1252" i="8"/>
  <c r="BK1252" i="8"/>
  <c r="BJ1252" i="8"/>
  <c r="BI1252" i="8"/>
  <c r="BH1252" i="8"/>
  <c r="CJ1253" i="8"/>
  <c r="CI1253" i="8"/>
  <c r="CH1253" i="8"/>
  <c r="CG1253" i="8"/>
  <c r="CF1253" i="8"/>
  <c r="CE1253" i="8"/>
  <c r="CD1253" i="8"/>
  <c r="CC1253" i="8"/>
  <c r="CB1253" i="8"/>
  <c r="CA1253" i="8"/>
  <c r="BZ1253" i="8"/>
  <c r="BY1253" i="8"/>
  <c r="BX1253" i="8"/>
  <c r="BW1253" i="8"/>
  <c r="BV1253" i="8"/>
  <c r="BU1253" i="8"/>
  <c r="BT1253" i="8"/>
  <c r="BS1253" i="8"/>
  <c r="BR1253" i="8"/>
  <c r="BQ1253" i="8"/>
  <c r="BP1253" i="8"/>
  <c r="BO1253" i="8"/>
  <c r="BN1253" i="8"/>
  <c r="BM1253" i="8"/>
  <c r="BL1253" i="8"/>
  <c r="BK1253" i="8"/>
  <c r="BJ1253" i="8"/>
  <c r="BI1253" i="8"/>
  <c r="BH1253" i="8"/>
  <c r="CJ1254" i="8"/>
  <c r="CI1254" i="8"/>
  <c r="CH1254" i="8"/>
  <c r="CG1254" i="8"/>
  <c r="CF1254" i="8"/>
  <c r="CE1254" i="8"/>
  <c r="CD1254" i="8"/>
  <c r="CC1254" i="8"/>
  <c r="CB1254" i="8"/>
  <c r="CA1254" i="8"/>
  <c r="BZ1254" i="8"/>
  <c r="BY1254" i="8"/>
  <c r="BX1254" i="8"/>
  <c r="BW1254" i="8"/>
  <c r="BV1254" i="8"/>
  <c r="BU1254" i="8"/>
  <c r="BT1254" i="8"/>
  <c r="BS1254" i="8"/>
  <c r="BR1254" i="8"/>
  <c r="BQ1254" i="8"/>
  <c r="BP1254" i="8"/>
  <c r="BO1254" i="8"/>
  <c r="BN1254" i="8"/>
  <c r="BM1254" i="8"/>
  <c r="BL1254" i="8"/>
  <c r="BK1254" i="8"/>
  <c r="BJ1254" i="8"/>
  <c r="BI1254" i="8"/>
  <c r="BH1254" i="8"/>
  <c r="CJ1255" i="8"/>
  <c r="CI1255" i="8"/>
  <c r="CH1255" i="8"/>
  <c r="CG1255" i="8"/>
  <c r="CF1255" i="8"/>
  <c r="CE1255" i="8"/>
  <c r="CD1255" i="8"/>
  <c r="CC1255" i="8"/>
  <c r="CB1255" i="8"/>
  <c r="CA1255" i="8"/>
  <c r="BZ1255" i="8"/>
  <c r="BY1255" i="8"/>
  <c r="BX1255" i="8"/>
  <c r="BW1255" i="8"/>
  <c r="BV1255" i="8"/>
  <c r="BU1255" i="8"/>
  <c r="BT1255" i="8"/>
  <c r="BS1255" i="8"/>
  <c r="BR1255" i="8"/>
  <c r="BQ1255" i="8"/>
  <c r="BP1255" i="8"/>
  <c r="BO1255" i="8"/>
  <c r="BN1255" i="8"/>
  <c r="BM1255" i="8"/>
  <c r="BL1255" i="8"/>
  <c r="BK1255" i="8"/>
  <c r="BJ1255" i="8"/>
  <c r="BI1255" i="8"/>
  <c r="BH1255" i="8"/>
  <c r="CJ1256" i="8"/>
  <c r="CI1256" i="8"/>
  <c r="CH1256" i="8"/>
  <c r="CG1256" i="8"/>
  <c r="CF1256" i="8"/>
  <c r="CE1256" i="8"/>
  <c r="CD1256" i="8"/>
  <c r="CC1256" i="8"/>
  <c r="CB1256" i="8"/>
  <c r="CA1256" i="8"/>
  <c r="BZ1256" i="8"/>
  <c r="BY1256" i="8"/>
  <c r="BX1256" i="8"/>
  <c r="BW1256" i="8"/>
  <c r="BV1256" i="8"/>
  <c r="BU1256" i="8"/>
  <c r="BT1256" i="8"/>
  <c r="BS1256" i="8"/>
  <c r="BR1256" i="8"/>
  <c r="BQ1256" i="8"/>
  <c r="BP1256" i="8"/>
  <c r="BO1256" i="8"/>
  <c r="BN1256" i="8"/>
  <c r="BM1256" i="8"/>
  <c r="BL1256" i="8"/>
  <c r="BK1256" i="8"/>
  <c r="BJ1256" i="8"/>
  <c r="BI1256" i="8"/>
  <c r="BH1256" i="8"/>
  <c r="CJ1257" i="8"/>
  <c r="CI1257" i="8"/>
  <c r="CH1257" i="8"/>
  <c r="CG1257" i="8"/>
  <c r="CF1257" i="8"/>
  <c r="CE1257" i="8"/>
  <c r="CD1257" i="8"/>
  <c r="CC1257" i="8"/>
  <c r="CB1257" i="8"/>
  <c r="CA1257" i="8"/>
  <c r="BZ1257" i="8"/>
  <c r="BY1257" i="8"/>
  <c r="BX1257" i="8"/>
  <c r="BW1257" i="8"/>
  <c r="BV1257" i="8"/>
  <c r="BU1257" i="8"/>
  <c r="BT1257" i="8"/>
  <c r="BS1257" i="8"/>
  <c r="BR1257" i="8"/>
  <c r="BQ1257" i="8"/>
  <c r="BP1257" i="8"/>
  <c r="BO1257" i="8"/>
  <c r="BN1257" i="8"/>
  <c r="BM1257" i="8"/>
  <c r="BL1257" i="8"/>
  <c r="BK1257" i="8"/>
  <c r="BJ1257" i="8"/>
  <c r="BI1257" i="8"/>
  <c r="BH1257" i="8"/>
  <c r="CJ1258" i="8"/>
  <c r="CI1258" i="8"/>
  <c r="CH1258" i="8"/>
  <c r="CG1258" i="8"/>
  <c r="CF1258" i="8"/>
  <c r="CE1258" i="8"/>
  <c r="CD1258" i="8"/>
  <c r="CC1258" i="8"/>
  <c r="CB1258" i="8"/>
  <c r="CA1258" i="8"/>
  <c r="BZ1258" i="8"/>
  <c r="BY1258" i="8"/>
  <c r="BX1258" i="8"/>
  <c r="BW1258" i="8"/>
  <c r="BV1258" i="8"/>
  <c r="BU1258" i="8"/>
  <c r="BT1258" i="8"/>
  <c r="BS1258" i="8"/>
  <c r="BR1258" i="8"/>
  <c r="BQ1258" i="8"/>
  <c r="BP1258" i="8"/>
  <c r="BO1258" i="8"/>
  <c r="BN1258" i="8"/>
  <c r="BM1258" i="8"/>
  <c r="BL1258" i="8"/>
  <c r="BK1258" i="8"/>
  <c r="BJ1258" i="8"/>
  <c r="BI1258" i="8"/>
  <c r="BH1258" i="8"/>
  <c r="CJ1259" i="8"/>
  <c r="CI1259" i="8"/>
  <c r="CH1259" i="8"/>
  <c r="CG1259" i="8"/>
  <c r="CF1259" i="8"/>
  <c r="CE1259" i="8"/>
  <c r="CD1259" i="8"/>
  <c r="CC1259" i="8"/>
  <c r="CB1259" i="8"/>
  <c r="CA1259" i="8"/>
  <c r="BZ1259" i="8"/>
  <c r="BY1259" i="8"/>
  <c r="BX1259" i="8"/>
  <c r="BW1259" i="8"/>
  <c r="BV1259" i="8"/>
  <c r="BU1259" i="8"/>
  <c r="BT1259" i="8"/>
  <c r="BS1259" i="8"/>
  <c r="BR1259" i="8"/>
  <c r="BQ1259" i="8"/>
  <c r="BP1259" i="8"/>
  <c r="BO1259" i="8"/>
  <c r="BN1259" i="8"/>
  <c r="BM1259" i="8"/>
  <c r="BL1259" i="8"/>
  <c r="BK1259" i="8"/>
  <c r="BJ1259" i="8"/>
  <c r="BI1259" i="8"/>
  <c r="BH1259" i="8"/>
  <c r="CJ1260" i="8"/>
  <c r="CI1260" i="8"/>
  <c r="CH1260" i="8"/>
  <c r="CG1260" i="8"/>
  <c r="CF1260" i="8"/>
  <c r="CE1260" i="8"/>
  <c r="CD1260" i="8"/>
  <c r="CC1260" i="8"/>
  <c r="CB1260" i="8"/>
  <c r="CA1260" i="8"/>
  <c r="BZ1260" i="8"/>
  <c r="BY1260" i="8"/>
  <c r="BX1260" i="8"/>
  <c r="BW1260" i="8"/>
  <c r="BV1260" i="8"/>
  <c r="BU1260" i="8"/>
  <c r="BT1260" i="8"/>
  <c r="BS1260" i="8"/>
  <c r="BR1260" i="8"/>
  <c r="BQ1260" i="8"/>
  <c r="BP1260" i="8"/>
  <c r="BO1260" i="8"/>
  <c r="BN1260" i="8"/>
  <c r="BM1260" i="8"/>
  <c r="BL1260" i="8"/>
  <c r="BK1260" i="8"/>
  <c r="BJ1260" i="8"/>
  <c r="BI1260" i="8"/>
  <c r="BH1260" i="8"/>
  <c r="CJ1261" i="8"/>
  <c r="CI1261" i="8"/>
  <c r="CH1261" i="8"/>
  <c r="CG1261" i="8"/>
  <c r="CF1261" i="8"/>
  <c r="CE1261" i="8"/>
  <c r="CD1261" i="8"/>
  <c r="CC1261" i="8"/>
  <c r="CB1261" i="8"/>
  <c r="CA1261" i="8"/>
  <c r="BZ1261" i="8"/>
  <c r="BY1261" i="8"/>
  <c r="BX1261" i="8"/>
  <c r="BW1261" i="8"/>
  <c r="BV1261" i="8"/>
  <c r="BU1261" i="8"/>
  <c r="BT1261" i="8"/>
  <c r="BS1261" i="8"/>
  <c r="BR1261" i="8"/>
  <c r="BQ1261" i="8"/>
  <c r="BP1261" i="8"/>
  <c r="BO1261" i="8"/>
  <c r="BN1261" i="8"/>
  <c r="BM1261" i="8"/>
  <c r="BL1261" i="8"/>
  <c r="BK1261" i="8"/>
  <c r="BJ1261" i="8"/>
  <c r="BI1261" i="8"/>
  <c r="BH1261" i="8"/>
  <c r="CJ1262" i="8"/>
  <c r="CI1262" i="8"/>
  <c r="CH1262" i="8"/>
  <c r="CG1262" i="8"/>
  <c r="CF1262" i="8"/>
  <c r="CE1262" i="8"/>
  <c r="CD1262" i="8"/>
  <c r="CC1262" i="8"/>
  <c r="CB1262" i="8"/>
  <c r="CA1262" i="8"/>
  <c r="BZ1262" i="8"/>
  <c r="BY1262" i="8"/>
  <c r="BX1262" i="8"/>
  <c r="BW1262" i="8"/>
  <c r="BV1262" i="8"/>
  <c r="BU1262" i="8"/>
  <c r="BT1262" i="8"/>
  <c r="BS1262" i="8"/>
  <c r="BR1262" i="8"/>
  <c r="BQ1262" i="8"/>
  <c r="BP1262" i="8"/>
  <c r="BO1262" i="8"/>
  <c r="BN1262" i="8"/>
  <c r="BM1262" i="8"/>
  <c r="BL1262" i="8"/>
  <c r="BK1262" i="8"/>
  <c r="BJ1262" i="8"/>
  <c r="BI1262" i="8"/>
  <c r="BH1262" i="8"/>
  <c r="CJ1263" i="8"/>
  <c r="CI1263" i="8"/>
  <c r="CH1263" i="8"/>
  <c r="CG1263" i="8"/>
  <c r="CF1263" i="8"/>
  <c r="CE1263" i="8"/>
  <c r="CD1263" i="8"/>
  <c r="CC1263" i="8"/>
  <c r="CB1263" i="8"/>
  <c r="CA1263" i="8"/>
  <c r="BZ1263" i="8"/>
  <c r="BY1263" i="8"/>
  <c r="BX1263" i="8"/>
  <c r="BW1263" i="8"/>
  <c r="BV1263" i="8"/>
  <c r="BU1263" i="8"/>
  <c r="BT1263" i="8"/>
  <c r="BS1263" i="8"/>
  <c r="BR1263" i="8"/>
  <c r="BQ1263" i="8"/>
  <c r="BP1263" i="8"/>
  <c r="BO1263" i="8"/>
  <c r="BN1263" i="8"/>
  <c r="BM1263" i="8"/>
  <c r="BL1263" i="8"/>
  <c r="BK1263" i="8"/>
  <c r="BJ1263" i="8"/>
  <c r="BI1263" i="8"/>
  <c r="BH1263" i="8"/>
  <c r="CJ1264" i="8"/>
  <c r="CI1264" i="8"/>
  <c r="CH1264" i="8"/>
  <c r="CG1264" i="8"/>
  <c r="CF1264" i="8"/>
  <c r="CE1264" i="8"/>
  <c r="CD1264" i="8"/>
  <c r="CC1264" i="8"/>
  <c r="CB1264" i="8"/>
  <c r="CA1264" i="8"/>
  <c r="BZ1264" i="8"/>
  <c r="BY1264" i="8"/>
  <c r="BX1264" i="8"/>
  <c r="BW1264" i="8"/>
  <c r="BV1264" i="8"/>
  <c r="BU1264" i="8"/>
  <c r="BT1264" i="8"/>
  <c r="BS1264" i="8"/>
  <c r="BR1264" i="8"/>
  <c r="BQ1264" i="8"/>
  <c r="BP1264" i="8"/>
  <c r="BO1264" i="8"/>
  <c r="BN1264" i="8"/>
  <c r="BM1264" i="8"/>
  <c r="BL1264" i="8"/>
  <c r="BK1264" i="8"/>
  <c r="BJ1264" i="8"/>
  <c r="BI1264" i="8"/>
  <c r="BH1264" i="8"/>
  <c r="CJ1265" i="8"/>
  <c r="CI1265" i="8"/>
  <c r="CH1265" i="8"/>
  <c r="CG1265" i="8"/>
  <c r="CF1265" i="8"/>
  <c r="CE1265" i="8"/>
  <c r="CD1265" i="8"/>
  <c r="CC1265" i="8"/>
  <c r="CB1265" i="8"/>
  <c r="CA1265" i="8"/>
  <c r="BZ1265" i="8"/>
  <c r="BY1265" i="8"/>
  <c r="BX1265" i="8"/>
  <c r="BW1265" i="8"/>
  <c r="BV1265" i="8"/>
  <c r="BU1265" i="8"/>
  <c r="BT1265" i="8"/>
  <c r="BS1265" i="8"/>
  <c r="BR1265" i="8"/>
  <c r="BQ1265" i="8"/>
  <c r="BP1265" i="8"/>
  <c r="BO1265" i="8"/>
  <c r="BN1265" i="8"/>
  <c r="BM1265" i="8"/>
  <c r="BL1265" i="8"/>
  <c r="BK1265" i="8"/>
  <c r="BJ1265" i="8"/>
  <c r="BI1265" i="8"/>
  <c r="BH1265" i="8"/>
  <c r="BH493" i="8"/>
  <c r="BI493" i="8"/>
  <c r="BJ493" i="8"/>
  <c r="BK493" i="8"/>
  <c r="BL493" i="8"/>
  <c r="BM493" i="8"/>
  <c r="BN493" i="8"/>
  <c r="BO493" i="8"/>
  <c r="BP493" i="8"/>
  <c r="BQ493" i="8"/>
  <c r="BR493" i="8"/>
  <c r="BS493" i="8"/>
  <c r="BT493" i="8"/>
  <c r="BU493" i="8"/>
  <c r="BV493" i="8"/>
  <c r="BW493" i="8"/>
  <c r="BX493" i="8"/>
  <c r="BY493" i="8"/>
  <c r="BZ493" i="8"/>
  <c r="CA493" i="8"/>
  <c r="CB493" i="8"/>
  <c r="CC493" i="8"/>
  <c r="CD493" i="8"/>
  <c r="CE493" i="8"/>
  <c r="CF493" i="8"/>
  <c r="CG493" i="8"/>
  <c r="CH493" i="8"/>
  <c r="CI493" i="8"/>
  <c r="CJ493" i="8"/>
  <c r="AF4" i="8"/>
  <c r="BI2" i="8"/>
  <c r="CJ587" i="8"/>
  <c r="CI587" i="8"/>
  <c r="CH587" i="8"/>
  <c r="CG587" i="8"/>
  <c r="CF587" i="8"/>
  <c r="CE587" i="8"/>
  <c r="CD587" i="8"/>
  <c r="CC587" i="8"/>
  <c r="CB587" i="8"/>
  <c r="CA587" i="8"/>
  <c r="BZ587" i="8"/>
  <c r="BY587" i="8"/>
  <c r="BX587" i="8"/>
  <c r="BW587" i="8"/>
  <c r="BV587" i="8"/>
  <c r="BU587" i="8"/>
  <c r="BT587" i="8"/>
  <c r="BS587" i="8"/>
  <c r="BR587" i="8"/>
  <c r="BQ587" i="8"/>
  <c r="BP587" i="8"/>
  <c r="BO587" i="8"/>
  <c r="BN587" i="8"/>
  <c r="BM587" i="8"/>
  <c r="BL587" i="8"/>
  <c r="BK587" i="8"/>
  <c r="BJ587" i="8"/>
  <c r="BI587" i="8"/>
  <c r="BH587" i="8"/>
  <c r="CJ588" i="8"/>
  <c r="CI588" i="8"/>
  <c r="CH588" i="8"/>
  <c r="CG588" i="8"/>
  <c r="CF588" i="8"/>
  <c r="CE588" i="8"/>
  <c r="CD588" i="8"/>
  <c r="CC588" i="8"/>
  <c r="CB588" i="8"/>
  <c r="CA588" i="8"/>
  <c r="BZ588" i="8"/>
  <c r="BY588" i="8"/>
  <c r="BX588" i="8"/>
  <c r="BW588" i="8"/>
  <c r="BV588" i="8"/>
  <c r="BU588" i="8"/>
  <c r="BT588" i="8"/>
  <c r="BS588" i="8"/>
  <c r="BR588" i="8"/>
  <c r="BQ588" i="8"/>
  <c r="BP588" i="8"/>
  <c r="BO588" i="8"/>
  <c r="BN588" i="8"/>
  <c r="BM588" i="8"/>
  <c r="BL588" i="8"/>
  <c r="BK588" i="8"/>
  <c r="BJ588" i="8"/>
  <c r="BI588" i="8"/>
  <c r="BH588" i="8"/>
  <c r="CJ589" i="8"/>
  <c r="CI589" i="8"/>
  <c r="CH589" i="8"/>
  <c r="CG589" i="8"/>
  <c r="CF589" i="8"/>
  <c r="CE589" i="8"/>
  <c r="CD589" i="8"/>
  <c r="CC589" i="8"/>
  <c r="CB589" i="8"/>
  <c r="CA589" i="8"/>
  <c r="BZ589" i="8"/>
  <c r="BY589" i="8"/>
  <c r="BX589" i="8"/>
  <c r="BW589" i="8"/>
  <c r="BV589" i="8"/>
  <c r="BU589" i="8"/>
  <c r="BT589" i="8"/>
  <c r="BS589" i="8"/>
  <c r="BR589" i="8"/>
  <c r="BQ589" i="8"/>
  <c r="BP589" i="8"/>
  <c r="BO589" i="8"/>
  <c r="BN589" i="8"/>
  <c r="BM589" i="8"/>
  <c r="BL589" i="8"/>
  <c r="BK589" i="8"/>
  <c r="BJ589" i="8"/>
  <c r="BI589" i="8"/>
  <c r="BH589" i="8"/>
  <c r="CJ590" i="8"/>
  <c r="CI590" i="8"/>
  <c r="CH590" i="8"/>
  <c r="CG590" i="8"/>
  <c r="CF590" i="8"/>
  <c r="CE590" i="8"/>
  <c r="CD590" i="8"/>
  <c r="CC590" i="8"/>
  <c r="CB590" i="8"/>
  <c r="CA590" i="8"/>
  <c r="BZ590" i="8"/>
  <c r="BY590" i="8"/>
  <c r="BX590" i="8"/>
  <c r="BW590" i="8"/>
  <c r="BV590" i="8"/>
  <c r="BU590" i="8"/>
  <c r="BT590" i="8"/>
  <c r="BS590" i="8"/>
  <c r="BR590" i="8"/>
  <c r="BQ590" i="8"/>
  <c r="BP590" i="8"/>
  <c r="BO590" i="8"/>
  <c r="BN590" i="8"/>
  <c r="BM590" i="8"/>
  <c r="BL590" i="8"/>
  <c r="BK590" i="8"/>
  <c r="BJ590" i="8"/>
  <c r="BI590" i="8"/>
  <c r="BH590" i="8"/>
  <c r="CJ555" i="8"/>
  <c r="CI555" i="8"/>
  <c r="CH555" i="8"/>
  <c r="CG555" i="8"/>
  <c r="CF555" i="8"/>
  <c r="CE555" i="8"/>
  <c r="CD555" i="8"/>
  <c r="CC555" i="8"/>
  <c r="CB555" i="8"/>
  <c r="CA555" i="8"/>
  <c r="BZ555" i="8"/>
  <c r="BY555" i="8"/>
  <c r="BX555" i="8"/>
  <c r="BW555" i="8"/>
  <c r="BV555" i="8"/>
  <c r="BU555" i="8"/>
  <c r="BT555" i="8"/>
  <c r="BS555" i="8"/>
  <c r="BR555" i="8"/>
  <c r="BQ555" i="8"/>
  <c r="BP555" i="8"/>
  <c r="BO555" i="8"/>
  <c r="BN555" i="8"/>
  <c r="BM555" i="8"/>
  <c r="BL555" i="8"/>
  <c r="BK555" i="8"/>
  <c r="BJ555" i="8"/>
  <c r="BI555" i="8"/>
  <c r="BH555" i="8"/>
  <c r="CJ556" i="8"/>
  <c r="CI556" i="8"/>
  <c r="CH556" i="8"/>
  <c r="CG556" i="8"/>
  <c r="CF556" i="8"/>
  <c r="CE556" i="8"/>
  <c r="CD556" i="8"/>
  <c r="CC556" i="8"/>
  <c r="CB556" i="8"/>
  <c r="CA556" i="8"/>
  <c r="BZ556" i="8"/>
  <c r="BY556" i="8"/>
  <c r="BX556" i="8"/>
  <c r="BW556" i="8"/>
  <c r="BV556" i="8"/>
  <c r="BU556" i="8"/>
  <c r="BT556" i="8"/>
  <c r="BS556" i="8"/>
  <c r="BR556" i="8"/>
  <c r="BQ556" i="8"/>
  <c r="BP556" i="8"/>
  <c r="BO556" i="8"/>
  <c r="BN556" i="8"/>
  <c r="BM556" i="8"/>
  <c r="BL556" i="8"/>
  <c r="BK556" i="8"/>
  <c r="BJ556" i="8"/>
  <c r="BI556" i="8"/>
  <c r="BH556" i="8"/>
  <c r="CJ557" i="8"/>
  <c r="CI557" i="8"/>
  <c r="CH557" i="8"/>
  <c r="CG557" i="8"/>
  <c r="CF557" i="8"/>
  <c r="CE557" i="8"/>
  <c r="CD557" i="8"/>
  <c r="CC557" i="8"/>
  <c r="CB557" i="8"/>
  <c r="CA557" i="8"/>
  <c r="BZ557" i="8"/>
  <c r="BY557" i="8"/>
  <c r="BX557" i="8"/>
  <c r="BW557" i="8"/>
  <c r="BV557" i="8"/>
  <c r="BU557" i="8"/>
  <c r="BT557" i="8"/>
  <c r="BS557" i="8"/>
  <c r="BR557" i="8"/>
  <c r="BQ557" i="8"/>
  <c r="BP557" i="8"/>
  <c r="BO557" i="8"/>
  <c r="BN557" i="8"/>
  <c r="BM557" i="8"/>
  <c r="BL557" i="8"/>
  <c r="BK557" i="8"/>
  <c r="BJ557" i="8"/>
  <c r="BI557" i="8"/>
  <c r="BH557" i="8"/>
  <c r="CJ558" i="8"/>
  <c r="CI558" i="8"/>
  <c r="CH558" i="8"/>
  <c r="CG558" i="8"/>
  <c r="CF558" i="8"/>
  <c r="CE558" i="8"/>
  <c r="CD558" i="8"/>
  <c r="CC558" i="8"/>
  <c r="CB558" i="8"/>
  <c r="CA558" i="8"/>
  <c r="BZ558" i="8"/>
  <c r="BY558" i="8"/>
  <c r="BX558" i="8"/>
  <c r="BW558" i="8"/>
  <c r="BV558" i="8"/>
  <c r="BU558" i="8"/>
  <c r="BT558" i="8"/>
  <c r="BS558" i="8"/>
  <c r="BR558" i="8"/>
  <c r="BQ558" i="8"/>
  <c r="BP558" i="8"/>
  <c r="BO558" i="8"/>
  <c r="BN558" i="8"/>
  <c r="BM558" i="8"/>
  <c r="BL558" i="8"/>
  <c r="BK558" i="8"/>
  <c r="BJ558" i="8"/>
  <c r="BI558" i="8"/>
  <c r="BH558" i="8"/>
  <c r="CJ559" i="8"/>
  <c r="CI559" i="8"/>
  <c r="CH559" i="8"/>
  <c r="CG559" i="8"/>
  <c r="CF559" i="8"/>
  <c r="CE559" i="8"/>
  <c r="CD559" i="8"/>
  <c r="CC559" i="8"/>
  <c r="CB559" i="8"/>
  <c r="CA559" i="8"/>
  <c r="BZ559" i="8"/>
  <c r="BY559" i="8"/>
  <c r="BX559" i="8"/>
  <c r="BW559" i="8"/>
  <c r="BV559" i="8"/>
  <c r="BU559" i="8"/>
  <c r="BT559" i="8"/>
  <c r="BS559" i="8"/>
  <c r="BR559" i="8"/>
  <c r="BQ559" i="8"/>
  <c r="BP559" i="8"/>
  <c r="BO559" i="8"/>
  <c r="BN559" i="8"/>
  <c r="BM559" i="8"/>
  <c r="BL559" i="8"/>
  <c r="BK559" i="8"/>
  <c r="BJ559" i="8"/>
  <c r="BI559" i="8"/>
  <c r="BH559" i="8"/>
  <c r="CJ560" i="8"/>
  <c r="CI560" i="8"/>
  <c r="CH560" i="8"/>
  <c r="CG560" i="8"/>
  <c r="CF560" i="8"/>
  <c r="CE560" i="8"/>
  <c r="CD560" i="8"/>
  <c r="CC560" i="8"/>
  <c r="CB560" i="8"/>
  <c r="CA560" i="8"/>
  <c r="BZ560" i="8"/>
  <c r="BY560" i="8"/>
  <c r="BX560" i="8"/>
  <c r="BW560" i="8"/>
  <c r="BV560" i="8"/>
  <c r="BU560" i="8"/>
  <c r="BT560" i="8"/>
  <c r="BS560" i="8"/>
  <c r="BR560" i="8"/>
  <c r="BQ560" i="8"/>
  <c r="BP560" i="8"/>
  <c r="BO560" i="8"/>
  <c r="BN560" i="8"/>
  <c r="BM560" i="8"/>
  <c r="BL560" i="8"/>
  <c r="BK560" i="8"/>
  <c r="BJ560" i="8"/>
  <c r="BI560" i="8"/>
  <c r="BH560" i="8"/>
  <c r="CJ511" i="8"/>
  <c r="CI511" i="8"/>
  <c r="CH511" i="8"/>
  <c r="CG511" i="8"/>
  <c r="CF511" i="8"/>
  <c r="CE511" i="8"/>
  <c r="CD511" i="8"/>
  <c r="CC511" i="8"/>
  <c r="CB511" i="8"/>
  <c r="CA511" i="8"/>
  <c r="BZ511" i="8"/>
  <c r="BY511" i="8"/>
  <c r="BX511" i="8"/>
  <c r="BW511" i="8"/>
  <c r="BV511" i="8"/>
  <c r="BU511" i="8"/>
  <c r="BT511" i="8"/>
  <c r="BS511" i="8"/>
  <c r="BR511" i="8"/>
  <c r="BQ511" i="8"/>
  <c r="BP511" i="8"/>
  <c r="BO511" i="8"/>
  <c r="BN511" i="8"/>
  <c r="BM511" i="8"/>
  <c r="BL511" i="8"/>
  <c r="BK511" i="8"/>
  <c r="BJ511" i="8"/>
  <c r="BI511" i="8"/>
  <c r="BH511" i="8"/>
  <c r="CJ512" i="8"/>
  <c r="CI512" i="8"/>
  <c r="CH512" i="8"/>
  <c r="CG512" i="8"/>
  <c r="CF512" i="8"/>
  <c r="CE512" i="8"/>
  <c r="CD512" i="8"/>
  <c r="CC512" i="8"/>
  <c r="CB512" i="8"/>
  <c r="CA512" i="8"/>
  <c r="BZ512" i="8"/>
  <c r="BY512" i="8"/>
  <c r="BX512" i="8"/>
  <c r="BW512" i="8"/>
  <c r="BV512" i="8"/>
  <c r="BU512" i="8"/>
  <c r="BT512" i="8"/>
  <c r="BS512" i="8"/>
  <c r="BR512" i="8"/>
  <c r="BQ512" i="8"/>
  <c r="BP512" i="8"/>
  <c r="BO512" i="8"/>
  <c r="BN512" i="8"/>
  <c r="BM512" i="8"/>
  <c r="BL512" i="8"/>
  <c r="BK512" i="8"/>
  <c r="BJ512" i="8"/>
  <c r="BI512" i="8"/>
  <c r="BH512" i="8"/>
  <c r="CJ513" i="8"/>
  <c r="CI513" i="8"/>
  <c r="CH513" i="8"/>
  <c r="CG513" i="8"/>
  <c r="CF513" i="8"/>
  <c r="CE513" i="8"/>
  <c r="CD513" i="8"/>
  <c r="CC513" i="8"/>
  <c r="CB513" i="8"/>
  <c r="CA513" i="8"/>
  <c r="BZ513" i="8"/>
  <c r="BY513" i="8"/>
  <c r="BX513" i="8"/>
  <c r="BW513" i="8"/>
  <c r="BV513" i="8"/>
  <c r="BU513" i="8"/>
  <c r="BT513" i="8"/>
  <c r="BS513" i="8"/>
  <c r="BR513" i="8"/>
  <c r="BQ513" i="8"/>
  <c r="BP513" i="8"/>
  <c r="BO513" i="8"/>
  <c r="BN513" i="8"/>
  <c r="BM513" i="8"/>
  <c r="BL513" i="8"/>
  <c r="BK513" i="8"/>
  <c r="BJ513" i="8"/>
  <c r="BI513" i="8"/>
  <c r="BH513" i="8"/>
  <c r="CJ514" i="8"/>
  <c r="CI514" i="8"/>
  <c r="CH514" i="8"/>
  <c r="CG514" i="8"/>
  <c r="CF514" i="8"/>
  <c r="CE514" i="8"/>
  <c r="CD514" i="8"/>
  <c r="CC514" i="8"/>
  <c r="CB514" i="8"/>
  <c r="CA514" i="8"/>
  <c r="BZ514" i="8"/>
  <c r="BY514" i="8"/>
  <c r="BX514" i="8"/>
  <c r="BW514" i="8"/>
  <c r="BV514" i="8"/>
  <c r="BU514" i="8"/>
  <c r="BT514" i="8"/>
  <c r="BS514" i="8"/>
  <c r="BR514" i="8"/>
  <c r="BQ514" i="8"/>
  <c r="BP514" i="8"/>
  <c r="BO514" i="8"/>
  <c r="BN514" i="8"/>
  <c r="BM514" i="8"/>
  <c r="BL514" i="8"/>
  <c r="BK514" i="8"/>
  <c r="BJ514" i="8"/>
  <c r="BI514" i="8"/>
  <c r="BH514" i="8"/>
  <c r="CJ515" i="8"/>
  <c r="CI515" i="8"/>
  <c r="CH515" i="8"/>
  <c r="CG515" i="8"/>
  <c r="CF515" i="8"/>
  <c r="CE515" i="8"/>
  <c r="CD515" i="8"/>
  <c r="CC515" i="8"/>
  <c r="CB515" i="8"/>
  <c r="CA515" i="8"/>
  <c r="BZ515" i="8"/>
  <c r="BY515" i="8"/>
  <c r="BX515" i="8"/>
  <c r="BW515" i="8"/>
  <c r="BV515" i="8"/>
  <c r="BU515" i="8"/>
  <c r="BT515" i="8"/>
  <c r="BS515" i="8"/>
  <c r="BR515" i="8"/>
  <c r="BQ515" i="8"/>
  <c r="BP515" i="8"/>
  <c r="BO515" i="8"/>
  <c r="BN515" i="8"/>
  <c r="BM515" i="8"/>
  <c r="BL515" i="8"/>
  <c r="BK515" i="8"/>
  <c r="BJ515" i="8"/>
  <c r="BI515" i="8"/>
  <c r="BH515" i="8"/>
  <c r="CJ516" i="8"/>
  <c r="CI516" i="8"/>
  <c r="CH516" i="8"/>
  <c r="CG516" i="8"/>
  <c r="CF516" i="8"/>
  <c r="CE516" i="8"/>
  <c r="CD516" i="8"/>
  <c r="CC516" i="8"/>
  <c r="CB516" i="8"/>
  <c r="CA516" i="8"/>
  <c r="BZ516" i="8"/>
  <c r="BY516" i="8"/>
  <c r="BX516" i="8"/>
  <c r="BW516" i="8"/>
  <c r="BV516" i="8"/>
  <c r="BU516" i="8"/>
  <c r="BT516" i="8"/>
  <c r="BS516" i="8"/>
  <c r="BR516" i="8"/>
  <c r="BQ516" i="8"/>
  <c r="BP516" i="8"/>
  <c r="BO516" i="8"/>
  <c r="BN516" i="8"/>
  <c r="BM516" i="8"/>
  <c r="BL516" i="8"/>
  <c r="BK516" i="8"/>
  <c r="BJ516" i="8"/>
  <c r="BI516" i="8"/>
  <c r="BH516" i="8"/>
  <c r="CJ517" i="8"/>
  <c r="CI517" i="8"/>
  <c r="CH517" i="8"/>
  <c r="CG517" i="8"/>
  <c r="CF517" i="8"/>
  <c r="CE517" i="8"/>
  <c r="CD517" i="8"/>
  <c r="CC517" i="8"/>
  <c r="CB517" i="8"/>
  <c r="CA517" i="8"/>
  <c r="BZ517" i="8"/>
  <c r="BY517" i="8"/>
  <c r="BX517" i="8"/>
  <c r="BW517" i="8"/>
  <c r="BV517" i="8"/>
  <c r="BU517" i="8"/>
  <c r="BT517" i="8"/>
  <c r="BS517" i="8"/>
  <c r="BR517" i="8"/>
  <c r="BQ517" i="8"/>
  <c r="BP517" i="8"/>
  <c r="BO517" i="8"/>
  <c r="BN517" i="8"/>
  <c r="BM517" i="8"/>
  <c r="BL517" i="8"/>
  <c r="BK517" i="8"/>
  <c r="BJ517" i="8"/>
  <c r="BI517" i="8"/>
  <c r="BH517" i="8"/>
  <c r="CJ518" i="8"/>
  <c r="CI518" i="8"/>
  <c r="CH518" i="8"/>
  <c r="CG518" i="8"/>
  <c r="CF518" i="8"/>
  <c r="CE518" i="8"/>
  <c r="CD518" i="8"/>
  <c r="CC518" i="8"/>
  <c r="CB518" i="8"/>
  <c r="CA518" i="8"/>
  <c r="BZ518" i="8"/>
  <c r="BY518" i="8"/>
  <c r="BX518" i="8"/>
  <c r="BW518" i="8"/>
  <c r="BV518" i="8"/>
  <c r="BU518" i="8"/>
  <c r="BT518" i="8"/>
  <c r="BS518" i="8"/>
  <c r="BR518" i="8"/>
  <c r="BQ518" i="8"/>
  <c r="BP518" i="8"/>
  <c r="BO518" i="8"/>
  <c r="BN518" i="8"/>
  <c r="BM518" i="8"/>
  <c r="BL518" i="8"/>
  <c r="BK518" i="8"/>
  <c r="BJ518" i="8"/>
  <c r="BI518" i="8"/>
  <c r="BH518" i="8"/>
  <c r="CJ447" i="8"/>
  <c r="CI447" i="8"/>
  <c r="CH447" i="8"/>
  <c r="CG447" i="8"/>
  <c r="CF447" i="8"/>
  <c r="CE447" i="8"/>
  <c r="CD447" i="8"/>
  <c r="CC447" i="8"/>
  <c r="CB447" i="8"/>
  <c r="CA447" i="8"/>
  <c r="BZ447" i="8"/>
  <c r="BY447" i="8"/>
  <c r="BX447" i="8"/>
  <c r="BW447" i="8"/>
  <c r="BV447" i="8"/>
  <c r="BU447" i="8"/>
  <c r="BT447" i="8"/>
  <c r="BS447" i="8"/>
  <c r="BR447" i="8"/>
  <c r="BQ447" i="8"/>
  <c r="BP447" i="8"/>
  <c r="BO447" i="8"/>
  <c r="BN447" i="8"/>
  <c r="BM447" i="8"/>
  <c r="BL447" i="8"/>
  <c r="BK447" i="8"/>
  <c r="BJ447" i="8"/>
  <c r="BI447" i="8"/>
  <c r="BH447" i="8"/>
  <c r="CJ448" i="8"/>
  <c r="CI448" i="8"/>
  <c r="CH448" i="8"/>
  <c r="CG448" i="8"/>
  <c r="CF448" i="8"/>
  <c r="CE448" i="8"/>
  <c r="CD448" i="8"/>
  <c r="CC448" i="8"/>
  <c r="CB448" i="8"/>
  <c r="CA448" i="8"/>
  <c r="BZ448" i="8"/>
  <c r="BY448" i="8"/>
  <c r="BX448" i="8"/>
  <c r="BW448" i="8"/>
  <c r="BV448" i="8"/>
  <c r="BU448" i="8"/>
  <c r="BT448" i="8"/>
  <c r="BS448" i="8"/>
  <c r="BR448" i="8"/>
  <c r="BQ448" i="8"/>
  <c r="BP448" i="8"/>
  <c r="BO448" i="8"/>
  <c r="BN448" i="8"/>
  <c r="BM448" i="8"/>
  <c r="BL448" i="8"/>
  <c r="BK448" i="8"/>
  <c r="BJ448" i="8"/>
  <c r="BI448" i="8"/>
  <c r="BH448" i="8"/>
  <c r="CJ449" i="8"/>
  <c r="CI449" i="8"/>
  <c r="CH449" i="8"/>
  <c r="CG449" i="8"/>
  <c r="CF449" i="8"/>
  <c r="CE449" i="8"/>
  <c r="CD449" i="8"/>
  <c r="CC449" i="8"/>
  <c r="CB449" i="8"/>
  <c r="CA449" i="8"/>
  <c r="BZ449" i="8"/>
  <c r="BY449" i="8"/>
  <c r="BX449" i="8"/>
  <c r="BW449" i="8"/>
  <c r="BV449" i="8"/>
  <c r="BU449" i="8"/>
  <c r="BT449" i="8"/>
  <c r="BS449" i="8"/>
  <c r="BR449" i="8"/>
  <c r="BQ449" i="8"/>
  <c r="BP449" i="8"/>
  <c r="BO449" i="8"/>
  <c r="BN449" i="8"/>
  <c r="BM449" i="8"/>
  <c r="BL449" i="8"/>
  <c r="BK449" i="8"/>
  <c r="BJ449" i="8"/>
  <c r="BI449" i="8"/>
  <c r="BH449" i="8"/>
  <c r="CJ450" i="8"/>
  <c r="CI450" i="8"/>
  <c r="CH450" i="8"/>
  <c r="CG450" i="8"/>
  <c r="CF450" i="8"/>
  <c r="CE450" i="8"/>
  <c r="CD450" i="8"/>
  <c r="CC450" i="8"/>
  <c r="CB450" i="8"/>
  <c r="CA450" i="8"/>
  <c r="BZ450" i="8"/>
  <c r="BY450" i="8"/>
  <c r="BX450" i="8"/>
  <c r="BW450" i="8"/>
  <c r="BV450" i="8"/>
  <c r="BU450" i="8"/>
  <c r="BT450" i="8"/>
  <c r="BS450" i="8"/>
  <c r="BR450" i="8"/>
  <c r="BQ450" i="8"/>
  <c r="BP450" i="8"/>
  <c r="BO450" i="8"/>
  <c r="BN450" i="8"/>
  <c r="BM450" i="8"/>
  <c r="BL450" i="8"/>
  <c r="BK450" i="8"/>
  <c r="BJ450" i="8"/>
  <c r="BI450" i="8"/>
  <c r="BH450" i="8"/>
  <c r="CJ451" i="8"/>
  <c r="CI451" i="8"/>
  <c r="CH451" i="8"/>
  <c r="CG451" i="8"/>
  <c r="CF451" i="8"/>
  <c r="CE451" i="8"/>
  <c r="CD451" i="8"/>
  <c r="CC451" i="8"/>
  <c r="CB451" i="8"/>
  <c r="CA451" i="8"/>
  <c r="BZ451" i="8"/>
  <c r="BY451" i="8"/>
  <c r="BX451" i="8"/>
  <c r="BW451" i="8"/>
  <c r="BV451" i="8"/>
  <c r="BU451" i="8"/>
  <c r="BT451" i="8"/>
  <c r="BS451" i="8"/>
  <c r="BR451" i="8"/>
  <c r="BQ451" i="8"/>
  <c r="BP451" i="8"/>
  <c r="BO451" i="8"/>
  <c r="BN451" i="8"/>
  <c r="BM451" i="8"/>
  <c r="BL451" i="8"/>
  <c r="BK451" i="8"/>
  <c r="BJ451" i="8"/>
  <c r="BI451" i="8"/>
  <c r="BH451" i="8"/>
  <c r="CJ452" i="8"/>
  <c r="CI452" i="8"/>
  <c r="CH452" i="8"/>
  <c r="CG452" i="8"/>
  <c r="CF452" i="8"/>
  <c r="CE452" i="8"/>
  <c r="CD452" i="8"/>
  <c r="CC452" i="8"/>
  <c r="CB452" i="8"/>
  <c r="CA452" i="8"/>
  <c r="BZ452" i="8"/>
  <c r="BY452" i="8"/>
  <c r="BX452" i="8"/>
  <c r="BW452" i="8"/>
  <c r="BV452" i="8"/>
  <c r="BU452" i="8"/>
  <c r="BT452" i="8"/>
  <c r="BS452" i="8"/>
  <c r="BR452" i="8"/>
  <c r="BQ452" i="8"/>
  <c r="BP452" i="8"/>
  <c r="BO452" i="8"/>
  <c r="BN452" i="8"/>
  <c r="BM452" i="8"/>
  <c r="BL452" i="8"/>
  <c r="BK452" i="8"/>
  <c r="BJ452" i="8"/>
  <c r="BI452" i="8"/>
  <c r="BH452" i="8"/>
  <c r="CJ453" i="8"/>
  <c r="CI453" i="8"/>
  <c r="CH453" i="8"/>
  <c r="CG453" i="8"/>
  <c r="CF453" i="8"/>
  <c r="CE453" i="8"/>
  <c r="CD453" i="8"/>
  <c r="CC453" i="8"/>
  <c r="CB453" i="8"/>
  <c r="CA453" i="8"/>
  <c r="BZ453" i="8"/>
  <c r="BY453" i="8"/>
  <c r="BX453" i="8"/>
  <c r="BW453" i="8"/>
  <c r="BV453" i="8"/>
  <c r="BU453" i="8"/>
  <c r="BT453" i="8"/>
  <c r="BS453" i="8"/>
  <c r="BR453" i="8"/>
  <c r="BQ453" i="8"/>
  <c r="BP453" i="8"/>
  <c r="BO453" i="8"/>
  <c r="BN453" i="8"/>
  <c r="BM453" i="8"/>
  <c r="BL453" i="8"/>
  <c r="BK453" i="8"/>
  <c r="BJ453" i="8"/>
  <c r="BI453" i="8"/>
  <c r="BH453" i="8"/>
  <c r="CJ454" i="8"/>
  <c r="CI454" i="8"/>
  <c r="CH454" i="8"/>
  <c r="CG454" i="8"/>
  <c r="CF454" i="8"/>
  <c r="CE454" i="8"/>
  <c r="CD454" i="8"/>
  <c r="CC454" i="8"/>
  <c r="CB454" i="8"/>
  <c r="CA454" i="8"/>
  <c r="BZ454" i="8"/>
  <c r="BY454" i="8"/>
  <c r="BX454" i="8"/>
  <c r="BW454" i="8"/>
  <c r="BV454" i="8"/>
  <c r="BU454" i="8"/>
  <c r="BT454" i="8"/>
  <c r="BS454" i="8"/>
  <c r="BR454" i="8"/>
  <c r="BQ454" i="8"/>
  <c r="BP454" i="8"/>
  <c r="BO454" i="8"/>
  <c r="BN454" i="8"/>
  <c r="BM454" i="8"/>
  <c r="BL454" i="8"/>
  <c r="BK454" i="8"/>
  <c r="BJ454" i="8"/>
  <c r="BI454" i="8"/>
  <c r="BH454" i="8"/>
  <c r="CJ455" i="8"/>
  <c r="CI455" i="8"/>
  <c r="CH455" i="8"/>
  <c r="CG455" i="8"/>
  <c r="CF455" i="8"/>
  <c r="CE455" i="8"/>
  <c r="CD455" i="8"/>
  <c r="CC455" i="8"/>
  <c r="CB455" i="8"/>
  <c r="CA455" i="8"/>
  <c r="BZ455" i="8"/>
  <c r="BY455" i="8"/>
  <c r="BX455" i="8"/>
  <c r="BW455" i="8"/>
  <c r="BV455" i="8"/>
  <c r="BU455" i="8"/>
  <c r="BT455" i="8"/>
  <c r="BS455" i="8"/>
  <c r="BR455" i="8"/>
  <c r="BQ455" i="8"/>
  <c r="BP455" i="8"/>
  <c r="BO455" i="8"/>
  <c r="BN455" i="8"/>
  <c r="BM455" i="8"/>
  <c r="BL455" i="8"/>
  <c r="BK455" i="8"/>
  <c r="BJ455" i="8"/>
  <c r="BI455" i="8"/>
  <c r="BH455" i="8"/>
  <c r="CJ456" i="8"/>
  <c r="CI456" i="8"/>
  <c r="CH456" i="8"/>
  <c r="CG456" i="8"/>
  <c r="CF456" i="8"/>
  <c r="CE456" i="8"/>
  <c r="CD456" i="8"/>
  <c r="CC456" i="8"/>
  <c r="CB456" i="8"/>
  <c r="CA456" i="8"/>
  <c r="BZ456" i="8"/>
  <c r="BY456" i="8"/>
  <c r="BX456" i="8"/>
  <c r="BW456" i="8"/>
  <c r="BV456" i="8"/>
  <c r="BU456" i="8"/>
  <c r="BT456" i="8"/>
  <c r="BS456" i="8"/>
  <c r="BR456" i="8"/>
  <c r="BQ456" i="8"/>
  <c r="BP456" i="8"/>
  <c r="BO456" i="8"/>
  <c r="BN456" i="8"/>
  <c r="BM456" i="8"/>
  <c r="BL456" i="8"/>
  <c r="BK456" i="8"/>
  <c r="BJ456" i="8"/>
  <c r="BI456" i="8"/>
  <c r="BH456" i="8"/>
  <c r="CJ457" i="8"/>
  <c r="CI457" i="8"/>
  <c r="CH457" i="8"/>
  <c r="CG457" i="8"/>
  <c r="CF457" i="8"/>
  <c r="CE457" i="8"/>
  <c r="CD457" i="8"/>
  <c r="CC457" i="8"/>
  <c r="CB457" i="8"/>
  <c r="CA457" i="8"/>
  <c r="BZ457" i="8"/>
  <c r="BY457" i="8"/>
  <c r="BX457" i="8"/>
  <c r="BW457" i="8"/>
  <c r="BV457" i="8"/>
  <c r="BU457" i="8"/>
  <c r="BT457" i="8"/>
  <c r="BS457" i="8"/>
  <c r="BR457" i="8"/>
  <c r="BQ457" i="8"/>
  <c r="BP457" i="8"/>
  <c r="BO457" i="8"/>
  <c r="BN457" i="8"/>
  <c r="BM457" i="8"/>
  <c r="BL457" i="8"/>
  <c r="BK457" i="8"/>
  <c r="BJ457" i="8"/>
  <c r="BI457" i="8"/>
  <c r="BH457" i="8"/>
  <c r="CJ458" i="8"/>
  <c r="CI458" i="8"/>
  <c r="CH458" i="8"/>
  <c r="CG458" i="8"/>
  <c r="CF458" i="8"/>
  <c r="CE458" i="8"/>
  <c r="CD458" i="8"/>
  <c r="CC458" i="8"/>
  <c r="CB458" i="8"/>
  <c r="CA458" i="8"/>
  <c r="BZ458" i="8"/>
  <c r="BY458" i="8"/>
  <c r="BX458" i="8"/>
  <c r="BW458" i="8"/>
  <c r="BV458" i="8"/>
  <c r="BU458" i="8"/>
  <c r="BT458" i="8"/>
  <c r="BS458" i="8"/>
  <c r="BR458" i="8"/>
  <c r="BQ458" i="8"/>
  <c r="BP458" i="8"/>
  <c r="BO458" i="8"/>
  <c r="BN458" i="8"/>
  <c r="BM458" i="8"/>
  <c r="BL458" i="8"/>
  <c r="BK458" i="8"/>
  <c r="BJ458" i="8"/>
  <c r="BI458" i="8"/>
  <c r="BH458" i="8"/>
  <c r="CJ373" i="8"/>
  <c r="CI373" i="8"/>
  <c r="CH373" i="8"/>
  <c r="CG373" i="8"/>
  <c r="CF373" i="8"/>
  <c r="CE373" i="8"/>
  <c r="CD373" i="8"/>
  <c r="CC373" i="8"/>
  <c r="CB373" i="8"/>
  <c r="CA373" i="8"/>
  <c r="BZ373" i="8"/>
  <c r="BY373" i="8"/>
  <c r="BX373" i="8"/>
  <c r="BW373" i="8"/>
  <c r="BV373" i="8"/>
  <c r="BU373" i="8"/>
  <c r="BT373" i="8"/>
  <c r="BS373" i="8"/>
  <c r="BR373" i="8"/>
  <c r="BQ373" i="8"/>
  <c r="BP373" i="8"/>
  <c r="BO373" i="8"/>
  <c r="BN373" i="8"/>
  <c r="BM373" i="8"/>
  <c r="BL373" i="8"/>
  <c r="BK373" i="8"/>
  <c r="BJ373" i="8"/>
  <c r="BI373" i="8"/>
  <c r="BH373" i="8"/>
  <c r="CJ374" i="8"/>
  <c r="CI374" i="8"/>
  <c r="CH374" i="8"/>
  <c r="CG374" i="8"/>
  <c r="CF374" i="8"/>
  <c r="CE374" i="8"/>
  <c r="CD374" i="8"/>
  <c r="CC374" i="8"/>
  <c r="CB374" i="8"/>
  <c r="CA374" i="8"/>
  <c r="BZ374" i="8"/>
  <c r="BY374" i="8"/>
  <c r="BX374" i="8"/>
  <c r="BW374" i="8"/>
  <c r="BV374" i="8"/>
  <c r="BU374" i="8"/>
  <c r="BT374" i="8"/>
  <c r="BS374" i="8"/>
  <c r="BR374" i="8"/>
  <c r="BQ374" i="8"/>
  <c r="BP374" i="8"/>
  <c r="BO374" i="8"/>
  <c r="BN374" i="8"/>
  <c r="BM374" i="8"/>
  <c r="BL374" i="8"/>
  <c r="BK374" i="8"/>
  <c r="BJ374" i="8"/>
  <c r="BI374" i="8"/>
  <c r="BH374" i="8"/>
  <c r="CJ375" i="8"/>
  <c r="CI375" i="8"/>
  <c r="CH375" i="8"/>
  <c r="CG375" i="8"/>
  <c r="CF375" i="8"/>
  <c r="CE375" i="8"/>
  <c r="CD375" i="8"/>
  <c r="CC375" i="8"/>
  <c r="CB375" i="8"/>
  <c r="CA375" i="8"/>
  <c r="BZ375" i="8"/>
  <c r="BY375" i="8"/>
  <c r="BX375" i="8"/>
  <c r="BW375" i="8"/>
  <c r="BV375" i="8"/>
  <c r="BU375" i="8"/>
  <c r="BT375" i="8"/>
  <c r="BS375" i="8"/>
  <c r="BR375" i="8"/>
  <c r="BQ375" i="8"/>
  <c r="BP375" i="8"/>
  <c r="BO375" i="8"/>
  <c r="BN375" i="8"/>
  <c r="BM375" i="8"/>
  <c r="BL375" i="8"/>
  <c r="BK375" i="8"/>
  <c r="BJ375" i="8"/>
  <c r="BI375" i="8"/>
  <c r="BH375" i="8"/>
  <c r="CJ376" i="8"/>
  <c r="CI376" i="8"/>
  <c r="CH376" i="8"/>
  <c r="CG376" i="8"/>
  <c r="CF376" i="8"/>
  <c r="CE376" i="8"/>
  <c r="CD376" i="8"/>
  <c r="CC376" i="8"/>
  <c r="CB376" i="8"/>
  <c r="CA376" i="8"/>
  <c r="BZ376" i="8"/>
  <c r="BY376" i="8"/>
  <c r="BX376" i="8"/>
  <c r="BW376" i="8"/>
  <c r="BV376" i="8"/>
  <c r="BU376" i="8"/>
  <c r="BT376" i="8"/>
  <c r="BS376" i="8"/>
  <c r="BR376" i="8"/>
  <c r="BQ376" i="8"/>
  <c r="BP376" i="8"/>
  <c r="BO376" i="8"/>
  <c r="BN376" i="8"/>
  <c r="BM376" i="8"/>
  <c r="BL376" i="8"/>
  <c r="BK376" i="8"/>
  <c r="BJ376" i="8"/>
  <c r="BI376" i="8"/>
  <c r="BH376" i="8"/>
  <c r="CJ377" i="8"/>
  <c r="CI377" i="8"/>
  <c r="CH377" i="8"/>
  <c r="CG377" i="8"/>
  <c r="CF377" i="8"/>
  <c r="CE377" i="8"/>
  <c r="CD377" i="8"/>
  <c r="CC377" i="8"/>
  <c r="CB377" i="8"/>
  <c r="CA377" i="8"/>
  <c r="BZ377" i="8"/>
  <c r="BY377" i="8"/>
  <c r="BX377" i="8"/>
  <c r="BW377" i="8"/>
  <c r="BV377" i="8"/>
  <c r="BU377" i="8"/>
  <c r="BT377" i="8"/>
  <c r="BS377" i="8"/>
  <c r="BR377" i="8"/>
  <c r="BQ377" i="8"/>
  <c r="BP377" i="8"/>
  <c r="BO377" i="8"/>
  <c r="BN377" i="8"/>
  <c r="BM377" i="8"/>
  <c r="BL377" i="8"/>
  <c r="BK377" i="8"/>
  <c r="BJ377" i="8"/>
  <c r="BI377" i="8"/>
  <c r="BH377" i="8"/>
  <c r="CJ378" i="8"/>
  <c r="CI378" i="8"/>
  <c r="CH378" i="8"/>
  <c r="CG378" i="8"/>
  <c r="CF378" i="8"/>
  <c r="CE378" i="8"/>
  <c r="CD378" i="8"/>
  <c r="CC378" i="8"/>
  <c r="CB378" i="8"/>
  <c r="CA378" i="8"/>
  <c r="BZ378" i="8"/>
  <c r="BY378" i="8"/>
  <c r="BX378" i="8"/>
  <c r="BW378" i="8"/>
  <c r="BV378" i="8"/>
  <c r="BU378" i="8"/>
  <c r="BT378" i="8"/>
  <c r="BS378" i="8"/>
  <c r="BR378" i="8"/>
  <c r="BQ378" i="8"/>
  <c r="BP378" i="8"/>
  <c r="BO378" i="8"/>
  <c r="BN378" i="8"/>
  <c r="BM378" i="8"/>
  <c r="BL378" i="8"/>
  <c r="BK378" i="8"/>
  <c r="BJ378" i="8"/>
  <c r="BI378" i="8"/>
  <c r="BH378" i="8"/>
  <c r="CJ379" i="8"/>
  <c r="CI379" i="8"/>
  <c r="CH379" i="8"/>
  <c r="CG379" i="8"/>
  <c r="CF379" i="8"/>
  <c r="CE379" i="8"/>
  <c r="CD379" i="8"/>
  <c r="CC379" i="8"/>
  <c r="CB379" i="8"/>
  <c r="CA379" i="8"/>
  <c r="BZ379" i="8"/>
  <c r="BY379" i="8"/>
  <c r="BX379" i="8"/>
  <c r="BW379" i="8"/>
  <c r="BV379" i="8"/>
  <c r="BU379" i="8"/>
  <c r="BT379" i="8"/>
  <c r="BS379" i="8"/>
  <c r="BR379" i="8"/>
  <c r="BQ379" i="8"/>
  <c r="BP379" i="8"/>
  <c r="BO379" i="8"/>
  <c r="BN379" i="8"/>
  <c r="BM379" i="8"/>
  <c r="BL379" i="8"/>
  <c r="BK379" i="8"/>
  <c r="BJ379" i="8"/>
  <c r="BI379" i="8"/>
  <c r="BH379" i="8"/>
  <c r="CJ380" i="8"/>
  <c r="CI380" i="8"/>
  <c r="CH380" i="8"/>
  <c r="CG380" i="8"/>
  <c r="CF380" i="8"/>
  <c r="CE380" i="8"/>
  <c r="CD380" i="8"/>
  <c r="CC380" i="8"/>
  <c r="CB380" i="8"/>
  <c r="CA380" i="8"/>
  <c r="BZ380" i="8"/>
  <c r="BY380" i="8"/>
  <c r="BX380" i="8"/>
  <c r="BW380" i="8"/>
  <c r="BV380" i="8"/>
  <c r="BU380" i="8"/>
  <c r="BT380" i="8"/>
  <c r="BS380" i="8"/>
  <c r="BR380" i="8"/>
  <c r="BQ380" i="8"/>
  <c r="BP380" i="8"/>
  <c r="BO380" i="8"/>
  <c r="BN380" i="8"/>
  <c r="BM380" i="8"/>
  <c r="BL380" i="8"/>
  <c r="BK380" i="8"/>
  <c r="BJ380" i="8"/>
  <c r="BI380" i="8"/>
  <c r="BH380" i="8"/>
  <c r="CJ381" i="8"/>
  <c r="CI381" i="8"/>
  <c r="CH381" i="8"/>
  <c r="CG381" i="8"/>
  <c r="CF381" i="8"/>
  <c r="CE381" i="8"/>
  <c r="CD381" i="8"/>
  <c r="CC381" i="8"/>
  <c r="CB381" i="8"/>
  <c r="CA381" i="8"/>
  <c r="BZ381" i="8"/>
  <c r="BY381" i="8"/>
  <c r="BX381" i="8"/>
  <c r="BW381" i="8"/>
  <c r="BV381" i="8"/>
  <c r="BU381" i="8"/>
  <c r="BT381" i="8"/>
  <c r="BS381" i="8"/>
  <c r="BR381" i="8"/>
  <c r="BQ381" i="8"/>
  <c r="BP381" i="8"/>
  <c r="BO381" i="8"/>
  <c r="BN381" i="8"/>
  <c r="BM381" i="8"/>
  <c r="BL381" i="8"/>
  <c r="BK381" i="8"/>
  <c r="BJ381" i="8"/>
  <c r="BI381" i="8"/>
  <c r="BH381" i="8"/>
  <c r="CJ382" i="8"/>
  <c r="CI382" i="8"/>
  <c r="CH382" i="8"/>
  <c r="CG382" i="8"/>
  <c r="CF382" i="8"/>
  <c r="CE382" i="8"/>
  <c r="CD382" i="8"/>
  <c r="CC382" i="8"/>
  <c r="CB382" i="8"/>
  <c r="CA382" i="8"/>
  <c r="BZ382" i="8"/>
  <c r="BY382" i="8"/>
  <c r="BX382" i="8"/>
  <c r="BW382" i="8"/>
  <c r="BV382" i="8"/>
  <c r="BU382" i="8"/>
  <c r="BT382" i="8"/>
  <c r="BS382" i="8"/>
  <c r="BR382" i="8"/>
  <c r="BQ382" i="8"/>
  <c r="BP382" i="8"/>
  <c r="BO382" i="8"/>
  <c r="BN382" i="8"/>
  <c r="BM382" i="8"/>
  <c r="BL382" i="8"/>
  <c r="BK382" i="8"/>
  <c r="BJ382" i="8"/>
  <c r="BI382" i="8"/>
  <c r="BH382" i="8"/>
  <c r="CJ383" i="8"/>
  <c r="CI383" i="8"/>
  <c r="CH383" i="8"/>
  <c r="CG383" i="8"/>
  <c r="CF383" i="8"/>
  <c r="CE383" i="8"/>
  <c r="CD383" i="8"/>
  <c r="CC383" i="8"/>
  <c r="CB383" i="8"/>
  <c r="CA383" i="8"/>
  <c r="BZ383" i="8"/>
  <c r="BY383" i="8"/>
  <c r="BX383" i="8"/>
  <c r="BW383" i="8"/>
  <c r="BV383" i="8"/>
  <c r="BU383" i="8"/>
  <c r="BT383" i="8"/>
  <c r="BS383" i="8"/>
  <c r="BR383" i="8"/>
  <c r="BQ383" i="8"/>
  <c r="BP383" i="8"/>
  <c r="BO383" i="8"/>
  <c r="BN383" i="8"/>
  <c r="BM383" i="8"/>
  <c r="BL383" i="8"/>
  <c r="BK383" i="8"/>
  <c r="BJ383" i="8"/>
  <c r="BI383" i="8"/>
  <c r="BH383" i="8"/>
  <c r="CJ384" i="8"/>
  <c r="CI384" i="8"/>
  <c r="CH384" i="8"/>
  <c r="CG384" i="8"/>
  <c r="CF384" i="8"/>
  <c r="CE384" i="8"/>
  <c r="CD384" i="8"/>
  <c r="CC384" i="8"/>
  <c r="CB384" i="8"/>
  <c r="CA384" i="8"/>
  <c r="BZ384" i="8"/>
  <c r="BY384" i="8"/>
  <c r="BX384" i="8"/>
  <c r="BW384" i="8"/>
  <c r="BV384" i="8"/>
  <c r="BU384" i="8"/>
  <c r="BT384" i="8"/>
  <c r="BS384" i="8"/>
  <c r="BR384" i="8"/>
  <c r="BQ384" i="8"/>
  <c r="BP384" i="8"/>
  <c r="BO384" i="8"/>
  <c r="BN384" i="8"/>
  <c r="BM384" i="8"/>
  <c r="BL384" i="8"/>
  <c r="BK384" i="8"/>
  <c r="BJ384" i="8"/>
  <c r="BI384" i="8"/>
  <c r="BH384" i="8"/>
  <c r="CJ299" i="8"/>
  <c r="CI299" i="8"/>
  <c r="CH299" i="8"/>
  <c r="CG299" i="8"/>
  <c r="CF299" i="8"/>
  <c r="CE299" i="8"/>
  <c r="CD299" i="8"/>
  <c r="CC299" i="8"/>
  <c r="CB299" i="8"/>
  <c r="CA299" i="8"/>
  <c r="BZ299" i="8"/>
  <c r="BY299" i="8"/>
  <c r="BX299" i="8"/>
  <c r="BW299" i="8"/>
  <c r="BV299" i="8"/>
  <c r="BU299" i="8"/>
  <c r="BT299" i="8"/>
  <c r="BS299" i="8"/>
  <c r="BR299" i="8"/>
  <c r="BQ299" i="8"/>
  <c r="BP299" i="8"/>
  <c r="BO299" i="8"/>
  <c r="BN299" i="8"/>
  <c r="BM299" i="8"/>
  <c r="BL299" i="8"/>
  <c r="BK299" i="8"/>
  <c r="BJ299" i="8"/>
  <c r="BI299" i="8"/>
  <c r="BH299" i="8"/>
  <c r="CJ300" i="8"/>
  <c r="CI300" i="8"/>
  <c r="CH300" i="8"/>
  <c r="CG300" i="8"/>
  <c r="CF300" i="8"/>
  <c r="CE300" i="8"/>
  <c r="CD300" i="8"/>
  <c r="CC300" i="8"/>
  <c r="CB300" i="8"/>
  <c r="CA300" i="8"/>
  <c r="BZ300" i="8"/>
  <c r="BY300" i="8"/>
  <c r="BX300" i="8"/>
  <c r="BW300" i="8"/>
  <c r="BV300" i="8"/>
  <c r="BU300" i="8"/>
  <c r="BT300" i="8"/>
  <c r="BS300" i="8"/>
  <c r="BR300" i="8"/>
  <c r="BQ300" i="8"/>
  <c r="BP300" i="8"/>
  <c r="BO300" i="8"/>
  <c r="BN300" i="8"/>
  <c r="BM300" i="8"/>
  <c r="BL300" i="8"/>
  <c r="BK300" i="8"/>
  <c r="BJ300" i="8"/>
  <c r="BI300" i="8"/>
  <c r="BH300" i="8"/>
  <c r="CJ301" i="8"/>
  <c r="CI301" i="8"/>
  <c r="CH301" i="8"/>
  <c r="CG301" i="8"/>
  <c r="CF301" i="8"/>
  <c r="CE301" i="8"/>
  <c r="CD301" i="8"/>
  <c r="CC301" i="8"/>
  <c r="CB301" i="8"/>
  <c r="CA301" i="8"/>
  <c r="BZ301" i="8"/>
  <c r="BY301" i="8"/>
  <c r="BX301" i="8"/>
  <c r="BW301" i="8"/>
  <c r="BV301" i="8"/>
  <c r="BU301" i="8"/>
  <c r="BT301" i="8"/>
  <c r="BS301" i="8"/>
  <c r="BR301" i="8"/>
  <c r="BQ301" i="8"/>
  <c r="BP301" i="8"/>
  <c r="BO301" i="8"/>
  <c r="BN301" i="8"/>
  <c r="BM301" i="8"/>
  <c r="BL301" i="8"/>
  <c r="BK301" i="8"/>
  <c r="BJ301" i="8"/>
  <c r="BI301" i="8"/>
  <c r="BH301" i="8"/>
  <c r="CJ302" i="8"/>
  <c r="CI302" i="8"/>
  <c r="CH302" i="8"/>
  <c r="CG302" i="8"/>
  <c r="CF302" i="8"/>
  <c r="CE302" i="8"/>
  <c r="CD302" i="8"/>
  <c r="CC302" i="8"/>
  <c r="CB302" i="8"/>
  <c r="CA302" i="8"/>
  <c r="BZ302" i="8"/>
  <c r="BY302" i="8"/>
  <c r="BX302" i="8"/>
  <c r="BW302" i="8"/>
  <c r="BV302" i="8"/>
  <c r="BU302" i="8"/>
  <c r="BT302" i="8"/>
  <c r="BS302" i="8"/>
  <c r="BR302" i="8"/>
  <c r="BQ302" i="8"/>
  <c r="BP302" i="8"/>
  <c r="BO302" i="8"/>
  <c r="BN302" i="8"/>
  <c r="BM302" i="8"/>
  <c r="BL302" i="8"/>
  <c r="BK302" i="8"/>
  <c r="BJ302" i="8"/>
  <c r="BI302" i="8"/>
  <c r="BH302" i="8"/>
  <c r="CJ303" i="8"/>
  <c r="CI303" i="8"/>
  <c r="CH303" i="8"/>
  <c r="CG303" i="8"/>
  <c r="CF303" i="8"/>
  <c r="CE303" i="8"/>
  <c r="CD303" i="8"/>
  <c r="CC303" i="8"/>
  <c r="CB303" i="8"/>
  <c r="CA303" i="8"/>
  <c r="BZ303" i="8"/>
  <c r="BY303" i="8"/>
  <c r="BX303" i="8"/>
  <c r="BW303" i="8"/>
  <c r="BV303" i="8"/>
  <c r="BU303" i="8"/>
  <c r="BT303" i="8"/>
  <c r="BS303" i="8"/>
  <c r="BR303" i="8"/>
  <c r="BQ303" i="8"/>
  <c r="BP303" i="8"/>
  <c r="BO303" i="8"/>
  <c r="BN303" i="8"/>
  <c r="BM303" i="8"/>
  <c r="BL303" i="8"/>
  <c r="BK303" i="8"/>
  <c r="BJ303" i="8"/>
  <c r="BI303" i="8"/>
  <c r="BH303" i="8"/>
  <c r="CJ304" i="8"/>
  <c r="CI304" i="8"/>
  <c r="CH304" i="8"/>
  <c r="CG304" i="8"/>
  <c r="CF304" i="8"/>
  <c r="CE304" i="8"/>
  <c r="CD304" i="8"/>
  <c r="CC304" i="8"/>
  <c r="CB304" i="8"/>
  <c r="CA304" i="8"/>
  <c r="BZ304" i="8"/>
  <c r="BY304" i="8"/>
  <c r="BX304" i="8"/>
  <c r="BW304" i="8"/>
  <c r="BV304" i="8"/>
  <c r="BU304" i="8"/>
  <c r="BT304" i="8"/>
  <c r="BS304" i="8"/>
  <c r="BR304" i="8"/>
  <c r="BQ304" i="8"/>
  <c r="BP304" i="8"/>
  <c r="BO304" i="8"/>
  <c r="BN304" i="8"/>
  <c r="BM304" i="8"/>
  <c r="BL304" i="8"/>
  <c r="BK304" i="8"/>
  <c r="BJ304" i="8"/>
  <c r="BI304" i="8"/>
  <c r="BH304" i="8"/>
  <c r="CJ305" i="8"/>
  <c r="CI305" i="8"/>
  <c r="CH305" i="8"/>
  <c r="CG305" i="8"/>
  <c r="CF305" i="8"/>
  <c r="CE305" i="8"/>
  <c r="CD305" i="8"/>
  <c r="CC305" i="8"/>
  <c r="CB305" i="8"/>
  <c r="CA305" i="8"/>
  <c r="BZ305" i="8"/>
  <c r="BY305" i="8"/>
  <c r="BX305" i="8"/>
  <c r="BW305" i="8"/>
  <c r="BV305" i="8"/>
  <c r="BU305" i="8"/>
  <c r="BT305" i="8"/>
  <c r="BS305" i="8"/>
  <c r="BR305" i="8"/>
  <c r="BQ305" i="8"/>
  <c r="BP305" i="8"/>
  <c r="BO305" i="8"/>
  <c r="BN305" i="8"/>
  <c r="BM305" i="8"/>
  <c r="BL305" i="8"/>
  <c r="BK305" i="8"/>
  <c r="BJ305" i="8"/>
  <c r="BI305" i="8"/>
  <c r="BH305" i="8"/>
  <c r="CJ306" i="8"/>
  <c r="CI306" i="8"/>
  <c r="CH306" i="8"/>
  <c r="CG306" i="8"/>
  <c r="CF306" i="8"/>
  <c r="CE306" i="8"/>
  <c r="CD306" i="8"/>
  <c r="CC306" i="8"/>
  <c r="CB306" i="8"/>
  <c r="CA306" i="8"/>
  <c r="BZ306" i="8"/>
  <c r="BY306" i="8"/>
  <c r="BX306" i="8"/>
  <c r="BW306" i="8"/>
  <c r="BV306" i="8"/>
  <c r="BU306" i="8"/>
  <c r="BT306" i="8"/>
  <c r="BS306" i="8"/>
  <c r="BR306" i="8"/>
  <c r="BQ306" i="8"/>
  <c r="BP306" i="8"/>
  <c r="BO306" i="8"/>
  <c r="BN306" i="8"/>
  <c r="BM306" i="8"/>
  <c r="BL306" i="8"/>
  <c r="BK306" i="8"/>
  <c r="BJ306" i="8"/>
  <c r="BI306" i="8"/>
  <c r="BH306" i="8"/>
  <c r="CJ307" i="8"/>
  <c r="CI307" i="8"/>
  <c r="CH307" i="8"/>
  <c r="CG307" i="8"/>
  <c r="CF307" i="8"/>
  <c r="CE307" i="8"/>
  <c r="CD307" i="8"/>
  <c r="CC307" i="8"/>
  <c r="CB307" i="8"/>
  <c r="CA307" i="8"/>
  <c r="BZ307" i="8"/>
  <c r="BY307" i="8"/>
  <c r="BX307" i="8"/>
  <c r="BW307" i="8"/>
  <c r="BV307" i="8"/>
  <c r="BU307" i="8"/>
  <c r="BT307" i="8"/>
  <c r="BS307" i="8"/>
  <c r="BR307" i="8"/>
  <c r="BQ307" i="8"/>
  <c r="BP307" i="8"/>
  <c r="BO307" i="8"/>
  <c r="BN307" i="8"/>
  <c r="BM307" i="8"/>
  <c r="BL307" i="8"/>
  <c r="BK307" i="8"/>
  <c r="BJ307" i="8"/>
  <c r="BI307" i="8"/>
  <c r="BH307" i="8"/>
  <c r="CJ308" i="8"/>
  <c r="CI308" i="8"/>
  <c r="CH308" i="8"/>
  <c r="CG308" i="8"/>
  <c r="CF308" i="8"/>
  <c r="CE308" i="8"/>
  <c r="CD308" i="8"/>
  <c r="CC308" i="8"/>
  <c r="CB308" i="8"/>
  <c r="CA308" i="8"/>
  <c r="BZ308" i="8"/>
  <c r="BY308" i="8"/>
  <c r="BX308" i="8"/>
  <c r="BW308" i="8"/>
  <c r="BV308" i="8"/>
  <c r="BU308" i="8"/>
  <c r="BT308" i="8"/>
  <c r="BS308" i="8"/>
  <c r="BR308" i="8"/>
  <c r="BQ308" i="8"/>
  <c r="BP308" i="8"/>
  <c r="BO308" i="8"/>
  <c r="BN308" i="8"/>
  <c r="BM308" i="8"/>
  <c r="BL308" i="8"/>
  <c r="BK308" i="8"/>
  <c r="BJ308" i="8"/>
  <c r="BI308" i="8"/>
  <c r="BH308" i="8"/>
  <c r="CJ309" i="8"/>
  <c r="CI309" i="8"/>
  <c r="CH309" i="8"/>
  <c r="CG309" i="8"/>
  <c r="CF309" i="8"/>
  <c r="CE309" i="8"/>
  <c r="CD309" i="8"/>
  <c r="CC309" i="8"/>
  <c r="CB309" i="8"/>
  <c r="CA309" i="8"/>
  <c r="BZ309" i="8"/>
  <c r="BY309" i="8"/>
  <c r="BX309" i="8"/>
  <c r="BW309" i="8"/>
  <c r="BV309" i="8"/>
  <c r="BU309" i="8"/>
  <c r="BT309" i="8"/>
  <c r="BS309" i="8"/>
  <c r="BR309" i="8"/>
  <c r="BQ309" i="8"/>
  <c r="BP309" i="8"/>
  <c r="BO309" i="8"/>
  <c r="BN309" i="8"/>
  <c r="BM309" i="8"/>
  <c r="BL309" i="8"/>
  <c r="BK309" i="8"/>
  <c r="BJ309" i="8"/>
  <c r="BI309" i="8"/>
  <c r="BH309" i="8"/>
  <c r="CJ310" i="8"/>
  <c r="CI310" i="8"/>
  <c r="CH310" i="8"/>
  <c r="CG310" i="8"/>
  <c r="CF310" i="8"/>
  <c r="CE310" i="8"/>
  <c r="CD310" i="8"/>
  <c r="CC310" i="8"/>
  <c r="CB310" i="8"/>
  <c r="CA310" i="8"/>
  <c r="BZ310" i="8"/>
  <c r="BY310" i="8"/>
  <c r="BX310" i="8"/>
  <c r="BW310" i="8"/>
  <c r="BV310" i="8"/>
  <c r="BU310" i="8"/>
  <c r="BT310" i="8"/>
  <c r="BS310" i="8"/>
  <c r="BR310" i="8"/>
  <c r="BQ310" i="8"/>
  <c r="BP310" i="8"/>
  <c r="BO310" i="8"/>
  <c r="BN310" i="8"/>
  <c r="BM310" i="8"/>
  <c r="BL310" i="8"/>
  <c r="BK310" i="8"/>
  <c r="BJ310" i="8"/>
  <c r="BI310" i="8"/>
  <c r="BH310" i="8"/>
  <c r="CJ866" i="8"/>
  <c r="CI866" i="8"/>
  <c r="CH866" i="8"/>
  <c r="CG866" i="8"/>
  <c r="CF866" i="8"/>
  <c r="CE866" i="8"/>
  <c r="CD866" i="8"/>
  <c r="CC866" i="8"/>
  <c r="CB866" i="8"/>
  <c r="CA866" i="8"/>
  <c r="BZ866" i="8"/>
  <c r="BY866" i="8"/>
  <c r="BX866" i="8"/>
  <c r="BW866" i="8"/>
  <c r="BV866" i="8"/>
  <c r="BU866" i="8"/>
  <c r="BT866" i="8"/>
  <c r="BS866" i="8"/>
  <c r="BR866" i="8"/>
  <c r="BQ866" i="8"/>
  <c r="BP866" i="8"/>
  <c r="BO866" i="8"/>
  <c r="BN866" i="8"/>
  <c r="BM866" i="8"/>
  <c r="BL866" i="8"/>
  <c r="BK866" i="8"/>
  <c r="BJ866" i="8"/>
  <c r="BI866" i="8"/>
  <c r="BH866" i="8"/>
  <c r="CJ867" i="8"/>
  <c r="CI867" i="8"/>
  <c r="CH867" i="8"/>
  <c r="CG867" i="8"/>
  <c r="CF867" i="8"/>
  <c r="CE867" i="8"/>
  <c r="CD867" i="8"/>
  <c r="CC867" i="8"/>
  <c r="CB867" i="8"/>
  <c r="CA867" i="8"/>
  <c r="BZ867" i="8"/>
  <c r="BY867" i="8"/>
  <c r="BX867" i="8"/>
  <c r="BW867" i="8"/>
  <c r="BV867" i="8"/>
  <c r="BU867" i="8"/>
  <c r="BT867" i="8"/>
  <c r="BS867" i="8"/>
  <c r="BR867" i="8"/>
  <c r="BQ867" i="8"/>
  <c r="BP867" i="8"/>
  <c r="BO867" i="8"/>
  <c r="BN867" i="8"/>
  <c r="BM867" i="8"/>
  <c r="BL867" i="8"/>
  <c r="BK867" i="8"/>
  <c r="BJ867" i="8"/>
  <c r="BI867" i="8"/>
  <c r="BH867" i="8"/>
  <c r="CJ868" i="8"/>
  <c r="CI868" i="8"/>
  <c r="CH868" i="8"/>
  <c r="CG868" i="8"/>
  <c r="CF868" i="8"/>
  <c r="CE868" i="8"/>
  <c r="CD868" i="8"/>
  <c r="CC868" i="8"/>
  <c r="CB868" i="8"/>
  <c r="CA868" i="8"/>
  <c r="BZ868" i="8"/>
  <c r="BY868" i="8"/>
  <c r="BX868" i="8"/>
  <c r="BW868" i="8"/>
  <c r="BV868" i="8"/>
  <c r="BU868" i="8"/>
  <c r="BT868" i="8"/>
  <c r="BS868" i="8"/>
  <c r="BR868" i="8"/>
  <c r="BQ868" i="8"/>
  <c r="BP868" i="8"/>
  <c r="BO868" i="8"/>
  <c r="BN868" i="8"/>
  <c r="BM868" i="8"/>
  <c r="BL868" i="8"/>
  <c r="BK868" i="8"/>
  <c r="BJ868" i="8"/>
  <c r="BI868" i="8"/>
  <c r="BH868" i="8"/>
  <c r="CJ869" i="8"/>
  <c r="CI869" i="8"/>
  <c r="CH869" i="8"/>
  <c r="CG869" i="8"/>
  <c r="CF869" i="8"/>
  <c r="CE869" i="8"/>
  <c r="CD869" i="8"/>
  <c r="CC869" i="8"/>
  <c r="CB869" i="8"/>
  <c r="CA869" i="8"/>
  <c r="BZ869" i="8"/>
  <c r="BY869" i="8"/>
  <c r="BX869" i="8"/>
  <c r="BW869" i="8"/>
  <c r="BV869" i="8"/>
  <c r="BU869" i="8"/>
  <c r="BT869" i="8"/>
  <c r="BS869" i="8"/>
  <c r="BR869" i="8"/>
  <c r="BQ869" i="8"/>
  <c r="BP869" i="8"/>
  <c r="BO869" i="8"/>
  <c r="BN869" i="8"/>
  <c r="BM869" i="8"/>
  <c r="BL869" i="8"/>
  <c r="BK869" i="8"/>
  <c r="BJ869" i="8"/>
  <c r="BI869" i="8"/>
  <c r="BH869" i="8"/>
  <c r="CJ842" i="8"/>
  <c r="CI842" i="8"/>
  <c r="CH842" i="8"/>
  <c r="CG842" i="8"/>
  <c r="CF842" i="8"/>
  <c r="CE842" i="8"/>
  <c r="CD842" i="8"/>
  <c r="CC842" i="8"/>
  <c r="CB842" i="8"/>
  <c r="CA842" i="8"/>
  <c r="BZ842" i="8"/>
  <c r="BY842" i="8"/>
  <c r="BX842" i="8"/>
  <c r="BW842" i="8"/>
  <c r="BV842" i="8"/>
  <c r="BU842" i="8"/>
  <c r="BT842" i="8"/>
  <c r="BS842" i="8"/>
  <c r="BR842" i="8"/>
  <c r="BQ842" i="8"/>
  <c r="BP842" i="8"/>
  <c r="BO842" i="8"/>
  <c r="BN842" i="8"/>
  <c r="BM842" i="8"/>
  <c r="BL842" i="8"/>
  <c r="BK842" i="8"/>
  <c r="BJ842" i="8"/>
  <c r="BI842" i="8"/>
  <c r="BH842" i="8"/>
  <c r="CJ843" i="8"/>
  <c r="CI843" i="8"/>
  <c r="CH843" i="8"/>
  <c r="CG843" i="8"/>
  <c r="CF843" i="8"/>
  <c r="CE843" i="8"/>
  <c r="CD843" i="8"/>
  <c r="CC843" i="8"/>
  <c r="CB843" i="8"/>
  <c r="CA843" i="8"/>
  <c r="BZ843" i="8"/>
  <c r="BY843" i="8"/>
  <c r="BX843" i="8"/>
  <c r="BW843" i="8"/>
  <c r="BV843" i="8"/>
  <c r="BU843" i="8"/>
  <c r="BT843" i="8"/>
  <c r="BS843" i="8"/>
  <c r="BR843" i="8"/>
  <c r="BQ843" i="8"/>
  <c r="BP843" i="8"/>
  <c r="BO843" i="8"/>
  <c r="BN843" i="8"/>
  <c r="BM843" i="8"/>
  <c r="BL843" i="8"/>
  <c r="BK843" i="8"/>
  <c r="BJ843" i="8"/>
  <c r="BI843" i="8"/>
  <c r="BH843" i="8"/>
  <c r="CJ844" i="8"/>
  <c r="CI844" i="8"/>
  <c r="CH844" i="8"/>
  <c r="CG844" i="8"/>
  <c r="CF844" i="8"/>
  <c r="CE844" i="8"/>
  <c r="CD844" i="8"/>
  <c r="CC844" i="8"/>
  <c r="CB844" i="8"/>
  <c r="CA844" i="8"/>
  <c r="BZ844" i="8"/>
  <c r="BY844" i="8"/>
  <c r="BX844" i="8"/>
  <c r="BW844" i="8"/>
  <c r="BV844" i="8"/>
  <c r="BU844" i="8"/>
  <c r="BT844" i="8"/>
  <c r="BS844" i="8"/>
  <c r="BR844" i="8"/>
  <c r="BQ844" i="8"/>
  <c r="BP844" i="8"/>
  <c r="BO844" i="8"/>
  <c r="BN844" i="8"/>
  <c r="BM844" i="8"/>
  <c r="BL844" i="8"/>
  <c r="BK844" i="8"/>
  <c r="BJ844" i="8"/>
  <c r="BI844" i="8"/>
  <c r="BH844" i="8"/>
  <c r="CJ845" i="8"/>
  <c r="CI845" i="8"/>
  <c r="CH845" i="8"/>
  <c r="CG845" i="8"/>
  <c r="CF845" i="8"/>
  <c r="CE845" i="8"/>
  <c r="CD845" i="8"/>
  <c r="CC845" i="8"/>
  <c r="CB845" i="8"/>
  <c r="CA845" i="8"/>
  <c r="BZ845" i="8"/>
  <c r="BY845" i="8"/>
  <c r="BX845" i="8"/>
  <c r="BW845" i="8"/>
  <c r="BV845" i="8"/>
  <c r="BU845" i="8"/>
  <c r="BT845" i="8"/>
  <c r="BS845" i="8"/>
  <c r="BR845" i="8"/>
  <c r="BQ845" i="8"/>
  <c r="BP845" i="8"/>
  <c r="BO845" i="8"/>
  <c r="BN845" i="8"/>
  <c r="BM845" i="8"/>
  <c r="BL845" i="8"/>
  <c r="BK845" i="8"/>
  <c r="BJ845" i="8"/>
  <c r="BI845" i="8"/>
  <c r="BH845" i="8"/>
  <c r="CJ802" i="8"/>
  <c r="CI802" i="8"/>
  <c r="CH802" i="8"/>
  <c r="CG802" i="8"/>
  <c r="CF802" i="8"/>
  <c r="CE802" i="8"/>
  <c r="CD802" i="8"/>
  <c r="CC802" i="8"/>
  <c r="CB802" i="8"/>
  <c r="CA802" i="8"/>
  <c r="BZ802" i="8"/>
  <c r="BY802" i="8"/>
  <c r="BX802" i="8"/>
  <c r="BW802" i="8"/>
  <c r="BV802" i="8"/>
  <c r="BU802" i="8"/>
  <c r="BT802" i="8"/>
  <c r="BS802" i="8"/>
  <c r="BR802" i="8"/>
  <c r="BQ802" i="8"/>
  <c r="BP802" i="8"/>
  <c r="BO802" i="8"/>
  <c r="BN802" i="8"/>
  <c r="BM802" i="8"/>
  <c r="BL802" i="8"/>
  <c r="BK802" i="8"/>
  <c r="BJ802" i="8"/>
  <c r="BI802" i="8"/>
  <c r="BH802" i="8"/>
  <c r="CJ803" i="8"/>
  <c r="CI803" i="8"/>
  <c r="CH803" i="8"/>
  <c r="CG803" i="8"/>
  <c r="CF803" i="8"/>
  <c r="CE803" i="8"/>
  <c r="CD803" i="8"/>
  <c r="CC803" i="8"/>
  <c r="CB803" i="8"/>
  <c r="CA803" i="8"/>
  <c r="BZ803" i="8"/>
  <c r="BY803" i="8"/>
  <c r="BX803" i="8"/>
  <c r="BW803" i="8"/>
  <c r="BV803" i="8"/>
  <c r="BU803" i="8"/>
  <c r="BT803" i="8"/>
  <c r="BS803" i="8"/>
  <c r="BR803" i="8"/>
  <c r="BQ803" i="8"/>
  <c r="BP803" i="8"/>
  <c r="BO803" i="8"/>
  <c r="BN803" i="8"/>
  <c r="BM803" i="8"/>
  <c r="BL803" i="8"/>
  <c r="BK803" i="8"/>
  <c r="BJ803" i="8"/>
  <c r="BI803" i="8"/>
  <c r="BH803" i="8"/>
  <c r="CJ804" i="8"/>
  <c r="CI804" i="8"/>
  <c r="CH804" i="8"/>
  <c r="CG804" i="8"/>
  <c r="CF804" i="8"/>
  <c r="CE804" i="8"/>
  <c r="CD804" i="8"/>
  <c r="CC804" i="8"/>
  <c r="CB804" i="8"/>
  <c r="CA804" i="8"/>
  <c r="BZ804" i="8"/>
  <c r="BY804" i="8"/>
  <c r="BX804" i="8"/>
  <c r="BW804" i="8"/>
  <c r="BV804" i="8"/>
  <c r="BU804" i="8"/>
  <c r="BT804" i="8"/>
  <c r="BS804" i="8"/>
  <c r="BR804" i="8"/>
  <c r="BQ804" i="8"/>
  <c r="BP804" i="8"/>
  <c r="BO804" i="8"/>
  <c r="BN804" i="8"/>
  <c r="BM804" i="8"/>
  <c r="BL804" i="8"/>
  <c r="BK804" i="8"/>
  <c r="BJ804" i="8"/>
  <c r="BI804" i="8"/>
  <c r="BH804" i="8"/>
  <c r="CJ805" i="8"/>
  <c r="CI805" i="8"/>
  <c r="CH805" i="8"/>
  <c r="CG805" i="8"/>
  <c r="CF805" i="8"/>
  <c r="CE805" i="8"/>
  <c r="CD805" i="8"/>
  <c r="CC805" i="8"/>
  <c r="CB805" i="8"/>
  <c r="CA805" i="8"/>
  <c r="BZ805" i="8"/>
  <c r="BY805" i="8"/>
  <c r="BX805" i="8"/>
  <c r="BW805" i="8"/>
  <c r="BV805" i="8"/>
  <c r="BU805" i="8"/>
  <c r="BT805" i="8"/>
  <c r="BS805" i="8"/>
  <c r="BR805" i="8"/>
  <c r="BQ805" i="8"/>
  <c r="BP805" i="8"/>
  <c r="BO805" i="8"/>
  <c r="BN805" i="8"/>
  <c r="BM805" i="8"/>
  <c r="BL805" i="8"/>
  <c r="BK805" i="8"/>
  <c r="BJ805" i="8"/>
  <c r="BI805" i="8"/>
  <c r="BH805" i="8"/>
  <c r="CJ806" i="8"/>
  <c r="CI806" i="8"/>
  <c r="CH806" i="8"/>
  <c r="CG806" i="8"/>
  <c r="CF806" i="8"/>
  <c r="CE806" i="8"/>
  <c r="CD806" i="8"/>
  <c r="CC806" i="8"/>
  <c r="CB806" i="8"/>
  <c r="CA806" i="8"/>
  <c r="BZ806" i="8"/>
  <c r="BY806" i="8"/>
  <c r="BX806" i="8"/>
  <c r="BW806" i="8"/>
  <c r="BV806" i="8"/>
  <c r="BU806" i="8"/>
  <c r="BT806" i="8"/>
  <c r="BS806" i="8"/>
  <c r="BR806" i="8"/>
  <c r="BQ806" i="8"/>
  <c r="BP806" i="8"/>
  <c r="BO806" i="8"/>
  <c r="BN806" i="8"/>
  <c r="BM806" i="8"/>
  <c r="BL806" i="8"/>
  <c r="BK806" i="8"/>
  <c r="BJ806" i="8"/>
  <c r="BI806" i="8"/>
  <c r="BH806" i="8"/>
  <c r="CJ807" i="8"/>
  <c r="CI807" i="8"/>
  <c r="CH807" i="8"/>
  <c r="CG807" i="8"/>
  <c r="CF807" i="8"/>
  <c r="CE807" i="8"/>
  <c r="CD807" i="8"/>
  <c r="CC807" i="8"/>
  <c r="CB807" i="8"/>
  <c r="CA807" i="8"/>
  <c r="BZ807" i="8"/>
  <c r="BY807" i="8"/>
  <c r="BX807" i="8"/>
  <c r="BW807" i="8"/>
  <c r="BV807" i="8"/>
  <c r="BU807" i="8"/>
  <c r="BT807" i="8"/>
  <c r="BS807" i="8"/>
  <c r="BR807" i="8"/>
  <c r="BQ807" i="8"/>
  <c r="BP807" i="8"/>
  <c r="BO807" i="8"/>
  <c r="BN807" i="8"/>
  <c r="BM807" i="8"/>
  <c r="BL807" i="8"/>
  <c r="BK807" i="8"/>
  <c r="BJ807" i="8"/>
  <c r="BI807" i="8"/>
  <c r="BH807" i="8"/>
  <c r="CJ808" i="8"/>
  <c r="CI808" i="8"/>
  <c r="CH808" i="8"/>
  <c r="CG808" i="8"/>
  <c r="CF808" i="8"/>
  <c r="CE808" i="8"/>
  <c r="CD808" i="8"/>
  <c r="CC808" i="8"/>
  <c r="CB808" i="8"/>
  <c r="CA808" i="8"/>
  <c r="BZ808" i="8"/>
  <c r="BY808" i="8"/>
  <c r="BX808" i="8"/>
  <c r="BW808" i="8"/>
  <c r="BV808" i="8"/>
  <c r="BU808" i="8"/>
  <c r="BT808" i="8"/>
  <c r="BS808" i="8"/>
  <c r="BR808" i="8"/>
  <c r="BQ808" i="8"/>
  <c r="BP808" i="8"/>
  <c r="BO808" i="8"/>
  <c r="BN808" i="8"/>
  <c r="BM808" i="8"/>
  <c r="BL808" i="8"/>
  <c r="BK808" i="8"/>
  <c r="BJ808" i="8"/>
  <c r="BI808" i="8"/>
  <c r="BH808" i="8"/>
  <c r="CJ809" i="8"/>
  <c r="CI809" i="8"/>
  <c r="CH809" i="8"/>
  <c r="CG809" i="8"/>
  <c r="CF809" i="8"/>
  <c r="CE809" i="8"/>
  <c r="CD809" i="8"/>
  <c r="CC809" i="8"/>
  <c r="CB809" i="8"/>
  <c r="CA809" i="8"/>
  <c r="BZ809" i="8"/>
  <c r="BY809" i="8"/>
  <c r="BX809" i="8"/>
  <c r="BW809" i="8"/>
  <c r="BV809" i="8"/>
  <c r="BU809" i="8"/>
  <c r="BT809" i="8"/>
  <c r="BS809" i="8"/>
  <c r="BR809" i="8"/>
  <c r="BQ809" i="8"/>
  <c r="BP809" i="8"/>
  <c r="BO809" i="8"/>
  <c r="BN809" i="8"/>
  <c r="BM809" i="8"/>
  <c r="BL809" i="8"/>
  <c r="BK809" i="8"/>
  <c r="BJ809" i="8"/>
  <c r="BI809" i="8"/>
  <c r="BH809" i="8"/>
  <c r="CJ774" i="8"/>
  <c r="CI774" i="8"/>
  <c r="CH774" i="8"/>
  <c r="CG774" i="8"/>
  <c r="CF774" i="8"/>
  <c r="CE774" i="8"/>
  <c r="CD774" i="8"/>
  <c r="CC774" i="8"/>
  <c r="CB774" i="8"/>
  <c r="CA774" i="8"/>
  <c r="BZ774" i="8"/>
  <c r="BY774" i="8"/>
  <c r="BX774" i="8"/>
  <c r="BW774" i="8"/>
  <c r="BV774" i="8"/>
  <c r="BU774" i="8"/>
  <c r="BT774" i="8"/>
  <c r="BS774" i="8"/>
  <c r="BR774" i="8"/>
  <c r="BQ774" i="8"/>
  <c r="BP774" i="8"/>
  <c r="BO774" i="8"/>
  <c r="BN774" i="8"/>
  <c r="BM774" i="8"/>
  <c r="BL774" i="8"/>
  <c r="BK774" i="8"/>
  <c r="BJ774" i="8"/>
  <c r="BI774" i="8"/>
  <c r="BH774" i="8"/>
  <c r="CJ775" i="8"/>
  <c r="CI775" i="8"/>
  <c r="CH775" i="8"/>
  <c r="CG775" i="8"/>
  <c r="CF775" i="8"/>
  <c r="CE775" i="8"/>
  <c r="CD775" i="8"/>
  <c r="CC775" i="8"/>
  <c r="CB775" i="8"/>
  <c r="CA775" i="8"/>
  <c r="BZ775" i="8"/>
  <c r="BY775" i="8"/>
  <c r="BX775" i="8"/>
  <c r="BW775" i="8"/>
  <c r="BV775" i="8"/>
  <c r="BU775" i="8"/>
  <c r="BT775" i="8"/>
  <c r="BS775" i="8"/>
  <c r="BR775" i="8"/>
  <c r="BQ775" i="8"/>
  <c r="BP775" i="8"/>
  <c r="BO775" i="8"/>
  <c r="BN775" i="8"/>
  <c r="BM775" i="8"/>
  <c r="BL775" i="8"/>
  <c r="BK775" i="8"/>
  <c r="BJ775" i="8"/>
  <c r="BI775" i="8"/>
  <c r="BH775" i="8"/>
  <c r="CJ776" i="8"/>
  <c r="CI776" i="8"/>
  <c r="CH776" i="8"/>
  <c r="CG776" i="8"/>
  <c r="CF776" i="8"/>
  <c r="CE776" i="8"/>
  <c r="CD776" i="8"/>
  <c r="CC776" i="8"/>
  <c r="CB776" i="8"/>
  <c r="CA776" i="8"/>
  <c r="BZ776" i="8"/>
  <c r="BY776" i="8"/>
  <c r="BX776" i="8"/>
  <c r="BW776" i="8"/>
  <c r="BV776" i="8"/>
  <c r="BU776" i="8"/>
  <c r="BT776" i="8"/>
  <c r="BS776" i="8"/>
  <c r="BR776" i="8"/>
  <c r="BQ776" i="8"/>
  <c r="BP776" i="8"/>
  <c r="BO776" i="8"/>
  <c r="BN776" i="8"/>
  <c r="BM776" i="8"/>
  <c r="BL776" i="8"/>
  <c r="BK776" i="8"/>
  <c r="BJ776" i="8"/>
  <c r="BI776" i="8"/>
  <c r="BH776" i="8"/>
  <c r="CJ777" i="8"/>
  <c r="CI777" i="8"/>
  <c r="CH777" i="8"/>
  <c r="CG777" i="8"/>
  <c r="CF777" i="8"/>
  <c r="CE777" i="8"/>
  <c r="CD777" i="8"/>
  <c r="CC777" i="8"/>
  <c r="CB777" i="8"/>
  <c r="CA777" i="8"/>
  <c r="BZ777" i="8"/>
  <c r="BY777" i="8"/>
  <c r="BX777" i="8"/>
  <c r="BW777" i="8"/>
  <c r="BV777" i="8"/>
  <c r="BU777" i="8"/>
  <c r="BT777" i="8"/>
  <c r="BS777" i="8"/>
  <c r="BR777" i="8"/>
  <c r="BQ777" i="8"/>
  <c r="BP777" i="8"/>
  <c r="BO777" i="8"/>
  <c r="BN777" i="8"/>
  <c r="BM777" i="8"/>
  <c r="BL777" i="8"/>
  <c r="BK777" i="8"/>
  <c r="BJ777" i="8"/>
  <c r="BI777" i="8"/>
  <c r="BH777" i="8"/>
  <c r="CJ754" i="8"/>
  <c r="CI754" i="8"/>
  <c r="CH754" i="8"/>
  <c r="CG754" i="8"/>
  <c r="CF754" i="8"/>
  <c r="CE754" i="8"/>
  <c r="CD754" i="8"/>
  <c r="CC754" i="8"/>
  <c r="CB754" i="8"/>
  <c r="CA754" i="8"/>
  <c r="BZ754" i="8"/>
  <c r="BY754" i="8"/>
  <c r="BX754" i="8"/>
  <c r="BW754" i="8"/>
  <c r="BV754" i="8"/>
  <c r="BU754" i="8"/>
  <c r="BT754" i="8"/>
  <c r="BS754" i="8"/>
  <c r="BR754" i="8"/>
  <c r="BQ754" i="8"/>
  <c r="BP754" i="8"/>
  <c r="BO754" i="8"/>
  <c r="BN754" i="8"/>
  <c r="BM754" i="8"/>
  <c r="BL754" i="8"/>
  <c r="BK754" i="8"/>
  <c r="BJ754" i="8"/>
  <c r="BI754" i="8"/>
  <c r="BH754" i="8"/>
  <c r="CJ755" i="8"/>
  <c r="CI755" i="8"/>
  <c r="CH755" i="8"/>
  <c r="CG755" i="8"/>
  <c r="CF755" i="8"/>
  <c r="CE755" i="8"/>
  <c r="CD755" i="8"/>
  <c r="CC755" i="8"/>
  <c r="CB755" i="8"/>
  <c r="CA755" i="8"/>
  <c r="BZ755" i="8"/>
  <c r="BY755" i="8"/>
  <c r="BX755" i="8"/>
  <c r="BW755" i="8"/>
  <c r="BV755" i="8"/>
  <c r="BU755" i="8"/>
  <c r="BT755" i="8"/>
  <c r="BS755" i="8"/>
  <c r="BR755" i="8"/>
  <c r="BQ755" i="8"/>
  <c r="BP755" i="8"/>
  <c r="BO755" i="8"/>
  <c r="BN755" i="8"/>
  <c r="BM755" i="8"/>
  <c r="BL755" i="8"/>
  <c r="BK755" i="8"/>
  <c r="BJ755" i="8"/>
  <c r="BI755" i="8"/>
  <c r="BH755" i="8"/>
  <c r="CJ756" i="8"/>
  <c r="CI756" i="8"/>
  <c r="CH756" i="8"/>
  <c r="CG756" i="8"/>
  <c r="CF756" i="8"/>
  <c r="CE756" i="8"/>
  <c r="CD756" i="8"/>
  <c r="CC756" i="8"/>
  <c r="CB756" i="8"/>
  <c r="CA756" i="8"/>
  <c r="BZ756" i="8"/>
  <c r="BY756" i="8"/>
  <c r="BX756" i="8"/>
  <c r="BW756" i="8"/>
  <c r="BV756" i="8"/>
  <c r="BU756" i="8"/>
  <c r="BT756" i="8"/>
  <c r="BS756" i="8"/>
  <c r="BR756" i="8"/>
  <c r="BQ756" i="8"/>
  <c r="BP756" i="8"/>
  <c r="BO756" i="8"/>
  <c r="BN756" i="8"/>
  <c r="BM756" i="8"/>
  <c r="BL756" i="8"/>
  <c r="BK756" i="8"/>
  <c r="BJ756" i="8"/>
  <c r="BI756" i="8"/>
  <c r="BH756" i="8"/>
  <c r="CJ757" i="8"/>
  <c r="CI757" i="8"/>
  <c r="CH757" i="8"/>
  <c r="CG757" i="8"/>
  <c r="CF757" i="8"/>
  <c r="CE757" i="8"/>
  <c r="CD757" i="8"/>
  <c r="CC757" i="8"/>
  <c r="CB757" i="8"/>
  <c r="CA757" i="8"/>
  <c r="BZ757" i="8"/>
  <c r="BY757" i="8"/>
  <c r="BX757" i="8"/>
  <c r="BW757" i="8"/>
  <c r="BV757" i="8"/>
  <c r="BU757" i="8"/>
  <c r="BT757" i="8"/>
  <c r="BS757" i="8"/>
  <c r="BR757" i="8"/>
  <c r="BQ757" i="8"/>
  <c r="BP757" i="8"/>
  <c r="BO757" i="8"/>
  <c r="BN757" i="8"/>
  <c r="BM757" i="8"/>
  <c r="BL757" i="8"/>
  <c r="BK757" i="8"/>
  <c r="BJ757" i="8"/>
  <c r="BI757" i="8"/>
  <c r="BH757" i="8"/>
  <c r="CJ734" i="8"/>
  <c r="CI734" i="8"/>
  <c r="CH734" i="8"/>
  <c r="CG734" i="8"/>
  <c r="CF734" i="8"/>
  <c r="CE734" i="8"/>
  <c r="CD734" i="8"/>
  <c r="CC734" i="8"/>
  <c r="CB734" i="8"/>
  <c r="CA734" i="8"/>
  <c r="BZ734" i="8"/>
  <c r="BY734" i="8"/>
  <c r="BX734" i="8"/>
  <c r="BW734" i="8"/>
  <c r="BV734" i="8"/>
  <c r="BU734" i="8"/>
  <c r="BT734" i="8"/>
  <c r="BS734" i="8"/>
  <c r="BR734" i="8"/>
  <c r="BQ734" i="8"/>
  <c r="BP734" i="8"/>
  <c r="BO734" i="8"/>
  <c r="BN734" i="8"/>
  <c r="BM734" i="8"/>
  <c r="BL734" i="8"/>
  <c r="BK734" i="8"/>
  <c r="BJ734" i="8"/>
  <c r="BI734" i="8"/>
  <c r="BH734" i="8"/>
  <c r="CJ735" i="8"/>
  <c r="CI735" i="8"/>
  <c r="CH735" i="8"/>
  <c r="CG735" i="8"/>
  <c r="CF735" i="8"/>
  <c r="CE735" i="8"/>
  <c r="CD735" i="8"/>
  <c r="CC735" i="8"/>
  <c r="CB735" i="8"/>
  <c r="CA735" i="8"/>
  <c r="BZ735" i="8"/>
  <c r="BY735" i="8"/>
  <c r="BX735" i="8"/>
  <c r="BW735" i="8"/>
  <c r="BV735" i="8"/>
  <c r="BU735" i="8"/>
  <c r="BT735" i="8"/>
  <c r="BS735" i="8"/>
  <c r="BR735" i="8"/>
  <c r="BQ735" i="8"/>
  <c r="BP735" i="8"/>
  <c r="BO735" i="8"/>
  <c r="BN735" i="8"/>
  <c r="BM735" i="8"/>
  <c r="BL735" i="8"/>
  <c r="BK735" i="8"/>
  <c r="BJ735" i="8"/>
  <c r="BI735" i="8"/>
  <c r="BH735" i="8"/>
  <c r="CJ736" i="8"/>
  <c r="CI736" i="8"/>
  <c r="CH736" i="8"/>
  <c r="CG736" i="8"/>
  <c r="CF736" i="8"/>
  <c r="CE736" i="8"/>
  <c r="CD736" i="8"/>
  <c r="CC736" i="8"/>
  <c r="CB736" i="8"/>
  <c r="CA736" i="8"/>
  <c r="BZ736" i="8"/>
  <c r="BY736" i="8"/>
  <c r="BX736" i="8"/>
  <c r="BW736" i="8"/>
  <c r="BV736" i="8"/>
  <c r="BU736" i="8"/>
  <c r="BT736" i="8"/>
  <c r="BS736" i="8"/>
  <c r="BR736" i="8"/>
  <c r="BQ736" i="8"/>
  <c r="BP736" i="8"/>
  <c r="BO736" i="8"/>
  <c r="BN736" i="8"/>
  <c r="BM736" i="8"/>
  <c r="BL736" i="8"/>
  <c r="BK736" i="8"/>
  <c r="BJ736" i="8"/>
  <c r="BI736" i="8"/>
  <c r="BH736" i="8"/>
  <c r="CJ737" i="8"/>
  <c r="CI737" i="8"/>
  <c r="CH737" i="8"/>
  <c r="CG737" i="8"/>
  <c r="CF737" i="8"/>
  <c r="CE737" i="8"/>
  <c r="CD737" i="8"/>
  <c r="CC737" i="8"/>
  <c r="CB737" i="8"/>
  <c r="CA737" i="8"/>
  <c r="BZ737" i="8"/>
  <c r="BY737" i="8"/>
  <c r="BX737" i="8"/>
  <c r="BW737" i="8"/>
  <c r="BV737" i="8"/>
  <c r="BU737" i="8"/>
  <c r="BT737" i="8"/>
  <c r="BS737" i="8"/>
  <c r="BR737" i="8"/>
  <c r="BQ737" i="8"/>
  <c r="BP737" i="8"/>
  <c r="BO737" i="8"/>
  <c r="BN737" i="8"/>
  <c r="BM737" i="8"/>
  <c r="BL737" i="8"/>
  <c r="BK737" i="8"/>
  <c r="BJ737" i="8"/>
  <c r="BI737" i="8"/>
  <c r="BH737" i="8"/>
  <c r="CJ714" i="8"/>
  <c r="CI714" i="8"/>
  <c r="CH714" i="8"/>
  <c r="CG714" i="8"/>
  <c r="CF714" i="8"/>
  <c r="CE714" i="8"/>
  <c r="CD714" i="8"/>
  <c r="CC714" i="8"/>
  <c r="CB714" i="8"/>
  <c r="CA714" i="8"/>
  <c r="BZ714" i="8"/>
  <c r="BY714" i="8"/>
  <c r="BX714" i="8"/>
  <c r="BW714" i="8"/>
  <c r="BV714" i="8"/>
  <c r="BU714" i="8"/>
  <c r="BT714" i="8"/>
  <c r="BS714" i="8"/>
  <c r="BR714" i="8"/>
  <c r="BQ714" i="8"/>
  <c r="BP714" i="8"/>
  <c r="BO714" i="8"/>
  <c r="BN714" i="8"/>
  <c r="BM714" i="8"/>
  <c r="BL714" i="8"/>
  <c r="BK714" i="8"/>
  <c r="BJ714" i="8"/>
  <c r="BI714" i="8"/>
  <c r="BH714" i="8"/>
  <c r="CJ715" i="8"/>
  <c r="CI715" i="8"/>
  <c r="CH715" i="8"/>
  <c r="CG715" i="8"/>
  <c r="CF715" i="8"/>
  <c r="CE715" i="8"/>
  <c r="CD715" i="8"/>
  <c r="CC715" i="8"/>
  <c r="CB715" i="8"/>
  <c r="CA715" i="8"/>
  <c r="BZ715" i="8"/>
  <c r="BY715" i="8"/>
  <c r="BX715" i="8"/>
  <c r="BW715" i="8"/>
  <c r="BV715" i="8"/>
  <c r="BU715" i="8"/>
  <c r="BT715" i="8"/>
  <c r="BS715" i="8"/>
  <c r="BR715" i="8"/>
  <c r="BQ715" i="8"/>
  <c r="BP715" i="8"/>
  <c r="BO715" i="8"/>
  <c r="BN715" i="8"/>
  <c r="BM715" i="8"/>
  <c r="BL715" i="8"/>
  <c r="BK715" i="8"/>
  <c r="BJ715" i="8"/>
  <c r="BI715" i="8"/>
  <c r="BH715" i="8"/>
  <c r="CJ716" i="8"/>
  <c r="CI716" i="8"/>
  <c r="CH716" i="8"/>
  <c r="CG716" i="8"/>
  <c r="CF716" i="8"/>
  <c r="CE716" i="8"/>
  <c r="CD716" i="8"/>
  <c r="CC716" i="8"/>
  <c r="CB716" i="8"/>
  <c r="CA716" i="8"/>
  <c r="BZ716" i="8"/>
  <c r="BY716" i="8"/>
  <c r="BX716" i="8"/>
  <c r="BW716" i="8"/>
  <c r="BV716" i="8"/>
  <c r="BU716" i="8"/>
  <c r="BT716" i="8"/>
  <c r="BS716" i="8"/>
  <c r="BR716" i="8"/>
  <c r="BQ716" i="8"/>
  <c r="BP716" i="8"/>
  <c r="BO716" i="8"/>
  <c r="BN716" i="8"/>
  <c r="BM716" i="8"/>
  <c r="BL716" i="8"/>
  <c r="BK716" i="8"/>
  <c r="BJ716" i="8"/>
  <c r="BI716" i="8"/>
  <c r="BH716" i="8"/>
  <c r="CJ717" i="8"/>
  <c r="CI717" i="8"/>
  <c r="CH717" i="8"/>
  <c r="CG717" i="8"/>
  <c r="CF717" i="8"/>
  <c r="CE717" i="8"/>
  <c r="CD717" i="8"/>
  <c r="CC717" i="8"/>
  <c r="CB717" i="8"/>
  <c r="CA717" i="8"/>
  <c r="BZ717" i="8"/>
  <c r="BY717" i="8"/>
  <c r="BX717" i="8"/>
  <c r="BW717" i="8"/>
  <c r="BV717" i="8"/>
  <c r="BU717" i="8"/>
  <c r="BT717" i="8"/>
  <c r="BS717" i="8"/>
  <c r="BR717" i="8"/>
  <c r="BQ717" i="8"/>
  <c r="BP717" i="8"/>
  <c r="BO717" i="8"/>
  <c r="BN717" i="8"/>
  <c r="BM717" i="8"/>
  <c r="BL717" i="8"/>
  <c r="BK717" i="8"/>
  <c r="BJ717" i="8"/>
  <c r="BI717" i="8"/>
  <c r="BH717" i="8"/>
  <c r="CJ682" i="8"/>
  <c r="CI682" i="8"/>
  <c r="CH682" i="8"/>
  <c r="CG682" i="8"/>
  <c r="CF682" i="8"/>
  <c r="CE682" i="8"/>
  <c r="CD682" i="8"/>
  <c r="CC682" i="8"/>
  <c r="CB682" i="8"/>
  <c r="CA682" i="8"/>
  <c r="BZ682" i="8"/>
  <c r="BY682" i="8"/>
  <c r="BX682" i="8"/>
  <c r="BW682" i="8"/>
  <c r="BV682" i="8"/>
  <c r="BU682" i="8"/>
  <c r="BT682" i="8"/>
  <c r="BS682" i="8"/>
  <c r="BR682" i="8"/>
  <c r="BQ682" i="8"/>
  <c r="BP682" i="8"/>
  <c r="BO682" i="8"/>
  <c r="BN682" i="8"/>
  <c r="BM682" i="8"/>
  <c r="BL682" i="8"/>
  <c r="BK682" i="8"/>
  <c r="BJ682" i="8"/>
  <c r="BI682" i="8"/>
  <c r="BH682" i="8"/>
  <c r="CJ683" i="8"/>
  <c r="CI683" i="8"/>
  <c r="CH683" i="8"/>
  <c r="CG683" i="8"/>
  <c r="CF683" i="8"/>
  <c r="CE683" i="8"/>
  <c r="CD683" i="8"/>
  <c r="CC683" i="8"/>
  <c r="CB683" i="8"/>
  <c r="CA683" i="8"/>
  <c r="BZ683" i="8"/>
  <c r="BY683" i="8"/>
  <c r="BX683" i="8"/>
  <c r="BW683" i="8"/>
  <c r="BV683" i="8"/>
  <c r="BU683" i="8"/>
  <c r="BT683" i="8"/>
  <c r="BS683" i="8"/>
  <c r="BR683" i="8"/>
  <c r="BQ683" i="8"/>
  <c r="BP683" i="8"/>
  <c r="BO683" i="8"/>
  <c r="BN683" i="8"/>
  <c r="BM683" i="8"/>
  <c r="BL683" i="8"/>
  <c r="BK683" i="8"/>
  <c r="BJ683" i="8"/>
  <c r="BI683" i="8"/>
  <c r="BH683" i="8"/>
  <c r="CJ684" i="8"/>
  <c r="CI684" i="8"/>
  <c r="CH684" i="8"/>
  <c r="CG684" i="8"/>
  <c r="CF684" i="8"/>
  <c r="CE684" i="8"/>
  <c r="CD684" i="8"/>
  <c r="CC684" i="8"/>
  <c r="CB684" i="8"/>
  <c r="CA684" i="8"/>
  <c r="BZ684" i="8"/>
  <c r="BY684" i="8"/>
  <c r="BX684" i="8"/>
  <c r="BW684" i="8"/>
  <c r="BV684" i="8"/>
  <c r="BU684" i="8"/>
  <c r="BT684" i="8"/>
  <c r="BS684" i="8"/>
  <c r="BR684" i="8"/>
  <c r="BQ684" i="8"/>
  <c r="BP684" i="8"/>
  <c r="BO684" i="8"/>
  <c r="BN684" i="8"/>
  <c r="BM684" i="8"/>
  <c r="BL684" i="8"/>
  <c r="BK684" i="8"/>
  <c r="BJ684" i="8"/>
  <c r="BI684" i="8"/>
  <c r="BH684" i="8"/>
  <c r="CJ685" i="8"/>
  <c r="CI685" i="8"/>
  <c r="CH685" i="8"/>
  <c r="CG685" i="8"/>
  <c r="CF685" i="8"/>
  <c r="CE685" i="8"/>
  <c r="CD685" i="8"/>
  <c r="CC685" i="8"/>
  <c r="CB685" i="8"/>
  <c r="CA685" i="8"/>
  <c r="BZ685" i="8"/>
  <c r="BY685" i="8"/>
  <c r="BX685" i="8"/>
  <c r="BW685" i="8"/>
  <c r="BV685" i="8"/>
  <c r="BU685" i="8"/>
  <c r="BT685" i="8"/>
  <c r="BS685" i="8"/>
  <c r="BR685" i="8"/>
  <c r="BQ685" i="8"/>
  <c r="BP685" i="8"/>
  <c r="BO685" i="8"/>
  <c r="BN685" i="8"/>
  <c r="BM685" i="8"/>
  <c r="BL685" i="8"/>
  <c r="BK685" i="8"/>
  <c r="BJ685" i="8"/>
  <c r="BI685" i="8"/>
  <c r="BH685" i="8"/>
  <c r="CJ686" i="8"/>
  <c r="CI686" i="8"/>
  <c r="CH686" i="8"/>
  <c r="CG686" i="8"/>
  <c r="CF686" i="8"/>
  <c r="CE686" i="8"/>
  <c r="CD686" i="8"/>
  <c r="CC686" i="8"/>
  <c r="CB686" i="8"/>
  <c r="CA686" i="8"/>
  <c r="BZ686" i="8"/>
  <c r="BY686" i="8"/>
  <c r="BX686" i="8"/>
  <c r="BW686" i="8"/>
  <c r="BV686" i="8"/>
  <c r="BU686" i="8"/>
  <c r="BT686" i="8"/>
  <c r="BS686" i="8"/>
  <c r="BR686" i="8"/>
  <c r="BQ686" i="8"/>
  <c r="BP686" i="8"/>
  <c r="BO686" i="8"/>
  <c r="BN686" i="8"/>
  <c r="BM686" i="8"/>
  <c r="BL686" i="8"/>
  <c r="BK686" i="8"/>
  <c r="BJ686" i="8"/>
  <c r="BI686" i="8"/>
  <c r="BH686" i="8"/>
  <c r="CJ687" i="8"/>
  <c r="CI687" i="8"/>
  <c r="CH687" i="8"/>
  <c r="CG687" i="8"/>
  <c r="CF687" i="8"/>
  <c r="CE687" i="8"/>
  <c r="CD687" i="8"/>
  <c r="CC687" i="8"/>
  <c r="CB687" i="8"/>
  <c r="CA687" i="8"/>
  <c r="BZ687" i="8"/>
  <c r="BY687" i="8"/>
  <c r="BX687" i="8"/>
  <c r="BW687" i="8"/>
  <c r="BV687" i="8"/>
  <c r="BU687" i="8"/>
  <c r="BT687" i="8"/>
  <c r="BS687" i="8"/>
  <c r="BR687" i="8"/>
  <c r="BQ687" i="8"/>
  <c r="BP687" i="8"/>
  <c r="BO687" i="8"/>
  <c r="BN687" i="8"/>
  <c r="BM687" i="8"/>
  <c r="BL687" i="8"/>
  <c r="BK687" i="8"/>
  <c r="BJ687" i="8"/>
  <c r="BI687" i="8"/>
  <c r="BH687" i="8"/>
  <c r="CJ688" i="8"/>
  <c r="CI688" i="8"/>
  <c r="CH688" i="8"/>
  <c r="CG688" i="8"/>
  <c r="CF688" i="8"/>
  <c r="CE688" i="8"/>
  <c r="CD688" i="8"/>
  <c r="CC688" i="8"/>
  <c r="CB688" i="8"/>
  <c r="CA688" i="8"/>
  <c r="BZ688" i="8"/>
  <c r="BY688" i="8"/>
  <c r="BX688" i="8"/>
  <c r="BW688" i="8"/>
  <c r="BV688" i="8"/>
  <c r="BU688" i="8"/>
  <c r="BT688" i="8"/>
  <c r="BS688" i="8"/>
  <c r="BR688" i="8"/>
  <c r="BQ688" i="8"/>
  <c r="BP688" i="8"/>
  <c r="BO688" i="8"/>
  <c r="BN688" i="8"/>
  <c r="BM688" i="8"/>
  <c r="BL688" i="8"/>
  <c r="BK688" i="8"/>
  <c r="BJ688" i="8"/>
  <c r="BI688" i="8"/>
  <c r="BH688" i="8"/>
  <c r="CJ689" i="8"/>
  <c r="CI689" i="8"/>
  <c r="CH689" i="8"/>
  <c r="CG689" i="8"/>
  <c r="CF689" i="8"/>
  <c r="CE689" i="8"/>
  <c r="CD689" i="8"/>
  <c r="CC689" i="8"/>
  <c r="CB689" i="8"/>
  <c r="CA689" i="8"/>
  <c r="BZ689" i="8"/>
  <c r="BY689" i="8"/>
  <c r="BX689" i="8"/>
  <c r="BW689" i="8"/>
  <c r="BV689" i="8"/>
  <c r="BU689" i="8"/>
  <c r="BT689" i="8"/>
  <c r="BS689" i="8"/>
  <c r="BR689" i="8"/>
  <c r="BQ689" i="8"/>
  <c r="BP689" i="8"/>
  <c r="BO689" i="8"/>
  <c r="BN689" i="8"/>
  <c r="BM689" i="8"/>
  <c r="BL689" i="8"/>
  <c r="BK689" i="8"/>
  <c r="BJ689" i="8"/>
  <c r="BI689" i="8"/>
  <c r="BH689" i="8"/>
  <c r="CJ642" i="8"/>
  <c r="CI642" i="8"/>
  <c r="CH642" i="8"/>
  <c r="CG642" i="8"/>
  <c r="CF642" i="8"/>
  <c r="CE642" i="8"/>
  <c r="CD642" i="8"/>
  <c r="CC642" i="8"/>
  <c r="CB642" i="8"/>
  <c r="CA642" i="8"/>
  <c r="BZ642" i="8"/>
  <c r="BY642" i="8"/>
  <c r="BX642" i="8"/>
  <c r="BW642" i="8"/>
  <c r="BV642" i="8"/>
  <c r="BU642" i="8"/>
  <c r="BT642" i="8"/>
  <c r="BS642" i="8"/>
  <c r="BR642" i="8"/>
  <c r="BQ642" i="8"/>
  <c r="BP642" i="8"/>
  <c r="BO642" i="8"/>
  <c r="BN642" i="8"/>
  <c r="BM642" i="8"/>
  <c r="BL642" i="8"/>
  <c r="BK642" i="8"/>
  <c r="BJ642" i="8"/>
  <c r="BI642" i="8"/>
  <c r="BH642" i="8"/>
  <c r="CJ643" i="8"/>
  <c r="CI643" i="8"/>
  <c r="CH643" i="8"/>
  <c r="CG643" i="8"/>
  <c r="CF643" i="8"/>
  <c r="CE643" i="8"/>
  <c r="CD643" i="8"/>
  <c r="CC643" i="8"/>
  <c r="CB643" i="8"/>
  <c r="CA643" i="8"/>
  <c r="BZ643" i="8"/>
  <c r="BY643" i="8"/>
  <c r="BX643" i="8"/>
  <c r="BW643" i="8"/>
  <c r="BV643" i="8"/>
  <c r="BU643" i="8"/>
  <c r="BT643" i="8"/>
  <c r="BS643" i="8"/>
  <c r="BR643" i="8"/>
  <c r="BQ643" i="8"/>
  <c r="BP643" i="8"/>
  <c r="BO643" i="8"/>
  <c r="BN643" i="8"/>
  <c r="BM643" i="8"/>
  <c r="BL643" i="8"/>
  <c r="BK643" i="8"/>
  <c r="BJ643" i="8"/>
  <c r="BI643" i="8"/>
  <c r="BH643" i="8"/>
  <c r="CJ644" i="8"/>
  <c r="CI644" i="8"/>
  <c r="CH644" i="8"/>
  <c r="CG644" i="8"/>
  <c r="CF644" i="8"/>
  <c r="CE644" i="8"/>
  <c r="CD644" i="8"/>
  <c r="CC644" i="8"/>
  <c r="CB644" i="8"/>
  <c r="CA644" i="8"/>
  <c r="BZ644" i="8"/>
  <c r="BY644" i="8"/>
  <c r="BX644" i="8"/>
  <c r="BW644" i="8"/>
  <c r="BV644" i="8"/>
  <c r="BU644" i="8"/>
  <c r="BT644" i="8"/>
  <c r="BS644" i="8"/>
  <c r="BR644" i="8"/>
  <c r="BQ644" i="8"/>
  <c r="BP644" i="8"/>
  <c r="BO644" i="8"/>
  <c r="BN644" i="8"/>
  <c r="BM644" i="8"/>
  <c r="BL644" i="8"/>
  <c r="BK644" i="8"/>
  <c r="BJ644" i="8"/>
  <c r="BI644" i="8"/>
  <c r="BH644" i="8"/>
  <c r="CJ645" i="8"/>
  <c r="CI645" i="8"/>
  <c r="CH645" i="8"/>
  <c r="CG645" i="8"/>
  <c r="CF645" i="8"/>
  <c r="CE645" i="8"/>
  <c r="CD645" i="8"/>
  <c r="CC645" i="8"/>
  <c r="CB645" i="8"/>
  <c r="CA645" i="8"/>
  <c r="BZ645" i="8"/>
  <c r="BY645" i="8"/>
  <c r="BX645" i="8"/>
  <c r="BW645" i="8"/>
  <c r="BV645" i="8"/>
  <c r="BU645" i="8"/>
  <c r="BT645" i="8"/>
  <c r="BS645" i="8"/>
  <c r="BR645" i="8"/>
  <c r="BQ645" i="8"/>
  <c r="BP645" i="8"/>
  <c r="BO645" i="8"/>
  <c r="BN645" i="8"/>
  <c r="BM645" i="8"/>
  <c r="BL645" i="8"/>
  <c r="BK645" i="8"/>
  <c r="BJ645" i="8"/>
  <c r="BI645" i="8"/>
  <c r="BH645" i="8"/>
  <c r="CJ646" i="8"/>
  <c r="CI646" i="8"/>
  <c r="CH646" i="8"/>
  <c r="CG646" i="8"/>
  <c r="CF646" i="8"/>
  <c r="CE646" i="8"/>
  <c r="CD646" i="8"/>
  <c r="CC646" i="8"/>
  <c r="CB646" i="8"/>
  <c r="CA646" i="8"/>
  <c r="BZ646" i="8"/>
  <c r="BY646" i="8"/>
  <c r="BX646" i="8"/>
  <c r="BW646" i="8"/>
  <c r="BV646" i="8"/>
  <c r="BU646" i="8"/>
  <c r="BT646" i="8"/>
  <c r="BS646" i="8"/>
  <c r="BR646" i="8"/>
  <c r="BQ646" i="8"/>
  <c r="BP646" i="8"/>
  <c r="BO646" i="8"/>
  <c r="BN646" i="8"/>
  <c r="BM646" i="8"/>
  <c r="BL646" i="8"/>
  <c r="BK646" i="8"/>
  <c r="BJ646" i="8"/>
  <c r="BI646" i="8"/>
  <c r="BH646" i="8"/>
  <c r="CJ647" i="8"/>
  <c r="CI647" i="8"/>
  <c r="CH647" i="8"/>
  <c r="CG647" i="8"/>
  <c r="CF647" i="8"/>
  <c r="CE647" i="8"/>
  <c r="CD647" i="8"/>
  <c r="CC647" i="8"/>
  <c r="CB647" i="8"/>
  <c r="CA647" i="8"/>
  <c r="BZ647" i="8"/>
  <c r="BY647" i="8"/>
  <c r="BX647" i="8"/>
  <c r="BW647" i="8"/>
  <c r="BV647" i="8"/>
  <c r="BU647" i="8"/>
  <c r="BT647" i="8"/>
  <c r="BS647" i="8"/>
  <c r="BR647" i="8"/>
  <c r="BQ647" i="8"/>
  <c r="BP647" i="8"/>
  <c r="BO647" i="8"/>
  <c r="BN647" i="8"/>
  <c r="BM647" i="8"/>
  <c r="BL647" i="8"/>
  <c r="BK647" i="8"/>
  <c r="BJ647" i="8"/>
  <c r="BI647" i="8"/>
  <c r="BH647" i="8"/>
  <c r="CJ648" i="8"/>
  <c r="CI648" i="8"/>
  <c r="CH648" i="8"/>
  <c r="CG648" i="8"/>
  <c r="CF648" i="8"/>
  <c r="CE648" i="8"/>
  <c r="CD648" i="8"/>
  <c r="CC648" i="8"/>
  <c r="CB648" i="8"/>
  <c r="CA648" i="8"/>
  <c r="BZ648" i="8"/>
  <c r="BY648" i="8"/>
  <c r="BX648" i="8"/>
  <c r="BW648" i="8"/>
  <c r="BV648" i="8"/>
  <c r="BU648" i="8"/>
  <c r="BT648" i="8"/>
  <c r="BS648" i="8"/>
  <c r="BR648" i="8"/>
  <c r="BQ648" i="8"/>
  <c r="BP648" i="8"/>
  <c r="BO648" i="8"/>
  <c r="BN648" i="8"/>
  <c r="BM648" i="8"/>
  <c r="BL648" i="8"/>
  <c r="BK648" i="8"/>
  <c r="BJ648" i="8"/>
  <c r="BI648" i="8"/>
  <c r="BH648" i="8"/>
  <c r="CJ649" i="8"/>
  <c r="CI649" i="8"/>
  <c r="CH649" i="8"/>
  <c r="CG649" i="8"/>
  <c r="CF649" i="8"/>
  <c r="CE649" i="8"/>
  <c r="CD649" i="8"/>
  <c r="CC649" i="8"/>
  <c r="CB649" i="8"/>
  <c r="CA649" i="8"/>
  <c r="BZ649" i="8"/>
  <c r="BY649" i="8"/>
  <c r="BX649" i="8"/>
  <c r="BW649" i="8"/>
  <c r="BV649" i="8"/>
  <c r="BU649" i="8"/>
  <c r="BT649" i="8"/>
  <c r="BS649" i="8"/>
  <c r="BR649" i="8"/>
  <c r="BQ649" i="8"/>
  <c r="BP649" i="8"/>
  <c r="BO649" i="8"/>
  <c r="BN649" i="8"/>
  <c r="BM649" i="8"/>
  <c r="BL649" i="8"/>
  <c r="BK649" i="8"/>
  <c r="BJ649" i="8"/>
  <c r="BI649" i="8"/>
  <c r="BH649" i="8"/>
  <c r="AK105" i="2"/>
  <c r="AK106" i="2"/>
  <c r="CJ878" i="8"/>
  <c r="CI878" i="8"/>
  <c r="CH878" i="8"/>
  <c r="CG878" i="8"/>
  <c r="CF878" i="8"/>
  <c r="CE878" i="8"/>
  <c r="CD878" i="8"/>
  <c r="CC878" i="8"/>
  <c r="CB878" i="8"/>
  <c r="CA878" i="8"/>
  <c r="BZ878" i="8"/>
  <c r="BY878" i="8"/>
  <c r="BX878" i="8"/>
  <c r="BW878" i="8"/>
  <c r="BV878" i="8"/>
  <c r="BU878" i="8"/>
  <c r="BT878" i="8"/>
  <c r="BS878" i="8"/>
  <c r="BR878" i="8"/>
  <c r="BQ878" i="8"/>
  <c r="BP878" i="8"/>
  <c r="BO878" i="8"/>
  <c r="BN878" i="8"/>
  <c r="BM878" i="8"/>
  <c r="BL878" i="8"/>
  <c r="BK878" i="8"/>
  <c r="BJ878" i="8"/>
  <c r="BI878" i="8"/>
  <c r="BH878" i="8"/>
  <c r="CJ879" i="8"/>
  <c r="CI879" i="8"/>
  <c r="CH879" i="8"/>
  <c r="CG879" i="8"/>
  <c r="CF879" i="8"/>
  <c r="CE879" i="8"/>
  <c r="CD879" i="8"/>
  <c r="CC879" i="8"/>
  <c r="CB879" i="8"/>
  <c r="CA879" i="8"/>
  <c r="BZ879" i="8"/>
  <c r="BY879" i="8"/>
  <c r="BX879" i="8"/>
  <c r="BW879" i="8"/>
  <c r="BV879" i="8"/>
  <c r="BU879" i="8"/>
  <c r="BT879" i="8"/>
  <c r="BS879" i="8"/>
  <c r="BR879" i="8"/>
  <c r="BQ879" i="8"/>
  <c r="BP879" i="8"/>
  <c r="BO879" i="8"/>
  <c r="BN879" i="8"/>
  <c r="BM879" i="8"/>
  <c r="BL879" i="8"/>
  <c r="BK879" i="8"/>
  <c r="BJ879" i="8"/>
  <c r="BI879" i="8"/>
  <c r="BH879" i="8"/>
  <c r="CJ880" i="8"/>
  <c r="CI880" i="8"/>
  <c r="CH880" i="8"/>
  <c r="CG880" i="8"/>
  <c r="CF880" i="8"/>
  <c r="CE880" i="8"/>
  <c r="CD880" i="8"/>
  <c r="CC880" i="8"/>
  <c r="CB880" i="8"/>
  <c r="CA880" i="8"/>
  <c r="BZ880" i="8"/>
  <c r="BY880" i="8"/>
  <c r="BX880" i="8"/>
  <c r="BW880" i="8"/>
  <c r="BV880" i="8"/>
  <c r="BU880" i="8"/>
  <c r="BT880" i="8"/>
  <c r="BS880" i="8"/>
  <c r="BR880" i="8"/>
  <c r="BQ880" i="8"/>
  <c r="BP880" i="8"/>
  <c r="BO880" i="8"/>
  <c r="BN880" i="8"/>
  <c r="BM880" i="8"/>
  <c r="BL880" i="8"/>
  <c r="BK880" i="8"/>
  <c r="BJ880" i="8"/>
  <c r="BI880" i="8"/>
  <c r="BH880" i="8"/>
  <c r="CJ881" i="8"/>
  <c r="CI881" i="8"/>
  <c r="CH881" i="8"/>
  <c r="CG881" i="8"/>
  <c r="CF881" i="8"/>
  <c r="CE881" i="8"/>
  <c r="CD881" i="8"/>
  <c r="CC881" i="8"/>
  <c r="CB881" i="8"/>
  <c r="CA881" i="8"/>
  <c r="BZ881" i="8"/>
  <c r="BY881" i="8"/>
  <c r="BX881" i="8"/>
  <c r="BW881" i="8"/>
  <c r="BV881" i="8"/>
  <c r="BU881" i="8"/>
  <c r="BT881" i="8"/>
  <c r="BS881" i="8"/>
  <c r="BR881" i="8"/>
  <c r="BQ881" i="8"/>
  <c r="BP881" i="8"/>
  <c r="BO881" i="8"/>
  <c r="BN881" i="8"/>
  <c r="BM881" i="8"/>
  <c r="BL881" i="8"/>
  <c r="BK881" i="8"/>
  <c r="BJ881" i="8"/>
  <c r="BI881" i="8"/>
  <c r="BH881" i="8"/>
  <c r="CJ854" i="8"/>
  <c r="CI854" i="8"/>
  <c r="CH854" i="8"/>
  <c r="CG854" i="8"/>
  <c r="CF854" i="8"/>
  <c r="CE854" i="8"/>
  <c r="CD854" i="8"/>
  <c r="CC854" i="8"/>
  <c r="CB854" i="8"/>
  <c r="CA854" i="8"/>
  <c r="BZ854" i="8"/>
  <c r="BY854" i="8"/>
  <c r="BX854" i="8"/>
  <c r="BW854" i="8"/>
  <c r="BV854" i="8"/>
  <c r="BU854" i="8"/>
  <c r="BT854" i="8"/>
  <c r="BS854" i="8"/>
  <c r="BR854" i="8"/>
  <c r="BQ854" i="8"/>
  <c r="BP854" i="8"/>
  <c r="BO854" i="8"/>
  <c r="BN854" i="8"/>
  <c r="BM854" i="8"/>
  <c r="BL854" i="8"/>
  <c r="BK854" i="8"/>
  <c r="BJ854" i="8"/>
  <c r="BI854" i="8"/>
  <c r="BH854" i="8"/>
  <c r="CJ855" i="8"/>
  <c r="CI855" i="8"/>
  <c r="CH855" i="8"/>
  <c r="CG855" i="8"/>
  <c r="CF855" i="8"/>
  <c r="CE855" i="8"/>
  <c r="CD855" i="8"/>
  <c r="CC855" i="8"/>
  <c r="CB855" i="8"/>
  <c r="CA855" i="8"/>
  <c r="BZ855" i="8"/>
  <c r="BY855" i="8"/>
  <c r="BX855" i="8"/>
  <c r="BW855" i="8"/>
  <c r="BV855" i="8"/>
  <c r="BU855" i="8"/>
  <c r="BT855" i="8"/>
  <c r="BS855" i="8"/>
  <c r="BR855" i="8"/>
  <c r="BQ855" i="8"/>
  <c r="BP855" i="8"/>
  <c r="BO855" i="8"/>
  <c r="BN855" i="8"/>
  <c r="BM855" i="8"/>
  <c r="BL855" i="8"/>
  <c r="BK855" i="8"/>
  <c r="BJ855" i="8"/>
  <c r="BI855" i="8"/>
  <c r="BH855" i="8"/>
  <c r="CJ856" i="8"/>
  <c r="CI856" i="8"/>
  <c r="CH856" i="8"/>
  <c r="CG856" i="8"/>
  <c r="CF856" i="8"/>
  <c r="CE856" i="8"/>
  <c r="CD856" i="8"/>
  <c r="CC856" i="8"/>
  <c r="CB856" i="8"/>
  <c r="CA856" i="8"/>
  <c r="BZ856" i="8"/>
  <c r="BY856" i="8"/>
  <c r="BX856" i="8"/>
  <c r="BW856" i="8"/>
  <c r="BV856" i="8"/>
  <c r="BU856" i="8"/>
  <c r="BT856" i="8"/>
  <c r="BS856" i="8"/>
  <c r="BR856" i="8"/>
  <c r="BQ856" i="8"/>
  <c r="BP856" i="8"/>
  <c r="BO856" i="8"/>
  <c r="BN856" i="8"/>
  <c r="BM856" i="8"/>
  <c r="BL856" i="8"/>
  <c r="BK856" i="8"/>
  <c r="BJ856" i="8"/>
  <c r="BI856" i="8"/>
  <c r="BH856" i="8"/>
  <c r="CJ857" i="8"/>
  <c r="CI857" i="8"/>
  <c r="CH857" i="8"/>
  <c r="CG857" i="8"/>
  <c r="CF857" i="8"/>
  <c r="CE857" i="8"/>
  <c r="CD857" i="8"/>
  <c r="CC857" i="8"/>
  <c r="CB857" i="8"/>
  <c r="CA857" i="8"/>
  <c r="BZ857" i="8"/>
  <c r="BY857" i="8"/>
  <c r="BX857" i="8"/>
  <c r="BW857" i="8"/>
  <c r="BV857" i="8"/>
  <c r="BU857" i="8"/>
  <c r="BT857" i="8"/>
  <c r="BS857" i="8"/>
  <c r="BR857" i="8"/>
  <c r="BQ857" i="8"/>
  <c r="BP857" i="8"/>
  <c r="BO857" i="8"/>
  <c r="BN857" i="8"/>
  <c r="BM857" i="8"/>
  <c r="BL857" i="8"/>
  <c r="BK857" i="8"/>
  <c r="BJ857" i="8"/>
  <c r="BI857" i="8"/>
  <c r="BH857" i="8"/>
  <c r="CJ826" i="8"/>
  <c r="CI826" i="8"/>
  <c r="CH826" i="8"/>
  <c r="CG826" i="8"/>
  <c r="CF826" i="8"/>
  <c r="CE826" i="8"/>
  <c r="CD826" i="8"/>
  <c r="CC826" i="8"/>
  <c r="CB826" i="8"/>
  <c r="CA826" i="8"/>
  <c r="BZ826" i="8"/>
  <c r="BY826" i="8"/>
  <c r="BX826" i="8"/>
  <c r="BW826" i="8"/>
  <c r="BV826" i="8"/>
  <c r="BU826" i="8"/>
  <c r="BT826" i="8"/>
  <c r="BS826" i="8"/>
  <c r="BR826" i="8"/>
  <c r="BQ826" i="8"/>
  <c r="BP826" i="8"/>
  <c r="BO826" i="8"/>
  <c r="BN826" i="8"/>
  <c r="BM826" i="8"/>
  <c r="BL826" i="8"/>
  <c r="BK826" i="8"/>
  <c r="BJ826" i="8"/>
  <c r="BI826" i="8"/>
  <c r="BH826" i="8"/>
  <c r="CJ827" i="8"/>
  <c r="CI827" i="8"/>
  <c r="CH827" i="8"/>
  <c r="CG827" i="8"/>
  <c r="CF827" i="8"/>
  <c r="CE827" i="8"/>
  <c r="CD827" i="8"/>
  <c r="CC827" i="8"/>
  <c r="CB827" i="8"/>
  <c r="CA827" i="8"/>
  <c r="BZ827" i="8"/>
  <c r="BY827" i="8"/>
  <c r="BX827" i="8"/>
  <c r="BW827" i="8"/>
  <c r="BV827" i="8"/>
  <c r="BU827" i="8"/>
  <c r="BT827" i="8"/>
  <c r="BS827" i="8"/>
  <c r="BR827" i="8"/>
  <c r="BQ827" i="8"/>
  <c r="BP827" i="8"/>
  <c r="BO827" i="8"/>
  <c r="BN827" i="8"/>
  <c r="BM827" i="8"/>
  <c r="BL827" i="8"/>
  <c r="BK827" i="8"/>
  <c r="BJ827" i="8"/>
  <c r="BI827" i="8"/>
  <c r="BH827" i="8"/>
  <c r="CJ828" i="8"/>
  <c r="CI828" i="8"/>
  <c r="CH828" i="8"/>
  <c r="CG828" i="8"/>
  <c r="CF828" i="8"/>
  <c r="CE828" i="8"/>
  <c r="CD828" i="8"/>
  <c r="CC828" i="8"/>
  <c r="CB828" i="8"/>
  <c r="CA828" i="8"/>
  <c r="BZ828" i="8"/>
  <c r="BY828" i="8"/>
  <c r="BX828" i="8"/>
  <c r="BW828" i="8"/>
  <c r="BV828" i="8"/>
  <c r="BU828" i="8"/>
  <c r="BT828" i="8"/>
  <c r="BS828" i="8"/>
  <c r="BR828" i="8"/>
  <c r="BQ828" i="8"/>
  <c r="BP828" i="8"/>
  <c r="BO828" i="8"/>
  <c r="BN828" i="8"/>
  <c r="BM828" i="8"/>
  <c r="BL828" i="8"/>
  <c r="BK828" i="8"/>
  <c r="BJ828" i="8"/>
  <c r="BI828" i="8"/>
  <c r="BH828" i="8"/>
  <c r="CJ829" i="8"/>
  <c r="CI829" i="8"/>
  <c r="CH829" i="8"/>
  <c r="CG829" i="8"/>
  <c r="CF829" i="8"/>
  <c r="CE829" i="8"/>
  <c r="CD829" i="8"/>
  <c r="CC829" i="8"/>
  <c r="CB829" i="8"/>
  <c r="CA829" i="8"/>
  <c r="BZ829" i="8"/>
  <c r="BY829" i="8"/>
  <c r="BX829" i="8"/>
  <c r="BW829" i="8"/>
  <c r="BV829" i="8"/>
  <c r="BU829" i="8"/>
  <c r="BT829" i="8"/>
  <c r="BS829" i="8"/>
  <c r="BR829" i="8"/>
  <c r="BQ829" i="8"/>
  <c r="BP829" i="8"/>
  <c r="BO829" i="8"/>
  <c r="BN829" i="8"/>
  <c r="BM829" i="8"/>
  <c r="BL829" i="8"/>
  <c r="BK829" i="8"/>
  <c r="BJ829" i="8"/>
  <c r="BI829" i="8"/>
  <c r="BH829" i="8"/>
  <c r="CJ830" i="8"/>
  <c r="CI830" i="8"/>
  <c r="CH830" i="8"/>
  <c r="CG830" i="8"/>
  <c r="CF830" i="8"/>
  <c r="CE830" i="8"/>
  <c r="CD830" i="8"/>
  <c r="CC830" i="8"/>
  <c r="CB830" i="8"/>
  <c r="CA830" i="8"/>
  <c r="BZ830" i="8"/>
  <c r="BY830" i="8"/>
  <c r="BX830" i="8"/>
  <c r="BW830" i="8"/>
  <c r="BV830" i="8"/>
  <c r="BU830" i="8"/>
  <c r="BT830" i="8"/>
  <c r="BS830" i="8"/>
  <c r="BR830" i="8"/>
  <c r="BQ830" i="8"/>
  <c r="BP830" i="8"/>
  <c r="BO830" i="8"/>
  <c r="BN830" i="8"/>
  <c r="BM830" i="8"/>
  <c r="BL830" i="8"/>
  <c r="BK830" i="8"/>
  <c r="BJ830" i="8"/>
  <c r="BI830" i="8"/>
  <c r="BH830" i="8"/>
  <c r="CJ831" i="8"/>
  <c r="CI831" i="8"/>
  <c r="CH831" i="8"/>
  <c r="CG831" i="8"/>
  <c r="CF831" i="8"/>
  <c r="CE831" i="8"/>
  <c r="CD831" i="8"/>
  <c r="CC831" i="8"/>
  <c r="CB831" i="8"/>
  <c r="CA831" i="8"/>
  <c r="BZ831" i="8"/>
  <c r="BY831" i="8"/>
  <c r="BX831" i="8"/>
  <c r="BW831" i="8"/>
  <c r="BV831" i="8"/>
  <c r="BU831" i="8"/>
  <c r="BT831" i="8"/>
  <c r="BS831" i="8"/>
  <c r="BR831" i="8"/>
  <c r="BQ831" i="8"/>
  <c r="BP831" i="8"/>
  <c r="BO831" i="8"/>
  <c r="BN831" i="8"/>
  <c r="BM831" i="8"/>
  <c r="BL831" i="8"/>
  <c r="BK831" i="8"/>
  <c r="BJ831" i="8"/>
  <c r="BI831" i="8"/>
  <c r="BH831" i="8"/>
  <c r="CJ832" i="8"/>
  <c r="CI832" i="8"/>
  <c r="CH832" i="8"/>
  <c r="CG832" i="8"/>
  <c r="CF832" i="8"/>
  <c r="CE832" i="8"/>
  <c r="CD832" i="8"/>
  <c r="CC832" i="8"/>
  <c r="CB832" i="8"/>
  <c r="CA832" i="8"/>
  <c r="BZ832" i="8"/>
  <c r="BY832" i="8"/>
  <c r="BX832" i="8"/>
  <c r="BW832" i="8"/>
  <c r="BV832" i="8"/>
  <c r="BU832" i="8"/>
  <c r="BT832" i="8"/>
  <c r="BS832" i="8"/>
  <c r="BR832" i="8"/>
  <c r="BQ832" i="8"/>
  <c r="BP832" i="8"/>
  <c r="BO832" i="8"/>
  <c r="BN832" i="8"/>
  <c r="BM832" i="8"/>
  <c r="BL832" i="8"/>
  <c r="BK832" i="8"/>
  <c r="BJ832" i="8"/>
  <c r="BI832" i="8"/>
  <c r="BH832" i="8"/>
  <c r="CJ833" i="8"/>
  <c r="CI833" i="8"/>
  <c r="CH833" i="8"/>
  <c r="CG833" i="8"/>
  <c r="CF833" i="8"/>
  <c r="CE833" i="8"/>
  <c r="CD833" i="8"/>
  <c r="CC833" i="8"/>
  <c r="CB833" i="8"/>
  <c r="CA833" i="8"/>
  <c r="BZ833" i="8"/>
  <c r="BY833" i="8"/>
  <c r="BX833" i="8"/>
  <c r="BW833" i="8"/>
  <c r="BV833" i="8"/>
  <c r="BU833" i="8"/>
  <c r="BT833" i="8"/>
  <c r="BS833" i="8"/>
  <c r="BR833" i="8"/>
  <c r="BQ833" i="8"/>
  <c r="BP833" i="8"/>
  <c r="BO833" i="8"/>
  <c r="BN833" i="8"/>
  <c r="BM833" i="8"/>
  <c r="BL833" i="8"/>
  <c r="BK833" i="8"/>
  <c r="BJ833" i="8"/>
  <c r="BI833" i="8"/>
  <c r="BH833" i="8"/>
  <c r="CJ595" i="8"/>
  <c r="CI595" i="8"/>
  <c r="CH595" i="8"/>
  <c r="CG595" i="8"/>
  <c r="CF595" i="8"/>
  <c r="CE595" i="8"/>
  <c r="CD595" i="8"/>
  <c r="CC595" i="8"/>
  <c r="CB595" i="8"/>
  <c r="CA595" i="8"/>
  <c r="BZ595" i="8"/>
  <c r="BY595" i="8"/>
  <c r="BX595" i="8"/>
  <c r="BW595" i="8"/>
  <c r="BV595" i="8"/>
  <c r="BU595" i="8"/>
  <c r="BT595" i="8"/>
  <c r="BS595" i="8"/>
  <c r="BR595" i="8"/>
  <c r="BQ595" i="8"/>
  <c r="BP595" i="8"/>
  <c r="BO595" i="8"/>
  <c r="BN595" i="8"/>
  <c r="BM595" i="8"/>
  <c r="BL595" i="8"/>
  <c r="BK595" i="8"/>
  <c r="BJ595" i="8"/>
  <c r="BI595" i="8"/>
  <c r="BH595" i="8"/>
  <c r="CJ579" i="8"/>
  <c r="CI579" i="8"/>
  <c r="CH579" i="8"/>
  <c r="CG579" i="8"/>
  <c r="CF579" i="8"/>
  <c r="CE579" i="8"/>
  <c r="CD579" i="8"/>
  <c r="CC579" i="8"/>
  <c r="CB579" i="8"/>
  <c r="CA579" i="8"/>
  <c r="BZ579" i="8"/>
  <c r="BY579" i="8"/>
  <c r="BX579" i="8"/>
  <c r="BW579" i="8"/>
  <c r="BV579" i="8"/>
  <c r="BU579" i="8"/>
  <c r="BT579" i="8"/>
  <c r="BS579" i="8"/>
  <c r="BR579" i="8"/>
  <c r="BQ579" i="8"/>
  <c r="BP579" i="8"/>
  <c r="BO579" i="8"/>
  <c r="BN579" i="8"/>
  <c r="BM579" i="8"/>
  <c r="BL579" i="8"/>
  <c r="BK579" i="8"/>
  <c r="BJ579" i="8"/>
  <c r="BI579" i="8"/>
  <c r="BH579" i="8"/>
  <c r="CJ580" i="8"/>
  <c r="CI580" i="8"/>
  <c r="CH580" i="8"/>
  <c r="CG580" i="8"/>
  <c r="CF580" i="8"/>
  <c r="CE580" i="8"/>
  <c r="CD580" i="8"/>
  <c r="CC580" i="8"/>
  <c r="CB580" i="8"/>
  <c r="CA580" i="8"/>
  <c r="BZ580" i="8"/>
  <c r="BY580" i="8"/>
  <c r="BX580" i="8"/>
  <c r="BW580" i="8"/>
  <c r="BV580" i="8"/>
  <c r="BU580" i="8"/>
  <c r="BT580" i="8"/>
  <c r="BS580" i="8"/>
  <c r="BR580" i="8"/>
  <c r="BQ580" i="8"/>
  <c r="BP580" i="8"/>
  <c r="BO580" i="8"/>
  <c r="BN580" i="8"/>
  <c r="BM580" i="8"/>
  <c r="BL580" i="8"/>
  <c r="BK580" i="8"/>
  <c r="BJ580" i="8"/>
  <c r="BI580" i="8"/>
  <c r="BH580" i="8"/>
  <c r="CJ581" i="8"/>
  <c r="CI581" i="8"/>
  <c r="CH581" i="8"/>
  <c r="CG581" i="8"/>
  <c r="CF581" i="8"/>
  <c r="CE581" i="8"/>
  <c r="CD581" i="8"/>
  <c r="CC581" i="8"/>
  <c r="CB581" i="8"/>
  <c r="CA581" i="8"/>
  <c r="BZ581" i="8"/>
  <c r="BY581" i="8"/>
  <c r="BX581" i="8"/>
  <c r="BW581" i="8"/>
  <c r="BV581" i="8"/>
  <c r="BU581" i="8"/>
  <c r="BT581" i="8"/>
  <c r="BS581" i="8"/>
  <c r="BR581" i="8"/>
  <c r="BQ581" i="8"/>
  <c r="BP581" i="8"/>
  <c r="BO581" i="8"/>
  <c r="BN581" i="8"/>
  <c r="BM581" i="8"/>
  <c r="BL581" i="8"/>
  <c r="BK581" i="8"/>
  <c r="BJ581" i="8"/>
  <c r="BI581" i="8"/>
  <c r="BH581" i="8"/>
  <c r="CJ582" i="8"/>
  <c r="CI582" i="8"/>
  <c r="CH582" i="8"/>
  <c r="CG582" i="8"/>
  <c r="CF582" i="8"/>
  <c r="CE582" i="8"/>
  <c r="CD582" i="8"/>
  <c r="CC582" i="8"/>
  <c r="CB582" i="8"/>
  <c r="CA582" i="8"/>
  <c r="BZ582" i="8"/>
  <c r="BY582" i="8"/>
  <c r="BX582" i="8"/>
  <c r="BW582" i="8"/>
  <c r="BV582" i="8"/>
  <c r="BU582" i="8"/>
  <c r="BT582" i="8"/>
  <c r="BS582" i="8"/>
  <c r="BR582" i="8"/>
  <c r="BQ582" i="8"/>
  <c r="BP582" i="8"/>
  <c r="BO582" i="8"/>
  <c r="BN582" i="8"/>
  <c r="BM582" i="8"/>
  <c r="BL582" i="8"/>
  <c r="BK582" i="8"/>
  <c r="BJ582" i="8"/>
  <c r="BI582" i="8"/>
  <c r="BH582" i="8"/>
  <c r="CJ583" i="8"/>
  <c r="CI583" i="8"/>
  <c r="CH583" i="8"/>
  <c r="CG583" i="8"/>
  <c r="CF583" i="8"/>
  <c r="CE583" i="8"/>
  <c r="CD583" i="8"/>
  <c r="CC583" i="8"/>
  <c r="CB583" i="8"/>
  <c r="CA583" i="8"/>
  <c r="BZ583" i="8"/>
  <c r="BY583" i="8"/>
  <c r="BX583" i="8"/>
  <c r="BW583" i="8"/>
  <c r="BV583" i="8"/>
  <c r="BU583" i="8"/>
  <c r="BT583" i="8"/>
  <c r="BS583" i="8"/>
  <c r="BR583" i="8"/>
  <c r="BQ583" i="8"/>
  <c r="BP583" i="8"/>
  <c r="BO583" i="8"/>
  <c r="BN583" i="8"/>
  <c r="BM583" i="8"/>
  <c r="BL583" i="8"/>
  <c r="BK583" i="8"/>
  <c r="BJ583" i="8"/>
  <c r="BI583" i="8"/>
  <c r="BH583" i="8"/>
  <c r="CJ584" i="8"/>
  <c r="CI584" i="8"/>
  <c r="CH584" i="8"/>
  <c r="CG584" i="8"/>
  <c r="CF584" i="8"/>
  <c r="CE584" i="8"/>
  <c r="CD584" i="8"/>
  <c r="CC584" i="8"/>
  <c r="CB584" i="8"/>
  <c r="CA584" i="8"/>
  <c r="BZ584" i="8"/>
  <c r="BY584" i="8"/>
  <c r="BX584" i="8"/>
  <c r="BW584" i="8"/>
  <c r="BV584" i="8"/>
  <c r="BU584" i="8"/>
  <c r="BT584" i="8"/>
  <c r="BS584" i="8"/>
  <c r="BR584" i="8"/>
  <c r="BQ584" i="8"/>
  <c r="BP584" i="8"/>
  <c r="BO584" i="8"/>
  <c r="BN584" i="8"/>
  <c r="BM584" i="8"/>
  <c r="BL584" i="8"/>
  <c r="BK584" i="8"/>
  <c r="BJ584" i="8"/>
  <c r="BI584" i="8"/>
  <c r="BH584" i="8"/>
  <c r="CJ585" i="8"/>
  <c r="CI585" i="8"/>
  <c r="CH585" i="8"/>
  <c r="CG585" i="8"/>
  <c r="CF585" i="8"/>
  <c r="CE585" i="8"/>
  <c r="CD585" i="8"/>
  <c r="CC585" i="8"/>
  <c r="CB585" i="8"/>
  <c r="CA585" i="8"/>
  <c r="BZ585" i="8"/>
  <c r="BY585" i="8"/>
  <c r="BX585" i="8"/>
  <c r="BW585" i="8"/>
  <c r="BV585" i="8"/>
  <c r="BU585" i="8"/>
  <c r="BT585" i="8"/>
  <c r="BS585" i="8"/>
  <c r="BR585" i="8"/>
  <c r="BQ585" i="8"/>
  <c r="BP585" i="8"/>
  <c r="BO585" i="8"/>
  <c r="BN585" i="8"/>
  <c r="BM585" i="8"/>
  <c r="BL585" i="8"/>
  <c r="BK585" i="8"/>
  <c r="BJ585" i="8"/>
  <c r="BI585" i="8"/>
  <c r="BH585" i="8"/>
  <c r="CJ586" i="8"/>
  <c r="CI586" i="8"/>
  <c r="CH586" i="8"/>
  <c r="CG586" i="8"/>
  <c r="CF586" i="8"/>
  <c r="CE586" i="8"/>
  <c r="CD586" i="8"/>
  <c r="CC586" i="8"/>
  <c r="CB586" i="8"/>
  <c r="CA586" i="8"/>
  <c r="BZ586" i="8"/>
  <c r="BY586" i="8"/>
  <c r="BX586" i="8"/>
  <c r="BW586" i="8"/>
  <c r="BV586" i="8"/>
  <c r="BU586" i="8"/>
  <c r="BT586" i="8"/>
  <c r="BS586" i="8"/>
  <c r="BR586" i="8"/>
  <c r="BQ586" i="8"/>
  <c r="BP586" i="8"/>
  <c r="BO586" i="8"/>
  <c r="BN586" i="8"/>
  <c r="BM586" i="8"/>
  <c r="BL586" i="8"/>
  <c r="BK586" i="8"/>
  <c r="BJ586" i="8"/>
  <c r="BI586" i="8"/>
  <c r="BH586" i="8"/>
  <c r="CJ591" i="8"/>
  <c r="CI591" i="8"/>
  <c r="CH591" i="8"/>
  <c r="CG591" i="8"/>
  <c r="CF591" i="8"/>
  <c r="CE591" i="8"/>
  <c r="CD591" i="8"/>
  <c r="CC591" i="8"/>
  <c r="CB591" i="8"/>
  <c r="CA591" i="8"/>
  <c r="BZ591" i="8"/>
  <c r="BY591" i="8"/>
  <c r="BX591" i="8"/>
  <c r="BW591" i="8"/>
  <c r="BV591" i="8"/>
  <c r="BU591" i="8"/>
  <c r="BT591" i="8"/>
  <c r="BS591" i="8"/>
  <c r="BR591" i="8"/>
  <c r="BQ591" i="8"/>
  <c r="BP591" i="8"/>
  <c r="BO591" i="8"/>
  <c r="BN591" i="8"/>
  <c r="BM591" i="8"/>
  <c r="BL591" i="8"/>
  <c r="BK591" i="8"/>
  <c r="BJ591" i="8"/>
  <c r="BI591" i="8"/>
  <c r="BH591" i="8"/>
  <c r="CJ592" i="8"/>
  <c r="CI592" i="8"/>
  <c r="CH592" i="8"/>
  <c r="CG592" i="8"/>
  <c r="CF592" i="8"/>
  <c r="CE592" i="8"/>
  <c r="CD592" i="8"/>
  <c r="CC592" i="8"/>
  <c r="CB592" i="8"/>
  <c r="CA592" i="8"/>
  <c r="BZ592" i="8"/>
  <c r="BY592" i="8"/>
  <c r="BX592" i="8"/>
  <c r="BW592" i="8"/>
  <c r="BV592" i="8"/>
  <c r="BU592" i="8"/>
  <c r="BT592" i="8"/>
  <c r="BS592" i="8"/>
  <c r="BR592" i="8"/>
  <c r="BQ592" i="8"/>
  <c r="BP592" i="8"/>
  <c r="BO592" i="8"/>
  <c r="BN592" i="8"/>
  <c r="BM592" i="8"/>
  <c r="BL592" i="8"/>
  <c r="BK592" i="8"/>
  <c r="BJ592" i="8"/>
  <c r="BI592" i="8"/>
  <c r="BH592" i="8"/>
  <c r="CJ593" i="8"/>
  <c r="CI593" i="8"/>
  <c r="CH593" i="8"/>
  <c r="CG593" i="8"/>
  <c r="CF593" i="8"/>
  <c r="CE593" i="8"/>
  <c r="CD593" i="8"/>
  <c r="CC593" i="8"/>
  <c r="CB593" i="8"/>
  <c r="CA593" i="8"/>
  <c r="BZ593" i="8"/>
  <c r="BY593" i="8"/>
  <c r="BX593" i="8"/>
  <c r="BW593" i="8"/>
  <c r="BV593" i="8"/>
  <c r="BU593" i="8"/>
  <c r="BT593" i="8"/>
  <c r="BS593" i="8"/>
  <c r="BR593" i="8"/>
  <c r="BQ593" i="8"/>
  <c r="BP593" i="8"/>
  <c r="BO593" i="8"/>
  <c r="BN593" i="8"/>
  <c r="BM593" i="8"/>
  <c r="BL593" i="8"/>
  <c r="BK593" i="8"/>
  <c r="BJ593" i="8"/>
  <c r="BI593" i="8"/>
  <c r="BH593" i="8"/>
  <c r="CJ594" i="8"/>
  <c r="CI594" i="8"/>
  <c r="CH594" i="8"/>
  <c r="CG594" i="8"/>
  <c r="CF594" i="8"/>
  <c r="CE594" i="8"/>
  <c r="CD594" i="8"/>
  <c r="CC594" i="8"/>
  <c r="CB594" i="8"/>
  <c r="CA594" i="8"/>
  <c r="BZ594" i="8"/>
  <c r="BY594" i="8"/>
  <c r="BX594" i="8"/>
  <c r="BW594" i="8"/>
  <c r="BV594" i="8"/>
  <c r="BU594" i="8"/>
  <c r="BT594" i="8"/>
  <c r="BS594" i="8"/>
  <c r="BR594" i="8"/>
  <c r="BQ594" i="8"/>
  <c r="BP594" i="8"/>
  <c r="BO594" i="8"/>
  <c r="BN594" i="8"/>
  <c r="BM594" i="8"/>
  <c r="BL594" i="8"/>
  <c r="BK594" i="8"/>
  <c r="BJ594" i="8"/>
  <c r="BI594" i="8"/>
  <c r="BH594" i="8"/>
  <c r="CJ541" i="8"/>
  <c r="CI541" i="8"/>
  <c r="CH541" i="8"/>
  <c r="CG541" i="8"/>
  <c r="CF541" i="8"/>
  <c r="CE541" i="8"/>
  <c r="CD541" i="8"/>
  <c r="CC541" i="8"/>
  <c r="CB541" i="8"/>
  <c r="CA541" i="8"/>
  <c r="BZ541" i="8"/>
  <c r="BY541" i="8"/>
  <c r="BX541" i="8"/>
  <c r="BW541" i="8"/>
  <c r="BV541" i="8"/>
  <c r="BU541" i="8"/>
  <c r="BT541" i="8"/>
  <c r="BS541" i="8"/>
  <c r="BR541" i="8"/>
  <c r="BQ541" i="8"/>
  <c r="BP541" i="8"/>
  <c r="BO541" i="8"/>
  <c r="BN541" i="8"/>
  <c r="BM541" i="8"/>
  <c r="BL541" i="8"/>
  <c r="BK541" i="8"/>
  <c r="BJ541" i="8"/>
  <c r="BI541" i="8"/>
  <c r="BH541" i="8"/>
  <c r="CJ537" i="8"/>
  <c r="CI537" i="8"/>
  <c r="CH537" i="8"/>
  <c r="CG537" i="8"/>
  <c r="CF537" i="8"/>
  <c r="CE537" i="8"/>
  <c r="CD537" i="8"/>
  <c r="CC537" i="8"/>
  <c r="CB537" i="8"/>
  <c r="CA537" i="8"/>
  <c r="BZ537" i="8"/>
  <c r="BY537" i="8"/>
  <c r="BX537" i="8"/>
  <c r="BW537" i="8"/>
  <c r="BV537" i="8"/>
  <c r="BU537" i="8"/>
  <c r="BT537" i="8"/>
  <c r="BS537" i="8"/>
  <c r="BR537" i="8"/>
  <c r="BQ537" i="8"/>
  <c r="BP537" i="8"/>
  <c r="BO537" i="8"/>
  <c r="BN537" i="8"/>
  <c r="BM537" i="8"/>
  <c r="BL537" i="8"/>
  <c r="BK537" i="8"/>
  <c r="BJ537" i="8"/>
  <c r="BI537" i="8"/>
  <c r="BH537" i="8"/>
  <c r="CJ533" i="8"/>
  <c r="CI533" i="8"/>
  <c r="CH533" i="8"/>
  <c r="CG533" i="8"/>
  <c r="CF533" i="8"/>
  <c r="CE533" i="8"/>
  <c r="CD533" i="8"/>
  <c r="CC533" i="8"/>
  <c r="CB533" i="8"/>
  <c r="CA533" i="8"/>
  <c r="BZ533" i="8"/>
  <c r="BY533" i="8"/>
  <c r="BX533" i="8"/>
  <c r="BW533" i="8"/>
  <c r="BV533" i="8"/>
  <c r="BU533" i="8"/>
  <c r="BT533" i="8"/>
  <c r="BS533" i="8"/>
  <c r="BR533" i="8"/>
  <c r="BQ533" i="8"/>
  <c r="BP533" i="8"/>
  <c r="BO533" i="8"/>
  <c r="BN533" i="8"/>
  <c r="BM533" i="8"/>
  <c r="BL533" i="8"/>
  <c r="BK533" i="8"/>
  <c r="BJ533" i="8"/>
  <c r="BI533" i="8"/>
  <c r="BH533" i="8"/>
  <c r="CJ529" i="8"/>
  <c r="CI529" i="8"/>
  <c r="CH529" i="8"/>
  <c r="CG529" i="8"/>
  <c r="CF529" i="8"/>
  <c r="CE529" i="8"/>
  <c r="CD529" i="8"/>
  <c r="CC529" i="8"/>
  <c r="CB529" i="8"/>
  <c r="CA529" i="8"/>
  <c r="BZ529" i="8"/>
  <c r="BY529" i="8"/>
  <c r="BX529" i="8"/>
  <c r="BW529" i="8"/>
  <c r="BV529" i="8"/>
  <c r="BU529" i="8"/>
  <c r="BT529" i="8"/>
  <c r="BS529" i="8"/>
  <c r="BR529" i="8"/>
  <c r="BQ529" i="8"/>
  <c r="BP529" i="8"/>
  <c r="BO529" i="8"/>
  <c r="BN529" i="8"/>
  <c r="BM529" i="8"/>
  <c r="BL529" i="8"/>
  <c r="BK529" i="8"/>
  <c r="BJ529" i="8"/>
  <c r="BI529" i="8"/>
  <c r="BH529" i="8"/>
  <c r="CJ525" i="8"/>
  <c r="CI525" i="8"/>
  <c r="CH525" i="8"/>
  <c r="CG525" i="8"/>
  <c r="CF525" i="8"/>
  <c r="CE525" i="8"/>
  <c r="CD525" i="8"/>
  <c r="CC525" i="8"/>
  <c r="CB525" i="8"/>
  <c r="CA525" i="8"/>
  <c r="BZ525" i="8"/>
  <c r="BY525" i="8"/>
  <c r="BX525" i="8"/>
  <c r="BW525" i="8"/>
  <c r="BV525" i="8"/>
  <c r="BU525" i="8"/>
  <c r="BT525" i="8"/>
  <c r="BS525" i="8"/>
  <c r="BR525" i="8"/>
  <c r="BQ525" i="8"/>
  <c r="BP525" i="8"/>
  <c r="BO525" i="8"/>
  <c r="BN525" i="8"/>
  <c r="BM525" i="8"/>
  <c r="BL525" i="8"/>
  <c r="BK525" i="8"/>
  <c r="BJ525" i="8"/>
  <c r="BI525" i="8"/>
  <c r="BH525" i="8"/>
  <c r="CJ521" i="8"/>
  <c r="CI521" i="8"/>
  <c r="CH521" i="8"/>
  <c r="CG521" i="8"/>
  <c r="CF521" i="8"/>
  <c r="CE521" i="8"/>
  <c r="CD521" i="8"/>
  <c r="CC521" i="8"/>
  <c r="CB521" i="8"/>
  <c r="CA521" i="8"/>
  <c r="BZ521" i="8"/>
  <c r="BY521" i="8"/>
  <c r="BX521" i="8"/>
  <c r="BW521" i="8"/>
  <c r="BV521" i="8"/>
  <c r="BU521" i="8"/>
  <c r="BT521" i="8"/>
  <c r="BS521" i="8"/>
  <c r="BR521" i="8"/>
  <c r="BQ521" i="8"/>
  <c r="BP521" i="8"/>
  <c r="BO521" i="8"/>
  <c r="BN521" i="8"/>
  <c r="BM521" i="8"/>
  <c r="BL521" i="8"/>
  <c r="BK521" i="8"/>
  <c r="BJ521" i="8"/>
  <c r="BI521" i="8"/>
  <c r="BH521" i="8"/>
  <c r="CJ509" i="8"/>
  <c r="CI509" i="8"/>
  <c r="CH509" i="8"/>
  <c r="CG509" i="8"/>
  <c r="CF509" i="8"/>
  <c r="CE509" i="8"/>
  <c r="CD509" i="8"/>
  <c r="CC509" i="8"/>
  <c r="CB509" i="8"/>
  <c r="CA509" i="8"/>
  <c r="BZ509" i="8"/>
  <c r="BY509" i="8"/>
  <c r="BX509" i="8"/>
  <c r="BW509" i="8"/>
  <c r="BV509" i="8"/>
  <c r="BU509" i="8"/>
  <c r="BT509" i="8"/>
  <c r="BS509" i="8"/>
  <c r="BR509" i="8"/>
  <c r="BQ509" i="8"/>
  <c r="BP509" i="8"/>
  <c r="BO509" i="8"/>
  <c r="BN509" i="8"/>
  <c r="BM509" i="8"/>
  <c r="BL509" i="8"/>
  <c r="BK509" i="8"/>
  <c r="BJ509" i="8"/>
  <c r="BI509" i="8"/>
  <c r="BH509" i="8"/>
  <c r="CJ505" i="8"/>
  <c r="CI505" i="8"/>
  <c r="CH505" i="8"/>
  <c r="CG505" i="8"/>
  <c r="CF505" i="8"/>
  <c r="CE505" i="8"/>
  <c r="CD505" i="8"/>
  <c r="CC505" i="8"/>
  <c r="CB505" i="8"/>
  <c r="CA505" i="8"/>
  <c r="BZ505" i="8"/>
  <c r="BY505" i="8"/>
  <c r="BX505" i="8"/>
  <c r="BW505" i="8"/>
  <c r="BV505" i="8"/>
  <c r="BU505" i="8"/>
  <c r="BT505" i="8"/>
  <c r="BS505" i="8"/>
  <c r="BR505" i="8"/>
  <c r="BQ505" i="8"/>
  <c r="BP505" i="8"/>
  <c r="BO505" i="8"/>
  <c r="BN505" i="8"/>
  <c r="BM505" i="8"/>
  <c r="BL505" i="8"/>
  <c r="BK505" i="8"/>
  <c r="BJ505" i="8"/>
  <c r="BI505" i="8"/>
  <c r="BH505" i="8"/>
  <c r="CJ501" i="8"/>
  <c r="CI501" i="8"/>
  <c r="CH501" i="8"/>
  <c r="CG501" i="8"/>
  <c r="CF501" i="8"/>
  <c r="CE501" i="8"/>
  <c r="CD501" i="8"/>
  <c r="CC501" i="8"/>
  <c r="CB501" i="8"/>
  <c r="CA501" i="8"/>
  <c r="BZ501" i="8"/>
  <c r="BY501" i="8"/>
  <c r="BX501" i="8"/>
  <c r="BW501" i="8"/>
  <c r="BV501" i="8"/>
  <c r="BU501" i="8"/>
  <c r="BT501" i="8"/>
  <c r="BS501" i="8"/>
  <c r="BR501" i="8"/>
  <c r="BQ501" i="8"/>
  <c r="BP501" i="8"/>
  <c r="BO501" i="8"/>
  <c r="BN501" i="8"/>
  <c r="BM501" i="8"/>
  <c r="BL501" i="8"/>
  <c r="BK501" i="8"/>
  <c r="BJ501" i="8"/>
  <c r="BI501" i="8"/>
  <c r="BH501" i="8"/>
  <c r="CJ497" i="8"/>
  <c r="CI497" i="8"/>
  <c r="CH497" i="8"/>
  <c r="CG497" i="8"/>
  <c r="CF497" i="8"/>
  <c r="CE497" i="8"/>
  <c r="CD497" i="8"/>
  <c r="CC497" i="8"/>
  <c r="CB497" i="8"/>
  <c r="CA497" i="8"/>
  <c r="BZ497" i="8"/>
  <c r="BY497" i="8"/>
  <c r="BX497" i="8"/>
  <c r="BW497" i="8"/>
  <c r="BV497" i="8"/>
  <c r="BU497" i="8"/>
  <c r="BT497" i="8"/>
  <c r="BS497" i="8"/>
  <c r="BR497" i="8"/>
  <c r="BQ497" i="8"/>
  <c r="BP497" i="8"/>
  <c r="BO497" i="8"/>
  <c r="BN497" i="8"/>
  <c r="BM497" i="8"/>
  <c r="BL497" i="8"/>
  <c r="BK497" i="8"/>
  <c r="BJ497" i="8"/>
  <c r="BI497" i="8"/>
  <c r="BH497" i="8"/>
  <c r="CJ543" i="8"/>
  <c r="CI543" i="8"/>
  <c r="CH543" i="8"/>
  <c r="CG543" i="8"/>
  <c r="CF543" i="8"/>
  <c r="CE543" i="8"/>
  <c r="CD543" i="8"/>
  <c r="CC543" i="8"/>
  <c r="CB543" i="8"/>
  <c r="CA543" i="8"/>
  <c r="BZ543" i="8"/>
  <c r="BY543" i="8"/>
  <c r="BX543" i="8"/>
  <c r="BW543" i="8"/>
  <c r="BV543" i="8"/>
  <c r="BU543" i="8"/>
  <c r="BT543" i="8"/>
  <c r="BS543" i="8"/>
  <c r="BR543" i="8"/>
  <c r="BQ543" i="8"/>
  <c r="BP543" i="8"/>
  <c r="BO543" i="8"/>
  <c r="BN543" i="8"/>
  <c r="BM543" i="8"/>
  <c r="BL543" i="8"/>
  <c r="BK543" i="8"/>
  <c r="BJ543" i="8"/>
  <c r="BI543" i="8"/>
  <c r="BH543" i="8"/>
  <c r="CJ544" i="8"/>
  <c r="CI544" i="8"/>
  <c r="CH544" i="8"/>
  <c r="CG544" i="8"/>
  <c r="CF544" i="8"/>
  <c r="CE544" i="8"/>
  <c r="CD544" i="8"/>
  <c r="CC544" i="8"/>
  <c r="CB544" i="8"/>
  <c r="CA544" i="8"/>
  <c r="BZ544" i="8"/>
  <c r="BY544" i="8"/>
  <c r="BX544" i="8"/>
  <c r="BW544" i="8"/>
  <c r="BV544" i="8"/>
  <c r="BU544" i="8"/>
  <c r="BT544" i="8"/>
  <c r="BS544" i="8"/>
  <c r="BR544" i="8"/>
  <c r="BQ544" i="8"/>
  <c r="BP544" i="8"/>
  <c r="BO544" i="8"/>
  <c r="BN544" i="8"/>
  <c r="BM544" i="8"/>
  <c r="BL544" i="8"/>
  <c r="BK544" i="8"/>
  <c r="BJ544" i="8"/>
  <c r="BI544" i="8"/>
  <c r="BH544" i="8"/>
  <c r="CJ545" i="8"/>
  <c r="CI545" i="8"/>
  <c r="CH545" i="8"/>
  <c r="CG545" i="8"/>
  <c r="CF545" i="8"/>
  <c r="CE545" i="8"/>
  <c r="CD545" i="8"/>
  <c r="CC545" i="8"/>
  <c r="CB545" i="8"/>
  <c r="CA545" i="8"/>
  <c r="BZ545" i="8"/>
  <c r="BY545" i="8"/>
  <c r="BX545" i="8"/>
  <c r="BW545" i="8"/>
  <c r="BV545" i="8"/>
  <c r="BU545" i="8"/>
  <c r="BT545" i="8"/>
  <c r="BS545" i="8"/>
  <c r="BR545" i="8"/>
  <c r="BQ545" i="8"/>
  <c r="BP545" i="8"/>
  <c r="BO545" i="8"/>
  <c r="BN545" i="8"/>
  <c r="BM545" i="8"/>
  <c r="BL545" i="8"/>
  <c r="BK545" i="8"/>
  <c r="BJ545" i="8"/>
  <c r="BI545" i="8"/>
  <c r="BH545" i="8"/>
  <c r="CJ546" i="8"/>
  <c r="CI546" i="8"/>
  <c r="CH546" i="8"/>
  <c r="CG546" i="8"/>
  <c r="CF546" i="8"/>
  <c r="CE546" i="8"/>
  <c r="CD546" i="8"/>
  <c r="CC546" i="8"/>
  <c r="CB546" i="8"/>
  <c r="CA546" i="8"/>
  <c r="BZ546" i="8"/>
  <c r="BY546" i="8"/>
  <c r="BX546" i="8"/>
  <c r="BW546" i="8"/>
  <c r="BV546" i="8"/>
  <c r="BU546" i="8"/>
  <c r="BT546" i="8"/>
  <c r="BS546" i="8"/>
  <c r="BR546" i="8"/>
  <c r="BQ546" i="8"/>
  <c r="BP546" i="8"/>
  <c r="BO546" i="8"/>
  <c r="BN546" i="8"/>
  <c r="BM546" i="8"/>
  <c r="BL546" i="8"/>
  <c r="BK546" i="8"/>
  <c r="BJ546" i="8"/>
  <c r="BI546" i="8"/>
  <c r="BH546" i="8"/>
  <c r="CJ547" i="8"/>
  <c r="CI547" i="8"/>
  <c r="CH547" i="8"/>
  <c r="CG547" i="8"/>
  <c r="CF547" i="8"/>
  <c r="CE547" i="8"/>
  <c r="CD547" i="8"/>
  <c r="CC547" i="8"/>
  <c r="CB547" i="8"/>
  <c r="CA547" i="8"/>
  <c r="BZ547" i="8"/>
  <c r="BY547" i="8"/>
  <c r="BX547" i="8"/>
  <c r="BW547" i="8"/>
  <c r="BV547" i="8"/>
  <c r="BU547" i="8"/>
  <c r="BT547" i="8"/>
  <c r="BS547" i="8"/>
  <c r="BR547" i="8"/>
  <c r="BQ547" i="8"/>
  <c r="BP547" i="8"/>
  <c r="BO547" i="8"/>
  <c r="BN547" i="8"/>
  <c r="BM547" i="8"/>
  <c r="BL547" i="8"/>
  <c r="BK547" i="8"/>
  <c r="BJ547" i="8"/>
  <c r="BI547" i="8"/>
  <c r="BH547" i="8"/>
  <c r="CJ548" i="8"/>
  <c r="CI548" i="8"/>
  <c r="CH548" i="8"/>
  <c r="CG548" i="8"/>
  <c r="CF548" i="8"/>
  <c r="CE548" i="8"/>
  <c r="CD548" i="8"/>
  <c r="CC548" i="8"/>
  <c r="CB548" i="8"/>
  <c r="CA548" i="8"/>
  <c r="BZ548" i="8"/>
  <c r="BY548" i="8"/>
  <c r="BX548" i="8"/>
  <c r="BW548" i="8"/>
  <c r="BV548" i="8"/>
  <c r="BU548" i="8"/>
  <c r="BT548" i="8"/>
  <c r="BS548" i="8"/>
  <c r="BR548" i="8"/>
  <c r="BQ548" i="8"/>
  <c r="BP548" i="8"/>
  <c r="BO548" i="8"/>
  <c r="BN548" i="8"/>
  <c r="BM548" i="8"/>
  <c r="BL548" i="8"/>
  <c r="BK548" i="8"/>
  <c r="BJ548" i="8"/>
  <c r="BI548" i="8"/>
  <c r="BH548" i="8"/>
  <c r="CJ549" i="8"/>
  <c r="CI549" i="8"/>
  <c r="CH549" i="8"/>
  <c r="CG549" i="8"/>
  <c r="CF549" i="8"/>
  <c r="CE549" i="8"/>
  <c r="CD549" i="8"/>
  <c r="CC549" i="8"/>
  <c r="CB549" i="8"/>
  <c r="CA549" i="8"/>
  <c r="BZ549" i="8"/>
  <c r="BY549" i="8"/>
  <c r="BX549" i="8"/>
  <c r="BW549" i="8"/>
  <c r="BV549" i="8"/>
  <c r="BU549" i="8"/>
  <c r="BT549" i="8"/>
  <c r="BS549" i="8"/>
  <c r="BR549" i="8"/>
  <c r="BQ549" i="8"/>
  <c r="BP549" i="8"/>
  <c r="BO549" i="8"/>
  <c r="BN549" i="8"/>
  <c r="BM549" i="8"/>
  <c r="BL549" i="8"/>
  <c r="BK549" i="8"/>
  <c r="BJ549" i="8"/>
  <c r="BI549" i="8"/>
  <c r="BH549" i="8"/>
  <c r="CJ550" i="8"/>
  <c r="CI550" i="8"/>
  <c r="CH550" i="8"/>
  <c r="CG550" i="8"/>
  <c r="CF550" i="8"/>
  <c r="CE550" i="8"/>
  <c r="CD550" i="8"/>
  <c r="CC550" i="8"/>
  <c r="CB550" i="8"/>
  <c r="CA550" i="8"/>
  <c r="BZ550" i="8"/>
  <c r="BY550" i="8"/>
  <c r="BX550" i="8"/>
  <c r="BW550" i="8"/>
  <c r="BV550" i="8"/>
  <c r="BU550" i="8"/>
  <c r="BT550" i="8"/>
  <c r="BS550" i="8"/>
  <c r="BR550" i="8"/>
  <c r="BQ550" i="8"/>
  <c r="BP550" i="8"/>
  <c r="BO550" i="8"/>
  <c r="BN550" i="8"/>
  <c r="BM550" i="8"/>
  <c r="BL550" i="8"/>
  <c r="BK550" i="8"/>
  <c r="BJ550" i="8"/>
  <c r="BI550" i="8"/>
  <c r="BH550" i="8"/>
  <c r="CJ551" i="8"/>
  <c r="CI551" i="8"/>
  <c r="CH551" i="8"/>
  <c r="CG551" i="8"/>
  <c r="CF551" i="8"/>
  <c r="CE551" i="8"/>
  <c r="CD551" i="8"/>
  <c r="CC551" i="8"/>
  <c r="CB551" i="8"/>
  <c r="CA551" i="8"/>
  <c r="BZ551" i="8"/>
  <c r="BY551" i="8"/>
  <c r="BX551" i="8"/>
  <c r="BW551" i="8"/>
  <c r="BV551" i="8"/>
  <c r="BU551" i="8"/>
  <c r="BT551" i="8"/>
  <c r="BS551" i="8"/>
  <c r="BR551" i="8"/>
  <c r="BQ551" i="8"/>
  <c r="BP551" i="8"/>
  <c r="BO551" i="8"/>
  <c r="BN551" i="8"/>
  <c r="BM551" i="8"/>
  <c r="BL551" i="8"/>
  <c r="BK551" i="8"/>
  <c r="BJ551" i="8"/>
  <c r="BI551" i="8"/>
  <c r="BH551" i="8"/>
  <c r="CJ552" i="8"/>
  <c r="CI552" i="8"/>
  <c r="CH552" i="8"/>
  <c r="CG552" i="8"/>
  <c r="CF552" i="8"/>
  <c r="CE552" i="8"/>
  <c r="CD552" i="8"/>
  <c r="CC552" i="8"/>
  <c r="CB552" i="8"/>
  <c r="CA552" i="8"/>
  <c r="BZ552" i="8"/>
  <c r="BY552" i="8"/>
  <c r="BX552" i="8"/>
  <c r="BW552" i="8"/>
  <c r="BV552" i="8"/>
  <c r="BU552" i="8"/>
  <c r="BT552" i="8"/>
  <c r="BS552" i="8"/>
  <c r="BR552" i="8"/>
  <c r="BQ552" i="8"/>
  <c r="BP552" i="8"/>
  <c r="BO552" i="8"/>
  <c r="BN552" i="8"/>
  <c r="BM552" i="8"/>
  <c r="BL552" i="8"/>
  <c r="BK552" i="8"/>
  <c r="BJ552" i="8"/>
  <c r="BI552" i="8"/>
  <c r="BH552" i="8"/>
  <c r="CJ553" i="8"/>
  <c r="CI553" i="8"/>
  <c r="CH553" i="8"/>
  <c r="CG553" i="8"/>
  <c r="CF553" i="8"/>
  <c r="CE553" i="8"/>
  <c r="CD553" i="8"/>
  <c r="CC553" i="8"/>
  <c r="CB553" i="8"/>
  <c r="CA553" i="8"/>
  <c r="BZ553" i="8"/>
  <c r="BY553" i="8"/>
  <c r="BX553" i="8"/>
  <c r="BW553" i="8"/>
  <c r="BV553" i="8"/>
  <c r="BU553" i="8"/>
  <c r="BT553" i="8"/>
  <c r="BS553" i="8"/>
  <c r="BR553" i="8"/>
  <c r="BQ553" i="8"/>
  <c r="BP553" i="8"/>
  <c r="BO553" i="8"/>
  <c r="BN553" i="8"/>
  <c r="BM553" i="8"/>
  <c r="BL553" i="8"/>
  <c r="BK553" i="8"/>
  <c r="BJ553" i="8"/>
  <c r="BI553" i="8"/>
  <c r="BH553" i="8"/>
  <c r="CJ554" i="8"/>
  <c r="CI554" i="8"/>
  <c r="CH554" i="8"/>
  <c r="CG554" i="8"/>
  <c r="CF554" i="8"/>
  <c r="CE554" i="8"/>
  <c r="CD554" i="8"/>
  <c r="CC554" i="8"/>
  <c r="CB554" i="8"/>
  <c r="CA554" i="8"/>
  <c r="BZ554" i="8"/>
  <c r="BY554" i="8"/>
  <c r="BX554" i="8"/>
  <c r="BW554" i="8"/>
  <c r="BV554" i="8"/>
  <c r="BU554" i="8"/>
  <c r="BT554" i="8"/>
  <c r="BS554" i="8"/>
  <c r="BR554" i="8"/>
  <c r="BQ554" i="8"/>
  <c r="BP554" i="8"/>
  <c r="BO554" i="8"/>
  <c r="BN554" i="8"/>
  <c r="BM554" i="8"/>
  <c r="BL554" i="8"/>
  <c r="BK554" i="8"/>
  <c r="BJ554" i="8"/>
  <c r="BI554" i="8"/>
  <c r="BH554" i="8"/>
  <c r="CJ561" i="8"/>
  <c r="CI561" i="8"/>
  <c r="CH561" i="8"/>
  <c r="CG561" i="8"/>
  <c r="CF561" i="8"/>
  <c r="CE561" i="8"/>
  <c r="CD561" i="8"/>
  <c r="CC561" i="8"/>
  <c r="CB561" i="8"/>
  <c r="CA561" i="8"/>
  <c r="BZ561" i="8"/>
  <c r="BY561" i="8"/>
  <c r="BX561" i="8"/>
  <c r="BW561" i="8"/>
  <c r="BV561" i="8"/>
  <c r="BU561" i="8"/>
  <c r="BT561" i="8"/>
  <c r="BS561" i="8"/>
  <c r="BR561" i="8"/>
  <c r="BQ561" i="8"/>
  <c r="BP561" i="8"/>
  <c r="BO561" i="8"/>
  <c r="BN561" i="8"/>
  <c r="BM561" i="8"/>
  <c r="BL561" i="8"/>
  <c r="BK561" i="8"/>
  <c r="BJ561" i="8"/>
  <c r="BI561" i="8"/>
  <c r="BH561" i="8"/>
  <c r="CJ562" i="8"/>
  <c r="CI562" i="8"/>
  <c r="CH562" i="8"/>
  <c r="CG562" i="8"/>
  <c r="CF562" i="8"/>
  <c r="CE562" i="8"/>
  <c r="CD562" i="8"/>
  <c r="CC562" i="8"/>
  <c r="CB562" i="8"/>
  <c r="CA562" i="8"/>
  <c r="BZ562" i="8"/>
  <c r="BY562" i="8"/>
  <c r="BX562" i="8"/>
  <c r="BW562" i="8"/>
  <c r="BV562" i="8"/>
  <c r="BU562" i="8"/>
  <c r="BT562" i="8"/>
  <c r="BS562" i="8"/>
  <c r="BR562" i="8"/>
  <c r="BQ562" i="8"/>
  <c r="BP562" i="8"/>
  <c r="BO562" i="8"/>
  <c r="BN562" i="8"/>
  <c r="BM562" i="8"/>
  <c r="BL562" i="8"/>
  <c r="BK562" i="8"/>
  <c r="BJ562" i="8"/>
  <c r="BI562" i="8"/>
  <c r="BH562" i="8"/>
  <c r="CJ563" i="8"/>
  <c r="CI563" i="8"/>
  <c r="CH563" i="8"/>
  <c r="CG563" i="8"/>
  <c r="CF563" i="8"/>
  <c r="CE563" i="8"/>
  <c r="CD563" i="8"/>
  <c r="CC563" i="8"/>
  <c r="CB563" i="8"/>
  <c r="CA563" i="8"/>
  <c r="BZ563" i="8"/>
  <c r="BY563" i="8"/>
  <c r="BX563" i="8"/>
  <c r="BW563" i="8"/>
  <c r="BV563" i="8"/>
  <c r="BU563" i="8"/>
  <c r="BT563" i="8"/>
  <c r="BS563" i="8"/>
  <c r="BR563" i="8"/>
  <c r="BQ563" i="8"/>
  <c r="BP563" i="8"/>
  <c r="BO563" i="8"/>
  <c r="BN563" i="8"/>
  <c r="BM563" i="8"/>
  <c r="BL563" i="8"/>
  <c r="BK563" i="8"/>
  <c r="BJ563" i="8"/>
  <c r="BI563" i="8"/>
  <c r="BH563" i="8"/>
  <c r="CJ564" i="8"/>
  <c r="CI564" i="8"/>
  <c r="CH564" i="8"/>
  <c r="CG564" i="8"/>
  <c r="CF564" i="8"/>
  <c r="CE564" i="8"/>
  <c r="CD564" i="8"/>
  <c r="CC564" i="8"/>
  <c r="CB564" i="8"/>
  <c r="CA564" i="8"/>
  <c r="BZ564" i="8"/>
  <c r="BY564" i="8"/>
  <c r="BX564" i="8"/>
  <c r="BW564" i="8"/>
  <c r="BV564" i="8"/>
  <c r="BU564" i="8"/>
  <c r="BT564" i="8"/>
  <c r="BS564" i="8"/>
  <c r="BR564" i="8"/>
  <c r="BQ564" i="8"/>
  <c r="BP564" i="8"/>
  <c r="BO564" i="8"/>
  <c r="BN564" i="8"/>
  <c r="BM564" i="8"/>
  <c r="BL564" i="8"/>
  <c r="BK564" i="8"/>
  <c r="BJ564" i="8"/>
  <c r="BI564" i="8"/>
  <c r="BH564" i="8"/>
  <c r="CJ565" i="8"/>
  <c r="CI565" i="8"/>
  <c r="CH565" i="8"/>
  <c r="CG565" i="8"/>
  <c r="CF565" i="8"/>
  <c r="CE565" i="8"/>
  <c r="CD565" i="8"/>
  <c r="CC565" i="8"/>
  <c r="CB565" i="8"/>
  <c r="CA565" i="8"/>
  <c r="BZ565" i="8"/>
  <c r="BY565" i="8"/>
  <c r="BX565" i="8"/>
  <c r="BW565" i="8"/>
  <c r="BV565" i="8"/>
  <c r="BU565" i="8"/>
  <c r="BT565" i="8"/>
  <c r="BS565" i="8"/>
  <c r="BR565" i="8"/>
  <c r="BQ565" i="8"/>
  <c r="BP565" i="8"/>
  <c r="BO565" i="8"/>
  <c r="BN565" i="8"/>
  <c r="BM565" i="8"/>
  <c r="BL565" i="8"/>
  <c r="BK565" i="8"/>
  <c r="BJ565" i="8"/>
  <c r="BI565" i="8"/>
  <c r="BH565" i="8"/>
  <c r="CJ566" i="8"/>
  <c r="CI566" i="8"/>
  <c r="CH566" i="8"/>
  <c r="CG566" i="8"/>
  <c r="CF566" i="8"/>
  <c r="CE566" i="8"/>
  <c r="CD566" i="8"/>
  <c r="CC566" i="8"/>
  <c r="CB566" i="8"/>
  <c r="CA566" i="8"/>
  <c r="BZ566" i="8"/>
  <c r="BY566" i="8"/>
  <c r="BX566" i="8"/>
  <c r="BW566" i="8"/>
  <c r="BV566" i="8"/>
  <c r="BU566" i="8"/>
  <c r="BT566" i="8"/>
  <c r="BS566" i="8"/>
  <c r="BR566" i="8"/>
  <c r="BQ566" i="8"/>
  <c r="BP566" i="8"/>
  <c r="BO566" i="8"/>
  <c r="BN566" i="8"/>
  <c r="BM566" i="8"/>
  <c r="BL566" i="8"/>
  <c r="BK566" i="8"/>
  <c r="BJ566" i="8"/>
  <c r="BI566" i="8"/>
  <c r="BH566" i="8"/>
  <c r="CJ567" i="8"/>
  <c r="CI567" i="8"/>
  <c r="CH567" i="8"/>
  <c r="CG567" i="8"/>
  <c r="CF567" i="8"/>
  <c r="CE567" i="8"/>
  <c r="CD567" i="8"/>
  <c r="CC567" i="8"/>
  <c r="CB567" i="8"/>
  <c r="CA567" i="8"/>
  <c r="BZ567" i="8"/>
  <c r="BY567" i="8"/>
  <c r="BX567" i="8"/>
  <c r="BW567" i="8"/>
  <c r="BV567" i="8"/>
  <c r="BU567" i="8"/>
  <c r="BT567" i="8"/>
  <c r="BS567" i="8"/>
  <c r="BR567" i="8"/>
  <c r="BQ567" i="8"/>
  <c r="BP567" i="8"/>
  <c r="BO567" i="8"/>
  <c r="BN567" i="8"/>
  <c r="BM567" i="8"/>
  <c r="BL567" i="8"/>
  <c r="BK567" i="8"/>
  <c r="BJ567" i="8"/>
  <c r="BI567" i="8"/>
  <c r="BH567" i="8"/>
  <c r="CJ568" i="8"/>
  <c r="CI568" i="8"/>
  <c r="CH568" i="8"/>
  <c r="CG568" i="8"/>
  <c r="CF568" i="8"/>
  <c r="CE568" i="8"/>
  <c r="CD568" i="8"/>
  <c r="CC568" i="8"/>
  <c r="CB568" i="8"/>
  <c r="CA568" i="8"/>
  <c r="BZ568" i="8"/>
  <c r="BY568" i="8"/>
  <c r="BX568" i="8"/>
  <c r="BW568" i="8"/>
  <c r="BV568" i="8"/>
  <c r="BU568" i="8"/>
  <c r="BT568" i="8"/>
  <c r="BS568" i="8"/>
  <c r="BR568" i="8"/>
  <c r="BQ568" i="8"/>
  <c r="BP568" i="8"/>
  <c r="BO568" i="8"/>
  <c r="BN568" i="8"/>
  <c r="BM568" i="8"/>
  <c r="BL568" i="8"/>
  <c r="BK568" i="8"/>
  <c r="BJ568" i="8"/>
  <c r="BI568" i="8"/>
  <c r="BH568" i="8"/>
  <c r="CJ569" i="8"/>
  <c r="CI569" i="8"/>
  <c r="CH569" i="8"/>
  <c r="CG569" i="8"/>
  <c r="CF569" i="8"/>
  <c r="CE569" i="8"/>
  <c r="CD569" i="8"/>
  <c r="CC569" i="8"/>
  <c r="CB569" i="8"/>
  <c r="CA569" i="8"/>
  <c r="BZ569" i="8"/>
  <c r="BY569" i="8"/>
  <c r="BX569" i="8"/>
  <c r="BW569" i="8"/>
  <c r="BV569" i="8"/>
  <c r="BU569" i="8"/>
  <c r="BT569" i="8"/>
  <c r="BS569" i="8"/>
  <c r="BR569" i="8"/>
  <c r="BQ569" i="8"/>
  <c r="BP569" i="8"/>
  <c r="BO569" i="8"/>
  <c r="BN569" i="8"/>
  <c r="BM569" i="8"/>
  <c r="BL569" i="8"/>
  <c r="BK569" i="8"/>
  <c r="BJ569" i="8"/>
  <c r="BI569" i="8"/>
  <c r="BH569" i="8"/>
  <c r="CJ570" i="8"/>
  <c r="CI570" i="8"/>
  <c r="CH570" i="8"/>
  <c r="CG570" i="8"/>
  <c r="CF570" i="8"/>
  <c r="CE570" i="8"/>
  <c r="CD570" i="8"/>
  <c r="CC570" i="8"/>
  <c r="CB570" i="8"/>
  <c r="CA570" i="8"/>
  <c r="BZ570" i="8"/>
  <c r="BY570" i="8"/>
  <c r="BX570" i="8"/>
  <c r="BW570" i="8"/>
  <c r="BV570" i="8"/>
  <c r="BU570" i="8"/>
  <c r="BT570" i="8"/>
  <c r="BS570" i="8"/>
  <c r="BR570" i="8"/>
  <c r="BQ570" i="8"/>
  <c r="BP570" i="8"/>
  <c r="BO570" i="8"/>
  <c r="BN570" i="8"/>
  <c r="BM570" i="8"/>
  <c r="BL570" i="8"/>
  <c r="BK570" i="8"/>
  <c r="BJ570" i="8"/>
  <c r="BI570" i="8"/>
  <c r="BH570" i="8"/>
  <c r="CJ571" i="8"/>
  <c r="CI571" i="8"/>
  <c r="CH571" i="8"/>
  <c r="CG571" i="8"/>
  <c r="CF571" i="8"/>
  <c r="CE571" i="8"/>
  <c r="CD571" i="8"/>
  <c r="CC571" i="8"/>
  <c r="CB571" i="8"/>
  <c r="CA571" i="8"/>
  <c r="BZ571" i="8"/>
  <c r="BY571" i="8"/>
  <c r="BX571" i="8"/>
  <c r="BW571" i="8"/>
  <c r="BV571" i="8"/>
  <c r="BU571" i="8"/>
  <c r="BT571" i="8"/>
  <c r="BS571" i="8"/>
  <c r="BR571" i="8"/>
  <c r="BQ571" i="8"/>
  <c r="BP571" i="8"/>
  <c r="BO571" i="8"/>
  <c r="BN571" i="8"/>
  <c r="BM571" i="8"/>
  <c r="BL571" i="8"/>
  <c r="BK571" i="8"/>
  <c r="BJ571" i="8"/>
  <c r="BI571" i="8"/>
  <c r="BH571" i="8"/>
  <c r="CJ572" i="8"/>
  <c r="CI572" i="8"/>
  <c r="CH572" i="8"/>
  <c r="CG572" i="8"/>
  <c r="CF572" i="8"/>
  <c r="CE572" i="8"/>
  <c r="CD572" i="8"/>
  <c r="CC572" i="8"/>
  <c r="CB572" i="8"/>
  <c r="CA572" i="8"/>
  <c r="BZ572" i="8"/>
  <c r="BY572" i="8"/>
  <c r="BX572" i="8"/>
  <c r="BW572" i="8"/>
  <c r="BV572" i="8"/>
  <c r="BU572" i="8"/>
  <c r="BT572" i="8"/>
  <c r="BS572" i="8"/>
  <c r="BR572" i="8"/>
  <c r="BQ572" i="8"/>
  <c r="BP572" i="8"/>
  <c r="BO572" i="8"/>
  <c r="BN572" i="8"/>
  <c r="BM572" i="8"/>
  <c r="BL572" i="8"/>
  <c r="BK572" i="8"/>
  <c r="BJ572" i="8"/>
  <c r="BI572" i="8"/>
  <c r="BH572" i="8"/>
  <c r="CJ573" i="8"/>
  <c r="CI573" i="8"/>
  <c r="CH573" i="8"/>
  <c r="CG573" i="8"/>
  <c r="CF573" i="8"/>
  <c r="CE573" i="8"/>
  <c r="CD573" i="8"/>
  <c r="CC573" i="8"/>
  <c r="CB573" i="8"/>
  <c r="CA573" i="8"/>
  <c r="BZ573" i="8"/>
  <c r="BY573" i="8"/>
  <c r="BX573" i="8"/>
  <c r="BW573" i="8"/>
  <c r="BV573" i="8"/>
  <c r="BU573" i="8"/>
  <c r="BT573" i="8"/>
  <c r="BS573" i="8"/>
  <c r="BR573" i="8"/>
  <c r="BQ573" i="8"/>
  <c r="BP573" i="8"/>
  <c r="BO573" i="8"/>
  <c r="BN573" i="8"/>
  <c r="BM573" i="8"/>
  <c r="BL573" i="8"/>
  <c r="BK573" i="8"/>
  <c r="BJ573" i="8"/>
  <c r="BI573" i="8"/>
  <c r="BH573" i="8"/>
  <c r="CJ574" i="8"/>
  <c r="CI574" i="8"/>
  <c r="CH574" i="8"/>
  <c r="CG574" i="8"/>
  <c r="CF574" i="8"/>
  <c r="CE574" i="8"/>
  <c r="CD574" i="8"/>
  <c r="CC574" i="8"/>
  <c r="CB574" i="8"/>
  <c r="CA574" i="8"/>
  <c r="BZ574" i="8"/>
  <c r="BY574" i="8"/>
  <c r="BX574" i="8"/>
  <c r="BW574" i="8"/>
  <c r="BV574" i="8"/>
  <c r="BU574" i="8"/>
  <c r="BT574" i="8"/>
  <c r="BS574" i="8"/>
  <c r="BR574" i="8"/>
  <c r="BQ574" i="8"/>
  <c r="BP574" i="8"/>
  <c r="BO574" i="8"/>
  <c r="BN574" i="8"/>
  <c r="BM574" i="8"/>
  <c r="BL574" i="8"/>
  <c r="BK574" i="8"/>
  <c r="BJ574" i="8"/>
  <c r="BI574" i="8"/>
  <c r="BH574" i="8"/>
  <c r="CJ575" i="8"/>
  <c r="CI575" i="8"/>
  <c r="CH575" i="8"/>
  <c r="CG575" i="8"/>
  <c r="CF575" i="8"/>
  <c r="CE575" i="8"/>
  <c r="CD575" i="8"/>
  <c r="CC575" i="8"/>
  <c r="CB575" i="8"/>
  <c r="CA575" i="8"/>
  <c r="BZ575" i="8"/>
  <c r="BY575" i="8"/>
  <c r="BX575" i="8"/>
  <c r="BW575" i="8"/>
  <c r="BV575" i="8"/>
  <c r="BU575" i="8"/>
  <c r="BT575" i="8"/>
  <c r="BS575" i="8"/>
  <c r="BR575" i="8"/>
  <c r="BQ575" i="8"/>
  <c r="BP575" i="8"/>
  <c r="BO575" i="8"/>
  <c r="BN575" i="8"/>
  <c r="BM575" i="8"/>
  <c r="BL575" i="8"/>
  <c r="BK575" i="8"/>
  <c r="BJ575" i="8"/>
  <c r="BI575" i="8"/>
  <c r="BH575" i="8"/>
  <c r="CJ576" i="8"/>
  <c r="CI576" i="8"/>
  <c r="CH576" i="8"/>
  <c r="CG576" i="8"/>
  <c r="CF576" i="8"/>
  <c r="CE576" i="8"/>
  <c r="CD576" i="8"/>
  <c r="CC576" i="8"/>
  <c r="CB576" i="8"/>
  <c r="CA576" i="8"/>
  <c r="BZ576" i="8"/>
  <c r="BY576" i="8"/>
  <c r="BX576" i="8"/>
  <c r="BW576" i="8"/>
  <c r="BV576" i="8"/>
  <c r="BU576" i="8"/>
  <c r="BT576" i="8"/>
  <c r="BS576" i="8"/>
  <c r="BR576" i="8"/>
  <c r="BQ576" i="8"/>
  <c r="BP576" i="8"/>
  <c r="BO576" i="8"/>
  <c r="BN576" i="8"/>
  <c r="BM576" i="8"/>
  <c r="BL576" i="8"/>
  <c r="BK576" i="8"/>
  <c r="BJ576" i="8"/>
  <c r="BI576" i="8"/>
  <c r="BH576" i="8"/>
  <c r="CJ577" i="8"/>
  <c r="CI577" i="8"/>
  <c r="CH577" i="8"/>
  <c r="CG577" i="8"/>
  <c r="CF577" i="8"/>
  <c r="CE577" i="8"/>
  <c r="CD577" i="8"/>
  <c r="CC577" i="8"/>
  <c r="CB577" i="8"/>
  <c r="CA577" i="8"/>
  <c r="BZ577" i="8"/>
  <c r="BY577" i="8"/>
  <c r="BX577" i="8"/>
  <c r="BW577" i="8"/>
  <c r="BV577" i="8"/>
  <c r="BU577" i="8"/>
  <c r="BT577" i="8"/>
  <c r="BS577" i="8"/>
  <c r="BR577" i="8"/>
  <c r="BQ577" i="8"/>
  <c r="BP577" i="8"/>
  <c r="BO577" i="8"/>
  <c r="BN577" i="8"/>
  <c r="BM577" i="8"/>
  <c r="BL577" i="8"/>
  <c r="BK577" i="8"/>
  <c r="BJ577" i="8"/>
  <c r="BI577" i="8"/>
  <c r="BH577" i="8"/>
  <c r="CJ578" i="8"/>
  <c r="CI578" i="8"/>
  <c r="CH578" i="8"/>
  <c r="CG578" i="8"/>
  <c r="CF578" i="8"/>
  <c r="CE578" i="8"/>
  <c r="CD578" i="8"/>
  <c r="CC578" i="8"/>
  <c r="CB578" i="8"/>
  <c r="CA578" i="8"/>
  <c r="BZ578" i="8"/>
  <c r="BY578" i="8"/>
  <c r="BX578" i="8"/>
  <c r="BW578" i="8"/>
  <c r="BV578" i="8"/>
  <c r="BU578" i="8"/>
  <c r="BT578" i="8"/>
  <c r="BS578" i="8"/>
  <c r="BR578" i="8"/>
  <c r="BQ578" i="8"/>
  <c r="BP578" i="8"/>
  <c r="BO578" i="8"/>
  <c r="BN578" i="8"/>
  <c r="BM578" i="8"/>
  <c r="BL578" i="8"/>
  <c r="BK578" i="8"/>
  <c r="BJ578" i="8"/>
  <c r="BI578" i="8"/>
  <c r="BH578" i="8"/>
  <c r="CJ269" i="8"/>
  <c r="CI269" i="8"/>
  <c r="CH269" i="8"/>
  <c r="CG269" i="8"/>
  <c r="CF269" i="8"/>
  <c r="CE269" i="8"/>
  <c r="CD269" i="8"/>
  <c r="CC269" i="8"/>
  <c r="CB269" i="8"/>
  <c r="CA269" i="8"/>
  <c r="BZ269" i="8"/>
  <c r="BY269" i="8"/>
  <c r="BX269" i="8"/>
  <c r="BW269" i="8"/>
  <c r="BV269" i="8"/>
  <c r="BU269" i="8"/>
  <c r="BT269" i="8"/>
  <c r="BS269" i="8"/>
  <c r="BR269" i="8"/>
  <c r="BQ269" i="8"/>
  <c r="BP269" i="8"/>
  <c r="BO269" i="8"/>
  <c r="BN269" i="8"/>
  <c r="BM269" i="8"/>
  <c r="BL269" i="8"/>
  <c r="BK269" i="8"/>
  <c r="BJ269" i="8"/>
  <c r="BI269" i="8"/>
  <c r="BH269" i="8"/>
  <c r="CJ270" i="8"/>
  <c r="CI270" i="8"/>
  <c r="CH270" i="8"/>
  <c r="CG270" i="8"/>
  <c r="CF270" i="8"/>
  <c r="CE270" i="8"/>
  <c r="CD270" i="8"/>
  <c r="CC270" i="8"/>
  <c r="CB270" i="8"/>
  <c r="CA270" i="8"/>
  <c r="BZ270" i="8"/>
  <c r="BY270" i="8"/>
  <c r="BX270" i="8"/>
  <c r="BW270" i="8"/>
  <c r="BV270" i="8"/>
  <c r="BU270" i="8"/>
  <c r="BT270" i="8"/>
  <c r="BS270" i="8"/>
  <c r="BR270" i="8"/>
  <c r="BQ270" i="8"/>
  <c r="BP270" i="8"/>
  <c r="BO270" i="8"/>
  <c r="BN270" i="8"/>
  <c r="BM270" i="8"/>
  <c r="BL270" i="8"/>
  <c r="BK270" i="8"/>
  <c r="BJ270" i="8"/>
  <c r="BI270" i="8"/>
  <c r="BH270" i="8"/>
  <c r="CJ271" i="8"/>
  <c r="CI271" i="8"/>
  <c r="CH271" i="8"/>
  <c r="CG271" i="8"/>
  <c r="CF271" i="8"/>
  <c r="CE271" i="8"/>
  <c r="CD271" i="8"/>
  <c r="CC271" i="8"/>
  <c r="CB271" i="8"/>
  <c r="CA271" i="8"/>
  <c r="BZ271" i="8"/>
  <c r="BY271" i="8"/>
  <c r="BX271" i="8"/>
  <c r="BW271" i="8"/>
  <c r="BV271" i="8"/>
  <c r="BU271" i="8"/>
  <c r="BT271" i="8"/>
  <c r="BS271" i="8"/>
  <c r="BR271" i="8"/>
  <c r="BQ271" i="8"/>
  <c r="BP271" i="8"/>
  <c r="BO271" i="8"/>
  <c r="BN271" i="8"/>
  <c r="BM271" i="8"/>
  <c r="BL271" i="8"/>
  <c r="BK271" i="8"/>
  <c r="BJ271" i="8"/>
  <c r="BI271" i="8"/>
  <c r="BH271" i="8"/>
  <c r="CJ272" i="8"/>
  <c r="CI272" i="8"/>
  <c r="CH272" i="8"/>
  <c r="CG272" i="8"/>
  <c r="CF272" i="8"/>
  <c r="CE272" i="8"/>
  <c r="CD272" i="8"/>
  <c r="CC272" i="8"/>
  <c r="CB272" i="8"/>
  <c r="CA272" i="8"/>
  <c r="BZ272" i="8"/>
  <c r="BY272" i="8"/>
  <c r="BX272" i="8"/>
  <c r="BW272" i="8"/>
  <c r="BV272" i="8"/>
  <c r="BU272" i="8"/>
  <c r="BT272" i="8"/>
  <c r="BS272" i="8"/>
  <c r="BR272" i="8"/>
  <c r="BQ272" i="8"/>
  <c r="BP272" i="8"/>
  <c r="BO272" i="8"/>
  <c r="BN272" i="8"/>
  <c r="BM272" i="8"/>
  <c r="BL272" i="8"/>
  <c r="BK272" i="8"/>
  <c r="BJ272" i="8"/>
  <c r="BI272" i="8"/>
  <c r="BH272" i="8"/>
  <c r="CJ273" i="8"/>
  <c r="CI273" i="8"/>
  <c r="CH273" i="8"/>
  <c r="CG273" i="8"/>
  <c r="CF273" i="8"/>
  <c r="CE273" i="8"/>
  <c r="CD273" i="8"/>
  <c r="CC273" i="8"/>
  <c r="CB273" i="8"/>
  <c r="CA273" i="8"/>
  <c r="BZ273" i="8"/>
  <c r="BY273" i="8"/>
  <c r="BX273" i="8"/>
  <c r="BW273" i="8"/>
  <c r="BV273" i="8"/>
  <c r="BU273" i="8"/>
  <c r="BT273" i="8"/>
  <c r="BS273" i="8"/>
  <c r="BR273" i="8"/>
  <c r="BQ273" i="8"/>
  <c r="BP273" i="8"/>
  <c r="BO273" i="8"/>
  <c r="BN273" i="8"/>
  <c r="BM273" i="8"/>
  <c r="BL273" i="8"/>
  <c r="BK273" i="8"/>
  <c r="BJ273" i="8"/>
  <c r="BI273" i="8"/>
  <c r="BH273" i="8"/>
  <c r="CJ274" i="8"/>
  <c r="CI274" i="8"/>
  <c r="CH274" i="8"/>
  <c r="CG274" i="8"/>
  <c r="CF274" i="8"/>
  <c r="CE274" i="8"/>
  <c r="CD274" i="8"/>
  <c r="CC274" i="8"/>
  <c r="CB274" i="8"/>
  <c r="CA274" i="8"/>
  <c r="BZ274" i="8"/>
  <c r="BY274" i="8"/>
  <c r="BX274" i="8"/>
  <c r="BW274" i="8"/>
  <c r="BV274" i="8"/>
  <c r="BU274" i="8"/>
  <c r="BT274" i="8"/>
  <c r="BS274" i="8"/>
  <c r="BR274" i="8"/>
  <c r="BQ274" i="8"/>
  <c r="BP274" i="8"/>
  <c r="BO274" i="8"/>
  <c r="BN274" i="8"/>
  <c r="BM274" i="8"/>
  <c r="BL274" i="8"/>
  <c r="BK274" i="8"/>
  <c r="BJ274" i="8"/>
  <c r="BI274" i="8"/>
  <c r="BH274" i="8"/>
  <c r="CJ257" i="8"/>
  <c r="CI257" i="8"/>
  <c r="CH257" i="8"/>
  <c r="CG257" i="8"/>
  <c r="CF257" i="8"/>
  <c r="CE257" i="8"/>
  <c r="CD257" i="8"/>
  <c r="CC257" i="8"/>
  <c r="CB257" i="8"/>
  <c r="CA257" i="8"/>
  <c r="BZ257" i="8"/>
  <c r="BY257" i="8"/>
  <c r="BX257" i="8"/>
  <c r="BW257" i="8"/>
  <c r="BV257" i="8"/>
  <c r="BU257" i="8"/>
  <c r="BT257" i="8"/>
  <c r="BS257" i="8"/>
  <c r="BR257" i="8"/>
  <c r="BQ257" i="8"/>
  <c r="BP257" i="8"/>
  <c r="BO257" i="8"/>
  <c r="BN257" i="8"/>
  <c r="BM257" i="8"/>
  <c r="BL257" i="8"/>
  <c r="BK257" i="8"/>
  <c r="BJ257" i="8"/>
  <c r="BI257" i="8"/>
  <c r="BH257" i="8"/>
  <c r="CJ258" i="8"/>
  <c r="CI258" i="8"/>
  <c r="CH258" i="8"/>
  <c r="CG258" i="8"/>
  <c r="CF258" i="8"/>
  <c r="CE258" i="8"/>
  <c r="CD258" i="8"/>
  <c r="CC258" i="8"/>
  <c r="CB258" i="8"/>
  <c r="CA258" i="8"/>
  <c r="BZ258" i="8"/>
  <c r="BY258" i="8"/>
  <c r="BX258" i="8"/>
  <c r="BW258" i="8"/>
  <c r="BV258" i="8"/>
  <c r="BU258" i="8"/>
  <c r="BT258" i="8"/>
  <c r="BS258" i="8"/>
  <c r="BR258" i="8"/>
  <c r="BQ258" i="8"/>
  <c r="BP258" i="8"/>
  <c r="BO258" i="8"/>
  <c r="BN258" i="8"/>
  <c r="BM258" i="8"/>
  <c r="BL258" i="8"/>
  <c r="BK258" i="8"/>
  <c r="BJ258" i="8"/>
  <c r="BI258" i="8"/>
  <c r="BH258" i="8"/>
  <c r="CJ259" i="8"/>
  <c r="CI259" i="8"/>
  <c r="CH259" i="8"/>
  <c r="CG259" i="8"/>
  <c r="CF259" i="8"/>
  <c r="CE259" i="8"/>
  <c r="CD259" i="8"/>
  <c r="CC259" i="8"/>
  <c r="CB259" i="8"/>
  <c r="CA259" i="8"/>
  <c r="BZ259" i="8"/>
  <c r="BY259" i="8"/>
  <c r="BX259" i="8"/>
  <c r="BW259" i="8"/>
  <c r="BV259" i="8"/>
  <c r="BU259" i="8"/>
  <c r="BT259" i="8"/>
  <c r="BS259" i="8"/>
  <c r="BR259" i="8"/>
  <c r="BQ259" i="8"/>
  <c r="BP259" i="8"/>
  <c r="BO259" i="8"/>
  <c r="BN259" i="8"/>
  <c r="BM259" i="8"/>
  <c r="BL259" i="8"/>
  <c r="BK259" i="8"/>
  <c r="BJ259" i="8"/>
  <c r="BI259" i="8"/>
  <c r="BH259" i="8"/>
  <c r="CJ260" i="8"/>
  <c r="CI260" i="8"/>
  <c r="CH260" i="8"/>
  <c r="CG260" i="8"/>
  <c r="CF260" i="8"/>
  <c r="CE260" i="8"/>
  <c r="CD260" i="8"/>
  <c r="CC260" i="8"/>
  <c r="CB260" i="8"/>
  <c r="CA260" i="8"/>
  <c r="BZ260" i="8"/>
  <c r="BY260" i="8"/>
  <c r="BX260" i="8"/>
  <c r="BW260" i="8"/>
  <c r="BV260" i="8"/>
  <c r="BU260" i="8"/>
  <c r="BT260" i="8"/>
  <c r="BS260" i="8"/>
  <c r="BR260" i="8"/>
  <c r="BQ260" i="8"/>
  <c r="BP260" i="8"/>
  <c r="BO260" i="8"/>
  <c r="BN260" i="8"/>
  <c r="BM260" i="8"/>
  <c r="BL260" i="8"/>
  <c r="BK260" i="8"/>
  <c r="BJ260" i="8"/>
  <c r="BI260" i="8"/>
  <c r="BH260" i="8"/>
  <c r="CJ261" i="8"/>
  <c r="CI261" i="8"/>
  <c r="CH261" i="8"/>
  <c r="CG261" i="8"/>
  <c r="CF261" i="8"/>
  <c r="CE261" i="8"/>
  <c r="CD261" i="8"/>
  <c r="CC261" i="8"/>
  <c r="CB261" i="8"/>
  <c r="CA261" i="8"/>
  <c r="BZ261" i="8"/>
  <c r="BY261" i="8"/>
  <c r="BX261" i="8"/>
  <c r="BW261" i="8"/>
  <c r="BV261" i="8"/>
  <c r="BU261" i="8"/>
  <c r="BT261" i="8"/>
  <c r="BS261" i="8"/>
  <c r="BR261" i="8"/>
  <c r="BQ261" i="8"/>
  <c r="BP261" i="8"/>
  <c r="BO261" i="8"/>
  <c r="BN261" i="8"/>
  <c r="BM261" i="8"/>
  <c r="BL261" i="8"/>
  <c r="BK261" i="8"/>
  <c r="BJ261" i="8"/>
  <c r="BI261" i="8"/>
  <c r="BH261" i="8"/>
  <c r="CJ262" i="8"/>
  <c r="CI262" i="8"/>
  <c r="CH262" i="8"/>
  <c r="CG262" i="8"/>
  <c r="CF262" i="8"/>
  <c r="CE262" i="8"/>
  <c r="CD262" i="8"/>
  <c r="CC262" i="8"/>
  <c r="CB262" i="8"/>
  <c r="CA262" i="8"/>
  <c r="BZ262" i="8"/>
  <c r="BY262" i="8"/>
  <c r="BX262" i="8"/>
  <c r="BW262" i="8"/>
  <c r="BV262" i="8"/>
  <c r="BU262" i="8"/>
  <c r="BT262" i="8"/>
  <c r="BS262" i="8"/>
  <c r="BR262" i="8"/>
  <c r="BQ262" i="8"/>
  <c r="BP262" i="8"/>
  <c r="BO262" i="8"/>
  <c r="BN262" i="8"/>
  <c r="BM262" i="8"/>
  <c r="BL262" i="8"/>
  <c r="BK262" i="8"/>
  <c r="BJ262" i="8"/>
  <c r="BI262" i="8"/>
  <c r="BH262" i="8"/>
  <c r="CJ263" i="8"/>
  <c r="CI263" i="8"/>
  <c r="CH263" i="8"/>
  <c r="CG263" i="8"/>
  <c r="CF263" i="8"/>
  <c r="CE263" i="8"/>
  <c r="CD263" i="8"/>
  <c r="CC263" i="8"/>
  <c r="CB263" i="8"/>
  <c r="CA263" i="8"/>
  <c r="BZ263" i="8"/>
  <c r="BY263" i="8"/>
  <c r="BX263" i="8"/>
  <c r="BW263" i="8"/>
  <c r="BV263" i="8"/>
  <c r="BU263" i="8"/>
  <c r="BT263" i="8"/>
  <c r="BS263" i="8"/>
  <c r="BR263" i="8"/>
  <c r="BQ263" i="8"/>
  <c r="BP263" i="8"/>
  <c r="BO263" i="8"/>
  <c r="BN263" i="8"/>
  <c r="BM263" i="8"/>
  <c r="BL263" i="8"/>
  <c r="BK263" i="8"/>
  <c r="BJ263" i="8"/>
  <c r="BI263" i="8"/>
  <c r="BH263" i="8"/>
  <c r="CJ264" i="8"/>
  <c r="CI264" i="8"/>
  <c r="CH264" i="8"/>
  <c r="CG264" i="8"/>
  <c r="CF264" i="8"/>
  <c r="CE264" i="8"/>
  <c r="CD264" i="8"/>
  <c r="CC264" i="8"/>
  <c r="CB264" i="8"/>
  <c r="CA264" i="8"/>
  <c r="BZ264" i="8"/>
  <c r="BY264" i="8"/>
  <c r="BX264" i="8"/>
  <c r="BW264" i="8"/>
  <c r="BV264" i="8"/>
  <c r="BU264" i="8"/>
  <c r="BT264" i="8"/>
  <c r="BS264" i="8"/>
  <c r="BR264" i="8"/>
  <c r="BQ264" i="8"/>
  <c r="BP264" i="8"/>
  <c r="BO264" i="8"/>
  <c r="BN264" i="8"/>
  <c r="BM264" i="8"/>
  <c r="BL264" i="8"/>
  <c r="BK264" i="8"/>
  <c r="BJ264" i="8"/>
  <c r="BI264" i="8"/>
  <c r="BH264" i="8"/>
  <c r="CJ265" i="8"/>
  <c r="CI265" i="8"/>
  <c r="CH265" i="8"/>
  <c r="CG265" i="8"/>
  <c r="CF265" i="8"/>
  <c r="CE265" i="8"/>
  <c r="CD265" i="8"/>
  <c r="CC265" i="8"/>
  <c r="CB265" i="8"/>
  <c r="CA265" i="8"/>
  <c r="BZ265" i="8"/>
  <c r="BY265" i="8"/>
  <c r="BX265" i="8"/>
  <c r="BW265" i="8"/>
  <c r="BV265" i="8"/>
  <c r="BU265" i="8"/>
  <c r="BT265" i="8"/>
  <c r="BS265" i="8"/>
  <c r="BR265" i="8"/>
  <c r="BQ265" i="8"/>
  <c r="BP265" i="8"/>
  <c r="BO265" i="8"/>
  <c r="BN265" i="8"/>
  <c r="BM265" i="8"/>
  <c r="BL265" i="8"/>
  <c r="BK265" i="8"/>
  <c r="BJ265" i="8"/>
  <c r="BI265" i="8"/>
  <c r="BH265" i="8"/>
  <c r="CJ266" i="8"/>
  <c r="CI266" i="8"/>
  <c r="CH266" i="8"/>
  <c r="CG266" i="8"/>
  <c r="CF266" i="8"/>
  <c r="CE266" i="8"/>
  <c r="CD266" i="8"/>
  <c r="CC266" i="8"/>
  <c r="CB266" i="8"/>
  <c r="CA266" i="8"/>
  <c r="BZ266" i="8"/>
  <c r="BY266" i="8"/>
  <c r="BX266" i="8"/>
  <c r="BW266" i="8"/>
  <c r="BV266" i="8"/>
  <c r="BU266" i="8"/>
  <c r="BT266" i="8"/>
  <c r="BS266" i="8"/>
  <c r="BR266" i="8"/>
  <c r="BQ266" i="8"/>
  <c r="BP266" i="8"/>
  <c r="BO266" i="8"/>
  <c r="BN266" i="8"/>
  <c r="BM266" i="8"/>
  <c r="BL266" i="8"/>
  <c r="BK266" i="8"/>
  <c r="BJ266" i="8"/>
  <c r="BI266" i="8"/>
  <c r="BH266" i="8"/>
  <c r="CJ267" i="8"/>
  <c r="CI267" i="8"/>
  <c r="CH267" i="8"/>
  <c r="CG267" i="8"/>
  <c r="CF267" i="8"/>
  <c r="CE267" i="8"/>
  <c r="CD267" i="8"/>
  <c r="CC267" i="8"/>
  <c r="CB267" i="8"/>
  <c r="CA267" i="8"/>
  <c r="BZ267" i="8"/>
  <c r="BY267" i="8"/>
  <c r="BX267" i="8"/>
  <c r="BW267" i="8"/>
  <c r="BV267" i="8"/>
  <c r="BU267" i="8"/>
  <c r="BT267" i="8"/>
  <c r="BS267" i="8"/>
  <c r="BR267" i="8"/>
  <c r="BQ267" i="8"/>
  <c r="BP267" i="8"/>
  <c r="BO267" i="8"/>
  <c r="BN267" i="8"/>
  <c r="BM267" i="8"/>
  <c r="BL267" i="8"/>
  <c r="BK267" i="8"/>
  <c r="BJ267" i="8"/>
  <c r="BI267" i="8"/>
  <c r="BH267" i="8"/>
  <c r="CJ268" i="8"/>
  <c r="CI268" i="8"/>
  <c r="CH268" i="8"/>
  <c r="CG268" i="8"/>
  <c r="CF268" i="8"/>
  <c r="CE268" i="8"/>
  <c r="CD268" i="8"/>
  <c r="CC268" i="8"/>
  <c r="CB268" i="8"/>
  <c r="CA268" i="8"/>
  <c r="BZ268" i="8"/>
  <c r="BY268" i="8"/>
  <c r="BX268" i="8"/>
  <c r="BW268" i="8"/>
  <c r="BV268" i="8"/>
  <c r="BU268" i="8"/>
  <c r="BT268" i="8"/>
  <c r="BS268" i="8"/>
  <c r="BR268" i="8"/>
  <c r="BQ268" i="8"/>
  <c r="BP268" i="8"/>
  <c r="BO268" i="8"/>
  <c r="BN268" i="8"/>
  <c r="BM268" i="8"/>
  <c r="BL268" i="8"/>
  <c r="BK268" i="8"/>
  <c r="BJ268" i="8"/>
  <c r="BI268" i="8"/>
  <c r="BH268" i="8"/>
  <c r="CJ225" i="8"/>
  <c r="CI225" i="8"/>
  <c r="CH225" i="8"/>
  <c r="CG225" i="8"/>
  <c r="CF225" i="8"/>
  <c r="CE225" i="8"/>
  <c r="CD225" i="8"/>
  <c r="CC225" i="8"/>
  <c r="CB225" i="8"/>
  <c r="CA225" i="8"/>
  <c r="BZ225" i="8"/>
  <c r="BY225" i="8"/>
  <c r="BX225" i="8"/>
  <c r="BW225" i="8"/>
  <c r="BV225" i="8"/>
  <c r="BU225" i="8"/>
  <c r="BT225" i="8"/>
  <c r="BS225" i="8"/>
  <c r="BR225" i="8"/>
  <c r="BQ225" i="8"/>
  <c r="BP225" i="8"/>
  <c r="BO225" i="8"/>
  <c r="BN225" i="8"/>
  <c r="BM225" i="8"/>
  <c r="BL225" i="8"/>
  <c r="BK225" i="8"/>
  <c r="BJ225" i="8"/>
  <c r="BI225" i="8"/>
  <c r="BH225" i="8"/>
  <c r="CJ221" i="8"/>
  <c r="CI221" i="8"/>
  <c r="CH221" i="8"/>
  <c r="CG221" i="8"/>
  <c r="CF221" i="8"/>
  <c r="CE221" i="8"/>
  <c r="CD221" i="8"/>
  <c r="CC221" i="8"/>
  <c r="CB221" i="8"/>
  <c r="CA221" i="8"/>
  <c r="BZ221" i="8"/>
  <c r="BY221" i="8"/>
  <c r="BX221" i="8"/>
  <c r="BW221" i="8"/>
  <c r="BV221" i="8"/>
  <c r="BU221" i="8"/>
  <c r="BT221" i="8"/>
  <c r="BS221" i="8"/>
  <c r="BR221" i="8"/>
  <c r="BQ221" i="8"/>
  <c r="BP221" i="8"/>
  <c r="BO221" i="8"/>
  <c r="BN221" i="8"/>
  <c r="BM221" i="8"/>
  <c r="BL221" i="8"/>
  <c r="BK221" i="8"/>
  <c r="BJ221" i="8"/>
  <c r="BI221" i="8"/>
  <c r="BH221" i="8"/>
  <c r="CJ217" i="8"/>
  <c r="CI217" i="8"/>
  <c r="CH217" i="8"/>
  <c r="CG217" i="8"/>
  <c r="CF217" i="8"/>
  <c r="CE217" i="8"/>
  <c r="CD217" i="8"/>
  <c r="CC217" i="8"/>
  <c r="CB217" i="8"/>
  <c r="CA217" i="8"/>
  <c r="BZ217" i="8"/>
  <c r="BY217" i="8"/>
  <c r="BX217" i="8"/>
  <c r="BW217" i="8"/>
  <c r="BV217" i="8"/>
  <c r="BU217" i="8"/>
  <c r="BT217" i="8"/>
  <c r="BS217" i="8"/>
  <c r="BR217" i="8"/>
  <c r="BQ217" i="8"/>
  <c r="BP217" i="8"/>
  <c r="BO217" i="8"/>
  <c r="BN217" i="8"/>
  <c r="BM217" i="8"/>
  <c r="BL217" i="8"/>
  <c r="BK217" i="8"/>
  <c r="BJ217" i="8"/>
  <c r="BI217" i="8"/>
  <c r="BH217" i="8"/>
  <c r="CJ213" i="8"/>
  <c r="CI213" i="8"/>
  <c r="CH213" i="8"/>
  <c r="CG213" i="8"/>
  <c r="CF213" i="8"/>
  <c r="CE213" i="8"/>
  <c r="CD213" i="8"/>
  <c r="CC213" i="8"/>
  <c r="CB213" i="8"/>
  <c r="CA213" i="8"/>
  <c r="BZ213" i="8"/>
  <c r="BY213" i="8"/>
  <c r="BX213" i="8"/>
  <c r="BW213" i="8"/>
  <c r="BV213" i="8"/>
  <c r="BU213" i="8"/>
  <c r="BT213" i="8"/>
  <c r="BS213" i="8"/>
  <c r="BR213" i="8"/>
  <c r="BQ213" i="8"/>
  <c r="BP213" i="8"/>
  <c r="BO213" i="8"/>
  <c r="BN213" i="8"/>
  <c r="BM213" i="8"/>
  <c r="BL213" i="8"/>
  <c r="BK213" i="8"/>
  <c r="BJ213" i="8"/>
  <c r="BI213" i="8"/>
  <c r="BH213" i="8"/>
  <c r="CJ209" i="8"/>
  <c r="CI209" i="8"/>
  <c r="CH209" i="8"/>
  <c r="CG209" i="8"/>
  <c r="CF209" i="8"/>
  <c r="CE209" i="8"/>
  <c r="CD209" i="8"/>
  <c r="CC209" i="8"/>
  <c r="CB209" i="8"/>
  <c r="CA209" i="8"/>
  <c r="BZ209" i="8"/>
  <c r="BY209" i="8"/>
  <c r="BX209" i="8"/>
  <c r="BW209" i="8"/>
  <c r="BV209" i="8"/>
  <c r="BU209" i="8"/>
  <c r="BT209" i="8"/>
  <c r="BS209" i="8"/>
  <c r="BR209" i="8"/>
  <c r="BQ209" i="8"/>
  <c r="BP209" i="8"/>
  <c r="BO209" i="8"/>
  <c r="BN209" i="8"/>
  <c r="BM209" i="8"/>
  <c r="BL209" i="8"/>
  <c r="BK209" i="8"/>
  <c r="BJ209" i="8"/>
  <c r="BI209" i="8"/>
  <c r="BH209" i="8"/>
  <c r="CJ205" i="8"/>
  <c r="CI205" i="8"/>
  <c r="CH205" i="8"/>
  <c r="CG205" i="8"/>
  <c r="CF205" i="8"/>
  <c r="CE205" i="8"/>
  <c r="CD205" i="8"/>
  <c r="CC205" i="8"/>
  <c r="CB205" i="8"/>
  <c r="CA205" i="8"/>
  <c r="BZ205" i="8"/>
  <c r="BY205" i="8"/>
  <c r="BX205" i="8"/>
  <c r="BW205" i="8"/>
  <c r="BV205" i="8"/>
  <c r="BU205" i="8"/>
  <c r="BT205" i="8"/>
  <c r="BS205" i="8"/>
  <c r="BR205" i="8"/>
  <c r="BQ205" i="8"/>
  <c r="BP205" i="8"/>
  <c r="BO205" i="8"/>
  <c r="BN205" i="8"/>
  <c r="BM205" i="8"/>
  <c r="BL205" i="8"/>
  <c r="BK205" i="8"/>
  <c r="BJ205" i="8"/>
  <c r="BI205" i="8"/>
  <c r="BH205" i="8"/>
  <c r="CJ201" i="8"/>
  <c r="CI201" i="8"/>
  <c r="CH201" i="8"/>
  <c r="CG201" i="8"/>
  <c r="CF201" i="8"/>
  <c r="CE201" i="8"/>
  <c r="CD201" i="8"/>
  <c r="CC201" i="8"/>
  <c r="CB201" i="8"/>
  <c r="CA201" i="8"/>
  <c r="BZ201" i="8"/>
  <c r="BY201" i="8"/>
  <c r="BX201" i="8"/>
  <c r="BW201" i="8"/>
  <c r="BV201" i="8"/>
  <c r="BU201" i="8"/>
  <c r="BT201" i="8"/>
  <c r="BS201" i="8"/>
  <c r="BR201" i="8"/>
  <c r="BQ201" i="8"/>
  <c r="BP201" i="8"/>
  <c r="BO201" i="8"/>
  <c r="BN201" i="8"/>
  <c r="BM201" i="8"/>
  <c r="BL201" i="8"/>
  <c r="BK201" i="8"/>
  <c r="BJ201" i="8"/>
  <c r="BI201" i="8"/>
  <c r="BH201" i="8"/>
  <c r="CJ197" i="8"/>
  <c r="CI197" i="8"/>
  <c r="CH197" i="8"/>
  <c r="CG197" i="8"/>
  <c r="CF197" i="8"/>
  <c r="CE197" i="8"/>
  <c r="CD197" i="8"/>
  <c r="CC197" i="8"/>
  <c r="CB197" i="8"/>
  <c r="CA197" i="8"/>
  <c r="BZ197" i="8"/>
  <c r="BY197" i="8"/>
  <c r="BX197" i="8"/>
  <c r="BW197" i="8"/>
  <c r="BV197" i="8"/>
  <c r="BU197" i="8"/>
  <c r="BT197" i="8"/>
  <c r="BS197" i="8"/>
  <c r="BR197" i="8"/>
  <c r="BQ197" i="8"/>
  <c r="BP197" i="8"/>
  <c r="BO197" i="8"/>
  <c r="BN197" i="8"/>
  <c r="BM197" i="8"/>
  <c r="BL197" i="8"/>
  <c r="BK197" i="8"/>
  <c r="BJ197" i="8"/>
  <c r="BI197" i="8"/>
  <c r="BH197" i="8"/>
  <c r="CJ193" i="8"/>
  <c r="CI193" i="8"/>
  <c r="CH193" i="8"/>
  <c r="CG193" i="8"/>
  <c r="CF193" i="8"/>
  <c r="CE193" i="8"/>
  <c r="CD193" i="8"/>
  <c r="CC193" i="8"/>
  <c r="CB193" i="8"/>
  <c r="CA193" i="8"/>
  <c r="BZ193" i="8"/>
  <c r="BY193" i="8"/>
  <c r="BX193" i="8"/>
  <c r="BW193" i="8"/>
  <c r="BV193" i="8"/>
  <c r="BU193" i="8"/>
  <c r="BT193" i="8"/>
  <c r="BS193" i="8"/>
  <c r="BR193" i="8"/>
  <c r="BQ193" i="8"/>
  <c r="BP193" i="8"/>
  <c r="BO193" i="8"/>
  <c r="BN193" i="8"/>
  <c r="BM193" i="8"/>
  <c r="BL193" i="8"/>
  <c r="BK193" i="8"/>
  <c r="BJ193" i="8"/>
  <c r="BI193" i="8"/>
  <c r="BH193" i="8"/>
  <c r="CJ189" i="8"/>
  <c r="CI189" i="8"/>
  <c r="CH189" i="8"/>
  <c r="CG189" i="8"/>
  <c r="CF189" i="8"/>
  <c r="CE189" i="8"/>
  <c r="CD189" i="8"/>
  <c r="CC189" i="8"/>
  <c r="CB189" i="8"/>
  <c r="CA189" i="8"/>
  <c r="BZ189" i="8"/>
  <c r="BY189" i="8"/>
  <c r="BX189" i="8"/>
  <c r="BW189" i="8"/>
  <c r="BV189" i="8"/>
  <c r="BU189" i="8"/>
  <c r="BT189" i="8"/>
  <c r="BS189" i="8"/>
  <c r="BR189" i="8"/>
  <c r="BQ189" i="8"/>
  <c r="BP189" i="8"/>
  <c r="BO189" i="8"/>
  <c r="BN189" i="8"/>
  <c r="BM189" i="8"/>
  <c r="BL189" i="8"/>
  <c r="BK189" i="8"/>
  <c r="BJ189" i="8"/>
  <c r="BI189" i="8"/>
  <c r="BH189" i="8"/>
  <c r="CJ227" i="8"/>
  <c r="CI227" i="8"/>
  <c r="CH227" i="8"/>
  <c r="CG227" i="8"/>
  <c r="CF227" i="8"/>
  <c r="CE227" i="8"/>
  <c r="CD227" i="8"/>
  <c r="CC227" i="8"/>
  <c r="CB227" i="8"/>
  <c r="CA227" i="8"/>
  <c r="BZ227" i="8"/>
  <c r="BY227" i="8"/>
  <c r="BX227" i="8"/>
  <c r="BW227" i="8"/>
  <c r="BV227" i="8"/>
  <c r="BU227" i="8"/>
  <c r="BT227" i="8"/>
  <c r="BS227" i="8"/>
  <c r="BR227" i="8"/>
  <c r="BQ227" i="8"/>
  <c r="BP227" i="8"/>
  <c r="BO227" i="8"/>
  <c r="BN227" i="8"/>
  <c r="BM227" i="8"/>
  <c r="BL227" i="8"/>
  <c r="BK227" i="8"/>
  <c r="BJ227" i="8"/>
  <c r="BI227" i="8"/>
  <c r="BH227" i="8"/>
  <c r="CJ228" i="8"/>
  <c r="CI228" i="8"/>
  <c r="CH228" i="8"/>
  <c r="CG228" i="8"/>
  <c r="CF228" i="8"/>
  <c r="CE228" i="8"/>
  <c r="CD228" i="8"/>
  <c r="CC228" i="8"/>
  <c r="CB228" i="8"/>
  <c r="CA228" i="8"/>
  <c r="BZ228" i="8"/>
  <c r="BY228" i="8"/>
  <c r="BX228" i="8"/>
  <c r="BW228" i="8"/>
  <c r="BV228" i="8"/>
  <c r="BU228" i="8"/>
  <c r="BT228" i="8"/>
  <c r="BS228" i="8"/>
  <c r="BR228" i="8"/>
  <c r="BQ228" i="8"/>
  <c r="BP228" i="8"/>
  <c r="BO228" i="8"/>
  <c r="BN228" i="8"/>
  <c r="BM228" i="8"/>
  <c r="BL228" i="8"/>
  <c r="BK228" i="8"/>
  <c r="BJ228" i="8"/>
  <c r="BI228" i="8"/>
  <c r="BH228" i="8"/>
  <c r="CJ229" i="8"/>
  <c r="CI229" i="8"/>
  <c r="CH229" i="8"/>
  <c r="CG229" i="8"/>
  <c r="CF229" i="8"/>
  <c r="CE229" i="8"/>
  <c r="CD229" i="8"/>
  <c r="CC229" i="8"/>
  <c r="CB229" i="8"/>
  <c r="CA229" i="8"/>
  <c r="BZ229" i="8"/>
  <c r="BY229" i="8"/>
  <c r="BX229" i="8"/>
  <c r="BW229" i="8"/>
  <c r="BV229" i="8"/>
  <c r="BU229" i="8"/>
  <c r="BT229" i="8"/>
  <c r="BS229" i="8"/>
  <c r="BR229" i="8"/>
  <c r="BQ229" i="8"/>
  <c r="BP229" i="8"/>
  <c r="BO229" i="8"/>
  <c r="BN229" i="8"/>
  <c r="BM229" i="8"/>
  <c r="BL229" i="8"/>
  <c r="BK229" i="8"/>
  <c r="BJ229" i="8"/>
  <c r="BI229" i="8"/>
  <c r="BH229" i="8"/>
  <c r="CJ230" i="8"/>
  <c r="CI230" i="8"/>
  <c r="CH230" i="8"/>
  <c r="CG230" i="8"/>
  <c r="CF230" i="8"/>
  <c r="CE230" i="8"/>
  <c r="CD230" i="8"/>
  <c r="CC230" i="8"/>
  <c r="CB230" i="8"/>
  <c r="CA230" i="8"/>
  <c r="BZ230" i="8"/>
  <c r="BY230" i="8"/>
  <c r="BX230" i="8"/>
  <c r="BW230" i="8"/>
  <c r="BV230" i="8"/>
  <c r="BU230" i="8"/>
  <c r="BT230" i="8"/>
  <c r="BS230" i="8"/>
  <c r="BR230" i="8"/>
  <c r="BQ230" i="8"/>
  <c r="BP230" i="8"/>
  <c r="BO230" i="8"/>
  <c r="BN230" i="8"/>
  <c r="BM230" i="8"/>
  <c r="BL230" i="8"/>
  <c r="BK230" i="8"/>
  <c r="BJ230" i="8"/>
  <c r="BI230" i="8"/>
  <c r="BH230" i="8"/>
  <c r="CJ231" i="8"/>
  <c r="CI231" i="8"/>
  <c r="CH231" i="8"/>
  <c r="CG231" i="8"/>
  <c r="CF231" i="8"/>
  <c r="CE231" i="8"/>
  <c r="CD231" i="8"/>
  <c r="CC231" i="8"/>
  <c r="CB231" i="8"/>
  <c r="CA231" i="8"/>
  <c r="BZ231" i="8"/>
  <c r="BY231" i="8"/>
  <c r="BX231" i="8"/>
  <c r="BW231" i="8"/>
  <c r="BV231" i="8"/>
  <c r="BU231" i="8"/>
  <c r="BT231" i="8"/>
  <c r="BS231" i="8"/>
  <c r="BR231" i="8"/>
  <c r="BQ231" i="8"/>
  <c r="BP231" i="8"/>
  <c r="BO231" i="8"/>
  <c r="BN231" i="8"/>
  <c r="BM231" i="8"/>
  <c r="BL231" i="8"/>
  <c r="BK231" i="8"/>
  <c r="BJ231" i="8"/>
  <c r="BI231" i="8"/>
  <c r="BH231" i="8"/>
  <c r="CJ232" i="8"/>
  <c r="CI232" i="8"/>
  <c r="CH232" i="8"/>
  <c r="CG232" i="8"/>
  <c r="CF232" i="8"/>
  <c r="CE232" i="8"/>
  <c r="CD232" i="8"/>
  <c r="CC232" i="8"/>
  <c r="CB232" i="8"/>
  <c r="CA232" i="8"/>
  <c r="BZ232" i="8"/>
  <c r="BY232" i="8"/>
  <c r="BX232" i="8"/>
  <c r="BW232" i="8"/>
  <c r="BV232" i="8"/>
  <c r="BU232" i="8"/>
  <c r="BT232" i="8"/>
  <c r="BS232" i="8"/>
  <c r="BR232" i="8"/>
  <c r="BQ232" i="8"/>
  <c r="BP232" i="8"/>
  <c r="BO232" i="8"/>
  <c r="BN232" i="8"/>
  <c r="BM232" i="8"/>
  <c r="BL232" i="8"/>
  <c r="BK232" i="8"/>
  <c r="BJ232" i="8"/>
  <c r="BI232" i="8"/>
  <c r="BH232" i="8"/>
  <c r="CJ233" i="8"/>
  <c r="CI233" i="8"/>
  <c r="CH233" i="8"/>
  <c r="CG233" i="8"/>
  <c r="CF233" i="8"/>
  <c r="CE233" i="8"/>
  <c r="CD233" i="8"/>
  <c r="CC233" i="8"/>
  <c r="CB233" i="8"/>
  <c r="CA233" i="8"/>
  <c r="BZ233" i="8"/>
  <c r="BY233" i="8"/>
  <c r="BX233" i="8"/>
  <c r="BW233" i="8"/>
  <c r="BV233" i="8"/>
  <c r="BU233" i="8"/>
  <c r="BT233" i="8"/>
  <c r="BS233" i="8"/>
  <c r="BR233" i="8"/>
  <c r="BQ233" i="8"/>
  <c r="BP233" i="8"/>
  <c r="BO233" i="8"/>
  <c r="BN233" i="8"/>
  <c r="BM233" i="8"/>
  <c r="BL233" i="8"/>
  <c r="BK233" i="8"/>
  <c r="BJ233" i="8"/>
  <c r="BI233" i="8"/>
  <c r="BH233" i="8"/>
  <c r="CJ234" i="8"/>
  <c r="CI234" i="8"/>
  <c r="CH234" i="8"/>
  <c r="CG234" i="8"/>
  <c r="CF234" i="8"/>
  <c r="CE234" i="8"/>
  <c r="CD234" i="8"/>
  <c r="CC234" i="8"/>
  <c r="CB234" i="8"/>
  <c r="CA234" i="8"/>
  <c r="BZ234" i="8"/>
  <c r="BY234" i="8"/>
  <c r="BX234" i="8"/>
  <c r="BW234" i="8"/>
  <c r="BV234" i="8"/>
  <c r="BU234" i="8"/>
  <c r="BT234" i="8"/>
  <c r="BS234" i="8"/>
  <c r="BR234" i="8"/>
  <c r="BQ234" i="8"/>
  <c r="BP234" i="8"/>
  <c r="BO234" i="8"/>
  <c r="BN234" i="8"/>
  <c r="BM234" i="8"/>
  <c r="BL234" i="8"/>
  <c r="BK234" i="8"/>
  <c r="BJ234" i="8"/>
  <c r="BI234" i="8"/>
  <c r="BH234" i="8"/>
  <c r="CJ235" i="8"/>
  <c r="CI235" i="8"/>
  <c r="CH235" i="8"/>
  <c r="CG235" i="8"/>
  <c r="CF235" i="8"/>
  <c r="CE235" i="8"/>
  <c r="CD235" i="8"/>
  <c r="CC235" i="8"/>
  <c r="CB235" i="8"/>
  <c r="CA235" i="8"/>
  <c r="BZ235" i="8"/>
  <c r="BY235" i="8"/>
  <c r="BX235" i="8"/>
  <c r="BW235" i="8"/>
  <c r="BV235" i="8"/>
  <c r="BU235" i="8"/>
  <c r="BT235" i="8"/>
  <c r="BS235" i="8"/>
  <c r="BR235" i="8"/>
  <c r="BQ235" i="8"/>
  <c r="BP235" i="8"/>
  <c r="BO235" i="8"/>
  <c r="BN235" i="8"/>
  <c r="BM235" i="8"/>
  <c r="BL235" i="8"/>
  <c r="BK235" i="8"/>
  <c r="BJ235" i="8"/>
  <c r="BI235" i="8"/>
  <c r="BH235" i="8"/>
  <c r="CJ236" i="8"/>
  <c r="CI236" i="8"/>
  <c r="CH236" i="8"/>
  <c r="CG236" i="8"/>
  <c r="CF236" i="8"/>
  <c r="CE236" i="8"/>
  <c r="CD236" i="8"/>
  <c r="CC236" i="8"/>
  <c r="CB236" i="8"/>
  <c r="CA236" i="8"/>
  <c r="BZ236" i="8"/>
  <c r="BY236" i="8"/>
  <c r="BX236" i="8"/>
  <c r="BW236" i="8"/>
  <c r="BV236" i="8"/>
  <c r="BU236" i="8"/>
  <c r="BT236" i="8"/>
  <c r="BS236" i="8"/>
  <c r="BR236" i="8"/>
  <c r="BQ236" i="8"/>
  <c r="BP236" i="8"/>
  <c r="BO236" i="8"/>
  <c r="BN236" i="8"/>
  <c r="BM236" i="8"/>
  <c r="BL236" i="8"/>
  <c r="BK236" i="8"/>
  <c r="BJ236" i="8"/>
  <c r="BI236" i="8"/>
  <c r="BH236" i="8"/>
  <c r="CJ237" i="8"/>
  <c r="CI237" i="8"/>
  <c r="CH237" i="8"/>
  <c r="CG237" i="8"/>
  <c r="CF237" i="8"/>
  <c r="CE237" i="8"/>
  <c r="CD237" i="8"/>
  <c r="CC237" i="8"/>
  <c r="CB237" i="8"/>
  <c r="CA237" i="8"/>
  <c r="BZ237" i="8"/>
  <c r="BY237" i="8"/>
  <c r="BX237" i="8"/>
  <c r="BW237" i="8"/>
  <c r="BV237" i="8"/>
  <c r="BU237" i="8"/>
  <c r="BT237" i="8"/>
  <c r="BS237" i="8"/>
  <c r="BR237" i="8"/>
  <c r="BQ237" i="8"/>
  <c r="BP237" i="8"/>
  <c r="BO237" i="8"/>
  <c r="BN237" i="8"/>
  <c r="BM237" i="8"/>
  <c r="BL237" i="8"/>
  <c r="BK237" i="8"/>
  <c r="BJ237" i="8"/>
  <c r="BI237" i="8"/>
  <c r="BH237" i="8"/>
  <c r="CJ238" i="8"/>
  <c r="CI238" i="8"/>
  <c r="CH238" i="8"/>
  <c r="CG238" i="8"/>
  <c r="CF238" i="8"/>
  <c r="CE238" i="8"/>
  <c r="CD238" i="8"/>
  <c r="CC238" i="8"/>
  <c r="CB238" i="8"/>
  <c r="CA238" i="8"/>
  <c r="BZ238" i="8"/>
  <c r="BY238" i="8"/>
  <c r="BX238" i="8"/>
  <c r="BW238" i="8"/>
  <c r="BV238" i="8"/>
  <c r="BU238" i="8"/>
  <c r="BT238" i="8"/>
  <c r="BS238" i="8"/>
  <c r="BR238" i="8"/>
  <c r="BQ238" i="8"/>
  <c r="BP238" i="8"/>
  <c r="BO238" i="8"/>
  <c r="BN238" i="8"/>
  <c r="BM238" i="8"/>
  <c r="BL238" i="8"/>
  <c r="BK238" i="8"/>
  <c r="BJ238" i="8"/>
  <c r="BI238" i="8"/>
  <c r="BH238" i="8"/>
  <c r="CJ239" i="8"/>
  <c r="CI239" i="8"/>
  <c r="CH239" i="8"/>
  <c r="CG239" i="8"/>
  <c r="CF239" i="8"/>
  <c r="CE239" i="8"/>
  <c r="CD239" i="8"/>
  <c r="CC239" i="8"/>
  <c r="CB239" i="8"/>
  <c r="CA239" i="8"/>
  <c r="BZ239" i="8"/>
  <c r="BY239" i="8"/>
  <c r="BX239" i="8"/>
  <c r="BW239" i="8"/>
  <c r="BV239" i="8"/>
  <c r="BU239" i="8"/>
  <c r="BT239" i="8"/>
  <c r="BS239" i="8"/>
  <c r="BR239" i="8"/>
  <c r="BQ239" i="8"/>
  <c r="BP239" i="8"/>
  <c r="BO239" i="8"/>
  <c r="BN239" i="8"/>
  <c r="BM239" i="8"/>
  <c r="BL239" i="8"/>
  <c r="BK239" i="8"/>
  <c r="BJ239" i="8"/>
  <c r="BI239" i="8"/>
  <c r="BH239" i="8"/>
  <c r="CJ240" i="8"/>
  <c r="CI240" i="8"/>
  <c r="CH240" i="8"/>
  <c r="CG240" i="8"/>
  <c r="CF240" i="8"/>
  <c r="CE240" i="8"/>
  <c r="CD240" i="8"/>
  <c r="CC240" i="8"/>
  <c r="CB240" i="8"/>
  <c r="CA240" i="8"/>
  <c r="BZ240" i="8"/>
  <c r="BY240" i="8"/>
  <c r="BX240" i="8"/>
  <c r="BW240" i="8"/>
  <c r="BV240" i="8"/>
  <c r="BU240" i="8"/>
  <c r="BT240" i="8"/>
  <c r="BS240" i="8"/>
  <c r="BR240" i="8"/>
  <c r="BQ240" i="8"/>
  <c r="BP240" i="8"/>
  <c r="BO240" i="8"/>
  <c r="BN240" i="8"/>
  <c r="BM240" i="8"/>
  <c r="BL240" i="8"/>
  <c r="BK240" i="8"/>
  <c r="BJ240" i="8"/>
  <c r="BI240" i="8"/>
  <c r="BH240" i="8"/>
  <c r="CJ241" i="8"/>
  <c r="CI241" i="8"/>
  <c r="CH241" i="8"/>
  <c r="CG241" i="8"/>
  <c r="CF241" i="8"/>
  <c r="CE241" i="8"/>
  <c r="CD241" i="8"/>
  <c r="CC241" i="8"/>
  <c r="CB241" i="8"/>
  <c r="CA241" i="8"/>
  <c r="BZ241" i="8"/>
  <c r="BY241" i="8"/>
  <c r="BX241" i="8"/>
  <c r="BW241" i="8"/>
  <c r="BV241" i="8"/>
  <c r="BU241" i="8"/>
  <c r="BT241" i="8"/>
  <c r="BS241" i="8"/>
  <c r="BR241" i="8"/>
  <c r="BQ241" i="8"/>
  <c r="BP241" i="8"/>
  <c r="BO241" i="8"/>
  <c r="BN241" i="8"/>
  <c r="BM241" i="8"/>
  <c r="BL241" i="8"/>
  <c r="BK241" i="8"/>
  <c r="BJ241" i="8"/>
  <c r="BI241" i="8"/>
  <c r="BH241" i="8"/>
  <c r="CJ242" i="8"/>
  <c r="CI242" i="8"/>
  <c r="CH242" i="8"/>
  <c r="CG242" i="8"/>
  <c r="CF242" i="8"/>
  <c r="CE242" i="8"/>
  <c r="CD242" i="8"/>
  <c r="CC242" i="8"/>
  <c r="CB242" i="8"/>
  <c r="CA242" i="8"/>
  <c r="BZ242" i="8"/>
  <c r="BY242" i="8"/>
  <c r="BX242" i="8"/>
  <c r="BW242" i="8"/>
  <c r="BV242" i="8"/>
  <c r="BU242" i="8"/>
  <c r="BT242" i="8"/>
  <c r="BS242" i="8"/>
  <c r="BR242" i="8"/>
  <c r="BQ242" i="8"/>
  <c r="BP242" i="8"/>
  <c r="BO242" i="8"/>
  <c r="BN242" i="8"/>
  <c r="BM242" i="8"/>
  <c r="BL242" i="8"/>
  <c r="BK242" i="8"/>
  <c r="BJ242" i="8"/>
  <c r="BI242" i="8"/>
  <c r="BH242" i="8"/>
  <c r="CJ243" i="8"/>
  <c r="CI243" i="8"/>
  <c r="CH243" i="8"/>
  <c r="CG243" i="8"/>
  <c r="CF243" i="8"/>
  <c r="CE243" i="8"/>
  <c r="CD243" i="8"/>
  <c r="CC243" i="8"/>
  <c r="CB243" i="8"/>
  <c r="CA243" i="8"/>
  <c r="BZ243" i="8"/>
  <c r="BY243" i="8"/>
  <c r="BX243" i="8"/>
  <c r="BW243" i="8"/>
  <c r="BV243" i="8"/>
  <c r="BU243" i="8"/>
  <c r="BT243" i="8"/>
  <c r="BS243" i="8"/>
  <c r="BR243" i="8"/>
  <c r="BQ243" i="8"/>
  <c r="BP243" i="8"/>
  <c r="BO243" i="8"/>
  <c r="BN243" i="8"/>
  <c r="BM243" i="8"/>
  <c r="BL243" i="8"/>
  <c r="BK243" i="8"/>
  <c r="BJ243" i="8"/>
  <c r="BI243" i="8"/>
  <c r="BH243" i="8"/>
  <c r="CJ244" i="8"/>
  <c r="CI244" i="8"/>
  <c r="CH244" i="8"/>
  <c r="CG244" i="8"/>
  <c r="CF244" i="8"/>
  <c r="CE244" i="8"/>
  <c r="CD244" i="8"/>
  <c r="CC244" i="8"/>
  <c r="CB244" i="8"/>
  <c r="CA244" i="8"/>
  <c r="BZ244" i="8"/>
  <c r="BY244" i="8"/>
  <c r="BX244" i="8"/>
  <c r="BW244" i="8"/>
  <c r="BV244" i="8"/>
  <c r="BU244" i="8"/>
  <c r="BT244" i="8"/>
  <c r="BS244" i="8"/>
  <c r="BR244" i="8"/>
  <c r="BQ244" i="8"/>
  <c r="BP244" i="8"/>
  <c r="BO244" i="8"/>
  <c r="BN244" i="8"/>
  <c r="BM244" i="8"/>
  <c r="BL244" i="8"/>
  <c r="BK244" i="8"/>
  <c r="BJ244" i="8"/>
  <c r="BI244" i="8"/>
  <c r="BH244" i="8"/>
  <c r="CJ245" i="8"/>
  <c r="CI245" i="8"/>
  <c r="CH245" i="8"/>
  <c r="CG245" i="8"/>
  <c r="CF245" i="8"/>
  <c r="CE245" i="8"/>
  <c r="CD245" i="8"/>
  <c r="CC245" i="8"/>
  <c r="CB245" i="8"/>
  <c r="CA245" i="8"/>
  <c r="BZ245" i="8"/>
  <c r="BY245" i="8"/>
  <c r="BX245" i="8"/>
  <c r="BW245" i="8"/>
  <c r="BV245" i="8"/>
  <c r="BU245" i="8"/>
  <c r="BT245" i="8"/>
  <c r="BS245" i="8"/>
  <c r="BR245" i="8"/>
  <c r="BQ245" i="8"/>
  <c r="BP245" i="8"/>
  <c r="BO245" i="8"/>
  <c r="BN245" i="8"/>
  <c r="BM245" i="8"/>
  <c r="BL245" i="8"/>
  <c r="BK245" i="8"/>
  <c r="BJ245" i="8"/>
  <c r="BI245" i="8"/>
  <c r="BH245" i="8"/>
  <c r="CJ246" i="8"/>
  <c r="CI246" i="8"/>
  <c r="CH246" i="8"/>
  <c r="CG246" i="8"/>
  <c r="CF246" i="8"/>
  <c r="CE246" i="8"/>
  <c r="CD246" i="8"/>
  <c r="CC246" i="8"/>
  <c r="CB246" i="8"/>
  <c r="CA246" i="8"/>
  <c r="BZ246" i="8"/>
  <c r="BY246" i="8"/>
  <c r="BX246" i="8"/>
  <c r="BW246" i="8"/>
  <c r="BV246" i="8"/>
  <c r="BU246" i="8"/>
  <c r="BT246" i="8"/>
  <c r="BS246" i="8"/>
  <c r="BR246" i="8"/>
  <c r="BQ246" i="8"/>
  <c r="BP246" i="8"/>
  <c r="BO246" i="8"/>
  <c r="BN246" i="8"/>
  <c r="BM246" i="8"/>
  <c r="BL246" i="8"/>
  <c r="BK246" i="8"/>
  <c r="BJ246" i="8"/>
  <c r="BI246" i="8"/>
  <c r="BH246" i="8"/>
  <c r="CJ247" i="8"/>
  <c r="CI247" i="8"/>
  <c r="CH247" i="8"/>
  <c r="CG247" i="8"/>
  <c r="CF247" i="8"/>
  <c r="CE247" i="8"/>
  <c r="CD247" i="8"/>
  <c r="CC247" i="8"/>
  <c r="CB247" i="8"/>
  <c r="CA247" i="8"/>
  <c r="BZ247" i="8"/>
  <c r="BY247" i="8"/>
  <c r="BX247" i="8"/>
  <c r="BW247" i="8"/>
  <c r="BV247" i="8"/>
  <c r="BU247" i="8"/>
  <c r="BT247" i="8"/>
  <c r="BS247" i="8"/>
  <c r="BR247" i="8"/>
  <c r="BQ247" i="8"/>
  <c r="BP247" i="8"/>
  <c r="BO247" i="8"/>
  <c r="BN247" i="8"/>
  <c r="BM247" i="8"/>
  <c r="BL247" i="8"/>
  <c r="BK247" i="8"/>
  <c r="BJ247" i="8"/>
  <c r="BI247" i="8"/>
  <c r="BH247" i="8"/>
  <c r="CJ248" i="8"/>
  <c r="CI248" i="8"/>
  <c r="CH248" i="8"/>
  <c r="CG248" i="8"/>
  <c r="CF248" i="8"/>
  <c r="CE248" i="8"/>
  <c r="CD248" i="8"/>
  <c r="CC248" i="8"/>
  <c r="CB248" i="8"/>
  <c r="CA248" i="8"/>
  <c r="BZ248" i="8"/>
  <c r="BY248" i="8"/>
  <c r="BX248" i="8"/>
  <c r="BW248" i="8"/>
  <c r="BV248" i="8"/>
  <c r="BU248" i="8"/>
  <c r="BT248" i="8"/>
  <c r="BS248" i="8"/>
  <c r="BR248" i="8"/>
  <c r="BQ248" i="8"/>
  <c r="BP248" i="8"/>
  <c r="BO248" i="8"/>
  <c r="BN248" i="8"/>
  <c r="BM248" i="8"/>
  <c r="BL248" i="8"/>
  <c r="BK248" i="8"/>
  <c r="BJ248" i="8"/>
  <c r="BI248" i="8"/>
  <c r="BH248" i="8"/>
  <c r="CJ249" i="8"/>
  <c r="CI249" i="8"/>
  <c r="CH249" i="8"/>
  <c r="CG249" i="8"/>
  <c r="CF249" i="8"/>
  <c r="CE249" i="8"/>
  <c r="CD249" i="8"/>
  <c r="CC249" i="8"/>
  <c r="CB249" i="8"/>
  <c r="CA249" i="8"/>
  <c r="BZ249" i="8"/>
  <c r="BY249" i="8"/>
  <c r="BX249" i="8"/>
  <c r="BW249" i="8"/>
  <c r="BV249" i="8"/>
  <c r="BU249" i="8"/>
  <c r="BT249" i="8"/>
  <c r="BS249" i="8"/>
  <c r="BR249" i="8"/>
  <c r="BQ249" i="8"/>
  <c r="BP249" i="8"/>
  <c r="BO249" i="8"/>
  <c r="BN249" i="8"/>
  <c r="BM249" i="8"/>
  <c r="BL249" i="8"/>
  <c r="BK249" i="8"/>
  <c r="BJ249" i="8"/>
  <c r="BI249" i="8"/>
  <c r="BH249" i="8"/>
  <c r="CJ250" i="8"/>
  <c r="CI250" i="8"/>
  <c r="CH250" i="8"/>
  <c r="CG250" i="8"/>
  <c r="CF250" i="8"/>
  <c r="CE250" i="8"/>
  <c r="CD250" i="8"/>
  <c r="CC250" i="8"/>
  <c r="CB250" i="8"/>
  <c r="CA250" i="8"/>
  <c r="BZ250" i="8"/>
  <c r="BY250" i="8"/>
  <c r="BX250" i="8"/>
  <c r="BW250" i="8"/>
  <c r="BV250" i="8"/>
  <c r="BU250" i="8"/>
  <c r="BT250" i="8"/>
  <c r="BS250" i="8"/>
  <c r="BR250" i="8"/>
  <c r="BQ250" i="8"/>
  <c r="BP250" i="8"/>
  <c r="BO250" i="8"/>
  <c r="BN250" i="8"/>
  <c r="BM250" i="8"/>
  <c r="BL250" i="8"/>
  <c r="BK250" i="8"/>
  <c r="BJ250" i="8"/>
  <c r="BI250" i="8"/>
  <c r="BH250" i="8"/>
  <c r="CJ251" i="8"/>
  <c r="CI251" i="8"/>
  <c r="CH251" i="8"/>
  <c r="CG251" i="8"/>
  <c r="CF251" i="8"/>
  <c r="CE251" i="8"/>
  <c r="CD251" i="8"/>
  <c r="CC251" i="8"/>
  <c r="CB251" i="8"/>
  <c r="CA251" i="8"/>
  <c r="BZ251" i="8"/>
  <c r="BY251" i="8"/>
  <c r="BX251" i="8"/>
  <c r="BW251" i="8"/>
  <c r="BV251" i="8"/>
  <c r="BU251" i="8"/>
  <c r="BT251" i="8"/>
  <c r="BS251" i="8"/>
  <c r="BR251" i="8"/>
  <c r="BQ251" i="8"/>
  <c r="BP251" i="8"/>
  <c r="BO251" i="8"/>
  <c r="BN251" i="8"/>
  <c r="BM251" i="8"/>
  <c r="BL251" i="8"/>
  <c r="BK251" i="8"/>
  <c r="BJ251" i="8"/>
  <c r="BI251" i="8"/>
  <c r="BH251" i="8"/>
  <c r="CJ252" i="8"/>
  <c r="CI252" i="8"/>
  <c r="CH252" i="8"/>
  <c r="CG252" i="8"/>
  <c r="CF252" i="8"/>
  <c r="CE252" i="8"/>
  <c r="CD252" i="8"/>
  <c r="CC252" i="8"/>
  <c r="CB252" i="8"/>
  <c r="CA252" i="8"/>
  <c r="BZ252" i="8"/>
  <c r="BY252" i="8"/>
  <c r="BX252" i="8"/>
  <c r="BW252" i="8"/>
  <c r="BV252" i="8"/>
  <c r="BU252" i="8"/>
  <c r="BT252" i="8"/>
  <c r="BS252" i="8"/>
  <c r="BR252" i="8"/>
  <c r="BQ252" i="8"/>
  <c r="BP252" i="8"/>
  <c r="BO252" i="8"/>
  <c r="BN252" i="8"/>
  <c r="BM252" i="8"/>
  <c r="BL252" i="8"/>
  <c r="BK252" i="8"/>
  <c r="BJ252" i="8"/>
  <c r="BI252" i="8"/>
  <c r="BH252" i="8"/>
  <c r="CJ253" i="8"/>
  <c r="CI253" i="8"/>
  <c r="CH253" i="8"/>
  <c r="CG253" i="8"/>
  <c r="CF253" i="8"/>
  <c r="CE253" i="8"/>
  <c r="CD253" i="8"/>
  <c r="CC253" i="8"/>
  <c r="CB253" i="8"/>
  <c r="CA253" i="8"/>
  <c r="BZ253" i="8"/>
  <c r="BY253" i="8"/>
  <c r="BX253" i="8"/>
  <c r="BW253" i="8"/>
  <c r="BV253" i="8"/>
  <c r="BU253" i="8"/>
  <c r="BT253" i="8"/>
  <c r="BS253" i="8"/>
  <c r="BR253" i="8"/>
  <c r="BQ253" i="8"/>
  <c r="BP253" i="8"/>
  <c r="BO253" i="8"/>
  <c r="BN253" i="8"/>
  <c r="BM253" i="8"/>
  <c r="BL253" i="8"/>
  <c r="BK253" i="8"/>
  <c r="BJ253" i="8"/>
  <c r="BI253" i="8"/>
  <c r="BH253" i="8"/>
  <c r="CJ254" i="8"/>
  <c r="CI254" i="8"/>
  <c r="CH254" i="8"/>
  <c r="CG254" i="8"/>
  <c r="CF254" i="8"/>
  <c r="CE254" i="8"/>
  <c r="CD254" i="8"/>
  <c r="CC254" i="8"/>
  <c r="CB254" i="8"/>
  <c r="CA254" i="8"/>
  <c r="BZ254" i="8"/>
  <c r="BY254" i="8"/>
  <c r="BX254" i="8"/>
  <c r="BW254" i="8"/>
  <c r="BV254" i="8"/>
  <c r="BU254" i="8"/>
  <c r="BT254" i="8"/>
  <c r="BS254" i="8"/>
  <c r="BR254" i="8"/>
  <c r="BQ254" i="8"/>
  <c r="BP254" i="8"/>
  <c r="BO254" i="8"/>
  <c r="BN254" i="8"/>
  <c r="BM254" i="8"/>
  <c r="BL254" i="8"/>
  <c r="BK254" i="8"/>
  <c r="BJ254" i="8"/>
  <c r="BI254" i="8"/>
  <c r="BH254" i="8"/>
  <c r="CJ255" i="8"/>
  <c r="CI255" i="8"/>
  <c r="CH255" i="8"/>
  <c r="CG255" i="8"/>
  <c r="CF255" i="8"/>
  <c r="CE255" i="8"/>
  <c r="CD255" i="8"/>
  <c r="CC255" i="8"/>
  <c r="CB255" i="8"/>
  <c r="CA255" i="8"/>
  <c r="BZ255" i="8"/>
  <c r="BY255" i="8"/>
  <c r="BX255" i="8"/>
  <c r="BW255" i="8"/>
  <c r="BV255" i="8"/>
  <c r="BU255" i="8"/>
  <c r="BT255" i="8"/>
  <c r="BS255" i="8"/>
  <c r="BR255" i="8"/>
  <c r="BQ255" i="8"/>
  <c r="BP255" i="8"/>
  <c r="BO255" i="8"/>
  <c r="BN255" i="8"/>
  <c r="BM255" i="8"/>
  <c r="BL255" i="8"/>
  <c r="BK255" i="8"/>
  <c r="BJ255" i="8"/>
  <c r="BI255" i="8"/>
  <c r="BH255" i="8"/>
  <c r="CJ256" i="8"/>
  <c r="CI256" i="8"/>
  <c r="CH256" i="8"/>
  <c r="CG256" i="8"/>
  <c r="CF256" i="8"/>
  <c r="CE256" i="8"/>
  <c r="CD256" i="8"/>
  <c r="CC256" i="8"/>
  <c r="CB256" i="8"/>
  <c r="CA256" i="8"/>
  <c r="BZ256" i="8"/>
  <c r="BY256" i="8"/>
  <c r="BX256" i="8"/>
  <c r="BW256" i="8"/>
  <c r="BV256" i="8"/>
  <c r="BU256" i="8"/>
  <c r="BT256" i="8"/>
  <c r="BS256" i="8"/>
  <c r="BR256" i="8"/>
  <c r="BQ256" i="8"/>
  <c r="BP256" i="8"/>
  <c r="BO256" i="8"/>
  <c r="BN256" i="8"/>
  <c r="BM256" i="8"/>
  <c r="BL256" i="8"/>
  <c r="BK256" i="8"/>
  <c r="BJ256" i="8"/>
  <c r="BI256" i="8"/>
  <c r="BH256" i="8"/>
  <c r="CJ877" i="8"/>
  <c r="CI877" i="8"/>
  <c r="CH877" i="8"/>
  <c r="CG877" i="8"/>
  <c r="CF877" i="8"/>
  <c r="CE877" i="8"/>
  <c r="CD877" i="8"/>
  <c r="CC877" i="8"/>
  <c r="CB877" i="8"/>
  <c r="CA877" i="8"/>
  <c r="BZ877" i="8"/>
  <c r="BY877" i="8"/>
  <c r="BX877" i="8"/>
  <c r="BW877" i="8"/>
  <c r="BV877" i="8"/>
  <c r="BU877" i="8"/>
  <c r="BT877" i="8"/>
  <c r="BS877" i="8"/>
  <c r="BR877" i="8"/>
  <c r="BQ877" i="8"/>
  <c r="BP877" i="8"/>
  <c r="BO877" i="8"/>
  <c r="BN877" i="8"/>
  <c r="BM877" i="8"/>
  <c r="BL877" i="8"/>
  <c r="BK877" i="8"/>
  <c r="BJ877" i="8"/>
  <c r="BI877" i="8"/>
  <c r="BH877" i="8"/>
  <c r="CJ876" i="8"/>
  <c r="CI876" i="8"/>
  <c r="CH876" i="8"/>
  <c r="CG876" i="8"/>
  <c r="CF876" i="8"/>
  <c r="CE876" i="8"/>
  <c r="CD876" i="8"/>
  <c r="CC876" i="8"/>
  <c r="CB876" i="8"/>
  <c r="CA876" i="8"/>
  <c r="BZ876" i="8"/>
  <c r="BY876" i="8"/>
  <c r="BX876" i="8"/>
  <c r="BW876" i="8"/>
  <c r="BV876" i="8"/>
  <c r="BU876" i="8"/>
  <c r="BT876" i="8"/>
  <c r="BS876" i="8"/>
  <c r="BR876" i="8"/>
  <c r="BQ876" i="8"/>
  <c r="BP876" i="8"/>
  <c r="BO876" i="8"/>
  <c r="BN876" i="8"/>
  <c r="BM876" i="8"/>
  <c r="BL876" i="8"/>
  <c r="BK876" i="8"/>
  <c r="BJ876" i="8"/>
  <c r="BI876" i="8"/>
  <c r="BH876" i="8"/>
  <c r="CJ875" i="8"/>
  <c r="CI875" i="8"/>
  <c r="CH875" i="8"/>
  <c r="CG875" i="8"/>
  <c r="CF875" i="8"/>
  <c r="CE875" i="8"/>
  <c r="CD875" i="8"/>
  <c r="CC875" i="8"/>
  <c r="CB875" i="8"/>
  <c r="CA875" i="8"/>
  <c r="BZ875" i="8"/>
  <c r="BY875" i="8"/>
  <c r="BX875" i="8"/>
  <c r="BW875" i="8"/>
  <c r="BV875" i="8"/>
  <c r="BU875" i="8"/>
  <c r="BT875" i="8"/>
  <c r="BS875" i="8"/>
  <c r="BR875" i="8"/>
  <c r="BQ875" i="8"/>
  <c r="BP875" i="8"/>
  <c r="BO875" i="8"/>
  <c r="BN875" i="8"/>
  <c r="BM875" i="8"/>
  <c r="BL875" i="8"/>
  <c r="BK875" i="8"/>
  <c r="BJ875" i="8"/>
  <c r="BI875" i="8"/>
  <c r="BH875" i="8"/>
  <c r="CJ874" i="8"/>
  <c r="CI874" i="8"/>
  <c r="CH874" i="8"/>
  <c r="CG874" i="8"/>
  <c r="CF874" i="8"/>
  <c r="CE874" i="8"/>
  <c r="CD874" i="8"/>
  <c r="CC874" i="8"/>
  <c r="CB874" i="8"/>
  <c r="CA874" i="8"/>
  <c r="BZ874" i="8"/>
  <c r="BY874" i="8"/>
  <c r="BX874" i="8"/>
  <c r="BW874" i="8"/>
  <c r="BV874" i="8"/>
  <c r="BU874" i="8"/>
  <c r="BT874" i="8"/>
  <c r="BS874" i="8"/>
  <c r="BR874" i="8"/>
  <c r="BQ874" i="8"/>
  <c r="BP874" i="8"/>
  <c r="BO874" i="8"/>
  <c r="BN874" i="8"/>
  <c r="BM874" i="8"/>
  <c r="BL874" i="8"/>
  <c r="BK874" i="8"/>
  <c r="BJ874" i="8"/>
  <c r="BI874" i="8"/>
  <c r="BH874" i="8"/>
  <c r="CJ873" i="8"/>
  <c r="CI873" i="8"/>
  <c r="CH873" i="8"/>
  <c r="CG873" i="8"/>
  <c r="CF873" i="8"/>
  <c r="CE873" i="8"/>
  <c r="CD873" i="8"/>
  <c r="CC873" i="8"/>
  <c r="CB873" i="8"/>
  <c r="CA873" i="8"/>
  <c r="BZ873" i="8"/>
  <c r="BY873" i="8"/>
  <c r="BX873" i="8"/>
  <c r="BW873" i="8"/>
  <c r="BV873" i="8"/>
  <c r="BU873" i="8"/>
  <c r="BT873" i="8"/>
  <c r="BS873" i="8"/>
  <c r="BR873" i="8"/>
  <c r="BQ873" i="8"/>
  <c r="BP873" i="8"/>
  <c r="BO873" i="8"/>
  <c r="BN873" i="8"/>
  <c r="BM873" i="8"/>
  <c r="BL873" i="8"/>
  <c r="BK873" i="8"/>
  <c r="BJ873" i="8"/>
  <c r="BI873" i="8"/>
  <c r="BH873" i="8"/>
  <c r="CJ872" i="8"/>
  <c r="CI872" i="8"/>
  <c r="CH872" i="8"/>
  <c r="CG872" i="8"/>
  <c r="CF872" i="8"/>
  <c r="CE872" i="8"/>
  <c r="CD872" i="8"/>
  <c r="CC872" i="8"/>
  <c r="CB872" i="8"/>
  <c r="CA872" i="8"/>
  <c r="BZ872" i="8"/>
  <c r="BY872" i="8"/>
  <c r="BX872" i="8"/>
  <c r="BW872" i="8"/>
  <c r="BV872" i="8"/>
  <c r="BU872" i="8"/>
  <c r="BT872" i="8"/>
  <c r="BS872" i="8"/>
  <c r="BR872" i="8"/>
  <c r="BQ872" i="8"/>
  <c r="BP872" i="8"/>
  <c r="BO872" i="8"/>
  <c r="BN872" i="8"/>
  <c r="BM872" i="8"/>
  <c r="BL872" i="8"/>
  <c r="BK872" i="8"/>
  <c r="BJ872" i="8"/>
  <c r="BI872" i="8"/>
  <c r="BH872" i="8"/>
  <c r="CJ871" i="8"/>
  <c r="CI871" i="8"/>
  <c r="CH871" i="8"/>
  <c r="CG871" i="8"/>
  <c r="CF871" i="8"/>
  <c r="CE871" i="8"/>
  <c r="CD871" i="8"/>
  <c r="CC871" i="8"/>
  <c r="CB871" i="8"/>
  <c r="CA871" i="8"/>
  <c r="BZ871" i="8"/>
  <c r="BY871" i="8"/>
  <c r="BX871" i="8"/>
  <c r="BW871" i="8"/>
  <c r="BV871" i="8"/>
  <c r="BU871" i="8"/>
  <c r="BT871" i="8"/>
  <c r="BS871" i="8"/>
  <c r="BR871" i="8"/>
  <c r="BQ871" i="8"/>
  <c r="BP871" i="8"/>
  <c r="BO871" i="8"/>
  <c r="BN871" i="8"/>
  <c r="BM871" i="8"/>
  <c r="BL871" i="8"/>
  <c r="BK871" i="8"/>
  <c r="BJ871" i="8"/>
  <c r="BI871" i="8"/>
  <c r="BH871" i="8"/>
  <c r="CJ870" i="8"/>
  <c r="CI870" i="8"/>
  <c r="CH870" i="8"/>
  <c r="CG870" i="8"/>
  <c r="CF870" i="8"/>
  <c r="CE870" i="8"/>
  <c r="CD870" i="8"/>
  <c r="CC870" i="8"/>
  <c r="CB870" i="8"/>
  <c r="CA870" i="8"/>
  <c r="BZ870" i="8"/>
  <c r="BY870" i="8"/>
  <c r="BX870" i="8"/>
  <c r="BW870" i="8"/>
  <c r="BV870" i="8"/>
  <c r="BU870" i="8"/>
  <c r="BT870" i="8"/>
  <c r="BS870" i="8"/>
  <c r="BR870" i="8"/>
  <c r="BQ870" i="8"/>
  <c r="BP870" i="8"/>
  <c r="BO870" i="8"/>
  <c r="BN870" i="8"/>
  <c r="BM870" i="8"/>
  <c r="BL870" i="8"/>
  <c r="BK870" i="8"/>
  <c r="BJ870" i="8"/>
  <c r="BI870" i="8"/>
  <c r="BH870" i="8"/>
  <c r="CJ865" i="8"/>
  <c r="CI865" i="8"/>
  <c r="CH865" i="8"/>
  <c r="CG865" i="8"/>
  <c r="CF865" i="8"/>
  <c r="CE865" i="8"/>
  <c r="CD865" i="8"/>
  <c r="CC865" i="8"/>
  <c r="CB865" i="8"/>
  <c r="CA865" i="8"/>
  <c r="BZ865" i="8"/>
  <c r="BY865" i="8"/>
  <c r="BX865" i="8"/>
  <c r="BW865" i="8"/>
  <c r="BV865" i="8"/>
  <c r="BU865" i="8"/>
  <c r="BT865" i="8"/>
  <c r="BS865" i="8"/>
  <c r="BR865" i="8"/>
  <c r="BQ865" i="8"/>
  <c r="BP865" i="8"/>
  <c r="BO865" i="8"/>
  <c r="BN865" i="8"/>
  <c r="BM865" i="8"/>
  <c r="BL865" i="8"/>
  <c r="BK865" i="8"/>
  <c r="BJ865" i="8"/>
  <c r="BI865" i="8"/>
  <c r="BH865" i="8"/>
  <c r="CJ864" i="8"/>
  <c r="CI864" i="8"/>
  <c r="CH864" i="8"/>
  <c r="CG864" i="8"/>
  <c r="CF864" i="8"/>
  <c r="CE864" i="8"/>
  <c r="CD864" i="8"/>
  <c r="CC864" i="8"/>
  <c r="CB864" i="8"/>
  <c r="CA864" i="8"/>
  <c r="BZ864" i="8"/>
  <c r="BY864" i="8"/>
  <c r="BX864" i="8"/>
  <c r="BW864" i="8"/>
  <c r="BV864" i="8"/>
  <c r="BU864" i="8"/>
  <c r="BT864" i="8"/>
  <c r="BS864" i="8"/>
  <c r="BR864" i="8"/>
  <c r="BQ864" i="8"/>
  <c r="BP864" i="8"/>
  <c r="BO864" i="8"/>
  <c r="BN864" i="8"/>
  <c r="BM864" i="8"/>
  <c r="BL864" i="8"/>
  <c r="BK864" i="8"/>
  <c r="BJ864" i="8"/>
  <c r="BI864" i="8"/>
  <c r="BH864" i="8"/>
  <c r="CJ863" i="8"/>
  <c r="CI863" i="8"/>
  <c r="CH863" i="8"/>
  <c r="CG863" i="8"/>
  <c r="CF863" i="8"/>
  <c r="CE863" i="8"/>
  <c r="CD863" i="8"/>
  <c r="CC863" i="8"/>
  <c r="CB863" i="8"/>
  <c r="CA863" i="8"/>
  <c r="BZ863" i="8"/>
  <c r="BY863" i="8"/>
  <c r="BX863" i="8"/>
  <c r="BW863" i="8"/>
  <c r="BV863" i="8"/>
  <c r="BU863" i="8"/>
  <c r="BT863" i="8"/>
  <c r="BS863" i="8"/>
  <c r="BR863" i="8"/>
  <c r="BQ863" i="8"/>
  <c r="BP863" i="8"/>
  <c r="BO863" i="8"/>
  <c r="BN863" i="8"/>
  <c r="BM863" i="8"/>
  <c r="BL863" i="8"/>
  <c r="BK863" i="8"/>
  <c r="BJ863" i="8"/>
  <c r="BI863" i="8"/>
  <c r="BH863" i="8"/>
  <c r="CJ862" i="8"/>
  <c r="CI862" i="8"/>
  <c r="CH862" i="8"/>
  <c r="CG862" i="8"/>
  <c r="CF862" i="8"/>
  <c r="CE862" i="8"/>
  <c r="CD862" i="8"/>
  <c r="CC862" i="8"/>
  <c r="CB862" i="8"/>
  <c r="CA862" i="8"/>
  <c r="BZ862" i="8"/>
  <c r="BY862" i="8"/>
  <c r="BX862" i="8"/>
  <c r="BW862" i="8"/>
  <c r="BV862" i="8"/>
  <c r="BU862" i="8"/>
  <c r="BT862" i="8"/>
  <c r="BS862" i="8"/>
  <c r="BR862" i="8"/>
  <c r="BQ862" i="8"/>
  <c r="BP862" i="8"/>
  <c r="BO862" i="8"/>
  <c r="BN862" i="8"/>
  <c r="BM862" i="8"/>
  <c r="BL862" i="8"/>
  <c r="BK862" i="8"/>
  <c r="BJ862" i="8"/>
  <c r="BI862" i="8"/>
  <c r="BH862" i="8"/>
  <c r="CJ861" i="8"/>
  <c r="CI861" i="8"/>
  <c r="CH861" i="8"/>
  <c r="CG861" i="8"/>
  <c r="CF861" i="8"/>
  <c r="CE861" i="8"/>
  <c r="CD861" i="8"/>
  <c r="CC861" i="8"/>
  <c r="CB861" i="8"/>
  <c r="CA861" i="8"/>
  <c r="BZ861" i="8"/>
  <c r="BY861" i="8"/>
  <c r="BX861" i="8"/>
  <c r="BW861" i="8"/>
  <c r="BV861" i="8"/>
  <c r="BU861" i="8"/>
  <c r="BT861" i="8"/>
  <c r="BS861" i="8"/>
  <c r="BR861" i="8"/>
  <c r="BQ861" i="8"/>
  <c r="BP861" i="8"/>
  <c r="BO861" i="8"/>
  <c r="BN861" i="8"/>
  <c r="BM861" i="8"/>
  <c r="BL861" i="8"/>
  <c r="BK861" i="8"/>
  <c r="BJ861" i="8"/>
  <c r="BI861" i="8"/>
  <c r="BH861" i="8"/>
  <c r="CJ860" i="8"/>
  <c r="CI860" i="8"/>
  <c r="CH860" i="8"/>
  <c r="CG860" i="8"/>
  <c r="CF860" i="8"/>
  <c r="CE860" i="8"/>
  <c r="CD860" i="8"/>
  <c r="CC860" i="8"/>
  <c r="CB860" i="8"/>
  <c r="CA860" i="8"/>
  <c r="BZ860" i="8"/>
  <c r="BY860" i="8"/>
  <c r="BX860" i="8"/>
  <c r="BW860" i="8"/>
  <c r="BV860" i="8"/>
  <c r="BU860" i="8"/>
  <c r="BT860" i="8"/>
  <c r="BS860" i="8"/>
  <c r="BR860" i="8"/>
  <c r="BQ860" i="8"/>
  <c r="BP860" i="8"/>
  <c r="BO860" i="8"/>
  <c r="BN860" i="8"/>
  <c r="BM860" i="8"/>
  <c r="BL860" i="8"/>
  <c r="BK860" i="8"/>
  <c r="BJ860" i="8"/>
  <c r="BI860" i="8"/>
  <c r="BH860" i="8"/>
  <c r="CJ859" i="8"/>
  <c r="CI859" i="8"/>
  <c r="CH859" i="8"/>
  <c r="CG859" i="8"/>
  <c r="CF859" i="8"/>
  <c r="CE859" i="8"/>
  <c r="CD859" i="8"/>
  <c r="CC859" i="8"/>
  <c r="CB859" i="8"/>
  <c r="CA859" i="8"/>
  <c r="BZ859" i="8"/>
  <c r="BY859" i="8"/>
  <c r="BX859" i="8"/>
  <c r="BW859" i="8"/>
  <c r="BV859" i="8"/>
  <c r="BU859" i="8"/>
  <c r="BT859" i="8"/>
  <c r="BS859" i="8"/>
  <c r="BR859" i="8"/>
  <c r="BQ859" i="8"/>
  <c r="BP859" i="8"/>
  <c r="BO859" i="8"/>
  <c r="BN859" i="8"/>
  <c r="BM859" i="8"/>
  <c r="BL859" i="8"/>
  <c r="BK859" i="8"/>
  <c r="BJ859" i="8"/>
  <c r="BI859" i="8"/>
  <c r="BH859" i="8"/>
  <c r="CJ858" i="8"/>
  <c r="CI858" i="8"/>
  <c r="CH858" i="8"/>
  <c r="CG858" i="8"/>
  <c r="CF858" i="8"/>
  <c r="CE858" i="8"/>
  <c r="CD858" i="8"/>
  <c r="CC858" i="8"/>
  <c r="CB858" i="8"/>
  <c r="CA858" i="8"/>
  <c r="BZ858" i="8"/>
  <c r="BY858" i="8"/>
  <c r="BX858" i="8"/>
  <c r="BW858" i="8"/>
  <c r="BV858" i="8"/>
  <c r="BU858" i="8"/>
  <c r="BT858" i="8"/>
  <c r="BS858" i="8"/>
  <c r="BR858" i="8"/>
  <c r="BQ858" i="8"/>
  <c r="BP858" i="8"/>
  <c r="BO858" i="8"/>
  <c r="BN858" i="8"/>
  <c r="BM858" i="8"/>
  <c r="BL858" i="8"/>
  <c r="BK858" i="8"/>
  <c r="BJ858" i="8"/>
  <c r="BI858" i="8"/>
  <c r="BH858" i="8"/>
  <c r="CJ853" i="8"/>
  <c r="CI853" i="8"/>
  <c r="CH853" i="8"/>
  <c r="CG853" i="8"/>
  <c r="CF853" i="8"/>
  <c r="CE853" i="8"/>
  <c r="CD853" i="8"/>
  <c r="CC853" i="8"/>
  <c r="CB853" i="8"/>
  <c r="CA853" i="8"/>
  <c r="BZ853" i="8"/>
  <c r="BY853" i="8"/>
  <c r="BX853" i="8"/>
  <c r="BW853" i="8"/>
  <c r="BV853" i="8"/>
  <c r="BU853" i="8"/>
  <c r="BT853" i="8"/>
  <c r="BS853" i="8"/>
  <c r="BR853" i="8"/>
  <c r="BQ853" i="8"/>
  <c r="BP853" i="8"/>
  <c r="BO853" i="8"/>
  <c r="BN853" i="8"/>
  <c r="BM853" i="8"/>
  <c r="BL853" i="8"/>
  <c r="BK853" i="8"/>
  <c r="BJ853" i="8"/>
  <c r="BI853" i="8"/>
  <c r="BH853" i="8"/>
  <c r="CJ852" i="8"/>
  <c r="CI852" i="8"/>
  <c r="CH852" i="8"/>
  <c r="CG852" i="8"/>
  <c r="CF852" i="8"/>
  <c r="CE852" i="8"/>
  <c r="CD852" i="8"/>
  <c r="CC852" i="8"/>
  <c r="CB852" i="8"/>
  <c r="CA852" i="8"/>
  <c r="BZ852" i="8"/>
  <c r="BY852" i="8"/>
  <c r="BX852" i="8"/>
  <c r="BW852" i="8"/>
  <c r="BV852" i="8"/>
  <c r="BU852" i="8"/>
  <c r="BT852" i="8"/>
  <c r="BS852" i="8"/>
  <c r="BR852" i="8"/>
  <c r="BQ852" i="8"/>
  <c r="BP852" i="8"/>
  <c r="BO852" i="8"/>
  <c r="BN852" i="8"/>
  <c r="BM852" i="8"/>
  <c r="BL852" i="8"/>
  <c r="BK852" i="8"/>
  <c r="BJ852" i="8"/>
  <c r="BI852" i="8"/>
  <c r="BH852" i="8"/>
  <c r="CJ851" i="8"/>
  <c r="CI851" i="8"/>
  <c r="CH851" i="8"/>
  <c r="CG851" i="8"/>
  <c r="CF851" i="8"/>
  <c r="CE851" i="8"/>
  <c r="CD851" i="8"/>
  <c r="CC851" i="8"/>
  <c r="CB851" i="8"/>
  <c r="CA851" i="8"/>
  <c r="BZ851" i="8"/>
  <c r="BY851" i="8"/>
  <c r="BX851" i="8"/>
  <c r="BW851" i="8"/>
  <c r="BV851" i="8"/>
  <c r="BU851" i="8"/>
  <c r="BT851" i="8"/>
  <c r="BS851" i="8"/>
  <c r="BR851" i="8"/>
  <c r="BQ851" i="8"/>
  <c r="BP851" i="8"/>
  <c r="BO851" i="8"/>
  <c r="BN851" i="8"/>
  <c r="BM851" i="8"/>
  <c r="BL851" i="8"/>
  <c r="BK851" i="8"/>
  <c r="BJ851" i="8"/>
  <c r="BI851" i="8"/>
  <c r="BH851" i="8"/>
  <c r="CJ850" i="8"/>
  <c r="CI850" i="8"/>
  <c r="CH850" i="8"/>
  <c r="CG850" i="8"/>
  <c r="CF850" i="8"/>
  <c r="CE850" i="8"/>
  <c r="CD850" i="8"/>
  <c r="CC850" i="8"/>
  <c r="CB850" i="8"/>
  <c r="CA850" i="8"/>
  <c r="BZ850" i="8"/>
  <c r="BY850" i="8"/>
  <c r="BX850" i="8"/>
  <c r="BW850" i="8"/>
  <c r="BV850" i="8"/>
  <c r="BU850" i="8"/>
  <c r="BT850" i="8"/>
  <c r="BS850" i="8"/>
  <c r="BR850" i="8"/>
  <c r="BQ850" i="8"/>
  <c r="BP850" i="8"/>
  <c r="BO850" i="8"/>
  <c r="BN850" i="8"/>
  <c r="BM850" i="8"/>
  <c r="BL850" i="8"/>
  <c r="BK850" i="8"/>
  <c r="BJ850" i="8"/>
  <c r="BI850" i="8"/>
  <c r="BH850" i="8"/>
  <c r="CJ849" i="8"/>
  <c r="CI849" i="8"/>
  <c r="CH849" i="8"/>
  <c r="CG849" i="8"/>
  <c r="CF849" i="8"/>
  <c r="CE849" i="8"/>
  <c r="CD849" i="8"/>
  <c r="CC849" i="8"/>
  <c r="CB849" i="8"/>
  <c r="CA849" i="8"/>
  <c r="BZ849" i="8"/>
  <c r="BY849" i="8"/>
  <c r="BX849" i="8"/>
  <c r="BW849" i="8"/>
  <c r="BV849" i="8"/>
  <c r="BU849" i="8"/>
  <c r="BT849" i="8"/>
  <c r="BS849" i="8"/>
  <c r="BR849" i="8"/>
  <c r="BQ849" i="8"/>
  <c r="BP849" i="8"/>
  <c r="BO849" i="8"/>
  <c r="BN849" i="8"/>
  <c r="BM849" i="8"/>
  <c r="BL849" i="8"/>
  <c r="BK849" i="8"/>
  <c r="BJ849" i="8"/>
  <c r="BI849" i="8"/>
  <c r="BH849" i="8"/>
  <c r="CJ848" i="8"/>
  <c r="CI848" i="8"/>
  <c r="CH848" i="8"/>
  <c r="CG848" i="8"/>
  <c r="CF848" i="8"/>
  <c r="CE848" i="8"/>
  <c r="CD848" i="8"/>
  <c r="CC848" i="8"/>
  <c r="CB848" i="8"/>
  <c r="CA848" i="8"/>
  <c r="BZ848" i="8"/>
  <c r="BY848" i="8"/>
  <c r="BX848" i="8"/>
  <c r="BW848" i="8"/>
  <c r="BV848" i="8"/>
  <c r="BU848" i="8"/>
  <c r="BT848" i="8"/>
  <c r="BS848" i="8"/>
  <c r="BR848" i="8"/>
  <c r="BQ848" i="8"/>
  <c r="BP848" i="8"/>
  <c r="BO848" i="8"/>
  <c r="BN848" i="8"/>
  <c r="BM848" i="8"/>
  <c r="BL848" i="8"/>
  <c r="BK848" i="8"/>
  <c r="BJ848" i="8"/>
  <c r="BI848" i="8"/>
  <c r="BH848" i="8"/>
  <c r="CJ847" i="8"/>
  <c r="CI847" i="8"/>
  <c r="CH847" i="8"/>
  <c r="CG847" i="8"/>
  <c r="CF847" i="8"/>
  <c r="CE847" i="8"/>
  <c r="CD847" i="8"/>
  <c r="CC847" i="8"/>
  <c r="CB847" i="8"/>
  <c r="CA847" i="8"/>
  <c r="BZ847" i="8"/>
  <c r="BY847" i="8"/>
  <c r="BX847" i="8"/>
  <c r="BW847" i="8"/>
  <c r="BV847" i="8"/>
  <c r="BU847" i="8"/>
  <c r="BT847" i="8"/>
  <c r="BS847" i="8"/>
  <c r="BR847" i="8"/>
  <c r="BQ847" i="8"/>
  <c r="BP847" i="8"/>
  <c r="BO847" i="8"/>
  <c r="BN847" i="8"/>
  <c r="BM847" i="8"/>
  <c r="BL847" i="8"/>
  <c r="BK847" i="8"/>
  <c r="BJ847" i="8"/>
  <c r="BI847" i="8"/>
  <c r="BH847" i="8"/>
  <c r="CJ846" i="8"/>
  <c r="CI846" i="8"/>
  <c r="CH846" i="8"/>
  <c r="CG846" i="8"/>
  <c r="CF846" i="8"/>
  <c r="CE846" i="8"/>
  <c r="CD846" i="8"/>
  <c r="CC846" i="8"/>
  <c r="CB846" i="8"/>
  <c r="CA846" i="8"/>
  <c r="BZ846" i="8"/>
  <c r="BY846" i="8"/>
  <c r="BX846" i="8"/>
  <c r="BW846" i="8"/>
  <c r="BV846" i="8"/>
  <c r="BU846" i="8"/>
  <c r="BT846" i="8"/>
  <c r="BS846" i="8"/>
  <c r="BR846" i="8"/>
  <c r="BQ846" i="8"/>
  <c r="BP846" i="8"/>
  <c r="BO846" i="8"/>
  <c r="BN846" i="8"/>
  <c r="BM846" i="8"/>
  <c r="BL846" i="8"/>
  <c r="BK846" i="8"/>
  <c r="BJ846" i="8"/>
  <c r="BI846" i="8"/>
  <c r="BH846" i="8"/>
  <c r="CJ841" i="8"/>
  <c r="CI841" i="8"/>
  <c r="CH841" i="8"/>
  <c r="CG841" i="8"/>
  <c r="CF841" i="8"/>
  <c r="CE841" i="8"/>
  <c r="CD841" i="8"/>
  <c r="CC841" i="8"/>
  <c r="CB841" i="8"/>
  <c r="CA841" i="8"/>
  <c r="BZ841" i="8"/>
  <c r="BY841" i="8"/>
  <c r="BX841" i="8"/>
  <c r="BW841" i="8"/>
  <c r="BV841" i="8"/>
  <c r="BU841" i="8"/>
  <c r="BT841" i="8"/>
  <c r="BS841" i="8"/>
  <c r="BR841" i="8"/>
  <c r="BQ841" i="8"/>
  <c r="BP841" i="8"/>
  <c r="BO841" i="8"/>
  <c r="BN841" i="8"/>
  <c r="BM841" i="8"/>
  <c r="BL841" i="8"/>
  <c r="BK841" i="8"/>
  <c r="BJ841" i="8"/>
  <c r="BI841" i="8"/>
  <c r="BH841" i="8"/>
  <c r="CJ840" i="8"/>
  <c r="CI840" i="8"/>
  <c r="CH840" i="8"/>
  <c r="CG840" i="8"/>
  <c r="CF840" i="8"/>
  <c r="CE840" i="8"/>
  <c r="CD840" i="8"/>
  <c r="CC840" i="8"/>
  <c r="CB840" i="8"/>
  <c r="CA840" i="8"/>
  <c r="BZ840" i="8"/>
  <c r="BY840" i="8"/>
  <c r="BX840" i="8"/>
  <c r="BW840" i="8"/>
  <c r="BV840" i="8"/>
  <c r="BU840" i="8"/>
  <c r="BT840" i="8"/>
  <c r="BS840" i="8"/>
  <c r="BR840" i="8"/>
  <c r="BQ840" i="8"/>
  <c r="BP840" i="8"/>
  <c r="BO840" i="8"/>
  <c r="BN840" i="8"/>
  <c r="BM840" i="8"/>
  <c r="BL840" i="8"/>
  <c r="BK840" i="8"/>
  <c r="BJ840" i="8"/>
  <c r="BI840" i="8"/>
  <c r="BH840" i="8"/>
  <c r="CJ839" i="8"/>
  <c r="CI839" i="8"/>
  <c r="CH839" i="8"/>
  <c r="CG839" i="8"/>
  <c r="CF839" i="8"/>
  <c r="CE839" i="8"/>
  <c r="CD839" i="8"/>
  <c r="CC839" i="8"/>
  <c r="CB839" i="8"/>
  <c r="CA839" i="8"/>
  <c r="BZ839" i="8"/>
  <c r="BY839" i="8"/>
  <c r="BX839" i="8"/>
  <c r="BW839" i="8"/>
  <c r="BV839" i="8"/>
  <c r="BU839" i="8"/>
  <c r="BT839" i="8"/>
  <c r="BS839" i="8"/>
  <c r="BR839" i="8"/>
  <c r="BQ839" i="8"/>
  <c r="BP839" i="8"/>
  <c r="BO839" i="8"/>
  <c r="BN839" i="8"/>
  <c r="BM839" i="8"/>
  <c r="BL839" i="8"/>
  <c r="BK839" i="8"/>
  <c r="BJ839" i="8"/>
  <c r="BI839" i="8"/>
  <c r="BH839" i="8"/>
  <c r="CJ838" i="8"/>
  <c r="CI838" i="8"/>
  <c r="CH838" i="8"/>
  <c r="CG838" i="8"/>
  <c r="CF838" i="8"/>
  <c r="CE838" i="8"/>
  <c r="CD838" i="8"/>
  <c r="CC838" i="8"/>
  <c r="CB838" i="8"/>
  <c r="CA838" i="8"/>
  <c r="BZ838" i="8"/>
  <c r="BY838" i="8"/>
  <c r="BX838" i="8"/>
  <c r="BW838" i="8"/>
  <c r="BV838" i="8"/>
  <c r="BU838" i="8"/>
  <c r="BT838" i="8"/>
  <c r="BS838" i="8"/>
  <c r="BR838" i="8"/>
  <c r="BQ838" i="8"/>
  <c r="BP838" i="8"/>
  <c r="BO838" i="8"/>
  <c r="BN838" i="8"/>
  <c r="BM838" i="8"/>
  <c r="BL838" i="8"/>
  <c r="BK838" i="8"/>
  <c r="BJ838" i="8"/>
  <c r="BI838" i="8"/>
  <c r="BH838" i="8"/>
  <c r="CJ837" i="8"/>
  <c r="CI837" i="8"/>
  <c r="CH837" i="8"/>
  <c r="CG837" i="8"/>
  <c r="CF837" i="8"/>
  <c r="CE837" i="8"/>
  <c r="CD837" i="8"/>
  <c r="CC837" i="8"/>
  <c r="CB837" i="8"/>
  <c r="CA837" i="8"/>
  <c r="BZ837" i="8"/>
  <c r="BY837" i="8"/>
  <c r="BX837" i="8"/>
  <c r="BW837" i="8"/>
  <c r="BV837" i="8"/>
  <c r="BU837" i="8"/>
  <c r="BT837" i="8"/>
  <c r="BS837" i="8"/>
  <c r="BR837" i="8"/>
  <c r="BQ837" i="8"/>
  <c r="BP837" i="8"/>
  <c r="BO837" i="8"/>
  <c r="BN837" i="8"/>
  <c r="BM837" i="8"/>
  <c r="BL837" i="8"/>
  <c r="BK837" i="8"/>
  <c r="BJ837" i="8"/>
  <c r="BI837" i="8"/>
  <c r="BH837" i="8"/>
  <c r="CJ836" i="8"/>
  <c r="CI836" i="8"/>
  <c r="CH836" i="8"/>
  <c r="CG836" i="8"/>
  <c r="CF836" i="8"/>
  <c r="CE836" i="8"/>
  <c r="CD836" i="8"/>
  <c r="CC836" i="8"/>
  <c r="CB836" i="8"/>
  <c r="CA836" i="8"/>
  <c r="BZ836" i="8"/>
  <c r="BY836" i="8"/>
  <c r="BX836" i="8"/>
  <c r="BW836" i="8"/>
  <c r="BV836" i="8"/>
  <c r="BU836" i="8"/>
  <c r="BT836" i="8"/>
  <c r="BS836" i="8"/>
  <c r="BR836" i="8"/>
  <c r="BQ836" i="8"/>
  <c r="BP836" i="8"/>
  <c r="BO836" i="8"/>
  <c r="BN836" i="8"/>
  <c r="BM836" i="8"/>
  <c r="BL836" i="8"/>
  <c r="BK836" i="8"/>
  <c r="BJ836" i="8"/>
  <c r="BI836" i="8"/>
  <c r="BH836" i="8"/>
  <c r="CJ835" i="8"/>
  <c r="CI835" i="8"/>
  <c r="CH835" i="8"/>
  <c r="CG835" i="8"/>
  <c r="CF835" i="8"/>
  <c r="CE835" i="8"/>
  <c r="CD835" i="8"/>
  <c r="CC835" i="8"/>
  <c r="CB835" i="8"/>
  <c r="CA835" i="8"/>
  <c r="BZ835" i="8"/>
  <c r="BY835" i="8"/>
  <c r="BX835" i="8"/>
  <c r="BW835" i="8"/>
  <c r="BV835" i="8"/>
  <c r="BU835" i="8"/>
  <c r="BT835" i="8"/>
  <c r="BS835" i="8"/>
  <c r="BR835" i="8"/>
  <c r="BQ835" i="8"/>
  <c r="BP835" i="8"/>
  <c r="BO835" i="8"/>
  <c r="BN835" i="8"/>
  <c r="BM835" i="8"/>
  <c r="BL835" i="8"/>
  <c r="BK835" i="8"/>
  <c r="BJ835" i="8"/>
  <c r="BI835" i="8"/>
  <c r="BH835" i="8"/>
  <c r="CJ834" i="8"/>
  <c r="CI834" i="8"/>
  <c r="CH834" i="8"/>
  <c r="CG834" i="8"/>
  <c r="CF834" i="8"/>
  <c r="CE834" i="8"/>
  <c r="CD834" i="8"/>
  <c r="CC834" i="8"/>
  <c r="CB834" i="8"/>
  <c r="CA834" i="8"/>
  <c r="BZ834" i="8"/>
  <c r="BY834" i="8"/>
  <c r="BX834" i="8"/>
  <c r="BW834" i="8"/>
  <c r="BV834" i="8"/>
  <c r="BU834" i="8"/>
  <c r="BT834" i="8"/>
  <c r="BS834" i="8"/>
  <c r="BR834" i="8"/>
  <c r="BQ834" i="8"/>
  <c r="BP834" i="8"/>
  <c r="BO834" i="8"/>
  <c r="BN834" i="8"/>
  <c r="BM834" i="8"/>
  <c r="BL834" i="8"/>
  <c r="BK834" i="8"/>
  <c r="BJ834" i="8"/>
  <c r="BI834" i="8"/>
  <c r="BH834" i="8"/>
  <c r="CJ825" i="8"/>
  <c r="CI825" i="8"/>
  <c r="CH825" i="8"/>
  <c r="CG825" i="8"/>
  <c r="CF825" i="8"/>
  <c r="CE825" i="8"/>
  <c r="CD825" i="8"/>
  <c r="CC825" i="8"/>
  <c r="CB825" i="8"/>
  <c r="CA825" i="8"/>
  <c r="BZ825" i="8"/>
  <c r="BY825" i="8"/>
  <c r="BX825" i="8"/>
  <c r="BW825" i="8"/>
  <c r="BV825" i="8"/>
  <c r="BU825" i="8"/>
  <c r="BT825" i="8"/>
  <c r="BS825" i="8"/>
  <c r="BR825" i="8"/>
  <c r="BQ825" i="8"/>
  <c r="BP825" i="8"/>
  <c r="BO825" i="8"/>
  <c r="BN825" i="8"/>
  <c r="BM825" i="8"/>
  <c r="BL825" i="8"/>
  <c r="BK825" i="8"/>
  <c r="BJ825" i="8"/>
  <c r="BI825" i="8"/>
  <c r="BH825" i="8"/>
  <c r="CJ824" i="8"/>
  <c r="CI824" i="8"/>
  <c r="CH824" i="8"/>
  <c r="CG824" i="8"/>
  <c r="CF824" i="8"/>
  <c r="CE824" i="8"/>
  <c r="CD824" i="8"/>
  <c r="CC824" i="8"/>
  <c r="CB824" i="8"/>
  <c r="CA824" i="8"/>
  <c r="BZ824" i="8"/>
  <c r="BY824" i="8"/>
  <c r="BX824" i="8"/>
  <c r="BW824" i="8"/>
  <c r="BV824" i="8"/>
  <c r="BU824" i="8"/>
  <c r="BT824" i="8"/>
  <c r="BS824" i="8"/>
  <c r="BR824" i="8"/>
  <c r="BQ824" i="8"/>
  <c r="BP824" i="8"/>
  <c r="BO824" i="8"/>
  <c r="BN824" i="8"/>
  <c r="BM824" i="8"/>
  <c r="BL824" i="8"/>
  <c r="BK824" i="8"/>
  <c r="BJ824" i="8"/>
  <c r="BI824" i="8"/>
  <c r="BH824" i="8"/>
  <c r="CJ823" i="8"/>
  <c r="CI823" i="8"/>
  <c r="CH823" i="8"/>
  <c r="CG823" i="8"/>
  <c r="CF823" i="8"/>
  <c r="CE823" i="8"/>
  <c r="CD823" i="8"/>
  <c r="CC823" i="8"/>
  <c r="CB823" i="8"/>
  <c r="CA823" i="8"/>
  <c r="BZ823" i="8"/>
  <c r="BY823" i="8"/>
  <c r="BX823" i="8"/>
  <c r="BW823" i="8"/>
  <c r="BV823" i="8"/>
  <c r="BU823" i="8"/>
  <c r="BT823" i="8"/>
  <c r="BS823" i="8"/>
  <c r="BR823" i="8"/>
  <c r="BQ823" i="8"/>
  <c r="BP823" i="8"/>
  <c r="BO823" i="8"/>
  <c r="BN823" i="8"/>
  <c r="BM823" i="8"/>
  <c r="BL823" i="8"/>
  <c r="BK823" i="8"/>
  <c r="BJ823" i="8"/>
  <c r="BI823" i="8"/>
  <c r="BH823" i="8"/>
  <c r="CJ822" i="8"/>
  <c r="CI822" i="8"/>
  <c r="CH822" i="8"/>
  <c r="CG822" i="8"/>
  <c r="CF822" i="8"/>
  <c r="CE822" i="8"/>
  <c r="CD822" i="8"/>
  <c r="CC822" i="8"/>
  <c r="CB822" i="8"/>
  <c r="CA822" i="8"/>
  <c r="BZ822" i="8"/>
  <c r="BY822" i="8"/>
  <c r="BX822" i="8"/>
  <c r="BW822" i="8"/>
  <c r="BV822" i="8"/>
  <c r="BU822" i="8"/>
  <c r="BT822" i="8"/>
  <c r="BS822" i="8"/>
  <c r="BR822" i="8"/>
  <c r="BQ822" i="8"/>
  <c r="BP822" i="8"/>
  <c r="BO822" i="8"/>
  <c r="BN822" i="8"/>
  <c r="BM822" i="8"/>
  <c r="BL822" i="8"/>
  <c r="BK822" i="8"/>
  <c r="BJ822" i="8"/>
  <c r="BI822" i="8"/>
  <c r="BH822" i="8"/>
  <c r="CJ821" i="8"/>
  <c r="CI821" i="8"/>
  <c r="CH821" i="8"/>
  <c r="CG821" i="8"/>
  <c r="CF821" i="8"/>
  <c r="CE821" i="8"/>
  <c r="CD821" i="8"/>
  <c r="CC821" i="8"/>
  <c r="CB821" i="8"/>
  <c r="CA821" i="8"/>
  <c r="BZ821" i="8"/>
  <c r="BY821" i="8"/>
  <c r="BX821" i="8"/>
  <c r="BW821" i="8"/>
  <c r="BV821" i="8"/>
  <c r="BU821" i="8"/>
  <c r="BT821" i="8"/>
  <c r="BS821" i="8"/>
  <c r="BR821" i="8"/>
  <c r="BQ821" i="8"/>
  <c r="BP821" i="8"/>
  <c r="BO821" i="8"/>
  <c r="BN821" i="8"/>
  <c r="BM821" i="8"/>
  <c r="BL821" i="8"/>
  <c r="BK821" i="8"/>
  <c r="BJ821" i="8"/>
  <c r="BI821" i="8"/>
  <c r="BH821" i="8"/>
  <c r="CJ820" i="8"/>
  <c r="CI820" i="8"/>
  <c r="CH820" i="8"/>
  <c r="CG820" i="8"/>
  <c r="CF820" i="8"/>
  <c r="CE820" i="8"/>
  <c r="CD820" i="8"/>
  <c r="CC820" i="8"/>
  <c r="CB820" i="8"/>
  <c r="CA820" i="8"/>
  <c r="BZ820" i="8"/>
  <c r="BY820" i="8"/>
  <c r="BX820" i="8"/>
  <c r="BW820" i="8"/>
  <c r="BV820" i="8"/>
  <c r="BU820" i="8"/>
  <c r="BT820" i="8"/>
  <c r="BS820" i="8"/>
  <c r="BR820" i="8"/>
  <c r="BQ820" i="8"/>
  <c r="BP820" i="8"/>
  <c r="BO820" i="8"/>
  <c r="BN820" i="8"/>
  <c r="BM820" i="8"/>
  <c r="BL820" i="8"/>
  <c r="BK820" i="8"/>
  <c r="BJ820" i="8"/>
  <c r="BI820" i="8"/>
  <c r="BH820" i="8"/>
  <c r="CJ819" i="8"/>
  <c r="CI819" i="8"/>
  <c r="CH819" i="8"/>
  <c r="CG819" i="8"/>
  <c r="CF819" i="8"/>
  <c r="CE819" i="8"/>
  <c r="CD819" i="8"/>
  <c r="CC819" i="8"/>
  <c r="CB819" i="8"/>
  <c r="CA819" i="8"/>
  <c r="BZ819" i="8"/>
  <c r="BY819" i="8"/>
  <c r="BX819" i="8"/>
  <c r="BW819" i="8"/>
  <c r="BV819" i="8"/>
  <c r="BU819" i="8"/>
  <c r="BT819" i="8"/>
  <c r="BS819" i="8"/>
  <c r="BR819" i="8"/>
  <c r="BQ819" i="8"/>
  <c r="BP819" i="8"/>
  <c r="BO819" i="8"/>
  <c r="BN819" i="8"/>
  <c r="BM819" i="8"/>
  <c r="BL819" i="8"/>
  <c r="BK819" i="8"/>
  <c r="BJ819" i="8"/>
  <c r="BI819" i="8"/>
  <c r="BH819" i="8"/>
  <c r="CJ818" i="8"/>
  <c r="CI818" i="8"/>
  <c r="CH818" i="8"/>
  <c r="CG818" i="8"/>
  <c r="CF818" i="8"/>
  <c r="CE818" i="8"/>
  <c r="CD818" i="8"/>
  <c r="CC818" i="8"/>
  <c r="CB818" i="8"/>
  <c r="CA818" i="8"/>
  <c r="BZ818" i="8"/>
  <c r="BY818" i="8"/>
  <c r="BX818" i="8"/>
  <c r="BW818" i="8"/>
  <c r="BV818" i="8"/>
  <c r="BU818" i="8"/>
  <c r="BT818" i="8"/>
  <c r="BS818" i="8"/>
  <c r="BR818" i="8"/>
  <c r="BQ818" i="8"/>
  <c r="BP818" i="8"/>
  <c r="BO818" i="8"/>
  <c r="BN818" i="8"/>
  <c r="BM818" i="8"/>
  <c r="BL818" i="8"/>
  <c r="BK818" i="8"/>
  <c r="BJ818" i="8"/>
  <c r="BI818" i="8"/>
  <c r="BH818" i="8"/>
  <c r="CJ817" i="8"/>
  <c r="CI817" i="8"/>
  <c r="CH817" i="8"/>
  <c r="CG817" i="8"/>
  <c r="CF817" i="8"/>
  <c r="CE817" i="8"/>
  <c r="CD817" i="8"/>
  <c r="CC817" i="8"/>
  <c r="CB817" i="8"/>
  <c r="CA817" i="8"/>
  <c r="BZ817" i="8"/>
  <c r="BY817" i="8"/>
  <c r="BX817" i="8"/>
  <c r="BW817" i="8"/>
  <c r="BV817" i="8"/>
  <c r="BU817" i="8"/>
  <c r="BT817" i="8"/>
  <c r="BS817" i="8"/>
  <c r="BR817" i="8"/>
  <c r="BQ817" i="8"/>
  <c r="BP817" i="8"/>
  <c r="BO817" i="8"/>
  <c r="BN817" i="8"/>
  <c r="BM817" i="8"/>
  <c r="BL817" i="8"/>
  <c r="BK817" i="8"/>
  <c r="BJ817" i="8"/>
  <c r="BI817" i="8"/>
  <c r="BH817" i="8"/>
  <c r="CJ816" i="8"/>
  <c r="CI816" i="8"/>
  <c r="CH816" i="8"/>
  <c r="CG816" i="8"/>
  <c r="CF816" i="8"/>
  <c r="CE816" i="8"/>
  <c r="CD816" i="8"/>
  <c r="CC816" i="8"/>
  <c r="CB816" i="8"/>
  <c r="CA816" i="8"/>
  <c r="BZ816" i="8"/>
  <c r="BY816" i="8"/>
  <c r="BX816" i="8"/>
  <c r="BW816" i="8"/>
  <c r="BV816" i="8"/>
  <c r="BU816" i="8"/>
  <c r="BT816" i="8"/>
  <c r="BS816" i="8"/>
  <c r="BR816" i="8"/>
  <c r="BQ816" i="8"/>
  <c r="BP816" i="8"/>
  <c r="BO816" i="8"/>
  <c r="BN816" i="8"/>
  <c r="BM816" i="8"/>
  <c r="BL816" i="8"/>
  <c r="BK816" i="8"/>
  <c r="BJ816" i="8"/>
  <c r="BI816" i="8"/>
  <c r="BH816" i="8"/>
  <c r="CJ815" i="8"/>
  <c r="CI815" i="8"/>
  <c r="CH815" i="8"/>
  <c r="CG815" i="8"/>
  <c r="CF815" i="8"/>
  <c r="CE815" i="8"/>
  <c r="CD815" i="8"/>
  <c r="CC815" i="8"/>
  <c r="CB815" i="8"/>
  <c r="CA815" i="8"/>
  <c r="BZ815" i="8"/>
  <c r="BY815" i="8"/>
  <c r="BX815" i="8"/>
  <c r="BW815" i="8"/>
  <c r="BV815" i="8"/>
  <c r="BU815" i="8"/>
  <c r="BT815" i="8"/>
  <c r="BS815" i="8"/>
  <c r="BR815" i="8"/>
  <c r="BQ815" i="8"/>
  <c r="BP815" i="8"/>
  <c r="BO815" i="8"/>
  <c r="BN815" i="8"/>
  <c r="BM815" i="8"/>
  <c r="BL815" i="8"/>
  <c r="BK815" i="8"/>
  <c r="BJ815" i="8"/>
  <c r="BI815" i="8"/>
  <c r="BH815" i="8"/>
  <c r="CJ814" i="8"/>
  <c r="CI814" i="8"/>
  <c r="CH814" i="8"/>
  <c r="CG814" i="8"/>
  <c r="CF814" i="8"/>
  <c r="CE814" i="8"/>
  <c r="CD814" i="8"/>
  <c r="CC814" i="8"/>
  <c r="CB814" i="8"/>
  <c r="CA814" i="8"/>
  <c r="BZ814" i="8"/>
  <c r="BY814" i="8"/>
  <c r="BX814" i="8"/>
  <c r="BW814" i="8"/>
  <c r="BV814" i="8"/>
  <c r="BU814" i="8"/>
  <c r="BT814" i="8"/>
  <c r="BS814" i="8"/>
  <c r="BR814" i="8"/>
  <c r="BQ814" i="8"/>
  <c r="BP814" i="8"/>
  <c r="BO814" i="8"/>
  <c r="BN814" i="8"/>
  <c r="BM814" i="8"/>
  <c r="BL814" i="8"/>
  <c r="BK814" i="8"/>
  <c r="BJ814" i="8"/>
  <c r="BI814" i="8"/>
  <c r="BH814" i="8"/>
  <c r="CJ813" i="8"/>
  <c r="CI813" i="8"/>
  <c r="CH813" i="8"/>
  <c r="CG813" i="8"/>
  <c r="CF813" i="8"/>
  <c r="CE813" i="8"/>
  <c r="CD813" i="8"/>
  <c r="CC813" i="8"/>
  <c r="CB813" i="8"/>
  <c r="CA813" i="8"/>
  <c r="BZ813" i="8"/>
  <c r="BY813" i="8"/>
  <c r="BX813" i="8"/>
  <c r="BW813" i="8"/>
  <c r="BV813" i="8"/>
  <c r="BU813" i="8"/>
  <c r="BT813" i="8"/>
  <c r="BS813" i="8"/>
  <c r="BR813" i="8"/>
  <c r="BQ813" i="8"/>
  <c r="BP813" i="8"/>
  <c r="BO813" i="8"/>
  <c r="BN813" i="8"/>
  <c r="BM813" i="8"/>
  <c r="BL813" i="8"/>
  <c r="BK813" i="8"/>
  <c r="BJ813" i="8"/>
  <c r="BI813" i="8"/>
  <c r="BH813" i="8"/>
  <c r="CJ812" i="8"/>
  <c r="CI812" i="8"/>
  <c r="CH812" i="8"/>
  <c r="CG812" i="8"/>
  <c r="CF812" i="8"/>
  <c r="CE812" i="8"/>
  <c r="CD812" i="8"/>
  <c r="CC812" i="8"/>
  <c r="CB812" i="8"/>
  <c r="CA812" i="8"/>
  <c r="BZ812" i="8"/>
  <c r="BY812" i="8"/>
  <c r="BX812" i="8"/>
  <c r="BW812" i="8"/>
  <c r="BV812" i="8"/>
  <c r="BU812" i="8"/>
  <c r="BT812" i="8"/>
  <c r="BS812" i="8"/>
  <c r="BR812" i="8"/>
  <c r="BQ812" i="8"/>
  <c r="BP812" i="8"/>
  <c r="BO812" i="8"/>
  <c r="BN812" i="8"/>
  <c r="BM812" i="8"/>
  <c r="BL812" i="8"/>
  <c r="BK812" i="8"/>
  <c r="BJ812" i="8"/>
  <c r="BI812" i="8"/>
  <c r="BH812" i="8"/>
  <c r="CJ811" i="8"/>
  <c r="CI811" i="8"/>
  <c r="CH811" i="8"/>
  <c r="CG811" i="8"/>
  <c r="CF811" i="8"/>
  <c r="CE811" i="8"/>
  <c r="CD811" i="8"/>
  <c r="CC811" i="8"/>
  <c r="CB811" i="8"/>
  <c r="CA811" i="8"/>
  <c r="BZ811" i="8"/>
  <c r="BY811" i="8"/>
  <c r="BX811" i="8"/>
  <c r="BW811" i="8"/>
  <c r="BV811" i="8"/>
  <c r="BU811" i="8"/>
  <c r="BT811" i="8"/>
  <c r="BS811" i="8"/>
  <c r="BR811" i="8"/>
  <c r="BQ811" i="8"/>
  <c r="BP811" i="8"/>
  <c r="BO811" i="8"/>
  <c r="BN811" i="8"/>
  <c r="BM811" i="8"/>
  <c r="BL811" i="8"/>
  <c r="BK811" i="8"/>
  <c r="BJ811" i="8"/>
  <c r="BI811" i="8"/>
  <c r="BH811" i="8"/>
  <c r="CJ810" i="8"/>
  <c r="CI810" i="8"/>
  <c r="CH810" i="8"/>
  <c r="CG810" i="8"/>
  <c r="CF810" i="8"/>
  <c r="CE810" i="8"/>
  <c r="CD810" i="8"/>
  <c r="CC810" i="8"/>
  <c r="CB810" i="8"/>
  <c r="CA810" i="8"/>
  <c r="BZ810" i="8"/>
  <c r="BY810" i="8"/>
  <c r="BX810" i="8"/>
  <c r="BW810" i="8"/>
  <c r="BV810" i="8"/>
  <c r="BU810" i="8"/>
  <c r="BT810" i="8"/>
  <c r="BS810" i="8"/>
  <c r="BR810" i="8"/>
  <c r="BQ810" i="8"/>
  <c r="BP810" i="8"/>
  <c r="BO810" i="8"/>
  <c r="BN810" i="8"/>
  <c r="BM810" i="8"/>
  <c r="BL810" i="8"/>
  <c r="BK810" i="8"/>
  <c r="BJ810" i="8"/>
  <c r="BI810" i="8"/>
  <c r="BH810" i="8"/>
  <c r="CJ801" i="8"/>
  <c r="CI801" i="8"/>
  <c r="CH801" i="8"/>
  <c r="CG801" i="8"/>
  <c r="CF801" i="8"/>
  <c r="CE801" i="8"/>
  <c r="CD801" i="8"/>
  <c r="CC801" i="8"/>
  <c r="CB801" i="8"/>
  <c r="CA801" i="8"/>
  <c r="BZ801" i="8"/>
  <c r="BY801" i="8"/>
  <c r="BX801" i="8"/>
  <c r="BW801" i="8"/>
  <c r="BV801" i="8"/>
  <c r="BU801" i="8"/>
  <c r="BT801" i="8"/>
  <c r="BS801" i="8"/>
  <c r="BR801" i="8"/>
  <c r="BQ801" i="8"/>
  <c r="BP801" i="8"/>
  <c r="BO801" i="8"/>
  <c r="BN801" i="8"/>
  <c r="BM801" i="8"/>
  <c r="BL801" i="8"/>
  <c r="BK801" i="8"/>
  <c r="BJ801" i="8"/>
  <c r="BI801" i="8"/>
  <c r="BH801" i="8"/>
  <c r="CJ800" i="8"/>
  <c r="CI800" i="8"/>
  <c r="CH800" i="8"/>
  <c r="CG800" i="8"/>
  <c r="CF800" i="8"/>
  <c r="CE800" i="8"/>
  <c r="CD800" i="8"/>
  <c r="CC800" i="8"/>
  <c r="CB800" i="8"/>
  <c r="CA800" i="8"/>
  <c r="BZ800" i="8"/>
  <c r="BY800" i="8"/>
  <c r="BX800" i="8"/>
  <c r="BW800" i="8"/>
  <c r="BV800" i="8"/>
  <c r="BU800" i="8"/>
  <c r="BT800" i="8"/>
  <c r="BS800" i="8"/>
  <c r="BR800" i="8"/>
  <c r="BQ800" i="8"/>
  <c r="BP800" i="8"/>
  <c r="BO800" i="8"/>
  <c r="BN800" i="8"/>
  <c r="BM800" i="8"/>
  <c r="BL800" i="8"/>
  <c r="BK800" i="8"/>
  <c r="BJ800" i="8"/>
  <c r="BI800" i="8"/>
  <c r="BH800" i="8"/>
  <c r="CJ799" i="8"/>
  <c r="CI799" i="8"/>
  <c r="CH799" i="8"/>
  <c r="CG799" i="8"/>
  <c r="CF799" i="8"/>
  <c r="CE799" i="8"/>
  <c r="CD799" i="8"/>
  <c r="CC799" i="8"/>
  <c r="CB799" i="8"/>
  <c r="CA799" i="8"/>
  <c r="BZ799" i="8"/>
  <c r="BY799" i="8"/>
  <c r="BX799" i="8"/>
  <c r="BW799" i="8"/>
  <c r="BV799" i="8"/>
  <c r="BU799" i="8"/>
  <c r="BT799" i="8"/>
  <c r="BS799" i="8"/>
  <c r="BR799" i="8"/>
  <c r="BQ799" i="8"/>
  <c r="BP799" i="8"/>
  <c r="BO799" i="8"/>
  <c r="BN799" i="8"/>
  <c r="BM799" i="8"/>
  <c r="BL799" i="8"/>
  <c r="BK799" i="8"/>
  <c r="BJ799" i="8"/>
  <c r="BI799" i="8"/>
  <c r="BH799" i="8"/>
  <c r="CJ798" i="8"/>
  <c r="CI798" i="8"/>
  <c r="CH798" i="8"/>
  <c r="CG798" i="8"/>
  <c r="CF798" i="8"/>
  <c r="CE798" i="8"/>
  <c r="CD798" i="8"/>
  <c r="CC798" i="8"/>
  <c r="CB798" i="8"/>
  <c r="CA798" i="8"/>
  <c r="BZ798" i="8"/>
  <c r="BY798" i="8"/>
  <c r="BX798" i="8"/>
  <c r="BW798" i="8"/>
  <c r="BV798" i="8"/>
  <c r="BU798" i="8"/>
  <c r="BT798" i="8"/>
  <c r="BS798" i="8"/>
  <c r="BR798" i="8"/>
  <c r="BQ798" i="8"/>
  <c r="BP798" i="8"/>
  <c r="BO798" i="8"/>
  <c r="BN798" i="8"/>
  <c r="BM798" i="8"/>
  <c r="BL798" i="8"/>
  <c r="BK798" i="8"/>
  <c r="BJ798" i="8"/>
  <c r="BI798" i="8"/>
  <c r="BH798" i="8"/>
  <c r="CJ797" i="8"/>
  <c r="CI797" i="8"/>
  <c r="CH797" i="8"/>
  <c r="CG797" i="8"/>
  <c r="CF797" i="8"/>
  <c r="CE797" i="8"/>
  <c r="CD797" i="8"/>
  <c r="CC797" i="8"/>
  <c r="CB797" i="8"/>
  <c r="CA797" i="8"/>
  <c r="BZ797" i="8"/>
  <c r="BY797" i="8"/>
  <c r="BX797" i="8"/>
  <c r="BW797" i="8"/>
  <c r="BV797" i="8"/>
  <c r="BU797" i="8"/>
  <c r="BT797" i="8"/>
  <c r="BS797" i="8"/>
  <c r="BR797" i="8"/>
  <c r="BQ797" i="8"/>
  <c r="BP797" i="8"/>
  <c r="BO797" i="8"/>
  <c r="BN797" i="8"/>
  <c r="BM797" i="8"/>
  <c r="BL797" i="8"/>
  <c r="BK797" i="8"/>
  <c r="BJ797" i="8"/>
  <c r="BI797" i="8"/>
  <c r="BH797" i="8"/>
  <c r="CJ796" i="8"/>
  <c r="CI796" i="8"/>
  <c r="CH796" i="8"/>
  <c r="CG796" i="8"/>
  <c r="CF796" i="8"/>
  <c r="CE796" i="8"/>
  <c r="CD796" i="8"/>
  <c r="CC796" i="8"/>
  <c r="CB796" i="8"/>
  <c r="CA796" i="8"/>
  <c r="BZ796" i="8"/>
  <c r="BY796" i="8"/>
  <c r="BX796" i="8"/>
  <c r="BW796" i="8"/>
  <c r="BV796" i="8"/>
  <c r="BU796" i="8"/>
  <c r="BT796" i="8"/>
  <c r="BS796" i="8"/>
  <c r="BR796" i="8"/>
  <c r="BQ796" i="8"/>
  <c r="BP796" i="8"/>
  <c r="BO796" i="8"/>
  <c r="BN796" i="8"/>
  <c r="BM796" i="8"/>
  <c r="BL796" i="8"/>
  <c r="BK796" i="8"/>
  <c r="BJ796" i="8"/>
  <c r="BI796" i="8"/>
  <c r="BH796" i="8"/>
  <c r="CJ795" i="8"/>
  <c r="CI795" i="8"/>
  <c r="CH795" i="8"/>
  <c r="CG795" i="8"/>
  <c r="CF795" i="8"/>
  <c r="CE795" i="8"/>
  <c r="CD795" i="8"/>
  <c r="CC795" i="8"/>
  <c r="CB795" i="8"/>
  <c r="CA795" i="8"/>
  <c r="BZ795" i="8"/>
  <c r="BY795" i="8"/>
  <c r="BX795" i="8"/>
  <c r="BW795" i="8"/>
  <c r="BV795" i="8"/>
  <c r="BU795" i="8"/>
  <c r="BT795" i="8"/>
  <c r="BS795" i="8"/>
  <c r="BR795" i="8"/>
  <c r="BQ795" i="8"/>
  <c r="BP795" i="8"/>
  <c r="BO795" i="8"/>
  <c r="BN795" i="8"/>
  <c r="BM795" i="8"/>
  <c r="BL795" i="8"/>
  <c r="BK795" i="8"/>
  <c r="BJ795" i="8"/>
  <c r="BI795" i="8"/>
  <c r="BH795" i="8"/>
  <c r="CJ794" i="8"/>
  <c r="CI794" i="8"/>
  <c r="CH794" i="8"/>
  <c r="CG794" i="8"/>
  <c r="CF794" i="8"/>
  <c r="CE794" i="8"/>
  <c r="CD794" i="8"/>
  <c r="CC794" i="8"/>
  <c r="CB794" i="8"/>
  <c r="CA794" i="8"/>
  <c r="BZ794" i="8"/>
  <c r="BY794" i="8"/>
  <c r="BX794" i="8"/>
  <c r="BW794" i="8"/>
  <c r="BV794" i="8"/>
  <c r="BU794" i="8"/>
  <c r="BT794" i="8"/>
  <c r="BS794" i="8"/>
  <c r="BR794" i="8"/>
  <c r="BQ794" i="8"/>
  <c r="BP794" i="8"/>
  <c r="BO794" i="8"/>
  <c r="BN794" i="8"/>
  <c r="BM794" i="8"/>
  <c r="BL794" i="8"/>
  <c r="BK794" i="8"/>
  <c r="BJ794" i="8"/>
  <c r="BI794" i="8"/>
  <c r="BH794" i="8"/>
  <c r="CJ793" i="8"/>
  <c r="CI793" i="8"/>
  <c r="CH793" i="8"/>
  <c r="CG793" i="8"/>
  <c r="CF793" i="8"/>
  <c r="CE793" i="8"/>
  <c r="CD793" i="8"/>
  <c r="CC793" i="8"/>
  <c r="CB793" i="8"/>
  <c r="CA793" i="8"/>
  <c r="BZ793" i="8"/>
  <c r="BY793" i="8"/>
  <c r="BX793" i="8"/>
  <c r="BW793" i="8"/>
  <c r="BV793" i="8"/>
  <c r="BU793" i="8"/>
  <c r="BT793" i="8"/>
  <c r="BS793" i="8"/>
  <c r="BR793" i="8"/>
  <c r="BQ793" i="8"/>
  <c r="BP793" i="8"/>
  <c r="BO793" i="8"/>
  <c r="BN793" i="8"/>
  <c r="BM793" i="8"/>
  <c r="BL793" i="8"/>
  <c r="BK793" i="8"/>
  <c r="BJ793" i="8"/>
  <c r="BI793" i="8"/>
  <c r="BH793" i="8"/>
  <c r="CJ792" i="8"/>
  <c r="CI792" i="8"/>
  <c r="CH792" i="8"/>
  <c r="CG792" i="8"/>
  <c r="CF792" i="8"/>
  <c r="CE792" i="8"/>
  <c r="CD792" i="8"/>
  <c r="CC792" i="8"/>
  <c r="CB792" i="8"/>
  <c r="CA792" i="8"/>
  <c r="BZ792" i="8"/>
  <c r="BY792" i="8"/>
  <c r="BX792" i="8"/>
  <c r="BW792" i="8"/>
  <c r="BV792" i="8"/>
  <c r="BU792" i="8"/>
  <c r="BT792" i="8"/>
  <c r="BS792" i="8"/>
  <c r="BR792" i="8"/>
  <c r="BQ792" i="8"/>
  <c r="BP792" i="8"/>
  <c r="BO792" i="8"/>
  <c r="BN792" i="8"/>
  <c r="BM792" i="8"/>
  <c r="BL792" i="8"/>
  <c r="BK792" i="8"/>
  <c r="BJ792" i="8"/>
  <c r="BI792" i="8"/>
  <c r="BH792" i="8"/>
  <c r="CJ791" i="8"/>
  <c r="CI791" i="8"/>
  <c r="CH791" i="8"/>
  <c r="CG791" i="8"/>
  <c r="CF791" i="8"/>
  <c r="CE791" i="8"/>
  <c r="CD791" i="8"/>
  <c r="CC791" i="8"/>
  <c r="CB791" i="8"/>
  <c r="CA791" i="8"/>
  <c r="BZ791" i="8"/>
  <c r="BY791" i="8"/>
  <c r="BX791" i="8"/>
  <c r="BW791" i="8"/>
  <c r="BV791" i="8"/>
  <c r="BU791" i="8"/>
  <c r="BT791" i="8"/>
  <c r="BS791" i="8"/>
  <c r="BR791" i="8"/>
  <c r="BQ791" i="8"/>
  <c r="BP791" i="8"/>
  <c r="BO791" i="8"/>
  <c r="BN791" i="8"/>
  <c r="BM791" i="8"/>
  <c r="BL791" i="8"/>
  <c r="BK791" i="8"/>
  <c r="BJ791" i="8"/>
  <c r="BI791" i="8"/>
  <c r="BH791" i="8"/>
  <c r="CJ790" i="8"/>
  <c r="CI790" i="8"/>
  <c r="CH790" i="8"/>
  <c r="CG790" i="8"/>
  <c r="CF790" i="8"/>
  <c r="CE790" i="8"/>
  <c r="CD790" i="8"/>
  <c r="CC790" i="8"/>
  <c r="CB790" i="8"/>
  <c r="CA790" i="8"/>
  <c r="BZ790" i="8"/>
  <c r="BY790" i="8"/>
  <c r="BX790" i="8"/>
  <c r="BW790" i="8"/>
  <c r="BV790" i="8"/>
  <c r="BU790" i="8"/>
  <c r="BT790" i="8"/>
  <c r="BS790" i="8"/>
  <c r="BR790" i="8"/>
  <c r="BQ790" i="8"/>
  <c r="BP790" i="8"/>
  <c r="BO790" i="8"/>
  <c r="BN790" i="8"/>
  <c r="BM790" i="8"/>
  <c r="BL790" i="8"/>
  <c r="BK790" i="8"/>
  <c r="BJ790" i="8"/>
  <c r="BI790" i="8"/>
  <c r="BH790" i="8"/>
  <c r="CJ789" i="8"/>
  <c r="CI789" i="8"/>
  <c r="CH789" i="8"/>
  <c r="CG789" i="8"/>
  <c r="CF789" i="8"/>
  <c r="CE789" i="8"/>
  <c r="CD789" i="8"/>
  <c r="CC789" i="8"/>
  <c r="CB789" i="8"/>
  <c r="CA789" i="8"/>
  <c r="BZ789" i="8"/>
  <c r="BY789" i="8"/>
  <c r="BX789" i="8"/>
  <c r="BW789" i="8"/>
  <c r="BV789" i="8"/>
  <c r="BU789" i="8"/>
  <c r="BT789" i="8"/>
  <c r="BS789" i="8"/>
  <c r="BR789" i="8"/>
  <c r="BQ789" i="8"/>
  <c r="BP789" i="8"/>
  <c r="BO789" i="8"/>
  <c r="BN789" i="8"/>
  <c r="BM789" i="8"/>
  <c r="BL789" i="8"/>
  <c r="BK789" i="8"/>
  <c r="BJ789" i="8"/>
  <c r="BI789" i="8"/>
  <c r="BH789" i="8"/>
  <c r="CJ788" i="8"/>
  <c r="CI788" i="8"/>
  <c r="CH788" i="8"/>
  <c r="CG788" i="8"/>
  <c r="CF788" i="8"/>
  <c r="CE788" i="8"/>
  <c r="CD788" i="8"/>
  <c r="CC788" i="8"/>
  <c r="CB788" i="8"/>
  <c r="CA788" i="8"/>
  <c r="BZ788" i="8"/>
  <c r="BY788" i="8"/>
  <c r="BX788" i="8"/>
  <c r="BW788" i="8"/>
  <c r="BV788" i="8"/>
  <c r="BU788" i="8"/>
  <c r="BT788" i="8"/>
  <c r="BS788" i="8"/>
  <c r="BR788" i="8"/>
  <c r="BQ788" i="8"/>
  <c r="BP788" i="8"/>
  <c r="BO788" i="8"/>
  <c r="BN788" i="8"/>
  <c r="BM788" i="8"/>
  <c r="BL788" i="8"/>
  <c r="BK788" i="8"/>
  <c r="BJ788" i="8"/>
  <c r="BI788" i="8"/>
  <c r="BH788" i="8"/>
  <c r="CJ787" i="8"/>
  <c r="CI787" i="8"/>
  <c r="CH787" i="8"/>
  <c r="CG787" i="8"/>
  <c r="CF787" i="8"/>
  <c r="CE787" i="8"/>
  <c r="CD787" i="8"/>
  <c r="CC787" i="8"/>
  <c r="CB787" i="8"/>
  <c r="CA787" i="8"/>
  <c r="BZ787" i="8"/>
  <c r="BY787" i="8"/>
  <c r="BX787" i="8"/>
  <c r="BW787" i="8"/>
  <c r="BV787" i="8"/>
  <c r="BU787" i="8"/>
  <c r="BT787" i="8"/>
  <c r="BS787" i="8"/>
  <c r="BR787" i="8"/>
  <c r="BQ787" i="8"/>
  <c r="BP787" i="8"/>
  <c r="BO787" i="8"/>
  <c r="BN787" i="8"/>
  <c r="BM787" i="8"/>
  <c r="BL787" i="8"/>
  <c r="BK787" i="8"/>
  <c r="BJ787" i="8"/>
  <c r="BI787" i="8"/>
  <c r="BH787" i="8"/>
  <c r="CJ786" i="8"/>
  <c r="CI786" i="8"/>
  <c r="CH786" i="8"/>
  <c r="CG786" i="8"/>
  <c r="CF786" i="8"/>
  <c r="CE786" i="8"/>
  <c r="CD786" i="8"/>
  <c r="CC786" i="8"/>
  <c r="CB786" i="8"/>
  <c r="CA786" i="8"/>
  <c r="BZ786" i="8"/>
  <c r="BY786" i="8"/>
  <c r="BX786" i="8"/>
  <c r="BW786" i="8"/>
  <c r="BV786" i="8"/>
  <c r="BU786" i="8"/>
  <c r="BT786" i="8"/>
  <c r="BS786" i="8"/>
  <c r="BR786" i="8"/>
  <c r="BQ786" i="8"/>
  <c r="BP786" i="8"/>
  <c r="BO786" i="8"/>
  <c r="BN786" i="8"/>
  <c r="BM786" i="8"/>
  <c r="BL786" i="8"/>
  <c r="BK786" i="8"/>
  <c r="BJ786" i="8"/>
  <c r="BI786" i="8"/>
  <c r="BH786" i="8"/>
  <c r="CJ785" i="8"/>
  <c r="CI785" i="8"/>
  <c r="CH785" i="8"/>
  <c r="CG785" i="8"/>
  <c r="CF785" i="8"/>
  <c r="CE785" i="8"/>
  <c r="CD785" i="8"/>
  <c r="CC785" i="8"/>
  <c r="CB785" i="8"/>
  <c r="CA785" i="8"/>
  <c r="BZ785" i="8"/>
  <c r="BY785" i="8"/>
  <c r="BX785" i="8"/>
  <c r="BW785" i="8"/>
  <c r="BV785" i="8"/>
  <c r="BU785" i="8"/>
  <c r="BT785" i="8"/>
  <c r="BS785" i="8"/>
  <c r="BR785" i="8"/>
  <c r="BQ785" i="8"/>
  <c r="BP785" i="8"/>
  <c r="BO785" i="8"/>
  <c r="BN785" i="8"/>
  <c r="BM785" i="8"/>
  <c r="BL785" i="8"/>
  <c r="BK785" i="8"/>
  <c r="BJ785" i="8"/>
  <c r="BI785" i="8"/>
  <c r="BH785" i="8"/>
  <c r="CJ784" i="8"/>
  <c r="CI784" i="8"/>
  <c r="CH784" i="8"/>
  <c r="CG784" i="8"/>
  <c r="CF784" i="8"/>
  <c r="CE784" i="8"/>
  <c r="CD784" i="8"/>
  <c r="CC784" i="8"/>
  <c r="CB784" i="8"/>
  <c r="CA784" i="8"/>
  <c r="BZ784" i="8"/>
  <c r="BY784" i="8"/>
  <c r="BX784" i="8"/>
  <c r="BW784" i="8"/>
  <c r="BV784" i="8"/>
  <c r="BU784" i="8"/>
  <c r="BT784" i="8"/>
  <c r="BS784" i="8"/>
  <c r="BR784" i="8"/>
  <c r="BQ784" i="8"/>
  <c r="BP784" i="8"/>
  <c r="BO784" i="8"/>
  <c r="BN784" i="8"/>
  <c r="BM784" i="8"/>
  <c r="BL784" i="8"/>
  <c r="BK784" i="8"/>
  <c r="BJ784" i="8"/>
  <c r="BI784" i="8"/>
  <c r="BH784" i="8"/>
  <c r="CJ783" i="8"/>
  <c r="CI783" i="8"/>
  <c r="CH783" i="8"/>
  <c r="CG783" i="8"/>
  <c r="CF783" i="8"/>
  <c r="CE783" i="8"/>
  <c r="CD783" i="8"/>
  <c r="CC783" i="8"/>
  <c r="CB783" i="8"/>
  <c r="CA783" i="8"/>
  <c r="BZ783" i="8"/>
  <c r="BY783" i="8"/>
  <c r="BX783" i="8"/>
  <c r="BW783" i="8"/>
  <c r="BV783" i="8"/>
  <c r="BU783" i="8"/>
  <c r="BT783" i="8"/>
  <c r="BS783" i="8"/>
  <c r="BR783" i="8"/>
  <c r="BQ783" i="8"/>
  <c r="BP783" i="8"/>
  <c r="BO783" i="8"/>
  <c r="BN783" i="8"/>
  <c r="BM783" i="8"/>
  <c r="BL783" i="8"/>
  <c r="BK783" i="8"/>
  <c r="BJ783" i="8"/>
  <c r="BI783" i="8"/>
  <c r="BH783" i="8"/>
  <c r="CJ782" i="8"/>
  <c r="CI782" i="8"/>
  <c r="CH782" i="8"/>
  <c r="CG782" i="8"/>
  <c r="CF782" i="8"/>
  <c r="CE782" i="8"/>
  <c r="CD782" i="8"/>
  <c r="CC782" i="8"/>
  <c r="CB782" i="8"/>
  <c r="CA782" i="8"/>
  <c r="BZ782" i="8"/>
  <c r="BY782" i="8"/>
  <c r="BX782" i="8"/>
  <c r="BW782" i="8"/>
  <c r="BV782" i="8"/>
  <c r="BU782" i="8"/>
  <c r="BT782" i="8"/>
  <c r="BS782" i="8"/>
  <c r="BR782" i="8"/>
  <c r="BQ782" i="8"/>
  <c r="BP782" i="8"/>
  <c r="BO782" i="8"/>
  <c r="BN782" i="8"/>
  <c r="BM782" i="8"/>
  <c r="BL782" i="8"/>
  <c r="BK782" i="8"/>
  <c r="BJ782" i="8"/>
  <c r="BI782" i="8"/>
  <c r="BH782" i="8"/>
  <c r="CJ781" i="8"/>
  <c r="CI781" i="8"/>
  <c r="CH781" i="8"/>
  <c r="CG781" i="8"/>
  <c r="CF781" i="8"/>
  <c r="CE781" i="8"/>
  <c r="CD781" i="8"/>
  <c r="CC781" i="8"/>
  <c r="CB781" i="8"/>
  <c r="CA781" i="8"/>
  <c r="BZ781" i="8"/>
  <c r="BY781" i="8"/>
  <c r="BX781" i="8"/>
  <c r="BW781" i="8"/>
  <c r="BV781" i="8"/>
  <c r="BU781" i="8"/>
  <c r="BT781" i="8"/>
  <c r="BS781" i="8"/>
  <c r="BR781" i="8"/>
  <c r="BQ781" i="8"/>
  <c r="BP781" i="8"/>
  <c r="BO781" i="8"/>
  <c r="BN781" i="8"/>
  <c r="BM781" i="8"/>
  <c r="BL781" i="8"/>
  <c r="BK781" i="8"/>
  <c r="BJ781" i="8"/>
  <c r="BI781" i="8"/>
  <c r="BH781" i="8"/>
  <c r="CJ780" i="8"/>
  <c r="CI780" i="8"/>
  <c r="CH780" i="8"/>
  <c r="CG780" i="8"/>
  <c r="CF780" i="8"/>
  <c r="CE780" i="8"/>
  <c r="CD780" i="8"/>
  <c r="CC780" i="8"/>
  <c r="CB780" i="8"/>
  <c r="CA780" i="8"/>
  <c r="BZ780" i="8"/>
  <c r="BY780" i="8"/>
  <c r="BX780" i="8"/>
  <c r="BW780" i="8"/>
  <c r="BV780" i="8"/>
  <c r="BU780" i="8"/>
  <c r="BT780" i="8"/>
  <c r="BS780" i="8"/>
  <c r="BR780" i="8"/>
  <c r="BQ780" i="8"/>
  <c r="BP780" i="8"/>
  <c r="BO780" i="8"/>
  <c r="BN780" i="8"/>
  <c r="BM780" i="8"/>
  <c r="BL780" i="8"/>
  <c r="BK780" i="8"/>
  <c r="BJ780" i="8"/>
  <c r="BI780" i="8"/>
  <c r="BH780" i="8"/>
  <c r="CJ779" i="8"/>
  <c r="CI779" i="8"/>
  <c r="CH779" i="8"/>
  <c r="CG779" i="8"/>
  <c r="CF779" i="8"/>
  <c r="CE779" i="8"/>
  <c r="CD779" i="8"/>
  <c r="CC779" i="8"/>
  <c r="CB779" i="8"/>
  <c r="CA779" i="8"/>
  <c r="BZ779" i="8"/>
  <c r="BY779" i="8"/>
  <c r="BX779" i="8"/>
  <c r="BW779" i="8"/>
  <c r="BV779" i="8"/>
  <c r="BU779" i="8"/>
  <c r="BT779" i="8"/>
  <c r="BS779" i="8"/>
  <c r="BR779" i="8"/>
  <c r="BQ779" i="8"/>
  <c r="BP779" i="8"/>
  <c r="BO779" i="8"/>
  <c r="BN779" i="8"/>
  <c r="BM779" i="8"/>
  <c r="BL779" i="8"/>
  <c r="BK779" i="8"/>
  <c r="BJ779" i="8"/>
  <c r="BI779" i="8"/>
  <c r="BH779" i="8"/>
  <c r="CJ778" i="8"/>
  <c r="CI778" i="8"/>
  <c r="CH778" i="8"/>
  <c r="CG778" i="8"/>
  <c r="CF778" i="8"/>
  <c r="CE778" i="8"/>
  <c r="CD778" i="8"/>
  <c r="CC778" i="8"/>
  <c r="CB778" i="8"/>
  <c r="CA778" i="8"/>
  <c r="BZ778" i="8"/>
  <c r="BY778" i="8"/>
  <c r="BX778" i="8"/>
  <c r="BW778" i="8"/>
  <c r="BV778" i="8"/>
  <c r="BU778" i="8"/>
  <c r="BT778" i="8"/>
  <c r="BS778" i="8"/>
  <c r="BR778" i="8"/>
  <c r="BQ778" i="8"/>
  <c r="BP778" i="8"/>
  <c r="BO778" i="8"/>
  <c r="BN778" i="8"/>
  <c r="BM778" i="8"/>
  <c r="BL778" i="8"/>
  <c r="BK778" i="8"/>
  <c r="BJ778" i="8"/>
  <c r="BI778" i="8"/>
  <c r="BH778" i="8"/>
  <c r="CJ773" i="8"/>
  <c r="CI773" i="8"/>
  <c r="CH773" i="8"/>
  <c r="CG773" i="8"/>
  <c r="CF773" i="8"/>
  <c r="CE773" i="8"/>
  <c r="CD773" i="8"/>
  <c r="CC773" i="8"/>
  <c r="CB773" i="8"/>
  <c r="CA773" i="8"/>
  <c r="BZ773" i="8"/>
  <c r="BY773" i="8"/>
  <c r="BX773" i="8"/>
  <c r="BW773" i="8"/>
  <c r="BV773" i="8"/>
  <c r="BU773" i="8"/>
  <c r="BT773" i="8"/>
  <c r="BS773" i="8"/>
  <c r="BR773" i="8"/>
  <c r="BQ773" i="8"/>
  <c r="BP773" i="8"/>
  <c r="BO773" i="8"/>
  <c r="BN773" i="8"/>
  <c r="BM773" i="8"/>
  <c r="BL773" i="8"/>
  <c r="BK773" i="8"/>
  <c r="BJ773" i="8"/>
  <c r="BI773" i="8"/>
  <c r="BH773" i="8"/>
  <c r="CJ772" i="8"/>
  <c r="CI772" i="8"/>
  <c r="CH772" i="8"/>
  <c r="CG772" i="8"/>
  <c r="CF772" i="8"/>
  <c r="CE772" i="8"/>
  <c r="CD772" i="8"/>
  <c r="CC772" i="8"/>
  <c r="CB772" i="8"/>
  <c r="CA772" i="8"/>
  <c r="BZ772" i="8"/>
  <c r="BY772" i="8"/>
  <c r="BX772" i="8"/>
  <c r="BW772" i="8"/>
  <c r="BV772" i="8"/>
  <c r="BU772" i="8"/>
  <c r="BT772" i="8"/>
  <c r="BS772" i="8"/>
  <c r="BR772" i="8"/>
  <c r="BQ772" i="8"/>
  <c r="BP772" i="8"/>
  <c r="BO772" i="8"/>
  <c r="BN772" i="8"/>
  <c r="BM772" i="8"/>
  <c r="BL772" i="8"/>
  <c r="BK772" i="8"/>
  <c r="BJ772" i="8"/>
  <c r="BI772" i="8"/>
  <c r="BH772" i="8"/>
  <c r="CJ771" i="8"/>
  <c r="CI771" i="8"/>
  <c r="CH771" i="8"/>
  <c r="CG771" i="8"/>
  <c r="CF771" i="8"/>
  <c r="CE771" i="8"/>
  <c r="CD771" i="8"/>
  <c r="CC771" i="8"/>
  <c r="CB771" i="8"/>
  <c r="CA771" i="8"/>
  <c r="BZ771" i="8"/>
  <c r="BY771" i="8"/>
  <c r="BX771" i="8"/>
  <c r="BW771" i="8"/>
  <c r="BV771" i="8"/>
  <c r="BU771" i="8"/>
  <c r="BT771" i="8"/>
  <c r="BS771" i="8"/>
  <c r="BR771" i="8"/>
  <c r="BQ771" i="8"/>
  <c r="BP771" i="8"/>
  <c r="BO771" i="8"/>
  <c r="BN771" i="8"/>
  <c r="BM771" i="8"/>
  <c r="BL771" i="8"/>
  <c r="BK771" i="8"/>
  <c r="BJ771" i="8"/>
  <c r="BI771" i="8"/>
  <c r="BH771" i="8"/>
  <c r="CJ770" i="8"/>
  <c r="CI770" i="8"/>
  <c r="CH770" i="8"/>
  <c r="CG770" i="8"/>
  <c r="CF770" i="8"/>
  <c r="CE770" i="8"/>
  <c r="CD770" i="8"/>
  <c r="CC770" i="8"/>
  <c r="CB770" i="8"/>
  <c r="CA770" i="8"/>
  <c r="BZ770" i="8"/>
  <c r="BY770" i="8"/>
  <c r="BX770" i="8"/>
  <c r="BW770" i="8"/>
  <c r="BV770" i="8"/>
  <c r="BU770" i="8"/>
  <c r="BT770" i="8"/>
  <c r="BS770" i="8"/>
  <c r="BR770" i="8"/>
  <c r="BQ770" i="8"/>
  <c r="BP770" i="8"/>
  <c r="BO770" i="8"/>
  <c r="BN770" i="8"/>
  <c r="BM770" i="8"/>
  <c r="BL770" i="8"/>
  <c r="BK770" i="8"/>
  <c r="BJ770" i="8"/>
  <c r="BI770" i="8"/>
  <c r="BH770" i="8"/>
  <c r="CJ769" i="8"/>
  <c r="CI769" i="8"/>
  <c r="CH769" i="8"/>
  <c r="CG769" i="8"/>
  <c r="CF769" i="8"/>
  <c r="CE769" i="8"/>
  <c r="CD769" i="8"/>
  <c r="CC769" i="8"/>
  <c r="CB769" i="8"/>
  <c r="CA769" i="8"/>
  <c r="BZ769" i="8"/>
  <c r="BY769" i="8"/>
  <c r="BX769" i="8"/>
  <c r="BW769" i="8"/>
  <c r="BV769" i="8"/>
  <c r="BU769" i="8"/>
  <c r="BT769" i="8"/>
  <c r="BS769" i="8"/>
  <c r="BR769" i="8"/>
  <c r="BQ769" i="8"/>
  <c r="BP769" i="8"/>
  <c r="BO769" i="8"/>
  <c r="BN769" i="8"/>
  <c r="BM769" i="8"/>
  <c r="BL769" i="8"/>
  <c r="BK769" i="8"/>
  <c r="BJ769" i="8"/>
  <c r="BI769" i="8"/>
  <c r="BH769" i="8"/>
  <c r="CJ768" i="8"/>
  <c r="CI768" i="8"/>
  <c r="CH768" i="8"/>
  <c r="CG768" i="8"/>
  <c r="CF768" i="8"/>
  <c r="CE768" i="8"/>
  <c r="CD768" i="8"/>
  <c r="CC768" i="8"/>
  <c r="CB768" i="8"/>
  <c r="CA768" i="8"/>
  <c r="BZ768" i="8"/>
  <c r="BY768" i="8"/>
  <c r="BX768" i="8"/>
  <c r="BW768" i="8"/>
  <c r="BV768" i="8"/>
  <c r="BU768" i="8"/>
  <c r="BT768" i="8"/>
  <c r="BS768" i="8"/>
  <c r="BR768" i="8"/>
  <c r="BQ768" i="8"/>
  <c r="BP768" i="8"/>
  <c r="BO768" i="8"/>
  <c r="BN768" i="8"/>
  <c r="BM768" i="8"/>
  <c r="BL768" i="8"/>
  <c r="BK768" i="8"/>
  <c r="BJ768" i="8"/>
  <c r="BI768" i="8"/>
  <c r="BH768" i="8"/>
  <c r="CJ767" i="8"/>
  <c r="CI767" i="8"/>
  <c r="CH767" i="8"/>
  <c r="CG767" i="8"/>
  <c r="CF767" i="8"/>
  <c r="CE767" i="8"/>
  <c r="CD767" i="8"/>
  <c r="CC767" i="8"/>
  <c r="CB767" i="8"/>
  <c r="CA767" i="8"/>
  <c r="BZ767" i="8"/>
  <c r="BY767" i="8"/>
  <c r="BX767" i="8"/>
  <c r="BW767" i="8"/>
  <c r="BV767" i="8"/>
  <c r="BU767" i="8"/>
  <c r="BT767" i="8"/>
  <c r="BS767" i="8"/>
  <c r="BR767" i="8"/>
  <c r="BQ767" i="8"/>
  <c r="BP767" i="8"/>
  <c r="BO767" i="8"/>
  <c r="BN767" i="8"/>
  <c r="BM767" i="8"/>
  <c r="BL767" i="8"/>
  <c r="BK767" i="8"/>
  <c r="BJ767" i="8"/>
  <c r="BI767" i="8"/>
  <c r="BH767" i="8"/>
  <c r="CJ766" i="8"/>
  <c r="CI766" i="8"/>
  <c r="CH766" i="8"/>
  <c r="CG766" i="8"/>
  <c r="CF766" i="8"/>
  <c r="CE766" i="8"/>
  <c r="CD766" i="8"/>
  <c r="CC766" i="8"/>
  <c r="CB766" i="8"/>
  <c r="CA766" i="8"/>
  <c r="BZ766" i="8"/>
  <c r="BY766" i="8"/>
  <c r="BX766" i="8"/>
  <c r="BW766" i="8"/>
  <c r="BV766" i="8"/>
  <c r="BU766" i="8"/>
  <c r="BT766" i="8"/>
  <c r="BS766" i="8"/>
  <c r="BR766" i="8"/>
  <c r="BQ766" i="8"/>
  <c r="BP766" i="8"/>
  <c r="BO766" i="8"/>
  <c r="BN766" i="8"/>
  <c r="BM766" i="8"/>
  <c r="BL766" i="8"/>
  <c r="BK766" i="8"/>
  <c r="BJ766" i="8"/>
  <c r="BI766" i="8"/>
  <c r="BH766" i="8"/>
  <c r="CJ765" i="8"/>
  <c r="CI765" i="8"/>
  <c r="CH765" i="8"/>
  <c r="CG765" i="8"/>
  <c r="CF765" i="8"/>
  <c r="CE765" i="8"/>
  <c r="CD765" i="8"/>
  <c r="CC765" i="8"/>
  <c r="CB765" i="8"/>
  <c r="CA765" i="8"/>
  <c r="BZ765" i="8"/>
  <c r="BY765" i="8"/>
  <c r="BX765" i="8"/>
  <c r="BW765" i="8"/>
  <c r="BV765" i="8"/>
  <c r="BU765" i="8"/>
  <c r="BT765" i="8"/>
  <c r="BS765" i="8"/>
  <c r="BR765" i="8"/>
  <c r="BQ765" i="8"/>
  <c r="BP765" i="8"/>
  <c r="BO765" i="8"/>
  <c r="BN765" i="8"/>
  <c r="BM765" i="8"/>
  <c r="BL765" i="8"/>
  <c r="BK765" i="8"/>
  <c r="BJ765" i="8"/>
  <c r="BI765" i="8"/>
  <c r="BH765" i="8"/>
  <c r="CJ764" i="8"/>
  <c r="CI764" i="8"/>
  <c r="CH764" i="8"/>
  <c r="CG764" i="8"/>
  <c r="CF764" i="8"/>
  <c r="CE764" i="8"/>
  <c r="CD764" i="8"/>
  <c r="CC764" i="8"/>
  <c r="CB764" i="8"/>
  <c r="CA764" i="8"/>
  <c r="BZ764" i="8"/>
  <c r="BY764" i="8"/>
  <c r="BX764" i="8"/>
  <c r="BW764" i="8"/>
  <c r="BV764" i="8"/>
  <c r="BU764" i="8"/>
  <c r="BT764" i="8"/>
  <c r="BS764" i="8"/>
  <c r="BR764" i="8"/>
  <c r="BQ764" i="8"/>
  <c r="BP764" i="8"/>
  <c r="BO764" i="8"/>
  <c r="BN764" i="8"/>
  <c r="BM764" i="8"/>
  <c r="BL764" i="8"/>
  <c r="BK764" i="8"/>
  <c r="BJ764" i="8"/>
  <c r="BI764" i="8"/>
  <c r="BH764" i="8"/>
  <c r="CJ763" i="8"/>
  <c r="CI763" i="8"/>
  <c r="CH763" i="8"/>
  <c r="CG763" i="8"/>
  <c r="CF763" i="8"/>
  <c r="CE763" i="8"/>
  <c r="CD763" i="8"/>
  <c r="CC763" i="8"/>
  <c r="CB763" i="8"/>
  <c r="CA763" i="8"/>
  <c r="BZ763" i="8"/>
  <c r="BY763" i="8"/>
  <c r="BX763" i="8"/>
  <c r="BW763" i="8"/>
  <c r="BV763" i="8"/>
  <c r="BU763" i="8"/>
  <c r="BT763" i="8"/>
  <c r="BS763" i="8"/>
  <c r="BR763" i="8"/>
  <c r="BQ763" i="8"/>
  <c r="BP763" i="8"/>
  <c r="BO763" i="8"/>
  <c r="BN763" i="8"/>
  <c r="BM763" i="8"/>
  <c r="BL763" i="8"/>
  <c r="BK763" i="8"/>
  <c r="BJ763" i="8"/>
  <c r="BI763" i="8"/>
  <c r="BH763" i="8"/>
  <c r="CJ762" i="8"/>
  <c r="CI762" i="8"/>
  <c r="CH762" i="8"/>
  <c r="CG762" i="8"/>
  <c r="CF762" i="8"/>
  <c r="CE762" i="8"/>
  <c r="CD762" i="8"/>
  <c r="CC762" i="8"/>
  <c r="CB762" i="8"/>
  <c r="CA762" i="8"/>
  <c r="BZ762" i="8"/>
  <c r="BY762" i="8"/>
  <c r="BX762" i="8"/>
  <c r="BW762" i="8"/>
  <c r="BV762" i="8"/>
  <c r="BU762" i="8"/>
  <c r="BT762" i="8"/>
  <c r="BS762" i="8"/>
  <c r="BR762" i="8"/>
  <c r="BQ762" i="8"/>
  <c r="BP762" i="8"/>
  <c r="BO762" i="8"/>
  <c r="BN762" i="8"/>
  <c r="BM762" i="8"/>
  <c r="BL762" i="8"/>
  <c r="BK762" i="8"/>
  <c r="BJ762" i="8"/>
  <c r="BI762" i="8"/>
  <c r="BH762" i="8"/>
  <c r="CJ761" i="8"/>
  <c r="CI761" i="8"/>
  <c r="CH761" i="8"/>
  <c r="CG761" i="8"/>
  <c r="CF761" i="8"/>
  <c r="CE761" i="8"/>
  <c r="CD761" i="8"/>
  <c r="CC761" i="8"/>
  <c r="CB761" i="8"/>
  <c r="CA761" i="8"/>
  <c r="BZ761" i="8"/>
  <c r="BY761" i="8"/>
  <c r="BX761" i="8"/>
  <c r="BW761" i="8"/>
  <c r="BV761" i="8"/>
  <c r="BU761" i="8"/>
  <c r="BT761" i="8"/>
  <c r="BS761" i="8"/>
  <c r="BR761" i="8"/>
  <c r="BQ761" i="8"/>
  <c r="BP761" i="8"/>
  <c r="BO761" i="8"/>
  <c r="BN761" i="8"/>
  <c r="BM761" i="8"/>
  <c r="BL761" i="8"/>
  <c r="BK761" i="8"/>
  <c r="BJ761" i="8"/>
  <c r="BI761" i="8"/>
  <c r="BH761" i="8"/>
  <c r="CJ760" i="8"/>
  <c r="CI760" i="8"/>
  <c r="CH760" i="8"/>
  <c r="CG760" i="8"/>
  <c r="CF760" i="8"/>
  <c r="CE760" i="8"/>
  <c r="CD760" i="8"/>
  <c r="CC760" i="8"/>
  <c r="CB760" i="8"/>
  <c r="CA760" i="8"/>
  <c r="BZ760" i="8"/>
  <c r="BY760" i="8"/>
  <c r="BX760" i="8"/>
  <c r="BW760" i="8"/>
  <c r="BV760" i="8"/>
  <c r="BU760" i="8"/>
  <c r="BT760" i="8"/>
  <c r="BS760" i="8"/>
  <c r="BR760" i="8"/>
  <c r="BQ760" i="8"/>
  <c r="BP760" i="8"/>
  <c r="BO760" i="8"/>
  <c r="BN760" i="8"/>
  <c r="BM760" i="8"/>
  <c r="BL760" i="8"/>
  <c r="BK760" i="8"/>
  <c r="BJ760" i="8"/>
  <c r="BI760" i="8"/>
  <c r="BH760" i="8"/>
  <c r="CJ759" i="8"/>
  <c r="CI759" i="8"/>
  <c r="CH759" i="8"/>
  <c r="CG759" i="8"/>
  <c r="CF759" i="8"/>
  <c r="CE759" i="8"/>
  <c r="CD759" i="8"/>
  <c r="CC759" i="8"/>
  <c r="CB759" i="8"/>
  <c r="CA759" i="8"/>
  <c r="BZ759" i="8"/>
  <c r="BY759" i="8"/>
  <c r="BX759" i="8"/>
  <c r="BW759" i="8"/>
  <c r="BV759" i="8"/>
  <c r="BU759" i="8"/>
  <c r="BT759" i="8"/>
  <c r="BS759" i="8"/>
  <c r="BR759" i="8"/>
  <c r="BQ759" i="8"/>
  <c r="BP759" i="8"/>
  <c r="BO759" i="8"/>
  <c r="BN759" i="8"/>
  <c r="BM759" i="8"/>
  <c r="BL759" i="8"/>
  <c r="BK759" i="8"/>
  <c r="BJ759" i="8"/>
  <c r="BI759" i="8"/>
  <c r="BH759" i="8"/>
  <c r="CJ758" i="8"/>
  <c r="CI758" i="8"/>
  <c r="CH758" i="8"/>
  <c r="CG758" i="8"/>
  <c r="CF758" i="8"/>
  <c r="CE758" i="8"/>
  <c r="CD758" i="8"/>
  <c r="CC758" i="8"/>
  <c r="CB758" i="8"/>
  <c r="CA758" i="8"/>
  <c r="BZ758" i="8"/>
  <c r="BY758" i="8"/>
  <c r="BX758" i="8"/>
  <c r="BW758" i="8"/>
  <c r="BV758" i="8"/>
  <c r="BU758" i="8"/>
  <c r="BT758" i="8"/>
  <c r="BS758" i="8"/>
  <c r="BR758" i="8"/>
  <c r="BQ758" i="8"/>
  <c r="BP758" i="8"/>
  <c r="BO758" i="8"/>
  <c r="BN758" i="8"/>
  <c r="BM758" i="8"/>
  <c r="BL758" i="8"/>
  <c r="BK758" i="8"/>
  <c r="BJ758" i="8"/>
  <c r="BI758" i="8"/>
  <c r="BH758" i="8"/>
  <c r="CJ753" i="8"/>
  <c r="CI753" i="8"/>
  <c r="CH753" i="8"/>
  <c r="CG753" i="8"/>
  <c r="CF753" i="8"/>
  <c r="CE753" i="8"/>
  <c r="CD753" i="8"/>
  <c r="CC753" i="8"/>
  <c r="CB753" i="8"/>
  <c r="CA753" i="8"/>
  <c r="BZ753" i="8"/>
  <c r="BY753" i="8"/>
  <c r="BX753" i="8"/>
  <c r="BW753" i="8"/>
  <c r="BV753" i="8"/>
  <c r="BU753" i="8"/>
  <c r="BT753" i="8"/>
  <c r="BS753" i="8"/>
  <c r="BR753" i="8"/>
  <c r="BQ753" i="8"/>
  <c r="BP753" i="8"/>
  <c r="BO753" i="8"/>
  <c r="BN753" i="8"/>
  <c r="BM753" i="8"/>
  <c r="BL753" i="8"/>
  <c r="BK753" i="8"/>
  <c r="BJ753" i="8"/>
  <c r="BI753" i="8"/>
  <c r="BH753" i="8"/>
  <c r="CJ752" i="8"/>
  <c r="CI752" i="8"/>
  <c r="CH752" i="8"/>
  <c r="CG752" i="8"/>
  <c r="CF752" i="8"/>
  <c r="CE752" i="8"/>
  <c r="CD752" i="8"/>
  <c r="CC752" i="8"/>
  <c r="CB752" i="8"/>
  <c r="CA752" i="8"/>
  <c r="BZ752" i="8"/>
  <c r="BY752" i="8"/>
  <c r="BX752" i="8"/>
  <c r="BW752" i="8"/>
  <c r="BV752" i="8"/>
  <c r="BU752" i="8"/>
  <c r="BT752" i="8"/>
  <c r="BS752" i="8"/>
  <c r="BR752" i="8"/>
  <c r="BQ752" i="8"/>
  <c r="BP752" i="8"/>
  <c r="BO752" i="8"/>
  <c r="BN752" i="8"/>
  <c r="BM752" i="8"/>
  <c r="BL752" i="8"/>
  <c r="BK752" i="8"/>
  <c r="BJ752" i="8"/>
  <c r="BI752" i="8"/>
  <c r="BH752" i="8"/>
  <c r="CJ751" i="8"/>
  <c r="CI751" i="8"/>
  <c r="CH751" i="8"/>
  <c r="CG751" i="8"/>
  <c r="CF751" i="8"/>
  <c r="CE751" i="8"/>
  <c r="CD751" i="8"/>
  <c r="CC751" i="8"/>
  <c r="CB751" i="8"/>
  <c r="CA751" i="8"/>
  <c r="BZ751" i="8"/>
  <c r="BY751" i="8"/>
  <c r="BX751" i="8"/>
  <c r="BW751" i="8"/>
  <c r="BV751" i="8"/>
  <c r="BU751" i="8"/>
  <c r="BT751" i="8"/>
  <c r="BS751" i="8"/>
  <c r="BR751" i="8"/>
  <c r="BQ751" i="8"/>
  <c r="BP751" i="8"/>
  <c r="BO751" i="8"/>
  <c r="BN751" i="8"/>
  <c r="BM751" i="8"/>
  <c r="BL751" i="8"/>
  <c r="BK751" i="8"/>
  <c r="BJ751" i="8"/>
  <c r="BI751" i="8"/>
  <c r="BH751" i="8"/>
  <c r="CJ750" i="8"/>
  <c r="CI750" i="8"/>
  <c r="CH750" i="8"/>
  <c r="CG750" i="8"/>
  <c r="CF750" i="8"/>
  <c r="CE750" i="8"/>
  <c r="CD750" i="8"/>
  <c r="CC750" i="8"/>
  <c r="CB750" i="8"/>
  <c r="CA750" i="8"/>
  <c r="BZ750" i="8"/>
  <c r="BY750" i="8"/>
  <c r="BX750" i="8"/>
  <c r="BW750" i="8"/>
  <c r="BV750" i="8"/>
  <c r="BU750" i="8"/>
  <c r="BT750" i="8"/>
  <c r="BS750" i="8"/>
  <c r="BR750" i="8"/>
  <c r="BQ750" i="8"/>
  <c r="BP750" i="8"/>
  <c r="BO750" i="8"/>
  <c r="BN750" i="8"/>
  <c r="BM750" i="8"/>
  <c r="BL750" i="8"/>
  <c r="BK750" i="8"/>
  <c r="BJ750" i="8"/>
  <c r="BI750" i="8"/>
  <c r="BH750" i="8"/>
  <c r="CJ749" i="8"/>
  <c r="CI749" i="8"/>
  <c r="CH749" i="8"/>
  <c r="CG749" i="8"/>
  <c r="CF749" i="8"/>
  <c r="CE749" i="8"/>
  <c r="CD749" i="8"/>
  <c r="CC749" i="8"/>
  <c r="CB749" i="8"/>
  <c r="CA749" i="8"/>
  <c r="BZ749" i="8"/>
  <c r="BY749" i="8"/>
  <c r="BX749" i="8"/>
  <c r="BW749" i="8"/>
  <c r="BV749" i="8"/>
  <c r="BU749" i="8"/>
  <c r="BT749" i="8"/>
  <c r="BS749" i="8"/>
  <c r="BR749" i="8"/>
  <c r="BQ749" i="8"/>
  <c r="BP749" i="8"/>
  <c r="BO749" i="8"/>
  <c r="BN749" i="8"/>
  <c r="BM749" i="8"/>
  <c r="BL749" i="8"/>
  <c r="BK749" i="8"/>
  <c r="BJ749" i="8"/>
  <c r="BI749" i="8"/>
  <c r="BH749" i="8"/>
  <c r="CJ748" i="8"/>
  <c r="CI748" i="8"/>
  <c r="CH748" i="8"/>
  <c r="CG748" i="8"/>
  <c r="CF748" i="8"/>
  <c r="CE748" i="8"/>
  <c r="CD748" i="8"/>
  <c r="CC748" i="8"/>
  <c r="CB748" i="8"/>
  <c r="CA748" i="8"/>
  <c r="BZ748" i="8"/>
  <c r="BY748" i="8"/>
  <c r="BX748" i="8"/>
  <c r="BW748" i="8"/>
  <c r="BV748" i="8"/>
  <c r="BU748" i="8"/>
  <c r="BT748" i="8"/>
  <c r="BS748" i="8"/>
  <c r="BR748" i="8"/>
  <c r="BQ748" i="8"/>
  <c r="BP748" i="8"/>
  <c r="BO748" i="8"/>
  <c r="BN748" i="8"/>
  <c r="BM748" i="8"/>
  <c r="BL748" i="8"/>
  <c r="BK748" i="8"/>
  <c r="BJ748" i="8"/>
  <c r="BI748" i="8"/>
  <c r="BH748" i="8"/>
  <c r="CJ747" i="8"/>
  <c r="CI747" i="8"/>
  <c r="CH747" i="8"/>
  <c r="CG747" i="8"/>
  <c r="CF747" i="8"/>
  <c r="CE747" i="8"/>
  <c r="CD747" i="8"/>
  <c r="CC747" i="8"/>
  <c r="CB747" i="8"/>
  <c r="CA747" i="8"/>
  <c r="BZ747" i="8"/>
  <c r="BY747" i="8"/>
  <c r="BX747" i="8"/>
  <c r="BW747" i="8"/>
  <c r="BV747" i="8"/>
  <c r="BU747" i="8"/>
  <c r="BT747" i="8"/>
  <c r="BS747" i="8"/>
  <c r="BR747" i="8"/>
  <c r="BQ747" i="8"/>
  <c r="BP747" i="8"/>
  <c r="BO747" i="8"/>
  <c r="BN747" i="8"/>
  <c r="BM747" i="8"/>
  <c r="BL747" i="8"/>
  <c r="BK747" i="8"/>
  <c r="BJ747" i="8"/>
  <c r="BI747" i="8"/>
  <c r="BH747" i="8"/>
  <c r="CJ746" i="8"/>
  <c r="CI746" i="8"/>
  <c r="CH746" i="8"/>
  <c r="CG746" i="8"/>
  <c r="CF746" i="8"/>
  <c r="CE746" i="8"/>
  <c r="CD746" i="8"/>
  <c r="CC746" i="8"/>
  <c r="CB746" i="8"/>
  <c r="CA746" i="8"/>
  <c r="BZ746" i="8"/>
  <c r="BY746" i="8"/>
  <c r="BX746" i="8"/>
  <c r="BW746" i="8"/>
  <c r="BV746" i="8"/>
  <c r="BU746" i="8"/>
  <c r="BT746" i="8"/>
  <c r="BS746" i="8"/>
  <c r="BR746" i="8"/>
  <c r="BQ746" i="8"/>
  <c r="BP746" i="8"/>
  <c r="BO746" i="8"/>
  <c r="BN746" i="8"/>
  <c r="BM746" i="8"/>
  <c r="BL746" i="8"/>
  <c r="BK746" i="8"/>
  <c r="BJ746" i="8"/>
  <c r="BI746" i="8"/>
  <c r="BH746" i="8"/>
  <c r="CJ745" i="8"/>
  <c r="CI745" i="8"/>
  <c r="CH745" i="8"/>
  <c r="CG745" i="8"/>
  <c r="CF745" i="8"/>
  <c r="CE745" i="8"/>
  <c r="CD745" i="8"/>
  <c r="CC745" i="8"/>
  <c r="CB745" i="8"/>
  <c r="CA745" i="8"/>
  <c r="BZ745" i="8"/>
  <c r="BY745" i="8"/>
  <c r="BX745" i="8"/>
  <c r="BW745" i="8"/>
  <c r="BV745" i="8"/>
  <c r="BU745" i="8"/>
  <c r="BT745" i="8"/>
  <c r="BS745" i="8"/>
  <c r="BR745" i="8"/>
  <c r="BQ745" i="8"/>
  <c r="BP745" i="8"/>
  <c r="BO745" i="8"/>
  <c r="BN745" i="8"/>
  <c r="BM745" i="8"/>
  <c r="BL745" i="8"/>
  <c r="BK745" i="8"/>
  <c r="BJ745" i="8"/>
  <c r="BI745" i="8"/>
  <c r="BH745" i="8"/>
  <c r="CJ744" i="8"/>
  <c r="CI744" i="8"/>
  <c r="CH744" i="8"/>
  <c r="CG744" i="8"/>
  <c r="CF744" i="8"/>
  <c r="CE744" i="8"/>
  <c r="CD744" i="8"/>
  <c r="CC744" i="8"/>
  <c r="CB744" i="8"/>
  <c r="CA744" i="8"/>
  <c r="BZ744" i="8"/>
  <c r="BY744" i="8"/>
  <c r="BX744" i="8"/>
  <c r="BW744" i="8"/>
  <c r="BV744" i="8"/>
  <c r="BU744" i="8"/>
  <c r="BT744" i="8"/>
  <c r="BS744" i="8"/>
  <c r="BR744" i="8"/>
  <c r="BQ744" i="8"/>
  <c r="BP744" i="8"/>
  <c r="BO744" i="8"/>
  <c r="BN744" i="8"/>
  <c r="BM744" i="8"/>
  <c r="BL744" i="8"/>
  <c r="BK744" i="8"/>
  <c r="BJ744" i="8"/>
  <c r="BI744" i="8"/>
  <c r="BH744" i="8"/>
  <c r="CJ743" i="8"/>
  <c r="CI743" i="8"/>
  <c r="CH743" i="8"/>
  <c r="CG743" i="8"/>
  <c r="CF743" i="8"/>
  <c r="CE743" i="8"/>
  <c r="CD743" i="8"/>
  <c r="CC743" i="8"/>
  <c r="CB743" i="8"/>
  <c r="CA743" i="8"/>
  <c r="BZ743" i="8"/>
  <c r="BY743" i="8"/>
  <c r="BX743" i="8"/>
  <c r="BW743" i="8"/>
  <c r="BV743" i="8"/>
  <c r="BU743" i="8"/>
  <c r="BT743" i="8"/>
  <c r="BS743" i="8"/>
  <c r="BR743" i="8"/>
  <c r="BQ743" i="8"/>
  <c r="BP743" i="8"/>
  <c r="BO743" i="8"/>
  <c r="BN743" i="8"/>
  <c r="BM743" i="8"/>
  <c r="BL743" i="8"/>
  <c r="BK743" i="8"/>
  <c r="BJ743" i="8"/>
  <c r="BI743" i="8"/>
  <c r="BH743" i="8"/>
  <c r="CJ742" i="8"/>
  <c r="CI742" i="8"/>
  <c r="CH742" i="8"/>
  <c r="CG742" i="8"/>
  <c r="CF742" i="8"/>
  <c r="CE742" i="8"/>
  <c r="CD742" i="8"/>
  <c r="CC742" i="8"/>
  <c r="CB742" i="8"/>
  <c r="CA742" i="8"/>
  <c r="BZ742" i="8"/>
  <c r="BY742" i="8"/>
  <c r="BX742" i="8"/>
  <c r="BW742" i="8"/>
  <c r="BV742" i="8"/>
  <c r="BU742" i="8"/>
  <c r="BT742" i="8"/>
  <c r="BS742" i="8"/>
  <c r="BR742" i="8"/>
  <c r="BQ742" i="8"/>
  <c r="BP742" i="8"/>
  <c r="BO742" i="8"/>
  <c r="BN742" i="8"/>
  <c r="BM742" i="8"/>
  <c r="BL742" i="8"/>
  <c r="BK742" i="8"/>
  <c r="BJ742" i="8"/>
  <c r="BI742" i="8"/>
  <c r="BH742" i="8"/>
  <c r="CJ741" i="8"/>
  <c r="CI741" i="8"/>
  <c r="CH741" i="8"/>
  <c r="CG741" i="8"/>
  <c r="CF741" i="8"/>
  <c r="CE741" i="8"/>
  <c r="CD741" i="8"/>
  <c r="CC741" i="8"/>
  <c r="CB741" i="8"/>
  <c r="CA741" i="8"/>
  <c r="BZ741" i="8"/>
  <c r="BY741" i="8"/>
  <c r="BX741" i="8"/>
  <c r="BW741" i="8"/>
  <c r="BV741" i="8"/>
  <c r="BU741" i="8"/>
  <c r="BT741" i="8"/>
  <c r="BS741" i="8"/>
  <c r="BR741" i="8"/>
  <c r="BQ741" i="8"/>
  <c r="BP741" i="8"/>
  <c r="BO741" i="8"/>
  <c r="BN741" i="8"/>
  <c r="BM741" i="8"/>
  <c r="BL741" i="8"/>
  <c r="BK741" i="8"/>
  <c r="BJ741" i="8"/>
  <c r="BI741" i="8"/>
  <c r="BH741" i="8"/>
  <c r="CJ740" i="8"/>
  <c r="CI740" i="8"/>
  <c r="CH740" i="8"/>
  <c r="CG740" i="8"/>
  <c r="CF740" i="8"/>
  <c r="CE740" i="8"/>
  <c r="CD740" i="8"/>
  <c r="CC740" i="8"/>
  <c r="CB740" i="8"/>
  <c r="CA740" i="8"/>
  <c r="BZ740" i="8"/>
  <c r="BY740" i="8"/>
  <c r="BX740" i="8"/>
  <c r="BW740" i="8"/>
  <c r="BV740" i="8"/>
  <c r="BU740" i="8"/>
  <c r="BT740" i="8"/>
  <c r="BS740" i="8"/>
  <c r="BR740" i="8"/>
  <c r="BQ740" i="8"/>
  <c r="BP740" i="8"/>
  <c r="BO740" i="8"/>
  <c r="BN740" i="8"/>
  <c r="BM740" i="8"/>
  <c r="BL740" i="8"/>
  <c r="BK740" i="8"/>
  <c r="BJ740" i="8"/>
  <c r="BI740" i="8"/>
  <c r="BH740" i="8"/>
  <c r="CJ739" i="8"/>
  <c r="CI739" i="8"/>
  <c r="CH739" i="8"/>
  <c r="CG739" i="8"/>
  <c r="CF739" i="8"/>
  <c r="CE739" i="8"/>
  <c r="CD739" i="8"/>
  <c r="CC739" i="8"/>
  <c r="CB739" i="8"/>
  <c r="CA739" i="8"/>
  <c r="BZ739" i="8"/>
  <c r="BY739" i="8"/>
  <c r="BX739" i="8"/>
  <c r="BW739" i="8"/>
  <c r="BV739" i="8"/>
  <c r="BU739" i="8"/>
  <c r="BT739" i="8"/>
  <c r="BS739" i="8"/>
  <c r="BR739" i="8"/>
  <c r="BQ739" i="8"/>
  <c r="BP739" i="8"/>
  <c r="BO739" i="8"/>
  <c r="BN739" i="8"/>
  <c r="BM739" i="8"/>
  <c r="BL739" i="8"/>
  <c r="BK739" i="8"/>
  <c r="BJ739" i="8"/>
  <c r="BI739" i="8"/>
  <c r="BH739" i="8"/>
  <c r="CJ738" i="8"/>
  <c r="CI738" i="8"/>
  <c r="CH738" i="8"/>
  <c r="CG738" i="8"/>
  <c r="CF738" i="8"/>
  <c r="CE738" i="8"/>
  <c r="CD738" i="8"/>
  <c r="CC738" i="8"/>
  <c r="CB738" i="8"/>
  <c r="CA738" i="8"/>
  <c r="BZ738" i="8"/>
  <c r="BY738" i="8"/>
  <c r="BX738" i="8"/>
  <c r="BW738" i="8"/>
  <c r="BV738" i="8"/>
  <c r="BU738" i="8"/>
  <c r="BT738" i="8"/>
  <c r="BS738" i="8"/>
  <c r="BR738" i="8"/>
  <c r="BQ738" i="8"/>
  <c r="BP738" i="8"/>
  <c r="BO738" i="8"/>
  <c r="BN738" i="8"/>
  <c r="BM738" i="8"/>
  <c r="BL738" i="8"/>
  <c r="BK738" i="8"/>
  <c r="BJ738" i="8"/>
  <c r="BI738" i="8"/>
  <c r="BH738" i="8"/>
  <c r="CJ733" i="8"/>
  <c r="CI733" i="8"/>
  <c r="CH733" i="8"/>
  <c r="CG733" i="8"/>
  <c r="CF733" i="8"/>
  <c r="CE733" i="8"/>
  <c r="CD733" i="8"/>
  <c r="CC733" i="8"/>
  <c r="CB733" i="8"/>
  <c r="CA733" i="8"/>
  <c r="BZ733" i="8"/>
  <c r="BY733" i="8"/>
  <c r="BX733" i="8"/>
  <c r="BW733" i="8"/>
  <c r="BV733" i="8"/>
  <c r="BU733" i="8"/>
  <c r="BT733" i="8"/>
  <c r="BS733" i="8"/>
  <c r="BR733" i="8"/>
  <c r="BQ733" i="8"/>
  <c r="BP733" i="8"/>
  <c r="BO733" i="8"/>
  <c r="BN733" i="8"/>
  <c r="BM733" i="8"/>
  <c r="BL733" i="8"/>
  <c r="BK733" i="8"/>
  <c r="BJ733" i="8"/>
  <c r="BI733" i="8"/>
  <c r="BH733" i="8"/>
  <c r="CJ732" i="8"/>
  <c r="CI732" i="8"/>
  <c r="CH732" i="8"/>
  <c r="CG732" i="8"/>
  <c r="CF732" i="8"/>
  <c r="CE732" i="8"/>
  <c r="CD732" i="8"/>
  <c r="CC732" i="8"/>
  <c r="CB732" i="8"/>
  <c r="CA732" i="8"/>
  <c r="BZ732" i="8"/>
  <c r="BY732" i="8"/>
  <c r="BX732" i="8"/>
  <c r="BW732" i="8"/>
  <c r="BV732" i="8"/>
  <c r="BU732" i="8"/>
  <c r="BT732" i="8"/>
  <c r="BS732" i="8"/>
  <c r="BR732" i="8"/>
  <c r="BQ732" i="8"/>
  <c r="BP732" i="8"/>
  <c r="BO732" i="8"/>
  <c r="BN732" i="8"/>
  <c r="BM732" i="8"/>
  <c r="BL732" i="8"/>
  <c r="BK732" i="8"/>
  <c r="BJ732" i="8"/>
  <c r="BI732" i="8"/>
  <c r="BH732" i="8"/>
  <c r="CJ731" i="8"/>
  <c r="CI731" i="8"/>
  <c r="CH731" i="8"/>
  <c r="CG731" i="8"/>
  <c r="CF731" i="8"/>
  <c r="CE731" i="8"/>
  <c r="CD731" i="8"/>
  <c r="CC731" i="8"/>
  <c r="CB731" i="8"/>
  <c r="CA731" i="8"/>
  <c r="BZ731" i="8"/>
  <c r="BY731" i="8"/>
  <c r="BX731" i="8"/>
  <c r="BW731" i="8"/>
  <c r="BV731" i="8"/>
  <c r="BU731" i="8"/>
  <c r="BT731" i="8"/>
  <c r="BS731" i="8"/>
  <c r="BR731" i="8"/>
  <c r="BQ731" i="8"/>
  <c r="BP731" i="8"/>
  <c r="BO731" i="8"/>
  <c r="BN731" i="8"/>
  <c r="BM731" i="8"/>
  <c r="BL731" i="8"/>
  <c r="BK731" i="8"/>
  <c r="BJ731" i="8"/>
  <c r="BI731" i="8"/>
  <c r="BH731" i="8"/>
  <c r="CJ730" i="8"/>
  <c r="CI730" i="8"/>
  <c r="CH730" i="8"/>
  <c r="CG730" i="8"/>
  <c r="CF730" i="8"/>
  <c r="CE730" i="8"/>
  <c r="CD730" i="8"/>
  <c r="CC730" i="8"/>
  <c r="CB730" i="8"/>
  <c r="CA730" i="8"/>
  <c r="BZ730" i="8"/>
  <c r="BY730" i="8"/>
  <c r="BX730" i="8"/>
  <c r="BW730" i="8"/>
  <c r="BV730" i="8"/>
  <c r="BU730" i="8"/>
  <c r="BT730" i="8"/>
  <c r="BS730" i="8"/>
  <c r="BR730" i="8"/>
  <c r="BQ730" i="8"/>
  <c r="BP730" i="8"/>
  <c r="BO730" i="8"/>
  <c r="BN730" i="8"/>
  <c r="BM730" i="8"/>
  <c r="BL730" i="8"/>
  <c r="BK730" i="8"/>
  <c r="BJ730" i="8"/>
  <c r="BI730" i="8"/>
  <c r="BH730" i="8"/>
  <c r="CJ729" i="8"/>
  <c r="CI729" i="8"/>
  <c r="CH729" i="8"/>
  <c r="CG729" i="8"/>
  <c r="CF729" i="8"/>
  <c r="CE729" i="8"/>
  <c r="CD729" i="8"/>
  <c r="CC729" i="8"/>
  <c r="CB729" i="8"/>
  <c r="CA729" i="8"/>
  <c r="BZ729" i="8"/>
  <c r="BY729" i="8"/>
  <c r="BX729" i="8"/>
  <c r="BW729" i="8"/>
  <c r="BV729" i="8"/>
  <c r="BU729" i="8"/>
  <c r="BT729" i="8"/>
  <c r="BS729" i="8"/>
  <c r="BR729" i="8"/>
  <c r="BQ729" i="8"/>
  <c r="BP729" i="8"/>
  <c r="BO729" i="8"/>
  <c r="BN729" i="8"/>
  <c r="BM729" i="8"/>
  <c r="BL729" i="8"/>
  <c r="BK729" i="8"/>
  <c r="BJ729" i="8"/>
  <c r="BI729" i="8"/>
  <c r="BH729" i="8"/>
  <c r="CJ728" i="8"/>
  <c r="CI728" i="8"/>
  <c r="CH728" i="8"/>
  <c r="CG728" i="8"/>
  <c r="CF728" i="8"/>
  <c r="CE728" i="8"/>
  <c r="CD728" i="8"/>
  <c r="CC728" i="8"/>
  <c r="CB728" i="8"/>
  <c r="CA728" i="8"/>
  <c r="BZ728" i="8"/>
  <c r="BY728" i="8"/>
  <c r="BX728" i="8"/>
  <c r="BW728" i="8"/>
  <c r="BV728" i="8"/>
  <c r="BU728" i="8"/>
  <c r="BT728" i="8"/>
  <c r="BS728" i="8"/>
  <c r="BR728" i="8"/>
  <c r="BQ728" i="8"/>
  <c r="BP728" i="8"/>
  <c r="BO728" i="8"/>
  <c r="BN728" i="8"/>
  <c r="BM728" i="8"/>
  <c r="BL728" i="8"/>
  <c r="BK728" i="8"/>
  <c r="BJ728" i="8"/>
  <c r="BI728" i="8"/>
  <c r="BH728" i="8"/>
  <c r="CJ727" i="8"/>
  <c r="CI727" i="8"/>
  <c r="CH727" i="8"/>
  <c r="CG727" i="8"/>
  <c r="CF727" i="8"/>
  <c r="CE727" i="8"/>
  <c r="CD727" i="8"/>
  <c r="CC727" i="8"/>
  <c r="CB727" i="8"/>
  <c r="CA727" i="8"/>
  <c r="BZ727" i="8"/>
  <c r="BY727" i="8"/>
  <c r="BX727" i="8"/>
  <c r="BW727" i="8"/>
  <c r="BV727" i="8"/>
  <c r="BU727" i="8"/>
  <c r="BT727" i="8"/>
  <c r="BS727" i="8"/>
  <c r="BR727" i="8"/>
  <c r="BQ727" i="8"/>
  <c r="BP727" i="8"/>
  <c r="BO727" i="8"/>
  <c r="BN727" i="8"/>
  <c r="BM727" i="8"/>
  <c r="BL727" i="8"/>
  <c r="BK727" i="8"/>
  <c r="BJ727" i="8"/>
  <c r="BI727" i="8"/>
  <c r="BH727" i="8"/>
  <c r="CJ726" i="8"/>
  <c r="CI726" i="8"/>
  <c r="CH726" i="8"/>
  <c r="CG726" i="8"/>
  <c r="CF726" i="8"/>
  <c r="CE726" i="8"/>
  <c r="CD726" i="8"/>
  <c r="CC726" i="8"/>
  <c r="CB726" i="8"/>
  <c r="CA726" i="8"/>
  <c r="BZ726" i="8"/>
  <c r="BY726" i="8"/>
  <c r="BX726" i="8"/>
  <c r="BW726" i="8"/>
  <c r="BV726" i="8"/>
  <c r="BU726" i="8"/>
  <c r="BT726" i="8"/>
  <c r="BS726" i="8"/>
  <c r="BR726" i="8"/>
  <c r="BQ726" i="8"/>
  <c r="BP726" i="8"/>
  <c r="BO726" i="8"/>
  <c r="BN726" i="8"/>
  <c r="BM726" i="8"/>
  <c r="BL726" i="8"/>
  <c r="BK726" i="8"/>
  <c r="BJ726" i="8"/>
  <c r="BI726" i="8"/>
  <c r="BH726" i="8"/>
  <c r="CJ725" i="8"/>
  <c r="CI725" i="8"/>
  <c r="CH725" i="8"/>
  <c r="CG725" i="8"/>
  <c r="CF725" i="8"/>
  <c r="CE725" i="8"/>
  <c r="CD725" i="8"/>
  <c r="CC725" i="8"/>
  <c r="CB725" i="8"/>
  <c r="CA725" i="8"/>
  <c r="BZ725" i="8"/>
  <c r="BY725" i="8"/>
  <c r="BX725" i="8"/>
  <c r="BW725" i="8"/>
  <c r="BV725" i="8"/>
  <c r="BU725" i="8"/>
  <c r="BT725" i="8"/>
  <c r="BS725" i="8"/>
  <c r="BR725" i="8"/>
  <c r="BQ725" i="8"/>
  <c r="BP725" i="8"/>
  <c r="BO725" i="8"/>
  <c r="BN725" i="8"/>
  <c r="BM725" i="8"/>
  <c r="BL725" i="8"/>
  <c r="BK725" i="8"/>
  <c r="BJ725" i="8"/>
  <c r="BI725" i="8"/>
  <c r="BH725" i="8"/>
  <c r="CJ724" i="8"/>
  <c r="CI724" i="8"/>
  <c r="CH724" i="8"/>
  <c r="CG724" i="8"/>
  <c r="CF724" i="8"/>
  <c r="CE724" i="8"/>
  <c r="CD724" i="8"/>
  <c r="CC724" i="8"/>
  <c r="CB724" i="8"/>
  <c r="CA724" i="8"/>
  <c r="BZ724" i="8"/>
  <c r="BY724" i="8"/>
  <c r="BX724" i="8"/>
  <c r="BW724" i="8"/>
  <c r="BV724" i="8"/>
  <c r="BU724" i="8"/>
  <c r="BT724" i="8"/>
  <c r="BS724" i="8"/>
  <c r="BR724" i="8"/>
  <c r="BQ724" i="8"/>
  <c r="BP724" i="8"/>
  <c r="BO724" i="8"/>
  <c r="BN724" i="8"/>
  <c r="BM724" i="8"/>
  <c r="BL724" i="8"/>
  <c r="BK724" i="8"/>
  <c r="BJ724" i="8"/>
  <c r="BI724" i="8"/>
  <c r="BH724" i="8"/>
  <c r="CJ723" i="8"/>
  <c r="CI723" i="8"/>
  <c r="CH723" i="8"/>
  <c r="CG723" i="8"/>
  <c r="CF723" i="8"/>
  <c r="CE723" i="8"/>
  <c r="CD723" i="8"/>
  <c r="CC723" i="8"/>
  <c r="CB723" i="8"/>
  <c r="CA723" i="8"/>
  <c r="BZ723" i="8"/>
  <c r="BY723" i="8"/>
  <c r="BX723" i="8"/>
  <c r="BW723" i="8"/>
  <c r="BV723" i="8"/>
  <c r="BU723" i="8"/>
  <c r="BT723" i="8"/>
  <c r="BS723" i="8"/>
  <c r="BR723" i="8"/>
  <c r="BQ723" i="8"/>
  <c r="BP723" i="8"/>
  <c r="BO723" i="8"/>
  <c r="BN723" i="8"/>
  <c r="BM723" i="8"/>
  <c r="BL723" i="8"/>
  <c r="BK723" i="8"/>
  <c r="BJ723" i="8"/>
  <c r="BI723" i="8"/>
  <c r="BH723" i="8"/>
  <c r="CJ722" i="8"/>
  <c r="CI722" i="8"/>
  <c r="CH722" i="8"/>
  <c r="CG722" i="8"/>
  <c r="CF722" i="8"/>
  <c r="CE722" i="8"/>
  <c r="CD722" i="8"/>
  <c r="CC722" i="8"/>
  <c r="CB722" i="8"/>
  <c r="CA722" i="8"/>
  <c r="BZ722" i="8"/>
  <c r="BY722" i="8"/>
  <c r="BX722" i="8"/>
  <c r="BW722" i="8"/>
  <c r="BV722" i="8"/>
  <c r="BU722" i="8"/>
  <c r="BT722" i="8"/>
  <c r="BS722" i="8"/>
  <c r="BR722" i="8"/>
  <c r="BQ722" i="8"/>
  <c r="BP722" i="8"/>
  <c r="BO722" i="8"/>
  <c r="BN722" i="8"/>
  <c r="BM722" i="8"/>
  <c r="BL722" i="8"/>
  <c r="BK722" i="8"/>
  <c r="BJ722" i="8"/>
  <c r="BI722" i="8"/>
  <c r="BH722" i="8"/>
  <c r="CJ721" i="8"/>
  <c r="CI721" i="8"/>
  <c r="CH721" i="8"/>
  <c r="CG721" i="8"/>
  <c r="CF721" i="8"/>
  <c r="CE721" i="8"/>
  <c r="CD721" i="8"/>
  <c r="CC721" i="8"/>
  <c r="CB721" i="8"/>
  <c r="CA721" i="8"/>
  <c r="BZ721" i="8"/>
  <c r="BY721" i="8"/>
  <c r="BX721" i="8"/>
  <c r="BW721" i="8"/>
  <c r="BV721" i="8"/>
  <c r="BU721" i="8"/>
  <c r="BT721" i="8"/>
  <c r="BS721" i="8"/>
  <c r="BR721" i="8"/>
  <c r="BQ721" i="8"/>
  <c r="BP721" i="8"/>
  <c r="BO721" i="8"/>
  <c r="BN721" i="8"/>
  <c r="BM721" i="8"/>
  <c r="BL721" i="8"/>
  <c r="BK721" i="8"/>
  <c r="BJ721" i="8"/>
  <c r="BI721" i="8"/>
  <c r="BH721" i="8"/>
  <c r="CJ720" i="8"/>
  <c r="CI720" i="8"/>
  <c r="CH720" i="8"/>
  <c r="CG720" i="8"/>
  <c r="CF720" i="8"/>
  <c r="CE720" i="8"/>
  <c r="CD720" i="8"/>
  <c r="CC720" i="8"/>
  <c r="CB720" i="8"/>
  <c r="CA720" i="8"/>
  <c r="BZ720" i="8"/>
  <c r="BY720" i="8"/>
  <c r="BX720" i="8"/>
  <c r="BW720" i="8"/>
  <c r="BV720" i="8"/>
  <c r="BU720" i="8"/>
  <c r="BT720" i="8"/>
  <c r="BS720" i="8"/>
  <c r="BR720" i="8"/>
  <c r="BQ720" i="8"/>
  <c r="BP720" i="8"/>
  <c r="BO720" i="8"/>
  <c r="BN720" i="8"/>
  <c r="BM720" i="8"/>
  <c r="BL720" i="8"/>
  <c r="BK720" i="8"/>
  <c r="BJ720" i="8"/>
  <c r="BI720" i="8"/>
  <c r="BH720" i="8"/>
  <c r="CJ719" i="8"/>
  <c r="CI719" i="8"/>
  <c r="CH719" i="8"/>
  <c r="CG719" i="8"/>
  <c r="CF719" i="8"/>
  <c r="CE719" i="8"/>
  <c r="CD719" i="8"/>
  <c r="CC719" i="8"/>
  <c r="CB719" i="8"/>
  <c r="CA719" i="8"/>
  <c r="BZ719" i="8"/>
  <c r="BY719" i="8"/>
  <c r="BX719" i="8"/>
  <c r="BW719" i="8"/>
  <c r="BV719" i="8"/>
  <c r="BU719" i="8"/>
  <c r="BT719" i="8"/>
  <c r="BS719" i="8"/>
  <c r="BR719" i="8"/>
  <c r="BQ719" i="8"/>
  <c r="BP719" i="8"/>
  <c r="BO719" i="8"/>
  <c r="BN719" i="8"/>
  <c r="BM719" i="8"/>
  <c r="BL719" i="8"/>
  <c r="BK719" i="8"/>
  <c r="BJ719" i="8"/>
  <c r="BI719" i="8"/>
  <c r="BH719" i="8"/>
  <c r="CJ718" i="8"/>
  <c r="CI718" i="8"/>
  <c r="CH718" i="8"/>
  <c r="CG718" i="8"/>
  <c r="CF718" i="8"/>
  <c r="CE718" i="8"/>
  <c r="CD718" i="8"/>
  <c r="CC718" i="8"/>
  <c r="CB718" i="8"/>
  <c r="CA718" i="8"/>
  <c r="BZ718" i="8"/>
  <c r="BY718" i="8"/>
  <c r="BX718" i="8"/>
  <c r="BW718" i="8"/>
  <c r="BV718" i="8"/>
  <c r="BU718" i="8"/>
  <c r="BT718" i="8"/>
  <c r="BS718" i="8"/>
  <c r="BR718" i="8"/>
  <c r="BQ718" i="8"/>
  <c r="BP718" i="8"/>
  <c r="BO718" i="8"/>
  <c r="BN718" i="8"/>
  <c r="BM718" i="8"/>
  <c r="BL718" i="8"/>
  <c r="BK718" i="8"/>
  <c r="BJ718" i="8"/>
  <c r="BI718" i="8"/>
  <c r="BH718" i="8"/>
  <c r="CJ713" i="8"/>
  <c r="CI713" i="8"/>
  <c r="CH713" i="8"/>
  <c r="CG713" i="8"/>
  <c r="CF713" i="8"/>
  <c r="CE713" i="8"/>
  <c r="CD713" i="8"/>
  <c r="CC713" i="8"/>
  <c r="CB713" i="8"/>
  <c r="CA713" i="8"/>
  <c r="BZ713" i="8"/>
  <c r="BY713" i="8"/>
  <c r="BX713" i="8"/>
  <c r="BW713" i="8"/>
  <c r="BV713" i="8"/>
  <c r="BU713" i="8"/>
  <c r="BT713" i="8"/>
  <c r="BS713" i="8"/>
  <c r="BR713" i="8"/>
  <c r="BQ713" i="8"/>
  <c r="BP713" i="8"/>
  <c r="BO713" i="8"/>
  <c r="BN713" i="8"/>
  <c r="BM713" i="8"/>
  <c r="BL713" i="8"/>
  <c r="BK713" i="8"/>
  <c r="BJ713" i="8"/>
  <c r="BI713" i="8"/>
  <c r="BH713" i="8"/>
  <c r="CJ712" i="8"/>
  <c r="CI712" i="8"/>
  <c r="CH712" i="8"/>
  <c r="CG712" i="8"/>
  <c r="CF712" i="8"/>
  <c r="CE712" i="8"/>
  <c r="CD712" i="8"/>
  <c r="CC712" i="8"/>
  <c r="CB712" i="8"/>
  <c r="CA712" i="8"/>
  <c r="BZ712" i="8"/>
  <c r="BY712" i="8"/>
  <c r="BX712" i="8"/>
  <c r="BW712" i="8"/>
  <c r="BV712" i="8"/>
  <c r="BU712" i="8"/>
  <c r="BT712" i="8"/>
  <c r="BS712" i="8"/>
  <c r="BR712" i="8"/>
  <c r="BQ712" i="8"/>
  <c r="BP712" i="8"/>
  <c r="BO712" i="8"/>
  <c r="BN712" i="8"/>
  <c r="BM712" i="8"/>
  <c r="BL712" i="8"/>
  <c r="BK712" i="8"/>
  <c r="BJ712" i="8"/>
  <c r="BI712" i="8"/>
  <c r="BH712" i="8"/>
  <c r="CJ711" i="8"/>
  <c r="CI711" i="8"/>
  <c r="CH711" i="8"/>
  <c r="CG711" i="8"/>
  <c r="CF711" i="8"/>
  <c r="CE711" i="8"/>
  <c r="CD711" i="8"/>
  <c r="CC711" i="8"/>
  <c r="CB711" i="8"/>
  <c r="CA711" i="8"/>
  <c r="BZ711" i="8"/>
  <c r="BY711" i="8"/>
  <c r="BX711" i="8"/>
  <c r="BW711" i="8"/>
  <c r="BV711" i="8"/>
  <c r="BU711" i="8"/>
  <c r="BT711" i="8"/>
  <c r="BS711" i="8"/>
  <c r="BR711" i="8"/>
  <c r="BQ711" i="8"/>
  <c r="BP711" i="8"/>
  <c r="BO711" i="8"/>
  <c r="BN711" i="8"/>
  <c r="BM711" i="8"/>
  <c r="BL711" i="8"/>
  <c r="BK711" i="8"/>
  <c r="BJ711" i="8"/>
  <c r="BI711" i="8"/>
  <c r="BH711" i="8"/>
  <c r="CJ710" i="8"/>
  <c r="CI710" i="8"/>
  <c r="CH710" i="8"/>
  <c r="CG710" i="8"/>
  <c r="CF710" i="8"/>
  <c r="CE710" i="8"/>
  <c r="CD710" i="8"/>
  <c r="CC710" i="8"/>
  <c r="CB710" i="8"/>
  <c r="CA710" i="8"/>
  <c r="BZ710" i="8"/>
  <c r="BY710" i="8"/>
  <c r="BX710" i="8"/>
  <c r="BW710" i="8"/>
  <c r="BV710" i="8"/>
  <c r="BU710" i="8"/>
  <c r="BT710" i="8"/>
  <c r="BS710" i="8"/>
  <c r="BR710" i="8"/>
  <c r="BQ710" i="8"/>
  <c r="BP710" i="8"/>
  <c r="BO710" i="8"/>
  <c r="BN710" i="8"/>
  <c r="BM710" i="8"/>
  <c r="BL710" i="8"/>
  <c r="BK710" i="8"/>
  <c r="BJ710" i="8"/>
  <c r="BI710" i="8"/>
  <c r="BH710" i="8"/>
  <c r="CJ709" i="8"/>
  <c r="CI709" i="8"/>
  <c r="CH709" i="8"/>
  <c r="CG709" i="8"/>
  <c r="CF709" i="8"/>
  <c r="CE709" i="8"/>
  <c r="CD709" i="8"/>
  <c r="CC709" i="8"/>
  <c r="CB709" i="8"/>
  <c r="CA709" i="8"/>
  <c r="BZ709" i="8"/>
  <c r="BY709" i="8"/>
  <c r="BX709" i="8"/>
  <c r="BW709" i="8"/>
  <c r="BV709" i="8"/>
  <c r="BU709" i="8"/>
  <c r="BT709" i="8"/>
  <c r="BS709" i="8"/>
  <c r="BR709" i="8"/>
  <c r="BQ709" i="8"/>
  <c r="BP709" i="8"/>
  <c r="BO709" i="8"/>
  <c r="BN709" i="8"/>
  <c r="BM709" i="8"/>
  <c r="BL709" i="8"/>
  <c r="BK709" i="8"/>
  <c r="BJ709" i="8"/>
  <c r="BI709" i="8"/>
  <c r="BH709" i="8"/>
  <c r="CJ708" i="8"/>
  <c r="CI708" i="8"/>
  <c r="CH708" i="8"/>
  <c r="CG708" i="8"/>
  <c r="CF708" i="8"/>
  <c r="CE708" i="8"/>
  <c r="CD708" i="8"/>
  <c r="CC708" i="8"/>
  <c r="CB708" i="8"/>
  <c r="CA708" i="8"/>
  <c r="BZ708" i="8"/>
  <c r="BY708" i="8"/>
  <c r="BX708" i="8"/>
  <c r="BW708" i="8"/>
  <c r="BV708" i="8"/>
  <c r="BU708" i="8"/>
  <c r="BT708" i="8"/>
  <c r="BS708" i="8"/>
  <c r="BR708" i="8"/>
  <c r="BQ708" i="8"/>
  <c r="BP708" i="8"/>
  <c r="BO708" i="8"/>
  <c r="BN708" i="8"/>
  <c r="BM708" i="8"/>
  <c r="BL708" i="8"/>
  <c r="BK708" i="8"/>
  <c r="BJ708" i="8"/>
  <c r="BI708" i="8"/>
  <c r="BH708" i="8"/>
  <c r="CJ707" i="8"/>
  <c r="CI707" i="8"/>
  <c r="CH707" i="8"/>
  <c r="CG707" i="8"/>
  <c r="CF707" i="8"/>
  <c r="CE707" i="8"/>
  <c r="CD707" i="8"/>
  <c r="CC707" i="8"/>
  <c r="CB707" i="8"/>
  <c r="CA707" i="8"/>
  <c r="BZ707" i="8"/>
  <c r="BY707" i="8"/>
  <c r="BX707" i="8"/>
  <c r="BW707" i="8"/>
  <c r="BV707" i="8"/>
  <c r="BU707" i="8"/>
  <c r="BT707" i="8"/>
  <c r="BS707" i="8"/>
  <c r="BR707" i="8"/>
  <c r="BQ707" i="8"/>
  <c r="BP707" i="8"/>
  <c r="BO707" i="8"/>
  <c r="BN707" i="8"/>
  <c r="BM707" i="8"/>
  <c r="BL707" i="8"/>
  <c r="BK707" i="8"/>
  <c r="BJ707" i="8"/>
  <c r="BI707" i="8"/>
  <c r="BH707" i="8"/>
  <c r="CJ706" i="8"/>
  <c r="CI706" i="8"/>
  <c r="CH706" i="8"/>
  <c r="CG706" i="8"/>
  <c r="CF706" i="8"/>
  <c r="CE706" i="8"/>
  <c r="CD706" i="8"/>
  <c r="CC706" i="8"/>
  <c r="CB706" i="8"/>
  <c r="CA706" i="8"/>
  <c r="BZ706" i="8"/>
  <c r="BY706" i="8"/>
  <c r="BX706" i="8"/>
  <c r="BW706" i="8"/>
  <c r="BV706" i="8"/>
  <c r="BU706" i="8"/>
  <c r="BT706" i="8"/>
  <c r="BS706" i="8"/>
  <c r="BR706" i="8"/>
  <c r="BQ706" i="8"/>
  <c r="BP706" i="8"/>
  <c r="BO706" i="8"/>
  <c r="BN706" i="8"/>
  <c r="BM706" i="8"/>
  <c r="BL706" i="8"/>
  <c r="BK706" i="8"/>
  <c r="BJ706" i="8"/>
  <c r="BI706" i="8"/>
  <c r="BH706" i="8"/>
  <c r="CJ705" i="8"/>
  <c r="CI705" i="8"/>
  <c r="CH705" i="8"/>
  <c r="CG705" i="8"/>
  <c r="CF705" i="8"/>
  <c r="CE705" i="8"/>
  <c r="CD705" i="8"/>
  <c r="CC705" i="8"/>
  <c r="CB705" i="8"/>
  <c r="CA705" i="8"/>
  <c r="BZ705" i="8"/>
  <c r="BY705" i="8"/>
  <c r="BX705" i="8"/>
  <c r="BW705" i="8"/>
  <c r="BV705" i="8"/>
  <c r="BU705" i="8"/>
  <c r="BT705" i="8"/>
  <c r="BS705" i="8"/>
  <c r="BR705" i="8"/>
  <c r="BQ705" i="8"/>
  <c r="BP705" i="8"/>
  <c r="BO705" i="8"/>
  <c r="BN705" i="8"/>
  <c r="BM705" i="8"/>
  <c r="BL705" i="8"/>
  <c r="BK705" i="8"/>
  <c r="BJ705" i="8"/>
  <c r="BI705" i="8"/>
  <c r="BH705" i="8"/>
  <c r="CJ704" i="8"/>
  <c r="CI704" i="8"/>
  <c r="CH704" i="8"/>
  <c r="CG704" i="8"/>
  <c r="CF704" i="8"/>
  <c r="CE704" i="8"/>
  <c r="CD704" i="8"/>
  <c r="CC704" i="8"/>
  <c r="CB704" i="8"/>
  <c r="CA704" i="8"/>
  <c r="BZ704" i="8"/>
  <c r="BY704" i="8"/>
  <c r="BX704" i="8"/>
  <c r="BW704" i="8"/>
  <c r="BV704" i="8"/>
  <c r="BU704" i="8"/>
  <c r="BT704" i="8"/>
  <c r="BS704" i="8"/>
  <c r="BR704" i="8"/>
  <c r="BQ704" i="8"/>
  <c r="BP704" i="8"/>
  <c r="BO704" i="8"/>
  <c r="BN704" i="8"/>
  <c r="BM704" i="8"/>
  <c r="BL704" i="8"/>
  <c r="BK704" i="8"/>
  <c r="BJ704" i="8"/>
  <c r="BI704" i="8"/>
  <c r="BH704" i="8"/>
  <c r="CJ703" i="8"/>
  <c r="CI703" i="8"/>
  <c r="CH703" i="8"/>
  <c r="CG703" i="8"/>
  <c r="CF703" i="8"/>
  <c r="CE703" i="8"/>
  <c r="CD703" i="8"/>
  <c r="CC703" i="8"/>
  <c r="CB703" i="8"/>
  <c r="CA703" i="8"/>
  <c r="BZ703" i="8"/>
  <c r="BY703" i="8"/>
  <c r="BX703" i="8"/>
  <c r="BW703" i="8"/>
  <c r="BV703" i="8"/>
  <c r="BU703" i="8"/>
  <c r="BT703" i="8"/>
  <c r="BS703" i="8"/>
  <c r="BR703" i="8"/>
  <c r="BQ703" i="8"/>
  <c r="BP703" i="8"/>
  <c r="BO703" i="8"/>
  <c r="BN703" i="8"/>
  <c r="BM703" i="8"/>
  <c r="BL703" i="8"/>
  <c r="BK703" i="8"/>
  <c r="BJ703" i="8"/>
  <c r="BI703" i="8"/>
  <c r="BH703" i="8"/>
  <c r="CJ702" i="8"/>
  <c r="CI702" i="8"/>
  <c r="CH702" i="8"/>
  <c r="CG702" i="8"/>
  <c r="CF702" i="8"/>
  <c r="CE702" i="8"/>
  <c r="CD702" i="8"/>
  <c r="CC702" i="8"/>
  <c r="CB702" i="8"/>
  <c r="CA702" i="8"/>
  <c r="BZ702" i="8"/>
  <c r="BY702" i="8"/>
  <c r="BX702" i="8"/>
  <c r="BW702" i="8"/>
  <c r="BV702" i="8"/>
  <c r="BU702" i="8"/>
  <c r="BT702" i="8"/>
  <c r="BS702" i="8"/>
  <c r="BR702" i="8"/>
  <c r="BQ702" i="8"/>
  <c r="BP702" i="8"/>
  <c r="BO702" i="8"/>
  <c r="BN702" i="8"/>
  <c r="BM702" i="8"/>
  <c r="BL702" i="8"/>
  <c r="BK702" i="8"/>
  <c r="BJ702" i="8"/>
  <c r="BI702" i="8"/>
  <c r="BH702" i="8"/>
  <c r="CJ701" i="8"/>
  <c r="CI701" i="8"/>
  <c r="CH701" i="8"/>
  <c r="CG701" i="8"/>
  <c r="CF701" i="8"/>
  <c r="CE701" i="8"/>
  <c r="CD701" i="8"/>
  <c r="CC701" i="8"/>
  <c r="CB701" i="8"/>
  <c r="CA701" i="8"/>
  <c r="BZ701" i="8"/>
  <c r="BY701" i="8"/>
  <c r="BX701" i="8"/>
  <c r="BW701" i="8"/>
  <c r="BV701" i="8"/>
  <c r="BU701" i="8"/>
  <c r="BT701" i="8"/>
  <c r="BS701" i="8"/>
  <c r="BR701" i="8"/>
  <c r="BQ701" i="8"/>
  <c r="BP701" i="8"/>
  <c r="BO701" i="8"/>
  <c r="BN701" i="8"/>
  <c r="BM701" i="8"/>
  <c r="BL701" i="8"/>
  <c r="BK701" i="8"/>
  <c r="BJ701" i="8"/>
  <c r="BI701" i="8"/>
  <c r="BH701" i="8"/>
  <c r="CJ700" i="8"/>
  <c r="CI700" i="8"/>
  <c r="CH700" i="8"/>
  <c r="CG700" i="8"/>
  <c r="CF700" i="8"/>
  <c r="CE700" i="8"/>
  <c r="CD700" i="8"/>
  <c r="CC700" i="8"/>
  <c r="CB700" i="8"/>
  <c r="CA700" i="8"/>
  <c r="BZ700" i="8"/>
  <c r="BY700" i="8"/>
  <c r="BX700" i="8"/>
  <c r="BW700" i="8"/>
  <c r="BV700" i="8"/>
  <c r="BU700" i="8"/>
  <c r="BT700" i="8"/>
  <c r="BS700" i="8"/>
  <c r="BR700" i="8"/>
  <c r="BQ700" i="8"/>
  <c r="BP700" i="8"/>
  <c r="BO700" i="8"/>
  <c r="BN700" i="8"/>
  <c r="BM700" i="8"/>
  <c r="BL700" i="8"/>
  <c r="BK700" i="8"/>
  <c r="BJ700" i="8"/>
  <c r="BI700" i="8"/>
  <c r="BH700" i="8"/>
  <c r="CJ699" i="8"/>
  <c r="CI699" i="8"/>
  <c r="CH699" i="8"/>
  <c r="CG699" i="8"/>
  <c r="CF699" i="8"/>
  <c r="CE699" i="8"/>
  <c r="CD699" i="8"/>
  <c r="CC699" i="8"/>
  <c r="CB699" i="8"/>
  <c r="CA699" i="8"/>
  <c r="BZ699" i="8"/>
  <c r="BY699" i="8"/>
  <c r="BX699" i="8"/>
  <c r="BW699" i="8"/>
  <c r="BV699" i="8"/>
  <c r="BU699" i="8"/>
  <c r="BT699" i="8"/>
  <c r="BS699" i="8"/>
  <c r="BR699" i="8"/>
  <c r="BQ699" i="8"/>
  <c r="BP699" i="8"/>
  <c r="BO699" i="8"/>
  <c r="BN699" i="8"/>
  <c r="BM699" i="8"/>
  <c r="BL699" i="8"/>
  <c r="BK699" i="8"/>
  <c r="BJ699" i="8"/>
  <c r="BI699" i="8"/>
  <c r="BH699" i="8"/>
  <c r="CJ698" i="8"/>
  <c r="CI698" i="8"/>
  <c r="CH698" i="8"/>
  <c r="CG698" i="8"/>
  <c r="CF698" i="8"/>
  <c r="CE698" i="8"/>
  <c r="CD698" i="8"/>
  <c r="CC698" i="8"/>
  <c r="CB698" i="8"/>
  <c r="CA698" i="8"/>
  <c r="BZ698" i="8"/>
  <c r="BY698" i="8"/>
  <c r="BX698" i="8"/>
  <c r="BW698" i="8"/>
  <c r="BV698" i="8"/>
  <c r="BU698" i="8"/>
  <c r="BT698" i="8"/>
  <c r="BS698" i="8"/>
  <c r="BR698" i="8"/>
  <c r="BQ698" i="8"/>
  <c r="BP698" i="8"/>
  <c r="BO698" i="8"/>
  <c r="BN698" i="8"/>
  <c r="BM698" i="8"/>
  <c r="BL698" i="8"/>
  <c r="BK698" i="8"/>
  <c r="BJ698" i="8"/>
  <c r="BI698" i="8"/>
  <c r="BH698" i="8"/>
  <c r="CJ697" i="8"/>
  <c r="CI697" i="8"/>
  <c r="CH697" i="8"/>
  <c r="CG697" i="8"/>
  <c r="CF697" i="8"/>
  <c r="CE697" i="8"/>
  <c r="CD697" i="8"/>
  <c r="CC697" i="8"/>
  <c r="CB697" i="8"/>
  <c r="CA697" i="8"/>
  <c r="BZ697" i="8"/>
  <c r="BY697" i="8"/>
  <c r="BX697" i="8"/>
  <c r="BW697" i="8"/>
  <c r="BV697" i="8"/>
  <c r="BU697" i="8"/>
  <c r="BT697" i="8"/>
  <c r="BS697" i="8"/>
  <c r="BR697" i="8"/>
  <c r="BQ697" i="8"/>
  <c r="BP697" i="8"/>
  <c r="BO697" i="8"/>
  <c r="BN697" i="8"/>
  <c r="BM697" i="8"/>
  <c r="BL697" i="8"/>
  <c r="BK697" i="8"/>
  <c r="BJ697" i="8"/>
  <c r="BI697" i="8"/>
  <c r="BH697" i="8"/>
  <c r="CJ696" i="8"/>
  <c r="CI696" i="8"/>
  <c r="CH696" i="8"/>
  <c r="CG696" i="8"/>
  <c r="CF696" i="8"/>
  <c r="CE696" i="8"/>
  <c r="CD696" i="8"/>
  <c r="CC696" i="8"/>
  <c r="CB696" i="8"/>
  <c r="CA696" i="8"/>
  <c r="BZ696" i="8"/>
  <c r="BY696" i="8"/>
  <c r="BX696" i="8"/>
  <c r="BW696" i="8"/>
  <c r="BV696" i="8"/>
  <c r="BU696" i="8"/>
  <c r="BT696" i="8"/>
  <c r="BS696" i="8"/>
  <c r="BR696" i="8"/>
  <c r="BQ696" i="8"/>
  <c r="BP696" i="8"/>
  <c r="BO696" i="8"/>
  <c r="BN696" i="8"/>
  <c r="BM696" i="8"/>
  <c r="BL696" i="8"/>
  <c r="BK696" i="8"/>
  <c r="BJ696" i="8"/>
  <c r="BI696" i="8"/>
  <c r="BH696" i="8"/>
  <c r="CJ695" i="8"/>
  <c r="CI695" i="8"/>
  <c r="CH695" i="8"/>
  <c r="CG695" i="8"/>
  <c r="CF695" i="8"/>
  <c r="CE695" i="8"/>
  <c r="CD695" i="8"/>
  <c r="CC695" i="8"/>
  <c r="CB695" i="8"/>
  <c r="CA695" i="8"/>
  <c r="BZ695" i="8"/>
  <c r="BY695" i="8"/>
  <c r="BX695" i="8"/>
  <c r="BW695" i="8"/>
  <c r="BV695" i="8"/>
  <c r="BU695" i="8"/>
  <c r="BT695" i="8"/>
  <c r="BS695" i="8"/>
  <c r="BR695" i="8"/>
  <c r="BQ695" i="8"/>
  <c r="BP695" i="8"/>
  <c r="BO695" i="8"/>
  <c r="BN695" i="8"/>
  <c r="BM695" i="8"/>
  <c r="BL695" i="8"/>
  <c r="BK695" i="8"/>
  <c r="BJ695" i="8"/>
  <c r="BI695" i="8"/>
  <c r="BH695" i="8"/>
  <c r="CJ694" i="8"/>
  <c r="CI694" i="8"/>
  <c r="CH694" i="8"/>
  <c r="CG694" i="8"/>
  <c r="CF694" i="8"/>
  <c r="CE694" i="8"/>
  <c r="CD694" i="8"/>
  <c r="CC694" i="8"/>
  <c r="CB694" i="8"/>
  <c r="CA694" i="8"/>
  <c r="BZ694" i="8"/>
  <c r="BY694" i="8"/>
  <c r="BX694" i="8"/>
  <c r="BW694" i="8"/>
  <c r="BV694" i="8"/>
  <c r="BU694" i="8"/>
  <c r="BT694" i="8"/>
  <c r="BS694" i="8"/>
  <c r="BR694" i="8"/>
  <c r="BQ694" i="8"/>
  <c r="BP694" i="8"/>
  <c r="BO694" i="8"/>
  <c r="BN694" i="8"/>
  <c r="BM694" i="8"/>
  <c r="BL694" i="8"/>
  <c r="BK694" i="8"/>
  <c r="BJ694" i="8"/>
  <c r="BI694" i="8"/>
  <c r="BH694" i="8"/>
  <c r="CJ693" i="8"/>
  <c r="CI693" i="8"/>
  <c r="CH693" i="8"/>
  <c r="CG693" i="8"/>
  <c r="CF693" i="8"/>
  <c r="CE693" i="8"/>
  <c r="CD693" i="8"/>
  <c r="CC693" i="8"/>
  <c r="CB693" i="8"/>
  <c r="CA693" i="8"/>
  <c r="BZ693" i="8"/>
  <c r="BY693" i="8"/>
  <c r="BX693" i="8"/>
  <c r="BW693" i="8"/>
  <c r="BV693" i="8"/>
  <c r="BU693" i="8"/>
  <c r="BT693" i="8"/>
  <c r="BS693" i="8"/>
  <c r="BR693" i="8"/>
  <c r="BQ693" i="8"/>
  <c r="BP693" i="8"/>
  <c r="BO693" i="8"/>
  <c r="BN693" i="8"/>
  <c r="BM693" i="8"/>
  <c r="BL693" i="8"/>
  <c r="BK693" i="8"/>
  <c r="BJ693" i="8"/>
  <c r="BI693" i="8"/>
  <c r="BH693" i="8"/>
  <c r="CJ692" i="8"/>
  <c r="CI692" i="8"/>
  <c r="CH692" i="8"/>
  <c r="CG692" i="8"/>
  <c r="CF692" i="8"/>
  <c r="CE692" i="8"/>
  <c r="CD692" i="8"/>
  <c r="CC692" i="8"/>
  <c r="CB692" i="8"/>
  <c r="CA692" i="8"/>
  <c r="BZ692" i="8"/>
  <c r="BY692" i="8"/>
  <c r="BX692" i="8"/>
  <c r="BW692" i="8"/>
  <c r="BV692" i="8"/>
  <c r="BU692" i="8"/>
  <c r="BT692" i="8"/>
  <c r="BS692" i="8"/>
  <c r="BR692" i="8"/>
  <c r="BQ692" i="8"/>
  <c r="BP692" i="8"/>
  <c r="BO692" i="8"/>
  <c r="BN692" i="8"/>
  <c r="BM692" i="8"/>
  <c r="BL692" i="8"/>
  <c r="BK692" i="8"/>
  <c r="BJ692" i="8"/>
  <c r="BI692" i="8"/>
  <c r="BH692" i="8"/>
  <c r="CJ691" i="8"/>
  <c r="CI691" i="8"/>
  <c r="CH691" i="8"/>
  <c r="CG691" i="8"/>
  <c r="CF691" i="8"/>
  <c r="CE691" i="8"/>
  <c r="CD691" i="8"/>
  <c r="CC691" i="8"/>
  <c r="CB691" i="8"/>
  <c r="CA691" i="8"/>
  <c r="BZ691" i="8"/>
  <c r="BY691" i="8"/>
  <c r="BX691" i="8"/>
  <c r="BW691" i="8"/>
  <c r="BV691" i="8"/>
  <c r="BU691" i="8"/>
  <c r="BT691" i="8"/>
  <c r="BS691" i="8"/>
  <c r="BR691" i="8"/>
  <c r="BQ691" i="8"/>
  <c r="BP691" i="8"/>
  <c r="BO691" i="8"/>
  <c r="BN691" i="8"/>
  <c r="BM691" i="8"/>
  <c r="BL691" i="8"/>
  <c r="BK691" i="8"/>
  <c r="BJ691" i="8"/>
  <c r="BI691" i="8"/>
  <c r="BH691" i="8"/>
  <c r="CJ690" i="8"/>
  <c r="CI690" i="8"/>
  <c r="CH690" i="8"/>
  <c r="CG690" i="8"/>
  <c r="CF690" i="8"/>
  <c r="CE690" i="8"/>
  <c r="CD690" i="8"/>
  <c r="CC690" i="8"/>
  <c r="CB690" i="8"/>
  <c r="CA690" i="8"/>
  <c r="BZ690" i="8"/>
  <c r="BY690" i="8"/>
  <c r="BX690" i="8"/>
  <c r="BW690" i="8"/>
  <c r="BV690" i="8"/>
  <c r="BU690" i="8"/>
  <c r="BT690" i="8"/>
  <c r="BS690" i="8"/>
  <c r="BR690" i="8"/>
  <c r="BQ690" i="8"/>
  <c r="BP690" i="8"/>
  <c r="BO690" i="8"/>
  <c r="BN690" i="8"/>
  <c r="BM690" i="8"/>
  <c r="BL690" i="8"/>
  <c r="BK690" i="8"/>
  <c r="BJ690" i="8"/>
  <c r="BI690" i="8"/>
  <c r="BH690" i="8"/>
  <c r="CJ681" i="8"/>
  <c r="CI681" i="8"/>
  <c r="CH681" i="8"/>
  <c r="CG681" i="8"/>
  <c r="CF681" i="8"/>
  <c r="CE681" i="8"/>
  <c r="CD681" i="8"/>
  <c r="CC681" i="8"/>
  <c r="CB681" i="8"/>
  <c r="CA681" i="8"/>
  <c r="BZ681" i="8"/>
  <c r="BY681" i="8"/>
  <c r="BX681" i="8"/>
  <c r="BW681" i="8"/>
  <c r="BV681" i="8"/>
  <c r="BU681" i="8"/>
  <c r="BT681" i="8"/>
  <c r="BS681" i="8"/>
  <c r="BR681" i="8"/>
  <c r="BQ681" i="8"/>
  <c r="BP681" i="8"/>
  <c r="BO681" i="8"/>
  <c r="BN681" i="8"/>
  <c r="BM681" i="8"/>
  <c r="BL681" i="8"/>
  <c r="BK681" i="8"/>
  <c r="BJ681" i="8"/>
  <c r="BI681" i="8"/>
  <c r="BH681" i="8"/>
  <c r="CJ680" i="8"/>
  <c r="CI680" i="8"/>
  <c r="CH680" i="8"/>
  <c r="CG680" i="8"/>
  <c r="CF680" i="8"/>
  <c r="CE680" i="8"/>
  <c r="CD680" i="8"/>
  <c r="CC680" i="8"/>
  <c r="CB680" i="8"/>
  <c r="CA680" i="8"/>
  <c r="BZ680" i="8"/>
  <c r="BY680" i="8"/>
  <c r="BX680" i="8"/>
  <c r="BW680" i="8"/>
  <c r="BV680" i="8"/>
  <c r="BU680" i="8"/>
  <c r="BT680" i="8"/>
  <c r="BS680" i="8"/>
  <c r="BR680" i="8"/>
  <c r="BQ680" i="8"/>
  <c r="BP680" i="8"/>
  <c r="BO680" i="8"/>
  <c r="BN680" i="8"/>
  <c r="BM680" i="8"/>
  <c r="BL680" i="8"/>
  <c r="BK680" i="8"/>
  <c r="BJ680" i="8"/>
  <c r="BI680" i="8"/>
  <c r="BH680" i="8"/>
  <c r="CJ679" i="8"/>
  <c r="CI679" i="8"/>
  <c r="CH679" i="8"/>
  <c r="CG679" i="8"/>
  <c r="CF679" i="8"/>
  <c r="CE679" i="8"/>
  <c r="CD679" i="8"/>
  <c r="CC679" i="8"/>
  <c r="CB679" i="8"/>
  <c r="CA679" i="8"/>
  <c r="BZ679" i="8"/>
  <c r="BY679" i="8"/>
  <c r="BX679" i="8"/>
  <c r="BW679" i="8"/>
  <c r="BV679" i="8"/>
  <c r="BU679" i="8"/>
  <c r="BT679" i="8"/>
  <c r="BS679" i="8"/>
  <c r="BR679" i="8"/>
  <c r="BQ679" i="8"/>
  <c r="BP679" i="8"/>
  <c r="BO679" i="8"/>
  <c r="BN679" i="8"/>
  <c r="BM679" i="8"/>
  <c r="BL679" i="8"/>
  <c r="BK679" i="8"/>
  <c r="BJ679" i="8"/>
  <c r="BI679" i="8"/>
  <c r="BH679" i="8"/>
  <c r="CJ678" i="8"/>
  <c r="CI678" i="8"/>
  <c r="CH678" i="8"/>
  <c r="CG678" i="8"/>
  <c r="CF678" i="8"/>
  <c r="CE678" i="8"/>
  <c r="CD678" i="8"/>
  <c r="CC678" i="8"/>
  <c r="CB678" i="8"/>
  <c r="CA678" i="8"/>
  <c r="BZ678" i="8"/>
  <c r="BY678" i="8"/>
  <c r="BX678" i="8"/>
  <c r="BW678" i="8"/>
  <c r="BV678" i="8"/>
  <c r="BU678" i="8"/>
  <c r="BT678" i="8"/>
  <c r="BS678" i="8"/>
  <c r="BR678" i="8"/>
  <c r="BQ678" i="8"/>
  <c r="BP678" i="8"/>
  <c r="BO678" i="8"/>
  <c r="BN678" i="8"/>
  <c r="BM678" i="8"/>
  <c r="BL678" i="8"/>
  <c r="BK678" i="8"/>
  <c r="BJ678" i="8"/>
  <c r="BI678" i="8"/>
  <c r="BH678" i="8"/>
  <c r="CJ677" i="8"/>
  <c r="CI677" i="8"/>
  <c r="CH677" i="8"/>
  <c r="CG677" i="8"/>
  <c r="CF677" i="8"/>
  <c r="CE677" i="8"/>
  <c r="CD677" i="8"/>
  <c r="CC677" i="8"/>
  <c r="CB677" i="8"/>
  <c r="CA677" i="8"/>
  <c r="BZ677" i="8"/>
  <c r="BY677" i="8"/>
  <c r="BX677" i="8"/>
  <c r="BW677" i="8"/>
  <c r="BV677" i="8"/>
  <c r="BU677" i="8"/>
  <c r="BT677" i="8"/>
  <c r="BS677" i="8"/>
  <c r="BR677" i="8"/>
  <c r="BQ677" i="8"/>
  <c r="BP677" i="8"/>
  <c r="BO677" i="8"/>
  <c r="BN677" i="8"/>
  <c r="BM677" i="8"/>
  <c r="BL677" i="8"/>
  <c r="BK677" i="8"/>
  <c r="BJ677" i="8"/>
  <c r="BI677" i="8"/>
  <c r="BH677" i="8"/>
  <c r="CJ676" i="8"/>
  <c r="CI676" i="8"/>
  <c r="CH676" i="8"/>
  <c r="CG676" i="8"/>
  <c r="CF676" i="8"/>
  <c r="CE676" i="8"/>
  <c r="CD676" i="8"/>
  <c r="CC676" i="8"/>
  <c r="CB676" i="8"/>
  <c r="CA676" i="8"/>
  <c r="BZ676" i="8"/>
  <c r="BY676" i="8"/>
  <c r="BX676" i="8"/>
  <c r="BW676" i="8"/>
  <c r="BV676" i="8"/>
  <c r="BU676" i="8"/>
  <c r="BT676" i="8"/>
  <c r="BS676" i="8"/>
  <c r="BR676" i="8"/>
  <c r="BQ676" i="8"/>
  <c r="BP676" i="8"/>
  <c r="BO676" i="8"/>
  <c r="BN676" i="8"/>
  <c r="BM676" i="8"/>
  <c r="BL676" i="8"/>
  <c r="BK676" i="8"/>
  <c r="BJ676" i="8"/>
  <c r="BI676" i="8"/>
  <c r="BH676" i="8"/>
  <c r="CJ675" i="8"/>
  <c r="CI675" i="8"/>
  <c r="CH675" i="8"/>
  <c r="CG675" i="8"/>
  <c r="CF675" i="8"/>
  <c r="CE675" i="8"/>
  <c r="CD675" i="8"/>
  <c r="CC675" i="8"/>
  <c r="CB675" i="8"/>
  <c r="CA675" i="8"/>
  <c r="BZ675" i="8"/>
  <c r="BY675" i="8"/>
  <c r="BX675" i="8"/>
  <c r="BW675" i="8"/>
  <c r="BV675" i="8"/>
  <c r="BU675" i="8"/>
  <c r="BT675" i="8"/>
  <c r="BS675" i="8"/>
  <c r="BR675" i="8"/>
  <c r="BQ675" i="8"/>
  <c r="BP675" i="8"/>
  <c r="BO675" i="8"/>
  <c r="BN675" i="8"/>
  <c r="BM675" i="8"/>
  <c r="BL675" i="8"/>
  <c r="BK675" i="8"/>
  <c r="BJ675" i="8"/>
  <c r="BI675" i="8"/>
  <c r="BH675" i="8"/>
  <c r="CJ674" i="8"/>
  <c r="CI674" i="8"/>
  <c r="CH674" i="8"/>
  <c r="CG674" i="8"/>
  <c r="CF674" i="8"/>
  <c r="CE674" i="8"/>
  <c r="CD674" i="8"/>
  <c r="CC674" i="8"/>
  <c r="CB674" i="8"/>
  <c r="CA674" i="8"/>
  <c r="BZ674" i="8"/>
  <c r="BY674" i="8"/>
  <c r="BX674" i="8"/>
  <c r="BW674" i="8"/>
  <c r="BV674" i="8"/>
  <c r="BU674" i="8"/>
  <c r="BT674" i="8"/>
  <c r="BS674" i="8"/>
  <c r="BR674" i="8"/>
  <c r="BQ674" i="8"/>
  <c r="BP674" i="8"/>
  <c r="BO674" i="8"/>
  <c r="BN674" i="8"/>
  <c r="BM674" i="8"/>
  <c r="BL674" i="8"/>
  <c r="BK674" i="8"/>
  <c r="BJ674" i="8"/>
  <c r="BI674" i="8"/>
  <c r="BH674" i="8"/>
  <c r="CJ673" i="8"/>
  <c r="CI673" i="8"/>
  <c r="CH673" i="8"/>
  <c r="CG673" i="8"/>
  <c r="CF673" i="8"/>
  <c r="CE673" i="8"/>
  <c r="CD673" i="8"/>
  <c r="CC673" i="8"/>
  <c r="CB673" i="8"/>
  <c r="CA673" i="8"/>
  <c r="BZ673" i="8"/>
  <c r="BY673" i="8"/>
  <c r="BX673" i="8"/>
  <c r="BW673" i="8"/>
  <c r="BV673" i="8"/>
  <c r="BU673" i="8"/>
  <c r="BT673" i="8"/>
  <c r="BS673" i="8"/>
  <c r="BR673" i="8"/>
  <c r="BQ673" i="8"/>
  <c r="BP673" i="8"/>
  <c r="BO673" i="8"/>
  <c r="BN673" i="8"/>
  <c r="BM673" i="8"/>
  <c r="BL673" i="8"/>
  <c r="BK673" i="8"/>
  <c r="BJ673" i="8"/>
  <c r="BI673" i="8"/>
  <c r="BH673" i="8"/>
  <c r="CJ672" i="8"/>
  <c r="CI672" i="8"/>
  <c r="CH672" i="8"/>
  <c r="CG672" i="8"/>
  <c r="CF672" i="8"/>
  <c r="CE672" i="8"/>
  <c r="CD672" i="8"/>
  <c r="CC672" i="8"/>
  <c r="CB672" i="8"/>
  <c r="CA672" i="8"/>
  <c r="BZ672" i="8"/>
  <c r="BY672" i="8"/>
  <c r="BX672" i="8"/>
  <c r="BW672" i="8"/>
  <c r="BV672" i="8"/>
  <c r="BU672" i="8"/>
  <c r="BT672" i="8"/>
  <c r="BS672" i="8"/>
  <c r="BR672" i="8"/>
  <c r="BQ672" i="8"/>
  <c r="BP672" i="8"/>
  <c r="BO672" i="8"/>
  <c r="BN672" i="8"/>
  <c r="BM672" i="8"/>
  <c r="BL672" i="8"/>
  <c r="BK672" i="8"/>
  <c r="BJ672" i="8"/>
  <c r="BI672" i="8"/>
  <c r="BH672" i="8"/>
  <c r="CJ671" i="8"/>
  <c r="CI671" i="8"/>
  <c r="CH671" i="8"/>
  <c r="CG671" i="8"/>
  <c r="CF671" i="8"/>
  <c r="CE671" i="8"/>
  <c r="CD671" i="8"/>
  <c r="CC671" i="8"/>
  <c r="CB671" i="8"/>
  <c r="CA671" i="8"/>
  <c r="BZ671" i="8"/>
  <c r="BY671" i="8"/>
  <c r="BX671" i="8"/>
  <c r="BW671" i="8"/>
  <c r="BV671" i="8"/>
  <c r="BU671" i="8"/>
  <c r="BT671" i="8"/>
  <c r="BS671" i="8"/>
  <c r="BR671" i="8"/>
  <c r="BQ671" i="8"/>
  <c r="BP671" i="8"/>
  <c r="BO671" i="8"/>
  <c r="BN671" i="8"/>
  <c r="BM671" i="8"/>
  <c r="BL671" i="8"/>
  <c r="BK671" i="8"/>
  <c r="BJ671" i="8"/>
  <c r="BI671" i="8"/>
  <c r="BH671" i="8"/>
  <c r="CJ670" i="8"/>
  <c r="CI670" i="8"/>
  <c r="CH670" i="8"/>
  <c r="CG670" i="8"/>
  <c r="CF670" i="8"/>
  <c r="CE670" i="8"/>
  <c r="CD670" i="8"/>
  <c r="CC670" i="8"/>
  <c r="CB670" i="8"/>
  <c r="CA670" i="8"/>
  <c r="BZ670" i="8"/>
  <c r="BY670" i="8"/>
  <c r="BX670" i="8"/>
  <c r="BW670" i="8"/>
  <c r="BV670" i="8"/>
  <c r="BU670" i="8"/>
  <c r="BT670" i="8"/>
  <c r="BS670" i="8"/>
  <c r="BR670" i="8"/>
  <c r="BQ670" i="8"/>
  <c r="BP670" i="8"/>
  <c r="BO670" i="8"/>
  <c r="BN670" i="8"/>
  <c r="BM670" i="8"/>
  <c r="BL670" i="8"/>
  <c r="BK670" i="8"/>
  <c r="BJ670" i="8"/>
  <c r="BI670" i="8"/>
  <c r="BH670" i="8"/>
  <c r="CJ669" i="8"/>
  <c r="CI669" i="8"/>
  <c r="CH669" i="8"/>
  <c r="CG669" i="8"/>
  <c r="CF669" i="8"/>
  <c r="CE669" i="8"/>
  <c r="CD669" i="8"/>
  <c r="CC669" i="8"/>
  <c r="CB669" i="8"/>
  <c r="CA669" i="8"/>
  <c r="BZ669" i="8"/>
  <c r="BY669" i="8"/>
  <c r="BX669" i="8"/>
  <c r="BW669" i="8"/>
  <c r="BV669" i="8"/>
  <c r="BU669" i="8"/>
  <c r="BT669" i="8"/>
  <c r="BS669" i="8"/>
  <c r="BR669" i="8"/>
  <c r="BQ669" i="8"/>
  <c r="BP669" i="8"/>
  <c r="BO669" i="8"/>
  <c r="BN669" i="8"/>
  <c r="BM669" i="8"/>
  <c r="BL669" i="8"/>
  <c r="BK669" i="8"/>
  <c r="BJ669" i="8"/>
  <c r="BI669" i="8"/>
  <c r="BH669" i="8"/>
  <c r="CJ668" i="8"/>
  <c r="CI668" i="8"/>
  <c r="CH668" i="8"/>
  <c r="CG668" i="8"/>
  <c r="CF668" i="8"/>
  <c r="CE668" i="8"/>
  <c r="CD668" i="8"/>
  <c r="CC668" i="8"/>
  <c r="CB668" i="8"/>
  <c r="CA668" i="8"/>
  <c r="BZ668" i="8"/>
  <c r="BY668" i="8"/>
  <c r="BX668" i="8"/>
  <c r="BW668" i="8"/>
  <c r="BV668" i="8"/>
  <c r="BU668" i="8"/>
  <c r="BT668" i="8"/>
  <c r="BS668" i="8"/>
  <c r="BR668" i="8"/>
  <c r="BQ668" i="8"/>
  <c r="BP668" i="8"/>
  <c r="BO668" i="8"/>
  <c r="BN668" i="8"/>
  <c r="BM668" i="8"/>
  <c r="BL668" i="8"/>
  <c r="BK668" i="8"/>
  <c r="BJ668" i="8"/>
  <c r="BI668" i="8"/>
  <c r="BH668" i="8"/>
  <c r="CJ667" i="8"/>
  <c r="CI667" i="8"/>
  <c r="CH667" i="8"/>
  <c r="CG667" i="8"/>
  <c r="CF667" i="8"/>
  <c r="CE667" i="8"/>
  <c r="CD667" i="8"/>
  <c r="CC667" i="8"/>
  <c r="CB667" i="8"/>
  <c r="CA667" i="8"/>
  <c r="BZ667" i="8"/>
  <c r="BY667" i="8"/>
  <c r="BX667" i="8"/>
  <c r="BW667" i="8"/>
  <c r="BV667" i="8"/>
  <c r="BU667" i="8"/>
  <c r="BT667" i="8"/>
  <c r="BS667" i="8"/>
  <c r="BR667" i="8"/>
  <c r="BQ667" i="8"/>
  <c r="BP667" i="8"/>
  <c r="BO667" i="8"/>
  <c r="BN667" i="8"/>
  <c r="BM667" i="8"/>
  <c r="BL667" i="8"/>
  <c r="BK667" i="8"/>
  <c r="BJ667" i="8"/>
  <c r="BI667" i="8"/>
  <c r="BH667" i="8"/>
  <c r="CJ666" i="8"/>
  <c r="CI666" i="8"/>
  <c r="CH666" i="8"/>
  <c r="CG666" i="8"/>
  <c r="CF666" i="8"/>
  <c r="CE666" i="8"/>
  <c r="CD666" i="8"/>
  <c r="CC666" i="8"/>
  <c r="CB666" i="8"/>
  <c r="CA666" i="8"/>
  <c r="BZ666" i="8"/>
  <c r="BY666" i="8"/>
  <c r="BX666" i="8"/>
  <c r="BW666" i="8"/>
  <c r="BV666" i="8"/>
  <c r="BU666" i="8"/>
  <c r="BT666" i="8"/>
  <c r="BS666" i="8"/>
  <c r="BR666" i="8"/>
  <c r="BQ666" i="8"/>
  <c r="BP666" i="8"/>
  <c r="BO666" i="8"/>
  <c r="BN666" i="8"/>
  <c r="BM666" i="8"/>
  <c r="BL666" i="8"/>
  <c r="BK666" i="8"/>
  <c r="BJ666" i="8"/>
  <c r="BI666" i="8"/>
  <c r="BH666" i="8"/>
  <c r="CJ665" i="8"/>
  <c r="CI665" i="8"/>
  <c r="CH665" i="8"/>
  <c r="CG665" i="8"/>
  <c r="CF665" i="8"/>
  <c r="CE665" i="8"/>
  <c r="CD665" i="8"/>
  <c r="CC665" i="8"/>
  <c r="CB665" i="8"/>
  <c r="CA665" i="8"/>
  <c r="BZ665" i="8"/>
  <c r="BY665" i="8"/>
  <c r="BX665" i="8"/>
  <c r="BW665" i="8"/>
  <c r="BV665" i="8"/>
  <c r="BU665" i="8"/>
  <c r="BT665" i="8"/>
  <c r="BS665" i="8"/>
  <c r="BR665" i="8"/>
  <c r="BQ665" i="8"/>
  <c r="BP665" i="8"/>
  <c r="BO665" i="8"/>
  <c r="BN665" i="8"/>
  <c r="BM665" i="8"/>
  <c r="BL665" i="8"/>
  <c r="BK665" i="8"/>
  <c r="BJ665" i="8"/>
  <c r="BI665" i="8"/>
  <c r="BH665" i="8"/>
  <c r="CJ664" i="8"/>
  <c r="CI664" i="8"/>
  <c r="CH664" i="8"/>
  <c r="CG664" i="8"/>
  <c r="CF664" i="8"/>
  <c r="CE664" i="8"/>
  <c r="CD664" i="8"/>
  <c r="CC664" i="8"/>
  <c r="CB664" i="8"/>
  <c r="CA664" i="8"/>
  <c r="BZ664" i="8"/>
  <c r="BY664" i="8"/>
  <c r="BX664" i="8"/>
  <c r="BW664" i="8"/>
  <c r="BV664" i="8"/>
  <c r="BU664" i="8"/>
  <c r="BT664" i="8"/>
  <c r="BS664" i="8"/>
  <c r="BR664" i="8"/>
  <c r="BQ664" i="8"/>
  <c r="BP664" i="8"/>
  <c r="BO664" i="8"/>
  <c r="BN664" i="8"/>
  <c r="BM664" i="8"/>
  <c r="BL664" i="8"/>
  <c r="BK664" i="8"/>
  <c r="BJ664" i="8"/>
  <c r="BI664" i="8"/>
  <c r="BH664" i="8"/>
  <c r="CJ663" i="8"/>
  <c r="CI663" i="8"/>
  <c r="CH663" i="8"/>
  <c r="CG663" i="8"/>
  <c r="CF663" i="8"/>
  <c r="CE663" i="8"/>
  <c r="CD663" i="8"/>
  <c r="CC663" i="8"/>
  <c r="CB663" i="8"/>
  <c r="CA663" i="8"/>
  <c r="BZ663" i="8"/>
  <c r="BY663" i="8"/>
  <c r="BX663" i="8"/>
  <c r="BW663" i="8"/>
  <c r="BV663" i="8"/>
  <c r="BU663" i="8"/>
  <c r="BT663" i="8"/>
  <c r="BS663" i="8"/>
  <c r="BR663" i="8"/>
  <c r="BQ663" i="8"/>
  <c r="BP663" i="8"/>
  <c r="BO663" i="8"/>
  <c r="BN663" i="8"/>
  <c r="BM663" i="8"/>
  <c r="BL663" i="8"/>
  <c r="BK663" i="8"/>
  <c r="BJ663" i="8"/>
  <c r="BI663" i="8"/>
  <c r="BH663" i="8"/>
  <c r="CJ662" i="8"/>
  <c r="CI662" i="8"/>
  <c r="CH662" i="8"/>
  <c r="CG662" i="8"/>
  <c r="CF662" i="8"/>
  <c r="CE662" i="8"/>
  <c r="CD662" i="8"/>
  <c r="CC662" i="8"/>
  <c r="CB662" i="8"/>
  <c r="CA662" i="8"/>
  <c r="BZ662" i="8"/>
  <c r="BY662" i="8"/>
  <c r="BX662" i="8"/>
  <c r="BW662" i="8"/>
  <c r="BV662" i="8"/>
  <c r="BU662" i="8"/>
  <c r="BT662" i="8"/>
  <c r="BS662" i="8"/>
  <c r="BR662" i="8"/>
  <c r="BQ662" i="8"/>
  <c r="BP662" i="8"/>
  <c r="BO662" i="8"/>
  <c r="BN662" i="8"/>
  <c r="BM662" i="8"/>
  <c r="BL662" i="8"/>
  <c r="BK662" i="8"/>
  <c r="BJ662" i="8"/>
  <c r="BI662" i="8"/>
  <c r="BH662" i="8"/>
  <c r="CJ661" i="8"/>
  <c r="CI661" i="8"/>
  <c r="CH661" i="8"/>
  <c r="CG661" i="8"/>
  <c r="CF661" i="8"/>
  <c r="CE661" i="8"/>
  <c r="CD661" i="8"/>
  <c r="CC661" i="8"/>
  <c r="CB661" i="8"/>
  <c r="CA661" i="8"/>
  <c r="BZ661" i="8"/>
  <c r="BY661" i="8"/>
  <c r="BX661" i="8"/>
  <c r="BW661" i="8"/>
  <c r="BV661" i="8"/>
  <c r="BU661" i="8"/>
  <c r="BT661" i="8"/>
  <c r="BS661" i="8"/>
  <c r="BR661" i="8"/>
  <c r="BQ661" i="8"/>
  <c r="BP661" i="8"/>
  <c r="BO661" i="8"/>
  <c r="BN661" i="8"/>
  <c r="BM661" i="8"/>
  <c r="BL661" i="8"/>
  <c r="BK661" i="8"/>
  <c r="BJ661" i="8"/>
  <c r="BI661" i="8"/>
  <c r="BH661" i="8"/>
  <c r="CJ660" i="8"/>
  <c r="CI660" i="8"/>
  <c r="CH660" i="8"/>
  <c r="CG660" i="8"/>
  <c r="CF660" i="8"/>
  <c r="CE660" i="8"/>
  <c r="CD660" i="8"/>
  <c r="CC660" i="8"/>
  <c r="CB660" i="8"/>
  <c r="CA660" i="8"/>
  <c r="BZ660" i="8"/>
  <c r="BY660" i="8"/>
  <c r="BX660" i="8"/>
  <c r="BW660" i="8"/>
  <c r="BV660" i="8"/>
  <c r="BU660" i="8"/>
  <c r="BT660" i="8"/>
  <c r="BS660" i="8"/>
  <c r="BR660" i="8"/>
  <c r="BQ660" i="8"/>
  <c r="BP660" i="8"/>
  <c r="BO660" i="8"/>
  <c r="BN660" i="8"/>
  <c r="BM660" i="8"/>
  <c r="BL660" i="8"/>
  <c r="BK660" i="8"/>
  <c r="BJ660" i="8"/>
  <c r="BI660" i="8"/>
  <c r="BH660" i="8"/>
  <c r="CJ659" i="8"/>
  <c r="CI659" i="8"/>
  <c r="CH659" i="8"/>
  <c r="CG659" i="8"/>
  <c r="CF659" i="8"/>
  <c r="CE659" i="8"/>
  <c r="CD659" i="8"/>
  <c r="CC659" i="8"/>
  <c r="CB659" i="8"/>
  <c r="CA659" i="8"/>
  <c r="BZ659" i="8"/>
  <c r="BY659" i="8"/>
  <c r="BX659" i="8"/>
  <c r="BW659" i="8"/>
  <c r="BV659" i="8"/>
  <c r="BU659" i="8"/>
  <c r="BT659" i="8"/>
  <c r="BS659" i="8"/>
  <c r="BR659" i="8"/>
  <c r="BQ659" i="8"/>
  <c r="BP659" i="8"/>
  <c r="BO659" i="8"/>
  <c r="BN659" i="8"/>
  <c r="BM659" i="8"/>
  <c r="BL659" i="8"/>
  <c r="BK659" i="8"/>
  <c r="BJ659" i="8"/>
  <c r="BI659" i="8"/>
  <c r="BH659" i="8"/>
  <c r="CJ658" i="8"/>
  <c r="CI658" i="8"/>
  <c r="CH658" i="8"/>
  <c r="CG658" i="8"/>
  <c r="CF658" i="8"/>
  <c r="CE658" i="8"/>
  <c r="CD658" i="8"/>
  <c r="CC658" i="8"/>
  <c r="CB658" i="8"/>
  <c r="CA658" i="8"/>
  <c r="BZ658" i="8"/>
  <c r="BY658" i="8"/>
  <c r="BX658" i="8"/>
  <c r="BW658" i="8"/>
  <c r="BV658" i="8"/>
  <c r="BU658" i="8"/>
  <c r="BT658" i="8"/>
  <c r="BS658" i="8"/>
  <c r="BR658" i="8"/>
  <c r="BQ658" i="8"/>
  <c r="BP658" i="8"/>
  <c r="BO658" i="8"/>
  <c r="BN658" i="8"/>
  <c r="BM658" i="8"/>
  <c r="BL658" i="8"/>
  <c r="BK658" i="8"/>
  <c r="BJ658" i="8"/>
  <c r="BI658" i="8"/>
  <c r="BH658" i="8"/>
  <c r="CJ657" i="8"/>
  <c r="CI657" i="8"/>
  <c r="CH657" i="8"/>
  <c r="CG657" i="8"/>
  <c r="CF657" i="8"/>
  <c r="CE657" i="8"/>
  <c r="CD657" i="8"/>
  <c r="CC657" i="8"/>
  <c r="CB657" i="8"/>
  <c r="CA657" i="8"/>
  <c r="BZ657" i="8"/>
  <c r="BY657" i="8"/>
  <c r="BX657" i="8"/>
  <c r="BW657" i="8"/>
  <c r="BV657" i="8"/>
  <c r="BU657" i="8"/>
  <c r="BT657" i="8"/>
  <c r="BS657" i="8"/>
  <c r="BR657" i="8"/>
  <c r="BQ657" i="8"/>
  <c r="BP657" i="8"/>
  <c r="BO657" i="8"/>
  <c r="BN657" i="8"/>
  <c r="BM657" i="8"/>
  <c r="BL657" i="8"/>
  <c r="BK657" i="8"/>
  <c r="BJ657" i="8"/>
  <c r="BI657" i="8"/>
  <c r="BH657" i="8"/>
  <c r="CJ656" i="8"/>
  <c r="CI656" i="8"/>
  <c r="CH656" i="8"/>
  <c r="CG656" i="8"/>
  <c r="CF656" i="8"/>
  <c r="CE656" i="8"/>
  <c r="CD656" i="8"/>
  <c r="CC656" i="8"/>
  <c r="CB656" i="8"/>
  <c r="CA656" i="8"/>
  <c r="BZ656" i="8"/>
  <c r="BY656" i="8"/>
  <c r="BX656" i="8"/>
  <c r="BW656" i="8"/>
  <c r="BV656" i="8"/>
  <c r="BU656" i="8"/>
  <c r="BT656" i="8"/>
  <c r="BS656" i="8"/>
  <c r="BR656" i="8"/>
  <c r="BQ656" i="8"/>
  <c r="BP656" i="8"/>
  <c r="BO656" i="8"/>
  <c r="BN656" i="8"/>
  <c r="BM656" i="8"/>
  <c r="BL656" i="8"/>
  <c r="BK656" i="8"/>
  <c r="BJ656" i="8"/>
  <c r="BI656" i="8"/>
  <c r="BH656" i="8"/>
  <c r="CJ655" i="8"/>
  <c r="CI655" i="8"/>
  <c r="CH655" i="8"/>
  <c r="CG655" i="8"/>
  <c r="CF655" i="8"/>
  <c r="CE655" i="8"/>
  <c r="CD655" i="8"/>
  <c r="CC655" i="8"/>
  <c r="CB655" i="8"/>
  <c r="CA655" i="8"/>
  <c r="BZ655" i="8"/>
  <c r="BY655" i="8"/>
  <c r="BX655" i="8"/>
  <c r="BW655" i="8"/>
  <c r="BV655" i="8"/>
  <c r="BU655" i="8"/>
  <c r="BT655" i="8"/>
  <c r="BS655" i="8"/>
  <c r="BR655" i="8"/>
  <c r="BQ655" i="8"/>
  <c r="BP655" i="8"/>
  <c r="BO655" i="8"/>
  <c r="BN655" i="8"/>
  <c r="BM655" i="8"/>
  <c r="BL655" i="8"/>
  <c r="BK655" i="8"/>
  <c r="BJ655" i="8"/>
  <c r="BI655" i="8"/>
  <c r="BH655" i="8"/>
  <c r="CJ654" i="8"/>
  <c r="CI654" i="8"/>
  <c r="CH654" i="8"/>
  <c r="CG654" i="8"/>
  <c r="CF654" i="8"/>
  <c r="CE654" i="8"/>
  <c r="CD654" i="8"/>
  <c r="CC654" i="8"/>
  <c r="CB654" i="8"/>
  <c r="CA654" i="8"/>
  <c r="BZ654" i="8"/>
  <c r="BY654" i="8"/>
  <c r="BX654" i="8"/>
  <c r="BW654" i="8"/>
  <c r="BV654" i="8"/>
  <c r="BU654" i="8"/>
  <c r="BT654" i="8"/>
  <c r="BS654" i="8"/>
  <c r="BR654" i="8"/>
  <c r="BQ654" i="8"/>
  <c r="BP654" i="8"/>
  <c r="BO654" i="8"/>
  <c r="BN654" i="8"/>
  <c r="BM654" i="8"/>
  <c r="BL654" i="8"/>
  <c r="BK654" i="8"/>
  <c r="BJ654" i="8"/>
  <c r="BI654" i="8"/>
  <c r="BH654" i="8"/>
  <c r="CJ653" i="8"/>
  <c r="CI653" i="8"/>
  <c r="CH653" i="8"/>
  <c r="CG653" i="8"/>
  <c r="CF653" i="8"/>
  <c r="CE653" i="8"/>
  <c r="CD653" i="8"/>
  <c r="CC653" i="8"/>
  <c r="CB653" i="8"/>
  <c r="CA653" i="8"/>
  <c r="BZ653" i="8"/>
  <c r="BY653" i="8"/>
  <c r="BX653" i="8"/>
  <c r="BW653" i="8"/>
  <c r="BV653" i="8"/>
  <c r="BU653" i="8"/>
  <c r="BT653" i="8"/>
  <c r="BS653" i="8"/>
  <c r="BR653" i="8"/>
  <c r="BQ653" i="8"/>
  <c r="BP653" i="8"/>
  <c r="BO653" i="8"/>
  <c r="BN653" i="8"/>
  <c r="BM653" i="8"/>
  <c r="BL653" i="8"/>
  <c r="BK653" i="8"/>
  <c r="BJ653" i="8"/>
  <c r="BI653" i="8"/>
  <c r="BH653" i="8"/>
  <c r="CJ652" i="8"/>
  <c r="CI652" i="8"/>
  <c r="CH652" i="8"/>
  <c r="CG652" i="8"/>
  <c r="CF652" i="8"/>
  <c r="CE652" i="8"/>
  <c r="CD652" i="8"/>
  <c r="CC652" i="8"/>
  <c r="CB652" i="8"/>
  <c r="CA652" i="8"/>
  <c r="BZ652" i="8"/>
  <c r="BY652" i="8"/>
  <c r="BX652" i="8"/>
  <c r="BW652" i="8"/>
  <c r="BV652" i="8"/>
  <c r="BU652" i="8"/>
  <c r="BT652" i="8"/>
  <c r="BS652" i="8"/>
  <c r="BR652" i="8"/>
  <c r="BQ652" i="8"/>
  <c r="BP652" i="8"/>
  <c r="BO652" i="8"/>
  <c r="BN652" i="8"/>
  <c r="BM652" i="8"/>
  <c r="BL652" i="8"/>
  <c r="BK652" i="8"/>
  <c r="BJ652" i="8"/>
  <c r="BI652" i="8"/>
  <c r="BH652" i="8"/>
  <c r="CJ651" i="8"/>
  <c r="CI651" i="8"/>
  <c r="CH651" i="8"/>
  <c r="CG651" i="8"/>
  <c r="CF651" i="8"/>
  <c r="CE651" i="8"/>
  <c r="CD651" i="8"/>
  <c r="CC651" i="8"/>
  <c r="CB651" i="8"/>
  <c r="CA651" i="8"/>
  <c r="BZ651" i="8"/>
  <c r="BY651" i="8"/>
  <c r="BX651" i="8"/>
  <c r="BW651" i="8"/>
  <c r="BV651" i="8"/>
  <c r="BU651" i="8"/>
  <c r="BT651" i="8"/>
  <c r="BS651" i="8"/>
  <c r="BR651" i="8"/>
  <c r="BQ651" i="8"/>
  <c r="BP651" i="8"/>
  <c r="BO651" i="8"/>
  <c r="BN651" i="8"/>
  <c r="BM651" i="8"/>
  <c r="BL651" i="8"/>
  <c r="BK651" i="8"/>
  <c r="BJ651" i="8"/>
  <c r="BI651" i="8"/>
  <c r="BH651" i="8"/>
  <c r="CJ650" i="8"/>
  <c r="CI650" i="8"/>
  <c r="CH650" i="8"/>
  <c r="CG650" i="8"/>
  <c r="CF650" i="8"/>
  <c r="CE650" i="8"/>
  <c r="CD650" i="8"/>
  <c r="CC650" i="8"/>
  <c r="CB650" i="8"/>
  <c r="CA650" i="8"/>
  <c r="BZ650" i="8"/>
  <c r="BY650" i="8"/>
  <c r="BX650" i="8"/>
  <c r="BW650" i="8"/>
  <c r="BV650" i="8"/>
  <c r="BU650" i="8"/>
  <c r="BT650" i="8"/>
  <c r="BS650" i="8"/>
  <c r="BR650" i="8"/>
  <c r="BQ650" i="8"/>
  <c r="BP650" i="8"/>
  <c r="BO650" i="8"/>
  <c r="BN650" i="8"/>
  <c r="BM650" i="8"/>
  <c r="BL650" i="8"/>
  <c r="BK650" i="8"/>
  <c r="BJ650" i="8"/>
  <c r="BI650" i="8"/>
  <c r="BH650" i="8"/>
  <c r="CJ641" i="8"/>
  <c r="CI641" i="8"/>
  <c r="CH641" i="8"/>
  <c r="CG641" i="8"/>
  <c r="CF641" i="8"/>
  <c r="CE641" i="8"/>
  <c r="CD641" i="8"/>
  <c r="CC641" i="8"/>
  <c r="CB641" i="8"/>
  <c r="CA641" i="8"/>
  <c r="BZ641" i="8"/>
  <c r="BY641" i="8"/>
  <c r="BX641" i="8"/>
  <c r="BW641" i="8"/>
  <c r="BV641" i="8"/>
  <c r="BU641" i="8"/>
  <c r="BT641" i="8"/>
  <c r="BS641" i="8"/>
  <c r="BR641" i="8"/>
  <c r="BQ641" i="8"/>
  <c r="BP641" i="8"/>
  <c r="BO641" i="8"/>
  <c r="BN641" i="8"/>
  <c r="BM641" i="8"/>
  <c r="BL641" i="8"/>
  <c r="BK641" i="8"/>
  <c r="BJ641" i="8"/>
  <c r="BI641" i="8"/>
  <c r="BH641" i="8"/>
  <c r="CJ640" i="8"/>
  <c r="CI640" i="8"/>
  <c r="CH640" i="8"/>
  <c r="CG640" i="8"/>
  <c r="CF640" i="8"/>
  <c r="CE640" i="8"/>
  <c r="CD640" i="8"/>
  <c r="CC640" i="8"/>
  <c r="CB640" i="8"/>
  <c r="CA640" i="8"/>
  <c r="BZ640" i="8"/>
  <c r="BY640" i="8"/>
  <c r="BX640" i="8"/>
  <c r="BW640" i="8"/>
  <c r="BV640" i="8"/>
  <c r="BU640" i="8"/>
  <c r="BT640" i="8"/>
  <c r="BS640" i="8"/>
  <c r="BR640" i="8"/>
  <c r="BQ640" i="8"/>
  <c r="BP640" i="8"/>
  <c r="BO640" i="8"/>
  <c r="BN640" i="8"/>
  <c r="BM640" i="8"/>
  <c r="BL640" i="8"/>
  <c r="BK640" i="8"/>
  <c r="BJ640" i="8"/>
  <c r="BI640" i="8"/>
  <c r="BH640" i="8"/>
  <c r="CJ639" i="8"/>
  <c r="CI639" i="8"/>
  <c r="CH639" i="8"/>
  <c r="CG639" i="8"/>
  <c r="CF639" i="8"/>
  <c r="CE639" i="8"/>
  <c r="CD639" i="8"/>
  <c r="CC639" i="8"/>
  <c r="CB639" i="8"/>
  <c r="CA639" i="8"/>
  <c r="BZ639" i="8"/>
  <c r="BY639" i="8"/>
  <c r="BX639" i="8"/>
  <c r="BW639" i="8"/>
  <c r="BV639" i="8"/>
  <c r="BU639" i="8"/>
  <c r="BT639" i="8"/>
  <c r="BS639" i="8"/>
  <c r="BR639" i="8"/>
  <c r="BQ639" i="8"/>
  <c r="BP639" i="8"/>
  <c r="BO639" i="8"/>
  <c r="BN639" i="8"/>
  <c r="BM639" i="8"/>
  <c r="BL639" i="8"/>
  <c r="BK639" i="8"/>
  <c r="BJ639" i="8"/>
  <c r="BI639" i="8"/>
  <c r="BH639" i="8"/>
  <c r="CJ638" i="8"/>
  <c r="CI638" i="8"/>
  <c r="CH638" i="8"/>
  <c r="CG638" i="8"/>
  <c r="CF638" i="8"/>
  <c r="CE638" i="8"/>
  <c r="CD638" i="8"/>
  <c r="CC638" i="8"/>
  <c r="CB638" i="8"/>
  <c r="CA638" i="8"/>
  <c r="BZ638" i="8"/>
  <c r="BY638" i="8"/>
  <c r="BX638" i="8"/>
  <c r="BW638" i="8"/>
  <c r="BV638" i="8"/>
  <c r="BU638" i="8"/>
  <c r="BT638" i="8"/>
  <c r="BS638" i="8"/>
  <c r="BR638" i="8"/>
  <c r="BQ638" i="8"/>
  <c r="BP638" i="8"/>
  <c r="BO638" i="8"/>
  <c r="BN638" i="8"/>
  <c r="BM638" i="8"/>
  <c r="BL638" i="8"/>
  <c r="BK638" i="8"/>
  <c r="BJ638" i="8"/>
  <c r="BI638" i="8"/>
  <c r="BH638" i="8"/>
  <c r="CJ637" i="8"/>
  <c r="CI637" i="8"/>
  <c r="CH637" i="8"/>
  <c r="CG637" i="8"/>
  <c r="CF637" i="8"/>
  <c r="CE637" i="8"/>
  <c r="CD637" i="8"/>
  <c r="CC637" i="8"/>
  <c r="CB637" i="8"/>
  <c r="CA637" i="8"/>
  <c r="BZ637" i="8"/>
  <c r="BY637" i="8"/>
  <c r="BX637" i="8"/>
  <c r="BW637" i="8"/>
  <c r="BV637" i="8"/>
  <c r="BU637" i="8"/>
  <c r="BT637" i="8"/>
  <c r="BS637" i="8"/>
  <c r="BR637" i="8"/>
  <c r="BQ637" i="8"/>
  <c r="BP637" i="8"/>
  <c r="BO637" i="8"/>
  <c r="BN637" i="8"/>
  <c r="BM637" i="8"/>
  <c r="BL637" i="8"/>
  <c r="BK637" i="8"/>
  <c r="BJ637" i="8"/>
  <c r="BI637" i="8"/>
  <c r="BH637" i="8"/>
  <c r="CJ636" i="8"/>
  <c r="CI636" i="8"/>
  <c r="CH636" i="8"/>
  <c r="CG636" i="8"/>
  <c r="CF636" i="8"/>
  <c r="CE636" i="8"/>
  <c r="CD636" i="8"/>
  <c r="CC636" i="8"/>
  <c r="CB636" i="8"/>
  <c r="CA636" i="8"/>
  <c r="BZ636" i="8"/>
  <c r="BY636" i="8"/>
  <c r="BX636" i="8"/>
  <c r="BW636" i="8"/>
  <c r="BV636" i="8"/>
  <c r="BU636" i="8"/>
  <c r="BT636" i="8"/>
  <c r="BS636" i="8"/>
  <c r="BR636" i="8"/>
  <c r="BQ636" i="8"/>
  <c r="BP636" i="8"/>
  <c r="BO636" i="8"/>
  <c r="BN636" i="8"/>
  <c r="BM636" i="8"/>
  <c r="BL636" i="8"/>
  <c r="BK636" i="8"/>
  <c r="BJ636" i="8"/>
  <c r="BI636" i="8"/>
  <c r="BH636" i="8"/>
  <c r="CJ635" i="8"/>
  <c r="CI635" i="8"/>
  <c r="CH635" i="8"/>
  <c r="CG635" i="8"/>
  <c r="CF635" i="8"/>
  <c r="CE635" i="8"/>
  <c r="CD635" i="8"/>
  <c r="CC635" i="8"/>
  <c r="CB635" i="8"/>
  <c r="CA635" i="8"/>
  <c r="BZ635" i="8"/>
  <c r="BY635" i="8"/>
  <c r="BX635" i="8"/>
  <c r="BW635" i="8"/>
  <c r="BV635" i="8"/>
  <c r="BU635" i="8"/>
  <c r="BT635" i="8"/>
  <c r="BS635" i="8"/>
  <c r="BR635" i="8"/>
  <c r="BQ635" i="8"/>
  <c r="BP635" i="8"/>
  <c r="BO635" i="8"/>
  <c r="BN635" i="8"/>
  <c r="BM635" i="8"/>
  <c r="BL635" i="8"/>
  <c r="BK635" i="8"/>
  <c r="BJ635" i="8"/>
  <c r="BI635" i="8"/>
  <c r="BH635" i="8"/>
  <c r="CJ634" i="8"/>
  <c r="CI634" i="8"/>
  <c r="CH634" i="8"/>
  <c r="CG634" i="8"/>
  <c r="CF634" i="8"/>
  <c r="CE634" i="8"/>
  <c r="CD634" i="8"/>
  <c r="CC634" i="8"/>
  <c r="CB634" i="8"/>
  <c r="CA634" i="8"/>
  <c r="BZ634" i="8"/>
  <c r="BY634" i="8"/>
  <c r="BX634" i="8"/>
  <c r="BW634" i="8"/>
  <c r="BV634" i="8"/>
  <c r="BU634" i="8"/>
  <c r="BT634" i="8"/>
  <c r="BS634" i="8"/>
  <c r="BR634" i="8"/>
  <c r="BQ634" i="8"/>
  <c r="BP634" i="8"/>
  <c r="BO634" i="8"/>
  <c r="BN634" i="8"/>
  <c r="BM634" i="8"/>
  <c r="BL634" i="8"/>
  <c r="BK634" i="8"/>
  <c r="BJ634" i="8"/>
  <c r="BI634" i="8"/>
  <c r="BH634" i="8"/>
  <c r="CJ633" i="8"/>
  <c r="CI633" i="8"/>
  <c r="CH633" i="8"/>
  <c r="CG633" i="8"/>
  <c r="CF633" i="8"/>
  <c r="CE633" i="8"/>
  <c r="CD633" i="8"/>
  <c r="CC633" i="8"/>
  <c r="CB633" i="8"/>
  <c r="CA633" i="8"/>
  <c r="BZ633" i="8"/>
  <c r="BY633" i="8"/>
  <c r="BX633" i="8"/>
  <c r="BW633" i="8"/>
  <c r="BV633" i="8"/>
  <c r="BU633" i="8"/>
  <c r="BT633" i="8"/>
  <c r="BS633" i="8"/>
  <c r="BR633" i="8"/>
  <c r="BQ633" i="8"/>
  <c r="BP633" i="8"/>
  <c r="BO633" i="8"/>
  <c r="BN633" i="8"/>
  <c r="BM633" i="8"/>
  <c r="BL633" i="8"/>
  <c r="BK633" i="8"/>
  <c r="BJ633" i="8"/>
  <c r="BI633" i="8"/>
  <c r="BH633" i="8"/>
  <c r="CJ632" i="8"/>
  <c r="CI632" i="8"/>
  <c r="CH632" i="8"/>
  <c r="CG632" i="8"/>
  <c r="CF632" i="8"/>
  <c r="CE632" i="8"/>
  <c r="CD632" i="8"/>
  <c r="CC632" i="8"/>
  <c r="CB632" i="8"/>
  <c r="CA632" i="8"/>
  <c r="BZ632" i="8"/>
  <c r="BY632" i="8"/>
  <c r="BX632" i="8"/>
  <c r="BW632" i="8"/>
  <c r="BV632" i="8"/>
  <c r="BU632" i="8"/>
  <c r="BT632" i="8"/>
  <c r="BS632" i="8"/>
  <c r="BR632" i="8"/>
  <c r="BQ632" i="8"/>
  <c r="BP632" i="8"/>
  <c r="BO632" i="8"/>
  <c r="BN632" i="8"/>
  <c r="BM632" i="8"/>
  <c r="BL632" i="8"/>
  <c r="BK632" i="8"/>
  <c r="BJ632" i="8"/>
  <c r="BI632" i="8"/>
  <c r="BH632" i="8"/>
  <c r="CJ631" i="8"/>
  <c r="CI631" i="8"/>
  <c r="CH631" i="8"/>
  <c r="CG631" i="8"/>
  <c r="CF631" i="8"/>
  <c r="CE631" i="8"/>
  <c r="CD631" i="8"/>
  <c r="CC631" i="8"/>
  <c r="CB631" i="8"/>
  <c r="CA631" i="8"/>
  <c r="BZ631" i="8"/>
  <c r="BY631" i="8"/>
  <c r="BX631" i="8"/>
  <c r="BW631" i="8"/>
  <c r="BV631" i="8"/>
  <c r="BU631" i="8"/>
  <c r="BT631" i="8"/>
  <c r="BS631" i="8"/>
  <c r="BR631" i="8"/>
  <c r="BQ631" i="8"/>
  <c r="BP631" i="8"/>
  <c r="BO631" i="8"/>
  <c r="BN631" i="8"/>
  <c r="BM631" i="8"/>
  <c r="BL631" i="8"/>
  <c r="BK631" i="8"/>
  <c r="BJ631" i="8"/>
  <c r="BI631" i="8"/>
  <c r="BH631" i="8"/>
  <c r="CJ630" i="8"/>
  <c r="CI630" i="8"/>
  <c r="CH630" i="8"/>
  <c r="CG630" i="8"/>
  <c r="CF630" i="8"/>
  <c r="CE630" i="8"/>
  <c r="CD630" i="8"/>
  <c r="CC630" i="8"/>
  <c r="CB630" i="8"/>
  <c r="CA630" i="8"/>
  <c r="BZ630" i="8"/>
  <c r="BY630" i="8"/>
  <c r="BX630" i="8"/>
  <c r="BW630" i="8"/>
  <c r="BV630" i="8"/>
  <c r="BU630" i="8"/>
  <c r="BT630" i="8"/>
  <c r="BS630" i="8"/>
  <c r="BR630" i="8"/>
  <c r="BQ630" i="8"/>
  <c r="BP630" i="8"/>
  <c r="BO630" i="8"/>
  <c r="BN630" i="8"/>
  <c r="BM630" i="8"/>
  <c r="BL630" i="8"/>
  <c r="BK630" i="8"/>
  <c r="BJ630" i="8"/>
  <c r="BI630" i="8"/>
  <c r="BH630" i="8"/>
  <c r="CJ629" i="8"/>
  <c r="CI629" i="8"/>
  <c r="CH629" i="8"/>
  <c r="CG629" i="8"/>
  <c r="CF629" i="8"/>
  <c r="CE629" i="8"/>
  <c r="CD629" i="8"/>
  <c r="CC629" i="8"/>
  <c r="CB629" i="8"/>
  <c r="CA629" i="8"/>
  <c r="BZ629" i="8"/>
  <c r="BY629" i="8"/>
  <c r="BX629" i="8"/>
  <c r="BW629" i="8"/>
  <c r="BV629" i="8"/>
  <c r="BU629" i="8"/>
  <c r="BT629" i="8"/>
  <c r="BS629" i="8"/>
  <c r="BR629" i="8"/>
  <c r="BQ629" i="8"/>
  <c r="BP629" i="8"/>
  <c r="BO629" i="8"/>
  <c r="BN629" i="8"/>
  <c r="BM629" i="8"/>
  <c r="BL629" i="8"/>
  <c r="BK629" i="8"/>
  <c r="BJ629" i="8"/>
  <c r="BI629" i="8"/>
  <c r="BH629" i="8"/>
  <c r="CJ628" i="8"/>
  <c r="CI628" i="8"/>
  <c r="CH628" i="8"/>
  <c r="CG628" i="8"/>
  <c r="CF628" i="8"/>
  <c r="CE628" i="8"/>
  <c r="CD628" i="8"/>
  <c r="CC628" i="8"/>
  <c r="CB628" i="8"/>
  <c r="CA628" i="8"/>
  <c r="BZ628" i="8"/>
  <c r="BY628" i="8"/>
  <c r="BX628" i="8"/>
  <c r="BW628" i="8"/>
  <c r="BV628" i="8"/>
  <c r="BU628" i="8"/>
  <c r="BT628" i="8"/>
  <c r="BS628" i="8"/>
  <c r="BR628" i="8"/>
  <c r="BQ628" i="8"/>
  <c r="BP628" i="8"/>
  <c r="BO628" i="8"/>
  <c r="BN628" i="8"/>
  <c r="BM628" i="8"/>
  <c r="BL628" i="8"/>
  <c r="BK628" i="8"/>
  <c r="BJ628" i="8"/>
  <c r="BI628" i="8"/>
  <c r="BH628" i="8"/>
  <c r="CJ627" i="8"/>
  <c r="CI627" i="8"/>
  <c r="CH627" i="8"/>
  <c r="CG627" i="8"/>
  <c r="CF627" i="8"/>
  <c r="CE627" i="8"/>
  <c r="CD627" i="8"/>
  <c r="CC627" i="8"/>
  <c r="CB627" i="8"/>
  <c r="CA627" i="8"/>
  <c r="BZ627" i="8"/>
  <c r="BY627" i="8"/>
  <c r="BX627" i="8"/>
  <c r="BW627" i="8"/>
  <c r="BV627" i="8"/>
  <c r="BU627" i="8"/>
  <c r="BT627" i="8"/>
  <c r="BS627" i="8"/>
  <c r="BR627" i="8"/>
  <c r="BQ627" i="8"/>
  <c r="BP627" i="8"/>
  <c r="BO627" i="8"/>
  <c r="BN627" i="8"/>
  <c r="BM627" i="8"/>
  <c r="BL627" i="8"/>
  <c r="BK627" i="8"/>
  <c r="BJ627" i="8"/>
  <c r="BI627" i="8"/>
  <c r="BH627" i="8"/>
  <c r="M7" i="15"/>
  <c r="N7" i="15"/>
  <c r="N11" i="15" s="1"/>
  <c r="O7" i="15"/>
  <c r="P7" i="15"/>
  <c r="P11" i="15" s="1"/>
  <c r="Q7" i="15"/>
  <c r="R7" i="15"/>
  <c r="R11" i="15" s="1"/>
  <c r="S7" i="15"/>
  <c r="O42" i="15"/>
  <c r="Q42" i="15"/>
  <c r="S42" i="15"/>
  <c r="S8" i="15" s="1"/>
  <c r="CJ1633" i="8"/>
  <c r="CI1633" i="8"/>
  <c r="CH1633" i="8"/>
  <c r="CG1633" i="8"/>
  <c r="CF1633" i="8"/>
  <c r="CE1633" i="8"/>
  <c r="CD1633" i="8"/>
  <c r="CC1633" i="8"/>
  <c r="CB1633" i="8"/>
  <c r="CA1633" i="8"/>
  <c r="BZ1633" i="8"/>
  <c r="BY1633" i="8"/>
  <c r="BX1633" i="8"/>
  <c r="BW1633" i="8"/>
  <c r="BV1633" i="8"/>
  <c r="BU1633" i="8"/>
  <c r="BT1633" i="8"/>
  <c r="BS1633" i="8"/>
  <c r="BR1633" i="8"/>
  <c r="BQ1633" i="8"/>
  <c r="BP1633" i="8"/>
  <c r="BO1633" i="8"/>
  <c r="BN1633" i="8"/>
  <c r="BM1633" i="8"/>
  <c r="BL1633" i="8"/>
  <c r="BK1633" i="8"/>
  <c r="BJ1633" i="8"/>
  <c r="BI1633" i="8"/>
  <c r="BH1633" i="8"/>
  <c r="CJ1632" i="8"/>
  <c r="CI1632" i="8"/>
  <c r="CH1632" i="8"/>
  <c r="CG1632" i="8"/>
  <c r="CF1632" i="8"/>
  <c r="CE1632" i="8"/>
  <c r="CD1632" i="8"/>
  <c r="CC1632" i="8"/>
  <c r="CB1632" i="8"/>
  <c r="CA1632" i="8"/>
  <c r="BZ1632" i="8"/>
  <c r="BY1632" i="8"/>
  <c r="BX1632" i="8"/>
  <c r="BW1632" i="8"/>
  <c r="BV1632" i="8"/>
  <c r="BU1632" i="8"/>
  <c r="BT1632" i="8"/>
  <c r="BS1632" i="8"/>
  <c r="BR1632" i="8"/>
  <c r="BQ1632" i="8"/>
  <c r="BP1632" i="8"/>
  <c r="BO1632" i="8"/>
  <c r="BN1632" i="8"/>
  <c r="BM1632" i="8"/>
  <c r="BL1632" i="8"/>
  <c r="BK1632" i="8"/>
  <c r="BJ1632" i="8"/>
  <c r="BI1632" i="8"/>
  <c r="BH1632" i="8"/>
  <c r="CJ1631" i="8"/>
  <c r="CI1631" i="8"/>
  <c r="CH1631" i="8"/>
  <c r="CG1631" i="8"/>
  <c r="CF1631" i="8"/>
  <c r="CE1631" i="8"/>
  <c r="CD1631" i="8"/>
  <c r="CC1631" i="8"/>
  <c r="CB1631" i="8"/>
  <c r="CA1631" i="8"/>
  <c r="BZ1631" i="8"/>
  <c r="BY1631" i="8"/>
  <c r="BX1631" i="8"/>
  <c r="BW1631" i="8"/>
  <c r="BV1631" i="8"/>
  <c r="BU1631" i="8"/>
  <c r="BT1631" i="8"/>
  <c r="BS1631" i="8"/>
  <c r="BR1631" i="8"/>
  <c r="BQ1631" i="8"/>
  <c r="BP1631" i="8"/>
  <c r="BO1631" i="8"/>
  <c r="BN1631" i="8"/>
  <c r="BM1631" i="8"/>
  <c r="BL1631" i="8"/>
  <c r="BK1631" i="8"/>
  <c r="BJ1631" i="8"/>
  <c r="BI1631" i="8"/>
  <c r="BH1631" i="8"/>
  <c r="CJ1630" i="8"/>
  <c r="CI1630" i="8"/>
  <c r="CH1630" i="8"/>
  <c r="CG1630" i="8"/>
  <c r="CF1630" i="8"/>
  <c r="CE1630" i="8"/>
  <c r="CD1630" i="8"/>
  <c r="CC1630" i="8"/>
  <c r="CB1630" i="8"/>
  <c r="CA1630" i="8"/>
  <c r="BZ1630" i="8"/>
  <c r="BY1630" i="8"/>
  <c r="BX1630" i="8"/>
  <c r="BW1630" i="8"/>
  <c r="BV1630" i="8"/>
  <c r="BU1630" i="8"/>
  <c r="BT1630" i="8"/>
  <c r="BS1630" i="8"/>
  <c r="BR1630" i="8"/>
  <c r="BQ1630" i="8"/>
  <c r="BP1630" i="8"/>
  <c r="BO1630" i="8"/>
  <c r="BN1630" i="8"/>
  <c r="BM1630" i="8"/>
  <c r="BL1630" i="8"/>
  <c r="BK1630" i="8"/>
  <c r="BJ1630" i="8"/>
  <c r="BI1630" i="8"/>
  <c r="BH1630" i="8"/>
  <c r="CJ1629" i="8"/>
  <c r="CI1629" i="8"/>
  <c r="CH1629" i="8"/>
  <c r="CG1629" i="8"/>
  <c r="CF1629" i="8"/>
  <c r="CE1629" i="8"/>
  <c r="CD1629" i="8"/>
  <c r="CC1629" i="8"/>
  <c r="CB1629" i="8"/>
  <c r="CA1629" i="8"/>
  <c r="BZ1629" i="8"/>
  <c r="BY1629" i="8"/>
  <c r="BX1629" i="8"/>
  <c r="BW1629" i="8"/>
  <c r="BV1629" i="8"/>
  <c r="BU1629" i="8"/>
  <c r="BT1629" i="8"/>
  <c r="BS1629" i="8"/>
  <c r="BR1629" i="8"/>
  <c r="BQ1629" i="8"/>
  <c r="BP1629" i="8"/>
  <c r="BO1629" i="8"/>
  <c r="BN1629" i="8"/>
  <c r="BM1629" i="8"/>
  <c r="BL1629" i="8"/>
  <c r="BK1629" i="8"/>
  <c r="BJ1629" i="8"/>
  <c r="BI1629" i="8"/>
  <c r="BH1629" i="8"/>
  <c r="CJ1628" i="8"/>
  <c r="CI1628" i="8"/>
  <c r="CH1628" i="8"/>
  <c r="CG1628" i="8"/>
  <c r="CF1628" i="8"/>
  <c r="CE1628" i="8"/>
  <c r="CD1628" i="8"/>
  <c r="CC1628" i="8"/>
  <c r="CB1628" i="8"/>
  <c r="CA1628" i="8"/>
  <c r="BZ1628" i="8"/>
  <c r="BY1628" i="8"/>
  <c r="BX1628" i="8"/>
  <c r="BW1628" i="8"/>
  <c r="BV1628" i="8"/>
  <c r="BU1628" i="8"/>
  <c r="BT1628" i="8"/>
  <c r="BS1628" i="8"/>
  <c r="BR1628" i="8"/>
  <c r="BQ1628" i="8"/>
  <c r="BP1628" i="8"/>
  <c r="BO1628" i="8"/>
  <c r="BN1628" i="8"/>
  <c r="BM1628" i="8"/>
  <c r="BL1628" i="8"/>
  <c r="BK1628" i="8"/>
  <c r="BJ1628" i="8"/>
  <c r="BI1628" i="8"/>
  <c r="BH1628" i="8"/>
  <c r="CJ1627" i="8"/>
  <c r="CI1627" i="8"/>
  <c r="CH1627" i="8"/>
  <c r="CG1627" i="8"/>
  <c r="CF1627" i="8"/>
  <c r="CE1627" i="8"/>
  <c r="CD1627" i="8"/>
  <c r="CC1627" i="8"/>
  <c r="CB1627" i="8"/>
  <c r="CA1627" i="8"/>
  <c r="BZ1627" i="8"/>
  <c r="BY1627" i="8"/>
  <c r="BX1627" i="8"/>
  <c r="BW1627" i="8"/>
  <c r="BV1627" i="8"/>
  <c r="BU1627" i="8"/>
  <c r="BT1627" i="8"/>
  <c r="BS1627" i="8"/>
  <c r="BR1627" i="8"/>
  <c r="BQ1627" i="8"/>
  <c r="BP1627" i="8"/>
  <c r="BO1627" i="8"/>
  <c r="BN1627" i="8"/>
  <c r="BM1627" i="8"/>
  <c r="BL1627" i="8"/>
  <c r="BK1627" i="8"/>
  <c r="BJ1627" i="8"/>
  <c r="BI1627" i="8"/>
  <c r="BH1627" i="8"/>
  <c r="CJ1626" i="8"/>
  <c r="CI1626" i="8"/>
  <c r="CH1626" i="8"/>
  <c r="CG1626" i="8"/>
  <c r="CF1626" i="8"/>
  <c r="CE1626" i="8"/>
  <c r="CD1626" i="8"/>
  <c r="CC1626" i="8"/>
  <c r="CB1626" i="8"/>
  <c r="CA1626" i="8"/>
  <c r="BZ1626" i="8"/>
  <c r="BY1626" i="8"/>
  <c r="BX1626" i="8"/>
  <c r="BW1626" i="8"/>
  <c r="BV1626" i="8"/>
  <c r="BU1626" i="8"/>
  <c r="BT1626" i="8"/>
  <c r="BS1626" i="8"/>
  <c r="BR1626" i="8"/>
  <c r="BQ1626" i="8"/>
  <c r="BP1626" i="8"/>
  <c r="BO1626" i="8"/>
  <c r="BN1626" i="8"/>
  <c r="BM1626" i="8"/>
  <c r="BL1626" i="8"/>
  <c r="BK1626" i="8"/>
  <c r="BJ1626" i="8"/>
  <c r="BI1626" i="8"/>
  <c r="BH1626" i="8"/>
  <c r="CJ1625" i="8"/>
  <c r="CI1625" i="8"/>
  <c r="CH1625" i="8"/>
  <c r="CG1625" i="8"/>
  <c r="CF1625" i="8"/>
  <c r="CE1625" i="8"/>
  <c r="CD1625" i="8"/>
  <c r="CC1625" i="8"/>
  <c r="CB1625" i="8"/>
  <c r="CA1625" i="8"/>
  <c r="BZ1625" i="8"/>
  <c r="BY1625" i="8"/>
  <c r="BX1625" i="8"/>
  <c r="BW1625" i="8"/>
  <c r="BV1625" i="8"/>
  <c r="BU1625" i="8"/>
  <c r="BT1625" i="8"/>
  <c r="BS1625" i="8"/>
  <c r="BR1625" i="8"/>
  <c r="BQ1625" i="8"/>
  <c r="BP1625" i="8"/>
  <c r="BO1625" i="8"/>
  <c r="BN1625" i="8"/>
  <c r="BM1625" i="8"/>
  <c r="BL1625" i="8"/>
  <c r="BK1625" i="8"/>
  <c r="BJ1625" i="8"/>
  <c r="BI1625" i="8"/>
  <c r="BH1625" i="8"/>
  <c r="CJ1624" i="8"/>
  <c r="CI1624" i="8"/>
  <c r="CH1624" i="8"/>
  <c r="CG1624" i="8"/>
  <c r="CF1624" i="8"/>
  <c r="CE1624" i="8"/>
  <c r="CD1624" i="8"/>
  <c r="CC1624" i="8"/>
  <c r="CB1624" i="8"/>
  <c r="CA1624" i="8"/>
  <c r="BZ1624" i="8"/>
  <c r="BY1624" i="8"/>
  <c r="BX1624" i="8"/>
  <c r="BW1624" i="8"/>
  <c r="BV1624" i="8"/>
  <c r="BU1624" i="8"/>
  <c r="BT1624" i="8"/>
  <c r="BS1624" i="8"/>
  <c r="BR1624" i="8"/>
  <c r="BQ1624" i="8"/>
  <c r="BP1624" i="8"/>
  <c r="BO1624" i="8"/>
  <c r="BN1624" i="8"/>
  <c r="BM1624" i="8"/>
  <c r="BL1624" i="8"/>
  <c r="BK1624" i="8"/>
  <c r="BJ1624" i="8"/>
  <c r="BI1624" i="8"/>
  <c r="BH1624" i="8"/>
  <c r="CJ1623" i="8"/>
  <c r="CI1623" i="8"/>
  <c r="CH1623" i="8"/>
  <c r="CG1623" i="8"/>
  <c r="CF1623" i="8"/>
  <c r="CE1623" i="8"/>
  <c r="CD1623" i="8"/>
  <c r="CC1623" i="8"/>
  <c r="CB1623" i="8"/>
  <c r="CA1623" i="8"/>
  <c r="BZ1623" i="8"/>
  <c r="BY1623" i="8"/>
  <c r="BX1623" i="8"/>
  <c r="BW1623" i="8"/>
  <c r="BV1623" i="8"/>
  <c r="BU1623" i="8"/>
  <c r="BT1623" i="8"/>
  <c r="BS1623" i="8"/>
  <c r="BR1623" i="8"/>
  <c r="BQ1623" i="8"/>
  <c r="BP1623" i="8"/>
  <c r="BO1623" i="8"/>
  <c r="BN1623" i="8"/>
  <c r="BM1623" i="8"/>
  <c r="BL1623" i="8"/>
  <c r="BK1623" i="8"/>
  <c r="BJ1623" i="8"/>
  <c r="BI1623" i="8"/>
  <c r="BH1623" i="8"/>
  <c r="CJ1622" i="8"/>
  <c r="CI1622" i="8"/>
  <c r="CH1622" i="8"/>
  <c r="CG1622" i="8"/>
  <c r="CF1622" i="8"/>
  <c r="CE1622" i="8"/>
  <c r="CD1622" i="8"/>
  <c r="CC1622" i="8"/>
  <c r="CB1622" i="8"/>
  <c r="CA1622" i="8"/>
  <c r="BZ1622" i="8"/>
  <c r="BY1622" i="8"/>
  <c r="BX1622" i="8"/>
  <c r="BW1622" i="8"/>
  <c r="BV1622" i="8"/>
  <c r="BU1622" i="8"/>
  <c r="BT1622" i="8"/>
  <c r="BS1622" i="8"/>
  <c r="BR1622" i="8"/>
  <c r="BQ1622" i="8"/>
  <c r="BP1622" i="8"/>
  <c r="BO1622" i="8"/>
  <c r="BN1622" i="8"/>
  <c r="BM1622" i="8"/>
  <c r="BL1622" i="8"/>
  <c r="BK1622" i="8"/>
  <c r="BJ1622" i="8"/>
  <c r="BI1622" i="8"/>
  <c r="BH1622" i="8"/>
  <c r="CJ1621" i="8"/>
  <c r="CI1621" i="8"/>
  <c r="CH1621" i="8"/>
  <c r="CG1621" i="8"/>
  <c r="CF1621" i="8"/>
  <c r="CE1621" i="8"/>
  <c r="CD1621" i="8"/>
  <c r="CC1621" i="8"/>
  <c r="CB1621" i="8"/>
  <c r="CA1621" i="8"/>
  <c r="BZ1621" i="8"/>
  <c r="BY1621" i="8"/>
  <c r="BX1621" i="8"/>
  <c r="BW1621" i="8"/>
  <c r="BV1621" i="8"/>
  <c r="BU1621" i="8"/>
  <c r="BT1621" i="8"/>
  <c r="BS1621" i="8"/>
  <c r="BR1621" i="8"/>
  <c r="BQ1621" i="8"/>
  <c r="BP1621" i="8"/>
  <c r="BO1621" i="8"/>
  <c r="BN1621" i="8"/>
  <c r="BM1621" i="8"/>
  <c r="BL1621" i="8"/>
  <c r="BK1621" i="8"/>
  <c r="BJ1621" i="8"/>
  <c r="BI1621" i="8"/>
  <c r="BH1621" i="8"/>
  <c r="CJ1620" i="8"/>
  <c r="CI1620" i="8"/>
  <c r="CH1620" i="8"/>
  <c r="CG1620" i="8"/>
  <c r="CF1620" i="8"/>
  <c r="CE1620" i="8"/>
  <c r="CD1620" i="8"/>
  <c r="CC1620" i="8"/>
  <c r="CB1620" i="8"/>
  <c r="CA1620" i="8"/>
  <c r="BZ1620" i="8"/>
  <c r="BY1620" i="8"/>
  <c r="BX1620" i="8"/>
  <c r="BW1620" i="8"/>
  <c r="BV1620" i="8"/>
  <c r="BU1620" i="8"/>
  <c r="BT1620" i="8"/>
  <c r="BS1620" i="8"/>
  <c r="BR1620" i="8"/>
  <c r="BQ1620" i="8"/>
  <c r="BP1620" i="8"/>
  <c r="BO1620" i="8"/>
  <c r="BN1620" i="8"/>
  <c r="BM1620" i="8"/>
  <c r="BL1620" i="8"/>
  <c r="BK1620" i="8"/>
  <c r="BJ1620" i="8"/>
  <c r="BI1620" i="8"/>
  <c r="BH1620" i="8"/>
  <c r="CJ1619" i="8"/>
  <c r="CI1619" i="8"/>
  <c r="CH1619" i="8"/>
  <c r="CG1619" i="8"/>
  <c r="CF1619" i="8"/>
  <c r="CE1619" i="8"/>
  <c r="CD1619" i="8"/>
  <c r="CC1619" i="8"/>
  <c r="CB1619" i="8"/>
  <c r="CA1619" i="8"/>
  <c r="BZ1619" i="8"/>
  <c r="BY1619" i="8"/>
  <c r="BX1619" i="8"/>
  <c r="BW1619" i="8"/>
  <c r="BV1619" i="8"/>
  <c r="BU1619" i="8"/>
  <c r="BT1619" i="8"/>
  <c r="BS1619" i="8"/>
  <c r="BR1619" i="8"/>
  <c r="BQ1619" i="8"/>
  <c r="BP1619" i="8"/>
  <c r="BO1619" i="8"/>
  <c r="BN1619" i="8"/>
  <c r="BM1619" i="8"/>
  <c r="BL1619" i="8"/>
  <c r="BK1619" i="8"/>
  <c r="BJ1619" i="8"/>
  <c r="BI1619" i="8"/>
  <c r="BH1619" i="8"/>
  <c r="CJ1618" i="8"/>
  <c r="CI1618" i="8"/>
  <c r="CH1618" i="8"/>
  <c r="CG1618" i="8"/>
  <c r="CF1618" i="8"/>
  <c r="CE1618" i="8"/>
  <c r="CD1618" i="8"/>
  <c r="CC1618" i="8"/>
  <c r="CB1618" i="8"/>
  <c r="CA1618" i="8"/>
  <c r="BZ1618" i="8"/>
  <c r="BY1618" i="8"/>
  <c r="BX1618" i="8"/>
  <c r="BW1618" i="8"/>
  <c r="BV1618" i="8"/>
  <c r="BU1618" i="8"/>
  <c r="BT1618" i="8"/>
  <c r="BS1618" i="8"/>
  <c r="BR1618" i="8"/>
  <c r="BQ1618" i="8"/>
  <c r="BP1618" i="8"/>
  <c r="BO1618" i="8"/>
  <c r="BN1618" i="8"/>
  <c r="BM1618" i="8"/>
  <c r="BL1618" i="8"/>
  <c r="BK1618" i="8"/>
  <c r="BJ1618" i="8"/>
  <c r="BI1618" i="8"/>
  <c r="BH1618" i="8"/>
  <c r="CJ1617" i="8"/>
  <c r="CI1617" i="8"/>
  <c r="CH1617" i="8"/>
  <c r="CG1617" i="8"/>
  <c r="CF1617" i="8"/>
  <c r="CE1617" i="8"/>
  <c r="CD1617" i="8"/>
  <c r="CC1617" i="8"/>
  <c r="CB1617" i="8"/>
  <c r="CA1617" i="8"/>
  <c r="BZ1617" i="8"/>
  <c r="BY1617" i="8"/>
  <c r="BX1617" i="8"/>
  <c r="BW1617" i="8"/>
  <c r="BV1617" i="8"/>
  <c r="BU1617" i="8"/>
  <c r="BT1617" i="8"/>
  <c r="BS1617" i="8"/>
  <c r="BR1617" i="8"/>
  <c r="BQ1617" i="8"/>
  <c r="BP1617" i="8"/>
  <c r="BO1617" i="8"/>
  <c r="BN1617" i="8"/>
  <c r="BM1617" i="8"/>
  <c r="BL1617" i="8"/>
  <c r="BK1617" i="8"/>
  <c r="BJ1617" i="8"/>
  <c r="BI1617" i="8"/>
  <c r="BH1617" i="8"/>
  <c r="CJ1616" i="8"/>
  <c r="CI1616" i="8"/>
  <c r="CH1616" i="8"/>
  <c r="CG1616" i="8"/>
  <c r="CF1616" i="8"/>
  <c r="CE1616" i="8"/>
  <c r="CD1616" i="8"/>
  <c r="CC1616" i="8"/>
  <c r="CB1616" i="8"/>
  <c r="CA1616" i="8"/>
  <c r="BZ1616" i="8"/>
  <c r="BY1616" i="8"/>
  <c r="BX1616" i="8"/>
  <c r="BW1616" i="8"/>
  <c r="BV1616" i="8"/>
  <c r="BU1616" i="8"/>
  <c r="BT1616" i="8"/>
  <c r="BS1616" i="8"/>
  <c r="BR1616" i="8"/>
  <c r="BQ1616" i="8"/>
  <c r="BP1616" i="8"/>
  <c r="BO1616" i="8"/>
  <c r="BN1616" i="8"/>
  <c r="BM1616" i="8"/>
  <c r="BL1616" i="8"/>
  <c r="BK1616" i="8"/>
  <c r="BJ1616" i="8"/>
  <c r="BI1616" i="8"/>
  <c r="BH1616" i="8"/>
  <c r="CJ1615" i="8"/>
  <c r="CI1615" i="8"/>
  <c r="CH1615" i="8"/>
  <c r="CG1615" i="8"/>
  <c r="CF1615" i="8"/>
  <c r="CE1615" i="8"/>
  <c r="CD1615" i="8"/>
  <c r="CC1615" i="8"/>
  <c r="CB1615" i="8"/>
  <c r="CA1615" i="8"/>
  <c r="BZ1615" i="8"/>
  <c r="BY1615" i="8"/>
  <c r="BX1615" i="8"/>
  <c r="BW1615" i="8"/>
  <c r="BV1615" i="8"/>
  <c r="BU1615" i="8"/>
  <c r="BT1615" i="8"/>
  <c r="BS1615" i="8"/>
  <c r="BR1615" i="8"/>
  <c r="BQ1615" i="8"/>
  <c r="BP1615" i="8"/>
  <c r="BO1615" i="8"/>
  <c r="BN1615" i="8"/>
  <c r="BM1615" i="8"/>
  <c r="BL1615" i="8"/>
  <c r="BK1615" i="8"/>
  <c r="BJ1615" i="8"/>
  <c r="BI1615" i="8"/>
  <c r="BH1615" i="8"/>
  <c r="CJ1614" i="8"/>
  <c r="CI1614" i="8"/>
  <c r="CH1614" i="8"/>
  <c r="CG1614" i="8"/>
  <c r="CF1614" i="8"/>
  <c r="CE1614" i="8"/>
  <c r="CD1614" i="8"/>
  <c r="CC1614" i="8"/>
  <c r="CB1614" i="8"/>
  <c r="CA1614" i="8"/>
  <c r="BZ1614" i="8"/>
  <c r="BY1614" i="8"/>
  <c r="BX1614" i="8"/>
  <c r="BW1614" i="8"/>
  <c r="BV1614" i="8"/>
  <c r="BU1614" i="8"/>
  <c r="BT1614" i="8"/>
  <c r="BS1614" i="8"/>
  <c r="BR1614" i="8"/>
  <c r="BQ1614" i="8"/>
  <c r="BP1614" i="8"/>
  <c r="BO1614" i="8"/>
  <c r="BN1614" i="8"/>
  <c r="BM1614" i="8"/>
  <c r="BL1614" i="8"/>
  <c r="BK1614" i="8"/>
  <c r="BJ1614" i="8"/>
  <c r="BI1614" i="8"/>
  <c r="BH1614" i="8"/>
  <c r="CJ1613" i="8"/>
  <c r="CI1613" i="8"/>
  <c r="CH1613" i="8"/>
  <c r="CG1613" i="8"/>
  <c r="CF1613" i="8"/>
  <c r="CE1613" i="8"/>
  <c r="CD1613" i="8"/>
  <c r="CC1613" i="8"/>
  <c r="CB1613" i="8"/>
  <c r="CA1613" i="8"/>
  <c r="BZ1613" i="8"/>
  <c r="BY1613" i="8"/>
  <c r="BX1613" i="8"/>
  <c r="BW1613" i="8"/>
  <c r="BV1613" i="8"/>
  <c r="BU1613" i="8"/>
  <c r="BT1613" i="8"/>
  <c r="BS1613" i="8"/>
  <c r="BR1613" i="8"/>
  <c r="BQ1613" i="8"/>
  <c r="BP1613" i="8"/>
  <c r="BO1613" i="8"/>
  <c r="BN1613" i="8"/>
  <c r="BM1613" i="8"/>
  <c r="BL1613" i="8"/>
  <c r="BK1613" i="8"/>
  <c r="BJ1613" i="8"/>
  <c r="BI1613" i="8"/>
  <c r="BH1613" i="8"/>
  <c r="CJ1612" i="8"/>
  <c r="CI1612" i="8"/>
  <c r="CH1612" i="8"/>
  <c r="CG1612" i="8"/>
  <c r="CF1612" i="8"/>
  <c r="CE1612" i="8"/>
  <c r="CD1612" i="8"/>
  <c r="CC1612" i="8"/>
  <c r="CB1612" i="8"/>
  <c r="CA1612" i="8"/>
  <c r="BZ1612" i="8"/>
  <c r="BY1612" i="8"/>
  <c r="BX1612" i="8"/>
  <c r="BW1612" i="8"/>
  <c r="BV1612" i="8"/>
  <c r="BU1612" i="8"/>
  <c r="BT1612" i="8"/>
  <c r="BS1612" i="8"/>
  <c r="BR1612" i="8"/>
  <c r="BQ1612" i="8"/>
  <c r="BP1612" i="8"/>
  <c r="BO1612" i="8"/>
  <c r="BN1612" i="8"/>
  <c r="BM1612" i="8"/>
  <c r="BL1612" i="8"/>
  <c r="BK1612" i="8"/>
  <c r="BJ1612" i="8"/>
  <c r="BI1612" i="8"/>
  <c r="BH1612" i="8"/>
  <c r="CJ1611" i="8"/>
  <c r="CI1611" i="8"/>
  <c r="CH1611" i="8"/>
  <c r="CG1611" i="8"/>
  <c r="CF1611" i="8"/>
  <c r="CE1611" i="8"/>
  <c r="CD1611" i="8"/>
  <c r="CC1611" i="8"/>
  <c r="CB1611" i="8"/>
  <c r="CA1611" i="8"/>
  <c r="BZ1611" i="8"/>
  <c r="BY1611" i="8"/>
  <c r="BX1611" i="8"/>
  <c r="BW1611" i="8"/>
  <c r="BV1611" i="8"/>
  <c r="BU1611" i="8"/>
  <c r="BT1611" i="8"/>
  <c r="BS1611" i="8"/>
  <c r="BR1611" i="8"/>
  <c r="BQ1611" i="8"/>
  <c r="BP1611" i="8"/>
  <c r="BO1611" i="8"/>
  <c r="BN1611" i="8"/>
  <c r="BM1611" i="8"/>
  <c r="BL1611" i="8"/>
  <c r="BK1611" i="8"/>
  <c r="BJ1611" i="8"/>
  <c r="BI1611" i="8"/>
  <c r="BH1611" i="8"/>
  <c r="CJ1610" i="8"/>
  <c r="CI1610" i="8"/>
  <c r="CH1610" i="8"/>
  <c r="CG1610" i="8"/>
  <c r="CF1610" i="8"/>
  <c r="CE1610" i="8"/>
  <c r="CD1610" i="8"/>
  <c r="CC1610" i="8"/>
  <c r="CB1610" i="8"/>
  <c r="CA1610" i="8"/>
  <c r="BZ1610" i="8"/>
  <c r="BY1610" i="8"/>
  <c r="BX1610" i="8"/>
  <c r="BW1610" i="8"/>
  <c r="BV1610" i="8"/>
  <c r="BU1610" i="8"/>
  <c r="BT1610" i="8"/>
  <c r="BS1610" i="8"/>
  <c r="BR1610" i="8"/>
  <c r="BQ1610" i="8"/>
  <c r="BP1610" i="8"/>
  <c r="BO1610" i="8"/>
  <c r="BN1610" i="8"/>
  <c r="BM1610" i="8"/>
  <c r="BL1610" i="8"/>
  <c r="BK1610" i="8"/>
  <c r="BJ1610" i="8"/>
  <c r="BI1610" i="8"/>
  <c r="BH1610" i="8"/>
  <c r="CJ1609" i="8"/>
  <c r="CI1609" i="8"/>
  <c r="CH1609" i="8"/>
  <c r="CG1609" i="8"/>
  <c r="CF1609" i="8"/>
  <c r="CE1609" i="8"/>
  <c r="CD1609" i="8"/>
  <c r="CC1609" i="8"/>
  <c r="CB1609" i="8"/>
  <c r="CA1609" i="8"/>
  <c r="BZ1609" i="8"/>
  <c r="BY1609" i="8"/>
  <c r="BX1609" i="8"/>
  <c r="BW1609" i="8"/>
  <c r="BV1609" i="8"/>
  <c r="BU1609" i="8"/>
  <c r="BT1609" i="8"/>
  <c r="BS1609" i="8"/>
  <c r="BR1609" i="8"/>
  <c r="BQ1609" i="8"/>
  <c r="BP1609" i="8"/>
  <c r="BO1609" i="8"/>
  <c r="BN1609" i="8"/>
  <c r="BM1609" i="8"/>
  <c r="BL1609" i="8"/>
  <c r="BK1609" i="8"/>
  <c r="BJ1609" i="8"/>
  <c r="BI1609" i="8"/>
  <c r="BH1609" i="8"/>
  <c r="CJ1608" i="8"/>
  <c r="CI1608" i="8"/>
  <c r="CH1608" i="8"/>
  <c r="CG1608" i="8"/>
  <c r="CF1608" i="8"/>
  <c r="CE1608" i="8"/>
  <c r="CD1608" i="8"/>
  <c r="CC1608" i="8"/>
  <c r="CB1608" i="8"/>
  <c r="CA1608" i="8"/>
  <c r="BZ1608" i="8"/>
  <c r="BY1608" i="8"/>
  <c r="BX1608" i="8"/>
  <c r="BW1608" i="8"/>
  <c r="BV1608" i="8"/>
  <c r="BU1608" i="8"/>
  <c r="BT1608" i="8"/>
  <c r="BS1608" i="8"/>
  <c r="BR1608" i="8"/>
  <c r="BQ1608" i="8"/>
  <c r="BP1608" i="8"/>
  <c r="BO1608" i="8"/>
  <c r="BN1608" i="8"/>
  <c r="BM1608" i="8"/>
  <c r="BL1608" i="8"/>
  <c r="BK1608" i="8"/>
  <c r="BJ1608" i="8"/>
  <c r="BI1608" i="8"/>
  <c r="BH1608" i="8"/>
  <c r="CJ1607" i="8"/>
  <c r="CI1607" i="8"/>
  <c r="CH1607" i="8"/>
  <c r="CG1607" i="8"/>
  <c r="CF1607" i="8"/>
  <c r="CE1607" i="8"/>
  <c r="CD1607" i="8"/>
  <c r="CC1607" i="8"/>
  <c r="CB1607" i="8"/>
  <c r="CA1607" i="8"/>
  <c r="BZ1607" i="8"/>
  <c r="BY1607" i="8"/>
  <c r="BX1607" i="8"/>
  <c r="BW1607" i="8"/>
  <c r="BV1607" i="8"/>
  <c r="BU1607" i="8"/>
  <c r="BT1607" i="8"/>
  <c r="BS1607" i="8"/>
  <c r="BR1607" i="8"/>
  <c r="BQ1607" i="8"/>
  <c r="BP1607" i="8"/>
  <c r="BO1607" i="8"/>
  <c r="BN1607" i="8"/>
  <c r="BM1607" i="8"/>
  <c r="BL1607" i="8"/>
  <c r="BK1607" i="8"/>
  <c r="BJ1607" i="8"/>
  <c r="BI1607" i="8"/>
  <c r="BH1607" i="8"/>
  <c r="CJ1606" i="8"/>
  <c r="CI1606" i="8"/>
  <c r="CH1606" i="8"/>
  <c r="CG1606" i="8"/>
  <c r="CF1606" i="8"/>
  <c r="CE1606" i="8"/>
  <c r="CD1606" i="8"/>
  <c r="CC1606" i="8"/>
  <c r="CB1606" i="8"/>
  <c r="CA1606" i="8"/>
  <c r="BZ1606" i="8"/>
  <c r="BY1606" i="8"/>
  <c r="BX1606" i="8"/>
  <c r="BW1606" i="8"/>
  <c r="BV1606" i="8"/>
  <c r="BU1606" i="8"/>
  <c r="BT1606" i="8"/>
  <c r="BS1606" i="8"/>
  <c r="BR1606" i="8"/>
  <c r="BQ1606" i="8"/>
  <c r="BP1606" i="8"/>
  <c r="BO1606" i="8"/>
  <c r="BN1606" i="8"/>
  <c r="BM1606" i="8"/>
  <c r="BL1606" i="8"/>
  <c r="BK1606" i="8"/>
  <c r="BJ1606" i="8"/>
  <c r="BI1606" i="8"/>
  <c r="BH1606" i="8"/>
  <c r="CJ1605" i="8"/>
  <c r="CI1605" i="8"/>
  <c r="CH1605" i="8"/>
  <c r="CG1605" i="8"/>
  <c r="CF1605" i="8"/>
  <c r="CE1605" i="8"/>
  <c r="CD1605" i="8"/>
  <c r="CC1605" i="8"/>
  <c r="CB1605" i="8"/>
  <c r="CA1605" i="8"/>
  <c r="BZ1605" i="8"/>
  <c r="BY1605" i="8"/>
  <c r="BX1605" i="8"/>
  <c r="BW1605" i="8"/>
  <c r="BV1605" i="8"/>
  <c r="BU1605" i="8"/>
  <c r="BT1605" i="8"/>
  <c r="BS1605" i="8"/>
  <c r="BR1605" i="8"/>
  <c r="BQ1605" i="8"/>
  <c r="BP1605" i="8"/>
  <c r="BO1605" i="8"/>
  <c r="BN1605" i="8"/>
  <c r="BM1605" i="8"/>
  <c r="BL1605" i="8"/>
  <c r="BK1605" i="8"/>
  <c r="BJ1605" i="8"/>
  <c r="BI1605" i="8"/>
  <c r="BH1605" i="8"/>
  <c r="CJ1604" i="8"/>
  <c r="CI1604" i="8"/>
  <c r="CH1604" i="8"/>
  <c r="CG1604" i="8"/>
  <c r="CF1604" i="8"/>
  <c r="CE1604" i="8"/>
  <c r="CD1604" i="8"/>
  <c r="CC1604" i="8"/>
  <c r="CB1604" i="8"/>
  <c r="CA1604" i="8"/>
  <c r="BZ1604" i="8"/>
  <c r="BY1604" i="8"/>
  <c r="BX1604" i="8"/>
  <c r="BW1604" i="8"/>
  <c r="BV1604" i="8"/>
  <c r="BU1604" i="8"/>
  <c r="BT1604" i="8"/>
  <c r="BS1604" i="8"/>
  <c r="BR1604" i="8"/>
  <c r="BQ1604" i="8"/>
  <c r="BP1604" i="8"/>
  <c r="BO1604" i="8"/>
  <c r="BN1604" i="8"/>
  <c r="BM1604" i="8"/>
  <c r="BL1604" i="8"/>
  <c r="BK1604" i="8"/>
  <c r="BJ1604" i="8"/>
  <c r="BI1604" i="8"/>
  <c r="BH1604" i="8"/>
  <c r="CJ1603" i="8"/>
  <c r="CI1603" i="8"/>
  <c r="CH1603" i="8"/>
  <c r="CG1603" i="8"/>
  <c r="CF1603" i="8"/>
  <c r="CE1603" i="8"/>
  <c r="CD1603" i="8"/>
  <c r="CC1603" i="8"/>
  <c r="CB1603" i="8"/>
  <c r="CA1603" i="8"/>
  <c r="BZ1603" i="8"/>
  <c r="BY1603" i="8"/>
  <c r="BX1603" i="8"/>
  <c r="BW1603" i="8"/>
  <c r="BV1603" i="8"/>
  <c r="BU1603" i="8"/>
  <c r="BT1603" i="8"/>
  <c r="BS1603" i="8"/>
  <c r="BR1603" i="8"/>
  <c r="BQ1603" i="8"/>
  <c r="BP1603" i="8"/>
  <c r="BO1603" i="8"/>
  <c r="BN1603" i="8"/>
  <c r="BM1603" i="8"/>
  <c r="BL1603" i="8"/>
  <c r="BK1603" i="8"/>
  <c r="BJ1603" i="8"/>
  <c r="BI1603" i="8"/>
  <c r="BH1603" i="8"/>
  <c r="CJ1602" i="8"/>
  <c r="CI1602" i="8"/>
  <c r="CH1602" i="8"/>
  <c r="CG1602" i="8"/>
  <c r="CF1602" i="8"/>
  <c r="CE1602" i="8"/>
  <c r="CD1602" i="8"/>
  <c r="CC1602" i="8"/>
  <c r="CB1602" i="8"/>
  <c r="CA1602" i="8"/>
  <c r="BZ1602" i="8"/>
  <c r="BY1602" i="8"/>
  <c r="BX1602" i="8"/>
  <c r="BW1602" i="8"/>
  <c r="BV1602" i="8"/>
  <c r="BU1602" i="8"/>
  <c r="BT1602" i="8"/>
  <c r="BS1602" i="8"/>
  <c r="BR1602" i="8"/>
  <c r="BQ1602" i="8"/>
  <c r="BP1602" i="8"/>
  <c r="BO1602" i="8"/>
  <c r="BN1602" i="8"/>
  <c r="BM1602" i="8"/>
  <c r="BL1602" i="8"/>
  <c r="BK1602" i="8"/>
  <c r="BJ1602" i="8"/>
  <c r="BI1602" i="8"/>
  <c r="BH1602" i="8"/>
  <c r="CJ1601" i="8"/>
  <c r="CI1601" i="8"/>
  <c r="CH1601" i="8"/>
  <c r="CG1601" i="8"/>
  <c r="CF1601" i="8"/>
  <c r="CE1601" i="8"/>
  <c r="CD1601" i="8"/>
  <c r="CC1601" i="8"/>
  <c r="CB1601" i="8"/>
  <c r="CA1601" i="8"/>
  <c r="BZ1601" i="8"/>
  <c r="BY1601" i="8"/>
  <c r="BX1601" i="8"/>
  <c r="BW1601" i="8"/>
  <c r="BV1601" i="8"/>
  <c r="BU1601" i="8"/>
  <c r="BT1601" i="8"/>
  <c r="BS1601" i="8"/>
  <c r="BR1601" i="8"/>
  <c r="BQ1601" i="8"/>
  <c r="BP1601" i="8"/>
  <c r="BO1601" i="8"/>
  <c r="BN1601" i="8"/>
  <c r="BM1601" i="8"/>
  <c r="BL1601" i="8"/>
  <c r="BK1601" i="8"/>
  <c r="BJ1601" i="8"/>
  <c r="BI1601" i="8"/>
  <c r="BH1601" i="8"/>
  <c r="CJ1600" i="8"/>
  <c r="CI1600" i="8"/>
  <c r="CH1600" i="8"/>
  <c r="CG1600" i="8"/>
  <c r="CF1600" i="8"/>
  <c r="CE1600" i="8"/>
  <c r="CD1600" i="8"/>
  <c r="CC1600" i="8"/>
  <c r="CB1600" i="8"/>
  <c r="CA1600" i="8"/>
  <c r="BZ1600" i="8"/>
  <c r="BY1600" i="8"/>
  <c r="BX1600" i="8"/>
  <c r="BW1600" i="8"/>
  <c r="BV1600" i="8"/>
  <c r="BU1600" i="8"/>
  <c r="BT1600" i="8"/>
  <c r="BS1600" i="8"/>
  <c r="BR1600" i="8"/>
  <c r="BQ1600" i="8"/>
  <c r="BP1600" i="8"/>
  <c r="BO1600" i="8"/>
  <c r="BN1600" i="8"/>
  <c r="BM1600" i="8"/>
  <c r="BL1600" i="8"/>
  <c r="BK1600" i="8"/>
  <c r="BJ1600" i="8"/>
  <c r="BI1600" i="8"/>
  <c r="BH1600" i="8"/>
  <c r="CJ1599" i="8"/>
  <c r="CI1599" i="8"/>
  <c r="CH1599" i="8"/>
  <c r="CG1599" i="8"/>
  <c r="CF1599" i="8"/>
  <c r="CE1599" i="8"/>
  <c r="CD1599" i="8"/>
  <c r="CC1599" i="8"/>
  <c r="CB1599" i="8"/>
  <c r="CA1599" i="8"/>
  <c r="BZ1599" i="8"/>
  <c r="BY1599" i="8"/>
  <c r="BX1599" i="8"/>
  <c r="BW1599" i="8"/>
  <c r="BV1599" i="8"/>
  <c r="BU1599" i="8"/>
  <c r="BT1599" i="8"/>
  <c r="BS1599" i="8"/>
  <c r="BR1599" i="8"/>
  <c r="BQ1599" i="8"/>
  <c r="BP1599" i="8"/>
  <c r="BO1599" i="8"/>
  <c r="BN1599" i="8"/>
  <c r="BM1599" i="8"/>
  <c r="BL1599" i="8"/>
  <c r="BK1599" i="8"/>
  <c r="BJ1599" i="8"/>
  <c r="BI1599" i="8"/>
  <c r="BH1599" i="8"/>
  <c r="CJ1598" i="8"/>
  <c r="CI1598" i="8"/>
  <c r="CH1598" i="8"/>
  <c r="CG1598" i="8"/>
  <c r="CF1598" i="8"/>
  <c r="CE1598" i="8"/>
  <c r="CD1598" i="8"/>
  <c r="CC1598" i="8"/>
  <c r="CB1598" i="8"/>
  <c r="CA1598" i="8"/>
  <c r="BZ1598" i="8"/>
  <c r="BY1598" i="8"/>
  <c r="BX1598" i="8"/>
  <c r="BW1598" i="8"/>
  <c r="BV1598" i="8"/>
  <c r="BU1598" i="8"/>
  <c r="BT1598" i="8"/>
  <c r="BS1598" i="8"/>
  <c r="BR1598" i="8"/>
  <c r="BQ1598" i="8"/>
  <c r="BP1598" i="8"/>
  <c r="BO1598" i="8"/>
  <c r="BN1598" i="8"/>
  <c r="BM1598" i="8"/>
  <c r="BL1598" i="8"/>
  <c r="BK1598" i="8"/>
  <c r="BJ1598" i="8"/>
  <c r="BI1598" i="8"/>
  <c r="BH1598" i="8"/>
  <c r="CJ1597" i="8"/>
  <c r="CI1597" i="8"/>
  <c r="CH1597" i="8"/>
  <c r="CG1597" i="8"/>
  <c r="CF1597" i="8"/>
  <c r="CE1597" i="8"/>
  <c r="CD1597" i="8"/>
  <c r="CC1597" i="8"/>
  <c r="CB1597" i="8"/>
  <c r="CA1597" i="8"/>
  <c r="BZ1597" i="8"/>
  <c r="BY1597" i="8"/>
  <c r="BX1597" i="8"/>
  <c r="BW1597" i="8"/>
  <c r="BV1597" i="8"/>
  <c r="BU1597" i="8"/>
  <c r="BT1597" i="8"/>
  <c r="BS1597" i="8"/>
  <c r="BR1597" i="8"/>
  <c r="BQ1597" i="8"/>
  <c r="BP1597" i="8"/>
  <c r="BO1597" i="8"/>
  <c r="BN1597" i="8"/>
  <c r="BM1597" i="8"/>
  <c r="BL1597" i="8"/>
  <c r="BK1597" i="8"/>
  <c r="BJ1597" i="8"/>
  <c r="BI1597" i="8"/>
  <c r="BH1597" i="8"/>
  <c r="CJ1596" i="8"/>
  <c r="CI1596" i="8"/>
  <c r="CH1596" i="8"/>
  <c r="CG1596" i="8"/>
  <c r="CF1596" i="8"/>
  <c r="CE1596" i="8"/>
  <c r="CD1596" i="8"/>
  <c r="CC1596" i="8"/>
  <c r="CB1596" i="8"/>
  <c r="CA1596" i="8"/>
  <c r="BZ1596" i="8"/>
  <c r="BY1596" i="8"/>
  <c r="BX1596" i="8"/>
  <c r="BW1596" i="8"/>
  <c r="BV1596" i="8"/>
  <c r="BU1596" i="8"/>
  <c r="BT1596" i="8"/>
  <c r="BS1596" i="8"/>
  <c r="BR1596" i="8"/>
  <c r="BQ1596" i="8"/>
  <c r="BP1596" i="8"/>
  <c r="BO1596" i="8"/>
  <c r="BN1596" i="8"/>
  <c r="BM1596" i="8"/>
  <c r="BL1596" i="8"/>
  <c r="BK1596" i="8"/>
  <c r="BJ1596" i="8"/>
  <c r="BI1596" i="8"/>
  <c r="BH1596" i="8"/>
  <c r="CJ1595" i="8"/>
  <c r="CI1595" i="8"/>
  <c r="CH1595" i="8"/>
  <c r="CG1595" i="8"/>
  <c r="CF1595" i="8"/>
  <c r="CE1595" i="8"/>
  <c r="CD1595" i="8"/>
  <c r="CC1595" i="8"/>
  <c r="CB1595" i="8"/>
  <c r="CA1595" i="8"/>
  <c r="BZ1595" i="8"/>
  <c r="BY1595" i="8"/>
  <c r="BX1595" i="8"/>
  <c r="BW1595" i="8"/>
  <c r="BV1595" i="8"/>
  <c r="BU1595" i="8"/>
  <c r="BT1595" i="8"/>
  <c r="BS1595" i="8"/>
  <c r="BR1595" i="8"/>
  <c r="BQ1595" i="8"/>
  <c r="BP1595" i="8"/>
  <c r="BO1595" i="8"/>
  <c r="BN1595" i="8"/>
  <c r="BM1595" i="8"/>
  <c r="BL1595" i="8"/>
  <c r="BK1595" i="8"/>
  <c r="BJ1595" i="8"/>
  <c r="BI1595" i="8"/>
  <c r="BH1595" i="8"/>
  <c r="CJ1594" i="8"/>
  <c r="CI1594" i="8"/>
  <c r="CH1594" i="8"/>
  <c r="CG1594" i="8"/>
  <c r="CF1594" i="8"/>
  <c r="CE1594" i="8"/>
  <c r="CD1594" i="8"/>
  <c r="CC1594" i="8"/>
  <c r="CB1594" i="8"/>
  <c r="CA1594" i="8"/>
  <c r="BZ1594" i="8"/>
  <c r="BY1594" i="8"/>
  <c r="BX1594" i="8"/>
  <c r="BW1594" i="8"/>
  <c r="BV1594" i="8"/>
  <c r="BU1594" i="8"/>
  <c r="BT1594" i="8"/>
  <c r="BS1594" i="8"/>
  <c r="BR1594" i="8"/>
  <c r="BQ1594" i="8"/>
  <c r="BP1594" i="8"/>
  <c r="BO1594" i="8"/>
  <c r="BN1594" i="8"/>
  <c r="BM1594" i="8"/>
  <c r="BL1594" i="8"/>
  <c r="BK1594" i="8"/>
  <c r="BJ1594" i="8"/>
  <c r="BI1594" i="8"/>
  <c r="BH1594" i="8"/>
  <c r="CJ1593" i="8"/>
  <c r="CI1593" i="8"/>
  <c r="CH1593" i="8"/>
  <c r="CG1593" i="8"/>
  <c r="CF1593" i="8"/>
  <c r="CE1593" i="8"/>
  <c r="CD1593" i="8"/>
  <c r="CC1593" i="8"/>
  <c r="CB1593" i="8"/>
  <c r="CA1593" i="8"/>
  <c r="BZ1593" i="8"/>
  <c r="BY1593" i="8"/>
  <c r="BX1593" i="8"/>
  <c r="BW1593" i="8"/>
  <c r="BV1593" i="8"/>
  <c r="BU1593" i="8"/>
  <c r="BT1593" i="8"/>
  <c r="BS1593" i="8"/>
  <c r="BR1593" i="8"/>
  <c r="BQ1593" i="8"/>
  <c r="BP1593" i="8"/>
  <c r="BO1593" i="8"/>
  <c r="BN1593" i="8"/>
  <c r="BM1593" i="8"/>
  <c r="BL1593" i="8"/>
  <c r="BK1593" i="8"/>
  <c r="BJ1593" i="8"/>
  <c r="BI1593" i="8"/>
  <c r="BH1593" i="8"/>
  <c r="CJ1592" i="8"/>
  <c r="CI1592" i="8"/>
  <c r="CH1592" i="8"/>
  <c r="CG1592" i="8"/>
  <c r="CF1592" i="8"/>
  <c r="CE1592" i="8"/>
  <c r="CD1592" i="8"/>
  <c r="CC1592" i="8"/>
  <c r="CB1592" i="8"/>
  <c r="CA1592" i="8"/>
  <c r="BZ1592" i="8"/>
  <c r="BY1592" i="8"/>
  <c r="BX1592" i="8"/>
  <c r="BW1592" i="8"/>
  <c r="BV1592" i="8"/>
  <c r="BU1592" i="8"/>
  <c r="BT1592" i="8"/>
  <c r="BS1592" i="8"/>
  <c r="BR1592" i="8"/>
  <c r="BQ1592" i="8"/>
  <c r="BP1592" i="8"/>
  <c r="BO1592" i="8"/>
  <c r="BN1592" i="8"/>
  <c r="BM1592" i="8"/>
  <c r="BL1592" i="8"/>
  <c r="BK1592" i="8"/>
  <c r="BJ1592" i="8"/>
  <c r="BI1592" i="8"/>
  <c r="BH1592" i="8"/>
  <c r="CJ1591" i="8"/>
  <c r="CI1591" i="8"/>
  <c r="CH1591" i="8"/>
  <c r="CG1591" i="8"/>
  <c r="CF1591" i="8"/>
  <c r="CE1591" i="8"/>
  <c r="CD1591" i="8"/>
  <c r="CC1591" i="8"/>
  <c r="CB1591" i="8"/>
  <c r="CA1591" i="8"/>
  <c r="BZ1591" i="8"/>
  <c r="BY1591" i="8"/>
  <c r="BX1591" i="8"/>
  <c r="BW1591" i="8"/>
  <c r="BV1591" i="8"/>
  <c r="BU1591" i="8"/>
  <c r="BT1591" i="8"/>
  <c r="BS1591" i="8"/>
  <c r="BR1591" i="8"/>
  <c r="BQ1591" i="8"/>
  <c r="BP1591" i="8"/>
  <c r="BO1591" i="8"/>
  <c r="BN1591" i="8"/>
  <c r="BM1591" i="8"/>
  <c r="BL1591" i="8"/>
  <c r="BK1591" i="8"/>
  <c r="BJ1591" i="8"/>
  <c r="BI1591" i="8"/>
  <c r="BH1591" i="8"/>
  <c r="CJ1590" i="8"/>
  <c r="CI1590" i="8"/>
  <c r="CH1590" i="8"/>
  <c r="CG1590" i="8"/>
  <c r="CF1590" i="8"/>
  <c r="CE1590" i="8"/>
  <c r="CD1590" i="8"/>
  <c r="CC1590" i="8"/>
  <c r="CB1590" i="8"/>
  <c r="CA1590" i="8"/>
  <c r="BZ1590" i="8"/>
  <c r="BY1590" i="8"/>
  <c r="BX1590" i="8"/>
  <c r="BW1590" i="8"/>
  <c r="BV1590" i="8"/>
  <c r="BU1590" i="8"/>
  <c r="BT1590" i="8"/>
  <c r="BS1590" i="8"/>
  <c r="BR1590" i="8"/>
  <c r="BQ1590" i="8"/>
  <c r="BP1590" i="8"/>
  <c r="BO1590" i="8"/>
  <c r="BN1590" i="8"/>
  <c r="BM1590" i="8"/>
  <c r="BL1590" i="8"/>
  <c r="BK1590" i="8"/>
  <c r="BJ1590" i="8"/>
  <c r="BI1590" i="8"/>
  <c r="BH1590" i="8"/>
  <c r="CJ1589" i="8"/>
  <c r="CI1589" i="8"/>
  <c r="CH1589" i="8"/>
  <c r="CG1589" i="8"/>
  <c r="CF1589" i="8"/>
  <c r="CE1589" i="8"/>
  <c r="CD1589" i="8"/>
  <c r="CC1589" i="8"/>
  <c r="CB1589" i="8"/>
  <c r="CA1589" i="8"/>
  <c r="BZ1589" i="8"/>
  <c r="BY1589" i="8"/>
  <c r="BX1589" i="8"/>
  <c r="BW1589" i="8"/>
  <c r="BV1589" i="8"/>
  <c r="BU1589" i="8"/>
  <c r="BT1589" i="8"/>
  <c r="BS1589" i="8"/>
  <c r="BR1589" i="8"/>
  <c r="BQ1589" i="8"/>
  <c r="BP1589" i="8"/>
  <c r="BO1589" i="8"/>
  <c r="BN1589" i="8"/>
  <c r="BM1589" i="8"/>
  <c r="BL1589" i="8"/>
  <c r="BK1589" i="8"/>
  <c r="BJ1589" i="8"/>
  <c r="BI1589" i="8"/>
  <c r="BH1589" i="8"/>
  <c r="CJ1588" i="8"/>
  <c r="CI1588" i="8"/>
  <c r="CH1588" i="8"/>
  <c r="CG1588" i="8"/>
  <c r="CF1588" i="8"/>
  <c r="CE1588" i="8"/>
  <c r="CD1588" i="8"/>
  <c r="CC1588" i="8"/>
  <c r="CB1588" i="8"/>
  <c r="CA1588" i="8"/>
  <c r="BZ1588" i="8"/>
  <c r="BY1588" i="8"/>
  <c r="BX1588" i="8"/>
  <c r="BW1588" i="8"/>
  <c r="BV1588" i="8"/>
  <c r="BU1588" i="8"/>
  <c r="BT1588" i="8"/>
  <c r="BS1588" i="8"/>
  <c r="BR1588" i="8"/>
  <c r="BQ1588" i="8"/>
  <c r="BP1588" i="8"/>
  <c r="BO1588" i="8"/>
  <c r="BN1588" i="8"/>
  <c r="BM1588" i="8"/>
  <c r="BL1588" i="8"/>
  <c r="BK1588" i="8"/>
  <c r="BJ1588" i="8"/>
  <c r="BI1588" i="8"/>
  <c r="BH1588" i="8"/>
  <c r="CJ1587" i="8"/>
  <c r="CI1587" i="8"/>
  <c r="CH1587" i="8"/>
  <c r="CG1587" i="8"/>
  <c r="CF1587" i="8"/>
  <c r="CE1587" i="8"/>
  <c r="CD1587" i="8"/>
  <c r="CC1587" i="8"/>
  <c r="CB1587" i="8"/>
  <c r="CA1587" i="8"/>
  <c r="BZ1587" i="8"/>
  <c r="BY1587" i="8"/>
  <c r="BX1587" i="8"/>
  <c r="BW1587" i="8"/>
  <c r="BV1587" i="8"/>
  <c r="BU1587" i="8"/>
  <c r="BT1587" i="8"/>
  <c r="BS1587" i="8"/>
  <c r="BR1587" i="8"/>
  <c r="BQ1587" i="8"/>
  <c r="BP1587" i="8"/>
  <c r="BO1587" i="8"/>
  <c r="BN1587" i="8"/>
  <c r="BM1587" i="8"/>
  <c r="BL1587" i="8"/>
  <c r="BK1587" i="8"/>
  <c r="BJ1587" i="8"/>
  <c r="BI1587" i="8"/>
  <c r="BH1587" i="8"/>
  <c r="CJ1586" i="8"/>
  <c r="CI1586" i="8"/>
  <c r="CH1586" i="8"/>
  <c r="CG1586" i="8"/>
  <c r="CF1586" i="8"/>
  <c r="CE1586" i="8"/>
  <c r="CD1586" i="8"/>
  <c r="CC1586" i="8"/>
  <c r="CB1586" i="8"/>
  <c r="CA1586" i="8"/>
  <c r="BZ1586" i="8"/>
  <c r="BY1586" i="8"/>
  <c r="BX1586" i="8"/>
  <c r="BW1586" i="8"/>
  <c r="BV1586" i="8"/>
  <c r="BU1586" i="8"/>
  <c r="BT1586" i="8"/>
  <c r="BS1586" i="8"/>
  <c r="BR1586" i="8"/>
  <c r="BQ1586" i="8"/>
  <c r="BP1586" i="8"/>
  <c r="BO1586" i="8"/>
  <c r="BN1586" i="8"/>
  <c r="BM1586" i="8"/>
  <c r="BL1586" i="8"/>
  <c r="BK1586" i="8"/>
  <c r="BJ1586" i="8"/>
  <c r="BI1586" i="8"/>
  <c r="BH1586" i="8"/>
  <c r="CJ1585" i="8"/>
  <c r="CI1585" i="8"/>
  <c r="CH1585" i="8"/>
  <c r="CG1585" i="8"/>
  <c r="CF1585" i="8"/>
  <c r="CE1585" i="8"/>
  <c r="CD1585" i="8"/>
  <c r="CC1585" i="8"/>
  <c r="CB1585" i="8"/>
  <c r="CA1585" i="8"/>
  <c r="BZ1585" i="8"/>
  <c r="BY1585" i="8"/>
  <c r="BX1585" i="8"/>
  <c r="BW1585" i="8"/>
  <c r="BV1585" i="8"/>
  <c r="BU1585" i="8"/>
  <c r="BT1585" i="8"/>
  <c r="BS1585" i="8"/>
  <c r="BR1585" i="8"/>
  <c r="BQ1585" i="8"/>
  <c r="BP1585" i="8"/>
  <c r="BO1585" i="8"/>
  <c r="BN1585" i="8"/>
  <c r="BM1585" i="8"/>
  <c r="BL1585" i="8"/>
  <c r="BK1585" i="8"/>
  <c r="BJ1585" i="8"/>
  <c r="BI1585" i="8"/>
  <c r="BH1585" i="8"/>
  <c r="CJ1584" i="8"/>
  <c r="CI1584" i="8"/>
  <c r="CH1584" i="8"/>
  <c r="CG1584" i="8"/>
  <c r="CF1584" i="8"/>
  <c r="CE1584" i="8"/>
  <c r="CD1584" i="8"/>
  <c r="CC1584" i="8"/>
  <c r="CB1584" i="8"/>
  <c r="CA1584" i="8"/>
  <c r="BZ1584" i="8"/>
  <c r="BY1584" i="8"/>
  <c r="BX1584" i="8"/>
  <c r="BW1584" i="8"/>
  <c r="BV1584" i="8"/>
  <c r="BU1584" i="8"/>
  <c r="BT1584" i="8"/>
  <c r="BS1584" i="8"/>
  <c r="BR1584" i="8"/>
  <c r="BQ1584" i="8"/>
  <c r="BP1584" i="8"/>
  <c r="BO1584" i="8"/>
  <c r="BN1584" i="8"/>
  <c r="BM1584" i="8"/>
  <c r="BL1584" i="8"/>
  <c r="BK1584" i="8"/>
  <c r="BJ1584" i="8"/>
  <c r="BI1584" i="8"/>
  <c r="BH1584" i="8"/>
  <c r="CJ1583" i="8"/>
  <c r="CI1583" i="8"/>
  <c r="CH1583" i="8"/>
  <c r="CG1583" i="8"/>
  <c r="CF1583" i="8"/>
  <c r="CE1583" i="8"/>
  <c r="CD1583" i="8"/>
  <c r="CC1583" i="8"/>
  <c r="CB1583" i="8"/>
  <c r="CA1583" i="8"/>
  <c r="BZ1583" i="8"/>
  <c r="BY1583" i="8"/>
  <c r="BX1583" i="8"/>
  <c r="BW1583" i="8"/>
  <c r="BV1583" i="8"/>
  <c r="BU1583" i="8"/>
  <c r="BT1583" i="8"/>
  <c r="BS1583" i="8"/>
  <c r="BR1583" i="8"/>
  <c r="BQ1583" i="8"/>
  <c r="BP1583" i="8"/>
  <c r="BO1583" i="8"/>
  <c r="BN1583" i="8"/>
  <c r="BM1583" i="8"/>
  <c r="BL1583" i="8"/>
  <c r="BK1583" i="8"/>
  <c r="BJ1583" i="8"/>
  <c r="BI1583" i="8"/>
  <c r="BH1583" i="8"/>
  <c r="CJ1582" i="8"/>
  <c r="CI1582" i="8"/>
  <c r="CH1582" i="8"/>
  <c r="CG1582" i="8"/>
  <c r="CF1582" i="8"/>
  <c r="CE1582" i="8"/>
  <c r="CD1582" i="8"/>
  <c r="CC1582" i="8"/>
  <c r="CB1582" i="8"/>
  <c r="CA1582" i="8"/>
  <c r="BZ1582" i="8"/>
  <c r="BY1582" i="8"/>
  <c r="BX1582" i="8"/>
  <c r="BW1582" i="8"/>
  <c r="BV1582" i="8"/>
  <c r="BU1582" i="8"/>
  <c r="BT1582" i="8"/>
  <c r="BS1582" i="8"/>
  <c r="BR1582" i="8"/>
  <c r="BQ1582" i="8"/>
  <c r="BP1582" i="8"/>
  <c r="BO1582" i="8"/>
  <c r="BN1582" i="8"/>
  <c r="BM1582" i="8"/>
  <c r="BL1582" i="8"/>
  <c r="BK1582" i="8"/>
  <c r="BJ1582" i="8"/>
  <c r="BI1582" i="8"/>
  <c r="BH1582" i="8"/>
  <c r="CJ1581" i="8"/>
  <c r="CI1581" i="8"/>
  <c r="CH1581" i="8"/>
  <c r="CG1581" i="8"/>
  <c r="CF1581" i="8"/>
  <c r="CE1581" i="8"/>
  <c r="CD1581" i="8"/>
  <c r="CC1581" i="8"/>
  <c r="CB1581" i="8"/>
  <c r="CA1581" i="8"/>
  <c r="BZ1581" i="8"/>
  <c r="BY1581" i="8"/>
  <c r="BX1581" i="8"/>
  <c r="BW1581" i="8"/>
  <c r="BV1581" i="8"/>
  <c r="BU1581" i="8"/>
  <c r="BT1581" i="8"/>
  <c r="BS1581" i="8"/>
  <c r="BR1581" i="8"/>
  <c r="BQ1581" i="8"/>
  <c r="BP1581" i="8"/>
  <c r="BO1581" i="8"/>
  <c r="BN1581" i="8"/>
  <c r="BM1581" i="8"/>
  <c r="BL1581" i="8"/>
  <c r="BK1581" i="8"/>
  <c r="BJ1581" i="8"/>
  <c r="BI1581" i="8"/>
  <c r="BH1581" i="8"/>
  <c r="CJ1580" i="8"/>
  <c r="CI1580" i="8"/>
  <c r="CH1580" i="8"/>
  <c r="CG1580" i="8"/>
  <c r="CF1580" i="8"/>
  <c r="CE1580" i="8"/>
  <c r="CD1580" i="8"/>
  <c r="CC1580" i="8"/>
  <c r="CB1580" i="8"/>
  <c r="CA1580" i="8"/>
  <c r="BZ1580" i="8"/>
  <c r="BY1580" i="8"/>
  <c r="BX1580" i="8"/>
  <c r="BW1580" i="8"/>
  <c r="BV1580" i="8"/>
  <c r="BU1580" i="8"/>
  <c r="BT1580" i="8"/>
  <c r="BS1580" i="8"/>
  <c r="BR1580" i="8"/>
  <c r="BQ1580" i="8"/>
  <c r="BP1580" i="8"/>
  <c r="BO1580" i="8"/>
  <c r="BN1580" i="8"/>
  <c r="BM1580" i="8"/>
  <c r="BL1580" i="8"/>
  <c r="BK1580" i="8"/>
  <c r="BJ1580" i="8"/>
  <c r="BI1580" i="8"/>
  <c r="BH1580" i="8"/>
  <c r="CJ1579" i="8"/>
  <c r="CI1579" i="8"/>
  <c r="CH1579" i="8"/>
  <c r="CG1579" i="8"/>
  <c r="CF1579" i="8"/>
  <c r="CE1579" i="8"/>
  <c r="CD1579" i="8"/>
  <c r="CC1579" i="8"/>
  <c r="CB1579" i="8"/>
  <c r="CA1579" i="8"/>
  <c r="BZ1579" i="8"/>
  <c r="BY1579" i="8"/>
  <c r="BX1579" i="8"/>
  <c r="BW1579" i="8"/>
  <c r="BV1579" i="8"/>
  <c r="BU1579" i="8"/>
  <c r="BT1579" i="8"/>
  <c r="BS1579" i="8"/>
  <c r="BR1579" i="8"/>
  <c r="BQ1579" i="8"/>
  <c r="BP1579" i="8"/>
  <c r="BO1579" i="8"/>
  <c r="BN1579" i="8"/>
  <c r="BM1579" i="8"/>
  <c r="BL1579" i="8"/>
  <c r="BK1579" i="8"/>
  <c r="BJ1579" i="8"/>
  <c r="BI1579" i="8"/>
  <c r="BH1579" i="8"/>
  <c r="CJ1578" i="8"/>
  <c r="CI1578" i="8"/>
  <c r="CH1578" i="8"/>
  <c r="CG1578" i="8"/>
  <c r="CF1578" i="8"/>
  <c r="CE1578" i="8"/>
  <c r="CD1578" i="8"/>
  <c r="CC1578" i="8"/>
  <c r="CB1578" i="8"/>
  <c r="CA1578" i="8"/>
  <c r="BZ1578" i="8"/>
  <c r="BY1578" i="8"/>
  <c r="BX1578" i="8"/>
  <c r="BW1578" i="8"/>
  <c r="BV1578" i="8"/>
  <c r="BU1578" i="8"/>
  <c r="BT1578" i="8"/>
  <c r="BS1578" i="8"/>
  <c r="BR1578" i="8"/>
  <c r="BQ1578" i="8"/>
  <c r="BP1578" i="8"/>
  <c r="BO1578" i="8"/>
  <c r="BN1578" i="8"/>
  <c r="BM1578" i="8"/>
  <c r="BL1578" i="8"/>
  <c r="BK1578" i="8"/>
  <c r="BJ1578" i="8"/>
  <c r="BI1578" i="8"/>
  <c r="BH1578" i="8"/>
  <c r="CJ1577" i="8"/>
  <c r="CI1577" i="8"/>
  <c r="CH1577" i="8"/>
  <c r="CG1577" i="8"/>
  <c r="CF1577" i="8"/>
  <c r="CE1577" i="8"/>
  <c r="CD1577" i="8"/>
  <c r="CC1577" i="8"/>
  <c r="CB1577" i="8"/>
  <c r="CA1577" i="8"/>
  <c r="BZ1577" i="8"/>
  <c r="BY1577" i="8"/>
  <c r="BX1577" i="8"/>
  <c r="BW1577" i="8"/>
  <c r="BV1577" i="8"/>
  <c r="BU1577" i="8"/>
  <c r="BT1577" i="8"/>
  <c r="BS1577" i="8"/>
  <c r="BR1577" i="8"/>
  <c r="BQ1577" i="8"/>
  <c r="BP1577" i="8"/>
  <c r="BO1577" i="8"/>
  <c r="BN1577" i="8"/>
  <c r="BM1577" i="8"/>
  <c r="BL1577" i="8"/>
  <c r="BK1577" i="8"/>
  <c r="BJ1577" i="8"/>
  <c r="BI1577" i="8"/>
  <c r="BH1577" i="8"/>
  <c r="CJ1576" i="8"/>
  <c r="CI1576" i="8"/>
  <c r="CH1576" i="8"/>
  <c r="CG1576" i="8"/>
  <c r="CF1576" i="8"/>
  <c r="CE1576" i="8"/>
  <c r="CD1576" i="8"/>
  <c r="CC1576" i="8"/>
  <c r="CB1576" i="8"/>
  <c r="CA1576" i="8"/>
  <c r="BZ1576" i="8"/>
  <c r="BY1576" i="8"/>
  <c r="BX1576" i="8"/>
  <c r="BW1576" i="8"/>
  <c r="BV1576" i="8"/>
  <c r="BU1576" i="8"/>
  <c r="BT1576" i="8"/>
  <c r="BS1576" i="8"/>
  <c r="BR1576" i="8"/>
  <c r="BQ1576" i="8"/>
  <c r="BP1576" i="8"/>
  <c r="BO1576" i="8"/>
  <c r="BN1576" i="8"/>
  <c r="BM1576" i="8"/>
  <c r="BL1576" i="8"/>
  <c r="BK1576" i="8"/>
  <c r="BJ1576" i="8"/>
  <c r="BI1576" i="8"/>
  <c r="BH1576" i="8"/>
  <c r="CJ1575" i="8"/>
  <c r="CI1575" i="8"/>
  <c r="CH1575" i="8"/>
  <c r="CG1575" i="8"/>
  <c r="CF1575" i="8"/>
  <c r="CE1575" i="8"/>
  <c r="CD1575" i="8"/>
  <c r="CC1575" i="8"/>
  <c r="CB1575" i="8"/>
  <c r="CA1575" i="8"/>
  <c r="BZ1575" i="8"/>
  <c r="BY1575" i="8"/>
  <c r="BX1575" i="8"/>
  <c r="BW1575" i="8"/>
  <c r="BV1575" i="8"/>
  <c r="BU1575" i="8"/>
  <c r="BT1575" i="8"/>
  <c r="BS1575" i="8"/>
  <c r="BR1575" i="8"/>
  <c r="BQ1575" i="8"/>
  <c r="BP1575" i="8"/>
  <c r="BO1575" i="8"/>
  <c r="BN1575" i="8"/>
  <c r="BM1575" i="8"/>
  <c r="BL1575" i="8"/>
  <c r="BK1575" i="8"/>
  <c r="BJ1575" i="8"/>
  <c r="BI1575" i="8"/>
  <c r="BH1575" i="8"/>
  <c r="CJ1574" i="8"/>
  <c r="CI1574" i="8"/>
  <c r="CH1574" i="8"/>
  <c r="CG1574" i="8"/>
  <c r="CF1574" i="8"/>
  <c r="CE1574" i="8"/>
  <c r="CD1574" i="8"/>
  <c r="CC1574" i="8"/>
  <c r="CB1574" i="8"/>
  <c r="CA1574" i="8"/>
  <c r="BZ1574" i="8"/>
  <c r="BY1574" i="8"/>
  <c r="BX1574" i="8"/>
  <c r="BW1574" i="8"/>
  <c r="BV1574" i="8"/>
  <c r="BU1574" i="8"/>
  <c r="BT1574" i="8"/>
  <c r="BS1574" i="8"/>
  <c r="BR1574" i="8"/>
  <c r="BQ1574" i="8"/>
  <c r="BP1574" i="8"/>
  <c r="BO1574" i="8"/>
  <c r="BN1574" i="8"/>
  <c r="BM1574" i="8"/>
  <c r="BL1574" i="8"/>
  <c r="BK1574" i="8"/>
  <c r="BJ1574" i="8"/>
  <c r="BI1574" i="8"/>
  <c r="BH1574" i="8"/>
  <c r="CJ1573" i="8"/>
  <c r="CI1573" i="8"/>
  <c r="CH1573" i="8"/>
  <c r="CG1573" i="8"/>
  <c r="CF1573" i="8"/>
  <c r="CE1573" i="8"/>
  <c r="CD1573" i="8"/>
  <c r="CC1573" i="8"/>
  <c r="CB1573" i="8"/>
  <c r="CA1573" i="8"/>
  <c r="BZ1573" i="8"/>
  <c r="BY1573" i="8"/>
  <c r="BX1573" i="8"/>
  <c r="BW1573" i="8"/>
  <c r="BV1573" i="8"/>
  <c r="BU1573" i="8"/>
  <c r="BT1573" i="8"/>
  <c r="BS1573" i="8"/>
  <c r="BR1573" i="8"/>
  <c r="BQ1573" i="8"/>
  <c r="BP1573" i="8"/>
  <c r="BO1573" i="8"/>
  <c r="BN1573" i="8"/>
  <c r="BM1573" i="8"/>
  <c r="BL1573" i="8"/>
  <c r="BK1573" i="8"/>
  <c r="BJ1573" i="8"/>
  <c r="BI1573" i="8"/>
  <c r="BH1573" i="8"/>
  <c r="CJ1572" i="8"/>
  <c r="CI1572" i="8"/>
  <c r="CH1572" i="8"/>
  <c r="CG1572" i="8"/>
  <c r="CF1572" i="8"/>
  <c r="CE1572" i="8"/>
  <c r="CD1572" i="8"/>
  <c r="CC1572" i="8"/>
  <c r="CB1572" i="8"/>
  <c r="CA1572" i="8"/>
  <c r="BZ1572" i="8"/>
  <c r="BY1572" i="8"/>
  <c r="BX1572" i="8"/>
  <c r="BW1572" i="8"/>
  <c r="BV1572" i="8"/>
  <c r="BU1572" i="8"/>
  <c r="BT1572" i="8"/>
  <c r="BS1572" i="8"/>
  <c r="BR1572" i="8"/>
  <c r="BQ1572" i="8"/>
  <c r="BP1572" i="8"/>
  <c r="BO1572" i="8"/>
  <c r="BN1572" i="8"/>
  <c r="BM1572" i="8"/>
  <c r="BL1572" i="8"/>
  <c r="BK1572" i="8"/>
  <c r="BJ1572" i="8"/>
  <c r="BI1572" i="8"/>
  <c r="BH1572" i="8"/>
  <c r="CJ1571" i="8"/>
  <c r="CI1571" i="8"/>
  <c r="CH1571" i="8"/>
  <c r="CG1571" i="8"/>
  <c r="CF1571" i="8"/>
  <c r="CE1571" i="8"/>
  <c r="CD1571" i="8"/>
  <c r="CC1571" i="8"/>
  <c r="CB1571" i="8"/>
  <c r="CA1571" i="8"/>
  <c r="BZ1571" i="8"/>
  <c r="BY1571" i="8"/>
  <c r="BX1571" i="8"/>
  <c r="BW1571" i="8"/>
  <c r="BV1571" i="8"/>
  <c r="BU1571" i="8"/>
  <c r="BT1571" i="8"/>
  <c r="BS1571" i="8"/>
  <c r="BR1571" i="8"/>
  <c r="BQ1571" i="8"/>
  <c r="BP1571" i="8"/>
  <c r="BO1571" i="8"/>
  <c r="BN1571" i="8"/>
  <c r="BM1571" i="8"/>
  <c r="BL1571" i="8"/>
  <c r="BK1571" i="8"/>
  <c r="BJ1571" i="8"/>
  <c r="BI1571" i="8"/>
  <c r="BH1571" i="8"/>
  <c r="CJ1570" i="8"/>
  <c r="CI1570" i="8"/>
  <c r="CH1570" i="8"/>
  <c r="CG1570" i="8"/>
  <c r="CF1570" i="8"/>
  <c r="CE1570" i="8"/>
  <c r="CD1570" i="8"/>
  <c r="CC1570" i="8"/>
  <c r="CB1570" i="8"/>
  <c r="CA1570" i="8"/>
  <c r="BZ1570" i="8"/>
  <c r="BY1570" i="8"/>
  <c r="BX1570" i="8"/>
  <c r="BW1570" i="8"/>
  <c r="BV1570" i="8"/>
  <c r="BU1570" i="8"/>
  <c r="BT1570" i="8"/>
  <c r="BS1570" i="8"/>
  <c r="BR1570" i="8"/>
  <c r="BQ1570" i="8"/>
  <c r="BP1570" i="8"/>
  <c r="BO1570" i="8"/>
  <c r="BN1570" i="8"/>
  <c r="BM1570" i="8"/>
  <c r="BL1570" i="8"/>
  <c r="BK1570" i="8"/>
  <c r="BJ1570" i="8"/>
  <c r="BI1570" i="8"/>
  <c r="BH1570" i="8"/>
  <c r="CJ1569" i="8"/>
  <c r="CI1569" i="8"/>
  <c r="CH1569" i="8"/>
  <c r="CG1569" i="8"/>
  <c r="CF1569" i="8"/>
  <c r="CE1569" i="8"/>
  <c r="CD1569" i="8"/>
  <c r="CC1569" i="8"/>
  <c r="CB1569" i="8"/>
  <c r="CA1569" i="8"/>
  <c r="BZ1569" i="8"/>
  <c r="BY1569" i="8"/>
  <c r="BX1569" i="8"/>
  <c r="BW1569" i="8"/>
  <c r="BV1569" i="8"/>
  <c r="BU1569" i="8"/>
  <c r="BT1569" i="8"/>
  <c r="BS1569" i="8"/>
  <c r="BR1569" i="8"/>
  <c r="BQ1569" i="8"/>
  <c r="BP1569" i="8"/>
  <c r="BO1569" i="8"/>
  <c r="BN1569" i="8"/>
  <c r="BM1569" i="8"/>
  <c r="BL1569" i="8"/>
  <c r="BK1569" i="8"/>
  <c r="BJ1569" i="8"/>
  <c r="BI1569" i="8"/>
  <c r="BH1569" i="8"/>
  <c r="CJ1568" i="8"/>
  <c r="CI1568" i="8"/>
  <c r="CH1568" i="8"/>
  <c r="CG1568" i="8"/>
  <c r="CF1568" i="8"/>
  <c r="CE1568" i="8"/>
  <c r="CD1568" i="8"/>
  <c r="CC1568" i="8"/>
  <c r="CB1568" i="8"/>
  <c r="CA1568" i="8"/>
  <c r="BZ1568" i="8"/>
  <c r="BY1568" i="8"/>
  <c r="BX1568" i="8"/>
  <c r="BW1568" i="8"/>
  <c r="BV1568" i="8"/>
  <c r="BU1568" i="8"/>
  <c r="BT1568" i="8"/>
  <c r="BS1568" i="8"/>
  <c r="BR1568" i="8"/>
  <c r="BQ1568" i="8"/>
  <c r="BP1568" i="8"/>
  <c r="BO1568" i="8"/>
  <c r="BN1568" i="8"/>
  <c r="BM1568" i="8"/>
  <c r="BL1568" i="8"/>
  <c r="BK1568" i="8"/>
  <c r="BJ1568" i="8"/>
  <c r="BI1568" i="8"/>
  <c r="BH1568" i="8"/>
  <c r="CJ1567" i="8"/>
  <c r="CI1567" i="8"/>
  <c r="CH1567" i="8"/>
  <c r="CG1567" i="8"/>
  <c r="CF1567" i="8"/>
  <c r="CE1567" i="8"/>
  <c r="CD1567" i="8"/>
  <c r="CC1567" i="8"/>
  <c r="CB1567" i="8"/>
  <c r="CA1567" i="8"/>
  <c r="BZ1567" i="8"/>
  <c r="BY1567" i="8"/>
  <c r="BX1567" i="8"/>
  <c r="BW1567" i="8"/>
  <c r="BV1567" i="8"/>
  <c r="BU1567" i="8"/>
  <c r="BT1567" i="8"/>
  <c r="BS1567" i="8"/>
  <c r="BR1567" i="8"/>
  <c r="BQ1567" i="8"/>
  <c r="BP1567" i="8"/>
  <c r="BO1567" i="8"/>
  <c r="BN1567" i="8"/>
  <c r="BM1567" i="8"/>
  <c r="BL1567" i="8"/>
  <c r="BK1567" i="8"/>
  <c r="BJ1567" i="8"/>
  <c r="BI1567" i="8"/>
  <c r="BH1567" i="8"/>
  <c r="CJ1566" i="8"/>
  <c r="CI1566" i="8"/>
  <c r="CH1566" i="8"/>
  <c r="CG1566" i="8"/>
  <c r="CF1566" i="8"/>
  <c r="CE1566" i="8"/>
  <c r="CD1566" i="8"/>
  <c r="CC1566" i="8"/>
  <c r="CB1566" i="8"/>
  <c r="CA1566" i="8"/>
  <c r="BZ1566" i="8"/>
  <c r="BY1566" i="8"/>
  <c r="BX1566" i="8"/>
  <c r="BW1566" i="8"/>
  <c r="BV1566" i="8"/>
  <c r="BU1566" i="8"/>
  <c r="BT1566" i="8"/>
  <c r="BS1566" i="8"/>
  <c r="BR1566" i="8"/>
  <c r="BQ1566" i="8"/>
  <c r="BP1566" i="8"/>
  <c r="BO1566" i="8"/>
  <c r="BN1566" i="8"/>
  <c r="BM1566" i="8"/>
  <c r="BL1566" i="8"/>
  <c r="BK1566" i="8"/>
  <c r="BJ1566" i="8"/>
  <c r="BI1566" i="8"/>
  <c r="BH1566" i="8"/>
  <c r="CJ1565" i="8"/>
  <c r="CI1565" i="8"/>
  <c r="CH1565" i="8"/>
  <c r="CG1565" i="8"/>
  <c r="CF1565" i="8"/>
  <c r="CE1565" i="8"/>
  <c r="CD1565" i="8"/>
  <c r="CC1565" i="8"/>
  <c r="CB1565" i="8"/>
  <c r="CA1565" i="8"/>
  <c r="BZ1565" i="8"/>
  <c r="BY1565" i="8"/>
  <c r="BX1565" i="8"/>
  <c r="BW1565" i="8"/>
  <c r="BV1565" i="8"/>
  <c r="BU1565" i="8"/>
  <c r="BT1565" i="8"/>
  <c r="BS1565" i="8"/>
  <c r="BR1565" i="8"/>
  <c r="BQ1565" i="8"/>
  <c r="BP1565" i="8"/>
  <c r="BO1565" i="8"/>
  <c r="BN1565" i="8"/>
  <c r="BM1565" i="8"/>
  <c r="BL1565" i="8"/>
  <c r="BK1565" i="8"/>
  <c r="BJ1565" i="8"/>
  <c r="BI1565" i="8"/>
  <c r="BH1565" i="8"/>
  <c r="CJ1564" i="8"/>
  <c r="CI1564" i="8"/>
  <c r="CH1564" i="8"/>
  <c r="CG1564" i="8"/>
  <c r="CF1564" i="8"/>
  <c r="CE1564" i="8"/>
  <c r="CD1564" i="8"/>
  <c r="CC1564" i="8"/>
  <c r="CB1564" i="8"/>
  <c r="CA1564" i="8"/>
  <c r="BZ1564" i="8"/>
  <c r="BY1564" i="8"/>
  <c r="BX1564" i="8"/>
  <c r="BW1564" i="8"/>
  <c r="BV1564" i="8"/>
  <c r="BU1564" i="8"/>
  <c r="BT1564" i="8"/>
  <c r="BS1564" i="8"/>
  <c r="BR1564" i="8"/>
  <c r="BQ1564" i="8"/>
  <c r="BP1564" i="8"/>
  <c r="BO1564" i="8"/>
  <c r="BN1564" i="8"/>
  <c r="BM1564" i="8"/>
  <c r="BL1564" i="8"/>
  <c r="BK1564" i="8"/>
  <c r="BJ1564" i="8"/>
  <c r="BI1564" i="8"/>
  <c r="BH1564" i="8"/>
  <c r="CJ1563" i="8"/>
  <c r="CI1563" i="8"/>
  <c r="CH1563" i="8"/>
  <c r="CG1563" i="8"/>
  <c r="CF1563" i="8"/>
  <c r="CE1563" i="8"/>
  <c r="CD1563" i="8"/>
  <c r="CC1563" i="8"/>
  <c r="CB1563" i="8"/>
  <c r="CA1563" i="8"/>
  <c r="BZ1563" i="8"/>
  <c r="BY1563" i="8"/>
  <c r="BX1563" i="8"/>
  <c r="BW1563" i="8"/>
  <c r="BV1563" i="8"/>
  <c r="BU1563" i="8"/>
  <c r="BT1563" i="8"/>
  <c r="BS1563" i="8"/>
  <c r="BR1563" i="8"/>
  <c r="BQ1563" i="8"/>
  <c r="BP1563" i="8"/>
  <c r="BO1563" i="8"/>
  <c r="BN1563" i="8"/>
  <c r="BM1563" i="8"/>
  <c r="BL1563" i="8"/>
  <c r="BK1563" i="8"/>
  <c r="BJ1563" i="8"/>
  <c r="BI1563" i="8"/>
  <c r="BH1563" i="8"/>
  <c r="CJ1562" i="8"/>
  <c r="CI1562" i="8"/>
  <c r="CH1562" i="8"/>
  <c r="CG1562" i="8"/>
  <c r="CF1562" i="8"/>
  <c r="CE1562" i="8"/>
  <c r="CD1562" i="8"/>
  <c r="CC1562" i="8"/>
  <c r="CB1562" i="8"/>
  <c r="CA1562" i="8"/>
  <c r="BZ1562" i="8"/>
  <c r="BY1562" i="8"/>
  <c r="BX1562" i="8"/>
  <c r="BW1562" i="8"/>
  <c r="BV1562" i="8"/>
  <c r="BU1562" i="8"/>
  <c r="BT1562" i="8"/>
  <c r="BS1562" i="8"/>
  <c r="BR1562" i="8"/>
  <c r="BQ1562" i="8"/>
  <c r="BP1562" i="8"/>
  <c r="BO1562" i="8"/>
  <c r="BN1562" i="8"/>
  <c r="BM1562" i="8"/>
  <c r="BL1562" i="8"/>
  <c r="BK1562" i="8"/>
  <c r="BJ1562" i="8"/>
  <c r="BI1562" i="8"/>
  <c r="BH1562" i="8"/>
  <c r="CJ1561" i="8"/>
  <c r="CI1561" i="8"/>
  <c r="CH1561" i="8"/>
  <c r="CG1561" i="8"/>
  <c r="CF1561" i="8"/>
  <c r="CE1561" i="8"/>
  <c r="CD1561" i="8"/>
  <c r="CC1561" i="8"/>
  <c r="CB1561" i="8"/>
  <c r="CA1561" i="8"/>
  <c r="BZ1561" i="8"/>
  <c r="BY1561" i="8"/>
  <c r="BX1561" i="8"/>
  <c r="BW1561" i="8"/>
  <c r="BV1561" i="8"/>
  <c r="BU1561" i="8"/>
  <c r="BT1561" i="8"/>
  <c r="BS1561" i="8"/>
  <c r="BR1561" i="8"/>
  <c r="BQ1561" i="8"/>
  <c r="BP1561" i="8"/>
  <c r="BO1561" i="8"/>
  <c r="BN1561" i="8"/>
  <c r="BM1561" i="8"/>
  <c r="BL1561" i="8"/>
  <c r="BK1561" i="8"/>
  <c r="BJ1561" i="8"/>
  <c r="BI1561" i="8"/>
  <c r="BH1561" i="8"/>
  <c r="CJ1560" i="8"/>
  <c r="CI1560" i="8"/>
  <c r="CH1560" i="8"/>
  <c r="CG1560" i="8"/>
  <c r="CF1560" i="8"/>
  <c r="CE1560" i="8"/>
  <c r="CD1560" i="8"/>
  <c r="CC1560" i="8"/>
  <c r="CB1560" i="8"/>
  <c r="CA1560" i="8"/>
  <c r="BZ1560" i="8"/>
  <c r="BY1560" i="8"/>
  <c r="BX1560" i="8"/>
  <c r="BW1560" i="8"/>
  <c r="BV1560" i="8"/>
  <c r="BU1560" i="8"/>
  <c r="BT1560" i="8"/>
  <c r="BS1560" i="8"/>
  <c r="BR1560" i="8"/>
  <c r="BQ1560" i="8"/>
  <c r="BP1560" i="8"/>
  <c r="BO1560" i="8"/>
  <c r="BN1560" i="8"/>
  <c r="BM1560" i="8"/>
  <c r="BL1560" i="8"/>
  <c r="BK1560" i="8"/>
  <c r="BJ1560" i="8"/>
  <c r="BI1560" i="8"/>
  <c r="BH1560" i="8"/>
  <c r="CJ1559" i="8"/>
  <c r="CI1559" i="8"/>
  <c r="CH1559" i="8"/>
  <c r="CG1559" i="8"/>
  <c r="CF1559" i="8"/>
  <c r="CE1559" i="8"/>
  <c r="CD1559" i="8"/>
  <c r="CC1559" i="8"/>
  <c r="CB1559" i="8"/>
  <c r="CA1559" i="8"/>
  <c r="BZ1559" i="8"/>
  <c r="BY1559" i="8"/>
  <c r="BX1559" i="8"/>
  <c r="BW1559" i="8"/>
  <c r="BV1559" i="8"/>
  <c r="BU1559" i="8"/>
  <c r="BT1559" i="8"/>
  <c r="BS1559" i="8"/>
  <c r="BR1559" i="8"/>
  <c r="BQ1559" i="8"/>
  <c r="BP1559" i="8"/>
  <c r="BO1559" i="8"/>
  <c r="BN1559" i="8"/>
  <c r="BM1559" i="8"/>
  <c r="BL1559" i="8"/>
  <c r="BK1559" i="8"/>
  <c r="BJ1559" i="8"/>
  <c r="BI1559" i="8"/>
  <c r="BH1559" i="8"/>
  <c r="CJ1558" i="8"/>
  <c r="CI1558" i="8"/>
  <c r="CH1558" i="8"/>
  <c r="CG1558" i="8"/>
  <c r="CF1558" i="8"/>
  <c r="CE1558" i="8"/>
  <c r="CD1558" i="8"/>
  <c r="CC1558" i="8"/>
  <c r="CB1558" i="8"/>
  <c r="CA1558" i="8"/>
  <c r="BZ1558" i="8"/>
  <c r="BY1558" i="8"/>
  <c r="BX1558" i="8"/>
  <c r="BW1558" i="8"/>
  <c r="BV1558" i="8"/>
  <c r="BU1558" i="8"/>
  <c r="BT1558" i="8"/>
  <c r="BS1558" i="8"/>
  <c r="BR1558" i="8"/>
  <c r="BQ1558" i="8"/>
  <c r="BP1558" i="8"/>
  <c r="BO1558" i="8"/>
  <c r="BN1558" i="8"/>
  <c r="BM1558" i="8"/>
  <c r="BL1558" i="8"/>
  <c r="BK1558" i="8"/>
  <c r="BJ1558" i="8"/>
  <c r="BI1558" i="8"/>
  <c r="BH1558" i="8"/>
  <c r="CJ1557" i="8"/>
  <c r="CI1557" i="8"/>
  <c r="CH1557" i="8"/>
  <c r="CG1557" i="8"/>
  <c r="CF1557" i="8"/>
  <c r="CE1557" i="8"/>
  <c r="CD1557" i="8"/>
  <c r="CC1557" i="8"/>
  <c r="CB1557" i="8"/>
  <c r="CA1557" i="8"/>
  <c r="BZ1557" i="8"/>
  <c r="BY1557" i="8"/>
  <c r="BX1557" i="8"/>
  <c r="BW1557" i="8"/>
  <c r="BV1557" i="8"/>
  <c r="BU1557" i="8"/>
  <c r="BT1557" i="8"/>
  <c r="BS1557" i="8"/>
  <c r="BR1557" i="8"/>
  <c r="BQ1557" i="8"/>
  <c r="BP1557" i="8"/>
  <c r="BO1557" i="8"/>
  <c r="BN1557" i="8"/>
  <c r="BM1557" i="8"/>
  <c r="BL1557" i="8"/>
  <c r="BK1557" i="8"/>
  <c r="BJ1557" i="8"/>
  <c r="BI1557" i="8"/>
  <c r="BH1557" i="8"/>
  <c r="CJ1556" i="8"/>
  <c r="CI1556" i="8"/>
  <c r="CH1556" i="8"/>
  <c r="CG1556" i="8"/>
  <c r="CF1556" i="8"/>
  <c r="CE1556" i="8"/>
  <c r="CD1556" i="8"/>
  <c r="CC1556" i="8"/>
  <c r="CB1556" i="8"/>
  <c r="CA1556" i="8"/>
  <c r="BZ1556" i="8"/>
  <c r="BY1556" i="8"/>
  <c r="BX1556" i="8"/>
  <c r="BW1556" i="8"/>
  <c r="BV1556" i="8"/>
  <c r="BU1556" i="8"/>
  <c r="BT1556" i="8"/>
  <c r="BS1556" i="8"/>
  <c r="BR1556" i="8"/>
  <c r="BQ1556" i="8"/>
  <c r="BP1556" i="8"/>
  <c r="BO1556" i="8"/>
  <c r="BN1556" i="8"/>
  <c r="BM1556" i="8"/>
  <c r="BL1556" i="8"/>
  <c r="BK1556" i="8"/>
  <c r="BJ1556" i="8"/>
  <c r="BI1556" i="8"/>
  <c r="BH1556" i="8"/>
  <c r="CJ1555" i="8"/>
  <c r="CI1555" i="8"/>
  <c r="CH1555" i="8"/>
  <c r="CG1555" i="8"/>
  <c r="CF1555" i="8"/>
  <c r="CE1555" i="8"/>
  <c r="CD1555" i="8"/>
  <c r="CC1555" i="8"/>
  <c r="CB1555" i="8"/>
  <c r="CA1555" i="8"/>
  <c r="BZ1555" i="8"/>
  <c r="BY1555" i="8"/>
  <c r="BX1555" i="8"/>
  <c r="BW1555" i="8"/>
  <c r="BV1555" i="8"/>
  <c r="BU1555" i="8"/>
  <c r="BT1555" i="8"/>
  <c r="BS1555" i="8"/>
  <c r="BR1555" i="8"/>
  <c r="BQ1555" i="8"/>
  <c r="BP1555" i="8"/>
  <c r="BO1555" i="8"/>
  <c r="BN1555" i="8"/>
  <c r="BM1555" i="8"/>
  <c r="BL1555" i="8"/>
  <c r="BK1555" i="8"/>
  <c r="BJ1555" i="8"/>
  <c r="BI1555" i="8"/>
  <c r="BH1555" i="8"/>
  <c r="CJ1554" i="8"/>
  <c r="CI1554" i="8"/>
  <c r="CH1554" i="8"/>
  <c r="CG1554" i="8"/>
  <c r="CF1554" i="8"/>
  <c r="CE1554" i="8"/>
  <c r="CD1554" i="8"/>
  <c r="CC1554" i="8"/>
  <c r="CB1554" i="8"/>
  <c r="CA1554" i="8"/>
  <c r="BZ1554" i="8"/>
  <c r="BY1554" i="8"/>
  <c r="BX1554" i="8"/>
  <c r="BW1554" i="8"/>
  <c r="BV1554" i="8"/>
  <c r="BU1554" i="8"/>
  <c r="BT1554" i="8"/>
  <c r="BS1554" i="8"/>
  <c r="BR1554" i="8"/>
  <c r="BQ1554" i="8"/>
  <c r="BP1554" i="8"/>
  <c r="BO1554" i="8"/>
  <c r="BN1554" i="8"/>
  <c r="BM1554" i="8"/>
  <c r="BL1554" i="8"/>
  <c r="BK1554" i="8"/>
  <c r="BJ1554" i="8"/>
  <c r="BI1554" i="8"/>
  <c r="BH1554" i="8"/>
  <c r="CJ1553" i="8"/>
  <c r="CI1553" i="8"/>
  <c r="CH1553" i="8"/>
  <c r="CG1553" i="8"/>
  <c r="CF1553" i="8"/>
  <c r="CE1553" i="8"/>
  <c r="CD1553" i="8"/>
  <c r="CC1553" i="8"/>
  <c r="CB1553" i="8"/>
  <c r="CA1553" i="8"/>
  <c r="BZ1553" i="8"/>
  <c r="BY1553" i="8"/>
  <c r="BX1553" i="8"/>
  <c r="BW1553" i="8"/>
  <c r="BV1553" i="8"/>
  <c r="BU1553" i="8"/>
  <c r="BT1553" i="8"/>
  <c r="BS1553" i="8"/>
  <c r="BR1553" i="8"/>
  <c r="BQ1553" i="8"/>
  <c r="BP1553" i="8"/>
  <c r="BO1553" i="8"/>
  <c r="BN1553" i="8"/>
  <c r="BM1553" i="8"/>
  <c r="BL1553" i="8"/>
  <c r="BK1553" i="8"/>
  <c r="BJ1553" i="8"/>
  <c r="BI1553" i="8"/>
  <c r="BH1553" i="8"/>
  <c r="CJ1552" i="8"/>
  <c r="CI1552" i="8"/>
  <c r="CH1552" i="8"/>
  <c r="CG1552" i="8"/>
  <c r="CF1552" i="8"/>
  <c r="CE1552" i="8"/>
  <c r="CD1552" i="8"/>
  <c r="CC1552" i="8"/>
  <c r="CB1552" i="8"/>
  <c r="CA1552" i="8"/>
  <c r="BZ1552" i="8"/>
  <c r="BY1552" i="8"/>
  <c r="BX1552" i="8"/>
  <c r="BW1552" i="8"/>
  <c r="BV1552" i="8"/>
  <c r="BU1552" i="8"/>
  <c r="BT1552" i="8"/>
  <c r="BS1552" i="8"/>
  <c r="BR1552" i="8"/>
  <c r="BQ1552" i="8"/>
  <c r="BP1552" i="8"/>
  <c r="BO1552" i="8"/>
  <c r="BN1552" i="8"/>
  <c r="BM1552" i="8"/>
  <c r="BL1552" i="8"/>
  <c r="BK1552" i="8"/>
  <c r="BJ1552" i="8"/>
  <c r="BI1552" i="8"/>
  <c r="BH1552" i="8"/>
  <c r="CJ1551" i="8"/>
  <c r="CI1551" i="8"/>
  <c r="CH1551" i="8"/>
  <c r="CG1551" i="8"/>
  <c r="CF1551" i="8"/>
  <c r="CE1551" i="8"/>
  <c r="CD1551" i="8"/>
  <c r="CC1551" i="8"/>
  <c r="CB1551" i="8"/>
  <c r="CA1551" i="8"/>
  <c r="BZ1551" i="8"/>
  <c r="BY1551" i="8"/>
  <c r="BX1551" i="8"/>
  <c r="BW1551" i="8"/>
  <c r="BV1551" i="8"/>
  <c r="BU1551" i="8"/>
  <c r="BT1551" i="8"/>
  <c r="BS1551" i="8"/>
  <c r="BR1551" i="8"/>
  <c r="BQ1551" i="8"/>
  <c r="BP1551" i="8"/>
  <c r="BO1551" i="8"/>
  <c r="BN1551" i="8"/>
  <c r="BM1551" i="8"/>
  <c r="BL1551" i="8"/>
  <c r="BK1551" i="8"/>
  <c r="BJ1551" i="8"/>
  <c r="BI1551" i="8"/>
  <c r="BH1551" i="8"/>
  <c r="CJ1550" i="8"/>
  <c r="CI1550" i="8"/>
  <c r="CH1550" i="8"/>
  <c r="CG1550" i="8"/>
  <c r="CF1550" i="8"/>
  <c r="CE1550" i="8"/>
  <c r="CD1550" i="8"/>
  <c r="CC1550" i="8"/>
  <c r="CB1550" i="8"/>
  <c r="CA1550" i="8"/>
  <c r="BZ1550" i="8"/>
  <c r="BY1550" i="8"/>
  <c r="BX1550" i="8"/>
  <c r="BW1550" i="8"/>
  <c r="BV1550" i="8"/>
  <c r="BU1550" i="8"/>
  <c r="BT1550" i="8"/>
  <c r="BS1550" i="8"/>
  <c r="BR1550" i="8"/>
  <c r="BQ1550" i="8"/>
  <c r="BP1550" i="8"/>
  <c r="BO1550" i="8"/>
  <c r="BN1550" i="8"/>
  <c r="BM1550" i="8"/>
  <c r="BL1550" i="8"/>
  <c r="BK1550" i="8"/>
  <c r="BJ1550" i="8"/>
  <c r="BI1550" i="8"/>
  <c r="BH1550" i="8"/>
  <c r="CJ1549" i="8"/>
  <c r="CI1549" i="8"/>
  <c r="CH1549" i="8"/>
  <c r="CG1549" i="8"/>
  <c r="CF1549" i="8"/>
  <c r="CE1549" i="8"/>
  <c r="CD1549" i="8"/>
  <c r="CC1549" i="8"/>
  <c r="CB1549" i="8"/>
  <c r="CA1549" i="8"/>
  <c r="BZ1549" i="8"/>
  <c r="BY1549" i="8"/>
  <c r="BX1549" i="8"/>
  <c r="BW1549" i="8"/>
  <c r="BV1549" i="8"/>
  <c r="BU1549" i="8"/>
  <c r="BT1549" i="8"/>
  <c r="BS1549" i="8"/>
  <c r="BR1549" i="8"/>
  <c r="BQ1549" i="8"/>
  <c r="BP1549" i="8"/>
  <c r="BO1549" i="8"/>
  <c r="BN1549" i="8"/>
  <c r="BM1549" i="8"/>
  <c r="BL1549" i="8"/>
  <c r="BK1549" i="8"/>
  <c r="BJ1549" i="8"/>
  <c r="BI1549" i="8"/>
  <c r="BH1549" i="8"/>
  <c r="CJ1548" i="8"/>
  <c r="CI1548" i="8"/>
  <c r="CH1548" i="8"/>
  <c r="CG1548" i="8"/>
  <c r="CF1548" i="8"/>
  <c r="CE1548" i="8"/>
  <c r="CD1548" i="8"/>
  <c r="CC1548" i="8"/>
  <c r="CB1548" i="8"/>
  <c r="CA1548" i="8"/>
  <c r="BZ1548" i="8"/>
  <c r="BY1548" i="8"/>
  <c r="BX1548" i="8"/>
  <c r="BW1548" i="8"/>
  <c r="BV1548" i="8"/>
  <c r="BU1548" i="8"/>
  <c r="BT1548" i="8"/>
  <c r="BS1548" i="8"/>
  <c r="BR1548" i="8"/>
  <c r="BQ1548" i="8"/>
  <c r="BP1548" i="8"/>
  <c r="BO1548" i="8"/>
  <c r="BN1548" i="8"/>
  <c r="BM1548" i="8"/>
  <c r="BL1548" i="8"/>
  <c r="BK1548" i="8"/>
  <c r="BJ1548" i="8"/>
  <c r="BI1548" i="8"/>
  <c r="BH1548" i="8"/>
  <c r="CJ1547" i="8"/>
  <c r="CI1547" i="8"/>
  <c r="CH1547" i="8"/>
  <c r="CG1547" i="8"/>
  <c r="CF1547" i="8"/>
  <c r="CE1547" i="8"/>
  <c r="CD1547" i="8"/>
  <c r="CC1547" i="8"/>
  <c r="CB1547" i="8"/>
  <c r="CA1547" i="8"/>
  <c r="BZ1547" i="8"/>
  <c r="BY1547" i="8"/>
  <c r="BX1547" i="8"/>
  <c r="BW1547" i="8"/>
  <c r="BV1547" i="8"/>
  <c r="BU1547" i="8"/>
  <c r="BT1547" i="8"/>
  <c r="BS1547" i="8"/>
  <c r="BR1547" i="8"/>
  <c r="BQ1547" i="8"/>
  <c r="BP1547" i="8"/>
  <c r="BO1547" i="8"/>
  <c r="BN1547" i="8"/>
  <c r="BM1547" i="8"/>
  <c r="BL1547" i="8"/>
  <c r="BK1547" i="8"/>
  <c r="BJ1547" i="8"/>
  <c r="BI1547" i="8"/>
  <c r="BH1547" i="8"/>
  <c r="CJ1546" i="8"/>
  <c r="CI1546" i="8"/>
  <c r="CH1546" i="8"/>
  <c r="CG1546" i="8"/>
  <c r="CF1546" i="8"/>
  <c r="CE1546" i="8"/>
  <c r="CD1546" i="8"/>
  <c r="CC1546" i="8"/>
  <c r="CB1546" i="8"/>
  <c r="CA1546" i="8"/>
  <c r="BZ1546" i="8"/>
  <c r="BY1546" i="8"/>
  <c r="BX1546" i="8"/>
  <c r="BW1546" i="8"/>
  <c r="BV1546" i="8"/>
  <c r="BU1546" i="8"/>
  <c r="BT1546" i="8"/>
  <c r="BS1546" i="8"/>
  <c r="BR1546" i="8"/>
  <c r="BQ1546" i="8"/>
  <c r="BP1546" i="8"/>
  <c r="BO1546" i="8"/>
  <c r="BN1546" i="8"/>
  <c r="BM1546" i="8"/>
  <c r="BL1546" i="8"/>
  <c r="BK1546" i="8"/>
  <c r="BJ1546" i="8"/>
  <c r="BI1546" i="8"/>
  <c r="BH1546" i="8"/>
  <c r="CJ1545" i="8"/>
  <c r="CI1545" i="8"/>
  <c r="CH1545" i="8"/>
  <c r="CG1545" i="8"/>
  <c r="CF1545" i="8"/>
  <c r="CE1545" i="8"/>
  <c r="CD1545" i="8"/>
  <c r="CC1545" i="8"/>
  <c r="CB1545" i="8"/>
  <c r="CA1545" i="8"/>
  <c r="BZ1545" i="8"/>
  <c r="BY1545" i="8"/>
  <c r="BX1545" i="8"/>
  <c r="BW1545" i="8"/>
  <c r="BV1545" i="8"/>
  <c r="BU1545" i="8"/>
  <c r="BT1545" i="8"/>
  <c r="BS1545" i="8"/>
  <c r="BR1545" i="8"/>
  <c r="BQ1545" i="8"/>
  <c r="BP1545" i="8"/>
  <c r="BO1545" i="8"/>
  <c r="BN1545" i="8"/>
  <c r="BM1545" i="8"/>
  <c r="BL1545" i="8"/>
  <c r="BK1545" i="8"/>
  <c r="BJ1545" i="8"/>
  <c r="BI1545" i="8"/>
  <c r="BH1545" i="8"/>
  <c r="CJ1544" i="8"/>
  <c r="CI1544" i="8"/>
  <c r="CH1544" i="8"/>
  <c r="CG1544" i="8"/>
  <c r="CF1544" i="8"/>
  <c r="CE1544" i="8"/>
  <c r="CD1544" i="8"/>
  <c r="CC1544" i="8"/>
  <c r="CB1544" i="8"/>
  <c r="CA1544" i="8"/>
  <c r="BZ1544" i="8"/>
  <c r="BY1544" i="8"/>
  <c r="BX1544" i="8"/>
  <c r="BW1544" i="8"/>
  <c r="BV1544" i="8"/>
  <c r="BU1544" i="8"/>
  <c r="BT1544" i="8"/>
  <c r="BS1544" i="8"/>
  <c r="BR1544" i="8"/>
  <c r="BQ1544" i="8"/>
  <c r="BP1544" i="8"/>
  <c r="BO1544" i="8"/>
  <c r="BN1544" i="8"/>
  <c r="BM1544" i="8"/>
  <c r="BL1544" i="8"/>
  <c r="BK1544" i="8"/>
  <c r="BJ1544" i="8"/>
  <c r="BI1544" i="8"/>
  <c r="BH1544" i="8"/>
  <c r="CJ1543" i="8"/>
  <c r="CI1543" i="8"/>
  <c r="CH1543" i="8"/>
  <c r="CG1543" i="8"/>
  <c r="CF1543" i="8"/>
  <c r="CE1543" i="8"/>
  <c r="CD1543" i="8"/>
  <c r="CC1543" i="8"/>
  <c r="CB1543" i="8"/>
  <c r="CA1543" i="8"/>
  <c r="BZ1543" i="8"/>
  <c r="BY1543" i="8"/>
  <c r="BX1543" i="8"/>
  <c r="BW1543" i="8"/>
  <c r="BV1543" i="8"/>
  <c r="BU1543" i="8"/>
  <c r="BT1543" i="8"/>
  <c r="BS1543" i="8"/>
  <c r="BR1543" i="8"/>
  <c r="BQ1543" i="8"/>
  <c r="BP1543" i="8"/>
  <c r="BO1543" i="8"/>
  <c r="BN1543" i="8"/>
  <c r="BM1543" i="8"/>
  <c r="BL1543" i="8"/>
  <c r="BK1543" i="8"/>
  <c r="BJ1543" i="8"/>
  <c r="BI1543" i="8"/>
  <c r="BH1543" i="8"/>
  <c r="CJ1542" i="8"/>
  <c r="CI1542" i="8"/>
  <c r="CH1542" i="8"/>
  <c r="CG1542" i="8"/>
  <c r="CF1542" i="8"/>
  <c r="CE1542" i="8"/>
  <c r="CD1542" i="8"/>
  <c r="CC1542" i="8"/>
  <c r="CB1542" i="8"/>
  <c r="CA1542" i="8"/>
  <c r="BZ1542" i="8"/>
  <c r="BY1542" i="8"/>
  <c r="BX1542" i="8"/>
  <c r="BW1542" i="8"/>
  <c r="BV1542" i="8"/>
  <c r="BU1542" i="8"/>
  <c r="BT1542" i="8"/>
  <c r="BS1542" i="8"/>
  <c r="BR1542" i="8"/>
  <c r="BQ1542" i="8"/>
  <c r="BP1542" i="8"/>
  <c r="BO1542" i="8"/>
  <c r="BN1542" i="8"/>
  <c r="BM1542" i="8"/>
  <c r="BL1542" i="8"/>
  <c r="BK1542" i="8"/>
  <c r="BJ1542" i="8"/>
  <c r="BI1542" i="8"/>
  <c r="BH1542" i="8"/>
  <c r="CJ1541" i="8"/>
  <c r="CI1541" i="8"/>
  <c r="CH1541" i="8"/>
  <c r="CG1541" i="8"/>
  <c r="CF1541" i="8"/>
  <c r="CE1541" i="8"/>
  <c r="CD1541" i="8"/>
  <c r="CC1541" i="8"/>
  <c r="CB1541" i="8"/>
  <c r="CA1541" i="8"/>
  <c r="BZ1541" i="8"/>
  <c r="BY1541" i="8"/>
  <c r="BX1541" i="8"/>
  <c r="BW1541" i="8"/>
  <c r="BV1541" i="8"/>
  <c r="BU1541" i="8"/>
  <c r="BT1541" i="8"/>
  <c r="BS1541" i="8"/>
  <c r="BR1541" i="8"/>
  <c r="BQ1541" i="8"/>
  <c r="BP1541" i="8"/>
  <c r="BO1541" i="8"/>
  <c r="BN1541" i="8"/>
  <c r="BM1541" i="8"/>
  <c r="BL1541" i="8"/>
  <c r="BK1541" i="8"/>
  <c r="BJ1541" i="8"/>
  <c r="BI1541" i="8"/>
  <c r="BH1541" i="8"/>
  <c r="CJ1540" i="8"/>
  <c r="CI1540" i="8"/>
  <c r="CH1540" i="8"/>
  <c r="CG1540" i="8"/>
  <c r="CF1540" i="8"/>
  <c r="CE1540" i="8"/>
  <c r="CD1540" i="8"/>
  <c r="CC1540" i="8"/>
  <c r="CB1540" i="8"/>
  <c r="CA1540" i="8"/>
  <c r="BZ1540" i="8"/>
  <c r="BY1540" i="8"/>
  <c r="BX1540" i="8"/>
  <c r="BW1540" i="8"/>
  <c r="BV1540" i="8"/>
  <c r="BU1540" i="8"/>
  <c r="BT1540" i="8"/>
  <c r="BS1540" i="8"/>
  <c r="BR1540" i="8"/>
  <c r="BQ1540" i="8"/>
  <c r="BP1540" i="8"/>
  <c r="BO1540" i="8"/>
  <c r="BN1540" i="8"/>
  <c r="BM1540" i="8"/>
  <c r="BL1540" i="8"/>
  <c r="BK1540" i="8"/>
  <c r="BJ1540" i="8"/>
  <c r="BI1540" i="8"/>
  <c r="BH1540" i="8"/>
  <c r="CJ1539" i="8"/>
  <c r="CI1539" i="8"/>
  <c r="CH1539" i="8"/>
  <c r="CG1539" i="8"/>
  <c r="CF1539" i="8"/>
  <c r="CE1539" i="8"/>
  <c r="CD1539" i="8"/>
  <c r="CC1539" i="8"/>
  <c r="CB1539" i="8"/>
  <c r="CA1539" i="8"/>
  <c r="BZ1539" i="8"/>
  <c r="BY1539" i="8"/>
  <c r="BX1539" i="8"/>
  <c r="BW1539" i="8"/>
  <c r="BV1539" i="8"/>
  <c r="BU1539" i="8"/>
  <c r="BT1539" i="8"/>
  <c r="BS1539" i="8"/>
  <c r="BR1539" i="8"/>
  <c r="BQ1539" i="8"/>
  <c r="BP1539" i="8"/>
  <c r="BO1539" i="8"/>
  <c r="BN1539" i="8"/>
  <c r="BM1539" i="8"/>
  <c r="BL1539" i="8"/>
  <c r="BK1539" i="8"/>
  <c r="BJ1539" i="8"/>
  <c r="BI1539" i="8"/>
  <c r="BH1539" i="8"/>
  <c r="CJ1538" i="8"/>
  <c r="CI1538" i="8"/>
  <c r="CH1538" i="8"/>
  <c r="CG1538" i="8"/>
  <c r="CF1538" i="8"/>
  <c r="CE1538" i="8"/>
  <c r="CD1538" i="8"/>
  <c r="CC1538" i="8"/>
  <c r="CB1538" i="8"/>
  <c r="CA1538" i="8"/>
  <c r="BZ1538" i="8"/>
  <c r="BY1538" i="8"/>
  <c r="BX1538" i="8"/>
  <c r="BW1538" i="8"/>
  <c r="BV1538" i="8"/>
  <c r="BU1538" i="8"/>
  <c r="BT1538" i="8"/>
  <c r="BS1538" i="8"/>
  <c r="BR1538" i="8"/>
  <c r="BQ1538" i="8"/>
  <c r="BP1538" i="8"/>
  <c r="BO1538" i="8"/>
  <c r="BN1538" i="8"/>
  <c r="BM1538" i="8"/>
  <c r="BL1538" i="8"/>
  <c r="BK1538" i="8"/>
  <c r="BJ1538" i="8"/>
  <c r="BI1538" i="8"/>
  <c r="BH1538" i="8"/>
  <c r="CJ1537" i="8"/>
  <c r="CI1537" i="8"/>
  <c r="CH1537" i="8"/>
  <c r="CG1537" i="8"/>
  <c r="CF1537" i="8"/>
  <c r="CE1537" i="8"/>
  <c r="CD1537" i="8"/>
  <c r="CC1537" i="8"/>
  <c r="CB1537" i="8"/>
  <c r="CA1537" i="8"/>
  <c r="BZ1537" i="8"/>
  <c r="BY1537" i="8"/>
  <c r="BX1537" i="8"/>
  <c r="BW1537" i="8"/>
  <c r="BV1537" i="8"/>
  <c r="BU1537" i="8"/>
  <c r="BT1537" i="8"/>
  <c r="BS1537" i="8"/>
  <c r="BR1537" i="8"/>
  <c r="BQ1537" i="8"/>
  <c r="BP1537" i="8"/>
  <c r="BO1537" i="8"/>
  <c r="BN1537" i="8"/>
  <c r="BM1537" i="8"/>
  <c r="BL1537" i="8"/>
  <c r="BK1537" i="8"/>
  <c r="BJ1537" i="8"/>
  <c r="BI1537" i="8"/>
  <c r="BH1537" i="8"/>
  <c r="CJ1536" i="8"/>
  <c r="CI1536" i="8"/>
  <c r="CH1536" i="8"/>
  <c r="CG1536" i="8"/>
  <c r="CF1536" i="8"/>
  <c r="CE1536" i="8"/>
  <c r="CD1536" i="8"/>
  <c r="CC1536" i="8"/>
  <c r="CB1536" i="8"/>
  <c r="CA1536" i="8"/>
  <c r="BZ1536" i="8"/>
  <c r="BY1536" i="8"/>
  <c r="BX1536" i="8"/>
  <c r="BW1536" i="8"/>
  <c r="BV1536" i="8"/>
  <c r="BU1536" i="8"/>
  <c r="BT1536" i="8"/>
  <c r="BS1536" i="8"/>
  <c r="BR1536" i="8"/>
  <c r="BQ1536" i="8"/>
  <c r="BP1536" i="8"/>
  <c r="BO1536" i="8"/>
  <c r="BN1536" i="8"/>
  <c r="BM1536" i="8"/>
  <c r="BL1536" i="8"/>
  <c r="BK1536" i="8"/>
  <c r="BJ1536" i="8"/>
  <c r="BI1536" i="8"/>
  <c r="BH1536" i="8"/>
  <c r="CJ1535" i="8"/>
  <c r="CI1535" i="8"/>
  <c r="CH1535" i="8"/>
  <c r="CG1535" i="8"/>
  <c r="CF1535" i="8"/>
  <c r="CE1535" i="8"/>
  <c r="CD1535" i="8"/>
  <c r="CC1535" i="8"/>
  <c r="CB1535" i="8"/>
  <c r="CA1535" i="8"/>
  <c r="BZ1535" i="8"/>
  <c r="BY1535" i="8"/>
  <c r="BX1535" i="8"/>
  <c r="BW1535" i="8"/>
  <c r="BV1535" i="8"/>
  <c r="BU1535" i="8"/>
  <c r="BT1535" i="8"/>
  <c r="BS1535" i="8"/>
  <c r="BR1535" i="8"/>
  <c r="BQ1535" i="8"/>
  <c r="BP1535" i="8"/>
  <c r="BO1535" i="8"/>
  <c r="BN1535" i="8"/>
  <c r="BM1535" i="8"/>
  <c r="BL1535" i="8"/>
  <c r="BK1535" i="8"/>
  <c r="BJ1535" i="8"/>
  <c r="BI1535" i="8"/>
  <c r="BH1535" i="8"/>
  <c r="CJ1534" i="8"/>
  <c r="CI1534" i="8"/>
  <c r="CH1534" i="8"/>
  <c r="CG1534" i="8"/>
  <c r="CF1534" i="8"/>
  <c r="CE1534" i="8"/>
  <c r="CD1534" i="8"/>
  <c r="CC1534" i="8"/>
  <c r="CB1534" i="8"/>
  <c r="CA1534" i="8"/>
  <c r="BZ1534" i="8"/>
  <c r="BY1534" i="8"/>
  <c r="BX1534" i="8"/>
  <c r="BW1534" i="8"/>
  <c r="BV1534" i="8"/>
  <c r="BU1534" i="8"/>
  <c r="BT1534" i="8"/>
  <c r="BS1534" i="8"/>
  <c r="BR1534" i="8"/>
  <c r="BQ1534" i="8"/>
  <c r="BP1534" i="8"/>
  <c r="BO1534" i="8"/>
  <c r="BN1534" i="8"/>
  <c r="BM1534" i="8"/>
  <c r="BL1534" i="8"/>
  <c r="BK1534" i="8"/>
  <c r="BJ1534" i="8"/>
  <c r="BI1534" i="8"/>
  <c r="BH1534" i="8"/>
  <c r="CJ1533" i="8"/>
  <c r="CI1533" i="8"/>
  <c r="CH1533" i="8"/>
  <c r="CG1533" i="8"/>
  <c r="CF1533" i="8"/>
  <c r="CE1533" i="8"/>
  <c r="CD1533" i="8"/>
  <c r="CC1533" i="8"/>
  <c r="CB1533" i="8"/>
  <c r="CA1533" i="8"/>
  <c r="BZ1533" i="8"/>
  <c r="BY1533" i="8"/>
  <c r="BX1533" i="8"/>
  <c r="BW1533" i="8"/>
  <c r="BV1533" i="8"/>
  <c r="BU1533" i="8"/>
  <c r="BT1533" i="8"/>
  <c r="BS1533" i="8"/>
  <c r="BR1533" i="8"/>
  <c r="BQ1533" i="8"/>
  <c r="BP1533" i="8"/>
  <c r="BO1533" i="8"/>
  <c r="BN1533" i="8"/>
  <c r="BM1533" i="8"/>
  <c r="BL1533" i="8"/>
  <c r="BK1533" i="8"/>
  <c r="BJ1533" i="8"/>
  <c r="BI1533" i="8"/>
  <c r="BH1533" i="8"/>
  <c r="CJ1532" i="8"/>
  <c r="CI1532" i="8"/>
  <c r="CH1532" i="8"/>
  <c r="CG1532" i="8"/>
  <c r="CF1532" i="8"/>
  <c r="CE1532" i="8"/>
  <c r="CD1532" i="8"/>
  <c r="CC1532" i="8"/>
  <c r="CB1532" i="8"/>
  <c r="CA1532" i="8"/>
  <c r="BZ1532" i="8"/>
  <c r="BY1532" i="8"/>
  <c r="BX1532" i="8"/>
  <c r="BW1532" i="8"/>
  <c r="BV1532" i="8"/>
  <c r="BU1532" i="8"/>
  <c r="BT1532" i="8"/>
  <c r="BS1532" i="8"/>
  <c r="BR1532" i="8"/>
  <c r="BQ1532" i="8"/>
  <c r="BP1532" i="8"/>
  <c r="BO1532" i="8"/>
  <c r="BN1532" i="8"/>
  <c r="BM1532" i="8"/>
  <c r="BL1532" i="8"/>
  <c r="BK1532" i="8"/>
  <c r="BJ1532" i="8"/>
  <c r="BI1532" i="8"/>
  <c r="BH1532" i="8"/>
  <c r="CJ1531" i="8"/>
  <c r="CI1531" i="8"/>
  <c r="CH1531" i="8"/>
  <c r="CG1531" i="8"/>
  <c r="CF1531" i="8"/>
  <c r="CE1531" i="8"/>
  <c r="CD1531" i="8"/>
  <c r="CC1531" i="8"/>
  <c r="CB1531" i="8"/>
  <c r="CA1531" i="8"/>
  <c r="BZ1531" i="8"/>
  <c r="BY1531" i="8"/>
  <c r="BX1531" i="8"/>
  <c r="BW1531" i="8"/>
  <c r="BV1531" i="8"/>
  <c r="BU1531" i="8"/>
  <c r="BT1531" i="8"/>
  <c r="BS1531" i="8"/>
  <c r="BR1531" i="8"/>
  <c r="BQ1531" i="8"/>
  <c r="BP1531" i="8"/>
  <c r="BO1531" i="8"/>
  <c r="BN1531" i="8"/>
  <c r="BM1531" i="8"/>
  <c r="BL1531" i="8"/>
  <c r="BK1531" i="8"/>
  <c r="BJ1531" i="8"/>
  <c r="BI1531" i="8"/>
  <c r="BH1531" i="8"/>
  <c r="CJ1530" i="8"/>
  <c r="CI1530" i="8"/>
  <c r="CH1530" i="8"/>
  <c r="CG1530" i="8"/>
  <c r="CF1530" i="8"/>
  <c r="CE1530" i="8"/>
  <c r="CD1530" i="8"/>
  <c r="CC1530" i="8"/>
  <c r="CB1530" i="8"/>
  <c r="CA1530" i="8"/>
  <c r="BZ1530" i="8"/>
  <c r="BY1530" i="8"/>
  <c r="BX1530" i="8"/>
  <c r="BW1530" i="8"/>
  <c r="BV1530" i="8"/>
  <c r="BU1530" i="8"/>
  <c r="BT1530" i="8"/>
  <c r="BS1530" i="8"/>
  <c r="BR1530" i="8"/>
  <c r="BQ1530" i="8"/>
  <c r="BP1530" i="8"/>
  <c r="BO1530" i="8"/>
  <c r="BN1530" i="8"/>
  <c r="BM1530" i="8"/>
  <c r="BL1530" i="8"/>
  <c r="BK1530" i="8"/>
  <c r="BJ1530" i="8"/>
  <c r="BI1530" i="8"/>
  <c r="BH1530" i="8"/>
  <c r="CJ1529" i="8"/>
  <c r="CI1529" i="8"/>
  <c r="CH1529" i="8"/>
  <c r="CG1529" i="8"/>
  <c r="CF1529" i="8"/>
  <c r="CE1529" i="8"/>
  <c r="CD1529" i="8"/>
  <c r="CC1529" i="8"/>
  <c r="CB1529" i="8"/>
  <c r="CA1529" i="8"/>
  <c r="BZ1529" i="8"/>
  <c r="BY1529" i="8"/>
  <c r="BX1529" i="8"/>
  <c r="BW1529" i="8"/>
  <c r="BV1529" i="8"/>
  <c r="BU1529" i="8"/>
  <c r="BT1529" i="8"/>
  <c r="BS1529" i="8"/>
  <c r="BR1529" i="8"/>
  <c r="BQ1529" i="8"/>
  <c r="BP1529" i="8"/>
  <c r="BO1529" i="8"/>
  <c r="BN1529" i="8"/>
  <c r="BM1529" i="8"/>
  <c r="BL1529" i="8"/>
  <c r="BK1529" i="8"/>
  <c r="BJ1529" i="8"/>
  <c r="BI1529" i="8"/>
  <c r="BH1529" i="8"/>
  <c r="CJ1528" i="8"/>
  <c r="CI1528" i="8"/>
  <c r="CH1528" i="8"/>
  <c r="CG1528" i="8"/>
  <c r="CF1528" i="8"/>
  <c r="CE1528" i="8"/>
  <c r="CD1528" i="8"/>
  <c r="CC1528" i="8"/>
  <c r="CB1528" i="8"/>
  <c r="CA1528" i="8"/>
  <c r="BZ1528" i="8"/>
  <c r="BY1528" i="8"/>
  <c r="BX1528" i="8"/>
  <c r="BW1528" i="8"/>
  <c r="BV1528" i="8"/>
  <c r="BU1528" i="8"/>
  <c r="BT1528" i="8"/>
  <c r="BS1528" i="8"/>
  <c r="BR1528" i="8"/>
  <c r="BQ1528" i="8"/>
  <c r="BP1528" i="8"/>
  <c r="BO1528" i="8"/>
  <c r="BN1528" i="8"/>
  <c r="BM1528" i="8"/>
  <c r="BL1528" i="8"/>
  <c r="BK1528" i="8"/>
  <c r="BJ1528" i="8"/>
  <c r="BI1528" i="8"/>
  <c r="BH1528" i="8"/>
  <c r="CJ1527" i="8"/>
  <c r="CI1527" i="8"/>
  <c r="CH1527" i="8"/>
  <c r="CG1527" i="8"/>
  <c r="CF1527" i="8"/>
  <c r="CE1527" i="8"/>
  <c r="CD1527" i="8"/>
  <c r="CC1527" i="8"/>
  <c r="CB1527" i="8"/>
  <c r="CA1527" i="8"/>
  <c r="BZ1527" i="8"/>
  <c r="BY1527" i="8"/>
  <c r="BX1527" i="8"/>
  <c r="BW1527" i="8"/>
  <c r="BV1527" i="8"/>
  <c r="BU1527" i="8"/>
  <c r="BT1527" i="8"/>
  <c r="BS1527" i="8"/>
  <c r="BR1527" i="8"/>
  <c r="BQ1527" i="8"/>
  <c r="BP1527" i="8"/>
  <c r="BO1527" i="8"/>
  <c r="BN1527" i="8"/>
  <c r="BM1527" i="8"/>
  <c r="BL1527" i="8"/>
  <c r="BK1527" i="8"/>
  <c r="BJ1527" i="8"/>
  <c r="BI1527" i="8"/>
  <c r="BH1527" i="8"/>
  <c r="CJ1526" i="8"/>
  <c r="CI1526" i="8"/>
  <c r="CH1526" i="8"/>
  <c r="CG1526" i="8"/>
  <c r="CF1526" i="8"/>
  <c r="CE1526" i="8"/>
  <c r="CD1526" i="8"/>
  <c r="CC1526" i="8"/>
  <c r="CB1526" i="8"/>
  <c r="CA1526" i="8"/>
  <c r="BZ1526" i="8"/>
  <c r="BY1526" i="8"/>
  <c r="BX1526" i="8"/>
  <c r="BW1526" i="8"/>
  <c r="BV1526" i="8"/>
  <c r="BU1526" i="8"/>
  <c r="BT1526" i="8"/>
  <c r="BS1526" i="8"/>
  <c r="BR1526" i="8"/>
  <c r="BQ1526" i="8"/>
  <c r="BP1526" i="8"/>
  <c r="BO1526" i="8"/>
  <c r="BN1526" i="8"/>
  <c r="BM1526" i="8"/>
  <c r="BL1526" i="8"/>
  <c r="BK1526" i="8"/>
  <c r="BJ1526" i="8"/>
  <c r="BI1526" i="8"/>
  <c r="BH1526" i="8"/>
  <c r="CJ1525" i="8"/>
  <c r="CI1525" i="8"/>
  <c r="CH1525" i="8"/>
  <c r="CG1525" i="8"/>
  <c r="CF1525" i="8"/>
  <c r="CE1525" i="8"/>
  <c r="CD1525" i="8"/>
  <c r="CC1525" i="8"/>
  <c r="CB1525" i="8"/>
  <c r="CA1525" i="8"/>
  <c r="BZ1525" i="8"/>
  <c r="BY1525" i="8"/>
  <c r="BX1525" i="8"/>
  <c r="BW1525" i="8"/>
  <c r="BV1525" i="8"/>
  <c r="BU1525" i="8"/>
  <c r="BT1525" i="8"/>
  <c r="BS1525" i="8"/>
  <c r="BR1525" i="8"/>
  <c r="BQ1525" i="8"/>
  <c r="BP1525" i="8"/>
  <c r="BO1525" i="8"/>
  <c r="BN1525" i="8"/>
  <c r="BM1525" i="8"/>
  <c r="BL1525" i="8"/>
  <c r="BK1525" i="8"/>
  <c r="BJ1525" i="8"/>
  <c r="BI1525" i="8"/>
  <c r="BH1525" i="8"/>
  <c r="CJ1524" i="8"/>
  <c r="CI1524" i="8"/>
  <c r="CH1524" i="8"/>
  <c r="CG1524" i="8"/>
  <c r="CF1524" i="8"/>
  <c r="CE1524" i="8"/>
  <c r="CD1524" i="8"/>
  <c r="CC1524" i="8"/>
  <c r="CB1524" i="8"/>
  <c r="CA1524" i="8"/>
  <c r="BZ1524" i="8"/>
  <c r="BY1524" i="8"/>
  <c r="BX1524" i="8"/>
  <c r="BW1524" i="8"/>
  <c r="BV1524" i="8"/>
  <c r="BU1524" i="8"/>
  <c r="BT1524" i="8"/>
  <c r="BS1524" i="8"/>
  <c r="BR1524" i="8"/>
  <c r="BQ1524" i="8"/>
  <c r="BP1524" i="8"/>
  <c r="BO1524" i="8"/>
  <c r="BN1524" i="8"/>
  <c r="BM1524" i="8"/>
  <c r="BL1524" i="8"/>
  <c r="BK1524" i="8"/>
  <c r="BJ1524" i="8"/>
  <c r="BI1524" i="8"/>
  <c r="BH1524" i="8"/>
  <c r="CJ1523" i="8"/>
  <c r="CI1523" i="8"/>
  <c r="CH1523" i="8"/>
  <c r="CG1523" i="8"/>
  <c r="CF1523" i="8"/>
  <c r="CE1523" i="8"/>
  <c r="CD1523" i="8"/>
  <c r="CC1523" i="8"/>
  <c r="CB1523" i="8"/>
  <c r="CA1523" i="8"/>
  <c r="BZ1523" i="8"/>
  <c r="BY1523" i="8"/>
  <c r="BX1523" i="8"/>
  <c r="BW1523" i="8"/>
  <c r="BV1523" i="8"/>
  <c r="BU1523" i="8"/>
  <c r="BT1523" i="8"/>
  <c r="BS1523" i="8"/>
  <c r="BR1523" i="8"/>
  <c r="BQ1523" i="8"/>
  <c r="BP1523" i="8"/>
  <c r="BO1523" i="8"/>
  <c r="BN1523" i="8"/>
  <c r="BM1523" i="8"/>
  <c r="BL1523" i="8"/>
  <c r="BK1523" i="8"/>
  <c r="BJ1523" i="8"/>
  <c r="BI1523" i="8"/>
  <c r="BH1523" i="8"/>
  <c r="CJ1522" i="8"/>
  <c r="CI1522" i="8"/>
  <c r="CH1522" i="8"/>
  <c r="CG1522" i="8"/>
  <c r="CF1522" i="8"/>
  <c r="CE1522" i="8"/>
  <c r="CD1522" i="8"/>
  <c r="CC1522" i="8"/>
  <c r="CB1522" i="8"/>
  <c r="CA1522" i="8"/>
  <c r="BZ1522" i="8"/>
  <c r="BY1522" i="8"/>
  <c r="BX1522" i="8"/>
  <c r="BW1522" i="8"/>
  <c r="BV1522" i="8"/>
  <c r="BU1522" i="8"/>
  <c r="BT1522" i="8"/>
  <c r="BS1522" i="8"/>
  <c r="BR1522" i="8"/>
  <c r="BQ1522" i="8"/>
  <c r="BP1522" i="8"/>
  <c r="BO1522" i="8"/>
  <c r="BN1522" i="8"/>
  <c r="BM1522" i="8"/>
  <c r="BL1522" i="8"/>
  <c r="BK1522" i="8"/>
  <c r="BJ1522" i="8"/>
  <c r="BI1522" i="8"/>
  <c r="BH1522" i="8"/>
  <c r="CJ1521" i="8"/>
  <c r="CI1521" i="8"/>
  <c r="CH1521" i="8"/>
  <c r="CG1521" i="8"/>
  <c r="CF1521" i="8"/>
  <c r="CE1521" i="8"/>
  <c r="CD1521" i="8"/>
  <c r="CC1521" i="8"/>
  <c r="CB1521" i="8"/>
  <c r="CA1521" i="8"/>
  <c r="BZ1521" i="8"/>
  <c r="BY1521" i="8"/>
  <c r="BX1521" i="8"/>
  <c r="BW1521" i="8"/>
  <c r="BV1521" i="8"/>
  <c r="BU1521" i="8"/>
  <c r="BT1521" i="8"/>
  <c r="BS1521" i="8"/>
  <c r="BR1521" i="8"/>
  <c r="BQ1521" i="8"/>
  <c r="BP1521" i="8"/>
  <c r="BO1521" i="8"/>
  <c r="BN1521" i="8"/>
  <c r="BM1521" i="8"/>
  <c r="BL1521" i="8"/>
  <c r="BK1521" i="8"/>
  <c r="BJ1521" i="8"/>
  <c r="BI1521" i="8"/>
  <c r="BH1521" i="8"/>
  <c r="CJ1520" i="8"/>
  <c r="CI1520" i="8"/>
  <c r="CH1520" i="8"/>
  <c r="CG1520" i="8"/>
  <c r="CF1520" i="8"/>
  <c r="CE1520" i="8"/>
  <c r="CD1520" i="8"/>
  <c r="CC1520" i="8"/>
  <c r="CB1520" i="8"/>
  <c r="CA1520" i="8"/>
  <c r="BZ1520" i="8"/>
  <c r="BY1520" i="8"/>
  <c r="BX1520" i="8"/>
  <c r="BW1520" i="8"/>
  <c r="BV1520" i="8"/>
  <c r="BU1520" i="8"/>
  <c r="BT1520" i="8"/>
  <c r="BS1520" i="8"/>
  <c r="BR1520" i="8"/>
  <c r="BQ1520" i="8"/>
  <c r="BP1520" i="8"/>
  <c r="BO1520" i="8"/>
  <c r="BN1520" i="8"/>
  <c r="BM1520" i="8"/>
  <c r="BL1520" i="8"/>
  <c r="BK1520" i="8"/>
  <c r="BJ1520" i="8"/>
  <c r="BI1520" i="8"/>
  <c r="BH1520" i="8"/>
  <c r="CJ1519" i="8"/>
  <c r="CI1519" i="8"/>
  <c r="CH1519" i="8"/>
  <c r="CG1519" i="8"/>
  <c r="CF1519" i="8"/>
  <c r="CE1519" i="8"/>
  <c r="CD1519" i="8"/>
  <c r="CC1519" i="8"/>
  <c r="CB1519" i="8"/>
  <c r="CA1519" i="8"/>
  <c r="BZ1519" i="8"/>
  <c r="BY1519" i="8"/>
  <c r="BX1519" i="8"/>
  <c r="BW1519" i="8"/>
  <c r="BV1519" i="8"/>
  <c r="BU1519" i="8"/>
  <c r="BT1519" i="8"/>
  <c r="BS1519" i="8"/>
  <c r="BR1519" i="8"/>
  <c r="BQ1519" i="8"/>
  <c r="BP1519" i="8"/>
  <c r="BO1519" i="8"/>
  <c r="BN1519" i="8"/>
  <c r="BM1519" i="8"/>
  <c r="BL1519" i="8"/>
  <c r="BK1519" i="8"/>
  <c r="BJ1519" i="8"/>
  <c r="BI1519" i="8"/>
  <c r="BH1519" i="8"/>
  <c r="CJ1518" i="8"/>
  <c r="CI1518" i="8"/>
  <c r="CH1518" i="8"/>
  <c r="CG1518" i="8"/>
  <c r="CF1518" i="8"/>
  <c r="CE1518" i="8"/>
  <c r="CD1518" i="8"/>
  <c r="CC1518" i="8"/>
  <c r="CB1518" i="8"/>
  <c r="CA1518" i="8"/>
  <c r="BZ1518" i="8"/>
  <c r="BY1518" i="8"/>
  <c r="BX1518" i="8"/>
  <c r="BW1518" i="8"/>
  <c r="BV1518" i="8"/>
  <c r="BU1518" i="8"/>
  <c r="BT1518" i="8"/>
  <c r="BS1518" i="8"/>
  <c r="BR1518" i="8"/>
  <c r="BQ1518" i="8"/>
  <c r="BP1518" i="8"/>
  <c r="BO1518" i="8"/>
  <c r="BN1518" i="8"/>
  <c r="BM1518" i="8"/>
  <c r="BL1518" i="8"/>
  <c r="BK1518" i="8"/>
  <c r="BJ1518" i="8"/>
  <c r="BI1518" i="8"/>
  <c r="BH1518" i="8"/>
  <c r="CJ1517" i="8"/>
  <c r="CI1517" i="8"/>
  <c r="CH1517" i="8"/>
  <c r="CG1517" i="8"/>
  <c r="CF1517" i="8"/>
  <c r="CE1517" i="8"/>
  <c r="CD1517" i="8"/>
  <c r="CC1517" i="8"/>
  <c r="CB1517" i="8"/>
  <c r="CA1517" i="8"/>
  <c r="BZ1517" i="8"/>
  <c r="BY1517" i="8"/>
  <c r="BX1517" i="8"/>
  <c r="BW1517" i="8"/>
  <c r="BV1517" i="8"/>
  <c r="BU1517" i="8"/>
  <c r="BT1517" i="8"/>
  <c r="BS1517" i="8"/>
  <c r="BR1517" i="8"/>
  <c r="BQ1517" i="8"/>
  <c r="BP1517" i="8"/>
  <c r="BO1517" i="8"/>
  <c r="BN1517" i="8"/>
  <c r="BM1517" i="8"/>
  <c r="BL1517" i="8"/>
  <c r="BK1517" i="8"/>
  <c r="BJ1517" i="8"/>
  <c r="BI1517" i="8"/>
  <c r="BH1517" i="8"/>
  <c r="CJ1516" i="8"/>
  <c r="CI1516" i="8"/>
  <c r="CH1516" i="8"/>
  <c r="CG1516" i="8"/>
  <c r="CF1516" i="8"/>
  <c r="CE1516" i="8"/>
  <c r="CD1516" i="8"/>
  <c r="CC1516" i="8"/>
  <c r="CB1516" i="8"/>
  <c r="CA1516" i="8"/>
  <c r="BZ1516" i="8"/>
  <c r="BY1516" i="8"/>
  <c r="BX1516" i="8"/>
  <c r="BW1516" i="8"/>
  <c r="BV1516" i="8"/>
  <c r="BU1516" i="8"/>
  <c r="BT1516" i="8"/>
  <c r="BS1516" i="8"/>
  <c r="BR1516" i="8"/>
  <c r="BQ1516" i="8"/>
  <c r="BP1516" i="8"/>
  <c r="BO1516" i="8"/>
  <c r="BN1516" i="8"/>
  <c r="BM1516" i="8"/>
  <c r="BL1516" i="8"/>
  <c r="BK1516" i="8"/>
  <c r="BJ1516" i="8"/>
  <c r="BI1516" i="8"/>
  <c r="BH1516" i="8"/>
  <c r="CJ1515" i="8"/>
  <c r="CI1515" i="8"/>
  <c r="CH1515" i="8"/>
  <c r="CG1515" i="8"/>
  <c r="CF1515" i="8"/>
  <c r="CE1515" i="8"/>
  <c r="CD1515" i="8"/>
  <c r="CC1515" i="8"/>
  <c r="CB1515" i="8"/>
  <c r="CA1515" i="8"/>
  <c r="BZ1515" i="8"/>
  <c r="BY1515" i="8"/>
  <c r="BX1515" i="8"/>
  <c r="BW1515" i="8"/>
  <c r="BV1515" i="8"/>
  <c r="BU1515" i="8"/>
  <c r="BT1515" i="8"/>
  <c r="BS1515" i="8"/>
  <c r="BR1515" i="8"/>
  <c r="BQ1515" i="8"/>
  <c r="BP1515" i="8"/>
  <c r="BO1515" i="8"/>
  <c r="BN1515" i="8"/>
  <c r="BM1515" i="8"/>
  <c r="BL1515" i="8"/>
  <c r="BK1515" i="8"/>
  <c r="BJ1515" i="8"/>
  <c r="BI1515" i="8"/>
  <c r="BH1515" i="8"/>
  <c r="CJ1514" i="8"/>
  <c r="CI1514" i="8"/>
  <c r="CH1514" i="8"/>
  <c r="CG1514" i="8"/>
  <c r="CF1514" i="8"/>
  <c r="CE1514" i="8"/>
  <c r="CD1514" i="8"/>
  <c r="CC1514" i="8"/>
  <c r="CB1514" i="8"/>
  <c r="CA1514" i="8"/>
  <c r="BZ1514" i="8"/>
  <c r="BY1514" i="8"/>
  <c r="BX1514" i="8"/>
  <c r="BW1514" i="8"/>
  <c r="BV1514" i="8"/>
  <c r="BU1514" i="8"/>
  <c r="BT1514" i="8"/>
  <c r="BS1514" i="8"/>
  <c r="BR1514" i="8"/>
  <c r="BQ1514" i="8"/>
  <c r="BP1514" i="8"/>
  <c r="BO1514" i="8"/>
  <c r="BN1514" i="8"/>
  <c r="BM1514" i="8"/>
  <c r="BL1514" i="8"/>
  <c r="BK1514" i="8"/>
  <c r="BJ1514" i="8"/>
  <c r="BI1514" i="8"/>
  <c r="BH1514" i="8"/>
  <c r="CJ1513" i="8"/>
  <c r="CI1513" i="8"/>
  <c r="CH1513" i="8"/>
  <c r="CG1513" i="8"/>
  <c r="CF1513" i="8"/>
  <c r="CE1513" i="8"/>
  <c r="CD1513" i="8"/>
  <c r="CC1513" i="8"/>
  <c r="CB1513" i="8"/>
  <c r="CA1513" i="8"/>
  <c r="BZ1513" i="8"/>
  <c r="BY1513" i="8"/>
  <c r="BX1513" i="8"/>
  <c r="BW1513" i="8"/>
  <c r="BV1513" i="8"/>
  <c r="BU1513" i="8"/>
  <c r="BT1513" i="8"/>
  <c r="BS1513" i="8"/>
  <c r="BR1513" i="8"/>
  <c r="BQ1513" i="8"/>
  <c r="BP1513" i="8"/>
  <c r="BO1513" i="8"/>
  <c r="BN1513" i="8"/>
  <c r="BM1513" i="8"/>
  <c r="BL1513" i="8"/>
  <c r="BK1513" i="8"/>
  <c r="BJ1513" i="8"/>
  <c r="BI1513" i="8"/>
  <c r="BH1513" i="8"/>
  <c r="CJ1512" i="8"/>
  <c r="CI1512" i="8"/>
  <c r="CH1512" i="8"/>
  <c r="CG1512" i="8"/>
  <c r="CF1512" i="8"/>
  <c r="CE1512" i="8"/>
  <c r="CD1512" i="8"/>
  <c r="CC1512" i="8"/>
  <c r="CB1512" i="8"/>
  <c r="CA1512" i="8"/>
  <c r="BZ1512" i="8"/>
  <c r="BY1512" i="8"/>
  <c r="BX1512" i="8"/>
  <c r="BW1512" i="8"/>
  <c r="BV1512" i="8"/>
  <c r="BU1512" i="8"/>
  <c r="BT1512" i="8"/>
  <c r="BS1512" i="8"/>
  <c r="BR1512" i="8"/>
  <c r="BQ1512" i="8"/>
  <c r="BP1512" i="8"/>
  <c r="BO1512" i="8"/>
  <c r="BN1512" i="8"/>
  <c r="BM1512" i="8"/>
  <c r="BL1512" i="8"/>
  <c r="BK1512" i="8"/>
  <c r="BJ1512" i="8"/>
  <c r="BI1512" i="8"/>
  <c r="BH1512" i="8"/>
  <c r="CJ1511" i="8"/>
  <c r="CI1511" i="8"/>
  <c r="CH1511" i="8"/>
  <c r="CG1511" i="8"/>
  <c r="CF1511" i="8"/>
  <c r="CE1511" i="8"/>
  <c r="CD1511" i="8"/>
  <c r="CC1511" i="8"/>
  <c r="CB1511" i="8"/>
  <c r="CA1511" i="8"/>
  <c r="BZ1511" i="8"/>
  <c r="BY1511" i="8"/>
  <c r="BX1511" i="8"/>
  <c r="BW1511" i="8"/>
  <c r="BV1511" i="8"/>
  <c r="BU1511" i="8"/>
  <c r="BT1511" i="8"/>
  <c r="BS1511" i="8"/>
  <c r="BR1511" i="8"/>
  <c r="BQ1511" i="8"/>
  <c r="BP1511" i="8"/>
  <c r="BO1511" i="8"/>
  <c r="BN1511" i="8"/>
  <c r="BM1511" i="8"/>
  <c r="BL1511" i="8"/>
  <c r="BK1511" i="8"/>
  <c r="BJ1511" i="8"/>
  <c r="BI1511" i="8"/>
  <c r="BH1511" i="8"/>
  <c r="CJ1510" i="8"/>
  <c r="CI1510" i="8"/>
  <c r="CH1510" i="8"/>
  <c r="CG1510" i="8"/>
  <c r="CF1510" i="8"/>
  <c r="CE1510" i="8"/>
  <c r="CD1510" i="8"/>
  <c r="CC1510" i="8"/>
  <c r="CB1510" i="8"/>
  <c r="CA1510" i="8"/>
  <c r="BZ1510" i="8"/>
  <c r="BY1510" i="8"/>
  <c r="BX1510" i="8"/>
  <c r="BW1510" i="8"/>
  <c r="BV1510" i="8"/>
  <c r="BU1510" i="8"/>
  <c r="BT1510" i="8"/>
  <c r="BS1510" i="8"/>
  <c r="BR1510" i="8"/>
  <c r="BQ1510" i="8"/>
  <c r="BP1510" i="8"/>
  <c r="BO1510" i="8"/>
  <c r="BN1510" i="8"/>
  <c r="BM1510" i="8"/>
  <c r="BL1510" i="8"/>
  <c r="BK1510" i="8"/>
  <c r="BJ1510" i="8"/>
  <c r="BI1510" i="8"/>
  <c r="BH1510" i="8"/>
  <c r="CJ1509" i="8"/>
  <c r="CI1509" i="8"/>
  <c r="CH1509" i="8"/>
  <c r="CG1509" i="8"/>
  <c r="CF1509" i="8"/>
  <c r="CE1509" i="8"/>
  <c r="CD1509" i="8"/>
  <c r="CC1509" i="8"/>
  <c r="CB1509" i="8"/>
  <c r="CA1509" i="8"/>
  <c r="BZ1509" i="8"/>
  <c r="BY1509" i="8"/>
  <c r="BX1509" i="8"/>
  <c r="BW1509" i="8"/>
  <c r="BV1509" i="8"/>
  <c r="BU1509" i="8"/>
  <c r="BT1509" i="8"/>
  <c r="BS1509" i="8"/>
  <c r="BR1509" i="8"/>
  <c r="BQ1509" i="8"/>
  <c r="BP1509" i="8"/>
  <c r="BO1509" i="8"/>
  <c r="BN1509" i="8"/>
  <c r="BM1509" i="8"/>
  <c r="BL1509" i="8"/>
  <c r="BK1509" i="8"/>
  <c r="BJ1509" i="8"/>
  <c r="BI1509" i="8"/>
  <c r="BH1509" i="8"/>
  <c r="CJ1508" i="8"/>
  <c r="CI1508" i="8"/>
  <c r="CH1508" i="8"/>
  <c r="CG1508" i="8"/>
  <c r="CF1508" i="8"/>
  <c r="CE1508" i="8"/>
  <c r="CD1508" i="8"/>
  <c r="CC1508" i="8"/>
  <c r="CB1508" i="8"/>
  <c r="CA1508" i="8"/>
  <c r="BZ1508" i="8"/>
  <c r="BY1508" i="8"/>
  <c r="BX1508" i="8"/>
  <c r="BW1508" i="8"/>
  <c r="BV1508" i="8"/>
  <c r="BU1508" i="8"/>
  <c r="BT1508" i="8"/>
  <c r="BS1508" i="8"/>
  <c r="BR1508" i="8"/>
  <c r="BQ1508" i="8"/>
  <c r="BP1508" i="8"/>
  <c r="BO1508" i="8"/>
  <c r="BN1508" i="8"/>
  <c r="BM1508" i="8"/>
  <c r="BL1508" i="8"/>
  <c r="BK1508" i="8"/>
  <c r="BJ1508" i="8"/>
  <c r="BI1508" i="8"/>
  <c r="BH1508" i="8"/>
  <c r="CJ1507" i="8"/>
  <c r="CI1507" i="8"/>
  <c r="CH1507" i="8"/>
  <c r="CG1507" i="8"/>
  <c r="CF1507" i="8"/>
  <c r="CE1507" i="8"/>
  <c r="CD1507" i="8"/>
  <c r="CC1507" i="8"/>
  <c r="CB1507" i="8"/>
  <c r="CA1507" i="8"/>
  <c r="BZ1507" i="8"/>
  <c r="BY1507" i="8"/>
  <c r="BX1507" i="8"/>
  <c r="BW1507" i="8"/>
  <c r="BV1507" i="8"/>
  <c r="BU1507" i="8"/>
  <c r="BT1507" i="8"/>
  <c r="BS1507" i="8"/>
  <c r="BR1507" i="8"/>
  <c r="BQ1507" i="8"/>
  <c r="BP1507" i="8"/>
  <c r="BO1507" i="8"/>
  <c r="BN1507" i="8"/>
  <c r="BM1507" i="8"/>
  <c r="BL1507" i="8"/>
  <c r="BK1507" i="8"/>
  <c r="BJ1507" i="8"/>
  <c r="BI1507" i="8"/>
  <c r="BH1507" i="8"/>
  <c r="CJ1506" i="8"/>
  <c r="CI1506" i="8"/>
  <c r="CH1506" i="8"/>
  <c r="CG1506" i="8"/>
  <c r="CF1506" i="8"/>
  <c r="CE1506" i="8"/>
  <c r="CD1506" i="8"/>
  <c r="CC1506" i="8"/>
  <c r="CB1506" i="8"/>
  <c r="CA1506" i="8"/>
  <c r="BZ1506" i="8"/>
  <c r="BY1506" i="8"/>
  <c r="BX1506" i="8"/>
  <c r="BW1506" i="8"/>
  <c r="BV1506" i="8"/>
  <c r="BU1506" i="8"/>
  <c r="BT1506" i="8"/>
  <c r="BS1506" i="8"/>
  <c r="BR1506" i="8"/>
  <c r="BQ1506" i="8"/>
  <c r="BP1506" i="8"/>
  <c r="BO1506" i="8"/>
  <c r="BN1506" i="8"/>
  <c r="BM1506" i="8"/>
  <c r="BL1506" i="8"/>
  <c r="BK1506" i="8"/>
  <c r="BJ1506" i="8"/>
  <c r="BI1506" i="8"/>
  <c r="BH1506" i="8"/>
  <c r="CJ1505" i="8"/>
  <c r="CI1505" i="8"/>
  <c r="CH1505" i="8"/>
  <c r="CG1505" i="8"/>
  <c r="CF1505" i="8"/>
  <c r="CE1505" i="8"/>
  <c r="CD1505" i="8"/>
  <c r="CC1505" i="8"/>
  <c r="CB1505" i="8"/>
  <c r="CA1505" i="8"/>
  <c r="BZ1505" i="8"/>
  <c r="BY1505" i="8"/>
  <c r="BX1505" i="8"/>
  <c r="BW1505" i="8"/>
  <c r="BV1505" i="8"/>
  <c r="BU1505" i="8"/>
  <c r="BT1505" i="8"/>
  <c r="BS1505" i="8"/>
  <c r="BR1505" i="8"/>
  <c r="BQ1505" i="8"/>
  <c r="BP1505" i="8"/>
  <c r="BO1505" i="8"/>
  <c r="BN1505" i="8"/>
  <c r="BM1505" i="8"/>
  <c r="BL1505" i="8"/>
  <c r="BK1505" i="8"/>
  <c r="BJ1505" i="8"/>
  <c r="BI1505" i="8"/>
  <c r="BH1505" i="8"/>
  <c r="CJ1504" i="8"/>
  <c r="CI1504" i="8"/>
  <c r="CH1504" i="8"/>
  <c r="CG1504" i="8"/>
  <c r="CF1504" i="8"/>
  <c r="CE1504" i="8"/>
  <c r="CD1504" i="8"/>
  <c r="CC1504" i="8"/>
  <c r="CB1504" i="8"/>
  <c r="CA1504" i="8"/>
  <c r="BZ1504" i="8"/>
  <c r="BY1504" i="8"/>
  <c r="BX1504" i="8"/>
  <c r="BW1504" i="8"/>
  <c r="BV1504" i="8"/>
  <c r="BU1504" i="8"/>
  <c r="BT1504" i="8"/>
  <c r="BS1504" i="8"/>
  <c r="BR1504" i="8"/>
  <c r="BQ1504" i="8"/>
  <c r="BP1504" i="8"/>
  <c r="BO1504" i="8"/>
  <c r="BN1504" i="8"/>
  <c r="BM1504" i="8"/>
  <c r="BL1504" i="8"/>
  <c r="BK1504" i="8"/>
  <c r="BJ1504" i="8"/>
  <c r="BI1504" i="8"/>
  <c r="BH1504" i="8"/>
  <c r="CJ1503" i="8"/>
  <c r="CI1503" i="8"/>
  <c r="CH1503" i="8"/>
  <c r="CG1503" i="8"/>
  <c r="CF1503" i="8"/>
  <c r="CE1503" i="8"/>
  <c r="CD1503" i="8"/>
  <c r="CC1503" i="8"/>
  <c r="CB1503" i="8"/>
  <c r="CA1503" i="8"/>
  <c r="BZ1503" i="8"/>
  <c r="BY1503" i="8"/>
  <c r="BX1503" i="8"/>
  <c r="BW1503" i="8"/>
  <c r="BV1503" i="8"/>
  <c r="BU1503" i="8"/>
  <c r="BT1503" i="8"/>
  <c r="BS1503" i="8"/>
  <c r="BR1503" i="8"/>
  <c r="BQ1503" i="8"/>
  <c r="BP1503" i="8"/>
  <c r="BO1503" i="8"/>
  <c r="BN1503" i="8"/>
  <c r="BM1503" i="8"/>
  <c r="BL1503" i="8"/>
  <c r="BK1503" i="8"/>
  <c r="BJ1503" i="8"/>
  <c r="BI1503" i="8"/>
  <c r="BH1503" i="8"/>
  <c r="CJ1502" i="8"/>
  <c r="CI1502" i="8"/>
  <c r="CH1502" i="8"/>
  <c r="CG1502" i="8"/>
  <c r="CF1502" i="8"/>
  <c r="CE1502" i="8"/>
  <c r="CD1502" i="8"/>
  <c r="CC1502" i="8"/>
  <c r="CB1502" i="8"/>
  <c r="CA1502" i="8"/>
  <c r="BZ1502" i="8"/>
  <c r="BY1502" i="8"/>
  <c r="BX1502" i="8"/>
  <c r="BW1502" i="8"/>
  <c r="BV1502" i="8"/>
  <c r="BU1502" i="8"/>
  <c r="BT1502" i="8"/>
  <c r="BS1502" i="8"/>
  <c r="BR1502" i="8"/>
  <c r="BQ1502" i="8"/>
  <c r="BP1502" i="8"/>
  <c r="BO1502" i="8"/>
  <c r="BN1502" i="8"/>
  <c r="BM1502" i="8"/>
  <c r="BL1502" i="8"/>
  <c r="BK1502" i="8"/>
  <c r="BJ1502" i="8"/>
  <c r="BI1502" i="8"/>
  <c r="BH1502" i="8"/>
  <c r="CJ1501" i="8"/>
  <c r="CI1501" i="8"/>
  <c r="CH1501" i="8"/>
  <c r="CG1501" i="8"/>
  <c r="CF1501" i="8"/>
  <c r="CE1501" i="8"/>
  <c r="CD1501" i="8"/>
  <c r="CC1501" i="8"/>
  <c r="CB1501" i="8"/>
  <c r="CA1501" i="8"/>
  <c r="BZ1501" i="8"/>
  <c r="BY1501" i="8"/>
  <c r="BX1501" i="8"/>
  <c r="BW1501" i="8"/>
  <c r="BV1501" i="8"/>
  <c r="BU1501" i="8"/>
  <c r="BT1501" i="8"/>
  <c r="BS1501" i="8"/>
  <c r="BR1501" i="8"/>
  <c r="BQ1501" i="8"/>
  <c r="BP1501" i="8"/>
  <c r="BO1501" i="8"/>
  <c r="BN1501" i="8"/>
  <c r="BM1501" i="8"/>
  <c r="BL1501" i="8"/>
  <c r="BK1501" i="8"/>
  <c r="BJ1501" i="8"/>
  <c r="BI1501" i="8"/>
  <c r="BH1501" i="8"/>
  <c r="CJ1500" i="8"/>
  <c r="CI1500" i="8"/>
  <c r="CH1500" i="8"/>
  <c r="CG1500" i="8"/>
  <c r="CF1500" i="8"/>
  <c r="CE1500" i="8"/>
  <c r="CD1500" i="8"/>
  <c r="CC1500" i="8"/>
  <c r="CB1500" i="8"/>
  <c r="CA1500" i="8"/>
  <c r="BZ1500" i="8"/>
  <c r="BY1500" i="8"/>
  <c r="BX1500" i="8"/>
  <c r="BW1500" i="8"/>
  <c r="BV1500" i="8"/>
  <c r="BU1500" i="8"/>
  <c r="BT1500" i="8"/>
  <c r="BS1500" i="8"/>
  <c r="BR1500" i="8"/>
  <c r="BQ1500" i="8"/>
  <c r="BP1500" i="8"/>
  <c r="BO1500" i="8"/>
  <c r="BN1500" i="8"/>
  <c r="BM1500" i="8"/>
  <c r="BL1500" i="8"/>
  <c r="BK1500" i="8"/>
  <c r="BJ1500" i="8"/>
  <c r="BI1500" i="8"/>
  <c r="BH1500" i="8"/>
  <c r="CJ1499" i="8"/>
  <c r="CI1499" i="8"/>
  <c r="CH1499" i="8"/>
  <c r="CG1499" i="8"/>
  <c r="CF1499" i="8"/>
  <c r="CE1499" i="8"/>
  <c r="CD1499" i="8"/>
  <c r="CC1499" i="8"/>
  <c r="CB1499" i="8"/>
  <c r="CA1499" i="8"/>
  <c r="BZ1499" i="8"/>
  <c r="BY1499" i="8"/>
  <c r="BX1499" i="8"/>
  <c r="BW1499" i="8"/>
  <c r="BV1499" i="8"/>
  <c r="BU1499" i="8"/>
  <c r="BT1499" i="8"/>
  <c r="BS1499" i="8"/>
  <c r="BR1499" i="8"/>
  <c r="BQ1499" i="8"/>
  <c r="BP1499" i="8"/>
  <c r="BO1499" i="8"/>
  <c r="BN1499" i="8"/>
  <c r="BM1499" i="8"/>
  <c r="BL1499" i="8"/>
  <c r="BK1499" i="8"/>
  <c r="BJ1499" i="8"/>
  <c r="BI1499" i="8"/>
  <c r="BH1499" i="8"/>
  <c r="CJ1498" i="8"/>
  <c r="CI1498" i="8"/>
  <c r="CH1498" i="8"/>
  <c r="CG1498" i="8"/>
  <c r="CF1498" i="8"/>
  <c r="CE1498" i="8"/>
  <c r="CD1498" i="8"/>
  <c r="CC1498" i="8"/>
  <c r="CB1498" i="8"/>
  <c r="CA1498" i="8"/>
  <c r="BZ1498" i="8"/>
  <c r="BY1498" i="8"/>
  <c r="BX1498" i="8"/>
  <c r="BW1498" i="8"/>
  <c r="BV1498" i="8"/>
  <c r="BU1498" i="8"/>
  <c r="BT1498" i="8"/>
  <c r="BS1498" i="8"/>
  <c r="BR1498" i="8"/>
  <c r="BQ1498" i="8"/>
  <c r="BP1498" i="8"/>
  <c r="BO1498" i="8"/>
  <c r="BN1498" i="8"/>
  <c r="BM1498" i="8"/>
  <c r="BL1498" i="8"/>
  <c r="BK1498" i="8"/>
  <c r="BJ1498" i="8"/>
  <c r="BI1498" i="8"/>
  <c r="BH1498" i="8"/>
  <c r="CJ1497" i="8"/>
  <c r="CI1497" i="8"/>
  <c r="CH1497" i="8"/>
  <c r="CG1497" i="8"/>
  <c r="CF1497" i="8"/>
  <c r="CE1497" i="8"/>
  <c r="CD1497" i="8"/>
  <c r="CC1497" i="8"/>
  <c r="CB1497" i="8"/>
  <c r="CA1497" i="8"/>
  <c r="BZ1497" i="8"/>
  <c r="BY1497" i="8"/>
  <c r="BX1497" i="8"/>
  <c r="BW1497" i="8"/>
  <c r="BV1497" i="8"/>
  <c r="BU1497" i="8"/>
  <c r="BT1497" i="8"/>
  <c r="BS1497" i="8"/>
  <c r="BR1497" i="8"/>
  <c r="BQ1497" i="8"/>
  <c r="BP1497" i="8"/>
  <c r="BO1497" i="8"/>
  <c r="BN1497" i="8"/>
  <c r="BM1497" i="8"/>
  <c r="BL1497" i="8"/>
  <c r="BK1497" i="8"/>
  <c r="BJ1497" i="8"/>
  <c r="BI1497" i="8"/>
  <c r="BH1497" i="8"/>
  <c r="CJ1496" i="8"/>
  <c r="CI1496" i="8"/>
  <c r="CH1496" i="8"/>
  <c r="CG1496" i="8"/>
  <c r="CF1496" i="8"/>
  <c r="CE1496" i="8"/>
  <c r="CD1496" i="8"/>
  <c r="CC1496" i="8"/>
  <c r="CB1496" i="8"/>
  <c r="CA1496" i="8"/>
  <c r="BZ1496" i="8"/>
  <c r="BY1496" i="8"/>
  <c r="BX1496" i="8"/>
  <c r="BW1496" i="8"/>
  <c r="BV1496" i="8"/>
  <c r="BU1496" i="8"/>
  <c r="BT1496" i="8"/>
  <c r="BS1496" i="8"/>
  <c r="BR1496" i="8"/>
  <c r="BQ1496" i="8"/>
  <c r="BP1496" i="8"/>
  <c r="BO1496" i="8"/>
  <c r="BN1496" i="8"/>
  <c r="BM1496" i="8"/>
  <c r="BL1496" i="8"/>
  <c r="BK1496" i="8"/>
  <c r="BJ1496" i="8"/>
  <c r="BI1496" i="8"/>
  <c r="BH1496" i="8"/>
  <c r="CJ1495" i="8"/>
  <c r="CI1495" i="8"/>
  <c r="CH1495" i="8"/>
  <c r="CG1495" i="8"/>
  <c r="CF1495" i="8"/>
  <c r="CE1495" i="8"/>
  <c r="CD1495" i="8"/>
  <c r="CC1495" i="8"/>
  <c r="CB1495" i="8"/>
  <c r="CA1495" i="8"/>
  <c r="BZ1495" i="8"/>
  <c r="BY1495" i="8"/>
  <c r="BX1495" i="8"/>
  <c r="BW1495" i="8"/>
  <c r="BV1495" i="8"/>
  <c r="BU1495" i="8"/>
  <c r="BT1495" i="8"/>
  <c r="BS1495" i="8"/>
  <c r="BR1495" i="8"/>
  <c r="BQ1495" i="8"/>
  <c r="BP1495" i="8"/>
  <c r="BO1495" i="8"/>
  <c r="BN1495" i="8"/>
  <c r="BM1495" i="8"/>
  <c r="BL1495" i="8"/>
  <c r="BK1495" i="8"/>
  <c r="BJ1495" i="8"/>
  <c r="BI1495" i="8"/>
  <c r="BH1495" i="8"/>
  <c r="CJ1494" i="8"/>
  <c r="CI1494" i="8"/>
  <c r="CH1494" i="8"/>
  <c r="CG1494" i="8"/>
  <c r="CF1494" i="8"/>
  <c r="CE1494" i="8"/>
  <c r="CD1494" i="8"/>
  <c r="CC1494" i="8"/>
  <c r="CB1494" i="8"/>
  <c r="CA1494" i="8"/>
  <c r="BZ1494" i="8"/>
  <c r="BY1494" i="8"/>
  <c r="BX1494" i="8"/>
  <c r="BW1494" i="8"/>
  <c r="BV1494" i="8"/>
  <c r="BU1494" i="8"/>
  <c r="BT1494" i="8"/>
  <c r="BS1494" i="8"/>
  <c r="BR1494" i="8"/>
  <c r="BQ1494" i="8"/>
  <c r="BP1494" i="8"/>
  <c r="BO1494" i="8"/>
  <c r="BN1494" i="8"/>
  <c r="BM1494" i="8"/>
  <c r="BL1494" i="8"/>
  <c r="BK1494" i="8"/>
  <c r="BJ1494" i="8"/>
  <c r="BI1494" i="8"/>
  <c r="BH1494" i="8"/>
  <c r="CJ1493" i="8"/>
  <c r="CI1493" i="8"/>
  <c r="CH1493" i="8"/>
  <c r="CG1493" i="8"/>
  <c r="CF1493" i="8"/>
  <c r="CE1493" i="8"/>
  <c r="CD1493" i="8"/>
  <c r="CC1493" i="8"/>
  <c r="CB1493" i="8"/>
  <c r="CA1493" i="8"/>
  <c r="BZ1493" i="8"/>
  <c r="BY1493" i="8"/>
  <c r="BX1493" i="8"/>
  <c r="BW1493" i="8"/>
  <c r="BV1493" i="8"/>
  <c r="BU1493" i="8"/>
  <c r="BT1493" i="8"/>
  <c r="BS1493" i="8"/>
  <c r="BR1493" i="8"/>
  <c r="BQ1493" i="8"/>
  <c r="BP1493" i="8"/>
  <c r="BO1493" i="8"/>
  <c r="BN1493" i="8"/>
  <c r="BM1493" i="8"/>
  <c r="BL1493" i="8"/>
  <c r="BK1493" i="8"/>
  <c r="BJ1493" i="8"/>
  <c r="BI1493" i="8"/>
  <c r="BH1493" i="8"/>
  <c r="CJ1492" i="8"/>
  <c r="CI1492" i="8"/>
  <c r="CH1492" i="8"/>
  <c r="CG1492" i="8"/>
  <c r="CF1492" i="8"/>
  <c r="CE1492" i="8"/>
  <c r="CD1492" i="8"/>
  <c r="CC1492" i="8"/>
  <c r="CB1492" i="8"/>
  <c r="CA1492" i="8"/>
  <c r="BZ1492" i="8"/>
  <c r="BY1492" i="8"/>
  <c r="BX1492" i="8"/>
  <c r="BW1492" i="8"/>
  <c r="BV1492" i="8"/>
  <c r="BU1492" i="8"/>
  <c r="BT1492" i="8"/>
  <c r="BS1492" i="8"/>
  <c r="BR1492" i="8"/>
  <c r="BQ1492" i="8"/>
  <c r="BP1492" i="8"/>
  <c r="BO1492" i="8"/>
  <c r="BN1492" i="8"/>
  <c r="BM1492" i="8"/>
  <c r="BL1492" i="8"/>
  <c r="BK1492" i="8"/>
  <c r="BJ1492" i="8"/>
  <c r="BI1492" i="8"/>
  <c r="BH1492" i="8"/>
  <c r="CJ1491" i="8"/>
  <c r="CI1491" i="8"/>
  <c r="CH1491" i="8"/>
  <c r="CG1491" i="8"/>
  <c r="CF1491" i="8"/>
  <c r="CE1491" i="8"/>
  <c r="CD1491" i="8"/>
  <c r="CC1491" i="8"/>
  <c r="CB1491" i="8"/>
  <c r="CA1491" i="8"/>
  <c r="BZ1491" i="8"/>
  <c r="BY1491" i="8"/>
  <c r="BX1491" i="8"/>
  <c r="BW1491" i="8"/>
  <c r="BV1491" i="8"/>
  <c r="BU1491" i="8"/>
  <c r="BT1491" i="8"/>
  <c r="BS1491" i="8"/>
  <c r="BR1491" i="8"/>
  <c r="BQ1491" i="8"/>
  <c r="BP1491" i="8"/>
  <c r="BO1491" i="8"/>
  <c r="BN1491" i="8"/>
  <c r="BM1491" i="8"/>
  <c r="BL1491" i="8"/>
  <c r="BK1491" i="8"/>
  <c r="BJ1491" i="8"/>
  <c r="BI1491" i="8"/>
  <c r="BH1491" i="8"/>
  <c r="CJ1490" i="8"/>
  <c r="CI1490" i="8"/>
  <c r="CH1490" i="8"/>
  <c r="CG1490" i="8"/>
  <c r="CF1490" i="8"/>
  <c r="CE1490" i="8"/>
  <c r="CD1490" i="8"/>
  <c r="CC1490" i="8"/>
  <c r="CB1490" i="8"/>
  <c r="CA1490" i="8"/>
  <c r="BZ1490" i="8"/>
  <c r="BY1490" i="8"/>
  <c r="BX1490" i="8"/>
  <c r="BW1490" i="8"/>
  <c r="BV1490" i="8"/>
  <c r="BU1490" i="8"/>
  <c r="BT1490" i="8"/>
  <c r="BS1490" i="8"/>
  <c r="BR1490" i="8"/>
  <c r="BQ1490" i="8"/>
  <c r="BP1490" i="8"/>
  <c r="BO1490" i="8"/>
  <c r="BN1490" i="8"/>
  <c r="BM1490" i="8"/>
  <c r="BL1490" i="8"/>
  <c r="BK1490" i="8"/>
  <c r="BJ1490" i="8"/>
  <c r="BI1490" i="8"/>
  <c r="BH1490" i="8"/>
  <c r="CJ1489" i="8"/>
  <c r="CI1489" i="8"/>
  <c r="CH1489" i="8"/>
  <c r="CG1489" i="8"/>
  <c r="CF1489" i="8"/>
  <c r="CE1489" i="8"/>
  <c r="CD1489" i="8"/>
  <c r="CC1489" i="8"/>
  <c r="CB1489" i="8"/>
  <c r="CA1489" i="8"/>
  <c r="BZ1489" i="8"/>
  <c r="BY1489" i="8"/>
  <c r="BX1489" i="8"/>
  <c r="BW1489" i="8"/>
  <c r="BV1489" i="8"/>
  <c r="BU1489" i="8"/>
  <c r="BT1489" i="8"/>
  <c r="BS1489" i="8"/>
  <c r="BR1489" i="8"/>
  <c r="BQ1489" i="8"/>
  <c r="BP1489" i="8"/>
  <c r="BO1489" i="8"/>
  <c r="BN1489" i="8"/>
  <c r="BM1489" i="8"/>
  <c r="BL1489" i="8"/>
  <c r="BK1489" i="8"/>
  <c r="BJ1489" i="8"/>
  <c r="BI1489" i="8"/>
  <c r="BH1489" i="8"/>
  <c r="CJ1488" i="8"/>
  <c r="CI1488" i="8"/>
  <c r="CH1488" i="8"/>
  <c r="CG1488" i="8"/>
  <c r="CF1488" i="8"/>
  <c r="CE1488" i="8"/>
  <c r="CD1488" i="8"/>
  <c r="CC1488" i="8"/>
  <c r="CB1488" i="8"/>
  <c r="CA1488" i="8"/>
  <c r="BZ1488" i="8"/>
  <c r="BY1488" i="8"/>
  <c r="BX1488" i="8"/>
  <c r="BW1488" i="8"/>
  <c r="BV1488" i="8"/>
  <c r="BU1488" i="8"/>
  <c r="BT1488" i="8"/>
  <c r="BS1488" i="8"/>
  <c r="BR1488" i="8"/>
  <c r="BQ1488" i="8"/>
  <c r="BP1488" i="8"/>
  <c r="BO1488" i="8"/>
  <c r="BN1488" i="8"/>
  <c r="BM1488" i="8"/>
  <c r="BL1488" i="8"/>
  <c r="BK1488" i="8"/>
  <c r="BJ1488" i="8"/>
  <c r="BI1488" i="8"/>
  <c r="BH1488" i="8"/>
  <c r="CJ1487" i="8"/>
  <c r="CI1487" i="8"/>
  <c r="CH1487" i="8"/>
  <c r="CG1487" i="8"/>
  <c r="CF1487" i="8"/>
  <c r="CE1487" i="8"/>
  <c r="CD1487" i="8"/>
  <c r="CC1487" i="8"/>
  <c r="CB1487" i="8"/>
  <c r="CA1487" i="8"/>
  <c r="BZ1487" i="8"/>
  <c r="BY1487" i="8"/>
  <c r="BX1487" i="8"/>
  <c r="BW1487" i="8"/>
  <c r="BV1487" i="8"/>
  <c r="BU1487" i="8"/>
  <c r="BT1487" i="8"/>
  <c r="BS1487" i="8"/>
  <c r="BR1487" i="8"/>
  <c r="BQ1487" i="8"/>
  <c r="BP1487" i="8"/>
  <c r="BO1487" i="8"/>
  <c r="BN1487" i="8"/>
  <c r="BM1487" i="8"/>
  <c r="BL1487" i="8"/>
  <c r="BK1487" i="8"/>
  <c r="BJ1487" i="8"/>
  <c r="BI1487" i="8"/>
  <c r="BH1487" i="8"/>
  <c r="CJ1486" i="8"/>
  <c r="CI1486" i="8"/>
  <c r="CH1486" i="8"/>
  <c r="CG1486" i="8"/>
  <c r="CF1486" i="8"/>
  <c r="CE1486" i="8"/>
  <c r="CD1486" i="8"/>
  <c r="CC1486" i="8"/>
  <c r="CB1486" i="8"/>
  <c r="CA1486" i="8"/>
  <c r="BZ1486" i="8"/>
  <c r="BY1486" i="8"/>
  <c r="BX1486" i="8"/>
  <c r="BW1486" i="8"/>
  <c r="BV1486" i="8"/>
  <c r="BU1486" i="8"/>
  <c r="BT1486" i="8"/>
  <c r="BS1486" i="8"/>
  <c r="BR1486" i="8"/>
  <c r="BQ1486" i="8"/>
  <c r="BP1486" i="8"/>
  <c r="BO1486" i="8"/>
  <c r="BN1486" i="8"/>
  <c r="BM1486" i="8"/>
  <c r="BL1486" i="8"/>
  <c r="BK1486" i="8"/>
  <c r="BJ1486" i="8"/>
  <c r="BI1486" i="8"/>
  <c r="BH1486" i="8"/>
  <c r="CJ1485" i="8"/>
  <c r="CI1485" i="8"/>
  <c r="CH1485" i="8"/>
  <c r="CG1485" i="8"/>
  <c r="CF1485" i="8"/>
  <c r="CE1485" i="8"/>
  <c r="CD1485" i="8"/>
  <c r="CC1485" i="8"/>
  <c r="CB1485" i="8"/>
  <c r="CA1485" i="8"/>
  <c r="BZ1485" i="8"/>
  <c r="BY1485" i="8"/>
  <c r="BX1485" i="8"/>
  <c r="BW1485" i="8"/>
  <c r="BV1485" i="8"/>
  <c r="BU1485" i="8"/>
  <c r="BT1485" i="8"/>
  <c r="BS1485" i="8"/>
  <c r="BR1485" i="8"/>
  <c r="BQ1485" i="8"/>
  <c r="BP1485" i="8"/>
  <c r="BO1485" i="8"/>
  <c r="BN1485" i="8"/>
  <c r="BM1485" i="8"/>
  <c r="BL1485" i="8"/>
  <c r="BK1485" i="8"/>
  <c r="BJ1485" i="8"/>
  <c r="BI1485" i="8"/>
  <c r="BH1485" i="8"/>
  <c r="CJ1484" i="8"/>
  <c r="CI1484" i="8"/>
  <c r="CH1484" i="8"/>
  <c r="CG1484" i="8"/>
  <c r="CF1484" i="8"/>
  <c r="CE1484" i="8"/>
  <c r="CD1484" i="8"/>
  <c r="CC1484" i="8"/>
  <c r="CB1484" i="8"/>
  <c r="CA1484" i="8"/>
  <c r="BZ1484" i="8"/>
  <c r="BY1484" i="8"/>
  <c r="BX1484" i="8"/>
  <c r="BW1484" i="8"/>
  <c r="BV1484" i="8"/>
  <c r="BU1484" i="8"/>
  <c r="BT1484" i="8"/>
  <c r="BS1484" i="8"/>
  <c r="BR1484" i="8"/>
  <c r="BQ1484" i="8"/>
  <c r="BP1484" i="8"/>
  <c r="BO1484" i="8"/>
  <c r="BN1484" i="8"/>
  <c r="BM1484" i="8"/>
  <c r="BL1484" i="8"/>
  <c r="BK1484" i="8"/>
  <c r="BJ1484" i="8"/>
  <c r="BI1484" i="8"/>
  <c r="BH1484" i="8"/>
  <c r="CJ1483" i="8"/>
  <c r="CI1483" i="8"/>
  <c r="CH1483" i="8"/>
  <c r="CG1483" i="8"/>
  <c r="CF1483" i="8"/>
  <c r="CE1483" i="8"/>
  <c r="CD1483" i="8"/>
  <c r="CC1483" i="8"/>
  <c r="CB1483" i="8"/>
  <c r="CA1483" i="8"/>
  <c r="BZ1483" i="8"/>
  <c r="BY1483" i="8"/>
  <c r="BX1483" i="8"/>
  <c r="BW1483" i="8"/>
  <c r="BV1483" i="8"/>
  <c r="BU1483" i="8"/>
  <c r="BT1483" i="8"/>
  <c r="BS1483" i="8"/>
  <c r="BR1483" i="8"/>
  <c r="BQ1483" i="8"/>
  <c r="BP1483" i="8"/>
  <c r="BO1483" i="8"/>
  <c r="BN1483" i="8"/>
  <c r="BM1483" i="8"/>
  <c r="BL1483" i="8"/>
  <c r="BK1483" i="8"/>
  <c r="BJ1483" i="8"/>
  <c r="BI1483" i="8"/>
  <c r="BH1483" i="8"/>
  <c r="CJ1482" i="8"/>
  <c r="CI1482" i="8"/>
  <c r="CH1482" i="8"/>
  <c r="CG1482" i="8"/>
  <c r="CF1482" i="8"/>
  <c r="CE1482" i="8"/>
  <c r="CD1482" i="8"/>
  <c r="CC1482" i="8"/>
  <c r="CB1482" i="8"/>
  <c r="CA1482" i="8"/>
  <c r="BZ1482" i="8"/>
  <c r="BY1482" i="8"/>
  <c r="BX1482" i="8"/>
  <c r="BW1482" i="8"/>
  <c r="BV1482" i="8"/>
  <c r="BU1482" i="8"/>
  <c r="BT1482" i="8"/>
  <c r="BS1482" i="8"/>
  <c r="BR1482" i="8"/>
  <c r="BQ1482" i="8"/>
  <c r="BP1482" i="8"/>
  <c r="BO1482" i="8"/>
  <c r="BN1482" i="8"/>
  <c r="BM1482" i="8"/>
  <c r="BL1482" i="8"/>
  <c r="BK1482" i="8"/>
  <c r="BJ1482" i="8"/>
  <c r="BI1482" i="8"/>
  <c r="BH1482" i="8"/>
  <c r="CJ1481" i="8"/>
  <c r="CI1481" i="8"/>
  <c r="CH1481" i="8"/>
  <c r="CG1481" i="8"/>
  <c r="CF1481" i="8"/>
  <c r="CE1481" i="8"/>
  <c r="CD1481" i="8"/>
  <c r="CC1481" i="8"/>
  <c r="CB1481" i="8"/>
  <c r="CA1481" i="8"/>
  <c r="BZ1481" i="8"/>
  <c r="BY1481" i="8"/>
  <c r="BX1481" i="8"/>
  <c r="BW1481" i="8"/>
  <c r="BV1481" i="8"/>
  <c r="BU1481" i="8"/>
  <c r="BT1481" i="8"/>
  <c r="BS1481" i="8"/>
  <c r="BR1481" i="8"/>
  <c r="BQ1481" i="8"/>
  <c r="BP1481" i="8"/>
  <c r="BO1481" i="8"/>
  <c r="BN1481" i="8"/>
  <c r="BM1481" i="8"/>
  <c r="BL1481" i="8"/>
  <c r="BK1481" i="8"/>
  <c r="BJ1481" i="8"/>
  <c r="BI1481" i="8"/>
  <c r="BH1481" i="8"/>
  <c r="CJ1480" i="8"/>
  <c r="CI1480" i="8"/>
  <c r="CH1480" i="8"/>
  <c r="CG1480" i="8"/>
  <c r="CF1480" i="8"/>
  <c r="CE1480" i="8"/>
  <c r="CD1480" i="8"/>
  <c r="CC1480" i="8"/>
  <c r="CB1480" i="8"/>
  <c r="CA1480" i="8"/>
  <c r="BZ1480" i="8"/>
  <c r="BY1480" i="8"/>
  <c r="BX1480" i="8"/>
  <c r="BW1480" i="8"/>
  <c r="BV1480" i="8"/>
  <c r="BU1480" i="8"/>
  <c r="BT1480" i="8"/>
  <c r="BS1480" i="8"/>
  <c r="BR1480" i="8"/>
  <c r="BQ1480" i="8"/>
  <c r="BP1480" i="8"/>
  <c r="BO1480" i="8"/>
  <c r="BN1480" i="8"/>
  <c r="BM1480" i="8"/>
  <c r="BL1480" i="8"/>
  <c r="BK1480" i="8"/>
  <c r="BJ1480" i="8"/>
  <c r="BI1480" i="8"/>
  <c r="BH1480" i="8"/>
  <c r="CJ1479" i="8"/>
  <c r="CI1479" i="8"/>
  <c r="CH1479" i="8"/>
  <c r="CG1479" i="8"/>
  <c r="CF1479" i="8"/>
  <c r="CE1479" i="8"/>
  <c r="CD1479" i="8"/>
  <c r="CC1479" i="8"/>
  <c r="CB1479" i="8"/>
  <c r="CA1479" i="8"/>
  <c r="BZ1479" i="8"/>
  <c r="BY1479" i="8"/>
  <c r="BX1479" i="8"/>
  <c r="BW1479" i="8"/>
  <c r="BV1479" i="8"/>
  <c r="BU1479" i="8"/>
  <c r="BT1479" i="8"/>
  <c r="BS1479" i="8"/>
  <c r="BR1479" i="8"/>
  <c r="BQ1479" i="8"/>
  <c r="BP1479" i="8"/>
  <c r="BO1479" i="8"/>
  <c r="BN1479" i="8"/>
  <c r="BM1479" i="8"/>
  <c r="BL1479" i="8"/>
  <c r="BK1479" i="8"/>
  <c r="BJ1479" i="8"/>
  <c r="BI1479" i="8"/>
  <c r="BH1479" i="8"/>
  <c r="CJ1478" i="8"/>
  <c r="CI1478" i="8"/>
  <c r="CH1478" i="8"/>
  <c r="CG1478" i="8"/>
  <c r="CF1478" i="8"/>
  <c r="CE1478" i="8"/>
  <c r="CD1478" i="8"/>
  <c r="CC1478" i="8"/>
  <c r="CB1478" i="8"/>
  <c r="CA1478" i="8"/>
  <c r="BZ1478" i="8"/>
  <c r="BY1478" i="8"/>
  <c r="BX1478" i="8"/>
  <c r="BW1478" i="8"/>
  <c r="BV1478" i="8"/>
  <c r="BU1478" i="8"/>
  <c r="BT1478" i="8"/>
  <c r="BS1478" i="8"/>
  <c r="BR1478" i="8"/>
  <c r="BQ1478" i="8"/>
  <c r="BP1478" i="8"/>
  <c r="BO1478" i="8"/>
  <c r="BN1478" i="8"/>
  <c r="BM1478" i="8"/>
  <c r="BL1478" i="8"/>
  <c r="BK1478" i="8"/>
  <c r="BJ1478" i="8"/>
  <c r="BI1478" i="8"/>
  <c r="BH1478" i="8"/>
  <c r="CJ1477" i="8"/>
  <c r="CI1477" i="8"/>
  <c r="CH1477" i="8"/>
  <c r="CG1477" i="8"/>
  <c r="CF1477" i="8"/>
  <c r="CE1477" i="8"/>
  <c r="CD1477" i="8"/>
  <c r="CC1477" i="8"/>
  <c r="CB1477" i="8"/>
  <c r="CA1477" i="8"/>
  <c r="BZ1477" i="8"/>
  <c r="BY1477" i="8"/>
  <c r="BX1477" i="8"/>
  <c r="BW1477" i="8"/>
  <c r="BV1477" i="8"/>
  <c r="BU1477" i="8"/>
  <c r="BT1477" i="8"/>
  <c r="BS1477" i="8"/>
  <c r="BR1477" i="8"/>
  <c r="BQ1477" i="8"/>
  <c r="BP1477" i="8"/>
  <c r="BO1477" i="8"/>
  <c r="BN1477" i="8"/>
  <c r="BM1477" i="8"/>
  <c r="BL1477" i="8"/>
  <c r="BK1477" i="8"/>
  <c r="BJ1477" i="8"/>
  <c r="BI1477" i="8"/>
  <c r="BH1477" i="8"/>
  <c r="CJ1476" i="8"/>
  <c r="CI1476" i="8"/>
  <c r="CH1476" i="8"/>
  <c r="CG1476" i="8"/>
  <c r="CF1476" i="8"/>
  <c r="CE1476" i="8"/>
  <c r="CD1476" i="8"/>
  <c r="CC1476" i="8"/>
  <c r="CB1476" i="8"/>
  <c r="CA1476" i="8"/>
  <c r="BZ1476" i="8"/>
  <c r="BY1476" i="8"/>
  <c r="BX1476" i="8"/>
  <c r="BW1476" i="8"/>
  <c r="BV1476" i="8"/>
  <c r="BU1476" i="8"/>
  <c r="BT1476" i="8"/>
  <c r="BS1476" i="8"/>
  <c r="BR1476" i="8"/>
  <c r="BQ1476" i="8"/>
  <c r="BP1476" i="8"/>
  <c r="BO1476" i="8"/>
  <c r="BN1476" i="8"/>
  <c r="BM1476" i="8"/>
  <c r="BL1476" i="8"/>
  <c r="BK1476" i="8"/>
  <c r="BJ1476" i="8"/>
  <c r="BI1476" i="8"/>
  <c r="BH1476" i="8"/>
  <c r="CJ1475" i="8"/>
  <c r="CI1475" i="8"/>
  <c r="CH1475" i="8"/>
  <c r="CG1475" i="8"/>
  <c r="CF1475" i="8"/>
  <c r="CE1475" i="8"/>
  <c r="CD1475" i="8"/>
  <c r="CC1475" i="8"/>
  <c r="CB1475" i="8"/>
  <c r="CA1475" i="8"/>
  <c r="BZ1475" i="8"/>
  <c r="BY1475" i="8"/>
  <c r="BX1475" i="8"/>
  <c r="BW1475" i="8"/>
  <c r="BV1475" i="8"/>
  <c r="BU1475" i="8"/>
  <c r="BT1475" i="8"/>
  <c r="BS1475" i="8"/>
  <c r="BR1475" i="8"/>
  <c r="BQ1475" i="8"/>
  <c r="BP1475" i="8"/>
  <c r="BO1475" i="8"/>
  <c r="BN1475" i="8"/>
  <c r="BM1475" i="8"/>
  <c r="BL1475" i="8"/>
  <c r="BK1475" i="8"/>
  <c r="BJ1475" i="8"/>
  <c r="BI1475" i="8"/>
  <c r="BH1475" i="8"/>
  <c r="CJ1474" i="8"/>
  <c r="CI1474" i="8"/>
  <c r="CH1474" i="8"/>
  <c r="CG1474" i="8"/>
  <c r="CF1474" i="8"/>
  <c r="CE1474" i="8"/>
  <c r="CD1474" i="8"/>
  <c r="CC1474" i="8"/>
  <c r="CB1474" i="8"/>
  <c r="CA1474" i="8"/>
  <c r="BZ1474" i="8"/>
  <c r="BY1474" i="8"/>
  <c r="BX1474" i="8"/>
  <c r="BW1474" i="8"/>
  <c r="BV1474" i="8"/>
  <c r="BU1474" i="8"/>
  <c r="BT1474" i="8"/>
  <c r="BS1474" i="8"/>
  <c r="BR1474" i="8"/>
  <c r="BQ1474" i="8"/>
  <c r="BP1474" i="8"/>
  <c r="BO1474" i="8"/>
  <c r="BN1474" i="8"/>
  <c r="BM1474" i="8"/>
  <c r="BL1474" i="8"/>
  <c r="BK1474" i="8"/>
  <c r="BJ1474" i="8"/>
  <c r="BI1474" i="8"/>
  <c r="BH1474" i="8"/>
  <c r="CJ1473" i="8"/>
  <c r="CI1473" i="8"/>
  <c r="CH1473" i="8"/>
  <c r="CG1473" i="8"/>
  <c r="CF1473" i="8"/>
  <c r="CE1473" i="8"/>
  <c r="CD1473" i="8"/>
  <c r="CC1473" i="8"/>
  <c r="CB1473" i="8"/>
  <c r="CA1473" i="8"/>
  <c r="BZ1473" i="8"/>
  <c r="BY1473" i="8"/>
  <c r="BX1473" i="8"/>
  <c r="BW1473" i="8"/>
  <c r="BV1473" i="8"/>
  <c r="BU1473" i="8"/>
  <c r="BT1473" i="8"/>
  <c r="BS1473" i="8"/>
  <c r="BR1473" i="8"/>
  <c r="BQ1473" i="8"/>
  <c r="BP1473" i="8"/>
  <c r="BO1473" i="8"/>
  <c r="BN1473" i="8"/>
  <c r="BM1473" i="8"/>
  <c r="BL1473" i="8"/>
  <c r="BK1473" i="8"/>
  <c r="BJ1473" i="8"/>
  <c r="BI1473" i="8"/>
  <c r="BH1473" i="8"/>
  <c r="CJ1472" i="8"/>
  <c r="CI1472" i="8"/>
  <c r="CH1472" i="8"/>
  <c r="CG1472" i="8"/>
  <c r="CF1472" i="8"/>
  <c r="CE1472" i="8"/>
  <c r="CD1472" i="8"/>
  <c r="CC1472" i="8"/>
  <c r="CB1472" i="8"/>
  <c r="CA1472" i="8"/>
  <c r="BZ1472" i="8"/>
  <c r="BY1472" i="8"/>
  <c r="BX1472" i="8"/>
  <c r="BW1472" i="8"/>
  <c r="BV1472" i="8"/>
  <c r="BU1472" i="8"/>
  <c r="BT1472" i="8"/>
  <c r="BS1472" i="8"/>
  <c r="BR1472" i="8"/>
  <c r="BQ1472" i="8"/>
  <c r="BP1472" i="8"/>
  <c r="BO1472" i="8"/>
  <c r="BN1472" i="8"/>
  <c r="BM1472" i="8"/>
  <c r="BL1472" i="8"/>
  <c r="BK1472" i="8"/>
  <c r="BJ1472" i="8"/>
  <c r="BI1472" i="8"/>
  <c r="BH1472" i="8"/>
  <c r="CJ1471" i="8"/>
  <c r="CI1471" i="8"/>
  <c r="CH1471" i="8"/>
  <c r="CG1471" i="8"/>
  <c r="CF1471" i="8"/>
  <c r="CE1471" i="8"/>
  <c r="CD1471" i="8"/>
  <c r="CC1471" i="8"/>
  <c r="CB1471" i="8"/>
  <c r="CA1471" i="8"/>
  <c r="BZ1471" i="8"/>
  <c r="BY1471" i="8"/>
  <c r="BX1471" i="8"/>
  <c r="BW1471" i="8"/>
  <c r="BV1471" i="8"/>
  <c r="BU1471" i="8"/>
  <c r="BT1471" i="8"/>
  <c r="BS1471" i="8"/>
  <c r="BR1471" i="8"/>
  <c r="BQ1471" i="8"/>
  <c r="BP1471" i="8"/>
  <c r="BO1471" i="8"/>
  <c r="BN1471" i="8"/>
  <c r="BM1471" i="8"/>
  <c r="BL1471" i="8"/>
  <c r="BK1471" i="8"/>
  <c r="BJ1471" i="8"/>
  <c r="BI1471" i="8"/>
  <c r="BH1471" i="8"/>
  <c r="CJ1470" i="8"/>
  <c r="CI1470" i="8"/>
  <c r="CH1470" i="8"/>
  <c r="CG1470" i="8"/>
  <c r="CF1470" i="8"/>
  <c r="CE1470" i="8"/>
  <c r="CD1470" i="8"/>
  <c r="CC1470" i="8"/>
  <c r="CB1470" i="8"/>
  <c r="CA1470" i="8"/>
  <c r="BZ1470" i="8"/>
  <c r="BY1470" i="8"/>
  <c r="BX1470" i="8"/>
  <c r="BW1470" i="8"/>
  <c r="BV1470" i="8"/>
  <c r="BU1470" i="8"/>
  <c r="BT1470" i="8"/>
  <c r="BS1470" i="8"/>
  <c r="BR1470" i="8"/>
  <c r="BQ1470" i="8"/>
  <c r="BP1470" i="8"/>
  <c r="BO1470" i="8"/>
  <c r="BN1470" i="8"/>
  <c r="BM1470" i="8"/>
  <c r="BL1470" i="8"/>
  <c r="BK1470" i="8"/>
  <c r="BJ1470" i="8"/>
  <c r="BI1470" i="8"/>
  <c r="BH1470" i="8"/>
  <c r="CJ1469" i="8"/>
  <c r="CI1469" i="8"/>
  <c r="CH1469" i="8"/>
  <c r="CG1469" i="8"/>
  <c r="CF1469" i="8"/>
  <c r="CE1469" i="8"/>
  <c r="CD1469" i="8"/>
  <c r="CC1469" i="8"/>
  <c r="CB1469" i="8"/>
  <c r="CA1469" i="8"/>
  <c r="BZ1469" i="8"/>
  <c r="BY1469" i="8"/>
  <c r="BX1469" i="8"/>
  <c r="BW1469" i="8"/>
  <c r="BV1469" i="8"/>
  <c r="BU1469" i="8"/>
  <c r="BT1469" i="8"/>
  <c r="BS1469" i="8"/>
  <c r="BR1469" i="8"/>
  <c r="BQ1469" i="8"/>
  <c r="BP1469" i="8"/>
  <c r="BO1469" i="8"/>
  <c r="BN1469" i="8"/>
  <c r="BM1469" i="8"/>
  <c r="BL1469" i="8"/>
  <c r="BK1469" i="8"/>
  <c r="BJ1469" i="8"/>
  <c r="BI1469" i="8"/>
  <c r="BH1469" i="8"/>
  <c r="CJ1468" i="8"/>
  <c r="CI1468" i="8"/>
  <c r="CH1468" i="8"/>
  <c r="CG1468" i="8"/>
  <c r="CF1468" i="8"/>
  <c r="CE1468" i="8"/>
  <c r="CD1468" i="8"/>
  <c r="CC1468" i="8"/>
  <c r="CB1468" i="8"/>
  <c r="CA1468" i="8"/>
  <c r="BZ1468" i="8"/>
  <c r="BY1468" i="8"/>
  <c r="BX1468" i="8"/>
  <c r="BW1468" i="8"/>
  <c r="BV1468" i="8"/>
  <c r="BU1468" i="8"/>
  <c r="BT1468" i="8"/>
  <c r="BS1468" i="8"/>
  <c r="BR1468" i="8"/>
  <c r="BQ1468" i="8"/>
  <c r="BP1468" i="8"/>
  <c r="BO1468" i="8"/>
  <c r="BN1468" i="8"/>
  <c r="BM1468" i="8"/>
  <c r="BL1468" i="8"/>
  <c r="BK1468" i="8"/>
  <c r="BJ1468" i="8"/>
  <c r="BI1468" i="8"/>
  <c r="BH1468" i="8"/>
  <c r="CJ1467" i="8"/>
  <c r="CI1467" i="8"/>
  <c r="CH1467" i="8"/>
  <c r="CG1467" i="8"/>
  <c r="CF1467" i="8"/>
  <c r="CE1467" i="8"/>
  <c r="CD1467" i="8"/>
  <c r="CC1467" i="8"/>
  <c r="CB1467" i="8"/>
  <c r="CA1467" i="8"/>
  <c r="BZ1467" i="8"/>
  <c r="BY1467" i="8"/>
  <c r="BX1467" i="8"/>
  <c r="BW1467" i="8"/>
  <c r="BV1467" i="8"/>
  <c r="BU1467" i="8"/>
  <c r="BT1467" i="8"/>
  <c r="BS1467" i="8"/>
  <c r="BR1467" i="8"/>
  <c r="BQ1467" i="8"/>
  <c r="BP1467" i="8"/>
  <c r="BO1467" i="8"/>
  <c r="BN1467" i="8"/>
  <c r="BM1467" i="8"/>
  <c r="BL1467" i="8"/>
  <c r="BK1467" i="8"/>
  <c r="BJ1467" i="8"/>
  <c r="BI1467" i="8"/>
  <c r="BH1467" i="8"/>
  <c r="CJ1466" i="8"/>
  <c r="CI1466" i="8"/>
  <c r="CH1466" i="8"/>
  <c r="CG1466" i="8"/>
  <c r="CF1466" i="8"/>
  <c r="CE1466" i="8"/>
  <c r="CD1466" i="8"/>
  <c r="CC1466" i="8"/>
  <c r="CB1466" i="8"/>
  <c r="CA1466" i="8"/>
  <c r="BZ1466" i="8"/>
  <c r="BY1466" i="8"/>
  <c r="BX1466" i="8"/>
  <c r="BW1466" i="8"/>
  <c r="BV1466" i="8"/>
  <c r="BU1466" i="8"/>
  <c r="BT1466" i="8"/>
  <c r="BS1466" i="8"/>
  <c r="BR1466" i="8"/>
  <c r="BQ1466" i="8"/>
  <c r="BP1466" i="8"/>
  <c r="BO1466" i="8"/>
  <c r="BN1466" i="8"/>
  <c r="BM1466" i="8"/>
  <c r="BL1466" i="8"/>
  <c r="BK1466" i="8"/>
  <c r="BJ1466" i="8"/>
  <c r="BI1466" i="8"/>
  <c r="BH1466" i="8"/>
  <c r="CJ1465" i="8"/>
  <c r="CI1465" i="8"/>
  <c r="CH1465" i="8"/>
  <c r="CG1465" i="8"/>
  <c r="CF1465" i="8"/>
  <c r="CE1465" i="8"/>
  <c r="CD1465" i="8"/>
  <c r="CC1465" i="8"/>
  <c r="CB1465" i="8"/>
  <c r="CA1465" i="8"/>
  <c r="BZ1465" i="8"/>
  <c r="BY1465" i="8"/>
  <c r="BX1465" i="8"/>
  <c r="BW1465" i="8"/>
  <c r="BV1465" i="8"/>
  <c r="BU1465" i="8"/>
  <c r="BT1465" i="8"/>
  <c r="BS1465" i="8"/>
  <c r="BR1465" i="8"/>
  <c r="BQ1465" i="8"/>
  <c r="BP1465" i="8"/>
  <c r="BO1465" i="8"/>
  <c r="BN1465" i="8"/>
  <c r="BM1465" i="8"/>
  <c r="BL1465" i="8"/>
  <c r="BK1465" i="8"/>
  <c r="BJ1465" i="8"/>
  <c r="BI1465" i="8"/>
  <c r="BH1465" i="8"/>
  <c r="CJ1464" i="8"/>
  <c r="CI1464" i="8"/>
  <c r="CH1464" i="8"/>
  <c r="CG1464" i="8"/>
  <c r="CF1464" i="8"/>
  <c r="CE1464" i="8"/>
  <c r="CD1464" i="8"/>
  <c r="CC1464" i="8"/>
  <c r="CB1464" i="8"/>
  <c r="CA1464" i="8"/>
  <c r="BZ1464" i="8"/>
  <c r="BY1464" i="8"/>
  <c r="BX1464" i="8"/>
  <c r="BW1464" i="8"/>
  <c r="BV1464" i="8"/>
  <c r="BU1464" i="8"/>
  <c r="BT1464" i="8"/>
  <c r="BS1464" i="8"/>
  <c r="BR1464" i="8"/>
  <c r="BQ1464" i="8"/>
  <c r="BP1464" i="8"/>
  <c r="BO1464" i="8"/>
  <c r="BN1464" i="8"/>
  <c r="BM1464" i="8"/>
  <c r="BL1464" i="8"/>
  <c r="BK1464" i="8"/>
  <c r="BJ1464" i="8"/>
  <c r="BI1464" i="8"/>
  <c r="BH1464" i="8"/>
  <c r="CJ1463" i="8"/>
  <c r="CI1463" i="8"/>
  <c r="CH1463" i="8"/>
  <c r="CG1463" i="8"/>
  <c r="CF1463" i="8"/>
  <c r="CE1463" i="8"/>
  <c r="CD1463" i="8"/>
  <c r="CC1463" i="8"/>
  <c r="CB1463" i="8"/>
  <c r="CA1463" i="8"/>
  <c r="BZ1463" i="8"/>
  <c r="BY1463" i="8"/>
  <c r="BX1463" i="8"/>
  <c r="BW1463" i="8"/>
  <c r="BV1463" i="8"/>
  <c r="BU1463" i="8"/>
  <c r="BT1463" i="8"/>
  <c r="BS1463" i="8"/>
  <c r="BR1463" i="8"/>
  <c r="BQ1463" i="8"/>
  <c r="BP1463" i="8"/>
  <c r="BO1463" i="8"/>
  <c r="BN1463" i="8"/>
  <c r="BM1463" i="8"/>
  <c r="BL1463" i="8"/>
  <c r="BK1463" i="8"/>
  <c r="BJ1463" i="8"/>
  <c r="BI1463" i="8"/>
  <c r="BH1463" i="8"/>
  <c r="CJ1462" i="8"/>
  <c r="CI1462" i="8"/>
  <c r="CH1462" i="8"/>
  <c r="CG1462" i="8"/>
  <c r="CF1462" i="8"/>
  <c r="CE1462" i="8"/>
  <c r="CD1462" i="8"/>
  <c r="CC1462" i="8"/>
  <c r="CB1462" i="8"/>
  <c r="CA1462" i="8"/>
  <c r="BZ1462" i="8"/>
  <c r="BY1462" i="8"/>
  <c r="BX1462" i="8"/>
  <c r="BW1462" i="8"/>
  <c r="BV1462" i="8"/>
  <c r="BU1462" i="8"/>
  <c r="BT1462" i="8"/>
  <c r="BS1462" i="8"/>
  <c r="BR1462" i="8"/>
  <c r="BQ1462" i="8"/>
  <c r="BP1462" i="8"/>
  <c r="BO1462" i="8"/>
  <c r="BN1462" i="8"/>
  <c r="BM1462" i="8"/>
  <c r="BL1462" i="8"/>
  <c r="BK1462" i="8"/>
  <c r="BJ1462" i="8"/>
  <c r="BI1462" i="8"/>
  <c r="BH1462" i="8"/>
  <c r="CJ1461" i="8"/>
  <c r="CI1461" i="8"/>
  <c r="CH1461" i="8"/>
  <c r="CG1461" i="8"/>
  <c r="CF1461" i="8"/>
  <c r="CE1461" i="8"/>
  <c r="CD1461" i="8"/>
  <c r="CC1461" i="8"/>
  <c r="CB1461" i="8"/>
  <c r="CA1461" i="8"/>
  <c r="BZ1461" i="8"/>
  <c r="BY1461" i="8"/>
  <c r="BX1461" i="8"/>
  <c r="BW1461" i="8"/>
  <c r="BV1461" i="8"/>
  <c r="BU1461" i="8"/>
  <c r="BT1461" i="8"/>
  <c r="BS1461" i="8"/>
  <c r="BR1461" i="8"/>
  <c r="BQ1461" i="8"/>
  <c r="BP1461" i="8"/>
  <c r="BO1461" i="8"/>
  <c r="BN1461" i="8"/>
  <c r="BM1461" i="8"/>
  <c r="BL1461" i="8"/>
  <c r="BK1461" i="8"/>
  <c r="BJ1461" i="8"/>
  <c r="BI1461" i="8"/>
  <c r="BH1461" i="8"/>
  <c r="CJ1460" i="8"/>
  <c r="CI1460" i="8"/>
  <c r="CH1460" i="8"/>
  <c r="CG1460" i="8"/>
  <c r="CF1460" i="8"/>
  <c r="CE1460" i="8"/>
  <c r="CD1460" i="8"/>
  <c r="CC1460" i="8"/>
  <c r="CB1460" i="8"/>
  <c r="CA1460" i="8"/>
  <c r="BZ1460" i="8"/>
  <c r="BY1460" i="8"/>
  <c r="BX1460" i="8"/>
  <c r="BW1460" i="8"/>
  <c r="BV1460" i="8"/>
  <c r="BU1460" i="8"/>
  <c r="BT1460" i="8"/>
  <c r="BS1460" i="8"/>
  <c r="BR1460" i="8"/>
  <c r="BQ1460" i="8"/>
  <c r="BP1460" i="8"/>
  <c r="BO1460" i="8"/>
  <c r="BN1460" i="8"/>
  <c r="BM1460" i="8"/>
  <c r="BL1460" i="8"/>
  <c r="BK1460" i="8"/>
  <c r="BJ1460" i="8"/>
  <c r="BI1460" i="8"/>
  <c r="BH1460" i="8"/>
  <c r="CJ1459" i="8"/>
  <c r="CI1459" i="8"/>
  <c r="CH1459" i="8"/>
  <c r="CG1459" i="8"/>
  <c r="CF1459" i="8"/>
  <c r="CE1459" i="8"/>
  <c r="CD1459" i="8"/>
  <c r="CC1459" i="8"/>
  <c r="CB1459" i="8"/>
  <c r="CA1459" i="8"/>
  <c r="BZ1459" i="8"/>
  <c r="BY1459" i="8"/>
  <c r="BX1459" i="8"/>
  <c r="BW1459" i="8"/>
  <c r="BV1459" i="8"/>
  <c r="BU1459" i="8"/>
  <c r="BT1459" i="8"/>
  <c r="BS1459" i="8"/>
  <c r="BR1459" i="8"/>
  <c r="BQ1459" i="8"/>
  <c r="BP1459" i="8"/>
  <c r="BO1459" i="8"/>
  <c r="BN1459" i="8"/>
  <c r="BM1459" i="8"/>
  <c r="BL1459" i="8"/>
  <c r="BK1459" i="8"/>
  <c r="BJ1459" i="8"/>
  <c r="BI1459" i="8"/>
  <c r="BH1459" i="8"/>
  <c r="CJ1458" i="8"/>
  <c r="CI1458" i="8"/>
  <c r="CH1458" i="8"/>
  <c r="CG1458" i="8"/>
  <c r="CF1458" i="8"/>
  <c r="CE1458" i="8"/>
  <c r="CD1458" i="8"/>
  <c r="CC1458" i="8"/>
  <c r="CB1458" i="8"/>
  <c r="CA1458" i="8"/>
  <c r="BZ1458" i="8"/>
  <c r="BY1458" i="8"/>
  <c r="BX1458" i="8"/>
  <c r="BW1458" i="8"/>
  <c r="BV1458" i="8"/>
  <c r="BU1458" i="8"/>
  <c r="BT1458" i="8"/>
  <c r="BS1458" i="8"/>
  <c r="BR1458" i="8"/>
  <c r="BQ1458" i="8"/>
  <c r="BP1458" i="8"/>
  <c r="BO1458" i="8"/>
  <c r="BN1458" i="8"/>
  <c r="BM1458" i="8"/>
  <c r="BL1458" i="8"/>
  <c r="BK1458" i="8"/>
  <c r="BJ1458" i="8"/>
  <c r="BI1458" i="8"/>
  <c r="BH1458" i="8"/>
  <c r="CJ1457" i="8"/>
  <c r="CI1457" i="8"/>
  <c r="CH1457" i="8"/>
  <c r="CG1457" i="8"/>
  <c r="CF1457" i="8"/>
  <c r="CE1457" i="8"/>
  <c r="CD1457" i="8"/>
  <c r="CC1457" i="8"/>
  <c r="CB1457" i="8"/>
  <c r="CA1457" i="8"/>
  <c r="BZ1457" i="8"/>
  <c r="BY1457" i="8"/>
  <c r="BX1457" i="8"/>
  <c r="BW1457" i="8"/>
  <c r="BV1457" i="8"/>
  <c r="BU1457" i="8"/>
  <c r="BT1457" i="8"/>
  <c r="BS1457" i="8"/>
  <c r="BR1457" i="8"/>
  <c r="BQ1457" i="8"/>
  <c r="BP1457" i="8"/>
  <c r="BO1457" i="8"/>
  <c r="BN1457" i="8"/>
  <c r="BM1457" i="8"/>
  <c r="BL1457" i="8"/>
  <c r="BK1457" i="8"/>
  <c r="BJ1457" i="8"/>
  <c r="BI1457" i="8"/>
  <c r="BH1457" i="8"/>
  <c r="CJ1456" i="8"/>
  <c r="CI1456" i="8"/>
  <c r="CH1456" i="8"/>
  <c r="CG1456" i="8"/>
  <c r="CF1456" i="8"/>
  <c r="CE1456" i="8"/>
  <c r="CD1456" i="8"/>
  <c r="CC1456" i="8"/>
  <c r="CB1456" i="8"/>
  <c r="CA1456" i="8"/>
  <c r="BZ1456" i="8"/>
  <c r="BY1456" i="8"/>
  <c r="BX1456" i="8"/>
  <c r="BW1456" i="8"/>
  <c r="BV1456" i="8"/>
  <c r="BU1456" i="8"/>
  <c r="BT1456" i="8"/>
  <c r="BS1456" i="8"/>
  <c r="BR1456" i="8"/>
  <c r="BQ1456" i="8"/>
  <c r="BP1456" i="8"/>
  <c r="BO1456" i="8"/>
  <c r="BN1456" i="8"/>
  <c r="BM1456" i="8"/>
  <c r="BL1456" i="8"/>
  <c r="BK1456" i="8"/>
  <c r="BJ1456" i="8"/>
  <c r="BI1456" i="8"/>
  <c r="BH1456" i="8"/>
  <c r="CJ1455" i="8"/>
  <c r="CI1455" i="8"/>
  <c r="CH1455" i="8"/>
  <c r="CG1455" i="8"/>
  <c r="CF1455" i="8"/>
  <c r="CE1455" i="8"/>
  <c r="CD1455" i="8"/>
  <c r="CC1455" i="8"/>
  <c r="CB1455" i="8"/>
  <c r="CA1455" i="8"/>
  <c r="BZ1455" i="8"/>
  <c r="BY1455" i="8"/>
  <c r="BX1455" i="8"/>
  <c r="BW1455" i="8"/>
  <c r="BV1455" i="8"/>
  <c r="BU1455" i="8"/>
  <c r="BT1455" i="8"/>
  <c r="BS1455" i="8"/>
  <c r="BR1455" i="8"/>
  <c r="BQ1455" i="8"/>
  <c r="BP1455" i="8"/>
  <c r="BO1455" i="8"/>
  <c r="BN1455" i="8"/>
  <c r="BM1455" i="8"/>
  <c r="BL1455" i="8"/>
  <c r="BK1455" i="8"/>
  <c r="BJ1455" i="8"/>
  <c r="BI1455" i="8"/>
  <c r="BH1455" i="8"/>
  <c r="CJ1454" i="8"/>
  <c r="CI1454" i="8"/>
  <c r="CH1454" i="8"/>
  <c r="CG1454" i="8"/>
  <c r="CF1454" i="8"/>
  <c r="CE1454" i="8"/>
  <c r="CD1454" i="8"/>
  <c r="CC1454" i="8"/>
  <c r="CB1454" i="8"/>
  <c r="CA1454" i="8"/>
  <c r="BZ1454" i="8"/>
  <c r="BY1454" i="8"/>
  <c r="BX1454" i="8"/>
  <c r="BW1454" i="8"/>
  <c r="BV1454" i="8"/>
  <c r="BU1454" i="8"/>
  <c r="BT1454" i="8"/>
  <c r="BS1454" i="8"/>
  <c r="BR1454" i="8"/>
  <c r="BQ1454" i="8"/>
  <c r="BP1454" i="8"/>
  <c r="BO1454" i="8"/>
  <c r="BN1454" i="8"/>
  <c r="BM1454" i="8"/>
  <c r="BL1454" i="8"/>
  <c r="BK1454" i="8"/>
  <c r="BJ1454" i="8"/>
  <c r="BI1454" i="8"/>
  <c r="BH1454" i="8"/>
  <c r="CJ1453" i="8"/>
  <c r="CI1453" i="8"/>
  <c r="CH1453" i="8"/>
  <c r="CG1453" i="8"/>
  <c r="CF1453" i="8"/>
  <c r="CE1453" i="8"/>
  <c r="CD1453" i="8"/>
  <c r="CC1453" i="8"/>
  <c r="CB1453" i="8"/>
  <c r="CA1453" i="8"/>
  <c r="BZ1453" i="8"/>
  <c r="BY1453" i="8"/>
  <c r="BX1453" i="8"/>
  <c r="BW1453" i="8"/>
  <c r="BV1453" i="8"/>
  <c r="BU1453" i="8"/>
  <c r="BT1453" i="8"/>
  <c r="BS1453" i="8"/>
  <c r="BR1453" i="8"/>
  <c r="BQ1453" i="8"/>
  <c r="BP1453" i="8"/>
  <c r="BO1453" i="8"/>
  <c r="BN1453" i="8"/>
  <c r="BM1453" i="8"/>
  <c r="BL1453" i="8"/>
  <c r="BK1453" i="8"/>
  <c r="BJ1453" i="8"/>
  <c r="BI1453" i="8"/>
  <c r="BH1453" i="8"/>
  <c r="CJ1452" i="8"/>
  <c r="CI1452" i="8"/>
  <c r="CH1452" i="8"/>
  <c r="CG1452" i="8"/>
  <c r="CF1452" i="8"/>
  <c r="CE1452" i="8"/>
  <c r="CD1452" i="8"/>
  <c r="CC1452" i="8"/>
  <c r="CB1452" i="8"/>
  <c r="CA1452" i="8"/>
  <c r="BZ1452" i="8"/>
  <c r="BY1452" i="8"/>
  <c r="BX1452" i="8"/>
  <c r="BW1452" i="8"/>
  <c r="BV1452" i="8"/>
  <c r="BU1452" i="8"/>
  <c r="BT1452" i="8"/>
  <c r="BS1452" i="8"/>
  <c r="BR1452" i="8"/>
  <c r="BQ1452" i="8"/>
  <c r="BP1452" i="8"/>
  <c r="BO1452" i="8"/>
  <c r="BN1452" i="8"/>
  <c r="BM1452" i="8"/>
  <c r="BL1452" i="8"/>
  <c r="BK1452" i="8"/>
  <c r="BJ1452" i="8"/>
  <c r="BI1452" i="8"/>
  <c r="BH1452" i="8"/>
  <c r="CJ1451" i="8"/>
  <c r="CI1451" i="8"/>
  <c r="CH1451" i="8"/>
  <c r="CG1451" i="8"/>
  <c r="CF1451" i="8"/>
  <c r="CE1451" i="8"/>
  <c r="CD1451" i="8"/>
  <c r="CC1451" i="8"/>
  <c r="CB1451" i="8"/>
  <c r="CA1451" i="8"/>
  <c r="BZ1451" i="8"/>
  <c r="BY1451" i="8"/>
  <c r="BX1451" i="8"/>
  <c r="BW1451" i="8"/>
  <c r="BV1451" i="8"/>
  <c r="BU1451" i="8"/>
  <c r="BT1451" i="8"/>
  <c r="BS1451" i="8"/>
  <c r="BR1451" i="8"/>
  <c r="BQ1451" i="8"/>
  <c r="BP1451" i="8"/>
  <c r="BO1451" i="8"/>
  <c r="BN1451" i="8"/>
  <c r="BM1451" i="8"/>
  <c r="BL1451" i="8"/>
  <c r="BK1451" i="8"/>
  <c r="BJ1451" i="8"/>
  <c r="BI1451" i="8"/>
  <c r="BH1451" i="8"/>
  <c r="CJ1450" i="8"/>
  <c r="CI1450" i="8"/>
  <c r="CH1450" i="8"/>
  <c r="CG1450" i="8"/>
  <c r="CF1450" i="8"/>
  <c r="CE1450" i="8"/>
  <c r="CD1450" i="8"/>
  <c r="CC1450" i="8"/>
  <c r="CB1450" i="8"/>
  <c r="CA1450" i="8"/>
  <c r="BZ1450" i="8"/>
  <c r="BY1450" i="8"/>
  <c r="BX1450" i="8"/>
  <c r="BW1450" i="8"/>
  <c r="BV1450" i="8"/>
  <c r="BU1450" i="8"/>
  <c r="BT1450" i="8"/>
  <c r="BS1450" i="8"/>
  <c r="BR1450" i="8"/>
  <c r="BQ1450" i="8"/>
  <c r="BP1450" i="8"/>
  <c r="BO1450" i="8"/>
  <c r="BN1450" i="8"/>
  <c r="BM1450" i="8"/>
  <c r="BL1450" i="8"/>
  <c r="BK1450" i="8"/>
  <c r="BJ1450" i="8"/>
  <c r="BI1450" i="8"/>
  <c r="BH1450" i="8"/>
  <c r="CJ1449" i="8"/>
  <c r="CI1449" i="8"/>
  <c r="CH1449" i="8"/>
  <c r="CG1449" i="8"/>
  <c r="CF1449" i="8"/>
  <c r="CE1449" i="8"/>
  <c r="CD1449" i="8"/>
  <c r="CC1449" i="8"/>
  <c r="CB1449" i="8"/>
  <c r="CA1449" i="8"/>
  <c r="BZ1449" i="8"/>
  <c r="BY1449" i="8"/>
  <c r="BX1449" i="8"/>
  <c r="BW1449" i="8"/>
  <c r="BV1449" i="8"/>
  <c r="BU1449" i="8"/>
  <c r="BT1449" i="8"/>
  <c r="BS1449" i="8"/>
  <c r="BR1449" i="8"/>
  <c r="BQ1449" i="8"/>
  <c r="BP1449" i="8"/>
  <c r="BO1449" i="8"/>
  <c r="BN1449" i="8"/>
  <c r="BM1449" i="8"/>
  <c r="BL1449" i="8"/>
  <c r="BK1449" i="8"/>
  <c r="BJ1449" i="8"/>
  <c r="BI1449" i="8"/>
  <c r="BH1449" i="8"/>
  <c r="CJ1448" i="8"/>
  <c r="CI1448" i="8"/>
  <c r="CH1448" i="8"/>
  <c r="CG1448" i="8"/>
  <c r="CF1448" i="8"/>
  <c r="CE1448" i="8"/>
  <c r="CD1448" i="8"/>
  <c r="CC1448" i="8"/>
  <c r="CB1448" i="8"/>
  <c r="CA1448" i="8"/>
  <c r="BZ1448" i="8"/>
  <c r="BY1448" i="8"/>
  <c r="BX1448" i="8"/>
  <c r="BW1448" i="8"/>
  <c r="BV1448" i="8"/>
  <c r="BU1448" i="8"/>
  <c r="BT1448" i="8"/>
  <c r="BS1448" i="8"/>
  <c r="BR1448" i="8"/>
  <c r="BQ1448" i="8"/>
  <c r="BP1448" i="8"/>
  <c r="BO1448" i="8"/>
  <c r="BN1448" i="8"/>
  <c r="BM1448" i="8"/>
  <c r="BL1448" i="8"/>
  <c r="BK1448" i="8"/>
  <c r="BJ1448" i="8"/>
  <c r="BI1448" i="8"/>
  <c r="BH1448" i="8"/>
  <c r="CJ1447" i="8"/>
  <c r="CI1447" i="8"/>
  <c r="CH1447" i="8"/>
  <c r="CG1447" i="8"/>
  <c r="CF1447" i="8"/>
  <c r="CE1447" i="8"/>
  <c r="CD1447" i="8"/>
  <c r="CC1447" i="8"/>
  <c r="CB1447" i="8"/>
  <c r="CA1447" i="8"/>
  <c r="BZ1447" i="8"/>
  <c r="BY1447" i="8"/>
  <c r="BX1447" i="8"/>
  <c r="BW1447" i="8"/>
  <c r="BV1447" i="8"/>
  <c r="BU1447" i="8"/>
  <c r="BT1447" i="8"/>
  <c r="BS1447" i="8"/>
  <c r="BR1447" i="8"/>
  <c r="BQ1447" i="8"/>
  <c r="BP1447" i="8"/>
  <c r="BO1447" i="8"/>
  <c r="BN1447" i="8"/>
  <c r="BM1447" i="8"/>
  <c r="BL1447" i="8"/>
  <c r="BK1447" i="8"/>
  <c r="BJ1447" i="8"/>
  <c r="BI1447" i="8"/>
  <c r="BH1447" i="8"/>
  <c r="CJ1446" i="8"/>
  <c r="CI1446" i="8"/>
  <c r="CH1446" i="8"/>
  <c r="CG1446" i="8"/>
  <c r="CF1446" i="8"/>
  <c r="CE1446" i="8"/>
  <c r="CD1446" i="8"/>
  <c r="CC1446" i="8"/>
  <c r="CB1446" i="8"/>
  <c r="CA1446" i="8"/>
  <c r="BZ1446" i="8"/>
  <c r="BY1446" i="8"/>
  <c r="BX1446" i="8"/>
  <c r="BW1446" i="8"/>
  <c r="BV1446" i="8"/>
  <c r="BU1446" i="8"/>
  <c r="BT1446" i="8"/>
  <c r="BS1446" i="8"/>
  <c r="BR1446" i="8"/>
  <c r="BQ1446" i="8"/>
  <c r="BP1446" i="8"/>
  <c r="BO1446" i="8"/>
  <c r="BN1446" i="8"/>
  <c r="BM1446" i="8"/>
  <c r="BL1446" i="8"/>
  <c r="BK1446" i="8"/>
  <c r="BJ1446" i="8"/>
  <c r="BI1446" i="8"/>
  <c r="BH1446" i="8"/>
  <c r="CJ1445" i="8"/>
  <c r="CI1445" i="8"/>
  <c r="CH1445" i="8"/>
  <c r="CG1445" i="8"/>
  <c r="CF1445" i="8"/>
  <c r="CE1445" i="8"/>
  <c r="CD1445" i="8"/>
  <c r="CC1445" i="8"/>
  <c r="CB1445" i="8"/>
  <c r="CA1445" i="8"/>
  <c r="BZ1445" i="8"/>
  <c r="BY1445" i="8"/>
  <c r="BX1445" i="8"/>
  <c r="BW1445" i="8"/>
  <c r="BV1445" i="8"/>
  <c r="BU1445" i="8"/>
  <c r="BT1445" i="8"/>
  <c r="BS1445" i="8"/>
  <c r="BR1445" i="8"/>
  <c r="BQ1445" i="8"/>
  <c r="BP1445" i="8"/>
  <c r="BO1445" i="8"/>
  <c r="BN1445" i="8"/>
  <c r="BM1445" i="8"/>
  <c r="BL1445" i="8"/>
  <c r="BK1445" i="8"/>
  <c r="BJ1445" i="8"/>
  <c r="BI1445" i="8"/>
  <c r="BH1445" i="8"/>
  <c r="CJ1444" i="8"/>
  <c r="CI1444" i="8"/>
  <c r="CH1444" i="8"/>
  <c r="CG1444" i="8"/>
  <c r="CF1444" i="8"/>
  <c r="CE1444" i="8"/>
  <c r="CD1444" i="8"/>
  <c r="CC1444" i="8"/>
  <c r="CB1444" i="8"/>
  <c r="CA1444" i="8"/>
  <c r="BZ1444" i="8"/>
  <c r="BY1444" i="8"/>
  <c r="BX1444" i="8"/>
  <c r="BW1444" i="8"/>
  <c r="BV1444" i="8"/>
  <c r="BU1444" i="8"/>
  <c r="BT1444" i="8"/>
  <c r="BS1444" i="8"/>
  <c r="BR1444" i="8"/>
  <c r="BQ1444" i="8"/>
  <c r="BP1444" i="8"/>
  <c r="BO1444" i="8"/>
  <c r="BN1444" i="8"/>
  <c r="BM1444" i="8"/>
  <c r="BL1444" i="8"/>
  <c r="BK1444" i="8"/>
  <c r="BJ1444" i="8"/>
  <c r="BI1444" i="8"/>
  <c r="BH1444" i="8"/>
  <c r="CJ1443" i="8"/>
  <c r="CI1443" i="8"/>
  <c r="CH1443" i="8"/>
  <c r="CG1443" i="8"/>
  <c r="CF1443" i="8"/>
  <c r="CE1443" i="8"/>
  <c r="CD1443" i="8"/>
  <c r="CC1443" i="8"/>
  <c r="CB1443" i="8"/>
  <c r="CA1443" i="8"/>
  <c r="BZ1443" i="8"/>
  <c r="BY1443" i="8"/>
  <c r="BX1443" i="8"/>
  <c r="BW1443" i="8"/>
  <c r="BV1443" i="8"/>
  <c r="BU1443" i="8"/>
  <c r="BT1443" i="8"/>
  <c r="BS1443" i="8"/>
  <c r="BR1443" i="8"/>
  <c r="BQ1443" i="8"/>
  <c r="BP1443" i="8"/>
  <c r="BO1443" i="8"/>
  <c r="BN1443" i="8"/>
  <c r="BM1443" i="8"/>
  <c r="BL1443" i="8"/>
  <c r="BK1443" i="8"/>
  <c r="BJ1443" i="8"/>
  <c r="BI1443" i="8"/>
  <c r="BH1443" i="8"/>
  <c r="CJ1442" i="8"/>
  <c r="CI1442" i="8"/>
  <c r="CH1442" i="8"/>
  <c r="CG1442" i="8"/>
  <c r="CF1442" i="8"/>
  <c r="CE1442" i="8"/>
  <c r="CD1442" i="8"/>
  <c r="CC1442" i="8"/>
  <c r="CB1442" i="8"/>
  <c r="CA1442" i="8"/>
  <c r="BZ1442" i="8"/>
  <c r="BY1442" i="8"/>
  <c r="BX1442" i="8"/>
  <c r="BW1442" i="8"/>
  <c r="BV1442" i="8"/>
  <c r="BU1442" i="8"/>
  <c r="BT1442" i="8"/>
  <c r="BS1442" i="8"/>
  <c r="BR1442" i="8"/>
  <c r="BQ1442" i="8"/>
  <c r="BP1442" i="8"/>
  <c r="BO1442" i="8"/>
  <c r="BN1442" i="8"/>
  <c r="BM1442" i="8"/>
  <c r="BL1442" i="8"/>
  <c r="BK1442" i="8"/>
  <c r="BJ1442" i="8"/>
  <c r="BI1442" i="8"/>
  <c r="BH1442" i="8"/>
  <c r="CJ1441" i="8"/>
  <c r="CI1441" i="8"/>
  <c r="CH1441" i="8"/>
  <c r="CG1441" i="8"/>
  <c r="CF1441" i="8"/>
  <c r="CE1441" i="8"/>
  <c r="CD1441" i="8"/>
  <c r="CC1441" i="8"/>
  <c r="CB1441" i="8"/>
  <c r="CA1441" i="8"/>
  <c r="BZ1441" i="8"/>
  <c r="BY1441" i="8"/>
  <c r="BX1441" i="8"/>
  <c r="BW1441" i="8"/>
  <c r="BV1441" i="8"/>
  <c r="BU1441" i="8"/>
  <c r="BT1441" i="8"/>
  <c r="BS1441" i="8"/>
  <c r="BR1441" i="8"/>
  <c r="BQ1441" i="8"/>
  <c r="BP1441" i="8"/>
  <c r="BO1441" i="8"/>
  <c r="BN1441" i="8"/>
  <c r="BM1441" i="8"/>
  <c r="BL1441" i="8"/>
  <c r="BK1441" i="8"/>
  <c r="BJ1441" i="8"/>
  <c r="BI1441" i="8"/>
  <c r="BH1441" i="8"/>
  <c r="CJ1440" i="8"/>
  <c r="CI1440" i="8"/>
  <c r="CH1440" i="8"/>
  <c r="CG1440" i="8"/>
  <c r="CF1440" i="8"/>
  <c r="CE1440" i="8"/>
  <c r="CD1440" i="8"/>
  <c r="CC1440" i="8"/>
  <c r="CB1440" i="8"/>
  <c r="CA1440" i="8"/>
  <c r="BZ1440" i="8"/>
  <c r="BY1440" i="8"/>
  <c r="BX1440" i="8"/>
  <c r="BW1440" i="8"/>
  <c r="BV1440" i="8"/>
  <c r="BU1440" i="8"/>
  <c r="BT1440" i="8"/>
  <c r="BS1440" i="8"/>
  <c r="BR1440" i="8"/>
  <c r="BQ1440" i="8"/>
  <c r="BP1440" i="8"/>
  <c r="BO1440" i="8"/>
  <c r="BN1440" i="8"/>
  <c r="BM1440" i="8"/>
  <c r="BL1440" i="8"/>
  <c r="BK1440" i="8"/>
  <c r="BJ1440" i="8"/>
  <c r="BI1440" i="8"/>
  <c r="BH1440" i="8"/>
  <c r="CJ1439" i="8"/>
  <c r="CI1439" i="8"/>
  <c r="CH1439" i="8"/>
  <c r="CG1439" i="8"/>
  <c r="CF1439" i="8"/>
  <c r="CE1439" i="8"/>
  <c r="CD1439" i="8"/>
  <c r="CC1439" i="8"/>
  <c r="CB1439" i="8"/>
  <c r="CA1439" i="8"/>
  <c r="BZ1439" i="8"/>
  <c r="BY1439" i="8"/>
  <c r="BX1439" i="8"/>
  <c r="BW1439" i="8"/>
  <c r="BV1439" i="8"/>
  <c r="BU1439" i="8"/>
  <c r="BT1439" i="8"/>
  <c r="BS1439" i="8"/>
  <c r="BR1439" i="8"/>
  <c r="BQ1439" i="8"/>
  <c r="BP1439" i="8"/>
  <c r="BO1439" i="8"/>
  <c r="BN1439" i="8"/>
  <c r="BM1439" i="8"/>
  <c r="BL1439" i="8"/>
  <c r="BK1439" i="8"/>
  <c r="BJ1439" i="8"/>
  <c r="BI1439" i="8"/>
  <c r="BH1439" i="8"/>
  <c r="CJ1438" i="8"/>
  <c r="CI1438" i="8"/>
  <c r="CH1438" i="8"/>
  <c r="CG1438" i="8"/>
  <c r="CF1438" i="8"/>
  <c r="CE1438" i="8"/>
  <c r="CD1438" i="8"/>
  <c r="CC1438" i="8"/>
  <c r="CB1438" i="8"/>
  <c r="CA1438" i="8"/>
  <c r="BZ1438" i="8"/>
  <c r="BY1438" i="8"/>
  <c r="BX1438" i="8"/>
  <c r="BW1438" i="8"/>
  <c r="BV1438" i="8"/>
  <c r="BU1438" i="8"/>
  <c r="BT1438" i="8"/>
  <c r="BS1438" i="8"/>
  <c r="BR1438" i="8"/>
  <c r="BQ1438" i="8"/>
  <c r="BP1438" i="8"/>
  <c r="BO1438" i="8"/>
  <c r="BN1438" i="8"/>
  <c r="BM1438" i="8"/>
  <c r="BL1438" i="8"/>
  <c r="BK1438" i="8"/>
  <c r="BJ1438" i="8"/>
  <c r="BI1438" i="8"/>
  <c r="BH1438" i="8"/>
  <c r="CJ1437" i="8"/>
  <c r="CI1437" i="8"/>
  <c r="CH1437" i="8"/>
  <c r="CG1437" i="8"/>
  <c r="CF1437" i="8"/>
  <c r="CE1437" i="8"/>
  <c r="CD1437" i="8"/>
  <c r="CC1437" i="8"/>
  <c r="CB1437" i="8"/>
  <c r="CA1437" i="8"/>
  <c r="BZ1437" i="8"/>
  <c r="BY1437" i="8"/>
  <c r="BX1437" i="8"/>
  <c r="BW1437" i="8"/>
  <c r="BV1437" i="8"/>
  <c r="BU1437" i="8"/>
  <c r="BT1437" i="8"/>
  <c r="BS1437" i="8"/>
  <c r="BR1437" i="8"/>
  <c r="BQ1437" i="8"/>
  <c r="BP1437" i="8"/>
  <c r="BO1437" i="8"/>
  <c r="BN1437" i="8"/>
  <c r="BM1437" i="8"/>
  <c r="BL1437" i="8"/>
  <c r="BK1437" i="8"/>
  <c r="BJ1437" i="8"/>
  <c r="BI1437" i="8"/>
  <c r="BH1437" i="8"/>
  <c r="CJ1436" i="8"/>
  <c r="CI1436" i="8"/>
  <c r="CH1436" i="8"/>
  <c r="CG1436" i="8"/>
  <c r="CF1436" i="8"/>
  <c r="CE1436" i="8"/>
  <c r="CD1436" i="8"/>
  <c r="CC1436" i="8"/>
  <c r="CB1436" i="8"/>
  <c r="CA1436" i="8"/>
  <c r="BZ1436" i="8"/>
  <c r="BY1436" i="8"/>
  <c r="BX1436" i="8"/>
  <c r="BW1436" i="8"/>
  <c r="BV1436" i="8"/>
  <c r="BU1436" i="8"/>
  <c r="BT1436" i="8"/>
  <c r="BS1436" i="8"/>
  <c r="BR1436" i="8"/>
  <c r="BQ1436" i="8"/>
  <c r="BP1436" i="8"/>
  <c r="BO1436" i="8"/>
  <c r="BN1436" i="8"/>
  <c r="BM1436" i="8"/>
  <c r="BL1436" i="8"/>
  <c r="BK1436" i="8"/>
  <c r="BJ1436" i="8"/>
  <c r="BI1436" i="8"/>
  <c r="BH1436" i="8"/>
  <c r="CJ1435" i="8"/>
  <c r="CI1435" i="8"/>
  <c r="CH1435" i="8"/>
  <c r="CG1435" i="8"/>
  <c r="CF1435" i="8"/>
  <c r="CE1435" i="8"/>
  <c r="CD1435" i="8"/>
  <c r="CC1435" i="8"/>
  <c r="CB1435" i="8"/>
  <c r="CA1435" i="8"/>
  <c r="BZ1435" i="8"/>
  <c r="BY1435" i="8"/>
  <c r="BX1435" i="8"/>
  <c r="BW1435" i="8"/>
  <c r="BV1435" i="8"/>
  <c r="BU1435" i="8"/>
  <c r="BT1435" i="8"/>
  <c r="BS1435" i="8"/>
  <c r="BR1435" i="8"/>
  <c r="BQ1435" i="8"/>
  <c r="BP1435" i="8"/>
  <c r="BO1435" i="8"/>
  <c r="BN1435" i="8"/>
  <c r="BM1435" i="8"/>
  <c r="BL1435" i="8"/>
  <c r="BK1435" i="8"/>
  <c r="BJ1435" i="8"/>
  <c r="BI1435" i="8"/>
  <c r="BH1435" i="8"/>
  <c r="CJ1434" i="8"/>
  <c r="CI1434" i="8"/>
  <c r="CH1434" i="8"/>
  <c r="CG1434" i="8"/>
  <c r="CF1434" i="8"/>
  <c r="CE1434" i="8"/>
  <c r="CD1434" i="8"/>
  <c r="CC1434" i="8"/>
  <c r="CB1434" i="8"/>
  <c r="CA1434" i="8"/>
  <c r="BZ1434" i="8"/>
  <c r="BY1434" i="8"/>
  <c r="BX1434" i="8"/>
  <c r="BW1434" i="8"/>
  <c r="BV1434" i="8"/>
  <c r="BU1434" i="8"/>
  <c r="BT1434" i="8"/>
  <c r="BS1434" i="8"/>
  <c r="BR1434" i="8"/>
  <c r="BQ1434" i="8"/>
  <c r="BP1434" i="8"/>
  <c r="BO1434" i="8"/>
  <c r="BN1434" i="8"/>
  <c r="BM1434" i="8"/>
  <c r="BL1434" i="8"/>
  <c r="BK1434" i="8"/>
  <c r="BJ1434" i="8"/>
  <c r="BI1434" i="8"/>
  <c r="BH1434" i="8"/>
  <c r="CJ1433" i="8"/>
  <c r="CI1433" i="8"/>
  <c r="CH1433" i="8"/>
  <c r="CG1433" i="8"/>
  <c r="CF1433" i="8"/>
  <c r="CE1433" i="8"/>
  <c r="CD1433" i="8"/>
  <c r="CC1433" i="8"/>
  <c r="CB1433" i="8"/>
  <c r="CA1433" i="8"/>
  <c r="BZ1433" i="8"/>
  <c r="BY1433" i="8"/>
  <c r="BX1433" i="8"/>
  <c r="BW1433" i="8"/>
  <c r="BV1433" i="8"/>
  <c r="BU1433" i="8"/>
  <c r="BT1433" i="8"/>
  <c r="BS1433" i="8"/>
  <c r="BR1433" i="8"/>
  <c r="BQ1433" i="8"/>
  <c r="BP1433" i="8"/>
  <c r="BO1433" i="8"/>
  <c r="BN1433" i="8"/>
  <c r="BM1433" i="8"/>
  <c r="BL1433" i="8"/>
  <c r="BK1433" i="8"/>
  <c r="BJ1433" i="8"/>
  <c r="BI1433" i="8"/>
  <c r="BH1433" i="8"/>
  <c r="CJ1432" i="8"/>
  <c r="CI1432" i="8"/>
  <c r="CH1432" i="8"/>
  <c r="CG1432" i="8"/>
  <c r="CF1432" i="8"/>
  <c r="CE1432" i="8"/>
  <c r="CD1432" i="8"/>
  <c r="CC1432" i="8"/>
  <c r="CB1432" i="8"/>
  <c r="CA1432" i="8"/>
  <c r="BZ1432" i="8"/>
  <c r="BY1432" i="8"/>
  <c r="BX1432" i="8"/>
  <c r="BW1432" i="8"/>
  <c r="BV1432" i="8"/>
  <c r="BU1432" i="8"/>
  <c r="BT1432" i="8"/>
  <c r="BS1432" i="8"/>
  <c r="BR1432" i="8"/>
  <c r="BQ1432" i="8"/>
  <c r="BP1432" i="8"/>
  <c r="BO1432" i="8"/>
  <c r="BN1432" i="8"/>
  <c r="BM1432" i="8"/>
  <c r="BL1432" i="8"/>
  <c r="BK1432" i="8"/>
  <c r="BJ1432" i="8"/>
  <c r="BI1432" i="8"/>
  <c r="BH1432" i="8"/>
  <c r="CJ1431" i="8"/>
  <c r="CI1431" i="8"/>
  <c r="CH1431" i="8"/>
  <c r="CG1431" i="8"/>
  <c r="CF1431" i="8"/>
  <c r="CE1431" i="8"/>
  <c r="CD1431" i="8"/>
  <c r="CC1431" i="8"/>
  <c r="CB1431" i="8"/>
  <c r="CA1431" i="8"/>
  <c r="BZ1431" i="8"/>
  <c r="BY1431" i="8"/>
  <c r="BX1431" i="8"/>
  <c r="BW1431" i="8"/>
  <c r="BV1431" i="8"/>
  <c r="BU1431" i="8"/>
  <c r="BT1431" i="8"/>
  <c r="BS1431" i="8"/>
  <c r="BR1431" i="8"/>
  <c r="BQ1431" i="8"/>
  <c r="BP1431" i="8"/>
  <c r="BO1431" i="8"/>
  <c r="BN1431" i="8"/>
  <c r="BM1431" i="8"/>
  <c r="BL1431" i="8"/>
  <c r="BK1431" i="8"/>
  <c r="BJ1431" i="8"/>
  <c r="BI1431" i="8"/>
  <c r="BH1431" i="8"/>
  <c r="CJ1430" i="8"/>
  <c r="CI1430" i="8"/>
  <c r="CH1430" i="8"/>
  <c r="CG1430" i="8"/>
  <c r="CF1430" i="8"/>
  <c r="CE1430" i="8"/>
  <c r="CD1430" i="8"/>
  <c r="CC1430" i="8"/>
  <c r="CB1430" i="8"/>
  <c r="CA1430" i="8"/>
  <c r="BZ1430" i="8"/>
  <c r="BY1430" i="8"/>
  <c r="BX1430" i="8"/>
  <c r="BW1430" i="8"/>
  <c r="BV1430" i="8"/>
  <c r="BU1430" i="8"/>
  <c r="BT1430" i="8"/>
  <c r="BS1430" i="8"/>
  <c r="BR1430" i="8"/>
  <c r="BQ1430" i="8"/>
  <c r="BP1430" i="8"/>
  <c r="BO1430" i="8"/>
  <c r="BN1430" i="8"/>
  <c r="BM1430" i="8"/>
  <c r="BL1430" i="8"/>
  <c r="BK1430" i="8"/>
  <c r="BJ1430" i="8"/>
  <c r="BI1430" i="8"/>
  <c r="BH1430" i="8"/>
  <c r="CJ1429" i="8"/>
  <c r="CI1429" i="8"/>
  <c r="CH1429" i="8"/>
  <c r="CG1429" i="8"/>
  <c r="CF1429" i="8"/>
  <c r="CE1429" i="8"/>
  <c r="CD1429" i="8"/>
  <c r="CC1429" i="8"/>
  <c r="CB1429" i="8"/>
  <c r="CA1429" i="8"/>
  <c r="BZ1429" i="8"/>
  <c r="BY1429" i="8"/>
  <c r="BX1429" i="8"/>
  <c r="BW1429" i="8"/>
  <c r="BV1429" i="8"/>
  <c r="BU1429" i="8"/>
  <c r="BT1429" i="8"/>
  <c r="BS1429" i="8"/>
  <c r="BR1429" i="8"/>
  <c r="BQ1429" i="8"/>
  <c r="BP1429" i="8"/>
  <c r="BO1429" i="8"/>
  <c r="BN1429" i="8"/>
  <c r="BM1429" i="8"/>
  <c r="BL1429" i="8"/>
  <c r="BK1429" i="8"/>
  <c r="BJ1429" i="8"/>
  <c r="BI1429" i="8"/>
  <c r="BH1429" i="8"/>
  <c r="CJ1428" i="8"/>
  <c r="CI1428" i="8"/>
  <c r="CH1428" i="8"/>
  <c r="CG1428" i="8"/>
  <c r="CF1428" i="8"/>
  <c r="CE1428" i="8"/>
  <c r="CD1428" i="8"/>
  <c r="CC1428" i="8"/>
  <c r="CB1428" i="8"/>
  <c r="CA1428" i="8"/>
  <c r="BZ1428" i="8"/>
  <c r="BY1428" i="8"/>
  <c r="BX1428" i="8"/>
  <c r="BW1428" i="8"/>
  <c r="BV1428" i="8"/>
  <c r="BU1428" i="8"/>
  <c r="BT1428" i="8"/>
  <c r="BS1428" i="8"/>
  <c r="BR1428" i="8"/>
  <c r="BQ1428" i="8"/>
  <c r="BP1428" i="8"/>
  <c r="BO1428" i="8"/>
  <c r="BN1428" i="8"/>
  <c r="BM1428" i="8"/>
  <c r="BL1428" i="8"/>
  <c r="BK1428" i="8"/>
  <c r="BJ1428" i="8"/>
  <c r="BI1428" i="8"/>
  <c r="BH1428" i="8"/>
  <c r="CJ1427" i="8"/>
  <c r="CI1427" i="8"/>
  <c r="CH1427" i="8"/>
  <c r="CG1427" i="8"/>
  <c r="CF1427" i="8"/>
  <c r="CE1427" i="8"/>
  <c r="CD1427" i="8"/>
  <c r="CC1427" i="8"/>
  <c r="CB1427" i="8"/>
  <c r="CA1427" i="8"/>
  <c r="BZ1427" i="8"/>
  <c r="BY1427" i="8"/>
  <c r="BX1427" i="8"/>
  <c r="BW1427" i="8"/>
  <c r="BV1427" i="8"/>
  <c r="BU1427" i="8"/>
  <c r="BT1427" i="8"/>
  <c r="BS1427" i="8"/>
  <c r="BR1427" i="8"/>
  <c r="BQ1427" i="8"/>
  <c r="BP1427" i="8"/>
  <c r="BO1427" i="8"/>
  <c r="BN1427" i="8"/>
  <c r="BM1427" i="8"/>
  <c r="BL1427" i="8"/>
  <c r="BK1427" i="8"/>
  <c r="BJ1427" i="8"/>
  <c r="BI1427" i="8"/>
  <c r="BH1427" i="8"/>
  <c r="CJ1426" i="8"/>
  <c r="CI1426" i="8"/>
  <c r="CH1426" i="8"/>
  <c r="CG1426" i="8"/>
  <c r="CF1426" i="8"/>
  <c r="CE1426" i="8"/>
  <c r="CD1426" i="8"/>
  <c r="CC1426" i="8"/>
  <c r="CB1426" i="8"/>
  <c r="CA1426" i="8"/>
  <c r="BZ1426" i="8"/>
  <c r="BY1426" i="8"/>
  <c r="BX1426" i="8"/>
  <c r="BW1426" i="8"/>
  <c r="BV1426" i="8"/>
  <c r="BU1426" i="8"/>
  <c r="BT1426" i="8"/>
  <c r="BS1426" i="8"/>
  <c r="BR1426" i="8"/>
  <c r="BQ1426" i="8"/>
  <c r="BP1426" i="8"/>
  <c r="BO1426" i="8"/>
  <c r="BN1426" i="8"/>
  <c r="BM1426" i="8"/>
  <c r="BL1426" i="8"/>
  <c r="BK1426" i="8"/>
  <c r="BJ1426" i="8"/>
  <c r="BI1426" i="8"/>
  <c r="BH1426" i="8"/>
  <c r="CJ1425" i="8"/>
  <c r="CI1425" i="8"/>
  <c r="CH1425" i="8"/>
  <c r="CG1425" i="8"/>
  <c r="CF1425" i="8"/>
  <c r="CE1425" i="8"/>
  <c r="CD1425" i="8"/>
  <c r="CC1425" i="8"/>
  <c r="CB1425" i="8"/>
  <c r="CA1425" i="8"/>
  <c r="BZ1425" i="8"/>
  <c r="BY1425" i="8"/>
  <c r="BX1425" i="8"/>
  <c r="BW1425" i="8"/>
  <c r="BV1425" i="8"/>
  <c r="BU1425" i="8"/>
  <c r="BT1425" i="8"/>
  <c r="BS1425" i="8"/>
  <c r="BR1425" i="8"/>
  <c r="BQ1425" i="8"/>
  <c r="BP1425" i="8"/>
  <c r="BO1425" i="8"/>
  <c r="BN1425" i="8"/>
  <c r="BM1425" i="8"/>
  <c r="BL1425" i="8"/>
  <c r="BK1425" i="8"/>
  <c r="BJ1425" i="8"/>
  <c r="BI1425" i="8"/>
  <c r="BH1425" i="8"/>
  <c r="CJ1424" i="8"/>
  <c r="CI1424" i="8"/>
  <c r="CH1424" i="8"/>
  <c r="CG1424" i="8"/>
  <c r="CF1424" i="8"/>
  <c r="CE1424" i="8"/>
  <c r="CD1424" i="8"/>
  <c r="CC1424" i="8"/>
  <c r="CB1424" i="8"/>
  <c r="CA1424" i="8"/>
  <c r="BZ1424" i="8"/>
  <c r="BY1424" i="8"/>
  <c r="BX1424" i="8"/>
  <c r="BW1424" i="8"/>
  <c r="BV1424" i="8"/>
  <c r="BU1424" i="8"/>
  <c r="BT1424" i="8"/>
  <c r="BS1424" i="8"/>
  <c r="BR1424" i="8"/>
  <c r="BQ1424" i="8"/>
  <c r="BP1424" i="8"/>
  <c r="BO1424" i="8"/>
  <c r="BN1424" i="8"/>
  <c r="BM1424" i="8"/>
  <c r="BL1424" i="8"/>
  <c r="BK1424" i="8"/>
  <c r="BJ1424" i="8"/>
  <c r="BI1424" i="8"/>
  <c r="BH1424" i="8"/>
  <c r="CJ1423" i="8"/>
  <c r="CI1423" i="8"/>
  <c r="CH1423" i="8"/>
  <c r="CG1423" i="8"/>
  <c r="CF1423" i="8"/>
  <c r="CE1423" i="8"/>
  <c r="CD1423" i="8"/>
  <c r="CC1423" i="8"/>
  <c r="CB1423" i="8"/>
  <c r="CA1423" i="8"/>
  <c r="BZ1423" i="8"/>
  <c r="BY1423" i="8"/>
  <c r="BX1423" i="8"/>
  <c r="BW1423" i="8"/>
  <c r="BV1423" i="8"/>
  <c r="BU1423" i="8"/>
  <c r="BT1423" i="8"/>
  <c r="BS1423" i="8"/>
  <c r="BR1423" i="8"/>
  <c r="BQ1423" i="8"/>
  <c r="BP1423" i="8"/>
  <c r="BO1423" i="8"/>
  <c r="BN1423" i="8"/>
  <c r="BM1423" i="8"/>
  <c r="BL1423" i="8"/>
  <c r="BK1423" i="8"/>
  <c r="BJ1423" i="8"/>
  <c r="BI1423" i="8"/>
  <c r="BH1423" i="8"/>
  <c r="CJ1422" i="8"/>
  <c r="CI1422" i="8"/>
  <c r="CH1422" i="8"/>
  <c r="CG1422" i="8"/>
  <c r="CF1422" i="8"/>
  <c r="CE1422" i="8"/>
  <c r="CD1422" i="8"/>
  <c r="CC1422" i="8"/>
  <c r="CB1422" i="8"/>
  <c r="CA1422" i="8"/>
  <c r="BZ1422" i="8"/>
  <c r="BY1422" i="8"/>
  <c r="BX1422" i="8"/>
  <c r="BW1422" i="8"/>
  <c r="BV1422" i="8"/>
  <c r="BU1422" i="8"/>
  <c r="BT1422" i="8"/>
  <c r="BS1422" i="8"/>
  <c r="BR1422" i="8"/>
  <c r="BQ1422" i="8"/>
  <c r="BP1422" i="8"/>
  <c r="BO1422" i="8"/>
  <c r="BN1422" i="8"/>
  <c r="BM1422" i="8"/>
  <c r="BL1422" i="8"/>
  <c r="BK1422" i="8"/>
  <c r="BJ1422" i="8"/>
  <c r="BI1422" i="8"/>
  <c r="BH1422" i="8"/>
  <c r="CJ1421" i="8"/>
  <c r="CI1421" i="8"/>
  <c r="CH1421" i="8"/>
  <c r="CG1421" i="8"/>
  <c r="CF1421" i="8"/>
  <c r="CE1421" i="8"/>
  <c r="CD1421" i="8"/>
  <c r="CC1421" i="8"/>
  <c r="CB1421" i="8"/>
  <c r="CA1421" i="8"/>
  <c r="BZ1421" i="8"/>
  <c r="BY1421" i="8"/>
  <c r="BX1421" i="8"/>
  <c r="BW1421" i="8"/>
  <c r="BV1421" i="8"/>
  <c r="BU1421" i="8"/>
  <c r="BT1421" i="8"/>
  <c r="BS1421" i="8"/>
  <c r="BR1421" i="8"/>
  <c r="BQ1421" i="8"/>
  <c r="BP1421" i="8"/>
  <c r="BO1421" i="8"/>
  <c r="BN1421" i="8"/>
  <c r="BM1421" i="8"/>
  <c r="BL1421" i="8"/>
  <c r="BK1421" i="8"/>
  <c r="BJ1421" i="8"/>
  <c r="BI1421" i="8"/>
  <c r="BH1421" i="8"/>
  <c r="CJ1420" i="8"/>
  <c r="CI1420" i="8"/>
  <c r="CH1420" i="8"/>
  <c r="CG1420" i="8"/>
  <c r="CF1420" i="8"/>
  <c r="CE1420" i="8"/>
  <c r="CD1420" i="8"/>
  <c r="CC1420" i="8"/>
  <c r="CB1420" i="8"/>
  <c r="CA1420" i="8"/>
  <c r="BZ1420" i="8"/>
  <c r="BY1420" i="8"/>
  <c r="BX1420" i="8"/>
  <c r="BW1420" i="8"/>
  <c r="BV1420" i="8"/>
  <c r="BU1420" i="8"/>
  <c r="BT1420" i="8"/>
  <c r="BS1420" i="8"/>
  <c r="BR1420" i="8"/>
  <c r="BQ1420" i="8"/>
  <c r="BP1420" i="8"/>
  <c r="BO1420" i="8"/>
  <c r="BN1420" i="8"/>
  <c r="BM1420" i="8"/>
  <c r="BL1420" i="8"/>
  <c r="BK1420" i="8"/>
  <c r="BJ1420" i="8"/>
  <c r="BI1420" i="8"/>
  <c r="BH1420" i="8"/>
  <c r="CJ1419" i="8"/>
  <c r="CI1419" i="8"/>
  <c r="CH1419" i="8"/>
  <c r="CG1419" i="8"/>
  <c r="CF1419" i="8"/>
  <c r="CE1419" i="8"/>
  <c r="CD1419" i="8"/>
  <c r="CC1419" i="8"/>
  <c r="CB1419" i="8"/>
  <c r="CA1419" i="8"/>
  <c r="BZ1419" i="8"/>
  <c r="BY1419" i="8"/>
  <c r="BX1419" i="8"/>
  <c r="BW1419" i="8"/>
  <c r="BV1419" i="8"/>
  <c r="BU1419" i="8"/>
  <c r="BT1419" i="8"/>
  <c r="BS1419" i="8"/>
  <c r="BR1419" i="8"/>
  <c r="BQ1419" i="8"/>
  <c r="BP1419" i="8"/>
  <c r="BO1419" i="8"/>
  <c r="BN1419" i="8"/>
  <c r="BM1419" i="8"/>
  <c r="BL1419" i="8"/>
  <c r="BK1419" i="8"/>
  <c r="BJ1419" i="8"/>
  <c r="BI1419" i="8"/>
  <c r="BH1419" i="8"/>
  <c r="CJ1418" i="8"/>
  <c r="CI1418" i="8"/>
  <c r="CH1418" i="8"/>
  <c r="CG1418" i="8"/>
  <c r="CF1418" i="8"/>
  <c r="CE1418" i="8"/>
  <c r="CD1418" i="8"/>
  <c r="CC1418" i="8"/>
  <c r="CB1418" i="8"/>
  <c r="CA1418" i="8"/>
  <c r="BZ1418" i="8"/>
  <c r="BY1418" i="8"/>
  <c r="BX1418" i="8"/>
  <c r="BW1418" i="8"/>
  <c r="BV1418" i="8"/>
  <c r="BU1418" i="8"/>
  <c r="BT1418" i="8"/>
  <c r="BS1418" i="8"/>
  <c r="BR1418" i="8"/>
  <c r="BQ1418" i="8"/>
  <c r="BP1418" i="8"/>
  <c r="BO1418" i="8"/>
  <c r="BN1418" i="8"/>
  <c r="BM1418" i="8"/>
  <c r="BL1418" i="8"/>
  <c r="BK1418" i="8"/>
  <c r="BJ1418" i="8"/>
  <c r="BI1418" i="8"/>
  <c r="BH1418" i="8"/>
  <c r="CJ1417" i="8"/>
  <c r="CI1417" i="8"/>
  <c r="CH1417" i="8"/>
  <c r="CG1417" i="8"/>
  <c r="CF1417" i="8"/>
  <c r="CE1417" i="8"/>
  <c r="CD1417" i="8"/>
  <c r="CC1417" i="8"/>
  <c r="CB1417" i="8"/>
  <c r="CA1417" i="8"/>
  <c r="BZ1417" i="8"/>
  <c r="BY1417" i="8"/>
  <c r="BX1417" i="8"/>
  <c r="BW1417" i="8"/>
  <c r="BV1417" i="8"/>
  <c r="BU1417" i="8"/>
  <c r="BT1417" i="8"/>
  <c r="BS1417" i="8"/>
  <c r="BR1417" i="8"/>
  <c r="BQ1417" i="8"/>
  <c r="BP1417" i="8"/>
  <c r="BO1417" i="8"/>
  <c r="BN1417" i="8"/>
  <c r="BM1417" i="8"/>
  <c r="BL1417" i="8"/>
  <c r="BK1417" i="8"/>
  <c r="BJ1417" i="8"/>
  <c r="BI1417" i="8"/>
  <c r="BH1417" i="8"/>
  <c r="CJ1416" i="8"/>
  <c r="CI1416" i="8"/>
  <c r="CH1416" i="8"/>
  <c r="CG1416" i="8"/>
  <c r="CF1416" i="8"/>
  <c r="CE1416" i="8"/>
  <c r="CD1416" i="8"/>
  <c r="CC1416" i="8"/>
  <c r="CB1416" i="8"/>
  <c r="CA1416" i="8"/>
  <c r="BZ1416" i="8"/>
  <c r="BY1416" i="8"/>
  <c r="BX1416" i="8"/>
  <c r="BW1416" i="8"/>
  <c r="BV1416" i="8"/>
  <c r="BU1416" i="8"/>
  <c r="BT1416" i="8"/>
  <c r="BS1416" i="8"/>
  <c r="BR1416" i="8"/>
  <c r="BQ1416" i="8"/>
  <c r="BP1416" i="8"/>
  <c r="BO1416" i="8"/>
  <c r="BN1416" i="8"/>
  <c r="BM1416" i="8"/>
  <c r="BL1416" i="8"/>
  <c r="BK1416" i="8"/>
  <c r="BJ1416" i="8"/>
  <c r="BI1416" i="8"/>
  <c r="BH1416" i="8"/>
  <c r="CJ1415" i="8"/>
  <c r="CI1415" i="8"/>
  <c r="CH1415" i="8"/>
  <c r="CG1415" i="8"/>
  <c r="CF1415" i="8"/>
  <c r="CE1415" i="8"/>
  <c r="CD1415" i="8"/>
  <c r="CC1415" i="8"/>
  <c r="CB1415" i="8"/>
  <c r="CA1415" i="8"/>
  <c r="BZ1415" i="8"/>
  <c r="BY1415" i="8"/>
  <c r="BX1415" i="8"/>
  <c r="BW1415" i="8"/>
  <c r="BV1415" i="8"/>
  <c r="BU1415" i="8"/>
  <c r="BT1415" i="8"/>
  <c r="BS1415" i="8"/>
  <c r="BR1415" i="8"/>
  <c r="BQ1415" i="8"/>
  <c r="BP1415" i="8"/>
  <c r="BO1415" i="8"/>
  <c r="BN1415" i="8"/>
  <c r="BM1415" i="8"/>
  <c r="BL1415" i="8"/>
  <c r="BK1415" i="8"/>
  <c r="BJ1415" i="8"/>
  <c r="BI1415" i="8"/>
  <c r="BH1415" i="8"/>
  <c r="CJ1414" i="8"/>
  <c r="CI1414" i="8"/>
  <c r="CH1414" i="8"/>
  <c r="CG1414" i="8"/>
  <c r="CF1414" i="8"/>
  <c r="CE1414" i="8"/>
  <c r="CD1414" i="8"/>
  <c r="CC1414" i="8"/>
  <c r="CB1414" i="8"/>
  <c r="CA1414" i="8"/>
  <c r="BZ1414" i="8"/>
  <c r="BY1414" i="8"/>
  <c r="BX1414" i="8"/>
  <c r="BW1414" i="8"/>
  <c r="BV1414" i="8"/>
  <c r="BU1414" i="8"/>
  <c r="BT1414" i="8"/>
  <c r="BS1414" i="8"/>
  <c r="BR1414" i="8"/>
  <c r="BQ1414" i="8"/>
  <c r="BP1414" i="8"/>
  <c r="BO1414" i="8"/>
  <c r="BN1414" i="8"/>
  <c r="BM1414" i="8"/>
  <c r="BL1414" i="8"/>
  <c r="BK1414" i="8"/>
  <c r="BJ1414" i="8"/>
  <c r="BI1414" i="8"/>
  <c r="BH1414" i="8"/>
  <c r="CJ1413" i="8"/>
  <c r="CI1413" i="8"/>
  <c r="CH1413" i="8"/>
  <c r="CG1413" i="8"/>
  <c r="CF1413" i="8"/>
  <c r="CE1413" i="8"/>
  <c r="CD1413" i="8"/>
  <c r="CC1413" i="8"/>
  <c r="CB1413" i="8"/>
  <c r="CA1413" i="8"/>
  <c r="BZ1413" i="8"/>
  <c r="BY1413" i="8"/>
  <c r="BX1413" i="8"/>
  <c r="BW1413" i="8"/>
  <c r="BV1413" i="8"/>
  <c r="BU1413" i="8"/>
  <c r="BT1413" i="8"/>
  <c r="BS1413" i="8"/>
  <c r="BR1413" i="8"/>
  <c r="BQ1413" i="8"/>
  <c r="BP1413" i="8"/>
  <c r="BO1413" i="8"/>
  <c r="BN1413" i="8"/>
  <c r="BM1413" i="8"/>
  <c r="BL1413" i="8"/>
  <c r="BK1413" i="8"/>
  <c r="BJ1413" i="8"/>
  <c r="BI1413" i="8"/>
  <c r="BH1413" i="8"/>
  <c r="CJ1412" i="8"/>
  <c r="CI1412" i="8"/>
  <c r="CH1412" i="8"/>
  <c r="CG1412" i="8"/>
  <c r="CF1412" i="8"/>
  <c r="CE1412" i="8"/>
  <c r="CD1412" i="8"/>
  <c r="CC1412" i="8"/>
  <c r="CB1412" i="8"/>
  <c r="CA1412" i="8"/>
  <c r="BZ1412" i="8"/>
  <c r="BY1412" i="8"/>
  <c r="BX1412" i="8"/>
  <c r="BW1412" i="8"/>
  <c r="BV1412" i="8"/>
  <c r="BU1412" i="8"/>
  <c r="BT1412" i="8"/>
  <c r="BS1412" i="8"/>
  <c r="BR1412" i="8"/>
  <c r="BQ1412" i="8"/>
  <c r="BP1412" i="8"/>
  <c r="BO1412" i="8"/>
  <c r="BN1412" i="8"/>
  <c r="BM1412" i="8"/>
  <c r="BL1412" i="8"/>
  <c r="BK1412" i="8"/>
  <c r="BJ1412" i="8"/>
  <c r="BI1412" i="8"/>
  <c r="BH1412" i="8"/>
  <c r="CJ1411" i="8"/>
  <c r="CI1411" i="8"/>
  <c r="CH1411" i="8"/>
  <c r="CG1411" i="8"/>
  <c r="CF1411" i="8"/>
  <c r="CE1411" i="8"/>
  <c r="CD1411" i="8"/>
  <c r="CC1411" i="8"/>
  <c r="CB1411" i="8"/>
  <c r="CA1411" i="8"/>
  <c r="BZ1411" i="8"/>
  <c r="BY1411" i="8"/>
  <c r="BX1411" i="8"/>
  <c r="BW1411" i="8"/>
  <c r="BV1411" i="8"/>
  <c r="BU1411" i="8"/>
  <c r="BT1411" i="8"/>
  <c r="BS1411" i="8"/>
  <c r="BR1411" i="8"/>
  <c r="BQ1411" i="8"/>
  <c r="BP1411" i="8"/>
  <c r="BO1411" i="8"/>
  <c r="BN1411" i="8"/>
  <c r="BM1411" i="8"/>
  <c r="BL1411" i="8"/>
  <c r="BK1411" i="8"/>
  <c r="BJ1411" i="8"/>
  <c r="BI1411" i="8"/>
  <c r="BH1411" i="8"/>
  <c r="CJ1410" i="8"/>
  <c r="CI1410" i="8"/>
  <c r="CH1410" i="8"/>
  <c r="CG1410" i="8"/>
  <c r="CF1410" i="8"/>
  <c r="CE1410" i="8"/>
  <c r="CD1410" i="8"/>
  <c r="CC1410" i="8"/>
  <c r="CB1410" i="8"/>
  <c r="CA1410" i="8"/>
  <c r="BZ1410" i="8"/>
  <c r="BY1410" i="8"/>
  <c r="BX1410" i="8"/>
  <c r="BW1410" i="8"/>
  <c r="BV1410" i="8"/>
  <c r="BU1410" i="8"/>
  <c r="BT1410" i="8"/>
  <c r="BS1410" i="8"/>
  <c r="BR1410" i="8"/>
  <c r="BQ1410" i="8"/>
  <c r="BP1410" i="8"/>
  <c r="BO1410" i="8"/>
  <c r="BN1410" i="8"/>
  <c r="BM1410" i="8"/>
  <c r="BL1410" i="8"/>
  <c r="BK1410" i="8"/>
  <c r="BJ1410" i="8"/>
  <c r="BI1410" i="8"/>
  <c r="BH1410" i="8"/>
  <c r="CJ1409" i="8"/>
  <c r="CI1409" i="8"/>
  <c r="CH1409" i="8"/>
  <c r="CG1409" i="8"/>
  <c r="CF1409" i="8"/>
  <c r="CE1409" i="8"/>
  <c r="CD1409" i="8"/>
  <c r="CC1409" i="8"/>
  <c r="CB1409" i="8"/>
  <c r="CA1409" i="8"/>
  <c r="BZ1409" i="8"/>
  <c r="BY1409" i="8"/>
  <c r="BX1409" i="8"/>
  <c r="BW1409" i="8"/>
  <c r="BV1409" i="8"/>
  <c r="BU1409" i="8"/>
  <c r="BT1409" i="8"/>
  <c r="BS1409" i="8"/>
  <c r="BR1409" i="8"/>
  <c r="BQ1409" i="8"/>
  <c r="BP1409" i="8"/>
  <c r="BO1409" i="8"/>
  <c r="BN1409" i="8"/>
  <c r="BM1409" i="8"/>
  <c r="BL1409" i="8"/>
  <c r="BK1409" i="8"/>
  <c r="BJ1409" i="8"/>
  <c r="BI1409" i="8"/>
  <c r="BH1409" i="8"/>
  <c r="CJ1408" i="8"/>
  <c r="CI1408" i="8"/>
  <c r="CH1408" i="8"/>
  <c r="CG1408" i="8"/>
  <c r="CF1408" i="8"/>
  <c r="CE1408" i="8"/>
  <c r="CD1408" i="8"/>
  <c r="CC1408" i="8"/>
  <c r="CB1408" i="8"/>
  <c r="CA1408" i="8"/>
  <c r="BZ1408" i="8"/>
  <c r="BY1408" i="8"/>
  <c r="BX1408" i="8"/>
  <c r="BW1408" i="8"/>
  <c r="BV1408" i="8"/>
  <c r="BU1408" i="8"/>
  <c r="BT1408" i="8"/>
  <c r="BS1408" i="8"/>
  <c r="BR1408" i="8"/>
  <c r="BQ1408" i="8"/>
  <c r="BP1408" i="8"/>
  <c r="BO1408" i="8"/>
  <c r="BN1408" i="8"/>
  <c r="BM1408" i="8"/>
  <c r="BL1408" i="8"/>
  <c r="BK1408" i="8"/>
  <c r="BJ1408" i="8"/>
  <c r="BI1408" i="8"/>
  <c r="BH1408" i="8"/>
  <c r="CJ1407" i="8"/>
  <c r="CI1407" i="8"/>
  <c r="CH1407" i="8"/>
  <c r="CG1407" i="8"/>
  <c r="CF1407" i="8"/>
  <c r="CE1407" i="8"/>
  <c r="CD1407" i="8"/>
  <c r="CC1407" i="8"/>
  <c r="CB1407" i="8"/>
  <c r="CA1407" i="8"/>
  <c r="BZ1407" i="8"/>
  <c r="BY1407" i="8"/>
  <c r="BX1407" i="8"/>
  <c r="BW1407" i="8"/>
  <c r="BV1407" i="8"/>
  <c r="BU1407" i="8"/>
  <c r="BT1407" i="8"/>
  <c r="BS1407" i="8"/>
  <c r="BR1407" i="8"/>
  <c r="BQ1407" i="8"/>
  <c r="BP1407" i="8"/>
  <c r="BO1407" i="8"/>
  <c r="BN1407" i="8"/>
  <c r="BM1407" i="8"/>
  <c r="BL1407" i="8"/>
  <c r="BK1407" i="8"/>
  <c r="BJ1407" i="8"/>
  <c r="BI1407" i="8"/>
  <c r="BH1407" i="8"/>
  <c r="CJ1406" i="8"/>
  <c r="CI1406" i="8"/>
  <c r="CH1406" i="8"/>
  <c r="CG1406" i="8"/>
  <c r="CF1406" i="8"/>
  <c r="CE1406" i="8"/>
  <c r="CD1406" i="8"/>
  <c r="CC1406" i="8"/>
  <c r="CB1406" i="8"/>
  <c r="CA1406" i="8"/>
  <c r="BZ1406" i="8"/>
  <c r="BY1406" i="8"/>
  <c r="BX1406" i="8"/>
  <c r="BW1406" i="8"/>
  <c r="BV1406" i="8"/>
  <c r="BU1406" i="8"/>
  <c r="BT1406" i="8"/>
  <c r="BS1406" i="8"/>
  <c r="BR1406" i="8"/>
  <c r="BQ1406" i="8"/>
  <c r="BP1406" i="8"/>
  <c r="BO1406" i="8"/>
  <c r="BN1406" i="8"/>
  <c r="BM1406" i="8"/>
  <c r="BL1406" i="8"/>
  <c r="BK1406" i="8"/>
  <c r="BJ1406" i="8"/>
  <c r="BI1406" i="8"/>
  <c r="BH1406" i="8"/>
  <c r="CJ1405" i="8"/>
  <c r="CI1405" i="8"/>
  <c r="CH1405" i="8"/>
  <c r="CG1405" i="8"/>
  <c r="CF1405" i="8"/>
  <c r="CE1405" i="8"/>
  <c r="CD1405" i="8"/>
  <c r="CC1405" i="8"/>
  <c r="CB1405" i="8"/>
  <c r="CA1405" i="8"/>
  <c r="BZ1405" i="8"/>
  <c r="BY1405" i="8"/>
  <c r="BX1405" i="8"/>
  <c r="BW1405" i="8"/>
  <c r="BV1405" i="8"/>
  <c r="BU1405" i="8"/>
  <c r="BT1405" i="8"/>
  <c r="BS1405" i="8"/>
  <c r="BR1405" i="8"/>
  <c r="BQ1405" i="8"/>
  <c r="BP1405" i="8"/>
  <c r="BO1405" i="8"/>
  <c r="BN1405" i="8"/>
  <c r="BM1405" i="8"/>
  <c r="BL1405" i="8"/>
  <c r="BK1405" i="8"/>
  <c r="BJ1405" i="8"/>
  <c r="BI1405" i="8"/>
  <c r="BH1405" i="8"/>
  <c r="CJ1404" i="8"/>
  <c r="CI1404" i="8"/>
  <c r="CH1404" i="8"/>
  <c r="CG1404" i="8"/>
  <c r="CF1404" i="8"/>
  <c r="CE1404" i="8"/>
  <c r="CD1404" i="8"/>
  <c r="CC1404" i="8"/>
  <c r="CB1404" i="8"/>
  <c r="CA1404" i="8"/>
  <c r="BZ1404" i="8"/>
  <c r="BY1404" i="8"/>
  <c r="BX1404" i="8"/>
  <c r="BW1404" i="8"/>
  <c r="BV1404" i="8"/>
  <c r="BU1404" i="8"/>
  <c r="BT1404" i="8"/>
  <c r="BS1404" i="8"/>
  <c r="BR1404" i="8"/>
  <c r="BQ1404" i="8"/>
  <c r="BP1404" i="8"/>
  <c r="BO1404" i="8"/>
  <c r="BN1404" i="8"/>
  <c r="BM1404" i="8"/>
  <c r="BL1404" i="8"/>
  <c r="BK1404" i="8"/>
  <c r="BJ1404" i="8"/>
  <c r="BI1404" i="8"/>
  <c r="BH1404" i="8"/>
  <c r="CJ1403" i="8"/>
  <c r="CI1403" i="8"/>
  <c r="CH1403" i="8"/>
  <c r="CG1403" i="8"/>
  <c r="CF1403" i="8"/>
  <c r="CE1403" i="8"/>
  <c r="CD1403" i="8"/>
  <c r="CC1403" i="8"/>
  <c r="CB1403" i="8"/>
  <c r="CA1403" i="8"/>
  <c r="BZ1403" i="8"/>
  <c r="BY1403" i="8"/>
  <c r="BX1403" i="8"/>
  <c r="BW1403" i="8"/>
  <c r="BV1403" i="8"/>
  <c r="BU1403" i="8"/>
  <c r="BT1403" i="8"/>
  <c r="BS1403" i="8"/>
  <c r="BR1403" i="8"/>
  <c r="BQ1403" i="8"/>
  <c r="BP1403" i="8"/>
  <c r="BO1403" i="8"/>
  <c r="BN1403" i="8"/>
  <c r="BM1403" i="8"/>
  <c r="BL1403" i="8"/>
  <c r="BK1403" i="8"/>
  <c r="BJ1403" i="8"/>
  <c r="BI1403" i="8"/>
  <c r="BH1403" i="8"/>
  <c r="CJ1402" i="8"/>
  <c r="CI1402" i="8"/>
  <c r="CH1402" i="8"/>
  <c r="CG1402" i="8"/>
  <c r="CF1402" i="8"/>
  <c r="CE1402" i="8"/>
  <c r="CD1402" i="8"/>
  <c r="CC1402" i="8"/>
  <c r="CB1402" i="8"/>
  <c r="CA1402" i="8"/>
  <c r="BZ1402" i="8"/>
  <c r="BY1402" i="8"/>
  <c r="BX1402" i="8"/>
  <c r="BW1402" i="8"/>
  <c r="BV1402" i="8"/>
  <c r="BU1402" i="8"/>
  <c r="BT1402" i="8"/>
  <c r="BS1402" i="8"/>
  <c r="BR1402" i="8"/>
  <c r="BQ1402" i="8"/>
  <c r="BP1402" i="8"/>
  <c r="BO1402" i="8"/>
  <c r="BN1402" i="8"/>
  <c r="BM1402" i="8"/>
  <c r="BL1402" i="8"/>
  <c r="BK1402" i="8"/>
  <c r="BJ1402" i="8"/>
  <c r="BI1402" i="8"/>
  <c r="BH1402" i="8"/>
  <c r="CJ1401" i="8"/>
  <c r="CI1401" i="8"/>
  <c r="CH1401" i="8"/>
  <c r="CG1401" i="8"/>
  <c r="CF1401" i="8"/>
  <c r="CE1401" i="8"/>
  <c r="CD1401" i="8"/>
  <c r="CC1401" i="8"/>
  <c r="CB1401" i="8"/>
  <c r="CA1401" i="8"/>
  <c r="BZ1401" i="8"/>
  <c r="BY1401" i="8"/>
  <c r="BX1401" i="8"/>
  <c r="BW1401" i="8"/>
  <c r="BV1401" i="8"/>
  <c r="BU1401" i="8"/>
  <c r="BT1401" i="8"/>
  <c r="BS1401" i="8"/>
  <c r="BR1401" i="8"/>
  <c r="BQ1401" i="8"/>
  <c r="BP1401" i="8"/>
  <c r="BO1401" i="8"/>
  <c r="BN1401" i="8"/>
  <c r="BM1401" i="8"/>
  <c r="BL1401" i="8"/>
  <c r="BK1401" i="8"/>
  <c r="BJ1401" i="8"/>
  <c r="BI1401" i="8"/>
  <c r="BH1401" i="8"/>
  <c r="CJ1400" i="8"/>
  <c r="CI1400" i="8"/>
  <c r="CH1400" i="8"/>
  <c r="CG1400" i="8"/>
  <c r="CF1400" i="8"/>
  <c r="CE1400" i="8"/>
  <c r="CD1400" i="8"/>
  <c r="CC1400" i="8"/>
  <c r="CB1400" i="8"/>
  <c r="CA1400" i="8"/>
  <c r="BZ1400" i="8"/>
  <c r="BY1400" i="8"/>
  <c r="BX1400" i="8"/>
  <c r="BW1400" i="8"/>
  <c r="BV1400" i="8"/>
  <c r="BU1400" i="8"/>
  <c r="BT1400" i="8"/>
  <c r="BS1400" i="8"/>
  <c r="BR1400" i="8"/>
  <c r="BQ1400" i="8"/>
  <c r="BP1400" i="8"/>
  <c r="BO1400" i="8"/>
  <c r="BN1400" i="8"/>
  <c r="BM1400" i="8"/>
  <c r="BL1400" i="8"/>
  <c r="BK1400" i="8"/>
  <c r="BJ1400" i="8"/>
  <c r="BI1400" i="8"/>
  <c r="BH1400" i="8"/>
  <c r="CJ1399" i="8"/>
  <c r="CI1399" i="8"/>
  <c r="CH1399" i="8"/>
  <c r="CG1399" i="8"/>
  <c r="CF1399" i="8"/>
  <c r="CE1399" i="8"/>
  <c r="CD1399" i="8"/>
  <c r="CC1399" i="8"/>
  <c r="CB1399" i="8"/>
  <c r="CA1399" i="8"/>
  <c r="BZ1399" i="8"/>
  <c r="BY1399" i="8"/>
  <c r="BX1399" i="8"/>
  <c r="BW1399" i="8"/>
  <c r="BV1399" i="8"/>
  <c r="BU1399" i="8"/>
  <c r="BT1399" i="8"/>
  <c r="BS1399" i="8"/>
  <c r="BR1399" i="8"/>
  <c r="BQ1399" i="8"/>
  <c r="BP1399" i="8"/>
  <c r="BO1399" i="8"/>
  <c r="BN1399" i="8"/>
  <c r="BM1399" i="8"/>
  <c r="BL1399" i="8"/>
  <c r="BK1399" i="8"/>
  <c r="BJ1399" i="8"/>
  <c r="BI1399" i="8"/>
  <c r="BH1399" i="8"/>
  <c r="CJ1398" i="8"/>
  <c r="CI1398" i="8"/>
  <c r="CH1398" i="8"/>
  <c r="CG1398" i="8"/>
  <c r="CF1398" i="8"/>
  <c r="CE1398" i="8"/>
  <c r="CD1398" i="8"/>
  <c r="CC1398" i="8"/>
  <c r="CB1398" i="8"/>
  <c r="CA1398" i="8"/>
  <c r="BZ1398" i="8"/>
  <c r="BY1398" i="8"/>
  <c r="BX1398" i="8"/>
  <c r="BW1398" i="8"/>
  <c r="BV1398" i="8"/>
  <c r="BU1398" i="8"/>
  <c r="BT1398" i="8"/>
  <c r="BS1398" i="8"/>
  <c r="BR1398" i="8"/>
  <c r="BQ1398" i="8"/>
  <c r="BP1398" i="8"/>
  <c r="BO1398" i="8"/>
  <c r="BN1398" i="8"/>
  <c r="BM1398" i="8"/>
  <c r="BL1398" i="8"/>
  <c r="BK1398" i="8"/>
  <c r="BJ1398" i="8"/>
  <c r="BI1398" i="8"/>
  <c r="BH1398" i="8"/>
  <c r="CJ1397" i="8"/>
  <c r="CI1397" i="8"/>
  <c r="CH1397" i="8"/>
  <c r="CG1397" i="8"/>
  <c r="CF1397" i="8"/>
  <c r="CE1397" i="8"/>
  <c r="CD1397" i="8"/>
  <c r="CC1397" i="8"/>
  <c r="CB1397" i="8"/>
  <c r="CA1397" i="8"/>
  <c r="BZ1397" i="8"/>
  <c r="BY1397" i="8"/>
  <c r="BX1397" i="8"/>
  <c r="BW1397" i="8"/>
  <c r="BV1397" i="8"/>
  <c r="BU1397" i="8"/>
  <c r="BT1397" i="8"/>
  <c r="BS1397" i="8"/>
  <c r="BR1397" i="8"/>
  <c r="BQ1397" i="8"/>
  <c r="BP1397" i="8"/>
  <c r="BO1397" i="8"/>
  <c r="BN1397" i="8"/>
  <c r="BM1397" i="8"/>
  <c r="BL1397" i="8"/>
  <c r="BK1397" i="8"/>
  <c r="BJ1397" i="8"/>
  <c r="BI1397" i="8"/>
  <c r="BH1397" i="8"/>
  <c r="CJ1396" i="8"/>
  <c r="CI1396" i="8"/>
  <c r="CH1396" i="8"/>
  <c r="CG1396" i="8"/>
  <c r="CF1396" i="8"/>
  <c r="CE1396" i="8"/>
  <c r="CD1396" i="8"/>
  <c r="CC1396" i="8"/>
  <c r="CB1396" i="8"/>
  <c r="CA1396" i="8"/>
  <c r="BZ1396" i="8"/>
  <c r="BY1396" i="8"/>
  <c r="BX1396" i="8"/>
  <c r="BW1396" i="8"/>
  <c r="BV1396" i="8"/>
  <c r="BU1396" i="8"/>
  <c r="BT1396" i="8"/>
  <c r="BS1396" i="8"/>
  <c r="BR1396" i="8"/>
  <c r="BQ1396" i="8"/>
  <c r="BP1396" i="8"/>
  <c r="BO1396" i="8"/>
  <c r="BN1396" i="8"/>
  <c r="BM1396" i="8"/>
  <c r="BL1396" i="8"/>
  <c r="BK1396" i="8"/>
  <c r="BJ1396" i="8"/>
  <c r="BI1396" i="8"/>
  <c r="BH1396" i="8"/>
  <c r="CJ1395" i="8"/>
  <c r="CI1395" i="8"/>
  <c r="CH1395" i="8"/>
  <c r="CG1395" i="8"/>
  <c r="CF1395" i="8"/>
  <c r="CE1395" i="8"/>
  <c r="CD1395" i="8"/>
  <c r="CC1395" i="8"/>
  <c r="CB1395" i="8"/>
  <c r="CA1395" i="8"/>
  <c r="BZ1395" i="8"/>
  <c r="BY1395" i="8"/>
  <c r="BX1395" i="8"/>
  <c r="BW1395" i="8"/>
  <c r="BV1395" i="8"/>
  <c r="BU1395" i="8"/>
  <c r="BT1395" i="8"/>
  <c r="BS1395" i="8"/>
  <c r="BR1395" i="8"/>
  <c r="BQ1395" i="8"/>
  <c r="BP1395" i="8"/>
  <c r="BO1395" i="8"/>
  <c r="BN1395" i="8"/>
  <c r="BM1395" i="8"/>
  <c r="BL1395" i="8"/>
  <c r="BK1395" i="8"/>
  <c r="BJ1395" i="8"/>
  <c r="BI1395" i="8"/>
  <c r="BH1395" i="8"/>
  <c r="CJ1394" i="8"/>
  <c r="CI1394" i="8"/>
  <c r="CH1394" i="8"/>
  <c r="CG1394" i="8"/>
  <c r="CF1394" i="8"/>
  <c r="CE1394" i="8"/>
  <c r="CD1394" i="8"/>
  <c r="CC1394" i="8"/>
  <c r="CB1394" i="8"/>
  <c r="CA1394" i="8"/>
  <c r="BZ1394" i="8"/>
  <c r="BY1394" i="8"/>
  <c r="BX1394" i="8"/>
  <c r="BW1394" i="8"/>
  <c r="BV1394" i="8"/>
  <c r="BU1394" i="8"/>
  <c r="BT1394" i="8"/>
  <c r="BS1394" i="8"/>
  <c r="BR1394" i="8"/>
  <c r="BQ1394" i="8"/>
  <c r="BP1394" i="8"/>
  <c r="BO1394" i="8"/>
  <c r="BN1394" i="8"/>
  <c r="BM1394" i="8"/>
  <c r="BL1394" i="8"/>
  <c r="BK1394" i="8"/>
  <c r="BJ1394" i="8"/>
  <c r="BI1394" i="8"/>
  <c r="BH1394" i="8"/>
  <c r="CJ1393" i="8"/>
  <c r="CI1393" i="8"/>
  <c r="CH1393" i="8"/>
  <c r="CG1393" i="8"/>
  <c r="CF1393" i="8"/>
  <c r="CE1393" i="8"/>
  <c r="CD1393" i="8"/>
  <c r="CC1393" i="8"/>
  <c r="CB1393" i="8"/>
  <c r="CA1393" i="8"/>
  <c r="BZ1393" i="8"/>
  <c r="BY1393" i="8"/>
  <c r="BX1393" i="8"/>
  <c r="BW1393" i="8"/>
  <c r="BV1393" i="8"/>
  <c r="BU1393" i="8"/>
  <c r="BT1393" i="8"/>
  <c r="BS1393" i="8"/>
  <c r="BR1393" i="8"/>
  <c r="BQ1393" i="8"/>
  <c r="BP1393" i="8"/>
  <c r="BO1393" i="8"/>
  <c r="BN1393" i="8"/>
  <c r="BM1393" i="8"/>
  <c r="BL1393" i="8"/>
  <c r="BK1393" i="8"/>
  <c r="BJ1393" i="8"/>
  <c r="BI1393" i="8"/>
  <c r="BH1393" i="8"/>
  <c r="CJ1392" i="8"/>
  <c r="CI1392" i="8"/>
  <c r="CH1392" i="8"/>
  <c r="CG1392" i="8"/>
  <c r="CF1392" i="8"/>
  <c r="CE1392" i="8"/>
  <c r="CD1392" i="8"/>
  <c r="CC1392" i="8"/>
  <c r="CB1392" i="8"/>
  <c r="CA1392" i="8"/>
  <c r="BZ1392" i="8"/>
  <c r="BY1392" i="8"/>
  <c r="BX1392" i="8"/>
  <c r="BW1392" i="8"/>
  <c r="BV1392" i="8"/>
  <c r="BU1392" i="8"/>
  <c r="BT1392" i="8"/>
  <c r="BS1392" i="8"/>
  <c r="BR1392" i="8"/>
  <c r="BQ1392" i="8"/>
  <c r="BP1392" i="8"/>
  <c r="BO1392" i="8"/>
  <c r="BN1392" i="8"/>
  <c r="BM1392" i="8"/>
  <c r="BL1392" i="8"/>
  <c r="BK1392" i="8"/>
  <c r="BJ1392" i="8"/>
  <c r="BI1392" i="8"/>
  <c r="BH1392" i="8"/>
  <c r="CJ1391" i="8"/>
  <c r="CI1391" i="8"/>
  <c r="CH1391" i="8"/>
  <c r="CG1391" i="8"/>
  <c r="CF1391" i="8"/>
  <c r="CE1391" i="8"/>
  <c r="CD1391" i="8"/>
  <c r="CC1391" i="8"/>
  <c r="CB1391" i="8"/>
  <c r="CA1391" i="8"/>
  <c r="BZ1391" i="8"/>
  <c r="BY1391" i="8"/>
  <c r="BX1391" i="8"/>
  <c r="BW1391" i="8"/>
  <c r="BV1391" i="8"/>
  <c r="BU1391" i="8"/>
  <c r="BT1391" i="8"/>
  <c r="BS1391" i="8"/>
  <c r="BR1391" i="8"/>
  <c r="BQ1391" i="8"/>
  <c r="BP1391" i="8"/>
  <c r="BO1391" i="8"/>
  <c r="BN1391" i="8"/>
  <c r="BM1391" i="8"/>
  <c r="BL1391" i="8"/>
  <c r="BK1391" i="8"/>
  <c r="BJ1391" i="8"/>
  <c r="BI1391" i="8"/>
  <c r="BH1391" i="8"/>
  <c r="CJ1390" i="8"/>
  <c r="CI1390" i="8"/>
  <c r="CH1390" i="8"/>
  <c r="CG1390" i="8"/>
  <c r="CF1390" i="8"/>
  <c r="CE1390" i="8"/>
  <c r="CD1390" i="8"/>
  <c r="CC1390" i="8"/>
  <c r="CB1390" i="8"/>
  <c r="CA1390" i="8"/>
  <c r="BZ1390" i="8"/>
  <c r="BY1390" i="8"/>
  <c r="BX1390" i="8"/>
  <c r="BW1390" i="8"/>
  <c r="BV1390" i="8"/>
  <c r="BU1390" i="8"/>
  <c r="BT1390" i="8"/>
  <c r="BS1390" i="8"/>
  <c r="BR1390" i="8"/>
  <c r="BQ1390" i="8"/>
  <c r="BP1390" i="8"/>
  <c r="BO1390" i="8"/>
  <c r="BN1390" i="8"/>
  <c r="BM1390" i="8"/>
  <c r="BL1390" i="8"/>
  <c r="BK1390" i="8"/>
  <c r="BJ1390" i="8"/>
  <c r="BI1390" i="8"/>
  <c r="BH1390" i="8"/>
  <c r="CJ1389" i="8"/>
  <c r="CI1389" i="8"/>
  <c r="CH1389" i="8"/>
  <c r="CG1389" i="8"/>
  <c r="CF1389" i="8"/>
  <c r="CE1389" i="8"/>
  <c r="CD1389" i="8"/>
  <c r="CC1389" i="8"/>
  <c r="CB1389" i="8"/>
  <c r="CA1389" i="8"/>
  <c r="BZ1389" i="8"/>
  <c r="BY1389" i="8"/>
  <c r="BX1389" i="8"/>
  <c r="BW1389" i="8"/>
  <c r="BV1389" i="8"/>
  <c r="BU1389" i="8"/>
  <c r="BT1389" i="8"/>
  <c r="BS1389" i="8"/>
  <c r="BR1389" i="8"/>
  <c r="BQ1389" i="8"/>
  <c r="BP1389" i="8"/>
  <c r="BO1389" i="8"/>
  <c r="BN1389" i="8"/>
  <c r="BM1389" i="8"/>
  <c r="BL1389" i="8"/>
  <c r="BK1389" i="8"/>
  <c r="BJ1389" i="8"/>
  <c r="BI1389" i="8"/>
  <c r="BH1389" i="8"/>
  <c r="CJ1388" i="8"/>
  <c r="CI1388" i="8"/>
  <c r="CH1388" i="8"/>
  <c r="CG1388" i="8"/>
  <c r="CF1388" i="8"/>
  <c r="CE1388" i="8"/>
  <c r="CD1388" i="8"/>
  <c r="CC1388" i="8"/>
  <c r="CB1388" i="8"/>
  <c r="CA1388" i="8"/>
  <c r="BZ1388" i="8"/>
  <c r="BY1388" i="8"/>
  <c r="BX1388" i="8"/>
  <c r="BW1388" i="8"/>
  <c r="BV1388" i="8"/>
  <c r="BU1388" i="8"/>
  <c r="BT1388" i="8"/>
  <c r="BS1388" i="8"/>
  <c r="BR1388" i="8"/>
  <c r="BQ1388" i="8"/>
  <c r="BP1388" i="8"/>
  <c r="BO1388" i="8"/>
  <c r="BN1388" i="8"/>
  <c r="BM1388" i="8"/>
  <c r="BL1388" i="8"/>
  <c r="BK1388" i="8"/>
  <c r="BJ1388" i="8"/>
  <c r="BI1388" i="8"/>
  <c r="BH1388" i="8"/>
  <c r="CJ1387" i="8"/>
  <c r="CI1387" i="8"/>
  <c r="CH1387" i="8"/>
  <c r="CG1387" i="8"/>
  <c r="CF1387" i="8"/>
  <c r="CE1387" i="8"/>
  <c r="CD1387" i="8"/>
  <c r="CC1387" i="8"/>
  <c r="CB1387" i="8"/>
  <c r="CA1387" i="8"/>
  <c r="BZ1387" i="8"/>
  <c r="BY1387" i="8"/>
  <c r="BX1387" i="8"/>
  <c r="BW1387" i="8"/>
  <c r="BV1387" i="8"/>
  <c r="BU1387" i="8"/>
  <c r="BT1387" i="8"/>
  <c r="BS1387" i="8"/>
  <c r="BR1387" i="8"/>
  <c r="BQ1387" i="8"/>
  <c r="BP1387" i="8"/>
  <c r="BO1387" i="8"/>
  <c r="BN1387" i="8"/>
  <c r="BM1387" i="8"/>
  <c r="BL1387" i="8"/>
  <c r="BK1387" i="8"/>
  <c r="BJ1387" i="8"/>
  <c r="BI1387" i="8"/>
  <c r="BH1387" i="8"/>
  <c r="CJ1386" i="8"/>
  <c r="CI1386" i="8"/>
  <c r="CH1386" i="8"/>
  <c r="CG1386" i="8"/>
  <c r="CF1386" i="8"/>
  <c r="CE1386" i="8"/>
  <c r="CD1386" i="8"/>
  <c r="CC1386" i="8"/>
  <c r="CB1386" i="8"/>
  <c r="CA1386" i="8"/>
  <c r="BZ1386" i="8"/>
  <c r="BY1386" i="8"/>
  <c r="BX1386" i="8"/>
  <c r="BW1386" i="8"/>
  <c r="BV1386" i="8"/>
  <c r="BU1386" i="8"/>
  <c r="BT1386" i="8"/>
  <c r="BS1386" i="8"/>
  <c r="BR1386" i="8"/>
  <c r="BQ1386" i="8"/>
  <c r="BP1386" i="8"/>
  <c r="BO1386" i="8"/>
  <c r="BN1386" i="8"/>
  <c r="BM1386" i="8"/>
  <c r="BL1386" i="8"/>
  <c r="BK1386" i="8"/>
  <c r="BJ1386" i="8"/>
  <c r="BI1386" i="8"/>
  <c r="BH1386" i="8"/>
  <c r="CJ1385" i="8"/>
  <c r="CI1385" i="8"/>
  <c r="CH1385" i="8"/>
  <c r="CG1385" i="8"/>
  <c r="CF1385" i="8"/>
  <c r="CE1385" i="8"/>
  <c r="CD1385" i="8"/>
  <c r="CC1385" i="8"/>
  <c r="CB1385" i="8"/>
  <c r="CA1385" i="8"/>
  <c r="BZ1385" i="8"/>
  <c r="BY1385" i="8"/>
  <c r="BX1385" i="8"/>
  <c r="BW1385" i="8"/>
  <c r="BV1385" i="8"/>
  <c r="BU1385" i="8"/>
  <c r="BT1385" i="8"/>
  <c r="BS1385" i="8"/>
  <c r="BR1385" i="8"/>
  <c r="BQ1385" i="8"/>
  <c r="BP1385" i="8"/>
  <c r="BO1385" i="8"/>
  <c r="BN1385" i="8"/>
  <c r="BM1385" i="8"/>
  <c r="BL1385" i="8"/>
  <c r="BK1385" i="8"/>
  <c r="BJ1385" i="8"/>
  <c r="BI1385" i="8"/>
  <c r="BH1385" i="8"/>
  <c r="CJ1384" i="8"/>
  <c r="CI1384" i="8"/>
  <c r="CH1384" i="8"/>
  <c r="CG1384" i="8"/>
  <c r="CF1384" i="8"/>
  <c r="CE1384" i="8"/>
  <c r="CD1384" i="8"/>
  <c r="CC1384" i="8"/>
  <c r="CB1384" i="8"/>
  <c r="CA1384" i="8"/>
  <c r="BZ1384" i="8"/>
  <c r="BY1384" i="8"/>
  <c r="BX1384" i="8"/>
  <c r="BW1384" i="8"/>
  <c r="BV1384" i="8"/>
  <c r="BU1384" i="8"/>
  <c r="BT1384" i="8"/>
  <c r="BS1384" i="8"/>
  <c r="BR1384" i="8"/>
  <c r="BQ1384" i="8"/>
  <c r="BP1384" i="8"/>
  <c r="BO1384" i="8"/>
  <c r="BN1384" i="8"/>
  <c r="BM1384" i="8"/>
  <c r="BL1384" i="8"/>
  <c r="BK1384" i="8"/>
  <c r="BJ1384" i="8"/>
  <c r="BI1384" i="8"/>
  <c r="BH1384" i="8"/>
  <c r="CJ1383" i="8"/>
  <c r="CI1383" i="8"/>
  <c r="CH1383" i="8"/>
  <c r="CG1383" i="8"/>
  <c r="CF1383" i="8"/>
  <c r="CE1383" i="8"/>
  <c r="CD1383" i="8"/>
  <c r="CC1383" i="8"/>
  <c r="CB1383" i="8"/>
  <c r="CA1383" i="8"/>
  <c r="BZ1383" i="8"/>
  <c r="BY1383" i="8"/>
  <c r="BX1383" i="8"/>
  <c r="BW1383" i="8"/>
  <c r="BV1383" i="8"/>
  <c r="BU1383" i="8"/>
  <c r="BT1383" i="8"/>
  <c r="BS1383" i="8"/>
  <c r="BR1383" i="8"/>
  <c r="BQ1383" i="8"/>
  <c r="BP1383" i="8"/>
  <c r="BO1383" i="8"/>
  <c r="BN1383" i="8"/>
  <c r="BM1383" i="8"/>
  <c r="BL1383" i="8"/>
  <c r="BK1383" i="8"/>
  <c r="BJ1383" i="8"/>
  <c r="BI1383" i="8"/>
  <c r="BH1383" i="8"/>
  <c r="CJ1382" i="8"/>
  <c r="CI1382" i="8"/>
  <c r="CH1382" i="8"/>
  <c r="CG1382" i="8"/>
  <c r="CF1382" i="8"/>
  <c r="CE1382" i="8"/>
  <c r="CD1382" i="8"/>
  <c r="CC1382" i="8"/>
  <c r="CB1382" i="8"/>
  <c r="CA1382" i="8"/>
  <c r="BZ1382" i="8"/>
  <c r="BY1382" i="8"/>
  <c r="BX1382" i="8"/>
  <c r="BW1382" i="8"/>
  <c r="BV1382" i="8"/>
  <c r="BU1382" i="8"/>
  <c r="BT1382" i="8"/>
  <c r="BS1382" i="8"/>
  <c r="BR1382" i="8"/>
  <c r="BQ1382" i="8"/>
  <c r="BP1382" i="8"/>
  <c r="BO1382" i="8"/>
  <c r="BN1382" i="8"/>
  <c r="BM1382" i="8"/>
  <c r="BL1382" i="8"/>
  <c r="BK1382" i="8"/>
  <c r="BJ1382" i="8"/>
  <c r="BI1382" i="8"/>
  <c r="BH1382" i="8"/>
  <c r="CJ1381" i="8"/>
  <c r="CI1381" i="8"/>
  <c r="CH1381" i="8"/>
  <c r="CG1381" i="8"/>
  <c r="CF1381" i="8"/>
  <c r="CE1381" i="8"/>
  <c r="CD1381" i="8"/>
  <c r="CC1381" i="8"/>
  <c r="CB1381" i="8"/>
  <c r="CA1381" i="8"/>
  <c r="BZ1381" i="8"/>
  <c r="BY1381" i="8"/>
  <c r="BX1381" i="8"/>
  <c r="BW1381" i="8"/>
  <c r="BV1381" i="8"/>
  <c r="BU1381" i="8"/>
  <c r="BT1381" i="8"/>
  <c r="BS1381" i="8"/>
  <c r="BR1381" i="8"/>
  <c r="BQ1381" i="8"/>
  <c r="BP1381" i="8"/>
  <c r="BO1381" i="8"/>
  <c r="BN1381" i="8"/>
  <c r="BM1381" i="8"/>
  <c r="BL1381" i="8"/>
  <c r="BK1381" i="8"/>
  <c r="BJ1381" i="8"/>
  <c r="BI1381" i="8"/>
  <c r="BH1381" i="8"/>
  <c r="CJ1380" i="8"/>
  <c r="CI1380" i="8"/>
  <c r="CH1380" i="8"/>
  <c r="CG1380" i="8"/>
  <c r="CF1380" i="8"/>
  <c r="CE1380" i="8"/>
  <c r="CD1380" i="8"/>
  <c r="CC1380" i="8"/>
  <c r="CB1380" i="8"/>
  <c r="CA1380" i="8"/>
  <c r="BZ1380" i="8"/>
  <c r="BY1380" i="8"/>
  <c r="BX1380" i="8"/>
  <c r="BW1380" i="8"/>
  <c r="BV1380" i="8"/>
  <c r="BU1380" i="8"/>
  <c r="BT1380" i="8"/>
  <c r="BS1380" i="8"/>
  <c r="BR1380" i="8"/>
  <c r="BQ1380" i="8"/>
  <c r="BP1380" i="8"/>
  <c r="BO1380" i="8"/>
  <c r="BN1380" i="8"/>
  <c r="BM1380" i="8"/>
  <c r="BL1380" i="8"/>
  <c r="BK1380" i="8"/>
  <c r="BJ1380" i="8"/>
  <c r="BI1380" i="8"/>
  <c r="BH1380" i="8"/>
  <c r="CJ1379" i="8"/>
  <c r="CI1379" i="8"/>
  <c r="CH1379" i="8"/>
  <c r="CG1379" i="8"/>
  <c r="CF1379" i="8"/>
  <c r="CE1379" i="8"/>
  <c r="CD1379" i="8"/>
  <c r="CC1379" i="8"/>
  <c r="CB1379" i="8"/>
  <c r="CA1379" i="8"/>
  <c r="BZ1379" i="8"/>
  <c r="BY1379" i="8"/>
  <c r="BX1379" i="8"/>
  <c r="BW1379" i="8"/>
  <c r="BV1379" i="8"/>
  <c r="BU1379" i="8"/>
  <c r="BT1379" i="8"/>
  <c r="BS1379" i="8"/>
  <c r="BR1379" i="8"/>
  <c r="BQ1379" i="8"/>
  <c r="BP1379" i="8"/>
  <c r="BO1379" i="8"/>
  <c r="BN1379" i="8"/>
  <c r="BM1379" i="8"/>
  <c r="BL1379" i="8"/>
  <c r="BK1379" i="8"/>
  <c r="BJ1379" i="8"/>
  <c r="BI1379" i="8"/>
  <c r="BH1379" i="8"/>
  <c r="CJ1378" i="8"/>
  <c r="CI1378" i="8"/>
  <c r="CH1378" i="8"/>
  <c r="CG1378" i="8"/>
  <c r="CF1378" i="8"/>
  <c r="CE1378" i="8"/>
  <c r="CD1378" i="8"/>
  <c r="CC1378" i="8"/>
  <c r="CB1378" i="8"/>
  <c r="CA1378" i="8"/>
  <c r="BZ1378" i="8"/>
  <c r="BY1378" i="8"/>
  <c r="BX1378" i="8"/>
  <c r="BW1378" i="8"/>
  <c r="BV1378" i="8"/>
  <c r="BU1378" i="8"/>
  <c r="BT1378" i="8"/>
  <c r="BS1378" i="8"/>
  <c r="BR1378" i="8"/>
  <c r="BQ1378" i="8"/>
  <c r="BP1378" i="8"/>
  <c r="BO1378" i="8"/>
  <c r="BN1378" i="8"/>
  <c r="BM1378" i="8"/>
  <c r="BL1378" i="8"/>
  <c r="BK1378" i="8"/>
  <c r="BJ1378" i="8"/>
  <c r="BI1378" i="8"/>
  <c r="BH1378" i="8"/>
  <c r="CJ1377" i="8"/>
  <c r="CI1377" i="8"/>
  <c r="CH1377" i="8"/>
  <c r="CG1377" i="8"/>
  <c r="CF1377" i="8"/>
  <c r="CE1377" i="8"/>
  <c r="CD1377" i="8"/>
  <c r="CC1377" i="8"/>
  <c r="CB1377" i="8"/>
  <c r="CA1377" i="8"/>
  <c r="BZ1377" i="8"/>
  <c r="BY1377" i="8"/>
  <c r="BX1377" i="8"/>
  <c r="BW1377" i="8"/>
  <c r="BV1377" i="8"/>
  <c r="BU1377" i="8"/>
  <c r="BT1377" i="8"/>
  <c r="BS1377" i="8"/>
  <c r="BR1377" i="8"/>
  <c r="BQ1377" i="8"/>
  <c r="BP1377" i="8"/>
  <c r="BO1377" i="8"/>
  <c r="BN1377" i="8"/>
  <c r="BM1377" i="8"/>
  <c r="BL1377" i="8"/>
  <c r="BK1377" i="8"/>
  <c r="BJ1377" i="8"/>
  <c r="BI1377" i="8"/>
  <c r="BH1377" i="8"/>
  <c r="CJ1376" i="8"/>
  <c r="CI1376" i="8"/>
  <c r="CH1376" i="8"/>
  <c r="CG1376" i="8"/>
  <c r="CF1376" i="8"/>
  <c r="CE1376" i="8"/>
  <c r="CD1376" i="8"/>
  <c r="CC1376" i="8"/>
  <c r="CB1376" i="8"/>
  <c r="CA1376" i="8"/>
  <c r="BZ1376" i="8"/>
  <c r="BY1376" i="8"/>
  <c r="BX1376" i="8"/>
  <c r="BW1376" i="8"/>
  <c r="BV1376" i="8"/>
  <c r="BU1376" i="8"/>
  <c r="BT1376" i="8"/>
  <c r="BS1376" i="8"/>
  <c r="BR1376" i="8"/>
  <c r="BQ1376" i="8"/>
  <c r="BP1376" i="8"/>
  <c r="BO1376" i="8"/>
  <c r="BN1376" i="8"/>
  <c r="BM1376" i="8"/>
  <c r="BL1376" i="8"/>
  <c r="BK1376" i="8"/>
  <c r="BJ1376" i="8"/>
  <c r="BI1376" i="8"/>
  <c r="BH1376" i="8"/>
  <c r="CJ1375" i="8"/>
  <c r="CI1375" i="8"/>
  <c r="CH1375" i="8"/>
  <c r="CG1375" i="8"/>
  <c r="CF1375" i="8"/>
  <c r="CE1375" i="8"/>
  <c r="CD1375" i="8"/>
  <c r="CC1375" i="8"/>
  <c r="CB1375" i="8"/>
  <c r="CA1375" i="8"/>
  <c r="BZ1375" i="8"/>
  <c r="BY1375" i="8"/>
  <c r="BX1375" i="8"/>
  <c r="BW1375" i="8"/>
  <c r="BV1375" i="8"/>
  <c r="BU1375" i="8"/>
  <c r="BT1375" i="8"/>
  <c r="BS1375" i="8"/>
  <c r="BR1375" i="8"/>
  <c r="BQ1375" i="8"/>
  <c r="BP1375" i="8"/>
  <c r="BO1375" i="8"/>
  <c r="BN1375" i="8"/>
  <c r="BM1375" i="8"/>
  <c r="BL1375" i="8"/>
  <c r="BK1375" i="8"/>
  <c r="BJ1375" i="8"/>
  <c r="BI1375" i="8"/>
  <c r="BH1375" i="8"/>
  <c r="CJ1374" i="8"/>
  <c r="CI1374" i="8"/>
  <c r="CH1374" i="8"/>
  <c r="CG1374" i="8"/>
  <c r="CF1374" i="8"/>
  <c r="CE1374" i="8"/>
  <c r="CD1374" i="8"/>
  <c r="CC1374" i="8"/>
  <c r="CB1374" i="8"/>
  <c r="CA1374" i="8"/>
  <c r="BZ1374" i="8"/>
  <c r="BY1374" i="8"/>
  <c r="BX1374" i="8"/>
  <c r="BW1374" i="8"/>
  <c r="BV1374" i="8"/>
  <c r="BU1374" i="8"/>
  <c r="BT1374" i="8"/>
  <c r="BS1374" i="8"/>
  <c r="BR1374" i="8"/>
  <c r="BQ1374" i="8"/>
  <c r="BP1374" i="8"/>
  <c r="BO1374" i="8"/>
  <c r="BN1374" i="8"/>
  <c r="BM1374" i="8"/>
  <c r="BL1374" i="8"/>
  <c r="BK1374" i="8"/>
  <c r="BJ1374" i="8"/>
  <c r="BI1374" i="8"/>
  <c r="BH1374" i="8"/>
  <c r="CJ1373" i="8"/>
  <c r="CI1373" i="8"/>
  <c r="CH1373" i="8"/>
  <c r="CG1373" i="8"/>
  <c r="CF1373" i="8"/>
  <c r="CE1373" i="8"/>
  <c r="CD1373" i="8"/>
  <c r="CC1373" i="8"/>
  <c r="CB1373" i="8"/>
  <c r="CA1373" i="8"/>
  <c r="BZ1373" i="8"/>
  <c r="BY1373" i="8"/>
  <c r="BX1373" i="8"/>
  <c r="BW1373" i="8"/>
  <c r="BV1373" i="8"/>
  <c r="BU1373" i="8"/>
  <c r="BT1373" i="8"/>
  <c r="BS1373" i="8"/>
  <c r="BR1373" i="8"/>
  <c r="BQ1373" i="8"/>
  <c r="BP1373" i="8"/>
  <c r="BO1373" i="8"/>
  <c r="BN1373" i="8"/>
  <c r="BM1373" i="8"/>
  <c r="BL1373" i="8"/>
  <c r="BK1373" i="8"/>
  <c r="BJ1373" i="8"/>
  <c r="BI1373" i="8"/>
  <c r="BH1373" i="8"/>
  <c r="CJ1372" i="8"/>
  <c r="CI1372" i="8"/>
  <c r="CH1372" i="8"/>
  <c r="CG1372" i="8"/>
  <c r="CF1372" i="8"/>
  <c r="CE1372" i="8"/>
  <c r="CD1372" i="8"/>
  <c r="CC1372" i="8"/>
  <c r="CB1372" i="8"/>
  <c r="CA1372" i="8"/>
  <c r="BZ1372" i="8"/>
  <c r="BY1372" i="8"/>
  <c r="BX1372" i="8"/>
  <c r="BW1372" i="8"/>
  <c r="BV1372" i="8"/>
  <c r="BU1372" i="8"/>
  <c r="BT1372" i="8"/>
  <c r="BS1372" i="8"/>
  <c r="BR1372" i="8"/>
  <c r="BQ1372" i="8"/>
  <c r="BP1372" i="8"/>
  <c r="BO1372" i="8"/>
  <c r="BN1372" i="8"/>
  <c r="BM1372" i="8"/>
  <c r="BL1372" i="8"/>
  <c r="BK1372" i="8"/>
  <c r="BJ1372" i="8"/>
  <c r="BI1372" i="8"/>
  <c r="BH1372" i="8"/>
  <c r="CJ1371" i="8"/>
  <c r="CI1371" i="8"/>
  <c r="CH1371" i="8"/>
  <c r="CG1371" i="8"/>
  <c r="CF1371" i="8"/>
  <c r="CE1371" i="8"/>
  <c r="CD1371" i="8"/>
  <c r="CC1371" i="8"/>
  <c r="CB1371" i="8"/>
  <c r="CA1371" i="8"/>
  <c r="BZ1371" i="8"/>
  <c r="BY1371" i="8"/>
  <c r="BX1371" i="8"/>
  <c r="BW1371" i="8"/>
  <c r="BV1371" i="8"/>
  <c r="BU1371" i="8"/>
  <c r="BT1371" i="8"/>
  <c r="BS1371" i="8"/>
  <c r="BR1371" i="8"/>
  <c r="BQ1371" i="8"/>
  <c r="BP1371" i="8"/>
  <c r="BO1371" i="8"/>
  <c r="BN1371" i="8"/>
  <c r="BM1371" i="8"/>
  <c r="BL1371" i="8"/>
  <c r="BK1371" i="8"/>
  <c r="BJ1371" i="8"/>
  <c r="BI1371" i="8"/>
  <c r="BH1371" i="8"/>
  <c r="CJ1370" i="8"/>
  <c r="CI1370" i="8"/>
  <c r="CH1370" i="8"/>
  <c r="CG1370" i="8"/>
  <c r="CF1370" i="8"/>
  <c r="CE1370" i="8"/>
  <c r="CD1370" i="8"/>
  <c r="CC1370" i="8"/>
  <c r="CB1370" i="8"/>
  <c r="CA1370" i="8"/>
  <c r="BZ1370" i="8"/>
  <c r="BY1370" i="8"/>
  <c r="BX1370" i="8"/>
  <c r="BW1370" i="8"/>
  <c r="BV1370" i="8"/>
  <c r="BU1370" i="8"/>
  <c r="BT1370" i="8"/>
  <c r="BS1370" i="8"/>
  <c r="BR1370" i="8"/>
  <c r="BQ1370" i="8"/>
  <c r="BP1370" i="8"/>
  <c r="BO1370" i="8"/>
  <c r="BN1370" i="8"/>
  <c r="BM1370" i="8"/>
  <c r="BL1370" i="8"/>
  <c r="BK1370" i="8"/>
  <c r="BJ1370" i="8"/>
  <c r="BI1370" i="8"/>
  <c r="BH1370" i="8"/>
  <c r="CJ1369" i="8"/>
  <c r="CI1369" i="8"/>
  <c r="CH1369" i="8"/>
  <c r="CG1369" i="8"/>
  <c r="CF1369" i="8"/>
  <c r="CE1369" i="8"/>
  <c r="CD1369" i="8"/>
  <c r="CC1369" i="8"/>
  <c r="CB1369" i="8"/>
  <c r="CA1369" i="8"/>
  <c r="BZ1369" i="8"/>
  <c r="BY1369" i="8"/>
  <c r="BX1369" i="8"/>
  <c r="BW1369" i="8"/>
  <c r="BV1369" i="8"/>
  <c r="BU1369" i="8"/>
  <c r="BT1369" i="8"/>
  <c r="BS1369" i="8"/>
  <c r="BR1369" i="8"/>
  <c r="BQ1369" i="8"/>
  <c r="BP1369" i="8"/>
  <c r="BO1369" i="8"/>
  <c r="BN1369" i="8"/>
  <c r="BM1369" i="8"/>
  <c r="BL1369" i="8"/>
  <c r="BK1369" i="8"/>
  <c r="BJ1369" i="8"/>
  <c r="BI1369" i="8"/>
  <c r="BH1369" i="8"/>
  <c r="CJ1368" i="8"/>
  <c r="CI1368" i="8"/>
  <c r="CH1368" i="8"/>
  <c r="CG1368" i="8"/>
  <c r="CF1368" i="8"/>
  <c r="CE1368" i="8"/>
  <c r="CD1368" i="8"/>
  <c r="CC1368" i="8"/>
  <c r="CB1368" i="8"/>
  <c r="CA1368" i="8"/>
  <c r="BZ1368" i="8"/>
  <c r="BY1368" i="8"/>
  <c r="BX1368" i="8"/>
  <c r="BW1368" i="8"/>
  <c r="BV1368" i="8"/>
  <c r="BU1368" i="8"/>
  <c r="BT1368" i="8"/>
  <c r="BS1368" i="8"/>
  <c r="BR1368" i="8"/>
  <c r="BQ1368" i="8"/>
  <c r="BP1368" i="8"/>
  <c r="BO1368" i="8"/>
  <c r="BN1368" i="8"/>
  <c r="BM1368" i="8"/>
  <c r="BL1368" i="8"/>
  <c r="BK1368" i="8"/>
  <c r="BJ1368" i="8"/>
  <c r="BI1368" i="8"/>
  <c r="BH1368" i="8"/>
  <c r="CJ1367" i="8"/>
  <c r="CI1367" i="8"/>
  <c r="CH1367" i="8"/>
  <c r="CG1367" i="8"/>
  <c r="CF1367" i="8"/>
  <c r="CE1367" i="8"/>
  <c r="CD1367" i="8"/>
  <c r="CC1367" i="8"/>
  <c r="CB1367" i="8"/>
  <c r="CA1367" i="8"/>
  <c r="BZ1367" i="8"/>
  <c r="BY1367" i="8"/>
  <c r="BX1367" i="8"/>
  <c r="BW1367" i="8"/>
  <c r="BV1367" i="8"/>
  <c r="BU1367" i="8"/>
  <c r="BT1367" i="8"/>
  <c r="BS1367" i="8"/>
  <c r="BR1367" i="8"/>
  <c r="BQ1367" i="8"/>
  <c r="BP1367" i="8"/>
  <c r="BO1367" i="8"/>
  <c r="BN1367" i="8"/>
  <c r="BM1367" i="8"/>
  <c r="BL1367" i="8"/>
  <c r="BK1367" i="8"/>
  <c r="BJ1367" i="8"/>
  <c r="BI1367" i="8"/>
  <c r="BH1367" i="8"/>
  <c r="CJ1366" i="8"/>
  <c r="CI1366" i="8"/>
  <c r="CH1366" i="8"/>
  <c r="CG1366" i="8"/>
  <c r="CF1366" i="8"/>
  <c r="CE1366" i="8"/>
  <c r="CD1366" i="8"/>
  <c r="CC1366" i="8"/>
  <c r="CB1366" i="8"/>
  <c r="CA1366" i="8"/>
  <c r="BZ1366" i="8"/>
  <c r="BY1366" i="8"/>
  <c r="BX1366" i="8"/>
  <c r="BW1366" i="8"/>
  <c r="BV1366" i="8"/>
  <c r="BU1366" i="8"/>
  <c r="BT1366" i="8"/>
  <c r="BS1366" i="8"/>
  <c r="BR1366" i="8"/>
  <c r="BQ1366" i="8"/>
  <c r="BP1366" i="8"/>
  <c r="BO1366" i="8"/>
  <c r="BN1366" i="8"/>
  <c r="BM1366" i="8"/>
  <c r="BL1366" i="8"/>
  <c r="BK1366" i="8"/>
  <c r="BJ1366" i="8"/>
  <c r="BI1366" i="8"/>
  <c r="BH1366" i="8"/>
  <c r="CJ1365" i="8"/>
  <c r="CI1365" i="8"/>
  <c r="CH1365" i="8"/>
  <c r="CG1365" i="8"/>
  <c r="CF1365" i="8"/>
  <c r="CE1365" i="8"/>
  <c r="CD1365" i="8"/>
  <c r="CC1365" i="8"/>
  <c r="CB1365" i="8"/>
  <c r="CA1365" i="8"/>
  <c r="BZ1365" i="8"/>
  <c r="BY1365" i="8"/>
  <c r="BX1365" i="8"/>
  <c r="BW1365" i="8"/>
  <c r="BV1365" i="8"/>
  <c r="BU1365" i="8"/>
  <c r="BT1365" i="8"/>
  <c r="BS1365" i="8"/>
  <c r="BR1365" i="8"/>
  <c r="BQ1365" i="8"/>
  <c r="BP1365" i="8"/>
  <c r="BO1365" i="8"/>
  <c r="BN1365" i="8"/>
  <c r="BM1365" i="8"/>
  <c r="BL1365" i="8"/>
  <c r="BK1365" i="8"/>
  <c r="BJ1365" i="8"/>
  <c r="BI1365" i="8"/>
  <c r="BH1365" i="8"/>
  <c r="CJ1364" i="8"/>
  <c r="CI1364" i="8"/>
  <c r="CH1364" i="8"/>
  <c r="CG1364" i="8"/>
  <c r="CF1364" i="8"/>
  <c r="CE1364" i="8"/>
  <c r="CD1364" i="8"/>
  <c r="CC1364" i="8"/>
  <c r="CB1364" i="8"/>
  <c r="CA1364" i="8"/>
  <c r="BZ1364" i="8"/>
  <c r="BY1364" i="8"/>
  <c r="BX1364" i="8"/>
  <c r="BW1364" i="8"/>
  <c r="BV1364" i="8"/>
  <c r="BU1364" i="8"/>
  <c r="BT1364" i="8"/>
  <c r="BS1364" i="8"/>
  <c r="BR1364" i="8"/>
  <c r="BQ1364" i="8"/>
  <c r="BP1364" i="8"/>
  <c r="BO1364" i="8"/>
  <c r="BN1364" i="8"/>
  <c r="BM1364" i="8"/>
  <c r="BL1364" i="8"/>
  <c r="BK1364" i="8"/>
  <c r="BJ1364" i="8"/>
  <c r="BI1364" i="8"/>
  <c r="BH1364" i="8"/>
  <c r="CJ1363" i="8"/>
  <c r="CI1363" i="8"/>
  <c r="CH1363" i="8"/>
  <c r="CG1363" i="8"/>
  <c r="CF1363" i="8"/>
  <c r="CE1363" i="8"/>
  <c r="CD1363" i="8"/>
  <c r="CC1363" i="8"/>
  <c r="CB1363" i="8"/>
  <c r="CA1363" i="8"/>
  <c r="BZ1363" i="8"/>
  <c r="BY1363" i="8"/>
  <c r="BX1363" i="8"/>
  <c r="BW1363" i="8"/>
  <c r="BV1363" i="8"/>
  <c r="BU1363" i="8"/>
  <c r="BT1363" i="8"/>
  <c r="BS1363" i="8"/>
  <c r="BR1363" i="8"/>
  <c r="BQ1363" i="8"/>
  <c r="BP1363" i="8"/>
  <c r="BO1363" i="8"/>
  <c r="BN1363" i="8"/>
  <c r="BM1363" i="8"/>
  <c r="BL1363" i="8"/>
  <c r="BK1363" i="8"/>
  <c r="BJ1363" i="8"/>
  <c r="BI1363" i="8"/>
  <c r="BH1363" i="8"/>
  <c r="CJ1362" i="8"/>
  <c r="CI1362" i="8"/>
  <c r="CH1362" i="8"/>
  <c r="CG1362" i="8"/>
  <c r="CF1362" i="8"/>
  <c r="CE1362" i="8"/>
  <c r="CD1362" i="8"/>
  <c r="CC1362" i="8"/>
  <c r="CB1362" i="8"/>
  <c r="CA1362" i="8"/>
  <c r="BZ1362" i="8"/>
  <c r="BY1362" i="8"/>
  <c r="BX1362" i="8"/>
  <c r="BW1362" i="8"/>
  <c r="BV1362" i="8"/>
  <c r="BU1362" i="8"/>
  <c r="BT1362" i="8"/>
  <c r="BS1362" i="8"/>
  <c r="BR1362" i="8"/>
  <c r="BQ1362" i="8"/>
  <c r="BP1362" i="8"/>
  <c r="BO1362" i="8"/>
  <c r="BN1362" i="8"/>
  <c r="BM1362" i="8"/>
  <c r="BL1362" i="8"/>
  <c r="BK1362" i="8"/>
  <c r="BJ1362" i="8"/>
  <c r="BI1362" i="8"/>
  <c r="BH1362" i="8"/>
  <c r="CJ1361" i="8"/>
  <c r="CI1361" i="8"/>
  <c r="CH1361" i="8"/>
  <c r="CG1361" i="8"/>
  <c r="CF1361" i="8"/>
  <c r="CE1361" i="8"/>
  <c r="CD1361" i="8"/>
  <c r="CC1361" i="8"/>
  <c r="CB1361" i="8"/>
  <c r="CA1361" i="8"/>
  <c r="BZ1361" i="8"/>
  <c r="BY1361" i="8"/>
  <c r="BX1361" i="8"/>
  <c r="BW1361" i="8"/>
  <c r="BV1361" i="8"/>
  <c r="BU1361" i="8"/>
  <c r="BT1361" i="8"/>
  <c r="BS1361" i="8"/>
  <c r="BR1361" i="8"/>
  <c r="BQ1361" i="8"/>
  <c r="BP1361" i="8"/>
  <c r="BO1361" i="8"/>
  <c r="BN1361" i="8"/>
  <c r="BM1361" i="8"/>
  <c r="BL1361" i="8"/>
  <c r="BK1361" i="8"/>
  <c r="BJ1361" i="8"/>
  <c r="BI1361" i="8"/>
  <c r="BH1361" i="8"/>
  <c r="CJ1360" i="8"/>
  <c r="CI1360" i="8"/>
  <c r="CH1360" i="8"/>
  <c r="CG1360" i="8"/>
  <c r="CF1360" i="8"/>
  <c r="CE1360" i="8"/>
  <c r="CD1360" i="8"/>
  <c r="CC1360" i="8"/>
  <c r="CB1360" i="8"/>
  <c r="CA1360" i="8"/>
  <c r="BZ1360" i="8"/>
  <c r="BY1360" i="8"/>
  <c r="BX1360" i="8"/>
  <c r="BW1360" i="8"/>
  <c r="BV1360" i="8"/>
  <c r="BU1360" i="8"/>
  <c r="BT1360" i="8"/>
  <c r="BS1360" i="8"/>
  <c r="BR1360" i="8"/>
  <c r="BQ1360" i="8"/>
  <c r="BP1360" i="8"/>
  <c r="BO1360" i="8"/>
  <c r="BN1360" i="8"/>
  <c r="BM1360" i="8"/>
  <c r="BL1360" i="8"/>
  <c r="BK1360" i="8"/>
  <c r="BJ1360" i="8"/>
  <c r="BI1360" i="8"/>
  <c r="BH1360" i="8"/>
  <c r="CJ1359" i="8"/>
  <c r="CI1359" i="8"/>
  <c r="CH1359" i="8"/>
  <c r="CG1359" i="8"/>
  <c r="CF1359" i="8"/>
  <c r="CE1359" i="8"/>
  <c r="CD1359" i="8"/>
  <c r="CC1359" i="8"/>
  <c r="CB1359" i="8"/>
  <c r="CA1359" i="8"/>
  <c r="BZ1359" i="8"/>
  <c r="BY1359" i="8"/>
  <c r="BX1359" i="8"/>
  <c r="BW1359" i="8"/>
  <c r="BV1359" i="8"/>
  <c r="BU1359" i="8"/>
  <c r="BT1359" i="8"/>
  <c r="BS1359" i="8"/>
  <c r="BR1359" i="8"/>
  <c r="BQ1359" i="8"/>
  <c r="BP1359" i="8"/>
  <c r="BO1359" i="8"/>
  <c r="BN1359" i="8"/>
  <c r="BM1359" i="8"/>
  <c r="BL1359" i="8"/>
  <c r="BK1359" i="8"/>
  <c r="BJ1359" i="8"/>
  <c r="BI1359" i="8"/>
  <c r="BH1359" i="8"/>
  <c r="CJ1358" i="8"/>
  <c r="CI1358" i="8"/>
  <c r="CH1358" i="8"/>
  <c r="CG1358" i="8"/>
  <c r="CF1358" i="8"/>
  <c r="CE1358" i="8"/>
  <c r="CD1358" i="8"/>
  <c r="CC1358" i="8"/>
  <c r="CB1358" i="8"/>
  <c r="CA1358" i="8"/>
  <c r="BZ1358" i="8"/>
  <c r="BY1358" i="8"/>
  <c r="BX1358" i="8"/>
  <c r="BW1358" i="8"/>
  <c r="BV1358" i="8"/>
  <c r="BU1358" i="8"/>
  <c r="BT1358" i="8"/>
  <c r="BS1358" i="8"/>
  <c r="BR1358" i="8"/>
  <c r="BQ1358" i="8"/>
  <c r="BP1358" i="8"/>
  <c r="BO1358" i="8"/>
  <c r="BN1358" i="8"/>
  <c r="BM1358" i="8"/>
  <c r="BL1358" i="8"/>
  <c r="BK1358" i="8"/>
  <c r="BJ1358" i="8"/>
  <c r="BI1358" i="8"/>
  <c r="BH1358" i="8"/>
  <c r="CJ1357" i="8"/>
  <c r="CI1357" i="8"/>
  <c r="CH1357" i="8"/>
  <c r="CG1357" i="8"/>
  <c r="CF1357" i="8"/>
  <c r="CE1357" i="8"/>
  <c r="CD1357" i="8"/>
  <c r="CC1357" i="8"/>
  <c r="CB1357" i="8"/>
  <c r="CA1357" i="8"/>
  <c r="BZ1357" i="8"/>
  <c r="BY1357" i="8"/>
  <c r="BX1357" i="8"/>
  <c r="BW1357" i="8"/>
  <c r="BV1357" i="8"/>
  <c r="BU1357" i="8"/>
  <c r="BT1357" i="8"/>
  <c r="BS1357" i="8"/>
  <c r="BR1357" i="8"/>
  <c r="BQ1357" i="8"/>
  <c r="BP1357" i="8"/>
  <c r="BO1357" i="8"/>
  <c r="BN1357" i="8"/>
  <c r="BM1357" i="8"/>
  <c r="BL1357" i="8"/>
  <c r="BK1357" i="8"/>
  <c r="BJ1357" i="8"/>
  <c r="BI1357" i="8"/>
  <c r="BH1357" i="8"/>
  <c r="CJ1356" i="8"/>
  <c r="CI1356" i="8"/>
  <c r="CH1356" i="8"/>
  <c r="CG1356" i="8"/>
  <c r="CF1356" i="8"/>
  <c r="CE1356" i="8"/>
  <c r="CD1356" i="8"/>
  <c r="CC1356" i="8"/>
  <c r="CB1356" i="8"/>
  <c r="CA1356" i="8"/>
  <c r="BZ1356" i="8"/>
  <c r="BY1356" i="8"/>
  <c r="BX1356" i="8"/>
  <c r="BW1356" i="8"/>
  <c r="BV1356" i="8"/>
  <c r="BU1356" i="8"/>
  <c r="BT1356" i="8"/>
  <c r="BS1356" i="8"/>
  <c r="BR1356" i="8"/>
  <c r="BQ1356" i="8"/>
  <c r="BP1356" i="8"/>
  <c r="BO1356" i="8"/>
  <c r="BN1356" i="8"/>
  <c r="BM1356" i="8"/>
  <c r="BL1356" i="8"/>
  <c r="BK1356" i="8"/>
  <c r="BJ1356" i="8"/>
  <c r="BI1356" i="8"/>
  <c r="BH1356" i="8"/>
  <c r="CJ1355" i="8"/>
  <c r="CI1355" i="8"/>
  <c r="CH1355" i="8"/>
  <c r="CG1355" i="8"/>
  <c r="CF1355" i="8"/>
  <c r="CE1355" i="8"/>
  <c r="CD1355" i="8"/>
  <c r="CC1355" i="8"/>
  <c r="CB1355" i="8"/>
  <c r="CA1355" i="8"/>
  <c r="BZ1355" i="8"/>
  <c r="BY1355" i="8"/>
  <c r="BX1355" i="8"/>
  <c r="BW1355" i="8"/>
  <c r="BV1355" i="8"/>
  <c r="BU1355" i="8"/>
  <c r="BT1355" i="8"/>
  <c r="BS1355" i="8"/>
  <c r="BR1355" i="8"/>
  <c r="BQ1355" i="8"/>
  <c r="BP1355" i="8"/>
  <c r="BO1355" i="8"/>
  <c r="BN1355" i="8"/>
  <c r="BM1355" i="8"/>
  <c r="BL1355" i="8"/>
  <c r="BK1355" i="8"/>
  <c r="BJ1355" i="8"/>
  <c r="BI1355" i="8"/>
  <c r="BH1355" i="8"/>
  <c r="CJ1354" i="8"/>
  <c r="CI1354" i="8"/>
  <c r="CH1354" i="8"/>
  <c r="CG1354" i="8"/>
  <c r="CF1354" i="8"/>
  <c r="CE1354" i="8"/>
  <c r="CD1354" i="8"/>
  <c r="CC1354" i="8"/>
  <c r="CB1354" i="8"/>
  <c r="CA1354" i="8"/>
  <c r="BZ1354" i="8"/>
  <c r="BY1354" i="8"/>
  <c r="BX1354" i="8"/>
  <c r="BW1354" i="8"/>
  <c r="BV1354" i="8"/>
  <c r="BU1354" i="8"/>
  <c r="BT1354" i="8"/>
  <c r="BS1354" i="8"/>
  <c r="BR1354" i="8"/>
  <c r="BQ1354" i="8"/>
  <c r="BP1354" i="8"/>
  <c r="BO1354" i="8"/>
  <c r="BN1354" i="8"/>
  <c r="BM1354" i="8"/>
  <c r="BL1354" i="8"/>
  <c r="BK1354" i="8"/>
  <c r="BJ1354" i="8"/>
  <c r="BI1354" i="8"/>
  <c r="BH1354" i="8"/>
  <c r="CJ1353" i="8"/>
  <c r="CI1353" i="8"/>
  <c r="CH1353" i="8"/>
  <c r="CG1353" i="8"/>
  <c r="CF1353" i="8"/>
  <c r="CE1353" i="8"/>
  <c r="CD1353" i="8"/>
  <c r="CC1353" i="8"/>
  <c r="CB1353" i="8"/>
  <c r="CA1353" i="8"/>
  <c r="BZ1353" i="8"/>
  <c r="BY1353" i="8"/>
  <c r="BX1353" i="8"/>
  <c r="BW1353" i="8"/>
  <c r="BV1353" i="8"/>
  <c r="BU1353" i="8"/>
  <c r="BT1353" i="8"/>
  <c r="BS1353" i="8"/>
  <c r="BR1353" i="8"/>
  <c r="BQ1353" i="8"/>
  <c r="BP1353" i="8"/>
  <c r="BO1353" i="8"/>
  <c r="BN1353" i="8"/>
  <c r="BM1353" i="8"/>
  <c r="BL1353" i="8"/>
  <c r="BK1353" i="8"/>
  <c r="BJ1353" i="8"/>
  <c r="BI1353" i="8"/>
  <c r="BH1353" i="8"/>
  <c r="CJ1352" i="8"/>
  <c r="CI1352" i="8"/>
  <c r="CH1352" i="8"/>
  <c r="CG1352" i="8"/>
  <c r="CF1352" i="8"/>
  <c r="CE1352" i="8"/>
  <c r="CD1352" i="8"/>
  <c r="CC1352" i="8"/>
  <c r="CB1352" i="8"/>
  <c r="CA1352" i="8"/>
  <c r="BZ1352" i="8"/>
  <c r="BY1352" i="8"/>
  <c r="BX1352" i="8"/>
  <c r="BW1352" i="8"/>
  <c r="BV1352" i="8"/>
  <c r="BU1352" i="8"/>
  <c r="BT1352" i="8"/>
  <c r="BS1352" i="8"/>
  <c r="BR1352" i="8"/>
  <c r="BQ1352" i="8"/>
  <c r="BP1352" i="8"/>
  <c r="BO1352" i="8"/>
  <c r="BN1352" i="8"/>
  <c r="BM1352" i="8"/>
  <c r="BL1352" i="8"/>
  <c r="BK1352" i="8"/>
  <c r="BJ1352" i="8"/>
  <c r="BI1352" i="8"/>
  <c r="BH1352" i="8"/>
  <c r="CJ1351" i="8"/>
  <c r="CI1351" i="8"/>
  <c r="CH1351" i="8"/>
  <c r="CG1351" i="8"/>
  <c r="CF1351" i="8"/>
  <c r="CE1351" i="8"/>
  <c r="CD1351" i="8"/>
  <c r="CC1351" i="8"/>
  <c r="CB1351" i="8"/>
  <c r="CA1351" i="8"/>
  <c r="BZ1351" i="8"/>
  <c r="BY1351" i="8"/>
  <c r="BX1351" i="8"/>
  <c r="BW1351" i="8"/>
  <c r="BV1351" i="8"/>
  <c r="BU1351" i="8"/>
  <c r="BT1351" i="8"/>
  <c r="BS1351" i="8"/>
  <c r="BR1351" i="8"/>
  <c r="BQ1351" i="8"/>
  <c r="BP1351" i="8"/>
  <c r="BO1351" i="8"/>
  <c r="BN1351" i="8"/>
  <c r="BM1351" i="8"/>
  <c r="BL1351" i="8"/>
  <c r="BK1351" i="8"/>
  <c r="BJ1351" i="8"/>
  <c r="BI1351" i="8"/>
  <c r="BH1351" i="8"/>
  <c r="CJ1350" i="8"/>
  <c r="CI1350" i="8"/>
  <c r="CH1350" i="8"/>
  <c r="CG1350" i="8"/>
  <c r="CF1350" i="8"/>
  <c r="CE1350" i="8"/>
  <c r="CD1350" i="8"/>
  <c r="CC1350" i="8"/>
  <c r="CB1350" i="8"/>
  <c r="CA1350" i="8"/>
  <c r="BZ1350" i="8"/>
  <c r="BY1350" i="8"/>
  <c r="BX1350" i="8"/>
  <c r="BW1350" i="8"/>
  <c r="BV1350" i="8"/>
  <c r="BU1350" i="8"/>
  <c r="BT1350" i="8"/>
  <c r="BS1350" i="8"/>
  <c r="BR1350" i="8"/>
  <c r="BQ1350" i="8"/>
  <c r="BP1350" i="8"/>
  <c r="BO1350" i="8"/>
  <c r="BN1350" i="8"/>
  <c r="BM1350" i="8"/>
  <c r="BL1350" i="8"/>
  <c r="BK1350" i="8"/>
  <c r="BJ1350" i="8"/>
  <c r="BI1350" i="8"/>
  <c r="BH1350" i="8"/>
  <c r="CJ1349" i="8"/>
  <c r="CI1349" i="8"/>
  <c r="CH1349" i="8"/>
  <c r="CG1349" i="8"/>
  <c r="CF1349" i="8"/>
  <c r="CE1349" i="8"/>
  <c r="CD1349" i="8"/>
  <c r="CC1349" i="8"/>
  <c r="CB1349" i="8"/>
  <c r="CA1349" i="8"/>
  <c r="BZ1349" i="8"/>
  <c r="BY1349" i="8"/>
  <c r="BX1349" i="8"/>
  <c r="BW1349" i="8"/>
  <c r="BV1349" i="8"/>
  <c r="BU1349" i="8"/>
  <c r="BT1349" i="8"/>
  <c r="BS1349" i="8"/>
  <c r="BR1349" i="8"/>
  <c r="BQ1349" i="8"/>
  <c r="BP1349" i="8"/>
  <c r="BO1349" i="8"/>
  <c r="BN1349" i="8"/>
  <c r="BM1349" i="8"/>
  <c r="BL1349" i="8"/>
  <c r="BK1349" i="8"/>
  <c r="BJ1349" i="8"/>
  <c r="BI1349" i="8"/>
  <c r="BH1349" i="8"/>
  <c r="CJ1348" i="8"/>
  <c r="CI1348" i="8"/>
  <c r="CH1348" i="8"/>
  <c r="CG1348" i="8"/>
  <c r="CF1348" i="8"/>
  <c r="CE1348" i="8"/>
  <c r="CD1348" i="8"/>
  <c r="CC1348" i="8"/>
  <c r="CB1348" i="8"/>
  <c r="CA1348" i="8"/>
  <c r="BZ1348" i="8"/>
  <c r="BY1348" i="8"/>
  <c r="BX1348" i="8"/>
  <c r="BW1348" i="8"/>
  <c r="BV1348" i="8"/>
  <c r="BU1348" i="8"/>
  <c r="BT1348" i="8"/>
  <c r="BS1348" i="8"/>
  <c r="BR1348" i="8"/>
  <c r="BQ1348" i="8"/>
  <c r="BP1348" i="8"/>
  <c r="BO1348" i="8"/>
  <c r="BN1348" i="8"/>
  <c r="BM1348" i="8"/>
  <c r="BL1348" i="8"/>
  <c r="BK1348" i="8"/>
  <c r="BJ1348" i="8"/>
  <c r="BI1348" i="8"/>
  <c r="BH1348" i="8"/>
  <c r="CJ1347" i="8"/>
  <c r="CI1347" i="8"/>
  <c r="CH1347" i="8"/>
  <c r="CG1347" i="8"/>
  <c r="CF1347" i="8"/>
  <c r="CE1347" i="8"/>
  <c r="CD1347" i="8"/>
  <c r="CC1347" i="8"/>
  <c r="CB1347" i="8"/>
  <c r="CA1347" i="8"/>
  <c r="BZ1347" i="8"/>
  <c r="BY1347" i="8"/>
  <c r="BX1347" i="8"/>
  <c r="BW1347" i="8"/>
  <c r="BV1347" i="8"/>
  <c r="BU1347" i="8"/>
  <c r="BT1347" i="8"/>
  <c r="BS1347" i="8"/>
  <c r="BR1347" i="8"/>
  <c r="BQ1347" i="8"/>
  <c r="BP1347" i="8"/>
  <c r="BO1347" i="8"/>
  <c r="BN1347" i="8"/>
  <c r="BM1347" i="8"/>
  <c r="BL1347" i="8"/>
  <c r="BK1347" i="8"/>
  <c r="BJ1347" i="8"/>
  <c r="BI1347" i="8"/>
  <c r="BH1347" i="8"/>
  <c r="CJ1346" i="8"/>
  <c r="CI1346" i="8"/>
  <c r="CH1346" i="8"/>
  <c r="CG1346" i="8"/>
  <c r="CF1346" i="8"/>
  <c r="CE1346" i="8"/>
  <c r="CD1346" i="8"/>
  <c r="CC1346" i="8"/>
  <c r="CB1346" i="8"/>
  <c r="CA1346" i="8"/>
  <c r="BZ1346" i="8"/>
  <c r="BY1346" i="8"/>
  <c r="BX1346" i="8"/>
  <c r="BW1346" i="8"/>
  <c r="BV1346" i="8"/>
  <c r="BU1346" i="8"/>
  <c r="BT1346" i="8"/>
  <c r="BS1346" i="8"/>
  <c r="BR1346" i="8"/>
  <c r="BQ1346" i="8"/>
  <c r="BP1346" i="8"/>
  <c r="BO1346" i="8"/>
  <c r="BN1346" i="8"/>
  <c r="BM1346" i="8"/>
  <c r="BL1346" i="8"/>
  <c r="BK1346" i="8"/>
  <c r="BJ1346" i="8"/>
  <c r="BI1346" i="8"/>
  <c r="BH1346" i="8"/>
  <c r="CJ1345" i="8"/>
  <c r="CI1345" i="8"/>
  <c r="CH1345" i="8"/>
  <c r="CG1345" i="8"/>
  <c r="CF1345" i="8"/>
  <c r="CE1345" i="8"/>
  <c r="CD1345" i="8"/>
  <c r="CC1345" i="8"/>
  <c r="CB1345" i="8"/>
  <c r="CA1345" i="8"/>
  <c r="BZ1345" i="8"/>
  <c r="BY1345" i="8"/>
  <c r="BX1345" i="8"/>
  <c r="BW1345" i="8"/>
  <c r="BV1345" i="8"/>
  <c r="BU1345" i="8"/>
  <c r="BT1345" i="8"/>
  <c r="BS1345" i="8"/>
  <c r="BR1345" i="8"/>
  <c r="BQ1345" i="8"/>
  <c r="BP1345" i="8"/>
  <c r="BO1345" i="8"/>
  <c r="BN1345" i="8"/>
  <c r="BM1345" i="8"/>
  <c r="BL1345" i="8"/>
  <c r="BK1345" i="8"/>
  <c r="BJ1345" i="8"/>
  <c r="BI1345" i="8"/>
  <c r="BH1345" i="8"/>
  <c r="CJ1344" i="8"/>
  <c r="CI1344" i="8"/>
  <c r="CH1344" i="8"/>
  <c r="CG1344" i="8"/>
  <c r="CF1344" i="8"/>
  <c r="CE1344" i="8"/>
  <c r="CD1344" i="8"/>
  <c r="CC1344" i="8"/>
  <c r="CB1344" i="8"/>
  <c r="CA1344" i="8"/>
  <c r="BZ1344" i="8"/>
  <c r="BY1344" i="8"/>
  <c r="BX1344" i="8"/>
  <c r="BW1344" i="8"/>
  <c r="BV1344" i="8"/>
  <c r="BU1344" i="8"/>
  <c r="BT1344" i="8"/>
  <c r="BS1344" i="8"/>
  <c r="BR1344" i="8"/>
  <c r="BQ1344" i="8"/>
  <c r="BP1344" i="8"/>
  <c r="BO1344" i="8"/>
  <c r="BN1344" i="8"/>
  <c r="BM1344" i="8"/>
  <c r="BL1344" i="8"/>
  <c r="BK1344" i="8"/>
  <c r="BJ1344" i="8"/>
  <c r="BI1344" i="8"/>
  <c r="BH1344" i="8"/>
  <c r="CJ1343" i="8"/>
  <c r="CI1343" i="8"/>
  <c r="CH1343" i="8"/>
  <c r="CG1343" i="8"/>
  <c r="CF1343" i="8"/>
  <c r="CE1343" i="8"/>
  <c r="CD1343" i="8"/>
  <c r="CC1343" i="8"/>
  <c r="CB1343" i="8"/>
  <c r="CA1343" i="8"/>
  <c r="BZ1343" i="8"/>
  <c r="BY1343" i="8"/>
  <c r="BX1343" i="8"/>
  <c r="BW1343" i="8"/>
  <c r="BV1343" i="8"/>
  <c r="BU1343" i="8"/>
  <c r="BT1343" i="8"/>
  <c r="BS1343" i="8"/>
  <c r="BR1343" i="8"/>
  <c r="BQ1343" i="8"/>
  <c r="BP1343" i="8"/>
  <c r="BO1343" i="8"/>
  <c r="BN1343" i="8"/>
  <c r="BM1343" i="8"/>
  <c r="BL1343" i="8"/>
  <c r="BK1343" i="8"/>
  <c r="BJ1343" i="8"/>
  <c r="BI1343" i="8"/>
  <c r="BH1343" i="8"/>
  <c r="CJ1342" i="8"/>
  <c r="CI1342" i="8"/>
  <c r="CH1342" i="8"/>
  <c r="CG1342" i="8"/>
  <c r="CF1342" i="8"/>
  <c r="CE1342" i="8"/>
  <c r="CD1342" i="8"/>
  <c r="CC1342" i="8"/>
  <c r="CB1342" i="8"/>
  <c r="CA1342" i="8"/>
  <c r="BZ1342" i="8"/>
  <c r="BY1342" i="8"/>
  <c r="BX1342" i="8"/>
  <c r="BW1342" i="8"/>
  <c r="BV1342" i="8"/>
  <c r="BU1342" i="8"/>
  <c r="BT1342" i="8"/>
  <c r="BS1342" i="8"/>
  <c r="BR1342" i="8"/>
  <c r="BQ1342" i="8"/>
  <c r="BP1342" i="8"/>
  <c r="BO1342" i="8"/>
  <c r="BN1342" i="8"/>
  <c r="BM1342" i="8"/>
  <c r="BL1342" i="8"/>
  <c r="BK1342" i="8"/>
  <c r="BJ1342" i="8"/>
  <c r="BI1342" i="8"/>
  <c r="BH1342" i="8"/>
  <c r="CJ1341" i="8"/>
  <c r="CI1341" i="8"/>
  <c r="CH1341" i="8"/>
  <c r="CG1341" i="8"/>
  <c r="CF1341" i="8"/>
  <c r="CE1341" i="8"/>
  <c r="CD1341" i="8"/>
  <c r="CC1341" i="8"/>
  <c r="CB1341" i="8"/>
  <c r="CA1341" i="8"/>
  <c r="BZ1341" i="8"/>
  <c r="BY1341" i="8"/>
  <c r="BX1341" i="8"/>
  <c r="BW1341" i="8"/>
  <c r="BV1341" i="8"/>
  <c r="BU1341" i="8"/>
  <c r="BT1341" i="8"/>
  <c r="BS1341" i="8"/>
  <c r="BR1341" i="8"/>
  <c r="BQ1341" i="8"/>
  <c r="BP1341" i="8"/>
  <c r="BO1341" i="8"/>
  <c r="BN1341" i="8"/>
  <c r="BM1341" i="8"/>
  <c r="BL1341" i="8"/>
  <c r="BK1341" i="8"/>
  <c r="BJ1341" i="8"/>
  <c r="BI1341" i="8"/>
  <c r="BH1341" i="8"/>
  <c r="CJ1340" i="8"/>
  <c r="CI1340" i="8"/>
  <c r="CH1340" i="8"/>
  <c r="CG1340" i="8"/>
  <c r="CF1340" i="8"/>
  <c r="CE1340" i="8"/>
  <c r="CD1340" i="8"/>
  <c r="CC1340" i="8"/>
  <c r="CB1340" i="8"/>
  <c r="CA1340" i="8"/>
  <c r="BZ1340" i="8"/>
  <c r="BY1340" i="8"/>
  <c r="BX1340" i="8"/>
  <c r="BW1340" i="8"/>
  <c r="BV1340" i="8"/>
  <c r="BU1340" i="8"/>
  <c r="BT1340" i="8"/>
  <c r="BS1340" i="8"/>
  <c r="BR1340" i="8"/>
  <c r="BQ1340" i="8"/>
  <c r="BP1340" i="8"/>
  <c r="BO1340" i="8"/>
  <c r="BN1340" i="8"/>
  <c r="BM1340" i="8"/>
  <c r="BL1340" i="8"/>
  <c r="BK1340" i="8"/>
  <c r="BJ1340" i="8"/>
  <c r="BI1340" i="8"/>
  <c r="BH1340" i="8"/>
  <c r="CJ1339" i="8"/>
  <c r="CI1339" i="8"/>
  <c r="CH1339" i="8"/>
  <c r="CG1339" i="8"/>
  <c r="CF1339" i="8"/>
  <c r="CE1339" i="8"/>
  <c r="CD1339" i="8"/>
  <c r="CC1339" i="8"/>
  <c r="CB1339" i="8"/>
  <c r="CA1339" i="8"/>
  <c r="BZ1339" i="8"/>
  <c r="BY1339" i="8"/>
  <c r="BX1339" i="8"/>
  <c r="BW1339" i="8"/>
  <c r="BV1339" i="8"/>
  <c r="BU1339" i="8"/>
  <c r="BT1339" i="8"/>
  <c r="BS1339" i="8"/>
  <c r="BR1339" i="8"/>
  <c r="BQ1339" i="8"/>
  <c r="BP1339" i="8"/>
  <c r="BO1339" i="8"/>
  <c r="BN1339" i="8"/>
  <c r="BM1339" i="8"/>
  <c r="BL1339" i="8"/>
  <c r="BK1339" i="8"/>
  <c r="BJ1339" i="8"/>
  <c r="BI1339" i="8"/>
  <c r="BH1339" i="8"/>
  <c r="CJ1338" i="8"/>
  <c r="CI1338" i="8"/>
  <c r="CH1338" i="8"/>
  <c r="CG1338" i="8"/>
  <c r="CF1338" i="8"/>
  <c r="CE1338" i="8"/>
  <c r="CD1338" i="8"/>
  <c r="CC1338" i="8"/>
  <c r="CB1338" i="8"/>
  <c r="CA1338" i="8"/>
  <c r="BZ1338" i="8"/>
  <c r="BY1338" i="8"/>
  <c r="BX1338" i="8"/>
  <c r="BW1338" i="8"/>
  <c r="BV1338" i="8"/>
  <c r="BU1338" i="8"/>
  <c r="BT1338" i="8"/>
  <c r="BS1338" i="8"/>
  <c r="BR1338" i="8"/>
  <c r="BQ1338" i="8"/>
  <c r="BP1338" i="8"/>
  <c r="BO1338" i="8"/>
  <c r="BN1338" i="8"/>
  <c r="BM1338" i="8"/>
  <c r="BL1338" i="8"/>
  <c r="BK1338" i="8"/>
  <c r="BJ1338" i="8"/>
  <c r="BI1338" i="8"/>
  <c r="BH1338" i="8"/>
  <c r="CJ1337" i="8"/>
  <c r="CI1337" i="8"/>
  <c r="CH1337" i="8"/>
  <c r="CG1337" i="8"/>
  <c r="CF1337" i="8"/>
  <c r="CE1337" i="8"/>
  <c r="CD1337" i="8"/>
  <c r="CC1337" i="8"/>
  <c r="CB1337" i="8"/>
  <c r="CA1337" i="8"/>
  <c r="BZ1337" i="8"/>
  <c r="BY1337" i="8"/>
  <c r="BX1337" i="8"/>
  <c r="BW1337" i="8"/>
  <c r="BV1337" i="8"/>
  <c r="BU1337" i="8"/>
  <c r="BT1337" i="8"/>
  <c r="BS1337" i="8"/>
  <c r="BR1337" i="8"/>
  <c r="BQ1337" i="8"/>
  <c r="BP1337" i="8"/>
  <c r="BO1337" i="8"/>
  <c r="BN1337" i="8"/>
  <c r="BM1337" i="8"/>
  <c r="BL1337" i="8"/>
  <c r="BK1337" i="8"/>
  <c r="BJ1337" i="8"/>
  <c r="BI1337" i="8"/>
  <c r="BH1337" i="8"/>
  <c r="CJ1336" i="8"/>
  <c r="CI1336" i="8"/>
  <c r="CH1336" i="8"/>
  <c r="CG1336" i="8"/>
  <c r="CF1336" i="8"/>
  <c r="CE1336" i="8"/>
  <c r="CD1336" i="8"/>
  <c r="CC1336" i="8"/>
  <c r="CB1336" i="8"/>
  <c r="CA1336" i="8"/>
  <c r="BZ1336" i="8"/>
  <c r="BY1336" i="8"/>
  <c r="BX1336" i="8"/>
  <c r="BW1336" i="8"/>
  <c r="BV1336" i="8"/>
  <c r="BU1336" i="8"/>
  <c r="BT1336" i="8"/>
  <c r="BS1336" i="8"/>
  <c r="BR1336" i="8"/>
  <c r="BQ1336" i="8"/>
  <c r="BP1336" i="8"/>
  <c r="BO1336" i="8"/>
  <c r="BN1336" i="8"/>
  <c r="BM1336" i="8"/>
  <c r="BL1336" i="8"/>
  <c r="BK1336" i="8"/>
  <c r="BJ1336" i="8"/>
  <c r="BI1336" i="8"/>
  <c r="BH1336" i="8"/>
  <c r="CJ1335" i="8"/>
  <c r="CI1335" i="8"/>
  <c r="CH1335" i="8"/>
  <c r="CG1335" i="8"/>
  <c r="CF1335" i="8"/>
  <c r="CE1335" i="8"/>
  <c r="CD1335" i="8"/>
  <c r="CC1335" i="8"/>
  <c r="CB1335" i="8"/>
  <c r="CA1335" i="8"/>
  <c r="BZ1335" i="8"/>
  <c r="BY1335" i="8"/>
  <c r="BX1335" i="8"/>
  <c r="BW1335" i="8"/>
  <c r="BV1335" i="8"/>
  <c r="BU1335" i="8"/>
  <c r="BT1335" i="8"/>
  <c r="BS1335" i="8"/>
  <c r="BR1335" i="8"/>
  <c r="BQ1335" i="8"/>
  <c r="BP1335" i="8"/>
  <c r="BO1335" i="8"/>
  <c r="BN1335" i="8"/>
  <c r="BM1335" i="8"/>
  <c r="BL1335" i="8"/>
  <c r="BK1335" i="8"/>
  <c r="BJ1335" i="8"/>
  <c r="BI1335" i="8"/>
  <c r="BH1335" i="8"/>
  <c r="CJ1334" i="8"/>
  <c r="CI1334" i="8"/>
  <c r="CH1334" i="8"/>
  <c r="CG1334" i="8"/>
  <c r="CF1334" i="8"/>
  <c r="CE1334" i="8"/>
  <c r="CD1334" i="8"/>
  <c r="CC1334" i="8"/>
  <c r="CB1334" i="8"/>
  <c r="CA1334" i="8"/>
  <c r="BZ1334" i="8"/>
  <c r="BY1334" i="8"/>
  <c r="BX1334" i="8"/>
  <c r="BW1334" i="8"/>
  <c r="BV1334" i="8"/>
  <c r="BU1334" i="8"/>
  <c r="BT1334" i="8"/>
  <c r="BS1334" i="8"/>
  <c r="BR1334" i="8"/>
  <c r="BQ1334" i="8"/>
  <c r="BP1334" i="8"/>
  <c r="BO1334" i="8"/>
  <c r="BN1334" i="8"/>
  <c r="BM1334" i="8"/>
  <c r="BL1334" i="8"/>
  <c r="BK1334" i="8"/>
  <c r="BJ1334" i="8"/>
  <c r="BI1334" i="8"/>
  <c r="BH1334" i="8"/>
  <c r="CJ1333" i="8"/>
  <c r="CI1333" i="8"/>
  <c r="CH1333" i="8"/>
  <c r="CG1333" i="8"/>
  <c r="CF1333" i="8"/>
  <c r="CE1333" i="8"/>
  <c r="CD1333" i="8"/>
  <c r="CC1333" i="8"/>
  <c r="CB1333" i="8"/>
  <c r="CA1333" i="8"/>
  <c r="BZ1333" i="8"/>
  <c r="BY1333" i="8"/>
  <c r="BX1333" i="8"/>
  <c r="BW1333" i="8"/>
  <c r="BV1333" i="8"/>
  <c r="BU1333" i="8"/>
  <c r="BT1333" i="8"/>
  <c r="BS1333" i="8"/>
  <c r="BR1333" i="8"/>
  <c r="BQ1333" i="8"/>
  <c r="BP1333" i="8"/>
  <c r="BO1333" i="8"/>
  <c r="BN1333" i="8"/>
  <c r="BM1333" i="8"/>
  <c r="BL1333" i="8"/>
  <c r="BK1333" i="8"/>
  <c r="BJ1333" i="8"/>
  <c r="BI1333" i="8"/>
  <c r="BH1333" i="8"/>
  <c r="CJ1332" i="8"/>
  <c r="CI1332" i="8"/>
  <c r="CH1332" i="8"/>
  <c r="CG1332" i="8"/>
  <c r="CF1332" i="8"/>
  <c r="CE1332" i="8"/>
  <c r="CD1332" i="8"/>
  <c r="CC1332" i="8"/>
  <c r="CB1332" i="8"/>
  <c r="CA1332" i="8"/>
  <c r="BZ1332" i="8"/>
  <c r="BY1332" i="8"/>
  <c r="BX1332" i="8"/>
  <c r="BW1332" i="8"/>
  <c r="BV1332" i="8"/>
  <c r="BU1332" i="8"/>
  <c r="BT1332" i="8"/>
  <c r="BS1332" i="8"/>
  <c r="BR1332" i="8"/>
  <c r="BQ1332" i="8"/>
  <c r="BP1332" i="8"/>
  <c r="BO1332" i="8"/>
  <c r="BN1332" i="8"/>
  <c r="BM1332" i="8"/>
  <c r="BL1332" i="8"/>
  <c r="BK1332" i="8"/>
  <c r="BJ1332" i="8"/>
  <c r="BI1332" i="8"/>
  <c r="BH1332" i="8"/>
  <c r="CJ1331" i="8"/>
  <c r="CI1331" i="8"/>
  <c r="CH1331" i="8"/>
  <c r="CG1331" i="8"/>
  <c r="CF1331" i="8"/>
  <c r="CE1331" i="8"/>
  <c r="CD1331" i="8"/>
  <c r="CC1331" i="8"/>
  <c r="CB1331" i="8"/>
  <c r="CA1331" i="8"/>
  <c r="BZ1331" i="8"/>
  <c r="BY1331" i="8"/>
  <c r="BX1331" i="8"/>
  <c r="BW1331" i="8"/>
  <c r="BV1331" i="8"/>
  <c r="BU1331" i="8"/>
  <c r="BT1331" i="8"/>
  <c r="BS1331" i="8"/>
  <c r="BR1331" i="8"/>
  <c r="BQ1331" i="8"/>
  <c r="BP1331" i="8"/>
  <c r="BO1331" i="8"/>
  <c r="BN1331" i="8"/>
  <c r="BM1331" i="8"/>
  <c r="BL1331" i="8"/>
  <c r="BK1331" i="8"/>
  <c r="BJ1331" i="8"/>
  <c r="BI1331" i="8"/>
  <c r="BH1331" i="8"/>
  <c r="CJ1330" i="8"/>
  <c r="CI1330" i="8"/>
  <c r="CH1330" i="8"/>
  <c r="CG1330" i="8"/>
  <c r="CF1330" i="8"/>
  <c r="CE1330" i="8"/>
  <c r="CD1330" i="8"/>
  <c r="CC1330" i="8"/>
  <c r="CB1330" i="8"/>
  <c r="CA1330" i="8"/>
  <c r="BZ1330" i="8"/>
  <c r="BY1330" i="8"/>
  <c r="BX1330" i="8"/>
  <c r="BW1330" i="8"/>
  <c r="BV1330" i="8"/>
  <c r="BU1330" i="8"/>
  <c r="BT1330" i="8"/>
  <c r="BS1330" i="8"/>
  <c r="BR1330" i="8"/>
  <c r="BQ1330" i="8"/>
  <c r="BP1330" i="8"/>
  <c r="BO1330" i="8"/>
  <c r="BN1330" i="8"/>
  <c r="BM1330" i="8"/>
  <c r="BL1330" i="8"/>
  <c r="BK1330" i="8"/>
  <c r="BJ1330" i="8"/>
  <c r="BI1330" i="8"/>
  <c r="BH1330" i="8"/>
  <c r="CJ1329" i="8"/>
  <c r="CI1329" i="8"/>
  <c r="CH1329" i="8"/>
  <c r="CG1329" i="8"/>
  <c r="CF1329" i="8"/>
  <c r="CE1329" i="8"/>
  <c r="CD1329" i="8"/>
  <c r="CC1329" i="8"/>
  <c r="CB1329" i="8"/>
  <c r="CA1329" i="8"/>
  <c r="BZ1329" i="8"/>
  <c r="BY1329" i="8"/>
  <c r="BX1329" i="8"/>
  <c r="BW1329" i="8"/>
  <c r="BV1329" i="8"/>
  <c r="BU1329" i="8"/>
  <c r="BT1329" i="8"/>
  <c r="BS1329" i="8"/>
  <c r="BR1329" i="8"/>
  <c r="BQ1329" i="8"/>
  <c r="BP1329" i="8"/>
  <c r="BO1329" i="8"/>
  <c r="BN1329" i="8"/>
  <c r="BM1329" i="8"/>
  <c r="BL1329" i="8"/>
  <c r="BK1329" i="8"/>
  <c r="BJ1329" i="8"/>
  <c r="BI1329" i="8"/>
  <c r="BH1329" i="8"/>
  <c r="CJ1328" i="8"/>
  <c r="CI1328" i="8"/>
  <c r="CH1328" i="8"/>
  <c r="CG1328" i="8"/>
  <c r="CF1328" i="8"/>
  <c r="CE1328" i="8"/>
  <c r="CD1328" i="8"/>
  <c r="CC1328" i="8"/>
  <c r="CB1328" i="8"/>
  <c r="CA1328" i="8"/>
  <c r="BZ1328" i="8"/>
  <c r="BY1328" i="8"/>
  <c r="BX1328" i="8"/>
  <c r="BW1328" i="8"/>
  <c r="BV1328" i="8"/>
  <c r="BU1328" i="8"/>
  <c r="BT1328" i="8"/>
  <c r="BS1328" i="8"/>
  <c r="BR1328" i="8"/>
  <c r="BQ1328" i="8"/>
  <c r="BP1328" i="8"/>
  <c r="BO1328" i="8"/>
  <c r="BN1328" i="8"/>
  <c r="BM1328" i="8"/>
  <c r="BL1328" i="8"/>
  <c r="BK1328" i="8"/>
  <c r="BJ1328" i="8"/>
  <c r="BI1328" i="8"/>
  <c r="BH1328" i="8"/>
  <c r="CJ1327" i="8"/>
  <c r="CI1327" i="8"/>
  <c r="CH1327" i="8"/>
  <c r="CG1327" i="8"/>
  <c r="CF1327" i="8"/>
  <c r="CE1327" i="8"/>
  <c r="CD1327" i="8"/>
  <c r="CC1327" i="8"/>
  <c r="CB1327" i="8"/>
  <c r="CA1327" i="8"/>
  <c r="BZ1327" i="8"/>
  <c r="BY1327" i="8"/>
  <c r="BX1327" i="8"/>
  <c r="BW1327" i="8"/>
  <c r="BV1327" i="8"/>
  <c r="BU1327" i="8"/>
  <c r="BT1327" i="8"/>
  <c r="BS1327" i="8"/>
  <c r="BR1327" i="8"/>
  <c r="BQ1327" i="8"/>
  <c r="BP1327" i="8"/>
  <c r="BO1327" i="8"/>
  <c r="BN1327" i="8"/>
  <c r="BM1327" i="8"/>
  <c r="BL1327" i="8"/>
  <c r="BK1327" i="8"/>
  <c r="BJ1327" i="8"/>
  <c r="BI1327" i="8"/>
  <c r="BH1327" i="8"/>
  <c r="CJ1326" i="8"/>
  <c r="CI1326" i="8"/>
  <c r="CH1326" i="8"/>
  <c r="CG1326" i="8"/>
  <c r="CF1326" i="8"/>
  <c r="CE1326" i="8"/>
  <c r="CD1326" i="8"/>
  <c r="CC1326" i="8"/>
  <c r="CB1326" i="8"/>
  <c r="CA1326" i="8"/>
  <c r="BZ1326" i="8"/>
  <c r="BY1326" i="8"/>
  <c r="BX1326" i="8"/>
  <c r="BW1326" i="8"/>
  <c r="BV1326" i="8"/>
  <c r="BU1326" i="8"/>
  <c r="BT1326" i="8"/>
  <c r="BS1326" i="8"/>
  <c r="BR1326" i="8"/>
  <c r="BQ1326" i="8"/>
  <c r="BP1326" i="8"/>
  <c r="BO1326" i="8"/>
  <c r="BN1326" i="8"/>
  <c r="BM1326" i="8"/>
  <c r="BL1326" i="8"/>
  <c r="BK1326" i="8"/>
  <c r="BJ1326" i="8"/>
  <c r="BI1326" i="8"/>
  <c r="BH1326" i="8"/>
  <c r="CJ1325" i="8"/>
  <c r="CI1325" i="8"/>
  <c r="CH1325" i="8"/>
  <c r="CG1325" i="8"/>
  <c r="CF1325" i="8"/>
  <c r="CE1325" i="8"/>
  <c r="CD1325" i="8"/>
  <c r="CC1325" i="8"/>
  <c r="CB1325" i="8"/>
  <c r="CA1325" i="8"/>
  <c r="BZ1325" i="8"/>
  <c r="BY1325" i="8"/>
  <c r="BX1325" i="8"/>
  <c r="BW1325" i="8"/>
  <c r="BV1325" i="8"/>
  <c r="BU1325" i="8"/>
  <c r="BT1325" i="8"/>
  <c r="BS1325" i="8"/>
  <c r="BR1325" i="8"/>
  <c r="BQ1325" i="8"/>
  <c r="BP1325" i="8"/>
  <c r="BO1325" i="8"/>
  <c r="BN1325" i="8"/>
  <c r="BM1325" i="8"/>
  <c r="BL1325" i="8"/>
  <c r="BK1325" i="8"/>
  <c r="BJ1325" i="8"/>
  <c r="BI1325" i="8"/>
  <c r="BH1325" i="8"/>
  <c r="CJ1324" i="8"/>
  <c r="CI1324" i="8"/>
  <c r="CH1324" i="8"/>
  <c r="CG1324" i="8"/>
  <c r="CF1324" i="8"/>
  <c r="CE1324" i="8"/>
  <c r="CD1324" i="8"/>
  <c r="CC1324" i="8"/>
  <c r="CB1324" i="8"/>
  <c r="CA1324" i="8"/>
  <c r="BZ1324" i="8"/>
  <c r="BY1324" i="8"/>
  <c r="BX1324" i="8"/>
  <c r="BW1324" i="8"/>
  <c r="BV1324" i="8"/>
  <c r="BU1324" i="8"/>
  <c r="BT1324" i="8"/>
  <c r="BS1324" i="8"/>
  <c r="BR1324" i="8"/>
  <c r="BQ1324" i="8"/>
  <c r="BP1324" i="8"/>
  <c r="BO1324" i="8"/>
  <c r="BN1324" i="8"/>
  <c r="BM1324" i="8"/>
  <c r="BL1324" i="8"/>
  <c r="BK1324" i="8"/>
  <c r="BJ1324" i="8"/>
  <c r="BI1324" i="8"/>
  <c r="BH1324" i="8"/>
  <c r="CJ1323" i="8"/>
  <c r="CI1323" i="8"/>
  <c r="CH1323" i="8"/>
  <c r="CG1323" i="8"/>
  <c r="CF1323" i="8"/>
  <c r="CE1323" i="8"/>
  <c r="CD1323" i="8"/>
  <c r="CC1323" i="8"/>
  <c r="CB1323" i="8"/>
  <c r="CA1323" i="8"/>
  <c r="BZ1323" i="8"/>
  <c r="BY1323" i="8"/>
  <c r="BX1323" i="8"/>
  <c r="BW1323" i="8"/>
  <c r="BV1323" i="8"/>
  <c r="BU1323" i="8"/>
  <c r="BT1323" i="8"/>
  <c r="BS1323" i="8"/>
  <c r="BR1323" i="8"/>
  <c r="BQ1323" i="8"/>
  <c r="BP1323" i="8"/>
  <c r="BO1323" i="8"/>
  <c r="BN1323" i="8"/>
  <c r="BM1323" i="8"/>
  <c r="BL1323" i="8"/>
  <c r="BK1323" i="8"/>
  <c r="BJ1323" i="8"/>
  <c r="BI1323" i="8"/>
  <c r="BH1323" i="8"/>
  <c r="CJ1322" i="8"/>
  <c r="CI1322" i="8"/>
  <c r="CH1322" i="8"/>
  <c r="CG1322" i="8"/>
  <c r="CF1322" i="8"/>
  <c r="CE1322" i="8"/>
  <c r="CD1322" i="8"/>
  <c r="CC1322" i="8"/>
  <c r="CB1322" i="8"/>
  <c r="CA1322" i="8"/>
  <c r="BZ1322" i="8"/>
  <c r="BY1322" i="8"/>
  <c r="BX1322" i="8"/>
  <c r="BW1322" i="8"/>
  <c r="BV1322" i="8"/>
  <c r="BU1322" i="8"/>
  <c r="BT1322" i="8"/>
  <c r="BS1322" i="8"/>
  <c r="BR1322" i="8"/>
  <c r="BQ1322" i="8"/>
  <c r="BP1322" i="8"/>
  <c r="BO1322" i="8"/>
  <c r="BN1322" i="8"/>
  <c r="BM1322" i="8"/>
  <c r="BL1322" i="8"/>
  <c r="BK1322" i="8"/>
  <c r="BJ1322" i="8"/>
  <c r="BI1322" i="8"/>
  <c r="BH1322" i="8"/>
  <c r="CJ1321" i="8"/>
  <c r="CI1321" i="8"/>
  <c r="CH1321" i="8"/>
  <c r="CG1321" i="8"/>
  <c r="CF1321" i="8"/>
  <c r="CE1321" i="8"/>
  <c r="CD1321" i="8"/>
  <c r="CC1321" i="8"/>
  <c r="CB1321" i="8"/>
  <c r="CA1321" i="8"/>
  <c r="BZ1321" i="8"/>
  <c r="BY1321" i="8"/>
  <c r="BX1321" i="8"/>
  <c r="BW1321" i="8"/>
  <c r="BV1321" i="8"/>
  <c r="BU1321" i="8"/>
  <c r="BT1321" i="8"/>
  <c r="BS1321" i="8"/>
  <c r="BR1321" i="8"/>
  <c r="BQ1321" i="8"/>
  <c r="BP1321" i="8"/>
  <c r="BO1321" i="8"/>
  <c r="BN1321" i="8"/>
  <c r="BM1321" i="8"/>
  <c r="BL1321" i="8"/>
  <c r="BK1321" i="8"/>
  <c r="BJ1321" i="8"/>
  <c r="BI1321" i="8"/>
  <c r="BH1321" i="8"/>
  <c r="CJ1320" i="8"/>
  <c r="CI1320" i="8"/>
  <c r="CH1320" i="8"/>
  <c r="CG1320" i="8"/>
  <c r="CF1320" i="8"/>
  <c r="CE1320" i="8"/>
  <c r="CD1320" i="8"/>
  <c r="CC1320" i="8"/>
  <c r="CB1320" i="8"/>
  <c r="CA1320" i="8"/>
  <c r="BZ1320" i="8"/>
  <c r="BY1320" i="8"/>
  <c r="BX1320" i="8"/>
  <c r="BW1320" i="8"/>
  <c r="BV1320" i="8"/>
  <c r="BU1320" i="8"/>
  <c r="BT1320" i="8"/>
  <c r="BS1320" i="8"/>
  <c r="BR1320" i="8"/>
  <c r="BQ1320" i="8"/>
  <c r="BP1320" i="8"/>
  <c r="BO1320" i="8"/>
  <c r="BN1320" i="8"/>
  <c r="BM1320" i="8"/>
  <c r="BL1320" i="8"/>
  <c r="BK1320" i="8"/>
  <c r="BJ1320" i="8"/>
  <c r="BI1320" i="8"/>
  <c r="BH1320" i="8"/>
  <c r="CJ1319" i="8"/>
  <c r="CI1319" i="8"/>
  <c r="CH1319" i="8"/>
  <c r="CG1319" i="8"/>
  <c r="CF1319" i="8"/>
  <c r="CE1319" i="8"/>
  <c r="CD1319" i="8"/>
  <c r="CC1319" i="8"/>
  <c r="CB1319" i="8"/>
  <c r="CA1319" i="8"/>
  <c r="BZ1319" i="8"/>
  <c r="BY1319" i="8"/>
  <c r="BX1319" i="8"/>
  <c r="BW1319" i="8"/>
  <c r="BV1319" i="8"/>
  <c r="BU1319" i="8"/>
  <c r="BT1319" i="8"/>
  <c r="BS1319" i="8"/>
  <c r="BR1319" i="8"/>
  <c r="BQ1319" i="8"/>
  <c r="BP1319" i="8"/>
  <c r="BO1319" i="8"/>
  <c r="BN1319" i="8"/>
  <c r="BM1319" i="8"/>
  <c r="BL1319" i="8"/>
  <c r="BK1319" i="8"/>
  <c r="BJ1319" i="8"/>
  <c r="BI1319" i="8"/>
  <c r="BH1319" i="8"/>
  <c r="CJ1318" i="8"/>
  <c r="CI1318" i="8"/>
  <c r="CH1318" i="8"/>
  <c r="CG1318" i="8"/>
  <c r="CF1318" i="8"/>
  <c r="CE1318" i="8"/>
  <c r="CD1318" i="8"/>
  <c r="CC1318" i="8"/>
  <c r="CB1318" i="8"/>
  <c r="CA1318" i="8"/>
  <c r="BZ1318" i="8"/>
  <c r="BY1318" i="8"/>
  <c r="BX1318" i="8"/>
  <c r="BW1318" i="8"/>
  <c r="BV1318" i="8"/>
  <c r="BU1318" i="8"/>
  <c r="BT1318" i="8"/>
  <c r="BS1318" i="8"/>
  <c r="BR1318" i="8"/>
  <c r="BQ1318" i="8"/>
  <c r="BP1318" i="8"/>
  <c r="BO1318" i="8"/>
  <c r="BN1318" i="8"/>
  <c r="BM1318" i="8"/>
  <c r="BL1318" i="8"/>
  <c r="BK1318" i="8"/>
  <c r="BJ1318" i="8"/>
  <c r="BI1318" i="8"/>
  <c r="BH1318" i="8"/>
  <c r="CJ1317" i="8"/>
  <c r="CI1317" i="8"/>
  <c r="CH1317" i="8"/>
  <c r="CG1317" i="8"/>
  <c r="CF1317" i="8"/>
  <c r="CE1317" i="8"/>
  <c r="CD1317" i="8"/>
  <c r="CC1317" i="8"/>
  <c r="CB1317" i="8"/>
  <c r="CA1317" i="8"/>
  <c r="BZ1317" i="8"/>
  <c r="BY1317" i="8"/>
  <c r="BX1317" i="8"/>
  <c r="BW1317" i="8"/>
  <c r="BV1317" i="8"/>
  <c r="BU1317" i="8"/>
  <c r="BT1317" i="8"/>
  <c r="BS1317" i="8"/>
  <c r="BR1317" i="8"/>
  <c r="BQ1317" i="8"/>
  <c r="BP1317" i="8"/>
  <c r="BO1317" i="8"/>
  <c r="BN1317" i="8"/>
  <c r="BM1317" i="8"/>
  <c r="BL1317" i="8"/>
  <c r="BK1317" i="8"/>
  <c r="BJ1317" i="8"/>
  <c r="BI1317" i="8"/>
  <c r="BH1317" i="8"/>
  <c r="CJ1316" i="8"/>
  <c r="CI1316" i="8"/>
  <c r="CH1316" i="8"/>
  <c r="CG1316" i="8"/>
  <c r="CF1316" i="8"/>
  <c r="CE1316" i="8"/>
  <c r="CD1316" i="8"/>
  <c r="CC1316" i="8"/>
  <c r="CB1316" i="8"/>
  <c r="CA1316" i="8"/>
  <c r="BZ1316" i="8"/>
  <c r="BY1316" i="8"/>
  <c r="BX1316" i="8"/>
  <c r="BW1316" i="8"/>
  <c r="BV1316" i="8"/>
  <c r="BU1316" i="8"/>
  <c r="BT1316" i="8"/>
  <c r="BS1316" i="8"/>
  <c r="BR1316" i="8"/>
  <c r="BQ1316" i="8"/>
  <c r="BP1316" i="8"/>
  <c r="BO1316" i="8"/>
  <c r="BN1316" i="8"/>
  <c r="BM1316" i="8"/>
  <c r="BL1316" i="8"/>
  <c r="BK1316" i="8"/>
  <c r="BJ1316" i="8"/>
  <c r="BI1316" i="8"/>
  <c r="BH1316" i="8"/>
  <c r="CJ1315" i="8"/>
  <c r="CI1315" i="8"/>
  <c r="CH1315" i="8"/>
  <c r="CG1315" i="8"/>
  <c r="CF1315" i="8"/>
  <c r="CE1315" i="8"/>
  <c r="CD1315" i="8"/>
  <c r="CC1315" i="8"/>
  <c r="CB1315" i="8"/>
  <c r="CA1315" i="8"/>
  <c r="BZ1315" i="8"/>
  <c r="BY1315" i="8"/>
  <c r="BX1315" i="8"/>
  <c r="BW1315" i="8"/>
  <c r="BV1315" i="8"/>
  <c r="BU1315" i="8"/>
  <c r="BT1315" i="8"/>
  <c r="BS1315" i="8"/>
  <c r="BR1315" i="8"/>
  <c r="BQ1315" i="8"/>
  <c r="BP1315" i="8"/>
  <c r="BO1315" i="8"/>
  <c r="BN1315" i="8"/>
  <c r="BM1315" i="8"/>
  <c r="BL1315" i="8"/>
  <c r="BK1315" i="8"/>
  <c r="BJ1315" i="8"/>
  <c r="BI1315" i="8"/>
  <c r="BH1315" i="8"/>
  <c r="CJ1314" i="8"/>
  <c r="CI1314" i="8"/>
  <c r="CH1314" i="8"/>
  <c r="CG1314" i="8"/>
  <c r="CF1314" i="8"/>
  <c r="CE1314" i="8"/>
  <c r="CD1314" i="8"/>
  <c r="CC1314" i="8"/>
  <c r="CB1314" i="8"/>
  <c r="CA1314" i="8"/>
  <c r="BZ1314" i="8"/>
  <c r="BY1314" i="8"/>
  <c r="BX1314" i="8"/>
  <c r="BW1314" i="8"/>
  <c r="BV1314" i="8"/>
  <c r="BU1314" i="8"/>
  <c r="BT1314" i="8"/>
  <c r="BS1314" i="8"/>
  <c r="BR1314" i="8"/>
  <c r="BQ1314" i="8"/>
  <c r="BP1314" i="8"/>
  <c r="BO1314" i="8"/>
  <c r="BN1314" i="8"/>
  <c r="BM1314" i="8"/>
  <c r="BL1314" i="8"/>
  <c r="BK1314" i="8"/>
  <c r="BJ1314" i="8"/>
  <c r="BI1314" i="8"/>
  <c r="BH1314" i="8"/>
  <c r="CJ1313" i="8"/>
  <c r="CI1313" i="8"/>
  <c r="CH1313" i="8"/>
  <c r="CG1313" i="8"/>
  <c r="CF1313" i="8"/>
  <c r="CE1313" i="8"/>
  <c r="CD1313" i="8"/>
  <c r="CC1313" i="8"/>
  <c r="CB1313" i="8"/>
  <c r="CA1313" i="8"/>
  <c r="BZ1313" i="8"/>
  <c r="BY1313" i="8"/>
  <c r="BX1313" i="8"/>
  <c r="BW1313" i="8"/>
  <c r="BV1313" i="8"/>
  <c r="BU1313" i="8"/>
  <c r="BT1313" i="8"/>
  <c r="BS1313" i="8"/>
  <c r="BR1313" i="8"/>
  <c r="BQ1313" i="8"/>
  <c r="BP1313" i="8"/>
  <c r="BO1313" i="8"/>
  <c r="BN1313" i="8"/>
  <c r="BM1313" i="8"/>
  <c r="BL1313" i="8"/>
  <c r="BK1313" i="8"/>
  <c r="BJ1313" i="8"/>
  <c r="BI1313" i="8"/>
  <c r="BH1313" i="8"/>
  <c r="CJ1312" i="8"/>
  <c r="CI1312" i="8"/>
  <c r="CH1312" i="8"/>
  <c r="CG1312" i="8"/>
  <c r="CF1312" i="8"/>
  <c r="CE1312" i="8"/>
  <c r="CD1312" i="8"/>
  <c r="CC1312" i="8"/>
  <c r="CB1312" i="8"/>
  <c r="CA1312" i="8"/>
  <c r="BZ1312" i="8"/>
  <c r="BY1312" i="8"/>
  <c r="BX1312" i="8"/>
  <c r="BW1312" i="8"/>
  <c r="BV1312" i="8"/>
  <c r="BU1312" i="8"/>
  <c r="BT1312" i="8"/>
  <c r="BS1312" i="8"/>
  <c r="BR1312" i="8"/>
  <c r="BQ1312" i="8"/>
  <c r="BP1312" i="8"/>
  <c r="BO1312" i="8"/>
  <c r="BN1312" i="8"/>
  <c r="BM1312" i="8"/>
  <c r="BL1312" i="8"/>
  <c r="BK1312" i="8"/>
  <c r="BJ1312" i="8"/>
  <c r="BI1312" i="8"/>
  <c r="BH1312" i="8"/>
  <c r="CJ1311" i="8"/>
  <c r="CI1311" i="8"/>
  <c r="CH1311" i="8"/>
  <c r="CG1311" i="8"/>
  <c r="CF1311" i="8"/>
  <c r="CE1311" i="8"/>
  <c r="CD1311" i="8"/>
  <c r="CC1311" i="8"/>
  <c r="CB1311" i="8"/>
  <c r="CA1311" i="8"/>
  <c r="BZ1311" i="8"/>
  <c r="BY1311" i="8"/>
  <c r="BX1311" i="8"/>
  <c r="BW1311" i="8"/>
  <c r="BV1311" i="8"/>
  <c r="BU1311" i="8"/>
  <c r="BT1311" i="8"/>
  <c r="BS1311" i="8"/>
  <c r="BR1311" i="8"/>
  <c r="BQ1311" i="8"/>
  <c r="BP1311" i="8"/>
  <c r="BO1311" i="8"/>
  <c r="BN1311" i="8"/>
  <c r="BM1311" i="8"/>
  <c r="BL1311" i="8"/>
  <c r="BK1311" i="8"/>
  <c r="BJ1311" i="8"/>
  <c r="BI1311" i="8"/>
  <c r="BH1311" i="8"/>
  <c r="CJ1310" i="8"/>
  <c r="CI1310" i="8"/>
  <c r="CH1310" i="8"/>
  <c r="CG1310" i="8"/>
  <c r="CF1310" i="8"/>
  <c r="CE1310" i="8"/>
  <c r="CD1310" i="8"/>
  <c r="CC1310" i="8"/>
  <c r="CB1310" i="8"/>
  <c r="CA1310" i="8"/>
  <c r="BZ1310" i="8"/>
  <c r="BY1310" i="8"/>
  <c r="BX1310" i="8"/>
  <c r="BW1310" i="8"/>
  <c r="BV1310" i="8"/>
  <c r="BU1310" i="8"/>
  <c r="BT1310" i="8"/>
  <c r="BS1310" i="8"/>
  <c r="BR1310" i="8"/>
  <c r="BQ1310" i="8"/>
  <c r="BP1310" i="8"/>
  <c r="BO1310" i="8"/>
  <c r="BN1310" i="8"/>
  <c r="BM1310" i="8"/>
  <c r="BL1310" i="8"/>
  <c r="BK1310" i="8"/>
  <c r="BJ1310" i="8"/>
  <c r="BI1310" i="8"/>
  <c r="BH1310" i="8"/>
  <c r="CJ1309" i="8"/>
  <c r="CI1309" i="8"/>
  <c r="CH1309" i="8"/>
  <c r="CG1309" i="8"/>
  <c r="CF1309" i="8"/>
  <c r="CE1309" i="8"/>
  <c r="CD1309" i="8"/>
  <c r="CC1309" i="8"/>
  <c r="CB1309" i="8"/>
  <c r="CA1309" i="8"/>
  <c r="BZ1309" i="8"/>
  <c r="BY1309" i="8"/>
  <c r="BX1309" i="8"/>
  <c r="BW1309" i="8"/>
  <c r="BV1309" i="8"/>
  <c r="BU1309" i="8"/>
  <c r="BT1309" i="8"/>
  <c r="BS1309" i="8"/>
  <c r="BR1309" i="8"/>
  <c r="BQ1309" i="8"/>
  <c r="BP1309" i="8"/>
  <c r="BO1309" i="8"/>
  <c r="BN1309" i="8"/>
  <c r="BM1309" i="8"/>
  <c r="BL1309" i="8"/>
  <c r="BK1309" i="8"/>
  <c r="BJ1309" i="8"/>
  <c r="BI1309" i="8"/>
  <c r="BH1309" i="8"/>
  <c r="CJ1308" i="8"/>
  <c r="CI1308" i="8"/>
  <c r="CH1308" i="8"/>
  <c r="CG1308" i="8"/>
  <c r="CF1308" i="8"/>
  <c r="CE1308" i="8"/>
  <c r="CD1308" i="8"/>
  <c r="CC1308" i="8"/>
  <c r="CB1308" i="8"/>
  <c r="CA1308" i="8"/>
  <c r="BZ1308" i="8"/>
  <c r="BY1308" i="8"/>
  <c r="BX1308" i="8"/>
  <c r="BW1308" i="8"/>
  <c r="BV1308" i="8"/>
  <c r="BU1308" i="8"/>
  <c r="BT1308" i="8"/>
  <c r="BS1308" i="8"/>
  <c r="BR1308" i="8"/>
  <c r="BQ1308" i="8"/>
  <c r="BP1308" i="8"/>
  <c r="BO1308" i="8"/>
  <c r="BN1308" i="8"/>
  <c r="BM1308" i="8"/>
  <c r="BL1308" i="8"/>
  <c r="BK1308" i="8"/>
  <c r="BJ1308" i="8"/>
  <c r="BI1308" i="8"/>
  <c r="BH1308" i="8"/>
  <c r="CJ1307" i="8"/>
  <c r="CI1307" i="8"/>
  <c r="CH1307" i="8"/>
  <c r="CG1307" i="8"/>
  <c r="CF1307" i="8"/>
  <c r="CE1307" i="8"/>
  <c r="CD1307" i="8"/>
  <c r="CC1307" i="8"/>
  <c r="CB1307" i="8"/>
  <c r="CA1307" i="8"/>
  <c r="BZ1307" i="8"/>
  <c r="BY1307" i="8"/>
  <c r="BX1307" i="8"/>
  <c r="BW1307" i="8"/>
  <c r="BV1307" i="8"/>
  <c r="BU1307" i="8"/>
  <c r="BT1307" i="8"/>
  <c r="BS1307" i="8"/>
  <c r="BR1307" i="8"/>
  <c r="BQ1307" i="8"/>
  <c r="BP1307" i="8"/>
  <c r="BO1307" i="8"/>
  <c r="BN1307" i="8"/>
  <c r="BM1307" i="8"/>
  <c r="BL1307" i="8"/>
  <c r="BK1307" i="8"/>
  <c r="BJ1307" i="8"/>
  <c r="BI1307" i="8"/>
  <c r="BH1307" i="8"/>
  <c r="CJ1306" i="8"/>
  <c r="CI1306" i="8"/>
  <c r="CH1306" i="8"/>
  <c r="CG1306" i="8"/>
  <c r="CF1306" i="8"/>
  <c r="CE1306" i="8"/>
  <c r="CD1306" i="8"/>
  <c r="CC1306" i="8"/>
  <c r="CB1306" i="8"/>
  <c r="CA1306" i="8"/>
  <c r="BZ1306" i="8"/>
  <c r="BY1306" i="8"/>
  <c r="BX1306" i="8"/>
  <c r="BW1306" i="8"/>
  <c r="BV1306" i="8"/>
  <c r="BU1306" i="8"/>
  <c r="BT1306" i="8"/>
  <c r="BS1306" i="8"/>
  <c r="BR1306" i="8"/>
  <c r="BQ1306" i="8"/>
  <c r="BP1306" i="8"/>
  <c r="BO1306" i="8"/>
  <c r="BN1306" i="8"/>
  <c r="BM1306" i="8"/>
  <c r="BL1306" i="8"/>
  <c r="BK1306" i="8"/>
  <c r="BJ1306" i="8"/>
  <c r="BI1306" i="8"/>
  <c r="BH1306" i="8"/>
  <c r="CJ1305" i="8"/>
  <c r="CI1305" i="8"/>
  <c r="CH1305" i="8"/>
  <c r="CG1305" i="8"/>
  <c r="CF1305" i="8"/>
  <c r="CE1305" i="8"/>
  <c r="CD1305" i="8"/>
  <c r="CC1305" i="8"/>
  <c r="CB1305" i="8"/>
  <c r="CA1305" i="8"/>
  <c r="BZ1305" i="8"/>
  <c r="BY1305" i="8"/>
  <c r="BX1305" i="8"/>
  <c r="BW1305" i="8"/>
  <c r="BV1305" i="8"/>
  <c r="BU1305" i="8"/>
  <c r="BT1305" i="8"/>
  <c r="BS1305" i="8"/>
  <c r="BR1305" i="8"/>
  <c r="BQ1305" i="8"/>
  <c r="BP1305" i="8"/>
  <c r="BO1305" i="8"/>
  <c r="BN1305" i="8"/>
  <c r="BM1305" i="8"/>
  <c r="BL1305" i="8"/>
  <c r="BK1305" i="8"/>
  <c r="BJ1305" i="8"/>
  <c r="BI1305" i="8"/>
  <c r="BH1305" i="8"/>
  <c r="CJ1304" i="8"/>
  <c r="CI1304" i="8"/>
  <c r="CH1304" i="8"/>
  <c r="CG1304" i="8"/>
  <c r="CF1304" i="8"/>
  <c r="CE1304" i="8"/>
  <c r="CD1304" i="8"/>
  <c r="CC1304" i="8"/>
  <c r="CB1304" i="8"/>
  <c r="CA1304" i="8"/>
  <c r="BZ1304" i="8"/>
  <c r="BY1304" i="8"/>
  <c r="BX1304" i="8"/>
  <c r="BW1304" i="8"/>
  <c r="BV1304" i="8"/>
  <c r="BU1304" i="8"/>
  <c r="BT1304" i="8"/>
  <c r="BS1304" i="8"/>
  <c r="BR1304" i="8"/>
  <c r="BQ1304" i="8"/>
  <c r="BP1304" i="8"/>
  <c r="BO1304" i="8"/>
  <c r="BN1304" i="8"/>
  <c r="BM1304" i="8"/>
  <c r="BL1304" i="8"/>
  <c r="BK1304" i="8"/>
  <c r="BJ1304" i="8"/>
  <c r="BI1304" i="8"/>
  <c r="BH1304" i="8"/>
  <c r="CJ1303" i="8"/>
  <c r="CI1303" i="8"/>
  <c r="CH1303" i="8"/>
  <c r="CG1303" i="8"/>
  <c r="CF1303" i="8"/>
  <c r="CE1303" i="8"/>
  <c r="CD1303" i="8"/>
  <c r="CC1303" i="8"/>
  <c r="CB1303" i="8"/>
  <c r="CA1303" i="8"/>
  <c r="BZ1303" i="8"/>
  <c r="BY1303" i="8"/>
  <c r="BX1303" i="8"/>
  <c r="BW1303" i="8"/>
  <c r="BV1303" i="8"/>
  <c r="BU1303" i="8"/>
  <c r="BT1303" i="8"/>
  <c r="BS1303" i="8"/>
  <c r="BR1303" i="8"/>
  <c r="BQ1303" i="8"/>
  <c r="BP1303" i="8"/>
  <c r="BO1303" i="8"/>
  <c r="BN1303" i="8"/>
  <c r="BM1303" i="8"/>
  <c r="BL1303" i="8"/>
  <c r="BK1303" i="8"/>
  <c r="BJ1303" i="8"/>
  <c r="BI1303" i="8"/>
  <c r="BH1303" i="8"/>
  <c r="CJ1302" i="8"/>
  <c r="CI1302" i="8"/>
  <c r="CH1302" i="8"/>
  <c r="CG1302" i="8"/>
  <c r="CF1302" i="8"/>
  <c r="CE1302" i="8"/>
  <c r="CD1302" i="8"/>
  <c r="CC1302" i="8"/>
  <c r="CB1302" i="8"/>
  <c r="CA1302" i="8"/>
  <c r="BZ1302" i="8"/>
  <c r="BY1302" i="8"/>
  <c r="BX1302" i="8"/>
  <c r="BW1302" i="8"/>
  <c r="BV1302" i="8"/>
  <c r="BU1302" i="8"/>
  <c r="BT1302" i="8"/>
  <c r="BS1302" i="8"/>
  <c r="BR1302" i="8"/>
  <c r="BQ1302" i="8"/>
  <c r="BP1302" i="8"/>
  <c r="BO1302" i="8"/>
  <c r="BN1302" i="8"/>
  <c r="BM1302" i="8"/>
  <c r="BL1302" i="8"/>
  <c r="BK1302" i="8"/>
  <c r="BJ1302" i="8"/>
  <c r="BI1302" i="8"/>
  <c r="BH1302" i="8"/>
  <c r="CJ1301" i="8"/>
  <c r="CI1301" i="8"/>
  <c r="CH1301" i="8"/>
  <c r="CG1301" i="8"/>
  <c r="CF1301" i="8"/>
  <c r="CE1301" i="8"/>
  <c r="CD1301" i="8"/>
  <c r="CC1301" i="8"/>
  <c r="CB1301" i="8"/>
  <c r="CA1301" i="8"/>
  <c r="BZ1301" i="8"/>
  <c r="BY1301" i="8"/>
  <c r="BX1301" i="8"/>
  <c r="BW1301" i="8"/>
  <c r="BV1301" i="8"/>
  <c r="BU1301" i="8"/>
  <c r="BT1301" i="8"/>
  <c r="BS1301" i="8"/>
  <c r="BR1301" i="8"/>
  <c r="BQ1301" i="8"/>
  <c r="BP1301" i="8"/>
  <c r="BO1301" i="8"/>
  <c r="BN1301" i="8"/>
  <c r="BM1301" i="8"/>
  <c r="BL1301" i="8"/>
  <c r="BK1301" i="8"/>
  <c r="BJ1301" i="8"/>
  <c r="BI1301" i="8"/>
  <c r="BH1301" i="8"/>
  <c r="CJ1300" i="8"/>
  <c r="CI1300" i="8"/>
  <c r="CH1300" i="8"/>
  <c r="CG1300" i="8"/>
  <c r="CF1300" i="8"/>
  <c r="CE1300" i="8"/>
  <c r="CD1300" i="8"/>
  <c r="CC1300" i="8"/>
  <c r="CB1300" i="8"/>
  <c r="CA1300" i="8"/>
  <c r="BZ1300" i="8"/>
  <c r="BY1300" i="8"/>
  <c r="BX1300" i="8"/>
  <c r="BW1300" i="8"/>
  <c r="BV1300" i="8"/>
  <c r="BU1300" i="8"/>
  <c r="BT1300" i="8"/>
  <c r="BS1300" i="8"/>
  <c r="BR1300" i="8"/>
  <c r="BQ1300" i="8"/>
  <c r="BP1300" i="8"/>
  <c r="BO1300" i="8"/>
  <c r="BN1300" i="8"/>
  <c r="BM1300" i="8"/>
  <c r="BL1300" i="8"/>
  <c r="BK1300" i="8"/>
  <c r="BJ1300" i="8"/>
  <c r="BI1300" i="8"/>
  <c r="BH1300" i="8"/>
  <c r="CJ1299" i="8"/>
  <c r="CI1299" i="8"/>
  <c r="CH1299" i="8"/>
  <c r="CG1299" i="8"/>
  <c r="CF1299" i="8"/>
  <c r="CE1299" i="8"/>
  <c r="CD1299" i="8"/>
  <c r="CC1299" i="8"/>
  <c r="CB1299" i="8"/>
  <c r="CA1299" i="8"/>
  <c r="BZ1299" i="8"/>
  <c r="BY1299" i="8"/>
  <c r="BX1299" i="8"/>
  <c r="BW1299" i="8"/>
  <c r="BV1299" i="8"/>
  <c r="BU1299" i="8"/>
  <c r="BT1299" i="8"/>
  <c r="BS1299" i="8"/>
  <c r="BR1299" i="8"/>
  <c r="BQ1299" i="8"/>
  <c r="BP1299" i="8"/>
  <c r="BO1299" i="8"/>
  <c r="BN1299" i="8"/>
  <c r="BM1299" i="8"/>
  <c r="BL1299" i="8"/>
  <c r="BK1299" i="8"/>
  <c r="BJ1299" i="8"/>
  <c r="BI1299" i="8"/>
  <c r="BH1299" i="8"/>
  <c r="CJ1298" i="8"/>
  <c r="CI1298" i="8"/>
  <c r="CH1298" i="8"/>
  <c r="CG1298" i="8"/>
  <c r="CF1298" i="8"/>
  <c r="CE1298" i="8"/>
  <c r="CD1298" i="8"/>
  <c r="CC1298" i="8"/>
  <c r="CB1298" i="8"/>
  <c r="CA1298" i="8"/>
  <c r="BZ1298" i="8"/>
  <c r="BY1298" i="8"/>
  <c r="BX1298" i="8"/>
  <c r="BW1298" i="8"/>
  <c r="BV1298" i="8"/>
  <c r="BU1298" i="8"/>
  <c r="BT1298" i="8"/>
  <c r="BS1298" i="8"/>
  <c r="BR1298" i="8"/>
  <c r="BQ1298" i="8"/>
  <c r="BP1298" i="8"/>
  <c r="BO1298" i="8"/>
  <c r="BN1298" i="8"/>
  <c r="BM1298" i="8"/>
  <c r="BL1298" i="8"/>
  <c r="BK1298" i="8"/>
  <c r="BJ1298" i="8"/>
  <c r="BI1298" i="8"/>
  <c r="BH1298" i="8"/>
  <c r="CJ1297" i="8"/>
  <c r="CI1297" i="8"/>
  <c r="CH1297" i="8"/>
  <c r="CG1297" i="8"/>
  <c r="CF1297" i="8"/>
  <c r="CE1297" i="8"/>
  <c r="CD1297" i="8"/>
  <c r="CC1297" i="8"/>
  <c r="CB1297" i="8"/>
  <c r="CA1297" i="8"/>
  <c r="BZ1297" i="8"/>
  <c r="BY1297" i="8"/>
  <c r="BX1297" i="8"/>
  <c r="BW1297" i="8"/>
  <c r="BV1297" i="8"/>
  <c r="BU1297" i="8"/>
  <c r="BT1297" i="8"/>
  <c r="BS1297" i="8"/>
  <c r="BR1297" i="8"/>
  <c r="BQ1297" i="8"/>
  <c r="BP1297" i="8"/>
  <c r="BO1297" i="8"/>
  <c r="BN1297" i="8"/>
  <c r="BM1297" i="8"/>
  <c r="BL1297" i="8"/>
  <c r="BK1297" i="8"/>
  <c r="BJ1297" i="8"/>
  <c r="BI1297" i="8"/>
  <c r="BH1297" i="8"/>
  <c r="CJ1296" i="8"/>
  <c r="CI1296" i="8"/>
  <c r="CH1296" i="8"/>
  <c r="CG1296" i="8"/>
  <c r="CF1296" i="8"/>
  <c r="CE1296" i="8"/>
  <c r="CD1296" i="8"/>
  <c r="CC1296" i="8"/>
  <c r="CB1296" i="8"/>
  <c r="CA1296" i="8"/>
  <c r="BZ1296" i="8"/>
  <c r="BY1296" i="8"/>
  <c r="BX1296" i="8"/>
  <c r="BW1296" i="8"/>
  <c r="BV1296" i="8"/>
  <c r="BU1296" i="8"/>
  <c r="BT1296" i="8"/>
  <c r="BS1296" i="8"/>
  <c r="BR1296" i="8"/>
  <c r="BQ1296" i="8"/>
  <c r="BP1296" i="8"/>
  <c r="BO1296" i="8"/>
  <c r="BN1296" i="8"/>
  <c r="BM1296" i="8"/>
  <c r="BL1296" i="8"/>
  <c r="BK1296" i="8"/>
  <c r="BJ1296" i="8"/>
  <c r="BI1296" i="8"/>
  <c r="BH1296" i="8"/>
  <c r="CJ1295" i="8"/>
  <c r="CI1295" i="8"/>
  <c r="CH1295" i="8"/>
  <c r="CG1295" i="8"/>
  <c r="CF1295" i="8"/>
  <c r="CE1295" i="8"/>
  <c r="CD1295" i="8"/>
  <c r="CC1295" i="8"/>
  <c r="CB1295" i="8"/>
  <c r="CA1295" i="8"/>
  <c r="BZ1295" i="8"/>
  <c r="BY1295" i="8"/>
  <c r="BX1295" i="8"/>
  <c r="BW1295" i="8"/>
  <c r="BV1295" i="8"/>
  <c r="BU1295" i="8"/>
  <c r="BT1295" i="8"/>
  <c r="BS1295" i="8"/>
  <c r="BR1295" i="8"/>
  <c r="BQ1295" i="8"/>
  <c r="BP1295" i="8"/>
  <c r="BO1295" i="8"/>
  <c r="BN1295" i="8"/>
  <c r="BM1295" i="8"/>
  <c r="BL1295" i="8"/>
  <c r="BK1295" i="8"/>
  <c r="BJ1295" i="8"/>
  <c r="BI1295" i="8"/>
  <c r="BH1295" i="8"/>
  <c r="CJ1294" i="8"/>
  <c r="CI1294" i="8"/>
  <c r="CH1294" i="8"/>
  <c r="CG1294" i="8"/>
  <c r="CF1294" i="8"/>
  <c r="CE1294" i="8"/>
  <c r="CD1294" i="8"/>
  <c r="CC1294" i="8"/>
  <c r="CB1294" i="8"/>
  <c r="CA1294" i="8"/>
  <c r="BZ1294" i="8"/>
  <c r="BY1294" i="8"/>
  <c r="BX1294" i="8"/>
  <c r="BW1294" i="8"/>
  <c r="BV1294" i="8"/>
  <c r="BU1294" i="8"/>
  <c r="BT1294" i="8"/>
  <c r="BS1294" i="8"/>
  <c r="BR1294" i="8"/>
  <c r="BQ1294" i="8"/>
  <c r="BP1294" i="8"/>
  <c r="BO1294" i="8"/>
  <c r="BN1294" i="8"/>
  <c r="BM1294" i="8"/>
  <c r="BL1294" i="8"/>
  <c r="BK1294" i="8"/>
  <c r="BJ1294" i="8"/>
  <c r="BI1294" i="8"/>
  <c r="BH1294" i="8"/>
  <c r="CJ1293" i="8"/>
  <c r="CI1293" i="8"/>
  <c r="CH1293" i="8"/>
  <c r="CG1293" i="8"/>
  <c r="CF1293" i="8"/>
  <c r="CE1293" i="8"/>
  <c r="CD1293" i="8"/>
  <c r="CC1293" i="8"/>
  <c r="CB1293" i="8"/>
  <c r="CA1293" i="8"/>
  <c r="BZ1293" i="8"/>
  <c r="BY1293" i="8"/>
  <c r="BX1293" i="8"/>
  <c r="BW1293" i="8"/>
  <c r="BV1293" i="8"/>
  <c r="BU1293" i="8"/>
  <c r="BT1293" i="8"/>
  <c r="BS1293" i="8"/>
  <c r="BR1293" i="8"/>
  <c r="BQ1293" i="8"/>
  <c r="BP1293" i="8"/>
  <c r="BO1293" i="8"/>
  <c r="BN1293" i="8"/>
  <c r="BM1293" i="8"/>
  <c r="BL1293" i="8"/>
  <c r="BK1293" i="8"/>
  <c r="BJ1293" i="8"/>
  <c r="BI1293" i="8"/>
  <c r="BH1293" i="8"/>
  <c r="CJ1292" i="8"/>
  <c r="CI1292" i="8"/>
  <c r="CH1292" i="8"/>
  <c r="CG1292" i="8"/>
  <c r="CF1292" i="8"/>
  <c r="CE1292" i="8"/>
  <c r="CD1292" i="8"/>
  <c r="CC1292" i="8"/>
  <c r="CB1292" i="8"/>
  <c r="CA1292" i="8"/>
  <c r="BZ1292" i="8"/>
  <c r="BY1292" i="8"/>
  <c r="BX1292" i="8"/>
  <c r="BW1292" i="8"/>
  <c r="BV1292" i="8"/>
  <c r="BU1292" i="8"/>
  <c r="BT1292" i="8"/>
  <c r="BS1292" i="8"/>
  <c r="BR1292" i="8"/>
  <c r="BQ1292" i="8"/>
  <c r="BP1292" i="8"/>
  <c r="BO1292" i="8"/>
  <c r="BN1292" i="8"/>
  <c r="BM1292" i="8"/>
  <c r="BL1292" i="8"/>
  <c r="BK1292" i="8"/>
  <c r="BJ1292" i="8"/>
  <c r="BI1292" i="8"/>
  <c r="BH1292" i="8"/>
  <c r="CJ1291" i="8"/>
  <c r="CI1291" i="8"/>
  <c r="CH1291" i="8"/>
  <c r="CG1291" i="8"/>
  <c r="CF1291" i="8"/>
  <c r="CE1291" i="8"/>
  <c r="CD1291" i="8"/>
  <c r="CC1291" i="8"/>
  <c r="CB1291" i="8"/>
  <c r="CA1291" i="8"/>
  <c r="BZ1291" i="8"/>
  <c r="BY1291" i="8"/>
  <c r="BX1291" i="8"/>
  <c r="BW1291" i="8"/>
  <c r="BV1291" i="8"/>
  <c r="BU1291" i="8"/>
  <c r="BT1291" i="8"/>
  <c r="BS1291" i="8"/>
  <c r="BR1291" i="8"/>
  <c r="BQ1291" i="8"/>
  <c r="BP1291" i="8"/>
  <c r="BO1291" i="8"/>
  <c r="BN1291" i="8"/>
  <c r="BM1291" i="8"/>
  <c r="BL1291" i="8"/>
  <c r="BK1291" i="8"/>
  <c r="BJ1291" i="8"/>
  <c r="BI1291" i="8"/>
  <c r="BH1291" i="8"/>
  <c r="CJ1290" i="8"/>
  <c r="CI1290" i="8"/>
  <c r="CH1290" i="8"/>
  <c r="CG1290" i="8"/>
  <c r="CF1290" i="8"/>
  <c r="CE1290" i="8"/>
  <c r="CD1290" i="8"/>
  <c r="CC1290" i="8"/>
  <c r="CB1290" i="8"/>
  <c r="CA1290" i="8"/>
  <c r="BZ1290" i="8"/>
  <c r="BY1290" i="8"/>
  <c r="BX1290" i="8"/>
  <c r="BW1290" i="8"/>
  <c r="BV1290" i="8"/>
  <c r="BU1290" i="8"/>
  <c r="BT1290" i="8"/>
  <c r="BS1290" i="8"/>
  <c r="BR1290" i="8"/>
  <c r="BQ1290" i="8"/>
  <c r="BP1290" i="8"/>
  <c r="BO1290" i="8"/>
  <c r="BN1290" i="8"/>
  <c r="BM1290" i="8"/>
  <c r="BL1290" i="8"/>
  <c r="BK1290" i="8"/>
  <c r="BJ1290" i="8"/>
  <c r="BI1290" i="8"/>
  <c r="BH1290" i="8"/>
  <c r="CJ1289" i="8"/>
  <c r="CI1289" i="8"/>
  <c r="CH1289" i="8"/>
  <c r="CG1289" i="8"/>
  <c r="CF1289" i="8"/>
  <c r="CE1289" i="8"/>
  <c r="CD1289" i="8"/>
  <c r="CC1289" i="8"/>
  <c r="CB1289" i="8"/>
  <c r="CA1289" i="8"/>
  <c r="BZ1289" i="8"/>
  <c r="BY1289" i="8"/>
  <c r="BX1289" i="8"/>
  <c r="BW1289" i="8"/>
  <c r="BV1289" i="8"/>
  <c r="BU1289" i="8"/>
  <c r="BT1289" i="8"/>
  <c r="BS1289" i="8"/>
  <c r="BR1289" i="8"/>
  <c r="BQ1289" i="8"/>
  <c r="BP1289" i="8"/>
  <c r="BO1289" i="8"/>
  <c r="BN1289" i="8"/>
  <c r="BM1289" i="8"/>
  <c r="BL1289" i="8"/>
  <c r="BK1289" i="8"/>
  <c r="BJ1289" i="8"/>
  <c r="BI1289" i="8"/>
  <c r="BH1289" i="8"/>
  <c r="CJ1288" i="8"/>
  <c r="CI1288" i="8"/>
  <c r="CH1288" i="8"/>
  <c r="CG1288" i="8"/>
  <c r="CF1288" i="8"/>
  <c r="CE1288" i="8"/>
  <c r="CD1288" i="8"/>
  <c r="CC1288" i="8"/>
  <c r="CB1288" i="8"/>
  <c r="CA1288" i="8"/>
  <c r="BZ1288" i="8"/>
  <c r="BY1288" i="8"/>
  <c r="BX1288" i="8"/>
  <c r="BW1288" i="8"/>
  <c r="BV1288" i="8"/>
  <c r="BU1288" i="8"/>
  <c r="BT1288" i="8"/>
  <c r="BS1288" i="8"/>
  <c r="BR1288" i="8"/>
  <c r="BQ1288" i="8"/>
  <c r="BP1288" i="8"/>
  <c r="BO1288" i="8"/>
  <c r="BN1288" i="8"/>
  <c r="BM1288" i="8"/>
  <c r="BL1288" i="8"/>
  <c r="BK1288" i="8"/>
  <c r="BJ1288" i="8"/>
  <c r="BI1288" i="8"/>
  <c r="BH1288" i="8"/>
  <c r="CJ1287" i="8"/>
  <c r="CI1287" i="8"/>
  <c r="CH1287" i="8"/>
  <c r="CG1287" i="8"/>
  <c r="CF1287" i="8"/>
  <c r="CE1287" i="8"/>
  <c r="CD1287" i="8"/>
  <c r="CC1287" i="8"/>
  <c r="CB1287" i="8"/>
  <c r="CA1287" i="8"/>
  <c r="BZ1287" i="8"/>
  <c r="BY1287" i="8"/>
  <c r="BX1287" i="8"/>
  <c r="BW1287" i="8"/>
  <c r="BV1287" i="8"/>
  <c r="BU1287" i="8"/>
  <c r="BT1287" i="8"/>
  <c r="BS1287" i="8"/>
  <c r="BR1287" i="8"/>
  <c r="BQ1287" i="8"/>
  <c r="BP1287" i="8"/>
  <c r="BO1287" i="8"/>
  <c r="BN1287" i="8"/>
  <c r="BM1287" i="8"/>
  <c r="BL1287" i="8"/>
  <c r="BK1287" i="8"/>
  <c r="BJ1287" i="8"/>
  <c r="BI1287" i="8"/>
  <c r="BH1287" i="8"/>
  <c r="CJ1286" i="8"/>
  <c r="CI1286" i="8"/>
  <c r="CH1286" i="8"/>
  <c r="CG1286" i="8"/>
  <c r="CF1286" i="8"/>
  <c r="CE1286" i="8"/>
  <c r="CD1286" i="8"/>
  <c r="CC1286" i="8"/>
  <c r="CB1286" i="8"/>
  <c r="CA1286" i="8"/>
  <c r="BZ1286" i="8"/>
  <c r="BY1286" i="8"/>
  <c r="BX1286" i="8"/>
  <c r="BW1286" i="8"/>
  <c r="BV1286" i="8"/>
  <c r="BU1286" i="8"/>
  <c r="BT1286" i="8"/>
  <c r="BS1286" i="8"/>
  <c r="BR1286" i="8"/>
  <c r="BQ1286" i="8"/>
  <c r="BP1286" i="8"/>
  <c r="BO1286" i="8"/>
  <c r="BN1286" i="8"/>
  <c r="BM1286" i="8"/>
  <c r="BL1286" i="8"/>
  <c r="BK1286" i="8"/>
  <c r="BJ1286" i="8"/>
  <c r="BI1286" i="8"/>
  <c r="BH1286" i="8"/>
  <c r="CJ1285" i="8"/>
  <c r="CI1285" i="8"/>
  <c r="CH1285" i="8"/>
  <c r="CG1285" i="8"/>
  <c r="CF1285" i="8"/>
  <c r="CE1285" i="8"/>
  <c r="CD1285" i="8"/>
  <c r="CC1285" i="8"/>
  <c r="CB1285" i="8"/>
  <c r="CA1285" i="8"/>
  <c r="BZ1285" i="8"/>
  <c r="BY1285" i="8"/>
  <c r="BX1285" i="8"/>
  <c r="BW1285" i="8"/>
  <c r="BV1285" i="8"/>
  <c r="BU1285" i="8"/>
  <c r="BT1285" i="8"/>
  <c r="BS1285" i="8"/>
  <c r="BR1285" i="8"/>
  <c r="BQ1285" i="8"/>
  <c r="BP1285" i="8"/>
  <c r="BO1285" i="8"/>
  <c r="BN1285" i="8"/>
  <c r="BM1285" i="8"/>
  <c r="BL1285" i="8"/>
  <c r="BK1285" i="8"/>
  <c r="BJ1285" i="8"/>
  <c r="BI1285" i="8"/>
  <c r="BH1285" i="8"/>
  <c r="CJ1284" i="8"/>
  <c r="CI1284" i="8"/>
  <c r="CH1284" i="8"/>
  <c r="CG1284" i="8"/>
  <c r="CF1284" i="8"/>
  <c r="CE1284" i="8"/>
  <c r="CD1284" i="8"/>
  <c r="CC1284" i="8"/>
  <c r="CB1284" i="8"/>
  <c r="CA1284" i="8"/>
  <c r="BZ1284" i="8"/>
  <c r="BY1284" i="8"/>
  <c r="BX1284" i="8"/>
  <c r="BW1284" i="8"/>
  <c r="BV1284" i="8"/>
  <c r="BU1284" i="8"/>
  <c r="BT1284" i="8"/>
  <c r="BS1284" i="8"/>
  <c r="BR1284" i="8"/>
  <c r="BQ1284" i="8"/>
  <c r="BP1284" i="8"/>
  <c r="BO1284" i="8"/>
  <c r="BN1284" i="8"/>
  <c r="BM1284" i="8"/>
  <c r="BL1284" i="8"/>
  <c r="BK1284" i="8"/>
  <c r="BJ1284" i="8"/>
  <c r="BI1284" i="8"/>
  <c r="BH1284" i="8"/>
  <c r="CJ1283" i="8"/>
  <c r="CI1283" i="8"/>
  <c r="CH1283" i="8"/>
  <c r="CG1283" i="8"/>
  <c r="CF1283" i="8"/>
  <c r="CE1283" i="8"/>
  <c r="CD1283" i="8"/>
  <c r="CC1283" i="8"/>
  <c r="CB1283" i="8"/>
  <c r="CA1283" i="8"/>
  <c r="BZ1283" i="8"/>
  <c r="BY1283" i="8"/>
  <c r="BX1283" i="8"/>
  <c r="BW1283" i="8"/>
  <c r="BV1283" i="8"/>
  <c r="BU1283" i="8"/>
  <c r="BT1283" i="8"/>
  <c r="BS1283" i="8"/>
  <c r="BR1283" i="8"/>
  <c r="BQ1283" i="8"/>
  <c r="BP1283" i="8"/>
  <c r="BO1283" i="8"/>
  <c r="BN1283" i="8"/>
  <c r="BM1283" i="8"/>
  <c r="BL1283" i="8"/>
  <c r="BK1283" i="8"/>
  <c r="BJ1283" i="8"/>
  <c r="BI1283" i="8"/>
  <c r="BH1283" i="8"/>
  <c r="CJ1282" i="8"/>
  <c r="CI1282" i="8"/>
  <c r="CH1282" i="8"/>
  <c r="CG1282" i="8"/>
  <c r="CF1282" i="8"/>
  <c r="CE1282" i="8"/>
  <c r="CD1282" i="8"/>
  <c r="CC1282" i="8"/>
  <c r="CB1282" i="8"/>
  <c r="CA1282" i="8"/>
  <c r="BZ1282" i="8"/>
  <c r="BY1282" i="8"/>
  <c r="BX1282" i="8"/>
  <c r="BW1282" i="8"/>
  <c r="BV1282" i="8"/>
  <c r="BU1282" i="8"/>
  <c r="BT1282" i="8"/>
  <c r="BS1282" i="8"/>
  <c r="BR1282" i="8"/>
  <c r="BQ1282" i="8"/>
  <c r="BP1282" i="8"/>
  <c r="BO1282" i="8"/>
  <c r="BN1282" i="8"/>
  <c r="BM1282" i="8"/>
  <c r="BL1282" i="8"/>
  <c r="BK1282" i="8"/>
  <c r="BJ1282" i="8"/>
  <c r="BI1282" i="8"/>
  <c r="BH1282" i="8"/>
  <c r="CJ1281" i="8"/>
  <c r="CI1281" i="8"/>
  <c r="CH1281" i="8"/>
  <c r="CG1281" i="8"/>
  <c r="CF1281" i="8"/>
  <c r="CE1281" i="8"/>
  <c r="CD1281" i="8"/>
  <c r="CC1281" i="8"/>
  <c r="CB1281" i="8"/>
  <c r="CA1281" i="8"/>
  <c r="BZ1281" i="8"/>
  <c r="BY1281" i="8"/>
  <c r="BX1281" i="8"/>
  <c r="BW1281" i="8"/>
  <c r="BV1281" i="8"/>
  <c r="BU1281" i="8"/>
  <c r="BT1281" i="8"/>
  <c r="BS1281" i="8"/>
  <c r="BR1281" i="8"/>
  <c r="BQ1281" i="8"/>
  <c r="BP1281" i="8"/>
  <c r="BO1281" i="8"/>
  <c r="BN1281" i="8"/>
  <c r="BM1281" i="8"/>
  <c r="BL1281" i="8"/>
  <c r="BK1281" i="8"/>
  <c r="BJ1281" i="8"/>
  <c r="BI1281" i="8"/>
  <c r="BH1281" i="8"/>
  <c r="CJ1250" i="8"/>
  <c r="CI1250" i="8"/>
  <c r="CH1250" i="8"/>
  <c r="CG1250" i="8"/>
  <c r="CF1250" i="8"/>
  <c r="CE1250" i="8"/>
  <c r="CD1250" i="8"/>
  <c r="CC1250" i="8"/>
  <c r="CB1250" i="8"/>
  <c r="CA1250" i="8"/>
  <c r="BZ1250" i="8"/>
  <c r="BY1250" i="8"/>
  <c r="BX1250" i="8"/>
  <c r="BW1250" i="8"/>
  <c r="BV1250" i="8"/>
  <c r="BU1250" i="8"/>
  <c r="BT1250" i="8"/>
  <c r="BS1250" i="8"/>
  <c r="BR1250" i="8"/>
  <c r="BQ1250" i="8"/>
  <c r="BP1250" i="8"/>
  <c r="BO1250" i="8"/>
  <c r="BN1250" i="8"/>
  <c r="BM1250" i="8"/>
  <c r="BL1250" i="8"/>
  <c r="BK1250" i="8"/>
  <c r="BJ1250" i="8"/>
  <c r="BI1250" i="8"/>
  <c r="BH1250" i="8"/>
  <c r="CJ1249" i="8"/>
  <c r="CI1249" i="8"/>
  <c r="CH1249" i="8"/>
  <c r="CG1249" i="8"/>
  <c r="CF1249" i="8"/>
  <c r="CE1249" i="8"/>
  <c r="CD1249" i="8"/>
  <c r="CC1249" i="8"/>
  <c r="CB1249" i="8"/>
  <c r="CA1249" i="8"/>
  <c r="BZ1249" i="8"/>
  <c r="BY1249" i="8"/>
  <c r="BX1249" i="8"/>
  <c r="BW1249" i="8"/>
  <c r="BV1249" i="8"/>
  <c r="BU1249" i="8"/>
  <c r="BT1249" i="8"/>
  <c r="BS1249" i="8"/>
  <c r="BR1249" i="8"/>
  <c r="BQ1249" i="8"/>
  <c r="BP1249" i="8"/>
  <c r="BO1249" i="8"/>
  <c r="BN1249" i="8"/>
  <c r="BM1249" i="8"/>
  <c r="BL1249" i="8"/>
  <c r="BK1249" i="8"/>
  <c r="BJ1249" i="8"/>
  <c r="BI1249" i="8"/>
  <c r="BH1249" i="8"/>
  <c r="CJ1248" i="8"/>
  <c r="CI1248" i="8"/>
  <c r="CH1248" i="8"/>
  <c r="CG1248" i="8"/>
  <c r="CF1248" i="8"/>
  <c r="CE1248" i="8"/>
  <c r="CD1248" i="8"/>
  <c r="CC1248" i="8"/>
  <c r="CB1248" i="8"/>
  <c r="CA1248" i="8"/>
  <c r="BZ1248" i="8"/>
  <c r="BY1248" i="8"/>
  <c r="BX1248" i="8"/>
  <c r="BW1248" i="8"/>
  <c r="BV1248" i="8"/>
  <c r="BU1248" i="8"/>
  <c r="BT1248" i="8"/>
  <c r="BS1248" i="8"/>
  <c r="BR1248" i="8"/>
  <c r="BQ1248" i="8"/>
  <c r="BP1248" i="8"/>
  <c r="BO1248" i="8"/>
  <c r="BN1248" i="8"/>
  <c r="BM1248" i="8"/>
  <c r="BL1248" i="8"/>
  <c r="BK1248" i="8"/>
  <c r="BJ1248" i="8"/>
  <c r="BI1248" i="8"/>
  <c r="BH1248" i="8"/>
  <c r="CJ1247" i="8"/>
  <c r="CI1247" i="8"/>
  <c r="CH1247" i="8"/>
  <c r="CG1247" i="8"/>
  <c r="CF1247" i="8"/>
  <c r="CE1247" i="8"/>
  <c r="CD1247" i="8"/>
  <c r="CC1247" i="8"/>
  <c r="CB1247" i="8"/>
  <c r="CA1247" i="8"/>
  <c r="BZ1247" i="8"/>
  <c r="BY1247" i="8"/>
  <c r="BX1247" i="8"/>
  <c r="BW1247" i="8"/>
  <c r="BV1247" i="8"/>
  <c r="BU1247" i="8"/>
  <c r="BT1247" i="8"/>
  <c r="BS1247" i="8"/>
  <c r="BR1247" i="8"/>
  <c r="BQ1247" i="8"/>
  <c r="BP1247" i="8"/>
  <c r="BO1247" i="8"/>
  <c r="BN1247" i="8"/>
  <c r="BM1247" i="8"/>
  <c r="BL1247" i="8"/>
  <c r="BK1247" i="8"/>
  <c r="BJ1247" i="8"/>
  <c r="BI1247" i="8"/>
  <c r="BH1247" i="8"/>
  <c r="CJ1246" i="8"/>
  <c r="CI1246" i="8"/>
  <c r="CH1246" i="8"/>
  <c r="CG1246" i="8"/>
  <c r="CF1246" i="8"/>
  <c r="CE1246" i="8"/>
  <c r="CD1246" i="8"/>
  <c r="CC1246" i="8"/>
  <c r="CB1246" i="8"/>
  <c r="CA1246" i="8"/>
  <c r="BZ1246" i="8"/>
  <c r="BY1246" i="8"/>
  <c r="BX1246" i="8"/>
  <c r="BW1246" i="8"/>
  <c r="BV1246" i="8"/>
  <c r="BU1246" i="8"/>
  <c r="BT1246" i="8"/>
  <c r="BS1246" i="8"/>
  <c r="BR1246" i="8"/>
  <c r="BQ1246" i="8"/>
  <c r="BP1246" i="8"/>
  <c r="BO1246" i="8"/>
  <c r="BN1246" i="8"/>
  <c r="BM1246" i="8"/>
  <c r="BL1246" i="8"/>
  <c r="BK1246" i="8"/>
  <c r="BJ1246" i="8"/>
  <c r="BI1246" i="8"/>
  <c r="BH1246" i="8"/>
  <c r="CJ1245" i="8"/>
  <c r="CI1245" i="8"/>
  <c r="CH1245" i="8"/>
  <c r="CG1245" i="8"/>
  <c r="CF1245" i="8"/>
  <c r="CE1245" i="8"/>
  <c r="CD1245" i="8"/>
  <c r="CC1245" i="8"/>
  <c r="CB1245" i="8"/>
  <c r="CA1245" i="8"/>
  <c r="BZ1245" i="8"/>
  <c r="BY1245" i="8"/>
  <c r="BX1245" i="8"/>
  <c r="BW1245" i="8"/>
  <c r="BV1245" i="8"/>
  <c r="BU1245" i="8"/>
  <c r="BT1245" i="8"/>
  <c r="BS1245" i="8"/>
  <c r="BR1245" i="8"/>
  <c r="BQ1245" i="8"/>
  <c r="BP1245" i="8"/>
  <c r="BO1245" i="8"/>
  <c r="BN1245" i="8"/>
  <c r="BM1245" i="8"/>
  <c r="BL1245" i="8"/>
  <c r="BK1245" i="8"/>
  <c r="BJ1245" i="8"/>
  <c r="BI1245" i="8"/>
  <c r="BH1245" i="8"/>
  <c r="CJ1244" i="8"/>
  <c r="CI1244" i="8"/>
  <c r="CH1244" i="8"/>
  <c r="CG1244" i="8"/>
  <c r="CF1244" i="8"/>
  <c r="CE1244" i="8"/>
  <c r="CD1244" i="8"/>
  <c r="CC1244" i="8"/>
  <c r="CB1244" i="8"/>
  <c r="CA1244" i="8"/>
  <c r="BZ1244" i="8"/>
  <c r="BY1244" i="8"/>
  <c r="BX1244" i="8"/>
  <c r="BW1244" i="8"/>
  <c r="BV1244" i="8"/>
  <c r="BU1244" i="8"/>
  <c r="BT1244" i="8"/>
  <c r="BS1244" i="8"/>
  <c r="BR1244" i="8"/>
  <c r="BQ1244" i="8"/>
  <c r="BP1244" i="8"/>
  <c r="BO1244" i="8"/>
  <c r="BN1244" i="8"/>
  <c r="BM1244" i="8"/>
  <c r="BL1244" i="8"/>
  <c r="BK1244" i="8"/>
  <c r="BJ1244" i="8"/>
  <c r="BI1244" i="8"/>
  <c r="BH1244" i="8"/>
  <c r="CJ1243" i="8"/>
  <c r="CI1243" i="8"/>
  <c r="CH1243" i="8"/>
  <c r="CG1243" i="8"/>
  <c r="CF1243" i="8"/>
  <c r="CE1243" i="8"/>
  <c r="CD1243" i="8"/>
  <c r="CC1243" i="8"/>
  <c r="CB1243" i="8"/>
  <c r="CA1243" i="8"/>
  <c r="BZ1243" i="8"/>
  <c r="BY1243" i="8"/>
  <c r="BX1243" i="8"/>
  <c r="BW1243" i="8"/>
  <c r="BV1243" i="8"/>
  <c r="BU1243" i="8"/>
  <c r="BT1243" i="8"/>
  <c r="BS1243" i="8"/>
  <c r="BR1243" i="8"/>
  <c r="BQ1243" i="8"/>
  <c r="BP1243" i="8"/>
  <c r="BO1243" i="8"/>
  <c r="BN1243" i="8"/>
  <c r="BM1243" i="8"/>
  <c r="BL1243" i="8"/>
  <c r="BK1243" i="8"/>
  <c r="BJ1243" i="8"/>
  <c r="BI1243" i="8"/>
  <c r="BH1243" i="8"/>
  <c r="CJ1242" i="8"/>
  <c r="CI1242" i="8"/>
  <c r="CH1242" i="8"/>
  <c r="CG1242" i="8"/>
  <c r="CF1242" i="8"/>
  <c r="CE1242" i="8"/>
  <c r="CD1242" i="8"/>
  <c r="CC1242" i="8"/>
  <c r="CB1242" i="8"/>
  <c r="CA1242" i="8"/>
  <c r="BZ1242" i="8"/>
  <c r="BY1242" i="8"/>
  <c r="BX1242" i="8"/>
  <c r="BW1242" i="8"/>
  <c r="BV1242" i="8"/>
  <c r="BU1242" i="8"/>
  <c r="BT1242" i="8"/>
  <c r="BS1242" i="8"/>
  <c r="BR1242" i="8"/>
  <c r="BQ1242" i="8"/>
  <c r="BP1242" i="8"/>
  <c r="BO1242" i="8"/>
  <c r="BN1242" i="8"/>
  <c r="BM1242" i="8"/>
  <c r="BL1242" i="8"/>
  <c r="BK1242" i="8"/>
  <c r="BJ1242" i="8"/>
  <c r="BI1242" i="8"/>
  <c r="BH1242" i="8"/>
  <c r="CJ1241" i="8"/>
  <c r="CI1241" i="8"/>
  <c r="CH1241" i="8"/>
  <c r="CG1241" i="8"/>
  <c r="CF1241" i="8"/>
  <c r="CE1241" i="8"/>
  <c r="CD1241" i="8"/>
  <c r="CC1241" i="8"/>
  <c r="CB1241" i="8"/>
  <c r="CA1241" i="8"/>
  <c r="BZ1241" i="8"/>
  <c r="BY1241" i="8"/>
  <c r="BX1241" i="8"/>
  <c r="BW1241" i="8"/>
  <c r="BV1241" i="8"/>
  <c r="BU1241" i="8"/>
  <c r="BT1241" i="8"/>
  <c r="BS1241" i="8"/>
  <c r="BR1241" i="8"/>
  <c r="BQ1241" i="8"/>
  <c r="BP1241" i="8"/>
  <c r="BO1241" i="8"/>
  <c r="BN1241" i="8"/>
  <c r="BM1241" i="8"/>
  <c r="BL1241" i="8"/>
  <c r="BK1241" i="8"/>
  <c r="BJ1241" i="8"/>
  <c r="BI1241" i="8"/>
  <c r="BH1241" i="8"/>
  <c r="CJ1240" i="8"/>
  <c r="CI1240" i="8"/>
  <c r="CH1240" i="8"/>
  <c r="CG1240" i="8"/>
  <c r="CF1240" i="8"/>
  <c r="CE1240" i="8"/>
  <c r="CD1240" i="8"/>
  <c r="CC1240" i="8"/>
  <c r="CB1240" i="8"/>
  <c r="CA1240" i="8"/>
  <c r="BZ1240" i="8"/>
  <c r="BY1240" i="8"/>
  <c r="BX1240" i="8"/>
  <c r="BW1240" i="8"/>
  <c r="BV1240" i="8"/>
  <c r="BU1240" i="8"/>
  <c r="BT1240" i="8"/>
  <c r="BS1240" i="8"/>
  <c r="BR1240" i="8"/>
  <c r="BQ1240" i="8"/>
  <c r="BP1240" i="8"/>
  <c r="BO1240" i="8"/>
  <c r="BN1240" i="8"/>
  <c r="BM1240" i="8"/>
  <c r="BL1240" i="8"/>
  <c r="BK1240" i="8"/>
  <c r="BJ1240" i="8"/>
  <c r="BI1240" i="8"/>
  <c r="BH1240" i="8"/>
  <c r="CJ1239" i="8"/>
  <c r="CI1239" i="8"/>
  <c r="CH1239" i="8"/>
  <c r="CG1239" i="8"/>
  <c r="CF1239" i="8"/>
  <c r="CE1239" i="8"/>
  <c r="CD1239" i="8"/>
  <c r="CC1239" i="8"/>
  <c r="CB1239" i="8"/>
  <c r="CA1239" i="8"/>
  <c r="BZ1239" i="8"/>
  <c r="BY1239" i="8"/>
  <c r="BX1239" i="8"/>
  <c r="BW1239" i="8"/>
  <c r="BV1239" i="8"/>
  <c r="BU1239" i="8"/>
  <c r="BT1239" i="8"/>
  <c r="BS1239" i="8"/>
  <c r="BR1239" i="8"/>
  <c r="BQ1239" i="8"/>
  <c r="BP1239" i="8"/>
  <c r="BO1239" i="8"/>
  <c r="BN1239" i="8"/>
  <c r="BM1239" i="8"/>
  <c r="BL1239" i="8"/>
  <c r="BK1239" i="8"/>
  <c r="BJ1239" i="8"/>
  <c r="BI1239" i="8"/>
  <c r="BH1239" i="8"/>
  <c r="CJ1238" i="8"/>
  <c r="CI1238" i="8"/>
  <c r="CH1238" i="8"/>
  <c r="CG1238" i="8"/>
  <c r="CF1238" i="8"/>
  <c r="CE1238" i="8"/>
  <c r="CD1238" i="8"/>
  <c r="CC1238" i="8"/>
  <c r="CB1238" i="8"/>
  <c r="CA1238" i="8"/>
  <c r="BZ1238" i="8"/>
  <c r="BY1238" i="8"/>
  <c r="BX1238" i="8"/>
  <c r="BW1238" i="8"/>
  <c r="BV1238" i="8"/>
  <c r="BU1238" i="8"/>
  <c r="BT1238" i="8"/>
  <c r="BS1238" i="8"/>
  <c r="BR1238" i="8"/>
  <c r="BQ1238" i="8"/>
  <c r="BP1238" i="8"/>
  <c r="BO1238" i="8"/>
  <c r="BN1238" i="8"/>
  <c r="BM1238" i="8"/>
  <c r="BL1238" i="8"/>
  <c r="BK1238" i="8"/>
  <c r="BJ1238" i="8"/>
  <c r="BI1238" i="8"/>
  <c r="BH1238" i="8"/>
  <c r="CJ1237" i="8"/>
  <c r="CI1237" i="8"/>
  <c r="CH1237" i="8"/>
  <c r="CG1237" i="8"/>
  <c r="CF1237" i="8"/>
  <c r="CE1237" i="8"/>
  <c r="CD1237" i="8"/>
  <c r="CC1237" i="8"/>
  <c r="CB1237" i="8"/>
  <c r="CA1237" i="8"/>
  <c r="BZ1237" i="8"/>
  <c r="BY1237" i="8"/>
  <c r="BX1237" i="8"/>
  <c r="BW1237" i="8"/>
  <c r="BV1237" i="8"/>
  <c r="BU1237" i="8"/>
  <c r="BT1237" i="8"/>
  <c r="BS1237" i="8"/>
  <c r="BR1237" i="8"/>
  <c r="BQ1237" i="8"/>
  <c r="BP1237" i="8"/>
  <c r="BO1237" i="8"/>
  <c r="BN1237" i="8"/>
  <c r="BM1237" i="8"/>
  <c r="BL1237" i="8"/>
  <c r="BK1237" i="8"/>
  <c r="BJ1237" i="8"/>
  <c r="BI1237" i="8"/>
  <c r="BH1237" i="8"/>
  <c r="CJ1236" i="8"/>
  <c r="CI1236" i="8"/>
  <c r="CH1236" i="8"/>
  <c r="CG1236" i="8"/>
  <c r="CF1236" i="8"/>
  <c r="CE1236" i="8"/>
  <c r="CD1236" i="8"/>
  <c r="CC1236" i="8"/>
  <c r="CB1236" i="8"/>
  <c r="CA1236" i="8"/>
  <c r="BZ1236" i="8"/>
  <c r="BY1236" i="8"/>
  <c r="BX1236" i="8"/>
  <c r="BW1236" i="8"/>
  <c r="BV1236" i="8"/>
  <c r="BU1236" i="8"/>
  <c r="BT1236" i="8"/>
  <c r="BS1236" i="8"/>
  <c r="BR1236" i="8"/>
  <c r="BQ1236" i="8"/>
  <c r="BP1236" i="8"/>
  <c r="BO1236" i="8"/>
  <c r="BN1236" i="8"/>
  <c r="BM1236" i="8"/>
  <c r="BL1236" i="8"/>
  <c r="BK1236" i="8"/>
  <c r="BJ1236" i="8"/>
  <c r="BI1236" i="8"/>
  <c r="BH1236" i="8"/>
  <c r="CJ1235" i="8"/>
  <c r="CI1235" i="8"/>
  <c r="CH1235" i="8"/>
  <c r="CG1235" i="8"/>
  <c r="CF1235" i="8"/>
  <c r="CE1235" i="8"/>
  <c r="CD1235" i="8"/>
  <c r="CC1235" i="8"/>
  <c r="CB1235" i="8"/>
  <c r="CA1235" i="8"/>
  <c r="BZ1235" i="8"/>
  <c r="BY1235" i="8"/>
  <c r="BX1235" i="8"/>
  <c r="BW1235" i="8"/>
  <c r="BV1235" i="8"/>
  <c r="BU1235" i="8"/>
  <c r="BT1235" i="8"/>
  <c r="BS1235" i="8"/>
  <c r="BR1235" i="8"/>
  <c r="BQ1235" i="8"/>
  <c r="BP1235" i="8"/>
  <c r="BO1235" i="8"/>
  <c r="BN1235" i="8"/>
  <c r="BM1235" i="8"/>
  <c r="BL1235" i="8"/>
  <c r="BK1235" i="8"/>
  <c r="BJ1235" i="8"/>
  <c r="BI1235" i="8"/>
  <c r="BH1235" i="8"/>
  <c r="CJ1234" i="8"/>
  <c r="CI1234" i="8"/>
  <c r="CH1234" i="8"/>
  <c r="CG1234" i="8"/>
  <c r="CF1234" i="8"/>
  <c r="CE1234" i="8"/>
  <c r="CD1234" i="8"/>
  <c r="CC1234" i="8"/>
  <c r="CB1234" i="8"/>
  <c r="CA1234" i="8"/>
  <c r="BZ1234" i="8"/>
  <c r="BY1234" i="8"/>
  <c r="BX1234" i="8"/>
  <c r="BW1234" i="8"/>
  <c r="BV1234" i="8"/>
  <c r="BU1234" i="8"/>
  <c r="BT1234" i="8"/>
  <c r="BS1234" i="8"/>
  <c r="BR1234" i="8"/>
  <c r="BQ1234" i="8"/>
  <c r="BP1234" i="8"/>
  <c r="BO1234" i="8"/>
  <c r="BN1234" i="8"/>
  <c r="BM1234" i="8"/>
  <c r="BL1234" i="8"/>
  <c r="BK1234" i="8"/>
  <c r="BJ1234" i="8"/>
  <c r="BI1234" i="8"/>
  <c r="BH1234" i="8"/>
  <c r="CJ1233" i="8"/>
  <c r="CI1233" i="8"/>
  <c r="CH1233" i="8"/>
  <c r="CG1233" i="8"/>
  <c r="CF1233" i="8"/>
  <c r="CE1233" i="8"/>
  <c r="CD1233" i="8"/>
  <c r="CC1233" i="8"/>
  <c r="CB1233" i="8"/>
  <c r="CA1233" i="8"/>
  <c r="BZ1233" i="8"/>
  <c r="BY1233" i="8"/>
  <c r="BX1233" i="8"/>
  <c r="BW1233" i="8"/>
  <c r="BV1233" i="8"/>
  <c r="BU1233" i="8"/>
  <c r="BT1233" i="8"/>
  <c r="BS1233" i="8"/>
  <c r="BR1233" i="8"/>
  <c r="BQ1233" i="8"/>
  <c r="BP1233" i="8"/>
  <c r="BO1233" i="8"/>
  <c r="BN1233" i="8"/>
  <c r="BM1233" i="8"/>
  <c r="BL1233" i="8"/>
  <c r="BK1233" i="8"/>
  <c r="BJ1233" i="8"/>
  <c r="BI1233" i="8"/>
  <c r="BH1233" i="8"/>
  <c r="CJ1232" i="8"/>
  <c r="CI1232" i="8"/>
  <c r="CH1232" i="8"/>
  <c r="CG1232" i="8"/>
  <c r="CF1232" i="8"/>
  <c r="CE1232" i="8"/>
  <c r="CD1232" i="8"/>
  <c r="CC1232" i="8"/>
  <c r="CB1232" i="8"/>
  <c r="CA1232" i="8"/>
  <c r="BZ1232" i="8"/>
  <c r="BY1232" i="8"/>
  <c r="BX1232" i="8"/>
  <c r="BW1232" i="8"/>
  <c r="BV1232" i="8"/>
  <c r="BU1232" i="8"/>
  <c r="BT1232" i="8"/>
  <c r="BS1232" i="8"/>
  <c r="BR1232" i="8"/>
  <c r="BQ1232" i="8"/>
  <c r="BP1232" i="8"/>
  <c r="BO1232" i="8"/>
  <c r="BN1232" i="8"/>
  <c r="BM1232" i="8"/>
  <c r="BL1232" i="8"/>
  <c r="BK1232" i="8"/>
  <c r="BJ1232" i="8"/>
  <c r="BI1232" i="8"/>
  <c r="BH1232" i="8"/>
  <c r="CJ1231" i="8"/>
  <c r="CI1231" i="8"/>
  <c r="CH1231" i="8"/>
  <c r="CG1231" i="8"/>
  <c r="CF1231" i="8"/>
  <c r="CE1231" i="8"/>
  <c r="CD1231" i="8"/>
  <c r="CC1231" i="8"/>
  <c r="CB1231" i="8"/>
  <c r="CA1231" i="8"/>
  <c r="BZ1231" i="8"/>
  <c r="BY1231" i="8"/>
  <c r="BX1231" i="8"/>
  <c r="BW1231" i="8"/>
  <c r="BV1231" i="8"/>
  <c r="BU1231" i="8"/>
  <c r="BT1231" i="8"/>
  <c r="BS1231" i="8"/>
  <c r="BR1231" i="8"/>
  <c r="BQ1231" i="8"/>
  <c r="BP1231" i="8"/>
  <c r="BO1231" i="8"/>
  <c r="BN1231" i="8"/>
  <c r="BM1231" i="8"/>
  <c r="BL1231" i="8"/>
  <c r="BK1231" i="8"/>
  <c r="BJ1231" i="8"/>
  <c r="BI1231" i="8"/>
  <c r="BH1231" i="8"/>
  <c r="CJ1230" i="8"/>
  <c r="CI1230" i="8"/>
  <c r="CH1230" i="8"/>
  <c r="CG1230" i="8"/>
  <c r="CF1230" i="8"/>
  <c r="CE1230" i="8"/>
  <c r="CD1230" i="8"/>
  <c r="CC1230" i="8"/>
  <c r="CB1230" i="8"/>
  <c r="CA1230" i="8"/>
  <c r="BZ1230" i="8"/>
  <c r="BY1230" i="8"/>
  <c r="BX1230" i="8"/>
  <c r="BW1230" i="8"/>
  <c r="BV1230" i="8"/>
  <c r="BU1230" i="8"/>
  <c r="BT1230" i="8"/>
  <c r="BS1230" i="8"/>
  <c r="BR1230" i="8"/>
  <c r="BQ1230" i="8"/>
  <c r="BP1230" i="8"/>
  <c r="BO1230" i="8"/>
  <c r="BN1230" i="8"/>
  <c r="BM1230" i="8"/>
  <c r="BL1230" i="8"/>
  <c r="BK1230" i="8"/>
  <c r="BJ1230" i="8"/>
  <c r="BI1230" i="8"/>
  <c r="BH1230" i="8"/>
  <c r="CJ1229" i="8"/>
  <c r="CI1229" i="8"/>
  <c r="CH1229" i="8"/>
  <c r="CG1229" i="8"/>
  <c r="CF1229" i="8"/>
  <c r="CE1229" i="8"/>
  <c r="CD1229" i="8"/>
  <c r="CC1229" i="8"/>
  <c r="CB1229" i="8"/>
  <c r="CA1229" i="8"/>
  <c r="BZ1229" i="8"/>
  <c r="BY1229" i="8"/>
  <c r="BX1229" i="8"/>
  <c r="BW1229" i="8"/>
  <c r="BV1229" i="8"/>
  <c r="BU1229" i="8"/>
  <c r="BT1229" i="8"/>
  <c r="BS1229" i="8"/>
  <c r="BR1229" i="8"/>
  <c r="BQ1229" i="8"/>
  <c r="BP1229" i="8"/>
  <c r="BO1229" i="8"/>
  <c r="BN1229" i="8"/>
  <c r="BM1229" i="8"/>
  <c r="BL1229" i="8"/>
  <c r="BK1229" i="8"/>
  <c r="BJ1229" i="8"/>
  <c r="BI1229" i="8"/>
  <c r="BH1229" i="8"/>
  <c r="CJ1228" i="8"/>
  <c r="CI1228" i="8"/>
  <c r="CH1228" i="8"/>
  <c r="CG1228" i="8"/>
  <c r="CF1228" i="8"/>
  <c r="CE1228" i="8"/>
  <c r="CD1228" i="8"/>
  <c r="CC1228" i="8"/>
  <c r="CB1228" i="8"/>
  <c r="CA1228" i="8"/>
  <c r="BZ1228" i="8"/>
  <c r="BY1228" i="8"/>
  <c r="BX1228" i="8"/>
  <c r="BW1228" i="8"/>
  <c r="BV1228" i="8"/>
  <c r="BU1228" i="8"/>
  <c r="BT1228" i="8"/>
  <c r="BS1228" i="8"/>
  <c r="BR1228" i="8"/>
  <c r="BQ1228" i="8"/>
  <c r="BP1228" i="8"/>
  <c r="BO1228" i="8"/>
  <c r="BN1228" i="8"/>
  <c r="BM1228" i="8"/>
  <c r="BL1228" i="8"/>
  <c r="BK1228" i="8"/>
  <c r="BJ1228" i="8"/>
  <c r="BI1228" i="8"/>
  <c r="BH1228" i="8"/>
  <c r="CJ1227" i="8"/>
  <c r="CI1227" i="8"/>
  <c r="CH1227" i="8"/>
  <c r="CG1227" i="8"/>
  <c r="CF1227" i="8"/>
  <c r="CE1227" i="8"/>
  <c r="CD1227" i="8"/>
  <c r="CC1227" i="8"/>
  <c r="CB1227" i="8"/>
  <c r="CA1227" i="8"/>
  <c r="BZ1227" i="8"/>
  <c r="BY1227" i="8"/>
  <c r="BX1227" i="8"/>
  <c r="BW1227" i="8"/>
  <c r="BV1227" i="8"/>
  <c r="BU1227" i="8"/>
  <c r="BT1227" i="8"/>
  <c r="BS1227" i="8"/>
  <c r="BR1227" i="8"/>
  <c r="BQ1227" i="8"/>
  <c r="BP1227" i="8"/>
  <c r="BO1227" i="8"/>
  <c r="BN1227" i="8"/>
  <c r="BM1227" i="8"/>
  <c r="BL1227" i="8"/>
  <c r="BK1227" i="8"/>
  <c r="BJ1227" i="8"/>
  <c r="BI1227" i="8"/>
  <c r="BH1227" i="8"/>
  <c r="CJ1226" i="8"/>
  <c r="CI1226" i="8"/>
  <c r="CH1226" i="8"/>
  <c r="CG1226" i="8"/>
  <c r="CF1226" i="8"/>
  <c r="CE1226" i="8"/>
  <c r="CD1226" i="8"/>
  <c r="CC1226" i="8"/>
  <c r="CB1226" i="8"/>
  <c r="CA1226" i="8"/>
  <c r="BZ1226" i="8"/>
  <c r="BY1226" i="8"/>
  <c r="BX1226" i="8"/>
  <c r="BW1226" i="8"/>
  <c r="BV1226" i="8"/>
  <c r="BU1226" i="8"/>
  <c r="BT1226" i="8"/>
  <c r="BS1226" i="8"/>
  <c r="BR1226" i="8"/>
  <c r="BQ1226" i="8"/>
  <c r="BP1226" i="8"/>
  <c r="BO1226" i="8"/>
  <c r="BN1226" i="8"/>
  <c r="BM1226" i="8"/>
  <c r="BL1226" i="8"/>
  <c r="BK1226" i="8"/>
  <c r="BJ1226" i="8"/>
  <c r="BI1226" i="8"/>
  <c r="BH1226" i="8"/>
  <c r="CJ1225" i="8"/>
  <c r="CI1225" i="8"/>
  <c r="CH1225" i="8"/>
  <c r="CG1225" i="8"/>
  <c r="CF1225" i="8"/>
  <c r="CE1225" i="8"/>
  <c r="CD1225" i="8"/>
  <c r="CC1225" i="8"/>
  <c r="CB1225" i="8"/>
  <c r="CA1225" i="8"/>
  <c r="BZ1225" i="8"/>
  <c r="BY1225" i="8"/>
  <c r="BX1225" i="8"/>
  <c r="BW1225" i="8"/>
  <c r="BV1225" i="8"/>
  <c r="BU1225" i="8"/>
  <c r="BT1225" i="8"/>
  <c r="BS1225" i="8"/>
  <c r="BR1225" i="8"/>
  <c r="BQ1225" i="8"/>
  <c r="BP1225" i="8"/>
  <c r="BO1225" i="8"/>
  <c r="BN1225" i="8"/>
  <c r="BM1225" i="8"/>
  <c r="BL1225" i="8"/>
  <c r="BK1225" i="8"/>
  <c r="BJ1225" i="8"/>
  <c r="BI1225" i="8"/>
  <c r="BH1225" i="8"/>
  <c r="CJ1224" i="8"/>
  <c r="CI1224" i="8"/>
  <c r="CH1224" i="8"/>
  <c r="CG1224" i="8"/>
  <c r="CF1224" i="8"/>
  <c r="CE1224" i="8"/>
  <c r="CD1224" i="8"/>
  <c r="CC1224" i="8"/>
  <c r="CB1224" i="8"/>
  <c r="CA1224" i="8"/>
  <c r="BZ1224" i="8"/>
  <c r="BY1224" i="8"/>
  <c r="BX1224" i="8"/>
  <c r="BW1224" i="8"/>
  <c r="BV1224" i="8"/>
  <c r="BU1224" i="8"/>
  <c r="BT1224" i="8"/>
  <c r="BS1224" i="8"/>
  <c r="BR1224" i="8"/>
  <c r="BQ1224" i="8"/>
  <c r="BP1224" i="8"/>
  <c r="BO1224" i="8"/>
  <c r="BN1224" i="8"/>
  <c r="BM1224" i="8"/>
  <c r="BL1224" i="8"/>
  <c r="BK1224" i="8"/>
  <c r="BJ1224" i="8"/>
  <c r="BI1224" i="8"/>
  <c r="BH1224" i="8"/>
  <c r="CJ1223" i="8"/>
  <c r="CI1223" i="8"/>
  <c r="CH1223" i="8"/>
  <c r="CG1223" i="8"/>
  <c r="CF1223" i="8"/>
  <c r="CE1223" i="8"/>
  <c r="CD1223" i="8"/>
  <c r="CC1223" i="8"/>
  <c r="CB1223" i="8"/>
  <c r="CA1223" i="8"/>
  <c r="BZ1223" i="8"/>
  <c r="BY1223" i="8"/>
  <c r="BX1223" i="8"/>
  <c r="BW1223" i="8"/>
  <c r="BV1223" i="8"/>
  <c r="BU1223" i="8"/>
  <c r="BT1223" i="8"/>
  <c r="BS1223" i="8"/>
  <c r="BR1223" i="8"/>
  <c r="BQ1223" i="8"/>
  <c r="BP1223" i="8"/>
  <c r="BO1223" i="8"/>
  <c r="BN1223" i="8"/>
  <c r="BM1223" i="8"/>
  <c r="BL1223" i="8"/>
  <c r="BK1223" i="8"/>
  <c r="BJ1223" i="8"/>
  <c r="BI1223" i="8"/>
  <c r="BH1223" i="8"/>
  <c r="CJ1222" i="8"/>
  <c r="CI1222" i="8"/>
  <c r="CH1222" i="8"/>
  <c r="CG1222" i="8"/>
  <c r="CF1222" i="8"/>
  <c r="CE1222" i="8"/>
  <c r="CD1222" i="8"/>
  <c r="CC1222" i="8"/>
  <c r="CB1222" i="8"/>
  <c r="CA1222" i="8"/>
  <c r="BZ1222" i="8"/>
  <c r="BY1222" i="8"/>
  <c r="BX1222" i="8"/>
  <c r="BW1222" i="8"/>
  <c r="BV1222" i="8"/>
  <c r="BU1222" i="8"/>
  <c r="BT1222" i="8"/>
  <c r="BS1222" i="8"/>
  <c r="BR1222" i="8"/>
  <c r="BQ1222" i="8"/>
  <c r="BP1222" i="8"/>
  <c r="BO1222" i="8"/>
  <c r="BN1222" i="8"/>
  <c r="BM1222" i="8"/>
  <c r="BL1222" i="8"/>
  <c r="BK1222" i="8"/>
  <c r="BJ1222" i="8"/>
  <c r="BI1222" i="8"/>
  <c r="BH1222" i="8"/>
  <c r="CJ1221" i="8"/>
  <c r="CI1221" i="8"/>
  <c r="CH1221" i="8"/>
  <c r="CG1221" i="8"/>
  <c r="CF1221" i="8"/>
  <c r="CE1221" i="8"/>
  <c r="CD1221" i="8"/>
  <c r="CC1221" i="8"/>
  <c r="CB1221" i="8"/>
  <c r="CA1221" i="8"/>
  <c r="BZ1221" i="8"/>
  <c r="BY1221" i="8"/>
  <c r="BX1221" i="8"/>
  <c r="BW1221" i="8"/>
  <c r="BV1221" i="8"/>
  <c r="BU1221" i="8"/>
  <c r="BT1221" i="8"/>
  <c r="BS1221" i="8"/>
  <c r="BR1221" i="8"/>
  <c r="BQ1221" i="8"/>
  <c r="BP1221" i="8"/>
  <c r="BO1221" i="8"/>
  <c r="BN1221" i="8"/>
  <c r="BM1221" i="8"/>
  <c r="BL1221" i="8"/>
  <c r="BK1221" i="8"/>
  <c r="BJ1221" i="8"/>
  <c r="BI1221" i="8"/>
  <c r="BH1221" i="8"/>
  <c r="CJ1220" i="8"/>
  <c r="CI1220" i="8"/>
  <c r="CH1220" i="8"/>
  <c r="CG1220" i="8"/>
  <c r="CF1220" i="8"/>
  <c r="CE1220" i="8"/>
  <c r="CD1220" i="8"/>
  <c r="CC1220" i="8"/>
  <c r="CB1220" i="8"/>
  <c r="CA1220" i="8"/>
  <c r="BZ1220" i="8"/>
  <c r="BY1220" i="8"/>
  <c r="BX1220" i="8"/>
  <c r="BW1220" i="8"/>
  <c r="BV1220" i="8"/>
  <c r="BU1220" i="8"/>
  <c r="BT1220" i="8"/>
  <c r="BS1220" i="8"/>
  <c r="BR1220" i="8"/>
  <c r="BQ1220" i="8"/>
  <c r="BP1220" i="8"/>
  <c r="BO1220" i="8"/>
  <c r="BN1220" i="8"/>
  <c r="BM1220" i="8"/>
  <c r="BL1220" i="8"/>
  <c r="BK1220" i="8"/>
  <c r="BJ1220" i="8"/>
  <c r="BI1220" i="8"/>
  <c r="BH1220" i="8"/>
  <c r="CJ1219" i="8"/>
  <c r="CI1219" i="8"/>
  <c r="CH1219" i="8"/>
  <c r="CG1219" i="8"/>
  <c r="CF1219" i="8"/>
  <c r="CE1219" i="8"/>
  <c r="CD1219" i="8"/>
  <c r="CC1219" i="8"/>
  <c r="CB1219" i="8"/>
  <c r="CA1219" i="8"/>
  <c r="BZ1219" i="8"/>
  <c r="BY1219" i="8"/>
  <c r="BX1219" i="8"/>
  <c r="BW1219" i="8"/>
  <c r="BV1219" i="8"/>
  <c r="BU1219" i="8"/>
  <c r="BT1219" i="8"/>
  <c r="BS1219" i="8"/>
  <c r="BR1219" i="8"/>
  <c r="BQ1219" i="8"/>
  <c r="BP1219" i="8"/>
  <c r="BO1219" i="8"/>
  <c r="BN1219" i="8"/>
  <c r="BM1219" i="8"/>
  <c r="BL1219" i="8"/>
  <c r="BK1219" i="8"/>
  <c r="BJ1219" i="8"/>
  <c r="BI1219" i="8"/>
  <c r="BH1219" i="8"/>
  <c r="CJ1218" i="8"/>
  <c r="CI1218" i="8"/>
  <c r="CH1218" i="8"/>
  <c r="CG1218" i="8"/>
  <c r="CF1218" i="8"/>
  <c r="CE1218" i="8"/>
  <c r="CD1218" i="8"/>
  <c r="CC1218" i="8"/>
  <c r="CB1218" i="8"/>
  <c r="CA1218" i="8"/>
  <c r="BZ1218" i="8"/>
  <c r="BY1218" i="8"/>
  <c r="BX1218" i="8"/>
  <c r="BW1218" i="8"/>
  <c r="BV1218" i="8"/>
  <c r="BU1218" i="8"/>
  <c r="BT1218" i="8"/>
  <c r="BS1218" i="8"/>
  <c r="BR1218" i="8"/>
  <c r="BQ1218" i="8"/>
  <c r="BP1218" i="8"/>
  <c r="BO1218" i="8"/>
  <c r="BN1218" i="8"/>
  <c r="BM1218" i="8"/>
  <c r="BL1218" i="8"/>
  <c r="BK1218" i="8"/>
  <c r="BJ1218" i="8"/>
  <c r="BI1218" i="8"/>
  <c r="BH1218" i="8"/>
  <c r="CJ1217" i="8"/>
  <c r="CI1217" i="8"/>
  <c r="CH1217" i="8"/>
  <c r="CG1217" i="8"/>
  <c r="CF1217" i="8"/>
  <c r="CE1217" i="8"/>
  <c r="CD1217" i="8"/>
  <c r="CC1217" i="8"/>
  <c r="CB1217" i="8"/>
  <c r="CA1217" i="8"/>
  <c r="BZ1217" i="8"/>
  <c r="BY1217" i="8"/>
  <c r="BX1217" i="8"/>
  <c r="BW1217" i="8"/>
  <c r="BV1217" i="8"/>
  <c r="BU1217" i="8"/>
  <c r="BT1217" i="8"/>
  <c r="BS1217" i="8"/>
  <c r="BR1217" i="8"/>
  <c r="BQ1217" i="8"/>
  <c r="BP1217" i="8"/>
  <c r="BO1217" i="8"/>
  <c r="BN1217" i="8"/>
  <c r="BM1217" i="8"/>
  <c r="BL1217" i="8"/>
  <c r="BK1217" i="8"/>
  <c r="BJ1217" i="8"/>
  <c r="BI1217" i="8"/>
  <c r="BH1217" i="8"/>
  <c r="CJ1216" i="8"/>
  <c r="CI1216" i="8"/>
  <c r="CH1216" i="8"/>
  <c r="CG1216" i="8"/>
  <c r="CF1216" i="8"/>
  <c r="CE1216" i="8"/>
  <c r="CD1216" i="8"/>
  <c r="CC1216" i="8"/>
  <c r="CB1216" i="8"/>
  <c r="CA1216" i="8"/>
  <c r="BZ1216" i="8"/>
  <c r="BY1216" i="8"/>
  <c r="BX1216" i="8"/>
  <c r="BW1216" i="8"/>
  <c r="BV1216" i="8"/>
  <c r="BU1216" i="8"/>
  <c r="BT1216" i="8"/>
  <c r="BS1216" i="8"/>
  <c r="BR1216" i="8"/>
  <c r="BQ1216" i="8"/>
  <c r="BP1216" i="8"/>
  <c r="BO1216" i="8"/>
  <c r="BN1216" i="8"/>
  <c r="BM1216" i="8"/>
  <c r="BL1216" i="8"/>
  <c r="BK1216" i="8"/>
  <c r="BJ1216" i="8"/>
  <c r="BI1216" i="8"/>
  <c r="BH1216" i="8"/>
  <c r="CJ1215" i="8"/>
  <c r="CI1215" i="8"/>
  <c r="CH1215" i="8"/>
  <c r="CG1215" i="8"/>
  <c r="CF1215" i="8"/>
  <c r="CE1215" i="8"/>
  <c r="CD1215" i="8"/>
  <c r="CC1215" i="8"/>
  <c r="CB1215" i="8"/>
  <c r="CA1215" i="8"/>
  <c r="BZ1215" i="8"/>
  <c r="BY1215" i="8"/>
  <c r="BX1215" i="8"/>
  <c r="BW1215" i="8"/>
  <c r="BV1215" i="8"/>
  <c r="BU1215" i="8"/>
  <c r="BT1215" i="8"/>
  <c r="BS1215" i="8"/>
  <c r="BR1215" i="8"/>
  <c r="BQ1215" i="8"/>
  <c r="BP1215" i="8"/>
  <c r="BO1215" i="8"/>
  <c r="BN1215" i="8"/>
  <c r="BM1215" i="8"/>
  <c r="BL1215" i="8"/>
  <c r="BK1215" i="8"/>
  <c r="BJ1215" i="8"/>
  <c r="BI1215" i="8"/>
  <c r="BH1215" i="8"/>
  <c r="CJ1214" i="8"/>
  <c r="CI1214" i="8"/>
  <c r="CH1214" i="8"/>
  <c r="CG1214" i="8"/>
  <c r="CF1214" i="8"/>
  <c r="CE1214" i="8"/>
  <c r="CD1214" i="8"/>
  <c r="CC1214" i="8"/>
  <c r="CB1214" i="8"/>
  <c r="CA1214" i="8"/>
  <c r="BZ1214" i="8"/>
  <c r="BY1214" i="8"/>
  <c r="BX1214" i="8"/>
  <c r="BW1214" i="8"/>
  <c r="BV1214" i="8"/>
  <c r="BU1214" i="8"/>
  <c r="BT1214" i="8"/>
  <c r="BS1214" i="8"/>
  <c r="BR1214" i="8"/>
  <c r="BQ1214" i="8"/>
  <c r="BP1214" i="8"/>
  <c r="BO1214" i="8"/>
  <c r="BN1214" i="8"/>
  <c r="BM1214" i="8"/>
  <c r="BL1214" i="8"/>
  <c r="BK1214" i="8"/>
  <c r="BJ1214" i="8"/>
  <c r="BI1214" i="8"/>
  <c r="BH1214" i="8"/>
  <c r="CJ1213" i="8"/>
  <c r="CI1213" i="8"/>
  <c r="CH1213" i="8"/>
  <c r="CG1213" i="8"/>
  <c r="CF1213" i="8"/>
  <c r="CE1213" i="8"/>
  <c r="CD1213" i="8"/>
  <c r="CC1213" i="8"/>
  <c r="CB1213" i="8"/>
  <c r="CA1213" i="8"/>
  <c r="BZ1213" i="8"/>
  <c r="BY1213" i="8"/>
  <c r="BX1213" i="8"/>
  <c r="BW1213" i="8"/>
  <c r="BV1213" i="8"/>
  <c r="BU1213" i="8"/>
  <c r="BT1213" i="8"/>
  <c r="BS1213" i="8"/>
  <c r="BR1213" i="8"/>
  <c r="BQ1213" i="8"/>
  <c r="BP1213" i="8"/>
  <c r="BO1213" i="8"/>
  <c r="BN1213" i="8"/>
  <c r="BM1213" i="8"/>
  <c r="BL1213" i="8"/>
  <c r="BK1213" i="8"/>
  <c r="BJ1213" i="8"/>
  <c r="BI1213" i="8"/>
  <c r="BH1213" i="8"/>
  <c r="CJ1212" i="8"/>
  <c r="CI1212" i="8"/>
  <c r="CH1212" i="8"/>
  <c r="CG1212" i="8"/>
  <c r="CF1212" i="8"/>
  <c r="CE1212" i="8"/>
  <c r="CD1212" i="8"/>
  <c r="CC1212" i="8"/>
  <c r="CB1212" i="8"/>
  <c r="CA1212" i="8"/>
  <c r="BZ1212" i="8"/>
  <c r="BY1212" i="8"/>
  <c r="BX1212" i="8"/>
  <c r="BW1212" i="8"/>
  <c r="BV1212" i="8"/>
  <c r="BU1212" i="8"/>
  <c r="BT1212" i="8"/>
  <c r="BS1212" i="8"/>
  <c r="BR1212" i="8"/>
  <c r="BQ1212" i="8"/>
  <c r="BP1212" i="8"/>
  <c r="BO1212" i="8"/>
  <c r="BN1212" i="8"/>
  <c r="BM1212" i="8"/>
  <c r="BL1212" i="8"/>
  <c r="BK1212" i="8"/>
  <c r="BJ1212" i="8"/>
  <c r="BI1212" i="8"/>
  <c r="BH1212" i="8"/>
  <c r="CJ1211" i="8"/>
  <c r="CI1211" i="8"/>
  <c r="CH1211" i="8"/>
  <c r="CG1211" i="8"/>
  <c r="CF1211" i="8"/>
  <c r="CE1211" i="8"/>
  <c r="CD1211" i="8"/>
  <c r="CC1211" i="8"/>
  <c r="CB1211" i="8"/>
  <c r="CA1211" i="8"/>
  <c r="BZ1211" i="8"/>
  <c r="BY1211" i="8"/>
  <c r="BX1211" i="8"/>
  <c r="BW1211" i="8"/>
  <c r="BV1211" i="8"/>
  <c r="BU1211" i="8"/>
  <c r="BT1211" i="8"/>
  <c r="BS1211" i="8"/>
  <c r="BR1211" i="8"/>
  <c r="BQ1211" i="8"/>
  <c r="BP1211" i="8"/>
  <c r="BO1211" i="8"/>
  <c r="BN1211" i="8"/>
  <c r="BM1211" i="8"/>
  <c r="BL1211" i="8"/>
  <c r="BK1211" i="8"/>
  <c r="BJ1211" i="8"/>
  <c r="BI1211" i="8"/>
  <c r="BH1211" i="8"/>
  <c r="CJ1210" i="8"/>
  <c r="CI1210" i="8"/>
  <c r="CH1210" i="8"/>
  <c r="CG1210" i="8"/>
  <c r="CF1210" i="8"/>
  <c r="CE1210" i="8"/>
  <c r="CD1210" i="8"/>
  <c r="CC1210" i="8"/>
  <c r="CB1210" i="8"/>
  <c r="CA1210" i="8"/>
  <c r="BZ1210" i="8"/>
  <c r="BY1210" i="8"/>
  <c r="BX1210" i="8"/>
  <c r="BW1210" i="8"/>
  <c r="BV1210" i="8"/>
  <c r="BU1210" i="8"/>
  <c r="BT1210" i="8"/>
  <c r="BS1210" i="8"/>
  <c r="BR1210" i="8"/>
  <c r="BQ1210" i="8"/>
  <c r="BP1210" i="8"/>
  <c r="BO1210" i="8"/>
  <c r="BN1210" i="8"/>
  <c r="BM1210" i="8"/>
  <c r="BL1210" i="8"/>
  <c r="BK1210" i="8"/>
  <c r="BJ1210" i="8"/>
  <c r="BI1210" i="8"/>
  <c r="BH1210" i="8"/>
  <c r="CJ1209" i="8"/>
  <c r="CI1209" i="8"/>
  <c r="CH1209" i="8"/>
  <c r="CG1209" i="8"/>
  <c r="CF1209" i="8"/>
  <c r="CE1209" i="8"/>
  <c r="CD1209" i="8"/>
  <c r="CC1209" i="8"/>
  <c r="CB1209" i="8"/>
  <c r="CA1209" i="8"/>
  <c r="BZ1209" i="8"/>
  <c r="BY1209" i="8"/>
  <c r="BX1209" i="8"/>
  <c r="BW1209" i="8"/>
  <c r="BV1209" i="8"/>
  <c r="BU1209" i="8"/>
  <c r="BT1209" i="8"/>
  <c r="BS1209" i="8"/>
  <c r="BR1209" i="8"/>
  <c r="BQ1209" i="8"/>
  <c r="BP1209" i="8"/>
  <c r="BO1209" i="8"/>
  <c r="BN1209" i="8"/>
  <c r="BM1209" i="8"/>
  <c r="BL1209" i="8"/>
  <c r="BK1209" i="8"/>
  <c r="BJ1209" i="8"/>
  <c r="BI1209" i="8"/>
  <c r="BH1209" i="8"/>
  <c r="CJ1208" i="8"/>
  <c r="CI1208" i="8"/>
  <c r="CH1208" i="8"/>
  <c r="CG1208" i="8"/>
  <c r="CF1208" i="8"/>
  <c r="CE1208" i="8"/>
  <c r="CD1208" i="8"/>
  <c r="CC1208" i="8"/>
  <c r="CB1208" i="8"/>
  <c r="CA1208" i="8"/>
  <c r="BZ1208" i="8"/>
  <c r="BY1208" i="8"/>
  <c r="BX1208" i="8"/>
  <c r="BW1208" i="8"/>
  <c r="BV1208" i="8"/>
  <c r="BU1208" i="8"/>
  <c r="BT1208" i="8"/>
  <c r="BS1208" i="8"/>
  <c r="BR1208" i="8"/>
  <c r="BQ1208" i="8"/>
  <c r="BP1208" i="8"/>
  <c r="BO1208" i="8"/>
  <c r="BN1208" i="8"/>
  <c r="BM1208" i="8"/>
  <c r="BL1208" i="8"/>
  <c r="BK1208" i="8"/>
  <c r="BJ1208" i="8"/>
  <c r="BI1208" i="8"/>
  <c r="BH1208" i="8"/>
  <c r="CJ1207" i="8"/>
  <c r="CI1207" i="8"/>
  <c r="CH1207" i="8"/>
  <c r="CG1207" i="8"/>
  <c r="CF1207" i="8"/>
  <c r="CE1207" i="8"/>
  <c r="CD1207" i="8"/>
  <c r="CC1207" i="8"/>
  <c r="CB1207" i="8"/>
  <c r="CA1207" i="8"/>
  <c r="BZ1207" i="8"/>
  <c r="BY1207" i="8"/>
  <c r="BX1207" i="8"/>
  <c r="BW1207" i="8"/>
  <c r="BV1207" i="8"/>
  <c r="BU1207" i="8"/>
  <c r="BT1207" i="8"/>
  <c r="BS1207" i="8"/>
  <c r="BR1207" i="8"/>
  <c r="BQ1207" i="8"/>
  <c r="BP1207" i="8"/>
  <c r="BO1207" i="8"/>
  <c r="BN1207" i="8"/>
  <c r="BM1207" i="8"/>
  <c r="BL1207" i="8"/>
  <c r="BK1207" i="8"/>
  <c r="BJ1207" i="8"/>
  <c r="BI1207" i="8"/>
  <c r="BH1207" i="8"/>
  <c r="CJ1206" i="8"/>
  <c r="CI1206" i="8"/>
  <c r="CH1206" i="8"/>
  <c r="CG1206" i="8"/>
  <c r="CF1206" i="8"/>
  <c r="CE1206" i="8"/>
  <c r="CD1206" i="8"/>
  <c r="CC1206" i="8"/>
  <c r="CB1206" i="8"/>
  <c r="CA1206" i="8"/>
  <c r="BZ1206" i="8"/>
  <c r="BY1206" i="8"/>
  <c r="BX1206" i="8"/>
  <c r="BW1206" i="8"/>
  <c r="BV1206" i="8"/>
  <c r="BU1206" i="8"/>
  <c r="BT1206" i="8"/>
  <c r="BS1206" i="8"/>
  <c r="BR1206" i="8"/>
  <c r="BQ1206" i="8"/>
  <c r="BP1206" i="8"/>
  <c r="BO1206" i="8"/>
  <c r="BN1206" i="8"/>
  <c r="BM1206" i="8"/>
  <c r="BL1206" i="8"/>
  <c r="BK1206" i="8"/>
  <c r="BJ1206" i="8"/>
  <c r="BI1206" i="8"/>
  <c r="BH1206" i="8"/>
  <c r="CJ1205" i="8"/>
  <c r="CI1205" i="8"/>
  <c r="CH1205" i="8"/>
  <c r="CG1205" i="8"/>
  <c r="CF1205" i="8"/>
  <c r="CE1205" i="8"/>
  <c r="CD1205" i="8"/>
  <c r="CC1205" i="8"/>
  <c r="CB1205" i="8"/>
  <c r="CA1205" i="8"/>
  <c r="BZ1205" i="8"/>
  <c r="BY1205" i="8"/>
  <c r="BX1205" i="8"/>
  <c r="BW1205" i="8"/>
  <c r="BV1205" i="8"/>
  <c r="BU1205" i="8"/>
  <c r="BT1205" i="8"/>
  <c r="BS1205" i="8"/>
  <c r="BR1205" i="8"/>
  <c r="BQ1205" i="8"/>
  <c r="BP1205" i="8"/>
  <c r="BO1205" i="8"/>
  <c r="BN1205" i="8"/>
  <c r="BM1205" i="8"/>
  <c r="BL1205" i="8"/>
  <c r="BK1205" i="8"/>
  <c r="BJ1205" i="8"/>
  <c r="BI1205" i="8"/>
  <c r="BH1205" i="8"/>
  <c r="CJ1204" i="8"/>
  <c r="CI1204" i="8"/>
  <c r="CH1204" i="8"/>
  <c r="CG1204" i="8"/>
  <c r="CF1204" i="8"/>
  <c r="CE1204" i="8"/>
  <c r="CD1204" i="8"/>
  <c r="CC1204" i="8"/>
  <c r="CB1204" i="8"/>
  <c r="CA1204" i="8"/>
  <c r="BZ1204" i="8"/>
  <c r="BY1204" i="8"/>
  <c r="BX1204" i="8"/>
  <c r="BW1204" i="8"/>
  <c r="BV1204" i="8"/>
  <c r="BU1204" i="8"/>
  <c r="BT1204" i="8"/>
  <c r="BS1204" i="8"/>
  <c r="BR1204" i="8"/>
  <c r="BQ1204" i="8"/>
  <c r="BP1204" i="8"/>
  <c r="BO1204" i="8"/>
  <c r="BN1204" i="8"/>
  <c r="BM1204" i="8"/>
  <c r="BL1204" i="8"/>
  <c r="BK1204" i="8"/>
  <c r="BJ1204" i="8"/>
  <c r="BI1204" i="8"/>
  <c r="BH1204" i="8"/>
  <c r="CJ1203" i="8"/>
  <c r="CI1203" i="8"/>
  <c r="CH1203" i="8"/>
  <c r="CG1203" i="8"/>
  <c r="CF1203" i="8"/>
  <c r="CE1203" i="8"/>
  <c r="CD1203" i="8"/>
  <c r="CC1203" i="8"/>
  <c r="CB1203" i="8"/>
  <c r="CA1203" i="8"/>
  <c r="BZ1203" i="8"/>
  <c r="BY1203" i="8"/>
  <c r="BX1203" i="8"/>
  <c r="BW1203" i="8"/>
  <c r="BV1203" i="8"/>
  <c r="BU1203" i="8"/>
  <c r="BT1203" i="8"/>
  <c r="BS1203" i="8"/>
  <c r="BR1203" i="8"/>
  <c r="BQ1203" i="8"/>
  <c r="BP1203" i="8"/>
  <c r="BO1203" i="8"/>
  <c r="BN1203" i="8"/>
  <c r="BM1203" i="8"/>
  <c r="BL1203" i="8"/>
  <c r="BK1203" i="8"/>
  <c r="BJ1203" i="8"/>
  <c r="BI1203" i="8"/>
  <c r="BH1203" i="8"/>
  <c r="CJ1202" i="8"/>
  <c r="CI1202" i="8"/>
  <c r="CH1202" i="8"/>
  <c r="CG1202" i="8"/>
  <c r="CF1202" i="8"/>
  <c r="CE1202" i="8"/>
  <c r="CD1202" i="8"/>
  <c r="CC1202" i="8"/>
  <c r="CB1202" i="8"/>
  <c r="CA1202" i="8"/>
  <c r="BZ1202" i="8"/>
  <c r="BY1202" i="8"/>
  <c r="BX1202" i="8"/>
  <c r="BW1202" i="8"/>
  <c r="BV1202" i="8"/>
  <c r="BU1202" i="8"/>
  <c r="BT1202" i="8"/>
  <c r="BS1202" i="8"/>
  <c r="BR1202" i="8"/>
  <c r="BQ1202" i="8"/>
  <c r="BP1202" i="8"/>
  <c r="BO1202" i="8"/>
  <c r="BN1202" i="8"/>
  <c r="BM1202" i="8"/>
  <c r="BL1202" i="8"/>
  <c r="BK1202" i="8"/>
  <c r="BJ1202" i="8"/>
  <c r="BI1202" i="8"/>
  <c r="BH1202" i="8"/>
  <c r="CJ1201" i="8"/>
  <c r="CI1201" i="8"/>
  <c r="CH1201" i="8"/>
  <c r="CG1201" i="8"/>
  <c r="CF1201" i="8"/>
  <c r="CE1201" i="8"/>
  <c r="CD1201" i="8"/>
  <c r="CC1201" i="8"/>
  <c r="CB1201" i="8"/>
  <c r="CA1201" i="8"/>
  <c r="BZ1201" i="8"/>
  <c r="BY1201" i="8"/>
  <c r="BX1201" i="8"/>
  <c r="BW1201" i="8"/>
  <c r="BV1201" i="8"/>
  <c r="BU1201" i="8"/>
  <c r="BT1201" i="8"/>
  <c r="BS1201" i="8"/>
  <c r="BR1201" i="8"/>
  <c r="BQ1201" i="8"/>
  <c r="BP1201" i="8"/>
  <c r="BO1201" i="8"/>
  <c r="BN1201" i="8"/>
  <c r="BM1201" i="8"/>
  <c r="BL1201" i="8"/>
  <c r="BK1201" i="8"/>
  <c r="BJ1201" i="8"/>
  <c r="BI1201" i="8"/>
  <c r="BH1201" i="8"/>
  <c r="CJ1200" i="8"/>
  <c r="CI1200" i="8"/>
  <c r="CH1200" i="8"/>
  <c r="CG1200" i="8"/>
  <c r="CF1200" i="8"/>
  <c r="CE1200" i="8"/>
  <c r="CD1200" i="8"/>
  <c r="CC1200" i="8"/>
  <c r="CB1200" i="8"/>
  <c r="CA1200" i="8"/>
  <c r="BZ1200" i="8"/>
  <c r="BY1200" i="8"/>
  <c r="BX1200" i="8"/>
  <c r="BW1200" i="8"/>
  <c r="BV1200" i="8"/>
  <c r="BU1200" i="8"/>
  <c r="BT1200" i="8"/>
  <c r="BS1200" i="8"/>
  <c r="BR1200" i="8"/>
  <c r="BQ1200" i="8"/>
  <c r="BP1200" i="8"/>
  <c r="BO1200" i="8"/>
  <c r="BN1200" i="8"/>
  <c r="BM1200" i="8"/>
  <c r="BL1200" i="8"/>
  <c r="BK1200" i="8"/>
  <c r="BJ1200" i="8"/>
  <c r="BI1200" i="8"/>
  <c r="BH1200" i="8"/>
  <c r="CJ1199" i="8"/>
  <c r="CI1199" i="8"/>
  <c r="CH1199" i="8"/>
  <c r="CG1199" i="8"/>
  <c r="CF1199" i="8"/>
  <c r="CE1199" i="8"/>
  <c r="CD1199" i="8"/>
  <c r="CC1199" i="8"/>
  <c r="CB1199" i="8"/>
  <c r="CA1199" i="8"/>
  <c r="BZ1199" i="8"/>
  <c r="BY1199" i="8"/>
  <c r="BX1199" i="8"/>
  <c r="BW1199" i="8"/>
  <c r="BV1199" i="8"/>
  <c r="BU1199" i="8"/>
  <c r="BT1199" i="8"/>
  <c r="BS1199" i="8"/>
  <c r="BR1199" i="8"/>
  <c r="BQ1199" i="8"/>
  <c r="BP1199" i="8"/>
  <c r="BO1199" i="8"/>
  <c r="BN1199" i="8"/>
  <c r="BM1199" i="8"/>
  <c r="BL1199" i="8"/>
  <c r="BK1199" i="8"/>
  <c r="BJ1199" i="8"/>
  <c r="BI1199" i="8"/>
  <c r="BH1199" i="8"/>
  <c r="CJ1198" i="8"/>
  <c r="CI1198" i="8"/>
  <c r="CH1198" i="8"/>
  <c r="CG1198" i="8"/>
  <c r="CF1198" i="8"/>
  <c r="CE1198" i="8"/>
  <c r="CD1198" i="8"/>
  <c r="CC1198" i="8"/>
  <c r="CB1198" i="8"/>
  <c r="CA1198" i="8"/>
  <c r="BZ1198" i="8"/>
  <c r="BY1198" i="8"/>
  <c r="BX1198" i="8"/>
  <c r="BW1198" i="8"/>
  <c r="BV1198" i="8"/>
  <c r="BU1198" i="8"/>
  <c r="BT1198" i="8"/>
  <c r="BS1198" i="8"/>
  <c r="BR1198" i="8"/>
  <c r="BQ1198" i="8"/>
  <c r="BP1198" i="8"/>
  <c r="BO1198" i="8"/>
  <c r="BN1198" i="8"/>
  <c r="BM1198" i="8"/>
  <c r="BL1198" i="8"/>
  <c r="BK1198" i="8"/>
  <c r="BJ1198" i="8"/>
  <c r="BI1198" i="8"/>
  <c r="BH1198" i="8"/>
  <c r="CJ1197" i="8"/>
  <c r="CI1197" i="8"/>
  <c r="CH1197" i="8"/>
  <c r="CG1197" i="8"/>
  <c r="CF1197" i="8"/>
  <c r="CE1197" i="8"/>
  <c r="CD1197" i="8"/>
  <c r="CC1197" i="8"/>
  <c r="CB1197" i="8"/>
  <c r="CA1197" i="8"/>
  <c r="BZ1197" i="8"/>
  <c r="BY1197" i="8"/>
  <c r="BX1197" i="8"/>
  <c r="BW1197" i="8"/>
  <c r="BV1197" i="8"/>
  <c r="BU1197" i="8"/>
  <c r="BT1197" i="8"/>
  <c r="BS1197" i="8"/>
  <c r="BR1197" i="8"/>
  <c r="BQ1197" i="8"/>
  <c r="BP1197" i="8"/>
  <c r="BO1197" i="8"/>
  <c r="BN1197" i="8"/>
  <c r="BM1197" i="8"/>
  <c r="BL1197" i="8"/>
  <c r="BK1197" i="8"/>
  <c r="BJ1197" i="8"/>
  <c r="BI1197" i="8"/>
  <c r="BH1197" i="8"/>
  <c r="CJ1196" i="8"/>
  <c r="CI1196" i="8"/>
  <c r="CH1196" i="8"/>
  <c r="CG1196" i="8"/>
  <c r="CF1196" i="8"/>
  <c r="CE1196" i="8"/>
  <c r="CD1196" i="8"/>
  <c r="CC1196" i="8"/>
  <c r="CB1196" i="8"/>
  <c r="CA1196" i="8"/>
  <c r="BZ1196" i="8"/>
  <c r="BY1196" i="8"/>
  <c r="BX1196" i="8"/>
  <c r="BW1196" i="8"/>
  <c r="BV1196" i="8"/>
  <c r="BU1196" i="8"/>
  <c r="BT1196" i="8"/>
  <c r="BS1196" i="8"/>
  <c r="BR1196" i="8"/>
  <c r="BQ1196" i="8"/>
  <c r="BP1196" i="8"/>
  <c r="BO1196" i="8"/>
  <c r="BN1196" i="8"/>
  <c r="BM1196" i="8"/>
  <c r="BL1196" i="8"/>
  <c r="BK1196" i="8"/>
  <c r="BJ1196" i="8"/>
  <c r="BI1196" i="8"/>
  <c r="BH1196" i="8"/>
  <c r="CJ1195" i="8"/>
  <c r="CI1195" i="8"/>
  <c r="CH1195" i="8"/>
  <c r="CG1195" i="8"/>
  <c r="CF1195" i="8"/>
  <c r="CE1195" i="8"/>
  <c r="CD1195" i="8"/>
  <c r="CC1195" i="8"/>
  <c r="CB1195" i="8"/>
  <c r="CA1195" i="8"/>
  <c r="BZ1195" i="8"/>
  <c r="BY1195" i="8"/>
  <c r="BX1195" i="8"/>
  <c r="BW1195" i="8"/>
  <c r="BV1195" i="8"/>
  <c r="BU1195" i="8"/>
  <c r="BT1195" i="8"/>
  <c r="BS1195" i="8"/>
  <c r="BR1195" i="8"/>
  <c r="BQ1195" i="8"/>
  <c r="BP1195" i="8"/>
  <c r="BO1195" i="8"/>
  <c r="BN1195" i="8"/>
  <c r="BM1195" i="8"/>
  <c r="BL1195" i="8"/>
  <c r="BK1195" i="8"/>
  <c r="BJ1195" i="8"/>
  <c r="BI1195" i="8"/>
  <c r="BH1195" i="8"/>
  <c r="CJ1194" i="8"/>
  <c r="CI1194" i="8"/>
  <c r="CH1194" i="8"/>
  <c r="CG1194" i="8"/>
  <c r="CF1194" i="8"/>
  <c r="CE1194" i="8"/>
  <c r="CD1194" i="8"/>
  <c r="CC1194" i="8"/>
  <c r="CB1194" i="8"/>
  <c r="CA1194" i="8"/>
  <c r="BZ1194" i="8"/>
  <c r="BY1194" i="8"/>
  <c r="BX1194" i="8"/>
  <c r="BW1194" i="8"/>
  <c r="BV1194" i="8"/>
  <c r="BU1194" i="8"/>
  <c r="BT1194" i="8"/>
  <c r="BS1194" i="8"/>
  <c r="BR1194" i="8"/>
  <c r="BQ1194" i="8"/>
  <c r="BP1194" i="8"/>
  <c r="BO1194" i="8"/>
  <c r="BN1194" i="8"/>
  <c r="BM1194" i="8"/>
  <c r="BL1194" i="8"/>
  <c r="BK1194" i="8"/>
  <c r="BJ1194" i="8"/>
  <c r="BI1194" i="8"/>
  <c r="BH1194" i="8"/>
  <c r="CJ1193" i="8"/>
  <c r="CI1193" i="8"/>
  <c r="CH1193" i="8"/>
  <c r="CG1193" i="8"/>
  <c r="CF1193" i="8"/>
  <c r="CE1193" i="8"/>
  <c r="CD1193" i="8"/>
  <c r="CC1193" i="8"/>
  <c r="CB1193" i="8"/>
  <c r="CA1193" i="8"/>
  <c r="BZ1193" i="8"/>
  <c r="BY1193" i="8"/>
  <c r="BX1193" i="8"/>
  <c r="BW1193" i="8"/>
  <c r="BV1193" i="8"/>
  <c r="BU1193" i="8"/>
  <c r="BT1193" i="8"/>
  <c r="BS1193" i="8"/>
  <c r="BR1193" i="8"/>
  <c r="BQ1193" i="8"/>
  <c r="BP1193" i="8"/>
  <c r="BO1193" i="8"/>
  <c r="BN1193" i="8"/>
  <c r="BM1193" i="8"/>
  <c r="BL1193" i="8"/>
  <c r="BK1193" i="8"/>
  <c r="BJ1193" i="8"/>
  <c r="BI1193" i="8"/>
  <c r="BH1193" i="8"/>
  <c r="CJ1192" i="8"/>
  <c r="CI1192" i="8"/>
  <c r="CH1192" i="8"/>
  <c r="CG1192" i="8"/>
  <c r="CF1192" i="8"/>
  <c r="CE1192" i="8"/>
  <c r="CD1192" i="8"/>
  <c r="CC1192" i="8"/>
  <c r="CB1192" i="8"/>
  <c r="CA1192" i="8"/>
  <c r="BZ1192" i="8"/>
  <c r="BY1192" i="8"/>
  <c r="BX1192" i="8"/>
  <c r="BW1192" i="8"/>
  <c r="BV1192" i="8"/>
  <c r="BU1192" i="8"/>
  <c r="BT1192" i="8"/>
  <c r="BS1192" i="8"/>
  <c r="BR1192" i="8"/>
  <c r="BQ1192" i="8"/>
  <c r="BP1192" i="8"/>
  <c r="BO1192" i="8"/>
  <c r="BN1192" i="8"/>
  <c r="BM1192" i="8"/>
  <c r="BL1192" i="8"/>
  <c r="BK1192" i="8"/>
  <c r="BJ1192" i="8"/>
  <c r="BI1192" i="8"/>
  <c r="BH1192" i="8"/>
  <c r="CJ1191" i="8"/>
  <c r="CI1191" i="8"/>
  <c r="CH1191" i="8"/>
  <c r="CG1191" i="8"/>
  <c r="CF1191" i="8"/>
  <c r="CE1191" i="8"/>
  <c r="CD1191" i="8"/>
  <c r="CC1191" i="8"/>
  <c r="CB1191" i="8"/>
  <c r="CA1191" i="8"/>
  <c r="BZ1191" i="8"/>
  <c r="BY1191" i="8"/>
  <c r="BX1191" i="8"/>
  <c r="BW1191" i="8"/>
  <c r="BV1191" i="8"/>
  <c r="BU1191" i="8"/>
  <c r="BT1191" i="8"/>
  <c r="BS1191" i="8"/>
  <c r="BR1191" i="8"/>
  <c r="BQ1191" i="8"/>
  <c r="BP1191" i="8"/>
  <c r="BO1191" i="8"/>
  <c r="BN1191" i="8"/>
  <c r="BM1191" i="8"/>
  <c r="BL1191" i="8"/>
  <c r="BK1191" i="8"/>
  <c r="BJ1191" i="8"/>
  <c r="BI1191" i="8"/>
  <c r="BH1191" i="8"/>
  <c r="CJ1190" i="8"/>
  <c r="CI1190" i="8"/>
  <c r="CH1190" i="8"/>
  <c r="CG1190" i="8"/>
  <c r="CF1190" i="8"/>
  <c r="CE1190" i="8"/>
  <c r="CD1190" i="8"/>
  <c r="CC1190" i="8"/>
  <c r="CB1190" i="8"/>
  <c r="CA1190" i="8"/>
  <c r="BZ1190" i="8"/>
  <c r="BY1190" i="8"/>
  <c r="BX1190" i="8"/>
  <c r="BW1190" i="8"/>
  <c r="BV1190" i="8"/>
  <c r="BU1190" i="8"/>
  <c r="BT1190" i="8"/>
  <c r="BS1190" i="8"/>
  <c r="BR1190" i="8"/>
  <c r="BQ1190" i="8"/>
  <c r="BP1190" i="8"/>
  <c r="BO1190" i="8"/>
  <c r="BN1190" i="8"/>
  <c r="BM1190" i="8"/>
  <c r="BL1190" i="8"/>
  <c r="BK1190" i="8"/>
  <c r="BJ1190" i="8"/>
  <c r="BI1190" i="8"/>
  <c r="BH1190" i="8"/>
  <c r="CJ1189" i="8"/>
  <c r="CI1189" i="8"/>
  <c r="CH1189" i="8"/>
  <c r="CG1189" i="8"/>
  <c r="CF1189" i="8"/>
  <c r="CE1189" i="8"/>
  <c r="CD1189" i="8"/>
  <c r="CC1189" i="8"/>
  <c r="CB1189" i="8"/>
  <c r="CA1189" i="8"/>
  <c r="BZ1189" i="8"/>
  <c r="BY1189" i="8"/>
  <c r="BX1189" i="8"/>
  <c r="BW1189" i="8"/>
  <c r="BV1189" i="8"/>
  <c r="BU1189" i="8"/>
  <c r="BT1189" i="8"/>
  <c r="BS1189" i="8"/>
  <c r="BR1189" i="8"/>
  <c r="BQ1189" i="8"/>
  <c r="BP1189" i="8"/>
  <c r="BO1189" i="8"/>
  <c r="BN1189" i="8"/>
  <c r="BM1189" i="8"/>
  <c r="BL1189" i="8"/>
  <c r="BK1189" i="8"/>
  <c r="BJ1189" i="8"/>
  <c r="BI1189" i="8"/>
  <c r="BH1189" i="8"/>
  <c r="CJ1188" i="8"/>
  <c r="CI1188" i="8"/>
  <c r="CH1188" i="8"/>
  <c r="CG1188" i="8"/>
  <c r="CF1188" i="8"/>
  <c r="CE1188" i="8"/>
  <c r="CD1188" i="8"/>
  <c r="CC1188" i="8"/>
  <c r="CB1188" i="8"/>
  <c r="CA1188" i="8"/>
  <c r="BZ1188" i="8"/>
  <c r="BY1188" i="8"/>
  <c r="BX1188" i="8"/>
  <c r="BW1188" i="8"/>
  <c r="BV1188" i="8"/>
  <c r="BU1188" i="8"/>
  <c r="BT1188" i="8"/>
  <c r="BS1188" i="8"/>
  <c r="BR1188" i="8"/>
  <c r="BQ1188" i="8"/>
  <c r="BP1188" i="8"/>
  <c r="BO1188" i="8"/>
  <c r="BN1188" i="8"/>
  <c r="BM1188" i="8"/>
  <c r="BL1188" i="8"/>
  <c r="BK1188" i="8"/>
  <c r="BJ1188" i="8"/>
  <c r="BI1188" i="8"/>
  <c r="BH1188" i="8"/>
  <c r="CJ1187" i="8"/>
  <c r="CI1187" i="8"/>
  <c r="CH1187" i="8"/>
  <c r="CG1187" i="8"/>
  <c r="CF1187" i="8"/>
  <c r="CE1187" i="8"/>
  <c r="CD1187" i="8"/>
  <c r="CC1187" i="8"/>
  <c r="CB1187" i="8"/>
  <c r="CA1187" i="8"/>
  <c r="BZ1187" i="8"/>
  <c r="BY1187" i="8"/>
  <c r="BX1187" i="8"/>
  <c r="BW1187" i="8"/>
  <c r="BV1187" i="8"/>
  <c r="BU1187" i="8"/>
  <c r="BT1187" i="8"/>
  <c r="BS1187" i="8"/>
  <c r="BR1187" i="8"/>
  <c r="BQ1187" i="8"/>
  <c r="BP1187" i="8"/>
  <c r="BO1187" i="8"/>
  <c r="BN1187" i="8"/>
  <c r="BM1187" i="8"/>
  <c r="BL1187" i="8"/>
  <c r="BK1187" i="8"/>
  <c r="BJ1187" i="8"/>
  <c r="BI1187" i="8"/>
  <c r="BH1187" i="8"/>
  <c r="CJ1186" i="8"/>
  <c r="CI1186" i="8"/>
  <c r="CH1186" i="8"/>
  <c r="CG1186" i="8"/>
  <c r="CF1186" i="8"/>
  <c r="CE1186" i="8"/>
  <c r="CD1186" i="8"/>
  <c r="CC1186" i="8"/>
  <c r="CB1186" i="8"/>
  <c r="CA1186" i="8"/>
  <c r="BZ1186" i="8"/>
  <c r="BY1186" i="8"/>
  <c r="BX1186" i="8"/>
  <c r="BW1186" i="8"/>
  <c r="BV1186" i="8"/>
  <c r="BU1186" i="8"/>
  <c r="BT1186" i="8"/>
  <c r="BS1186" i="8"/>
  <c r="BR1186" i="8"/>
  <c r="BQ1186" i="8"/>
  <c r="BP1186" i="8"/>
  <c r="BO1186" i="8"/>
  <c r="BN1186" i="8"/>
  <c r="BM1186" i="8"/>
  <c r="BL1186" i="8"/>
  <c r="BK1186" i="8"/>
  <c r="BJ1186" i="8"/>
  <c r="BI1186" i="8"/>
  <c r="BH1186" i="8"/>
  <c r="CJ1185" i="8"/>
  <c r="CI1185" i="8"/>
  <c r="CH1185" i="8"/>
  <c r="CG1185" i="8"/>
  <c r="CF1185" i="8"/>
  <c r="CE1185" i="8"/>
  <c r="CD1185" i="8"/>
  <c r="CC1185" i="8"/>
  <c r="CB1185" i="8"/>
  <c r="CA1185" i="8"/>
  <c r="BZ1185" i="8"/>
  <c r="BY1185" i="8"/>
  <c r="BX1185" i="8"/>
  <c r="BW1185" i="8"/>
  <c r="BV1185" i="8"/>
  <c r="BU1185" i="8"/>
  <c r="BT1185" i="8"/>
  <c r="BS1185" i="8"/>
  <c r="BR1185" i="8"/>
  <c r="BQ1185" i="8"/>
  <c r="BP1185" i="8"/>
  <c r="BO1185" i="8"/>
  <c r="BN1185" i="8"/>
  <c r="BM1185" i="8"/>
  <c r="BL1185" i="8"/>
  <c r="BK1185" i="8"/>
  <c r="BJ1185" i="8"/>
  <c r="BI1185" i="8"/>
  <c r="BH1185" i="8"/>
  <c r="CJ1184" i="8"/>
  <c r="CI1184" i="8"/>
  <c r="CH1184" i="8"/>
  <c r="CG1184" i="8"/>
  <c r="CF1184" i="8"/>
  <c r="CE1184" i="8"/>
  <c r="CD1184" i="8"/>
  <c r="CC1184" i="8"/>
  <c r="CB1184" i="8"/>
  <c r="CA1184" i="8"/>
  <c r="BZ1184" i="8"/>
  <c r="BY1184" i="8"/>
  <c r="BX1184" i="8"/>
  <c r="BW1184" i="8"/>
  <c r="BV1184" i="8"/>
  <c r="BU1184" i="8"/>
  <c r="BT1184" i="8"/>
  <c r="BS1184" i="8"/>
  <c r="BR1184" i="8"/>
  <c r="BQ1184" i="8"/>
  <c r="BP1184" i="8"/>
  <c r="BO1184" i="8"/>
  <c r="BN1184" i="8"/>
  <c r="BM1184" i="8"/>
  <c r="BL1184" i="8"/>
  <c r="BK1184" i="8"/>
  <c r="BJ1184" i="8"/>
  <c r="BI1184" i="8"/>
  <c r="BH1184" i="8"/>
  <c r="CJ1183" i="8"/>
  <c r="CI1183" i="8"/>
  <c r="CH1183" i="8"/>
  <c r="CG1183" i="8"/>
  <c r="CF1183" i="8"/>
  <c r="CE1183" i="8"/>
  <c r="CD1183" i="8"/>
  <c r="CC1183" i="8"/>
  <c r="CB1183" i="8"/>
  <c r="CA1183" i="8"/>
  <c r="BZ1183" i="8"/>
  <c r="BY1183" i="8"/>
  <c r="BX1183" i="8"/>
  <c r="BW1183" i="8"/>
  <c r="BV1183" i="8"/>
  <c r="BU1183" i="8"/>
  <c r="BT1183" i="8"/>
  <c r="BS1183" i="8"/>
  <c r="BR1183" i="8"/>
  <c r="BQ1183" i="8"/>
  <c r="BP1183" i="8"/>
  <c r="BO1183" i="8"/>
  <c r="BN1183" i="8"/>
  <c r="BM1183" i="8"/>
  <c r="BL1183" i="8"/>
  <c r="BK1183" i="8"/>
  <c r="BJ1183" i="8"/>
  <c r="BI1183" i="8"/>
  <c r="BH1183" i="8"/>
  <c r="CJ1182" i="8"/>
  <c r="CI1182" i="8"/>
  <c r="CH1182" i="8"/>
  <c r="CG1182" i="8"/>
  <c r="CF1182" i="8"/>
  <c r="CE1182" i="8"/>
  <c r="CD1182" i="8"/>
  <c r="CC1182" i="8"/>
  <c r="CB1182" i="8"/>
  <c r="CA1182" i="8"/>
  <c r="BZ1182" i="8"/>
  <c r="BY1182" i="8"/>
  <c r="BX1182" i="8"/>
  <c r="BW1182" i="8"/>
  <c r="BV1182" i="8"/>
  <c r="BU1182" i="8"/>
  <c r="BT1182" i="8"/>
  <c r="BS1182" i="8"/>
  <c r="BR1182" i="8"/>
  <c r="BQ1182" i="8"/>
  <c r="BP1182" i="8"/>
  <c r="BO1182" i="8"/>
  <c r="BN1182" i="8"/>
  <c r="BM1182" i="8"/>
  <c r="BL1182" i="8"/>
  <c r="BK1182" i="8"/>
  <c r="BJ1182" i="8"/>
  <c r="BI1182" i="8"/>
  <c r="BH1182" i="8"/>
  <c r="CJ1181" i="8"/>
  <c r="CI1181" i="8"/>
  <c r="CH1181" i="8"/>
  <c r="CG1181" i="8"/>
  <c r="CF1181" i="8"/>
  <c r="CE1181" i="8"/>
  <c r="CD1181" i="8"/>
  <c r="CC1181" i="8"/>
  <c r="CB1181" i="8"/>
  <c r="CA1181" i="8"/>
  <c r="BZ1181" i="8"/>
  <c r="BY1181" i="8"/>
  <c r="BX1181" i="8"/>
  <c r="BW1181" i="8"/>
  <c r="BV1181" i="8"/>
  <c r="BU1181" i="8"/>
  <c r="BT1181" i="8"/>
  <c r="BS1181" i="8"/>
  <c r="BR1181" i="8"/>
  <c r="BQ1181" i="8"/>
  <c r="BP1181" i="8"/>
  <c r="BO1181" i="8"/>
  <c r="BN1181" i="8"/>
  <c r="BM1181" i="8"/>
  <c r="BL1181" i="8"/>
  <c r="BK1181" i="8"/>
  <c r="BJ1181" i="8"/>
  <c r="BI1181" i="8"/>
  <c r="BH1181" i="8"/>
  <c r="CJ1180" i="8"/>
  <c r="CI1180" i="8"/>
  <c r="CH1180" i="8"/>
  <c r="CG1180" i="8"/>
  <c r="CF1180" i="8"/>
  <c r="CE1180" i="8"/>
  <c r="CD1180" i="8"/>
  <c r="CC1180" i="8"/>
  <c r="CB1180" i="8"/>
  <c r="CA1180" i="8"/>
  <c r="BZ1180" i="8"/>
  <c r="BY1180" i="8"/>
  <c r="BX1180" i="8"/>
  <c r="BW1180" i="8"/>
  <c r="BV1180" i="8"/>
  <c r="BU1180" i="8"/>
  <c r="BT1180" i="8"/>
  <c r="BS1180" i="8"/>
  <c r="BR1180" i="8"/>
  <c r="BQ1180" i="8"/>
  <c r="BP1180" i="8"/>
  <c r="BO1180" i="8"/>
  <c r="BN1180" i="8"/>
  <c r="BM1180" i="8"/>
  <c r="BL1180" i="8"/>
  <c r="BK1180" i="8"/>
  <c r="BJ1180" i="8"/>
  <c r="BI1180" i="8"/>
  <c r="BH1180" i="8"/>
  <c r="CJ1179" i="8"/>
  <c r="CI1179" i="8"/>
  <c r="CH1179" i="8"/>
  <c r="CG1179" i="8"/>
  <c r="CF1179" i="8"/>
  <c r="CE1179" i="8"/>
  <c r="CD1179" i="8"/>
  <c r="CC1179" i="8"/>
  <c r="CB1179" i="8"/>
  <c r="CA1179" i="8"/>
  <c r="BZ1179" i="8"/>
  <c r="BY1179" i="8"/>
  <c r="BX1179" i="8"/>
  <c r="BW1179" i="8"/>
  <c r="BV1179" i="8"/>
  <c r="BU1179" i="8"/>
  <c r="BT1179" i="8"/>
  <c r="BS1179" i="8"/>
  <c r="BR1179" i="8"/>
  <c r="BQ1179" i="8"/>
  <c r="BP1179" i="8"/>
  <c r="BO1179" i="8"/>
  <c r="BN1179" i="8"/>
  <c r="BM1179" i="8"/>
  <c r="BL1179" i="8"/>
  <c r="BK1179" i="8"/>
  <c r="BJ1179" i="8"/>
  <c r="BI1179" i="8"/>
  <c r="BH1179" i="8"/>
  <c r="CJ1178" i="8"/>
  <c r="CI1178" i="8"/>
  <c r="CH1178" i="8"/>
  <c r="CG1178" i="8"/>
  <c r="CF1178" i="8"/>
  <c r="CE1178" i="8"/>
  <c r="CD1178" i="8"/>
  <c r="CC1178" i="8"/>
  <c r="CB1178" i="8"/>
  <c r="CA1178" i="8"/>
  <c r="BZ1178" i="8"/>
  <c r="BY1178" i="8"/>
  <c r="BX1178" i="8"/>
  <c r="BW1178" i="8"/>
  <c r="BV1178" i="8"/>
  <c r="BU1178" i="8"/>
  <c r="BT1178" i="8"/>
  <c r="BS1178" i="8"/>
  <c r="BR1178" i="8"/>
  <c r="BQ1178" i="8"/>
  <c r="BP1178" i="8"/>
  <c r="BO1178" i="8"/>
  <c r="BN1178" i="8"/>
  <c r="BM1178" i="8"/>
  <c r="BL1178" i="8"/>
  <c r="BK1178" i="8"/>
  <c r="BJ1178" i="8"/>
  <c r="BI1178" i="8"/>
  <c r="BH1178" i="8"/>
  <c r="CJ1177" i="8"/>
  <c r="CI1177" i="8"/>
  <c r="CH1177" i="8"/>
  <c r="CG1177" i="8"/>
  <c r="CF1177" i="8"/>
  <c r="CE1177" i="8"/>
  <c r="CD1177" i="8"/>
  <c r="CC1177" i="8"/>
  <c r="CB1177" i="8"/>
  <c r="CA1177" i="8"/>
  <c r="BZ1177" i="8"/>
  <c r="BY1177" i="8"/>
  <c r="BX1177" i="8"/>
  <c r="BW1177" i="8"/>
  <c r="BV1177" i="8"/>
  <c r="BU1177" i="8"/>
  <c r="BT1177" i="8"/>
  <c r="BS1177" i="8"/>
  <c r="BR1177" i="8"/>
  <c r="BQ1177" i="8"/>
  <c r="BP1177" i="8"/>
  <c r="BO1177" i="8"/>
  <c r="BN1177" i="8"/>
  <c r="BM1177" i="8"/>
  <c r="BL1177" i="8"/>
  <c r="BK1177" i="8"/>
  <c r="BJ1177" i="8"/>
  <c r="BI1177" i="8"/>
  <c r="BH1177" i="8"/>
  <c r="CJ1176" i="8"/>
  <c r="CI1176" i="8"/>
  <c r="CH1176" i="8"/>
  <c r="CG1176" i="8"/>
  <c r="CF1176" i="8"/>
  <c r="CE1176" i="8"/>
  <c r="CD1176" i="8"/>
  <c r="CC1176" i="8"/>
  <c r="CB1176" i="8"/>
  <c r="CA1176" i="8"/>
  <c r="BZ1176" i="8"/>
  <c r="BY1176" i="8"/>
  <c r="BX1176" i="8"/>
  <c r="BW1176" i="8"/>
  <c r="BV1176" i="8"/>
  <c r="BU1176" i="8"/>
  <c r="BT1176" i="8"/>
  <c r="BS1176" i="8"/>
  <c r="BR1176" i="8"/>
  <c r="BQ1176" i="8"/>
  <c r="BP1176" i="8"/>
  <c r="BO1176" i="8"/>
  <c r="BN1176" i="8"/>
  <c r="BM1176" i="8"/>
  <c r="BL1176" i="8"/>
  <c r="BK1176" i="8"/>
  <c r="BJ1176" i="8"/>
  <c r="BI1176" i="8"/>
  <c r="BH1176" i="8"/>
  <c r="CJ1175" i="8"/>
  <c r="CI1175" i="8"/>
  <c r="CH1175" i="8"/>
  <c r="CG1175" i="8"/>
  <c r="CF1175" i="8"/>
  <c r="CE1175" i="8"/>
  <c r="CD1175" i="8"/>
  <c r="CC1175" i="8"/>
  <c r="CB1175" i="8"/>
  <c r="CA1175" i="8"/>
  <c r="BZ1175" i="8"/>
  <c r="BY1175" i="8"/>
  <c r="BX1175" i="8"/>
  <c r="BW1175" i="8"/>
  <c r="BV1175" i="8"/>
  <c r="BU1175" i="8"/>
  <c r="BT1175" i="8"/>
  <c r="BS1175" i="8"/>
  <c r="BR1175" i="8"/>
  <c r="BQ1175" i="8"/>
  <c r="BP1175" i="8"/>
  <c r="BO1175" i="8"/>
  <c r="BN1175" i="8"/>
  <c r="BM1175" i="8"/>
  <c r="BL1175" i="8"/>
  <c r="BK1175" i="8"/>
  <c r="BJ1175" i="8"/>
  <c r="BI1175" i="8"/>
  <c r="BH1175" i="8"/>
  <c r="CJ1174" i="8"/>
  <c r="CI1174" i="8"/>
  <c r="CH1174" i="8"/>
  <c r="CG1174" i="8"/>
  <c r="CF1174" i="8"/>
  <c r="CE1174" i="8"/>
  <c r="CD1174" i="8"/>
  <c r="CC1174" i="8"/>
  <c r="CB1174" i="8"/>
  <c r="CA1174" i="8"/>
  <c r="BZ1174" i="8"/>
  <c r="BY1174" i="8"/>
  <c r="BX1174" i="8"/>
  <c r="BW1174" i="8"/>
  <c r="BV1174" i="8"/>
  <c r="BU1174" i="8"/>
  <c r="BT1174" i="8"/>
  <c r="BS1174" i="8"/>
  <c r="BR1174" i="8"/>
  <c r="BQ1174" i="8"/>
  <c r="BP1174" i="8"/>
  <c r="BO1174" i="8"/>
  <c r="BN1174" i="8"/>
  <c r="BM1174" i="8"/>
  <c r="BL1174" i="8"/>
  <c r="BK1174" i="8"/>
  <c r="BJ1174" i="8"/>
  <c r="BI1174" i="8"/>
  <c r="BH1174" i="8"/>
  <c r="CJ1173" i="8"/>
  <c r="CI1173" i="8"/>
  <c r="CH1173" i="8"/>
  <c r="CG1173" i="8"/>
  <c r="CF1173" i="8"/>
  <c r="CE1173" i="8"/>
  <c r="CD1173" i="8"/>
  <c r="CC1173" i="8"/>
  <c r="CB1173" i="8"/>
  <c r="CA1173" i="8"/>
  <c r="BZ1173" i="8"/>
  <c r="BY1173" i="8"/>
  <c r="BX1173" i="8"/>
  <c r="BW1173" i="8"/>
  <c r="BV1173" i="8"/>
  <c r="BU1173" i="8"/>
  <c r="BT1173" i="8"/>
  <c r="BS1173" i="8"/>
  <c r="BR1173" i="8"/>
  <c r="BQ1173" i="8"/>
  <c r="BP1173" i="8"/>
  <c r="BO1173" i="8"/>
  <c r="BN1173" i="8"/>
  <c r="BM1173" i="8"/>
  <c r="BL1173" i="8"/>
  <c r="BK1173" i="8"/>
  <c r="BJ1173" i="8"/>
  <c r="BI1173" i="8"/>
  <c r="BH1173" i="8"/>
  <c r="CJ1172" i="8"/>
  <c r="CI1172" i="8"/>
  <c r="CH1172" i="8"/>
  <c r="CG1172" i="8"/>
  <c r="CF1172" i="8"/>
  <c r="CE1172" i="8"/>
  <c r="CD1172" i="8"/>
  <c r="CC1172" i="8"/>
  <c r="CB1172" i="8"/>
  <c r="CA1172" i="8"/>
  <c r="BZ1172" i="8"/>
  <c r="BY1172" i="8"/>
  <c r="BX1172" i="8"/>
  <c r="BW1172" i="8"/>
  <c r="BV1172" i="8"/>
  <c r="BU1172" i="8"/>
  <c r="BT1172" i="8"/>
  <c r="BS1172" i="8"/>
  <c r="BR1172" i="8"/>
  <c r="BQ1172" i="8"/>
  <c r="BP1172" i="8"/>
  <c r="BO1172" i="8"/>
  <c r="BN1172" i="8"/>
  <c r="BM1172" i="8"/>
  <c r="BL1172" i="8"/>
  <c r="BK1172" i="8"/>
  <c r="BJ1172" i="8"/>
  <c r="BI1172" i="8"/>
  <c r="BH1172" i="8"/>
  <c r="CJ1171" i="8"/>
  <c r="CI1171" i="8"/>
  <c r="CH1171" i="8"/>
  <c r="CG1171" i="8"/>
  <c r="CF1171" i="8"/>
  <c r="CE1171" i="8"/>
  <c r="CD1171" i="8"/>
  <c r="CC1171" i="8"/>
  <c r="CB1171" i="8"/>
  <c r="CA1171" i="8"/>
  <c r="BZ1171" i="8"/>
  <c r="BY1171" i="8"/>
  <c r="BX1171" i="8"/>
  <c r="BW1171" i="8"/>
  <c r="BV1171" i="8"/>
  <c r="BU1171" i="8"/>
  <c r="BT1171" i="8"/>
  <c r="BS1171" i="8"/>
  <c r="BR1171" i="8"/>
  <c r="BQ1171" i="8"/>
  <c r="BP1171" i="8"/>
  <c r="BO1171" i="8"/>
  <c r="BN1171" i="8"/>
  <c r="BM1171" i="8"/>
  <c r="BL1171" i="8"/>
  <c r="BK1171" i="8"/>
  <c r="BJ1171" i="8"/>
  <c r="BI1171" i="8"/>
  <c r="BH1171" i="8"/>
  <c r="CJ1170" i="8"/>
  <c r="CI1170" i="8"/>
  <c r="CH1170" i="8"/>
  <c r="CG1170" i="8"/>
  <c r="CF1170" i="8"/>
  <c r="CE1170" i="8"/>
  <c r="CD1170" i="8"/>
  <c r="CC1170" i="8"/>
  <c r="CB1170" i="8"/>
  <c r="CA1170" i="8"/>
  <c r="BZ1170" i="8"/>
  <c r="BY1170" i="8"/>
  <c r="BX1170" i="8"/>
  <c r="BW1170" i="8"/>
  <c r="BV1170" i="8"/>
  <c r="BU1170" i="8"/>
  <c r="BT1170" i="8"/>
  <c r="BS1170" i="8"/>
  <c r="BR1170" i="8"/>
  <c r="BQ1170" i="8"/>
  <c r="BP1170" i="8"/>
  <c r="BO1170" i="8"/>
  <c r="BN1170" i="8"/>
  <c r="BM1170" i="8"/>
  <c r="BL1170" i="8"/>
  <c r="BK1170" i="8"/>
  <c r="BJ1170" i="8"/>
  <c r="BI1170" i="8"/>
  <c r="BH1170" i="8"/>
  <c r="CJ1169" i="8"/>
  <c r="CI1169" i="8"/>
  <c r="CH1169" i="8"/>
  <c r="CG1169" i="8"/>
  <c r="CF1169" i="8"/>
  <c r="CE1169" i="8"/>
  <c r="CD1169" i="8"/>
  <c r="CC1169" i="8"/>
  <c r="CB1169" i="8"/>
  <c r="CA1169" i="8"/>
  <c r="BZ1169" i="8"/>
  <c r="BY1169" i="8"/>
  <c r="BX1169" i="8"/>
  <c r="BW1169" i="8"/>
  <c r="BV1169" i="8"/>
  <c r="BU1169" i="8"/>
  <c r="BT1169" i="8"/>
  <c r="BS1169" i="8"/>
  <c r="BR1169" i="8"/>
  <c r="BQ1169" i="8"/>
  <c r="BP1169" i="8"/>
  <c r="BO1169" i="8"/>
  <c r="BN1169" i="8"/>
  <c r="BM1169" i="8"/>
  <c r="BL1169" i="8"/>
  <c r="BK1169" i="8"/>
  <c r="BJ1169" i="8"/>
  <c r="BI1169" i="8"/>
  <c r="BH1169" i="8"/>
  <c r="CJ1168" i="8"/>
  <c r="CI1168" i="8"/>
  <c r="CH1168" i="8"/>
  <c r="CG1168" i="8"/>
  <c r="CF1168" i="8"/>
  <c r="CE1168" i="8"/>
  <c r="CD1168" i="8"/>
  <c r="CC1168" i="8"/>
  <c r="CB1168" i="8"/>
  <c r="CA1168" i="8"/>
  <c r="BZ1168" i="8"/>
  <c r="BY1168" i="8"/>
  <c r="BX1168" i="8"/>
  <c r="BW1168" i="8"/>
  <c r="BV1168" i="8"/>
  <c r="BU1168" i="8"/>
  <c r="BT1168" i="8"/>
  <c r="BS1168" i="8"/>
  <c r="BR1168" i="8"/>
  <c r="BQ1168" i="8"/>
  <c r="BP1168" i="8"/>
  <c r="BO1168" i="8"/>
  <c r="BN1168" i="8"/>
  <c r="BM1168" i="8"/>
  <c r="BL1168" i="8"/>
  <c r="BK1168" i="8"/>
  <c r="BJ1168" i="8"/>
  <c r="BI1168" i="8"/>
  <c r="BH1168" i="8"/>
  <c r="CJ1167" i="8"/>
  <c r="CI1167" i="8"/>
  <c r="CH1167" i="8"/>
  <c r="CG1167" i="8"/>
  <c r="CF1167" i="8"/>
  <c r="CE1167" i="8"/>
  <c r="CD1167" i="8"/>
  <c r="CC1167" i="8"/>
  <c r="CB1167" i="8"/>
  <c r="CA1167" i="8"/>
  <c r="BZ1167" i="8"/>
  <c r="BY1167" i="8"/>
  <c r="BX1167" i="8"/>
  <c r="BW1167" i="8"/>
  <c r="BV1167" i="8"/>
  <c r="BU1167" i="8"/>
  <c r="BT1167" i="8"/>
  <c r="BS1167" i="8"/>
  <c r="BR1167" i="8"/>
  <c r="BQ1167" i="8"/>
  <c r="BP1167" i="8"/>
  <c r="BO1167" i="8"/>
  <c r="BN1167" i="8"/>
  <c r="BM1167" i="8"/>
  <c r="BL1167" i="8"/>
  <c r="BK1167" i="8"/>
  <c r="BJ1167" i="8"/>
  <c r="BI1167" i="8"/>
  <c r="BH1167" i="8"/>
  <c r="CJ1166" i="8"/>
  <c r="CI1166" i="8"/>
  <c r="CH1166" i="8"/>
  <c r="CG1166" i="8"/>
  <c r="CF1166" i="8"/>
  <c r="CE1166" i="8"/>
  <c r="CD1166" i="8"/>
  <c r="CC1166" i="8"/>
  <c r="CB1166" i="8"/>
  <c r="CA1166" i="8"/>
  <c r="BZ1166" i="8"/>
  <c r="BY1166" i="8"/>
  <c r="BX1166" i="8"/>
  <c r="BW1166" i="8"/>
  <c r="BV1166" i="8"/>
  <c r="BU1166" i="8"/>
  <c r="BT1166" i="8"/>
  <c r="BS1166" i="8"/>
  <c r="BR1166" i="8"/>
  <c r="BQ1166" i="8"/>
  <c r="BP1166" i="8"/>
  <c r="BO1166" i="8"/>
  <c r="BN1166" i="8"/>
  <c r="BM1166" i="8"/>
  <c r="BL1166" i="8"/>
  <c r="BK1166" i="8"/>
  <c r="BJ1166" i="8"/>
  <c r="BI1166" i="8"/>
  <c r="BH1166" i="8"/>
  <c r="CJ1165" i="8"/>
  <c r="CI1165" i="8"/>
  <c r="CH1165" i="8"/>
  <c r="CG1165" i="8"/>
  <c r="CF1165" i="8"/>
  <c r="CE1165" i="8"/>
  <c r="CD1165" i="8"/>
  <c r="CC1165" i="8"/>
  <c r="CB1165" i="8"/>
  <c r="CA1165" i="8"/>
  <c r="BZ1165" i="8"/>
  <c r="BY1165" i="8"/>
  <c r="BX1165" i="8"/>
  <c r="BW1165" i="8"/>
  <c r="BV1165" i="8"/>
  <c r="BU1165" i="8"/>
  <c r="BT1165" i="8"/>
  <c r="BS1165" i="8"/>
  <c r="BR1165" i="8"/>
  <c r="BQ1165" i="8"/>
  <c r="BP1165" i="8"/>
  <c r="BO1165" i="8"/>
  <c r="BN1165" i="8"/>
  <c r="BM1165" i="8"/>
  <c r="BL1165" i="8"/>
  <c r="BK1165" i="8"/>
  <c r="BJ1165" i="8"/>
  <c r="BI1165" i="8"/>
  <c r="BH1165" i="8"/>
  <c r="CJ1164" i="8"/>
  <c r="CI1164" i="8"/>
  <c r="CH1164" i="8"/>
  <c r="CG1164" i="8"/>
  <c r="CF1164" i="8"/>
  <c r="CE1164" i="8"/>
  <c r="CD1164" i="8"/>
  <c r="CC1164" i="8"/>
  <c r="CB1164" i="8"/>
  <c r="CA1164" i="8"/>
  <c r="BZ1164" i="8"/>
  <c r="BY1164" i="8"/>
  <c r="BX1164" i="8"/>
  <c r="BW1164" i="8"/>
  <c r="BV1164" i="8"/>
  <c r="BU1164" i="8"/>
  <c r="BT1164" i="8"/>
  <c r="BS1164" i="8"/>
  <c r="BR1164" i="8"/>
  <c r="BQ1164" i="8"/>
  <c r="BP1164" i="8"/>
  <c r="BO1164" i="8"/>
  <c r="BN1164" i="8"/>
  <c r="BM1164" i="8"/>
  <c r="BL1164" i="8"/>
  <c r="BK1164" i="8"/>
  <c r="BJ1164" i="8"/>
  <c r="BI1164" i="8"/>
  <c r="BH1164" i="8"/>
  <c r="CJ1163" i="8"/>
  <c r="CI1163" i="8"/>
  <c r="CH1163" i="8"/>
  <c r="CG1163" i="8"/>
  <c r="CF1163" i="8"/>
  <c r="CE1163" i="8"/>
  <c r="CD1163" i="8"/>
  <c r="CC1163" i="8"/>
  <c r="CB1163" i="8"/>
  <c r="CA1163" i="8"/>
  <c r="BZ1163" i="8"/>
  <c r="BY1163" i="8"/>
  <c r="BX1163" i="8"/>
  <c r="BW1163" i="8"/>
  <c r="BV1163" i="8"/>
  <c r="BU1163" i="8"/>
  <c r="BT1163" i="8"/>
  <c r="BS1163" i="8"/>
  <c r="BR1163" i="8"/>
  <c r="BQ1163" i="8"/>
  <c r="BP1163" i="8"/>
  <c r="BO1163" i="8"/>
  <c r="BN1163" i="8"/>
  <c r="BM1163" i="8"/>
  <c r="BL1163" i="8"/>
  <c r="BK1163" i="8"/>
  <c r="BJ1163" i="8"/>
  <c r="BI1163" i="8"/>
  <c r="BH1163" i="8"/>
  <c r="CJ1162" i="8"/>
  <c r="CI1162" i="8"/>
  <c r="CH1162" i="8"/>
  <c r="CG1162" i="8"/>
  <c r="CF1162" i="8"/>
  <c r="CE1162" i="8"/>
  <c r="CD1162" i="8"/>
  <c r="CC1162" i="8"/>
  <c r="CB1162" i="8"/>
  <c r="CA1162" i="8"/>
  <c r="BZ1162" i="8"/>
  <c r="BY1162" i="8"/>
  <c r="BX1162" i="8"/>
  <c r="BW1162" i="8"/>
  <c r="BV1162" i="8"/>
  <c r="BU1162" i="8"/>
  <c r="BT1162" i="8"/>
  <c r="BS1162" i="8"/>
  <c r="BR1162" i="8"/>
  <c r="BQ1162" i="8"/>
  <c r="BP1162" i="8"/>
  <c r="BO1162" i="8"/>
  <c r="BN1162" i="8"/>
  <c r="BM1162" i="8"/>
  <c r="BL1162" i="8"/>
  <c r="BK1162" i="8"/>
  <c r="BJ1162" i="8"/>
  <c r="BI1162" i="8"/>
  <c r="BH1162" i="8"/>
  <c r="CJ1161" i="8"/>
  <c r="CI1161" i="8"/>
  <c r="CH1161" i="8"/>
  <c r="CG1161" i="8"/>
  <c r="CF1161" i="8"/>
  <c r="CE1161" i="8"/>
  <c r="CD1161" i="8"/>
  <c r="CC1161" i="8"/>
  <c r="CB1161" i="8"/>
  <c r="CA1161" i="8"/>
  <c r="BZ1161" i="8"/>
  <c r="BY1161" i="8"/>
  <c r="BX1161" i="8"/>
  <c r="BW1161" i="8"/>
  <c r="BV1161" i="8"/>
  <c r="BU1161" i="8"/>
  <c r="BT1161" i="8"/>
  <c r="BS1161" i="8"/>
  <c r="BR1161" i="8"/>
  <c r="BQ1161" i="8"/>
  <c r="BP1161" i="8"/>
  <c r="BO1161" i="8"/>
  <c r="BN1161" i="8"/>
  <c r="BM1161" i="8"/>
  <c r="BL1161" i="8"/>
  <c r="BK1161" i="8"/>
  <c r="BJ1161" i="8"/>
  <c r="BI1161" i="8"/>
  <c r="BH1161" i="8"/>
  <c r="CJ1160" i="8"/>
  <c r="CI1160" i="8"/>
  <c r="CH1160" i="8"/>
  <c r="CG1160" i="8"/>
  <c r="CF1160" i="8"/>
  <c r="CE1160" i="8"/>
  <c r="CD1160" i="8"/>
  <c r="CC1160" i="8"/>
  <c r="CB1160" i="8"/>
  <c r="CA1160" i="8"/>
  <c r="BZ1160" i="8"/>
  <c r="BY1160" i="8"/>
  <c r="BX1160" i="8"/>
  <c r="BW1160" i="8"/>
  <c r="BV1160" i="8"/>
  <c r="BU1160" i="8"/>
  <c r="BT1160" i="8"/>
  <c r="BS1160" i="8"/>
  <c r="BR1160" i="8"/>
  <c r="BQ1160" i="8"/>
  <c r="BP1160" i="8"/>
  <c r="BO1160" i="8"/>
  <c r="BN1160" i="8"/>
  <c r="BM1160" i="8"/>
  <c r="BL1160" i="8"/>
  <c r="BK1160" i="8"/>
  <c r="BJ1160" i="8"/>
  <c r="BI1160" i="8"/>
  <c r="BH1160" i="8"/>
  <c r="CJ1159" i="8"/>
  <c r="CI1159" i="8"/>
  <c r="CH1159" i="8"/>
  <c r="CG1159" i="8"/>
  <c r="CF1159" i="8"/>
  <c r="CE1159" i="8"/>
  <c r="CD1159" i="8"/>
  <c r="CC1159" i="8"/>
  <c r="CB1159" i="8"/>
  <c r="CA1159" i="8"/>
  <c r="BZ1159" i="8"/>
  <c r="BY1159" i="8"/>
  <c r="BX1159" i="8"/>
  <c r="BW1159" i="8"/>
  <c r="BV1159" i="8"/>
  <c r="BU1159" i="8"/>
  <c r="BT1159" i="8"/>
  <c r="BS1159" i="8"/>
  <c r="BR1159" i="8"/>
  <c r="BQ1159" i="8"/>
  <c r="BP1159" i="8"/>
  <c r="BO1159" i="8"/>
  <c r="BN1159" i="8"/>
  <c r="BM1159" i="8"/>
  <c r="BL1159" i="8"/>
  <c r="BK1159" i="8"/>
  <c r="BJ1159" i="8"/>
  <c r="BI1159" i="8"/>
  <c r="BH1159" i="8"/>
  <c r="CJ1158" i="8"/>
  <c r="CI1158" i="8"/>
  <c r="CH1158" i="8"/>
  <c r="CG1158" i="8"/>
  <c r="CF1158" i="8"/>
  <c r="CE1158" i="8"/>
  <c r="CD1158" i="8"/>
  <c r="CC1158" i="8"/>
  <c r="CB1158" i="8"/>
  <c r="CA1158" i="8"/>
  <c r="BZ1158" i="8"/>
  <c r="BY1158" i="8"/>
  <c r="BX1158" i="8"/>
  <c r="BW1158" i="8"/>
  <c r="BV1158" i="8"/>
  <c r="BU1158" i="8"/>
  <c r="BT1158" i="8"/>
  <c r="BS1158" i="8"/>
  <c r="BR1158" i="8"/>
  <c r="BQ1158" i="8"/>
  <c r="BP1158" i="8"/>
  <c r="BO1158" i="8"/>
  <c r="BN1158" i="8"/>
  <c r="BM1158" i="8"/>
  <c r="BL1158" i="8"/>
  <c r="BK1158" i="8"/>
  <c r="BJ1158" i="8"/>
  <c r="BI1158" i="8"/>
  <c r="BH1158" i="8"/>
  <c r="CJ1157" i="8"/>
  <c r="CI1157" i="8"/>
  <c r="CH1157" i="8"/>
  <c r="CG1157" i="8"/>
  <c r="CF1157" i="8"/>
  <c r="CE1157" i="8"/>
  <c r="CD1157" i="8"/>
  <c r="CC1157" i="8"/>
  <c r="CB1157" i="8"/>
  <c r="CA1157" i="8"/>
  <c r="BZ1157" i="8"/>
  <c r="BY1157" i="8"/>
  <c r="BX1157" i="8"/>
  <c r="BW1157" i="8"/>
  <c r="BV1157" i="8"/>
  <c r="BU1157" i="8"/>
  <c r="BT1157" i="8"/>
  <c r="BS1157" i="8"/>
  <c r="BR1157" i="8"/>
  <c r="BQ1157" i="8"/>
  <c r="BP1157" i="8"/>
  <c r="BO1157" i="8"/>
  <c r="BN1157" i="8"/>
  <c r="BM1157" i="8"/>
  <c r="BL1157" i="8"/>
  <c r="BK1157" i="8"/>
  <c r="BJ1157" i="8"/>
  <c r="BI1157" i="8"/>
  <c r="BH1157" i="8"/>
  <c r="CJ1156" i="8"/>
  <c r="CI1156" i="8"/>
  <c r="CH1156" i="8"/>
  <c r="CG1156" i="8"/>
  <c r="CF1156" i="8"/>
  <c r="CE1156" i="8"/>
  <c r="CD1156" i="8"/>
  <c r="CC1156" i="8"/>
  <c r="CB1156" i="8"/>
  <c r="CA1156" i="8"/>
  <c r="BZ1156" i="8"/>
  <c r="BY1156" i="8"/>
  <c r="BX1156" i="8"/>
  <c r="BW1156" i="8"/>
  <c r="BV1156" i="8"/>
  <c r="BU1156" i="8"/>
  <c r="BT1156" i="8"/>
  <c r="BS1156" i="8"/>
  <c r="BR1156" i="8"/>
  <c r="BQ1156" i="8"/>
  <c r="BP1156" i="8"/>
  <c r="BO1156" i="8"/>
  <c r="BN1156" i="8"/>
  <c r="BM1156" i="8"/>
  <c r="BL1156" i="8"/>
  <c r="BK1156" i="8"/>
  <c r="BJ1156" i="8"/>
  <c r="BI1156" i="8"/>
  <c r="BH1156" i="8"/>
  <c r="CJ1155" i="8"/>
  <c r="CI1155" i="8"/>
  <c r="CH1155" i="8"/>
  <c r="CG1155" i="8"/>
  <c r="CF1155" i="8"/>
  <c r="CE1155" i="8"/>
  <c r="CD1155" i="8"/>
  <c r="CC1155" i="8"/>
  <c r="CB1155" i="8"/>
  <c r="CA1155" i="8"/>
  <c r="BZ1155" i="8"/>
  <c r="BY1155" i="8"/>
  <c r="BX1155" i="8"/>
  <c r="BW1155" i="8"/>
  <c r="BV1155" i="8"/>
  <c r="BU1155" i="8"/>
  <c r="BT1155" i="8"/>
  <c r="BS1155" i="8"/>
  <c r="BR1155" i="8"/>
  <c r="BQ1155" i="8"/>
  <c r="BP1155" i="8"/>
  <c r="BO1155" i="8"/>
  <c r="BN1155" i="8"/>
  <c r="BM1155" i="8"/>
  <c r="BL1155" i="8"/>
  <c r="BK1155" i="8"/>
  <c r="BJ1155" i="8"/>
  <c r="BI1155" i="8"/>
  <c r="BH1155" i="8"/>
  <c r="CJ1154" i="8"/>
  <c r="CI1154" i="8"/>
  <c r="CH1154" i="8"/>
  <c r="CG1154" i="8"/>
  <c r="CF1154" i="8"/>
  <c r="CE1154" i="8"/>
  <c r="CD1154" i="8"/>
  <c r="CC1154" i="8"/>
  <c r="CB1154" i="8"/>
  <c r="CA1154" i="8"/>
  <c r="BZ1154" i="8"/>
  <c r="BY1154" i="8"/>
  <c r="BX1154" i="8"/>
  <c r="BW1154" i="8"/>
  <c r="BV1154" i="8"/>
  <c r="BU1154" i="8"/>
  <c r="BT1154" i="8"/>
  <c r="BS1154" i="8"/>
  <c r="BR1154" i="8"/>
  <c r="BQ1154" i="8"/>
  <c r="BP1154" i="8"/>
  <c r="BO1154" i="8"/>
  <c r="BN1154" i="8"/>
  <c r="BM1154" i="8"/>
  <c r="BL1154" i="8"/>
  <c r="BK1154" i="8"/>
  <c r="BJ1154" i="8"/>
  <c r="BI1154" i="8"/>
  <c r="BH1154" i="8"/>
  <c r="CJ1153" i="8"/>
  <c r="CI1153" i="8"/>
  <c r="CH1153" i="8"/>
  <c r="CG1153" i="8"/>
  <c r="CF1153" i="8"/>
  <c r="CE1153" i="8"/>
  <c r="CD1153" i="8"/>
  <c r="CC1153" i="8"/>
  <c r="CB1153" i="8"/>
  <c r="CA1153" i="8"/>
  <c r="BZ1153" i="8"/>
  <c r="BY1153" i="8"/>
  <c r="BX1153" i="8"/>
  <c r="BW1153" i="8"/>
  <c r="BV1153" i="8"/>
  <c r="BU1153" i="8"/>
  <c r="BT1153" i="8"/>
  <c r="BS1153" i="8"/>
  <c r="BR1153" i="8"/>
  <c r="BQ1153" i="8"/>
  <c r="BP1153" i="8"/>
  <c r="BO1153" i="8"/>
  <c r="BN1153" i="8"/>
  <c r="BM1153" i="8"/>
  <c r="BL1153" i="8"/>
  <c r="BK1153" i="8"/>
  <c r="BJ1153" i="8"/>
  <c r="BI1153" i="8"/>
  <c r="BH1153" i="8"/>
  <c r="CJ1152" i="8"/>
  <c r="CI1152" i="8"/>
  <c r="CH1152" i="8"/>
  <c r="CG1152" i="8"/>
  <c r="CF1152" i="8"/>
  <c r="CE1152" i="8"/>
  <c r="CD1152" i="8"/>
  <c r="CC1152" i="8"/>
  <c r="CB1152" i="8"/>
  <c r="CA1152" i="8"/>
  <c r="BZ1152" i="8"/>
  <c r="BY1152" i="8"/>
  <c r="BX1152" i="8"/>
  <c r="BW1152" i="8"/>
  <c r="BV1152" i="8"/>
  <c r="BU1152" i="8"/>
  <c r="BT1152" i="8"/>
  <c r="BS1152" i="8"/>
  <c r="BR1152" i="8"/>
  <c r="BQ1152" i="8"/>
  <c r="BP1152" i="8"/>
  <c r="BO1152" i="8"/>
  <c r="BN1152" i="8"/>
  <c r="BM1152" i="8"/>
  <c r="BL1152" i="8"/>
  <c r="BK1152" i="8"/>
  <c r="BJ1152" i="8"/>
  <c r="BI1152" i="8"/>
  <c r="BH1152" i="8"/>
  <c r="CJ1151" i="8"/>
  <c r="CI1151" i="8"/>
  <c r="CH1151" i="8"/>
  <c r="CG1151" i="8"/>
  <c r="CF1151" i="8"/>
  <c r="CE1151" i="8"/>
  <c r="CD1151" i="8"/>
  <c r="CC1151" i="8"/>
  <c r="CB1151" i="8"/>
  <c r="CA1151" i="8"/>
  <c r="BZ1151" i="8"/>
  <c r="BY1151" i="8"/>
  <c r="BX1151" i="8"/>
  <c r="BW1151" i="8"/>
  <c r="BV1151" i="8"/>
  <c r="BU1151" i="8"/>
  <c r="BT1151" i="8"/>
  <c r="BS1151" i="8"/>
  <c r="BR1151" i="8"/>
  <c r="BQ1151" i="8"/>
  <c r="BP1151" i="8"/>
  <c r="BO1151" i="8"/>
  <c r="BN1151" i="8"/>
  <c r="BM1151" i="8"/>
  <c r="BL1151" i="8"/>
  <c r="BK1151" i="8"/>
  <c r="BJ1151" i="8"/>
  <c r="BI1151" i="8"/>
  <c r="BH1151" i="8"/>
  <c r="CJ1150" i="8"/>
  <c r="CI1150" i="8"/>
  <c r="CH1150" i="8"/>
  <c r="CG1150" i="8"/>
  <c r="CF1150" i="8"/>
  <c r="CE1150" i="8"/>
  <c r="CD1150" i="8"/>
  <c r="CC1150" i="8"/>
  <c r="CB1150" i="8"/>
  <c r="CA1150" i="8"/>
  <c r="BZ1150" i="8"/>
  <c r="BY1150" i="8"/>
  <c r="BX1150" i="8"/>
  <c r="BW1150" i="8"/>
  <c r="BV1150" i="8"/>
  <c r="BU1150" i="8"/>
  <c r="BT1150" i="8"/>
  <c r="BS1150" i="8"/>
  <c r="BR1150" i="8"/>
  <c r="BQ1150" i="8"/>
  <c r="BP1150" i="8"/>
  <c r="BO1150" i="8"/>
  <c r="BN1150" i="8"/>
  <c r="BM1150" i="8"/>
  <c r="BL1150" i="8"/>
  <c r="BK1150" i="8"/>
  <c r="BJ1150" i="8"/>
  <c r="BI1150" i="8"/>
  <c r="BH1150" i="8"/>
  <c r="CJ1149" i="8"/>
  <c r="CI1149" i="8"/>
  <c r="CH1149" i="8"/>
  <c r="CG1149" i="8"/>
  <c r="CF1149" i="8"/>
  <c r="CE1149" i="8"/>
  <c r="CD1149" i="8"/>
  <c r="CC1149" i="8"/>
  <c r="CB1149" i="8"/>
  <c r="CA1149" i="8"/>
  <c r="BZ1149" i="8"/>
  <c r="BY1149" i="8"/>
  <c r="BX1149" i="8"/>
  <c r="BW1149" i="8"/>
  <c r="BV1149" i="8"/>
  <c r="BU1149" i="8"/>
  <c r="BT1149" i="8"/>
  <c r="BS1149" i="8"/>
  <c r="BR1149" i="8"/>
  <c r="BQ1149" i="8"/>
  <c r="BP1149" i="8"/>
  <c r="BO1149" i="8"/>
  <c r="BN1149" i="8"/>
  <c r="BM1149" i="8"/>
  <c r="BL1149" i="8"/>
  <c r="BK1149" i="8"/>
  <c r="BJ1149" i="8"/>
  <c r="BI1149" i="8"/>
  <c r="BH1149" i="8"/>
  <c r="CJ1148" i="8"/>
  <c r="CI1148" i="8"/>
  <c r="CH1148" i="8"/>
  <c r="CG1148" i="8"/>
  <c r="CF1148" i="8"/>
  <c r="CE1148" i="8"/>
  <c r="CD1148" i="8"/>
  <c r="CC1148" i="8"/>
  <c r="CB1148" i="8"/>
  <c r="CA1148" i="8"/>
  <c r="BZ1148" i="8"/>
  <c r="BY1148" i="8"/>
  <c r="BX1148" i="8"/>
  <c r="BW1148" i="8"/>
  <c r="BV1148" i="8"/>
  <c r="BU1148" i="8"/>
  <c r="BT1148" i="8"/>
  <c r="BS1148" i="8"/>
  <c r="BR1148" i="8"/>
  <c r="BQ1148" i="8"/>
  <c r="BP1148" i="8"/>
  <c r="BO1148" i="8"/>
  <c r="BN1148" i="8"/>
  <c r="BM1148" i="8"/>
  <c r="BL1148" i="8"/>
  <c r="BK1148" i="8"/>
  <c r="BJ1148" i="8"/>
  <c r="BI1148" i="8"/>
  <c r="BH1148" i="8"/>
  <c r="CJ1147" i="8"/>
  <c r="CI1147" i="8"/>
  <c r="CH1147" i="8"/>
  <c r="CG1147" i="8"/>
  <c r="CF1147" i="8"/>
  <c r="CE1147" i="8"/>
  <c r="CD1147" i="8"/>
  <c r="CC1147" i="8"/>
  <c r="CB1147" i="8"/>
  <c r="CA1147" i="8"/>
  <c r="BZ1147" i="8"/>
  <c r="BY1147" i="8"/>
  <c r="BX1147" i="8"/>
  <c r="BW1147" i="8"/>
  <c r="BV1147" i="8"/>
  <c r="BU1147" i="8"/>
  <c r="BT1147" i="8"/>
  <c r="BS1147" i="8"/>
  <c r="BR1147" i="8"/>
  <c r="BQ1147" i="8"/>
  <c r="BP1147" i="8"/>
  <c r="BO1147" i="8"/>
  <c r="BN1147" i="8"/>
  <c r="BM1147" i="8"/>
  <c r="BL1147" i="8"/>
  <c r="BK1147" i="8"/>
  <c r="BJ1147" i="8"/>
  <c r="BI1147" i="8"/>
  <c r="BH1147" i="8"/>
  <c r="CJ1146" i="8"/>
  <c r="CI1146" i="8"/>
  <c r="CH1146" i="8"/>
  <c r="CG1146" i="8"/>
  <c r="CF1146" i="8"/>
  <c r="CE1146" i="8"/>
  <c r="CD1146" i="8"/>
  <c r="CC1146" i="8"/>
  <c r="CB1146" i="8"/>
  <c r="CA1146" i="8"/>
  <c r="BZ1146" i="8"/>
  <c r="BY1146" i="8"/>
  <c r="BX1146" i="8"/>
  <c r="BW1146" i="8"/>
  <c r="BV1146" i="8"/>
  <c r="BU1146" i="8"/>
  <c r="BT1146" i="8"/>
  <c r="BS1146" i="8"/>
  <c r="BR1146" i="8"/>
  <c r="BQ1146" i="8"/>
  <c r="BP1146" i="8"/>
  <c r="BO1146" i="8"/>
  <c r="BN1146" i="8"/>
  <c r="BM1146" i="8"/>
  <c r="BL1146" i="8"/>
  <c r="BK1146" i="8"/>
  <c r="BJ1146" i="8"/>
  <c r="BI1146" i="8"/>
  <c r="BH1146" i="8"/>
  <c r="CJ1145" i="8"/>
  <c r="CI1145" i="8"/>
  <c r="CH1145" i="8"/>
  <c r="CG1145" i="8"/>
  <c r="CF1145" i="8"/>
  <c r="CE1145" i="8"/>
  <c r="CD1145" i="8"/>
  <c r="CC1145" i="8"/>
  <c r="CB1145" i="8"/>
  <c r="CA1145" i="8"/>
  <c r="BZ1145" i="8"/>
  <c r="BY1145" i="8"/>
  <c r="BX1145" i="8"/>
  <c r="BW1145" i="8"/>
  <c r="BV1145" i="8"/>
  <c r="BU1145" i="8"/>
  <c r="BT1145" i="8"/>
  <c r="BS1145" i="8"/>
  <c r="BR1145" i="8"/>
  <c r="BQ1145" i="8"/>
  <c r="BP1145" i="8"/>
  <c r="BO1145" i="8"/>
  <c r="BN1145" i="8"/>
  <c r="BM1145" i="8"/>
  <c r="BL1145" i="8"/>
  <c r="BK1145" i="8"/>
  <c r="BJ1145" i="8"/>
  <c r="BI1145" i="8"/>
  <c r="BH1145" i="8"/>
  <c r="CJ1144" i="8"/>
  <c r="CI1144" i="8"/>
  <c r="CH1144" i="8"/>
  <c r="CG1144" i="8"/>
  <c r="CF1144" i="8"/>
  <c r="CE1144" i="8"/>
  <c r="CD1144" i="8"/>
  <c r="CC1144" i="8"/>
  <c r="CB1144" i="8"/>
  <c r="CA1144" i="8"/>
  <c r="BZ1144" i="8"/>
  <c r="BY1144" i="8"/>
  <c r="BX1144" i="8"/>
  <c r="BW1144" i="8"/>
  <c r="BV1144" i="8"/>
  <c r="BU1144" i="8"/>
  <c r="BT1144" i="8"/>
  <c r="BS1144" i="8"/>
  <c r="BR1144" i="8"/>
  <c r="BQ1144" i="8"/>
  <c r="BP1144" i="8"/>
  <c r="BO1144" i="8"/>
  <c r="BN1144" i="8"/>
  <c r="BM1144" i="8"/>
  <c r="BL1144" i="8"/>
  <c r="BK1144" i="8"/>
  <c r="BJ1144" i="8"/>
  <c r="BI1144" i="8"/>
  <c r="BH1144" i="8"/>
  <c r="CJ1143" i="8"/>
  <c r="CI1143" i="8"/>
  <c r="CH1143" i="8"/>
  <c r="CG1143" i="8"/>
  <c r="CF1143" i="8"/>
  <c r="CE1143" i="8"/>
  <c r="CD1143" i="8"/>
  <c r="CC1143" i="8"/>
  <c r="CB1143" i="8"/>
  <c r="CA1143" i="8"/>
  <c r="BZ1143" i="8"/>
  <c r="BY1143" i="8"/>
  <c r="BX1143" i="8"/>
  <c r="BW1143" i="8"/>
  <c r="BV1143" i="8"/>
  <c r="BU1143" i="8"/>
  <c r="BT1143" i="8"/>
  <c r="BS1143" i="8"/>
  <c r="BR1143" i="8"/>
  <c r="BQ1143" i="8"/>
  <c r="BP1143" i="8"/>
  <c r="BO1143" i="8"/>
  <c r="BN1143" i="8"/>
  <c r="BM1143" i="8"/>
  <c r="BL1143" i="8"/>
  <c r="BK1143" i="8"/>
  <c r="BJ1143" i="8"/>
  <c r="BI1143" i="8"/>
  <c r="BH1143" i="8"/>
  <c r="CJ1142" i="8"/>
  <c r="CI1142" i="8"/>
  <c r="CH1142" i="8"/>
  <c r="CG1142" i="8"/>
  <c r="CF1142" i="8"/>
  <c r="CE1142" i="8"/>
  <c r="CD1142" i="8"/>
  <c r="CC1142" i="8"/>
  <c r="CB1142" i="8"/>
  <c r="CA1142" i="8"/>
  <c r="BZ1142" i="8"/>
  <c r="BY1142" i="8"/>
  <c r="BX1142" i="8"/>
  <c r="BW1142" i="8"/>
  <c r="BV1142" i="8"/>
  <c r="BU1142" i="8"/>
  <c r="BT1142" i="8"/>
  <c r="BS1142" i="8"/>
  <c r="BR1142" i="8"/>
  <c r="BQ1142" i="8"/>
  <c r="BP1142" i="8"/>
  <c r="BO1142" i="8"/>
  <c r="BN1142" i="8"/>
  <c r="BM1142" i="8"/>
  <c r="BL1142" i="8"/>
  <c r="BK1142" i="8"/>
  <c r="BJ1142" i="8"/>
  <c r="BI1142" i="8"/>
  <c r="BH1142" i="8"/>
  <c r="CJ1141" i="8"/>
  <c r="CI1141" i="8"/>
  <c r="CH1141" i="8"/>
  <c r="CG1141" i="8"/>
  <c r="CF1141" i="8"/>
  <c r="CE1141" i="8"/>
  <c r="CD1141" i="8"/>
  <c r="CC1141" i="8"/>
  <c r="CB1141" i="8"/>
  <c r="CA1141" i="8"/>
  <c r="BZ1141" i="8"/>
  <c r="BY1141" i="8"/>
  <c r="BX1141" i="8"/>
  <c r="BW1141" i="8"/>
  <c r="BV1141" i="8"/>
  <c r="BU1141" i="8"/>
  <c r="BT1141" i="8"/>
  <c r="BS1141" i="8"/>
  <c r="BR1141" i="8"/>
  <c r="BQ1141" i="8"/>
  <c r="BP1141" i="8"/>
  <c r="BO1141" i="8"/>
  <c r="BN1141" i="8"/>
  <c r="BM1141" i="8"/>
  <c r="BL1141" i="8"/>
  <c r="BK1141" i="8"/>
  <c r="BJ1141" i="8"/>
  <c r="BI1141" i="8"/>
  <c r="BH1141" i="8"/>
  <c r="CJ1140" i="8"/>
  <c r="CI1140" i="8"/>
  <c r="CH1140" i="8"/>
  <c r="CG1140" i="8"/>
  <c r="CF1140" i="8"/>
  <c r="CE1140" i="8"/>
  <c r="CD1140" i="8"/>
  <c r="CC1140" i="8"/>
  <c r="CB1140" i="8"/>
  <c r="CA1140" i="8"/>
  <c r="BZ1140" i="8"/>
  <c r="BY1140" i="8"/>
  <c r="BX1140" i="8"/>
  <c r="BW1140" i="8"/>
  <c r="BV1140" i="8"/>
  <c r="BU1140" i="8"/>
  <c r="BT1140" i="8"/>
  <c r="BS1140" i="8"/>
  <c r="BR1140" i="8"/>
  <c r="BQ1140" i="8"/>
  <c r="BP1140" i="8"/>
  <c r="BO1140" i="8"/>
  <c r="BN1140" i="8"/>
  <c r="BM1140" i="8"/>
  <c r="BL1140" i="8"/>
  <c r="BK1140" i="8"/>
  <c r="BJ1140" i="8"/>
  <c r="BI1140" i="8"/>
  <c r="BH1140" i="8"/>
  <c r="CJ1139" i="8"/>
  <c r="CI1139" i="8"/>
  <c r="CH1139" i="8"/>
  <c r="CG1139" i="8"/>
  <c r="CF1139" i="8"/>
  <c r="CE1139" i="8"/>
  <c r="CD1139" i="8"/>
  <c r="CC1139" i="8"/>
  <c r="CB1139" i="8"/>
  <c r="CA1139" i="8"/>
  <c r="BZ1139" i="8"/>
  <c r="BY1139" i="8"/>
  <c r="BX1139" i="8"/>
  <c r="BW1139" i="8"/>
  <c r="BV1139" i="8"/>
  <c r="BU1139" i="8"/>
  <c r="BT1139" i="8"/>
  <c r="BS1139" i="8"/>
  <c r="BR1139" i="8"/>
  <c r="BQ1139" i="8"/>
  <c r="BP1139" i="8"/>
  <c r="BO1139" i="8"/>
  <c r="BN1139" i="8"/>
  <c r="BM1139" i="8"/>
  <c r="BL1139" i="8"/>
  <c r="BK1139" i="8"/>
  <c r="BJ1139" i="8"/>
  <c r="BI1139" i="8"/>
  <c r="BH1139" i="8"/>
  <c r="CJ1138" i="8"/>
  <c r="CI1138" i="8"/>
  <c r="CH1138" i="8"/>
  <c r="CG1138" i="8"/>
  <c r="CF1138" i="8"/>
  <c r="CE1138" i="8"/>
  <c r="CD1138" i="8"/>
  <c r="CC1138" i="8"/>
  <c r="CB1138" i="8"/>
  <c r="CA1138" i="8"/>
  <c r="BZ1138" i="8"/>
  <c r="BY1138" i="8"/>
  <c r="BX1138" i="8"/>
  <c r="BW1138" i="8"/>
  <c r="BV1138" i="8"/>
  <c r="BU1138" i="8"/>
  <c r="BT1138" i="8"/>
  <c r="BS1138" i="8"/>
  <c r="BR1138" i="8"/>
  <c r="BQ1138" i="8"/>
  <c r="BP1138" i="8"/>
  <c r="BO1138" i="8"/>
  <c r="BN1138" i="8"/>
  <c r="BM1138" i="8"/>
  <c r="BL1138" i="8"/>
  <c r="BK1138" i="8"/>
  <c r="BJ1138" i="8"/>
  <c r="BI1138" i="8"/>
  <c r="BH1138" i="8"/>
  <c r="CJ1137" i="8"/>
  <c r="CI1137" i="8"/>
  <c r="CH1137" i="8"/>
  <c r="CG1137" i="8"/>
  <c r="CF1137" i="8"/>
  <c r="CE1137" i="8"/>
  <c r="CD1137" i="8"/>
  <c r="CC1137" i="8"/>
  <c r="CB1137" i="8"/>
  <c r="CA1137" i="8"/>
  <c r="BZ1137" i="8"/>
  <c r="BY1137" i="8"/>
  <c r="BX1137" i="8"/>
  <c r="BW1137" i="8"/>
  <c r="BV1137" i="8"/>
  <c r="BU1137" i="8"/>
  <c r="BT1137" i="8"/>
  <c r="BS1137" i="8"/>
  <c r="BR1137" i="8"/>
  <c r="BQ1137" i="8"/>
  <c r="BP1137" i="8"/>
  <c r="BO1137" i="8"/>
  <c r="BN1137" i="8"/>
  <c r="BM1137" i="8"/>
  <c r="BL1137" i="8"/>
  <c r="BK1137" i="8"/>
  <c r="BJ1137" i="8"/>
  <c r="BI1137" i="8"/>
  <c r="BH1137" i="8"/>
  <c r="CJ1136" i="8"/>
  <c r="CI1136" i="8"/>
  <c r="CH1136" i="8"/>
  <c r="CG1136" i="8"/>
  <c r="CF1136" i="8"/>
  <c r="CE1136" i="8"/>
  <c r="CD1136" i="8"/>
  <c r="CC1136" i="8"/>
  <c r="CB1136" i="8"/>
  <c r="CA1136" i="8"/>
  <c r="BZ1136" i="8"/>
  <c r="BY1136" i="8"/>
  <c r="BX1136" i="8"/>
  <c r="BW1136" i="8"/>
  <c r="BV1136" i="8"/>
  <c r="BU1136" i="8"/>
  <c r="BT1136" i="8"/>
  <c r="BS1136" i="8"/>
  <c r="BR1136" i="8"/>
  <c r="BQ1136" i="8"/>
  <c r="BP1136" i="8"/>
  <c r="BO1136" i="8"/>
  <c r="BN1136" i="8"/>
  <c r="BM1136" i="8"/>
  <c r="BL1136" i="8"/>
  <c r="BK1136" i="8"/>
  <c r="BJ1136" i="8"/>
  <c r="BI1136" i="8"/>
  <c r="BH1136" i="8"/>
  <c r="CJ1135" i="8"/>
  <c r="CI1135" i="8"/>
  <c r="CH1135" i="8"/>
  <c r="CG1135" i="8"/>
  <c r="CF1135" i="8"/>
  <c r="CE1135" i="8"/>
  <c r="CD1135" i="8"/>
  <c r="CC1135" i="8"/>
  <c r="CB1135" i="8"/>
  <c r="CA1135" i="8"/>
  <c r="BZ1135" i="8"/>
  <c r="BY1135" i="8"/>
  <c r="BX1135" i="8"/>
  <c r="BW1135" i="8"/>
  <c r="BV1135" i="8"/>
  <c r="BU1135" i="8"/>
  <c r="BT1135" i="8"/>
  <c r="BS1135" i="8"/>
  <c r="BR1135" i="8"/>
  <c r="BQ1135" i="8"/>
  <c r="BP1135" i="8"/>
  <c r="BO1135" i="8"/>
  <c r="BN1135" i="8"/>
  <c r="BM1135" i="8"/>
  <c r="BL1135" i="8"/>
  <c r="BK1135" i="8"/>
  <c r="BJ1135" i="8"/>
  <c r="BI1135" i="8"/>
  <c r="BH1135" i="8"/>
  <c r="CJ1134" i="8"/>
  <c r="CI1134" i="8"/>
  <c r="CH1134" i="8"/>
  <c r="CG1134" i="8"/>
  <c r="CF1134" i="8"/>
  <c r="CE1134" i="8"/>
  <c r="CD1134" i="8"/>
  <c r="CC1134" i="8"/>
  <c r="CB1134" i="8"/>
  <c r="CA1134" i="8"/>
  <c r="BZ1134" i="8"/>
  <c r="BY1134" i="8"/>
  <c r="BX1134" i="8"/>
  <c r="BW1134" i="8"/>
  <c r="BV1134" i="8"/>
  <c r="BU1134" i="8"/>
  <c r="BT1134" i="8"/>
  <c r="BS1134" i="8"/>
  <c r="BR1134" i="8"/>
  <c r="BQ1134" i="8"/>
  <c r="BP1134" i="8"/>
  <c r="BO1134" i="8"/>
  <c r="BN1134" i="8"/>
  <c r="BM1134" i="8"/>
  <c r="BL1134" i="8"/>
  <c r="BK1134" i="8"/>
  <c r="BJ1134" i="8"/>
  <c r="BI1134" i="8"/>
  <c r="BH1134" i="8"/>
  <c r="CJ1133" i="8"/>
  <c r="CI1133" i="8"/>
  <c r="CH1133" i="8"/>
  <c r="CG1133" i="8"/>
  <c r="CF1133" i="8"/>
  <c r="CE1133" i="8"/>
  <c r="CD1133" i="8"/>
  <c r="CC1133" i="8"/>
  <c r="CB1133" i="8"/>
  <c r="CA1133" i="8"/>
  <c r="BZ1133" i="8"/>
  <c r="BY1133" i="8"/>
  <c r="BX1133" i="8"/>
  <c r="BW1133" i="8"/>
  <c r="BV1133" i="8"/>
  <c r="BU1133" i="8"/>
  <c r="BT1133" i="8"/>
  <c r="BS1133" i="8"/>
  <c r="BR1133" i="8"/>
  <c r="BQ1133" i="8"/>
  <c r="BP1133" i="8"/>
  <c r="BO1133" i="8"/>
  <c r="BN1133" i="8"/>
  <c r="BM1133" i="8"/>
  <c r="BL1133" i="8"/>
  <c r="BK1133" i="8"/>
  <c r="BJ1133" i="8"/>
  <c r="BI1133" i="8"/>
  <c r="BH1133" i="8"/>
  <c r="CJ1132" i="8"/>
  <c r="CI1132" i="8"/>
  <c r="CH1132" i="8"/>
  <c r="CG1132" i="8"/>
  <c r="CF1132" i="8"/>
  <c r="CE1132" i="8"/>
  <c r="CD1132" i="8"/>
  <c r="CC1132" i="8"/>
  <c r="CB1132" i="8"/>
  <c r="CA1132" i="8"/>
  <c r="BZ1132" i="8"/>
  <c r="BY1132" i="8"/>
  <c r="BX1132" i="8"/>
  <c r="BW1132" i="8"/>
  <c r="BV1132" i="8"/>
  <c r="BU1132" i="8"/>
  <c r="BT1132" i="8"/>
  <c r="BS1132" i="8"/>
  <c r="BR1132" i="8"/>
  <c r="BQ1132" i="8"/>
  <c r="BP1132" i="8"/>
  <c r="BO1132" i="8"/>
  <c r="BN1132" i="8"/>
  <c r="BM1132" i="8"/>
  <c r="BL1132" i="8"/>
  <c r="BK1132" i="8"/>
  <c r="BJ1132" i="8"/>
  <c r="BI1132" i="8"/>
  <c r="BH1132" i="8"/>
  <c r="CJ1131" i="8"/>
  <c r="CI1131" i="8"/>
  <c r="CH1131" i="8"/>
  <c r="CG1131" i="8"/>
  <c r="CF1131" i="8"/>
  <c r="CE1131" i="8"/>
  <c r="CD1131" i="8"/>
  <c r="CC1131" i="8"/>
  <c r="CB1131" i="8"/>
  <c r="CA1131" i="8"/>
  <c r="BZ1131" i="8"/>
  <c r="BY1131" i="8"/>
  <c r="BX1131" i="8"/>
  <c r="BW1131" i="8"/>
  <c r="BV1131" i="8"/>
  <c r="BU1131" i="8"/>
  <c r="BT1131" i="8"/>
  <c r="BS1131" i="8"/>
  <c r="BR1131" i="8"/>
  <c r="BQ1131" i="8"/>
  <c r="BP1131" i="8"/>
  <c r="BO1131" i="8"/>
  <c r="BN1131" i="8"/>
  <c r="BM1131" i="8"/>
  <c r="BL1131" i="8"/>
  <c r="BK1131" i="8"/>
  <c r="BJ1131" i="8"/>
  <c r="BI1131" i="8"/>
  <c r="BH1131" i="8"/>
  <c r="CJ1130" i="8"/>
  <c r="CI1130" i="8"/>
  <c r="CH1130" i="8"/>
  <c r="CG1130" i="8"/>
  <c r="CF1130" i="8"/>
  <c r="CE1130" i="8"/>
  <c r="CD1130" i="8"/>
  <c r="CC1130" i="8"/>
  <c r="CB1130" i="8"/>
  <c r="CA1130" i="8"/>
  <c r="BZ1130" i="8"/>
  <c r="BY1130" i="8"/>
  <c r="BX1130" i="8"/>
  <c r="BW1130" i="8"/>
  <c r="BV1130" i="8"/>
  <c r="BU1130" i="8"/>
  <c r="BT1130" i="8"/>
  <c r="BS1130" i="8"/>
  <c r="BR1130" i="8"/>
  <c r="BQ1130" i="8"/>
  <c r="BP1130" i="8"/>
  <c r="BO1130" i="8"/>
  <c r="BN1130" i="8"/>
  <c r="BM1130" i="8"/>
  <c r="BL1130" i="8"/>
  <c r="BK1130" i="8"/>
  <c r="BJ1130" i="8"/>
  <c r="BI1130" i="8"/>
  <c r="BH1130" i="8"/>
  <c r="CJ1129" i="8"/>
  <c r="CI1129" i="8"/>
  <c r="CH1129" i="8"/>
  <c r="CG1129" i="8"/>
  <c r="CF1129" i="8"/>
  <c r="CE1129" i="8"/>
  <c r="CD1129" i="8"/>
  <c r="CC1129" i="8"/>
  <c r="CB1129" i="8"/>
  <c r="CA1129" i="8"/>
  <c r="BZ1129" i="8"/>
  <c r="BY1129" i="8"/>
  <c r="BX1129" i="8"/>
  <c r="BW1129" i="8"/>
  <c r="BV1129" i="8"/>
  <c r="BU1129" i="8"/>
  <c r="BT1129" i="8"/>
  <c r="BS1129" i="8"/>
  <c r="BR1129" i="8"/>
  <c r="BQ1129" i="8"/>
  <c r="BP1129" i="8"/>
  <c r="BO1129" i="8"/>
  <c r="BN1129" i="8"/>
  <c r="BM1129" i="8"/>
  <c r="BL1129" i="8"/>
  <c r="BK1129" i="8"/>
  <c r="BJ1129" i="8"/>
  <c r="BI1129" i="8"/>
  <c r="BH1129" i="8"/>
  <c r="CJ1128" i="8"/>
  <c r="CI1128" i="8"/>
  <c r="CH1128" i="8"/>
  <c r="CG1128" i="8"/>
  <c r="CF1128" i="8"/>
  <c r="CE1128" i="8"/>
  <c r="CD1128" i="8"/>
  <c r="CC1128" i="8"/>
  <c r="CB1128" i="8"/>
  <c r="CA1128" i="8"/>
  <c r="BZ1128" i="8"/>
  <c r="BY1128" i="8"/>
  <c r="BX1128" i="8"/>
  <c r="BW1128" i="8"/>
  <c r="BV1128" i="8"/>
  <c r="BU1128" i="8"/>
  <c r="BT1128" i="8"/>
  <c r="BS1128" i="8"/>
  <c r="BR1128" i="8"/>
  <c r="BQ1128" i="8"/>
  <c r="BP1128" i="8"/>
  <c r="BO1128" i="8"/>
  <c r="BN1128" i="8"/>
  <c r="BM1128" i="8"/>
  <c r="BL1128" i="8"/>
  <c r="BK1128" i="8"/>
  <c r="BJ1128" i="8"/>
  <c r="BI1128" i="8"/>
  <c r="BH1128" i="8"/>
  <c r="CJ1127" i="8"/>
  <c r="CI1127" i="8"/>
  <c r="CH1127" i="8"/>
  <c r="CG1127" i="8"/>
  <c r="CF1127" i="8"/>
  <c r="CE1127" i="8"/>
  <c r="CD1127" i="8"/>
  <c r="CC1127" i="8"/>
  <c r="CB1127" i="8"/>
  <c r="CA1127" i="8"/>
  <c r="BZ1127" i="8"/>
  <c r="BY1127" i="8"/>
  <c r="BX1127" i="8"/>
  <c r="BW1127" i="8"/>
  <c r="BV1127" i="8"/>
  <c r="BU1127" i="8"/>
  <c r="BT1127" i="8"/>
  <c r="BS1127" i="8"/>
  <c r="BR1127" i="8"/>
  <c r="BQ1127" i="8"/>
  <c r="BP1127" i="8"/>
  <c r="BO1127" i="8"/>
  <c r="BN1127" i="8"/>
  <c r="BM1127" i="8"/>
  <c r="BL1127" i="8"/>
  <c r="BK1127" i="8"/>
  <c r="BJ1127" i="8"/>
  <c r="BI1127" i="8"/>
  <c r="BH1127" i="8"/>
  <c r="CJ1126" i="8"/>
  <c r="CI1126" i="8"/>
  <c r="CH1126" i="8"/>
  <c r="CG1126" i="8"/>
  <c r="CF1126" i="8"/>
  <c r="CE1126" i="8"/>
  <c r="CD1126" i="8"/>
  <c r="CC1126" i="8"/>
  <c r="CB1126" i="8"/>
  <c r="CA1126" i="8"/>
  <c r="BZ1126" i="8"/>
  <c r="BY1126" i="8"/>
  <c r="BX1126" i="8"/>
  <c r="BW1126" i="8"/>
  <c r="BV1126" i="8"/>
  <c r="BU1126" i="8"/>
  <c r="BT1126" i="8"/>
  <c r="BS1126" i="8"/>
  <c r="BR1126" i="8"/>
  <c r="BQ1126" i="8"/>
  <c r="BP1126" i="8"/>
  <c r="BO1126" i="8"/>
  <c r="BN1126" i="8"/>
  <c r="BM1126" i="8"/>
  <c r="BL1126" i="8"/>
  <c r="BK1126" i="8"/>
  <c r="BJ1126" i="8"/>
  <c r="BI1126" i="8"/>
  <c r="BH1126" i="8"/>
  <c r="CJ1125" i="8"/>
  <c r="CI1125" i="8"/>
  <c r="CH1125" i="8"/>
  <c r="CG1125" i="8"/>
  <c r="CF1125" i="8"/>
  <c r="CE1125" i="8"/>
  <c r="CD1125" i="8"/>
  <c r="CC1125" i="8"/>
  <c r="CB1125" i="8"/>
  <c r="CA1125" i="8"/>
  <c r="BZ1125" i="8"/>
  <c r="BY1125" i="8"/>
  <c r="BX1125" i="8"/>
  <c r="BW1125" i="8"/>
  <c r="BV1125" i="8"/>
  <c r="BU1125" i="8"/>
  <c r="BT1125" i="8"/>
  <c r="BS1125" i="8"/>
  <c r="BR1125" i="8"/>
  <c r="BQ1125" i="8"/>
  <c r="BP1125" i="8"/>
  <c r="BO1125" i="8"/>
  <c r="BN1125" i="8"/>
  <c r="BM1125" i="8"/>
  <c r="BL1125" i="8"/>
  <c r="BK1125" i="8"/>
  <c r="BJ1125" i="8"/>
  <c r="BI1125" i="8"/>
  <c r="BH1125" i="8"/>
  <c r="CJ1124" i="8"/>
  <c r="CI1124" i="8"/>
  <c r="CH1124" i="8"/>
  <c r="CG1124" i="8"/>
  <c r="CF1124" i="8"/>
  <c r="CE1124" i="8"/>
  <c r="CD1124" i="8"/>
  <c r="CC1124" i="8"/>
  <c r="CB1124" i="8"/>
  <c r="CA1124" i="8"/>
  <c r="BZ1124" i="8"/>
  <c r="BY1124" i="8"/>
  <c r="BX1124" i="8"/>
  <c r="BW1124" i="8"/>
  <c r="BV1124" i="8"/>
  <c r="BU1124" i="8"/>
  <c r="BT1124" i="8"/>
  <c r="BS1124" i="8"/>
  <c r="BR1124" i="8"/>
  <c r="BQ1124" i="8"/>
  <c r="BP1124" i="8"/>
  <c r="BO1124" i="8"/>
  <c r="BN1124" i="8"/>
  <c r="BM1124" i="8"/>
  <c r="BL1124" i="8"/>
  <c r="BK1124" i="8"/>
  <c r="BJ1124" i="8"/>
  <c r="BI1124" i="8"/>
  <c r="BH1124" i="8"/>
  <c r="CJ1123" i="8"/>
  <c r="CI1123" i="8"/>
  <c r="CH1123" i="8"/>
  <c r="CG1123" i="8"/>
  <c r="CF1123" i="8"/>
  <c r="CE1123" i="8"/>
  <c r="CD1123" i="8"/>
  <c r="CC1123" i="8"/>
  <c r="CB1123" i="8"/>
  <c r="CA1123" i="8"/>
  <c r="BZ1123" i="8"/>
  <c r="BY1123" i="8"/>
  <c r="BX1123" i="8"/>
  <c r="BW1123" i="8"/>
  <c r="BV1123" i="8"/>
  <c r="BU1123" i="8"/>
  <c r="BT1123" i="8"/>
  <c r="BS1123" i="8"/>
  <c r="BR1123" i="8"/>
  <c r="BQ1123" i="8"/>
  <c r="BP1123" i="8"/>
  <c r="BO1123" i="8"/>
  <c r="BN1123" i="8"/>
  <c r="BM1123" i="8"/>
  <c r="BL1123" i="8"/>
  <c r="BK1123" i="8"/>
  <c r="BJ1123" i="8"/>
  <c r="BI1123" i="8"/>
  <c r="BH1123" i="8"/>
  <c r="CJ1122" i="8"/>
  <c r="CI1122" i="8"/>
  <c r="CH1122" i="8"/>
  <c r="CG1122" i="8"/>
  <c r="CF1122" i="8"/>
  <c r="CE1122" i="8"/>
  <c r="CD1122" i="8"/>
  <c r="CC1122" i="8"/>
  <c r="CB1122" i="8"/>
  <c r="CA1122" i="8"/>
  <c r="BZ1122" i="8"/>
  <c r="BY1122" i="8"/>
  <c r="BX1122" i="8"/>
  <c r="BW1122" i="8"/>
  <c r="BV1122" i="8"/>
  <c r="BU1122" i="8"/>
  <c r="BT1122" i="8"/>
  <c r="BS1122" i="8"/>
  <c r="BR1122" i="8"/>
  <c r="BQ1122" i="8"/>
  <c r="BP1122" i="8"/>
  <c r="BO1122" i="8"/>
  <c r="BN1122" i="8"/>
  <c r="BM1122" i="8"/>
  <c r="BL1122" i="8"/>
  <c r="BK1122" i="8"/>
  <c r="BJ1122" i="8"/>
  <c r="BI1122" i="8"/>
  <c r="BH1122" i="8"/>
  <c r="CJ1121" i="8"/>
  <c r="CI1121" i="8"/>
  <c r="CH1121" i="8"/>
  <c r="CG1121" i="8"/>
  <c r="CF1121" i="8"/>
  <c r="CE1121" i="8"/>
  <c r="CD1121" i="8"/>
  <c r="CC1121" i="8"/>
  <c r="CB1121" i="8"/>
  <c r="CA1121" i="8"/>
  <c r="BZ1121" i="8"/>
  <c r="BY1121" i="8"/>
  <c r="BX1121" i="8"/>
  <c r="BW1121" i="8"/>
  <c r="BV1121" i="8"/>
  <c r="BU1121" i="8"/>
  <c r="BT1121" i="8"/>
  <c r="BS1121" i="8"/>
  <c r="BR1121" i="8"/>
  <c r="BQ1121" i="8"/>
  <c r="BP1121" i="8"/>
  <c r="BO1121" i="8"/>
  <c r="BN1121" i="8"/>
  <c r="BM1121" i="8"/>
  <c r="BL1121" i="8"/>
  <c r="BK1121" i="8"/>
  <c r="BJ1121" i="8"/>
  <c r="BI1121" i="8"/>
  <c r="BH1121" i="8"/>
  <c r="CJ1120" i="8"/>
  <c r="CI1120" i="8"/>
  <c r="CH1120" i="8"/>
  <c r="CG1120" i="8"/>
  <c r="CF1120" i="8"/>
  <c r="CE1120" i="8"/>
  <c r="CD1120" i="8"/>
  <c r="CC1120" i="8"/>
  <c r="CB1120" i="8"/>
  <c r="CA1120" i="8"/>
  <c r="BZ1120" i="8"/>
  <c r="BY1120" i="8"/>
  <c r="BX1120" i="8"/>
  <c r="BW1120" i="8"/>
  <c r="BV1120" i="8"/>
  <c r="BU1120" i="8"/>
  <c r="BT1120" i="8"/>
  <c r="BS1120" i="8"/>
  <c r="BR1120" i="8"/>
  <c r="BQ1120" i="8"/>
  <c r="BP1120" i="8"/>
  <c r="BO1120" i="8"/>
  <c r="BN1120" i="8"/>
  <c r="BM1120" i="8"/>
  <c r="BL1120" i="8"/>
  <c r="BK1120" i="8"/>
  <c r="BJ1120" i="8"/>
  <c r="BI1120" i="8"/>
  <c r="BH1120" i="8"/>
  <c r="CJ1119" i="8"/>
  <c r="CI1119" i="8"/>
  <c r="CH1119" i="8"/>
  <c r="CG1119" i="8"/>
  <c r="CF1119" i="8"/>
  <c r="CE1119" i="8"/>
  <c r="CD1119" i="8"/>
  <c r="CC1119" i="8"/>
  <c r="CB1119" i="8"/>
  <c r="CA1119" i="8"/>
  <c r="BZ1119" i="8"/>
  <c r="BY1119" i="8"/>
  <c r="BX1119" i="8"/>
  <c r="BW1119" i="8"/>
  <c r="BV1119" i="8"/>
  <c r="BU1119" i="8"/>
  <c r="BT1119" i="8"/>
  <c r="BS1119" i="8"/>
  <c r="BR1119" i="8"/>
  <c r="BQ1119" i="8"/>
  <c r="BP1119" i="8"/>
  <c r="BO1119" i="8"/>
  <c r="BN1119" i="8"/>
  <c r="BM1119" i="8"/>
  <c r="BL1119" i="8"/>
  <c r="BK1119" i="8"/>
  <c r="BJ1119" i="8"/>
  <c r="BI1119" i="8"/>
  <c r="BH1119" i="8"/>
  <c r="CJ1118" i="8"/>
  <c r="CI1118" i="8"/>
  <c r="CH1118" i="8"/>
  <c r="CG1118" i="8"/>
  <c r="CF1118" i="8"/>
  <c r="CE1118" i="8"/>
  <c r="CD1118" i="8"/>
  <c r="CC1118" i="8"/>
  <c r="CB1118" i="8"/>
  <c r="CA1118" i="8"/>
  <c r="BZ1118" i="8"/>
  <c r="BY1118" i="8"/>
  <c r="BX1118" i="8"/>
  <c r="BW1118" i="8"/>
  <c r="BV1118" i="8"/>
  <c r="BU1118" i="8"/>
  <c r="BT1118" i="8"/>
  <c r="BS1118" i="8"/>
  <c r="BR1118" i="8"/>
  <c r="BQ1118" i="8"/>
  <c r="BP1118" i="8"/>
  <c r="BO1118" i="8"/>
  <c r="BN1118" i="8"/>
  <c r="BM1118" i="8"/>
  <c r="BL1118" i="8"/>
  <c r="BK1118" i="8"/>
  <c r="BJ1118" i="8"/>
  <c r="BI1118" i="8"/>
  <c r="BH1118" i="8"/>
  <c r="CJ1117" i="8"/>
  <c r="CI1117" i="8"/>
  <c r="CH1117" i="8"/>
  <c r="CG1117" i="8"/>
  <c r="CF1117" i="8"/>
  <c r="CE1117" i="8"/>
  <c r="CD1117" i="8"/>
  <c r="CC1117" i="8"/>
  <c r="CB1117" i="8"/>
  <c r="CA1117" i="8"/>
  <c r="BZ1117" i="8"/>
  <c r="BY1117" i="8"/>
  <c r="BX1117" i="8"/>
  <c r="BW1117" i="8"/>
  <c r="BV1117" i="8"/>
  <c r="BU1117" i="8"/>
  <c r="BT1117" i="8"/>
  <c r="BS1117" i="8"/>
  <c r="BR1117" i="8"/>
  <c r="BQ1117" i="8"/>
  <c r="BP1117" i="8"/>
  <c r="BO1117" i="8"/>
  <c r="BN1117" i="8"/>
  <c r="BM1117" i="8"/>
  <c r="BL1117" i="8"/>
  <c r="BK1117" i="8"/>
  <c r="BJ1117" i="8"/>
  <c r="BI1117" i="8"/>
  <c r="BH1117" i="8"/>
  <c r="CJ1116" i="8"/>
  <c r="CI1116" i="8"/>
  <c r="CH1116" i="8"/>
  <c r="CG1116" i="8"/>
  <c r="CF1116" i="8"/>
  <c r="CE1116" i="8"/>
  <c r="CD1116" i="8"/>
  <c r="CC1116" i="8"/>
  <c r="CB1116" i="8"/>
  <c r="CA1116" i="8"/>
  <c r="BZ1116" i="8"/>
  <c r="BY1116" i="8"/>
  <c r="BX1116" i="8"/>
  <c r="BW1116" i="8"/>
  <c r="BV1116" i="8"/>
  <c r="BU1116" i="8"/>
  <c r="BT1116" i="8"/>
  <c r="BS1116" i="8"/>
  <c r="BR1116" i="8"/>
  <c r="BQ1116" i="8"/>
  <c r="BP1116" i="8"/>
  <c r="BO1116" i="8"/>
  <c r="BN1116" i="8"/>
  <c r="BM1116" i="8"/>
  <c r="BL1116" i="8"/>
  <c r="BK1116" i="8"/>
  <c r="BJ1116" i="8"/>
  <c r="BI1116" i="8"/>
  <c r="BH1116" i="8"/>
  <c r="CJ1115" i="8"/>
  <c r="CI1115" i="8"/>
  <c r="CH1115" i="8"/>
  <c r="CG1115" i="8"/>
  <c r="CF1115" i="8"/>
  <c r="CE1115" i="8"/>
  <c r="CD1115" i="8"/>
  <c r="CC1115" i="8"/>
  <c r="CB1115" i="8"/>
  <c r="CA1115" i="8"/>
  <c r="BZ1115" i="8"/>
  <c r="BY1115" i="8"/>
  <c r="BX1115" i="8"/>
  <c r="BW1115" i="8"/>
  <c r="BV1115" i="8"/>
  <c r="BU1115" i="8"/>
  <c r="BT1115" i="8"/>
  <c r="BS1115" i="8"/>
  <c r="BR1115" i="8"/>
  <c r="BQ1115" i="8"/>
  <c r="BP1115" i="8"/>
  <c r="BO1115" i="8"/>
  <c r="BN1115" i="8"/>
  <c r="BM1115" i="8"/>
  <c r="BL1115" i="8"/>
  <c r="BK1115" i="8"/>
  <c r="BJ1115" i="8"/>
  <c r="BI1115" i="8"/>
  <c r="BH1115" i="8"/>
  <c r="CJ1114" i="8"/>
  <c r="CI1114" i="8"/>
  <c r="CH1114" i="8"/>
  <c r="CG1114" i="8"/>
  <c r="CF1114" i="8"/>
  <c r="CE1114" i="8"/>
  <c r="CD1114" i="8"/>
  <c r="CC1114" i="8"/>
  <c r="CB1114" i="8"/>
  <c r="CA1114" i="8"/>
  <c r="BZ1114" i="8"/>
  <c r="BY1114" i="8"/>
  <c r="BX1114" i="8"/>
  <c r="BW1114" i="8"/>
  <c r="BV1114" i="8"/>
  <c r="BU1114" i="8"/>
  <c r="BT1114" i="8"/>
  <c r="BS1114" i="8"/>
  <c r="BR1114" i="8"/>
  <c r="BQ1114" i="8"/>
  <c r="BP1114" i="8"/>
  <c r="BO1114" i="8"/>
  <c r="BN1114" i="8"/>
  <c r="BM1114" i="8"/>
  <c r="BL1114" i="8"/>
  <c r="BK1114" i="8"/>
  <c r="BJ1114" i="8"/>
  <c r="BI1114" i="8"/>
  <c r="BH1114" i="8"/>
  <c r="CJ1113" i="8"/>
  <c r="CI1113" i="8"/>
  <c r="CH1113" i="8"/>
  <c r="CG1113" i="8"/>
  <c r="CF1113" i="8"/>
  <c r="CE1113" i="8"/>
  <c r="CD1113" i="8"/>
  <c r="CC1113" i="8"/>
  <c r="CB1113" i="8"/>
  <c r="CA1113" i="8"/>
  <c r="BZ1113" i="8"/>
  <c r="BY1113" i="8"/>
  <c r="BX1113" i="8"/>
  <c r="BW1113" i="8"/>
  <c r="BV1113" i="8"/>
  <c r="BU1113" i="8"/>
  <c r="BT1113" i="8"/>
  <c r="BS1113" i="8"/>
  <c r="BR1113" i="8"/>
  <c r="BQ1113" i="8"/>
  <c r="BP1113" i="8"/>
  <c r="BO1113" i="8"/>
  <c r="BN1113" i="8"/>
  <c r="BM1113" i="8"/>
  <c r="BL1113" i="8"/>
  <c r="BK1113" i="8"/>
  <c r="BJ1113" i="8"/>
  <c r="BI1113" i="8"/>
  <c r="BH1113" i="8"/>
  <c r="CJ1112" i="8"/>
  <c r="CI1112" i="8"/>
  <c r="CH1112" i="8"/>
  <c r="CG1112" i="8"/>
  <c r="CF1112" i="8"/>
  <c r="CE1112" i="8"/>
  <c r="CD1112" i="8"/>
  <c r="CC1112" i="8"/>
  <c r="CB1112" i="8"/>
  <c r="CA1112" i="8"/>
  <c r="BZ1112" i="8"/>
  <c r="BY1112" i="8"/>
  <c r="BX1112" i="8"/>
  <c r="BW1112" i="8"/>
  <c r="BV1112" i="8"/>
  <c r="BU1112" i="8"/>
  <c r="BT1112" i="8"/>
  <c r="BS1112" i="8"/>
  <c r="BR1112" i="8"/>
  <c r="BQ1112" i="8"/>
  <c r="BP1112" i="8"/>
  <c r="BO1112" i="8"/>
  <c r="BN1112" i="8"/>
  <c r="BM1112" i="8"/>
  <c r="BL1112" i="8"/>
  <c r="BK1112" i="8"/>
  <c r="BJ1112" i="8"/>
  <c r="BI1112" i="8"/>
  <c r="BH1112" i="8"/>
  <c r="CJ1111" i="8"/>
  <c r="CI1111" i="8"/>
  <c r="CH1111" i="8"/>
  <c r="CG1111" i="8"/>
  <c r="CF1111" i="8"/>
  <c r="CE1111" i="8"/>
  <c r="CD1111" i="8"/>
  <c r="CC1111" i="8"/>
  <c r="CB1111" i="8"/>
  <c r="CA1111" i="8"/>
  <c r="BZ1111" i="8"/>
  <c r="BY1111" i="8"/>
  <c r="BX1111" i="8"/>
  <c r="BW1111" i="8"/>
  <c r="BV1111" i="8"/>
  <c r="BU1111" i="8"/>
  <c r="BT1111" i="8"/>
  <c r="BS1111" i="8"/>
  <c r="BR1111" i="8"/>
  <c r="BQ1111" i="8"/>
  <c r="BP1111" i="8"/>
  <c r="BO1111" i="8"/>
  <c r="BN1111" i="8"/>
  <c r="BM1111" i="8"/>
  <c r="BL1111" i="8"/>
  <c r="BK1111" i="8"/>
  <c r="BJ1111" i="8"/>
  <c r="BI1111" i="8"/>
  <c r="BH1111" i="8"/>
  <c r="CJ1110" i="8"/>
  <c r="CI1110" i="8"/>
  <c r="CH1110" i="8"/>
  <c r="CG1110" i="8"/>
  <c r="CF1110" i="8"/>
  <c r="CE1110" i="8"/>
  <c r="CD1110" i="8"/>
  <c r="CC1110" i="8"/>
  <c r="CB1110" i="8"/>
  <c r="CA1110" i="8"/>
  <c r="BZ1110" i="8"/>
  <c r="BY1110" i="8"/>
  <c r="BX1110" i="8"/>
  <c r="BW1110" i="8"/>
  <c r="BV1110" i="8"/>
  <c r="BU1110" i="8"/>
  <c r="BT1110" i="8"/>
  <c r="BS1110" i="8"/>
  <c r="BR1110" i="8"/>
  <c r="BQ1110" i="8"/>
  <c r="BP1110" i="8"/>
  <c r="BO1110" i="8"/>
  <c r="BN1110" i="8"/>
  <c r="BM1110" i="8"/>
  <c r="BL1110" i="8"/>
  <c r="BK1110" i="8"/>
  <c r="BJ1110" i="8"/>
  <c r="BI1110" i="8"/>
  <c r="BH1110" i="8"/>
  <c r="CJ1109" i="8"/>
  <c r="CI1109" i="8"/>
  <c r="CH1109" i="8"/>
  <c r="CG1109" i="8"/>
  <c r="CF1109" i="8"/>
  <c r="CE1109" i="8"/>
  <c r="CD1109" i="8"/>
  <c r="CC1109" i="8"/>
  <c r="CB1109" i="8"/>
  <c r="CA1109" i="8"/>
  <c r="BZ1109" i="8"/>
  <c r="BY1109" i="8"/>
  <c r="BX1109" i="8"/>
  <c r="BW1109" i="8"/>
  <c r="BV1109" i="8"/>
  <c r="BU1109" i="8"/>
  <c r="BT1109" i="8"/>
  <c r="BS1109" i="8"/>
  <c r="BR1109" i="8"/>
  <c r="BQ1109" i="8"/>
  <c r="BP1109" i="8"/>
  <c r="BO1109" i="8"/>
  <c r="BN1109" i="8"/>
  <c r="BM1109" i="8"/>
  <c r="BL1109" i="8"/>
  <c r="BK1109" i="8"/>
  <c r="BJ1109" i="8"/>
  <c r="BI1109" i="8"/>
  <c r="BH1109" i="8"/>
  <c r="CJ1108" i="8"/>
  <c r="CI1108" i="8"/>
  <c r="CH1108" i="8"/>
  <c r="CG1108" i="8"/>
  <c r="CF1108" i="8"/>
  <c r="CE1108" i="8"/>
  <c r="CD1108" i="8"/>
  <c r="CC1108" i="8"/>
  <c r="CB1108" i="8"/>
  <c r="CA1108" i="8"/>
  <c r="BZ1108" i="8"/>
  <c r="BY1108" i="8"/>
  <c r="BX1108" i="8"/>
  <c r="BW1108" i="8"/>
  <c r="BV1108" i="8"/>
  <c r="BU1108" i="8"/>
  <c r="BT1108" i="8"/>
  <c r="BS1108" i="8"/>
  <c r="BR1108" i="8"/>
  <c r="BQ1108" i="8"/>
  <c r="BP1108" i="8"/>
  <c r="BO1108" i="8"/>
  <c r="BN1108" i="8"/>
  <c r="BM1108" i="8"/>
  <c r="BL1108" i="8"/>
  <c r="BK1108" i="8"/>
  <c r="BJ1108" i="8"/>
  <c r="BI1108" i="8"/>
  <c r="BH1108" i="8"/>
  <c r="CJ1107" i="8"/>
  <c r="CI1107" i="8"/>
  <c r="CH1107" i="8"/>
  <c r="CG1107" i="8"/>
  <c r="CF1107" i="8"/>
  <c r="CE1107" i="8"/>
  <c r="CD1107" i="8"/>
  <c r="CC1107" i="8"/>
  <c r="CB1107" i="8"/>
  <c r="CA1107" i="8"/>
  <c r="BZ1107" i="8"/>
  <c r="BY1107" i="8"/>
  <c r="BX1107" i="8"/>
  <c r="BW1107" i="8"/>
  <c r="BV1107" i="8"/>
  <c r="BU1107" i="8"/>
  <c r="BT1107" i="8"/>
  <c r="BS1107" i="8"/>
  <c r="BR1107" i="8"/>
  <c r="BQ1107" i="8"/>
  <c r="BP1107" i="8"/>
  <c r="BO1107" i="8"/>
  <c r="BN1107" i="8"/>
  <c r="BM1107" i="8"/>
  <c r="BL1107" i="8"/>
  <c r="BK1107" i="8"/>
  <c r="BJ1107" i="8"/>
  <c r="BI1107" i="8"/>
  <c r="BH1107" i="8"/>
  <c r="CJ1106" i="8"/>
  <c r="CI1106" i="8"/>
  <c r="CH1106" i="8"/>
  <c r="CG1106" i="8"/>
  <c r="CF1106" i="8"/>
  <c r="CE1106" i="8"/>
  <c r="CD1106" i="8"/>
  <c r="CC1106" i="8"/>
  <c r="CB1106" i="8"/>
  <c r="CA1106" i="8"/>
  <c r="BZ1106" i="8"/>
  <c r="BY1106" i="8"/>
  <c r="BX1106" i="8"/>
  <c r="BW1106" i="8"/>
  <c r="BV1106" i="8"/>
  <c r="BU1106" i="8"/>
  <c r="BT1106" i="8"/>
  <c r="BS1106" i="8"/>
  <c r="BR1106" i="8"/>
  <c r="BQ1106" i="8"/>
  <c r="BP1106" i="8"/>
  <c r="BO1106" i="8"/>
  <c r="BN1106" i="8"/>
  <c r="BM1106" i="8"/>
  <c r="BL1106" i="8"/>
  <c r="BK1106" i="8"/>
  <c r="BJ1106" i="8"/>
  <c r="BI1106" i="8"/>
  <c r="BH1106" i="8"/>
  <c r="CJ1105" i="8"/>
  <c r="CI1105" i="8"/>
  <c r="CH1105" i="8"/>
  <c r="CG1105" i="8"/>
  <c r="CF1105" i="8"/>
  <c r="CE1105" i="8"/>
  <c r="CD1105" i="8"/>
  <c r="CC1105" i="8"/>
  <c r="CB1105" i="8"/>
  <c r="CA1105" i="8"/>
  <c r="BZ1105" i="8"/>
  <c r="BY1105" i="8"/>
  <c r="BX1105" i="8"/>
  <c r="BW1105" i="8"/>
  <c r="BV1105" i="8"/>
  <c r="BU1105" i="8"/>
  <c r="BT1105" i="8"/>
  <c r="BS1105" i="8"/>
  <c r="BR1105" i="8"/>
  <c r="BQ1105" i="8"/>
  <c r="BP1105" i="8"/>
  <c r="BO1105" i="8"/>
  <c r="BN1105" i="8"/>
  <c r="BM1105" i="8"/>
  <c r="BL1105" i="8"/>
  <c r="BK1105" i="8"/>
  <c r="BJ1105" i="8"/>
  <c r="BI1105" i="8"/>
  <c r="BH1105" i="8"/>
  <c r="CJ1104" i="8"/>
  <c r="CI1104" i="8"/>
  <c r="CH1104" i="8"/>
  <c r="CG1104" i="8"/>
  <c r="CF1104" i="8"/>
  <c r="CE1104" i="8"/>
  <c r="CD1104" i="8"/>
  <c r="CC1104" i="8"/>
  <c r="CB1104" i="8"/>
  <c r="CA1104" i="8"/>
  <c r="BZ1104" i="8"/>
  <c r="BY1104" i="8"/>
  <c r="BX1104" i="8"/>
  <c r="BW1104" i="8"/>
  <c r="BV1104" i="8"/>
  <c r="BU1104" i="8"/>
  <c r="BT1104" i="8"/>
  <c r="BS1104" i="8"/>
  <c r="BR1104" i="8"/>
  <c r="BQ1104" i="8"/>
  <c r="BP1104" i="8"/>
  <c r="BO1104" i="8"/>
  <c r="BN1104" i="8"/>
  <c r="BM1104" i="8"/>
  <c r="BL1104" i="8"/>
  <c r="BK1104" i="8"/>
  <c r="BJ1104" i="8"/>
  <c r="BI1104" i="8"/>
  <c r="BH1104" i="8"/>
  <c r="CJ1103" i="8"/>
  <c r="CI1103" i="8"/>
  <c r="CH1103" i="8"/>
  <c r="CG1103" i="8"/>
  <c r="CF1103" i="8"/>
  <c r="CE1103" i="8"/>
  <c r="CD1103" i="8"/>
  <c r="CC1103" i="8"/>
  <c r="CB1103" i="8"/>
  <c r="CA1103" i="8"/>
  <c r="BZ1103" i="8"/>
  <c r="BY1103" i="8"/>
  <c r="BX1103" i="8"/>
  <c r="BW1103" i="8"/>
  <c r="BV1103" i="8"/>
  <c r="BU1103" i="8"/>
  <c r="BT1103" i="8"/>
  <c r="BS1103" i="8"/>
  <c r="BR1103" i="8"/>
  <c r="BQ1103" i="8"/>
  <c r="BP1103" i="8"/>
  <c r="BO1103" i="8"/>
  <c r="BN1103" i="8"/>
  <c r="BM1103" i="8"/>
  <c r="BL1103" i="8"/>
  <c r="BK1103" i="8"/>
  <c r="BJ1103" i="8"/>
  <c r="BI1103" i="8"/>
  <c r="BH1103" i="8"/>
  <c r="CJ1102" i="8"/>
  <c r="CI1102" i="8"/>
  <c r="CH1102" i="8"/>
  <c r="CG1102" i="8"/>
  <c r="CF1102" i="8"/>
  <c r="CE1102" i="8"/>
  <c r="CD1102" i="8"/>
  <c r="CC1102" i="8"/>
  <c r="CB1102" i="8"/>
  <c r="CA1102" i="8"/>
  <c r="BZ1102" i="8"/>
  <c r="BY1102" i="8"/>
  <c r="BX1102" i="8"/>
  <c r="BW1102" i="8"/>
  <c r="BV1102" i="8"/>
  <c r="BU1102" i="8"/>
  <c r="BT1102" i="8"/>
  <c r="BS1102" i="8"/>
  <c r="BR1102" i="8"/>
  <c r="BQ1102" i="8"/>
  <c r="BP1102" i="8"/>
  <c r="BO1102" i="8"/>
  <c r="BN1102" i="8"/>
  <c r="BM1102" i="8"/>
  <c r="BL1102" i="8"/>
  <c r="BK1102" i="8"/>
  <c r="BJ1102" i="8"/>
  <c r="BI1102" i="8"/>
  <c r="BH1102" i="8"/>
  <c r="CJ1101" i="8"/>
  <c r="CI1101" i="8"/>
  <c r="CH1101" i="8"/>
  <c r="CG1101" i="8"/>
  <c r="CF1101" i="8"/>
  <c r="CE1101" i="8"/>
  <c r="CD1101" i="8"/>
  <c r="CC1101" i="8"/>
  <c r="CB1101" i="8"/>
  <c r="CA1101" i="8"/>
  <c r="BZ1101" i="8"/>
  <c r="BY1101" i="8"/>
  <c r="BX1101" i="8"/>
  <c r="BW1101" i="8"/>
  <c r="BV1101" i="8"/>
  <c r="BU1101" i="8"/>
  <c r="BT1101" i="8"/>
  <c r="BS1101" i="8"/>
  <c r="BR1101" i="8"/>
  <c r="BQ1101" i="8"/>
  <c r="BP1101" i="8"/>
  <c r="BO1101" i="8"/>
  <c r="BN1101" i="8"/>
  <c r="BM1101" i="8"/>
  <c r="BL1101" i="8"/>
  <c r="BK1101" i="8"/>
  <c r="BJ1101" i="8"/>
  <c r="BI1101" i="8"/>
  <c r="BH1101" i="8"/>
  <c r="CJ1100" i="8"/>
  <c r="CI1100" i="8"/>
  <c r="CH1100" i="8"/>
  <c r="CG1100" i="8"/>
  <c r="CF1100" i="8"/>
  <c r="CE1100" i="8"/>
  <c r="CD1100" i="8"/>
  <c r="CC1100" i="8"/>
  <c r="CB1100" i="8"/>
  <c r="CA1100" i="8"/>
  <c r="BZ1100" i="8"/>
  <c r="BY1100" i="8"/>
  <c r="BX1100" i="8"/>
  <c r="BW1100" i="8"/>
  <c r="BV1100" i="8"/>
  <c r="BU1100" i="8"/>
  <c r="BT1100" i="8"/>
  <c r="BS1100" i="8"/>
  <c r="BR1100" i="8"/>
  <c r="BQ1100" i="8"/>
  <c r="BP1100" i="8"/>
  <c r="BO1100" i="8"/>
  <c r="BN1100" i="8"/>
  <c r="BM1100" i="8"/>
  <c r="BL1100" i="8"/>
  <c r="BK1100" i="8"/>
  <c r="BJ1100" i="8"/>
  <c r="BI1100" i="8"/>
  <c r="BH1100" i="8"/>
  <c r="CJ1099" i="8"/>
  <c r="CI1099" i="8"/>
  <c r="CH1099" i="8"/>
  <c r="CG1099" i="8"/>
  <c r="CF1099" i="8"/>
  <c r="CE1099" i="8"/>
  <c r="CD1099" i="8"/>
  <c r="CC1099" i="8"/>
  <c r="CB1099" i="8"/>
  <c r="CA1099" i="8"/>
  <c r="BZ1099" i="8"/>
  <c r="BY1099" i="8"/>
  <c r="BX1099" i="8"/>
  <c r="BW1099" i="8"/>
  <c r="BV1099" i="8"/>
  <c r="BU1099" i="8"/>
  <c r="BT1099" i="8"/>
  <c r="BS1099" i="8"/>
  <c r="BR1099" i="8"/>
  <c r="BQ1099" i="8"/>
  <c r="BP1099" i="8"/>
  <c r="BO1099" i="8"/>
  <c r="BN1099" i="8"/>
  <c r="BM1099" i="8"/>
  <c r="BL1099" i="8"/>
  <c r="BK1099" i="8"/>
  <c r="BJ1099" i="8"/>
  <c r="BI1099" i="8"/>
  <c r="BH1099" i="8"/>
  <c r="CJ1098" i="8"/>
  <c r="CI1098" i="8"/>
  <c r="CH1098" i="8"/>
  <c r="CG1098" i="8"/>
  <c r="CF1098" i="8"/>
  <c r="CE1098" i="8"/>
  <c r="CD1098" i="8"/>
  <c r="CC1098" i="8"/>
  <c r="CB1098" i="8"/>
  <c r="CA1098" i="8"/>
  <c r="BZ1098" i="8"/>
  <c r="BY1098" i="8"/>
  <c r="BX1098" i="8"/>
  <c r="BW1098" i="8"/>
  <c r="BV1098" i="8"/>
  <c r="BU1098" i="8"/>
  <c r="BT1098" i="8"/>
  <c r="BS1098" i="8"/>
  <c r="BR1098" i="8"/>
  <c r="BQ1098" i="8"/>
  <c r="BP1098" i="8"/>
  <c r="BO1098" i="8"/>
  <c r="BN1098" i="8"/>
  <c r="BM1098" i="8"/>
  <c r="BL1098" i="8"/>
  <c r="BK1098" i="8"/>
  <c r="BJ1098" i="8"/>
  <c r="BI1098" i="8"/>
  <c r="BH1098" i="8"/>
  <c r="CJ1097" i="8"/>
  <c r="CI1097" i="8"/>
  <c r="CH1097" i="8"/>
  <c r="CG1097" i="8"/>
  <c r="CF1097" i="8"/>
  <c r="CE1097" i="8"/>
  <c r="CD1097" i="8"/>
  <c r="CC1097" i="8"/>
  <c r="CB1097" i="8"/>
  <c r="CA1097" i="8"/>
  <c r="BZ1097" i="8"/>
  <c r="BY1097" i="8"/>
  <c r="BX1097" i="8"/>
  <c r="BW1097" i="8"/>
  <c r="BV1097" i="8"/>
  <c r="BU1097" i="8"/>
  <c r="BT1097" i="8"/>
  <c r="BS1097" i="8"/>
  <c r="BR1097" i="8"/>
  <c r="BQ1097" i="8"/>
  <c r="BP1097" i="8"/>
  <c r="BO1097" i="8"/>
  <c r="BN1097" i="8"/>
  <c r="BM1097" i="8"/>
  <c r="BL1097" i="8"/>
  <c r="BK1097" i="8"/>
  <c r="BJ1097" i="8"/>
  <c r="BI1097" i="8"/>
  <c r="BH1097" i="8"/>
  <c r="CJ1096" i="8"/>
  <c r="CI1096" i="8"/>
  <c r="CH1096" i="8"/>
  <c r="CG1096" i="8"/>
  <c r="CF1096" i="8"/>
  <c r="CE1096" i="8"/>
  <c r="CD1096" i="8"/>
  <c r="CC1096" i="8"/>
  <c r="CB1096" i="8"/>
  <c r="CA1096" i="8"/>
  <c r="BZ1096" i="8"/>
  <c r="BY1096" i="8"/>
  <c r="BX1096" i="8"/>
  <c r="BW1096" i="8"/>
  <c r="BV1096" i="8"/>
  <c r="BU1096" i="8"/>
  <c r="BT1096" i="8"/>
  <c r="BS1096" i="8"/>
  <c r="BR1096" i="8"/>
  <c r="BQ1096" i="8"/>
  <c r="BP1096" i="8"/>
  <c r="BO1096" i="8"/>
  <c r="BN1096" i="8"/>
  <c r="BM1096" i="8"/>
  <c r="BL1096" i="8"/>
  <c r="BK1096" i="8"/>
  <c r="BJ1096" i="8"/>
  <c r="BI1096" i="8"/>
  <c r="BH1096" i="8"/>
  <c r="CJ1095" i="8"/>
  <c r="CI1095" i="8"/>
  <c r="CH1095" i="8"/>
  <c r="CG1095" i="8"/>
  <c r="CF1095" i="8"/>
  <c r="CE1095" i="8"/>
  <c r="CD1095" i="8"/>
  <c r="CC1095" i="8"/>
  <c r="CB1095" i="8"/>
  <c r="CA1095" i="8"/>
  <c r="BZ1095" i="8"/>
  <c r="BY1095" i="8"/>
  <c r="BX1095" i="8"/>
  <c r="BW1095" i="8"/>
  <c r="BV1095" i="8"/>
  <c r="BU1095" i="8"/>
  <c r="BT1095" i="8"/>
  <c r="BS1095" i="8"/>
  <c r="BR1095" i="8"/>
  <c r="BQ1095" i="8"/>
  <c r="BP1095" i="8"/>
  <c r="BO1095" i="8"/>
  <c r="BN1095" i="8"/>
  <c r="BM1095" i="8"/>
  <c r="BL1095" i="8"/>
  <c r="BK1095" i="8"/>
  <c r="BJ1095" i="8"/>
  <c r="BI1095" i="8"/>
  <c r="BH1095" i="8"/>
  <c r="CJ1094" i="8"/>
  <c r="CI1094" i="8"/>
  <c r="CH1094" i="8"/>
  <c r="CG1094" i="8"/>
  <c r="CF1094" i="8"/>
  <c r="CE1094" i="8"/>
  <c r="CD1094" i="8"/>
  <c r="CC1094" i="8"/>
  <c r="CB1094" i="8"/>
  <c r="CA1094" i="8"/>
  <c r="BZ1094" i="8"/>
  <c r="BY1094" i="8"/>
  <c r="BX1094" i="8"/>
  <c r="BW1094" i="8"/>
  <c r="BV1094" i="8"/>
  <c r="BU1094" i="8"/>
  <c r="BT1094" i="8"/>
  <c r="BS1094" i="8"/>
  <c r="BR1094" i="8"/>
  <c r="BQ1094" i="8"/>
  <c r="BP1094" i="8"/>
  <c r="BO1094" i="8"/>
  <c r="BN1094" i="8"/>
  <c r="BM1094" i="8"/>
  <c r="BL1094" i="8"/>
  <c r="BK1094" i="8"/>
  <c r="BJ1094" i="8"/>
  <c r="BI1094" i="8"/>
  <c r="BH1094" i="8"/>
  <c r="CJ1093" i="8"/>
  <c r="CI1093" i="8"/>
  <c r="CH1093" i="8"/>
  <c r="CG1093" i="8"/>
  <c r="CF1093" i="8"/>
  <c r="CE1093" i="8"/>
  <c r="CD1093" i="8"/>
  <c r="CC1093" i="8"/>
  <c r="CB1093" i="8"/>
  <c r="CA1093" i="8"/>
  <c r="BZ1093" i="8"/>
  <c r="BY1093" i="8"/>
  <c r="BX1093" i="8"/>
  <c r="BW1093" i="8"/>
  <c r="BV1093" i="8"/>
  <c r="BU1093" i="8"/>
  <c r="BT1093" i="8"/>
  <c r="BS1093" i="8"/>
  <c r="BR1093" i="8"/>
  <c r="BQ1093" i="8"/>
  <c r="BP1093" i="8"/>
  <c r="BO1093" i="8"/>
  <c r="BN1093" i="8"/>
  <c r="BM1093" i="8"/>
  <c r="BL1093" i="8"/>
  <c r="BK1093" i="8"/>
  <c r="BJ1093" i="8"/>
  <c r="BI1093" i="8"/>
  <c r="BH1093" i="8"/>
  <c r="CJ1092" i="8"/>
  <c r="CI1092" i="8"/>
  <c r="CH1092" i="8"/>
  <c r="CG1092" i="8"/>
  <c r="CF1092" i="8"/>
  <c r="CE1092" i="8"/>
  <c r="CD1092" i="8"/>
  <c r="CC1092" i="8"/>
  <c r="CB1092" i="8"/>
  <c r="CA1092" i="8"/>
  <c r="BZ1092" i="8"/>
  <c r="BY1092" i="8"/>
  <c r="BX1092" i="8"/>
  <c r="BW1092" i="8"/>
  <c r="BV1092" i="8"/>
  <c r="BU1092" i="8"/>
  <c r="BT1092" i="8"/>
  <c r="BS1092" i="8"/>
  <c r="BR1092" i="8"/>
  <c r="BQ1092" i="8"/>
  <c r="BP1092" i="8"/>
  <c r="BO1092" i="8"/>
  <c r="BN1092" i="8"/>
  <c r="BM1092" i="8"/>
  <c r="BL1092" i="8"/>
  <c r="BK1092" i="8"/>
  <c r="BJ1092" i="8"/>
  <c r="BI1092" i="8"/>
  <c r="BH1092" i="8"/>
  <c r="CJ1091" i="8"/>
  <c r="CI1091" i="8"/>
  <c r="CH1091" i="8"/>
  <c r="CG1091" i="8"/>
  <c r="CF1091" i="8"/>
  <c r="CE1091" i="8"/>
  <c r="CD1091" i="8"/>
  <c r="CC1091" i="8"/>
  <c r="CB1091" i="8"/>
  <c r="CA1091" i="8"/>
  <c r="BZ1091" i="8"/>
  <c r="BY1091" i="8"/>
  <c r="BX1091" i="8"/>
  <c r="BW1091" i="8"/>
  <c r="BV1091" i="8"/>
  <c r="BU1091" i="8"/>
  <c r="BT1091" i="8"/>
  <c r="BS1091" i="8"/>
  <c r="BR1091" i="8"/>
  <c r="BQ1091" i="8"/>
  <c r="BP1091" i="8"/>
  <c r="BO1091" i="8"/>
  <c r="BN1091" i="8"/>
  <c r="BM1091" i="8"/>
  <c r="BL1091" i="8"/>
  <c r="BK1091" i="8"/>
  <c r="BJ1091" i="8"/>
  <c r="BI1091" i="8"/>
  <c r="BH1091" i="8"/>
  <c r="CJ1090" i="8"/>
  <c r="CI1090" i="8"/>
  <c r="CH1090" i="8"/>
  <c r="CG1090" i="8"/>
  <c r="CF1090" i="8"/>
  <c r="CE1090" i="8"/>
  <c r="CD1090" i="8"/>
  <c r="CC1090" i="8"/>
  <c r="CB1090" i="8"/>
  <c r="CA1090" i="8"/>
  <c r="BZ1090" i="8"/>
  <c r="BY1090" i="8"/>
  <c r="BX1090" i="8"/>
  <c r="BW1090" i="8"/>
  <c r="BV1090" i="8"/>
  <c r="BU1090" i="8"/>
  <c r="BT1090" i="8"/>
  <c r="BS1090" i="8"/>
  <c r="BR1090" i="8"/>
  <c r="BQ1090" i="8"/>
  <c r="BP1090" i="8"/>
  <c r="BO1090" i="8"/>
  <c r="BN1090" i="8"/>
  <c r="BM1090" i="8"/>
  <c r="BL1090" i="8"/>
  <c r="BK1090" i="8"/>
  <c r="BJ1090" i="8"/>
  <c r="BI1090" i="8"/>
  <c r="BH1090" i="8"/>
  <c r="CJ1089" i="8"/>
  <c r="CI1089" i="8"/>
  <c r="CH1089" i="8"/>
  <c r="CG1089" i="8"/>
  <c r="CF1089" i="8"/>
  <c r="CE1089" i="8"/>
  <c r="CD1089" i="8"/>
  <c r="CC1089" i="8"/>
  <c r="CB1089" i="8"/>
  <c r="CA1089" i="8"/>
  <c r="BZ1089" i="8"/>
  <c r="BY1089" i="8"/>
  <c r="BX1089" i="8"/>
  <c r="BW1089" i="8"/>
  <c r="BV1089" i="8"/>
  <c r="BU1089" i="8"/>
  <c r="BT1089" i="8"/>
  <c r="BS1089" i="8"/>
  <c r="BR1089" i="8"/>
  <c r="BQ1089" i="8"/>
  <c r="BP1089" i="8"/>
  <c r="BO1089" i="8"/>
  <c r="BN1089" i="8"/>
  <c r="BM1089" i="8"/>
  <c r="BL1089" i="8"/>
  <c r="BK1089" i="8"/>
  <c r="BJ1089" i="8"/>
  <c r="BI1089" i="8"/>
  <c r="BH1089" i="8"/>
  <c r="CJ1088" i="8"/>
  <c r="CI1088" i="8"/>
  <c r="CH1088" i="8"/>
  <c r="CG1088" i="8"/>
  <c r="CF1088" i="8"/>
  <c r="CE1088" i="8"/>
  <c r="CD1088" i="8"/>
  <c r="CC1088" i="8"/>
  <c r="CB1088" i="8"/>
  <c r="CA1088" i="8"/>
  <c r="BZ1088" i="8"/>
  <c r="BY1088" i="8"/>
  <c r="BX1088" i="8"/>
  <c r="BW1088" i="8"/>
  <c r="BV1088" i="8"/>
  <c r="BU1088" i="8"/>
  <c r="BT1088" i="8"/>
  <c r="BS1088" i="8"/>
  <c r="BR1088" i="8"/>
  <c r="BQ1088" i="8"/>
  <c r="BP1088" i="8"/>
  <c r="BO1088" i="8"/>
  <c r="BN1088" i="8"/>
  <c r="BM1088" i="8"/>
  <c r="BL1088" i="8"/>
  <c r="BK1088" i="8"/>
  <c r="BJ1088" i="8"/>
  <c r="BI1088" i="8"/>
  <c r="BH1088" i="8"/>
  <c r="CJ1087" i="8"/>
  <c r="CI1087" i="8"/>
  <c r="CH1087" i="8"/>
  <c r="CG1087" i="8"/>
  <c r="CF1087" i="8"/>
  <c r="CE1087" i="8"/>
  <c r="CD1087" i="8"/>
  <c r="CC1087" i="8"/>
  <c r="CB1087" i="8"/>
  <c r="CA1087" i="8"/>
  <c r="BZ1087" i="8"/>
  <c r="BY1087" i="8"/>
  <c r="BX1087" i="8"/>
  <c r="BW1087" i="8"/>
  <c r="BV1087" i="8"/>
  <c r="BU1087" i="8"/>
  <c r="BT1087" i="8"/>
  <c r="BS1087" i="8"/>
  <c r="BR1087" i="8"/>
  <c r="BQ1087" i="8"/>
  <c r="BP1087" i="8"/>
  <c r="BO1087" i="8"/>
  <c r="BN1087" i="8"/>
  <c r="BM1087" i="8"/>
  <c r="BL1087" i="8"/>
  <c r="BK1087" i="8"/>
  <c r="BJ1087" i="8"/>
  <c r="BI1087" i="8"/>
  <c r="BH1087" i="8"/>
  <c r="CJ1086" i="8"/>
  <c r="CI1086" i="8"/>
  <c r="CH1086" i="8"/>
  <c r="CG1086" i="8"/>
  <c r="CF1086" i="8"/>
  <c r="CE1086" i="8"/>
  <c r="CD1086" i="8"/>
  <c r="CC1086" i="8"/>
  <c r="CB1086" i="8"/>
  <c r="CA1086" i="8"/>
  <c r="BZ1086" i="8"/>
  <c r="BY1086" i="8"/>
  <c r="BX1086" i="8"/>
  <c r="BW1086" i="8"/>
  <c r="BV1086" i="8"/>
  <c r="BU1086" i="8"/>
  <c r="BT1086" i="8"/>
  <c r="BS1086" i="8"/>
  <c r="BR1086" i="8"/>
  <c r="BQ1086" i="8"/>
  <c r="BP1086" i="8"/>
  <c r="BO1086" i="8"/>
  <c r="BN1086" i="8"/>
  <c r="BM1086" i="8"/>
  <c r="BL1086" i="8"/>
  <c r="BK1086" i="8"/>
  <c r="BJ1086" i="8"/>
  <c r="BI1086" i="8"/>
  <c r="BH1086" i="8"/>
  <c r="CJ1085" i="8"/>
  <c r="CI1085" i="8"/>
  <c r="CH1085" i="8"/>
  <c r="CG1085" i="8"/>
  <c r="CF1085" i="8"/>
  <c r="CE1085" i="8"/>
  <c r="CD1085" i="8"/>
  <c r="CC1085" i="8"/>
  <c r="CB1085" i="8"/>
  <c r="CA1085" i="8"/>
  <c r="BZ1085" i="8"/>
  <c r="BY1085" i="8"/>
  <c r="BX1085" i="8"/>
  <c r="BW1085" i="8"/>
  <c r="BV1085" i="8"/>
  <c r="BU1085" i="8"/>
  <c r="BT1085" i="8"/>
  <c r="BS1085" i="8"/>
  <c r="BR1085" i="8"/>
  <c r="BQ1085" i="8"/>
  <c r="BP1085" i="8"/>
  <c r="BO1085" i="8"/>
  <c r="BN1085" i="8"/>
  <c r="BM1085" i="8"/>
  <c r="BL1085" i="8"/>
  <c r="BK1085" i="8"/>
  <c r="BJ1085" i="8"/>
  <c r="BI1085" i="8"/>
  <c r="BH1085" i="8"/>
  <c r="CJ1084" i="8"/>
  <c r="CI1084" i="8"/>
  <c r="CH1084" i="8"/>
  <c r="CG1084" i="8"/>
  <c r="CF1084" i="8"/>
  <c r="CE1084" i="8"/>
  <c r="CD1084" i="8"/>
  <c r="CC1084" i="8"/>
  <c r="CB1084" i="8"/>
  <c r="CA1084" i="8"/>
  <c r="BZ1084" i="8"/>
  <c r="BY1084" i="8"/>
  <c r="BX1084" i="8"/>
  <c r="BW1084" i="8"/>
  <c r="BV1084" i="8"/>
  <c r="BU1084" i="8"/>
  <c r="BT1084" i="8"/>
  <c r="BS1084" i="8"/>
  <c r="BR1084" i="8"/>
  <c r="BQ1084" i="8"/>
  <c r="BP1084" i="8"/>
  <c r="BO1084" i="8"/>
  <c r="BN1084" i="8"/>
  <c r="BM1084" i="8"/>
  <c r="BL1084" i="8"/>
  <c r="BK1084" i="8"/>
  <c r="BJ1084" i="8"/>
  <c r="BI1084" i="8"/>
  <c r="BH1084" i="8"/>
  <c r="CJ1083" i="8"/>
  <c r="CI1083" i="8"/>
  <c r="CH1083" i="8"/>
  <c r="CG1083" i="8"/>
  <c r="CF1083" i="8"/>
  <c r="CE1083" i="8"/>
  <c r="CD1083" i="8"/>
  <c r="CC1083" i="8"/>
  <c r="CB1083" i="8"/>
  <c r="CA1083" i="8"/>
  <c r="BZ1083" i="8"/>
  <c r="BY1083" i="8"/>
  <c r="BX1083" i="8"/>
  <c r="BW1083" i="8"/>
  <c r="BV1083" i="8"/>
  <c r="BU1083" i="8"/>
  <c r="BT1083" i="8"/>
  <c r="BS1083" i="8"/>
  <c r="BR1083" i="8"/>
  <c r="BQ1083" i="8"/>
  <c r="BP1083" i="8"/>
  <c r="BO1083" i="8"/>
  <c r="BN1083" i="8"/>
  <c r="BM1083" i="8"/>
  <c r="BL1083" i="8"/>
  <c r="BK1083" i="8"/>
  <c r="BJ1083" i="8"/>
  <c r="BI1083" i="8"/>
  <c r="BH1083" i="8"/>
  <c r="CJ1082" i="8"/>
  <c r="CI1082" i="8"/>
  <c r="CH1082" i="8"/>
  <c r="CG1082" i="8"/>
  <c r="CF1082" i="8"/>
  <c r="CE1082" i="8"/>
  <c r="CD1082" i="8"/>
  <c r="CC1082" i="8"/>
  <c r="CB1082" i="8"/>
  <c r="CA1082" i="8"/>
  <c r="BZ1082" i="8"/>
  <c r="BY1082" i="8"/>
  <c r="BX1082" i="8"/>
  <c r="BW1082" i="8"/>
  <c r="BV1082" i="8"/>
  <c r="BU1082" i="8"/>
  <c r="BT1082" i="8"/>
  <c r="BS1082" i="8"/>
  <c r="BR1082" i="8"/>
  <c r="BQ1082" i="8"/>
  <c r="BP1082" i="8"/>
  <c r="BO1082" i="8"/>
  <c r="BN1082" i="8"/>
  <c r="BM1082" i="8"/>
  <c r="BL1082" i="8"/>
  <c r="BK1082" i="8"/>
  <c r="BJ1082" i="8"/>
  <c r="BI1082" i="8"/>
  <c r="BH1082" i="8"/>
  <c r="CJ1081" i="8"/>
  <c r="CI1081" i="8"/>
  <c r="CH1081" i="8"/>
  <c r="CG1081" i="8"/>
  <c r="CF1081" i="8"/>
  <c r="CE1081" i="8"/>
  <c r="CD1081" i="8"/>
  <c r="CC1081" i="8"/>
  <c r="CB1081" i="8"/>
  <c r="CA1081" i="8"/>
  <c r="BZ1081" i="8"/>
  <c r="BY1081" i="8"/>
  <c r="BX1081" i="8"/>
  <c r="BW1081" i="8"/>
  <c r="BV1081" i="8"/>
  <c r="BU1081" i="8"/>
  <c r="BT1081" i="8"/>
  <c r="BS1081" i="8"/>
  <c r="BR1081" i="8"/>
  <c r="BQ1081" i="8"/>
  <c r="BP1081" i="8"/>
  <c r="BO1081" i="8"/>
  <c r="BN1081" i="8"/>
  <c r="BM1081" i="8"/>
  <c r="BL1081" i="8"/>
  <c r="BK1081" i="8"/>
  <c r="BJ1081" i="8"/>
  <c r="BI1081" i="8"/>
  <c r="BH1081" i="8"/>
  <c r="CJ1080" i="8"/>
  <c r="CI1080" i="8"/>
  <c r="CH1080" i="8"/>
  <c r="CG1080" i="8"/>
  <c r="CF1080" i="8"/>
  <c r="CE1080" i="8"/>
  <c r="CD1080" i="8"/>
  <c r="CC1080" i="8"/>
  <c r="CB1080" i="8"/>
  <c r="CA1080" i="8"/>
  <c r="BZ1080" i="8"/>
  <c r="BY1080" i="8"/>
  <c r="BX1080" i="8"/>
  <c r="BW1080" i="8"/>
  <c r="BV1080" i="8"/>
  <c r="BU1080" i="8"/>
  <c r="BT1080" i="8"/>
  <c r="BS1080" i="8"/>
  <c r="BR1080" i="8"/>
  <c r="BQ1080" i="8"/>
  <c r="BP1080" i="8"/>
  <c r="BO1080" i="8"/>
  <c r="BN1080" i="8"/>
  <c r="BM1080" i="8"/>
  <c r="BL1080" i="8"/>
  <c r="BK1080" i="8"/>
  <c r="BJ1080" i="8"/>
  <c r="BI1080" i="8"/>
  <c r="BH1080" i="8"/>
  <c r="CJ1079" i="8"/>
  <c r="CI1079" i="8"/>
  <c r="CH1079" i="8"/>
  <c r="CG1079" i="8"/>
  <c r="CF1079" i="8"/>
  <c r="CE1079" i="8"/>
  <c r="CD1079" i="8"/>
  <c r="CC1079" i="8"/>
  <c r="CB1079" i="8"/>
  <c r="CA1079" i="8"/>
  <c r="BZ1079" i="8"/>
  <c r="BY1079" i="8"/>
  <c r="BX1079" i="8"/>
  <c r="BW1079" i="8"/>
  <c r="BV1079" i="8"/>
  <c r="BU1079" i="8"/>
  <c r="BT1079" i="8"/>
  <c r="BS1079" i="8"/>
  <c r="BR1079" i="8"/>
  <c r="BQ1079" i="8"/>
  <c r="BP1079" i="8"/>
  <c r="BO1079" i="8"/>
  <c r="BN1079" i="8"/>
  <c r="BM1079" i="8"/>
  <c r="BL1079" i="8"/>
  <c r="BK1079" i="8"/>
  <c r="BJ1079" i="8"/>
  <c r="BI1079" i="8"/>
  <c r="BH1079" i="8"/>
  <c r="CJ1078" i="8"/>
  <c r="CI1078" i="8"/>
  <c r="CH1078" i="8"/>
  <c r="CG1078" i="8"/>
  <c r="CF1078" i="8"/>
  <c r="CE1078" i="8"/>
  <c r="CD1078" i="8"/>
  <c r="CC1078" i="8"/>
  <c r="CB1078" i="8"/>
  <c r="CA1078" i="8"/>
  <c r="BZ1078" i="8"/>
  <c r="BY1078" i="8"/>
  <c r="BX1078" i="8"/>
  <c r="BW1078" i="8"/>
  <c r="BV1078" i="8"/>
  <c r="BU1078" i="8"/>
  <c r="BT1078" i="8"/>
  <c r="BS1078" i="8"/>
  <c r="BR1078" i="8"/>
  <c r="BQ1078" i="8"/>
  <c r="BP1078" i="8"/>
  <c r="BO1078" i="8"/>
  <c r="BN1078" i="8"/>
  <c r="BM1078" i="8"/>
  <c r="BL1078" i="8"/>
  <c r="BK1078" i="8"/>
  <c r="BJ1078" i="8"/>
  <c r="BI1078" i="8"/>
  <c r="BH1078" i="8"/>
  <c r="CJ1077" i="8"/>
  <c r="CI1077" i="8"/>
  <c r="CH1077" i="8"/>
  <c r="CG1077" i="8"/>
  <c r="CF1077" i="8"/>
  <c r="CE1077" i="8"/>
  <c r="CD1077" i="8"/>
  <c r="CC1077" i="8"/>
  <c r="CB1077" i="8"/>
  <c r="CA1077" i="8"/>
  <c r="BZ1077" i="8"/>
  <c r="BY1077" i="8"/>
  <c r="BX1077" i="8"/>
  <c r="BW1077" i="8"/>
  <c r="BV1077" i="8"/>
  <c r="BU1077" i="8"/>
  <c r="BT1077" i="8"/>
  <c r="BS1077" i="8"/>
  <c r="BR1077" i="8"/>
  <c r="BQ1077" i="8"/>
  <c r="BP1077" i="8"/>
  <c r="BO1077" i="8"/>
  <c r="BN1077" i="8"/>
  <c r="BM1077" i="8"/>
  <c r="BL1077" i="8"/>
  <c r="BK1077" i="8"/>
  <c r="BJ1077" i="8"/>
  <c r="BI1077" i="8"/>
  <c r="BH1077" i="8"/>
  <c r="CJ1076" i="8"/>
  <c r="CI1076" i="8"/>
  <c r="CH1076" i="8"/>
  <c r="CG1076" i="8"/>
  <c r="CF1076" i="8"/>
  <c r="CE1076" i="8"/>
  <c r="CD1076" i="8"/>
  <c r="CC1076" i="8"/>
  <c r="CB1076" i="8"/>
  <c r="CA1076" i="8"/>
  <c r="BZ1076" i="8"/>
  <c r="BY1076" i="8"/>
  <c r="BX1076" i="8"/>
  <c r="BW1076" i="8"/>
  <c r="BV1076" i="8"/>
  <c r="BU1076" i="8"/>
  <c r="BT1076" i="8"/>
  <c r="BS1076" i="8"/>
  <c r="BR1076" i="8"/>
  <c r="BQ1076" i="8"/>
  <c r="BP1076" i="8"/>
  <c r="BO1076" i="8"/>
  <c r="BN1076" i="8"/>
  <c r="BM1076" i="8"/>
  <c r="BL1076" i="8"/>
  <c r="BK1076" i="8"/>
  <c r="BJ1076" i="8"/>
  <c r="BI1076" i="8"/>
  <c r="BH1076" i="8"/>
  <c r="CJ1075" i="8"/>
  <c r="CI1075" i="8"/>
  <c r="CH1075" i="8"/>
  <c r="CG1075" i="8"/>
  <c r="CF1075" i="8"/>
  <c r="CE1075" i="8"/>
  <c r="CD1075" i="8"/>
  <c r="CC1075" i="8"/>
  <c r="CB1075" i="8"/>
  <c r="CA1075" i="8"/>
  <c r="BZ1075" i="8"/>
  <c r="BY1075" i="8"/>
  <c r="BX1075" i="8"/>
  <c r="BW1075" i="8"/>
  <c r="BV1075" i="8"/>
  <c r="BU1075" i="8"/>
  <c r="BT1075" i="8"/>
  <c r="BS1075" i="8"/>
  <c r="BR1075" i="8"/>
  <c r="BQ1075" i="8"/>
  <c r="BP1075" i="8"/>
  <c r="BO1075" i="8"/>
  <c r="BN1075" i="8"/>
  <c r="BM1075" i="8"/>
  <c r="BL1075" i="8"/>
  <c r="BK1075" i="8"/>
  <c r="BJ1075" i="8"/>
  <c r="BI1075" i="8"/>
  <c r="BH1075" i="8"/>
  <c r="CJ1074" i="8"/>
  <c r="CI1074" i="8"/>
  <c r="CH1074" i="8"/>
  <c r="CG1074" i="8"/>
  <c r="CF1074" i="8"/>
  <c r="CE1074" i="8"/>
  <c r="CD1074" i="8"/>
  <c r="CC1074" i="8"/>
  <c r="CB1074" i="8"/>
  <c r="CA1074" i="8"/>
  <c r="BZ1074" i="8"/>
  <c r="BY1074" i="8"/>
  <c r="BX1074" i="8"/>
  <c r="BW1074" i="8"/>
  <c r="BV1074" i="8"/>
  <c r="BU1074" i="8"/>
  <c r="BT1074" i="8"/>
  <c r="BS1074" i="8"/>
  <c r="BR1074" i="8"/>
  <c r="BQ1074" i="8"/>
  <c r="BP1074" i="8"/>
  <c r="BO1074" i="8"/>
  <c r="BN1074" i="8"/>
  <c r="BM1074" i="8"/>
  <c r="BL1074" i="8"/>
  <c r="BK1074" i="8"/>
  <c r="BJ1074" i="8"/>
  <c r="BI1074" i="8"/>
  <c r="BH1074" i="8"/>
  <c r="CJ1073" i="8"/>
  <c r="CI1073" i="8"/>
  <c r="CH1073" i="8"/>
  <c r="CG1073" i="8"/>
  <c r="CF1073" i="8"/>
  <c r="CE1073" i="8"/>
  <c r="CD1073" i="8"/>
  <c r="CC1073" i="8"/>
  <c r="CB1073" i="8"/>
  <c r="CA1073" i="8"/>
  <c r="BZ1073" i="8"/>
  <c r="BY1073" i="8"/>
  <c r="BX1073" i="8"/>
  <c r="BW1073" i="8"/>
  <c r="BV1073" i="8"/>
  <c r="BU1073" i="8"/>
  <c r="BT1073" i="8"/>
  <c r="BS1073" i="8"/>
  <c r="BR1073" i="8"/>
  <c r="BQ1073" i="8"/>
  <c r="BP1073" i="8"/>
  <c r="BO1073" i="8"/>
  <c r="BN1073" i="8"/>
  <c r="BM1073" i="8"/>
  <c r="BL1073" i="8"/>
  <c r="BK1073" i="8"/>
  <c r="BJ1073" i="8"/>
  <c r="BI1073" i="8"/>
  <c r="BH1073" i="8"/>
  <c r="CJ1072" i="8"/>
  <c r="CI1072" i="8"/>
  <c r="CH1072" i="8"/>
  <c r="CG1072" i="8"/>
  <c r="CF1072" i="8"/>
  <c r="CE1072" i="8"/>
  <c r="CD1072" i="8"/>
  <c r="CC1072" i="8"/>
  <c r="CB1072" i="8"/>
  <c r="CA1072" i="8"/>
  <c r="BZ1072" i="8"/>
  <c r="BY1072" i="8"/>
  <c r="BX1072" i="8"/>
  <c r="BW1072" i="8"/>
  <c r="BV1072" i="8"/>
  <c r="BU1072" i="8"/>
  <c r="BT1072" i="8"/>
  <c r="BS1072" i="8"/>
  <c r="BR1072" i="8"/>
  <c r="BQ1072" i="8"/>
  <c r="BP1072" i="8"/>
  <c r="BO1072" i="8"/>
  <c r="BN1072" i="8"/>
  <c r="BM1072" i="8"/>
  <c r="BL1072" i="8"/>
  <c r="BK1072" i="8"/>
  <c r="BJ1072" i="8"/>
  <c r="BI1072" i="8"/>
  <c r="BH1072" i="8"/>
  <c r="CJ1071" i="8"/>
  <c r="CI1071" i="8"/>
  <c r="CH1071" i="8"/>
  <c r="CG1071" i="8"/>
  <c r="CF1071" i="8"/>
  <c r="CE1071" i="8"/>
  <c r="CD1071" i="8"/>
  <c r="CC1071" i="8"/>
  <c r="CB1071" i="8"/>
  <c r="CA1071" i="8"/>
  <c r="BZ1071" i="8"/>
  <c r="BY1071" i="8"/>
  <c r="BX1071" i="8"/>
  <c r="BW1071" i="8"/>
  <c r="BV1071" i="8"/>
  <c r="BU1071" i="8"/>
  <c r="BT1071" i="8"/>
  <c r="BS1071" i="8"/>
  <c r="BR1071" i="8"/>
  <c r="BQ1071" i="8"/>
  <c r="BP1071" i="8"/>
  <c r="BO1071" i="8"/>
  <c r="BN1071" i="8"/>
  <c r="BM1071" i="8"/>
  <c r="BL1071" i="8"/>
  <c r="BK1071" i="8"/>
  <c r="BJ1071" i="8"/>
  <c r="BI1071" i="8"/>
  <c r="BH1071" i="8"/>
  <c r="CJ1070" i="8"/>
  <c r="CI1070" i="8"/>
  <c r="CH1070" i="8"/>
  <c r="CG1070" i="8"/>
  <c r="CF1070" i="8"/>
  <c r="CE1070" i="8"/>
  <c r="CD1070" i="8"/>
  <c r="CC1070" i="8"/>
  <c r="CB1070" i="8"/>
  <c r="CA1070" i="8"/>
  <c r="BZ1070" i="8"/>
  <c r="BY1070" i="8"/>
  <c r="BX1070" i="8"/>
  <c r="BW1070" i="8"/>
  <c r="BV1070" i="8"/>
  <c r="BU1070" i="8"/>
  <c r="BT1070" i="8"/>
  <c r="BS1070" i="8"/>
  <c r="BR1070" i="8"/>
  <c r="BQ1070" i="8"/>
  <c r="BP1070" i="8"/>
  <c r="BO1070" i="8"/>
  <c r="BN1070" i="8"/>
  <c r="BM1070" i="8"/>
  <c r="BL1070" i="8"/>
  <c r="BK1070" i="8"/>
  <c r="BJ1070" i="8"/>
  <c r="BI1070" i="8"/>
  <c r="BH1070" i="8"/>
  <c r="CJ1069" i="8"/>
  <c r="CI1069" i="8"/>
  <c r="CH1069" i="8"/>
  <c r="CG1069" i="8"/>
  <c r="CF1069" i="8"/>
  <c r="CE1069" i="8"/>
  <c r="CD1069" i="8"/>
  <c r="CC1069" i="8"/>
  <c r="CB1069" i="8"/>
  <c r="CA1069" i="8"/>
  <c r="BZ1069" i="8"/>
  <c r="BY1069" i="8"/>
  <c r="BX1069" i="8"/>
  <c r="BW1069" i="8"/>
  <c r="BV1069" i="8"/>
  <c r="BU1069" i="8"/>
  <c r="BT1069" i="8"/>
  <c r="BS1069" i="8"/>
  <c r="BR1069" i="8"/>
  <c r="BQ1069" i="8"/>
  <c r="BP1069" i="8"/>
  <c r="BO1069" i="8"/>
  <c r="BN1069" i="8"/>
  <c r="BM1069" i="8"/>
  <c r="BL1069" i="8"/>
  <c r="BK1069" i="8"/>
  <c r="BJ1069" i="8"/>
  <c r="BI1069" i="8"/>
  <c r="BH1069" i="8"/>
  <c r="CJ1068" i="8"/>
  <c r="CI1068" i="8"/>
  <c r="CH1068" i="8"/>
  <c r="CG1068" i="8"/>
  <c r="CF1068" i="8"/>
  <c r="CE1068" i="8"/>
  <c r="CD1068" i="8"/>
  <c r="CC1068" i="8"/>
  <c r="CB1068" i="8"/>
  <c r="CA1068" i="8"/>
  <c r="BZ1068" i="8"/>
  <c r="BY1068" i="8"/>
  <c r="BX1068" i="8"/>
  <c r="BW1068" i="8"/>
  <c r="BV1068" i="8"/>
  <c r="BU1068" i="8"/>
  <c r="BT1068" i="8"/>
  <c r="BS1068" i="8"/>
  <c r="BR1068" i="8"/>
  <c r="BQ1068" i="8"/>
  <c r="BP1068" i="8"/>
  <c r="BO1068" i="8"/>
  <c r="BN1068" i="8"/>
  <c r="BM1068" i="8"/>
  <c r="BL1068" i="8"/>
  <c r="BK1068" i="8"/>
  <c r="BJ1068" i="8"/>
  <c r="BI1068" i="8"/>
  <c r="BH1068" i="8"/>
  <c r="CJ1067" i="8"/>
  <c r="CI1067" i="8"/>
  <c r="CH1067" i="8"/>
  <c r="CG1067" i="8"/>
  <c r="CF1067" i="8"/>
  <c r="CE1067" i="8"/>
  <c r="CD1067" i="8"/>
  <c r="CC1067" i="8"/>
  <c r="CB1067" i="8"/>
  <c r="CA1067" i="8"/>
  <c r="BZ1067" i="8"/>
  <c r="BY1067" i="8"/>
  <c r="BX1067" i="8"/>
  <c r="BW1067" i="8"/>
  <c r="BV1067" i="8"/>
  <c r="BU1067" i="8"/>
  <c r="BT1067" i="8"/>
  <c r="BS1067" i="8"/>
  <c r="BR1067" i="8"/>
  <c r="BQ1067" i="8"/>
  <c r="BP1067" i="8"/>
  <c r="BO1067" i="8"/>
  <c r="BN1067" i="8"/>
  <c r="BM1067" i="8"/>
  <c r="BL1067" i="8"/>
  <c r="BK1067" i="8"/>
  <c r="BJ1067" i="8"/>
  <c r="BI1067" i="8"/>
  <c r="BH1067" i="8"/>
  <c r="CJ1066" i="8"/>
  <c r="CI1066" i="8"/>
  <c r="CH1066" i="8"/>
  <c r="CG1066" i="8"/>
  <c r="CF1066" i="8"/>
  <c r="CE1066" i="8"/>
  <c r="CD1066" i="8"/>
  <c r="CC1066" i="8"/>
  <c r="CB1066" i="8"/>
  <c r="CA1066" i="8"/>
  <c r="BZ1066" i="8"/>
  <c r="BY1066" i="8"/>
  <c r="BX1066" i="8"/>
  <c r="BW1066" i="8"/>
  <c r="BV1066" i="8"/>
  <c r="BU1066" i="8"/>
  <c r="BT1066" i="8"/>
  <c r="BS1066" i="8"/>
  <c r="BR1066" i="8"/>
  <c r="BQ1066" i="8"/>
  <c r="BP1066" i="8"/>
  <c r="BO1066" i="8"/>
  <c r="BN1066" i="8"/>
  <c r="BM1066" i="8"/>
  <c r="BL1066" i="8"/>
  <c r="BK1066" i="8"/>
  <c r="BJ1066" i="8"/>
  <c r="BI1066" i="8"/>
  <c r="BH1066" i="8"/>
  <c r="CJ1065" i="8"/>
  <c r="CI1065" i="8"/>
  <c r="CH1065" i="8"/>
  <c r="CG1065" i="8"/>
  <c r="CF1065" i="8"/>
  <c r="CE1065" i="8"/>
  <c r="CD1065" i="8"/>
  <c r="CC1065" i="8"/>
  <c r="CB1065" i="8"/>
  <c r="CA1065" i="8"/>
  <c r="BZ1065" i="8"/>
  <c r="BY1065" i="8"/>
  <c r="BX1065" i="8"/>
  <c r="BW1065" i="8"/>
  <c r="BV1065" i="8"/>
  <c r="BU1065" i="8"/>
  <c r="BT1065" i="8"/>
  <c r="BS1065" i="8"/>
  <c r="BR1065" i="8"/>
  <c r="BQ1065" i="8"/>
  <c r="BP1065" i="8"/>
  <c r="BO1065" i="8"/>
  <c r="BN1065" i="8"/>
  <c r="BM1065" i="8"/>
  <c r="BL1065" i="8"/>
  <c r="BK1065" i="8"/>
  <c r="BJ1065" i="8"/>
  <c r="BI1065" i="8"/>
  <c r="BH1065" i="8"/>
  <c r="CJ1064" i="8"/>
  <c r="CI1064" i="8"/>
  <c r="CH1064" i="8"/>
  <c r="CG1064" i="8"/>
  <c r="CF1064" i="8"/>
  <c r="CE1064" i="8"/>
  <c r="CD1064" i="8"/>
  <c r="CC1064" i="8"/>
  <c r="CB1064" i="8"/>
  <c r="CA1064" i="8"/>
  <c r="BZ1064" i="8"/>
  <c r="BY1064" i="8"/>
  <c r="BX1064" i="8"/>
  <c r="BW1064" i="8"/>
  <c r="BV1064" i="8"/>
  <c r="BU1064" i="8"/>
  <c r="BT1064" i="8"/>
  <c r="BS1064" i="8"/>
  <c r="BR1064" i="8"/>
  <c r="BQ1064" i="8"/>
  <c r="BP1064" i="8"/>
  <c r="BO1064" i="8"/>
  <c r="BN1064" i="8"/>
  <c r="BM1064" i="8"/>
  <c r="BL1064" i="8"/>
  <c r="BK1064" i="8"/>
  <c r="BJ1064" i="8"/>
  <c r="BI1064" i="8"/>
  <c r="BH1064" i="8"/>
  <c r="CJ1063" i="8"/>
  <c r="CI1063" i="8"/>
  <c r="CH1063" i="8"/>
  <c r="CG1063" i="8"/>
  <c r="CF1063" i="8"/>
  <c r="CE1063" i="8"/>
  <c r="CD1063" i="8"/>
  <c r="CC1063" i="8"/>
  <c r="CB1063" i="8"/>
  <c r="CA1063" i="8"/>
  <c r="BZ1063" i="8"/>
  <c r="BY1063" i="8"/>
  <c r="BX1063" i="8"/>
  <c r="BW1063" i="8"/>
  <c r="BV1063" i="8"/>
  <c r="BU1063" i="8"/>
  <c r="BT1063" i="8"/>
  <c r="BS1063" i="8"/>
  <c r="BR1063" i="8"/>
  <c r="BQ1063" i="8"/>
  <c r="BP1063" i="8"/>
  <c r="BO1063" i="8"/>
  <c r="BN1063" i="8"/>
  <c r="BM1063" i="8"/>
  <c r="BL1063" i="8"/>
  <c r="BK1063" i="8"/>
  <c r="BJ1063" i="8"/>
  <c r="BI1063" i="8"/>
  <c r="BH1063" i="8"/>
  <c r="CJ1062" i="8"/>
  <c r="CI1062" i="8"/>
  <c r="CH1062" i="8"/>
  <c r="CG1062" i="8"/>
  <c r="CF1062" i="8"/>
  <c r="CE1062" i="8"/>
  <c r="CD1062" i="8"/>
  <c r="CC1062" i="8"/>
  <c r="CB1062" i="8"/>
  <c r="CA1062" i="8"/>
  <c r="BZ1062" i="8"/>
  <c r="BY1062" i="8"/>
  <c r="BX1062" i="8"/>
  <c r="BW1062" i="8"/>
  <c r="BV1062" i="8"/>
  <c r="BU1062" i="8"/>
  <c r="BT1062" i="8"/>
  <c r="BS1062" i="8"/>
  <c r="BR1062" i="8"/>
  <c r="BQ1062" i="8"/>
  <c r="BP1062" i="8"/>
  <c r="BO1062" i="8"/>
  <c r="BN1062" i="8"/>
  <c r="BM1062" i="8"/>
  <c r="BL1062" i="8"/>
  <c r="BK1062" i="8"/>
  <c r="BJ1062" i="8"/>
  <c r="BI1062" i="8"/>
  <c r="BH1062" i="8"/>
  <c r="CJ1061" i="8"/>
  <c r="CI1061" i="8"/>
  <c r="CH1061" i="8"/>
  <c r="CG1061" i="8"/>
  <c r="CF1061" i="8"/>
  <c r="CE1061" i="8"/>
  <c r="CD1061" i="8"/>
  <c r="CC1061" i="8"/>
  <c r="CB1061" i="8"/>
  <c r="CA1061" i="8"/>
  <c r="BZ1061" i="8"/>
  <c r="BY1061" i="8"/>
  <c r="BX1061" i="8"/>
  <c r="BW1061" i="8"/>
  <c r="BV1061" i="8"/>
  <c r="BU1061" i="8"/>
  <c r="BT1061" i="8"/>
  <c r="BS1061" i="8"/>
  <c r="BR1061" i="8"/>
  <c r="BQ1061" i="8"/>
  <c r="BP1061" i="8"/>
  <c r="BO1061" i="8"/>
  <c r="BN1061" i="8"/>
  <c r="BM1061" i="8"/>
  <c r="BL1061" i="8"/>
  <c r="BK1061" i="8"/>
  <c r="BJ1061" i="8"/>
  <c r="BI1061" i="8"/>
  <c r="BH1061" i="8"/>
  <c r="CJ1060" i="8"/>
  <c r="CI1060" i="8"/>
  <c r="CH1060" i="8"/>
  <c r="CG1060" i="8"/>
  <c r="CF1060" i="8"/>
  <c r="CE1060" i="8"/>
  <c r="CD1060" i="8"/>
  <c r="CC1060" i="8"/>
  <c r="CB1060" i="8"/>
  <c r="CA1060" i="8"/>
  <c r="BZ1060" i="8"/>
  <c r="BY1060" i="8"/>
  <c r="BX1060" i="8"/>
  <c r="BW1060" i="8"/>
  <c r="BV1060" i="8"/>
  <c r="BU1060" i="8"/>
  <c r="BT1060" i="8"/>
  <c r="BS1060" i="8"/>
  <c r="BR1060" i="8"/>
  <c r="BQ1060" i="8"/>
  <c r="BP1060" i="8"/>
  <c r="BO1060" i="8"/>
  <c r="BN1060" i="8"/>
  <c r="BM1060" i="8"/>
  <c r="BL1060" i="8"/>
  <c r="BK1060" i="8"/>
  <c r="BJ1060" i="8"/>
  <c r="BI1060" i="8"/>
  <c r="BH1060" i="8"/>
  <c r="CJ1059" i="8"/>
  <c r="CI1059" i="8"/>
  <c r="CH1059" i="8"/>
  <c r="CG1059" i="8"/>
  <c r="CF1059" i="8"/>
  <c r="CE1059" i="8"/>
  <c r="CD1059" i="8"/>
  <c r="CC1059" i="8"/>
  <c r="CB1059" i="8"/>
  <c r="CA1059" i="8"/>
  <c r="BZ1059" i="8"/>
  <c r="BY1059" i="8"/>
  <c r="BX1059" i="8"/>
  <c r="BW1059" i="8"/>
  <c r="BV1059" i="8"/>
  <c r="BU1059" i="8"/>
  <c r="BT1059" i="8"/>
  <c r="BS1059" i="8"/>
  <c r="BR1059" i="8"/>
  <c r="BQ1059" i="8"/>
  <c r="BP1059" i="8"/>
  <c r="BO1059" i="8"/>
  <c r="BN1059" i="8"/>
  <c r="BM1059" i="8"/>
  <c r="BL1059" i="8"/>
  <c r="BK1059" i="8"/>
  <c r="BJ1059" i="8"/>
  <c r="BI1059" i="8"/>
  <c r="BH1059" i="8"/>
  <c r="CJ1058" i="8"/>
  <c r="CI1058" i="8"/>
  <c r="CH1058" i="8"/>
  <c r="CG1058" i="8"/>
  <c r="CF1058" i="8"/>
  <c r="CE1058" i="8"/>
  <c r="CD1058" i="8"/>
  <c r="CC1058" i="8"/>
  <c r="CB1058" i="8"/>
  <c r="CA1058" i="8"/>
  <c r="BZ1058" i="8"/>
  <c r="BY1058" i="8"/>
  <c r="BX1058" i="8"/>
  <c r="BW1058" i="8"/>
  <c r="BV1058" i="8"/>
  <c r="BU1058" i="8"/>
  <c r="BT1058" i="8"/>
  <c r="BS1058" i="8"/>
  <c r="BR1058" i="8"/>
  <c r="BQ1058" i="8"/>
  <c r="BP1058" i="8"/>
  <c r="BO1058" i="8"/>
  <c r="BN1058" i="8"/>
  <c r="BM1058" i="8"/>
  <c r="BL1058" i="8"/>
  <c r="BK1058" i="8"/>
  <c r="BJ1058" i="8"/>
  <c r="BI1058" i="8"/>
  <c r="BH1058" i="8"/>
  <c r="CJ1057" i="8"/>
  <c r="CI1057" i="8"/>
  <c r="CH1057" i="8"/>
  <c r="CG1057" i="8"/>
  <c r="CF1057" i="8"/>
  <c r="CE1057" i="8"/>
  <c r="CD1057" i="8"/>
  <c r="CC1057" i="8"/>
  <c r="CB1057" i="8"/>
  <c r="CA1057" i="8"/>
  <c r="BZ1057" i="8"/>
  <c r="BY1057" i="8"/>
  <c r="BX1057" i="8"/>
  <c r="BW1057" i="8"/>
  <c r="BV1057" i="8"/>
  <c r="BU1057" i="8"/>
  <c r="BT1057" i="8"/>
  <c r="BS1057" i="8"/>
  <c r="BR1057" i="8"/>
  <c r="BQ1057" i="8"/>
  <c r="BP1057" i="8"/>
  <c r="BO1057" i="8"/>
  <c r="BN1057" i="8"/>
  <c r="BM1057" i="8"/>
  <c r="BL1057" i="8"/>
  <c r="BK1057" i="8"/>
  <c r="BJ1057" i="8"/>
  <c r="BI1057" i="8"/>
  <c r="BH1057" i="8"/>
  <c r="CJ1056" i="8"/>
  <c r="CI1056" i="8"/>
  <c r="CH1056" i="8"/>
  <c r="CG1056" i="8"/>
  <c r="CF1056" i="8"/>
  <c r="CE1056" i="8"/>
  <c r="CD1056" i="8"/>
  <c r="CC1056" i="8"/>
  <c r="CB1056" i="8"/>
  <c r="CA1056" i="8"/>
  <c r="BZ1056" i="8"/>
  <c r="BY1056" i="8"/>
  <c r="BX1056" i="8"/>
  <c r="BW1056" i="8"/>
  <c r="BV1056" i="8"/>
  <c r="BU1056" i="8"/>
  <c r="BT1056" i="8"/>
  <c r="BS1056" i="8"/>
  <c r="BR1056" i="8"/>
  <c r="BQ1056" i="8"/>
  <c r="BP1056" i="8"/>
  <c r="BO1056" i="8"/>
  <c r="BN1056" i="8"/>
  <c r="BM1056" i="8"/>
  <c r="BL1056" i="8"/>
  <c r="BK1056" i="8"/>
  <c r="BJ1056" i="8"/>
  <c r="BI1056" i="8"/>
  <c r="BH1056" i="8"/>
  <c r="CJ1055" i="8"/>
  <c r="CI1055" i="8"/>
  <c r="CH1055" i="8"/>
  <c r="CG1055" i="8"/>
  <c r="CF1055" i="8"/>
  <c r="CE1055" i="8"/>
  <c r="CD1055" i="8"/>
  <c r="CC1055" i="8"/>
  <c r="CB1055" i="8"/>
  <c r="CA1055" i="8"/>
  <c r="BZ1055" i="8"/>
  <c r="BY1055" i="8"/>
  <c r="BX1055" i="8"/>
  <c r="BW1055" i="8"/>
  <c r="BV1055" i="8"/>
  <c r="BU1055" i="8"/>
  <c r="BT1055" i="8"/>
  <c r="BS1055" i="8"/>
  <c r="BR1055" i="8"/>
  <c r="BQ1055" i="8"/>
  <c r="BP1055" i="8"/>
  <c r="BO1055" i="8"/>
  <c r="BN1055" i="8"/>
  <c r="BM1055" i="8"/>
  <c r="BL1055" i="8"/>
  <c r="BK1055" i="8"/>
  <c r="BJ1055" i="8"/>
  <c r="BI1055" i="8"/>
  <c r="BH1055" i="8"/>
  <c r="CJ1054" i="8"/>
  <c r="CI1054" i="8"/>
  <c r="CH1054" i="8"/>
  <c r="CG1054" i="8"/>
  <c r="CF1054" i="8"/>
  <c r="CE1054" i="8"/>
  <c r="CD1054" i="8"/>
  <c r="CC1054" i="8"/>
  <c r="CB1054" i="8"/>
  <c r="CA1054" i="8"/>
  <c r="BZ1054" i="8"/>
  <c r="BY1054" i="8"/>
  <c r="BX1054" i="8"/>
  <c r="BW1054" i="8"/>
  <c r="BV1054" i="8"/>
  <c r="BU1054" i="8"/>
  <c r="BT1054" i="8"/>
  <c r="BS1054" i="8"/>
  <c r="BR1054" i="8"/>
  <c r="BQ1054" i="8"/>
  <c r="BP1054" i="8"/>
  <c r="BO1054" i="8"/>
  <c r="BN1054" i="8"/>
  <c r="BM1054" i="8"/>
  <c r="BL1054" i="8"/>
  <c r="BK1054" i="8"/>
  <c r="BJ1054" i="8"/>
  <c r="BI1054" i="8"/>
  <c r="BH1054" i="8"/>
  <c r="CJ1053" i="8"/>
  <c r="CI1053" i="8"/>
  <c r="CH1053" i="8"/>
  <c r="CG1053" i="8"/>
  <c r="CF1053" i="8"/>
  <c r="CE1053" i="8"/>
  <c r="CD1053" i="8"/>
  <c r="CC1053" i="8"/>
  <c r="CB1053" i="8"/>
  <c r="CA1053" i="8"/>
  <c r="BZ1053" i="8"/>
  <c r="BY1053" i="8"/>
  <c r="BX1053" i="8"/>
  <c r="BW1053" i="8"/>
  <c r="BV1053" i="8"/>
  <c r="BU1053" i="8"/>
  <c r="BT1053" i="8"/>
  <c r="BS1053" i="8"/>
  <c r="BR1053" i="8"/>
  <c r="BQ1053" i="8"/>
  <c r="BP1053" i="8"/>
  <c r="BO1053" i="8"/>
  <c r="BN1053" i="8"/>
  <c r="BM1053" i="8"/>
  <c r="BL1053" i="8"/>
  <c r="BK1053" i="8"/>
  <c r="BJ1053" i="8"/>
  <c r="BI1053" i="8"/>
  <c r="BH1053" i="8"/>
  <c r="CJ1052" i="8"/>
  <c r="CI1052" i="8"/>
  <c r="CH1052" i="8"/>
  <c r="CG1052" i="8"/>
  <c r="CF1052" i="8"/>
  <c r="CE1052" i="8"/>
  <c r="CD1052" i="8"/>
  <c r="CC1052" i="8"/>
  <c r="CB1052" i="8"/>
  <c r="CA1052" i="8"/>
  <c r="BZ1052" i="8"/>
  <c r="BY1052" i="8"/>
  <c r="BX1052" i="8"/>
  <c r="BW1052" i="8"/>
  <c r="BV1052" i="8"/>
  <c r="BU1052" i="8"/>
  <c r="BT1052" i="8"/>
  <c r="BS1052" i="8"/>
  <c r="BR1052" i="8"/>
  <c r="BQ1052" i="8"/>
  <c r="BP1052" i="8"/>
  <c r="BO1052" i="8"/>
  <c r="BN1052" i="8"/>
  <c r="BM1052" i="8"/>
  <c r="BL1052" i="8"/>
  <c r="BK1052" i="8"/>
  <c r="BJ1052" i="8"/>
  <c r="BI1052" i="8"/>
  <c r="BH1052" i="8"/>
  <c r="CJ1051" i="8"/>
  <c r="CI1051" i="8"/>
  <c r="CH1051" i="8"/>
  <c r="CG1051" i="8"/>
  <c r="CF1051" i="8"/>
  <c r="CE1051" i="8"/>
  <c r="CD1051" i="8"/>
  <c r="CC1051" i="8"/>
  <c r="CB1051" i="8"/>
  <c r="CA1051" i="8"/>
  <c r="BZ1051" i="8"/>
  <c r="BY1051" i="8"/>
  <c r="BX1051" i="8"/>
  <c r="BW1051" i="8"/>
  <c r="BV1051" i="8"/>
  <c r="BU1051" i="8"/>
  <c r="BT1051" i="8"/>
  <c r="BS1051" i="8"/>
  <c r="BR1051" i="8"/>
  <c r="BQ1051" i="8"/>
  <c r="BP1051" i="8"/>
  <c r="BO1051" i="8"/>
  <c r="BN1051" i="8"/>
  <c r="BM1051" i="8"/>
  <c r="BL1051" i="8"/>
  <c r="BK1051" i="8"/>
  <c r="BJ1051" i="8"/>
  <c r="BI1051" i="8"/>
  <c r="BH1051" i="8"/>
  <c r="CJ1050" i="8"/>
  <c r="CI1050" i="8"/>
  <c r="CH1050" i="8"/>
  <c r="CG1050" i="8"/>
  <c r="CF1050" i="8"/>
  <c r="CE1050" i="8"/>
  <c r="CD1050" i="8"/>
  <c r="CC1050" i="8"/>
  <c r="CB1050" i="8"/>
  <c r="CA1050" i="8"/>
  <c r="BZ1050" i="8"/>
  <c r="BY1050" i="8"/>
  <c r="BX1050" i="8"/>
  <c r="BW1050" i="8"/>
  <c r="BV1050" i="8"/>
  <c r="BU1050" i="8"/>
  <c r="BT1050" i="8"/>
  <c r="BS1050" i="8"/>
  <c r="BR1050" i="8"/>
  <c r="BQ1050" i="8"/>
  <c r="BP1050" i="8"/>
  <c r="BO1050" i="8"/>
  <c r="BN1050" i="8"/>
  <c r="BM1050" i="8"/>
  <c r="BL1050" i="8"/>
  <c r="BK1050" i="8"/>
  <c r="BJ1050" i="8"/>
  <c r="BI1050" i="8"/>
  <c r="BH1050" i="8"/>
  <c r="CJ1049" i="8"/>
  <c r="CI1049" i="8"/>
  <c r="CH1049" i="8"/>
  <c r="CG1049" i="8"/>
  <c r="CF1049" i="8"/>
  <c r="CE1049" i="8"/>
  <c r="CD1049" i="8"/>
  <c r="CC1049" i="8"/>
  <c r="CB1049" i="8"/>
  <c r="CA1049" i="8"/>
  <c r="BZ1049" i="8"/>
  <c r="BY1049" i="8"/>
  <c r="BX1049" i="8"/>
  <c r="BW1049" i="8"/>
  <c r="BV1049" i="8"/>
  <c r="BU1049" i="8"/>
  <c r="BT1049" i="8"/>
  <c r="BS1049" i="8"/>
  <c r="BR1049" i="8"/>
  <c r="BQ1049" i="8"/>
  <c r="BP1049" i="8"/>
  <c r="BO1049" i="8"/>
  <c r="BN1049" i="8"/>
  <c r="BM1049" i="8"/>
  <c r="BL1049" i="8"/>
  <c r="BK1049" i="8"/>
  <c r="BJ1049" i="8"/>
  <c r="BI1049" i="8"/>
  <c r="BH1049" i="8"/>
  <c r="CJ1048" i="8"/>
  <c r="CI1048" i="8"/>
  <c r="CH1048" i="8"/>
  <c r="CG1048" i="8"/>
  <c r="CF1048" i="8"/>
  <c r="CE1048" i="8"/>
  <c r="CD1048" i="8"/>
  <c r="CC1048" i="8"/>
  <c r="CB1048" i="8"/>
  <c r="CA1048" i="8"/>
  <c r="BZ1048" i="8"/>
  <c r="BY1048" i="8"/>
  <c r="BX1048" i="8"/>
  <c r="BW1048" i="8"/>
  <c r="BV1048" i="8"/>
  <c r="BU1048" i="8"/>
  <c r="BT1048" i="8"/>
  <c r="BS1048" i="8"/>
  <c r="BR1048" i="8"/>
  <c r="BQ1048" i="8"/>
  <c r="BP1048" i="8"/>
  <c r="BO1048" i="8"/>
  <c r="BN1048" i="8"/>
  <c r="BM1048" i="8"/>
  <c r="BL1048" i="8"/>
  <c r="BK1048" i="8"/>
  <c r="BJ1048" i="8"/>
  <c r="BI1048" i="8"/>
  <c r="BH1048" i="8"/>
  <c r="CJ1047" i="8"/>
  <c r="CI1047" i="8"/>
  <c r="CH1047" i="8"/>
  <c r="CG1047" i="8"/>
  <c r="CF1047" i="8"/>
  <c r="CE1047" i="8"/>
  <c r="CD1047" i="8"/>
  <c r="CC1047" i="8"/>
  <c r="CB1047" i="8"/>
  <c r="CA1047" i="8"/>
  <c r="BZ1047" i="8"/>
  <c r="BY1047" i="8"/>
  <c r="BX1047" i="8"/>
  <c r="BW1047" i="8"/>
  <c r="BV1047" i="8"/>
  <c r="BU1047" i="8"/>
  <c r="BT1047" i="8"/>
  <c r="BS1047" i="8"/>
  <c r="BR1047" i="8"/>
  <c r="BQ1047" i="8"/>
  <c r="BP1047" i="8"/>
  <c r="BO1047" i="8"/>
  <c r="BN1047" i="8"/>
  <c r="BM1047" i="8"/>
  <c r="BL1047" i="8"/>
  <c r="BK1047" i="8"/>
  <c r="BJ1047" i="8"/>
  <c r="BI1047" i="8"/>
  <c r="BH1047" i="8"/>
  <c r="CJ1046" i="8"/>
  <c r="CI1046" i="8"/>
  <c r="CH1046" i="8"/>
  <c r="CG1046" i="8"/>
  <c r="CF1046" i="8"/>
  <c r="CE1046" i="8"/>
  <c r="CD1046" i="8"/>
  <c r="CC1046" i="8"/>
  <c r="CB1046" i="8"/>
  <c r="CA1046" i="8"/>
  <c r="BZ1046" i="8"/>
  <c r="BY1046" i="8"/>
  <c r="BX1046" i="8"/>
  <c r="BW1046" i="8"/>
  <c r="BV1046" i="8"/>
  <c r="BU1046" i="8"/>
  <c r="BT1046" i="8"/>
  <c r="BS1046" i="8"/>
  <c r="BR1046" i="8"/>
  <c r="BQ1046" i="8"/>
  <c r="BP1046" i="8"/>
  <c r="BO1046" i="8"/>
  <c r="BN1046" i="8"/>
  <c r="BM1046" i="8"/>
  <c r="BL1046" i="8"/>
  <c r="BK1046" i="8"/>
  <c r="BJ1046" i="8"/>
  <c r="BI1046" i="8"/>
  <c r="BH1046" i="8"/>
  <c r="CJ1045" i="8"/>
  <c r="CI1045" i="8"/>
  <c r="CH1045" i="8"/>
  <c r="CG1045" i="8"/>
  <c r="CF1045" i="8"/>
  <c r="CE1045" i="8"/>
  <c r="CD1045" i="8"/>
  <c r="CC1045" i="8"/>
  <c r="CB1045" i="8"/>
  <c r="CA1045" i="8"/>
  <c r="BZ1045" i="8"/>
  <c r="BY1045" i="8"/>
  <c r="BX1045" i="8"/>
  <c r="BW1045" i="8"/>
  <c r="BV1045" i="8"/>
  <c r="BU1045" i="8"/>
  <c r="BT1045" i="8"/>
  <c r="BS1045" i="8"/>
  <c r="BR1045" i="8"/>
  <c r="BQ1045" i="8"/>
  <c r="BP1045" i="8"/>
  <c r="BO1045" i="8"/>
  <c r="BN1045" i="8"/>
  <c r="BM1045" i="8"/>
  <c r="BL1045" i="8"/>
  <c r="BK1045" i="8"/>
  <c r="BJ1045" i="8"/>
  <c r="BI1045" i="8"/>
  <c r="BH1045" i="8"/>
  <c r="CJ1044" i="8"/>
  <c r="CI1044" i="8"/>
  <c r="CH1044" i="8"/>
  <c r="CG1044" i="8"/>
  <c r="CF1044" i="8"/>
  <c r="CE1044" i="8"/>
  <c r="CD1044" i="8"/>
  <c r="CC1044" i="8"/>
  <c r="CB1044" i="8"/>
  <c r="CA1044" i="8"/>
  <c r="BZ1044" i="8"/>
  <c r="BY1044" i="8"/>
  <c r="BX1044" i="8"/>
  <c r="BW1044" i="8"/>
  <c r="BV1044" i="8"/>
  <c r="BU1044" i="8"/>
  <c r="BT1044" i="8"/>
  <c r="BS1044" i="8"/>
  <c r="BR1044" i="8"/>
  <c r="BQ1044" i="8"/>
  <c r="BP1044" i="8"/>
  <c r="BO1044" i="8"/>
  <c r="BN1044" i="8"/>
  <c r="BM1044" i="8"/>
  <c r="BL1044" i="8"/>
  <c r="BK1044" i="8"/>
  <c r="BJ1044" i="8"/>
  <c r="BI1044" i="8"/>
  <c r="BH1044" i="8"/>
  <c r="CJ1043" i="8"/>
  <c r="CI1043" i="8"/>
  <c r="CH1043" i="8"/>
  <c r="CG1043" i="8"/>
  <c r="CF1043" i="8"/>
  <c r="CE1043" i="8"/>
  <c r="CD1043" i="8"/>
  <c r="CC1043" i="8"/>
  <c r="CB1043" i="8"/>
  <c r="CA1043" i="8"/>
  <c r="BZ1043" i="8"/>
  <c r="BY1043" i="8"/>
  <c r="BX1043" i="8"/>
  <c r="BW1043" i="8"/>
  <c r="BV1043" i="8"/>
  <c r="BU1043" i="8"/>
  <c r="BT1043" i="8"/>
  <c r="BS1043" i="8"/>
  <c r="BR1043" i="8"/>
  <c r="BQ1043" i="8"/>
  <c r="BP1043" i="8"/>
  <c r="BO1043" i="8"/>
  <c r="BN1043" i="8"/>
  <c r="BM1043" i="8"/>
  <c r="BL1043" i="8"/>
  <c r="BK1043" i="8"/>
  <c r="BJ1043" i="8"/>
  <c r="BI1043" i="8"/>
  <c r="BH1043" i="8"/>
  <c r="CJ1042" i="8"/>
  <c r="CI1042" i="8"/>
  <c r="CH1042" i="8"/>
  <c r="CG1042" i="8"/>
  <c r="CF1042" i="8"/>
  <c r="CE1042" i="8"/>
  <c r="CD1042" i="8"/>
  <c r="CC1042" i="8"/>
  <c r="CB1042" i="8"/>
  <c r="CA1042" i="8"/>
  <c r="BZ1042" i="8"/>
  <c r="BY1042" i="8"/>
  <c r="BX1042" i="8"/>
  <c r="BW1042" i="8"/>
  <c r="BV1042" i="8"/>
  <c r="BU1042" i="8"/>
  <c r="BT1042" i="8"/>
  <c r="BS1042" i="8"/>
  <c r="BR1042" i="8"/>
  <c r="BQ1042" i="8"/>
  <c r="BP1042" i="8"/>
  <c r="BO1042" i="8"/>
  <c r="BN1042" i="8"/>
  <c r="BM1042" i="8"/>
  <c r="BL1042" i="8"/>
  <c r="BK1042" i="8"/>
  <c r="BJ1042" i="8"/>
  <c r="BI1042" i="8"/>
  <c r="BH1042" i="8"/>
  <c r="CJ1041" i="8"/>
  <c r="CI1041" i="8"/>
  <c r="CH1041" i="8"/>
  <c r="CG1041" i="8"/>
  <c r="CF1041" i="8"/>
  <c r="CE1041" i="8"/>
  <c r="CD1041" i="8"/>
  <c r="CC1041" i="8"/>
  <c r="CB1041" i="8"/>
  <c r="CA1041" i="8"/>
  <c r="BZ1041" i="8"/>
  <c r="BY1041" i="8"/>
  <c r="BX1041" i="8"/>
  <c r="BW1041" i="8"/>
  <c r="BV1041" i="8"/>
  <c r="BU1041" i="8"/>
  <c r="BT1041" i="8"/>
  <c r="BS1041" i="8"/>
  <c r="BR1041" i="8"/>
  <c r="BQ1041" i="8"/>
  <c r="BP1041" i="8"/>
  <c r="BO1041" i="8"/>
  <c r="BN1041" i="8"/>
  <c r="BM1041" i="8"/>
  <c r="BL1041" i="8"/>
  <c r="BK1041" i="8"/>
  <c r="BJ1041" i="8"/>
  <c r="BI1041" i="8"/>
  <c r="BH1041" i="8"/>
  <c r="CJ1040" i="8"/>
  <c r="CI1040" i="8"/>
  <c r="CH1040" i="8"/>
  <c r="CG1040" i="8"/>
  <c r="CF1040" i="8"/>
  <c r="CE1040" i="8"/>
  <c r="CD1040" i="8"/>
  <c r="CC1040" i="8"/>
  <c r="CB1040" i="8"/>
  <c r="CA1040" i="8"/>
  <c r="BZ1040" i="8"/>
  <c r="BY1040" i="8"/>
  <c r="BX1040" i="8"/>
  <c r="BW1040" i="8"/>
  <c r="BV1040" i="8"/>
  <c r="BU1040" i="8"/>
  <c r="BT1040" i="8"/>
  <c r="BS1040" i="8"/>
  <c r="BR1040" i="8"/>
  <c r="BQ1040" i="8"/>
  <c r="BP1040" i="8"/>
  <c r="BO1040" i="8"/>
  <c r="BN1040" i="8"/>
  <c r="BM1040" i="8"/>
  <c r="BL1040" i="8"/>
  <c r="BK1040" i="8"/>
  <c r="BJ1040" i="8"/>
  <c r="BI1040" i="8"/>
  <c r="BH1040" i="8"/>
  <c r="CJ1039" i="8"/>
  <c r="CI1039" i="8"/>
  <c r="CH1039" i="8"/>
  <c r="CG1039" i="8"/>
  <c r="CF1039" i="8"/>
  <c r="CE1039" i="8"/>
  <c r="CD1039" i="8"/>
  <c r="CC1039" i="8"/>
  <c r="CB1039" i="8"/>
  <c r="CA1039" i="8"/>
  <c r="BZ1039" i="8"/>
  <c r="BY1039" i="8"/>
  <c r="BX1039" i="8"/>
  <c r="BW1039" i="8"/>
  <c r="BV1039" i="8"/>
  <c r="BU1039" i="8"/>
  <c r="BT1039" i="8"/>
  <c r="BS1039" i="8"/>
  <c r="BR1039" i="8"/>
  <c r="BQ1039" i="8"/>
  <c r="BP1039" i="8"/>
  <c r="BO1039" i="8"/>
  <c r="BN1039" i="8"/>
  <c r="BM1039" i="8"/>
  <c r="BL1039" i="8"/>
  <c r="BK1039" i="8"/>
  <c r="BJ1039" i="8"/>
  <c r="BI1039" i="8"/>
  <c r="BH1039" i="8"/>
  <c r="CJ1038" i="8"/>
  <c r="CI1038" i="8"/>
  <c r="CH1038" i="8"/>
  <c r="CG1038" i="8"/>
  <c r="CF1038" i="8"/>
  <c r="CE1038" i="8"/>
  <c r="CD1038" i="8"/>
  <c r="CC1038" i="8"/>
  <c r="CB1038" i="8"/>
  <c r="CA1038" i="8"/>
  <c r="BZ1038" i="8"/>
  <c r="BY1038" i="8"/>
  <c r="BX1038" i="8"/>
  <c r="BW1038" i="8"/>
  <c r="BV1038" i="8"/>
  <c r="BU1038" i="8"/>
  <c r="BT1038" i="8"/>
  <c r="BS1038" i="8"/>
  <c r="BR1038" i="8"/>
  <c r="BQ1038" i="8"/>
  <c r="BP1038" i="8"/>
  <c r="BO1038" i="8"/>
  <c r="BN1038" i="8"/>
  <c r="BM1038" i="8"/>
  <c r="BL1038" i="8"/>
  <c r="BK1038" i="8"/>
  <c r="BJ1038" i="8"/>
  <c r="BI1038" i="8"/>
  <c r="BH1038" i="8"/>
  <c r="CJ1037" i="8"/>
  <c r="CI1037" i="8"/>
  <c r="CH1037" i="8"/>
  <c r="CG1037" i="8"/>
  <c r="CF1037" i="8"/>
  <c r="CE1037" i="8"/>
  <c r="CD1037" i="8"/>
  <c r="CC1037" i="8"/>
  <c r="CB1037" i="8"/>
  <c r="CA1037" i="8"/>
  <c r="BZ1037" i="8"/>
  <c r="BY1037" i="8"/>
  <c r="BX1037" i="8"/>
  <c r="BW1037" i="8"/>
  <c r="BV1037" i="8"/>
  <c r="BU1037" i="8"/>
  <c r="BT1037" i="8"/>
  <c r="BS1037" i="8"/>
  <c r="BR1037" i="8"/>
  <c r="BQ1037" i="8"/>
  <c r="BP1037" i="8"/>
  <c r="BO1037" i="8"/>
  <c r="BN1037" i="8"/>
  <c r="BM1037" i="8"/>
  <c r="BL1037" i="8"/>
  <c r="BK1037" i="8"/>
  <c r="BJ1037" i="8"/>
  <c r="BI1037" i="8"/>
  <c r="BH1037" i="8"/>
  <c r="CJ1036" i="8"/>
  <c r="CI1036" i="8"/>
  <c r="CH1036" i="8"/>
  <c r="CG1036" i="8"/>
  <c r="CF1036" i="8"/>
  <c r="CE1036" i="8"/>
  <c r="CD1036" i="8"/>
  <c r="CC1036" i="8"/>
  <c r="CB1036" i="8"/>
  <c r="CA1036" i="8"/>
  <c r="BZ1036" i="8"/>
  <c r="BY1036" i="8"/>
  <c r="BX1036" i="8"/>
  <c r="BW1036" i="8"/>
  <c r="BV1036" i="8"/>
  <c r="BU1036" i="8"/>
  <c r="BT1036" i="8"/>
  <c r="BS1036" i="8"/>
  <c r="BR1036" i="8"/>
  <c r="BQ1036" i="8"/>
  <c r="BP1036" i="8"/>
  <c r="BO1036" i="8"/>
  <c r="BN1036" i="8"/>
  <c r="BM1036" i="8"/>
  <c r="BL1036" i="8"/>
  <c r="BK1036" i="8"/>
  <c r="BJ1036" i="8"/>
  <c r="BI1036" i="8"/>
  <c r="BH1036" i="8"/>
  <c r="CJ1035" i="8"/>
  <c r="CI1035" i="8"/>
  <c r="CH1035" i="8"/>
  <c r="CG1035" i="8"/>
  <c r="CF1035" i="8"/>
  <c r="CE1035" i="8"/>
  <c r="CD1035" i="8"/>
  <c r="CC1035" i="8"/>
  <c r="CB1035" i="8"/>
  <c r="CA1035" i="8"/>
  <c r="BZ1035" i="8"/>
  <c r="BY1035" i="8"/>
  <c r="BX1035" i="8"/>
  <c r="BW1035" i="8"/>
  <c r="BV1035" i="8"/>
  <c r="BU1035" i="8"/>
  <c r="BT1035" i="8"/>
  <c r="BS1035" i="8"/>
  <c r="BR1035" i="8"/>
  <c r="BQ1035" i="8"/>
  <c r="BP1035" i="8"/>
  <c r="BO1035" i="8"/>
  <c r="BN1035" i="8"/>
  <c r="BM1035" i="8"/>
  <c r="BL1035" i="8"/>
  <c r="BK1035" i="8"/>
  <c r="BJ1035" i="8"/>
  <c r="BI1035" i="8"/>
  <c r="BH1035" i="8"/>
  <c r="CJ1034" i="8"/>
  <c r="CI1034" i="8"/>
  <c r="CH1034" i="8"/>
  <c r="CG1034" i="8"/>
  <c r="CF1034" i="8"/>
  <c r="CE1034" i="8"/>
  <c r="CD1034" i="8"/>
  <c r="CC1034" i="8"/>
  <c r="CB1034" i="8"/>
  <c r="CA1034" i="8"/>
  <c r="BZ1034" i="8"/>
  <c r="BY1034" i="8"/>
  <c r="BX1034" i="8"/>
  <c r="BW1034" i="8"/>
  <c r="BV1034" i="8"/>
  <c r="BU1034" i="8"/>
  <c r="BT1034" i="8"/>
  <c r="BS1034" i="8"/>
  <c r="BR1034" i="8"/>
  <c r="BQ1034" i="8"/>
  <c r="BP1034" i="8"/>
  <c r="BO1034" i="8"/>
  <c r="BN1034" i="8"/>
  <c r="BM1034" i="8"/>
  <c r="BL1034" i="8"/>
  <c r="BK1034" i="8"/>
  <c r="BJ1034" i="8"/>
  <c r="BI1034" i="8"/>
  <c r="BH1034" i="8"/>
  <c r="CJ1033" i="8"/>
  <c r="CI1033" i="8"/>
  <c r="CH1033" i="8"/>
  <c r="CG1033" i="8"/>
  <c r="CF1033" i="8"/>
  <c r="CE1033" i="8"/>
  <c r="CD1033" i="8"/>
  <c r="CC1033" i="8"/>
  <c r="CB1033" i="8"/>
  <c r="CA1033" i="8"/>
  <c r="BZ1033" i="8"/>
  <c r="BY1033" i="8"/>
  <c r="BX1033" i="8"/>
  <c r="BW1033" i="8"/>
  <c r="BV1033" i="8"/>
  <c r="BU1033" i="8"/>
  <c r="BT1033" i="8"/>
  <c r="BS1033" i="8"/>
  <c r="BR1033" i="8"/>
  <c r="BQ1033" i="8"/>
  <c r="BP1033" i="8"/>
  <c r="BO1033" i="8"/>
  <c r="BN1033" i="8"/>
  <c r="BM1033" i="8"/>
  <c r="BL1033" i="8"/>
  <c r="BK1033" i="8"/>
  <c r="BJ1033" i="8"/>
  <c r="BI1033" i="8"/>
  <c r="BH1033" i="8"/>
  <c r="CJ1032" i="8"/>
  <c r="CI1032" i="8"/>
  <c r="CH1032" i="8"/>
  <c r="CG1032" i="8"/>
  <c r="CF1032" i="8"/>
  <c r="CE1032" i="8"/>
  <c r="CD1032" i="8"/>
  <c r="CC1032" i="8"/>
  <c r="CB1032" i="8"/>
  <c r="CA1032" i="8"/>
  <c r="BZ1032" i="8"/>
  <c r="BY1032" i="8"/>
  <c r="BX1032" i="8"/>
  <c r="BW1032" i="8"/>
  <c r="BV1032" i="8"/>
  <c r="BU1032" i="8"/>
  <c r="BT1032" i="8"/>
  <c r="BS1032" i="8"/>
  <c r="BR1032" i="8"/>
  <c r="BQ1032" i="8"/>
  <c r="BP1032" i="8"/>
  <c r="BO1032" i="8"/>
  <c r="BN1032" i="8"/>
  <c r="BM1032" i="8"/>
  <c r="BL1032" i="8"/>
  <c r="BK1032" i="8"/>
  <c r="BJ1032" i="8"/>
  <c r="BI1032" i="8"/>
  <c r="BH1032" i="8"/>
  <c r="CJ1031" i="8"/>
  <c r="CI1031" i="8"/>
  <c r="CH1031" i="8"/>
  <c r="CG1031" i="8"/>
  <c r="CF1031" i="8"/>
  <c r="CE1031" i="8"/>
  <c r="CD1031" i="8"/>
  <c r="CC1031" i="8"/>
  <c r="CB1031" i="8"/>
  <c r="CA1031" i="8"/>
  <c r="BZ1031" i="8"/>
  <c r="BY1031" i="8"/>
  <c r="BX1031" i="8"/>
  <c r="BW1031" i="8"/>
  <c r="BV1031" i="8"/>
  <c r="BU1031" i="8"/>
  <c r="BT1031" i="8"/>
  <c r="BS1031" i="8"/>
  <c r="BR1031" i="8"/>
  <c r="BQ1031" i="8"/>
  <c r="BP1031" i="8"/>
  <c r="BO1031" i="8"/>
  <c r="BN1031" i="8"/>
  <c r="BM1031" i="8"/>
  <c r="BL1031" i="8"/>
  <c r="BK1031" i="8"/>
  <c r="BJ1031" i="8"/>
  <c r="BI1031" i="8"/>
  <c r="BH1031" i="8"/>
  <c r="CJ1030" i="8"/>
  <c r="CI1030" i="8"/>
  <c r="CH1030" i="8"/>
  <c r="CG1030" i="8"/>
  <c r="CF1030" i="8"/>
  <c r="CE1030" i="8"/>
  <c r="CD1030" i="8"/>
  <c r="CC1030" i="8"/>
  <c r="CB1030" i="8"/>
  <c r="CA1030" i="8"/>
  <c r="BZ1030" i="8"/>
  <c r="BY1030" i="8"/>
  <c r="BX1030" i="8"/>
  <c r="BW1030" i="8"/>
  <c r="BV1030" i="8"/>
  <c r="BU1030" i="8"/>
  <c r="BT1030" i="8"/>
  <c r="BS1030" i="8"/>
  <c r="BR1030" i="8"/>
  <c r="BQ1030" i="8"/>
  <c r="BP1030" i="8"/>
  <c r="BO1030" i="8"/>
  <c r="BN1030" i="8"/>
  <c r="BM1030" i="8"/>
  <c r="BL1030" i="8"/>
  <c r="BK1030" i="8"/>
  <c r="BJ1030" i="8"/>
  <c r="BI1030" i="8"/>
  <c r="BH1030" i="8"/>
  <c r="CJ1029" i="8"/>
  <c r="CI1029" i="8"/>
  <c r="CH1029" i="8"/>
  <c r="CG1029" i="8"/>
  <c r="CF1029" i="8"/>
  <c r="CE1029" i="8"/>
  <c r="CD1029" i="8"/>
  <c r="CC1029" i="8"/>
  <c r="CB1029" i="8"/>
  <c r="CA1029" i="8"/>
  <c r="BZ1029" i="8"/>
  <c r="BY1029" i="8"/>
  <c r="BX1029" i="8"/>
  <c r="BW1029" i="8"/>
  <c r="BV1029" i="8"/>
  <c r="BU1029" i="8"/>
  <c r="BT1029" i="8"/>
  <c r="BS1029" i="8"/>
  <c r="BR1029" i="8"/>
  <c r="BQ1029" i="8"/>
  <c r="BP1029" i="8"/>
  <c r="BO1029" i="8"/>
  <c r="BN1029" i="8"/>
  <c r="BM1029" i="8"/>
  <c r="BL1029" i="8"/>
  <c r="BK1029" i="8"/>
  <c r="BJ1029" i="8"/>
  <c r="BI1029" i="8"/>
  <c r="BH1029" i="8"/>
  <c r="CJ1028" i="8"/>
  <c r="CI1028" i="8"/>
  <c r="CH1028" i="8"/>
  <c r="CG1028" i="8"/>
  <c r="CF1028" i="8"/>
  <c r="CE1028" i="8"/>
  <c r="CD1028" i="8"/>
  <c r="CC1028" i="8"/>
  <c r="CB1028" i="8"/>
  <c r="CA1028" i="8"/>
  <c r="BZ1028" i="8"/>
  <c r="BY1028" i="8"/>
  <c r="BX1028" i="8"/>
  <c r="BW1028" i="8"/>
  <c r="BV1028" i="8"/>
  <c r="BU1028" i="8"/>
  <c r="BT1028" i="8"/>
  <c r="BS1028" i="8"/>
  <c r="BR1028" i="8"/>
  <c r="BQ1028" i="8"/>
  <c r="BP1028" i="8"/>
  <c r="BO1028" i="8"/>
  <c r="BN1028" i="8"/>
  <c r="BM1028" i="8"/>
  <c r="BL1028" i="8"/>
  <c r="BK1028" i="8"/>
  <c r="BJ1028" i="8"/>
  <c r="BI1028" i="8"/>
  <c r="BH1028" i="8"/>
  <c r="CJ1027" i="8"/>
  <c r="CI1027" i="8"/>
  <c r="CH1027" i="8"/>
  <c r="CG1027" i="8"/>
  <c r="CF1027" i="8"/>
  <c r="CE1027" i="8"/>
  <c r="CD1027" i="8"/>
  <c r="CC1027" i="8"/>
  <c r="CB1027" i="8"/>
  <c r="CA1027" i="8"/>
  <c r="BZ1027" i="8"/>
  <c r="BY1027" i="8"/>
  <c r="BX1027" i="8"/>
  <c r="BW1027" i="8"/>
  <c r="BV1027" i="8"/>
  <c r="BU1027" i="8"/>
  <c r="BT1027" i="8"/>
  <c r="BS1027" i="8"/>
  <c r="BR1027" i="8"/>
  <c r="BQ1027" i="8"/>
  <c r="BP1027" i="8"/>
  <c r="BO1027" i="8"/>
  <c r="BN1027" i="8"/>
  <c r="BM1027" i="8"/>
  <c r="BL1027" i="8"/>
  <c r="BK1027" i="8"/>
  <c r="BJ1027" i="8"/>
  <c r="BI1027" i="8"/>
  <c r="BH1027" i="8"/>
  <c r="CJ1026" i="8"/>
  <c r="CI1026" i="8"/>
  <c r="CH1026" i="8"/>
  <c r="CG1026" i="8"/>
  <c r="CF1026" i="8"/>
  <c r="CE1026" i="8"/>
  <c r="CD1026" i="8"/>
  <c r="CC1026" i="8"/>
  <c r="CB1026" i="8"/>
  <c r="CA1026" i="8"/>
  <c r="BZ1026" i="8"/>
  <c r="BY1026" i="8"/>
  <c r="BX1026" i="8"/>
  <c r="BW1026" i="8"/>
  <c r="BV1026" i="8"/>
  <c r="BU1026" i="8"/>
  <c r="BT1026" i="8"/>
  <c r="BS1026" i="8"/>
  <c r="BR1026" i="8"/>
  <c r="BQ1026" i="8"/>
  <c r="BP1026" i="8"/>
  <c r="BO1026" i="8"/>
  <c r="BN1026" i="8"/>
  <c r="BM1026" i="8"/>
  <c r="BL1026" i="8"/>
  <c r="BK1026" i="8"/>
  <c r="BJ1026" i="8"/>
  <c r="BI1026" i="8"/>
  <c r="BH1026" i="8"/>
  <c r="CJ1025" i="8"/>
  <c r="CI1025" i="8"/>
  <c r="CH1025" i="8"/>
  <c r="CG1025" i="8"/>
  <c r="CF1025" i="8"/>
  <c r="CE1025" i="8"/>
  <c r="CD1025" i="8"/>
  <c r="CC1025" i="8"/>
  <c r="CB1025" i="8"/>
  <c r="CA1025" i="8"/>
  <c r="BZ1025" i="8"/>
  <c r="BY1025" i="8"/>
  <c r="BX1025" i="8"/>
  <c r="BW1025" i="8"/>
  <c r="BV1025" i="8"/>
  <c r="BU1025" i="8"/>
  <c r="BT1025" i="8"/>
  <c r="BS1025" i="8"/>
  <c r="BR1025" i="8"/>
  <c r="BQ1025" i="8"/>
  <c r="BP1025" i="8"/>
  <c r="BO1025" i="8"/>
  <c r="BN1025" i="8"/>
  <c r="BM1025" i="8"/>
  <c r="BL1025" i="8"/>
  <c r="BK1025" i="8"/>
  <c r="BJ1025" i="8"/>
  <c r="BI1025" i="8"/>
  <c r="BH1025" i="8"/>
  <c r="CJ1024" i="8"/>
  <c r="CI1024" i="8"/>
  <c r="CH1024" i="8"/>
  <c r="CG1024" i="8"/>
  <c r="CF1024" i="8"/>
  <c r="CE1024" i="8"/>
  <c r="CD1024" i="8"/>
  <c r="CC1024" i="8"/>
  <c r="CB1024" i="8"/>
  <c r="CA1024" i="8"/>
  <c r="BZ1024" i="8"/>
  <c r="BY1024" i="8"/>
  <c r="BX1024" i="8"/>
  <c r="BW1024" i="8"/>
  <c r="BV1024" i="8"/>
  <c r="BU1024" i="8"/>
  <c r="BT1024" i="8"/>
  <c r="BS1024" i="8"/>
  <c r="BR1024" i="8"/>
  <c r="BQ1024" i="8"/>
  <c r="BP1024" i="8"/>
  <c r="BO1024" i="8"/>
  <c r="BN1024" i="8"/>
  <c r="BM1024" i="8"/>
  <c r="BL1024" i="8"/>
  <c r="BK1024" i="8"/>
  <c r="BJ1024" i="8"/>
  <c r="BI1024" i="8"/>
  <c r="BH1024" i="8"/>
  <c r="CJ1023" i="8"/>
  <c r="CI1023" i="8"/>
  <c r="CH1023" i="8"/>
  <c r="CG1023" i="8"/>
  <c r="CF1023" i="8"/>
  <c r="CE1023" i="8"/>
  <c r="CD1023" i="8"/>
  <c r="CC1023" i="8"/>
  <c r="CB1023" i="8"/>
  <c r="CA1023" i="8"/>
  <c r="BZ1023" i="8"/>
  <c r="BY1023" i="8"/>
  <c r="BX1023" i="8"/>
  <c r="BW1023" i="8"/>
  <c r="BV1023" i="8"/>
  <c r="BU1023" i="8"/>
  <c r="BT1023" i="8"/>
  <c r="BS1023" i="8"/>
  <c r="BR1023" i="8"/>
  <c r="BQ1023" i="8"/>
  <c r="BP1023" i="8"/>
  <c r="BO1023" i="8"/>
  <c r="BN1023" i="8"/>
  <c r="BM1023" i="8"/>
  <c r="BL1023" i="8"/>
  <c r="BK1023" i="8"/>
  <c r="BJ1023" i="8"/>
  <c r="BI1023" i="8"/>
  <c r="BH1023" i="8"/>
  <c r="CJ1022" i="8"/>
  <c r="CI1022" i="8"/>
  <c r="CH1022" i="8"/>
  <c r="CG1022" i="8"/>
  <c r="CF1022" i="8"/>
  <c r="CE1022" i="8"/>
  <c r="CD1022" i="8"/>
  <c r="CC1022" i="8"/>
  <c r="CB1022" i="8"/>
  <c r="CA1022" i="8"/>
  <c r="BZ1022" i="8"/>
  <c r="BY1022" i="8"/>
  <c r="BX1022" i="8"/>
  <c r="BW1022" i="8"/>
  <c r="BV1022" i="8"/>
  <c r="BU1022" i="8"/>
  <c r="BT1022" i="8"/>
  <c r="BS1022" i="8"/>
  <c r="BR1022" i="8"/>
  <c r="BQ1022" i="8"/>
  <c r="BP1022" i="8"/>
  <c r="BO1022" i="8"/>
  <c r="BN1022" i="8"/>
  <c r="BM1022" i="8"/>
  <c r="BL1022" i="8"/>
  <c r="BK1022" i="8"/>
  <c r="BJ1022" i="8"/>
  <c r="BI1022" i="8"/>
  <c r="BH1022" i="8"/>
  <c r="CJ1021" i="8"/>
  <c r="CI1021" i="8"/>
  <c r="CH1021" i="8"/>
  <c r="CG1021" i="8"/>
  <c r="CF1021" i="8"/>
  <c r="CE1021" i="8"/>
  <c r="CD1021" i="8"/>
  <c r="CC1021" i="8"/>
  <c r="CB1021" i="8"/>
  <c r="CA1021" i="8"/>
  <c r="BZ1021" i="8"/>
  <c r="BY1021" i="8"/>
  <c r="BX1021" i="8"/>
  <c r="BW1021" i="8"/>
  <c r="BV1021" i="8"/>
  <c r="BU1021" i="8"/>
  <c r="BT1021" i="8"/>
  <c r="BS1021" i="8"/>
  <c r="BR1021" i="8"/>
  <c r="BQ1021" i="8"/>
  <c r="BP1021" i="8"/>
  <c r="BO1021" i="8"/>
  <c r="BN1021" i="8"/>
  <c r="BM1021" i="8"/>
  <c r="BL1021" i="8"/>
  <c r="BK1021" i="8"/>
  <c r="BJ1021" i="8"/>
  <c r="BI1021" i="8"/>
  <c r="BH1021" i="8"/>
  <c r="CJ1020" i="8"/>
  <c r="CI1020" i="8"/>
  <c r="CH1020" i="8"/>
  <c r="CG1020" i="8"/>
  <c r="CF1020" i="8"/>
  <c r="CE1020" i="8"/>
  <c r="CD1020" i="8"/>
  <c r="CC1020" i="8"/>
  <c r="CB1020" i="8"/>
  <c r="CA1020" i="8"/>
  <c r="BZ1020" i="8"/>
  <c r="BY1020" i="8"/>
  <c r="BX1020" i="8"/>
  <c r="BW1020" i="8"/>
  <c r="BV1020" i="8"/>
  <c r="BU1020" i="8"/>
  <c r="BT1020" i="8"/>
  <c r="BS1020" i="8"/>
  <c r="BR1020" i="8"/>
  <c r="BQ1020" i="8"/>
  <c r="BP1020" i="8"/>
  <c r="BO1020" i="8"/>
  <c r="BN1020" i="8"/>
  <c r="BM1020" i="8"/>
  <c r="BL1020" i="8"/>
  <c r="BK1020" i="8"/>
  <c r="BJ1020" i="8"/>
  <c r="BI1020" i="8"/>
  <c r="BH1020" i="8"/>
  <c r="CJ1019" i="8"/>
  <c r="CI1019" i="8"/>
  <c r="CH1019" i="8"/>
  <c r="CG1019" i="8"/>
  <c r="CF1019" i="8"/>
  <c r="CE1019" i="8"/>
  <c r="CD1019" i="8"/>
  <c r="CC1019" i="8"/>
  <c r="CB1019" i="8"/>
  <c r="CA1019" i="8"/>
  <c r="BZ1019" i="8"/>
  <c r="BY1019" i="8"/>
  <c r="BX1019" i="8"/>
  <c r="BW1019" i="8"/>
  <c r="BV1019" i="8"/>
  <c r="BU1019" i="8"/>
  <c r="BT1019" i="8"/>
  <c r="BS1019" i="8"/>
  <c r="BR1019" i="8"/>
  <c r="BQ1019" i="8"/>
  <c r="BP1019" i="8"/>
  <c r="BO1019" i="8"/>
  <c r="BN1019" i="8"/>
  <c r="BM1019" i="8"/>
  <c r="BL1019" i="8"/>
  <c r="BK1019" i="8"/>
  <c r="BJ1019" i="8"/>
  <c r="BI1019" i="8"/>
  <c r="BH1019" i="8"/>
  <c r="CJ1018" i="8"/>
  <c r="CI1018" i="8"/>
  <c r="CH1018" i="8"/>
  <c r="CG1018" i="8"/>
  <c r="CF1018" i="8"/>
  <c r="CE1018" i="8"/>
  <c r="CD1018" i="8"/>
  <c r="CC1018" i="8"/>
  <c r="CB1018" i="8"/>
  <c r="CA1018" i="8"/>
  <c r="BZ1018" i="8"/>
  <c r="BY1018" i="8"/>
  <c r="BX1018" i="8"/>
  <c r="BW1018" i="8"/>
  <c r="BV1018" i="8"/>
  <c r="BU1018" i="8"/>
  <c r="BT1018" i="8"/>
  <c r="BS1018" i="8"/>
  <c r="BR1018" i="8"/>
  <c r="BQ1018" i="8"/>
  <c r="BP1018" i="8"/>
  <c r="BO1018" i="8"/>
  <c r="BN1018" i="8"/>
  <c r="BM1018" i="8"/>
  <c r="BL1018" i="8"/>
  <c r="BK1018" i="8"/>
  <c r="BJ1018" i="8"/>
  <c r="BI1018" i="8"/>
  <c r="BH1018" i="8"/>
  <c r="CJ1017" i="8"/>
  <c r="CI1017" i="8"/>
  <c r="CH1017" i="8"/>
  <c r="CG1017" i="8"/>
  <c r="CF1017" i="8"/>
  <c r="CE1017" i="8"/>
  <c r="CD1017" i="8"/>
  <c r="CC1017" i="8"/>
  <c r="CB1017" i="8"/>
  <c r="CA1017" i="8"/>
  <c r="BZ1017" i="8"/>
  <c r="BY1017" i="8"/>
  <c r="BX1017" i="8"/>
  <c r="BW1017" i="8"/>
  <c r="BV1017" i="8"/>
  <c r="BU1017" i="8"/>
  <c r="BT1017" i="8"/>
  <c r="BS1017" i="8"/>
  <c r="BR1017" i="8"/>
  <c r="BQ1017" i="8"/>
  <c r="BP1017" i="8"/>
  <c r="BO1017" i="8"/>
  <c r="BN1017" i="8"/>
  <c r="BM1017" i="8"/>
  <c r="BL1017" i="8"/>
  <c r="BK1017" i="8"/>
  <c r="BJ1017" i="8"/>
  <c r="BI1017" i="8"/>
  <c r="BH1017" i="8"/>
  <c r="CJ1016" i="8"/>
  <c r="CI1016" i="8"/>
  <c r="CH1016" i="8"/>
  <c r="CG1016" i="8"/>
  <c r="CF1016" i="8"/>
  <c r="CE1016" i="8"/>
  <c r="CD1016" i="8"/>
  <c r="CC1016" i="8"/>
  <c r="CB1016" i="8"/>
  <c r="CA1016" i="8"/>
  <c r="BZ1016" i="8"/>
  <c r="BY1016" i="8"/>
  <c r="BX1016" i="8"/>
  <c r="BW1016" i="8"/>
  <c r="BV1016" i="8"/>
  <c r="BU1016" i="8"/>
  <c r="BT1016" i="8"/>
  <c r="BS1016" i="8"/>
  <c r="BR1016" i="8"/>
  <c r="BQ1016" i="8"/>
  <c r="BP1016" i="8"/>
  <c r="BO1016" i="8"/>
  <c r="BN1016" i="8"/>
  <c r="BM1016" i="8"/>
  <c r="BL1016" i="8"/>
  <c r="BK1016" i="8"/>
  <c r="BJ1016" i="8"/>
  <c r="BI1016" i="8"/>
  <c r="BH1016" i="8"/>
  <c r="CJ1015" i="8"/>
  <c r="CI1015" i="8"/>
  <c r="CH1015" i="8"/>
  <c r="CG1015" i="8"/>
  <c r="CF1015" i="8"/>
  <c r="CE1015" i="8"/>
  <c r="CD1015" i="8"/>
  <c r="CC1015" i="8"/>
  <c r="CB1015" i="8"/>
  <c r="CA1015" i="8"/>
  <c r="BZ1015" i="8"/>
  <c r="BY1015" i="8"/>
  <c r="BX1015" i="8"/>
  <c r="BW1015" i="8"/>
  <c r="BV1015" i="8"/>
  <c r="BU1015" i="8"/>
  <c r="BT1015" i="8"/>
  <c r="BS1015" i="8"/>
  <c r="BR1015" i="8"/>
  <c r="BQ1015" i="8"/>
  <c r="BP1015" i="8"/>
  <c r="BO1015" i="8"/>
  <c r="BN1015" i="8"/>
  <c r="BM1015" i="8"/>
  <c r="BL1015" i="8"/>
  <c r="BK1015" i="8"/>
  <c r="BJ1015" i="8"/>
  <c r="BI1015" i="8"/>
  <c r="BH1015" i="8"/>
  <c r="CJ1014" i="8"/>
  <c r="CI1014" i="8"/>
  <c r="CH1014" i="8"/>
  <c r="CG1014" i="8"/>
  <c r="CF1014" i="8"/>
  <c r="CE1014" i="8"/>
  <c r="CD1014" i="8"/>
  <c r="CC1014" i="8"/>
  <c r="CB1014" i="8"/>
  <c r="CA1014" i="8"/>
  <c r="BZ1014" i="8"/>
  <c r="BY1014" i="8"/>
  <c r="BX1014" i="8"/>
  <c r="BW1014" i="8"/>
  <c r="BV1014" i="8"/>
  <c r="BU1014" i="8"/>
  <c r="BT1014" i="8"/>
  <c r="BS1014" i="8"/>
  <c r="BR1014" i="8"/>
  <c r="BQ1014" i="8"/>
  <c r="BP1014" i="8"/>
  <c r="BO1014" i="8"/>
  <c r="BN1014" i="8"/>
  <c r="BM1014" i="8"/>
  <c r="BL1014" i="8"/>
  <c r="BK1014" i="8"/>
  <c r="BJ1014" i="8"/>
  <c r="BI1014" i="8"/>
  <c r="BH1014" i="8"/>
  <c r="CJ1013" i="8"/>
  <c r="CI1013" i="8"/>
  <c r="CH1013" i="8"/>
  <c r="CG1013" i="8"/>
  <c r="CF1013" i="8"/>
  <c r="CE1013" i="8"/>
  <c r="CD1013" i="8"/>
  <c r="CC1013" i="8"/>
  <c r="CB1013" i="8"/>
  <c r="CA1013" i="8"/>
  <c r="BZ1013" i="8"/>
  <c r="BY1013" i="8"/>
  <c r="BX1013" i="8"/>
  <c r="BW1013" i="8"/>
  <c r="BV1013" i="8"/>
  <c r="BU1013" i="8"/>
  <c r="BT1013" i="8"/>
  <c r="BS1013" i="8"/>
  <c r="BR1013" i="8"/>
  <c r="BQ1013" i="8"/>
  <c r="BP1013" i="8"/>
  <c r="BO1013" i="8"/>
  <c r="BN1013" i="8"/>
  <c r="BM1013" i="8"/>
  <c r="BL1013" i="8"/>
  <c r="BK1013" i="8"/>
  <c r="BJ1013" i="8"/>
  <c r="BI1013" i="8"/>
  <c r="BH1013" i="8"/>
  <c r="CJ1012" i="8"/>
  <c r="CI1012" i="8"/>
  <c r="CH1012" i="8"/>
  <c r="CG1012" i="8"/>
  <c r="CF1012" i="8"/>
  <c r="CE1012" i="8"/>
  <c r="CD1012" i="8"/>
  <c r="CC1012" i="8"/>
  <c r="CB1012" i="8"/>
  <c r="CA1012" i="8"/>
  <c r="BZ1012" i="8"/>
  <c r="BY1012" i="8"/>
  <c r="BX1012" i="8"/>
  <c r="BW1012" i="8"/>
  <c r="BV1012" i="8"/>
  <c r="BU1012" i="8"/>
  <c r="BT1012" i="8"/>
  <c r="BS1012" i="8"/>
  <c r="BR1012" i="8"/>
  <c r="BQ1012" i="8"/>
  <c r="BP1012" i="8"/>
  <c r="BO1012" i="8"/>
  <c r="BN1012" i="8"/>
  <c r="BM1012" i="8"/>
  <c r="BL1012" i="8"/>
  <c r="BK1012" i="8"/>
  <c r="BJ1012" i="8"/>
  <c r="BI1012" i="8"/>
  <c r="BH1012" i="8"/>
  <c r="CJ1011" i="8"/>
  <c r="CI1011" i="8"/>
  <c r="CH1011" i="8"/>
  <c r="CG1011" i="8"/>
  <c r="CF1011" i="8"/>
  <c r="CE1011" i="8"/>
  <c r="CD1011" i="8"/>
  <c r="CC1011" i="8"/>
  <c r="CB1011" i="8"/>
  <c r="CA1011" i="8"/>
  <c r="BZ1011" i="8"/>
  <c r="BY1011" i="8"/>
  <c r="BX1011" i="8"/>
  <c r="BW1011" i="8"/>
  <c r="BV1011" i="8"/>
  <c r="BU1011" i="8"/>
  <c r="BT1011" i="8"/>
  <c r="BS1011" i="8"/>
  <c r="BR1011" i="8"/>
  <c r="BQ1011" i="8"/>
  <c r="BP1011" i="8"/>
  <c r="BO1011" i="8"/>
  <c r="BN1011" i="8"/>
  <c r="BM1011" i="8"/>
  <c r="BL1011" i="8"/>
  <c r="BK1011" i="8"/>
  <c r="BJ1011" i="8"/>
  <c r="BI1011" i="8"/>
  <c r="BH1011" i="8"/>
  <c r="CJ1010" i="8"/>
  <c r="CI1010" i="8"/>
  <c r="CH1010" i="8"/>
  <c r="CG1010" i="8"/>
  <c r="CF1010" i="8"/>
  <c r="CE1010" i="8"/>
  <c r="CD1010" i="8"/>
  <c r="CC1010" i="8"/>
  <c r="CB1010" i="8"/>
  <c r="CA1010" i="8"/>
  <c r="BZ1010" i="8"/>
  <c r="BY1010" i="8"/>
  <c r="BX1010" i="8"/>
  <c r="BW1010" i="8"/>
  <c r="BV1010" i="8"/>
  <c r="BU1010" i="8"/>
  <c r="BT1010" i="8"/>
  <c r="BS1010" i="8"/>
  <c r="BR1010" i="8"/>
  <c r="BQ1010" i="8"/>
  <c r="BP1010" i="8"/>
  <c r="BO1010" i="8"/>
  <c r="BN1010" i="8"/>
  <c r="BM1010" i="8"/>
  <c r="BL1010" i="8"/>
  <c r="BK1010" i="8"/>
  <c r="BJ1010" i="8"/>
  <c r="BI1010" i="8"/>
  <c r="BH1010" i="8"/>
  <c r="CJ1009" i="8"/>
  <c r="CI1009" i="8"/>
  <c r="CH1009" i="8"/>
  <c r="CG1009" i="8"/>
  <c r="CF1009" i="8"/>
  <c r="CE1009" i="8"/>
  <c r="CD1009" i="8"/>
  <c r="CC1009" i="8"/>
  <c r="CB1009" i="8"/>
  <c r="CA1009" i="8"/>
  <c r="BZ1009" i="8"/>
  <c r="BY1009" i="8"/>
  <c r="BX1009" i="8"/>
  <c r="BW1009" i="8"/>
  <c r="BV1009" i="8"/>
  <c r="BU1009" i="8"/>
  <c r="BT1009" i="8"/>
  <c r="BS1009" i="8"/>
  <c r="BR1009" i="8"/>
  <c r="BQ1009" i="8"/>
  <c r="BP1009" i="8"/>
  <c r="BO1009" i="8"/>
  <c r="BN1009" i="8"/>
  <c r="BM1009" i="8"/>
  <c r="BL1009" i="8"/>
  <c r="BK1009" i="8"/>
  <c r="BJ1009" i="8"/>
  <c r="BI1009" i="8"/>
  <c r="BH1009" i="8"/>
  <c r="CJ1008" i="8"/>
  <c r="CI1008" i="8"/>
  <c r="CH1008" i="8"/>
  <c r="CG1008" i="8"/>
  <c r="CF1008" i="8"/>
  <c r="CE1008" i="8"/>
  <c r="CD1008" i="8"/>
  <c r="CC1008" i="8"/>
  <c r="CB1008" i="8"/>
  <c r="CA1008" i="8"/>
  <c r="BZ1008" i="8"/>
  <c r="BY1008" i="8"/>
  <c r="BX1008" i="8"/>
  <c r="BW1008" i="8"/>
  <c r="BV1008" i="8"/>
  <c r="BU1008" i="8"/>
  <c r="BT1008" i="8"/>
  <c r="BS1008" i="8"/>
  <c r="BR1008" i="8"/>
  <c r="BQ1008" i="8"/>
  <c r="BP1008" i="8"/>
  <c r="BO1008" i="8"/>
  <c r="BN1008" i="8"/>
  <c r="BM1008" i="8"/>
  <c r="BL1008" i="8"/>
  <c r="BK1008" i="8"/>
  <c r="BJ1008" i="8"/>
  <c r="BI1008" i="8"/>
  <c r="BH1008" i="8"/>
  <c r="CJ1007" i="8"/>
  <c r="CI1007" i="8"/>
  <c r="CH1007" i="8"/>
  <c r="CG1007" i="8"/>
  <c r="CF1007" i="8"/>
  <c r="CE1007" i="8"/>
  <c r="CD1007" i="8"/>
  <c r="CC1007" i="8"/>
  <c r="CB1007" i="8"/>
  <c r="CA1007" i="8"/>
  <c r="BZ1007" i="8"/>
  <c r="BY1007" i="8"/>
  <c r="BX1007" i="8"/>
  <c r="BW1007" i="8"/>
  <c r="BV1007" i="8"/>
  <c r="BU1007" i="8"/>
  <c r="BT1007" i="8"/>
  <c r="BS1007" i="8"/>
  <c r="BR1007" i="8"/>
  <c r="BQ1007" i="8"/>
  <c r="BP1007" i="8"/>
  <c r="BO1007" i="8"/>
  <c r="BN1007" i="8"/>
  <c r="BM1007" i="8"/>
  <c r="BL1007" i="8"/>
  <c r="BK1007" i="8"/>
  <c r="BJ1007" i="8"/>
  <c r="BI1007" i="8"/>
  <c r="BH1007" i="8"/>
  <c r="CJ1006" i="8"/>
  <c r="CI1006" i="8"/>
  <c r="CH1006" i="8"/>
  <c r="CG1006" i="8"/>
  <c r="CF1006" i="8"/>
  <c r="CE1006" i="8"/>
  <c r="CD1006" i="8"/>
  <c r="CC1006" i="8"/>
  <c r="CB1006" i="8"/>
  <c r="CA1006" i="8"/>
  <c r="BZ1006" i="8"/>
  <c r="BY1006" i="8"/>
  <c r="BX1006" i="8"/>
  <c r="BW1006" i="8"/>
  <c r="BV1006" i="8"/>
  <c r="BU1006" i="8"/>
  <c r="BT1006" i="8"/>
  <c r="BS1006" i="8"/>
  <c r="BR1006" i="8"/>
  <c r="BQ1006" i="8"/>
  <c r="BP1006" i="8"/>
  <c r="BO1006" i="8"/>
  <c r="BN1006" i="8"/>
  <c r="BM1006" i="8"/>
  <c r="BL1006" i="8"/>
  <c r="BK1006" i="8"/>
  <c r="BJ1006" i="8"/>
  <c r="BI1006" i="8"/>
  <c r="BH1006" i="8"/>
  <c r="CJ1005" i="8"/>
  <c r="CI1005" i="8"/>
  <c r="CH1005" i="8"/>
  <c r="CG1005" i="8"/>
  <c r="CF1005" i="8"/>
  <c r="CE1005" i="8"/>
  <c r="CD1005" i="8"/>
  <c r="CC1005" i="8"/>
  <c r="CB1005" i="8"/>
  <c r="CA1005" i="8"/>
  <c r="BZ1005" i="8"/>
  <c r="BY1005" i="8"/>
  <c r="BX1005" i="8"/>
  <c r="BW1005" i="8"/>
  <c r="BV1005" i="8"/>
  <c r="BU1005" i="8"/>
  <c r="BT1005" i="8"/>
  <c r="BS1005" i="8"/>
  <c r="BR1005" i="8"/>
  <c r="BQ1005" i="8"/>
  <c r="BP1005" i="8"/>
  <c r="BO1005" i="8"/>
  <c r="BN1005" i="8"/>
  <c r="BM1005" i="8"/>
  <c r="BL1005" i="8"/>
  <c r="BK1005" i="8"/>
  <c r="BJ1005" i="8"/>
  <c r="BI1005" i="8"/>
  <c r="BH1005" i="8"/>
  <c r="CJ1004" i="8"/>
  <c r="CI1004" i="8"/>
  <c r="CH1004" i="8"/>
  <c r="CG1004" i="8"/>
  <c r="CF1004" i="8"/>
  <c r="CE1004" i="8"/>
  <c r="CD1004" i="8"/>
  <c r="CC1004" i="8"/>
  <c r="CB1004" i="8"/>
  <c r="CA1004" i="8"/>
  <c r="BZ1004" i="8"/>
  <c r="BY1004" i="8"/>
  <c r="BX1004" i="8"/>
  <c r="BW1004" i="8"/>
  <c r="BV1004" i="8"/>
  <c r="BU1004" i="8"/>
  <c r="BT1004" i="8"/>
  <c r="BS1004" i="8"/>
  <c r="BR1004" i="8"/>
  <c r="BQ1004" i="8"/>
  <c r="BP1004" i="8"/>
  <c r="BO1004" i="8"/>
  <c r="BN1004" i="8"/>
  <c r="BM1004" i="8"/>
  <c r="BL1004" i="8"/>
  <c r="BK1004" i="8"/>
  <c r="BJ1004" i="8"/>
  <c r="BI1004" i="8"/>
  <c r="BH1004" i="8"/>
  <c r="CJ1003" i="8"/>
  <c r="CI1003" i="8"/>
  <c r="CH1003" i="8"/>
  <c r="CG1003" i="8"/>
  <c r="CF1003" i="8"/>
  <c r="CE1003" i="8"/>
  <c r="CD1003" i="8"/>
  <c r="CC1003" i="8"/>
  <c r="CB1003" i="8"/>
  <c r="CA1003" i="8"/>
  <c r="BZ1003" i="8"/>
  <c r="BY1003" i="8"/>
  <c r="BX1003" i="8"/>
  <c r="BW1003" i="8"/>
  <c r="BV1003" i="8"/>
  <c r="BU1003" i="8"/>
  <c r="BT1003" i="8"/>
  <c r="BS1003" i="8"/>
  <c r="BR1003" i="8"/>
  <c r="BQ1003" i="8"/>
  <c r="BP1003" i="8"/>
  <c r="BO1003" i="8"/>
  <c r="BN1003" i="8"/>
  <c r="BM1003" i="8"/>
  <c r="BL1003" i="8"/>
  <c r="BK1003" i="8"/>
  <c r="BJ1003" i="8"/>
  <c r="BI1003" i="8"/>
  <c r="BH1003" i="8"/>
  <c r="CJ1002" i="8"/>
  <c r="CI1002" i="8"/>
  <c r="CH1002" i="8"/>
  <c r="CG1002" i="8"/>
  <c r="CF1002" i="8"/>
  <c r="CE1002" i="8"/>
  <c r="CD1002" i="8"/>
  <c r="CC1002" i="8"/>
  <c r="CB1002" i="8"/>
  <c r="CA1002" i="8"/>
  <c r="BZ1002" i="8"/>
  <c r="BY1002" i="8"/>
  <c r="BX1002" i="8"/>
  <c r="BW1002" i="8"/>
  <c r="BV1002" i="8"/>
  <c r="BU1002" i="8"/>
  <c r="BT1002" i="8"/>
  <c r="BS1002" i="8"/>
  <c r="BR1002" i="8"/>
  <c r="BQ1002" i="8"/>
  <c r="BP1002" i="8"/>
  <c r="BO1002" i="8"/>
  <c r="BN1002" i="8"/>
  <c r="BM1002" i="8"/>
  <c r="BL1002" i="8"/>
  <c r="BK1002" i="8"/>
  <c r="BJ1002" i="8"/>
  <c r="BI1002" i="8"/>
  <c r="BH1002" i="8"/>
  <c r="CJ1001" i="8"/>
  <c r="CI1001" i="8"/>
  <c r="CH1001" i="8"/>
  <c r="CG1001" i="8"/>
  <c r="CF1001" i="8"/>
  <c r="CE1001" i="8"/>
  <c r="CD1001" i="8"/>
  <c r="CC1001" i="8"/>
  <c r="CB1001" i="8"/>
  <c r="CA1001" i="8"/>
  <c r="BZ1001" i="8"/>
  <c r="BY1001" i="8"/>
  <c r="BX1001" i="8"/>
  <c r="BW1001" i="8"/>
  <c r="BV1001" i="8"/>
  <c r="BU1001" i="8"/>
  <c r="BT1001" i="8"/>
  <c r="BS1001" i="8"/>
  <c r="BR1001" i="8"/>
  <c r="BQ1001" i="8"/>
  <c r="BP1001" i="8"/>
  <c r="BO1001" i="8"/>
  <c r="BN1001" i="8"/>
  <c r="BM1001" i="8"/>
  <c r="BL1001" i="8"/>
  <c r="BK1001" i="8"/>
  <c r="BJ1001" i="8"/>
  <c r="BI1001" i="8"/>
  <c r="BH1001" i="8"/>
  <c r="CJ1000" i="8"/>
  <c r="CI1000" i="8"/>
  <c r="CH1000" i="8"/>
  <c r="CG1000" i="8"/>
  <c r="CF1000" i="8"/>
  <c r="CE1000" i="8"/>
  <c r="CD1000" i="8"/>
  <c r="CC1000" i="8"/>
  <c r="CB1000" i="8"/>
  <c r="CA1000" i="8"/>
  <c r="BZ1000" i="8"/>
  <c r="BY1000" i="8"/>
  <c r="BX1000" i="8"/>
  <c r="BW1000" i="8"/>
  <c r="BV1000" i="8"/>
  <c r="BU1000" i="8"/>
  <c r="BT1000" i="8"/>
  <c r="BS1000" i="8"/>
  <c r="BR1000" i="8"/>
  <c r="BQ1000" i="8"/>
  <c r="BP1000" i="8"/>
  <c r="BO1000" i="8"/>
  <c r="BN1000" i="8"/>
  <c r="BM1000" i="8"/>
  <c r="BL1000" i="8"/>
  <c r="BK1000" i="8"/>
  <c r="BJ1000" i="8"/>
  <c r="BI1000" i="8"/>
  <c r="BH1000" i="8"/>
  <c r="CJ999" i="8"/>
  <c r="CI999" i="8"/>
  <c r="CH999" i="8"/>
  <c r="CG999" i="8"/>
  <c r="CF999" i="8"/>
  <c r="CE999" i="8"/>
  <c r="CD999" i="8"/>
  <c r="CC999" i="8"/>
  <c r="CB999" i="8"/>
  <c r="CA999" i="8"/>
  <c r="BZ999" i="8"/>
  <c r="BY999" i="8"/>
  <c r="BX999" i="8"/>
  <c r="BW999" i="8"/>
  <c r="BV999" i="8"/>
  <c r="BU999" i="8"/>
  <c r="BT999" i="8"/>
  <c r="BS999" i="8"/>
  <c r="BR999" i="8"/>
  <c r="BQ999" i="8"/>
  <c r="BP999" i="8"/>
  <c r="BO999" i="8"/>
  <c r="BN999" i="8"/>
  <c r="BM999" i="8"/>
  <c r="BL999" i="8"/>
  <c r="BK999" i="8"/>
  <c r="BJ999" i="8"/>
  <c r="BI999" i="8"/>
  <c r="BH999" i="8"/>
  <c r="CJ998" i="8"/>
  <c r="CI998" i="8"/>
  <c r="CH998" i="8"/>
  <c r="CG998" i="8"/>
  <c r="CF998" i="8"/>
  <c r="CE998" i="8"/>
  <c r="CD998" i="8"/>
  <c r="CC998" i="8"/>
  <c r="CB998" i="8"/>
  <c r="CA998" i="8"/>
  <c r="BZ998" i="8"/>
  <c r="BY998" i="8"/>
  <c r="BX998" i="8"/>
  <c r="BW998" i="8"/>
  <c r="BV998" i="8"/>
  <c r="BU998" i="8"/>
  <c r="BT998" i="8"/>
  <c r="BS998" i="8"/>
  <c r="BR998" i="8"/>
  <c r="BQ998" i="8"/>
  <c r="BP998" i="8"/>
  <c r="BO998" i="8"/>
  <c r="BN998" i="8"/>
  <c r="BM998" i="8"/>
  <c r="BL998" i="8"/>
  <c r="BK998" i="8"/>
  <c r="BJ998" i="8"/>
  <c r="BI998" i="8"/>
  <c r="BH998" i="8"/>
  <c r="CJ997" i="8"/>
  <c r="CI997" i="8"/>
  <c r="CH997" i="8"/>
  <c r="CG997" i="8"/>
  <c r="CF997" i="8"/>
  <c r="CE997" i="8"/>
  <c r="CD997" i="8"/>
  <c r="CC997" i="8"/>
  <c r="CB997" i="8"/>
  <c r="CA997" i="8"/>
  <c r="BZ997" i="8"/>
  <c r="BY997" i="8"/>
  <c r="BX997" i="8"/>
  <c r="BW997" i="8"/>
  <c r="BV997" i="8"/>
  <c r="BU997" i="8"/>
  <c r="BT997" i="8"/>
  <c r="BS997" i="8"/>
  <c r="BR997" i="8"/>
  <c r="BQ997" i="8"/>
  <c r="BP997" i="8"/>
  <c r="BO997" i="8"/>
  <c r="BN997" i="8"/>
  <c r="BM997" i="8"/>
  <c r="BL997" i="8"/>
  <c r="BK997" i="8"/>
  <c r="BJ997" i="8"/>
  <c r="BI997" i="8"/>
  <c r="BH997" i="8"/>
  <c r="CJ996" i="8"/>
  <c r="CI996" i="8"/>
  <c r="CH996" i="8"/>
  <c r="CG996" i="8"/>
  <c r="CF996" i="8"/>
  <c r="CE996" i="8"/>
  <c r="CD996" i="8"/>
  <c r="CC996" i="8"/>
  <c r="CB996" i="8"/>
  <c r="CA996" i="8"/>
  <c r="BZ996" i="8"/>
  <c r="BY996" i="8"/>
  <c r="BX996" i="8"/>
  <c r="BW996" i="8"/>
  <c r="BV996" i="8"/>
  <c r="BU996" i="8"/>
  <c r="BT996" i="8"/>
  <c r="BS996" i="8"/>
  <c r="BR996" i="8"/>
  <c r="BQ996" i="8"/>
  <c r="BP996" i="8"/>
  <c r="BO996" i="8"/>
  <c r="BN996" i="8"/>
  <c r="BM996" i="8"/>
  <c r="BL996" i="8"/>
  <c r="BK996" i="8"/>
  <c r="BJ996" i="8"/>
  <c r="BI996" i="8"/>
  <c r="BH996" i="8"/>
  <c r="CJ995" i="8"/>
  <c r="CI995" i="8"/>
  <c r="CH995" i="8"/>
  <c r="CG995" i="8"/>
  <c r="CF995" i="8"/>
  <c r="CE995" i="8"/>
  <c r="CD995" i="8"/>
  <c r="CC995" i="8"/>
  <c r="CB995" i="8"/>
  <c r="CA995" i="8"/>
  <c r="BZ995" i="8"/>
  <c r="BY995" i="8"/>
  <c r="BX995" i="8"/>
  <c r="BW995" i="8"/>
  <c r="BV995" i="8"/>
  <c r="BU995" i="8"/>
  <c r="BT995" i="8"/>
  <c r="BS995" i="8"/>
  <c r="BR995" i="8"/>
  <c r="BQ995" i="8"/>
  <c r="BP995" i="8"/>
  <c r="BO995" i="8"/>
  <c r="BN995" i="8"/>
  <c r="BM995" i="8"/>
  <c r="BL995" i="8"/>
  <c r="BK995" i="8"/>
  <c r="BJ995" i="8"/>
  <c r="BI995" i="8"/>
  <c r="BH995" i="8"/>
  <c r="CJ994" i="8"/>
  <c r="CI994" i="8"/>
  <c r="CH994" i="8"/>
  <c r="CG994" i="8"/>
  <c r="CF994" i="8"/>
  <c r="CE994" i="8"/>
  <c r="CD994" i="8"/>
  <c r="CC994" i="8"/>
  <c r="CB994" i="8"/>
  <c r="CA994" i="8"/>
  <c r="BZ994" i="8"/>
  <c r="BY994" i="8"/>
  <c r="BX994" i="8"/>
  <c r="BW994" i="8"/>
  <c r="BV994" i="8"/>
  <c r="BU994" i="8"/>
  <c r="BT994" i="8"/>
  <c r="BS994" i="8"/>
  <c r="BR994" i="8"/>
  <c r="BQ994" i="8"/>
  <c r="BP994" i="8"/>
  <c r="BO994" i="8"/>
  <c r="BN994" i="8"/>
  <c r="BM994" i="8"/>
  <c r="BL994" i="8"/>
  <c r="BK994" i="8"/>
  <c r="BJ994" i="8"/>
  <c r="BI994" i="8"/>
  <c r="BH994" i="8"/>
  <c r="CJ993" i="8"/>
  <c r="CI993" i="8"/>
  <c r="CH993" i="8"/>
  <c r="CG993" i="8"/>
  <c r="CF993" i="8"/>
  <c r="CE993" i="8"/>
  <c r="CD993" i="8"/>
  <c r="CC993" i="8"/>
  <c r="CB993" i="8"/>
  <c r="CA993" i="8"/>
  <c r="BZ993" i="8"/>
  <c r="BY993" i="8"/>
  <c r="BX993" i="8"/>
  <c r="BW993" i="8"/>
  <c r="BV993" i="8"/>
  <c r="BU993" i="8"/>
  <c r="BT993" i="8"/>
  <c r="BS993" i="8"/>
  <c r="BR993" i="8"/>
  <c r="BQ993" i="8"/>
  <c r="BP993" i="8"/>
  <c r="BO993" i="8"/>
  <c r="BN993" i="8"/>
  <c r="BM993" i="8"/>
  <c r="BL993" i="8"/>
  <c r="BK993" i="8"/>
  <c r="BJ993" i="8"/>
  <c r="BI993" i="8"/>
  <c r="BH993" i="8"/>
  <c r="CJ992" i="8"/>
  <c r="CI992" i="8"/>
  <c r="CH992" i="8"/>
  <c r="CG992" i="8"/>
  <c r="CF992" i="8"/>
  <c r="CE992" i="8"/>
  <c r="CD992" i="8"/>
  <c r="CC992" i="8"/>
  <c r="CB992" i="8"/>
  <c r="CA992" i="8"/>
  <c r="BZ992" i="8"/>
  <c r="BY992" i="8"/>
  <c r="BX992" i="8"/>
  <c r="BW992" i="8"/>
  <c r="BV992" i="8"/>
  <c r="BU992" i="8"/>
  <c r="BT992" i="8"/>
  <c r="BS992" i="8"/>
  <c r="BR992" i="8"/>
  <c r="BQ992" i="8"/>
  <c r="BP992" i="8"/>
  <c r="BO992" i="8"/>
  <c r="BN992" i="8"/>
  <c r="BM992" i="8"/>
  <c r="BL992" i="8"/>
  <c r="BK992" i="8"/>
  <c r="BJ992" i="8"/>
  <c r="BI992" i="8"/>
  <c r="BH992" i="8"/>
  <c r="CJ991" i="8"/>
  <c r="CI991" i="8"/>
  <c r="CH991" i="8"/>
  <c r="CG991" i="8"/>
  <c r="CF991" i="8"/>
  <c r="CE991" i="8"/>
  <c r="CD991" i="8"/>
  <c r="CC991" i="8"/>
  <c r="CB991" i="8"/>
  <c r="CA991" i="8"/>
  <c r="BZ991" i="8"/>
  <c r="BY991" i="8"/>
  <c r="BX991" i="8"/>
  <c r="BW991" i="8"/>
  <c r="BV991" i="8"/>
  <c r="BU991" i="8"/>
  <c r="BT991" i="8"/>
  <c r="BS991" i="8"/>
  <c r="BR991" i="8"/>
  <c r="BQ991" i="8"/>
  <c r="BP991" i="8"/>
  <c r="BO991" i="8"/>
  <c r="BN991" i="8"/>
  <c r="BM991" i="8"/>
  <c r="BL991" i="8"/>
  <c r="BK991" i="8"/>
  <c r="BJ991" i="8"/>
  <c r="BI991" i="8"/>
  <c r="BH991" i="8"/>
  <c r="CJ990" i="8"/>
  <c r="CI990" i="8"/>
  <c r="CH990" i="8"/>
  <c r="CG990" i="8"/>
  <c r="CF990" i="8"/>
  <c r="CE990" i="8"/>
  <c r="CD990" i="8"/>
  <c r="CC990" i="8"/>
  <c r="CB990" i="8"/>
  <c r="CA990" i="8"/>
  <c r="BZ990" i="8"/>
  <c r="BY990" i="8"/>
  <c r="BX990" i="8"/>
  <c r="BW990" i="8"/>
  <c r="BV990" i="8"/>
  <c r="BU990" i="8"/>
  <c r="BT990" i="8"/>
  <c r="BS990" i="8"/>
  <c r="BR990" i="8"/>
  <c r="BQ990" i="8"/>
  <c r="BP990" i="8"/>
  <c r="BO990" i="8"/>
  <c r="BN990" i="8"/>
  <c r="BM990" i="8"/>
  <c r="BL990" i="8"/>
  <c r="BK990" i="8"/>
  <c r="BJ990" i="8"/>
  <c r="BI990" i="8"/>
  <c r="BH990" i="8"/>
  <c r="CJ989" i="8"/>
  <c r="CI989" i="8"/>
  <c r="CH989" i="8"/>
  <c r="CG989" i="8"/>
  <c r="CF989" i="8"/>
  <c r="CE989" i="8"/>
  <c r="CD989" i="8"/>
  <c r="CC989" i="8"/>
  <c r="CB989" i="8"/>
  <c r="CA989" i="8"/>
  <c r="BZ989" i="8"/>
  <c r="BY989" i="8"/>
  <c r="BX989" i="8"/>
  <c r="BW989" i="8"/>
  <c r="BV989" i="8"/>
  <c r="BU989" i="8"/>
  <c r="BT989" i="8"/>
  <c r="BS989" i="8"/>
  <c r="BR989" i="8"/>
  <c r="BQ989" i="8"/>
  <c r="BP989" i="8"/>
  <c r="BO989" i="8"/>
  <c r="BN989" i="8"/>
  <c r="BM989" i="8"/>
  <c r="BL989" i="8"/>
  <c r="BK989" i="8"/>
  <c r="BJ989" i="8"/>
  <c r="BI989" i="8"/>
  <c r="BH989" i="8"/>
  <c r="CJ988" i="8"/>
  <c r="CI988" i="8"/>
  <c r="CH988" i="8"/>
  <c r="CG988" i="8"/>
  <c r="CF988" i="8"/>
  <c r="CE988" i="8"/>
  <c r="CD988" i="8"/>
  <c r="CC988" i="8"/>
  <c r="CB988" i="8"/>
  <c r="CA988" i="8"/>
  <c r="BZ988" i="8"/>
  <c r="BY988" i="8"/>
  <c r="BX988" i="8"/>
  <c r="BW988" i="8"/>
  <c r="BV988" i="8"/>
  <c r="BU988" i="8"/>
  <c r="BT988" i="8"/>
  <c r="BS988" i="8"/>
  <c r="BR988" i="8"/>
  <c r="BQ988" i="8"/>
  <c r="BP988" i="8"/>
  <c r="BO988" i="8"/>
  <c r="BN988" i="8"/>
  <c r="BM988" i="8"/>
  <c r="BL988" i="8"/>
  <c r="BK988" i="8"/>
  <c r="BJ988" i="8"/>
  <c r="BI988" i="8"/>
  <c r="BH988" i="8"/>
  <c r="CJ987" i="8"/>
  <c r="CI987" i="8"/>
  <c r="CH987" i="8"/>
  <c r="CG987" i="8"/>
  <c r="CF987" i="8"/>
  <c r="CE987" i="8"/>
  <c r="CD987" i="8"/>
  <c r="CC987" i="8"/>
  <c r="CB987" i="8"/>
  <c r="CA987" i="8"/>
  <c r="BZ987" i="8"/>
  <c r="BY987" i="8"/>
  <c r="BX987" i="8"/>
  <c r="BW987" i="8"/>
  <c r="BV987" i="8"/>
  <c r="BU987" i="8"/>
  <c r="BT987" i="8"/>
  <c r="BS987" i="8"/>
  <c r="BR987" i="8"/>
  <c r="BQ987" i="8"/>
  <c r="BP987" i="8"/>
  <c r="BO987" i="8"/>
  <c r="BN987" i="8"/>
  <c r="BM987" i="8"/>
  <c r="BL987" i="8"/>
  <c r="BK987" i="8"/>
  <c r="BJ987" i="8"/>
  <c r="BI987" i="8"/>
  <c r="BH987" i="8"/>
  <c r="CJ986" i="8"/>
  <c r="CI986" i="8"/>
  <c r="CH986" i="8"/>
  <c r="CG986" i="8"/>
  <c r="CF986" i="8"/>
  <c r="CE986" i="8"/>
  <c r="CD986" i="8"/>
  <c r="CC986" i="8"/>
  <c r="CB986" i="8"/>
  <c r="CA986" i="8"/>
  <c r="BZ986" i="8"/>
  <c r="BY986" i="8"/>
  <c r="BX986" i="8"/>
  <c r="BW986" i="8"/>
  <c r="BV986" i="8"/>
  <c r="BU986" i="8"/>
  <c r="BT986" i="8"/>
  <c r="BS986" i="8"/>
  <c r="BR986" i="8"/>
  <c r="BQ986" i="8"/>
  <c r="BP986" i="8"/>
  <c r="BO986" i="8"/>
  <c r="BN986" i="8"/>
  <c r="BM986" i="8"/>
  <c r="BL986" i="8"/>
  <c r="BK986" i="8"/>
  <c r="BJ986" i="8"/>
  <c r="BI986" i="8"/>
  <c r="BH986" i="8"/>
  <c r="CJ985" i="8"/>
  <c r="CI985" i="8"/>
  <c r="CH985" i="8"/>
  <c r="CG985" i="8"/>
  <c r="CF985" i="8"/>
  <c r="CE985" i="8"/>
  <c r="CD985" i="8"/>
  <c r="CC985" i="8"/>
  <c r="CB985" i="8"/>
  <c r="CA985" i="8"/>
  <c r="BZ985" i="8"/>
  <c r="BY985" i="8"/>
  <c r="BX985" i="8"/>
  <c r="BW985" i="8"/>
  <c r="BV985" i="8"/>
  <c r="BU985" i="8"/>
  <c r="BT985" i="8"/>
  <c r="BS985" i="8"/>
  <c r="BR985" i="8"/>
  <c r="BQ985" i="8"/>
  <c r="BP985" i="8"/>
  <c r="BO985" i="8"/>
  <c r="BN985" i="8"/>
  <c r="BM985" i="8"/>
  <c r="BL985" i="8"/>
  <c r="BK985" i="8"/>
  <c r="BJ985" i="8"/>
  <c r="BI985" i="8"/>
  <c r="BH985" i="8"/>
  <c r="CJ984" i="8"/>
  <c r="CI984" i="8"/>
  <c r="CH984" i="8"/>
  <c r="CG984" i="8"/>
  <c r="CF984" i="8"/>
  <c r="CE984" i="8"/>
  <c r="CD984" i="8"/>
  <c r="CC984" i="8"/>
  <c r="CB984" i="8"/>
  <c r="CA984" i="8"/>
  <c r="BZ984" i="8"/>
  <c r="BY984" i="8"/>
  <c r="BX984" i="8"/>
  <c r="BW984" i="8"/>
  <c r="BV984" i="8"/>
  <c r="BU984" i="8"/>
  <c r="BT984" i="8"/>
  <c r="BS984" i="8"/>
  <c r="BR984" i="8"/>
  <c r="BQ984" i="8"/>
  <c r="BP984" i="8"/>
  <c r="BO984" i="8"/>
  <c r="BN984" i="8"/>
  <c r="BM984" i="8"/>
  <c r="BL984" i="8"/>
  <c r="BK984" i="8"/>
  <c r="BJ984" i="8"/>
  <c r="BI984" i="8"/>
  <c r="BH984" i="8"/>
  <c r="CJ983" i="8"/>
  <c r="CI983" i="8"/>
  <c r="CH983" i="8"/>
  <c r="CG983" i="8"/>
  <c r="CF983" i="8"/>
  <c r="CE983" i="8"/>
  <c r="CD983" i="8"/>
  <c r="CC983" i="8"/>
  <c r="CB983" i="8"/>
  <c r="CA983" i="8"/>
  <c r="BZ983" i="8"/>
  <c r="BY983" i="8"/>
  <c r="BX983" i="8"/>
  <c r="BW983" i="8"/>
  <c r="BV983" i="8"/>
  <c r="BU983" i="8"/>
  <c r="BT983" i="8"/>
  <c r="BS983" i="8"/>
  <c r="BR983" i="8"/>
  <c r="BQ983" i="8"/>
  <c r="BP983" i="8"/>
  <c r="BO983" i="8"/>
  <c r="BN983" i="8"/>
  <c r="BM983" i="8"/>
  <c r="BL983" i="8"/>
  <c r="BK983" i="8"/>
  <c r="BJ983" i="8"/>
  <c r="BI983" i="8"/>
  <c r="BH983" i="8"/>
  <c r="CJ982" i="8"/>
  <c r="CI982" i="8"/>
  <c r="CH982" i="8"/>
  <c r="CG982" i="8"/>
  <c r="CF982" i="8"/>
  <c r="CE982" i="8"/>
  <c r="CD982" i="8"/>
  <c r="CC982" i="8"/>
  <c r="CB982" i="8"/>
  <c r="CA982" i="8"/>
  <c r="BZ982" i="8"/>
  <c r="BY982" i="8"/>
  <c r="BX982" i="8"/>
  <c r="BW982" i="8"/>
  <c r="BV982" i="8"/>
  <c r="BU982" i="8"/>
  <c r="BT982" i="8"/>
  <c r="BS982" i="8"/>
  <c r="BR982" i="8"/>
  <c r="BQ982" i="8"/>
  <c r="BP982" i="8"/>
  <c r="BO982" i="8"/>
  <c r="BN982" i="8"/>
  <c r="BM982" i="8"/>
  <c r="BL982" i="8"/>
  <c r="BK982" i="8"/>
  <c r="BJ982" i="8"/>
  <c r="BI982" i="8"/>
  <c r="BH982" i="8"/>
  <c r="CJ981" i="8"/>
  <c r="CI981" i="8"/>
  <c r="CH981" i="8"/>
  <c r="CG981" i="8"/>
  <c r="CF981" i="8"/>
  <c r="CE981" i="8"/>
  <c r="CD981" i="8"/>
  <c r="CC981" i="8"/>
  <c r="CB981" i="8"/>
  <c r="CA981" i="8"/>
  <c r="BZ981" i="8"/>
  <c r="BY981" i="8"/>
  <c r="BX981" i="8"/>
  <c r="BW981" i="8"/>
  <c r="BV981" i="8"/>
  <c r="BU981" i="8"/>
  <c r="BT981" i="8"/>
  <c r="BS981" i="8"/>
  <c r="BR981" i="8"/>
  <c r="BQ981" i="8"/>
  <c r="BP981" i="8"/>
  <c r="BO981" i="8"/>
  <c r="BN981" i="8"/>
  <c r="BM981" i="8"/>
  <c r="BL981" i="8"/>
  <c r="BK981" i="8"/>
  <c r="BJ981" i="8"/>
  <c r="BI981" i="8"/>
  <c r="BH981" i="8"/>
  <c r="CJ980" i="8"/>
  <c r="CI980" i="8"/>
  <c r="CH980" i="8"/>
  <c r="CG980" i="8"/>
  <c r="CF980" i="8"/>
  <c r="CE980" i="8"/>
  <c r="CD980" i="8"/>
  <c r="CC980" i="8"/>
  <c r="CB980" i="8"/>
  <c r="CA980" i="8"/>
  <c r="BZ980" i="8"/>
  <c r="BY980" i="8"/>
  <c r="BX980" i="8"/>
  <c r="BW980" i="8"/>
  <c r="BV980" i="8"/>
  <c r="BU980" i="8"/>
  <c r="BT980" i="8"/>
  <c r="BS980" i="8"/>
  <c r="BR980" i="8"/>
  <c r="BQ980" i="8"/>
  <c r="BP980" i="8"/>
  <c r="BO980" i="8"/>
  <c r="BN980" i="8"/>
  <c r="BM980" i="8"/>
  <c r="BL980" i="8"/>
  <c r="BK980" i="8"/>
  <c r="BJ980" i="8"/>
  <c r="BI980" i="8"/>
  <c r="BH980" i="8"/>
  <c r="CJ979" i="8"/>
  <c r="CI979" i="8"/>
  <c r="CH979" i="8"/>
  <c r="CG979" i="8"/>
  <c r="CF979" i="8"/>
  <c r="CE979" i="8"/>
  <c r="CD979" i="8"/>
  <c r="CC979" i="8"/>
  <c r="CB979" i="8"/>
  <c r="CA979" i="8"/>
  <c r="BZ979" i="8"/>
  <c r="BY979" i="8"/>
  <c r="BX979" i="8"/>
  <c r="BW979" i="8"/>
  <c r="BV979" i="8"/>
  <c r="BU979" i="8"/>
  <c r="BT979" i="8"/>
  <c r="BS979" i="8"/>
  <c r="BR979" i="8"/>
  <c r="BQ979" i="8"/>
  <c r="BP979" i="8"/>
  <c r="BO979" i="8"/>
  <c r="BN979" i="8"/>
  <c r="BM979" i="8"/>
  <c r="BL979" i="8"/>
  <c r="BK979" i="8"/>
  <c r="BJ979" i="8"/>
  <c r="BI979" i="8"/>
  <c r="BH979" i="8"/>
  <c r="CJ978" i="8"/>
  <c r="CI978" i="8"/>
  <c r="CH978" i="8"/>
  <c r="CG978" i="8"/>
  <c r="CF978" i="8"/>
  <c r="CE978" i="8"/>
  <c r="CD978" i="8"/>
  <c r="CC978" i="8"/>
  <c r="CB978" i="8"/>
  <c r="CA978" i="8"/>
  <c r="BZ978" i="8"/>
  <c r="BY978" i="8"/>
  <c r="BX978" i="8"/>
  <c r="BW978" i="8"/>
  <c r="BV978" i="8"/>
  <c r="BU978" i="8"/>
  <c r="BT978" i="8"/>
  <c r="BS978" i="8"/>
  <c r="BR978" i="8"/>
  <c r="BQ978" i="8"/>
  <c r="BP978" i="8"/>
  <c r="BO978" i="8"/>
  <c r="BN978" i="8"/>
  <c r="BM978" i="8"/>
  <c r="BL978" i="8"/>
  <c r="BK978" i="8"/>
  <c r="BJ978" i="8"/>
  <c r="BI978" i="8"/>
  <c r="BH978" i="8"/>
  <c r="CJ977" i="8"/>
  <c r="CI977" i="8"/>
  <c r="CH977" i="8"/>
  <c r="CG977" i="8"/>
  <c r="CF977" i="8"/>
  <c r="CE977" i="8"/>
  <c r="CD977" i="8"/>
  <c r="CC977" i="8"/>
  <c r="CB977" i="8"/>
  <c r="CA977" i="8"/>
  <c r="BZ977" i="8"/>
  <c r="BY977" i="8"/>
  <c r="BX977" i="8"/>
  <c r="BW977" i="8"/>
  <c r="BV977" i="8"/>
  <c r="BU977" i="8"/>
  <c r="BT977" i="8"/>
  <c r="BS977" i="8"/>
  <c r="BR977" i="8"/>
  <c r="BQ977" i="8"/>
  <c r="BP977" i="8"/>
  <c r="BO977" i="8"/>
  <c r="BN977" i="8"/>
  <c r="BM977" i="8"/>
  <c r="BL977" i="8"/>
  <c r="BK977" i="8"/>
  <c r="BJ977" i="8"/>
  <c r="BI977" i="8"/>
  <c r="BH977" i="8"/>
  <c r="CJ976" i="8"/>
  <c r="CI976" i="8"/>
  <c r="CH976" i="8"/>
  <c r="CG976" i="8"/>
  <c r="CF976" i="8"/>
  <c r="CE976" i="8"/>
  <c r="CD976" i="8"/>
  <c r="CC976" i="8"/>
  <c r="CB976" i="8"/>
  <c r="CA976" i="8"/>
  <c r="BZ976" i="8"/>
  <c r="BY976" i="8"/>
  <c r="BX976" i="8"/>
  <c r="BW976" i="8"/>
  <c r="BV976" i="8"/>
  <c r="BU976" i="8"/>
  <c r="BT976" i="8"/>
  <c r="BS976" i="8"/>
  <c r="BR976" i="8"/>
  <c r="BQ976" i="8"/>
  <c r="BP976" i="8"/>
  <c r="BO976" i="8"/>
  <c r="BN976" i="8"/>
  <c r="BM976" i="8"/>
  <c r="BL976" i="8"/>
  <c r="BK976" i="8"/>
  <c r="BJ976" i="8"/>
  <c r="BI976" i="8"/>
  <c r="BH976" i="8"/>
  <c r="CJ975" i="8"/>
  <c r="CI975" i="8"/>
  <c r="CH975" i="8"/>
  <c r="CG975" i="8"/>
  <c r="CF975" i="8"/>
  <c r="CE975" i="8"/>
  <c r="CD975" i="8"/>
  <c r="CC975" i="8"/>
  <c r="CB975" i="8"/>
  <c r="CA975" i="8"/>
  <c r="BZ975" i="8"/>
  <c r="BY975" i="8"/>
  <c r="BX975" i="8"/>
  <c r="BW975" i="8"/>
  <c r="BV975" i="8"/>
  <c r="BU975" i="8"/>
  <c r="BT975" i="8"/>
  <c r="BS975" i="8"/>
  <c r="BR975" i="8"/>
  <c r="BQ975" i="8"/>
  <c r="BP975" i="8"/>
  <c r="BO975" i="8"/>
  <c r="BN975" i="8"/>
  <c r="BM975" i="8"/>
  <c r="BL975" i="8"/>
  <c r="BK975" i="8"/>
  <c r="BJ975" i="8"/>
  <c r="BI975" i="8"/>
  <c r="BH975" i="8"/>
  <c r="CJ974" i="8"/>
  <c r="CI974" i="8"/>
  <c r="CH974" i="8"/>
  <c r="CG974" i="8"/>
  <c r="CF974" i="8"/>
  <c r="CE974" i="8"/>
  <c r="CD974" i="8"/>
  <c r="CC974" i="8"/>
  <c r="CB974" i="8"/>
  <c r="CA974" i="8"/>
  <c r="BZ974" i="8"/>
  <c r="BY974" i="8"/>
  <c r="BX974" i="8"/>
  <c r="BW974" i="8"/>
  <c r="BV974" i="8"/>
  <c r="BU974" i="8"/>
  <c r="BT974" i="8"/>
  <c r="BS974" i="8"/>
  <c r="BR974" i="8"/>
  <c r="BQ974" i="8"/>
  <c r="BP974" i="8"/>
  <c r="BO974" i="8"/>
  <c r="BN974" i="8"/>
  <c r="BM974" i="8"/>
  <c r="BL974" i="8"/>
  <c r="BK974" i="8"/>
  <c r="BJ974" i="8"/>
  <c r="BI974" i="8"/>
  <c r="BH974" i="8"/>
  <c r="CJ973" i="8"/>
  <c r="CI973" i="8"/>
  <c r="CH973" i="8"/>
  <c r="CG973" i="8"/>
  <c r="CF973" i="8"/>
  <c r="CE973" i="8"/>
  <c r="CD973" i="8"/>
  <c r="CC973" i="8"/>
  <c r="CB973" i="8"/>
  <c r="CA973" i="8"/>
  <c r="BZ973" i="8"/>
  <c r="BY973" i="8"/>
  <c r="BX973" i="8"/>
  <c r="BW973" i="8"/>
  <c r="BV973" i="8"/>
  <c r="BU973" i="8"/>
  <c r="BT973" i="8"/>
  <c r="BS973" i="8"/>
  <c r="BR973" i="8"/>
  <c r="BQ973" i="8"/>
  <c r="BP973" i="8"/>
  <c r="BO973" i="8"/>
  <c r="BN973" i="8"/>
  <c r="BM973" i="8"/>
  <c r="BL973" i="8"/>
  <c r="BK973" i="8"/>
  <c r="BJ973" i="8"/>
  <c r="BI973" i="8"/>
  <c r="BH973" i="8"/>
  <c r="CJ972" i="8"/>
  <c r="CI972" i="8"/>
  <c r="CH972" i="8"/>
  <c r="CG972" i="8"/>
  <c r="CF972" i="8"/>
  <c r="CE972" i="8"/>
  <c r="CD972" i="8"/>
  <c r="CC972" i="8"/>
  <c r="CB972" i="8"/>
  <c r="CA972" i="8"/>
  <c r="BZ972" i="8"/>
  <c r="BY972" i="8"/>
  <c r="BX972" i="8"/>
  <c r="BW972" i="8"/>
  <c r="BV972" i="8"/>
  <c r="BU972" i="8"/>
  <c r="BT972" i="8"/>
  <c r="BS972" i="8"/>
  <c r="BR972" i="8"/>
  <c r="BQ972" i="8"/>
  <c r="BP972" i="8"/>
  <c r="BO972" i="8"/>
  <c r="BN972" i="8"/>
  <c r="BM972" i="8"/>
  <c r="BL972" i="8"/>
  <c r="BK972" i="8"/>
  <c r="BJ972" i="8"/>
  <c r="BI972" i="8"/>
  <c r="BH972" i="8"/>
  <c r="CJ971" i="8"/>
  <c r="CI971" i="8"/>
  <c r="CH971" i="8"/>
  <c r="CG971" i="8"/>
  <c r="CF971" i="8"/>
  <c r="CE971" i="8"/>
  <c r="CD971" i="8"/>
  <c r="CC971" i="8"/>
  <c r="CB971" i="8"/>
  <c r="CA971" i="8"/>
  <c r="BZ971" i="8"/>
  <c r="BY971" i="8"/>
  <c r="BX971" i="8"/>
  <c r="BW971" i="8"/>
  <c r="BV971" i="8"/>
  <c r="BU971" i="8"/>
  <c r="BT971" i="8"/>
  <c r="BS971" i="8"/>
  <c r="BR971" i="8"/>
  <c r="BQ971" i="8"/>
  <c r="BP971" i="8"/>
  <c r="BO971" i="8"/>
  <c r="BN971" i="8"/>
  <c r="BM971" i="8"/>
  <c r="BL971" i="8"/>
  <c r="BK971" i="8"/>
  <c r="BJ971" i="8"/>
  <c r="BI971" i="8"/>
  <c r="BH971" i="8"/>
  <c r="CJ970" i="8"/>
  <c r="CI970" i="8"/>
  <c r="CH970" i="8"/>
  <c r="CG970" i="8"/>
  <c r="CF970" i="8"/>
  <c r="CE970" i="8"/>
  <c r="CD970" i="8"/>
  <c r="CC970" i="8"/>
  <c r="CB970" i="8"/>
  <c r="CA970" i="8"/>
  <c r="BZ970" i="8"/>
  <c r="BY970" i="8"/>
  <c r="BX970" i="8"/>
  <c r="BW970" i="8"/>
  <c r="BV970" i="8"/>
  <c r="BU970" i="8"/>
  <c r="BT970" i="8"/>
  <c r="BS970" i="8"/>
  <c r="BR970" i="8"/>
  <c r="BQ970" i="8"/>
  <c r="BP970" i="8"/>
  <c r="BO970" i="8"/>
  <c r="BN970" i="8"/>
  <c r="BM970" i="8"/>
  <c r="BL970" i="8"/>
  <c r="BK970" i="8"/>
  <c r="BJ970" i="8"/>
  <c r="BI970" i="8"/>
  <c r="BH970" i="8"/>
  <c r="CJ969" i="8"/>
  <c r="CI969" i="8"/>
  <c r="CH969" i="8"/>
  <c r="CG969" i="8"/>
  <c r="CF969" i="8"/>
  <c r="CE969" i="8"/>
  <c r="CD969" i="8"/>
  <c r="CC969" i="8"/>
  <c r="CB969" i="8"/>
  <c r="CA969" i="8"/>
  <c r="BZ969" i="8"/>
  <c r="BY969" i="8"/>
  <c r="BX969" i="8"/>
  <c r="BW969" i="8"/>
  <c r="BV969" i="8"/>
  <c r="BU969" i="8"/>
  <c r="BT969" i="8"/>
  <c r="BS969" i="8"/>
  <c r="BR969" i="8"/>
  <c r="BQ969" i="8"/>
  <c r="BP969" i="8"/>
  <c r="BO969" i="8"/>
  <c r="BN969" i="8"/>
  <c r="BM969" i="8"/>
  <c r="BL969" i="8"/>
  <c r="BK969" i="8"/>
  <c r="BJ969" i="8"/>
  <c r="BI969" i="8"/>
  <c r="BH969" i="8"/>
  <c r="CJ968" i="8"/>
  <c r="CI968" i="8"/>
  <c r="CH968" i="8"/>
  <c r="CG968" i="8"/>
  <c r="CF968" i="8"/>
  <c r="CE968" i="8"/>
  <c r="CD968" i="8"/>
  <c r="CC968" i="8"/>
  <c r="CB968" i="8"/>
  <c r="CA968" i="8"/>
  <c r="BZ968" i="8"/>
  <c r="BY968" i="8"/>
  <c r="BX968" i="8"/>
  <c r="BW968" i="8"/>
  <c r="BV968" i="8"/>
  <c r="BU968" i="8"/>
  <c r="BT968" i="8"/>
  <c r="BS968" i="8"/>
  <c r="BR968" i="8"/>
  <c r="BQ968" i="8"/>
  <c r="BP968" i="8"/>
  <c r="BO968" i="8"/>
  <c r="BN968" i="8"/>
  <c r="BM968" i="8"/>
  <c r="BL968" i="8"/>
  <c r="BK968" i="8"/>
  <c r="BJ968" i="8"/>
  <c r="BI968" i="8"/>
  <c r="BH968" i="8"/>
  <c r="CJ967" i="8"/>
  <c r="CI967" i="8"/>
  <c r="CH967" i="8"/>
  <c r="CG967" i="8"/>
  <c r="CF967" i="8"/>
  <c r="CE967" i="8"/>
  <c r="CD967" i="8"/>
  <c r="CC967" i="8"/>
  <c r="CB967" i="8"/>
  <c r="CA967" i="8"/>
  <c r="BZ967" i="8"/>
  <c r="BY967" i="8"/>
  <c r="BX967" i="8"/>
  <c r="BW967" i="8"/>
  <c r="BV967" i="8"/>
  <c r="BU967" i="8"/>
  <c r="BT967" i="8"/>
  <c r="BS967" i="8"/>
  <c r="BR967" i="8"/>
  <c r="BQ967" i="8"/>
  <c r="BP967" i="8"/>
  <c r="BO967" i="8"/>
  <c r="BN967" i="8"/>
  <c r="BM967" i="8"/>
  <c r="BL967" i="8"/>
  <c r="BK967" i="8"/>
  <c r="BJ967" i="8"/>
  <c r="BI967" i="8"/>
  <c r="BH967" i="8"/>
  <c r="CJ966" i="8"/>
  <c r="CI966" i="8"/>
  <c r="CH966" i="8"/>
  <c r="CG966" i="8"/>
  <c r="CF966" i="8"/>
  <c r="CE966" i="8"/>
  <c r="CD966" i="8"/>
  <c r="CC966" i="8"/>
  <c r="CB966" i="8"/>
  <c r="CA966" i="8"/>
  <c r="BZ966" i="8"/>
  <c r="BY966" i="8"/>
  <c r="BX966" i="8"/>
  <c r="BW966" i="8"/>
  <c r="BV966" i="8"/>
  <c r="BU966" i="8"/>
  <c r="BT966" i="8"/>
  <c r="BS966" i="8"/>
  <c r="BR966" i="8"/>
  <c r="BQ966" i="8"/>
  <c r="BP966" i="8"/>
  <c r="BO966" i="8"/>
  <c r="BN966" i="8"/>
  <c r="BM966" i="8"/>
  <c r="BL966" i="8"/>
  <c r="BK966" i="8"/>
  <c r="BJ966" i="8"/>
  <c r="BI966" i="8"/>
  <c r="BH966" i="8"/>
  <c r="CJ965" i="8"/>
  <c r="CI965" i="8"/>
  <c r="CH965" i="8"/>
  <c r="CG965" i="8"/>
  <c r="CF965" i="8"/>
  <c r="CE965" i="8"/>
  <c r="CD965" i="8"/>
  <c r="CC965" i="8"/>
  <c r="CB965" i="8"/>
  <c r="CA965" i="8"/>
  <c r="BZ965" i="8"/>
  <c r="BY965" i="8"/>
  <c r="BX965" i="8"/>
  <c r="BW965" i="8"/>
  <c r="BV965" i="8"/>
  <c r="BU965" i="8"/>
  <c r="BT965" i="8"/>
  <c r="BS965" i="8"/>
  <c r="BR965" i="8"/>
  <c r="BQ965" i="8"/>
  <c r="BP965" i="8"/>
  <c r="BO965" i="8"/>
  <c r="BN965" i="8"/>
  <c r="BM965" i="8"/>
  <c r="BL965" i="8"/>
  <c r="BK965" i="8"/>
  <c r="BJ965" i="8"/>
  <c r="BI965" i="8"/>
  <c r="BH965" i="8"/>
  <c r="CJ964" i="8"/>
  <c r="CI964" i="8"/>
  <c r="CH964" i="8"/>
  <c r="CG964" i="8"/>
  <c r="CF964" i="8"/>
  <c r="CE964" i="8"/>
  <c r="CD964" i="8"/>
  <c r="CC964" i="8"/>
  <c r="CB964" i="8"/>
  <c r="CA964" i="8"/>
  <c r="BZ964" i="8"/>
  <c r="BY964" i="8"/>
  <c r="BX964" i="8"/>
  <c r="BW964" i="8"/>
  <c r="BV964" i="8"/>
  <c r="BU964" i="8"/>
  <c r="BT964" i="8"/>
  <c r="BS964" i="8"/>
  <c r="BR964" i="8"/>
  <c r="BQ964" i="8"/>
  <c r="BP964" i="8"/>
  <c r="BO964" i="8"/>
  <c r="BN964" i="8"/>
  <c r="BM964" i="8"/>
  <c r="BL964" i="8"/>
  <c r="BK964" i="8"/>
  <c r="BJ964" i="8"/>
  <c r="BI964" i="8"/>
  <c r="BH964" i="8"/>
  <c r="CJ963" i="8"/>
  <c r="CI963" i="8"/>
  <c r="CH963" i="8"/>
  <c r="CG963" i="8"/>
  <c r="CF963" i="8"/>
  <c r="CE963" i="8"/>
  <c r="CD963" i="8"/>
  <c r="CC963" i="8"/>
  <c r="CB963" i="8"/>
  <c r="CA963" i="8"/>
  <c r="BZ963" i="8"/>
  <c r="BY963" i="8"/>
  <c r="BX963" i="8"/>
  <c r="BW963" i="8"/>
  <c r="BV963" i="8"/>
  <c r="BU963" i="8"/>
  <c r="BT963" i="8"/>
  <c r="BS963" i="8"/>
  <c r="BR963" i="8"/>
  <c r="BQ963" i="8"/>
  <c r="BP963" i="8"/>
  <c r="BO963" i="8"/>
  <c r="BN963" i="8"/>
  <c r="BM963" i="8"/>
  <c r="BL963" i="8"/>
  <c r="BK963" i="8"/>
  <c r="BJ963" i="8"/>
  <c r="BI963" i="8"/>
  <c r="BH963" i="8"/>
  <c r="CJ962" i="8"/>
  <c r="CI962" i="8"/>
  <c r="CH962" i="8"/>
  <c r="CG962" i="8"/>
  <c r="CF962" i="8"/>
  <c r="CE962" i="8"/>
  <c r="CD962" i="8"/>
  <c r="CC962" i="8"/>
  <c r="CB962" i="8"/>
  <c r="CA962" i="8"/>
  <c r="BZ962" i="8"/>
  <c r="BY962" i="8"/>
  <c r="BX962" i="8"/>
  <c r="BW962" i="8"/>
  <c r="BV962" i="8"/>
  <c r="BU962" i="8"/>
  <c r="BT962" i="8"/>
  <c r="BS962" i="8"/>
  <c r="BR962" i="8"/>
  <c r="BQ962" i="8"/>
  <c r="BP962" i="8"/>
  <c r="BO962" i="8"/>
  <c r="BN962" i="8"/>
  <c r="BM962" i="8"/>
  <c r="BL962" i="8"/>
  <c r="BK962" i="8"/>
  <c r="BJ962" i="8"/>
  <c r="BI962" i="8"/>
  <c r="BH962" i="8"/>
  <c r="CJ961" i="8"/>
  <c r="CI961" i="8"/>
  <c r="CH961" i="8"/>
  <c r="CG961" i="8"/>
  <c r="CF961" i="8"/>
  <c r="CE961" i="8"/>
  <c r="CD961" i="8"/>
  <c r="CC961" i="8"/>
  <c r="CB961" i="8"/>
  <c r="CA961" i="8"/>
  <c r="BZ961" i="8"/>
  <c r="BY961" i="8"/>
  <c r="BX961" i="8"/>
  <c r="BW961" i="8"/>
  <c r="BV961" i="8"/>
  <c r="BU961" i="8"/>
  <c r="BT961" i="8"/>
  <c r="BS961" i="8"/>
  <c r="BR961" i="8"/>
  <c r="BQ961" i="8"/>
  <c r="BP961" i="8"/>
  <c r="BO961" i="8"/>
  <c r="BN961" i="8"/>
  <c r="BM961" i="8"/>
  <c r="BL961" i="8"/>
  <c r="BK961" i="8"/>
  <c r="BJ961" i="8"/>
  <c r="BI961" i="8"/>
  <c r="BH961" i="8"/>
  <c r="CJ960" i="8"/>
  <c r="CI960" i="8"/>
  <c r="CH960" i="8"/>
  <c r="CG960" i="8"/>
  <c r="CF960" i="8"/>
  <c r="CE960" i="8"/>
  <c r="CD960" i="8"/>
  <c r="CC960" i="8"/>
  <c r="CB960" i="8"/>
  <c r="CA960" i="8"/>
  <c r="BZ960" i="8"/>
  <c r="BY960" i="8"/>
  <c r="BX960" i="8"/>
  <c r="BW960" i="8"/>
  <c r="BV960" i="8"/>
  <c r="BU960" i="8"/>
  <c r="BT960" i="8"/>
  <c r="BS960" i="8"/>
  <c r="BR960" i="8"/>
  <c r="BQ960" i="8"/>
  <c r="BP960" i="8"/>
  <c r="BO960" i="8"/>
  <c r="BN960" i="8"/>
  <c r="BM960" i="8"/>
  <c r="BL960" i="8"/>
  <c r="BK960" i="8"/>
  <c r="BJ960" i="8"/>
  <c r="BI960" i="8"/>
  <c r="BH960" i="8"/>
  <c r="CJ959" i="8"/>
  <c r="CI959" i="8"/>
  <c r="CH959" i="8"/>
  <c r="CG959" i="8"/>
  <c r="CF959" i="8"/>
  <c r="CE959" i="8"/>
  <c r="CD959" i="8"/>
  <c r="CC959" i="8"/>
  <c r="CB959" i="8"/>
  <c r="CA959" i="8"/>
  <c r="BZ959" i="8"/>
  <c r="BY959" i="8"/>
  <c r="BX959" i="8"/>
  <c r="BW959" i="8"/>
  <c r="BV959" i="8"/>
  <c r="BU959" i="8"/>
  <c r="BT959" i="8"/>
  <c r="BS959" i="8"/>
  <c r="BR959" i="8"/>
  <c r="BQ959" i="8"/>
  <c r="BP959" i="8"/>
  <c r="BO959" i="8"/>
  <c r="BN959" i="8"/>
  <c r="BM959" i="8"/>
  <c r="BL959" i="8"/>
  <c r="BK959" i="8"/>
  <c r="BJ959" i="8"/>
  <c r="BI959" i="8"/>
  <c r="BH959" i="8"/>
  <c r="CJ958" i="8"/>
  <c r="CI958" i="8"/>
  <c r="CH958" i="8"/>
  <c r="CG958" i="8"/>
  <c r="CF958" i="8"/>
  <c r="CE958" i="8"/>
  <c r="CD958" i="8"/>
  <c r="CC958" i="8"/>
  <c r="CB958" i="8"/>
  <c r="CA958" i="8"/>
  <c r="BZ958" i="8"/>
  <c r="BY958" i="8"/>
  <c r="BX958" i="8"/>
  <c r="BW958" i="8"/>
  <c r="BV958" i="8"/>
  <c r="BU958" i="8"/>
  <c r="BT958" i="8"/>
  <c r="BS958" i="8"/>
  <c r="BR958" i="8"/>
  <c r="BQ958" i="8"/>
  <c r="BP958" i="8"/>
  <c r="BO958" i="8"/>
  <c r="BN958" i="8"/>
  <c r="BM958" i="8"/>
  <c r="BL958" i="8"/>
  <c r="BK958" i="8"/>
  <c r="BJ958" i="8"/>
  <c r="BI958" i="8"/>
  <c r="BH958" i="8"/>
  <c r="CJ957" i="8"/>
  <c r="CI957" i="8"/>
  <c r="CH957" i="8"/>
  <c r="CG957" i="8"/>
  <c r="CF957" i="8"/>
  <c r="CE957" i="8"/>
  <c r="CD957" i="8"/>
  <c r="CC957" i="8"/>
  <c r="CB957" i="8"/>
  <c r="CA957" i="8"/>
  <c r="BZ957" i="8"/>
  <c r="BY957" i="8"/>
  <c r="BX957" i="8"/>
  <c r="BW957" i="8"/>
  <c r="BV957" i="8"/>
  <c r="BU957" i="8"/>
  <c r="BT957" i="8"/>
  <c r="BS957" i="8"/>
  <c r="BR957" i="8"/>
  <c r="BQ957" i="8"/>
  <c r="BP957" i="8"/>
  <c r="BO957" i="8"/>
  <c r="BN957" i="8"/>
  <c r="BM957" i="8"/>
  <c r="BL957" i="8"/>
  <c r="BK957" i="8"/>
  <c r="BJ957" i="8"/>
  <c r="BI957" i="8"/>
  <c r="BH957" i="8"/>
  <c r="CJ956" i="8"/>
  <c r="CI956" i="8"/>
  <c r="CH956" i="8"/>
  <c r="CG956" i="8"/>
  <c r="CF956" i="8"/>
  <c r="CE956" i="8"/>
  <c r="CD956" i="8"/>
  <c r="CC956" i="8"/>
  <c r="CB956" i="8"/>
  <c r="CA956" i="8"/>
  <c r="BZ956" i="8"/>
  <c r="BY956" i="8"/>
  <c r="BX956" i="8"/>
  <c r="BW956" i="8"/>
  <c r="BV956" i="8"/>
  <c r="BU956" i="8"/>
  <c r="BT956" i="8"/>
  <c r="BS956" i="8"/>
  <c r="BR956" i="8"/>
  <c r="BQ956" i="8"/>
  <c r="BP956" i="8"/>
  <c r="BO956" i="8"/>
  <c r="BN956" i="8"/>
  <c r="BM956" i="8"/>
  <c r="BL956" i="8"/>
  <c r="BK956" i="8"/>
  <c r="BJ956" i="8"/>
  <c r="BI956" i="8"/>
  <c r="BH956" i="8"/>
  <c r="CJ955" i="8"/>
  <c r="CI955" i="8"/>
  <c r="CH955" i="8"/>
  <c r="CG955" i="8"/>
  <c r="CF955" i="8"/>
  <c r="CE955" i="8"/>
  <c r="CD955" i="8"/>
  <c r="CC955" i="8"/>
  <c r="CB955" i="8"/>
  <c r="CA955" i="8"/>
  <c r="BZ955" i="8"/>
  <c r="BY955" i="8"/>
  <c r="BX955" i="8"/>
  <c r="BW955" i="8"/>
  <c r="BV955" i="8"/>
  <c r="BU955" i="8"/>
  <c r="BT955" i="8"/>
  <c r="BS955" i="8"/>
  <c r="BR955" i="8"/>
  <c r="BQ955" i="8"/>
  <c r="BP955" i="8"/>
  <c r="BO955" i="8"/>
  <c r="BN955" i="8"/>
  <c r="BM955" i="8"/>
  <c r="BL955" i="8"/>
  <c r="BK955" i="8"/>
  <c r="BJ955" i="8"/>
  <c r="BI955" i="8"/>
  <c r="BH955" i="8"/>
  <c r="CJ954" i="8"/>
  <c r="CI954" i="8"/>
  <c r="CH954" i="8"/>
  <c r="CG954" i="8"/>
  <c r="CF954" i="8"/>
  <c r="CE954" i="8"/>
  <c r="CD954" i="8"/>
  <c r="CC954" i="8"/>
  <c r="CB954" i="8"/>
  <c r="CA954" i="8"/>
  <c r="BZ954" i="8"/>
  <c r="BY954" i="8"/>
  <c r="BX954" i="8"/>
  <c r="BW954" i="8"/>
  <c r="BV954" i="8"/>
  <c r="BU954" i="8"/>
  <c r="BT954" i="8"/>
  <c r="BS954" i="8"/>
  <c r="BR954" i="8"/>
  <c r="BQ954" i="8"/>
  <c r="BP954" i="8"/>
  <c r="BO954" i="8"/>
  <c r="BN954" i="8"/>
  <c r="BM954" i="8"/>
  <c r="BL954" i="8"/>
  <c r="BK954" i="8"/>
  <c r="BJ954" i="8"/>
  <c r="BI954" i="8"/>
  <c r="BH954" i="8"/>
  <c r="CJ953" i="8"/>
  <c r="CI953" i="8"/>
  <c r="CH953" i="8"/>
  <c r="CG953" i="8"/>
  <c r="CF953" i="8"/>
  <c r="CE953" i="8"/>
  <c r="CD953" i="8"/>
  <c r="CC953" i="8"/>
  <c r="CB953" i="8"/>
  <c r="CA953" i="8"/>
  <c r="BZ953" i="8"/>
  <c r="BY953" i="8"/>
  <c r="BX953" i="8"/>
  <c r="BW953" i="8"/>
  <c r="BV953" i="8"/>
  <c r="BU953" i="8"/>
  <c r="BT953" i="8"/>
  <c r="BS953" i="8"/>
  <c r="BR953" i="8"/>
  <c r="BQ953" i="8"/>
  <c r="BP953" i="8"/>
  <c r="BO953" i="8"/>
  <c r="BN953" i="8"/>
  <c r="BM953" i="8"/>
  <c r="BL953" i="8"/>
  <c r="BK953" i="8"/>
  <c r="BJ953" i="8"/>
  <c r="BI953" i="8"/>
  <c r="BH953" i="8"/>
  <c r="CJ952" i="8"/>
  <c r="CI952" i="8"/>
  <c r="CH952" i="8"/>
  <c r="CG952" i="8"/>
  <c r="CF952" i="8"/>
  <c r="CE952" i="8"/>
  <c r="CD952" i="8"/>
  <c r="CC952" i="8"/>
  <c r="CB952" i="8"/>
  <c r="CA952" i="8"/>
  <c r="BZ952" i="8"/>
  <c r="BY952" i="8"/>
  <c r="BX952" i="8"/>
  <c r="BW952" i="8"/>
  <c r="BV952" i="8"/>
  <c r="BU952" i="8"/>
  <c r="BT952" i="8"/>
  <c r="BS952" i="8"/>
  <c r="BR952" i="8"/>
  <c r="BQ952" i="8"/>
  <c r="BP952" i="8"/>
  <c r="BO952" i="8"/>
  <c r="BN952" i="8"/>
  <c r="BM952" i="8"/>
  <c r="BL952" i="8"/>
  <c r="BK952" i="8"/>
  <c r="BJ952" i="8"/>
  <c r="BI952" i="8"/>
  <c r="BH952" i="8"/>
  <c r="CJ951" i="8"/>
  <c r="CI951" i="8"/>
  <c r="CH951" i="8"/>
  <c r="CG951" i="8"/>
  <c r="CF951" i="8"/>
  <c r="CE951" i="8"/>
  <c r="CD951" i="8"/>
  <c r="CC951" i="8"/>
  <c r="CB951" i="8"/>
  <c r="CA951" i="8"/>
  <c r="BZ951" i="8"/>
  <c r="BY951" i="8"/>
  <c r="BX951" i="8"/>
  <c r="BW951" i="8"/>
  <c r="BV951" i="8"/>
  <c r="BU951" i="8"/>
  <c r="BT951" i="8"/>
  <c r="BS951" i="8"/>
  <c r="BR951" i="8"/>
  <c r="BQ951" i="8"/>
  <c r="BP951" i="8"/>
  <c r="BO951" i="8"/>
  <c r="BN951" i="8"/>
  <c r="BM951" i="8"/>
  <c r="BL951" i="8"/>
  <c r="BK951" i="8"/>
  <c r="BJ951" i="8"/>
  <c r="BI951" i="8"/>
  <c r="BH951" i="8"/>
  <c r="CJ950" i="8"/>
  <c r="CI950" i="8"/>
  <c r="CH950" i="8"/>
  <c r="CG950" i="8"/>
  <c r="CF950" i="8"/>
  <c r="CE950" i="8"/>
  <c r="CD950" i="8"/>
  <c r="CC950" i="8"/>
  <c r="CB950" i="8"/>
  <c r="CA950" i="8"/>
  <c r="BZ950" i="8"/>
  <c r="BY950" i="8"/>
  <c r="BX950" i="8"/>
  <c r="BW950" i="8"/>
  <c r="BV950" i="8"/>
  <c r="BU950" i="8"/>
  <c r="BT950" i="8"/>
  <c r="BS950" i="8"/>
  <c r="BR950" i="8"/>
  <c r="BQ950" i="8"/>
  <c r="BP950" i="8"/>
  <c r="BO950" i="8"/>
  <c r="BN950" i="8"/>
  <c r="BM950" i="8"/>
  <c r="BL950" i="8"/>
  <c r="BK950" i="8"/>
  <c r="BJ950" i="8"/>
  <c r="BI950" i="8"/>
  <c r="BH950" i="8"/>
  <c r="CJ949" i="8"/>
  <c r="CI949" i="8"/>
  <c r="CH949" i="8"/>
  <c r="CG949" i="8"/>
  <c r="CF949" i="8"/>
  <c r="CE949" i="8"/>
  <c r="CD949" i="8"/>
  <c r="CC949" i="8"/>
  <c r="CB949" i="8"/>
  <c r="CA949" i="8"/>
  <c r="BZ949" i="8"/>
  <c r="BY949" i="8"/>
  <c r="BX949" i="8"/>
  <c r="BW949" i="8"/>
  <c r="BV949" i="8"/>
  <c r="BU949" i="8"/>
  <c r="BT949" i="8"/>
  <c r="BS949" i="8"/>
  <c r="BR949" i="8"/>
  <c r="BQ949" i="8"/>
  <c r="BP949" i="8"/>
  <c r="BO949" i="8"/>
  <c r="BN949" i="8"/>
  <c r="BM949" i="8"/>
  <c r="BL949" i="8"/>
  <c r="BK949" i="8"/>
  <c r="BJ949" i="8"/>
  <c r="BI949" i="8"/>
  <c r="BH949" i="8"/>
  <c r="CJ948" i="8"/>
  <c r="CI948" i="8"/>
  <c r="CH948" i="8"/>
  <c r="CG948" i="8"/>
  <c r="CF948" i="8"/>
  <c r="CE948" i="8"/>
  <c r="CD948" i="8"/>
  <c r="CC948" i="8"/>
  <c r="CB948" i="8"/>
  <c r="CA948" i="8"/>
  <c r="BZ948" i="8"/>
  <c r="BY948" i="8"/>
  <c r="BX948" i="8"/>
  <c r="BW948" i="8"/>
  <c r="BV948" i="8"/>
  <c r="BU948" i="8"/>
  <c r="BT948" i="8"/>
  <c r="BS948" i="8"/>
  <c r="BR948" i="8"/>
  <c r="BQ948" i="8"/>
  <c r="BP948" i="8"/>
  <c r="BO948" i="8"/>
  <c r="BN948" i="8"/>
  <c r="BM948" i="8"/>
  <c r="BL948" i="8"/>
  <c r="BK948" i="8"/>
  <c r="BJ948" i="8"/>
  <c r="BI948" i="8"/>
  <c r="BH948" i="8"/>
  <c r="CJ947" i="8"/>
  <c r="CI947" i="8"/>
  <c r="CH947" i="8"/>
  <c r="CG947" i="8"/>
  <c r="CF947" i="8"/>
  <c r="CE947" i="8"/>
  <c r="CD947" i="8"/>
  <c r="CC947" i="8"/>
  <c r="CB947" i="8"/>
  <c r="CA947" i="8"/>
  <c r="BZ947" i="8"/>
  <c r="BY947" i="8"/>
  <c r="BX947" i="8"/>
  <c r="BW947" i="8"/>
  <c r="BV947" i="8"/>
  <c r="BU947" i="8"/>
  <c r="BT947" i="8"/>
  <c r="BS947" i="8"/>
  <c r="BR947" i="8"/>
  <c r="BQ947" i="8"/>
  <c r="BP947" i="8"/>
  <c r="BO947" i="8"/>
  <c r="BN947" i="8"/>
  <c r="BM947" i="8"/>
  <c r="BL947" i="8"/>
  <c r="BK947" i="8"/>
  <c r="BJ947" i="8"/>
  <c r="BI947" i="8"/>
  <c r="BH947" i="8"/>
  <c r="CJ946" i="8"/>
  <c r="CI946" i="8"/>
  <c r="CH946" i="8"/>
  <c r="CG946" i="8"/>
  <c r="CF946" i="8"/>
  <c r="CE946" i="8"/>
  <c r="CD946" i="8"/>
  <c r="CC946" i="8"/>
  <c r="CB946" i="8"/>
  <c r="CA946" i="8"/>
  <c r="BZ946" i="8"/>
  <c r="BY946" i="8"/>
  <c r="BX946" i="8"/>
  <c r="BW946" i="8"/>
  <c r="BV946" i="8"/>
  <c r="BU946" i="8"/>
  <c r="BT946" i="8"/>
  <c r="BS946" i="8"/>
  <c r="BR946" i="8"/>
  <c r="BQ946" i="8"/>
  <c r="BP946" i="8"/>
  <c r="BO946" i="8"/>
  <c r="BN946" i="8"/>
  <c r="BM946" i="8"/>
  <c r="BL946" i="8"/>
  <c r="BK946" i="8"/>
  <c r="BJ946" i="8"/>
  <c r="BI946" i="8"/>
  <c r="BH946" i="8"/>
  <c r="CJ945" i="8"/>
  <c r="CI945" i="8"/>
  <c r="CH945" i="8"/>
  <c r="CG945" i="8"/>
  <c r="CF945" i="8"/>
  <c r="CE945" i="8"/>
  <c r="CD945" i="8"/>
  <c r="CC945" i="8"/>
  <c r="CB945" i="8"/>
  <c r="CA945" i="8"/>
  <c r="BZ945" i="8"/>
  <c r="BY945" i="8"/>
  <c r="BX945" i="8"/>
  <c r="BW945" i="8"/>
  <c r="BV945" i="8"/>
  <c r="BU945" i="8"/>
  <c r="BT945" i="8"/>
  <c r="BS945" i="8"/>
  <c r="BR945" i="8"/>
  <c r="BQ945" i="8"/>
  <c r="BP945" i="8"/>
  <c r="BO945" i="8"/>
  <c r="BN945" i="8"/>
  <c r="BM945" i="8"/>
  <c r="BL945" i="8"/>
  <c r="BK945" i="8"/>
  <c r="BJ945" i="8"/>
  <c r="BI945" i="8"/>
  <c r="BH945" i="8"/>
  <c r="CJ944" i="8"/>
  <c r="CI944" i="8"/>
  <c r="CH944" i="8"/>
  <c r="CG944" i="8"/>
  <c r="CF944" i="8"/>
  <c r="CE944" i="8"/>
  <c r="CD944" i="8"/>
  <c r="CC944" i="8"/>
  <c r="CB944" i="8"/>
  <c r="CA944" i="8"/>
  <c r="BZ944" i="8"/>
  <c r="BY944" i="8"/>
  <c r="BX944" i="8"/>
  <c r="BW944" i="8"/>
  <c r="BV944" i="8"/>
  <c r="BU944" i="8"/>
  <c r="BT944" i="8"/>
  <c r="BS944" i="8"/>
  <c r="BR944" i="8"/>
  <c r="BQ944" i="8"/>
  <c r="BP944" i="8"/>
  <c r="BO944" i="8"/>
  <c r="BN944" i="8"/>
  <c r="BM944" i="8"/>
  <c r="BL944" i="8"/>
  <c r="BK944" i="8"/>
  <c r="BJ944" i="8"/>
  <c r="BI944" i="8"/>
  <c r="BH944" i="8"/>
  <c r="CJ943" i="8"/>
  <c r="CI943" i="8"/>
  <c r="CH943" i="8"/>
  <c r="CG943" i="8"/>
  <c r="CF943" i="8"/>
  <c r="CE943" i="8"/>
  <c r="CD943" i="8"/>
  <c r="CC943" i="8"/>
  <c r="CB943" i="8"/>
  <c r="CA943" i="8"/>
  <c r="BZ943" i="8"/>
  <c r="BY943" i="8"/>
  <c r="BX943" i="8"/>
  <c r="BW943" i="8"/>
  <c r="BV943" i="8"/>
  <c r="BU943" i="8"/>
  <c r="BT943" i="8"/>
  <c r="BS943" i="8"/>
  <c r="BR943" i="8"/>
  <c r="BQ943" i="8"/>
  <c r="BP943" i="8"/>
  <c r="BO943" i="8"/>
  <c r="BN943" i="8"/>
  <c r="BM943" i="8"/>
  <c r="BL943" i="8"/>
  <c r="BK943" i="8"/>
  <c r="BJ943" i="8"/>
  <c r="BI943" i="8"/>
  <c r="BH943" i="8"/>
  <c r="CJ942" i="8"/>
  <c r="CI942" i="8"/>
  <c r="CH942" i="8"/>
  <c r="CG942" i="8"/>
  <c r="CF942" i="8"/>
  <c r="CE942" i="8"/>
  <c r="CD942" i="8"/>
  <c r="CC942" i="8"/>
  <c r="CB942" i="8"/>
  <c r="CA942" i="8"/>
  <c r="BZ942" i="8"/>
  <c r="BY942" i="8"/>
  <c r="BX942" i="8"/>
  <c r="BW942" i="8"/>
  <c r="BV942" i="8"/>
  <c r="BU942" i="8"/>
  <c r="BT942" i="8"/>
  <c r="BS942" i="8"/>
  <c r="BR942" i="8"/>
  <c r="BQ942" i="8"/>
  <c r="BP942" i="8"/>
  <c r="BO942" i="8"/>
  <c r="BN942" i="8"/>
  <c r="BM942" i="8"/>
  <c r="BL942" i="8"/>
  <c r="BK942" i="8"/>
  <c r="BJ942" i="8"/>
  <c r="BI942" i="8"/>
  <c r="BH942" i="8"/>
  <c r="CJ941" i="8"/>
  <c r="CI941" i="8"/>
  <c r="CH941" i="8"/>
  <c r="CG941" i="8"/>
  <c r="CF941" i="8"/>
  <c r="CE941" i="8"/>
  <c r="CD941" i="8"/>
  <c r="CC941" i="8"/>
  <c r="CB941" i="8"/>
  <c r="CA941" i="8"/>
  <c r="BZ941" i="8"/>
  <c r="BY941" i="8"/>
  <c r="BX941" i="8"/>
  <c r="BW941" i="8"/>
  <c r="BV941" i="8"/>
  <c r="BU941" i="8"/>
  <c r="BT941" i="8"/>
  <c r="BS941" i="8"/>
  <c r="BR941" i="8"/>
  <c r="BQ941" i="8"/>
  <c r="BP941" i="8"/>
  <c r="BO941" i="8"/>
  <c r="BN941" i="8"/>
  <c r="BM941" i="8"/>
  <c r="BL941" i="8"/>
  <c r="BK941" i="8"/>
  <c r="BJ941" i="8"/>
  <c r="BI941" i="8"/>
  <c r="BH941" i="8"/>
  <c r="CJ940" i="8"/>
  <c r="CI940" i="8"/>
  <c r="CH940" i="8"/>
  <c r="CG940" i="8"/>
  <c r="CF940" i="8"/>
  <c r="CE940" i="8"/>
  <c r="CD940" i="8"/>
  <c r="CC940" i="8"/>
  <c r="CB940" i="8"/>
  <c r="CA940" i="8"/>
  <c r="BZ940" i="8"/>
  <c r="BY940" i="8"/>
  <c r="BX940" i="8"/>
  <c r="BW940" i="8"/>
  <c r="BV940" i="8"/>
  <c r="BU940" i="8"/>
  <c r="BT940" i="8"/>
  <c r="BS940" i="8"/>
  <c r="BR940" i="8"/>
  <c r="BQ940" i="8"/>
  <c r="BP940" i="8"/>
  <c r="BO940" i="8"/>
  <c r="BN940" i="8"/>
  <c r="BM940" i="8"/>
  <c r="BL940" i="8"/>
  <c r="BK940" i="8"/>
  <c r="BJ940" i="8"/>
  <c r="BI940" i="8"/>
  <c r="BH940" i="8"/>
  <c r="CJ939" i="8"/>
  <c r="CI939" i="8"/>
  <c r="CH939" i="8"/>
  <c r="CG939" i="8"/>
  <c r="CF939" i="8"/>
  <c r="CE939" i="8"/>
  <c r="CD939" i="8"/>
  <c r="CC939" i="8"/>
  <c r="CB939" i="8"/>
  <c r="CA939" i="8"/>
  <c r="BZ939" i="8"/>
  <c r="BY939" i="8"/>
  <c r="BX939" i="8"/>
  <c r="BW939" i="8"/>
  <c r="BV939" i="8"/>
  <c r="BU939" i="8"/>
  <c r="BT939" i="8"/>
  <c r="BS939" i="8"/>
  <c r="BR939" i="8"/>
  <c r="BQ939" i="8"/>
  <c r="BP939" i="8"/>
  <c r="BO939" i="8"/>
  <c r="BN939" i="8"/>
  <c r="BM939" i="8"/>
  <c r="BL939" i="8"/>
  <c r="BK939" i="8"/>
  <c r="BJ939" i="8"/>
  <c r="BI939" i="8"/>
  <c r="BH939" i="8"/>
  <c r="CJ938" i="8"/>
  <c r="CI938" i="8"/>
  <c r="CH938" i="8"/>
  <c r="CG938" i="8"/>
  <c r="CF938" i="8"/>
  <c r="CE938" i="8"/>
  <c r="CD938" i="8"/>
  <c r="CC938" i="8"/>
  <c r="CB938" i="8"/>
  <c r="CA938" i="8"/>
  <c r="BZ938" i="8"/>
  <c r="BY938" i="8"/>
  <c r="BX938" i="8"/>
  <c r="BW938" i="8"/>
  <c r="BV938" i="8"/>
  <c r="BU938" i="8"/>
  <c r="BT938" i="8"/>
  <c r="BS938" i="8"/>
  <c r="BR938" i="8"/>
  <c r="BQ938" i="8"/>
  <c r="BP938" i="8"/>
  <c r="BO938" i="8"/>
  <c r="BN938" i="8"/>
  <c r="BM938" i="8"/>
  <c r="BL938" i="8"/>
  <c r="BK938" i="8"/>
  <c r="BJ938" i="8"/>
  <c r="BI938" i="8"/>
  <c r="BH938" i="8"/>
  <c r="CJ937" i="8"/>
  <c r="CI937" i="8"/>
  <c r="CH937" i="8"/>
  <c r="CG937" i="8"/>
  <c r="CF937" i="8"/>
  <c r="CE937" i="8"/>
  <c r="CD937" i="8"/>
  <c r="CC937" i="8"/>
  <c r="CB937" i="8"/>
  <c r="CA937" i="8"/>
  <c r="BZ937" i="8"/>
  <c r="BY937" i="8"/>
  <c r="BX937" i="8"/>
  <c r="BW937" i="8"/>
  <c r="BV937" i="8"/>
  <c r="BU937" i="8"/>
  <c r="BT937" i="8"/>
  <c r="BS937" i="8"/>
  <c r="BR937" i="8"/>
  <c r="BQ937" i="8"/>
  <c r="BP937" i="8"/>
  <c r="BO937" i="8"/>
  <c r="BN937" i="8"/>
  <c r="BM937" i="8"/>
  <c r="BL937" i="8"/>
  <c r="BK937" i="8"/>
  <c r="BJ937" i="8"/>
  <c r="BI937" i="8"/>
  <c r="BH937" i="8"/>
  <c r="CJ936" i="8"/>
  <c r="CI936" i="8"/>
  <c r="CH936" i="8"/>
  <c r="CG936" i="8"/>
  <c r="CF936" i="8"/>
  <c r="CE936" i="8"/>
  <c r="CD936" i="8"/>
  <c r="CC936" i="8"/>
  <c r="CB936" i="8"/>
  <c r="CA936" i="8"/>
  <c r="BZ936" i="8"/>
  <c r="BY936" i="8"/>
  <c r="BX936" i="8"/>
  <c r="BW936" i="8"/>
  <c r="BV936" i="8"/>
  <c r="BU936" i="8"/>
  <c r="BT936" i="8"/>
  <c r="BS936" i="8"/>
  <c r="BR936" i="8"/>
  <c r="BQ936" i="8"/>
  <c r="BP936" i="8"/>
  <c r="BO936" i="8"/>
  <c r="BN936" i="8"/>
  <c r="BM936" i="8"/>
  <c r="BL936" i="8"/>
  <c r="BK936" i="8"/>
  <c r="BJ936" i="8"/>
  <c r="BI936" i="8"/>
  <c r="BH936" i="8"/>
  <c r="CJ935" i="8"/>
  <c r="CI935" i="8"/>
  <c r="CH935" i="8"/>
  <c r="CG935" i="8"/>
  <c r="CF935" i="8"/>
  <c r="CE935" i="8"/>
  <c r="CD935" i="8"/>
  <c r="CC935" i="8"/>
  <c r="CB935" i="8"/>
  <c r="CA935" i="8"/>
  <c r="BZ935" i="8"/>
  <c r="BY935" i="8"/>
  <c r="BX935" i="8"/>
  <c r="BW935" i="8"/>
  <c r="BV935" i="8"/>
  <c r="BU935" i="8"/>
  <c r="BT935" i="8"/>
  <c r="BS935" i="8"/>
  <c r="BR935" i="8"/>
  <c r="BQ935" i="8"/>
  <c r="BP935" i="8"/>
  <c r="BO935" i="8"/>
  <c r="BN935" i="8"/>
  <c r="BM935" i="8"/>
  <c r="BL935" i="8"/>
  <c r="BK935" i="8"/>
  <c r="BJ935" i="8"/>
  <c r="BI935" i="8"/>
  <c r="BH935" i="8"/>
  <c r="CJ934" i="8"/>
  <c r="CI934" i="8"/>
  <c r="CH934" i="8"/>
  <c r="CG934" i="8"/>
  <c r="CF934" i="8"/>
  <c r="CE934" i="8"/>
  <c r="CD934" i="8"/>
  <c r="CC934" i="8"/>
  <c r="CB934" i="8"/>
  <c r="CA934" i="8"/>
  <c r="BZ934" i="8"/>
  <c r="BY934" i="8"/>
  <c r="BX934" i="8"/>
  <c r="BW934" i="8"/>
  <c r="BV934" i="8"/>
  <c r="BU934" i="8"/>
  <c r="BT934" i="8"/>
  <c r="BS934" i="8"/>
  <c r="BR934" i="8"/>
  <c r="BQ934" i="8"/>
  <c r="BP934" i="8"/>
  <c r="BO934" i="8"/>
  <c r="BN934" i="8"/>
  <c r="BM934" i="8"/>
  <c r="BL934" i="8"/>
  <c r="BK934" i="8"/>
  <c r="BJ934" i="8"/>
  <c r="BI934" i="8"/>
  <c r="BH934" i="8"/>
  <c r="CJ933" i="8"/>
  <c r="CI933" i="8"/>
  <c r="CH933" i="8"/>
  <c r="CG933" i="8"/>
  <c r="CF933" i="8"/>
  <c r="CE933" i="8"/>
  <c r="CD933" i="8"/>
  <c r="CC933" i="8"/>
  <c r="CB933" i="8"/>
  <c r="CA933" i="8"/>
  <c r="BZ933" i="8"/>
  <c r="BY933" i="8"/>
  <c r="BX933" i="8"/>
  <c r="BW933" i="8"/>
  <c r="BV933" i="8"/>
  <c r="BU933" i="8"/>
  <c r="BT933" i="8"/>
  <c r="BS933" i="8"/>
  <c r="BR933" i="8"/>
  <c r="BQ933" i="8"/>
  <c r="BP933" i="8"/>
  <c r="BO933" i="8"/>
  <c r="BN933" i="8"/>
  <c r="BM933" i="8"/>
  <c r="BL933" i="8"/>
  <c r="BK933" i="8"/>
  <c r="BJ933" i="8"/>
  <c r="BI933" i="8"/>
  <c r="BH933" i="8"/>
  <c r="CJ932" i="8"/>
  <c r="CI932" i="8"/>
  <c r="CH932" i="8"/>
  <c r="CG932" i="8"/>
  <c r="CF932" i="8"/>
  <c r="CE932" i="8"/>
  <c r="CD932" i="8"/>
  <c r="CC932" i="8"/>
  <c r="CB932" i="8"/>
  <c r="CA932" i="8"/>
  <c r="BZ932" i="8"/>
  <c r="BY932" i="8"/>
  <c r="BX932" i="8"/>
  <c r="BW932" i="8"/>
  <c r="BV932" i="8"/>
  <c r="BU932" i="8"/>
  <c r="BT932" i="8"/>
  <c r="BS932" i="8"/>
  <c r="BR932" i="8"/>
  <c r="BQ932" i="8"/>
  <c r="BP932" i="8"/>
  <c r="BO932" i="8"/>
  <c r="BN932" i="8"/>
  <c r="BM932" i="8"/>
  <c r="BL932" i="8"/>
  <c r="BK932" i="8"/>
  <c r="BJ932" i="8"/>
  <c r="BI932" i="8"/>
  <c r="BH932" i="8"/>
  <c r="CJ931" i="8"/>
  <c r="CI931" i="8"/>
  <c r="CH931" i="8"/>
  <c r="CG931" i="8"/>
  <c r="CF931" i="8"/>
  <c r="CE931" i="8"/>
  <c r="CD931" i="8"/>
  <c r="CC931" i="8"/>
  <c r="CB931" i="8"/>
  <c r="CA931" i="8"/>
  <c r="BZ931" i="8"/>
  <c r="BY931" i="8"/>
  <c r="BX931" i="8"/>
  <c r="BW931" i="8"/>
  <c r="BV931" i="8"/>
  <c r="BU931" i="8"/>
  <c r="BT931" i="8"/>
  <c r="BS931" i="8"/>
  <c r="BR931" i="8"/>
  <c r="BQ931" i="8"/>
  <c r="BP931" i="8"/>
  <c r="BO931" i="8"/>
  <c r="BN931" i="8"/>
  <c r="BM931" i="8"/>
  <c r="BL931" i="8"/>
  <c r="BK931" i="8"/>
  <c r="BJ931" i="8"/>
  <c r="BI931" i="8"/>
  <c r="BH931" i="8"/>
  <c r="CJ930" i="8"/>
  <c r="CI930" i="8"/>
  <c r="CH930" i="8"/>
  <c r="CG930" i="8"/>
  <c r="CF930" i="8"/>
  <c r="CE930" i="8"/>
  <c r="CD930" i="8"/>
  <c r="CC930" i="8"/>
  <c r="CB930" i="8"/>
  <c r="CA930" i="8"/>
  <c r="BZ930" i="8"/>
  <c r="BY930" i="8"/>
  <c r="BX930" i="8"/>
  <c r="BW930" i="8"/>
  <c r="BV930" i="8"/>
  <c r="BU930" i="8"/>
  <c r="BT930" i="8"/>
  <c r="BS930" i="8"/>
  <c r="BR930" i="8"/>
  <c r="BQ930" i="8"/>
  <c r="BP930" i="8"/>
  <c r="BO930" i="8"/>
  <c r="BN930" i="8"/>
  <c r="BM930" i="8"/>
  <c r="BL930" i="8"/>
  <c r="BK930" i="8"/>
  <c r="BJ930" i="8"/>
  <c r="BI930" i="8"/>
  <c r="BH930" i="8"/>
  <c r="CJ929" i="8"/>
  <c r="CI929" i="8"/>
  <c r="CH929" i="8"/>
  <c r="CG929" i="8"/>
  <c r="CF929" i="8"/>
  <c r="CE929" i="8"/>
  <c r="CD929" i="8"/>
  <c r="CC929" i="8"/>
  <c r="CB929" i="8"/>
  <c r="CA929" i="8"/>
  <c r="BZ929" i="8"/>
  <c r="BY929" i="8"/>
  <c r="BX929" i="8"/>
  <c r="BW929" i="8"/>
  <c r="BV929" i="8"/>
  <c r="BU929" i="8"/>
  <c r="BT929" i="8"/>
  <c r="BS929" i="8"/>
  <c r="BR929" i="8"/>
  <c r="BQ929" i="8"/>
  <c r="BP929" i="8"/>
  <c r="BO929" i="8"/>
  <c r="BN929" i="8"/>
  <c r="BM929" i="8"/>
  <c r="BL929" i="8"/>
  <c r="BK929" i="8"/>
  <c r="BJ929" i="8"/>
  <c r="BI929" i="8"/>
  <c r="BH929" i="8"/>
  <c r="CJ928" i="8"/>
  <c r="CI928" i="8"/>
  <c r="CH928" i="8"/>
  <c r="CG928" i="8"/>
  <c r="CF928" i="8"/>
  <c r="CE928" i="8"/>
  <c r="CD928" i="8"/>
  <c r="CC928" i="8"/>
  <c r="CB928" i="8"/>
  <c r="CA928" i="8"/>
  <c r="BZ928" i="8"/>
  <c r="BY928" i="8"/>
  <c r="BX928" i="8"/>
  <c r="BW928" i="8"/>
  <c r="BV928" i="8"/>
  <c r="BU928" i="8"/>
  <c r="BT928" i="8"/>
  <c r="BS928" i="8"/>
  <c r="BR928" i="8"/>
  <c r="BQ928" i="8"/>
  <c r="BP928" i="8"/>
  <c r="BO928" i="8"/>
  <c r="BN928" i="8"/>
  <c r="BM928" i="8"/>
  <c r="BL928" i="8"/>
  <c r="BK928" i="8"/>
  <c r="BJ928" i="8"/>
  <c r="BI928" i="8"/>
  <c r="BH928" i="8"/>
  <c r="CJ927" i="8"/>
  <c r="CI927" i="8"/>
  <c r="CH927" i="8"/>
  <c r="CG927" i="8"/>
  <c r="CF927" i="8"/>
  <c r="CE927" i="8"/>
  <c r="CD927" i="8"/>
  <c r="CC927" i="8"/>
  <c r="CB927" i="8"/>
  <c r="CA927" i="8"/>
  <c r="BZ927" i="8"/>
  <c r="BY927" i="8"/>
  <c r="BX927" i="8"/>
  <c r="BW927" i="8"/>
  <c r="BV927" i="8"/>
  <c r="BU927" i="8"/>
  <c r="BT927" i="8"/>
  <c r="BS927" i="8"/>
  <c r="BR927" i="8"/>
  <c r="BQ927" i="8"/>
  <c r="BP927" i="8"/>
  <c r="BO927" i="8"/>
  <c r="BN927" i="8"/>
  <c r="BM927" i="8"/>
  <c r="BL927" i="8"/>
  <c r="BK927" i="8"/>
  <c r="BJ927" i="8"/>
  <c r="BI927" i="8"/>
  <c r="BH927" i="8"/>
  <c r="CJ926" i="8"/>
  <c r="CI926" i="8"/>
  <c r="CH926" i="8"/>
  <c r="CG926" i="8"/>
  <c r="CF926" i="8"/>
  <c r="CE926" i="8"/>
  <c r="CD926" i="8"/>
  <c r="CC926" i="8"/>
  <c r="CB926" i="8"/>
  <c r="CA926" i="8"/>
  <c r="BZ926" i="8"/>
  <c r="BY926" i="8"/>
  <c r="BX926" i="8"/>
  <c r="BW926" i="8"/>
  <c r="BV926" i="8"/>
  <c r="BU926" i="8"/>
  <c r="BT926" i="8"/>
  <c r="BS926" i="8"/>
  <c r="BR926" i="8"/>
  <c r="BQ926" i="8"/>
  <c r="BP926" i="8"/>
  <c r="BO926" i="8"/>
  <c r="BN926" i="8"/>
  <c r="BM926" i="8"/>
  <c r="BL926" i="8"/>
  <c r="BK926" i="8"/>
  <c r="BJ926" i="8"/>
  <c r="BI926" i="8"/>
  <c r="BH926" i="8"/>
  <c r="CJ925" i="8"/>
  <c r="CI925" i="8"/>
  <c r="CH925" i="8"/>
  <c r="CG925" i="8"/>
  <c r="CF925" i="8"/>
  <c r="CE925" i="8"/>
  <c r="CD925" i="8"/>
  <c r="CC925" i="8"/>
  <c r="CB925" i="8"/>
  <c r="CA925" i="8"/>
  <c r="BZ925" i="8"/>
  <c r="BY925" i="8"/>
  <c r="BX925" i="8"/>
  <c r="BW925" i="8"/>
  <c r="BV925" i="8"/>
  <c r="BU925" i="8"/>
  <c r="BT925" i="8"/>
  <c r="BS925" i="8"/>
  <c r="BR925" i="8"/>
  <c r="BQ925" i="8"/>
  <c r="BP925" i="8"/>
  <c r="BO925" i="8"/>
  <c r="BN925" i="8"/>
  <c r="BM925" i="8"/>
  <c r="BL925" i="8"/>
  <c r="BK925" i="8"/>
  <c r="BJ925" i="8"/>
  <c r="BI925" i="8"/>
  <c r="BH925" i="8"/>
  <c r="CJ924" i="8"/>
  <c r="CI924" i="8"/>
  <c r="CH924" i="8"/>
  <c r="CG924" i="8"/>
  <c r="CF924" i="8"/>
  <c r="CE924" i="8"/>
  <c r="CD924" i="8"/>
  <c r="CC924" i="8"/>
  <c r="CB924" i="8"/>
  <c r="CA924" i="8"/>
  <c r="BZ924" i="8"/>
  <c r="BY924" i="8"/>
  <c r="BX924" i="8"/>
  <c r="BW924" i="8"/>
  <c r="BV924" i="8"/>
  <c r="BU924" i="8"/>
  <c r="BT924" i="8"/>
  <c r="BS924" i="8"/>
  <c r="BR924" i="8"/>
  <c r="BQ924" i="8"/>
  <c r="BP924" i="8"/>
  <c r="BO924" i="8"/>
  <c r="BN924" i="8"/>
  <c r="BM924" i="8"/>
  <c r="BL924" i="8"/>
  <c r="BK924" i="8"/>
  <c r="BJ924" i="8"/>
  <c r="BI924" i="8"/>
  <c r="BH924" i="8"/>
  <c r="CJ923" i="8"/>
  <c r="CI923" i="8"/>
  <c r="CH923" i="8"/>
  <c r="CG923" i="8"/>
  <c r="CF923" i="8"/>
  <c r="CE923" i="8"/>
  <c r="CD923" i="8"/>
  <c r="CC923" i="8"/>
  <c r="CB923" i="8"/>
  <c r="CA923" i="8"/>
  <c r="BZ923" i="8"/>
  <c r="BY923" i="8"/>
  <c r="BX923" i="8"/>
  <c r="BW923" i="8"/>
  <c r="BV923" i="8"/>
  <c r="BU923" i="8"/>
  <c r="BT923" i="8"/>
  <c r="BS923" i="8"/>
  <c r="BR923" i="8"/>
  <c r="BQ923" i="8"/>
  <c r="BP923" i="8"/>
  <c r="BO923" i="8"/>
  <c r="BN923" i="8"/>
  <c r="BM923" i="8"/>
  <c r="BL923" i="8"/>
  <c r="BK923" i="8"/>
  <c r="BJ923" i="8"/>
  <c r="BI923" i="8"/>
  <c r="BH923" i="8"/>
  <c r="CJ922" i="8"/>
  <c r="CI922" i="8"/>
  <c r="CH922" i="8"/>
  <c r="CG922" i="8"/>
  <c r="CF922" i="8"/>
  <c r="CE922" i="8"/>
  <c r="CD922" i="8"/>
  <c r="CC922" i="8"/>
  <c r="CB922" i="8"/>
  <c r="CA922" i="8"/>
  <c r="BZ922" i="8"/>
  <c r="BY922" i="8"/>
  <c r="BX922" i="8"/>
  <c r="BW922" i="8"/>
  <c r="BV922" i="8"/>
  <c r="BU922" i="8"/>
  <c r="BT922" i="8"/>
  <c r="BS922" i="8"/>
  <c r="BR922" i="8"/>
  <c r="BQ922" i="8"/>
  <c r="BP922" i="8"/>
  <c r="BO922" i="8"/>
  <c r="BN922" i="8"/>
  <c r="BM922" i="8"/>
  <c r="BL922" i="8"/>
  <c r="BK922" i="8"/>
  <c r="BJ922" i="8"/>
  <c r="BI922" i="8"/>
  <c r="BH922" i="8"/>
  <c r="CJ921" i="8"/>
  <c r="CI921" i="8"/>
  <c r="CH921" i="8"/>
  <c r="CG921" i="8"/>
  <c r="CF921" i="8"/>
  <c r="CE921" i="8"/>
  <c r="CD921" i="8"/>
  <c r="CC921" i="8"/>
  <c r="CB921" i="8"/>
  <c r="CA921" i="8"/>
  <c r="BZ921" i="8"/>
  <c r="BY921" i="8"/>
  <c r="BX921" i="8"/>
  <c r="BW921" i="8"/>
  <c r="BV921" i="8"/>
  <c r="BU921" i="8"/>
  <c r="BT921" i="8"/>
  <c r="BS921" i="8"/>
  <c r="BR921" i="8"/>
  <c r="BQ921" i="8"/>
  <c r="BP921" i="8"/>
  <c r="BO921" i="8"/>
  <c r="BN921" i="8"/>
  <c r="BM921" i="8"/>
  <c r="BL921" i="8"/>
  <c r="BK921" i="8"/>
  <c r="BJ921" i="8"/>
  <c r="BI921" i="8"/>
  <c r="BH921" i="8"/>
  <c r="CJ920" i="8"/>
  <c r="CI920" i="8"/>
  <c r="CH920" i="8"/>
  <c r="CG920" i="8"/>
  <c r="CF920" i="8"/>
  <c r="CE920" i="8"/>
  <c r="CD920" i="8"/>
  <c r="CC920" i="8"/>
  <c r="CB920" i="8"/>
  <c r="CA920" i="8"/>
  <c r="BZ920" i="8"/>
  <c r="BY920" i="8"/>
  <c r="BX920" i="8"/>
  <c r="BW920" i="8"/>
  <c r="BV920" i="8"/>
  <c r="BU920" i="8"/>
  <c r="BT920" i="8"/>
  <c r="BS920" i="8"/>
  <c r="BR920" i="8"/>
  <c r="BQ920" i="8"/>
  <c r="BP920" i="8"/>
  <c r="BO920" i="8"/>
  <c r="BN920" i="8"/>
  <c r="BM920" i="8"/>
  <c r="BL920" i="8"/>
  <c r="BK920" i="8"/>
  <c r="BJ920" i="8"/>
  <c r="BI920" i="8"/>
  <c r="BH920" i="8"/>
  <c r="CJ919" i="8"/>
  <c r="CI919" i="8"/>
  <c r="CH919" i="8"/>
  <c r="CG919" i="8"/>
  <c r="CF919" i="8"/>
  <c r="CE919" i="8"/>
  <c r="CD919" i="8"/>
  <c r="CC919" i="8"/>
  <c r="CB919" i="8"/>
  <c r="CA919" i="8"/>
  <c r="BZ919" i="8"/>
  <c r="BY919" i="8"/>
  <c r="BX919" i="8"/>
  <c r="BW919" i="8"/>
  <c r="BV919" i="8"/>
  <c r="BU919" i="8"/>
  <c r="BT919" i="8"/>
  <c r="BS919" i="8"/>
  <c r="BR919" i="8"/>
  <c r="BQ919" i="8"/>
  <c r="BP919" i="8"/>
  <c r="BO919" i="8"/>
  <c r="BN919" i="8"/>
  <c r="BM919" i="8"/>
  <c r="BL919" i="8"/>
  <c r="BK919" i="8"/>
  <c r="BJ919" i="8"/>
  <c r="BI919" i="8"/>
  <c r="BH919" i="8"/>
  <c r="CJ918" i="8"/>
  <c r="CI918" i="8"/>
  <c r="CH918" i="8"/>
  <c r="CG918" i="8"/>
  <c r="CF918" i="8"/>
  <c r="CE918" i="8"/>
  <c r="CD918" i="8"/>
  <c r="CC918" i="8"/>
  <c r="CB918" i="8"/>
  <c r="CA918" i="8"/>
  <c r="BZ918" i="8"/>
  <c r="BY918" i="8"/>
  <c r="BX918" i="8"/>
  <c r="BW918" i="8"/>
  <c r="BV918" i="8"/>
  <c r="BU918" i="8"/>
  <c r="BT918" i="8"/>
  <c r="BS918" i="8"/>
  <c r="BR918" i="8"/>
  <c r="BQ918" i="8"/>
  <c r="BP918" i="8"/>
  <c r="BO918" i="8"/>
  <c r="BN918" i="8"/>
  <c r="BM918" i="8"/>
  <c r="BL918" i="8"/>
  <c r="BK918" i="8"/>
  <c r="BJ918" i="8"/>
  <c r="BI918" i="8"/>
  <c r="BH918" i="8"/>
  <c r="CJ917" i="8"/>
  <c r="CI917" i="8"/>
  <c r="CH917" i="8"/>
  <c r="CG917" i="8"/>
  <c r="CF917" i="8"/>
  <c r="CE917" i="8"/>
  <c r="CD917" i="8"/>
  <c r="CC917" i="8"/>
  <c r="CB917" i="8"/>
  <c r="CA917" i="8"/>
  <c r="BZ917" i="8"/>
  <c r="BY917" i="8"/>
  <c r="BX917" i="8"/>
  <c r="BW917" i="8"/>
  <c r="BV917" i="8"/>
  <c r="BU917" i="8"/>
  <c r="BT917" i="8"/>
  <c r="BS917" i="8"/>
  <c r="BR917" i="8"/>
  <c r="BQ917" i="8"/>
  <c r="BP917" i="8"/>
  <c r="BO917" i="8"/>
  <c r="BN917" i="8"/>
  <c r="BM917" i="8"/>
  <c r="BL917" i="8"/>
  <c r="BK917" i="8"/>
  <c r="BJ917" i="8"/>
  <c r="BI917" i="8"/>
  <c r="BH917" i="8"/>
  <c r="CJ916" i="8"/>
  <c r="CI916" i="8"/>
  <c r="CH916" i="8"/>
  <c r="CG916" i="8"/>
  <c r="CF916" i="8"/>
  <c r="CE916" i="8"/>
  <c r="CD916" i="8"/>
  <c r="CC916" i="8"/>
  <c r="CB916" i="8"/>
  <c r="CA916" i="8"/>
  <c r="BZ916" i="8"/>
  <c r="BY916" i="8"/>
  <c r="BX916" i="8"/>
  <c r="BW916" i="8"/>
  <c r="BV916" i="8"/>
  <c r="BU916" i="8"/>
  <c r="BT916" i="8"/>
  <c r="BS916" i="8"/>
  <c r="BR916" i="8"/>
  <c r="BQ916" i="8"/>
  <c r="BP916" i="8"/>
  <c r="BO916" i="8"/>
  <c r="BN916" i="8"/>
  <c r="BM916" i="8"/>
  <c r="BL916" i="8"/>
  <c r="BK916" i="8"/>
  <c r="BJ916" i="8"/>
  <c r="BI916" i="8"/>
  <c r="BH916" i="8"/>
  <c r="CJ915" i="8"/>
  <c r="CI915" i="8"/>
  <c r="CH915" i="8"/>
  <c r="CG915" i="8"/>
  <c r="CF915" i="8"/>
  <c r="CE915" i="8"/>
  <c r="CD915" i="8"/>
  <c r="CC915" i="8"/>
  <c r="CB915" i="8"/>
  <c r="CA915" i="8"/>
  <c r="BZ915" i="8"/>
  <c r="BY915" i="8"/>
  <c r="BX915" i="8"/>
  <c r="BW915" i="8"/>
  <c r="BV915" i="8"/>
  <c r="BU915" i="8"/>
  <c r="BT915" i="8"/>
  <c r="BS915" i="8"/>
  <c r="BR915" i="8"/>
  <c r="BQ915" i="8"/>
  <c r="BP915" i="8"/>
  <c r="BO915" i="8"/>
  <c r="BN915" i="8"/>
  <c r="BM915" i="8"/>
  <c r="BL915" i="8"/>
  <c r="BK915" i="8"/>
  <c r="BJ915" i="8"/>
  <c r="BI915" i="8"/>
  <c r="BH915" i="8"/>
  <c r="CJ914" i="8"/>
  <c r="CI914" i="8"/>
  <c r="CH914" i="8"/>
  <c r="CG914" i="8"/>
  <c r="CF914" i="8"/>
  <c r="CE914" i="8"/>
  <c r="CD914" i="8"/>
  <c r="CC914" i="8"/>
  <c r="CB914" i="8"/>
  <c r="CA914" i="8"/>
  <c r="BZ914" i="8"/>
  <c r="BY914" i="8"/>
  <c r="BX914" i="8"/>
  <c r="BW914" i="8"/>
  <c r="BV914" i="8"/>
  <c r="BU914" i="8"/>
  <c r="BT914" i="8"/>
  <c r="BS914" i="8"/>
  <c r="BR914" i="8"/>
  <c r="BQ914" i="8"/>
  <c r="BP914" i="8"/>
  <c r="BO914" i="8"/>
  <c r="BN914" i="8"/>
  <c r="BM914" i="8"/>
  <c r="BL914" i="8"/>
  <c r="BK914" i="8"/>
  <c r="BJ914" i="8"/>
  <c r="BI914" i="8"/>
  <c r="BH914" i="8"/>
  <c r="CJ913" i="8"/>
  <c r="CI913" i="8"/>
  <c r="CH913" i="8"/>
  <c r="CG913" i="8"/>
  <c r="CF913" i="8"/>
  <c r="CE913" i="8"/>
  <c r="CD913" i="8"/>
  <c r="CC913" i="8"/>
  <c r="CB913" i="8"/>
  <c r="CA913" i="8"/>
  <c r="BZ913" i="8"/>
  <c r="BY913" i="8"/>
  <c r="BX913" i="8"/>
  <c r="BW913" i="8"/>
  <c r="BV913" i="8"/>
  <c r="BU913" i="8"/>
  <c r="BT913" i="8"/>
  <c r="BS913" i="8"/>
  <c r="BR913" i="8"/>
  <c r="BQ913" i="8"/>
  <c r="BP913" i="8"/>
  <c r="BO913" i="8"/>
  <c r="BN913" i="8"/>
  <c r="BM913" i="8"/>
  <c r="BL913" i="8"/>
  <c r="BK913" i="8"/>
  <c r="BJ913" i="8"/>
  <c r="BI913" i="8"/>
  <c r="BH913" i="8"/>
  <c r="CJ912" i="8"/>
  <c r="CI912" i="8"/>
  <c r="CH912" i="8"/>
  <c r="CG912" i="8"/>
  <c r="CF912" i="8"/>
  <c r="CE912" i="8"/>
  <c r="CD912" i="8"/>
  <c r="CC912" i="8"/>
  <c r="CB912" i="8"/>
  <c r="CA912" i="8"/>
  <c r="BZ912" i="8"/>
  <c r="BY912" i="8"/>
  <c r="BX912" i="8"/>
  <c r="BW912" i="8"/>
  <c r="BV912" i="8"/>
  <c r="BU912" i="8"/>
  <c r="BT912" i="8"/>
  <c r="BS912" i="8"/>
  <c r="BR912" i="8"/>
  <c r="BQ912" i="8"/>
  <c r="BP912" i="8"/>
  <c r="BO912" i="8"/>
  <c r="BN912" i="8"/>
  <c r="BM912" i="8"/>
  <c r="BL912" i="8"/>
  <c r="BK912" i="8"/>
  <c r="BJ912" i="8"/>
  <c r="BI912" i="8"/>
  <c r="BH912" i="8"/>
  <c r="CJ911" i="8"/>
  <c r="CI911" i="8"/>
  <c r="CH911" i="8"/>
  <c r="CG911" i="8"/>
  <c r="CF911" i="8"/>
  <c r="CE911" i="8"/>
  <c r="CD911" i="8"/>
  <c r="CC911" i="8"/>
  <c r="CB911" i="8"/>
  <c r="CA911" i="8"/>
  <c r="BZ911" i="8"/>
  <c r="BY911" i="8"/>
  <c r="BX911" i="8"/>
  <c r="BW911" i="8"/>
  <c r="BV911" i="8"/>
  <c r="BU911" i="8"/>
  <c r="BT911" i="8"/>
  <c r="BS911" i="8"/>
  <c r="BR911" i="8"/>
  <c r="BQ911" i="8"/>
  <c r="BP911" i="8"/>
  <c r="BO911" i="8"/>
  <c r="BN911" i="8"/>
  <c r="BM911" i="8"/>
  <c r="BL911" i="8"/>
  <c r="BK911" i="8"/>
  <c r="BJ911" i="8"/>
  <c r="BI911" i="8"/>
  <c r="BH911" i="8"/>
  <c r="CJ910" i="8"/>
  <c r="CI910" i="8"/>
  <c r="CH910" i="8"/>
  <c r="CG910" i="8"/>
  <c r="CF910" i="8"/>
  <c r="CE910" i="8"/>
  <c r="CD910" i="8"/>
  <c r="CC910" i="8"/>
  <c r="CB910" i="8"/>
  <c r="CA910" i="8"/>
  <c r="BZ910" i="8"/>
  <c r="BY910" i="8"/>
  <c r="BX910" i="8"/>
  <c r="BW910" i="8"/>
  <c r="BV910" i="8"/>
  <c r="BU910" i="8"/>
  <c r="BT910" i="8"/>
  <c r="BS910" i="8"/>
  <c r="BR910" i="8"/>
  <c r="BQ910" i="8"/>
  <c r="BP910" i="8"/>
  <c r="BO910" i="8"/>
  <c r="BN910" i="8"/>
  <c r="BM910" i="8"/>
  <c r="BL910" i="8"/>
  <c r="BK910" i="8"/>
  <c r="BJ910" i="8"/>
  <c r="BI910" i="8"/>
  <c r="BH910" i="8"/>
  <c r="CJ909" i="8"/>
  <c r="CI909" i="8"/>
  <c r="CH909" i="8"/>
  <c r="CG909" i="8"/>
  <c r="CF909" i="8"/>
  <c r="CE909" i="8"/>
  <c r="CD909" i="8"/>
  <c r="CC909" i="8"/>
  <c r="CB909" i="8"/>
  <c r="CA909" i="8"/>
  <c r="BZ909" i="8"/>
  <c r="BY909" i="8"/>
  <c r="BX909" i="8"/>
  <c r="BW909" i="8"/>
  <c r="BV909" i="8"/>
  <c r="BU909" i="8"/>
  <c r="BT909" i="8"/>
  <c r="BS909" i="8"/>
  <c r="BR909" i="8"/>
  <c r="BQ909" i="8"/>
  <c r="BP909" i="8"/>
  <c r="BO909" i="8"/>
  <c r="BN909" i="8"/>
  <c r="BM909" i="8"/>
  <c r="BL909" i="8"/>
  <c r="BK909" i="8"/>
  <c r="BJ909" i="8"/>
  <c r="BI909" i="8"/>
  <c r="BH909" i="8"/>
  <c r="CJ908" i="8"/>
  <c r="CI908" i="8"/>
  <c r="CH908" i="8"/>
  <c r="CG908" i="8"/>
  <c r="CF908" i="8"/>
  <c r="CE908" i="8"/>
  <c r="CD908" i="8"/>
  <c r="CC908" i="8"/>
  <c r="CB908" i="8"/>
  <c r="CA908" i="8"/>
  <c r="BZ908" i="8"/>
  <c r="BY908" i="8"/>
  <c r="BX908" i="8"/>
  <c r="BW908" i="8"/>
  <c r="BV908" i="8"/>
  <c r="BU908" i="8"/>
  <c r="BT908" i="8"/>
  <c r="BS908" i="8"/>
  <c r="BR908" i="8"/>
  <c r="BQ908" i="8"/>
  <c r="BP908" i="8"/>
  <c r="BO908" i="8"/>
  <c r="BN908" i="8"/>
  <c r="BM908" i="8"/>
  <c r="BL908" i="8"/>
  <c r="BK908" i="8"/>
  <c r="BJ908" i="8"/>
  <c r="BI908" i="8"/>
  <c r="BH908" i="8"/>
  <c r="CJ907" i="8"/>
  <c r="CI907" i="8"/>
  <c r="CH907" i="8"/>
  <c r="CG907" i="8"/>
  <c r="CF907" i="8"/>
  <c r="CE907" i="8"/>
  <c r="CD907" i="8"/>
  <c r="CC907" i="8"/>
  <c r="CB907" i="8"/>
  <c r="CA907" i="8"/>
  <c r="BZ907" i="8"/>
  <c r="BY907" i="8"/>
  <c r="BX907" i="8"/>
  <c r="BW907" i="8"/>
  <c r="BV907" i="8"/>
  <c r="BU907" i="8"/>
  <c r="BT907" i="8"/>
  <c r="BS907" i="8"/>
  <c r="BR907" i="8"/>
  <c r="BQ907" i="8"/>
  <c r="BP907" i="8"/>
  <c r="BO907" i="8"/>
  <c r="BN907" i="8"/>
  <c r="BM907" i="8"/>
  <c r="BL907" i="8"/>
  <c r="BK907" i="8"/>
  <c r="BJ907" i="8"/>
  <c r="BI907" i="8"/>
  <c r="BH907" i="8"/>
  <c r="CJ906" i="8"/>
  <c r="CI906" i="8"/>
  <c r="CH906" i="8"/>
  <c r="CG906" i="8"/>
  <c r="CF906" i="8"/>
  <c r="CE906" i="8"/>
  <c r="CD906" i="8"/>
  <c r="CC906" i="8"/>
  <c r="CB906" i="8"/>
  <c r="CA906" i="8"/>
  <c r="BZ906" i="8"/>
  <c r="BY906" i="8"/>
  <c r="BX906" i="8"/>
  <c r="BW906" i="8"/>
  <c r="BV906" i="8"/>
  <c r="BU906" i="8"/>
  <c r="BT906" i="8"/>
  <c r="BS906" i="8"/>
  <c r="BR906" i="8"/>
  <c r="BQ906" i="8"/>
  <c r="BP906" i="8"/>
  <c r="BO906" i="8"/>
  <c r="BN906" i="8"/>
  <c r="BM906" i="8"/>
  <c r="BL906" i="8"/>
  <c r="BK906" i="8"/>
  <c r="BJ906" i="8"/>
  <c r="BI906" i="8"/>
  <c r="BH906" i="8"/>
  <c r="CJ905" i="8"/>
  <c r="CI905" i="8"/>
  <c r="CH905" i="8"/>
  <c r="CG905" i="8"/>
  <c r="CF905" i="8"/>
  <c r="CE905" i="8"/>
  <c r="CD905" i="8"/>
  <c r="CC905" i="8"/>
  <c r="CB905" i="8"/>
  <c r="CA905" i="8"/>
  <c r="BZ905" i="8"/>
  <c r="BY905" i="8"/>
  <c r="BX905" i="8"/>
  <c r="BW905" i="8"/>
  <c r="BV905" i="8"/>
  <c r="BU905" i="8"/>
  <c r="BT905" i="8"/>
  <c r="BS905" i="8"/>
  <c r="BR905" i="8"/>
  <c r="BQ905" i="8"/>
  <c r="BP905" i="8"/>
  <c r="BO905" i="8"/>
  <c r="BN905" i="8"/>
  <c r="BM905" i="8"/>
  <c r="BL905" i="8"/>
  <c r="BK905" i="8"/>
  <c r="BJ905" i="8"/>
  <c r="BI905" i="8"/>
  <c r="BH905" i="8"/>
  <c r="CJ904" i="8"/>
  <c r="CI904" i="8"/>
  <c r="CH904" i="8"/>
  <c r="CG904" i="8"/>
  <c r="CF904" i="8"/>
  <c r="CE904" i="8"/>
  <c r="CD904" i="8"/>
  <c r="CC904" i="8"/>
  <c r="CB904" i="8"/>
  <c r="CA904" i="8"/>
  <c r="BZ904" i="8"/>
  <c r="BY904" i="8"/>
  <c r="BX904" i="8"/>
  <c r="BW904" i="8"/>
  <c r="BV904" i="8"/>
  <c r="BU904" i="8"/>
  <c r="BT904" i="8"/>
  <c r="BS904" i="8"/>
  <c r="BR904" i="8"/>
  <c r="BQ904" i="8"/>
  <c r="BP904" i="8"/>
  <c r="BO904" i="8"/>
  <c r="BN904" i="8"/>
  <c r="BM904" i="8"/>
  <c r="BL904" i="8"/>
  <c r="BK904" i="8"/>
  <c r="BJ904" i="8"/>
  <c r="BI904" i="8"/>
  <c r="BH904" i="8"/>
  <c r="CJ903" i="8"/>
  <c r="CI903" i="8"/>
  <c r="CH903" i="8"/>
  <c r="CG903" i="8"/>
  <c r="CF903" i="8"/>
  <c r="CE903" i="8"/>
  <c r="CD903" i="8"/>
  <c r="CC903" i="8"/>
  <c r="CB903" i="8"/>
  <c r="CA903" i="8"/>
  <c r="BZ903" i="8"/>
  <c r="BY903" i="8"/>
  <c r="BX903" i="8"/>
  <c r="BW903" i="8"/>
  <c r="BV903" i="8"/>
  <c r="BU903" i="8"/>
  <c r="BT903" i="8"/>
  <c r="BS903" i="8"/>
  <c r="BR903" i="8"/>
  <c r="BQ903" i="8"/>
  <c r="BP903" i="8"/>
  <c r="BO903" i="8"/>
  <c r="BN903" i="8"/>
  <c r="BM903" i="8"/>
  <c r="BL903" i="8"/>
  <c r="BK903" i="8"/>
  <c r="BJ903" i="8"/>
  <c r="BI903" i="8"/>
  <c r="BH903" i="8"/>
  <c r="CJ902" i="8"/>
  <c r="CI902" i="8"/>
  <c r="CH902" i="8"/>
  <c r="CG902" i="8"/>
  <c r="CF902" i="8"/>
  <c r="CE902" i="8"/>
  <c r="CD902" i="8"/>
  <c r="CC902" i="8"/>
  <c r="CB902" i="8"/>
  <c r="CA902" i="8"/>
  <c r="BZ902" i="8"/>
  <c r="BY902" i="8"/>
  <c r="BX902" i="8"/>
  <c r="BW902" i="8"/>
  <c r="BV902" i="8"/>
  <c r="BU902" i="8"/>
  <c r="BT902" i="8"/>
  <c r="BS902" i="8"/>
  <c r="BR902" i="8"/>
  <c r="BQ902" i="8"/>
  <c r="BP902" i="8"/>
  <c r="BO902" i="8"/>
  <c r="BN902" i="8"/>
  <c r="BM902" i="8"/>
  <c r="BL902" i="8"/>
  <c r="BK902" i="8"/>
  <c r="BJ902" i="8"/>
  <c r="BI902" i="8"/>
  <c r="BH902" i="8"/>
  <c r="CJ901" i="8"/>
  <c r="CI901" i="8"/>
  <c r="CH901" i="8"/>
  <c r="CG901" i="8"/>
  <c r="CF901" i="8"/>
  <c r="CE901" i="8"/>
  <c r="CD901" i="8"/>
  <c r="CC901" i="8"/>
  <c r="CB901" i="8"/>
  <c r="CA901" i="8"/>
  <c r="BZ901" i="8"/>
  <c r="BY901" i="8"/>
  <c r="BX901" i="8"/>
  <c r="BW901" i="8"/>
  <c r="BV901" i="8"/>
  <c r="BU901" i="8"/>
  <c r="BT901" i="8"/>
  <c r="BS901" i="8"/>
  <c r="BR901" i="8"/>
  <c r="BQ901" i="8"/>
  <c r="BP901" i="8"/>
  <c r="BO901" i="8"/>
  <c r="BN901" i="8"/>
  <c r="BM901" i="8"/>
  <c r="BL901" i="8"/>
  <c r="BK901" i="8"/>
  <c r="BJ901" i="8"/>
  <c r="BI901" i="8"/>
  <c r="BH901" i="8"/>
  <c r="CJ900" i="8"/>
  <c r="CI900" i="8"/>
  <c r="CH900" i="8"/>
  <c r="CG900" i="8"/>
  <c r="CF900" i="8"/>
  <c r="CE900" i="8"/>
  <c r="CD900" i="8"/>
  <c r="CC900" i="8"/>
  <c r="CB900" i="8"/>
  <c r="CA900" i="8"/>
  <c r="BZ900" i="8"/>
  <c r="BY900" i="8"/>
  <c r="BX900" i="8"/>
  <c r="BW900" i="8"/>
  <c r="BV900" i="8"/>
  <c r="BU900" i="8"/>
  <c r="BT900" i="8"/>
  <c r="BS900" i="8"/>
  <c r="BR900" i="8"/>
  <c r="BQ900" i="8"/>
  <c r="BP900" i="8"/>
  <c r="BO900" i="8"/>
  <c r="BN900" i="8"/>
  <c r="BM900" i="8"/>
  <c r="BL900" i="8"/>
  <c r="BK900" i="8"/>
  <c r="BJ900" i="8"/>
  <c r="BI900" i="8"/>
  <c r="BH900" i="8"/>
  <c r="CJ899" i="8"/>
  <c r="CI899" i="8"/>
  <c r="CH899" i="8"/>
  <c r="CG899" i="8"/>
  <c r="CF899" i="8"/>
  <c r="CE899" i="8"/>
  <c r="CD899" i="8"/>
  <c r="CC899" i="8"/>
  <c r="CB899" i="8"/>
  <c r="CA899" i="8"/>
  <c r="BZ899" i="8"/>
  <c r="BY899" i="8"/>
  <c r="BX899" i="8"/>
  <c r="BW899" i="8"/>
  <c r="BV899" i="8"/>
  <c r="BU899" i="8"/>
  <c r="BT899" i="8"/>
  <c r="BS899" i="8"/>
  <c r="BR899" i="8"/>
  <c r="BQ899" i="8"/>
  <c r="BP899" i="8"/>
  <c r="BO899" i="8"/>
  <c r="BN899" i="8"/>
  <c r="BM899" i="8"/>
  <c r="BL899" i="8"/>
  <c r="BK899" i="8"/>
  <c r="BJ899" i="8"/>
  <c r="BI899" i="8"/>
  <c r="BH899" i="8"/>
  <c r="CJ898" i="8"/>
  <c r="CI898" i="8"/>
  <c r="CH898" i="8"/>
  <c r="CG898" i="8"/>
  <c r="CF898" i="8"/>
  <c r="CE898" i="8"/>
  <c r="CD898" i="8"/>
  <c r="CC898" i="8"/>
  <c r="CB898" i="8"/>
  <c r="CA898" i="8"/>
  <c r="BZ898" i="8"/>
  <c r="BY898" i="8"/>
  <c r="BX898" i="8"/>
  <c r="BW898" i="8"/>
  <c r="BV898" i="8"/>
  <c r="BU898" i="8"/>
  <c r="BT898" i="8"/>
  <c r="BS898" i="8"/>
  <c r="BR898" i="8"/>
  <c r="BQ898" i="8"/>
  <c r="BP898" i="8"/>
  <c r="BO898" i="8"/>
  <c r="BN898" i="8"/>
  <c r="BM898" i="8"/>
  <c r="BL898" i="8"/>
  <c r="BK898" i="8"/>
  <c r="BJ898" i="8"/>
  <c r="BI898" i="8"/>
  <c r="BH898" i="8"/>
  <c r="CJ897" i="8"/>
  <c r="CI897" i="8"/>
  <c r="CH897" i="8"/>
  <c r="CG897" i="8"/>
  <c r="CF897" i="8"/>
  <c r="CE897" i="8"/>
  <c r="CD897" i="8"/>
  <c r="CC897" i="8"/>
  <c r="CB897" i="8"/>
  <c r="CA897" i="8"/>
  <c r="BZ897" i="8"/>
  <c r="BY897" i="8"/>
  <c r="BX897" i="8"/>
  <c r="BW897" i="8"/>
  <c r="BV897" i="8"/>
  <c r="BU897" i="8"/>
  <c r="BT897" i="8"/>
  <c r="BS897" i="8"/>
  <c r="BR897" i="8"/>
  <c r="BQ897" i="8"/>
  <c r="BP897" i="8"/>
  <c r="BO897" i="8"/>
  <c r="BN897" i="8"/>
  <c r="BM897" i="8"/>
  <c r="BL897" i="8"/>
  <c r="BK897" i="8"/>
  <c r="BJ897" i="8"/>
  <c r="BI897" i="8"/>
  <c r="BH897" i="8"/>
  <c r="CJ896" i="8"/>
  <c r="CI896" i="8"/>
  <c r="CH896" i="8"/>
  <c r="CG896" i="8"/>
  <c r="CF896" i="8"/>
  <c r="CE896" i="8"/>
  <c r="CD896" i="8"/>
  <c r="CC896" i="8"/>
  <c r="CB896" i="8"/>
  <c r="CA896" i="8"/>
  <c r="BZ896" i="8"/>
  <c r="BY896" i="8"/>
  <c r="BX896" i="8"/>
  <c r="BW896" i="8"/>
  <c r="BV896" i="8"/>
  <c r="BU896" i="8"/>
  <c r="BT896" i="8"/>
  <c r="BS896" i="8"/>
  <c r="BR896" i="8"/>
  <c r="BQ896" i="8"/>
  <c r="BP896" i="8"/>
  <c r="BO896" i="8"/>
  <c r="BN896" i="8"/>
  <c r="BM896" i="8"/>
  <c r="BL896" i="8"/>
  <c r="BK896" i="8"/>
  <c r="BJ896" i="8"/>
  <c r="BI896" i="8"/>
  <c r="BH896" i="8"/>
  <c r="CJ895" i="8"/>
  <c r="CI895" i="8"/>
  <c r="CH895" i="8"/>
  <c r="CG895" i="8"/>
  <c r="CF895" i="8"/>
  <c r="CE895" i="8"/>
  <c r="CD895" i="8"/>
  <c r="CC895" i="8"/>
  <c r="CB895" i="8"/>
  <c r="CA895" i="8"/>
  <c r="BZ895" i="8"/>
  <c r="BY895" i="8"/>
  <c r="BX895" i="8"/>
  <c r="BW895" i="8"/>
  <c r="BV895" i="8"/>
  <c r="BU895" i="8"/>
  <c r="BT895" i="8"/>
  <c r="BS895" i="8"/>
  <c r="BR895" i="8"/>
  <c r="BQ895" i="8"/>
  <c r="BP895" i="8"/>
  <c r="BO895" i="8"/>
  <c r="BN895" i="8"/>
  <c r="BM895" i="8"/>
  <c r="BL895" i="8"/>
  <c r="BK895" i="8"/>
  <c r="BJ895" i="8"/>
  <c r="BI895" i="8"/>
  <c r="BH895" i="8"/>
  <c r="CJ894" i="8"/>
  <c r="CI894" i="8"/>
  <c r="CH894" i="8"/>
  <c r="CG894" i="8"/>
  <c r="CF894" i="8"/>
  <c r="CE894" i="8"/>
  <c r="CD894" i="8"/>
  <c r="CC894" i="8"/>
  <c r="CB894" i="8"/>
  <c r="CA894" i="8"/>
  <c r="BZ894" i="8"/>
  <c r="BY894" i="8"/>
  <c r="BX894" i="8"/>
  <c r="BW894" i="8"/>
  <c r="BV894" i="8"/>
  <c r="BU894" i="8"/>
  <c r="BT894" i="8"/>
  <c r="BS894" i="8"/>
  <c r="BR894" i="8"/>
  <c r="BQ894" i="8"/>
  <c r="BP894" i="8"/>
  <c r="BO894" i="8"/>
  <c r="BN894" i="8"/>
  <c r="BM894" i="8"/>
  <c r="BL894" i="8"/>
  <c r="BK894" i="8"/>
  <c r="BJ894" i="8"/>
  <c r="BI894" i="8"/>
  <c r="BH894" i="8"/>
  <c r="CJ893" i="8"/>
  <c r="CI893" i="8"/>
  <c r="CH893" i="8"/>
  <c r="CG893" i="8"/>
  <c r="CF893" i="8"/>
  <c r="CE893" i="8"/>
  <c r="CD893" i="8"/>
  <c r="CC893" i="8"/>
  <c r="CB893" i="8"/>
  <c r="CA893" i="8"/>
  <c r="BZ893" i="8"/>
  <c r="BY893" i="8"/>
  <c r="BX893" i="8"/>
  <c r="BW893" i="8"/>
  <c r="BV893" i="8"/>
  <c r="BU893" i="8"/>
  <c r="BT893" i="8"/>
  <c r="BS893" i="8"/>
  <c r="BR893" i="8"/>
  <c r="BQ893" i="8"/>
  <c r="BP893" i="8"/>
  <c r="BO893" i="8"/>
  <c r="BN893" i="8"/>
  <c r="BM893" i="8"/>
  <c r="BL893" i="8"/>
  <c r="BK893" i="8"/>
  <c r="BJ893" i="8"/>
  <c r="BI893" i="8"/>
  <c r="BH893" i="8"/>
  <c r="CJ892" i="8"/>
  <c r="CI892" i="8"/>
  <c r="CH892" i="8"/>
  <c r="CG892" i="8"/>
  <c r="CF892" i="8"/>
  <c r="CE892" i="8"/>
  <c r="CD892" i="8"/>
  <c r="CC892" i="8"/>
  <c r="CB892" i="8"/>
  <c r="CA892" i="8"/>
  <c r="BZ892" i="8"/>
  <c r="BY892" i="8"/>
  <c r="BX892" i="8"/>
  <c r="BW892" i="8"/>
  <c r="BV892" i="8"/>
  <c r="BU892" i="8"/>
  <c r="BT892" i="8"/>
  <c r="BS892" i="8"/>
  <c r="BR892" i="8"/>
  <c r="BQ892" i="8"/>
  <c r="BP892" i="8"/>
  <c r="BO892" i="8"/>
  <c r="BN892" i="8"/>
  <c r="BM892" i="8"/>
  <c r="BL892" i="8"/>
  <c r="BK892" i="8"/>
  <c r="BJ892" i="8"/>
  <c r="BI892" i="8"/>
  <c r="BH892" i="8"/>
  <c r="CJ891" i="8"/>
  <c r="CI891" i="8"/>
  <c r="CH891" i="8"/>
  <c r="CG891" i="8"/>
  <c r="CF891" i="8"/>
  <c r="CE891" i="8"/>
  <c r="CD891" i="8"/>
  <c r="CC891" i="8"/>
  <c r="CB891" i="8"/>
  <c r="CA891" i="8"/>
  <c r="BZ891" i="8"/>
  <c r="BY891" i="8"/>
  <c r="BX891" i="8"/>
  <c r="BW891" i="8"/>
  <c r="BV891" i="8"/>
  <c r="BU891" i="8"/>
  <c r="BT891" i="8"/>
  <c r="BS891" i="8"/>
  <c r="BR891" i="8"/>
  <c r="BQ891" i="8"/>
  <c r="BP891" i="8"/>
  <c r="BO891" i="8"/>
  <c r="BN891" i="8"/>
  <c r="BM891" i="8"/>
  <c r="BL891" i="8"/>
  <c r="BK891" i="8"/>
  <c r="BJ891" i="8"/>
  <c r="BI891" i="8"/>
  <c r="BH891" i="8"/>
  <c r="CJ890" i="8"/>
  <c r="CI890" i="8"/>
  <c r="CH890" i="8"/>
  <c r="CG890" i="8"/>
  <c r="CF890" i="8"/>
  <c r="CE890" i="8"/>
  <c r="CD890" i="8"/>
  <c r="CC890" i="8"/>
  <c r="CB890" i="8"/>
  <c r="CA890" i="8"/>
  <c r="BZ890" i="8"/>
  <c r="BY890" i="8"/>
  <c r="BX890" i="8"/>
  <c r="BW890" i="8"/>
  <c r="BV890" i="8"/>
  <c r="BU890" i="8"/>
  <c r="BT890" i="8"/>
  <c r="BS890" i="8"/>
  <c r="BR890" i="8"/>
  <c r="BQ890" i="8"/>
  <c r="BP890" i="8"/>
  <c r="BO890" i="8"/>
  <c r="BN890" i="8"/>
  <c r="BM890" i="8"/>
  <c r="BL890" i="8"/>
  <c r="BK890" i="8"/>
  <c r="BJ890" i="8"/>
  <c r="BI890" i="8"/>
  <c r="BH890" i="8"/>
  <c r="CJ889" i="8"/>
  <c r="CI889" i="8"/>
  <c r="CH889" i="8"/>
  <c r="CG889" i="8"/>
  <c r="CF889" i="8"/>
  <c r="CE889" i="8"/>
  <c r="CD889" i="8"/>
  <c r="CC889" i="8"/>
  <c r="CB889" i="8"/>
  <c r="CA889" i="8"/>
  <c r="BZ889" i="8"/>
  <c r="BY889" i="8"/>
  <c r="BX889" i="8"/>
  <c r="BW889" i="8"/>
  <c r="BV889" i="8"/>
  <c r="BU889" i="8"/>
  <c r="BT889" i="8"/>
  <c r="BS889" i="8"/>
  <c r="BR889" i="8"/>
  <c r="BQ889" i="8"/>
  <c r="BP889" i="8"/>
  <c r="BO889" i="8"/>
  <c r="BN889" i="8"/>
  <c r="BM889" i="8"/>
  <c r="BL889" i="8"/>
  <c r="BK889" i="8"/>
  <c r="BJ889" i="8"/>
  <c r="BI889" i="8"/>
  <c r="BH889" i="8"/>
  <c r="CJ888" i="8"/>
  <c r="CI888" i="8"/>
  <c r="CH888" i="8"/>
  <c r="CG888" i="8"/>
  <c r="CF888" i="8"/>
  <c r="CE888" i="8"/>
  <c r="CD888" i="8"/>
  <c r="CC888" i="8"/>
  <c r="CB888" i="8"/>
  <c r="CA888" i="8"/>
  <c r="BZ888" i="8"/>
  <c r="BY888" i="8"/>
  <c r="BX888" i="8"/>
  <c r="BW888" i="8"/>
  <c r="BV888" i="8"/>
  <c r="BU888" i="8"/>
  <c r="BT888" i="8"/>
  <c r="BS888" i="8"/>
  <c r="BR888" i="8"/>
  <c r="BQ888" i="8"/>
  <c r="BP888" i="8"/>
  <c r="BO888" i="8"/>
  <c r="BN888" i="8"/>
  <c r="BM888" i="8"/>
  <c r="BL888" i="8"/>
  <c r="BK888" i="8"/>
  <c r="BJ888" i="8"/>
  <c r="BI888" i="8"/>
  <c r="BH888" i="8"/>
  <c r="CJ887" i="8"/>
  <c r="CI887" i="8"/>
  <c r="CH887" i="8"/>
  <c r="CG887" i="8"/>
  <c r="CF887" i="8"/>
  <c r="CE887" i="8"/>
  <c r="CD887" i="8"/>
  <c r="CC887" i="8"/>
  <c r="CB887" i="8"/>
  <c r="CA887" i="8"/>
  <c r="BZ887" i="8"/>
  <c r="BY887" i="8"/>
  <c r="BX887" i="8"/>
  <c r="BW887" i="8"/>
  <c r="BV887" i="8"/>
  <c r="BU887" i="8"/>
  <c r="BT887" i="8"/>
  <c r="BS887" i="8"/>
  <c r="BR887" i="8"/>
  <c r="BQ887" i="8"/>
  <c r="BP887" i="8"/>
  <c r="BO887" i="8"/>
  <c r="BN887" i="8"/>
  <c r="BM887" i="8"/>
  <c r="BL887" i="8"/>
  <c r="BK887" i="8"/>
  <c r="BJ887" i="8"/>
  <c r="BI887" i="8"/>
  <c r="BH887" i="8"/>
  <c r="CJ886" i="8"/>
  <c r="CI886" i="8"/>
  <c r="CH886" i="8"/>
  <c r="CG886" i="8"/>
  <c r="CF886" i="8"/>
  <c r="CE886" i="8"/>
  <c r="CD886" i="8"/>
  <c r="CC886" i="8"/>
  <c r="CB886" i="8"/>
  <c r="CA886" i="8"/>
  <c r="BZ886" i="8"/>
  <c r="BY886" i="8"/>
  <c r="BX886" i="8"/>
  <c r="BW886" i="8"/>
  <c r="BV886" i="8"/>
  <c r="BU886" i="8"/>
  <c r="BT886" i="8"/>
  <c r="BS886" i="8"/>
  <c r="BR886" i="8"/>
  <c r="BQ886" i="8"/>
  <c r="BP886" i="8"/>
  <c r="BO886" i="8"/>
  <c r="BN886" i="8"/>
  <c r="BM886" i="8"/>
  <c r="BL886" i="8"/>
  <c r="BK886" i="8"/>
  <c r="BJ886" i="8"/>
  <c r="BI886" i="8"/>
  <c r="BH886" i="8"/>
  <c r="CJ885" i="8"/>
  <c r="CI885" i="8"/>
  <c r="CH885" i="8"/>
  <c r="CG885" i="8"/>
  <c r="CF885" i="8"/>
  <c r="CE885" i="8"/>
  <c r="CD885" i="8"/>
  <c r="CC885" i="8"/>
  <c r="CB885" i="8"/>
  <c r="CA885" i="8"/>
  <c r="BZ885" i="8"/>
  <c r="BY885" i="8"/>
  <c r="BX885" i="8"/>
  <c r="BW885" i="8"/>
  <c r="BV885" i="8"/>
  <c r="BU885" i="8"/>
  <c r="BT885" i="8"/>
  <c r="BS885" i="8"/>
  <c r="BR885" i="8"/>
  <c r="BQ885" i="8"/>
  <c r="BP885" i="8"/>
  <c r="BO885" i="8"/>
  <c r="BN885" i="8"/>
  <c r="BM885" i="8"/>
  <c r="BL885" i="8"/>
  <c r="BK885" i="8"/>
  <c r="BJ885" i="8"/>
  <c r="BI885" i="8"/>
  <c r="BH885" i="8"/>
  <c r="CJ884" i="8"/>
  <c r="CI884" i="8"/>
  <c r="CH884" i="8"/>
  <c r="CG884" i="8"/>
  <c r="CF884" i="8"/>
  <c r="CE884" i="8"/>
  <c r="CD884" i="8"/>
  <c r="CC884" i="8"/>
  <c r="CB884" i="8"/>
  <c r="CA884" i="8"/>
  <c r="BZ884" i="8"/>
  <c r="BY884" i="8"/>
  <c r="BX884" i="8"/>
  <c r="BW884" i="8"/>
  <c r="BV884" i="8"/>
  <c r="BU884" i="8"/>
  <c r="BT884" i="8"/>
  <c r="BS884" i="8"/>
  <c r="BR884" i="8"/>
  <c r="BQ884" i="8"/>
  <c r="BP884" i="8"/>
  <c r="BO884" i="8"/>
  <c r="BN884" i="8"/>
  <c r="BM884" i="8"/>
  <c r="BL884" i="8"/>
  <c r="BK884" i="8"/>
  <c r="BJ884" i="8"/>
  <c r="BI884" i="8"/>
  <c r="BH884" i="8"/>
  <c r="CJ883" i="8"/>
  <c r="CI883" i="8"/>
  <c r="CH883" i="8"/>
  <c r="CG883" i="8"/>
  <c r="CF883" i="8"/>
  <c r="CE883" i="8"/>
  <c r="CD883" i="8"/>
  <c r="CC883" i="8"/>
  <c r="CB883" i="8"/>
  <c r="CA883" i="8"/>
  <c r="BZ883" i="8"/>
  <c r="BY883" i="8"/>
  <c r="BX883" i="8"/>
  <c r="BW883" i="8"/>
  <c r="BV883" i="8"/>
  <c r="BU883" i="8"/>
  <c r="BT883" i="8"/>
  <c r="BS883" i="8"/>
  <c r="BR883" i="8"/>
  <c r="BQ883" i="8"/>
  <c r="BP883" i="8"/>
  <c r="BO883" i="8"/>
  <c r="BN883" i="8"/>
  <c r="BM883" i="8"/>
  <c r="BL883" i="8"/>
  <c r="BK883" i="8"/>
  <c r="BJ883" i="8"/>
  <c r="BI883" i="8"/>
  <c r="BH883" i="8"/>
  <c r="CJ882" i="8"/>
  <c r="CI882" i="8"/>
  <c r="CH882" i="8"/>
  <c r="CG882" i="8"/>
  <c r="CF882" i="8"/>
  <c r="CE882" i="8"/>
  <c r="CD882" i="8"/>
  <c r="CC882" i="8"/>
  <c r="CB882" i="8"/>
  <c r="CA882" i="8"/>
  <c r="BZ882" i="8"/>
  <c r="BY882" i="8"/>
  <c r="BX882" i="8"/>
  <c r="BW882" i="8"/>
  <c r="BV882" i="8"/>
  <c r="BU882" i="8"/>
  <c r="BT882" i="8"/>
  <c r="BS882" i="8"/>
  <c r="BR882" i="8"/>
  <c r="BQ882" i="8"/>
  <c r="BP882" i="8"/>
  <c r="BO882" i="8"/>
  <c r="BN882" i="8"/>
  <c r="BM882" i="8"/>
  <c r="BL882" i="8"/>
  <c r="BK882" i="8"/>
  <c r="BJ882" i="8"/>
  <c r="BI882" i="8"/>
  <c r="BH882" i="8"/>
  <c r="CJ626" i="8"/>
  <c r="CI626" i="8"/>
  <c r="CH626" i="8"/>
  <c r="CG626" i="8"/>
  <c r="CF626" i="8"/>
  <c r="CE626" i="8"/>
  <c r="CD626" i="8"/>
  <c r="CC626" i="8"/>
  <c r="CB626" i="8"/>
  <c r="CA626" i="8"/>
  <c r="BZ626" i="8"/>
  <c r="BY626" i="8"/>
  <c r="BX626" i="8"/>
  <c r="BW626" i="8"/>
  <c r="BV626" i="8"/>
  <c r="BU626" i="8"/>
  <c r="BT626" i="8"/>
  <c r="BS626" i="8"/>
  <c r="BR626" i="8"/>
  <c r="BQ626" i="8"/>
  <c r="BP626" i="8"/>
  <c r="BO626" i="8"/>
  <c r="BN626" i="8"/>
  <c r="BM626" i="8"/>
  <c r="BL626" i="8"/>
  <c r="BK626" i="8"/>
  <c r="BJ626" i="8"/>
  <c r="BI626" i="8"/>
  <c r="BH626" i="8"/>
  <c r="CJ625" i="8"/>
  <c r="CI625" i="8"/>
  <c r="CH625" i="8"/>
  <c r="CG625" i="8"/>
  <c r="CF625" i="8"/>
  <c r="CE625" i="8"/>
  <c r="CD625" i="8"/>
  <c r="CC625" i="8"/>
  <c r="CB625" i="8"/>
  <c r="CA625" i="8"/>
  <c r="BZ625" i="8"/>
  <c r="BY625" i="8"/>
  <c r="BX625" i="8"/>
  <c r="BW625" i="8"/>
  <c r="BV625" i="8"/>
  <c r="BU625" i="8"/>
  <c r="BT625" i="8"/>
  <c r="BS625" i="8"/>
  <c r="BR625" i="8"/>
  <c r="BQ625" i="8"/>
  <c r="BP625" i="8"/>
  <c r="BO625" i="8"/>
  <c r="BN625" i="8"/>
  <c r="BM625" i="8"/>
  <c r="BL625" i="8"/>
  <c r="BK625" i="8"/>
  <c r="BJ625" i="8"/>
  <c r="BI625" i="8"/>
  <c r="BH625" i="8"/>
  <c r="CJ624" i="8"/>
  <c r="CI624" i="8"/>
  <c r="CH624" i="8"/>
  <c r="CG624" i="8"/>
  <c r="CF624" i="8"/>
  <c r="CE624" i="8"/>
  <c r="CD624" i="8"/>
  <c r="CC624" i="8"/>
  <c r="CB624" i="8"/>
  <c r="CA624" i="8"/>
  <c r="BZ624" i="8"/>
  <c r="BY624" i="8"/>
  <c r="BX624" i="8"/>
  <c r="BW624" i="8"/>
  <c r="BV624" i="8"/>
  <c r="BU624" i="8"/>
  <c r="BT624" i="8"/>
  <c r="BS624" i="8"/>
  <c r="BR624" i="8"/>
  <c r="BQ624" i="8"/>
  <c r="BP624" i="8"/>
  <c r="BO624" i="8"/>
  <c r="BN624" i="8"/>
  <c r="BM624" i="8"/>
  <c r="BL624" i="8"/>
  <c r="BK624" i="8"/>
  <c r="BJ624" i="8"/>
  <c r="BI624" i="8"/>
  <c r="BH624" i="8"/>
  <c r="CJ623" i="8"/>
  <c r="CI623" i="8"/>
  <c r="CH623" i="8"/>
  <c r="CG623" i="8"/>
  <c r="CF623" i="8"/>
  <c r="CE623" i="8"/>
  <c r="CD623" i="8"/>
  <c r="CC623" i="8"/>
  <c r="CB623" i="8"/>
  <c r="CA623" i="8"/>
  <c r="BZ623" i="8"/>
  <c r="BY623" i="8"/>
  <c r="BX623" i="8"/>
  <c r="BW623" i="8"/>
  <c r="BV623" i="8"/>
  <c r="BU623" i="8"/>
  <c r="BT623" i="8"/>
  <c r="BS623" i="8"/>
  <c r="BR623" i="8"/>
  <c r="BQ623" i="8"/>
  <c r="BP623" i="8"/>
  <c r="BO623" i="8"/>
  <c r="BN623" i="8"/>
  <c r="BM623" i="8"/>
  <c r="BL623" i="8"/>
  <c r="BK623" i="8"/>
  <c r="BJ623" i="8"/>
  <c r="BI623" i="8"/>
  <c r="BH623" i="8"/>
  <c r="CJ622" i="8"/>
  <c r="CI622" i="8"/>
  <c r="CH622" i="8"/>
  <c r="CG622" i="8"/>
  <c r="CF622" i="8"/>
  <c r="CE622" i="8"/>
  <c r="CD622" i="8"/>
  <c r="CC622" i="8"/>
  <c r="CB622" i="8"/>
  <c r="CA622" i="8"/>
  <c r="BZ622" i="8"/>
  <c r="BY622" i="8"/>
  <c r="BX622" i="8"/>
  <c r="BW622" i="8"/>
  <c r="BV622" i="8"/>
  <c r="BU622" i="8"/>
  <c r="BT622" i="8"/>
  <c r="BS622" i="8"/>
  <c r="BR622" i="8"/>
  <c r="BQ622" i="8"/>
  <c r="BP622" i="8"/>
  <c r="BO622" i="8"/>
  <c r="BN622" i="8"/>
  <c r="BM622" i="8"/>
  <c r="BL622" i="8"/>
  <c r="BK622" i="8"/>
  <c r="BJ622" i="8"/>
  <c r="BI622" i="8"/>
  <c r="BH622" i="8"/>
  <c r="CJ621" i="8"/>
  <c r="CI621" i="8"/>
  <c r="CH621" i="8"/>
  <c r="CG621" i="8"/>
  <c r="CF621" i="8"/>
  <c r="CE621" i="8"/>
  <c r="CD621" i="8"/>
  <c r="CC621" i="8"/>
  <c r="CB621" i="8"/>
  <c r="CA621" i="8"/>
  <c r="BZ621" i="8"/>
  <c r="BY621" i="8"/>
  <c r="BX621" i="8"/>
  <c r="BW621" i="8"/>
  <c r="BV621" i="8"/>
  <c r="BU621" i="8"/>
  <c r="BT621" i="8"/>
  <c r="BS621" i="8"/>
  <c r="BR621" i="8"/>
  <c r="BQ621" i="8"/>
  <c r="BP621" i="8"/>
  <c r="BO621" i="8"/>
  <c r="BN621" i="8"/>
  <c r="BM621" i="8"/>
  <c r="BL621" i="8"/>
  <c r="BK621" i="8"/>
  <c r="BJ621" i="8"/>
  <c r="BI621" i="8"/>
  <c r="BH621" i="8"/>
  <c r="CJ620" i="8"/>
  <c r="CI620" i="8"/>
  <c r="CH620" i="8"/>
  <c r="CG620" i="8"/>
  <c r="CF620" i="8"/>
  <c r="CE620" i="8"/>
  <c r="CD620" i="8"/>
  <c r="CC620" i="8"/>
  <c r="CB620" i="8"/>
  <c r="CA620" i="8"/>
  <c r="BZ620" i="8"/>
  <c r="BY620" i="8"/>
  <c r="BX620" i="8"/>
  <c r="BW620" i="8"/>
  <c r="BV620" i="8"/>
  <c r="BU620" i="8"/>
  <c r="BT620" i="8"/>
  <c r="BS620" i="8"/>
  <c r="BR620" i="8"/>
  <c r="BQ620" i="8"/>
  <c r="BP620" i="8"/>
  <c r="BO620" i="8"/>
  <c r="BN620" i="8"/>
  <c r="BM620" i="8"/>
  <c r="BL620" i="8"/>
  <c r="BK620" i="8"/>
  <c r="BJ620" i="8"/>
  <c r="BI620" i="8"/>
  <c r="BH620" i="8"/>
  <c r="CJ619" i="8"/>
  <c r="CI619" i="8"/>
  <c r="CH619" i="8"/>
  <c r="CG619" i="8"/>
  <c r="CF619" i="8"/>
  <c r="CE619" i="8"/>
  <c r="CD619" i="8"/>
  <c r="CC619" i="8"/>
  <c r="CB619" i="8"/>
  <c r="CA619" i="8"/>
  <c r="BZ619" i="8"/>
  <c r="BY619" i="8"/>
  <c r="BX619" i="8"/>
  <c r="BW619" i="8"/>
  <c r="BV619" i="8"/>
  <c r="BU619" i="8"/>
  <c r="BT619" i="8"/>
  <c r="BS619" i="8"/>
  <c r="BR619" i="8"/>
  <c r="BQ619" i="8"/>
  <c r="BP619" i="8"/>
  <c r="BO619" i="8"/>
  <c r="BN619" i="8"/>
  <c r="BM619" i="8"/>
  <c r="BL619" i="8"/>
  <c r="BK619" i="8"/>
  <c r="BJ619" i="8"/>
  <c r="BI619" i="8"/>
  <c r="BH619" i="8"/>
  <c r="CJ618" i="8"/>
  <c r="CI618" i="8"/>
  <c r="CH618" i="8"/>
  <c r="CG618" i="8"/>
  <c r="CF618" i="8"/>
  <c r="CE618" i="8"/>
  <c r="CD618" i="8"/>
  <c r="CC618" i="8"/>
  <c r="CB618" i="8"/>
  <c r="CA618" i="8"/>
  <c r="BZ618" i="8"/>
  <c r="BY618" i="8"/>
  <c r="BX618" i="8"/>
  <c r="BW618" i="8"/>
  <c r="BV618" i="8"/>
  <c r="BU618" i="8"/>
  <c r="BT618" i="8"/>
  <c r="BS618" i="8"/>
  <c r="BR618" i="8"/>
  <c r="BQ618" i="8"/>
  <c r="BP618" i="8"/>
  <c r="BO618" i="8"/>
  <c r="BN618" i="8"/>
  <c r="BM618" i="8"/>
  <c r="BL618" i="8"/>
  <c r="BK618" i="8"/>
  <c r="BJ618" i="8"/>
  <c r="BI618" i="8"/>
  <c r="BH618" i="8"/>
  <c r="CJ617" i="8"/>
  <c r="CI617" i="8"/>
  <c r="CH617" i="8"/>
  <c r="CG617" i="8"/>
  <c r="CF617" i="8"/>
  <c r="CE617" i="8"/>
  <c r="CD617" i="8"/>
  <c r="CC617" i="8"/>
  <c r="CB617" i="8"/>
  <c r="CA617" i="8"/>
  <c r="BZ617" i="8"/>
  <c r="BY617" i="8"/>
  <c r="BX617" i="8"/>
  <c r="BW617" i="8"/>
  <c r="BV617" i="8"/>
  <c r="BU617" i="8"/>
  <c r="BT617" i="8"/>
  <c r="BS617" i="8"/>
  <c r="BR617" i="8"/>
  <c r="BQ617" i="8"/>
  <c r="BP617" i="8"/>
  <c r="BO617" i="8"/>
  <c r="BN617" i="8"/>
  <c r="BM617" i="8"/>
  <c r="BL617" i="8"/>
  <c r="BK617" i="8"/>
  <c r="BJ617" i="8"/>
  <c r="BI617" i="8"/>
  <c r="BH617" i="8"/>
  <c r="CJ616" i="8"/>
  <c r="CI616" i="8"/>
  <c r="CH616" i="8"/>
  <c r="CG616" i="8"/>
  <c r="CF616" i="8"/>
  <c r="CE616" i="8"/>
  <c r="CD616" i="8"/>
  <c r="CC616" i="8"/>
  <c r="CB616" i="8"/>
  <c r="CA616" i="8"/>
  <c r="BZ616" i="8"/>
  <c r="BY616" i="8"/>
  <c r="BX616" i="8"/>
  <c r="BW616" i="8"/>
  <c r="BV616" i="8"/>
  <c r="BU616" i="8"/>
  <c r="BT616" i="8"/>
  <c r="BS616" i="8"/>
  <c r="BR616" i="8"/>
  <c r="BQ616" i="8"/>
  <c r="BP616" i="8"/>
  <c r="BO616" i="8"/>
  <c r="BN616" i="8"/>
  <c r="BM616" i="8"/>
  <c r="BL616" i="8"/>
  <c r="BK616" i="8"/>
  <c r="BJ616" i="8"/>
  <c r="BI616" i="8"/>
  <c r="BH616" i="8"/>
  <c r="CJ615" i="8"/>
  <c r="CI615" i="8"/>
  <c r="CH615" i="8"/>
  <c r="CG615" i="8"/>
  <c r="CF615" i="8"/>
  <c r="CE615" i="8"/>
  <c r="CD615" i="8"/>
  <c r="CC615" i="8"/>
  <c r="CB615" i="8"/>
  <c r="CA615" i="8"/>
  <c r="BZ615" i="8"/>
  <c r="BY615" i="8"/>
  <c r="BX615" i="8"/>
  <c r="BW615" i="8"/>
  <c r="BV615" i="8"/>
  <c r="BU615" i="8"/>
  <c r="BT615" i="8"/>
  <c r="BS615" i="8"/>
  <c r="BR615" i="8"/>
  <c r="BQ615" i="8"/>
  <c r="BP615" i="8"/>
  <c r="BO615" i="8"/>
  <c r="BN615" i="8"/>
  <c r="BM615" i="8"/>
  <c r="BL615" i="8"/>
  <c r="BK615" i="8"/>
  <c r="BJ615" i="8"/>
  <c r="BI615" i="8"/>
  <c r="BH615" i="8"/>
  <c r="CJ614" i="8"/>
  <c r="CI614" i="8"/>
  <c r="CH614" i="8"/>
  <c r="CG614" i="8"/>
  <c r="CF614" i="8"/>
  <c r="CE614" i="8"/>
  <c r="CD614" i="8"/>
  <c r="CC614" i="8"/>
  <c r="CB614" i="8"/>
  <c r="CA614" i="8"/>
  <c r="BZ614" i="8"/>
  <c r="BY614" i="8"/>
  <c r="BX614" i="8"/>
  <c r="BW614" i="8"/>
  <c r="BV614" i="8"/>
  <c r="BU614" i="8"/>
  <c r="BT614" i="8"/>
  <c r="BS614" i="8"/>
  <c r="BR614" i="8"/>
  <c r="BQ614" i="8"/>
  <c r="BP614" i="8"/>
  <c r="BO614" i="8"/>
  <c r="BN614" i="8"/>
  <c r="BM614" i="8"/>
  <c r="BL614" i="8"/>
  <c r="BK614" i="8"/>
  <c r="BJ614" i="8"/>
  <c r="BI614" i="8"/>
  <c r="BH614" i="8"/>
  <c r="CJ613" i="8"/>
  <c r="CI613" i="8"/>
  <c r="CH613" i="8"/>
  <c r="CG613" i="8"/>
  <c r="CF613" i="8"/>
  <c r="CE613" i="8"/>
  <c r="CD613" i="8"/>
  <c r="CC613" i="8"/>
  <c r="CB613" i="8"/>
  <c r="CA613" i="8"/>
  <c r="BZ613" i="8"/>
  <c r="BY613" i="8"/>
  <c r="BX613" i="8"/>
  <c r="BW613" i="8"/>
  <c r="BV613" i="8"/>
  <c r="BU613" i="8"/>
  <c r="BT613" i="8"/>
  <c r="BS613" i="8"/>
  <c r="BR613" i="8"/>
  <c r="BQ613" i="8"/>
  <c r="BP613" i="8"/>
  <c r="BO613" i="8"/>
  <c r="BN613" i="8"/>
  <c r="BM613" i="8"/>
  <c r="BL613" i="8"/>
  <c r="BK613" i="8"/>
  <c r="BJ613" i="8"/>
  <c r="BI613" i="8"/>
  <c r="BH613" i="8"/>
  <c r="CJ612" i="8"/>
  <c r="CI612" i="8"/>
  <c r="CH612" i="8"/>
  <c r="CG612" i="8"/>
  <c r="CF612" i="8"/>
  <c r="CE612" i="8"/>
  <c r="CD612" i="8"/>
  <c r="CC612" i="8"/>
  <c r="CB612" i="8"/>
  <c r="CA612" i="8"/>
  <c r="BZ612" i="8"/>
  <c r="BY612" i="8"/>
  <c r="BX612" i="8"/>
  <c r="BW612" i="8"/>
  <c r="BV612" i="8"/>
  <c r="BU612" i="8"/>
  <c r="BT612" i="8"/>
  <c r="BS612" i="8"/>
  <c r="BR612" i="8"/>
  <c r="BQ612" i="8"/>
  <c r="BP612" i="8"/>
  <c r="BO612" i="8"/>
  <c r="BN612" i="8"/>
  <c r="BM612" i="8"/>
  <c r="BL612" i="8"/>
  <c r="BK612" i="8"/>
  <c r="BJ612" i="8"/>
  <c r="BI612" i="8"/>
  <c r="BH612" i="8"/>
  <c r="CJ611" i="8"/>
  <c r="CI611" i="8"/>
  <c r="CH611" i="8"/>
  <c r="CG611" i="8"/>
  <c r="CF611" i="8"/>
  <c r="CE611" i="8"/>
  <c r="CD611" i="8"/>
  <c r="CC611" i="8"/>
  <c r="CB611" i="8"/>
  <c r="CA611" i="8"/>
  <c r="BZ611" i="8"/>
  <c r="BY611" i="8"/>
  <c r="BX611" i="8"/>
  <c r="BW611" i="8"/>
  <c r="BV611" i="8"/>
  <c r="BU611" i="8"/>
  <c r="BT611" i="8"/>
  <c r="BS611" i="8"/>
  <c r="BR611" i="8"/>
  <c r="BQ611" i="8"/>
  <c r="BP611" i="8"/>
  <c r="BO611" i="8"/>
  <c r="BN611" i="8"/>
  <c r="BM611" i="8"/>
  <c r="BL611" i="8"/>
  <c r="BK611" i="8"/>
  <c r="BJ611" i="8"/>
  <c r="BI611" i="8"/>
  <c r="BH611" i="8"/>
  <c r="CJ610" i="8"/>
  <c r="CI610" i="8"/>
  <c r="CH610" i="8"/>
  <c r="CG610" i="8"/>
  <c r="CF610" i="8"/>
  <c r="CE610" i="8"/>
  <c r="CD610" i="8"/>
  <c r="CC610" i="8"/>
  <c r="CB610" i="8"/>
  <c r="CA610" i="8"/>
  <c r="BZ610" i="8"/>
  <c r="BY610" i="8"/>
  <c r="BX610" i="8"/>
  <c r="BW610" i="8"/>
  <c r="BV610" i="8"/>
  <c r="BU610" i="8"/>
  <c r="BT610" i="8"/>
  <c r="BS610" i="8"/>
  <c r="BR610" i="8"/>
  <c r="BQ610" i="8"/>
  <c r="BP610" i="8"/>
  <c r="BO610" i="8"/>
  <c r="BN610" i="8"/>
  <c r="BM610" i="8"/>
  <c r="BL610" i="8"/>
  <c r="BK610" i="8"/>
  <c r="BJ610" i="8"/>
  <c r="BI610" i="8"/>
  <c r="BH610" i="8"/>
  <c r="CJ609" i="8"/>
  <c r="CI609" i="8"/>
  <c r="CH609" i="8"/>
  <c r="CG609" i="8"/>
  <c r="CF609" i="8"/>
  <c r="CE609" i="8"/>
  <c r="CD609" i="8"/>
  <c r="CC609" i="8"/>
  <c r="CB609" i="8"/>
  <c r="CA609" i="8"/>
  <c r="BZ609" i="8"/>
  <c r="BY609" i="8"/>
  <c r="BX609" i="8"/>
  <c r="BW609" i="8"/>
  <c r="BV609" i="8"/>
  <c r="BU609" i="8"/>
  <c r="BT609" i="8"/>
  <c r="BS609" i="8"/>
  <c r="BR609" i="8"/>
  <c r="BQ609" i="8"/>
  <c r="BP609" i="8"/>
  <c r="BO609" i="8"/>
  <c r="BN609" i="8"/>
  <c r="BM609" i="8"/>
  <c r="BL609" i="8"/>
  <c r="BK609" i="8"/>
  <c r="BJ609" i="8"/>
  <c r="BI609" i="8"/>
  <c r="BH609" i="8"/>
  <c r="CJ608" i="8"/>
  <c r="CI608" i="8"/>
  <c r="CH608" i="8"/>
  <c r="CG608" i="8"/>
  <c r="CF608" i="8"/>
  <c r="CE608" i="8"/>
  <c r="CD608" i="8"/>
  <c r="CC608" i="8"/>
  <c r="CB608" i="8"/>
  <c r="CA608" i="8"/>
  <c r="BZ608" i="8"/>
  <c r="BY608" i="8"/>
  <c r="BX608" i="8"/>
  <c r="BW608" i="8"/>
  <c r="BV608" i="8"/>
  <c r="BU608" i="8"/>
  <c r="BT608" i="8"/>
  <c r="BS608" i="8"/>
  <c r="BR608" i="8"/>
  <c r="BQ608" i="8"/>
  <c r="BP608" i="8"/>
  <c r="BO608" i="8"/>
  <c r="BN608" i="8"/>
  <c r="BM608" i="8"/>
  <c r="BL608" i="8"/>
  <c r="BK608" i="8"/>
  <c r="BJ608" i="8"/>
  <c r="BI608" i="8"/>
  <c r="BH608" i="8"/>
  <c r="CJ607" i="8"/>
  <c r="CI607" i="8"/>
  <c r="CH607" i="8"/>
  <c r="CG607" i="8"/>
  <c r="CF607" i="8"/>
  <c r="CE607" i="8"/>
  <c r="CD607" i="8"/>
  <c r="CC607" i="8"/>
  <c r="CB607" i="8"/>
  <c r="CA607" i="8"/>
  <c r="BZ607" i="8"/>
  <c r="BY607" i="8"/>
  <c r="BX607" i="8"/>
  <c r="BW607" i="8"/>
  <c r="BV607" i="8"/>
  <c r="BU607" i="8"/>
  <c r="BT607" i="8"/>
  <c r="BS607" i="8"/>
  <c r="BR607" i="8"/>
  <c r="BQ607" i="8"/>
  <c r="BP607" i="8"/>
  <c r="BO607" i="8"/>
  <c r="BN607" i="8"/>
  <c r="BM607" i="8"/>
  <c r="BL607" i="8"/>
  <c r="BK607" i="8"/>
  <c r="BJ607" i="8"/>
  <c r="BI607" i="8"/>
  <c r="BH607" i="8"/>
  <c r="CJ606" i="8"/>
  <c r="CI606" i="8"/>
  <c r="CH606" i="8"/>
  <c r="CG606" i="8"/>
  <c r="CF606" i="8"/>
  <c r="CE606" i="8"/>
  <c r="CD606" i="8"/>
  <c r="CC606" i="8"/>
  <c r="CB606" i="8"/>
  <c r="CA606" i="8"/>
  <c r="BZ606" i="8"/>
  <c r="BY606" i="8"/>
  <c r="BX606" i="8"/>
  <c r="BW606" i="8"/>
  <c r="BV606" i="8"/>
  <c r="BU606" i="8"/>
  <c r="BT606" i="8"/>
  <c r="BS606" i="8"/>
  <c r="BR606" i="8"/>
  <c r="BQ606" i="8"/>
  <c r="BP606" i="8"/>
  <c r="BO606" i="8"/>
  <c r="BN606" i="8"/>
  <c r="BM606" i="8"/>
  <c r="BL606" i="8"/>
  <c r="BK606" i="8"/>
  <c r="BJ606" i="8"/>
  <c r="BI606" i="8"/>
  <c r="BH606" i="8"/>
  <c r="CJ605" i="8"/>
  <c r="CI605" i="8"/>
  <c r="CH605" i="8"/>
  <c r="CG605" i="8"/>
  <c r="CF605" i="8"/>
  <c r="CE605" i="8"/>
  <c r="CD605" i="8"/>
  <c r="CC605" i="8"/>
  <c r="CB605" i="8"/>
  <c r="CA605" i="8"/>
  <c r="BZ605" i="8"/>
  <c r="BY605" i="8"/>
  <c r="BX605" i="8"/>
  <c r="BW605" i="8"/>
  <c r="BV605" i="8"/>
  <c r="BU605" i="8"/>
  <c r="BT605" i="8"/>
  <c r="BS605" i="8"/>
  <c r="BR605" i="8"/>
  <c r="BQ605" i="8"/>
  <c r="BP605" i="8"/>
  <c r="BO605" i="8"/>
  <c r="BN605" i="8"/>
  <c r="BM605" i="8"/>
  <c r="BL605" i="8"/>
  <c r="BK605" i="8"/>
  <c r="BJ605" i="8"/>
  <c r="BI605" i="8"/>
  <c r="BH605" i="8"/>
  <c r="CJ604" i="8"/>
  <c r="CI604" i="8"/>
  <c r="CH604" i="8"/>
  <c r="CG604" i="8"/>
  <c r="CF604" i="8"/>
  <c r="CE604" i="8"/>
  <c r="CD604" i="8"/>
  <c r="CC604" i="8"/>
  <c r="CB604" i="8"/>
  <c r="CA604" i="8"/>
  <c r="BZ604" i="8"/>
  <c r="BY604" i="8"/>
  <c r="BX604" i="8"/>
  <c r="BW604" i="8"/>
  <c r="BV604" i="8"/>
  <c r="BU604" i="8"/>
  <c r="BT604" i="8"/>
  <c r="BS604" i="8"/>
  <c r="BR604" i="8"/>
  <c r="BQ604" i="8"/>
  <c r="BP604" i="8"/>
  <c r="BO604" i="8"/>
  <c r="BN604" i="8"/>
  <c r="BM604" i="8"/>
  <c r="BL604" i="8"/>
  <c r="BK604" i="8"/>
  <c r="BJ604" i="8"/>
  <c r="BI604" i="8"/>
  <c r="BH604" i="8"/>
  <c r="CJ603" i="8"/>
  <c r="CI603" i="8"/>
  <c r="CH603" i="8"/>
  <c r="CG603" i="8"/>
  <c r="CF603" i="8"/>
  <c r="CE603" i="8"/>
  <c r="CD603" i="8"/>
  <c r="CC603" i="8"/>
  <c r="CB603" i="8"/>
  <c r="CA603" i="8"/>
  <c r="BZ603" i="8"/>
  <c r="BY603" i="8"/>
  <c r="BX603" i="8"/>
  <c r="BW603" i="8"/>
  <c r="BV603" i="8"/>
  <c r="BU603" i="8"/>
  <c r="BT603" i="8"/>
  <c r="BS603" i="8"/>
  <c r="BR603" i="8"/>
  <c r="BQ603" i="8"/>
  <c r="BP603" i="8"/>
  <c r="BO603" i="8"/>
  <c r="BN603" i="8"/>
  <c r="BM603" i="8"/>
  <c r="BL603" i="8"/>
  <c r="BK603" i="8"/>
  <c r="BJ603" i="8"/>
  <c r="BI603" i="8"/>
  <c r="BH603" i="8"/>
  <c r="CJ602" i="8"/>
  <c r="CI602" i="8"/>
  <c r="CH602" i="8"/>
  <c r="CG602" i="8"/>
  <c r="CF602" i="8"/>
  <c r="CE602" i="8"/>
  <c r="CD602" i="8"/>
  <c r="CC602" i="8"/>
  <c r="CB602" i="8"/>
  <c r="CA602" i="8"/>
  <c r="BZ602" i="8"/>
  <c r="BY602" i="8"/>
  <c r="BX602" i="8"/>
  <c r="BW602" i="8"/>
  <c r="BV602" i="8"/>
  <c r="BU602" i="8"/>
  <c r="BT602" i="8"/>
  <c r="BS602" i="8"/>
  <c r="BR602" i="8"/>
  <c r="BQ602" i="8"/>
  <c r="BP602" i="8"/>
  <c r="BO602" i="8"/>
  <c r="BN602" i="8"/>
  <c r="BM602" i="8"/>
  <c r="BL602" i="8"/>
  <c r="BK602" i="8"/>
  <c r="BJ602" i="8"/>
  <c r="BI602" i="8"/>
  <c r="BH602" i="8"/>
  <c r="CJ601" i="8"/>
  <c r="CI601" i="8"/>
  <c r="CH601" i="8"/>
  <c r="CG601" i="8"/>
  <c r="CF601" i="8"/>
  <c r="CE601" i="8"/>
  <c r="CD601" i="8"/>
  <c r="CC601" i="8"/>
  <c r="CB601" i="8"/>
  <c r="CA601" i="8"/>
  <c r="BZ601" i="8"/>
  <c r="BY601" i="8"/>
  <c r="BX601" i="8"/>
  <c r="BW601" i="8"/>
  <c r="BV601" i="8"/>
  <c r="BU601" i="8"/>
  <c r="BT601" i="8"/>
  <c r="BS601" i="8"/>
  <c r="BR601" i="8"/>
  <c r="BQ601" i="8"/>
  <c r="BP601" i="8"/>
  <c r="BO601" i="8"/>
  <c r="BN601" i="8"/>
  <c r="BM601" i="8"/>
  <c r="BL601" i="8"/>
  <c r="BK601" i="8"/>
  <c r="BJ601" i="8"/>
  <c r="BI601" i="8"/>
  <c r="BH601" i="8"/>
  <c r="CJ600" i="8"/>
  <c r="CI600" i="8"/>
  <c r="CH600" i="8"/>
  <c r="CG600" i="8"/>
  <c r="CF600" i="8"/>
  <c r="CE600" i="8"/>
  <c r="CD600" i="8"/>
  <c r="CC600" i="8"/>
  <c r="CB600" i="8"/>
  <c r="CA600" i="8"/>
  <c r="BZ600" i="8"/>
  <c r="BY600" i="8"/>
  <c r="BX600" i="8"/>
  <c r="BW600" i="8"/>
  <c r="BV600" i="8"/>
  <c r="BU600" i="8"/>
  <c r="BT600" i="8"/>
  <c r="BS600" i="8"/>
  <c r="BR600" i="8"/>
  <c r="BQ600" i="8"/>
  <c r="BP600" i="8"/>
  <c r="BO600" i="8"/>
  <c r="BN600" i="8"/>
  <c r="BM600" i="8"/>
  <c r="BL600" i="8"/>
  <c r="BK600" i="8"/>
  <c r="BJ600" i="8"/>
  <c r="BI600" i="8"/>
  <c r="BH600" i="8"/>
  <c r="CJ599" i="8"/>
  <c r="CI599" i="8"/>
  <c r="CH599" i="8"/>
  <c r="CG599" i="8"/>
  <c r="CF599" i="8"/>
  <c r="CE599" i="8"/>
  <c r="CD599" i="8"/>
  <c r="CC599" i="8"/>
  <c r="CB599" i="8"/>
  <c r="CA599" i="8"/>
  <c r="BZ599" i="8"/>
  <c r="BY599" i="8"/>
  <c r="BX599" i="8"/>
  <c r="BW599" i="8"/>
  <c r="BV599" i="8"/>
  <c r="BU599" i="8"/>
  <c r="BT599" i="8"/>
  <c r="BS599" i="8"/>
  <c r="BR599" i="8"/>
  <c r="BQ599" i="8"/>
  <c r="BP599" i="8"/>
  <c r="BO599" i="8"/>
  <c r="BN599" i="8"/>
  <c r="BM599" i="8"/>
  <c r="BL599" i="8"/>
  <c r="BK599" i="8"/>
  <c r="BJ599" i="8"/>
  <c r="BI599" i="8"/>
  <c r="BH599" i="8"/>
  <c r="CJ598" i="8"/>
  <c r="CI598" i="8"/>
  <c r="CH598" i="8"/>
  <c r="CG598" i="8"/>
  <c r="CF598" i="8"/>
  <c r="CE598" i="8"/>
  <c r="CD598" i="8"/>
  <c r="CC598" i="8"/>
  <c r="CB598" i="8"/>
  <c r="CA598" i="8"/>
  <c r="BZ598" i="8"/>
  <c r="BY598" i="8"/>
  <c r="BX598" i="8"/>
  <c r="BW598" i="8"/>
  <c r="BV598" i="8"/>
  <c r="BU598" i="8"/>
  <c r="BT598" i="8"/>
  <c r="BS598" i="8"/>
  <c r="BR598" i="8"/>
  <c r="BQ598" i="8"/>
  <c r="BP598" i="8"/>
  <c r="BO598" i="8"/>
  <c r="BN598" i="8"/>
  <c r="BM598" i="8"/>
  <c r="BL598" i="8"/>
  <c r="BK598" i="8"/>
  <c r="BJ598" i="8"/>
  <c r="BI598" i="8"/>
  <c r="BH598" i="8"/>
  <c r="CJ597" i="8"/>
  <c r="CI597" i="8"/>
  <c r="CH597" i="8"/>
  <c r="CG597" i="8"/>
  <c r="CF597" i="8"/>
  <c r="CE597" i="8"/>
  <c r="CD597" i="8"/>
  <c r="CC597" i="8"/>
  <c r="CB597" i="8"/>
  <c r="CA597" i="8"/>
  <c r="BZ597" i="8"/>
  <c r="BY597" i="8"/>
  <c r="BX597" i="8"/>
  <c r="BW597" i="8"/>
  <c r="BV597" i="8"/>
  <c r="BU597" i="8"/>
  <c r="BT597" i="8"/>
  <c r="BS597" i="8"/>
  <c r="BR597" i="8"/>
  <c r="BQ597" i="8"/>
  <c r="BP597" i="8"/>
  <c r="BO597" i="8"/>
  <c r="BN597" i="8"/>
  <c r="BM597" i="8"/>
  <c r="BL597" i="8"/>
  <c r="BK597" i="8"/>
  <c r="BJ597" i="8"/>
  <c r="BI597" i="8"/>
  <c r="BH597" i="8"/>
  <c r="CJ596" i="8"/>
  <c r="CI596" i="8"/>
  <c r="CH596" i="8"/>
  <c r="CG596" i="8"/>
  <c r="CF596" i="8"/>
  <c r="CE596" i="8"/>
  <c r="CD596" i="8"/>
  <c r="CC596" i="8"/>
  <c r="CB596" i="8"/>
  <c r="CA596" i="8"/>
  <c r="BZ596" i="8"/>
  <c r="BY596" i="8"/>
  <c r="BX596" i="8"/>
  <c r="BW596" i="8"/>
  <c r="BV596" i="8"/>
  <c r="BU596" i="8"/>
  <c r="BT596" i="8"/>
  <c r="BS596" i="8"/>
  <c r="BR596" i="8"/>
  <c r="BQ596" i="8"/>
  <c r="BP596" i="8"/>
  <c r="BO596" i="8"/>
  <c r="BN596" i="8"/>
  <c r="BM596" i="8"/>
  <c r="BL596" i="8"/>
  <c r="BK596" i="8"/>
  <c r="BJ596" i="8"/>
  <c r="BI596" i="8"/>
  <c r="BH596" i="8"/>
  <c r="CJ542" i="8"/>
  <c r="CI542" i="8"/>
  <c r="CH542" i="8"/>
  <c r="CG542" i="8"/>
  <c r="CF542" i="8"/>
  <c r="CE542" i="8"/>
  <c r="CD542" i="8"/>
  <c r="CC542" i="8"/>
  <c r="CB542" i="8"/>
  <c r="CA542" i="8"/>
  <c r="BZ542" i="8"/>
  <c r="BY542" i="8"/>
  <c r="BX542" i="8"/>
  <c r="BW542" i="8"/>
  <c r="BV542" i="8"/>
  <c r="BU542" i="8"/>
  <c r="BT542" i="8"/>
  <c r="BS542" i="8"/>
  <c r="BR542" i="8"/>
  <c r="BQ542" i="8"/>
  <c r="BP542" i="8"/>
  <c r="BO542" i="8"/>
  <c r="BN542" i="8"/>
  <c r="BM542" i="8"/>
  <c r="BL542" i="8"/>
  <c r="BK542" i="8"/>
  <c r="BJ542" i="8"/>
  <c r="BI542" i="8"/>
  <c r="BH542" i="8"/>
  <c r="CJ540" i="8"/>
  <c r="CI540" i="8"/>
  <c r="CH540" i="8"/>
  <c r="CG540" i="8"/>
  <c r="CF540" i="8"/>
  <c r="CE540" i="8"/>
  <c r="CD540" i="8"/>
  <c r="CC540" i="8"/>
  <c r="CB540" i="8"/>
  <c r="CA540" i="8"/>
  <c r="BZ540" i="8"/>
  <c r="BY540" i="8"/>
  <c r="BX540" i="8"/>
  <c r="BW540" i="8"/>
  <c r="BV540" i="8"/>
  <c r="BU540" i="8"/>
  <c r="BT540" i="8"/>
  <c r="BS540" i="8"/>
  <c r="BR540" i="8"/>
  <c r="BQ540" i="8"/>
  <c r="BP540" i="8"/>
  <c r="BO540" i="8"/>
  <c r="BN540" i="8"/>
  <c r="BM540" i="8"/>
  <c r="BL540" i="8"/>
  <c r="BK540" i="8"/>
  <c r="BJ540" i="8"/>
  <c r="BI540" i="8"/>
  <c r="BH540" i="8"/>
  <c r="CJ539" i="8"/>
  <c r="CI539" i="8"/>
  <c r="CH539" i="8"/>
  <c r="CG539" i="8"/>
  <c r="CF539" i="8"/>
  <c r="CE539" i="8"/>
  <c r="CD539" i="8"/>
  <c r="CC539" i="8"/>
  <c r="CB539" i="8"/>
  <c r="CA539" i="8"/>
  <c r="BZ539" i="8"/>
  <c r="BY539" i="8"/>
  <c r="BX539" i="8"/>
  <c r="BW539" i="8"/>
  <c r="BV539" i="8"/>
  <c r="BU539" i="8"/>
  <c r="BT539" i="8"/>
  <c r="BS539" i="8"/>
  <c r="BR539" i="8"/>
  <c r="BQ539" i="8"/>
  <c r="BP539" i="8"/>
  <c r="BO539" i="8"/>
  <c r="BN539" i="8"/>
  <c r="BM539" i="8"/>
  <c r="BL539" i="8"/>
  <c r="BK539" i="8"/>
  <c r="BJ539" i="8"/>
  <c r="BI539" i="8"/>
  <c r="BH539" i="8"/>
  <c r="CJ538" i="8"/>
  <c r="CI538" i="8"/>
  <c r="CH538" i="8"/>
  <c r="CG538" i="8"/>
  <c r="CF538" i="8"/>
  <c r="CE538" i="8"/>
  <c r="CD538" i="8"/>
  <c r="CC538" i="8"/>
  <c r="CB538" i="8"/>
  <c r="CA538" i="8"/>
  <c r="BZ538" i="8"/>
  <c r="BY538" i="8"/>
  <c r="BX538" i="8"/>
  <c r="BW538" i="8"/>
  <c r="BV538" i="8"/>
  <c r="BU538" i="8"/>
  <c r="BT538" i="8"/>
  <c r="BS538" i="8"/>
  <c r="BR538" i="8"/>
  <c r="BQ538" i="8"/>
  <c r="BP538" i="8"/>
  <c r="BO538" i="8"/>
  <c r="BN538" i="8"/>
  <c r="BM538" i="8"/>
  <c r="BL538" i="8"/>
  <c r="BK538" i="8"/>
  <c r="BJ538" i="8"/>
  <c r="BI538" i="8"/>
  <c r="BH538" i="8"/>
  <c r="CJ536" i="8"/>
  <c r="CI536" i="8"/>
  <c r="CH536" i="8"/>
  <c r="CG536" i="8"/>
  <c r="CF536" i="8"/>
  <c r="CE536" i="8"/>
  <c r="CD536" i="8"/>
  <c r="CC536" i="8"/>
  <c r="CB536" i="8"/>
  <c r="CA536" i="8"/>
  <c r="BZ536" i="8"/>
  <c r="BY536" i="8"/>
  <c r="BX536" i="8"/>
  <c r="BW536" i="8"/>
  <c r="BV536" i="8"/>
  <c r="BU536" i="8"/>
  <c r="BT536" i="8"/>
  <c r="BS536" i="8"/>
  <c r="BR536" i="8"/>
  <c r="BQ536" i="8"/>
  <c r="BP536" i="8"/>
  <c r="BO536" i="8"/>
  <c r="BN536" i="8"/>
  <c r="BM536" i="8"/>
  <c r="BL536" i="8"/>
  <c r="BK536" i="8"/>
  <c r="BJ536" i="8"/>
  <c r="BI536" i="8"/>
  <c r="BH536" i="8"/>
  <c r="CJ535" i="8"/>
  <c r="CI535" i="8"/>
  <c r="CH535" i="8"/>
  <c r="CG535" i="8"/>
  <c r="CF535" i="8"/>
  <c r="CE535" i="8"/>
  <c r="CD535" i="8"/>
  <c r="CC535" i="8"/>
  <c r="CB535" i="8"/>
  <c r="CA535" i="8"/>
  <c r="BZ535" i="8"/>
  <c r="BY535" i="8"/>
  <c r="BX535" i="8"/>
  <c r="BW535" i="8"/>
  <c r="BV535" i="8"/>
  <c r="BU535" i="8"/>
  <c r="BT535" i="8"/>
  <c r="BS535" i="8"/>
  <c r="BR535" i="8"/>
  <c r="BQ535" i="8"/>
  <c r="BP535" i="8"/>
  <c r="BO535" i="8"/>
  <c r="BN535" i="8"/>
  <c r="BM535" i="8"/>
  <c r="BL535" i="8"/>
  <c r="BK535" i="8"/>
  <c r="BJ535" i="8"/>
  <c r="BI535" i="8"/>
  <c r="BH535" i="8"/>
  <c r="CJ534" i="8"/>
  <c r="CI534" i="8"/>
  <c r="CH534" i="8"/>
  <c r="CG534" i="8"/>
  <c r="CF534" i="8"/>
  <c r="CE534" i="8"/>
  <c r="CD534" i="8"/>
  <c r="CC534" i="8"/>
  <c r="CB534" i="8"/>
  <c r="CA534" i="8"/>
  <c r="BZ534" i="8"/>
  <c r="BY534" i="8"/>
  <c r="BX534" i="8"/>
  <c r="BW534" i="8"/>
  <c r="BV534" i="8"/>
  <c r="BU534" i="8"/>
  <c r="BT534" i="8"/>
  <c r="BS534" i="8"/>
  <c r="BR534" i="8"/>
  <c r="BQ534" i="8"/>
  <c r="BP534" i="8"/>
  <c r="BO534" i="8"/>
  <c r="BN534" i="8"/>
  <c r="BM534" i="8"/>
  <c r="BL534" i="8"/>
  <c r="BK534" i="8"/>
  <c r="BJ534" i="8"/>
  <c r="BI534" i="8"/>
  <c r="BH534" i="8"/>
  <c r="CJ532" i="8"/>
  <c r="CI532" i="8"/>
  <c r="CH532" i="8"/>
  <c r="CG532" i="8"/>
  <c r="CF532" i="8"/>
  <c r="CE532" i="8"/>
  <c r="CD532" i="8"/>
  <c r="CC532" i="8"/>
  <c r="CB532" i="8"/>
  <c r="CA532" i="8"/>
  <c r="BZ532" i="8"/>
  <c r="BY532" i="8"/>
  <c r="BX532" i="8"/>
  <c r="BW532" i="8"/>
  <c r="BV532" i="8"/>
  <c r="BU532" i="8"/>
  <c r="BT532" i="8"/>
  <c r="BS532" i="8"/>
  <c r="BR532" i="8"/>
  <c r="BQ532" i="8"/>
  <c r="BP532" i="8"/>
  <c r="BO532" i="8"/>
  <c r="BN532" i="8"/>
  <c r="BM532" i="8"/>
  <c r="BL532" i="8"/>
  <c r="BK532" i="8"/>
  <c r="BJ532" i="8"/>
  <c r="BI532" i="8"/>
  <c r="BH532" i="8"/>
  <c r="CJ531" i="8"/>
  <c r="CI531" i="8"/>
  <c r="CH531" i="8"/>
  <c r="CG531" i="8"/>
  <c r="CF531" i="8"/>
  <c r="CE531" i="8"/>
  <c r="CD531" i="8"/>
  <c r="CC531" i="8"/>
  <c r="CB531" i="8"/>
  <c r="CA531" i="8"/>
  <c r="BZ531" i="8"/>
  <c r="BY531" i="8"/>
  <c r="BX531" i="8"/>
  <c r="BW531" i="8"/>
  <c r="BV531" i="8"/>
  <c r="BU531" i="8"/>
  <c r="BT531" i="8"/>
  <c r="BS531" i="8"/>
  <c r="BR531" i="8"/>
  <c r="BQ531" i="8"/>
  <c r="BP531" i="8"/>
  <c r="BO531" i="8"/>
  <c r="BN531" i="8"/>
  <c r="BM531" i="8"/>
  <c r="BL531" i="8"/>
  <c r="BK531" i="8"/>
  <c r="BJ531" i="8"/>
  <c r="BI531" i="8"/>
  <c r="BH531" i="8"/>
  <c r="CJ530" i="8"/>
  <c r="CI530" i="8"/>
  <c r="CH530" i="8"/>
  <c r="CG530" i="8"/>
  <c r="CF530" i="8"/>
  <c r="CE530" i="8"/>
  <c r="CD530" i="8"/>
  <c r="CC530" i="8"/>
  <c r="CB530" i="8"/>
  <c r="CA530" i="8"/>
  <c r="BZ530" i="8"/>
  <c r="BY530" i="8"/>
  <c r="BX530" i="8"/>
  <c r="BW530" i="8"/>
  <c r="BV530" i="8"/>
  <c r="BU530" i="8"/>
  <c r="BT530" i="8"/>
  <c r="BS530" i="8"/>
  <c r="BR530" i="8"/>
  <c r="BQ530" i="8"/>
  <c r="BP530" i="8"/>
  <c r="BO530" i="8"/>
  <c r="BN530" i="8"/>
  <c r="BM530" i="8"/>
  <c r="BL530" i="8"/>
  <c r="BK530" i="8"/>
  <c r="BJ530" i="8"/>
  <c r="BI530" i="8"/>
  <c r="BH530" i="8"/>
  <c r="CJ528" i="8"/>
  <c r="CI528" i="8"/>
  <c r="CH528" i="8"/>
  <c r="CG528" i="8"/>
  <c r="CF528" i="8"/>
  <c r="CE528" i="8"/>
  <c r="CD528" i="8"/>
  <c r="CC528" i="8"/>
  <c r="CB528" i="8"/>
  <c r="CA528" i="8"/>
  <c r="BZ528" i="8"/>
  <c r="BY528" i="8"/>
  <c r="BX528" i="8"/>
  <c r="BW528" i="8"/>
  <c r="BV528" i="8"/>
  <c r="BU528" i="8"/>
  <c r="BT528" i="8"/>
  <c r="BS528" i="8"/>
  <c r="BR528" i="8"/>
  <c r="BQ528" i="8"/>
  <c r="BP528" i="8"/>
  <c r="BO528" i="8"/>
  <c r="BN528" i="8"/>
  <c r="BM528" i="8"/>
  <c r="BL528" i="8"/>
  <c r="BK528" i="8"/>
  <c r="BJ528" i="8"/>
  <c r="BI528" i="8"/>
  <c r="BH528" i="8"/>
  <c r="CJ527" i="8"/>
  <c r="CI527" i="8"/>
  <c r="CH527" i="8"/>
  <c r="CG527" i="8"/>
  <c r="CF527" i="8"/>
  <c r="CE527" i="8"/>
  <c r="CD527" i="8"/>
  <c r="CC527" i="8"/>
  <c r="CB527" i="8"/>
  <c r="CA527" i="8"/>
  <c r="BZ527" i="8"/>
  <c r="BY527" i="8"/>
  <c r="BX527" i="8"/>
  <c r="BW527" i="8"/>
  <c r="BV527" i="8"/>
  <c r="BU527" i="8"/>
  <c r="BT527" i="8"/>
  <c r="BS527" i="8"/>
  <c r="BR527" i="8"/>
  <c r="BQ527" i="8"/>
  <c r="BP527" i="8"/>
  <c r="BO527" i="8"/>
  <c r="BN527" i="8"/>
  <c r="BM527" i="8"/>
  <c r="BL527" i="8"/>
  <c r="BK527" i="8"/>
  <c r="BJ527" i="8"/>
  <c r="BI527" i="8"/>
  <c r="BH527" i="8"/>
  <c r="CJ526" i="8"/>
  <c r="CI526" i="8"/>
  <c r="CH526" i="8"/>
  <c r="CG526" i="8"/>
  <c r="CF526" i="8"/>
  <c r="CE526" i="8"/>
  <c r="CD526" i="8"/>
  <c r="CC526" i="8"/>
  <c r="CB526" i="8"/>
  <c r="CA526" i="8"/>
  <c r="BZ526" i="8"/>
  <c r="BY526" i="8"/>
  <c r="BX526" i="8"/>
  <c r="BW526" i="8"/>
  <c r="BV526" i="8"/>
  <c r="BU526" i="8"/>
  <c r="BT526" i="8"/>
  <c r="BS526" i="8"/>
  <c r="BR526" i="8"/>
  <c r="BQ526" i="8"/>
  <c r="BP526" i="8"/>
  <c r="BO526" i="8"/>
  <c r="BN526" i="8"/>
  <c r="BM526" i="8"/>
  <c r="BL526" i="8"/>
  <c r="BK526" i="8"/>
  <c r="BJ526" i="8"/>
  <c r="BI526" i="8"/>
  <c r="BH526" i="8"/>
  <c r="CJ524" i="8"/>
  <c r="CI524" i="8"/>
  <c r="CH524" i="8"/>
  <c r="CG524" i="8"/>
  <c r="CF524" i="8"/>
  <c r="CE524" i="8"/>
  <c r="CD524" i="8"/>
  <c r="CC524" i="8"/>
  <c r="CB524" i="8"/>
  <c r="CA524" i="8"/>
  <c r="BZ524" i="8"/>
  <c r="BY524" i="8"/>
  <c r="BX524" i="8"/>
  <c r="BW524" i="8"/>
  <c r="BV524" i="8"/>
  <c r="BU524" i="8"/>
  <c r="BT524" i="8"/>
  <c r="BS524" i="8"/>
  <c r="BR524" i="8"/>
  <c r="BQ524" i="8"/>
  <c r="BP524" i="8"/>
  <c r="BO524" i="8"/>
  <c r="BN524" i="8"/>
  <c r="BM524" i="8"/>
  <c r="BL524" i="8"/>
  <c r="BK524" i="8"/>
  <c r="BJ524" i="8"/>
  <c r="BI524" i="8"/>
  <c r="BH524" i="8"/>
  <c r="CJ523" i="8"/>
  <c r="CI523" i="8"/>
  <c r="CH523" i="8"/>
  <c r="CG523" i="8"/>
  <c r="CF523" i="8"/>
  <c r="CE523" i="8"/>
  <c r="CD523" i="8"/>
  <c r="CC523" i="8"/>
  <c r="CB523" i="8"/>
  <c r="CA523" i="8"/>
  <c r="BZ523" i="8"/>
  <c r="BY523" i="8"/>
  <c r="BX523" i="8"/>
  <c r="BW523" i="8"/>
  <c r="BV523" i="8"/>
  <c r="BU523" i="8"/>
  <c r="BT523" i="8"/>
  <c r="BS523" i="8"/>
  <c r="BR523" i="8"/>
  <c r="BQ523" i="8"/>
  <c r="BP523" i="8"/>
  <c r="BO523" i="8"/>
  <c r="BN523" i="8"/>
  <c r="BM523" i="8"/>
  <c r="BL523" i="8"/>
  <c r="BK523" i="8"/>
  <c r="BJ523" i="8"/>
  <c r="BI523" i="8"/>
  <c r="BH523" i="8"/>
  <c r="CJ522" i="8"/>
  <c r="CI522" i="8"/>
  <c r="CH522" i="8"/>
  <c r="CG522" i="8"/>
  <c r="CF522" i="8"/>
  <c r="CE522" i="8"/>
  <c r="CD522" i="8"/>
  <c r="CC522" i="8"/>
  <c r="CB522" i="8"/>
  <c r="CA522" i="8"/>
  <c r="BZ522" i="8"/>
  <c r="BY522" i="8"/>
  <c r="BX522" i="8"/>
  <c r="BW522" i="8"/>
  <c r="BV522" i="8"/>
  <c r="BU522" i="8"/>
  <c r="BT522" i="8"/>
  <c r="BS522" i="8"/>
  <c r="BR522" i="8"/>
  <c r="BQ522" i="8"/>
  <c r="BP522" i="8"/>
  <c r="BO522" i="8"/>
  <c r="BN522" i="8"/>
  <c r="BM522" i="8"/>
  <c r="BL522" i="8"/>
  <c r="BK522" i="8"/>
  <c r="BJ522" i="8"/>
  <c r="BI522" i="8"/>
  <c r="BH522" i="8"/>
  <c r="CJ520" i="8"/>
  <c r="CI520" i="8"/>
  <c r="CH520" i="8"/>
  <c r="CG520" i="8"/>
  <c r="CF520" i="8"/>
  <c r="CE520" i="8"/>
  <c r="CD520" i="8"/>
  <c r="CC520" i="8"/>
  <c r="CB520" i="8"/>
  <c r="CA520" i="8"/>
  <c r="BZ520" i="8"/>
  <c r="BY520" i="8"/>
  <c r="BX520" i="8"/>
  <c r="BW520" i="8"/>
  <c r="BV520" i="8"/>
  <c r="BU520" i="8"/>
  <c r="BT520" i="8"/>
  <c r="BS520" i="8"/>
  <c r="BR520" i="8"/>
  <c r="BQ520" i="8"/>
  <c r="BP520" i="8"/>
  <c r="BO520" i="8"/>
  <c r="BN520" i="8"/>
  <c r="BM520" i="8"/>
  <c r="BL520" i="8"/>
  <c r="BK520" i="8"/>
  <c r="BJ520" i="8"/>
  <c r="BI520" i="8"/>
  <c r="BH520" i="8"/>
  <c r="CJ519" i="8"/>
  <c r="CI519" i="8"/>
  <c r="CH519" i="8"/>
  <c r="CG519" i="8"/>
  <c r="CF519" i="8"/>
  <c r="CE519" i="8"/>
  <c r="CD519" i="8"/>
  <c r="CC519" i="8"/>
  <c r="CB519" i="8"/>
  <c r="CA519" i="8"/>
  <c r="BZ519" i="8"/>
  <c r="BY519" i="8"/>
  <c r="BX519" i="8"/>
  <c r="BW519" i="8"/>
  <c r="BV519" i="8"/>
  <c r="BU519" i="8"/>
  <c r="BT519" i="8"/>
  <c r="BS519" i="8"/>
  <c r="BR519" i="8"/>
  <c r="BQ519" i="8"/>
  <c r="BP519" i="8"/>
  <c r="BO519" i="8"/>
  <c r="BN519" i="8"/>
  <c r="BM519" i="8"/>
  <c r="BL519" i="8"/>
  <c r="BK519" i="8"/>
  <c r="BJ519" i="8"/>
  <c r="BI519" i="8"/>
  <c r="BH519" i="8"/>
  <c r="CJ510" i="8"/>
  <c r="CI510" i="8"/>
  <c r="CH510" i="8"/>
  <c r="CG510" i="8"/>
  <c r="CF510" i="8"/>
  <c r="CE510" i="8"/>
  <c r="CD510" i="8"/>
  <c r="CC510" i="8"/>
  <c r="CB510" i="8"/>
  <c r="CA510" i="8"/>
  <c r="BZ510" i="8"/>
  <c r="BY510" i="8"/>
  <c r="BX510" i="8"/>
  <c r="BW510" i="8"/>
  <c r="BV510" i="8"/>
  <c r="BU510" i="8"/>
  <c r="BT510" i="8"/>
  <c r="BS510" i="8"/>
  <c r="BR510" i="8"/>
  <c r="BQ510" i="8"/>
  <c r="BP510" i="8"/>
  <c r="BO510" i="8"/>
  <c r="BN510" i="8"/>
  <c r="BM510" i="8"/>
  <c r="BL510" i="8"/>
  <c r="BK510" i="8"/>
  <c r="BJ510" i="8"/>
  <c r="BI510" i="8"/>
  <c r="BH510" i="8"/>
  <c r="CJ508" i="8"/>
  <c r="CI508" i="8"/>
  <c r="CH508" i="8"/>
  <c r="CG508" i="8"/>
  <c r="CF508" i="8"/>
  <c r="CE508" i="8"/>
  <c r="CD508" i="8"/>
  <c r="CC508" i="8"/>
  <c r="CB508" i="8"/>
  <c r="CA508" i="8"/>
  <c r="BZ508" i="8"/>
  <c r="BY508" i="8"/>
  <c r="BX508" i="8"/>
  <c r="BW508" i="8"/>
  <c r="BV508" i="8"/>
  <c r="BU508" i="8"/>
  <c r="BT508" i="8"/>
  <c r="BS508" i="8"/>
  <c r="BR508" i="8"/>
  <c r="BQ508" i="8"/>
  <c r="BP508" i="8"/>
  <c r="BO508" i="8"/>
  <c r="BN508" i="8"/>
  <c r="BM508" i="8"/>
  <c r="BL508" i="8"/>
  <c r="BK508" i="8"/>
  <c r="BJ508" i="8"/>
  <c r="BI508" i="8"/>
  <c r="BH508" i="8"/>
  <c r="CJ507" i="8"/>
  <c r="CI507" i="8"/>
  <c r="CH507" i="8"/>
  <c r="CG507" i="8"/>
  <c r="CF507" i="8"/>
  <c r="CE507" i="8"/>
  <c r="CD507" i="8"/>
  <c r="CC507" i="8"/>
  <c r="CB507" i="8"/>
  <c r="CA507" i="8"/>
  <c r="BZ507" i="8"/>
  <c r="BY507" i="8"/>
  <c r="BX507" i="8"/>
  <c r="BW507" i="8"/>
  <c r="BV507" i="8"/>
  <c r="BU507" i="8"/>
  <c r="BT507" i="8"/>
  <c r="BS507" i="8"/>
  <c r="BR507" i="8"/>
  <c r="BQ507" i="8"/>
  <c r="BP507" i="8"/>
  <c r="BO507" i="8"/>
  <c r="BN507" i="8"/>
  <c r="BM507" i="8"/>
  <c r="BL507" i="8"/>
  <c r="BK507" i="8"/>
  <c r="BJ507" i="8"/>
  <c r="BI507" i="8"/>
  <c r="BH507" i="8"/>
  <c r="CJ506" i="8"/>
  <c r="CI506" i="8"/>
  <c r="CH506" i="8"/>
  <c r="CG506" i="8"/>
  <c r="CF506" i="8"/>
  <c r="CE506" i="8"/>
  <c r="CD506" i="8"/>
  <c r="CC506" i="8"/>
  <c r="CB506" i="8"/>
  <c r="CA506" i="8"/>
  <c r="BZ506" i="8"/>
  <c r="BY506" i="8"/>
  <c r="BX506" i="8"/>
  <c r="BW506" i="8"/>
  <c r="BV506" i="8"/>
  <c r="BU506" i="8"/>
  <c r="BT506" i="8"/>
  <c r="BS506" i="8"/>
  <c r="BR506" i="8"/>
  <c r="BQ506" i="8"/>
  <c r="BP506" i="8"/>
  <c r="BO506" i="8"/>
  <c r="BN506" i="8"/>
  <c r="BM506" i="8"/>
  <c r="BL506" i="8"/>
  <c r="BK506" i="8"/>
  <c r="BJ506" i="8"/>
  <c r="BI506" i="8"/>
  <c r="BH506" i="8"/>
  <c r="CJ504" i="8"/>
  <c r="CI504" i="8"/>
  <c r="CH504" i="8"/>
  <c r="CG504" i="8"/>
  <c r="CF504" i="8"/>
  <c r="CE504" i="8"/>
  <c r="CD504" i="8"/>
  <c r="CC504" i="8"/>
  <c r="CB504" i="8"/>
  <c r="CA504" i="8"/>
  <c r="BZ504" i="8"/>
  <c r="BY504" i="8"/>
  <c r="BX504" i="8"/>
  <c r="BW504" i="8"/>
  <c r="BV504" i="8"/>
  <c r="BU504" i="8"/>
  <c r="BT504" i="8"/>
  <c r="BS504" i="8"/>
  <c r="BR504" i="8"/>
  <c r="BQ504" i="8"/>
  <c r="BP504" i="8"/>
  <c r="BO504" i="8"/>
  <c r="BN504" i="8"/>
  <c r="BM504" i="8"/>
  <c r="BL504" i="8"/>
  <c r="BK504" i="8"/>
  <c r="BJ504" i="8"/>
  <c r="BI504" i="8"/>
  <c r="BH504" i="8"/>
  <c r="CJ503" i="8"/>
  <c r="CI503" i="8"/>
  <c r="CH503" i="8"/>
  <c r="CG503" i="8"/>
  <c r="CF503" i="8"/>
  <c r="CE503" i="8"/>
  <c r="CD503" i="8"/>
  <c r="CC503" i="8"/>
  <c r="CB503" i="8"/>
  <c r="CA503" i="8"/>
  <c r="BZ503" i="8"/>
  <c r="BY503" i="8"/>
  <c r="BX503" i="8"/>
  <c r="BW503" i="8"/>
  <c r="BV503" i="8"/>
  <c r="BU503" i="8"/>
  <c r="BT503" i="8"/>
  <c r="BS503" i="8"/>
  <c r="BR503" i="8"/>
  <c r="BQ503" i="8"/>
  <c r="BP503" i="8"/>
  <c r="BO503" i="8"/>
  <c r="BN503" i="8"/>
  <c r="BM503" i="8"/>
  <c r="BL503" i="8"/>
  <c r="BK503" i="8"/>
  <c r="BJ503" i="8"/>
  <c r="BI503" i="8"/>
  <c r="BH503" i="8"/>
  <c r="CJ502" i="8"/>
  <c r="CI502" i="8"/>
  <c r="CH502" i="8"/>
  <c r="CG502" i="8"/>
  <c r="CF502" i="8"/>
  <c r="CE502" i="8"/>
  <c r="CD502" i="8"/>
  <c r="CC502" i="8"/>
  <c r="CB502" i="8"/>
  <c r="CA502" i="8"/>
  <c r="BZ502" i="8"/>
  <c r="BY502" i="8"/>
  <c r="BX502" i="8"/>
  <c r="BW502" i="8"/>
  <c r="BV502" i="8"/>
  <c r="BU502" i="8"/>
  <c r="BT502" i="8"/>
  <c r="BS502" i="8"/>
  <c r="BR502" i="8"/>
  <c r="BQ502" i="8"/>
  <c r="BP502" i="8"/>
  <c r="BO502" i="8"/>
  <c r="BN502" i="8"/>
  <c r="BM502" i="8"/>
  <c r="BL502" i="8"/>
  <c r="BK502" i="8"/>
  <c r="BJ502" i="8"/>
  <c r="BI502" i="8"/>
  <c r="BH502" i="8"/>
  <c r="CJ500" i="8"/>
  <c r="CI500" i="8"/>
  <c r="CH500" i="8"/>
  <c r="CG500" i="8"/>
  <c r="CF500" i="8"/>
  <c r="CE500" i="8"/>
  <c r="CD500" i="8"/>
  <c r="CC500" i="8"/>
  <c r="CB500" i="8"/>
  <c r="CA500" i="8"/>
  <c r="BZ500" i="8"/>
  <c r="BY500" i="8"/>
  <c r="BX500" i="8"/>
  <c r="BW500" i="8"/>
  <c r="BV500" i="8"/>
  <c r="BU500" i="8"/>
  <c r="BT500" i="8"/>
  <c r="BS500" i="8"/>
  <c r="BR500" i="8"/>
  <c r="BQ500" i="8"/>
  <c r="BP500" i="8"/>
  <c r="BO500" i="8"/>
  <c r="BN500" i="8"/>
  <c r="BM500" i="8"/>
  <c r="BL500" i="8"/>
  <c r="BK500" i="8"/>
  <c r="BJ500" i="8"/>
  <c r="BI500" i="8"/>
  <c r="BH500" i="8"/>
  <c r="CJ499" i="8"/>
  <c r="CI499" i="8"/>
  <c r="CH499" i="8"/>
  <c r="CG499" i="8"/>
  <c r="CF499" i="8"/>
  <c r="CE499" i="8"/>
  <c r="CD499" i="8"/>
  <c r="CC499" i="8"/>
  <c r="CB499" i="8"/>
  <c r="CA499" i="8"/>
  <c r="BZ499" i="8"/>
  <c r="BY499" i="8"/>
  <c r="BX499" i="8"/>
  <c r="BW499" i="8"/>
  <c r="BV499" i="8"/>
  <c r="BU499" i="8"/>
  <c r="BT499" i="8"/>
  <c r="BS499" i="8"/>
  <c r="BR499" i="8"/>
  <c r="BQ499" i="8"/>
  <c r="BP499" i="8"/>
  <c r="BO499" i="8"/>
  <c r="BN499" i="8"/>
  <c r="BM499" i="8"/>
  <c r="BL499" i="8"/>
  <c r="BK499" i="8"/>
  <c r="BJ499" i="8"/>
  <c r="BI499" i="8"/>
  <c r="BH499" i="8"/>
  <c r="CJ498" i="8"/>
  <c r="CI498" i="8"/>
  <c r="CH498" i="8"/>
  <c r="CG498" i="8"/>
  <c r="CF498" i="8"/>
  <c r="CE498" i="8"/>
  <c r="CD498" i="8"/>
  <c r="CC498" i="8"/>
  <c r="CB498" i="8"/>
  <c r="CA498" i="8"/>
  <c r="BZ498" i="8"/>
  <c r="BY498" i="8"/>
  <c r="BX498" i="8"/>
  <c r="BW498" i="8"/>
  <c r="BV498" i="8"/>
  <c r="BU498" i="8"/>
  <c r="BT498" i="8"/>
  <c r="BS498" i="8"/>
  <c r="BR498" i="8"/>
  <c r="BQ498" i="8"/>
  <c r="BP498" i="8"/>
  <c r="BO498" i="8"/>
  <c r="BN498" i="8"/>
  <c r="BM498" i="8"/>
  <c r="BL498" i="8"/>
  <c r="BK498" i="8"/>
  <c r="BJ498" i="8"/>
  <c r="BI498" i="8"/>
  <c r="BH498" i="8"/>
  <c r="CJ496" i="8"/>
  <c r="CI496" i="8"/>
  <c r="CH496" i="8"/>
  <c r="CG496" i="8"/>
  <c r="CF496" i="8"/>
  <c r="CE496" i="8"/>
  <c r="CD496" i="8"/>
  <c r="CC496" i="8"/>
  <c r="CB496" i="8"/>
  <c r="CA496" i="8"/>
  <c r="BZ496" i="8"/>
  <c r="BY496" i="8"/>
  <c r="BX496" i="8"/>
  <c r="BW496" i="8"/>
  <c r="BV496" i="8"/>
  <c r="BU496" i="8"/>
  <c r="BT496" i="8"/>
  <c r="BS496" i="8"/>
  <c r="BR496" i="8"/>
  <c r="BQ496" i="8"/>
  <c r="BP496" i="8"/>
  <c r="BO496" i="8"/>
  <c r="BN496" i="8"/>
  <c r="BM496" i="8"/>
  <c r="BL496" i="8"/>
  <c r="BK496" i="8"/>
  <c r="BJ496" i="8"/>
  <c r="BI496" i="8"/>
  <c r="BH496" i="8"/>
  <c r="CJ495" i="8"/>
  <c r="CI495" i="8"/>
  <c r="CH495" i="8"/>
  <c r="CG495" i="8"/>
  <c r="CF495" i="8"/>
  <c r="CE495" i="8"/>
  <c r="CD495" i="8"/>
  <c r="CC495" i="8"/>
  <c r="CB495" i="8"/>
  <c r="CA495" i="8"/>
  <c r="BZ495" i="8"/>
  <c r="BY495" i="8"/>
  <c r="BX495" i="8"/>
  <c r="BW495" i="8"/>
  <c r="BV495" i="8"/>
  <c r="BU495" i="8"/>
  <c r="BT495" i="8"/>
  <c r="BS495" i="8"/>
  <c r="BR495" i="8"/>
  <c r="BQ495" i="8"/>
  <c r="BP495" i="8"/>
  <c r="BO495" i="8"/>
  <c r="BN495" i="8"/>
  <c r="BM495" i="8"/>
  <c r="BL495" i="8"/>
  <c r="BK495" i="8"/>
  <c r="BJ495" i="8"/>
  <c r="BI495" i="8"/>
  <c r="BH495" i="8"/>
  <c r="CJ494" i="8"/>
  <c r="CI494" i="8"/>
  <c r="CH494" i="8"/>
  <c r="CG494" i="8"/>
  <c r="CF494" i="8"/>
  <c r="CE494" i="8"/>
  <c r="CD494" i="8"/>
  <c r="CC494" i="8"/>
  <c r="CB494" i="8"/>
  <c r="CA494" i="8"/>
  <c r="BZ494" i="8"/>
  <c r="BY494" i="8"/>
  <c r="BX494" i="8"/>
  <c r="BW494" i="8"/>
  <c r="BV494" i="8"/>
  <c r="BU494" i="8"/>
  <c r="BT494" i="8"/>
  <c r="BS494" i="8"/>
  <c r="BR494" i="8"/>
  <c r="BQ494" i="8"/>
  <c r="BP494" i="8"/>
  <c r="BO494" i="8"/>
  <c r="BN494" i="8"/>
  <c r="BM494" i="8"/>
  <c r="BL494" i="8"/>
  <c r="BK494" i="8"/>
  <c r="BJ494" i="8"/>
  <c r="BI494" i="8"/>
  <c r="BH494" i="8"/>
  <c r="CJ492" i="8"/>
  <c r="CI492" i="8"/>
  <c r="CH492" i="8"/>
  <c r="CG492" i="8"/>
  <c r="CF492" i="8"/>
  <c r="CE492" i="8"/>
  <c r="CD492" i="8"/>
  <c r="CC492" i="8"/>
  <c r="CB492" i="8"/>
  <c r="CA492" i="8"/>
  <c r="BZ492" i="8"/>
  <c r="BY492" i="8"/>
  <c r="BX492" i="8"/>
  <c r="BW492" i="8"/>
  <c r="BV492" i="8"/>
  <c r="BU492" i="8"/>
  <c r="BT492" i="8"/>
  <c r="BS492" i="8"/>
  <c r="BR492" i="8"/>
  <c r="BQ492" i="8"/>
  <c r="BP492" i="8"/>
  <c r="BO492" i="8"/>
  <c r="BN492" i="8"/>
  <c r="BM492" i="8"/>
  <c r="BL492" i="8"/>
  <c r="BK492" i="8"/>
  <c r="BJ492" i="8"/>
  <c r="BI492" i="8"/>
  <c r="BH492" i="8"/>
  <c r="CJ491" i="8"/>
  <c r="CI491" i="8"/>
  <c r="CH491" i="8"/>
  <c r="CG491" i="8"/>
  <c r="CF491" i="8"/>
  <c r="CE491" i="8"/>
  <c r="CD491" i="8"/>
  <c r="CC491" i="8"/>
  <c r="CB491" i="8"/>
  <c r="CA491" i="8"/>
  <c r="BZ491" i="8"/>
  <c r="BY491" i="8"/>
  <c r="BX491" i="8"/>
  <c r="BW491" i="8"/>
  <c r="BV491" i="8"/>
  <c r="BU491" i="8"/>
  <c r="BT491" i="8"/>
  <c r="BS491" i="8"/>
  <c r="BR491" i="8"/>
  <c r="BQ491" i="8"/>
  <c r="BP491" i="8"/>
  <c r="BO491" i="8"/>
  <c r="BN491" i="8"/>
  <c r="BM491" i="8"/>
  <c r="BL491" i="8"/>
  <c r="BK491" i="8"/>
  <c r="BJ491" i="8"/>
  <c r="BI491" i="8"/>
  <c r="BH491" i="8"/>
  <c r="CJ490" i="8"/>
  <c r="CI490" i="8"/>
  <c r="CH490" i="8"/>
  <c r="CG490" i="8"/>
  <c r="CF490" i="8"/>
  <c r="CE490" i="8"/>
  <c r="CD490" i="8"/>
  <c r="CC490" i="8"/>
  <c r="CB490" i="8"/>
  <c r="CA490" i="8"/>
  <c r="BZ490" i="8"/>
  <c r="BY490" i="8"/>
  <c r="BX490" i="8"/>
  <c r="BW490" i="8"/>
  <c r="BV490" i="8"/>
  <c r="BU490" i="8"/>
  <c r="BT490" i="8"/>
  <c r="BS490" i="8"/>
  <c r="BR490" i="8"/>
  <c r="BQ490" i="8"/>
  <c r="BP490" i="8"/>
  <c r="BO490" i="8"/>
  <c r="BN490" i="8"/>
  <c r="BM490" i="8"/>
  <c r="BL490" i="8"/>
  <c r="BK490" i="8"/>
  <c r="BJ490" i="8"/>
  <c r="BI490" i="8"/>
  <c r="BH490" i="8"/>
  <c r="CJ489" i="8"/>
  <c r="CI489" i="8"/>
  <c r="CH489" i="8"/>
  <c r="CG489" i="8"/>
  <c r="CF489" i="8"/>
  <c r="CE489" i="8"/>
  <c r="CD489" i="8"/>
  <c r="CC489" i="8"/>
  <c r="CB489" i="8"/>
  <c r="CA489" i="8"/>
  <c r="BZ489" i="8"/>
  <c r="BY489" i="8"/>
  <c r="BX489" i="8"/>
  <c r="BW489" i="8"/>
  <c r="BV489" i="8"/>
  <c r="BU489" i="8"/>
  <c r="BT489" i="8"/>
  <c r="BS489" i="8"/>
  <c r="BR489" i="8"/>
  <c r="BQ489" i="8"/>
  <c r="BP489" i="8"/>
  <c r="BO489" i="8"/>
  <c r="BN489" i="8"/>
  <c r="BM489" i="8"/>
  <c r="BL489" i="8"/>
  <c r="BK489" i="8"/>
  <c r="BJ489" i="8"/>
  <c r="BI489" i="8"/>
  <c r="BH489" i="8"/>
  <c r="CJ488" i="8"/>
  <c r="CI488" i="8"/>
  <c r="CH488" i="8"/>
  <c r="CG488" i="8"/>
  <c r="CF488" i="8"/>
  <c r="CE488" i="8"/>
  <c r="CD488" i="8"/>
  <c r="CC488" i="8"/>
  <c r="CB488" i="8"/>
  <c r="CA488" i="8"/>
  <c r="BZ488" i="8"/>
  <c r="BY488" i="8"/>
  <c r="BX488" i="8"/>
  <c r="BW488" i="8"/>
  <c r="BV488" i="8"/>
  <c r="BU488" i="8"/>
  <c r="BT488" i="8"/>
  <c r="BS488" i="8"/>
  <c r="BR488" i="8"/>
  <c r="BQ488" i="8"/>
  <c r="BP488" i="8"/>
  <c r="BO488" i="8"/>
  <c r="BN488" i="8"/>
  <c r="BM488" i="8"/>
  <c r="BL488" i="8"/>
  <c r="BK488" i="8"/>
  <c r="BJ488" i="8"/>
  <c r="BI488" i="8"/>
  <c r="BH488" i="8"/>
  <c r="CJ487" i="8"/>
  <c r="CI487" i="8"/>
  <c r="CH487" i="8"/>
  <c r="CG487" i="8"/>
  <c r="CF487" i="8"/>
  <c r="CE487" i="8"/>
  <c r="CD487" i="8"/>
  <c r="CC487" i="8"/>
  <c r="CB487" i="8"/>
  <c r="CA487" i="8"/>
  <c r="BZ487" i="8"/>
  <c r="BY487" i="8"/>
  <c r="BX487" i="8"/>
  <c r="BW487" i="8"/>
  <c r="BV487" i="8"/>
  <c r="BU487" i="8"/>
  <c r="BT487" i="8"/>
  <c r="BS487" i="8"/>
  <c r="BR487" i="8"/>
  <c r="BQ487" i="8"/>
  <c r="BP487" i="8"/>
  <c r="BO487" i="8"/>
  <c r="BN487" i="8"/>
  <c r="BM487" i="8"/>
  <c r="BL487" i="8"/>
  <c r="BK487" i="8"/>
  <c r="BJ487" i="8"/>
  <c r="BI487" i="8"/>
  <c r="BH487" i="8"/>
  <c r="CJ486" i="8"/>
  <c r="CI486" i="8"/>
  <c r="CH486" i="8"/>
  <c r="CG486" i="8"/>
  <c r="CF486" i="8"/>
  <c r="CE486" i="8"/>
  <c r="CD486" i="8"/>
  <c r="CC486" i="8"/>
  <c r="CB486" i="8"/>
  <c r="CA486" i="8"/>
  <c r="BZ486" i="8"/>
  <c r="BY486" i="8"/>
  <c r="BX486" i="8"/>
  <c r="BW486" i="8"/>
  <c r="BV486" i="8"/>
  <c r="BU486" i="8"/>
  <c r="BT486" i="8"/>
  <c r="BS486" i="8"/>
  <c r="BR486" i="8"/>
  <c r="BQ486" i="8"/>
  <c r="BP486" i="8"/>
  <c r="BO486" i="8"/>
  <c r="BN486" i="8"/>
  <c r="BM486" i="8"/>
  <c r="BL486" i="8"/>
  <c r="BK486" i="8"/>
  <c r="BJ486" i="8"/>
  <c r="BI486" i="8"/>
  <c r="BH486" i="8"/>
  <c r="CJ485" i="8"/>
  <c r="CI485" i="8"/>
  <c r="CH485" i="8"/>
  <c r="CG485" i="8"/>
  <c r="CF485" i="8"/>
  <c r="CE485" i="8"/>
  <c r="CD485" i="8"/>
  <c r="CC485" i="8"/>
  <c r="CB485" i="8"/>
  <c r="CA485" i="8"/>
  <c r="BZ485" i="8"/>
  <c r="BY485" i="8"/>
  <c r="BX485" i="8"/>
  <c r="BW485" i="8"/>
  <c r="BV485" i="8"/>
  <c r="BU485" i="8"/>
  <c r="BT485" i="8"/>
  <c r="BS485" i="8"/>
  <c r="BR485" i="8"/>
  <c r="BQ485" i="8"/>
  <c r="BP485" i="8"/>
  <c r="BO485" i="8"/>
  <c r="BN485" i="8"/>
  <c r="BM485" i="8"/>
  <c r="BL485" i="8"/>
  <c r="BK485" i="8"/>
  <c r="BJ485" i="8"/>
  <c r="BI485" i="8"/>
  <c r="BH485" i="8"/>
  <c r="CJ484" i="8"/>
  <c r="CI484" i="8"/>
  <c r="CH484" i="8"/>
  <c r="CG484" i="8"/>
  <c r="CF484" i="8"/>
  <c r="CE484" i="8"/>
  <c r="CD484" i="8"/>
  <c r="CC484" i="8"/>
  <c r="CB484" i="8"/>
  <c r="CA484" i="8"/>
  <c r="BZ484" i="8"/>
  <c r="BY484" i="8"/>
  <c r="BX484" i="8"/>
  <c r="BW484" i="8"/>
  <c r="BV484" i="8"/>
  <c r="BU484" i="8"/>
  <c r="BT484" i="8"/>
  <c r="BS484" i="8"/>
  <c r="BR484" i="8"/>
  <c r="BQ484" i="8"/>
  <c r="BP484" i="8"/>
  <c r="BO484" i="8"/>
  <c r="BN484" i="8"/>
  <c r="BM484" i="8"/>
  <c r="BL484" i="8"/>
  <c r="BK484" i="8"/>
  <c r="BJ484" i="8"/>
  <c r="BI484" i="8"/>
  <c r="BH484" i="8"/>
  <c r="CJ483" i="8"/>
  <c r="CI483" i="8"/>
  <c r="CH483" i="8"/>
  <c r="CG483" i="8"/>
  <c r="CF483" i="8"/>
  <c r="CE483" i="8"/>
  <c r="CD483" i="8"/>
  <c r="CC483" i="8"/>
  <c r="CB483" i="8"/>
  <c r="CA483" i="8"/>
  <c r="BZ483" i="8"/>
  <c r="BY483" i="8"/>
  <c r="BX483" i="8"/>
  <c r="BW483" i="8"/>
  <c r="BV483" i="8"/>
  <c r="BU483" i="8"/>
  <c r="BT483" i="8"/>
  <c r="BS483" i="8"/>
  <c r="BR483" i="8"/>
  <c r="BQ483" i="8"/>
  <c r="BP483" i="8"/>
  <c r="BO483" i="8"/>
  <c r="BN483" i="8"/>
  <c r="BM483" i="8"/>
  <c r="BL483" i="8"/>
  <c r="BK483" i="8"/>
  <c r="BJ483" i="8"/>
  <c r="BI483" i="8"/>
  <c r="BH483" i="8"/>
  <c r="CJ482" i="8"/>
  <c r="CI482" i="8"/>
  <c r="CH482" i="8"/>
  <c r="CG482" i="8"/>
  <c r="CF482" i="8"/>
  <c r="CE482" i="8"/>
  <c r="CD482" i="8"/>
  <c r="CC482" i="8"/>
  <c r="CB482" i="8"/>
  <c r="CA482" i="8"/>
  <c r="BZ482" i="8"/>
  <c r="BY482" i="8"/>
  <c r="BX482" i="8"/>
  <c r="BW482" i="8"/>
  <c r="BV482" i="8"/>
  <c r="BU482" i="8"/>
  <c r="BT482" i="8"/>
  <c r="BS482" i="8"/>
  <c r="BR482" i="8"/>
  <c r="BQ482" i="8"/>
  <c r="BP482" i="8"/>
  <c r="BO482" i="8"/>
  <c r="BN482" i="8"/>
  <c r="BM482" i="8"/>
  <c r="BL482" i="8"/>
  <c r="BK482" i="8"/>
  <c r="BJ482" i="8"/>
  <c r="BI482" i="8"/>
  <c r="BH482" i="8"/>
  <c r="CJ481" i="8"/>
  <c r="CI481" i="8"/>
  <c r="CH481" i="8"/>
  <c r="CG481" i="8"/>
  <c r="CF481" i="8"/>
  <c r="CE481" i="8"/>
  <c r="CD481" i="8"/>
  <c r="CC481" i="8"/>
  <c r="CB481" i="8"/>
  <c r="CA481" i="8"/>
  <c r="BZ481" i="8"/>
  <c r="BY481" i="8"/>
  <c r="BX481" i="8"/>
  <c r="BW481" i="8"/>
  <c r="BV481" i="8"/>
  <c r="BU481" i="8"/>
  <c r="BT481" i="8"/>
  <c r="BS481" i="8"/>
  <c r="BR481" i="8"/>
  <c r="BQ481" i="8"/>
  <c r="BP481" i="8"/>
  <c r="BO481" i="8"/>
  <c r="BN481" i="8"/>
  <c r="BM481" i="8"/>
  <c r="BL481" i="8"/>
  <c r="BK481" i="8"/>
  <c r="BJ481" i="8"/>
  <c r="BI481" i="8"/>
  <c r="BH481" i="8"/>
  <c r="CJ480" i="8"/>
  <c r="CI480" i="8"/>
  <c r="CH480" i="8"/>
  <c r="CG480" i="8"/>
  <c r="CF480" i="8"/>
  <c r="CE480" i="8"/>
  <c r="CD480" i="8"/>
  <c r="CC480" i="8"/>
  <c r="CB480" i="8"/>
  <c r="CA480" i="8"/>
  <c r="BZ480" i="8"/>
  <c r="BY480" i="8"/>
  <c r="BX480" i="8"/>
  <c r="BW480" i="8"/>
  <c r="BV480" i="8"/>
  <c r="BU480" i="8"/>
  <c r="BT480" i="8"/>
  <c r="BS480" i="8"/>
  <c r="BR480" i="8"/>
  <c r="BQ480" i="8"/>
  <c r="BP480" i="8"/>
  <c r="BO480" i="8"/>
  <c r="BN480" i="8"/>
  <c r="BM480" i="8"/>
  <c r="BL480" i="8"/>
  <c r="BK480" i="8"/>
  <c r="BJ480" i="8"/>
  <c r="BI480" i="8"/>
  <c r="BH480" i="8"/>
  <c r="CJ479" i="8"/>
  <c r="CI479" i="8"/>
  <c r="CH479" i="8"/>
  <c r="CG479" i="8"/>
  <c r="CF479" i="8"/>
  <c r="CE479" i="8"/>
  <c r="CD479" i="8"/>
  <c r="CC479" i="8"/>
  <c r="CB479" i="8"/>
  <c r="CA479" i="8"/>
  <c r="BZ479" i="8"/>
  <c r="BY479" i="8"/>
  <c r="BX479" i="8"/>
  <c r="BW479" i="8"/>
  <c r="BV479" i="8"/>
  <c r="BU479" i="8"/>
  <c r="BT479" i="8"/>
  <c r="BS479" i="8"/>
  <c r="BR479" i="8"/>
  <c r="BQ479" i="8"/>
  <c r="BP479" i="8"/>
  <c r="BO479" i="8"/>
  <c r="BN479" i="8"/>
  <c r="BM479" i="8"/>
  <c r="BL479" i="8"/>
  <c r="BK479" i="8"/>
  <c r="BJ479" i="8"/>
  <c r="BI479" i="8"/>
  <c r="BH479" i="8"/>
  <c r="CJ478" i="8"/>
  <c r="CI478" i="8"/>
  <c r="CH478" i="8"/>
  <c r="CG478" i="8"/>
  <c r="CF478" i="8"/>
  <c r="CE478" i="8"/>
  <c r="CD478" i="8"/>
  <c r="CC478" i="8"/>
  <c r="CB478" i="8"/>
  <c r="CA478" i="8"/>
  <c r="BZ478" i="8"/>
  <c r="BY478" i="8"/>
  <c r="BX478" i="8"/>
  <c r="BW478" i="8"/>
  <c r="BV478" i="8"/>
  <c r="BU478" i="8"/>
  <c r="BT478" i="8"/>
  <c r="BS478" i="8"/>
  <c r="BR478" i="8"/>
  <c r="BQ478" i="8"/>
  <c r="BP478" i="8"/>
  <c r="BO478" i="8"/>
  <c r="BN478" i="8"/>
  <c r="BM478" i="8"/>
  <c r="BL478" i="8"/>
  <c r="BK478" i="8"/>
  <c r="BJ478" i="8"/>
  <c r="BI478" i="8"/>
  <c r="BH478" i="8"/>
  <c r="CJ477" i="8"/>
  <c r="CI477" i="8"/>
  <c r="CH477" i="8"/>
  <c r="CG477" i="8"/>
  <c r="CF477" i="8"/>
  <c r="CE477" i="8"/>
  <c r="CD477" i="8"/>
  <c r="CC477" i="8"/>
  <c r="CB477" i="8"/>
  <c r="CA477" i="8"/>
  <c r="BZ477" i="8"/>
  <c r="BY477" i="8"/>
  <c r="BX477" i="8"/>
  <c r="BW477" i="8"/>
  <c r="BV477" i="8"/>
  <c r="BU477" i="8"/>
  <c r="BT477" i="8"/>
  <c r="BS477" i="8"/>
  <c r="BR477" i="8"/>
  <c r="BQ477" i="8"/>
  <c r="BP477" i="8"/>
  <c r="BO477" i="8"/>
  <c r="BN477" i="8"/>
  <c r="BM477" i="8"/>
  <c r="BL477" i="8"/>
  <c r="BK477" i="8"/>
  <c r="BJ477" i="8"/>
  <c r="BI477" i="8"/>
  <c r="BH477" i="8"/>
  <c r="CJ476" i="8"/>
  <c r="CI476" i="8"/>
  <c r="CH476" i="8"/>
  <c r="CG476" i="8"/>
  <c r="CF476" i="8"/>
  <c r="CE476" i="8"/>
  <c r="CD476" i="8"/>
  <c r="CC476" i="8"/>
  <c r="CB476" i="8"/>
  <c r="CA476" i="8"/>
  <c r="BZ476" i="8"/>
  <c r="BY476" i="8"/>
  <c r="BX476" i="8"/>
  <c r="BW476" i="8"/>
  <c r="BV476" i="8"/>
  <c r="BU476" i="8"/>
  <c r="BT476" i="8"/>
  <c r="BS476" i="8"/>
  <c r="BR476" i="8"/>
  <c r="BQ476" i="8"/>
  <c r="BP476" i="8"/>
  <c r="BO476" i="8"/>
  <c r="BN476" i="8"/>
  <c r="BM476" i="8"/>
  <c r="BL476" i="8"/>
  <c r="BK476" i="8"/>
  <c r="BJ476" i="8"/>
  <c r="BI476" i="8"/>
  <c r="BH476" i="8"/>
  <c r="CJ475" i="8"/>
  <c r="CI475" i="8"/>
  <c r="CH475" i="8"/>
  <c r="CG475" i="8"/>
  <c r="CF475" i="8"/>
  <c r="CE475" i="8"/>
  <c r="CD475" i="8"/>
  <c r="CC475" i="8"/>
  <c r="CB475" i="8"/>
  <c r="CA475" i="8"/>
  <c r="BZ475" i="8"/>
  <c r="BY475" i="8"/>
  <c r="BX475" i="8"/>
  <c r="BW475" i="8"/>
  <c r="BV475" i="8"/>
  <c r="BU475" i="8"/>
  <c r="BT475" i="8"/>
  <c r="BS475" i="8"/>
  <c r="BR475" i="8"/>
  <c r="BQ475" i="8"/>
  <c r="BP475" i="8"/>
  <c r="BO475" i="8"/>
  <c r="BN475" i="8"/>
  <c r="BM475" i="8"/>
  <c r="BL475" i="8"/>
  <c r="BK475" i="8"/>
  <c r="BJ475" i="8"/>
  <c r="BI475" i="8"/>
  <c r="BH475" i="8"/>
  <c r="CJ474" i="8"/>
  <c r="CI474" i="8"/>
  <c r="CH474" i="8"/>
  <c r="CG474" i="8"/>
  <c r="CF474" i="8"/>
  <c r="CE474" i="8"/>
  <c r="CD474" i="8"/>
  <c r="CC474" i="8"/>
  <c r="CB474" i="8"/>
  <c r="CA474" i="8"/>
  <c r="BZ474" i="8"/>
  <c r="BY474" i="8"/>
  <c r="BX474" i="8"/>
  <c r="BW474" i="8"/>
  <c r="BV474" i="8"/>
  <c r="BU474" i="8"/>
  <c r="BT474" i="8"/>
  <c r="BS474" i="8"/>
  <c r="BR474" i="8"/>
  <c r="BQ474" i="8"/>
  <c r="BP474" i="8"/>
  <c r="BO474" i="8"/>
  <c r="BN474" i="8"/>
  <c r="BM474" i="8"/>
  <c r="BL474" i="8"/>
  <c r="BK474" i="8"/>
  <c r="BJ474" i="8"/>
  <c r="BI474" i="8"/>
  <c r="BH474" i="8"/>
  <c r="CJ473" i="8"/>
  <c r="CI473" i="8"/>
  <c r="CH473" i="8"/>
  <c r="CG473" i="8"/>
  <c r="CF473" i="8"/>
  <c r="CE473" i="8"/>
  <c r="CD473" i="8"/>
  <c r="CC473" i="8"/>
  <c r="CB473" i="8"/>
  <c r="CA473" i="8"/>
  <c r="BZ473" i="8"/>
  <c r="BY473" i="8"/>
  <c r="BX473" i="8"/>
  <c r="BW473" i="8"/>
  <c r="BV473" i="8"/>
  <c r="BU473" i="8"/>
  <c r="BT473" i="8"/>
  <c r="BS473" i="8"/>
  <c r="BR473" i="8"/>
  <c r="BQ473" i="8"/>
  <c r="BP473" i="8"/>
  <c r="BO473" i="8"/>
  <c r="BN473" i="8"/>
  <c r="BM473" i="8"/>
  <c r="BL473" i="8"/>
  <c r="BK473" i="8"/>
  <c r="BJ473" i="8"/>
  <c r="BI473" i="8"/>
  <c r="BH473" i="8"/>
  <c r="CJ472" i="8"/>
  <c r="CI472" i="8"/>
  <c r="CH472" i="8"/>
  <c r="CG472" i="8"/>
  <c r="CF472" i="8"/>
  <c r="CE472" i="8"/>
  <c r="CD472" i="8"/>
  <c r="CC472" i="8"/>
  <c r="CB472" i="8"/>
  <c r="CA472" i="8"/>
  <c r="BZ472" i="8"/>
  <c r="BY472" i="8"/>
  <c r="BX472" i="8"/>
  <c r="BW472" i="8"/>
  <c r="BV472" i="8"/>
  <c r="BU472" i="8"/>
  <c r="BT472" i="8"/>
  <c r="BS472" i="8"/>
  <c r="BR472" i="8"/>
  <c r="BQ472" i="8"/>
  <c r="BP472" i="8"/>
  <c r="BO472" i="8"/>
  <c r="BN472" i="8"/>
  <c r="BM472" i="8"/>
  <c r="BL472" i="8"/>
  <c r="BK472" i="8"/>
  <c r="BJ472" i="8"/>
  <c r="BI472" i="8"/>
  <c r="BH472" i="8"/>
  <c r="CJ471" i="8"/>
  <c r="CI471" i="8"/>
  <c r="CH471" i="8"/>
  <c r="CG471" i="8"/>
  <c r="CF471" i="8"/>
  <c r="CE471" i="8"/>
  <c r="CD471" i="8"/>
  <c r="CC471" i="8"/>
  <c r="CB471" i="8"/>
  <c r="CA471" i="8"/>
  <c r="BZ471" i="8"/>
  <c r="BY471" i="8"/>
  <c r="BX471" i="8"/>
  <c r="BW471" i="8"/>
  <c r="BV471" i="8"/>
  <c r="BU471" i="8"/>
  <c r="BT471" i="8"/>
  <c r="BS471" i="8"/>
  <c r="BR471" i="8"/>
  <c r="BQ471" i="8"/>
  <c r="BP471" i="8"/>
  <c r="BO471" i="8"/>
  <c r="BN471" i="8"/>
  <c r="BM471" i="8"/>
  <c r="BL471" i="8"/>
  <c r="BK471" i="8"/>
  <c r="BJ471" i="8"/>
  <c r="BI471" i="8"/>
  <c r="BH471" i="8"/>
  <c r="CJ470" i="8"/>
  <c r="CI470" i="8"/>
  <c r="CH470" i="8"/>
  <c r="CG470" i="8"/>
  <c r="CF470" i="8"/>
  <c r="CE470" i="8"/>
  <c r="CD470" i="8"/>
  <c r="CC470" i="8"/>
  <c r="CB470" i="8"/>
  <c r="CA470" i="8"/>
  <c r="BZ470" i="8"/>
  <c r="BY470" i="8"/>
  <c r="BX470" i="8"/>
  <c r="BW470" i="8"/>
  <c r="BV470" i="8"/>
  <c r="BU470" i="8"/>
  <c r="BT470" i="8"/>
  <c r="BS470" i="8"/>
  <c r="BR470" i="8"/>
  <c r="BQ470" i="8"/>
  <c r="BP470" i="8"/>
  <c r="BO470" i="8"/>
  <c r="BN470" i="8"/>
  <c r="BM470" i="8"/>
  <c r="BL470" i="8"/>
  <c r="BK470" i="8"/>
  <c r="BJ470" i="8"/>
  <c r="BI470" i="8"/>
  <c r="BH470" i="8"/>
  <c r="CJ469" i="8"/>
  <c r="CI469" i="8"/>
  <c r="CH469" i="8"/>
  <c r="CG469" i="8"/>
  <c r="CF469" i="8"/>
  <c r="CE469" i="8"/>
  <c r="CD469" i="8"/>
  <c r="CC469" i="8"/>
  <c r="CB469" i="8"/>
  <c r="CA469" i="8"/>
  <c r="BZ469" i="8"/>
  <c r="BY469" i="8"/>
  <c r="BX469" i="8"/>
  <c r="BW469" i="8"/>
  <c r="BV469" i="8"/>
  <c r="BU469" i="8"/>
  <c r="BT469" i="8"/>
  <c r="BS469" i="8"/>
  <c r="BR469" i="8"/>
  <c r="BQ469" i="8"/>
  <c r="BP469" i="8"/>
  <c r="BO469" i="8"/>
  <c r="BN469" i="8"/>
  <c r="BM469" i="8"/>
  <c r="BL469" i="8"/>
  <c r="BK469" i="8"/>
  <c r="BJ469" i="8"/>
  <c r="BI469" i="8"/>
  <c r="BH469" i="8"/>
  <c r="CJ468" i="8"/>
  <c r="CI468" i="8"/>
  <c r="CH468" i="8"/>
  <c r="CG468" i="8"/>
  <c r="CF468" i="8"/>
  <c r="CE468" i="8"/>
  <c r="CD468" i="8"/>
  <c r="CC468" i="8"/>
  <c r="CB468" i="8"/>
  <c r="CA468" i="8"/>
  <c r="BZ468" i="8"/>
  <c r="BY468" i="8"/>
  <c r="BX468" i="8"/>
  <c r="BW468" i="8"/>
  <c r="BV468" i="8"/>
  <c r="BU468" i="8"/>
  <c r="BT468" i="8"/>
  <c r="BS468" i="8"/>
  <c r="BR468" i="8"/>
  <c r="BQ468" i="8"/>
  <c r="BP468" i="8"/>
  <c r="BO468" i="8"/>
  <c r="BN468" i="8"/>
  <c r="BM468" i="8"/>
  <c r="BL468" i="8"/>
  <c r="BK468" i="8"/>
  <c r="BJ468" i="8"/>
  <c r="BI468" i="8"/>
  <c r="BH468" i="8"/>
  <c r="CJ467" i="8"/>
  <c r="CI467" i="8"/>
  <c r="CH467" i="8"/>
  <c r="CG467" i="8"/>
  <c r="CF467" i="8"/>
  <c r="CE467" i="8"/>
  <c r="CD467" i="8"/>
  <c r="CC467" i="8"/>
  <c r="CB467" i="8"/>
  <c r="CA467" i="8"/>
  <c r="BZ467" i="8"/>
  <c r="BY467" i="8"/>
  <c r="BX467" i="8"/>
  <c r="BW467" i="8"/>
  <c r="BV467" i="8"/>
  <c r="BU467" i="8"/>
  <c r="BT467" i="8"/>
  <c r="BS467" i="8"/>
  <c r="BR467" i="8"/>
  <c r="BQ467" i="8"/>
  <c r="BP467" i="8"/>
  <c r="BO467" i="8"/>
  <c r="BN467" i="8"/>
  <c r="BM467" i="8"/>
  <c r="BL467" i="8"/>
  <c r="BK467" i="8"/>
  <c r="BJ467" i="8"/>
  <c r="BI467" i="8"/>
  <c r="BH467" i="8"/>
  <c r="CJ466" i="8"/>
  <c r="CI466" i="8"/>
  <c r="CH466" i="8"/>
  <c r="CG466" i="8"/>
  <c r="CF466" i="8"/>
  <c r="CE466" i="8"/>
  <c r="CD466" i="8"/>
  <c r="CC466" i="8"/>
  <c r="CB466" i="8"/>
  <c r="CA466" i="8"/>
  <c r="BZ466" i="8"/>
  <c r="BY466" i="8"/>
  <c r="BX466" i="8"/>
  <c r="BW466" i="8"/>
  <c r="BV466" i="8"/>
  <c r="BU466" i="8"/>
  <c r="BT466" i="8"/>
  <c r="BS466" i="8"/>
  <c r="BR466" i="8"/>
  <c r="BQ466" i="8"/>
  <c r="BP466" i="8"/>
  <c r="BO466" i="8"/>
  <c r="BN466" i="8"/>
  <c r="BM466" i="8"/>
  <c r="BL466" i="8"/>
  <c r="BK466" i="8"/>
  <c r="BJ466" i="8"/>
  <c r="BI466" i="8"/>
  <c r="BH466" i="8"/>
  <c r="CJ465" i="8"/>
  <c r="CI465" i="8"/>
  <c r="CH465" i="8"/>
  <c r="CG465" i="8"/>
  <c r="CF465" i="8"/>
  <c r="CE465" i="8"/>
  <c r="CD465" i="8"/>
  <c r="CC465" i="8"/>
  <c r="CB465" i="8"/>
  <c r="CA465" i="8"/>
  <c r="BZ465" i="8"/>
  <c r="BY465" i="8"/>
  <c r="BX465" i="8"/>
  <c r="BW465" i="8"/>
  <c r="BV465" i="8"/>
  <c r="BU465" i="8"/>
  <c r="BT465" i="8"/>
  <c r="BS465" i="8"/>
  <c r="BR465" i="8"/>
  <c r="BQ465" i="8"/>
  <c r="BP465" i="8"/>
  <c r="BO465" i="8"/>
  <c r="BN465" i="8"/>
  <c r="BM465" i="8"/>
  <c r="BL465" i="8"/>
  <c r="BK465" i="8"/>
  <c r="BJ465" i="8"/>
  <c r="BI465" i="8"/>
  <c r="BH465" i="8"/>
  <c r="CJ464" i="8"/>
  <c r="CI464" i="8"/>
  <c r="CH464" i="8"/>
  <c r="CG464" i="8"/>
  <c r="CF464" i="8"/>
  <c r="CE464" i="8"/>
  <c r="CD464" i="8"/>
  <c r="CC464" i="8"/>
  <c r="CB464" i="8"/>
  <c r="CA464" i="8"/>
  <c r="BZ464" i="8"/>
  <c r="BY464" i="8"/>
  <c r="BX464" i="8"/>
  <c r="BW464" i="8"/>
  <c r="BV464" i="8"/>
  <c r="BU464" i="8"/>
  <c r="BT464" i="8"/>
  <c r="BS464" i="8"/>
  <c r="BR464" i="8"/>
  <c r="BQ464" i="8"/>
  <c r="BP464" i="8"/>
  <c r="BO464" i="8"/>
  <c r="BN464" i="8"/>
  <c r="BM464" i="8"/>
  <c r="BL464" i="8"/>
  <c r="BK464" i="8"/>
  <c r="BJ464" i="8"/>
  <c r="BI464" i="8"/>
  <c r="BH464" i="8"/>
  <c r="CJ463" i="8"/>
  <c r="CI463" i="8"/>
  <c r="CH463" i="8"/>
  <c r="CG463" i="8"/>
  <c r="CF463" i="8"/>
  <c r="CE463" i="8"/>
  <c r="CD463" i="8"/>
  <c r="CC463" i="8"/>
  <c r="CB463" i="8"/>
  <c r="CA463" i="8"/>
  <c r="BZ463" i="8"/>
  <c r="BY463" i="8"/>
  <c r="BX463" i="8"/>
  <c r="BW463" i="8"/>
  <c r="BV463" i="8"/>
  <c r="BU463" i="8"/>
  <c r="BT463" i="8"/>
  <c r="BS463" i="8"/>
  <c r="BR463" i="8"/>
  <c r="BQ463" i="8"/>
  <c r="BP463" i="8"/>
  <c r="BO463" i="8"/>
  <c r="BN463" i="8"/>
  <c r="BM463" i="8"/>
  <c r="BL463" i="8"/>
  <c r="BK463" i="8"/>
  <c r="BJ463" i="8"/>
  <c r="BI463" i="8"/>
  <c r="BH463" i="8"/>
  <c r="CJ462" i="8"/>
  <c r="CI462" i="8"/>
  <c r="CH462" i="8"/>
  <c r="CG462" i="8"/>
  <c r="CF462" i="8"/>
  <c r="CE462" i="8"/>
  <c r="CD462" i="8"/>
  <c r="CC462" i="8"/>
  <c r="CB462" i="8"/>
  <c r="CA462" i="8"/>
  <c r="BZ462" i="8"/>
  <c r="BY462" i="8"/>
  <c r="BX462" i="8"/>
  <c r="BW462" i="8"/>
  <c r="BV462" i="8"/>
  <c r="BU462" i="8"/>
  <c r="BT462" i="8"/>
  <c r="BS462" i="8"/>
  <c r="BR462" i="8"/>
  <c r="BQ462" i="8"/>
  <c r="BP462" i="8"/>
  <c r="BO462" i="8"/>
  <c r="BN462" i="8"/>
  <c r="BM462" i="8"/>
  <c r="BL462" i="8"/>
  <c r="BK462" i="8"/>
  <c r="BJ462" i="8"/>
  <c r="BI462" i="8"/>
  <c r="BH462" i="8"/>
  <c r="CJ461" i="8"/>
  <c r="CI461" i="8"/>
  <c r="CH461" i="8"/>
  <c r="CG461" i="8"/>
  <c r="CF461" i="8"/>
  <c r="CE461" i="8"/>
  <c r="CD461" i="8"/>
  <c r="CC461" i="8"/>
  <c r="CB461" i="8"/>
  <c r="CA461" i="8"/>
  <c r="BZ461" i="8"/>
  <c r="BY461" i="8"/>
  <c r="BX461" i="8"/>
  <c r="BW461" i="8"/>
  <c r="BV461" i="8"/>
  <c r="BU461" i="8"/>
  <c r="BT461" i="8"/>
  <c r="BS461" i="8"/>
  <c r="BR461" i="8"/>
  <c r="BQ461" i="8"/>
  <c r="BP461" i="8"/>
  <c r="BO461" i="8"/>
  <c r="BN461" i="8"/>
  <c r="BM461" i="8"/>
  <c r="BL461" i="8"/>
  <c r="BK461" i="8"/>
  <c r="BJ461" i="8"/>
  <c r="BI461" i="8"/>
  <c r="BH461" i="8"/>
  <c r="CJ460" i="8"/>
  <c r="CI460" i="8"/>
  <c r="CH460" i="8"/>
  <c r="CG460" i="8"/>
  <c r="CF460" i="8"/>
  <c r="CE460" i="8"/>
  <c r="CD460" i="8"/>
  <c r="CC460" i="8"/>
  <c r="CB460" i="8"/>
  <c r="CA460" i="8"/>
  <c r="BZ460" i="8"/>
  <c r="BY460" i="8"/>
  <c r="BX460" i="8"/>
  <c r="BW460" i="8"/>
  <c r="BV460" i="8"/>
  <c r="BU460" i="8"/>
  <c r="BT460" i="8"/>
  <c r="BS460" i="8"/>
  <c r="BR460" i="8"/>
  <c r="BQ460" i="8"/>
  <c r="BP460" i="8"/>
  <c r="BO460" i="8"/>
  <c r="BN460" i="8"/>
  <c r="BM460" i="8"/>
  <c r="BL460" i="8"/>
  <c r="BK460" i="8"/>
  <c r="BJ460" i="8"/>
  <c r="BI460" i="8"/>
  <c r="BH460" i="8"/>
  <c r="CJ459" i="8"/>
  <c r="CI459" i="8"/>
  <c r="CH459" i="8"/>
  <c r="CG459" i="8"/>
  <c r="CF459" i="8"/>
  <c r="CE459" i="8"/>
  <c r="CD459" i="8"/>
  <c r="CC459" i="8"/>
  <c r="CB459" i="8"/>
  <c r="CA459" i="8"/>
  <c r="BZ459" i="8"/>
  <c r="BY459" i="8"/>
  <c r="BX459" i="8"/>
  <c r="BW459" i="8"/>
  <c r="BV459" i="8"/>
  <c r="BU459" i="8"/>
  <c r="BT459" i="8"/>
  <c r="BS459" i="8"/>
  <c r="BR459" i="8"/>
  <c r="BQ459" i="8"/>
  <c r="BP459" i="8"/>
  <c r="BO459" i="8"/>
  <c r="BN459" i="8"/>
  <c r="BM459" i="8"/>
  <c r="BL459" i="8"/>
  <c r="BK459" i="8"/>
  <c r="BJ459" i="8"/>
  <c r="BI459" i="8"/>
  <c r="BH459" i="8"/>
  <c r="CJ446" i="8"/>
  <c r="CI446" i="8"/>
  <c r="CH446" i="8"/>
  <c r="CG446" i="8"/>
  <c r="CF446" i="8"/>
  <c r="CE446" i="8"/>
  <c r="CD446" i="8"/>
  <c r="CC446" i="8"/>
  <c r="CB446" i="8"/>
  <c r="CA446" i="8"/>
  <c r="BZ446" i="8"/>
  <c r="BY446" i="8"/>
  <c r="BX446" i="8"/>
  <c r="BW446" i="8"/>
  <c r="BV446" i="8"/>
  <c r="BU446" i="8"/>
  <c r="BT446" i="8"/>
  <c r="BS446" i="8"/>
  <c r="BR446" i="8"/>
  <c r="BQ446" i="8"/>
  <c r="BP446" i="8"/>
  <c r="BO446" i="8"/>
  <c r="BN446" i="8"/>
  <c r="BM446" i="8"/>
  <c r="BL446" i="8"/>
  <c r="BK446" i="8"/>
  <c r="BJ446" i="8"/>
  <c r="BI446" i="8"/>
  <c r="BH446" i="8"/>
  <c r="CJ445" i="8"/>
  <c r="CI445" i="8"/>
  <c r="CH445" i="8"/>
  <c r="CG445" i="8"/>
  <c r="CF445" i="8"/>
  <c r="CE445" i="8"/>
  <c r="CD445" i="8"/>
  <c r="CC445" i="8"/>
  <c r="CB445" i="8"/>
  <c r="CA445" i="8"/>
  <c r="BZ445" i="8"/>
  <c r="BY445" i="8"/>
  <c r="BX445" i="8"/>
  <c r="BW445" i="8"/>
  <c r="BV445" i="8"/>
  <c r="BU445" i="8"/>
  <c r="BT445" i="8"/>
  <c r="BS445" i="8"/>
  <c r="BR445" i="8"/>
  <c r="BQ445" i="8"/>
  <c r="BP445" i="8"/>
  <c r="BO445" i="8"/>
  <c r="BN445" i="8"/>
  <c r="BM445" i="8"/>
  <c r="BL445" i="8"/>
  <c r="BK445" i="8"/>
  <c r="BJ445" i="8"/>
  <c r="BI445" i="8"/>
  <c r="BH445" i="8"/>
  <c r="CJ444" i="8"/>
  <c r="CI444" i="8"/>
  <c r="CH444" i="8"/>
  <c r="CG444" i="8"/>
  <c r="CF444" i="8"/>
  <c r="CE444" i="8"/>
  <c r="CD444" i="8"/>
  <c r="CC444" i="8"/>
  <c r="CB444" i="8"/>
  <c r="CA444" i="8"/>
  <c r="BZ444" i="8"/>
  <c r="BY444" i="8"/>
  <c r="BX444" i="8"/>
  <c r="BW444" i="8"/>
  <c r="BV444" i="8"/>
  <c r="BU444" i="8"/>
  <c r="BT444" i="8"/>
  <c r="BS444" i="8"/>
  <c r="BR444" i="8"/>
  <c r="BQ444" i="8"/>
  <c r="BP444" i="8"/>
  <c r="BO444" i="8"/>
  <c r="BN444" i="8"/>
  <c r="BM444" i="8"/>
  <c r="BL444" i="8"/>
  <c r="BK444" i="8"/>
  <c r="BJ444" i="8"/>
  <c r="BI444" i="8"/>
  <c r="BH444" i="8"/>
  <c r="CJ443" i="8"/>
  <c r="CI443" i="8"/>
  <c r="CH443" i="8"/>
  <c r="CG443" i="8"/>
  <c r="CF443" i="8"/>
  <c r="CE443" i="8"/>
  <c r="CD443" i="8"/>
  <c r="CC443" i="8"/>
  <c r="CB443" i="8"/>
  <c r="CA443" i="8"/>
  <c r="BZ443" i="8"/>
  <c r="BY443" i="8"/>
  <c r="BX443" i="8"/>
  <c r="BW443" i="8"/>
  <c r="BV443" i="8"/>
  <c r="BU443" i="8"/>
  <c r="BT443" i="8"/>
  <c r="BS443" i="8"/>
  <c r="BR443" i="8"/>
  <c r="BQ443" i="8"/>
  <c r="BP443" i="8"/>
  <c r="BO443" i="8"/>
  <c r="BN443" i="8"/>
  <c r="BM443" i="8"/>
  <c r="BL443" i="8"/>
  <c r="BK443" i="8"/>
  <c r="BJ443" i="8"/>
  <c r="BI443" i="8"/>
  <c r="BH443" i="8"/>
  <c r="CJ442" i="8"/>
  <c r="CI442" i="8"/>
  <c r="CH442" i="8"/>
  <c r="CG442" i="8"/>
  <c r="CF442" i="8"/>
  <c r="CE442" i="8"/>
  <c r="CD442" i="8"/>
  <c r="CC442" i="8"/>
  <c r="CB442" i="8"/>
  <c r="CA442" i="8"/>
  <c r="BZ442" i="8"/>
  <c r="BY442" i="8"/>
  <c r="BX442" i="8"/>
  <c r="BW442" i="8"/>
  <c r="BV442" i="8"/>
  <c r="BU442" i="8"/>
  <c r="BT442" i="8"/>
  <c r="BS442" i="8"/>
  <c r="BR442" i="8"/>
  <c r="BQ442" i="8"/>
  <c r="BP442" i="8"/>
  <c r="BO442" i="8"/>
  <c r="BN442" i="8"/>
  <c r="BM442" i="8"/>
  <c r="BL442" i="8"/>
  <c r="BK442" i="8"/>
  <c r="BJ442" i="8"/>
  <c r="BI442" i="8"/>
  <c r="BH442" i="8"/>
  <c r="CJ441" i="8"/>
  <c r="CI441" i="8"/>
  <c r="CH441" i="8"/>
  <c r="CG441" i="8"/>
  <c r="CF441" i="8"/>
  <c r="CE441" i="8"/>
  <c r="CD441" i="8"/>
  <c r="CC441" i="8"/>
  <c r="CB441" i="8"/>
  <c r="CA441" i="8"/>
  <c r="BZ441" i="8"/>
  <c r="BY441" i="8"/>
  <c r="BX441" i="8"/>
  <c r="BW441" i="8"/>
  <c r="BV441" i="8"/>
  <c r="BU441" i="8"/>
  <c r="BT441" i="8"/>
  <c r="BS441" i="8"/>
  <c r="BR441" i="8"/>
  <c r="BQ441" i="8"/>
  <c r="BP441" i="8"/>
  <c r="BO441" i="8"/>
  <c r="BN441" i="8"/>
  <c r="BM441" i="8"/>
  <c r="BL441" i="8"/>
  <c r="BK441" i="8"/>
  <c r="BJ441" i="8"/>
  <c r="BI441" i="8"/>
  <c r="BH441" i="8"/>
  <c r="CJ440" i="8"/>
  <c r="CI440" i="8"/>
  <c r="CH440" i="8"/>
  <c r="CG440" i="8"/>
  <c r="CF440" i="8"/>
  <c r="CE440" i="8"/>
  <c r="CD440" i="8"/>
  <c r="CC440" i="8"/>
  <c r="CB440" i="8"/>
  <c r="CA440" i="8"/>
  <c r="BZ440" i="8"/>
  <c r="BY440" i="8"/>
  <c r="BX440" i="8"/>
  <c r="BW440" i="8"/>
  <c r="BV440" i="8"/>
  <c r="BU440" i="8"/>
  <c r="BT440" i="8"/>
  <c r="BS440" i="8"/>
  <c r="BR440" i="8"/>
  <c r="BQ440" i="8"/>
  <c r="BP440" i="8"/>
  <c r="BO440" i="8"/>
  <c r="BN440" i="8"/>
  <c r="BM440" i="8"/>
  <c r="BL440" i="8"/>
  <c r="BK440" i="8"/>
  <c r="BJ440" i="8"/>
  <c r="BI440" i="8"/>
  <c r="BH440" i="8"/>
  <c r="CJ439" i="8"/>
  <c r="CI439" i="8"/>
  <c r="CH439" i="8"/>
  <c r="CG439" i="8"/>
  <c r="CF439" i="8"/>
  <c r="CE439" i="8"/>
  <c r="CD439" i="8"/>
  <c r="CC439" i="8"/>
  <c r="CB439" i="8"/>
  <c r="CA439" i="8"/>
  <c r="BZ439" i="8"/>
  <c r="BY439" i="8"/>
  <c r="BX439" i="8"/>
  <c r="BW439" i="8"/>
  <c r="BV439" i="8"/>
  <c r="BU439" i="8"/>
  <c r="BT439" i="8"/>
  <c r="BS439" i="8"/>
  <c r="BR439" i="8"/>
  <c r="BQ439" i="8"/>
  <c r="BP439" i="8"/>
  <c r="BO439" i="8"/>
  <c r="BN439" i="8"/>
  <c r="BM439" i="8"/>
  <c r="BL439" i="8"/>
  <c r="BK439" i="8"/>
  <c r="BJ439" i="8"/>
  <c r="BI439" i="8"/>
  <c r="BH439" i="8"/>
  <c r="CJ438" i="8"/>
  <c r="CI438" i="8"/>
  <c r="CH438" i="8"/>
  <c r="CG438" i="8"/>
  <c r="CF438" i="8"/>
  <c r="CE438" i="8"/>
  <c r="CD438" i="8"/>
  <c r="CC438" i="8"/>
  <c r="CB438" i="8"/>
  <c r="CA438" i="8"/>
  <c r="BZ438" i="8"/>
  <c r="BY438" i="8"/>
  <c r="BX438" i="8"/>
  <c r="BW438" i="8"/>
  <c r="BV438" i="8"/>
  <c r="BU438" i="8"/>
  <c r="BT438" i="8"/>
  <c r="BS438" i="8"/>
  <c r="BR438" i="8"/>
  <c r="BQ438" i="8"/>
  <c r="BP438" i="8"/>
  <c r="BO438" i="8"/>
  <c r="BN438" i="8"/>
  <c r="BM438" i="8"/>
  <c r="BL438" i="8"/>
  <c r="BK438" i="8"/>
  <c r="BJ438" i="8"/>
  <c r="BI438" i="8"/>
  <c r="BH438" i="8"/>
  <c r="CJ437" i="8"/>
  <c r="CI437" i="8"/>
  <c r="CH437" i="8"/>
  <c r="CG437" i="8"/>
  <c r="CF437" i="8"/>
  <c r="CE437" i="8"/>
  <c r="CD437" i="8"/>
  <c r="CC437" i="8"/>
  <c r="CB437" i="8"/>
  <c r="CA437" i="8"/>
  <c r="BZ437" i="8"/>
  <c r="BY437" i="8"/>
  <c r="BX437" i="8"/>
  <c r="BW437" i="8"/>
  <c r="BV437" i="8"/>
  <c r="BU437" i="8"/>
  <c r="BT437" i="8"/>
  <c r="BS437" i="8"/>
  <c r="BR437" i="8"/>
  <c r="BQ437" i="8"/>
  <c r="BP437" i="8"/>
  <c r="BO437" i="8"/>
  <c r="BN437" i="8"/>
  <c r="BM437" i="8"/>
  <c r="BL437" i="8"/>
  <c r="BK437" i="8"/>
  <c r="BJ437" i="8"/>
  <c r="BI437" i="8"/>
  <c r="BH437" i="8"/>
  <c r="CJ436" i="8"/>
  <c r="CI436" i="8"/>
  <c r="CH436" i="8"/>
  <c r="CG436" i="8"/>
  <c r="CF436" i="8"/>
  <c r="CE436" i="8"/>
  <c r="CD436" i="8"/>
  <c r="CC436" i="8"/>
  <c r="CB436" i="8"/>
  <c r="CA436" i="8"/>
  <c r="BZ436" i="8"/>
  <c r="BY436" i="8"/>
  <c r="BX436" i="8"/>
  <c r="BW436" i="8"/>
  <c r="BV436" i="8"/>
  <c r="BU436" i="8"/>
  <c r="BT436" i="8"/>
  <c r="BS436" i="8"/>
  <c r="BR436" i="8"/>
  <c r="BQ436" i="8"/>
  <c r="BP436" i="8"/>
  <c r="BO436" i="8"/>
  <c r="BN436" i="8"/>
  <c r="BM436" i="8"/>
  <c r="BL436" i="8"/>
  <c r="BK436" i="8"/>
  <c r="BJ436" i="8"/>
  <c r="BI436" i="8"/>
  <c r="BH436" i="8"/>
  <c r="CJ435" i="8"/>
  <c r="CI435" i="8"/>
  <c r="CH435" i="8"/>
  <c r="CG435" i="8"/>
  <c r="CF435" i="8"/>
  <c r="CE435" i="8"/>
  <c r="CD435" i="8"/>
  <c r="CC435" i="8"/>
  <c r="CB435" i="8"/>
  <c r="CA435" i="8"/>
  <c r="BZ435" i="8"/>
  <c r="BY435" i="8"/>
  <c r="BX435" i="8"/>
  <c r="BW435" i="8"/>
  <c r="BV435" i="8"/>
  <c r="BU435" i="8"/>
  <c r="BT435" i="8"/>
  <c r="BS435" i="8"/>
  <c r="BR435" i="8"/>
  <c r="BQ435" i="8"/>
  <c r="BP435" i="8"/>
  <c r="BO435" i="8"/>
  <c r="BN435" i="8"/>
  <c r="BM435" i="8"/>
  <c r="BL435" i="8"/>
  <c r="BK435" i="8"/>
  <c r="BJ435" i="8"/>
  <c r="BI435" i="8"/>
  <c r="BH435" i="8"/>
  <c r="CJ434" i="8"/>
  <c r="CI434" i="8"/>
  <c r="CH434" i="8"/>
  <c r="CG434" i="8"/>
  <c r="CF434" i="8"/>
  <c r="CE434" i="8"/>
  <c r="CD434" i="8"/>
  <c r="CC434" i="8"/>
  <c r="CB434" i="8"/>
  <c r="CA434" i="8"/>
  <c r="BZ434" i="8"/>
  <c r="BY434" i="8"/>
  <c r="BX434" i="8"/>
  <c r="BW434" i="8"/>
  <c r="BV434" i="8"/>
  <c r="BU434" i="8"/>
  <c r="BT434" i="8"/>
  <c r="BS434" i="8"/>
  <c r="BR434" i="8"/>
  <c r="BQ434" i="8"/>
  <c r="BP434" i="8"/>
  <c r="BO434" i="8"/>
  <c r="BN434" i="8"/>
  <c r="BM434" i="8"/>
  <c r="BL434" i="8"/>
  <c r="BK434" i="8"/>
  <c r="BJ434" i="8"/>
  <c r="BI434" i="8"/>
  <c r="BH434" i="8"/>
  <c r="CJ433" i="8"/>
  <c r="CI433" i="8"/>
  <c r="CH433" i="8"/>
  <c r="CG433" i="8"/>
  <c r="CF433" i="8"/>
  <c r="CE433" i="8"/>
  <c r="CD433" i="8"/>
  <c r="CC433" i="8"/>
  <c r="CB433" i="8"/>
  <c r="CA433" i="8"/>
  <c r="BZ433" i="8"/>
  <c r="BY433" i="8"/>
  <c r="BX433" i="8"/>
  <c r="BW433" i="8"/>
  <c r="BV433" i="8"/>
  <c r="BU433" i="8"/>
  <c r="BT433" i="8"/>
  <c r="BS433" i="8"/>
  <c r="BR433" i="8"/>
  <c r="BQ433" i="8"/>
  <c r="BP433" i="8"/>
  <c r="BO433" i="8"/>
  <c r="BN433" i="8"/>
  <c r="BM433" i="8"/>
  <c r="BL433" i="8"/>
  <c r="BK433" i="8"/>
  <c r="BJ433" i="8"/>
  <c r="BI433" i="8"/>
  <c r="BH433" i="8"/>
  <c r="CJ432" i="8"/>
  <c r="CI432" i="8"/>
  <c r="CH432" i="8"/>
  <c r="CG432" i="8"/>
  <c r="CF432" i="8"/>
  <c r="CE432" i="8"/>
  <c r="CD432" i="8"/>
  <c r="CC432" i="8"/>
  <c r="CB432" i="8"/>
  <c r="CA432" i="8"/>
  <c r="BZ432" i="8"/>
  <c r="BY432" i="8"/>
  <c r="BX432" i="8"/>
  <c r="BW432" i="8"/>
  <c r="BV432" i="8"/>
  <c r="BU432" i="8"/>
  <c r="BT432" i="8"/>
  <c r="BS432" i="8"/>
  <c r="BR432" i="8"/>
  <c r="BQ432" i="8"/>
  <c r="BP432" i="8"/>
  <c r="BO432" i="8"/>
  <c r="BN432" i="8"/>
  <c r="BM432" i="8"/>
  <c r="BL432" i="8"/>
  <c r="BK432" i="8"/>
  <c r="BJ432" i="8"/>
  <c r="BI432" i="8"/>
  <c r="BH432" i="8"/>
  <c r="CJ431" i="8"/>
  <c r="CI431" i="8"/>
  <c r="CH431" i="8"/>
  <c r="CG431" i="8"/>
  <c r="CF431" i="8"/>
  <c r="CE431" i="8"/>
  <c r="CD431" i="8"/>
  <c r="CC431" i="8"/>
  <c r="CB431" i="8"/>
  <c r="CA431" i="8"/>
  <c r="BZ431" i="8"/>
  <c r="BY431" i="8"/>
  <c r="BX431" i="8"/>
  <c r="BW431" i="8"/>
  <c r="BV431" i="8"/>
  <c r="BU431" i="8"/>
  <c r="BT431" i="8"/>
  <c r="BS431" i="8"/>
  <c r="BR431" i="8"/>
  <c r="BQ431" i="8"/>
  <c r="BP431" i="8"/>
  <c r="BO431" i="8"/>
  <c r="BN431" i="8"/>
  <c r="BM431" i="8"/>
  <c r="BL431" i="8"/>
  <c r="BK431" i="8"/>
  <c r="BJ431" i="8"/>
  <c r="BI431" i="8"/>
  <c r="BH431" i="8"/>
  <c r="CJ430" i="8"/>
  <c r="CI430" i="8"/>
  <c r="CH430" i="8"/>
  <c r="CG430" i="8"/>
  <c r="CF430" i="8"/>
  <c r="CE430" i="8"/>
  <c r="CD430" i="8"/>
  <c r="CC430" i="8"/>
  <c r="CB430" i="8"/>
  <c r="CA430" i="8"/>
  <c r="BZ430" i="8"/>
  <c r="BY430" i="8"/>
  <c r="BX430" i="8"/>
  <c r="BW430" i="8"/>
  <c r="BV430" i="8"/>
  <c r="BU430" i="8"/>
  <c r="BT430" i="8"/>
  <c r="BS430" i="8"/>
  <c r="BR430" i="8"/>
  <c r="BQ430" i="8"/>
  <c r="BP430" i="8"/>
  <c r="BO430" i="8"/>
  <c r="BN430" i="8"/>
  <c r="BM430" i="8"/>
  <c r="BL430" i="8"/>
  <c r="BK430" i="8"/>
  <c r="BJ430" i="8"/>
  <c r="BI430" i="8"/>
  <c r="BH430" i="8"/>
  <c r="CJ429" i="8"/>
  <c r="CI429" i="8"/>
  <c r="CH429" i="8"/>
  <c r="CG429" i="8"/>
  <c r="CF429" i="8"/>
  <c r="CE429" i="8"/>
  <c r="CD429" i="8"/>
  <c r="CC429" i="8"/>
  <c r="CB429" i="8"/>
  <c r="CA429" i="8"/>
  <c r="BZ429" i="8"/>
  <c r="BY429" i="8"/>
  <c r="BX429" i="8"/>
  <c r="BW429" i="8"/>
  <c r="BV429" i="8"/>
  <c r="BU429" i="8"/>
  <c r="BT429" i="8"/>
  <c r="BS429" i="8"/>
  <c r="BR429" i="8"/>
  <c r="BQ429" i="8"/>
  <c r="BP429" i="8"/>
  <c r="BO429" i="8"/>
  <c r="BN429" i="8"/>
  <c r="BM429" i="8"/>
  <c r="BL429" i="8"/>
  <c r="BK429" i="8"/>
  <c r="BJ429" i="8"/>
  <c r="BI429" i="8"/>
  <c r="BH429" i="8"/>
  <c r="CJ428" i="8"/>
  <c r="CI428" i="8"/>
  <c r="CH428" i="8"/>
  <c r="CG428" i="8"/>
  <c r="CF428" i="8"/>
  <c r="CE428" i="8"/>
  <c r="CD428" i="8"/>
  <c r="CC428" i="8"/>
  <c r="CB428" i="8"/>
  <c r="CA428" i="8"/>
  <c r="BZ428" i="8"/>
  <c r="BY428" i="8"/>
  <c r="BX428" i="8"/>
  <c r="BW428" i="8"/>
  <c r="BV428" i="8"/>
  <c r="BU428" i="8"/>
  <c r="BT428" i="8"/>
  <c r="BS428" i="8"/>
  <c r="BR428" i="8"/>
  <c r="BQ428" i="8"/>
  <c r="BP428" i="8"/>
  <c r="BO428" i="8"/>
  <c r="BN428" i="8"/>
  <c r="BM428" i="8"/>
  <c r="BL428" i="8"/>
  <c r="BK428" i="8"/>
  <c r="BJ428" i="8"/>
  <c r="BI428" i="8"/>
  <c r="BH428" i="8"/>
  <c r="CJ427" i="8"/>
  <c r="CI427" i="8"/>
  <c r="CH427" i="8"/>
  <c r="CG427" i="8"/>
  <c r="CF427" i="8"/>
  <c r="CE427" i="8"/>
  <c r="CD427" i="8"/>
  <c r="CC427" i="8"/>
  <c r="CB427" i="8"/>
  <c r="CA427" i="8"/>
  <c r="BZ427" i="8"/>
  <c r="BY427" i="8"/>
  <c r="BX427" i="8"/>
  <c r="BW427" i="8"/>
  <c r="BV427" i="8"/>
  <c r="BU427" i="8"/>
  <c r="BT427" i="8"/>
  <c r="BS427" i="8"/>
  <c r="BR427" i="8"/>
  <c r="BQ427" i="8"/>
  <c r="BP427" i="8"/>
  <c r="BO427" i="8"/>
  <c r="BN427" i="8"/>
  <c r="BM427" i="8"/>
  <c r="BL427" i="8"/>
  <c r="BK427" i="8"/>
  <c r="BJ427" i="8"/>
  <c r="BI427" i="8"/>
  <c r="BH427" i="8"/>
  <c r="CJ426" i="8"/>
  <c r="CI426" i="8"/>
  <c r="CH426" i="8"/>
  <c r="CG426" i="8"/>
  <c r="CF426" i="8"/>
  <c r="CE426" i="8"/>
  <c r="CD426" i="8"/>
  <c r="CC426" i="8"/>
  <c r="CB426" i="8"/>
  <c r="CA426" i="8"/>
  <c r="BZ426" i="8"/>
  <c r="BY426" i="8"/>
  <c r="BX426" i="8"/>
  <c r="BW426" i="8"/>
  <c r="BV426" i="8"/>
  <c r="BU426" i="8"/>
  <c r="BT426" i="8"/>
  <c r="BS426" i="8"/>
  <c r="BR426" i="8"/>
  <c r="BQ426" i="8"/>
  <c r="BP426" i="8"/>
  <c r="BO426" i="8"/>
  <c r="BN426" i="8"/>
  <c r="BM426" i="8"/>
  <c r="BL426" i="8"/>
  <c r="BK426" i="8"/>
  <c r="BJ426" i="8"/>
  <c r="BI426" i="8"/>
  <c r="BH426" i="8"/>
  <c r="CJ425" i="8"/>
  <c r="CI425" i="8"/>
  <c r="CH425" i="8"/>
  <c r="CG425" i="8"/>
  <c r="CF425" i="8"/>
  <c r="CE425" i="8"/>
  <c r="CD425" i="8"/>
  <c r="CC425" i="8"/>
  <c r="CB425" i="8"/>
  <c r="CA425" i="8"/>
  <c r="BZ425" i="8"/>
  <c r="BY425" i="8"/>
  <c r="BX425" i="8"/>
  <c r="BW425" i="8"/>
  <c r="BV425" i="8"/>
  <c r="BU425" i="8"/>
  <c r="BT425" i="8"/>
  <c r="BS425" i="8"/>
  <c r="BR425" i="8"/>
  <c r="BQ425" i="8"/>
  <c r="BP425" i="8"/>
  <c r="BO425" i="8"/>
  <c r="BN425" i="8"/>
  <c r="BM425" i="8"/>
  <c r="BL425" i="8"/>
  <c r="BK425" i="8"/>
  <c r="BJ425" i="8"/>
  <c r="BI425" i="8"/>
  <c r="BH425" i="8"/>
  <c r="CJ424" i="8"/>
  <c r="CI424" i="8"/>
  <c r="CH424" i="8"/>
  <c r="CG424" i="8"/>
  <c r="CF424" i="8"/>
  <c r="CE424" i="8"/>
  <c r="CD424" i="8"/>
  <c r="CC424" i="8"/>
  <c r="CB424" i="8"/>
  <c r="CA424" i="8"/>
  <c r="BZ424" i="8"/>
  <c r="BY424" i="8"/>
  <c r="BX424" i="8"/>
  <c r="BW424" i="8"/>
  <c r="BV424" i="8"/>
  <c r="BU424" i="8"/>
  <c r="BT424" i="8"/>
  <c r="BS424" i="8"/>
  <c r="BR424" i="8"/>
  <c r="BQ424" i="8"/>
  <c r="BP424" i="8"/>
  <c r="BO424" i="8"/>
  <c r="BN424" i="8"/>
  <c r="BM424" i="8"/>
  <c r="BL424" i="8"/>
  <c r="BK424" i="8"/>
  <c r="BJ424" i="8"/>
  <c r="BI424" i="8"/>
  <c r="BH424" i="8"/>
  <c r="CJ423" i="8"/>
  <c r="CI423" i="8"/>
  <c r="CH423" i="8"/>
  <c r="CG423" i="8"/>
  <c r="CF423" i="8"/>
  <c r="CE423" i="8"/>
  <c r="CD423" i="8"/>
  <c r="CC423" i="8"/>
  <c r="CB423" i="8"/>
  <c r="CA423" i="8"/>
  <c r="BZ423" i="8"/>
  <c r="BY423" i="8"/>
  <c r="BX423" i="8"/>
  <c r="BW423" i="8"/>
  <c r="BV423" i="8"/>
  <c r="BU423" i="8"/>
  <c r="BT423" i="8"/>
  <c r="BS423" i="8"/>
  <c r="BR423" i="8"/>
  <c r="BQ423" i="8"/>
  <c r="BP423" i="8"/>
  <c r="BO423" i="8"/>
  <c r="BN423" i="8"/>
  <c r="BM423" i="8"/>
  <c r="BL423" i="8"/>
  <c r="BK423" i="8"/>
  <c r="BJ423" i="8"/>
  <c r="BI423" i="8"/>
  <c r="BH423" i="8"/>
  <c r="CJ422" i="8"/>
  <c r="CI422" i="8"/>
  <c r="CH422" i="8"/>
  <c r="CG422" i="8"/>
  <c r="CF422" i="8"/>
  <c r="CE422" i="8"/>
  <c r="CD422" i="8"/>
  <c r="CC422" i="8"/>
  <c r="CB422" i="8"/>
  <c r="CA422" i="8"/>
  <c r="BZ422" i="8"/>
  <c r="BY422" i="8"/>
  <c r="BX422" i="8"/>
  <c r="BW422" i="8"/>
  <c r="BV422" i="8"/>
  <c r="BU422" i="8"/>
  <c r="BT422" i="8"/>
  <c r="BS422" i="8"/>
  <c r="BR422" i="8"/>
  <c r="BQ422" i="8"/>
  <c r="BP422" i="8"/>
  <c r="BO422" i="8"/>
  <c r="BN422" i="8"/>
  <c r="BM422" i="8"/>
  <c r="BL422" i="8"/>
  <c r="BK422" i="8"/>
  <c r="BJ422" i="8"/>
  <c r="BI422" i="8"/>
  <c r="BH422" i="8"/>
  <c r="CJ421" i="8"/>
  <c r="CI421" i="8"/>
  <c r="CH421" i="8"/>
  <c r="CG421" i="8"/>
  <c r="CF421" i="8"/>
  <c r="CE421" i="8"/>
  <c r="CD421" i="8"/>
  <c r="CC421" i="8"/>
  <c r="CB421" i="8"/>
  <c r="CA421" i="8"/>
  <c r="BZ421" i="8"/>
  <c r="BY421" i="8"/>
  <c r="BX421" i="8"/>
  <c r="BW421" i="8"/>
  <c r="BV421" i="8"/>
  <c r="BU421" i="8"/>
  <c r="BT421" i="8"/>
  <c r="BS421" i="8"/>
  <c r="BR421" i="8"/>
  <c r="BQ421" i="8"/>
  <c r="BP421" i="8"/>
  <c r="BO421" i="8"/>
  <c r="BN421" i="8"/>
  <c r="BM421" i="8"/>
  <c r="BL421" i="8"/>
  <c r="BK421" i="8"/>
  <c r="BJ421" i="8"/>
  <c r="BI421" i="8"/>
  <c r="BH421" i="8"/>
  <c r="CJ420" i="8"/>
  <c r="CI420" i="8"/>
  <c r="CH420" i="8"/>
  <c r="CG420" i="8"/>
  <c r="CF420" i="8"/>
  <c r="CE420" i="8"/>
  <c r="CD420" i="8"/>
  <c r="CC420" i="8"/>
  <c r="CB420" i="8"/>
  <c r="CA420" i="8"/>
  <c r="BZ420" i="8"/>
  <c r="BY420" i="8"/>
  <c r="BX420" i="8"/>
  <c r="BW420" i="8"/>
  <c r="BV420" i="8"/>
  <c r="BU420" i="8"/>
  <c r="BT420" i="8"/>
  <c r="BS420" i="8"/>
  <c r="BR420" i="8"/>
  <c r="BQ420" i="8"/>
  <c r="BP420" i="8"/>
  <c r="BO420" i="8"/>
  <c r="BN420" i="8"/>
  <c r="BM420" i="8"/>
  <c r="BL420" i="8"/>
  <c r="BK420" i="8"/>
  <c r="BJ420" i="8"/>
  <c r="BI420" i="8"/>
  <c r="BH420" i="8"/>
  <c r="CJ419" i="8"/>
  <c r="CI419" i="8"/>
  <c r="CH419" i="8"/>
  <c r="CG419" i="8"/>
  <c r="CF419" i="8"/>
  <c r="CE419" i="8"/>
  <c r="CD419" i="8"/>
  <c r="CC419" i="8"/>
  <c r="CB419" i="8"/>
  <c r="CA419" i="8"/>
  <c r="BZ419" i="8"/>
  <c r="BY419" i="8"/>
  <c r="BX419" i="8"/>
  <c r="BW419" i="8"/>
  <c r="BV419" i="8"/>
  <c r="BU419" i="8"/>
  <c r="BT419" i="8"/>
  <c r="BS419" i="8"/>
  <c r="BR419" i="8"/>
  <c r="BQ419" i="8"/>
  <c r="BP419" i="8"/>
  <c r="BO419" i="8"/>
  <c r="BN419" i="8"/>
  <c r="BM419" i="8"/>
  <c r="BL419" i="8"/>
  <c r="BK419" i="8"/>
  <c r="BJ419" i="8"/>
  <c r="BI419" i="8"/>
  <c r="BH419" i="8"/>
  <c r="CJ418" i="8"/>
  <c r="CI418" i="8"/>
  <c r="CH418" i="8"/>
  <c r="CG418" i="8"/>
  <c r="CF418" i="8"/>
  <c r="CE418" i="8"/>
  <c r="CD418" i="8"/>
  <c r="CC418" i="8"/>
  <c r="CB418" i="8"/>
  <c r="CA418" i="8"/>
  <c r="BZ418" i="8"/>
  <c r="BY418" i="8"/>
  <c r="BX418" i="8"/>
  <c r="BW418" i="8"/>
  <c r="BV418" i="8"/>
  <c r="BU418" i="8"/>
  <c r="BT418" i="8"/>
  <c r="BS418" i="8"/>
  <c r="BR418" i="8"/>
  <c r="BQ418" i="8"/>
  <c r="BP418" i="8"/>
  <c r="BO418" i="8"/>
  <c r="BN418" i="8"/>
  <c r="BM418" i="8"/>
  <c r="BL418" i="8"/>
  <c r="BK418" i="8"/>
  <c r="BJ418" i="8"/>
  <c r="BI418" i="8"/>
  <c r="BH418" i="8"/>
  <c r="CJ417" i="8"/>
  <c r="CI417" i="8"/>
  <c r="CH417" i="8"/>
  <c r="CG417" i="8"/>
  <c r="CF417" i="8"/>
  <c r="CE417" i="8"/>
  <c r="CD417" i="8"/>
  <c r="CC417" i="8"/>
  <c r="CB417" i="8"/>
  <c r="CA417" i="8"/>
  <c r="BZ417" i="8"/>
  <c r="BY417" i="8"/>
  <c r="BX417" i="8"/>
  <c r="BW417" i="8"/>
  <c r="BV417" i="8"/>
  <c r="BU417" i="8"/>
  <c r="BT417" i="8"/>
  <c r="BS417" i="8"/>
  <c r="BR417" i="8"/>
  <c r="BQ417" i="8"/>
  <c r="BP417" i="8"/>
  <c r="BO417" i="8"/>
  <c r="BN417" i="8"/>
  <c r="BM417" i="8"/>
  <c r="BL417" i="8"/>
  <c r="BK417" i="8"/>
  <c r="BJ417" i="8"/>
  <c r="BI417" i="8"/>
  <c r="BH417" i="8"/>
  <c r="CJ416" i="8"/>
  <c r="CI416" i="8"/>
  <c r="CH416" i="8"/>
  <c r="CG416" i="8"/>
  <c r="CF416" i="8"/>
  <c r="CE416" i="8"/>
  <c r="CD416" i="8"/>
  <c r="CC416" i="8"/>
  <c r="CB416" i="8"/>
  <c r="CA416" i="8"/>
  <c r="BZ416" i="8"/>
  <c r="BY416" i="8"/>
  <c r="BX416" i="8"/>
  <c r="BW416" i="8"/>
  <c r="BV416" i="8"/>
  <c r="BU416" i="8"/>
  <c r="BT416" i="8"/>
  <c r="BS416" i="8"/>
  <c r="BR416" i="8"/>
  <c r="BQ416" i="8"/>
  <c r="BP416" i="8"/>
  <c r="BO416" i="8"/>
  <c r="BN416" i="8"/>
  <c r="BM416" i="8"/>
  <c r="BL416" i="8"/>
  <c r="BK416" i="8"/>
  <c r="BJ416" i="8"/>
  <c r="BI416" i="8"/>
  <c r="BH416" i="8"/>
  <c r="CJ415" i="8"/>
  <c r="CI415" i="8"/>
  <c r="CH415" i="8"/>
  <c r="CG415" i="8"/>
  <c r="CF415" i="8"/>
  <c r="CE415" i="8"/>
  <c r="CD415" i="8"/>
  <c r="CC415" i="8"/>
  <c r="CB415" i="8"/>
  <c r="CA415" i="8"/>
  <c r="BZ415" i="8"/>
  <c r="BY415" i="8"/>
  <c r="BX415" i="8"/>
  <c r="BW415" i="8"/>
  <c r="BV415" i="8"/>
  <c r="BU415" i="8"/>
  <c r="BT415" i="8"/>
  <c r="BS415" i="8"/>
  <c r="BR415" i="8"/>
  <c r="BQ415" i="8"/>
  <c r="BP415" i="8"/>
  <c r="BO415" i="8"/>
  <c r="BN415" i="8"/>
  <c r="BM415" i="8"/>
  <c r="BL415" i="8"/>
  <c r="BK415" i="8"/>
  <c r="BJ415" i="8"/>
  <c r="BI415" i="8"/>
  <c r="BH415" i="8"/>
  <c r="CJ414" i="8"/>
  <c r="CI414" i="8"/>
  <c r="CH414" i="8"/>
  <c r="CG414" i="8"/>
  <c r="CF414" i="8"/>
  <c r="CE414" i="8"/>
  <c r="CD414" i="8"/>
  <c r="CC414" i="8"/>
  <c r="CB414" i="8"/>
  <c r="CA414" i="8"/>
  <c r="BZ414" i="8"/>
  <c r="BY414" i="8"/>
  <c r="BX414" i="8"/>
  <c r="BW414" i="8"/>
  <c r="BV414" i="8"/>
  <c r="BU414" i="8"/>
  <c r="BT414" i="8"/>
  <c r="BS414" i="8"/>
  <c r="BR414" i="8"/>
  <c r="BQ414" i="8"/>
  <c r="BP414" i="8"/>
  <c r="BO414" i="8"/>
  <c r="BN414" i="8"/>
  <c r="BM414" i="8"/>
  <c r="BL414" i="8"/>
  <c r="BK414" i="8"/>
  <c r="BJ414" i="8"/>
  <c r="BI414" i="8"/>
  <c r="BH414" i="8"/>
  <c r="CJ413" i="8"/>
  <c r="CI413" i="8"/>
  <c r="CH413" i="8"/>
  <c r="CG413" i="8"/>
  <c r="CF413" i="8"/>
  <c r="CE413" i="8"/>
  <c r="CD413" i="8"/>
  <c r="CC413" i="8"/>
  <c r="CB413" i="8"/>
  <c r="CA413" i="8"/>
  <c r="BZ413" i="8"/>
  <c r="BY413" i="8"/>
  <c r="BX413" i="8"/>
  <c r="BW413" i="8"/>
  <c r="BV413" i="8"/>
  <c r="BU413" i="8"/>
  <c r="BT413" i="8"/>
  <c r="BS413" i="8"/>
  <c r="BR413" i="8"/>
  <c r="BQ413" i="8"/>
  <c r="BP413" i="8"/>
  <c r="BO413" i="8"/>
  <c r="BN413" i="8"/>
  <c r="BM413" i="8"/>
  <c r="BL413" i="8"/>
  <c r="BK413" i="8"/>
  <c r="BJ413" i="8"/>
  <c r="BI413" i="8"/>
  <c r="BH413" i="8"/>
  <c r="CJ412" i="8"/>
  <c r="CI412" i="8"/>
  <c r="CH412" i="8"/>
  <c r="CG412" i="8"/>
  <c r="CF412" i="8"/>
  <c r="CE412" i="8"/>
  <c r="CD412" i="8"/>
  <c r="CC412" i="8"/>
  <c r="CB412" i="8"/>
  <c r="CA412" i="8"/>
  <c r="BZ412" i="8"/>
  <c r="BY412" i="8"/>
  <c r="BX412" i="8"/>
  <c r="BW412" i="8"/>
  <c r="BV412" i="8"/>
  <c r="BU412" i="8"/>
  <c r="BT412" i="8"/>
  <c r="BS412" i="8"/>
  <c r="BR412" i="8"/>
  <c r="BQ412" i="8"/>
  <c r="BP412" i="8"/>
  <c r="BO412" i="8"/>
  <c r="BN412" i="8"/>
  <c r="BM412" i="8"/>
  <c r="BL412" i="8"/>
  <c r="BK412" i="8"/>
  <c r="BJ412" i="8"/>
  <c r="BI412" i="8"/>
  <c r="BH412" i="8"/>
  <c r="CJ411" i="8"/>
  <c r="CI411" i="8"/>
  <c r="CH411" i="8"/>
  <c r="CG411" i="8"/>
  <c r="CF411" i="8"/>
  <c r="CE411" i="8"/>
  <c r="CD411" i="8"/>
  <c r="CC411" i="8"/>
  <c r="CB411" i="8"/>
  <c r="CA411" i="8"/>
  <c r="BZ411" i="8"/>
  <c r="BY411" i="8"/>
  <c r="BX411" i="8"/>
  <c r="BW411" i="8"/>
  <c r="BV411" i="8"/>
  <c r="BU411" i="8"/>
  <c r="BT411" i="8"/>
  <c r="BS411" i="8"/>
  <c r="BR411" i="8"/>
  <c r="BQ411" i="8"/>
  <c r="BP411" i="8"/>
  <c r="BO411" i="8"/>
  <c r="BN411" i="8"/>
  <c r="BM411" i="8"/>
  <c r="BL411" i="8"/>
  <c r="BK411" i="8"/>
  <c r="BJ411" i="8"/>
  <c r="BI411" i="8"/>
  <c r="BH411" i="8"/>
  <c r="CJ410" i="8"/>
  <c r="CI410" i="8"/>
  <c r="CH410" i="8"/>
  <c r="CG410" i="8"/>
  <c r="CF410" i="8"/>
  <c r="CE410" i="8"/>
  <c r="CD410" i="8"/>
  <c r="CC410" i="8"/>
  <c r="CB410" i="8"/>
  <c r="CA410" i="8"/>
  <c r="BZ410" i="8"/>
  <c r="BY410" i="8"/>
  <c r="BX410" i="8"/>
  <c r="BW410" i="8"/>
  <c r="BV410" i="8"/>
  <c r="BU410" i="8"/>
  <c r="BT410" i="8"/>
  <c r="BS410" i="8"/>
  <c r="BR410" i="8"/>
  <c r="BQ410" i="8"/>
  <c r="BP410" i="8"/>
  <c r="BO410" i="8"/>
  <c r="BN410" i="8"/>
  <c r="BM410" i="8"/>
  <c r="BL410" i="8"/>
  <c r="BK410" i="8"/>
  <c r="BJ410" i="8"/>
  <c r="BI410" i="8"/>
  <c r="BH410" i="8"/>
  <c r="CJ409" i="8"/>
  <c r="CI409" i="8"/>
  <c r="CH409" i="8"/>
  <c r="CG409" i="8"/>
  <c r="CF409" i="8"/>
  <c r="CE409" i="8"/>
  <c r="CD409" i="8"/>
  <c r="CC409" i="8"/>
  <c r="CB409" i="8"/>
  <c r="CA409" i="8"/>
  <c r="BZ409" i="8"/>
  <c r="BY409" i="8"/>
  <c r="BX409" i="8"/>
  <c r="BW409" i="8"/>
  <c r="BV409" i="8"/>
  <c r="BU409" i="8"/>
  <c r="BT409" i="8"/>
  <c r="BS409" i="8"/>
  <c r="BR409" i="8"/>
  <c r="BQ409" i="8"/>
  <c r="BP409" i="8"/>
  <c r="BO409" i="8"/>
  <c r="BN409" i="8"/>
  <c r="BM409" i="8"/>
  <c r="BL409" i="8"/>
  <c r="BK409" i="8"/>
  <c r="BJ409" i="8"/>
  <c r="BI409" i="8"/>
  <c r="BH409" i="8"/>
  <c r="CJ408" i="8"/>
  <c r="CI408" i="8"/>
  <c r="CH408" i="8"/>
  <c r="CG408" i="8"/>
  <c r="CF408" i="8"/>
  <c r="CE408" i="8"/>
  <c r="CD408" i="8"/>
  <c r="CC408" i="8"/>
  <c r="CB408" i="8"/>
  <c r="CA408" i="8"/>
  <c r="BZ408" i="8"/>
  <c r="BY408" i="8"/>
  <c r="BX408" i="8"/>
  <c r="BW408" i="8"/>
  <c r="BV408" i="8"/>
  <c r="BU408" i="8"/>
  <c r="BT408" i="8"/>
  <c r="BS408" i="8"/>
  <c r="BR408" i="8"/>
  <c r="BQ408" i="8"/>
  <c r="BP408" i="8"/>
  <c r="BO408" i="8"/>
  <c r="BN408" i="8"/>
  <c r="BM408" i="8"/>
  <c r="BL408" i="8"/>
  <c r="BK408" i="8"/>
  <c r="BJ408" i="8"/>
  <c r="BI408" i="8"/>
  <c r="BH408" i="8"/>
  <c r="CJ407" i="8"/>
  <c r="CI407" i="8"/>
  <c r="CH407" i="8"/>
  <c r="CG407" i="8"/>
  <c r="CF407" i="8"/>
  <c r="CE407" i="8"/>
  <c r="CD407" i="8"/>
  <c r="CC407" i="8"/>
  <c r="CB407" i="8"/>
  <c r="CA407" i="8"/>
  <c r="BZ407" i="8"/>
  <c r="BY407" i="8"/>
  <c r="BX407" i="8"/>
  <c r="BW407" i="8"/>
  <c r="BV407" i="8"/>
  <c r="BU407" i="8"/>
  <c r="BT407" i="8"/>
  <c r="BS407" i="8"/>
  <c r="BR407" i="8"/>
  <c r="BQ407" i="8"/>
  <c r="BP407" i="8"/>
  <c r="BO407" i="8"/>
  <c r="BN407" i="8"/>
  <c r="BM407" i="8"/>
  <c r="BL407" i="8"/>
  <c r="BK407" i="8"/>
  <c r="BJ407" i="8"/>
  <c r="BI407" i="8"/>
  <c r="BH407" i="8"/>
  <c r="CJ406" i="8"/>
  <c r="CI406" i="8"/>
  <c r="CH406" i="8"/>
  <c r="CG406" i="8"/>
  <c r="CF406" i="8"/>
  <c r="CE406" i="8"/>
  <c r="CD406" i="8"/>
  <c r="CC406" i="8"/>
  <c r="CB406" i="8"/>
  <c r="CA406" i="8"/>
  <c r="BZ406" i="8"/>
  <c r="BY406" i="8"/>
  <c r="BX406" i="8"/>
  <c r="BW406" i="8"/>
  <c r="BV406" i="8"/>
  <c r="BU406" i="8"/>
  <c r="BT406" i="8"/>
  <c r="BS406" i="8"/>
  <c r="BR406" i="8"/>
  <c r="BQ406" i="8"/>
  <c r="BP406" i="8"/>
  <c r="BO406" i="8"/>
  <c r="BN406" i="8"/>
  <c r="BM406" i="8"/>
  <c r="BL406" i="8"/>
  <c r="BK406" i="8"/>
  <c r="BJ406" i="8"/>
  <c r="BI406" i="8"/>
  <c r="BH406" i="8"/>
  <c r="CJ405" i="8"/>
  <c r="CI405" i="8"/>
  <c r="CH405" i="8"/>
  <c r="CG405" i="8"/>
  <c r="CF405" i="8"/>
  <c r="CE405" i="8"/>
  <c r="CD405" i="8"/>
  <c r="CC405" i="8"/>
  <c r="CB405" i="8"/>
  <c r="CA405" i="8"/>
  <c r="BZ405" i="8"/>
  <c r="BY405" i="8"/>
  <c r="BX405" i="8"/>
  <c r="BW405" i="8"/>
  <c r="BV405" i="8"/>
  <c r="BU405" i="8"/>
  <c r="BT405" i="8"/>
  <c r="BS405" i="8"/>
  <c r="BR405" i="8"/>
  <c r="BQ405" i="8"/>
  <c r="BP405" i="8"/>
  <c r="BO405" i="8"/>
  <c r="BN405" i="8"/>
  <c r="BM405" i="8"/>
  <c r="BL405" i="8"/>
  <c r="BK405" i="8"/>
  <c r="BJ405" i="8"/>
  <c r="BI405" i="8"/>
  <c r="BH405" i="8"/>
  <c r="CJ404" i="8"/>
  <c r="CI404" i="8"/>
  <c r="CH404" i="8"/>
  <c r="CG404" i="8"/>
  <c r="CF404" i="8"/>
  <c r="CE404" i="8"/>
  <c r="CD404" i="8"/>
  <c r="CC404" i="8"/>
  <c r="CB404" i="8"/>
  <c r="CA404" i="8"/>
  <c r="BZ404" i="8"/>
  <c r="BY404" i="8"/>
  <c r="BX404" i="8"/>
  <c r="BW404" i="8"/>
  <c r="BV404" i="8"/>
  <c r="BU404" i="8"/>
  <c r="BT404" i="8"/>
  <c r="BS404" i="8"/>
  <c r="BR404" i="8"/>
  <c r="BQ404" i="8"/>
  <c r="BP404" i="8"/>
  <c r="BO404" i="8"/>
  <c r="BN404" i="8"/>
  <c r="BM404" i="8"/>
  <c r="BL404" i="8"/>
  <c r="BK404" i="8"/>
  <c r="BJ404" i="8"/>
  <c r="BI404" i="8"/>
  <c r="BH404" i="8"/>
  <c r="CJ403" i="8"/>
  <c r="CI403" i="8"/>
  <c r="CH403" i="8"/>
  <c r="CG403" i="8"/>
  <c r="CF403" i="8"/>
  <c r="CE403" i="8"/>
  <c r="CD403" i="8"/>
  <c r="CC403" i="8"/>
  <c r="CB403" i="8"/>
  <c r="CA403" i="8"/>
  <c r="BZ403" i="8"/>
  <c r="BY403" i="8"/>
  <c r="BX403" i="8"/>
  <c r="BW403" i="8"/>
  <c r="BV403" i="8"/>
  <c r="BU403" i="8"/>
  <c r="BT403" i="8"/>
  <c r="BS403" i="8"/>
  <c r="BR403" i="8"/>
  <c r="BQ403" i="8"/>
  <c r="BP403" i="8"/>
  <c r="BO403" i="8"/>
  <c r="BN403" i="8"/>
  <c r="BM403" i="8"/>
  <c r="BL403" i="8"/>
  <c r="BK403" i="8"/>
  <c r="BJ403" i="8"/>
  <c r="BI403" i="8"/>
  <c r="BH403" i="8"/>
  <c r="CJ402" i="8"/>
  <c r="CI402" i="8"/>
  <c r="CH402" i="8"/>
  <c r="CG402" i="8"/>
  <c r="CF402" i="8"/>
  <c r="CE402" i="8"/>
  <c r="CD402" i="8"/>
  <c r="CC402" i="8"/>
  <c r="CB402" i="8"/>
  <c r="CA402" i="8"/>
  <c r="BZ402" i="8"/>
  <c r="BY402" i="8"/>
  <c r="BX402" i="8"/>
  <c r="BW402" i="8"/>
  <c r="BV402" i="8"/>
  <c r="BU402" i="8"/>
  <c r="BT402" i="8"/>
  <c r="BS402" i="8"/>
  <c r="BR402" i="8"/>
  <c r="BQ402" i="8"/>
  <c r="BP402" i="8"/>
  <c r="BO402" i="8"/>
  <c r="BN402" i="8"/>
  <c r="BM402" i="8"/>
  <c r="BL402" i="8"/>
  <c r="BK402" i="8"/>
  <c r="BJ402" i="8"/>
  <c r="BI402" i="8"/>
  <c r="BH402" i="8"/>
  <c r="CJ401" i="8"/>
  <c r="CI401" i="8"/>
  <c r="CH401" i="8"/>
  <c r="CG401" i="8"/>
  <c r="CF401" i="8"/>
  <c r="CE401" i="8"/>
  <c r="CD401" i="8"/>
  <c r="CC401" i="8"/>
  <c r="CB401" i="8"/>
  <c r="CA401" i="8"/>
  <c r="BZ401" i="8"/>
  <c r="BY401" i="8"/>
  <c r="BX401" i="8"/>
  <c r="BW401" i="8"/>
  <c r="BV401" i="8"/>
  <c r="BU401" i="8"/>
  <c r="BT401" i="8"/>
  <c r="BS401" i="8"/>
  <c r="BR401" i="8"/>
  <c r="BQ401" i="8"/>
  <c r="BP401" i="8"/>
  <c r="BO401" i="8"/>
  <c r="BN401" i="8"/>
  <c r="BM401" i="8"/>
  <c r="BL401" i="8"/>
  <c r="BK401" i="8"/>
  <c r="BJ401" i="8"/>
  <c r="BI401" i="8"/>
  <c r="BH401" i="8"/>
  <c r="CJ400" i="8"/>
  <c r="CI400" i="8"/>
  <c r="CH400" i="8"/>
  <c r="CG400" i="8"/>
  <c r="CF400" i="8"/>
  <c r="CE400" i="8"/>
  <c r="CD400" i="8"/>
  <c r="CC400" i="8"/>
  <c r="CB400" i="8"/>
  <c r="CA400" i="8"/>
  <c r="BZ400" i="8"/>
  <c r="BY400" i="8"/>
  <c r="BX400" i="8"/>
  <c r="BW400" i="8"/>
  <c r="BV400" i="8"/>
  <c r="BU400" i="8"/>
  <c r="BT400" i="8"/>
  <c r="BS400" i="8"/>
  <c r="BR400" i="8"/>
  <c r="BQ400" i="8"/>
  <c r="BP400" i="8"/>
  <c r="BO400" i="8"/>
  <c r="BN400" i="8"/>
  <c r="BM400" i="8"/>
  <c r="BL400" i="8"/>
  <c r="BK400" i="8"/>
  <c r="BJ400" i="8"/>
  <c r="BI400" i="8"/>
  <c r="BH400" i="8"/>
  <c r="CJ399" i="8"/>
  <c r="CI399" i="8"/>
  <c r="CH399" i="8"/>
  <c r="CG399" i="8"/>
  <c r="CF399" i="8"/>
  <c r="CE399" i="8"/>
  <c r="CD399" i="8"/>
  <c r="CC399" i="8"/>
  <c r="CB399" i="8"/>
  <c r="CA399" i="8"/>
  <c r="BZ399" i="8"/>
  <c r="BY399" i="8"/>
  <c r="BX399" i="8"/>
  <c r="BW399" i="8"/>
  <c r="BV399" i="8"/>
  <c r="BU399" i="8"/>
  <c r="BT399" i="8"/>
  <c r="BS399" i="8"/>
  <c r="BR399" i="8"/>
  <c r="BQ399" i="8"/>
  <c r="BP399" i="8"/>
  <c r="BO399" i="8"/>
  <c r="BN399" i="8"/>
  <c r="BM399" i="8"/>
  <c r="BL399" i="8"/>
  <c r="BK399" i="8"/>
  <c r="BJ399" i="8"/>
  <c r="BI399" i="8"/>
  <c r="BH399" i="8"/>
  <c r="CJ398" i="8"/>
  <c r="CI398" i="8"/>
  <c r="CH398" i="8"/>
  <c r="CG398" i="8"/>
  <c r="CF398" i="8"/>
  <c r="CE398" i="8"/>
  <c r="CD398" i="8"/>
  <c r="CC398" i="8"/>
  <c r="CB398" i="8"/>
  <c r="CA398" i="8"/>
  <c r="BZ398" i="8"/>
  <c r="BY398" i="8"/>
  <c r="BX398" i="8"/>
  <c r="BW398" i="8"/>
  <c r="BV398" i="8"/>
  <c r="BU398" i="8"/>
  <c r="BT398" i="8"/>
  <c r="BS398" i="8"/>
  <c r="BR398" i="8"/>
  <c r="BQ398" i="8"/>
  <c r="BP398" i="8"/>
  <c r="BO398" i="8"/>
  <c r="BN398" i="8"/>
  <c r="BM398" i="8"/>
  <c r="BL398" i="8"/>
  <c r="BK398" i="8"/>
  <c r="BJ398" i="8"/>
  <c r="BI398" i="8"/>
  <c r="BH398" i="8"/>
  <c r="CJ397" i="8"/>
  <c r="CI397" i="8"/>
  <c r="CH397" i="8"/>
  <c r="CG397" i="8"/>
  <c r="CF397" i="8"/>
  <c r="CE397" i="8"/>
  <c r="CD397" i="8"/>
  <c r="CC397" i="8"/>
  <c r="CB397" i="8"/>
  <c r="CA397" i="8"/>
  <c r="BZ397" i="8"/>
  <c r="BY397" i="8"/>
  <c r="BX397" i="8"/>
  <c r="BW397" i="8"/>
  <c r="BV397" i="8"/>
  <c r="BU397" i="8"/>
  <c r="BT397" i="8"/>
  <c r="BS397" i="8"/>
  <c r="BR397" i="8"/>
  <c r="BQ397" i="8"/>
  <c r="BP397" i="8"/>
  <c r="BO397" i="8"/>
  <c r="BN397" i="8"/>
  <c r="BM397" i="8"/>
  <c r="BL397" i="8"/>
  <c r="BK397" i="8"/>
  <c r="BJ397" i="8"/>
  <c r="BI397" i="8"/>
  <c r="BH397" i="8"/>
  <c r="CJ396" i="8"/>
  <c r="CI396" i="8"/>
  <c r="CH396" i="8"/>
  <c r="CG396" i="8"/>
  <c r="CF396" i="8"/>
  <c r="CE396" i="8"/>
  <c r="CD396" i="8"/>
  <c r="CC396" i="8"/>
  <c r="CB396" i="8"/>
  <c r="CA396" i="8"/>
  <c r="BZ396" i="8"/>
  <c r="BY396" i="8"/>
  <c r="BX396" i="8"/>
  <c r="BW396" i="8"/>
  <c r="BV396" i="8"/>
  <c r="BU396" i="8"/>
  <c r="BT396" i="8"/>
  <c r="BS396" i="8"/>
  <c r="BR396" i="8"/>
  <c r="BQ396" i="8"/>
  <c r="BP396" i="8"/>
  <c r="BO396" i="8"/>
  <c r="BN396" i="8"/>
  <c r="BM396" i="8"/>
  <c r="BL396" i="8"/>
  <c r="BK396" i="8"/>
  <c r="BJ396" i="8"/>
  <c r="BI396" i="8"/>
  <c r="BH396" i="8"/>
  <c r="CJ395" i="8"/>
  <c r="CI395" i="8"/>
  <c r="CH395" i="8"/>
  <c r="CG395" i="8"/>
  <c r="CF395" i="8"/>
  <c r="CE395" i="8"/>
  <c r="CD395" i="8"/>
  <c r="CC395" i="8"/>
  <c r="CB395" i="8"/>
  <c r="CA395" i="8"/>
  <c r="BZ395" i="8"/>
  <c r="BY395" i="8"/>
  <c r="BX395" i="8"/>
  <c r="BW395" i="8"/>
  <c r="BV395" i="8"/>
  <c r="BU395" i="8"/>
  <c r="BT395" i="8"/>
  <c r="BS395" i="8"/>
  <c r="BR395" i="8"/>
  <c r="BQ395" i="8"/>
  <c r="BP395" i="8"/>
  <c r="BO395" i="8"/>
  <c r="BN395" i="8"/>
  <c r="BM395" i="8"/>
  <c r="BL395" i="8"/>
  <c r="BK395" i="8"/>
  <c r="BJ395" i="8"/>
  <c r="BI395" i="8"/>
  <c r="BH395" i="8"/>
  <c r="CJ394" i="8"/>
  <c r="CI394" i="8"/>
  <c r="CH394" i="8"/>
  <c r="CG394" i="8"/>
  <c r="CF394" i="8"/>
  <c r="CE394" i="8"/>
  <c r="CD394" i="8"/>
  <c r="CC394" i="8"/>
  <c r="CB394" i="8"/>
  <c r="CA394" i="8"/>
  <c r="BZ394" i="8"/>
  <c r="BY394" i="8"/>
  <c r="BX394" i="8"/>
  <c r="BW394" i="8"/>
  <c r="BV394" i="8"/>
  <c r="BU394" i="8"/>
  <c r="BT394" i="8"/>
  <c r="BS394" i="8"/>
  <c r="BR394" i="8"/>
  <c r="BQ394" i="8"/>
  <c r="BP394" i="8"/>
  <c r="BO394" i="8"/>
  <c r="BN394" i="8"/>
  <c r="BM394" i="8"/>
  <c r="BL394" i="8"/>
  <c r="BK394" i="8"/>
  <c r="BJ394" i="8"/>
  <c r="BI394" i="8"/>
  <c r="BH394" i="8"/>
  <c r="CJ393" i="8"/>
  <c r="CI393" i="8"/>
  <c r="CH393" i="8"/>
  <c r="CG393" i="8"/>
  <c r="CF393" i="8"/>
  <c r="CE393" i="8"/>
  <c r="CD393" i="8"/>
  <c r="CC393" i="8"/>
  <c r="CB393" i="8"/>
  <c r="CA393" i="8"/>
  <c r="BZ393" i="8"/>
  <c r="BY393" i="8"/>
  <c r="BX393" i="8"/>
  <c r="BW393" i="8"/>
  <c r="BV393" i="8"/>
  <c r="BU393" i="8"/>
  <c r="BT393" i="8"/>
  <c r="BS393" i="8"/>
  <c r="BR393" i="8"/>
  <c r="BQ393" i="8"/>
  <c r="BP393" i="8"/>
  <c r="BO393" i="8"/>
  <c r="BN393" i="8"/>
  <c r="BM393" i="8"/>
  <c r="BL393" i="8"/>
  <c r="BK393" i="8"/>
  <c r="BJ393" i="8"/>
  <c r="BI393" i="8"/>
  <c r="BH393" i="8"/>
  <c r="CJ392" i="8"/>
  <c r="CI392" i="8"/>
  <c r="CH392" i="8"/>
  <c r="CG392" i="8"/>
  <c r="CF392" i="8"/>
  <c r="CE392" i="8"/>
  <c r="CD392" i="8"/>
  <c r="CC392" i="8"/>
  <c r="CB392" i="8"/>
  <c r="CA392" i="8"/>
  <c r="BZ392" i="8"/>
  <c r="BY392" i="8"/>
  <c r="BX392" i="8"/>
  <c r="BW392" i="8"/>
  <c r="BV392" i="8"/>
  <c r="BU392" i="8"/>
  <c r="BT392" i="8"/>
  <c r="BS392" i="8"/>
  <c r="BR392" i="8"/>
  <c r="BQ392" i="8"/>
  <c r="BP392" i="8"/>
  <c r="BO392" i="8"/>
  <c r="BN392" i="8"/>
  <c r="BM392" i="8"/>
  <c r="BL392" i="8"/>
  <c r="BK392" i="8"/>
  <c r="BJ392" i="8"/>
  <c r="BI392" i="8"/>
  <c r="BH392" i="8"/>
  <c r="CJ391" i="8"/>
  <c r="CI391" i="8"/>
  <c r="CH391" i="8"/>
  <c r="CG391" i="8"/>
  <c r="CF391" i="8"/>
  <c r="CE391" i="8"/>
  <c r="CD391" i="8"/>
  <c r="CC391" i="8"/>
  <c r="CB391" i="8"/>
  <c r="CA391" i="8"/>
  <c r="BZ391" i="8"/>
  <c r="BY391" i="8"/>
  <c r="BX391" i="8"/>
  <c r="BW391" i="8"/>
  <c r="BV391" i="8"/>
  <c r="BU391" i="8"/>
  <c r="BT391" i="8"/>
  <c r="BS391" i="8"/>
  <c r="BR391" i="8"/>
  <c r="BQ391" i="8"/>
  <c r="BP391" i="8"/>
  <c r="BO391" i="8"/>
  <c r="BN391" i="8"/>
  <c r="BM391" i="8"/>
  <c r="BL391" i="8"/>
  <c r="BK391" i="8"/>
  <c r="BJ391" i="8"/>
  <c r="BI391" i="8"/>
  <c r="BH391" i="8"/>
  <c r="CJ390" i="8"/>
  <c r="CI390" i="8"/>
  <c r="CH390" i="8"/>
  <c r="CG390" i="8"/>
  <c r="CF390" i="8"/>
  <c r="CE390" i="8"/>
  <c r="CD390" i="8"/>
  <c r="CC390" i="8"/>
  <c r="CB390" i="8"/>
  <c r="CA390" i="8"/>
  <c r="BZ390" i="8"/>
  <c r="BY390" i="8"/>
  <c r="BX390" i="8"/>
  <c r="BW390" i="8"/>
  <c r="BV390" i="8"/>
  <c r="BU390" i="8"/>
  <c r="BT390" i="8"/>
  <c r="BS390" i="8"/>
  <c r="BR390" i="8"/>
  <c r="BQ390" i="8"/>
  <c r="BP390" i="8"/>
  <c r="BO390" i="8"/>
  <c r="BN390" i="8"/>
  <c r="BM390" i="8"/>
  <c r="BL390" i="8"/>
  <c r="BK390" i="8"/>
  <c r="BJ390" i="8"/>
  <c r="BI390" i="8"/>
  <c r="BH390" i="8"/>
  <c r="CJ389" i="8"/>
  <c r="CI389" i="8"/>
  <c r="CH389" i="8"/>
  <c r="CG389" i="8"/>
  <c r="CF389" i="8"/>
  <c r="CE389" i="8"/>
  <c r="CD389" i="8"/>
  <c r="CC389" i="8"/>
  <c r="CB389" i="8"/>
  <c r="CA389" i="8"/>
  <c r="BZ389" i="8"/>
  <c r="BY389" i="8"/>
  <c r="BX389" i="8"/>
  <c r="BW389" i="8"/>
  <c r="BV389" i="8"/>
  <c r="BU389" i="8"/>
  <c r="BT389" i="8"/>
  <c r="BS389" i="8"/>
  <c r="BR389" i="8"/>
  <c r="BQ389" i="8"/>
  <c r="BP389" i="8"/>
  <c r="BO389" i="8"/>
  <c r="BN389" i="8"/>
  <c r="BM389" i="8"/>
  <c r="BL389" i="8"/>
  <c r="BK389" i="8"/>
  <c r="BJ389" i="8"/>
  <c r="BI389" i="8"/>
  <c r="BH389" i="8"/>
  <c r="CJ388" i="8"/>
  <c r="CI388" i="8"/>
  <c r="CH388" i="8"/>
  <c r="CG388" i="8"/>
  <c r="CF388" i="8"/>
  <c r="CE388" i="8"/>
  <c r="CD388" i="8"/>
  <c r="CC388" i="8"/>
  <c r="CB388" i="8"/>
  <c r="CA388" i="8"/>
  <c r="BZ388" i="8"/>
  <c r="BY388" i="8"/>
  <c r="BX388" i="8"/>
  <c r="BW388" i="8"/>
  <c r="BV388" i="8"/>
  <c r="BU388" i="8"/>
  <c r="BT388" i="8"/>
  <c r="BS388" i="8"/>
  <c r="BR388" i="8"/>
  <c r="BQ388" i="8"/>
  <c r="BP388" i="8"/>
  <c r="BO388" i="8"/>
  <c r="BN388" i="8"/>
  <c r="BM388" i="8"/>
  <c r="BL388" i="8"/>
  <c r="BK388" i="8"/>
  <c r="BJ388" i="8"/>
  <c r="BI388" i="8"/>
  <c r="BH388" i="8"/>
  <c r="CJ387" i="8"/>
  <c r="CI387" i="8"/>
  <c r="CH387" i="8"/>
  <c r="CG387" i="8"/>
  <c r="CF387" i="8"/>
  <c r="CE387" i="8"/>
  <c r="CD387" i="8"/>
  <c r="CC387" i="8"/>
  <c r="CB387" i="8"/>
  <c r="CA387" i="8"/>
  <c r="BZ387" i="8"/>
  <c r="BY387" i="8"/>
  <c r="BX387" i="8"/>
  <c r="BW387" i="8"/>
  <c r="BV387" i="8"/>
  <c r="BU387" i="8"/>
  <c r="BT387" i="8"/>
  <c r="BS387" i="8"/>
  <c r="BR387" i="8"/>
  <c r="BQ387" i="8"/>
  <c r="BP387" i="8"/>
  <c r="BO387" i="8"/>
  <c r="BN387" i="8"/>
  <c r="BM387" i="8"/>
  <c r="BL387" i="8"/>
  <c r="BK387" i="8"/>
  <c r="BJ387" i="8"/>
  <c r="BI387" i="8"/>
  <c r="BH387" i="8"/>
  <c r="CJ386" i="8"/>
  <c r="CI386" i="8"/>
  <c r="CH386" i="8"/>
  <c r="CG386" i="8"/>
  <c r="CF386" i="8"/>
  <c r="CE386" i="8"/>
  <c r="CD386" i="8"/>
  <c r="CC386" i="8"/>
  <c r="CB386" i="8"/>
  <c r="CA386" i="8"/>
  <c r="BZ386" i="8"/>
  <c r="BY386" i="8"/>
  <c r="BX386" i="8"/>
  <c r="BW386" i="8"/>
  <c r="BV386" i="8"/>
  <c r="BU386" i="8"/>
  <c r="BT386" i="8"/>
  <c r="BS386" i="8"/>
  <c r="BR386" i="8"/>
  <c r="BQ386" i="8"/>
  <c r="BP386" i="8"/>
  <c r="BO386" i="8"/>
  <c r="BN386" i="8"/>
  <c r="BM386" i="8"/>
  <c r="BL386" i="8"/>
  <c r="BK386" i="8"/>
  <c r="BJ386" i="8"/>
  <c r="BI386" i="8"/>
  <c r="BH386" i="8"/>
  <c r="CJ385" i="8"/>
  <c r="CI385" i="8"/>
  <c r="CH385" i="8"/>
  <c r="CG385" i="8"/>
  <c r="CF385" i="8"/>
  <c r="CE385" i="8"/>
  <c r="CD385" i="8"/>
  <c r="CC385" i="8"/>
  <c r="CB385" i="8"/>
  <c r="CA385" i="8"/>
  <c r="BZ385" i="8"/>
  <c r="BY385" i="8"/>
  <c r="BX385" i="8"/>
  <c r="BW385" i="8"/>
  <c r="BV385" i="8"/>
  <c r="BU385" i="8"/>
  <c r="BT385" i="8"/>
  <c r="BS385" i="8"/>
  <c r="BR385" i="8"/>
  <c r="BQ385" i="8"/>
  <c r="BP385" i="8"/>
  <c r="BO385" i="8"/>
  <c r="BN385" i="8"/>
  <c r="BM385" i="8"/>
  <c r="BL385" i="8"/>
  <c r="BK385" i="8"/>
  <c r="BJ385" i="8"/>
  <c r="BI385" i="8"/>
  <c r="BH385" i="8"/>
  <c r="CJ372" i="8"/>
  <c r="CI372" i="8"/>
  <c r="CH372" i="8"/>
  <c r="CG372" i="8"/>
  <c r="CF372" i="8"/>
  <c r="CE372" i="8"/>
  <c r="CD372" i="8"/>
  <c r="CC372" i="8"/>
  <c r="CB372" i="8"/>
  <c r="CA372" i="8"/>
  <c r="BZ372" i="8"/>
  <c r="BY372" i="8"/>
  <c r="BX372" i="8"/>
  <c r="BW372" i="8"/>
  <c r="BV372" i="8"/>
  <c r="BU372" i="8"/>
  <c r="BT372" i="8"/>
  <c r="BS372" i="8"/>
  <c r="BR372" i="8"/>
  <c r="BQ372" i="8"/>
  <c r="BP372" i="8"/>
  <c r="BO372" i="8"/>
  <c r="BN372" i="8"/>
  <c r="BM372" i="8"/>
  <c r="BL372" i="8"/>
  <c r="BK372" i="8"/>
  <c r="BJ372" i="8"/>
  <c r="BI372" i="8"/>
  <c r="BH372" i="8"/>
  <c r="CJ371" i="8"/>
  <c r="CI371" i="8"/>
  <c r="CH371" i="8"/>
  <c r="CG371" i="8"/>
  <c r="CF371" i="8"/>
  <c r="CE371" i="8"/>
  <c r="CD371" i="8"/>
  <c r="CC371" i="8"/>
  <c r="CB371" i="8"/>
  <c r="CA371" i="8"/>
  <c r="BZ371" i="8"/>
  <c r="BY371" i="8"/>
  <c r="BX371" i="8"/>
  <c r="BW371" i="8"/>
  <c r="BV371" i="8"/>
  <c r="BU371" i="8"/>
  <c r="BT371" i="8"/>
  <c r="BS371" i="8"/>
  <c r="BR371" i="8"/>
  <c r="BQ371" i="8"/>
  <c r="BP371" i="8"/>
  <c r="BO371" i="8"/>
  <c r="BN371" i="8"/>
  <c r="BM371" i="8"/>
  <c r="BL371" i="8"/>
  <c r="BK371" i="8"/>
  <c r="BJ371" i="8"/>
  <c r="BI371" i="8"/>
  <c r="BH371" i="8"/>
  <c r="CJ370" i="8"/>
  <c r="CI370" i="8"/>
  <c r="CH370" i="8"/>
  <c r="CG370" i="8"/>
  <c r="CF370" i="8"/>
  <c r="CE370" i="8"/>
  <c r="CD370" i="8"/>
  <c r="CC370" i="8"/>
  <c r="CB370" i="8"/>
  <c r="CA370" i="8"/>
  <c r="BZ370" i="8"/>
  <c r="BY370" i="8"/>
  <c r="BX370" i="8"/>
  <c r="BW370" i="8"/>
  <c r="BV370" i="8"/>
  <c r="BU370" i="8"/>
  <c r="BT370" i="8"/>
  <c r="BS370" i="8"/>
  <c r="BR370" i="8"/>
  <c r="BQ370" i="8"/>
  <c r="BP370" i="8"/>
  <c r="BO370" i="8"/>
  <c r="BN370" i="8"/>
  <c r="BM370" i="8"/>
  <c r="BL370" i="8"/>
  <c r="BK370" i="8"/>
  <c r="BJ370" i="8"/>
  <c r="BI370" i="8"/>
  <c r="BH370" i="8"/>
  <c r="CJ369" i="8"/>
  <c r="CI369" i="8"/>
  <c r="CH369" i="8"/>
  <c r="CG369" i="8"/>
  <c r="CF369" i="8"/>
  <c r="CE369" i="8"/>
  <c r="CD369" i="8"/>
  <c r="CC369" i="8"/>
  <c r="CB369" i="8"/>
  <c r="CA369" i="8"/>
  <c r="BZ369" i="8"/>
  <c r="BY369" i="8"/>
  <c r="BX369" i="8"/>
  <c r="BW369" i="8"/>
  <c r="BV369" i="8"/>
  <c r="BU369" i="8"/>
  <c r="BT369" i="8"/>
  <c r="BS369" i="8"/>
  <c r="BR369" i="8"/>
  <c r="BQ369" i="8"/>
  <c r="BP369" i="8"/>
  <c r="BO369" i="8"/>
  <c r="BN369" i="8"/>
  <c r="BM369" i="8"/>
  <c r="BL369" i="8"/>
  <c r="BK369" i="8"/>
  <c r="BJ369" i="8"/>
  <c r="BI369" i="8"/>
  <c r="BH369" i="8"/>
  <c r="CJ368" i="8"/>
  <c r="CI368" i="8"/>
  <c r="CH368" i="8"/>
  <c r="CG368" i="8"/>
  <c r="CF368" i="8"/>
  <c r="CE368" i="8"/>
  <c r="CD368" i="8"/>
  <c r="CC368" i="8"/>
  <c r="CB368" i="8"/>
  <c r="CA368" i="8"/>
  <c r="BZ368" i="8"/>
  <c r="BY368" i="8"/>
  <c r="BX368" i="8"/>
  <c r="BW368" i="8"/>
  <c r="BV368" i="8"/>
  <c r="BU368" i="8"/>
  <c r="BT368" i="8"/>
  <c r="BS368" i="8"/>
  <c r="BR368" i="8"/>
  <c r="BQ368" i="8"/>
  <c r="BP368" i="8"/>
  <c r="BO368" i="8"/>
  <c r="BN368" i="8"/>
  <c r="BM368" i="8"/>
  <c r="BL368" i="8"/>
  <c r="BK368" i="8"/>
  <c r="BJ368" i="8"/>
  <c r="BI368" i="8"/>
  <c r="BH368" i="8"/>
  <c r="CJ367" i="8"/>
  <c r="CI367" i="8"/>
  <c r="CH367" i="8"/>
  <c r="CG367" i="8"/>
  <c r="CF367" i="8"/>
  <c r="CE367" i="8"/>
  <c r="CD367" i="8"/>
  <c r="CC367" i="8"/>
  <c r="CB367" i="8"/>
  <c r="CA367" i="8"/>
  <c r="BZ367" i="8"/>
  <c r="BY367" i="8"/>
  <c r="BX367" i="8"/>
  <c r="BW367" i="8"/>
  <c r="BV367" i="8"/>
  <c r="BU367" i="8"/>
  <c r="BT367" i="8"/>
  <c r="BS367" i="8"/>
  <c r="BR367" i="8"/>
  <c r="BQ367" i="8"/>
  <c r="BP367" i="8"/>
  <c r="BO367" i="8"/>
  <c r="BN367" i="8"/>
  <c r="BM367" i="8"/>
  <c r="BL367" i="8"/>
  <c r="BK367" i="8"/>
  <c r="BJ367" i="8"/>
  <c r="BI367" i="8"/>
  <c r="BH367" i="8"/>
  <c r="CJ366" i="8"/>
  <c r="CI366" i="8"/>
  <c r="CH366" i="8"/>
  <c r="CG366" i="8"/>
  <c r="CF366" i="8"/>
  <c r="CE366" i="8"/>
  <c r="CD366" i="8"/>
  <c r="CC366" i="8"/>
  <c r="CB366" i="8"/>
  <c r="CA366" i="8"/>
  <c r="BZ366" i="8"/>
  <c r="BY366" i="8"/>
  <c r="BX366" i="8"/>
  <c r="BW366" i="8"/>
  <c r="BV366" i="8"/>
  <c r="BU366" i="8"/>
  <c r="BT366" i="8"/>
  <c r="BS366" i="8"/>
  <c r="BR366" i="8"/>
  <c r="BQ366" i="8"/>
  <c r="BP366" i="8"/>
  <c r="BO366" i="8"/>
  <c r="BN366" i="8"/>
  <c r="BM366" i="8"/>
  <c r="BL366" i="8"/>
  <c r="BK366" i="8"/>
  <c r="BJ366" i="8"/>
  <c r="BI366" i="8"/>
  <c r="BH366" i="8"/>
  <c r="CJ365" i="8"/>
  <c r="CI365" i="8"/>
  <c r="CH365" i="8"/>
  <c r="CG365" i="8"/>
  <c r="CF365" i="8"/>
  <c r="CE365" i="8"/>
  <c r="CD365" i="8"/>
  <c r="CC365" i="8"/>
  <c r="CB365" i="8"/>
  <c r="CA365" i="8"/>
  <c r="BZ365" i="8"/>
  <c r="BY365" i="8"/>
  <c r="BX365" i="8"/>
  <c r="BW365" i="8"/>
  <c r="BV365" i="8"/>
  <c r="BU365" i="8"/>
  <c r="BT365" i="8"/>
  <c r="BS365" i="8"/>
  <c r="BR365" i="8"/>
  <c r="BQ365" i="8"/>
  <c r="BP365" i="8"/>
  <c r="BO365" i="8"/>
  <c r="BN365" i="8"/>
  <c r="BM365" i="8"/>
  <c r="BL365" i="8"/>
  <c r="BK365" i="8"/>
  <c r="BJ365" i="8"/>
  <c r="BI365" i="8"/>
  <c r="BH365" i="8"/>
  <c r="CJ364" i="8"/>
  <c r="CI364" i="8"/>
  <c r="CH364" i="8"/>
  <c r="CG364" i="8"/>
  <c r="CF364" i="8"/>
  <c r="CE364" i="8"/>
  <c r="CD364" i="8"/>
  <c r="CC364" i="8"/>
  <c r="CB364" i="8"/>
  <c r="CA364" i="8"/>
  <c r="BZ364" i="8"/>
  <c r="BY364" i="8"/>
  <c r="BX364" i="8"/>
  <c r="BW364" i="8"/>
  <c r="BV364" i="8"/>
  <c r="BU364" i="8"/>
  <c r="BT364" i="8"/>
  <c r="BS364" i="8"/>
  <c r="BR364" i="8"/>
  <c r="BQ364" i="8"/>
  <c r="BP364" i="8"/>
  <c r="BO364" i="8"/>
  <c r="BN364" i="8"/>
  <c r="BM364" i="8"/>
  <c r="BL364" i="8"/>
  <c r="BK364" i="8"/>
  <c r="BJ364" i="8"/>
  <c r="BI364" i="8"/>
  <c r="BH364" i="8"/>
  <c r="CJ363" i="8"/>
  <c r="CI363" i="8"/>
  <c r="CH363" i="8"/>
  <c r="CG363" i="8"/>
  <c r="CF363" i="8"/>
  <c r="CE363" i="8"/>
  <c r="CD363" i="8"/>
  <c r="CC363" i="8"/>
  <c r="CB363" i="8"/>
  <c r="CA363" i="8"/>
  <c r="BZ363" i="8"/>
  <c r="BY363" i="8"/>
  <c r="BX363" i="8"/>
  <c r="BW363" i="8"/>
  <c r="BV363" i="8"/>
  <c r="BU363" i="8"/>
  <c r="BT363" i="8"/>
  <c r="BS363" i="8"/>
  <c r="BR363" i="8"/>
  <c r="BQ363" i="8"/>
  <c r="BP363" i="8"/>
  <c r="BO363" i="8"/>
  <c r="BN363" i="8"/>
  <c r="BM363" i="8"/>
  <c r="BL363" i="8"/>
  <c r="BK363" i="8"/>
  <c r="BJ363" i="8"/>
  <c r="BI363" i="8"/>
  <c r="BH363" i="8"/>
  <c r="CJ362" i="8"/>
  <c r="CI362" i="8"/>
  <c r="CH362" i="8"/>
  <c r="CG362" i="8"/>
  <c r="CF362" i="8"/>
  <c r="CE362" i="8"/>
  <c r="CD362" i="8"/>
  <c r="CC362" i="8"/>
  <c r="CB362" i="8"/>
  <c r="CA362" i="8"/>
  <c r="BZ362" i="8"/>
  <c r="BY362" i="8"/>
  <c r="BX362" i="8"/>
  <c r="BW362" i="8"/>
  <c r="BV362" i="8"/>
  <c r="BU362" i="8"/>
  <c r="BT362" i="8"/>
  <c r="BS362" i="8"/>
  <c r="BR362" i="8"/>
  <c r="BQ362" i="8"/>
  <c r="BP362" i="8"/>
  <c r="BO362" i="8"/>
  <c r="BN362" i="8"/>
  <c r="BM362" i="8"/>
  <c r="BL362" i="8"/>
  <c r="BK362" i="8"/>
  <c r="BJ362" i="8"/>
  <c r="BI362" i="8"/>
  <c r="BH362" i="8"/>
  <c r="CJ361" i="8"/>
  <c r="CI361" i="8"/>
  <c r="CH361" i="8"/>
  <c r="CG361" i="8"/>
  <c r="CF361" i="8"/>
  <c r="CE361" i="8"/>
  <c r="CD361" i="8"/>
  <c r="CC361" i="8"/>
  <c r="CB361" i="8"/>
  <c r="CA361" i="8"/>
  <c r="BZ361" i="8"/>
  <c r="BY361" i="8"/>
  <c r="BX361" i="8"/>
  <c r="BW361" i="8"/>
  <c r="BV361" i="8"/>
  <c r="BU361" i="8"/>
  <c r="BT361" i="8"/>
  <c r="BS361" i="8"/>
  <c r="BR361" i="8"/>
  <c r="BQ361" i="8"/>
  <c r="BP361" i="8"/>
  <c r="BO361" i="8"/>
  <c r="BN361" i="8"/>
  <c r="BM361" i="8"/>
  <c r="BL361" i="8"/>
  <c r="BK361" i="8"/>
  <c r="BJ361" i="8"/>
  <c r="BI361" i="8"/>
  <c r="BH361" i="8"/>
  <c r="CJ360" i="8"/>
  <c r="CI360" i="8"/>
  <c r="CH360" i="8"/>
  <c r="CG360" i="8"/>
  <c r="CF360" i="8"/>
  <c r="CE360" i="8"/>
  <c r="CD360" i="8"/>
  <c r="CC360" i="8"/>
  <c r="CB360" i="8"/>
  <c r="CA360" i="8"/>
  <c r="BZ360" i="8"/>
  <c r="BY360" i="8"/>
  <c r="BX360" i="8"/>
  <c r="BW360" i="8"/>
  <c r="BV360" i="8"/>
  <c r="BU360" i="8"/>
  <c r="BT360" i="8"/>
  <c r="BS360" i="8"/>
  <c r="BR360" i="8"/>
  <c r="BQ360" i="8"/>
  <c r="BP360" i="8"/>
  <c r="BO360" i="8"/>
  <c r="BN360" i="8"/>
  <c r="BM360" i="8"/>
  <c r="BL360" i="8"/>
  <c r="BK360" i="8"/>
  <c r="BJ360" i="8"/>
  <c r="BI360" i="8"/>
  <c r="BH360" i="8"/>
  <c r="CJ359" i="8"/>
  <c r="CI359" i="8"/>
  <c r="CH359" i="8"/>
  <c r="CG359" i="8"/>
  <c r="CF359" i="8"/>
  <c r="CE359" i="8"/>
  <c r="CD359" i="8"/>
  <c r="CC359" i="8"/>
  <c r="CB359" i="8"/>
  <c r="CA359" i="8"/>
  <c r="BZ359" i="8"/>
  <c r="BY359" i="8"/>
  <c r="BX359" i="8"/>
  <c r="BW359" i="8"/>
  <c r="BV359" i="8"/>
  <c r="BU359" i="8"/>
  <c r="BT359" i="8"/>
  <c r="BS359" i="8"/>
  <c r="BR359" i="8"/>
  <c r="BQ359" i="8"/>
  <c r="BP359" i="8"/>
  <c r="BO359" i="8"/>
  <c r="BN359" i="8"/>
  <c r="BM359" i="8"/>
  <c r="BL359" i="8"/>
  <c r="BK359" i="8"/>
  <c r="BJ359" i="8"/>
  <c r="BI359" i="8"/>
  <c r="BH359" i="8"/>
  <c r="CJ358" i="8"/>
  <c r="CI358" i="8"/>
  <c r="CH358" i="8"/>
  <c r="CG358" i="8"/>
  <c r="CF358" i="8"/>
  <c r="CE358" i="8"/>
  <c r="CD358" i="8"/>
  <c r="CC358" i="8"/>
  <c r="CB358" i="8"/>
  <c r="CA358" i="8"/>
  <c r="BZ358" i="8"/>
  <c r="BY358" i="8"/>
  <c r="BX358" i="8"/>
  <c r="BW358" i="8"/>
  <c r="BV358" i="8"/>
  <c r="BU358" i="8"/>
  <c r="BT358" i="8"/>
  <c r="BS358" i="8"/>
  <c r="BR358" i="8"/>
  <c r="BQ358" i="8"/>
  <c r="BP358" i="8"/>
  <c r="BO358" i="8"/>
  <c r="BN358" i="8"/>
  <c r="BM358" i="8"/>
  <c r="BL358" i="8"/>
  <c r="BK358" i="8"/>
  <c r="BJ358" i="8"/>
  <c r="BI358" i="8"/>
  <c r="BH358" i="8"/>
  <c r="CJ357" i="8"/>
  <c r="CI357" i="8"/>
  <c r="CH357" i="8"/>
  <c r="CG357" i="8"/>
  <c r="CF357" i="8"/>
  <c r="CE357" i="8"/>
  <c r="CD357" i="8"/>
  <c r="CC357" i="8"/>
  <c r="CB357" i="8"/>
  <c r="CA357" i="8"/>
  <c r="BZ357" i="8"/>
  <c r="BY357" i="8"/>
  <c r="BX357" i="8"/>
  <c r="BW357" i="8"/>
  <c r="BV357" i="8"/>
  <c r="BU357" i="8"/>
  <c r="BT357" i="8"/>
  <c r="BS357" i="8"/>
  <c r="BR357" i="8"/>
  <c r="BQ357" i="8"/>
  <c r="BP357" i="8"/>
  <c r="BO357" i="8"/>
  <c r="BN357" i="8"/>
  <c r="BM357" i="8"/>
  <c r="BL357" i="8"/>
  <c r="BK357" i="8"/>
  <c r="BJ357" i="8"/>
  <c r="BI357" i="8"/>
  <c r="BH357" i="8"/>
  <c r="CJ356" i="8"/>
  <c r="CI356" i="8"/>
  <c r="CH356" i="8"/>
  <c r="CG356" i="8"/>
  <c r="CF356" i="8"/>
  <c r="CE356" i="8"/>
  <c r="CD356" i="8"/>
  <c r="CC356" i="8"/>
  <c r="CB356" i="8"/>
  <c r="CA356" i="8"/>
  <c r="BZ356" i="8"/>
  <c r="BY356" i="8"/>
  <c r="BX356" i="8"/>
  <c r="BW356" i="8"/>
  <c r="BV356" i="8"/>
  <c r="BU356" i="8"/>
  <c r="BT356" i="8"/>
  <c r="BS356" i="8"/>
  <c r="BR356" i="8"/>
  <c r="BQ356" i="8"/>
  <c r="BP356" i="8"/>
  <c r="BO356" i="8"/>
  <c r="BN356" i="8"/>
  <c r="BM356" i="8"/>
  <c r="BL356" i="8"/>
  <c r="BK356" i="8"/>
  <c r="BJ356" i="8"/>
  <c r="BI356" i="8"/>
  <c r="BH356" i="8"/>
  <c r="CJ355" i="8"/>
  <c r="CI355" i="8"/>
  <c r="CH355" i="8"/>
  <c r="CG355" i="8"/>
  <c r="CF355" i="8"/>
  <c r="CE355" i="8"/>
  <c r="CD355" i="8"/>
  <c r="CC355" i="8"/>
  <c r="CB355" i="8"/>
  <c r="CA355" i="8"/>
  <c r="BZ355" i="8"/>
  <c r="BY355" i="8"/>
  <c r="BX355" i="8"/>
  <c r="BW355" i="8"/>
  <c r="BV355" i="8"/>
  <c r="BU355" i="8"/>
  <c r="BT355" i="8"/>
  <c r="BS355" i="8"/>
  <c r="BR355" i="8"/>
  <c r="BQ355" i="8"/>
  <c r="BP355" i="8"/>
  <c r="BO355" i="8"/>
  <c r="BN355" i="8"/>
  <c r="BM355" i="8"/>
  <c r="BL355" i="8"/>
  <c r="BK355" i="8"/>
  <c r="BJ355" i="8"/>
  <c r="BI355" i="8"/>
  <c r="BH355" i="8"/>
  <c r="CJ354" i="8"/>
  <c r="CI354" i="8"/>
  <c r="CH354" i="8"/>
  <c r="CG354" i="8"/>
  <c r="CF354" i="8"/>
  <c r="CE354" i="8"/>
  <c r="CD354" i="8"/>
  <c r="CC354" i="8"/>
  <c r="CB354" i="8"/>
  <c r="CA354" i="8"/>
  <c r="BZ354" i="8"/>
  <c r="BY354" i="8"/>
  <c r="BX354" i="8"/>
  <c r="BW354" i="8"/>
  <c r="BV354" i="8"/>
  <c r="BU354" i="8"/>
  <c r="BT354" i="8"/>
  <c r="BS354" i="8"/>
  <c r="BR354" i="8"/>
  <c r="BQ354" i="8"/>
  <c r="BP354" i="8"/>
  <c r="BO354" i="8"/>
  <c r="BN354" i="8"/>
  <c r="BM354" i="8"/>
  <c r="BL354" i="8"/>
  <c r="BK354" i="8"/>
  <c r="BJ354" i="8"/>
  <c r="BI354" i="8"/>
  <c r="BH354" i="8"/>
  <c r="CJ353" i="8"/>
  <c r="CI353" i="8"/>
  <c r="CH353" i="8"/>
  <c r="CG353" i="8"/>
  <c r="CF353" i="8"/>
  <c r="CE353" i="8"/>
  <c r="CD353" i="8"/>
  <c r="CC353" i="8"/>
  <c r="CB353" i="8"/>
  <c r="CA353" i="8"/>
  <c r="BZ353" i="8"/>
  <c r="BY353" i="8"/>
  <c r="BX353" i="8"/>
  <c r="BW353" i="8"/>
  <c r="BV353" i="8"/>
  <c r="BU353" i="8"/>
  <c r="BT353" i="8"/>
  <c r="BS353" i="8"/>
  <c r="BR353" i="8"/>
  <c r="BQ353" i="8"/>
  <c r="BP353" i="8"/>
  <c r="BO353" i="8"/>
  <c r="BN353" i="8"/>
  <c r="BM353" i="8"/>
  <c r="BL353" i="8"/>
  <c r="BK353" i="8"/>
  <c r="BJ353" i="8"/>
  <c r="BI353" i="8"/>
  <c r="BH353" i="8"/>
  <c r="CJ352" i="8"/>
  <c r="CI352" i="8"/>
  <c r="CH352" i="8"/>
  <c r="CG352" i="8"/>
  <c r="CF352" i="8"/>
  <c r="CE352" i="8"/>
  <c r="CD352" i="8"/>
  <c r="CC352" i="8"/>
  <c r="CB352" i="8"/>
  <c r="CA352" i="8"/>
  <c r="BZ352" i="8"/>
  <c r="BY352" i="8"/>
  <c r="BX352" i="8"/>
  <c r="BW352" i="8"/>
  <c r="BV352" i="8"/>
  <c r="BU352" i="8"/>
  <c r="BT352" i="8"/>
  <c r="BS352" i="8"/>
  <c r="BR352" i="8"/>
  <c r="BQ352" i="8"/>
  <c r="BP352" i="8"/>
  <c r="BO352" i="8"/>
  <c r="BN352" i="8"/>
  <c r="BM352" i="8"/>
  <c r="BL352" i="8"/>
  <c r="BK352" i="8"/>
  <c r="BJ352" i="8"/>
  <c r="BI352" i="8"/>
  <c r="BH352" i="8"/>
  <c r="CJ351" i="8"/>
  <c r="CI351" i="8"/>
  <c r="CH351" i="8"/>
  <c r="CG351" i="8"/>
  <c r="CF351" i="8"/>
  <c r="CE351" i="8"/>
  <c r="CD351" i="8"/>
  <c r="CC351" i="8"/>
  <c r="CB351" i="8"/>
  <c r="CA351" i="8"/>
  <c r="BZ351" i="8"/>
  <c r="BY351" i="8"/>
  <c r="BX351" i="8"/>
  <c r="BW351" i="8"/>
  <c r="BV351" i="8"/>
  <c r="BU351" i="8"/>
  <c r="BT351" i="8"/>
  <c r="BS351" i="8"/>
  <c r="BR351" i="8"/>
  <c r="BQ351" i="8"/>
  <c r="BP351" i="8"/>
  <c r="BO351" i="8"/>
  <c r="BN351" i="8"/>
  <c r="BM351" i="8"/>
  <c r="BL351" i="8"/>
  <c r="BK351" i="8"/>
  <c r="BJ351" i="8"/>
  <c r="BI351" i="8"/>
  <c r="BH351" i="8"/>
  <c r="CJ350" i="8"/>
  <c r="CI350" i="8"/>
  <c r="CH350" i="8"/>
  <c r="CG350" i="8"/>
  <c r="CF350" i="8"/>
  <c r="CE350" i="8"/>
  <c r="CD350" i="8"/>
  <c r="CC350" i="8"/>
  <c r="CB350" i="8"/>
  <c r="CA350" i="8"/>
  <c r="BZ350" i="8"/>
  <c r="BY350" i="8"/>
  <c r="BX350" i="8"/>
  <c r="BW350" i="8"/>
  <c r="BV350" i="8"/>
  <c r="BU350" i="8"/>
  <c r="BT350" i="8"/>
  <c r="BS350" i="8"/>
  <c r="BR350" i="8"/>
  <c r="BQ350" i="8"/>
  <c r="BP350" i="8"/>
  <c r="BO350" i="8"/>
  <c r="BN350" i="8"/>
  <c r="BM350" i="8"/>
  <c r="BL350" i="8"/>
  <c r="BK350" i="8"/>
  <c r="BJ350" i="8"/>
  <c r="BI350" i="8"/>
  <c r="BH350" i="8"/>
  <c r="CJ349" i="8"/>
  <c r="CI349" i="8"/>
  <c r="CH349" i="8"/>
  <c r="CG349" i="8"/>
  <c r="CF349" i="8"/>
  <c r="CE349" i="8"/>
  <c r="CD349" i="8"/>
  <c r="CC349" i="8"/>
  <c r="CB349" i="8"/>
  <c r="CA349" i="8"/>
  <c r="BZ349" i="8"/>
  <c r="BY349" i="8"/>
  <c r="BX349" i="8"/>
  <c r="BW349" i="8"/>
  <c r="BV349" i="8"/>
  <c r="BU349" i="8"/>
  <c r="BT349" i="8"/>
  <c r="BS349" i="8"/>
  <c r="BR349" i="8"/>
  <c r="BQ349" i="8"/>
  <c r="BP349" i="8"/>
  <c r="BO349" i="8"/>
  <c r="BN349" i="8"/>
  <c r="BM349" i="8"/>
  <c r="BL349" i="8"/>
  <c r="BK349" i="8"/>
  <c r="BJ349" i="8"/>
  <c r="BI349" i="8"/>
  <c r="BH349" i="8"/>
  <c r="CJ348" i="8"/>
  <c r="CI348" i="8"/>
  <c r="CH348" i="8"/>
  <c r="CG348" i="8"/>
  <c r="CF348" i="8"/>
  <c r="CE348" i="8"/>
  <c r="CD348" i="8"/>
  <c r="CC348" i="8"/>
  <c r="CB348" i="8"/>
  <c r="CA348" i="8"/>
  <c r="BZ348" i="8"/>
  <c r="BY348" i="8"/>
  <c r="BX348" i="8"/>
  <c r="BW348" i="8"/>
  <c r="BV348" i="8"/>
  <c r="BU348" i="8"/>
  <c r="BT348" i="8"/>
  <c r="BS348" i="8"/>
  <c r="BR348" i="8"/>
  <c r="BQ348" i="8"/>
  <c r="BP348" i="8"/>
  <c r="BO348" i="8"/>
  <c r="BN348" i="8"/>
  <c r="BM348" i="8"/>
  <c r="BL348" i="8"/>
  <c r="BK348" i="8"/>
  <c r="BJ348" i="8"/>
  <c r="BI348" i="8"/>
  <c r="BH348" i="8"/>
  <c r="CJ347" i="8"/>
  <c r="CI347" i="8"/>
  <c r="CH347" i="8"/>
  <c r="CG347" i="8"/>
  <c r="CF347" i="8"/>
  <c r="CE347" i="8"/>
  <c r="CD347" i="8"/>
  <c r="CC347" i="8"/>
  <c r="CB347" i="8"/>
  <c r="CA347" i="8"/>
  <c r="BZ347" i="8"/>
  <c r="BY347" i="8"/>
  <c r="BX347" i="8"/>
  <c r="BW347" i="8"/>
  <c r="BV347" i="8"/>
  <c r="BU347" i="8"/>
  <c r="BT347" i="8"/>
  <c r="BS347" i="8"/>
  <c r="BR347" i="8"/>
  <c r="BQ347" i="8"/>
  <c r="BP347" i="8"/>
  <c r="BO347" i="8"/>
  <c r="BN347" i="8"/>
  <c r="BM347" i="8"/>
  <c r="BL347" i="8"/>
  <c r="BK347" i="8"/>
  <c r="BJ347" i="8"/>
  <c r="BI347" i="8"/>
  <c r="BH347" i="8"/>
  <c r="CJ346" i="8"/>
  <c r="CI346" i="8"/>
  <c r="CH346" i="8"/>
  <c r="CG346" i="8"/>
  <c r="CF346" i="8"/>
  <c r="CE346" i="8"/>
  <c r="CD346" i="8"/>
  <c r="CC346" i="8"/>
  <c r="CB346" i="8"/>
  <c r="CA346" i="8"/>
  <c r="BZ346" i="8"/>
  <c r="BY346" i="8"/>
  <c r="BX346" i="8"/>
  <c r="BW346" i="8"/>
  <c r="BV346" i="8"/>
  <c r="BU346" i="8"/>
  <c r="BT346" i="8"/>
  <c r="BS346" i="8"/>
  <c r="BR346" i="8"/>
  <c r="BQ346" i="8"/>
  <c r="BP346" i="8"/>
  <c r="BO346" i="8"/>
  <c r="BN346" i="8"/>
  <c r="BM346" i="8"/>
  <c r="BL346" i="8"/>
  <c r="BK346" i="8"/>
  <c r="BJ346" i="8"/>
  <c r="BI346" i="8"/>
  <c r="BH346" i="8"/>
  <c r="CJ345" i="8"/>
  <c r="CI345" i="8"/>
  <c r="CH345" i="8"/>
  <c r="CG345" i="8"/>
  <c r="CF345" i="8"/>
  <c r="CE345" i="8"/>
  <c r="CD345" i="8"/>
  <c r="CC345" i="8"/>
  <c r="CB345" i="8"/>
  <c r="CA345" i="8"/>
  <c r="BZ345" i="8"/>
  <c r="BY345" i="8"/>
  <c r="BX345" i="8"/>
  <c r="BW345" i="8"/>
  <c r="BV345" i="8"/>
  <c r="BU345" i="8"/>
  <c r="BT345" i="8"/>
  <c r="BS345" i="8"/>
  <c r="BR345" i="8"/>
  <c r="BQ345" i="8"/>
  <c r="BP345" i="8"/>
  <c r="BO345" i="8"/>
  <c r="BN345" i="8"/>
  <c r="BM345" i="8"/>
  <c r="BL345" i="8"/>
  <c r="BK345" i="8"/>
  <c r="BJ345" i="8"/>
  <c r="BI345" i="8"/>
  <c r="BH345" i="8"/>
  <c r="CJ344" i="8"/>
  <c r="CI344" i="8"/>
  <c r="CH344" i="8"/>
  <c r="CG344" i="8"/>
  <c r="CF344" i="8"/>
  <c r="CE344" i="8"/>
  <c r="CD344" i="8"/>
  <c r="CC344" i="8"/>
  <c r="CB344" i="8"/>
  <c r="CA344" i="8"/>
  <c r="BZ344" i="8"/>
  <c r="BY344" i="8"/>
  <c r="BX344" i="8"/>
  <c r="BW344" i="8"/>
  <c r="BV344" i="8"/>
  <c r="BU344" i="8"/>
  <c r="BT344" i="8"/>
  <c r="BS344" i="8"/>
  <c r="BR344" i="8"/>
  <c r="BQ344" i="8"/>
  <c r="BP344" i="8"/>
  <c r="BO344" i="8"/>
  <c r="BN344" i="8"/>
  <c r="BM344" i="8"/>
  <c r="BL344" i="8"/>
  <c r="BK344" i="8"/>
  <c r="BJ344" i="8"/>
  <c r="BI344" i="8"/>
  <c r="BH344" i="8"/>
  <c r="CJ343" i="8"/>
  <c r="CI343" i="8"/>
  <c r="CH343" i="8"/>
  <c r="CG343" i="8"/>
  <c r="CF343" i="8"/>
  <c r="CE343" i="8"/>
  <c r="CD343" i="8"/>
  <c r="CC343" i="8"/>
  <c r="CB343" i="8"/>
  <c r="CA343" i="8"/>
  <c r="BZ343" i="8"/>
  <c r="BY343" i="8"/>
  <c r="BX343" i="8"/>
  <c r="BW343" i="8"/>
  <c r="BV343" i="8"/>
  <c r="BU343" i="8"/>
  <c r="BT343" i="8"/>
  <c r="BS343" i="8"/>
  <c r="BR343" i="8"/>
  <c r="BQ343" i="8"/>
  <c r="BP343" i="8"/>
  <c r="BO343" i="8"/>
  <c r="BN343" i="8"/>
  <c r="BM343" i="8"/>
  <c r="BL343" i="8"/>
  <c r="BK343" i="8"/>
  <c r="BJ343" i="8"/>
  <c r="BI343" i="8"/>
  <c r="BH343" i="8"/>
  <c r="CJ342" i="8"/>
  <c r="CI342" i="8"/>
  <c r="CH342" i="8"/>
  <c r="CG342" i="8"/>
  <c r="CF342" i="8"/>
  <c r="CE342" i="8"/>
  <c r="CD342" i="8"/>
  <c r="CC342" i="8"/>
  <c r="CB342" i="8"/>
  <c r="CA342" i="8"/>
  <c r="BZ342" i="8"/>
  <c r="BY342" i="8"/>
  <c r="BX342" i="8"/>
  <c r="BW342" i="8"/>
  <c r="BV342" i="8"/>
  <c r="BU342" i="8"/>
  <c r="BT342" i="8"/>
  <c r="BS342" i="8"/>
  <c r="BR342" i="8"/>
  <c r="BQ342" i="8"/>
  <c r="BP342" i="8"/>
  <c r="BO342" i="8"/>
  <c r="BN342" i="8"/>
  <c r="BM342" i="8"/>
  <c r="BL342" i="8"/>
  <c r="BK342" i="8"/>
  <c r="BJ342" i="8"/>
  <c r="BI342" i="8"/>
  <c r="BH342" i="8"/>
  <c r="CJ341" i="8"/>
  <c r="CI341" i="8"/>
  <c r="CH341" i="8"/>
  <c r="CG341" i="8"/>
  <c r="CF341" i="8"/>
  <c r="CE341" i="8"/>
  <c r="CD341" i="8"/>
  <c r="CC341" i="8"/>
  <c r="CB341" i="8"/>
  <c r="CA341" i="8"/>
  <c r="BZ341" i="8"/>
  <c r="BY341" i="8"/>
  <c r="BX341" i="8"/>
  <c r="BW341" i="8"/>
  <c r="BV341" i="8"/>
  <c r="BU341" i="8"/>
  <c r="BT341" i="8"/>
  <c r="BS341" i="8"/>
  <c r="BR341" i="8"/>
  <c r="BQ341" i="8"/>
  <c r="BP341" i="8"/>
  <c r="BO341" i="8"/>
  <c r="BN341" i="8"/>
  <c r="BM341" i="8"/>
  <c r="BL341" i="8"/>
  <c r="BK341" i="8"/>
  <c r="BJ341" i="8"/>
  <c r="BI341" i="8"/>
  <c r="BH341" i="8"/>
  <c r="CJ340" i="8"/>
  <c r="CI340" i="8"/>
  <c r="CH340" i="8"/>
  <c r="CG340" i="8"/>
  <c r="CF340" i="8"/>
  <c r="CE340" i="8"/>
  <c r="CD340" i="8"/>
  <c r="CC340" i="8"/>
  <c r="CB340" i="8"/>
  <c r="CA340" i="8"/>
  <c r="BZ340" i="8"/>
  <c r="BY340" i="8"/>
  <c r="BX340" i="8"/>
  <c r="BW340" i="8"/>
  <c r="BV340" i="8"/>
  <c r="BU340" i="8"/>
  <c r="BT340" i="8"/>
  <c r="BS340" i="8"/>
  <c r="BR340" i="8"/>
  <c r="BQ340" i="8"/>
  <c r="BP340" i="8"/>
  <c r="BO340" i="8"/>
  <c r="BN340" i="8"/>
  <c r="BM340" i="8"/>
  <c r="BL340" i="8"/>
  <c r="BK340" i="8"/>
  <c r="BJ340" i="8"/>
  <c r="BI340" i="8"/>
  <c r="BH340" i="8"/>
  <c r="CJ339" i="8"/>
  <c r="CI339" i="8"/>
  <c r="CH339" i="8"/>
  <c r="CG339" i="8"/>
  <c r="CF339" i="8"/>
  <c r="CE339" i="8"/>
  <c r="CD339" i="8"/>
  <c r="CC339" i="8"/>
  <c r="CB339" i="8"/>
  <c r="CA339" i="8"/>
  <c r="BZ339" i="8"/>
  <c r="BY339" i="8"/>
  <c r="BX339" i="8"/>
  <c r="BW339" i="8"/>
  <c r="BV339" i="8"/>
  <c r="BU339" i="8"/>
  <c r="BT339" i="8"/>
  <c r="BS339" i="8"/>
  <c r="BR339" i="8"/>
  <c r="BQ339" i="8"/>
  <c r="BP339" i="8"/>
  <c r="BO339" i="8"/>
  <c r="BN339" i="8"/>
  <c r="BM339" i="8"/>
  <c r="BL339" i="8"/>
  <c r="BK339" i="8"/>
  <c r="BJ339" i="8"/>
  <c r="BI339" i="8"/>
  <c r="BH339" i="8"/>
  <c r="CJ338" i="8"/>
  <c r="CI338" i="8"/>
  <c r="CH338" i="8"/>
  <c r="CG338" i="8"/>
  <c r="CF338" i="8"/>
  <c r="CE338" i="8"/>
  <c r="CD338" i="8"/>
  <c r="CC338" i="8"/>
  <c r="CB338" i="8"/>
  <c r="CA338" i="8"/>
  <c r="BZ338" i="8"/>
  <c r="BY338" i="8"/>
  <c r="BX338" i="8"/>
  <c r="BW338" i="8"/>
  <c r="BV338" i="8"/>
  <c r="BU338" i="8"/>
  <c r="BT338" i="8"/>
  <c r="BS338" i="8"/>
  <c r="BR338" i="8"/>
  <c r="BQ338" i="8"/>
  <c r="BP338" i="8"/>
  <c r="BO338" i="8"/>
  <c r="BN338" i="8"/>
  <c r="BM338" i="8"/>
  <c r="BL338" i="8"/>
  <c r="BK338" i="8"/>
  <c r="BJ338" i="8"/>
  <c r="BI338" i="8"/>
  <c r="BH338" i="8"/>
  <c r="CJ337" i="8"/>
  <c r="CI337" i="8"/>
  <c r="CH337" i="8"/>
  <c r="CG337" i="8"/>
  <c r="CF337" i="8"/>
  <c r="CE337" i="8"/>
  <c r="CD337" i="8"/>
  <c r="CC337" i="8"/>
  <c r="CB337" i="8"/>
  <c r="CA337" i="8"/>
  <c r="BZ337" i="8"/>
  <c r="BY337" i="8"/>
  <c r="BX337" i="8"/>
  <c r="BW337" i="8"/>
  <c r="BV337" i="8"/>
  <c r="BU337" i="8"/>
  <c r="BT337" i="8"/>
  <c r="BS337" i="8"/>
  <c r="BR337" i="8"/>
  <c r="BQ337" i="8"/>
  <c r="BP337" i="8"/>
  <c r="BO337" i="8"/>
  <c r="BN337" i="8"/>
  <c r="BM337" i="8"/>
  <c r="BL337" i="8"/>
  <c r="BK337" i="8"/>
  <c r="BJ337" i="8"/>
  <c r="BI337" i="8"/>
  <c r="BH337" i="8"/>
  <c r="CJ336" i="8"/>
  <c r="CI336" i="8"/>
  <c r="CH336" i="8"/>
  <c r="CG336" i="8"/>
  <c r="CF336" i="8"/>
  <c r="CE336" i="8"/>
  <c r="CD336" i="8"/>
  <c r="CC336" i="8"/>
  <c r="CB336" i="8"/>
  <c r="CA336" i="8"/>
  <c r="BZ336" i="8"/>
  <c r="BY336" i="8"/>
  <c r="BX336" i="8"/>
  <c r="BW336" i="8"/>
  <c r="BV336" i="8"/>
  <c r="BU336" i="8"/>
  <c r="BT336" i="8"/>
  <c r="BS336" i="8"/>
  <c r="BR336" i="8"/>
  <c r="BQ336" i="8"/>
  <c r="BP336" i="8"/>
  <c r="BO336" i="8"/>
  <c r="BN336" i="8"/>
  <c r="BM336" i="8"/>
  <c r="BL336" i="8"/>
  <c r="BK336" i="8"/>
  <c r="BJ336" i="8"/>
  <c r="BI336" i="8"/>
  <c r="BH336" i="8"/>
  <c r="CJ335" i="8"/>
  <c r="CI335" i="8"/>
  <c r="CH335" i="8"/>
  <c r="CG335" i="8"/>
  <c r="CF335" i="8"/>
  <c r="CE335" i="8"/>
  <c r="CD335" i="8"/>
  <c r="CC335" i="8"/>
  <c r="CB335" i="8"/>
  <c r="CA335" i="8"/>
  <c r="BZ335" i="8"/>
  <c r="BY335" i="8"/>
  <c r="BX335" i="8"/>
  <c r="BW335" i="8"/>
  <c r="BV335" i="8"/>
  <c r="BU335" i="8"/>
  <c r="BT335" i="8"/>
  <c r="BS335" i="8"/>
  <c r="BR335" i="8"/>
  <c r="BQ335" i="8"/>
  <c r="BP335" i="8"/>
  <c r="BO335" i="8"/>
  <c r="BN335" i="8"/>
  <c r="BM335" i="8"/>
  <c r="BL335" i="8"/>
  <c r="BK335" i="8"/>
  <c r="BJ335" i="8"/>
  <c r="BI335" i="8"/>
  <c r="BH335" i="8"/>
  <c r="CJ334" i="8"/>
  <c r="CI334" i="8"/>
  <c r="CH334" i="8"/>
  <c r="CG334" i="8"/>
  <c r="CF334" i="8"/>
  <c r="CE334" i="8"/>
  <c r="CD334" i="8"/>
  <c r="CC334" i="8"/>
  <c r="CB334" i="8"/>
  <c r="CA334" i="8"/>
  <c r="BZ334" i="8"/>
  <c r="BY334" i="8"/>
  <c r="BX334" i="8"/>
  <c r="BW334" i="8"/>
  <c r="BV334" i="8"/>
  <c r="BU334" i="8"/>
  <c r="BT334" i="8"/>
  <c r="BS334" i="8"/>
  <c r="BR334" i="8"/>
  <c r="BQ334" i="8"/>
  <c r="BP334" i="8"/>
  <c r="BO334" i="8"/>
  <c r="BN334" i="8"/>
  <c r="BM334" i="8"/>
  <c r="BL334" i="8"/>
  <c r="BK334" i="8"/>
  <c r="BJ334" i="8"/>
  <c r="BI334" i="8"/>
  <c r="BH334" i="8"/>
  <c r="CJ333" i="8"/>
  <c r="CI333" i="8"/>
  <c r="CH333" i="8"/>
  <c r="CG333" i="8"/>
  <c r="CF333" i="8"/>
  <c r="CE333" i="8"/>
  <c r="CD333" i="8"/>
  <c r="CC333" i="8"/>
  <c r="CB333" i="8"/>
  <c r="CA333" i="8"/>
  <c r="BZ333" i="8"/>
  <c r="BY333" i="8"/>
  <c r="BX333" i="8"/>
  <c r="BW333" i="8"/>
  <c r="BV333" i="8"/>
  <c r="BU333" i="8"/>
  <c r="BT333" i="8"/>
  <c r="BS333" i="8"/>
  <c r="BR333" i="8"/>
  <c r="BQ333" i="8"/>
  <c r="BP333" i="8"/>
  <c r="BO333" i="8"/>
  <c r="BN333" i="8"/>
  <c r="BM333" i="8"/>
  <c r="BL333" i="8"/>
  <c r="BK333" i="8"/>
  <c r="BJ333" i="8"/>
  <c r="BI333" i="8"/>
  <c r="BH333" i="8"/>
  <c r="CJ332" i="8"/>
  <c r="CI332" i="8"/>
  <c r="CH332" i="8"/>
  <c r="CG332" i="8"/>
  <c r="CF332" i="8"/>
  <c r="CE332" i="8"/>
  <c r="CD332" i="8"/>
  <c r="CC332" i="8"/>
  <c r="CB332" i="8"/>
  <c r="CA332" i="8"/>
  <c r="BZ332" i="8"/>
  <c r="BY332" i="8"/>
  <c r="BX332" i="8"/>
  <c r="BW332" i="8"/>
  <c r="BV332" i="8"/>
  <c r="BU332" i="8"/>
  <c r="BT332" i="8"/>
  <c r="BS332" i="8"/>
  <c r="BR332" i="8"/>
  <c r="BQ332" i="8"/>
  <c r="BP332" i="8"/>
  <c r="BO332" i="8"/>
  <c r="BN332" i="8"/>
  <c r="BM332" i="8"/>
  <c r="BL332" i="8"/>
  <c r="BK332" i="8"/>
  <c r="BJ332" i="8"/>
  <c r="BI332" i="8"/>
  <c r="BH332" i="8"/>
  <c r="CJ331" i="8"/>
  <c r="CI331" i="8"/>
  <c r="CH331" i="8"/>
  <c r="CG331" i="8"/>
  <c r="CF331" i="8"/>
  <c r="CE331" i="8"/>
  <c r="CD331" i="8"/>
  <c r="CC331" i="8"/>
  <c r="CB331" i="8"/>
  <c r="CA331" i="8"/>
  <c r="BZ331" i="8"/>
  <c r="BY331" i="8"/>
  <c r="BX331" i="8"/>
  <c r="BW331" i="8"/>
  <c r="BV331" i="8"/>
  <c r="BU331" i="8"/>
  <c r="BT331" i="8"/>
  <c r="BS331" i="8"/>
  <c r="BR331" i="8"/>
  <c r="BQ331" i="8"/>
  <c r="BP331" i="8"/>
  <c r="BO331" i="8"/>
  <c r="BN331" i="8"/>
  <c r="BM331" i="8"/>
  <c r="BL331" i="8"/>
  <c r="BK331" i="8"/>
  <c r="BJ331" i="8"/>
  <c r="BI331" i="8"/>
  <c r="BH331" i="8"/>
  <c r="CJ330" i="8"/>
  <c r="CI330" i="8"/>
  <c r="CH330" i="8"/>
  <c r="CG330" i="8"/>
  <c r="CF330" i="8"/>
  <c r="CE330" i="8"/>
  <c r="CD330" i="8"/>
  <c r="CC330" i="8"/>
  <c r="CB330" i="8"/>
  <c r="CA330" i="8"/>
  <c r="BZ330" i="8"/>
  <c r="BY330" i="8"/>
  <c r="BX330" i="8"/>
  <c r="BW330" i="8"/>
  <c r="BV330" i="8"/>
  <c r="BU330" i="8"/>
  <c r="BT330" i="8"/>
  <c r="BS330" i="8"/>
  <c r="BR330" i="8"/>
  <c r="BQ330" i="8"/>
  <c r="BP330" i="8"/>
  <c r="BO330" i="8"/>
  <c r="BN330" i="8"/>
  <c r="BM330" i="8"/>
  <c r="BL330" i="8"/>
  <c r="BK330" i="8"/>
  <c r="BJ330" i="8"/>
  <c r="BI330" i="8"/>
  <c r="BH330" i="8"/>
  <c r="CJ329" i="8"/>
  <c r="CI329" i="8"/>
  <c r="CH329" i="8"/>
  <c r="CG329" i="8"/>
  <c r="CF329" i="8"/>
  <c r="CE329" i="8"/>
  <c r="CD329" i="8"/>
  <c r="CC329" i="8"/>
  <c r="CB329" i="8"/>
  <c r="CA329" i="8"/>
  <c r="BZ329" i="8"/>
  <c r="BY329" i="8"/>
  <c r="BX329" i="8"/>
  <c r="BW329" i="8"/>
  <c r="BV329" i="8"/>
  <c r="BU329" i="8"/>
  <c r="BT329" i="8"/>
  <c r="BS329" i="8"/>
  <c r="BR329" i="8"/>
  <c r="BQ329" i="8"/>
  <c r="BP329" i="8"/>
  <c r="BO329" i="8"/>
  <c r="BN329" i="8"/>
  <c r="BM329" i="8"/>
  <c r="BL329" i="8"/>
  <c r="BK329" i="8"/>
  <c r="BJ329" i="8"/>
  <c r="BI329" i="8"/>
  <c r="BH329" i="8"/>
  <c r="CJ328" i="8"/>
  <c r="CI328" i="8"/>
  <c r="CH328" i="8"/>
  <c r="CG328" i="8"/>
  <c r="CF328" i="8"/>
  <c r="CE328" i="8"/>
  <c r="CD328" i="8"/>
  <c r="CC328" i="8"/>
  <c r="CB328" i="8"/>
  <c r="CA328" i="8"/>
  <c r="BZ328" i="8"/>
  <c r="BY328" i="8"/>
  <c r="BX328" i="8"/>
  <c r="BW328" i="8"/>
  <c r="BV328" i="8"/>
  <c r="BU328" i="8"/>
  <c r="BT328" i="8"/>
  <c r="BS328" i="8"/>
  <c r="BR328" i="8"/>
  <c r="BQ328" i="8"/>
  <c r="BP328" i="8"/>
  <c r="BO328" i="8"/>
  <c r="BN328" i="8"/>
  <c r="BM328" i="8"/>
  <c r="BL328" i="8"/>
  <c r="BK328" i="8"/>
  <c r="BJ328" i="8"/>
  <c r="BI328" i="8"/>
  <c r="BH328" i="8"/>
  <c r="CJ327" i="8"/>
  <c r="CI327" i="8"/>
  <c r="CH327" i="8"/>
  <c r="CG327" i="8"/>
  <c r="CF327" i="8"/>
  <c r="CE327" i="8"/>
  <c r="CD327" i="8"/>
  <c r="CC327" i="8"/>
  <c r="CB327" i="8"/>
  <c r="CA327" i="8"/>
  <c r="BZ327" i="8"/>
  <c r="BY327" i="8"/>
  <c r="BX327" i="8"/>
  <c r="BW327" i="8"/>
  <c r="BV327" i="8"/>
  <c r="BU327" i="8"/>
  <c r="BT327" i="8"/>
  <c r="BS327" i="8"/>
  <c r="BR327" i="8"/>
  <c r="BQ327" i="8"/>
  <c r="BP327" i="8"/>
  <c r="BO327" i="8"/>
  <c r="BN327" i="8"/>
  <c r="BM327" i="8"/>
  <c r="BL327" i="8"/>
  <c r="BK327" i="8"/>
  <c r="BJ327" i="8"/>
  <c r="BI327" i="8"/>
  <c r="BH327" i="8"/>
  <c r="CJ326" i="8"/>
  <c r="CI326" i="8"/>
  <c r="CH326" i="8"/>
  <c r="CG326" i="8"/>
  <c r="CF326" i="8"/>
  <c r="CE326" i="8"/>
  <c r="CD326" i="8"/>
  <c r="CC326" i="8"/>
  <c r="CB326" i="8"/>
  <c r="CA326" i="8"/>
  <c r="BZ326" i="8"/>
  <c r="BY326" i="8"/>
  <c r="BX326" i="8"/>
  <c r="BW326" i="8"/>
  <c r="BV326" i="8"/>
  <c r="BU326" i="8"/>
  <c r="BT326" i="8"/>
  <c r="BS326" i="8"/>
  <c r="BR326" i="8"/>
  <c r="BQ326" i="8"/>
  <c r="BP326" i="8"/>
  <c r="BO326" i="8"/>
  <c r="BN326" i="8"/>
  <c r="BM326" i="8"/>
  <c r="BL326" i="8"/>
  <c r="BK326" i="8"/>
  <c r="BJ326" i="8"/>
  <c r="BI326" i="8"/>
  <c r="BH326" i="8"/>
  <c r="CJ325" i="8"/>
  <c r="CI325" i="8"/>
  <c r="CH325" i="8"/>
  <c r="CG325" i="8"/>
  <c r="CF325" i="8"/>
  <c r="CE325" i="8"/>
  <c r="CD325" i="8"/>
  <c r="CC325" i="8"/>
  <c r="CB325" i="8"/>
  <c r="CA325" i="8"/>
  <c r="BZ325" i="8"/>
  <c r="BY325" i="8"/>
  <c r="BX325" i="8"/>
  <c r="BW325" i="8"/>
  <c r="BV325" i="8"/>
  <c r="BU325" i="8"/>
  <c r="BT325" i="8"/>
  <c r="BS325" i="8"/>
  <c r="BR325" i="8"/>
  <c r="BQ325" i="8"/>
  <c r="BP325" i="8"/>
  <c r="BO325" i="8"/>
  <c r="BN325" i="8"/>
  <c r="BM325" i="8"/>
  <c r="BL325" i="8"/>
  <c r="BK325" i="8"/>
  <c r="BJ325" i="8"/>
  <c r="BI325" i="8"/>
  <c r="BH325" i="8"/>
  <c r="CJ324" i="8"/>
  <c r="CI324" i="8"/>
  <c r="CH324" i="8"/>
  <c r="CG324" i="8"/>
  <c r="CF324" i="8"/>
  <c r="CE324" i="8"/>
  <c r="CD324" i="8"/>
  <c r="CC324" i="8"/>
  <c r="CB324" i="8"/>
  <c r="CA324" i="8"/>
  <c r="BZ324" i="8"/>
  <c r="BY324" i="8"/>
  <c r="BX324" i="8"/>
  <c r="BW324" i="8"/>
  <c r="BV324" i="8"/>
  <c r="BU324" i="8"/>
  <c r="BT324" i="8"/>
  <c r="BS324" i="8"/>
  <c r="BR324" i="8"/>
  <c r="BQ324" i="8"/>
  <c r="BP324" i="8"/>
  <c r="BO324" i="8"/>
  <c r="BN324" i="8"/>
  <c r="BM324" i="8"/>
  <c r="BL324" i="8"/>
  <c r="BK324" i="8"/>
  <c r="BJ324" i="8"/>
  <c r="BI324" i="8"/>
  <c r="BH324" i="8"/>
  <c r="CJ323" i="8"/>
  <c r="CI323" i="8"/>
  <c r="CH323" i="8"/>
  <c r="CG323" i="8"/>
  <c r="CF323" i="8"/>
  <c r="CE323" i="8"/>
  <c r="CD323" i="8"/>
  <c r="CC323" i="8"/>
  <c r="CB323" i="8"/>
  <c r="CA323" i="8"/>
  <c r="BZ323" i="8"/>
  <c r="BY323" i="8"/>
  <c r="BX323" i="8"/>
  <c r="BW323" i="8"/>
  <c r="BV323" i="8"/>
  <c r="BU323" i="8"/>
  <c r="BT323" i="8"/>
  <c r="BS323" i="8"/>
  <c r="BR323" i="8"/>
  <c r="BQ323" i="8"/>
  <c r="BP323" i="8"/>
  <c r="BO323" i="8"/>
  <c r="BN323" i="8"/>
  <c r="BM323" i="8"/>
  <c r="BL323" i="8"/>
  <c r="BK323" i="8"/>
  <c r="BJ323" i="8"/>
  <c r="BI323" i="8"/>
  <c r="BH323" i="8"/>
  <c r="CJ322" i="8"/>
  <c r="CI322" i="8"/>
  <c r="CH322" i="8"/>
  <c r="CG322" i="8"/>
  <c r="CF322" i="8"/>
  <c r="CE322" i="8"/>
  <c r="CD322" i="8"/>
  <c r="CC322" i="8"/>
  <c r="CB322" i="8"/>
  <c r="CA322" i="8"/>
  <c r="BZ322" i="8"/>
  <c r="BY322" i="8"/>
  <c r="BX322" i="8"/>
  <c r="BW322" i="8"/>
  <c r="BV322" i="8"/>
  <c r="BU322" i="8"/>
  <c r="BT322" i="8"/>
  <c r="BS322" i="8"/>
  <c r="BR322" i="8"/>
  <c r="BQ322" i="8"/>
  <c r="BP322" i="8"/>
  <c r="BO322" i="8"/>
  <c r="BN322" i="8"/>
  <c r="BM322" i="8"/>
  <c r="BL322" i="8"/>
  <c r="BK322" i="8"/>
  <c r="BJ322" i="8"/>
  <c r="BI322" i="8"/>
  <c r="BH322" i="8"/>
  <c r="CJ321" i="8"/>
  <c r="CI321" i="8"/>
  <c r="CH321" i="8"/>
  <c r="CG321" i="8"/>
  <c r="CF321" i="8"/>
  <c r="CE321" i="8"/>
  <c r="CD321" i="8"/>
  <c r="CC321" i="8"/>
  <c r="CB321" i="8"/>
  <c r="CA321" i="8"/>
  <c r="BZ321" i="8"/>
  <c r="BY321" i="8"/>
  <c r="BX321" i="8"/>
  <c r="BW321" i="8"/>
  <c r="BV321" i="8"/>
  <c r="BU321" i="8"/>
  <c r="BT321" i="8"/>
  <c r="BS321" i="8"/>
  <c r="BR321" i="8"/>
  <c r="BQ321" i="8"/>
  <c r="BP321" i="8"/>
  <c r="BO321" i="8"/>
  <c r="BN321" i="8"/>
  <c r="BM321" i="8"/>
  <c r="BL321" i="8"/>
  <c r="BK321" i="8"/>
  <c r="BJ321" i="8"/>
  <c r="BI321" i="8"/>
  <c r="BH321" i="8"/>
  <c r="CJ320" i="8"/>
  <c r="CI320" i="8"/>
  <c r="CH320" i="8"/>
  <c r="CG320" i="8"/>
  <c r="CF320" i="8"/>
  <c r="CE320" i="8"/>
  <c r="CD320" i="8"/>
  <c r="CC320" i="8"/>
  <c r="CB320" i="8"/>
  <c r="CA320" i="8"/>
  <c r="BZ320" i="8"/>
  <c r="BY320" i="8"/>
  <c r="BX320" i="8"/>
  <c r="BW320" i="8"/>
  <c r="BV320" i="8"/>
  <c r="BU320" i="8"/>
  <c r="BT320" i="8"/>
  <c r="BS320" i="8"/>
  <c r="BR320" i="8"/>
  <c r="BQ320" i="8"/>
  <c r="BP320" i="8"/>
  <c r="BO320" i="8"/>
  <c r="BN320" i="8"/>
  <c r="BM320" i="8"/>
  <c r="BL320" i="8"/>
  <c r="BK320" i="8"/>
  <c r="BJ320" i="8"/>
  <c r="BI320" i="8"/>
  <c r="BH320" i="8"/>
  <c r="CJ319" i="8"/>
  <c r="CI319" i="8"/>
  <c r="CH319" i="8"/>
  <c r="CG319" i="8"/>
  <c r="CF319" i="8"/>
  <c r="CE319" i="8"/>
  <c r="CD319" i="8"/>
  <c r="CC319" i="8"/>
  <c r="CB319" i="8"/>
  <c r="CA319" i="8"/>
  <c r="BZ319" i="8"/>
  <c r="BY319" i="8"/>
  <c r="BX319" i="8"/>
  <c r="BW319" i="8"/>
  <c r="BV319" i="8"/>
  <c r="BU319" i="8"/>
  <c r="BT319" i="8"/>
  <c r="BS319" i="8"/>
  <c r="BR319" i="8"/>
  <c r="BQ319" i="8"/>
  <c r="BP319" i="8"/>
  <c r="BO319" i="8"/>
  <c r="BN319" i="8"/>
  <c r="BM319" i="8"/>
  <c r="BL319" i="8"/>
  <c r="BK319" i="8"/>
  <c r="BJ319" i="8"/>
  <c r="BI319" i="8"/>
  <c r="BH319" i="8"/>
  <c r="CJ318" i="8"/>
  <c r="CI318" i="8"/>
  <c r="CH318" i="8"/>
  <c r="CG318" i="8"/>
  <c r="CF318" i="8"/>
  <c r="CE318" i="8"/>
  <c r="CD318" i="8"/>
  <c r="CC318" i="8"/>
  <c r="CB318" i="8"/>
  <c r="CA318" i="8"/>
  <c r="BZ318" i="8"/>
  <c r="BY318" i="8"/>
  <c r="BX318" i="8"/>
  <c r="BW318" i="8"/>
  <c r="BV318" i="8"/>
  <c r="BU318" i="8"/>
  <c r="BT318" i="8"/>
  <c r="BS318" i="8"/>
  <c r="BR318" i="8"/>
  <c r="BQ318" i="8"/>
  <c r="BP318" i="8"/>
  <c r="BO318" i="8"/>
  <c r="BN318" i="8"/>
  <c r="BM318" i="8"/>
  <c r="BL318" i="8"/>
  <c r="BK318" i="8"/>
  <c r="BJ318" i="8"/>
  <c r="BI318" i="8"/>
  <c r="BH318" i="8"/>
  <c r="CJ317" i="8"/>
  <c r="CI317" i="8"/>
  <c r="CH317" i="8"/>
  <c r="CG317" i="8"/>
  <c r="CF317" i="8"/>
  <c r="CE317" i="8"/>
  <c r="CD317" i="8"/>
  <c r="CC317" i="8"/>
  <c r="CB317" i="8"/>
  <c r="CA317" i="8"/>
  <c r="BZ317" i="8"/>
  <c r="BY317" i="8"/>
  <c r="BX317" i="8"/>
  <c r="BW317" i="8"/>
  <c r="BV317" i="8"/>
  <c r="BU317" i="8"/>
  <c r="BT317" i="8"/>
  <c r="BS317" i="8"/>
  <c r="BR317" i="8"/>
  <c r="BQ317" i="8"/>
  <c r="BP317" i="8"/>
  <c r="BO317" i="8"/>
  <c r="BN317" i="8"/>
  <c r="BM317" i="8"/>
  <c r="BL317" i="8"/>
  <c r="BK317" i="8"/>
  <c r="BJ317" i="8"/>
  <c r="BI317" i="8"/>
  <c r="BH317" i="8"/>
  <c r="CJ316" i="8"/>
  <c r="CI316" i="8"/>
  <c r="CH316" i="8"/>
  <c r="CG316" i="8"/>
  <c r="CF316" i="8"/>
  <c r="CE316" i="8"/>
  <c r="CD316" i="8"/>
  <c r="CC316" i="8"/>
  <c r="CB316" i="8"/>
  <c r="CA316" i="8"/>
  <c r="BZ316" i="8"/>
  <c r="BY316" i="8"/>
  <c r="BX316" i="8"/>
  <c r="BW316" i="8"/>
  <c r="BV316" i="8"/>
  <c r="BU316" i="8"/>
  <c r="BT316" i="8"/>
  <c r="BS316" i="8"/>
  <c r="BR316" i="8"/>
  <c r="BQ316" i="8"/>
  <c r="BP316" i="8"/>
  <c r="BO316" i="8"/>
  <c r="BN316" i="8"/>
  <c r="BM316" i="8"/>
  <c r="BL316" i="8"/>
  <c r="BK316" i="8"/>
  <c r="BJ316" i="8"/>
  <c r="BI316" i="8"/>
  <c r="BH316" i="8"/>
  <c r="CJ315" i="8"/>
  <c r="CI315" i="8"/>
  <c r="CH315" i="8"/>
  <c r="CG315" i="8"/>
  <c r="CF315" i="8"/>
  <c r="CE315" i="8"/>
  <c r="CD315" i="8"/>
  <c r="CC315" i="8"/>
  <c r="CB315" i="8"/>
  <c r="CA315" i="8"/>
  <c r="BZ315" i="8"/>
  <c r="BY315" i="8"/>
  <c r="BX315" i="8"/>
  <c r="BW315" i="8"/>
  <c r="BV315" i="8"/>
  <c r="BU315" i="8"/>
  <c r="BT315" i="8"/>
  <c r="BS315" i="8"/>
  <c r="BR315" i="8"/>
  <c r="BQ315" i="8"/>
  <c r="BP315" i="8"/>
  <c r="BO315" i="8"/>
  <c r="BN315" i="8"/>
  <c r="BM315" i="8"/>
  <c r="BL315" i="8"/>
  <c r="BK315" i="8"/>
  <c r="BJ315" i="8"/>
  <c r="BI315" i="8"/>
  <c r="BH315" i="8"/>
  <c r="CJ314" i="8"/>
  <c r="CI314" i="8"/>
  <c r="CH314" i="8"/>
  <c r="CG314" i="8"/>
  <c r="CF314" i="8"/>
  <c r="CE314" i="8"/>
  <c r="CD314" i="8"/>
  <c r="CC314" i="8"/>
  <c r="CB314" i="8"/>
  <c r="CA314" i="8"/>
  <c r="BZ314" i="8"/>
  <c r="BY314" i="8"/>
  <c r="BX314" i="8"/>
  <c r="BW314" i="8"/>
  <c r="BV314" i="8"/>
  <c r="BU314" i="8"/>
  <c r="BT314" i="8"/>
  <c r="BS314" i="8"/>
  <c r="BR314" i="8"/>
  <c r="BQ314" i="8"/>
  <c r="BP314" i="8"/>
  <c r="BO314" i="8"/>
  <c r="BN314" i="8"/>
  <c r="BM314" i="8"/>
  <c r="BL314" i="8"/>
  <c r="BK314" i="8"/>
  <c r="BJ314" i="8"/>
  <c r="BI314" i="8"/>
  <c r="BH314" i="8"/>
  <c r="CJ313" i="8"/>
  <c r="CI313" i="8"/>
  <c r="CH313" i="8"/>
  <c r="CG313" i="8"/>
  <c r="CF313" i="8"/>
  <c r="CE313" i="8"/>
  <c r="CD313" i="8"/>
  <c r="CC313" i="8"/>
  <c r="CB313" i="8"/>
  <c r="CA313" i="8"/>
  <c r="BZ313" i="8"/>
  <c r="BY313" i="8"/>
  <c r="BX313" i="8"/>
  <c r="BW313" i="8"/>
  <c r="BV313" i="8"/>
  <c r="BU313" i="8"/>
  <c r="BT313" i="8"/>
  <c r="BS313" i="8"/>
  <c r="BR313" i="8"/>
  <c r="BQ313" i="8"/>
  <c r="BP313" i="8"/>
  <c r="BO313" i="8"/>
  <c r="BN313" i="8"/>
  <c r="BM313" i="8"/>
  <c r="BL313" i="8"/>
  <c r="BK313" i="8"/>
  <c r="BJ313" i="8"/>
  <c r="BI313" i="8"/>
  <c r="BH313" i="8"/>
  <c r="CJ312" i="8"/>
  <c r="CI312" i="8"/>
  <c r="CH312" i="8"/>
  <c r="CG312" i="8"/>
  <c r="CF312" i="8"/>
  <c r="CE312" i="8"/>
  <c r="CD312" i="8"/>
  <c r="CC312" i="8"/>
  <c r="CB312" i="8"/>
  <c r="CA312" i="8"/>
  <c r="BZ312" i="8"/>
  <c r="BY312" i="8"/>
  <c r="BX312" i="8"/>
  <c r="BW312" i="8"/>
  <c r="BV312" i="8"/>
  <c r="BU312" i="8"/>
  <c r="BT312" i="8"/>
  <c r="BS312" i="8"/>
  <c r="BR312" i="8"/>
  <c r="BQ312" i="8"/>
  <c r="BP312" i="8"/>
  <c r="BO312" i="8"/>
  <c r="BN312" i="8"/>
  <c r="BM312" i="8"/>
  <c r="BL312" i="8"/>
  <c r="BK312" i="8"/>
  <c r="BJ312" i="8"/>
  <c r="BI312" i="8"/>
  <c r="BH312" i="8"/>
  <c r="CJ311" i="8"/>
  <c r="CI311" i="8"/>
  <c r="CH311" i="8"/>
  <c r="CG311" i="8"/>
  <c r="CF311" i="8"/>
  <c r="CE311" i="8"/>
  <c r="CD311" i="8"/>
  <c r="CC311" i="8"/>
  <c r="CB311" i="8"/>
  <c r="CA311" i="8"/>
  <c r="BZ311" i="8"/>
  <c r="BY311" i="8"/>
  <c r="BX311" i="8"/>
  <c r="BW311" i="8"/>
  <c r="BV311" i="8"/>
  <c r="BU311" i="8"/>
  <c r="BT311" i="8"/>
  <c r="BS311" i="8"/>
  <c r="BR311" i="8"/>
  <c r="BQ311" i="8"/>
  <c r="BP311" i="8"/>
  <c r="BO311" i="8"/>
  <c r="BN311" i="8"/>
  <c r="BM311" i="8"/>
  <c r="BL311" i="8"/>
  <c r="BK311" i="8"/>
  <c r="BJ311" i="8"/>
  <c r="BI311" i="8"/>
  <c r="BH311" i="8"/>
  <c r="CJ298" i="8"/>
  <c r="CI298" i="8"/>
  <c r="CH298" i="8"/>
  <c r="CG298" i="8"/>
  <c r="CF298" i="8"/>
  <c r="CE298" i="8"/>
  <c r="CD298" i="8"/>
  <c r="CC298" i="8"/>
  <c r="CB298" i="8"/>
  <c r="CA298" i="8"/>
  <c r="BZ298" i="8"/>
  <c r="BY298" i="8"/>
  <c r="BX298" i="8"/>
  <c r="BW298" i="8"/>
  <c r="BV298" i="8"/>
  <c r="BU298" i="8"/>
  <c r="BT298" i="8"/>
  <c r="BS298" i="8"/>
  <c r="BR298" i="8"/>
  <c r="BQ298" i="8"/>
  <c r="BP298" i="8"/>
  <c r="BO298" i="8"/>
  <c r="BN298" i="8"/>
  <c r="BM298" i="8"/>
  <c r="BL298" i="8"/>
  <c r="BK298" i="8"/>
  <c r="BJ298" i="8"/>
  <c r="BI298" i="8"/>
  <c r="BH298" i="8"/>
  <c r="CJ297" i="8"/>
  <c r="CI297" i="8"/>
  <c r="CH297" i="8"/>
  <c r="CG297" i="8"/>
  <c r="CF297" i="8"/>
  <c r="CE297" i="8"/>
  <c r="CD297" i="8"/>
  <c r="CC297" i="8"/>
  <c r="CB297" i="8"/>
  <c r="CA297" i="8"/>
  <c r="BZ297" i="8"/>
  <c r="BY297" i="8"/>
  <c r="BX297" i="8"/>
  <c r="BW297" i="8"/>
  <c r="BV297" i="8"/>
  <c r="BU297" i="8"/>
  <c r="BT297" i="8"/>
  <c r="BS297" i="8"/>
  <c r="BR297" i="8"/>
  <c r="BQ297" i="8"/>
  <c r="BP297" i="8"/>
  <c r="BO297" i="8"/>
  <c r="BN297" i="8"/>
  <c r="BM297" i="8"/>
  <c r="BL297" i="8"/>
  <c r="BK297" i="8"/>
  <c r="BJ297" i="8"/>
  <c r="BI297" i="8"/>
  <c r="BH297" i="8"/>
  <c r="CJ296" i="8"/>
  <c r="CI296" i="8"/>
  <c r="CH296" i="8"/>
  <c r="CG296" i="8"/>
  <c r="CF296" i="8"/>
  <c r="CE296" i="8"/>
  <c r="CD296" i="8"/>
  <c r="CC296" i="8"/>
  <c r="CB296" i="8"/>
  <c r="CA296" i="8"/>
  <c r="BZ296" i="8"/>
  <c r="BY296" i="8"/>
  <c r="BX296" i="8"/>
  <c r="BW296" i="8"/>
  <c r="BV296" i="8"/>
  <c r="BU296" i="8"/>
  <c r="BT296" i="8"/>
  <c r="BS296" i="8"/>
  <c r="BR296" i="8"/>
  <c r="BQ296" i="8"/>
  <c r="BP296" i="8"/>
  <c r="BO296" i="8"/>
  <c r="BN296" i="8"/>
  <c r="BM296" i="8"/>
  <c r="BL296" i="8"/>
  <c r="BK296" i="8"/>
  <c r="BJ296" i="8"/>
  <c r="BI296" i="8"/>
  <c r="BH296" i="8"/>
  <c r="CJ295" i="8"/>
  <c r="CI295" i="8"/>
  <c r="CH295" i="8"/>
  <c r="CG295" i="8"/>
  <c r="CF295" i="8"/>
  <c r="CE295" i="8"/>
  <c r="CD295" i="8"/>
  <c r="CC295" i="8"/>
  <c r="CB295" i="8"/>
  <c r="CA295" i="8"/>
  <c r="BZ295" i="8"/>
  <c r="BY295" i="8"/>
  <c r="BX295" i="8"/>
  <c r="BW295" i="8"/>
  <c r="BV295" i="8"/>
  <c r="BU295" i="8"/>
  <c r="BT295" i="8"/>
  <c r="BS295" i="8"/>
  <c r="BR295" i="8"/>
  <c r="BQ295" i="8"/>
  <c r="BP295" i="8"/>
  <c r="BO295" i="8"/>
  <c r="BN295" i="8"/>
  <c r="BM295" i="8"/>
  <c r="BL295" i="8"/>
  <c r="BK295" i="8"/>
  <c r="BJ295" i="8"/>
  <c r="BI295" i="8"/>
  <c r="BH295" i="8"/>
  <c r="CJ294" i="8"/>
  <c r="CI294" i="8"/>
  <c r="CH294" i="8"/>
  <c r="CG294" i="8"/>
  <c r="CF294" i="8"/>
  <c r="CE294" i="8"/>
  <c r="CD294" i="8"/>
  <c r="CC294" i="8"/>
  <c r="CB294" i="8"/>
  <c r="CA294" i="8"/>
  <c r="BZ294" i="8"/>
  <c r="BY294" i="8"/>
  <c r="BX294" i="8"/>
  <c r="BW294" i="8"/>
  <c r="BV294" i="8"/>
  <c r="BU294" i="8"/>
  <c r="BT294" i="8"/>
  <c r="BS294" i="8"/>
  <c r="BR294" i="8"/>
  <c r="BQ294" i="8"/>
  <c r="BP294" i="8"/>
  <c r="BO294" i="8"/>
  <c r="BN294" i="8"/>
  <c r="BM294" i="8"/>
  <c r="BL294" i="8"/>
  <c r="BK294" i="8"/>
  <c r="BJ294" i="8"/>
  <c r="BI294" i="8"/>
  <c r="BH294" i="8"/>
  <c r="CJ293" i="8"/>
  <c r="CI293" i="8"/>
  <c r="CH293" i="8"/>
  <c r="CG293" i="8"/>
  <c r="CF293" i="8"/>
  <c r="CE293" i="8"/>
  <c r="CD293" i="8"/>
  <c r="CC293" i="8"/>
  <c r="CB293" i="8"/>
  <c r="CA293" i="8"/>
  <c r="BZ293" i="8"/>
  <c r="BY293" i="8"/>
  <c r="BX293" i="8"/>
  <c r="BW293" i="8"/>
  <c r="BV293" i="8"/>
  <c r="BU293" i="8"/>
  <c r="BT293" i="8"/>
  <c r="BS293" i="8"/>
  <c r="BR293" i="8"/>
  <c r="BQ293" i="8"/>
  <c r="BP293" i="8"/>
  <c r="BO293" i="8"/>
  <c r="BN293" i="8"/>
  <c r="BM293" i="8"/>
  <c r="BL293" i="8"/>
  <c r="BK293" i="8"/>
  <c r="BJ293" i="8"/>
  <c r="BI293" i="8"/>
  <c r="BH293" i="8"/>
  <c r="CJ292" i="8"/>
  <c r="CI292" i="8"/>
  <c r="CH292" i="8"/>
  <c r="CG292" i="8"/>
  <c r="CF292" i="8"/>
  <c r="CE292" i="8"/>
  <c r="CD292" i="8"/>
  <c r="CC292" i="8"/>
  <c r="CB292" i="8"/>
  <c r="CA292" i="8"/>
  <c r="BZ292" i="8"/>
  <c r="BY292" i="8"/>
  <c r="BX292" i="8"/>
  <c r="BW292" i="8"/>
  <c r="BV292" i="8"/>
  <c r="BU292" i="8"/>
  <c r="BT292" i="8"/>
  <c r="BS292" i="8"/>
  <c r="BR292" i="8"/>
  <c r="BQ292" i="8"/>
  <c r="BP292" i="8"/>
  <c r="BO292" i="8"/>
  <c r="BN292" i="8"/>
  <c r="BM292" i="8"/>
  <c r="BL292" i="8"/>
  <c r="BK292" i="8"/>
  <c r="BJ292" i="8"/>
  <c r="BI292" i="8"/>
  <c r="BH292" i="8"/>
  <c r="CJ291" i="8"/>
  <c r="CI291" i="8"/>
  <c r="CH291" i="8"/>
  <c r="CG291" i="8"/>
  <c r="CF291" i="8"/>
  <c r="CE291" i="8"/>
  <c r="CD291" i="8"/>
  <c r="CC291" i="8"/>
  <c r="CB291" i="8"/>
  <c r="CA291" i="8"/>
  <c r="BZ291" i="8"/>
  <c r="BY291" i="8"/>
  <c r="BX291" i="8"/>
  <c r="BW291" i="8"/>
  <c r="BV291" i="8"/>
  <c r="BU291" i="8"/>
  <c r="BT291" i="8"/>
  <c r="BS291" i="8"/>
  <c r="BR291" i="8"/>
  <c r="BQ291" i="8"/>
  <c r="BP291" i="8"/>
  <c r="BO291" i="8"/>
  <c r="BN291" i="8"/>
  <c r="BM291" i="8"/>
  <c r="BL291" i="8"/>
  <c r="BK291" i="8"/>
  <c r="BJ291" i="8"/>
  <c r="BI291" i="8"/>
  <c r="BH291" i="8"/>
  <c r="CJ290" i="8"/>
  <c r="CI290" i="8"/>
  <c r="CH290" i="8"/>
  <c r="CG290" i="8"/>
  <c r="CF290" i="8"/>
  <c r="CE290" i="8"/>
  <c r="CD290" i="8"/>
  <c r="CC290" i="8"/>
  <c r="CB290" i="8"/>
  <c r="CA290" i="8"/>
  <c r="BZ290" i="8"/>
  <c r="BY290" i="8"/>
  <c r="BX290" i="8"/>
  <c r="BW290" i="8"/>
  <c r="BV290" i="8"/>
  <c r="BU290" i="8"/>
  <c r="BT290" i="8"/>
  <c r="BS290" i="8"/>
  <c r="BR290" i="8"/>
  <c r="BQ290" i="8"/>
  <c r="BP290" i="8"/>
  <c r="BO290" i="8"/>
  <c r="BN290" i="8"/>
  <c r="BM290" i="8"/>
  <c r="BL290" i="8"/>
  <c r="BK290" i="8"/>
  <c r="BJ290" i="8"/>
  <c r="BI290" i="8"/>
  <c r="BH290" i="8"/>
  <c r="CJ289" i="8"/>
  <c r="CI289" i="8"/>
  <c r="CH289" i="8"/>
  <c r="CG289" i="8"/>
  <c r="CF289" i="8"/>
  <c r="CE289" i="8"/>
  <c r="CD289" i="8"/>
  <c r="CC289" i="8"/>
  <c r="CB289" i="8"/>
  <c r="CA289" i="8"/>
  <c r="BZ289" i="8"/>
  <c r="BY289" i="8"/>
  <c r="BX289" i="8"/>
  <c r="BW289" i="8"/>
  <c r="BV289" i="8"/>
  <c r="BU289" i="8"/>
  <c r="BT289" i="8"/>
  <c r="BS289" i="8"/>
  <c r="BR289" i="8"/>
  <c r="BQ289" i="8"/>
  <c r="BP289" i="8"/>
  <c r="BO289" i="8"/>
  <c r="BN289" i="8"/>
  <c r="BM289" i="8"/>
  <c r="BL289" i="8"/>
  <c r="BK289" i="8"/>
  <c r="BJ289" i="8"/>
  <c r="BI289" i="8"/>
  <c r="BH289" i="8"/>
  <c r="CJ288" i="8"/>
  <c r="CI288" i="8"/>
  <c r="CH288" i="8"/>
  <c r="CG288" i="8"/>
  <c r="CF288" i="8"/>
  <c r="CE288" i="8"/>
  <c r="CD288" i="8"/>
  <c r="CC288" i="8"/>
  <c r="CB288" i="8"/>
  <c r="CA288" i="8"/>
  <c r="BZ288" i="8"/>
  <c r="BY288" i="8"/>
  <c r="BX288" i="8"/>
  <c r="BW288" i="8"/>
  <c r="BV288" i="8"/>
  <c r="BU288" i="8"/>
  <c r="BT288" i="8"/>
  <c r="BS288" i="8"/>
  <c r="BR288" i="8"/>
  <c r="BQ288" i="8"/>
  <c r="BP288" i="8"/>
  <c r="BO288" i="8"/>
  <c r="BN288" i="8"/>
  <c r="BM288" i="8"/>
  <c r="BL288" i="8"/>
  <c r="BK288" i="8"/>
  <c r="BJ288" i="8"/>
  <c r="BI288" i="8"/>
  <c r="BH288" i="8"/>
  <c r="CJ287" i="8"/>
  <c r="CI287" i="8"/>
  <c r="CH287" i="8"/>
  <c r="CG287" i="8"/>
  <c r="CF287" i="8"/>
  <c r="CE287" i="8"/>
  <c r="CD287" i="8"/>
  <c r="CC287" i="8"/>
  <c r="CB287" i="8"/>
  <c r="CA287" i="8"/>
  <c r="BZ287" i="8"/>
  <c r="BY287" i="8"/>
  <c r="BX287" i="8"/>
  <c r="BW287" i="8"/>
  <c r="BV287" i="8"/>
  <c r="BU287" i="8"/>
  <c r="BT287" i="8"/>
  <c r="BS287" i="8"/>
  <c r="BR287" i="8"/>
  <c r="BQ287" i="8"/>
  <c r="BP287" i="8"/>
  <c r="BO287" i="8"/>
  <c r="BN287" i="8"/>
  <c r="BM287" i="8"/>
  <c r="BL287" i="8"/>
  <c r="BK287" i="8"/>
  <c r="BJ287" i="8"/>
  <c r="BI287" i="8"/>
  <c r="BH287" i="8"/>
  <c r="CJ286" i="8"/>
  <c r="CI286" i="8"/>
  <c r="CH286" i="8"/>
  <c r="CG286" i="8"/>
  <c r="CF286" i="8"/>
  <c r="CE286" i="8"/>
  <c r="CD286" i="8"/>
  <c r="CC286" i="8"/>
  <c r="CB286" i="8"/>
  <c r="CA286" i="8"/>
  <c r="BZ286" i="8"/>
  <c r="BY286" i="8"/>
  <c r="BX286" i="8"/>
  <c r="BW286" i="8"/>
  <c r="BV286" i="8"/>
  <c r="BU286" i="8"/>
  <c r="BT286" i="8"/>
  <c r="BS286" i="8"/>
  <c r="BR286" i="8"/>
  <c r="BQ286" i="8"/>
  <c r="BP286" i="8"/>
  <c r="BO286" i="8"/>
  <c r="BN286" i="8"/>
  <c r="BM286" i="8"/>
  <c r="BL286" i="8"/>
  <c r="BK286" i="8"/>
  <c r="BJ286" i="8"/>
  <c r="BI286" i="8"/>
  <c r="BH286" i="8"/>
  <c r="CJ285" i="8"/>
  <c r="CI285" i="8"/>
  <c r="CH285" i="8"/>
  <c r="CG285" i="8"/>
  <c r="CF285" i="8"/>
  <c r="CE285" i="8"/>
  <c r="CD285" i="8"/>
  <c r="CC285" i="8"/>
  <c r="CB285" i="8"/>
  <c r="CA285" i="8"/>
  <c r="BZ285" i="8"/>
  <c r="BY285" i="8"/>
  <c r="BX285" i="8"/>
  <c r="BW285" i="8"/>
  <c r="BV285" i="8"/>
  <c r="BU285" i="8"/>
  <c r="BT285" i="8"/>
  <c r="BS285" i="8"/>
  <c r="BR285" i="8"/>
  <c r="BQ285" i="8"/>
  <c r="BP285" i="8"/>
  <c r="BO285" i="8"/>
  <c r="BN285" i="8"/>
  <c r="BM285" i="8"/>
  <c r="BL285" i="8"/>
  <c r="BK285" i="8"/>
  <c r="BJ285" i="8"/>
  <c r="BI285" i="8"/>
  <c r="BH285" i="8"/>
  <c r="CJ284" i="8"/>
  <c r="CI284" i="8"/>
  <c r="CH284" i="8"/>
  <c r="CG284" i="8"/>
  <c r="CF284" i="8"/>
  <c r="CE284" i="8"/>
  <c r="CD284" i="8"/>
  <c r="CC284" i="8"/>
  <c r="CB284" i="8"/>
  <c r="CA284" i="8"/>
  <c r="BZ284" i="8"/>
  <c r="BY284" i="8"/>
  <c r="BX284" i="8"/>
  <c r="BW284" i="8"/>
  <c r="BV284" i="8"/>
  <c r="BU284" i="8"/>
  <c r="BT284" i="8"/>
  <c r="BS284" i="8"/>
  <c r="BR284" i="8"/>
  <c r="BQ284" i="8"/>
  <c r="BP284" i="8"/>
  <c r="BO284" i="8"/>
  <c r="BN284" i="8"/>
  <c r="BM284" i="8"/>
  <c r="BL284" i="8"/>
  <c r="BK284" i="8"/>
  <c r="BJ284" i="8"/>
  <c r="BI284" i="8"/>
  <c r="BH284" i="8"/>
  <c r="CJ283" i="8"/>
  <c r="CI283" i="8"/>
  <c r="CH283" i="8"/>
  <c r="CG283" i="8"/>
  <c r="CF283" i="8"/>
  <c r="CE283" i="8"/>
  <c r="CD283" i="8"/>
  <c r="CC283" i="8"/>
  <c r="CB283" i="8"/>
  <c r="CA283" i="8"/>
  <c r="BZ283" i="8"/>
  <c r="BY283" i="8"/>
  <c r="BX283" i="8"/>
  <c r="BW283" i="8"/>
  <c r="BV283" i="8"/>
  <c r="BU283" i="8"/>
  <c r="BT283" i="8"/>
  <c r="BS283" i="8"/>
  <c r="BR283" i="8"/>
  <c r="BQ283" i="8"/>
  <c r="BP283" i="8"/>
  <c r="BO283" i="8"/>
  <c r="BN283" i="8"/>
  <c r="BM283" i="8"/>
  <c r="BL283" i="8"/>
  <c r="BK283" i="8"/>
  <c r="BJ283" i="8"/>
  <c r="BI283" i="8"/>
  <c r="BH283" i="8"/>
  <c r="CJ282" i="8"/>
  <c r="CI282" i="8"/>
  <c r="CH282" i="8"/>
  <c r="CG282" i="8"/>
  <c r="CF282" i="8"/>
  <c r="CE282" i="8"/>
  <c r="CD282" i="8"/>
  <c r="CC282" i="8"/>
  <c r="CB282" i="8"/>
  <c r="CA282" i="8"/>
  <c r="BZ282" i="8"/>
  <c r="BY282" i="8"/>
  <c r="BX282" i="8"/>
  <c r="BW282" i="8"/>
  <c r="BV282" i="8"/>
  <c r="BU282" i="8"/>
  <c r="BT282" i="8"/>
  <c r="BS282" i="8"/>
  <c r="BR282" i="8"/>
  <c r="BQ282" i="8"/>
  <c r="BP282" i="8"/>
  <c r="BO282" i="8"/>
  <c r="BN282" i="8"/>
  <c r="BM282" i="8"/>
  <c r="BL282" i="8"/>
  <c r="BK282" i="8"/>
  <c r="BJ282" i="8"/>
  <c r="BI282" i="8"/>
  <c r="BH282" i="8"/>
  <c r="CJ281" i="8"/>
  <c r="CI281" i="8"/>
  <c r="CH281" i="8"/>
  <c r="CG281" i="8"/>
  <c r="CF281" i="8"/>
  <c r="CE281" i="8"/>
  <c r="CD281" i="8"/>
  <c r="CC281" i="8"/>
  <c r="CB281" i="8"/>
  <c r="CA281" i="8"/>
  <c r="BZ281" i="8"/>
  <c r="BY281" i="8"/>
  <c r="BX281" i="8"/>
  <c r="BW281" i="8"/>
  <c r="BV281" i="8"/>
  <c r="BU281" i="8"/>
  <c r="BT281" i="8"/>
  <c r="BS281" i="8"/>
  <c r="BR281" i="8"/>
  <c r="BQ281" i="8"/>
  <c r="BP281" i="8"/>
  <c r="BO281" i="8"/>
  <c r="BN281" i="8"/>
  <c r="BM281" i="8"/>
  <c r="BL281" i="8"/>
  <c r="BK281" i="8"/>
  <c r="BJ281" i="8"/>
  <c r="BI281" i="8"/>
  <c r="BH281" i="8"/>
  <c r="CJ280" i="8"/>
  <c r="CI280" i="8"/>
  <c r="CH280" i="8"/>
  <c r="CG280" i="8"/>
  <c r="CF280" i="8"/>
  <c r="CE280" i="8"/>
  <c r="CD280" i="8"/>
  <c r="CC280" i="8"/>
  <c r="CB280" i="8"/>
  <c r="CA280" i="8"/>
  <c r="BZ280" i="8"/>
  <c r="BY280" i="8"/>
  <c r="BX280" i="8"/>
  <c r="BW280" i="8"/>
  <c r="BV280" i="8"/>
  <c r="BU280" i="8"/>
  <c r="BT280" i="8"/>
  <c r="BS280" i="8"/>
  <c r="BR280" i="8"/>
  <c r="BQ280" i="8"/>
  <c r="BP280" i="8"/>
  <c r="BO280" i="8"/>
  <c r="BN280" i="8"/>
  <c r="BM280" i="8"/>
  <c r="BL280" i="8"/>
  <c r="BK280" i="8"/>
  <c r="BJ280" i="8"/>
  <c r="BI280" i="8"/>
  <c r="BH280" i="8"/>
  <c r="CJ279" i="8"/>
  <c r="CI279" i="8"/>
  <c r="CH279" i="8"/>
  <c r="CG279" i="8"/>
  <c r="CF279" i="8"/>
  <c r="CE279" i="8"/>
  <c r="CD279" i="8"/>
  <c r="CC279" i="8"/>
  <c r="CB279" i="8"/>
  <c r="CA279" i="8"/>
  <c r="BZ279" i="8"/>
  <c r="BY279" i="8"/>
  <c r="BX279" i="8"/>
  <c r="BW279" i="8"/>
  <c r="BV279" i="8"/>
  <c r="BU279" i="8"/>
  <c r="BT279" i="8"/>
  <c r="BS279" i="8"/>
  <c r="BR279" i="8"/>
  <c r="BQ279" i="8"/>
  <c r="BP279" i="8"/>
  <c r="BO279" i="8"/>
  <c r="BN279" i="8"/>
  <c r="BM279" i="8"/>
  <c r="BL279" i="8"/>
  <c r="BK279" i="8"/>
  <c r="BJ279" i="8"/>
  <c r="BI279" i="8"/>
  <c r="BH279" i="8"/>
  <c r="CJ278" i="8"/>
  <c r="CI278" i="8"/>
  <c r="CH278" i="8"/>
  <c r="CG278" i="8"/>
  <c r="CF278" i="8"/>
  <c r="CE278" i="8"/>
  <c r="CD278" i="8"/>
  <c r="CC278" i="8"/>
  <c r="CB278" i="8"/>
  <c r="CA278" i="8"/>
  <c r="BZ278" i="8"/>
  <c r="BY278" i="8"/>
  <c r="BX278" i="8"/>
  <c r="BW278" i="8"/>
  <c r="BV278" i="8"/>
  <c r="BU278" i="8"/>
  <c r="BT278" i="8"/>
  <c r="BS278" i="8"/>
  <c r="BR278" i="8"/>
  <c r="BQ278" i="8"/>
  <c r="BP278" i="8"/>
  <c r="BO278" i="8"/>
  <c r="BN278" i="8"/>
  <c r="BM278" i="8"/>
  <c r="BL278" i="8"/>
  <c r="BK278" i="8"/>
  <c r="BJ278" i="8"/>
  <c r="BI278" i="8"/>
  <c r="BH278" i="8"/>
  <c r="CJ277" i="8"/>
  <c r="CI277" i="8"/>
  <c r="CH277" i="8"/>
  <c r="CG277" i="8"/>
  <c r="CF277" i="8"/>
  <c r="CE277" i="8"/>
  <c r="CD277" i="8"/>
  <c r="CC277" i="8"/>
  <c r="CB277" i="8"/>
  <c r="CA277" i="8"/>
  <c r="BZ277" i="8"/>
  <c r="BY277" i="8"/>
  <c r="BX277" i="8"/>
  <c r="BW277" i="8"/>
  <c r="BV277" i="8"/>
  <c r="BU277" i="8"/>
  <c r="BT277" i="8"/>
  <c r="BS277" i="8"/>
  <c r="BR277" i="8"/>
  <c r="BQ277" i="8"/>
  <c r="BP277" i="8"/>
  <c r="BO277" i="8"/>
  <c r="BN277" i="8"/>
  <c r="BM277" i="8"/>
  <c r="BL277" i="8"/>
  <c r="BK277" i="8"/>
  <c r="BJ277" i="8"/>
  <c r="BI277" i="8"/>
  <c r="BH277" i="8"/>
  <c r="CJ276" i="8"/>
  <c r="CI276" i="8"/>
  <c r="CH276" i="8"/>
  <c r="CG276" i="8"/>
  <c r="CF276" i="8"/>
  <c r="CE276" i="8"/>
  <c r="CD276" i="8"/>
  <c r="CC276" i="8"/>
  <c r="CB276" i="8"/>
  <c r="CA276" i="8"/>
  <c r="BZ276" i="8"/>
  <c r="BY276" i="8"/>
  <c r="BX276" i="8"/>
  <c r="BW276" i="8"/>
  <c r="BV276" i="8"/>
  <c r="BU276" i="8"/>
  <c r="BT276" i="8"/>
  <c r="BS276" i="8"/>
  <c r="BR276" i="8"/>
  <c r="BQ276" i="8"/>
  <c r="BP276" i="8"/>
  <c r="BO276" i="8"/>
  <c r="BN276" i="8"/>
  <c r="BM276" i="8"/>
  <c r="BL276" i="8"/>
  <c r="BK276" i="8"/>
  <c r="BJ276" i="8"/>
  <c r="BI276" i="8"/>
  <c r="BH276" i="8"/>
  <c r="CJ275" i="8"/>
  <c r="CI275" i="8"/>
  <c r="CH275" i="8"/>
  <c r="CG275" i="8"/>
  <c r="CF275" i="8"/>
  <c r="CE275" i="8"/>
  <c r="CD275" i="8"/>
  <c r="CC275" i="8"/>
  <c r="CB275" i="8"/>
  <c r="CA275" i="8"/>
  <c r="BZ275" i="8"/>
  <c r="BY275" i="8"/>
  <c r="BX275" i="8"/>
  <c r="BW275" i="8"/>
  <c r="BV275" i="8"/>
  <c r="BU275" i="8"/>
  <c r="BT275" i="8"/>
  <c r="BS275" i="8"/>
  <c r="BR275" i="8"/>
  <c r="BQ275" i="8"/>
  <c r="BP275" i="8"/>
  <c r="BO275" i="8"/>
  <c r="BN275" i="8"/>
  <c r="BM275" i="8"/>
  <c r="BL275" i="8"/>
  <c r="BK275" i="8"/>
  <c r="BJ275" i="8"/>
  <c r="BI275" i="8"/>
  <c r="BH275" i="8"/>
  <c r="CJ226" i="8"/>
  <c r="CI226" i="8"/>
  <c r="CH226" i="8"/>
  <c r="CG226" i="8"/>
  <c r="CF226" i="8"/>
  <c r="CE226" i="8"/>
  <c r="CD226" i="8"/>
  <c r="CC226" i="8"/>
  <c r="CB226" i="8"/>
  <c r="CA226" i="8"/>
  <c r="BZ226" i="8"/>
  <c r="BY226" i="8"/>
  <c r="BX226" i="8"/>
  <c r="BW226" i="8"/>
  <c r="BV226" i="8"/>
  <c r="BU226" i="8"/>
  <c r="BT226" i="8"/>
  <c r="BS226" i="8"/>
  <c r="BR226" i="8"/>
  <c r="BQ226" i="8"/>
  <c r="BP226" i="8"/>
  <c r="BO226" i="8"/>
  <c r="BN226" i="8"/>
  <c r="BM226" i="8"/>
  <c r="BL226" i="8"/>
  <c r="BK226" i="8"/>
  <c r="BJ226" i="8"/>
  <c r="BI226" i="8"/>
  <c r="BH226" i="8"/>
  <c r="CJ224" i="8"/>
  <c r="CI224" i="8"/>
  <c r="CH224" i="8"/>
  <c r="CG224" i="8"/>
  <c r="CF224" i="8"/>
  <c r="CE224" i="8"/>
  <c r="CD224" i="8"/>
  <c r="CC224" i="8"/>
  <c r="CB224" i="8"/>
  <c r="CA224" i="8"/>
  <c r="BZ224" i="8"/>
  <c r="BY224" i="8"/>
  <c r="BX224" i="8"/>
  <c r="BW224" i="8"/>
  <c r="BV224" i="8"/>
  <c r="BU224" i="8"/>
  <c r="BT224" i="8"/>
  <c r="BS224" i="8"/>
  <c r="BR224" i="8"/>
  <c r="BQ224" i="8"/>
  <c r="BP224" i="8"/>
  <c r="BO224" i="8"/>
  <c r="BN224" i="8"/>
  <c r="BM224" i="8"/>
  <c r="BL224" i="8"/>
  <c r="BK224" i="8"/>
  <c r="BJ224" i="8"/>
  <c r="BI224" i="8"/>
  <c r="BH224" i="8"/>
  <c r="CJ223" i="8"/>
  <c r="CI223" i="8"/>
  <c r="CH223" i="8"/>
  <c r="CG223" i="8"/>
  <c r="CF223" i="8"/>
  <c r="CE223" i="8"/>
  <c r="CD223" i="8"/>
  <c r="CC223" i="8"/>
  <c r="CB223" i="8"/>
  <c r="CA223" i="8"/>
  <c r="BZ223" i="8"/>
  <c r="BY223" i="8"/>
  <c r="BX223" i="8"/>
  <c r="BW223" i="8"/>
  <c r="BV223" i="8"/>
  <c r="BU223" i="8"/>
  <c r="BT223" i="8"/>
  <c r="BS223" i="8"/>
  <c r="BR223" i="8"/>
  <c r="BQ223" i="8"/>
  <c r="BP223" i="8"/>
  <c r="BO223" i="8"/>
  <c r="BN223" i="8"/>
  <c r="BM223" i="8"/>
  <c r="BL223" i="8"/>
  <c r="BK223" i="8"/>
  <c r="BJ223" i="8"/>
  <c r="BI223" i="8"/>
  <c r="BH223" i="8"/>
  <c r="CJ222" i="8"/>
  <c r="CI222" i="8"/>
  <c r="CH222" i="8"/>
  <c r="CG222" i="8"/>
  <c r="CF222" i="8"/>
  <c r="CE222" i="8"/>
  <c r="CD222" i="8"/>
  <c r="CC222" i="8"/>
  <c r="CB222" i="8"/>
  <c r="CA222" i="8"/>
  <c r="BZ222" i="8"/>
  <c r="BY222" i="8"/>
  <c r="BX222" i="8"/>
  <c r="BW222" i="8"/>
  <c r="BV222" i="8"/>
  <c r="BU222" i="8"/>
  <c r="BT222" i="8"/>
  <c r="BS222" i="8"/>
  <c r="BR222" i="8"/>
  <c r="BQ222" i="8"/>
  <c r="BP222" i="8"/>
  <c r="BO222" i="8"/>
  <c r="BN222" i="8"/>
  <c r="BM222" i="8"/>
  <c r="BL222" i="8"/>
  <c r="BK222" i="8"/>
  <c r="BJ222" i="8"/>
  <c r="BI222" i="8"/>
  <c r="BH222" i="8"/>
  <c r="CJ220" i="8"/>
  <c r="CI220" i="8"/>
  <c r="CH220" i="8"/>
  <c r="CG220" i="8"/>
  <c r="CF220" i="8"/>
  <c r="CE220" i="8"/>
  <c r="CD220" i="8"/>
  <c r="CC220" i="8"/>
  <c r="CB220" i="8"/>
  <c r="CA220" i="8"/>
  <c r="BZ220" i="8"/>
  <c r="BY220" i="8"/>
  <c r="BX220" i="8"/>
  <c r="BW220" i="8"/>
  <c r="BV220" i="8"/>
  <c r="BU220" i="8"/>
  <c r="BT220" i="8"/>
  <c r="BS220" i="8"/>
  <c r="BR220" i="8"/>
  <c r="BQ220" i="8"/>
  <c r="BP220" i="8"/>
  <c r="BO220" i="8"/>
  <c r="BN220" i="8"/>
  <c r="BM220" i="8"/>
  <c r="BL220" i="8"/>
  <c r="BK220" i="8"/>
  <c r="BJ220" i="8"/>
  <c r="BI220" i="8"/>
  <c r="BH220" i="8"/>
  <c r="CJ219" i="8"/>
  <c r="CI219" i="8"/>
  <c r="CH219" i="8"/>
  <c r="CG219" i="8"/>
  <c r="CF219" i="8"/>
  <c r="CE219" i="8"/>
  <c r="CD219" i="8"/>
  <c r="CC219" i="8"/>
  <c r="CB219" i="8"/>
  <c r="CA219" i="8"/>
  <c r="BZ219" i="8"/>
  <c r="BY219" i="8"/>
  <c r="BX219" i="8"/>
  <c r="BW219" i="8"/>
  <c r="BV219" i="8"/>
  <c r="BU219" i="8"/>
  <c r="BT219" i="8"/>
  <c r="BS219" i="8"/>
  <c r="BR219" i="8"/>
  <c r="BQ219" i="8"/>
  <c r="BP219" i="8"/>
  <c r="BO219" i="8"/>
  <c r="BN219" i="8"/>
  <c r="BM219" i="8"/>
  <c r="BL219" i="8"/>
  <c r="BK219" i="8"/>
  <c r="BJ219" i="8"/>
  <c r="BI219" i="8"/>
  <c r="BH219" i="8"/>
  <c r="CJ218" i="8"/>
  <c r="CI218" i="8"/>
  <c r="CH218" i="8"/>
  <c r="CG218" i="8"/>
  <c r="CF218" i="8"/>
  <c r="CE218" i="8"/>
  <c r="CD218" i="8"/>
  <c r="CC218" i="8"/>
  <c r="CB218" i="8"/>
  <c r="CA218" i="8"/>
  <c r="BZ218" i="8"/>
  <c r="BY218" i="8"/>
  <c r="BX218" i="8"/>
  <c r="BW218" i="8"/>
  <c r="BV218" i="8"/>
  <c r="BU218" i="8"/>
  <c r="BT218" i="8"/>
  <c r="BS218" i="8"/>
  <c r="BR218" i="8"/>
  <c r="BQ218" i="8"/>
  <c r="BP218" i="8"/>
  <c r="BO218" i="8"/>
  <c r="BN218" i="8"/>
  <c r="BM218" i="8"/>
  <c r="BL218" i="8"/>
  <c r="BK218" i="8"/>
  <c r="BJ218" i="8"/>
  <c r="BI218" i="8"/>
  <c r="BH218" i="8"/>
  <c r="CJ216" i="8"/>
  <c r="CI216" i="8"/>
  <c r="CH216" i="8"/>
  <c r="CG216" i="8"/>
  <c r="CF216" i="8"/>
  <c r="CE216" i="8"/>
  <c r="CD216" i="8"/>
  <c r="CC216" i="8"/>
  <c r="CB216" i="8"/>
  <c r="CA216" i="8"/>
  <c r="BZ216" i="8"/>
  <c r="BY216" i="8"/>
  <c r="BX216" i="8"/>
  <c r="BW216" i="8"/>
  <c r="BV216" i="8"/>
  <c r="BU216" i="8"/>
  <c r="BT216" i="8"/>
  <c r="BS216" i="8"/>
  <c r="BR216" i="8"/>
  <c r="BQ216" i="8"/>
  <c r="BP216" i="8"/>
  <c r="BO216" i="8"/>
  <c r="BN216" i="8"/>
  <c r="BM216" i="8"/>
  <c r="BL216" i="8"/>
  <c r="BK216" i="8"/>
  <c r="BJ216" i="8"/>
  <c r="BI216" i="8"/>
  <c r="BH216" i="8"/>
  <c r="CJ215" i="8"/>
  <c r="CI215" i="8"/>
  <c r="CH215" i="8"/>
  <c r="CG215" i="8"/>
  <c r="CF215" i="8"/>
  <c r="CE215" i="8"/>
  <c r="CD215" i="8"/>
  <c r="CC215" i="8"/>
  <c r="CB215" i="8"/>
  <c r="CA215" i="8"/>
  <c r="BZ215" i="8"/>
  <c r="BY215" i="8"/>
  <c r="BX215" i="8"/>
  <c r="BW215" i="8"/>
  <c r="BV215" i="8"/>
  <c r="BU215" i="8"/>
  <c r="BT215" i="8"/>
  <c r="BS215" i="8"/>
  <c r="BR215" i="8"/>
  <c r="BQ215" i="8"/>
  <c r="BP215" i="8"/>
  <c r="BO215" i="8"/>
  <c r="BN215" i="8"/>
  <c r="BM215" i="8"/>
  <c r="BL215" i="8"/>
  <c r="BK215" i="8"/>
  <c r="BJ215" i="8"/>
  <c r="BI215" i="8"/>
  <c r="BH215" i="8"/>
  <c r="CJ214" i="8"/>
  <c r="CI214" i="8"/>
  <c r="CH214" i="8"/>
  <c r="CG214" i="8"/>
  <c r="CF214" i="8"/>
  <c r="CE214" i="8"/>
  <c r="CD214" i="8"/>
  <c r="CC214" i="8"/>
  <c r="CB214" i="8"/>
  <c r="CA214" i="8"/>
  <c r="BZ214" i="8"/>
  <c r="BY214" i="8"/>
  <c r="BX214" i="8"/>
  <c r="BW214" i="8"/>
  <c r="BV214" i="8"/>
  <c r="BU214" i="8"/>
  <c r="BT214" i="8"/>
  <c r="BS214" i="8"/>
  <c r="BR214" i="8"/>
  <c r="BQ214" i="8"/>
  <c r="BP214" i="8"/>
  <c r="BO214" i="8"/>
  <c r="BN214" i="8"/>
  <c r="BM214" i="8"/>
  <c r="BL214" i="8"/>
  <c r="BK214" i="8"/>
  <c r="BJ214" i="8"/>
  <c r="BI214" i="8"/>
  <c r="BH214" i="8"/>
  <c r="CJ212" i="8"/>
  <c r="CI212" i="8"/>
  <c r="CH212" i="8"/>
  <c r="CG212" i="8"/>
  <c r="CF212" i="8"/>
  <c r="CE212" i="8"/>
  <c r="CD212" i="8"/>
  <c r="CC212" i="8"/>
  <c r="CB212" i="8"/>
  <c r="CA212" i="8"/>
  <c r="BZ212" i="8"/>
  <c r="BY212" i="8"/>
  <c r="BX212" i="8"/>
  <c r="BW212" i="8"/>
  <c r="BV212" i="8"/>
  <c r="BU212" i="8"/>
  <c r="BT212" i="8"/>
  <c r="BS212" i="8"/>
  <c r="BR212" i="8"/>
  <c r="BQ212" i="8"/>
  <c r="BP212" i="8"/>
  <c r="BO212" i="8"/>
  <c r="BN212" i="8"/>
  <c r="BM212" i="8"/>
  <c r="BL212" i="8"/>
  <c r="BK212" i="8"/>
  <c r="BJ212" i="8"/>
  <c r="BI212" i="8"/>
  <c r="BH212" i="8"/>
  <c r="CJ211" i="8"/>
  <c r="CI211" i="8"/>
  <c r="CH211" i="8"/>
  <c r="CG211" i="8"/>
  <c r="CF211" i="8"/>
  <c r="CE211" i="8"/>
  <c r="CD211" i="8"/>
  <c r="CC211" i="8"/>
  <c r="CB211" i="8"/>
  <c r="CA211" i="8"/>
  <c r="BZ211" i="8"/>
  <c r="BY211" i="8"/>
  <c r="BX211" i="8"/>
  <c r="BW211" i="8"/>
  <c r="BV211" i="8"/>
  <c r="BU211" i="8"/>
  <c r="BT211" i="8"/>
  <c r="BS211" i="8"/>
  <c r="BR211" i="8"/>
  <c r="BQ211" i="8"/>
  <c r="BP211" i="8"/>
  <c r="BO211" i="8"/>
  <c r="BN211" i="8"/>
  <c r="BM211" i="8"/>
  <c r="BL211" i="8"/>
  <c r="BK211" i="8"/>
  <c r="BJ211" i="8"/>
  <c r="BI211" i="8"/>
  <c r="BH211" i="8"/>
  <c r="CJ210" i="8"/>
  <c r="CI210" i="8"/>
  <c r="CH210" i="8"/>
  <c r="CG210" i="8"/>
  <c r="CF210" i="8"/>
  <c r="CE210" i="8"/>
  <c r="CD210" i="8"/>
  <c r="CC210" i="8"/>
  <c r="CB210" i="8"/>
  <c r="CA210" i="8"/>
  <c r="BZ210" i="8"/>
  <c r="BY210" i="8"/>
  <c r="BX210" i="8"/>
  <c r="BW210" i="8"/>
  <c r="BV210" i="8"/>
  <c r="BU210" i="8"/>
  <c r="BT210" i="8"/>
  <c r="BS210" i="8"/>
  <c r="BR210" i="8"/>
  <c r="BQ210" i="8"/>
  <c r="BP210" i="8"/>
  <c r="BO210" i="8"/>
  <c r="BN210" i="8"/>
  <c r="BM210" i="8"/>
  <c r="BL210" i="8"/>
  <c r="BK210" i="8"/>
  <c r="BJ210" i="8"/>
  <c r="BI210" i="8"/>
  <c r="BH210" i="8"/>
  <c r="CJ208" i="8"/>
  <c r="CI208" i="8"/>
  <c r="CH208" i="8"/>
  <c r="CG208" i="8"/>
  <c r="CF208" i="8"/>
  <c r="CE208" i="8"/>
  <c r="CD208" i="8"/>
  <c r="CC208" i="8"/>
  <c r="CB208" i="8"/>
  <c r="CA208" i="8"/>
  <c r="BZ208" i="8"/>
  <c r="BY208" i="8"/>
  <c r="BX208" i="8"/>
  <c r="BW208" i="8"/>
  <c r="BV208" i="8"/>
  <c r="BU208" i="8"/>
  <c r="BT208" i="8"/>
  <c r="BS208" i="8"/>
  <c r="BR208" i="8"/>
  <c r="BQ208" i="8"/>
  <c r="BP208" i="8"/>
  <c r="BO208" i="8"/>
  <c r="BN208" i="8"/>
  <c r="BM208" i="8"/>
  <c r="BL208" i="8"/>
  <c r="BK208" i="8"/>
  <c r="BJ208" i="8"/>
  <c r="BI208" i="8"/>
  <c r="BH208" i="8"/>
  <c r="CJ207" i="8"/>
  <c r="CI207" i="8"/>
  <c r="CH207" i="8"/>
  <c r="CG207" i="8"/>
  <c r="CF207" i="8"/>
  <c r="CE207" i="8"/>
  <c r="CD207" i="8"/>
  <c r="CC207" i="8"/>
  <c r="CB207" i="8"/>
  <c r="CA207" i="8"/>
  <c r="BZ207" i="8"/>
  <c r="BY207" i="8"/>
  <c r="BX207" i="8"/>
  <c r="BW207" i="8"/>
  <c r="BV207" i="8"/>
  <c r="BU207" i="8"/>
  <c r="BT207" i="8"/>
  <c r="BS207" i="8"/>
  <c r="BR207" i="8"/>
  <c r="BQ207" i="8"/>
  <c r="BP207" i="8"/>
  <c r="BO207" i="8"/>
  <c r="BN207" i="8"/>
  <c r="BM207" i="8"/>
  <c r="BL207" i="8"/>
  <c r="BK207" i="8"/>
  <c r="BJ207" i="8"/>
  <c r="BI207" i="8"/>
  <c r="BH207" i="8"/>
  <c r="CJ206" i="8"/>
  <c r="CI206" i="8"/>
  <c r="CH206" i="8"/>
  <c r="CG206" i="8"/>
  <c r="CF206" i="8"/>
  <c r="CE206" i="8"/>
  <c r="CD206" i="8"/>
  <c r="CC206" i="8"/>
  <c r="CB206" i="8"/>
  <c r="CA206" i="8"/>
  <c r="BZ206" i="8"/>
  <c r="BY206" i="8"/>
  <c r="BX206" i="8"/>
  <c r="BW206" i="8"/>
  <c r="BV206" i="8"/>
  <c r="BU206" i="8"/>
  <c r="BT206" i="8"/>
  <c r="BS206" i="8"/>
  <c r="BR206" i="8"/>
  <c r="BQ206" i="8"/>
  <c r="BP206" i="8"/>
  <c r="BO206" i="8"/>
  <c r="BN206" i="8"/>
  <c r="BM206" i="8"/>
  <c r="BL206" i="8"/>
  <c r="BK206" i="8"/>
  <c r="BJ206" i="8"/>
  <c r="BI206" i="8"/>
  <c r="BH206" i="8"/>
  <c r="CJ204" i="8"/>
  <c r="CI204" i="8"/>
  <c r="CH204" i="8"/>
  <c r="CG204" i="8"/>
  <c r="CF204" i="8"/>
  <c r="CE204" i="8"/>
  <c r="CD204" i="8"/>
  <c r="CC204" i="8"/>
  <c r="CB204" i="8"/>
  <c r="CA204" i="8"/>
  <c r="BZ204" i="8"/>
  <c r="BY204" i="8"/>
  <c r="BX204" i="8"/>
  <c r="BW204" i="8"/>
  <c r="BV204" i="8"/>
  <c r="BU204" i="8"/>
  <c r="BT204" i="8"/>
  <c r="BS204" i="8"/>
  <c r="BR204" i="8"/>
  <c r="BQ204" i="8"/>
  <c r="BP204" i="8"/>
  <c r="BO204" i="8"/>
  <c r="BN204" i="8"/>
  <c r="BM204" i="8"/>
  <c r="BL204" i="8"/>
  <c r="BK204" i="8"/>
  <c r="BJ204" i="8"/>
  <c r="BI204" i="8"/>
  <c r="BH204" i="8"/>
  <c r="CJ203" i="8"/>
  <c r="CI203" i="8"/>
  <c r="CH203" i="8"/>
  <c r="CG203" i="8"/>
  <c r="CF203" i="8"/>
  <c r="CE203" i="8"/>
  <c r="CD203" i="8"/>
  <c r="CC203" i="8"/>
  <c r="CB203" i="8"/>
  <c r="CA203" i="8"/>
  <c r="BZ203" i="8"/>
  <c r="BY203" i="8"/>
  <c r="BX203" i="8"/>
  <c r="BW203" i="8"/>
  <c r="BV203" i="8"/>
  <c r="BU203" i="8"/>
  <c r="BT203" i="8"/>
  <c r="BS203" i="8"/>
  <c r="BR203" i="8"/>
  <c r="BQ203" i="8"/>
  <c r="BP203" i="8"/>
  <c r="BO203" i="8"/>
  <c r="BN203" i="8"/>
  <c r="BM203" i="8"/>
  <c r="BL203" i="8"/>
  <c r="BK203" i="8"/>
  <c r="BJ203" i="8"/>
  <c r="BI203" i="8"/>
  <c r="BH203" i="8"/>
  <c r="CJ202" i="8"/>
  <c r="CI202" i="8"/>
  <c r="CH202" i="8"/>
  <c r="CG202" i="8"/>
  <c r="CF202" i="8"/>
  <c r="CE202" i="8"/>
  <c r="CD202" i="8"/>
  <c r="CC202" i="8"/>
  <c r="CB202" i="8"/>
  <c r="CA202" i="8"/>
  <c r="BZ202" i="8"/>
  <c r="BY202" i="8"/>
  <c r="BX202" i="8"/>
  <c r="BW202" i="8"/>
  <c r="BV202" i="8"/>
  <c r="BU202" i="8"/>
  <c r="BT202" i="8"/>
  <c r="BS202" i="8"/>
  <c r="BR202" i="8"/>
  <c r="BQ202" i="8"/>
  <c r="BP202" i="8"/>
  <c r="BO202" i="8"/>
  <c r="BN202" i="8"/>
  <c r="BM202" i="8"/>
  <c r="BL202" i="8"/>
  <c r="BK202" i="8"/>
  <c r="BJ202" i="8"/>
  <c r="BI202" i="8"/>
  <c r="BH202" i="8"/>
  <c r="CJ200" i="8"/>
  <c r="CI200" i="8"/>
  <c r="CH200" i="8"/>
  <c r="CG200" i="8"/>
  <c r="CF200" i="8"/>
  <c r="CE200" i="8"/>
  <c r="CD200" i="8"/>
  <c r="CC200" i="8"/>
  <c r="CB200" i="8"/>
  <c r="CA200" i="8"/>
  <c r="BZ200" i="8"/>
  <c r="BY200" i="8"/>
  <c r="BX200" i="8"/>
  <c r="BW200" i="8"/>
  <c r="BV200" i="8"/>
  <c r="BU200" i="8"/>
  <c r="BT200" i="8"/>
  <c r="BS200" i="8"/>
  <c r="BR200" i="8"/>
  <c r="BQ200" i="8"/>
  <c r="BP200" i="8"/>
  <c r="BO200" i="8"/>
  <c r="BN200" i="8"/>
  <c r="BM200" i="8"/>
  <c r="BL200" i="8"/>
  <c r="BK200" i="8"/>
  <c r="BJ200" i="8"/>
  <c r="BI200" i="8"/>
  <c r="BH200" i="8"/>
  <c r="CJ199" i="8"/>
  <c r="CI199" i="8"/>
  <c r="CH199" i="8"/>
  <c r="CG199" i="8"/>
  <c r="CF199" i="8"/>
  <c r="CE199" i="8"/>
  <c r="CD199" i="8"/>
  <c r="CC199" i="8"/>
  <c r="CB199" i="8"/>
  <c r="CA199" i="8"/>
  <c r="BZ199" i="8"/>
  <c r="BY199" i="8"/>
  <c r="BX199" i="8"/>
  <c r="BW199" i="8"/>
  <c r="BV199" i="8"/>
  <c r="BU199" i="8"/>
  <c r="BT199" i="8"/>
  <c r="BS199" i="8"/>
  <c r="BR199" i="8"/>
  <c r="BQ199" i="8"/>
  <c r="BP199" i="8"/>
  <c r="BO199" i="8"/>
  <c r="BN199" i="8"/>
  <c r="BM199" i="8"/>
  <c r="BL199" i="8"/>
  <c r="BK199" i="8"/>
  <c r="BJ199" i="8"/>
  <c r="BI199" i="8"/>
  <c r="BH199" i="8"/>
  <c r="CJ198" i="8"/>
  <c r="CI198" i="8"/>
  <c r="CH198" i="8"/>
  <c r="CG198" i="8"/>
  <c r="CF198" i="8"/>
  <c r="CE198" i="8"/>
  <c r="CD198" i="8"/>
  <c r="CC198" i="8"/>
  <c r="CB198" i="8"/>
  <c r="CA198" i="8"/>
  <c r="BZ198" i="8"/>
  <c r="BY198" i="8"/>
  <c r="BX198" i="8"/>
  <c r="BW198" i="8"/>
  <c r="BV198" i="8"/>
  <c r="BU198" i="8"/>
  <c r="BT198" i="8"/>
  <c r="BS198" i="8"/>
  <c r="BR198" i="8"/>
  <c r="BQ198" i="8"/>
  <c r="BP198" i="8"/>
  <c r="BO198" i="8"/>
  <c r="BN198" i="8"/>
  <c r="BM198" i="8"/>
  <c r="BL198" i="8"/>
  <c r="BK198" i="8"/>
  <c r="BJ198" i="8"/>
  <c r="BI198" i="8"/>
  <c r="BH198" i="8"/>
  <c r="CJ196" i="8"/>
  <c r="CI196" i="8"/>
  <c r="CH196" i="8"/>
  <c r="CG196" i="8"/>
  <c r="CF196" i="8"/>
  <c r="CE196" i="8"/>
  <c r="CD196" i="8"/>
  <c r="CC196" i="8"/>
  <c r="CB196" i="8"/>
  <c r="CA196" i="8"/>
  <c r="BZ196" i="8"/>
  <c r="BY196" i="8"/>
  <c r="BX196" i="8"/>
  <c r="BW196" i="8"/>
  <c r="BV196" i="8"/>
  <c r="BU196" i="8"/>
  <c r="BT196" i="8"/>
  <c r="BS196" i="8"/>
  <c r="BR196" i="8"/>
  <c r="BQ196" i="8"/>
  <c r="BP196" i="8"/>
  <c r="BO196" i="8"/>
  <c r="BN196" i="8"/>
  <c r="BM196" i="8"/>
  <c r="BL196" i="8"/>
  <c r="BK196" i="8"/>
  <c r="BJ196" i="8"/>
  <c r="BI196" i="8"/>
  <c r="BH196" i="8"/>
  <c r="CJ195" i="8"/>
  <c r="CI195" i="8"/>
  <c r="CH195" i="8"/>
  <c r="CG195" i="8"/>
  <c r="CF195" i="8"/>
  <c r="CE195" i="8"/>
  <c r="CD195" i="8"/>
  <c r="CC195" i="8"/>
  <c r="CB195" i="8"/>
  <c r="CA195" i="8"/>
  <c r="BZ195" i="8"/>
  <c r="BY195" i="8"/>
  <c r="BX195" i="8"/>
  <c r="BW195" i="8"/>
  <c r="BV195" i="8"/>
  <c r="BU195" i="8"/>
  <c r="BT195" i="8"/>
  <c r="BS195" i="8"/>
  <c r="BR195" i="8"/>
  <c r="BQ195" i="8"/>
  <c r="BP195" i="8"/>
  <c r="BO195" i="8"/>
  <c r="BN195" i="8"/>
  <c r="BM195" i="8"/>
  <c r="BL195" i="8"/>
  <c r="BK195" i="8"/>
  <c r="BJ195" i="8"/>
  <c r="BI195" i="8"/>
  <c r="BH195" i="8"/>
  <c r="CJ194" i="8"/>
  <c r="CI194" i="8"/>
  <c r="CH194" i="8"/>
  <c r="CG194" i="8"/>
  <c r="CF194" i="8"/>
  <c r="CE194" i="8"/>
  <c r="CD194" i="8"/>
  <c r="CC194" i="8"/>
  <c r="CB194" i="8"/>
  <c r="CA194" i="8"/>
  <c r="BZ194" i="8"/>
  <c r="BY194" i="8"/>
  <c r="BX194" i="8"/>
  <c r="BW194" i="8"/>
  <c r="BV194" i="8"/>
  <c r="BU194" i="8"/>
  <c r="BT194" i="8"/>
  <c r="BS194" i="8"/>
  <c r="BR194" i="8"/>
  <c r="BQ194" i="8"/>
  <c r="BP194" i="8"/>
  <c r="BO194" i="8"/>
  <c r="BN194" i="8"/>
  <c r="BM194" i="8"/>
  <c r="BL194" i="8"/>
  <c r="BK194" i="8"/>
  <c r="BJ194" i="8"/>
  <c r="BI194" i="8"/>
  <c r="BH194" i="8"/>
  <c r="CJ192" i="8"/>
  <c r="CI192" i="8"/>
  <c r="CH192" i="8"/>
  <c r="CG192" i="8"/>
  <c r="CF192" i="8"/>
  <c r="CE192" i="8"/>
  <c r="CD192" i="8"/>
  <c r="CC192" i="8"/>
  <c r="CB192" i="8"/>
  <c r="CA192" i="8"/>
  <c r="BZ192" i="8"/>
  <c r="BY192" i="8"/>
  <c r="BX192" i="8"/>
  <c r="BW192" i="8"/>
  <c r="BV192" i="8"/>
  <c r="BU192" i="8"/>
  <c r="BT192" i="8"/>
  <c r="BS192" i="8"/>
  <c r="BR192" i="8"/>
  <c r="BQ192" i="8"/>
  <c r="BP192" i="8"/>
  <c r="BO192" i="8"/>
  <c r="BN192" i="8"/>
  <c r="BM192" i="8"/>
  <c r="BL192" i="8"/>
  <c r="BK192" i="8"/>
  <c r="BJ192" i="8"/>
  <c r="BI192" i="8"/>
  <c r="BH192" i="8"/>
  <c r="CJ191" i="8"/>
  <c r="CI191" i="8"/>
  <c r="CH191" i="8"/>
  <c r="CG191" i="8"/>
  <c r="CF191" i="8"/>
  <c r="CE191" i="8"/>
  <c r="CD191" i="8"/>
  <c r="CC191" i="8"/>
  <c r="CB191" i="8"/>
  <c r="CA191" i="8"/>
  <c r="BZ191" i="8"/>
  <c r="BY191" i="8"/>
  <c r="BX191" i="8"/>
  <c r="BW191" i="8"/>
  <c r="BV191" i="8"/>
  <c r="BU191" i="8"/>
  <c r="BT191" i="8"/>
  <c r="BS191" i="8"/>
  <c r="BR191" i="8"/>
  <c r="BQ191" i="8"/>
  <c r="BP191" i="8"/>
  <c r="BO191" i="8"/>
  <c r="BN191" i="8"/>
  <c r="BM191" i="8"/>
  <c r="BL191" i="8"/>
  <c r="BK191" i="8"/>
  <c r="BJ191" i="8"/>
  <c r="BI191" i="8"/>
  <c r="BH191" i="8"/>
  <c r="CJ190" i="8"/>
  <c r="CI190" i="8"/>
  <c r="CH190" i="8"/>
  <c r="CG190" i="8"/>
  <c r="CF190" i="8"/>
  <c r="CE190" i="8"/>
  <c r="CD190" i="8"/>
  <c r="CC190" i="8"/>
  <c r="CB190" i="8"/>
  <c r="CA190" i="8"/>
  <c r="BZ190" i="8"/>
  <c r="BY190" i="8"/>
  <c r="BX190" i="8"/>
  <c r="BW190" i="8"/>
  <c r="BV190" i="8"/>
  <c r="BU190" i="8"/>
  <c r="BT190" i="8"/>
  <c r="BS190" i="8"/>
  <c r="BR190" i="8"/>
  <c r="BQ190" i="8"/>
  <c r="BP190" i="8"/>
  <c r="BO190" i="8"/>
  <c r="BN190" i="8"/>
  <c r="BM190" i="8"/>
  <c r="BL190" i="8"/>
  <c r="BK190" i="8"/>
  <c r="BJ190" i="8"/>
  <c r="BI190" i="8"/>
  <c r="BH190" i="8"/>
  <c r="CJ188" i="8"/>
  <c r="CI188" i="8"/>
  <c r="CH188" i="8"/>
  <c r="CG188" i="8"/>
  <c r="CF188" i="8"/>
  <c r="CE188" i="8"/>
  <c r="CD188" i="8"/>
  <c r="CC188" i="8"/>
  <c r="CB188" i="8"/>
  <c r="CA188" i="8"/>
  <c r="BZ188" i="8"/>
  <c r="BY188" i="8"/>
  <c r="BX188" i="8"/>
  <c r="BW188" i="8"/>
  <c r="BV188" i="8"/>
  <c r="BU188" i="8"/>
  <c r="BT188" i="8"/>
  <c r="BS188" i="8"/>
  <c r="BR188" i="8"/>
  <c r="BQ188" i="8"/>
  <c r="BP188" i="8"/>
  <c r="BO188" i="8"/>
  <c r="BN188" i="8"/>
  <c r="BM188" i="8"/>
  <c r="BL188" i="8"/>
  <c r="BK188" i="8"/>
  <c r="BJ188" i="8"/>
  <c r="BI188" i="8"/>
  <c r="BH188" i="8"/>
  <c r="CJ187" i="8"/>
  <c r="CI187" i="8"/>
  <c r="CH187" i="8"/>
  <c r="CG187" i="8"/>
  <c r="CF187" i="8"/>
  <c r="CE187" i="8"/>
  <c r="CD187" i="8"/>
  <c r="CC187" i="8"/>
  <c r="CB187" i="8"/>
  <c r="CA187" i="8"/>
  <c r="BZ187" i="8"/>
  <c r="BY187" i="8"/>
  <c r="BX187" i="8"/>
  <c r="BW187" i="8"/>
  <c r="BV187" i="8"/>
  <c r="BU187" i="8"/>
  <c r="BT187" i="8"/>
  <c r="BS187" i="8"/>
  <c r="BR187" i="8"/>
  <c r="BQ187" i="8"/>
  <c r="BP187" i="8"/>
  <c r="BO187" i="8"/>
  <c r="BN187" i="8"/>
  <c r="BM187" i="8"/>
  <c r="BL187" i="8"/>
  <c r="BK187" i="8"/>
  <c r="BJ187" i="8"/>
  <c r="BI187" i="8"/>
  <c r="BH187" i="8"/>
  <c r="CJ186" i="8"/>
  <c r="CI186" i="8"/>
  <c r="CH186" i="8"/>
  <c r="CG186" i="8"/>
  <c r="CF186" i="8"/>
  <c r="CE186" i="8"/>
  <c r="CD186" i="8"/>
  <c r="CC186" i="8"/>
  <c r="CB186" i="8"/>
  <c r="CA186" i="8"/>
  <c r="BZ186" i="8"/>
  <c r="BY186" i="8"/>
  <c r="BX186" i="8"/>
  <c r="BW186" i="8"/>
  <c r="BV186" i="8"/>
  <c r="BU186" i="8"/>
  <c r="BT186" i="8"/>
  <c r="BS186" i="8"/>
  <c r="BR186" i="8"/>
  <c r="BQ186" i="8"/>
  <c r="BP186" i="8"/>
  <c r="BO186" i="8"/>
  <c r="BN186" i="8"/>
  <c r="BM186" i="8"/>
  <c r="BL186" i="8"/>
  <c r="BK186" i="8"/>
  <c r="BJ186" i="8"/>
  <c r="BI186" i="8"/>
  <c r="BH186" i="8"/>
  <c r="CJ185" i="8"/>
  <c r="CI185" i="8"/>
  <c r="CH185" i="8"/>
  <c r="CG185" i="8"/>
  <c r="CF185" i="8"/>
  <c r="CE185" i="8"/>
  <c r="CD185" i="8"/>
  <c r="CC185" i="8"/>
  <c r="CB185" i="8"/>
  <c r="CA185" i="8"/>
  <c r="BZ185" i="8"/>
  <c r="BY185" i="8"/>
  <c r="BX185" i="8"/>
  <c r="BW185" i="8"/>
  <c r="BV185" i="8"/>
  <c r="BU185" i="8"/>
  <c r="BT185" i="8"/>
  <c r="BS185" i="8"/>
  <c r="BR185" i="8"/>
  <c r="BQ185" i="8"/>
  <c r="BP185" i="8"/>
  <c r="BO185" i="8"/>
  <c r="BN185" i="8"/>
  <c r="BM185" i="8"/>
  <c r="BL185" i="8"/>
  <c r="BK185" i="8"/>
  <c r="BJ185" i="8"/>
  <c r="BI185" i="8"/>
  <c r="BH185" i="8"/>
  <c r="CJ184" i="8"/>
  <c r="CI184" i="8"/>
  <c r="CH184" i="8"/>
  <c r="CG184" i="8"/>
  <c r="CF184" i="8"/>
  <c r="CE184" i="8"/>
  <c r="CD184" i="8"/>
  <c r="CC184" i="8"/>
  <c r="CB184" i="8"/>
  <c r="CA184" i="8"/>
  <c r="BZ184" i="8"/>
  <c r="BY184" i="8"/>
  <c r="BX184" i="8"/>
  <c r="BW184" i="8"/>
  <c r="BV184" i="8"/>
  <c r="BU184" i="8"/>
  <c r="BT184" i="8"/>
  <c r="BS184" i="8"/>
  <c r="BR184" i="8"/>
  <c r="BQ184" i="8"/>
  <c r="BP184" i="8"/>
  <c r="BO184" i="8"/>
  <c r="BN184" i="8"/>
  <c r="BM184" i="8"/>
  <c r="BL184" i="8"/>
  <c r="BK184" i="8"/>
  <c r="BJ184" i="8"/>
  <c r="BI184" i="8"/>
  <c r="BH184" i="8"/>
  <c r="CJ183" i="8"/>
  <c r="CI183" i="8"/>
  <c r="CH183" i="8"/>
  <c r="CG183" i="8"/>
  <c r="CF183" i="8"/>
  <c r="CE183" i="8"/>
  <c r="CD183" i="8"/>
  <c r="CC183" i="8"/>
  <c r="CB183" i="8"/>
  <c r="CA183" i="8"/>
  <c r="BZ183" i="8"/>
  <c r="BY183" i="8"/>
  <c r="BX183" i="8"/>
  <c r="BW183" i="8"/>
  <c r="BV183" i="8"/>
  <c r="BU183" i="8"/>
  <c r="BT183" i="8"/>
  <c r="BS183" i="8"/>
  <c r="BR183" i="8"/>
  <c r="BQ183" i="8"/>
  <c r="BP183" i="8"/>
  <c r="BO183" i="8"/>
  <c r="BN183" i="8"/>
  <c r="BM183" i="8"/>
  <c r="BL183" i="8"/>
  <c r="BK183" i="8"/>
  <c r="BJ183" i="8"/>
  <c r="BI183" i="8"/>
  <c r="BH183" i="8"/>
  <c r="CJ182" i="8"/>
  <c r="CI182" i="8"/>
  <c r="CH182" i="8"/>
  <c r="CG182" i="8"/>
  <c r="CF182" i="8"/>
  <c r="CE182" i="8"/>
  <c r="CD182" i="8"/>
  <c r="CC182" i="8"/>
  <c r="CB182" i="8"/>
  <c r="CA182" i="8"/>
  <c r="BZ182" i="8"/>
  <c r="BY182" i="8"/>
  <c r="BX182" i="8"/>
  <c r="BW182" i="8"/>
  <c r="BV182" i="8"/>
  <c r="BU182" i="8"/>
  <c r="BT182" i="8"/>
  <c r="BS182" i="8"/>
  <c r="BR182" i="8"/>
  <c r="BQ182" i="8"/>
  <c r="BP182" i="8"/>
  <c r="BO182" i="8"/>
  <c r="BN182" i="8"/>
  <c r="BM182" i="8"/>
  <c r="BL182" i="8"/>
  <c r="BK182" i="8"/>
  <c r="BJ182" i="8"/>
  <c r="BI182" i="8"/>
  <c r="BH182" i="8"/>
  <c r="CJ181" i="8"/>
  <c r="CI181" i="8"/>
  <c r="CH181" i="8"/>
  <c r="CG181" i="8"/>
  <c r="CF181" i="8"/>
  <c r="CE181" i="8"/>
  <c r="CD181" i="8"/>
  <c r="CC181" i="8"/>
  <c r="CB181" i="8"/>
  <c r="CA181" i="8"/>
  <c r="BZ181" i="8"/>
  <c r="BY181" i="8"/>
  <c r="BX181" i="8"/>
  <c r="BW181" i="8"/>
  <c r="BV181" i="8"/>
  <c r="BU181" i="8"/>
  <c r="BT181" i="8"/>
  <c r="BS181" i="8"/>
  <c r="BR181" i="8"/>
  <c r="BQ181" i="8"/>
  <c r="BP181" i="8"/>
  <c r="BO181" i="8"/>
  <c r="BN181" i="8"/>
  <c r="BM181" i="8"/>
  <c r="BL181" i="8"/>
  <c r="BK181" i="8"/>
  <c r="BJ181" i="8"/>
  <c r="BI181" i="8"/>
  <c r="BH181" i="8"/>
  <c r="CJ180" i="8"/>
  <c r="CI180" i="8"/>
  <c r="CH180" i="8"/>
  <c r="CG180" i="8"/>
  <c r="CF180" i="8"/>
  <c r="CE180" i="8"/>
  <c r="CD180" i="8"/>
  <c r="CC180" i="8"/>
  <c r="CB180" i="8"/>
  <c r="CA180" i="8"/>
  <c r="BZ180" i="8"/>
  <c r="BY180" i="8"/>
  <c r="BX180" i="8"/>
  <c r="BW180" i="8"/>
  <c r="BV180" i="8"/>
  <c r="BU180" i="8"/>
  <c r="BT180" i="8"/>
  <c r="BS180" i="8"/>
  <c r="BR180" i="8"/>
  <c r="BQ180" i="8"/>
  <c r="BP180" i="8"/>
  <c r="BO180" i="8"/>
  <c r="BN180" i="8"/>
  <c r="BM180" i="8"/>
  <c r="BL180" i="8"/>
  <c r="BK180" i="8"/>
  <c r="BJ180" i="8"/>
  <c r="BI180" i="8"/>
  <c r="BH180" i="8"/>
  <c r="CJ179" i="8"/>
  <c r="CI179" i="8"/>
  <c r="CH179" i="8"/>
  <c r="CG179" i="8"/>
  <c r="CF179" i="8"/>
  <c r="CE179" i="8"/>
  <c r="CD179" i="8"/>
  <c r="CC179" i="8"/>
  <c r="CB179" i="8"/>
  <c r="CA179" i="8"/>
  <c r="BZ179" i="8"/>
  <c r="BY179" i="8"/>
  <c r="BX179" i="8"/>
  <c r="BW179" i="8"/>
  <c r="BV179" i="8"/>
  <c r="BU179" i="8"/>
  <c r="BT179" i="8"/>
  <c r="BS179" i="8"/>
  <c r="BR179" i="8"/>
  <c r="BQ179" i="8"/>
  <c r="BP179" i="8"/>
  <c r="BO179" i="8"/>
  <c r="BN179" i="8"/>
  <c r="BM179" i="8"/>
  <c r="BL179" i="8"/>
  <c r="BK179" i="8"/>
  <c r="BJ179" i="8"/>
  <c r="BI179" i="8"/>
  <c r="BH179" i="8"/>
  <c r="CJ178" i="8"/>
  <c r="CI178" i="8"/>
  <c r="CH178" i="8"/>
  <c r="CG178" i="8"/>
  <c r="CF178" i="8"/>
  <c r="CE178" i="8"/>
  <c r="CD178" i="8"/>
  <c r="CC178" i="8"/>
  <c r="CB178" i="8"/>
  <c r="CA178" i="8"/>
  <c r="BZ178" i="8"/>
  <c r="BY178" i="8"/>
  <c r="BX178" i="8"/>
  <c r="BW178" i="8"/>
  <c r="BV178" i="8"/>
  <c r="BU178" i="8"/>
  <c r="BT178" i="8"/>
  <c r="BS178" i="8"/>
  <c r="BR178" i="8"/>
  <c r="BQ178" i="8"/>
  <c r="BP178" i="8"/>
  <c r="BO178" i="8"/>
  <c r="BN178" i="8"/>
  <c r="BM178" i="8"/>
  <c r="BL178" i="8"/>
  <c r="BK178" i="8"/>
  <c r="BJ178" i="8"/>
  <c r="BI178" i="8"/>
  <c r="BH178" i="8"/>
  <c r="CJ177" i="8"/>
  <c r="CI177" i="8"/>
  <c r="CH177" i="8"/>
  <c r="CG177" i="8"/>
  <c r="CF177" i="8"/>
  <c r="CE177" i="8"/>
  <c r="CD177" i="8"/>
  <c r="CC177" i="8"/>
  <c r="CB177" i="8"/>
  <c r="CA177" i="8"/>
  <c r="BZ177" i="8"/>
  <c r="BY177" i="8"/>
  <c r="BX177" i="8"/>
  <c r="BW177" i="8"/>
  <c r="BV177" i="8"/>
  <c r="BU177" i="8"/>
  <c r="BT177" i="8"/>
  <c r="BS177" i="8"/>
  <c r="BR177" i="8"/>
  <c r="BQ177" i="8"/>
  <c r="BP177" i="8"/>
  <c r="BO177" i="8"/>
  <c r="BN177" i="8"/>
  <c r="BM177" i="8"/>
  <c r="BL177" i="8"/>
  <c r="BK177" i="8"/>
  <c r="BJ177" i="8"/>
  <c r="BI177" i="8"/>
  <c r="BH177" i="8"/>
  <c r="CJ176" i="8"/>
  <c r="CI176" i="8"/>
  <c r="CH176" i="8"/>
  <c r="CG176" i="8"/>
  <c r="CF176" i="8"/>
  <c r="CE176" i="8"/>
  <c r="CD176" i="8"/>
  <c r="CC176" i="8"/>
  <c r="CB176" i="8"/>
  <c r="CA176" i="8"/>
  <c r="BZ176" i="8"/>
  <c r="BY176" i="8"/>
  <c r="BX176" i="8"/>
  <c r="BW176" i="8"/>
  <c r="BV176" i="8"/>
  <c r="BU176" i="8"/>
  <c r="BT176" i="8"/>
  <c r="BS176" i="8"/>
  <c r="BR176" i="8"/>
  <c r="BQ176" i="8"/>
  <c r="BP176" i="8"/>
  <c r="BO176" i="8"/>
  <c r="BN176" i="8"/>
  <c r="BM176" i="8"/>
  <c r="BL176" i="8"/>
  <c r="BK176" i="8"/>
  <c r="BJ176" i="8"/>
  <c r="BI176" i="8"/>
  <c r="BH176" i="8"/>
  <c r="CJ175" i="8"/>
  <c r="CI175" i="8"/>
  <c r="CH175" i="8"/>
  <c r="CG175" i="8"/>
  <c r="CF175" i="8"/>
  <c r="CE175" i="8"/>
  <c r="CD175" i="8"/>
  <c r="CC175" i="8"/>
  <c r="CB175" i="8"/>
  <c r="CA175" i="8"/>
  <c r="BZ175" i="8"/>
  <c r="BY175" i="8"/>
  <c r="BX175" i="8"/>
  <c r="BW175" i="8"/>
  <c r="BV175" i="8"/>
  <c r="BU175" i="8"/>
  <c r="BT175" i="8"/>
  <c r="BS175" i="8"/>
  <c r="BR175" i="8"/>
  <c r="BQ175" i="8"/>
  <c r="BP175" i="8"/>
  <c r="BO175" i="8"/>
  <c r="BN175" i="8"/>
  <c r="BM175" i="8"/>
  <c r="BL175" i="8"/>
  <c r="BK175" i="8"/>
  <c r="BJ175" i="8"/>
  <c r="BI175" i="8"/>
  <c r="BH175" i="8"/>
  <c r="CJ174" i="8"/>
  <c r="CI174" i="8"/>
  <c r="CH174" i="8"/>
  <c r="CG174" i="8"/>
  <c r="CF174" i="8"/>
  <c r="CE174" i="8"/>
  <c r="CD174" i="8"/>
  <c r="CC174" i="8"/>
  <c r="CB174" i="8"/>
  <c r="CA174" i="8"/>
  <c r="BZ174" i="8"/>
  <c r="BY174" i="8"/>
  <c r="BX174" i="8"/>
  <c r="BW174" i="8"/>
  <c r="BV174" i="8"/>
  <c r="BU174" i="8"/>
  <c r="BT174" i="8"/>
  <c r="BS174" i="8"/>
  <c r="BR174" i="8"/>
  <c r="BQ174" i="8"/>
  <c r="BP174" i="8"/>
  <c r="BO174" i="8"/>
  <c r="BN174" i="8"/>
  <c r="BM174" i="8"/>
  <c r="BL174" i="8"/>
  <c r="BK174" i="8"/>
  <c r="BJ174" i="8"/>
  <c r="BI174" i="8"/>
  <c r="BH174" i="8"/>
  <c r="CJ173" i="8"/>
  <c r="CI173" i="8"/>
  <c r="CH173" i="8"/>
  <c r="CG173" i="8"/>
  <c r="CF173" i="8"/>
  <c r="CE173" i="8"/>
  <c r="CD173" i="8"/>
  <c r="CC173" i="8"/>
  <c r="CB173" i="8"/>
  <c r="CA173" i="8"/>
  <c r="BZ173" i="8"/>
  <c r="BY173" i="8"/>
  <c r="BX173" i="8"/>
  <c r="BW173" i="8"/>
  <c r="BV173" i="8"/>
  <c r="BU173" i="8"/>
  <c r="BT173" i="8"/>
  <c r="BS173" i="8"/>
  <c r="BR173" i="8"/>
  <c r="BQ173" i="8"/>
  <c r="BP173" i="8"/>
  <c r="BO173" i="8"/>
  <c r="BN173" i="8"/>
  <c r="BM173" i="8"/>
  <c r="BL173" i="8"/>
  <c r="BK173" i="8"/>
  <c r="BJ173" i="8"/>
  <c r="BI173" i="8"/>
  <c r="BH173" i="8"/>
  <c r="CJ172" i="8"/>
  <c r="CI172" i="8"/>
  <c r="CH172" i="8"/>
  <c r="CG172" i="8"/>
  <c r="CF172" i="8"/>
  <c r="CE172" i="8"/>
  <c r="CD172" i="8"/>
  <c r="CC172" i="8"/>
  <c r="CB172" i="8"/>
  <c r="CA172" i="8"/>
  <c r="BZ172" i="8"/>
  <c r="BY172" i="8"/>
  <c r="BX172" i="8"/>
  <c r="BW172" i="8"/>
  <c r="BV172" i="8"/>
  <c r="BU172" i="8"/>
  <c r="BT172" i="8"/>
  <c r="BS172" i="8"/>
  <c r="BR172" i="8"/>
  <c r="BQ172" i="8"/>
  <c r="BP172" i="8"/>
  <c r="BO172" i="8"/>
  <c r="BN172" i="8"/>
  <c r="BM172" i="8"/>
  <c r="BL172" i="8"/>
  <c r="BK172" i="8"/>
  <c r="BJ172" i="8"/>
  <c r="BI172" i="8"/>
  <c r="BH172" i="8"/>
  <c r="CJ171" i="8"/>
  <c r="CI171" i="8"/>
  <c r="CH171" i="8"/>
  <c r="CG171" i="8"/>
  <c r="CF171" i="8"/>
  <c r="CE171" i="8"/>
  <c r="CD171" i="8"/>
  <c r="CC171" i="8"/>
  <c r="CB171" i="8"/>
  <c r="CA171" i="8"/>
  <c r="BZ171" i="8"/>
  <c r="BY171" i="8"/>
  <c r="BX171" i="8"/>
  <c r="BW171" i="8"/>
  <c r="BV171" i="8"/>
  <c r="BU171" i="8"/>
  <c r="BT171" i="8"/>
  <c r="BS171" i="8"/>
  <c r="BR171" i="8"/>
  <c r="BQ171" i="8"/>
  <c r="BP171" i="8"/>
  <c r="BO171" i="8"/>
  <c r="BN171" i="8"/>
  <c r="BM171" i="8"/>
  <c r="BL171" i="8"/>
  <c r="BK171" i="8"/>
  <c r="BJ171" i="8"/>
  <c r="BI171" i="8"/>
  <c r="BH171" i="8"/>
  <c r="CJ170" i="8"/>
  <c r="CI170" i="8"/>
  <c r="CH170" i="8"/>
  <c r="CG170" i="8"/>
  <c r="CF170" i="8"/>
  <c r="CE170" i="8"/>
  <c r="CD170" i="8"/>
  <c r="CC170" i="8"/>
  <c r="CB170" i="8"/>
  <c r="CA170" i="8"/>
  <c r="BZ170" i="8"/>
  <c r="BY170" i="8"/>
  <c r="BX170" i="8"/>
  <c r="BW170" i="8"/>
  <c r="BV170" i="8"/>
  <c r="BU170" i="8"/>
  <c r="BT170" i="8"/>
  <c r="BS170" i="8"/>
  <c r="BR170" i="8"/>
  <c r="BQ170" i="8"/>
  <c r="BP170" i="8"/>
  <c r="BO170" i="8"/>
  <c r="BN170" i="8"/>
  <c r="BM170" i="8"/>
  <c r="BL170" i="8"/>
  <c r="BK170" i="8"/>
  <c r="BJ170" i="8"/>
  <c r="BI170" i="8"/>
  <c r="BH170" i="8"/>
  <c r="CJ169" i="8"/>
  <c r="CI169" i="8"/>
  <c r="CH169" i="8"/>
  <c r="CG169" i="8"/>
  <c r="CF169" i="8"/>
  <c r="CE169" i="8"/>
  <c r="CD169" i="8"/>
  <c r="CC169" i="8"/>
  <c r="CB169" i="8"/>
  <c r="CA169" i="8"/>
  <c r="BZ169" i="8"/>
  <c r="BY169" i="8"/>
  <c r="BX169" i="8"/>
  <c r="BW169" i="8"/>
  <c r="BV169" i="8"/>
  <c r="BU169" i="8"/>
  <c r="BT169" i="8"/>
  <c r="BS169" i="8"/>
  <c r="BR169" i="8"/>
  <c r="BQ169" i="8"/>
  <c r="BP169" i="8"/>
  <c r="BO169" i="8"/>
  <c r="BN169" i="8"/>
  <c r="BM169" i="8"/>
  <c r="BL169" i="8"/>
  <c r="BK169" i="8"/>
  <c r="BJ169" i="8"/>
  <c r="BI169" i="8"/>
  <c r="BH169" i="8"/>
  <c r="CJ168" i="8"/>
  <c r="CI168" i="8"/>
  <c r="CH168" i="8"/>
  <c r="CG168" i="8"/>
  <c r="CF168" i="8"/>
  <c r="CE168" i="8"/>
  <c r="CD168" i="8"/>
  <c r="CC168" i="8"/>
  <c r="CB168" i="8"/>
  <c r="CA168" i="8"/>
  <c r="BZ168" i="8"/>
  <c r="BY168" i="8"/>
  <c r="BX168" i="8"/>
  <c r="BW168" i="8"/>
  <c r="BV168" i="8"/>
  <c r="BU168" i="8"/>
  <c r="BT168" i="8"/>
  <c r="BS168" i="8"/>
  <c r="BR168" i="8"/>
  <c r="BQ168" i="8"/>
  <c r="BP168" i="8"/>
  <c r="BO168" i="8"/>
  <c r="BN168" i="8"/>
  <c r="BM168" i="8"/>
  <c r="BL168" i="8"/>
  <c r="BK168" i="8"/>
  <c r="BJ168" i="8"/>
  <c r="BI168" i="8"/>
  <c r="BH168" i="8"/>
  <c r="CJ167" i="8"/>
  <c r="CI167" i="8"/>
  <c r="CH167" i="8"/>
  <c r="CG167" i="8"/>
  <c r="CF167" i="8"/>
  <c r="CE167" i="8"/>
  <c r="CD167" i="8"/>
  <c r="CC167" i="8"/>
  <c r="CB167" i="8"/>
  <c r="CA167" i="8"/>
  <c r="BZ167" i="8"/>
  <c r="BY167" i="8"/>
  <c r="BX167" i="8"/>
  <c r="BW167" i="8"/>
  <c r="BV167" i="8"/>
  <c r="BU167" i="8"/>
  <c r="BT167" i="8"/>
  <c r="BS167" i="8"/>
  <c r="BR167" i="8"/>
  <c r="BQ167" i="8"/>
  <c r="BP167" i="8"/>
  <c r="BO167" i="8"/>
  <c r="BN167" i="8"/>
  <c r="BM167" i="8"/>
  <c r="BL167" i="8"/>
  <c r="BK167" i="8"/>
  <c r="BJ167" i="8"/>
  <c r="BI167" i="8"/>
  <c r="BH167" i="8"/>
  <c r="CJ166" i="8"/>
  <c r="CI166" i="8"/>
  <c r="CH166" i="8"/>
  <c r="CG166" i="8"/>
  <c r="CF166" i="8"/>
  <c r="CE166" i="8"/>
  <c r="CD166" i="8"/>
  <c r="CC166" i="8"/>
  <c r="CB166" i="8"/>
  <c r="CA166" i="8"/>
  <c r="BZ166" i="8"/>
  <c r="BY166" i="8"/>
  <c r="BX166" i="8"/>
  <c r="BW166" i="8"/>
  <c r="BV166" i="8"/>
  <c r="BU166" i="8"/>
  <c r="BT166" i="8"/>
  <c r="BS166" i="8"/>
  <c r="BR166" i="8"/>
  <c r="BQ166" i="8"/>
  <c r="BP166" i="8"/>
  <c r="BO166" i="8"/>
  <c r="BN166" i="8"/>
  <c r="BM166" i="8"/>
  <c r="BL166" i="8"/>
  <c r="BK166" i="8"/>
  <c r="BJ166" i="8"/>
  <c r="BI166" i="8"/>
  <c r="BH166" i="8"/>
  <c r="CJ165" i="8"/>
  <c r="CI165" i="8"/>
  <c r="CH165" i="8"/>
  <c r="CG165" i="8"/>
  <c r="CF165" i="8"/>
  <c r="CE165" i="8"/>
  <c r="CD165" i="8"/>
  <c r="CC165" i="8"/>
  <c r="CB165" i="8"/>
  <c r="CA165" i="8"/>
  <c r="BZ165" i="8"/>
  <c r="BY165" i="8"/>
  <c r="BX165" i="8"/>
  <c r="BW165" i="8"/>
  <c r="BV165" i="8"/>
  <c r="BU165" i="8"/>
  <c r="BT165" i="8"/>
  <c r="BS165" i="8"/>
  <c r="BR165" i="8"/>
  <c r="BQ165" i="8"/>
  <c r="BP165" i="8"/>
  <c r="BO165" i="8"/>
  <c r="BN165" i="8"/>
  <c r="BM165" i="8"/>
  <c r="BL165" i="8"/>
  <c r="BK165" i="8"/>
  <c r="BJ165" i="8"/>
  <c r="BI165" i="8"/>
  <c r="BH165" i="8"/>
  <c r="CJ164" i="8"/>
  <c r="CI164" i="8"/>
  <c r="CH164" i="8"/>
  <c r="CG164" i="8"/>
  <c r="CF164" i="8"/>
  <c r="CE164" i="8"/>
  <c r="CD164" i="8"/>
  <c r="CC164" i="8"/>
  <c r="CB164" i="8"/>
  <c r="CA164" i="8"/>
  <c r="BZ164" i="8"/>
  <c r="BY164" i="8"/>
  <c r="BX164" i="8"/>
  <c r="BW164" i="8"/>
  <c r="BV164" i="8"/>
  <c r="BU164" i="8"/>
  <c r="BT164" i="8"/>
  <c r="BS164" i="8"/>
  <c r="BR164" i="8"/>
  <c r="BQ164" i="8"/>
  <c r="BP164" i="8"/>
  <c r="BO164" i="8"/>
  <c r="BN164" i="8"/>
  <c r="BM164" i="8"/>
  <c r="BL164" i="8"/>
  <c r="BK164" i="8"/>
  <c r="BJ164" i="8"/>
  <c r="BI164" i="8"/>
  <c r="BH164" i="8"/>
  <c r="CJ163" i="8"/>
  <c r="CI163" i="8"/>
  <c r="CH163" i="8"/>
  <c r="CG163" i="8"/>
  <c r="CF163" i="8"/>
  <c r="CE163" i="8"/>
  <c r="CD163" i="8"/>
  <c r="CC163" i="8"/>
  <c r="CB163" i="8"/>
  <c r="CA163" i="8"/>
  <c r="BZ163" i="8"/>
  <c r="BY163" i="8"/>
  <c r="BX163" i="8"/>
  <c r="BW163" i="8"/>
  <c r="BV163" i="8"/>
  <c r="BU163" i="8"/>
  <c r="BT163" i="8"/>
  <c r="BS163" i="8"/>
  <c r="BR163" i="8"/>
  <c r="BQ163" i="8"/>
  <c r="BP163" i="8"/>
  <c r="BO163" i="8"/>
  <c r="BN163" i="8"/>
  <c r="BM163" i="8"/>
  <c r="BL163" i="8"/>
  <c r="BK163" i="8"/>
  <c r="BJ163" i="8"/>
  <c r="BI163" i="8"/>
  <c r="BH163" i="8"/>
  <c r="CJ162" i="8"/>
  <c r="CI162" i="8"/>
  <c r="CH162" i="8"/>
  <c r="CG162" i="8"/>
  <c r="CF162" i="8"/>
  <c r="CE162" i="8"/>
  <c r="CD162" i="8"/>
  <c r="CC162" i="8"/>
  <c r="CB162" i="8"/>
  <c r="CA162" i="8"/>
  <c r="BZ162" i="8"/>
  <c r="BY162" i="8"/>
  <c r="BX162" i="8"/>
  <c r="BW162" i="8"/>
  <c r="BV162" i="8"/>
  <c r="BU162" i="8"/>
  <c r="BT162" i="8"/>
  <c r="BS162" i="8"/>
  <c r="BR162" i="8"/>
  <c r="BQ162" i="8"/>
  <c r="BP162" i="8"/>
  <c r="BO162" i="8"/>
  <c r="BN162" i="8"/>
  <c r="BM162" i="8"/>
  <c r="BL162" i="8"/>
  <c r="BK162" i="8"/>
  <c r="BJ162" i="8"/>
  <c r="BI162" i="8"/>
  <c r="BH162" i="8"/>
  <c r="CJ161" i="8"/>
  <c r="CI161" i="8"/>
  <c r="CH161" i="8"/>
  <c r="CG161" i="8"/>
  <c r="CF161" i="8"/>
  <c r="CE161" i="8"/>
  <c r="CD161" i="8"/>
  <c r="CC161" i="8"/>
  <c r="CB161" i="8"/>
  <c r="CA161" i="8"/>
  <c r="BZ161" i="8"/>
  <c r="BY161" i="8"/>
  <c r="BX161" i="8"/>
  <c r="BW161" i="8"/>
  <c r="BV161" i="8"/>
  <c r="BU161" i="8"/>
  <c r="BT161" i="8"/>
  <c r="BS161" i="8"/>
  <c r="BR161" i="8"/>
  <c r="BQ161" i="8"/>
  <c r="BP161" i="8"/>
  <c r="BO161" i="8"/>
  <c r="BN161" i="8"/>
  <c r="BM161" i="8"/>
  <c r="BL161" i="8"/>
  <c r="BK161" i="8"/>
  <c r="BJ161" i="8"/>
  <c r="BI161" i="8"/>
  <c r="BH161" i="8"/>
  <c r="CJ160" i="8"/>
  <c r="CI160" i="8"/>
  <c r="CH160" i="8"/>
  <c r="CG160" i="8"/>
  <c r="CF160" i="8"/>
  <c r="CE160" i="8"/>
  <c r="CD160" i="8"/>
  <c r="CC160" i="8"/>
  <c r="CB160" i="8"/>
  <c r="CA160" i="8"/>
  <c r="BZ160" i="8"/>
  <c r="BY160" i="8"/>
  <c r="BX160" i="8"/>
  <c r="BW160" i="8"/>
  <c r="BV160" i="8"/>
  <c r="BU160" i="8"/>
  <c r="BT160" i="8"/>
  <c r="BS160" i="8"/>
  <c r="BR160" i="8"/>
  <c r="BQ160" i="8"/>
  <c r="BP160" i="8"/>
  <c r="BO160" i="8"/>
  <c r="BN160" i="8"/>
  <c r="BM160" i="8"/>
  <c r="BL160" i="8"/>
  <c r="BK160" i="8"/>
  <c r="BJ160" i="8"/>
  <c r="BI160" i="8"/>
  <c r="BH160" i="8"/>
  <c r="CJ159" i="8"/>
  <c r="CI159" i="8"/>
  <c r="CH159" i="8"/>
  <c r="CG159" i="8"/>
  <c r="CF159" i="8"/>
  <c r="CE159" i="8"/>
  <c r="CD159" i="8"/>
  <c r="CC159" i="8"/>
  <c r="CB159" i="8"/>
  <c r="CA159" i="8"/>
  <c r="BZ159" i="8"/>
  <c r="BY159" i="8"/>
  <c r="BX159" i="8"/>
  <c r="BW159" i="8"/>
  <c r="BV159" i="8"/>
  <c r="BU159" i="8"/>
  <c r="BT159" i="8"/>
  <c r="BS159" i="8"/>
  <c r="BR159" i="8"/>
  <c r="BQ159" i="8"/>
  <c r="BP159" i="8"/>
  <c r="BO159" i="8"/>
  <c r="BN159" i="8"/>
  <c r="BM159" i="8"/>
  <c r="BL159" i="8"/>
  <c r="BK159" i="8"/>
  <c r="BJ159" i="8"/>
  <c r="BI159" i="8"/>
  <c r="BH159" i="8"/>
  <c r="CJ158" i="8"/>
  <c r="CI158" i="8"/>
  <c r="CH158" i="8"/>
  <c r="CG158" i="8"/>
  <c r="CF158" i="8"/>
  <c r="CE158" i="8"/>
  <c r="CD158" i="8"/>
  <c r="CC158" i="8"/>
  <c r="CB158" i="8"/>
  <c r="CA158" i="8"/>
  <c r="BZ158" i="8"/>
  <c r="BY158" i="8"/>
  <c r="BX158" i="8"/>
  <c r="BW158" i="8"/>
  <c r="BV158" i="8"/>
  <c r="BU158" i="8"/>
  <c r="BT158" i="8"/>
  <c r="BS158" i="8"/>
  <c r="BR158" i="8"/>
  <c r="BQ158" i="8"/>
  <c r="BP158" i="8"/>
  <c r="BO158" i="8"/>
  <c r="BN158" i="8"/>
  <c r="BM158" i="8"/>
  <c r="BL158" i="8"/>
  <c r="BK158" i="8"/>
  <c r="BJ158" i="8"/>
  <c r="BI158" i="8"/>
  <c r="BH158" i="8"/>
  <c r="CJ157" i="8"/>
  <c r="CI157" i="8"/>
  <c r="CH157" i="8"/>
  <c r="CG157" i="8"/>
  <c r="CF157" i="8"/>
  <c r="CE157" i="8"/>
  <c r="CD157" i="8"/>
  <c r="CC157" i="8"/>
  <c r="CB157" i="8"/>
  <c r="CA157" i="8"/>
  <c r="BZ157" i="8"/>
  <c r="BY157" i="8"/>
  <c r="BX157" i="8"/>
  <c r="BW157" i="8"/>
  <c r="BV157" i="8"/>
  <c r="BU157" i="8"/>
  <c r="BT157" i="8"/>
  <c r="BS157" i="8"/>
  <c r="BR157" i="8"/>
  <c r="BQ157" i="8"/>
  <c r="BP157" i="8"/>
  <c r="BO157" i="8"/>
  <c r="BN157" i="8"/>
  <c r="BM157" i="8"/>
  <c r="BL157" i="8"/>
  <c r="BK157" i="8"/>
  <c r="BJ157" i="8"/>
  <c r="BI157" i="8"/>
  <c r="BH157" i="8"/>
  <c r="CJ156" i="8"/>
  <c r="CI156" i="8"/>
  <c r="CH156" i="8"/>
  <c r="CG156" i="8"/>
  <c r="CF156" i="8"/>
  <c r="CE156" i="8"/>
  <c r="CD156" i="8"/>
  <c r="CC156" i="8"/>
  <c r="CB156" i="8"/>
  <c r="CA156" i="8"/>
  <c r="BZ156" i="8"/>
  <c r="BY156" i="8"/>
  <c r="BX156" i="8"/>
  <c r="BW156" i="8"/>
  <c r="BV156" i="8"/>
  <c r="BU156" i="8"/>
  <c r="BT156" i="8"/>
  <c r="BS156" i="8"/>
  <c r="BR156" i="8"/>
  <c r="BQ156" i="8"/>
  <c r="BP156" i="8"/>
  <c r="BO156" i="8"/>
  <c r="BN156" i="8"/>
  <c r="BM156" i="8"/>
  <c r="BL156" i="8"/>
  <c r="BK156" i="8"/>
  <c r="BJ156" i="8"/>
  <c r="BI156" i="8"/>
  <c r="BH156" i="8"/>
  <c r="CJ155" i="8"/>
  <c r="CI155" i="8"/>
  <c r="CH155" i="8"/>
  <c r="CG155" i="8"/>
  <c r="CF155" i="8"/>
  <c r="CE155" i="8"/>
  <c r="CD155" i="8"/>
  <c r="CC155" i="8"/>
  <c r="CB155" i="8"/>
  <c r="CA155" i="8"/>
  <c r="BZ155" i="8"/>
  <c r="BY155" i="8"/>
  <c r="BX155" i="8"/>
  <c r="BW155" i="8"/>
  <c r="BV155" i="8"/>
  <c r="BU155" i="8"/>
  <c r="BT155" i="8"/>
  <c r="BS155" i="8"/>
  <c r="BR155" i="8"/>
  <c r="BQ155" i="8"/>
  <c r="BP155" i="8"/>
  <c r="BO155" i="8"/>
  <c r="BN155" i="8"/>
  <c r="BM155" i="8"/>
  <c r="BL155" i="8"/>
  <c r="BK155" i="8"/>
  <c r="BJ155" i="8"/>
  <c r="BI155" i="8"/>
  <c r="BH155" i="8"/>
  <c r="CJ154" i="8"/>
  <c r="CI154" i="8"/>
  <c r="CH154" i="8"/>
  <c r="CG154" i="8"/>
  <c r="CF154" i="8"/>
  <c r="CE154" i="8"/>
  <c r="CD154" i="8"/>
  <c r="CC154" i="8"/>
  <c r="CB154" i="8"/>
  <c r="CA154" i="8"/>
  <c r="BZ154" i="8"/>
  <c r="BY154" i="8"/>
  <c r="BX154" i="8"/>
  <c r="BW154" i="8"/>
  <c r="BV154" i="8"/>
  <c r="BU154" i="8"/>
  <c r="BT154" i="8"/>
  <c r="BS154" i="8"/>
  <c r="BR154" i="8"/>
  <c r="BQ154" i="8"/>
  <c r="BP154" i="8"/>
  <c r="BO154" i="8"/>
  <c r="BN154" i="8"/>
  <c r="BM154" i="8"/>
  <c r="BL154" i="8"/>
  <c r="BK154" i="8"/>
  <c r="BJ154" i="8"/>
  <c r="BI154" i="8"/>
  <c r="BH154" i="8"/>
  <c r="CJ153" i="8"/>
  <c r="CI153" i="8"/>
  <c r="CH153" i="8"/>
  <c r="CG153" i="8"/>
  <c r="CF153" i="8"/>
  <c r="CE153" i="8"/>
  <c r="CD153" i="8"/>
  <c r="CC153" i="8"/>
  <c r="CB153" i="8"/>
  <c r="CA153" i="8"/>
  <c r="BZ153" i="8"/>
  <c r="BY153" i="8"/>
  <c r="BX153" i="8"/>
  <c r="BW153" i="8"/>
  <c r="BV153" i="8"/>
  <c r="BU153" i="8"/>
  <c r="BT153" i="8"/>
  <c r="BS153" i="8"/>
  <c r="BR153" i="8"/>
  <c r="BQ153" i="8"/>
  <c r="BP153" i="8"/>
  <c r="BO153" i="8"/>
  <c r="BN153" i="8"/>
  <c r="BM153" i="8"/>
  <c r="BL153" i="8"/>
  <c r="BK153" i="8"/>
  <c r="BJ153" i="8"/>
  <c r="BI153" i="8"/>
  <c r="BH153" i="8"/>
  <c r="CJ152" i="8"/>
  <c r="CI152" i="8"/>
  <c r="CH152" i="8"/>
  <c r="CG152" i="8"/>
  <c r="CF152" i="8"/>
  <c r="CE152" i="8"/>
  <c r="CD152" i="8"/>
  <c r="CC152" i="8"/>
  <c r="CB152" i="8"/>
  <c r="CA152" i="8"/>
  <c r="BZ152" i="8"/>
  <c r="BY152" i="8"/>
  <c r="BX152" i="8"/>
  <c r="BW152" i="8"/>
  <c r="BV152" i="8"/>
  <c r="BU152" i="8"/>
  <c r="BT152" i="8"/>
  <c r="BS152" i="8"/>
  <c r="BR152" i="8"/>
  <c r="BQ152" i="8"/>
  <c r="BP152" i="8"/>
  <c r="BO152" i="8"/>
  <c r="BN152" i="8"/>
  <c r="BM152" i="8"/>
  <c r="BL152" i="8"/>
  <c r="BK152" i="8"/>
  <c r="BJ152" i="8"/>
  <c r="BI152" i="8"/>
  <c r="BH152" i="8"/>
  <c r="CJ151" i="8"/>
  <c r="CI151" i="8"/>
  <c r="CH151" i="8"/>
  <c r="CG151" i="8"/>
  <c r="CF151" i="8"/>
  <c r="CE151" i="8"/>
  <c r="CD151" i="8"/>
  <c r="CC151" i="8"/>
  <c r="CB151" i="8"/>
  <c r="CA151" i="8"/>
  <c r="BZ151" i="8"/>
  <c r="BY151" i="8"/>
  <c r="BX151" i="8"/>
  <c r="BW151" i="8"/>
  <c r="BV151" i="8"/>
  <c r="BU151" i="8"/>
  <c r="BT151" i="8"/>
  <c r="BS151" i="8"/>
  <c r="BR151" i="8"/>
  <c r="BQ151" i="8"/>
  <c r="BP151" i="8"/>
  <c r="BO151" i="8"/>
  <c r="BN151" i="8"/>
  <c r="BM151" i="8"/>
  <c r="BL151" i="8"/>
  <c r="BK151" i="8"/>
  <c r="BJ151" i="8"/>
  <c r="BI151" i="8"/>
  <c r="BH151" i="8"/>
  <c r="CJ150" i="8"/>
  <c r="CI150" i="8"/>
  <c r="CH150" i="8"/>
  <c r="CG150" i="8"/>
  <c r="CF150" i="8"/>
  <c r="CE150" i="8"/>
  <c r="CD150" i="8"/>
  <c r="CC150" i="8"/>
  <c r="CB150" i="8"/>
  <c r="CA150" i="8"/>
  <c r="BZ150" i="8"/>
  <c r="BY150" i="8"/>
  <c r="BX150" i="8"/>
  <c r="BW150" i="8"/>
  <c r="BV150" i="8"/>
  <c r="BU150" i="8"/>
  <c r="BT150" i="8"/>
  <c r="BS150" i="8"/>
  <c r="BR150" i="8"/>
  <c r="BQ150" i="8"/>
  <c r="BP150" i="8"/>
  <c r="BO150" i="8"/>
  <c r="BN150" i="8"/>
  <c r="BM150" i="8"/>
  <c r="BL150" i="8"/>
  <c r="BK150" i="8"/>
  <c r="BJ150" i="8"/>
  <c r="BI150" i="8"/>
  <c r="BH150" i="8"/>
  <c r="CJ149" i="8"/>
  <c r="CI149" i="8"/>
  <c r="CH149" i="8"/>
  <c r="CG149" i="8"/>
  <c r="CF149" i="8"/>
  <c r="CE149" i="8"/>
  <c r="CD149" i="8"/>
  <c r="CC149" i="8"/>
  <c r="CB149" i="8"/>
  <c r="CA149" i="8"/>
  <c r="BZ149" i="8"/>
  <c r="BY149" i="8"/>
  <c r="BX149" i="8"/>
  <c r="BW149" i="8"/>
  <c r="BV149" i="8"/>
  <c r="BU149" i="8"/>
  <c r="BT149" i="8"/>
  <c r="BS149" i="8"/>
  <c r="BR149" i="8"/>
  <c r="BQ149" i="8"/>
  <c r="BP149" i="8"/>
  <c r="BO149" i="8"/>
  <c r="BN149" i="8"/>
  <c r="BM149" i="8"/>
  <c r="BL149" i="8"/>
  <c r="BK149" i="8"/>
  <c r="BJ149" i="8"/>
  <c r="BI149" i="8"/>
  <c r="BH149" i="8"/>
  <c r="CJ148" i="8"/>
  <c r="CI148" i="8"/>
  <c r="CH148" i="8"/>
  <c r="CG148" i="8"/>
  <c r="CF148" i="8"/>
  <c r="CE148" i="8"/>
  <c r="CD148" i="8"/>
  <c r="CC148" i="8"/>
  <c r="CB148" i="8"/>
  <c r="CA148" i="8"/>
  <c r="BZ148" i="8"/>
  <c r="BY148" i="8"/>
  <c r="BX148" i="8"/>
  <c r="BW148" i="8"/>
  <c r="BV148" i="8"/>
  <c r="BU148" i="8"/>
  <c r="BT148" i="8"/>
  <c r="BS148" i="8"/>
  <c r="BR148" i="8"/>
  <c r="BQ148" i="8"/>
  <c r="BP148" i="8"/>
  <c r="BO148" i="8"/>
  <c r="BN148" i="8"/>
  <c r="BM148" i="8"/>
  <c r="BL148" i="8"/>
  <c r="BK148" i="8"/>
  <c r="BJ148" i="8"/>
  <c r="BI148" i="8"/>
  <c r="BH148" i="8"/>
  <c r="CJ147" i="8"/>
  <c r="CI147" i="8"/>
  <c r="CH147" i="8"/>
  <c r="CG147" i="8"/>
  <c r="CF147" i="8"/>
  <c r="CE147" i="8"/>
  <c r="CD147" i="8"/>
  <c r="CC147" i="8"/>
  <c r="CB147" i="8"/>
  <c r="CA147" i="8"/>
  <c r="BZ147" i="8"/>
  <c r="BY147" i="8"/>
  <c r="BX147" i="8"/>
  <c r="BW147" i="8"/>
  <c r="BV147" i="8"/>
  <c r="BU147" i="8"/>
  <c r="BT147" i="8"/>
  <c r="BS147" i="8"/>
  <c r="BR147" i="8"/>
  <c r="BQ147" i="8"/>
  <c r="BP147" i="8"/>
  <c r="BO147" i="8"/>
  <c r="BN147" i="8"/>
  <c r="BM147" i="8"/>
  <c r="BL147" i="8"/>
  <c r="BK147" i="8"/>
  <c r="BJ147" i="8"/>
  <c r="BI147" i="8"/>
  <c r="BH147" i="8"/>
  <c r="CJ146" i="8"/>
  <c r="CI146" i="8"/>
  <c r="CH146" i="8"/>
  <c r="CG146" i="8"/>
  <c r="CF146" i="8"/>
  <c r="CE146" i="8"/>
  <c r="CD146" i="8"/>
  <c r="CC146" i="8"/>
  <c r="CB146" i="8"/>
  <c r="CA146" i="8"/>
  <c r="BZ146" i="8"/>
  <c r="BY146" i="8"/>
  <c r="BX146" i="8"/>
  <c r="BW146" i="8"/>
  <c r="BV146" i="8"/>
  <c r="BU146" i="8"/>
  <c r="BT146" i="8"/>
  <c r="BS146" i="8"/>
  <c r="BR146" i="8"/>
  <c r="BQ146" i="8"/>
  <c r="BP146" i="8"/>
  <c r="BO146" i="8"/>
  <c r="BN146" i="8"/>
  <c r="BM146" i="8"/>
  <c r="BL146" i="8"/>
  <c r="BK146" i="8"/>
  <c r="BJ146" i="8"/>
  <c r="BI146" i="8"/>
  <c r="BH146" i="8"/>
  <c r="CJ145" i="8"/>
  <c r="CI145" i="8"/>
  <c r="CH145" i="8"/>
  <c r="CG145" i="8"/>
  <c r="CF145" i="8"/>
  <c r="CE145" i="8"/>
  <c r="CD145" i="8"/>
  <c r="CC145" i="8"/>
  <c r="CB145" i="8"/>
  <c r="CA145" i="8"/>
  <c r="BZ145" i="8"/>
  <c r="BY145" i="8"/>
  <c r="BX145" i="8"/>
  <c r="BW145" i="8"/>
  <c r="BV145" i="8"/>
  <c r="BU145" i="8"/>
  <c r="BT145" i="8"/>
  <c r="BS145" i="8"/>
  <c r="BR145" i="8"/>
  <c r="BQ145" i="8"/>
  <c r="BP145" i="8"/>
  <c r="BO145" i="8"/>
  <c r="BN145" i="8"/>
  <c r="BM145" i="8"/>
  <c r="BL145" i="8"/>
  <c r="BK145" i="8"/>
  <c r="BJ145" i="8"/>
  <c r="BI145" i="8"/>
  <c r="BH145" i="8"/>
  <c r="CJ144" i="8"/>
  <c r="CI144" i="8"/>
  <c r="CH144" i="8"/>
  <c r="CG144" i="8"/>
  <c r="CF144" i="8"/>
  <c r="CE144" i="8"/>
  <c r="CD144" i="8"/>
  <c r="CC144" i="8"/>
  <c r="CB144" i="8"/>
  <c r="CA144" i="8"/>
  <c r="BZ144" i="8"/>
  <c r="BY144" i="8"/>
  <c r="BX144" i="8"/>
  <c r="BW144" i="8"/>
  <c r="BV144" i="8"/>
  <c r="BU144" i="8"/>
  <c r="BT144" i="8"/>
  <c r="BS144" i="8"/>
  <c r="BR144" i="8"/>
  <c r="BQ144" i="8"/>
  <c r="BP144" i="8"/>
  <c r="BO144" i="8"/>
  <c r="BN144" i="8"/>
  <c r="BM144" i="8"/>
  <c r="BL144" i="8"/>
  <c r="BK144" i="8"/>
  <c r="BJ144" i="8"/>
  <c r="BI144" i="8"/>
  <c r="BH144" i="8"/>
  <c r="CJ143" i="8"/>
  <c r="CI143" i="8"/>
  <c r="CH143" i="8"/>
  <c r="CG143" i="8"/>
  <c r="CF143" i="8"/>
  <c r="CE143" i="8"/>
  <c r="CD143" i="8"/>
  <c r="CC143" i="8"/>
  <c r="CB143" i="8"/>
  <c r="CA143" i="8"/>
  <c r="BZ143" i="8"/>
  <c r="BY143" i="8"/>
  <c r="BX143" i="8"/>
  <c r="BW143" i="8"/>
  <c r="BV143" i="8"/>
  <c r="BU143" i="8"/>
  <c r="BT143" i="8"/>
  <c r="BS143" i="8"/>
  <c r="BR143" i="8"/>
  <c r="BQ143" i="8"/>
  <c r="BP143" i="8"/>
  <c r="BO143" i="8"/>
  <c r="BN143" i="8"/>
  <c r="BM143" i="8"/>
  <c r="BL143" i="8"/>
  <c r="BK143" i="8"/>
  <c r="BJ143" i="8"/>
  <c r="BI143" i="8"/>
  <c r="BH143" i="8"/>
  <c r="CJ142" i="8"/>
  <c r="CI142" i="8"/>
  <c r="CH142" i="8"/>
  <c r="CG142" i="8"/>
  <c r="CF142" i="8"/>
  <c r="CE142" i="8"/>
  <c r="CD142" i="8"/>
  <c r="CC142" i="8"/>
  <c r="CB142" i="8"/>
  <c r="CA142" i="8"/>
  <c r="BZ142" i="8"/>
  <c r="BY142" i="8"/>
  <c r="BX142" i="8"/>
  <c r="BW142" i="8"/>
  <c r="BV142" i="8"/>
  <c r="BU142" i="8"/>
  <c r="BT142" i="8"/>
  <c r="BS142" i="8"/>
  <c r="BR142" i="8"/>
  <c r="BQ142" i="8"/>
  <c r="BP142" i="8"/>
  <c r="BO142" i="8"/>
  <c r="BN142" i="8"/>
  <c r="BM142" i="8"/>
  <c r="BL142" i="8"/>
  <c r="BK142" i="8"/>
  <c r="BJ142" i="8"/>
  <c r="BI142" i="8"/>
  <c r="BH142" i="8"/>
  <c r="CJ141" i="8"/>
  <c r="CI141" i="8"/>
  <c r="CH141" i="8"/>
  <c r="CG141" i="8"/>
  <c r="CF141" i="8"/>
  <c r="CE141" i="8"/>
  <c r="CD141" i="8"/>
  <c r="CC141" i="8"/>
  <c r="CB141" i="8"/>
  <c r="CA141" i="8"/>
  <c r="BZ141" i="8"/>
  <c r="BY141" i="8"/>
  <c r="BX141" i="8"/>
  <c r="BW141" i="8"/>
  <c r="BV141" i="8"/>
  <c r="BU141" i="8"/>
  <c r="BT141" i="8"/>
  <c r="BS141" i="8"/>
  <c r="BR141" i="8"/>
  <c r="BQ141" i="8"/>
  <c r="BP141" i="8"/>
  <c r="BO141" i="8"/>
  <c r="BN141" i="8"/>
  <c r="BM141" i="8"/>
  <c r="BL141" i="8"/>
  <c r="BK141" i="8"/>
  <c r="BJ141" i="8"/>
  <c r="BI141" i="8"/>
  <c r="BH141" i="8"/>
  <c r="CJ140" i="8"/>
  <c r="CI140" i="8"/>
  <c r="CH140" i="8"/>
  <c r="CG140" i="8"/>
  <c r="CF140" i="8"/>
  <c r="CE140" i="8"/>
  <c r="CD140" i="8"/>
  <c r="CC140" i="8"/>
  <c r="CB140" i="8"/>
  <c r="CA140" i="8"/>
  <c r="BZ140" i="8"/>
  <c r="BY140" i="8"/>
  <c r="BX140" i="8"/>
  <c r="BW140" i="8"/>
  <c r="BV140" i="8"/>
  <c r="BU140" i="8"/>
  <c r="BT140" i="8"/>
  <c r="BS140" i="8"/>
  <c r="BR140" i="8"/>
  <c r="BQ140" i="8"/>
  <c r="BP140" i="8"/>
  <c r="BO140" i="8"/>
  <c r="BN140" i="8"/>
  <c r="BM140" i="8"/>
  <c r="BL140" i="8"/>
  <c r="BK140" i="8"/>
  <c r="BJ140" i="8"/>
  <c r="BI140" i="8"/>
  <c r="BH140" i="8"/>
  <c r="CJ139" i="8"/>
  <c r="CI139" i="8"/>
  <c r="CH139" i="8"/>
  <c r="CG139" i="8"/>
  <c r="CF139" i="8"/>
  <c r="CE139" i="8"/>
  <c r="CD139" i="8"/>
  <c r="CC139" i="8"/>
  <c r="CB139" i="8"/>
  <c r="CA139" i="8"/>
  <c r="BZ139" i="8"/>
  <c r="BY139" i="8"/>
  <c r="BX139" i="8"/>
  <c r="BW139" i="8"/>
  <c r="BV139" i="8"/>
  <c r="BU139" i="8"/>
  <c r="BT139" i="8"/>
  <c r="BS139" i="8"/>
  <c r="BR139" i="8"/>
  <c r="BQ139" i="8"/>
  <c r="BP139" i="8"/>
  <c r="BO139" i="8"/>
  <c r="BN139" i="8"/>
  <c r="BM139" i="8"/>
  <c r="BL139" i="8"/>
  <c r="BK139" i="8"/>
  <c r="BJ139" i="8"/>
  <c r="BI139" i="8"/>
  <c r="BH139" i="8"/>
  <c r="CJ138" i="8"/>
  <c r="CI138" i="8"/>
  <c r="CH138" i="8"/>
  <c r="CG138" i="8"/>
  <c r="CF138" i="8"/>
  <c r="CE138" i="8"/>
  <c r="CD138" i="8"/>
  <c r="CC138" i="8"/>
  <c r="CB138" i="8"/>
  <c r="CA138" i="8"/>
  <c r="BZ138" i="8"/>
  <c r="BY138" i="8"/>
  <c r="BX138" i="8"/>
  <c r="BW138" i="8"/>
  <c r="BV138" i="8"/>
  <c r="BU138" i="8"/>
  <c r="BT138" i="8"/>
  <c r="BS138" i="8"/>
  <c r="BR138" i="8"/>
  <c r="BQ138" i="8"/>
  <c r="BP138" i="8"/>
  <c r="BO138" i="8"/>
  <c r="BN138" i="8"/>
  <c r="BM138" i="8"/>
  <c r="BL138" i="8"/>
  <c r="BK138" i="8"/>
  <c r="BJ138" i="8"/>
  <c r="BI138" i="8"/>
  <c r="BH138" i="8"/>
  <c r="CJ137" i="8"/>
  <c r="CI137" i="8"/>
  <c r="CH137" i="8"/>
  <c r="CG137" i="8"/>
  <c r="CF137" i="8"/>
  <c r="CE137" i="8"/>
  <c r="CD137" i="8"/>
  <c r="CC137" i="8"/>
  <c r="CB137" i="8"/>
  <c r="CA137" i="8"/>
  <c r="BZ137" i="8"/>
  <c r="BY137" i="8"/>
  <c r="BX137" i="8"/>
  <c r="BW137" i="8"/>
  <c r="BV137" i="8"/>
  <c r="BU137" i="8"/>
  <c r="BT137" i="8"/>
  <c r="BS137" i="8"/>
  <c r="BR137" i="8"/>
  <c r="BQ137" i="8"/>
  <c r="BP137" i="8"/>
  <c r="BO137" i="8"/>
  <c r="BN137" i="8"/>
  <c r="BM137" i="8"/>
  <c r="BL137" i="8"/>
  <c r="BK137" i="8"/>
  <c r="BJ137" i="8"/>
  <c r="BI137" i="8"/>
  <c r="BH137" i="8"/>
  <c r="CJ136" i="8"/>
  <c r="CI136" i="8"/>
  <c r="CH136" i="8"/>
  <c r="CG136" i="8"/>
  <c r="CF136" i="8"/>
  <c r="CE136" i="8"/>
  <c r="CD136" i="8"/>
  <c r="CC136" i="8"/>
  <c r="CB136" i="8"/>
  <c r="CA136" i="8"/>
  <c r="BZ136" i="8"/>
  <c r="BY136" i="8"/>
  <c r="BX136" i="8"/>
  <c r="BW136" i="8"/>
  <c r="BV136" i="8"/>
  <c r="BU136" i="8"/>
  <c r="BT136" i="8"/>
  <c r="BS136" i="8"/>
  <c r="BR136" i="8"/>
  <c r="BQ136" i="8"/>
  <c r="BP136" i="8"/>
  <c r="BO136" i="8"/>
  <c r="BN136" i="8"/>
  <c r="BM136" i="8"/>
  <c r="BL136" i="8"/>
  <c r="BK136" i="8"/>
  <c r="BJ136" i="8"/>
  <c r="BI136" i="8"/>
  <c r="BH136" i="8"/>
  <c r="CJ135" i="8"/>
  <c r="CI135" i="8"/>
  <c r="CH135" i="8"/>
  <c r="CG135" i="8"/>
  <c r="CF135" i="8"/>
  <c r="CE135" i="8"/>
  <c r="CD135" i="8"/>
  <c r="CC135" i="8"/>
  <c r="CB135" i="8"/>
  <c r="CA135" i="8"/>
  <c r="BZ135" i="8"/>
  <c r="BY135" i="8"/>
  <c r="BX135" i="8"/>
  <c r="BW135" i="8"/>
  <c r="BV135" i="8"/>
  <c r="BU135" i="8"/>
  <c r="BT135" i="8"/>
  <c r="BS135" i="8"/>
  <c r="BR135" i="8"/>
  <c r="BQ135" i="8"/>
  <c r="BP135" i="8"/>
  <c r="BO135" i="8"/>
  <c r="BN135" i="8"/>
  <c r="BM135" i="8"/>
  <c r="BL135" i="8"/>
  <c r="BK135" i="8"/>
  <c r="BJ135" i="8"/>
  <c r="BI135" i="8"/>
  <c r="BH135" i="8"/>
  <c r="CJ134" i="8"/>
  <c r="CI134" i="8"/>
  <c r="CH134" i="8"/>
  <c r="CG134" i="8"/>
  <c r="CF134" i="8"/>
  <c r="CE134" i="8"/>
  <c r="CD134" i="8"/>
  <c r="CC134" i="8"/>
  <c r="CB134" i="8"/>
  <c r="CA134" i="8"/>
  <c r="BZ134" i="8"/>
  <c r="BY134" i="8"/>
  <c r="BX134" i="8"/>
  <c r="BW134" i="8"/>
  <c r="BV134" i="8"/>
  <c r="BU134" i="8"/>
  <c r="BT134" i="8"/>
  <c r="BS134" i="8"/>
  <c r="BR134" i="8"/>
  <c r="BQ134" i="8"/>
  <c r="BP134" i="8"/>
  <c r="BO134" i="8"/>
  <c r="BN134" i="8"/>
  <c r="BM134" i="8"/>
  <c r="BL134" i="8"/>
  <c r="BK134" i="8"/>
  <c r="BJ134" i="8"/>
  <c r="BI134" i="8"/>
  <c r="BH134" i="8"/>
  <c r="CJ133" i="8"/>
  <c r="CI133" i="8"/>
  <c r="CH133" i="8"/>
  <c r="CG133" i="8"/>
  <c r="CF133" i="8"/>
  <c r="CE133" i="8"/>
  <c r="CD133" i="8"/>
  <c r="CC133" i="8"/>
  <c r="CB133" i="8"/>
  <c r="CA133" i="8"/>
  <c r="BZ133" i="8"/>
  <c r="BY133" i="8"/>
  <c r="BX133" i="8"/>
  <c r="BW133" i="8"/>
  <c r="BV133" i="8"/>
  <c r="BU133" i="8"/>
  <c r="BT133" i="8"/>
  <c r="BS133" i="8"/>
  <c r="BR133" i="8"/>
  <c r="BQ133" i="8"/>
  <c r="BP133" i="8"/>
  <c r="BO133" i="8"/>
  <c r="BN133" i="8"/>
  <c r="BM133" i="8"/>
  <c r="BL133" i="8"/>
  <c r="BK133" i="8"/>
  <c r="BJ133" i="8"/>
  <c r="BI133" i="8"/>
  <c r="BH133" i="8"/>
  <c r="CJ132" i="8"/>
  <c r="CI132" i="8"/>
  <c r="CH132" i="8"/>
  <c r="CG132" i="8"/>
  <c r="CF132" i="8"/>
  <c r="CE132" i="8"/>
  <c r="CD132" i="8"/>
  <c r="CC132" i="8"/>
  <c r="CB132" i="8"/>
  <c r="CA132" i="8"/>
  <c r="BZ132" i="8"/>
  <c r="BY132" i="8"/>
  <c r="BX132" i="8"/>
  <c r="BW132" i="8"/>
  <c r="BV132" i="8"/>
  <c r="BU132" i="8"/>
  <c r="BT132" i="8"/>
  <c r="BS132" i="8"/>
  <c r="BR132" i="8"/>
  <c r="BQ132" i="8"/>
  <c r="BP132" i="8"/>
  <c r="BO132" i="8"/>
  <c r="BN132" i="8"/>
  <c r="BM132" i="8"/>
  <c r="BL132" i="8"/>
  <c r="BK132" i="8"/>
  <c r="BJ132" i="8"/>
  <c r="BI132" i="8"/>
  <c r="BH132" i="8"/>
  <c r="CJ131" i="8"/>
  <c r="CI131" i="8"/>
  <c r="CH131" i="8"/>
  <c r="CG131" i="8"/>
  <c r="CF131" i="8"/>
  <c r="CE131" i="8"/>
  <c r="CD131" i="8"/>
  <c r="CC131" i="8"/>
  <c r="CB131" i="8"/>
  <c r="CA131" i="8"/>
  <c r="BZ131" i="8"/>
  <c r="BY131" i="8"/>
  <c r="BX131" i="8"/>
  <c r="BW131" i="8"/>
  <c r="BV131" i="8"/>
  <c r="BU131" i="8"/>
  <c r="BT131" i="8"/>
  <c r="BS131" i="8"/>
  <c r="BR131" i="8"/>
  <c r="BQ131" i="8"/>
  <c r="BP131" i="8"/>
  <c r="BO131" i="8"/>
  <c r="BN131" i="8"/>
  <c r="BM131" i="8"/>
  <c r="BL131" i="8"/>
  <c r="BK131" i="8"/>
  <c r="BJ131" i="8"/>
  <c r="BI131" i="8"/>
  <c r="BH131" i="8"/>
  <c r="CJ130" i="8"/>
  <c r="CI130" i="8"/>
  <c r="CH130" i="8"/>
  <c r="CG130" i="8"/>
  <c r="CF130" i="8"/>
  <c r="CE130" i="8"/>
  <c r="CD130" i="8"/>
  <c r="CC130" i="8"/>
  <c r="CB130" i="8"/>
  <c r="CA130" i="8"/>
  <c r="BZ130" i="8"/>
  <c r="BY130" i="8"/>
  <c r="BX130" i="8"/>
  <c r="BW130" i="8"/>
  <c r="BV130" i="8"/>
  <c r="BU130" i="8"/>
  <c r="BT130" i="8"/>
  <c r="BS130" i="8"/>
  <c r="BR130" i="8"/>
  <c r="BQ130" i="8"/>
  <c r="BP130" i="8"/>
  <c r="BO130" i="8"/>
  <c r="BN130" i="8"/>
  <c r="BM130" i="8"/>
  <c r="BL130" i="8"/>
  <c r="BK130" i="8"/>
  <c r="BJ130" i="8"/>
  <c r="BI130" i="8"/>
  <c r="BH130" i="8"/>
  <c r="CJ129" i="8"/>
  <c r="CI129" i="8"/>
  <c r="CH129" i="8"/>
  <c r="CG129" i="8"/>
  <c r="CF129" i="8"/>
  <c r="CE129" i="8"/>
  <c r="CD129" i="8"/>
  <c r="CC129" i="8"/>
  <c r="CB129" i="8"/>
  <c r="CA129" i="8"/>
  <c r="BZ129" i="8"/>
  <c r="BY129" i="8"/>
  <c r="BX129" i="8"/>
  <c r="BW129" i="8"/>
  <c r="BV129" i="8"/>
  <c r="BU129" i="8"/>
  <c r="BT129" i="8"/>
  <c r="BS129" i="8"/>
  <c r="BR129" i="8"/>
  <c r="BQ129" i="8"/>
  <c r="BP129" i="8"/>
  <c r="BO129" i="8"/>
  <c r="BN129" i="8"/>
  <c r="BM129" i="8"/>
  <c r="BL129" i="8"/>
  <c r="BK129" i="8"/>
  <c r="BJ129" i="8"/>
  <c r="BI129" i="8"/>
  <c r="BH129" i="8"/>
  <c r="CJ128" i="8"/>
  <c r="CI128" i="8"/>
  <c r="CH128" i="8"/>
  <c r="CG128" i="8"/>
  <c r="CF128" i="8"/>
  <c r="CE128" i="8"/>
  <c r="CD128" i="8"/>
  <c r="CC128" i="8"/>
  <c r="CB128" i="8"/>
  <c r="CA128" i="8"/>
  <c r="BZ128" i="8"/>
  <c r="BY128" i="8"/>
  <c r="BX128" i="8"/>
  <c r="BW128" i="8"/>
  <c r="BV128" i="8"/>
  <c r="BU128" i="8"/>
  <c r="BT128" i="8"/>
  <c r="BS128" i="8"/>
  <c r="BR128" i="8"/>
  <c r="BQ128" i="8"/>
  <c r="BP128" i="8"/>
  <c r="BO128" i="8"/>
  <c r="BN128" i="8"/>
  <c r="BM128" i="8"/>
  <c r="BL128" i="8"/>
  <c r="BK128" i="8"/>
  <c r="BJ128" i="8"/>
  <c r="BI128" i="8"/>
  <c r="BH128" i="8"/>
  <c r="CJ127" i="8"/>
  <c r="CI127" i="8"/>
  <c r="CH127" i="8"/>
  <c r="CG127" i="8"/>
  <c r="CF127" i="8"/>
  <c r="CE127" i="8"/>
  <c r="CD127" i="8"/>
  <c r="CC127" i="8"/>
  <c r="CB127" i="8"/>
  <c r="CA127" i="8"/>
  <c r="BZ127" i="8"/>
  <c r="BY127" i="8"/>
  <c r="BX127" i="8"/>
  <c r="BW127" i="8"/>
  <c r="BV127" i="8"/>
  <c r="BU127" i="8"/>
  <c r="BT127" i="8"/>
  <c r="BS127" i="8"/>
  <c r="BR127" i="8"/>
  <c r="BQ127" i="8"/>
  <c r="BP127" i="8"/>
  <c r="BO127" i="8"/>
  <c r="BN127" i="8"/>
  <c r="BM127" i="8"/>
  <c r="BL127" i="8"/>
  <c r="BK127" i="8"/>
  <c r="BJ127" i="8"/>
  <c r="BI127" i="8"/>
  <c r="BH127"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CJ125" i="8"/>
  <c r="CI125" i="8"/>
  <c r="CH125" i="8"/>
  <c r="CG125" i="8"/>
  <c r="CF125" i="8"/>
  <c r="CE125" i="8"/>
  <c r="CD125" i="8"/>
  <c r="CC125" i="8"/>
  <c r="CB125" i="8"/>
  <c r="CA125" i="8"/>
  <c r="BZ125" i="8"/>
  <c r="BY125" i="8"/>
  <c r="BX125" i="8"/>
  <c r="BW125" i="8"/>
  <c r="BV125" i="8"/>
  <c r="BU125" i="8"/>
  <c r="BT125" i="8"/>
  <c r="BS125" i="8"/>
  <c r="BR125" i="8"/>
  <c r="BQ125" i="8"/>
  <c r="BP125" i="8"/>
  <c r="BO125" i="8"/>
  <c r="BN125" i="8"/>
  <c r="BM125" i="8"/>
  <c r="BL125" i="8"/>
  <c r="BK125" i="8"/>
  <c r="BJ125" i="8"/>
  <c r="BI125" i="8"/>
  <c r="BH125" i="8"/>
  <c r="CJ124" i="8"/>
  <c r="CI124" i="8"/>
  <c r="CH124" i="8"/>
  <c r="CG124" i="8"/>
  <c r="CF124" i="8"/>
  <c r="CE124" i="8"/>
  <c r="CD124" i="8"/>
  <c r="CC124" i="8"/>
  <c r="CB124" i="8"/>
  <c r="CA124" i="8"/>
  <c r="BZ124" i="8"/>
  <c r="BY124" i="8"/>
  <c r="BX124" i="8"/>
  <c r="BW124" i="8"/>
  <c r="BV124" i="8"/>
  <c r="BU124" i="8"/>
  <c r="BT124" i="8"/>
  <c r="BS124" i="8"/>
  <c r="BR124" i="8"/>
  <c r="BQ124" i="8"/>
  <c r="BP124" i="8"/>
  <c r="BO124" i="8"/>
  <c r="BN124" i="8"/>
  <c r="BM124" i="8"/>
  <c r="BL124" i="8"/>
  <c r="BK124" i="8"/>
  <c r="BJ124" i="8"/>
  <c r="BI124" i="8"/>
  <c r="BH124" i="8"/>
  <c r="CJ123" i="8"/>
  <c r="CI123" i="8"/>
  <c r="CH123" i="8"/>
  <c r="CG123" i="8"/>
  <c r="CF123" i="8"/>
  <c r="CE123" i="8"/>
  <c r="CD123" i="8"/>
  <c r="CC123" i="8"/>
  <c r="CB123" i="8"/>
  <c r="CA123" i="8"/>
  <c r="BZ123" i="8"/>
  <c r="BY123" i="8"/>
  <c r="BX123" i="8"/>
  <c r="BW123" i="8"/>
  <c r="BV123" i="8"/>
  <c r="BU123" i="8"/>
  <c r="BT123" i="8"/>
  <c r="BS123" i="8"/>
  <c r="BR123" i="8"/>
  <c r="BQ123" i="8"/>
  <c r="BP123" i="8"/>
  <c r="BO123" i="8"/>
  <c r="BN123" i="8"/>
  <c r="BM123" i="8"/>
  <c r="BL123" i="8"/>
  <c r="BK123" i="8"/>
  <c r="BJ123" i="8"/>
  <c r="BI123" i="8"/>
  <c r="BH123" i="8"/>
  <c r="CJ122" i="8"/>
  <c r="CI122" i="8"/>
  <c r="CH122" i="8"/>
  <c r="CG122" i="8"/>
  <c r="CF122" i="8"/>
  <c r="CE122" i="8"/>
  <c r="CD122" i="8"/>
  <c r="CC122" i="8"/>
  <c r="CB122" i="8"/>
  <c r="CA122" i="8"/>
  <c r="BZ122" i="8"/>
  <c r="BY122" i="8"/>
  <c r="BX122" i="8"/>
  <c r="BW122" i="8"/>
  <c r="BV122" i="8"/>
  <c r="BU122" i="8"/>
  <c r="BT122" i="8"/>
  <c r="BS122" i="8"/>
  <c r="BR122" i="8"/>
  <c r="BQ122" i="8"/>
  <c r="BP122" i="8"/>
  <c r="BO122" i="8"/>
  <c r="BN122" i="8"/>
  <c r="BM122" i="8"/>
  <c r="BL122" i="8"/>
  <c r="BK122" i="8"/>
  <c r="BJ122" i="8"/>
  <c r="BI122" i="8"/>
  <c r="BH122" i="8"/>
  <c r="CJ121" i="8"/>
  <c r="CI121" i="8"/>
  <c r="CH121" i="8"/>
  <c r="CG121" i="8"/>
  <c r="CF121" i="8"/>
  <c r="CE121" i="8"/>
  <c r="CD121" i="8"/>
  <c r="CC121" i="8"/>
  <c r="CB121" i="8"/>
  <c r="CA121" i="8"/>
  <c r="BZ121" i="8"/>
  <c r="BY121" i="8"/>
  <c r="BX121" i="8"/>
  <c r="BW121" i="8"/>
  <c r="BV121" i="8"/>
  <c r="BU121" i="8"/>
  <c r="BT121" i="8"/>
  <c r="BS121" i="8"/>
  <c r="BR121" i="8"/>
  <c r="BQ121" i="8"/>
  <c r="BP121" i="8"/>
  <c r="BO121" i="8"/>
  <c r="BN121" i="8"/>
  <c r="BM121" i="8"/>
  <c r="BL121" i="8"/>
  <c r="BK121" i="8"/>
  <c r="BJ121" i="8"/>
  <c r="BI121" i="8"/>
  <c r="BH121" i="8"/>
  <c r="CJ120" i="8"/>
  <c r="CI120" i="8"/>
  <c r="CH120" i="8"/>
  <c r="CG120" i="8"/>
  <c r="CF120" i="8"/>
  <c r="CE120" i="8"/>
  <c r="CD120" i="8"/>
  <c r="CC120" i="8"/>
  <c r="CB120" i="8"/>
  <c r="CA120" i="8"/>
  <c r="BZ120" i="8"/>
  <c r="BY120" i="8"/>
  <c r="BX120" i="8"/>
  <c r="BW120" i="8"/>
  <c r="BV120" i="8"/>
  <c r="BU120" i="8"/>
  <c r="BT120" i="8"/>
  <c r="BS120" i="8"/>
  <c r="BR120" i="8"/>
  <c r="BQ120" i="8"/>
  <c r="BP120" i="8"/>
  <c r="BO120" i="8"/>
  <c r="BN120" i="8"/>
  <c r="BM120" i="8"/>
  <c r="BL120" i="8"/>
  <c r="BK120" i="8"/>
  <c r="BJ120" i="8"/>
  <c r="BI120" i="8"/>
  <c r="BH120" i="8"/>
  <c r="CJ119" i="8"/>
  <c r="CI119" i="8"/>
  <c r="CH119" i="8"/>
  <c r="CG119" i="8"/>
  <c r="CF119" i="8"/>
  <c r="CE119" i="8"/>
  <c r="CD119" i="8"/>
  <c r="CC119" i="8"/>
  <c r="CB119" i="8"/>
  <c r="CA119" i="8"/>
  <c r="BZ119" i="8"/>
  <c r="BY119" i="8"/>
  <c r="BX119" i="8"/>
  <c r="BW119" i="8"/>
  <c r="BV119" i="8"/>
  <c r="BU119" i="8"/>
  <c r="BT119" i="8"/>
  <c r="BS119" i="8"/>
  <c r="BR119" i="8"/>
  <c r="BQ119" i="8"/>
  <c r="BP119" i="8"/>
  <c r="BO119" i="8"/>
  <c r="BN119" i="8"/>
  <c r="BM119" i="8"/>
  <c r="BL119" i="8"/>
  <c r="BK119" i="8"/>
  <c r="BJ119" i="8"/>
  <c r="BI119" i="8"/>
  <c r="BH119"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CJ117" i="8"/>
  <c r="CI117" i="8"/>
  <c r="CH117" i="8"/>
  <c r="CG117" i="8"/>
  <c r="CF117" i="8"/>
  <c r="CE117" i="8"/>
  <c r="CD117" i="8"/>
  <c r="CC117" i="8"/>
  <c r="CB117" i="8"/>
  <c r="CA117" i="8"/>
  <c r="BZ117" i="8"/>
  <c r="BY117" i="8"/>
  <c r="BX117" i="8"/>
  <c r="BW117" i="8"/>
  <c r="BV117" i="8"/>
  <c r="BU117" i="8"/>
  <c r="BT117" i="8"/>
  <c r="BS117" i="8"/>
  <c r="BR117" i="8"/>
  <c r="BQ117" i="8"/>
  <c r="BP117" i="8"/>
  <c r="BO117" i="8"/>
  <c r="BN117" i="8"/>
  <c r="BM117" i="8"/>
  <c r="BL117" i="8"/>
  <c r="BK117" i="8"/>
  <c r="BJ117" i="8"/>
  <c r="BI117" i="8"/>
  <c r="BH117" i="8"/>
  <c r="CJ116" i="8"/>
  <c r="CI116" i="8"/>
  <c r="CH116" i="8"/>
  <c r="CG116" i="8"/>
  <c r="CF116" i="8"/>
  <c r="CE116" i="8"/>
  <c r="CD116" i="8"/>
  <c r="CC116" i="8"/>
  <c r="CB116" i="8"/>
  <c r="CA116" i="8"/>
  <c r="BZ116" i="8"/>
  <c r="BY116" i="8"/>
  <c r="BX116" i="8"/>
  <c r="BW116" i="8"/>
  <c r="BV116" i="8"/>
  <c r="BU116" i="8"/>
  <c r="BT116" i="8"/>
  <c r="BS116" i="8"/>
  <c r="BR116" i="8"/>
  <c r="BQ116" i="8"/>
  <c r="BP116" i="8"/>
  <c r="BO116" i="8"/>
  <c r="BN116" i="8"/>
  <c r="BM116" i="8"/>
  <c r="BL116" i="8"/>
  <c r="BK116" i="8"/>
  <c r="BJ116" i="8"/>
  <c r="BI116" i="8"/>
  <c r="BH116" i="8"/>
  <c r="CJ115" i="8"/>
  <c r="CI115" i="8"/>
  <c r="CH115" i="8"/>
  <c r="CG115" i="8"/>
  <c r="CF115" i="8"/>
  <c r="CE115" i="8"/>
  <c r="CD115" i="8"/>
  <c r="CC115" i="8"/>
  <c r="CB115" i="8"/>
  <c r="CA115" i="8"/>
  <c r="BZ115" i="8"/>
  <c r="BY115" i="8"/>
  <c r="BX115" i="8"/>
  <c r="BW115" i="8"/>
  <c r="BV115" i="8"/>
  <c r="BU115" i="8"/>
  <c r="BT115" i="8"/>
  <c r="BS115" i="8"/>
  <c r="BR115" i="8"/>
  <c r="BQ115" i="8"/>
  <c r="BP115" i="8"/>
  <c r="BO115" i="8"/>
  <c r="BN115" i="8"/>
  <c r="BM115" i="8"/>
  <c r="BL115" i="8"/>
  <c r="BK115" i="8"/>
  <c r="BJ115" i="8"/>
  <c r="BI115" i="8"/>
  <c r="BH115" i="8"/>
  <c r="CJ114" i="8"/>
  <c r="CI114" i="8"/>
  <c r="CH114" i="8"/>
  <c r="CG114" i="8"/>
  <c r="CF114" i="8"/>
  <c r="CE114" i="8"/>
  <c r="CD114" i="8"/>
  <c r="CC114" i="8"/>
  <c r="CB114" i="8"/>
  <c r="CA114" i="8"/>
  <c r="BZ114" i="8"/>
  <c r="BY114" i="8"/>
  <c r="BX114" i="8"/>
  <c r="BW114" i="8"/>
  <c r="BV114" i="8"/>
  <c r="BU114" i="8"/>
  <c r="BT114" i="8"/>
  <c r="BS114" i="8"/>
  <c r="BR114" i="8"/>
  <c r="BQ114" i="8"/>
  <c r="BP114" i="8"/>
  <c r="BO114" i="8"/>
  <c r="BN114" i="8"/>
  <c r="BM114" i="8"/>
  <c r="BL114" i="8"/>
  <c r="BK114" i="8"/>
  <c r="BJ114" i="8"/>
  <c r="BI114" i="8"/>
  <c r="BH114" i="8"/>
  <c r="CJ113" i="8"/>
  <c r="CI113" i="8"/>
  <c r="CH113" i="8"/>
  <c r="CG113" i="8"/>
  <c r="CF113" i="8"/>
  <c r="CE113" i="8"/>
  <c r="CD113" i="8"/>
  <c r="CC113" i="8"/>
  <c r="CB113" i="8"/>
  <c r="CA113" i="8"/>
  <c r="BZ113" i="8"/>
  <c r="BY113" i="8"/>
  <c r="BX113" i="8"/>
  <c r="BW113" i="8"/>
  <c r="BV113" i="8"/>
  <c r="BU113" i="8"/>
  <c r="BT113" i="8"/>
  <c r="BS113" i="8"/>
  <c r="BR113" i="8"/>
  <c r="BQ113" i="8"/>
  <c r="BP113" i="8"/>
  <c r="BO113" i="8"/>
  <c r="BN113" i="8"/>
  <c r="BM113" i="8"/>
  <c r="BL113" i="8"/>
  <c r="BK113" i="8"/>
  <c r="BJ113" i="8"/>
  <c r="BI113" i="8"/>
  <c r="BH113" i="8"/>
  <c r="CJ112" i="8"/>
  <c r="CI112" i="8"/>
  <c r="CH112" i="8"/>
  <c r="CG112" i="8"/>
  <c r="CF112" i="8"/>
  <c r="CE112" i="8"/>
  <c r="CD112" i="8"/>
  <c r="CC112" i="8"/>
  <c r="CB112" i="8"/>
  <c r="CA112" i="8"/>
  <c r="BZ112" i="8"/>
  <c r="BY112" i="8"/>
  <c r="BX112" i="8"/>
  <c r="BW112" i="8"/>
  <c r="BV112" i="8"/>
  <c r="BU112" i="8"/>
  <c r="BT112" i="8"/>
  <c r="BS112" i="8"/>
  <c r="BR112" i="8"/>
  <c r="BQ112" i="8"/>
  <c r="BP112" i="8"/>
  <c r="BO112" i="8"/>
  <c r="BN112" i="8"/>
  <c r="BM112" i="8"/>
  <c r="BL112" i="8"/>
  <c r="BK112" i="8"/>
  <c r="BJ112" i="8"/>
  <c r="BI112" i="8"/>
  <c r="BH112" i="8"/>
  <c r="CJ111" i="8"/>
  <c r="CI111" i="8"/>
  <c r="CH111" i="8"/>
  <c r="CG111" i="8"/>
  <c r="CF111" i="8"/>
  <c r="CE111" i="8"/>
  <c r="CD111" i="8"/>
  <c r="CC111" i="8"/>
  <c r="CB111" i="8"/>
  <c r="CA111" i="8"/>
  <c r="BZ111" i="8"/>
  <c r="BY111" i="8"/>
  <c r="BX111" i="8"/>
  <c r="BW111" i="8"/>
  <c r="BV111" i="8"/>
  <c r="BU111" i="8"/>
  <c r="BT111" i="8"/>
  <c r="BS111" i="8"/>
  <c r="BR111" i="8"/>
  <c r="BQ111" i="8"/>
  <c r="BP111" i="8"/>
  <c r="BO111" i="8"/>
  <c r="BN111" i="8"/>
  <c r="BM111" i="8"/>
  <c r="BL111" i="8"/>
  <c r="BK111" i="8"/>
  <c r="BJ111" i="8"/>
  <c r="BI111" i="8"/>
  <c r="BH111" i="8"/>
  <c r="CJ110" i="8"/>
  <c r="CI110" i="8"/>
  <c r="CH110" i="8"/>
  <c r="CG110" i="8"/>
  <c r="CF110" i="8"/>
  <c r="CE110" i="8"/>
  <c r="CD110" i="8"/>
  <c r="CC110" i="8"/>
  <c r="CB110" i="8"/>
  <c r="CA110" i="8"/>
  <c r="BZ110" i="8"/>
  <c r="BY110" i="8"/>
  <c r="BX110" i="8"/>
  <c r="BW110" i="8"/>
  <c r="BV110" i="8"/>
  <c r="BU110" i="8"/>
  <c r="BT110" i="8"/>
  <c r="BS110" i="8"/>
  <c r="BR110" i="8"/>
  <c r="BQ110" i="8"/>
  <c r="BP110" i="8"/>
  <c r="BO110" i="8"/>
  <c r="BN110" i="8"/>
  <c r="BM110" i="8"/>
  <c r="BL110" i="8"/>
  <c r="BK110" i="8"/>
  <c r="BJ110" i="8"/>
  <c r="BI110" i="8"/>
  <c r="BH110" i="8"/>
  <c r="CJ109" i="8"/>
  <c r="CI109" i="8"/>
  <c r="CH109" i="8"/>
  <c r="CG109" i="8"/>
  <c r="CF109" i="8"/>
  <c r="CE109" i="8"/>
  <c r="CD109" i="8"/>
  <c r="CC109" i="8"/>
  <c r="CB109" i="8"/>
  <c r="CA109" i="8"/>
  <c r="BZ109" i="8"/>
  <c r="BY109" i="8"/>
  <c r="BX109" i="8"/>
  <c r="BW109" i="8"/>
  <c r="BV109" i="8"/>
  <c r="BU109" i="8"/>
  <c r="BT109" i="8"/>
  <c r="BS109" i="8"/>
  <c r="BR109" i="8"/>
  <c r="BQ109" i="8"/>
  <c r="BP109" i="8"/>
  <c r="BO109" i="8"/>
  <c r="BN109" i="8"/>
  <c r="BM109" i="8"/>
  <c r="BL109" i="8"/>
  <c r="BK109" i="8"/>
  <c r="BJ109" i="8"/>
  <c r="BI109" i="8"/>
  <c r="BH109" i="8"/>
  <c r="CJ108" i="8"/>
  <c r="CI108" i="8"/>
  <c r="CH108" i="8"/>
  <c r="CG108" i="8"/>
  <c r="CF108" i="8"/>
  <c r="CE108" i="8"/>
  <c r="CD108" i="8"/>
  <c r="CC108" i="8"/>
  <c r="CB108" i="8"/>
  <c r="CA108" i="8"/>
  <c r="BZ108" i="8"/>
  <c r="BY108" i="8"/>
  <c r="BX108" i="8"/>
  <c r="BW108" i="8"/>
  <c r="BV108" i="8"/>
  <c r="BU108" i="8"/>
  <c r="BT108" i="8"/>
  <c r="BS108" i="8"/>
  <c r="BR108" i="8"/>
  <c r="BQ108" i="8"/>
  <c r="BP108" i="8"/>
  <c r="BO108" i="8"/>
  <c r="BN108" i="8"/>
  <c r="BM108" i="8"/>
  <c r="BL108" i="8"/>
  <c r="BK108" i="8"/>
  <c r="BJ108" i="8"/>
  <c r="BI108" i="8"/>
  <c r="BH108" i="8"/>
  <c r="CJ107" i="8"/>
  <c r="CI107" i="8"/>
  <c r="CH107" i="8"/>
  <c r="CG107" i="8"/>
  <c r="CF107" i="8"/>
  <c r="CE107" i="8"/>
  <c r="CD107" i="8"/>
  <c r="CC107" i="8"/>
  <c r="CB107" i="8"/>
  <c r="CA107" i="8"/>
  <c r="BZ107" i="8"/>
  <c r="BY107" i="8"/>
  <c r="BX107" i="8"/>
  <c r="BW107" i="8"/>
  <c r="BV107" i="8"/>
  <c r="BU107" i="8"/>
  <c r="BT107" i="8"/>
  <c r="BS107" i="8"/>
  <c r="BR107" i="8"/>
  <c r="BQ107" i="8"/>
  <c r="BP107" i="8"/>
  <c r="BO107" i="8"/>
  <c r="BN107" i="8"/>
  <c r="BM107" i="8"/>
  <c r="BL107" i="8"/>
  <c r="BK107" i="8"/>
  <c r="BJ107" i="8"/>
  <c r="BI107" i="8"/>
  <c r="BH107" i="8"/>
  <c r="CJ106" i="8"/>
  <c r="CI106" i="8"/>
  <c r="CH106" i="8"/>
  <c r="CG106" i="8"/>
  <c r="CF106" i="8"/>
  <c r="CE106" i="8"/>
  <c r="CD106" i="8"/>
  <c r="CC106" i="8"/>
  <c r="CB106" i="8"/>
  <c r="CA106" i="8"/>
  <c r="BZ106" i="8"/>
  <c r="BY106" i="8"/>
  <c r="BX106" i="8"/>
  <c r="BW106" i="8"/>
  <c r="BV106" i="8"/>
  <c r="BU106" i="8"/>
  <c r="BT106" i="8"/>
  <c r="BS106" i="8"/>
  <c r="BR106" i="8"/>
  <c r="BQ106" i="8"/>
  <c r="BP106" i="8"/>
  <c r="BO106" i="8"/>
  <c r="BN106" i="8"/>
  <c r="BM106" i="8"/>
  <c r="BL106" i="8"/>
  <c r="BK106" i="8"/>
  <c r="BJ106" i="8"/>
  <c r="BI106" i="8"/>
  <c r="BH106" i="8"/>
  <c r="CJ105" i="8"/>
  <c r="CI105" i="8"/>
  <c r="CH105" i="8"/>
  <c r="CG105" i="8"/>
  <c r="CF105" i="8"/>
  <c r="CE105" i="8"/>
  <c r="CD105" i="8"/>
  <c r="CC105" i="8"/>
  <c r="CB105" i="8"/>
  <c r="CA105" i="8"/>
  <c r="BZ105" i="8"/>
  <c r="BY105" i="8"/>
  <c r="BX105" i="8"/>
  <c r="BW105" i="8"/>
  <c r="BV105" i="8"/>
  <c r="BU105" i="8"/>
  <c r="BT105" i="8"/>
  <c r="BS105" i="8"/>
  <c r="BR105" i="8"/>
  <c r="BQ105" i="8"/>
  <c r="BP105" i="8"/>
  <c r="BO105" i="8"/>
  <c r="BN105" i="8"/>
  <c r="BM105" i="8"/>
  <c r="BL105" i="8"/>
  <c r="BK105" i="8"/>
  <c r="BJ105" i="8"/>
  <c r="BI105" i="8"/>
  <c r="BH105" i="8"/>
  <c r="CJ104" i="8"/>
  <c r="CI104" i="8"/>
  <c r="CH104" i="8"/>
  <c r="CG104" i="8"/>
  <c r="CF104" i="8"/>
  <c r="CE104" i="8"/>
  <c r="CD104" i="8"/>
  <c r="CC104" i="8"/>
  <c r="CB104" i="8"/>
  <c r="CA104" i="8"/>
  <c r="BZ104" i="8"/>
  <c r="BY104" i="8"/>
  <c r="BX104" i="8"/>
  <c r="BW104" i="8"/>
  <c r="BV104" i="8"/>
  <c r="BU104" i="8"/>
  <c r="BT104" i="8"/>
  <c r="BS104" i="8"/>
  <c r="BR104" i="8"/>
  <c r="BQ104" i="8"/>
  <c r="BP104" i="8"/>
  <c r="BO104" i="8"/>
  <c r="BN104" i="8"/>
  <c r="BM104" i="8"/>
  <c r="BL104" i="8"/>
  <c r="BK104" i="8"/>
  <c r="BJ104" i="8"/>
  <c r="BI104" i="8"/>
  <c r="BH104" i="8"/>
  <c r="CJ103" i="8"/>
  <c r="CI103" i="8"/>
  <c r="CH103" i="8"/>
  <c r="CG103" i="8"/>
  <c r="CF103" i="8"/>
  <c r="CE103" i="8"/>
  <c r="CD103" i="8"/>
  <c r="CC103" i="8"/>
  <c r="CB103" i="8"/>
  <c r="CA103" i="8"/>
  <c r="BZ103" i="8"/>
  <c r="BY103" i="8"/>
  <c r="BX103" i="8"/>
  <c r="BW103" i="8"/>
  <c r="BV103" i="8"/>
  <c r="BU103" i="8"/>
  <c r="BT103" i="8"/>
  <c r="BS103" i="8"/>
  <c r="BR103" i="8"/>
  <c r="BQ103" i="8"/>
  <c r="BP103" i="8"/>
  <c r="BO103" i="8"/>
  <c r="BN103" i="8"/>
  <c r="BM103" i="8"/>
  <c r="BL103" i="8"/>
  <c r="BK103" i="8"/>
  <c r="BJ103" i="8"/>
  <c r="BI103" i="8"/>
  <c r="BH103" i="8"/>
  <c r="CJ102" i="8"/>
  <c r="CI102" i="8"/>
  <c r="CH102" i="8"/>
  <c r="CG102" i="8"/>
  <c r="CF102" i="8"/>
  <c r="CE102" i="8"/>
  <c r="CD102" i="8"/>
  <c r="CC102" i="8"/>
  <c r="CB102" i="8"/>
  <c r="CA102" i="8"/>
  <c r="BZ102" i="8"/>
  <c r="BY102" i="8"/>
  <c r="BX102" i="8"/>
  <c r="BW102" i="8"/>
  <c r="BV102" i="8"/>
  <c r="BU102" i="8"/>
  <c r="BT102" i="8"/>
  <c r="BS102" i="8"/>
  <c r="BR102" i="8"/>
  <c r="BQ102" i="8"/>
  <c r="BP102" i="8"/>
  <c r="BO102" i="8"/>
  <c r="BN102" i="8"/>
  <c r="BM102" i="8"/>
  <c r="BL102" i="8"/>
  <c r="BK102" i="8"/>
  <c r="BJ102" i="8"/>
  <c r="BI102" i="8"/>
  <c r="BH102" i="8"/>
  <c r="CJ101" i="8"/>
  <c r="CI101" i="8"/>
  <c r="CH101" i="8"/>
  <c r="CG101" i="8"/>
  <c r="CF101" i="8"/>
  <c r="CE101" i="8"/>
  <c r="CD101" i="8"/>
  <c r="CC101" i="8"/>
  <c r="CB101" i="8"/>
  <c r="CA101" i="8"/>
  <c r="BZ101" i="8"/>
  <c r="BY101" i="8"/>
  <c r="BX101" i="8"/>
  <c r="BW101" i="8"/>
  <c r="BV101" i="8"/>
  <c r="BU101" i="8"/>
  <c r="BT101" i="8"/>
  <c r="BS101" i="8"/>
  <c r="BR101" i="8"/>
  <c r="BQ101" i="8"/>
  <c r="BP101" i="8"/>
  <c r="BO101" i="8"/>
  <c r="BN101" i="8"/>
  <c r="BM101" i="8"/>
  <c r="BL101" i="8"/>
  <c r="BK101" i="8"/>
  <c r="BJ101" i="8"/>
  <c r="BI101" i="8"/>
  <c r="BH101"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CJ99" i="8"/>
  <c r="CI99" i="8"/>
  <c r="CH99" i="8"/>
  <c r="CG99" i="8"/>
  <c r="CF99" i="8"/>
  <c r="CE99" i="8"/>
  <c r="CD99" i="8"/>
  <c r="CC99" i="8"/>
  <c r="CB99" i="8"/>
  <c r="CA99" i="8"/>
  <c r="BZ99" i="8"/>
  <c r="BY99" i="8"/>
  <c r="BX99" i="8"/>
  <c r="BW99" i="8"/>
  <c r="BV99" i="8"/>
  <c r="BU99" i="8"/>
  <c r="BT99" i="8"/>
  <c r="BS99" i="8"/>
  <c r="BR99" i="8"/>
  <c r="BQ99" i="8"/>
  <c r="BP99" i="8"/>
  <c r="BO99" i="8"/>
  <c r="BN99" i="8"/>
  <c r="BM99" i="8"/>
  <c r="BL99" i="8"/>
  <c r="BK99" i="8"/>
  <c r="BJ99" i="8"/>
  <c r="BI99" i="8"/>
  <c r="BH99" i="8"/>
  <c r="CJ98" i="8"/>
  <c r="CI98" i="8"/>
  <c r="CH98" i="8"/>
  <c r="CG98" i="8"/>
  <c r="CF98" i="8"/>
  <c r="CE98" i="8"/>
  <c r="CD98" i="8"/>
  <c r="CC98" i="8"/>
  <c r="CB98" i="8"/>
  <c r="CA98" i="8"/>
  <c r="BZ98" i="8"/>
  <c r="BY98" i="8"/>
  <c r="BX98" i="8"/>
  <c r="BW98" i="8"/>
  <c r="BV98" i="8"/>
  <c r="BU98" i="8"/>
  <c r="BT98" i="8"/>
  <c r="BS98" i="8"/>
  <c r="BR98" i="8"/>
  <c r="BQ98" i="8"/>
  <c r="BP98" i="8"/>
  <c r="BO98" i="8"/>
  <c r="BN98" i="8"/>
  <c r="BM98" i="8"/>
  <c r="BL98" i="8"/>
  <c r="BK98" i="8"/>
  <c r="BJ98" i="8"/>
  <c r="BI98" i="8"/>
  <c r="BH98" i="8"/>
  <c r="CJ97" i="8"/>
  <c r="CI97" i="8"/>
  <c r="CH97" i="8"/>
  <c r="CG97" i="8"/>
  <c r="CF97" i="8"/>
  <c r="CE97" i="8"/>
  <c r="CD97" i="8"/>
  <c r="CC97" i="8"/>
  <c r="CB97" i="8"/>
  <c r="CA97" i="8"/>
  <c r="BZ97" i="8"/>
  <c r="BY97" i="8"/>
  <c r="BX97" i="8"/>
  <c r="BW97" i="8"/>
  <c r="BV97" i="8"/>
  <c r="BU97" i="8"/>
  <c r="BT97" i="8"/>
  <c r="BS97" i="8"/>
  <c r="BR97" i="8"/>
  <c r="BQ97" i="8"/>
  <c r="BP97" i="8"/>
  <c r="BO97" i="8"/>
  <c r="BN97" i="8"/>
  <c r="BM97" i="8"/>
  <c r="BL97" i="8"/>
  <c r="BK97" i="8"/>
  <c r="BJ97" i="8"/>
  <c r="BI97" i="8"/>
  <c r="BH97" i="8"/>
  <c r="CJ96" i="8"/>
  <c r="CI96" i="8"/>
  <c r="CH96" i="8"/>
  <c r="CG96" i="8"/>
  <c r="CF96" i="8"/>
  <c r="CE96" i="8"/>
  <c r="CD96" i="8"/>
  <c r="CC96" i="8"/>
  <c r="CB96" i="8"/>
  <c r="CA96" i="8"/>
  <c r="BZ96" i="8"/>
  <c r="BY96" i="8"/>
  <c r="BX96" i="8"/>
  <c r="BW96" i="8"/>
  <c r="BV96" i="8"/>
  <c r="BU96" i="8"/>
  <c r="BT96" i="8"/>
  <c r="BS96" i="8"/>
  <c r="BR96" i="8"/>
  <c r="BQ96" i="8"/>
  <c r="BP96" i="8"/>
  <c r="BO96" i="8"/>
  <c r="BN96" i="8"/>
  <c r="BM96" i="8"/>
  <c r="BL96" i="8"/>
  <c r="BK96" i="8"/>
  <c r="BJ96" i="8"/>
  <c r="BI96" i="8"/>
  <c r="BH96" i="8"/>
  <c r="CJ95" i="8"/>
  <c r="CI95" i="8"/>
  <c r="CH95" i="8"/>
  <c r="CG95" i="8"/>
  <c r="CF95" i="8"/>
  <c r="CE95" i="8"/>
  <c r="CD95" i="8"/>
  <c r="CC95" i="8"/>
  <c r="CB95" i="8"/>
  <c r="CA95" i="8"/>
  <c r="BZ95" i="8"/>
  <c r="BY95" i="8"/>
  <c r="BX95" i="8"/>
  <c r="BW95" i="8"/>
  <c r="BV95" i="8"/>
  <c r="BU95" i="8"/>
  <c r="BT95" i="8"/>
  <c r="BS95" i="8"/>
  <c r="BR95" i="8"/>
  <c r="BQ95" i="8"/>
  <c r="BP95" i="8"/>
  <c r="BO95" i="8"/>
  <c r="BN95" i="8"/>
  <c r="BM95" i="8"/>
  <c r="BL95" i="8"/>
  <c r="BK95" i="8"/>
  <c r="BJ95" i="8"/>
  <c r="BI95" i="8"/>
  <c r="BH95" i="8"/>
  <c r="CJ94" i="8"/>
  <c r="CI94" i="8"/>
  <c r="CH94" i="8"/>
  <c r="CG94" i="8"/>
  <c r="CF94" i="8"/>
  <c r="CE94" i="8"/>
  <c r="CD94" i="8"/>
  <c r="CC94" i="8"/>
  <c r="CB94" i="8"/>
  <c r="CA94" i="8"/>
  <c r="BZ94" i="8"/>
  <c r="BY94" i="8"/>
  <c r="BX94" i="8"/>
  <c r="BW94" i="8"/>
  <c r="BV94" i="8"/>
  <c r="BU94" i="8"/>
  <c r="BT94" i="8"/>
  <c r="BS94" i="8"/>
  <c r="BR94" i="8"/>
  <c r="BQ94" i="8"/>
  <c r="BP94" i="8"/>
  <c r="BO94" i="8"/>
  <c r="BN94" i="8"/>
  <c r="BM94" i="8"/>
  <c r="BL94" i="8"/>
  <c r="BK94" i="8"/>
  <c r="BJ94" i="8"/>
  <c r="BI94" i="8"/>
  <c r="BH94" i="8"/>
  <c r="CJ93" i="8"/>
  <c r="CI93" i="8"/>
  <c r="CH93" i="8"/>
  <c r="CG93" i="8"/>
  <c r="CF93" i="8"/>
  <c r="CE93" i="8"/>
  <c r="CD93" i="8"/>
  <c r="CC93" i="8"/>
  <c r="CB93" i="8"/>
  <c r="CA93" i="8"/>
  <c r="BZ93" i="8"/>
  <c r="BY93" i="8"/>
  <c r="BX93" i="8"/>
  <c r="BW93" i="8"/>
  <c r="BV93" i="8"/>
  <c r="BU93" i="8"/>
  <c r="BT93" i="8"/>
  <c r="BS93" i="8"/>
  <c r="BR93" i="8"/>
  <c r="BQ93" i="8"/>
  <c r="BP93" i="8"/>
  <c r="BO93" i="8"/>
  <c r="BN93" i="8"/>
  <c r="BM93" i="8"/>
  <c r="BL93" i="8"/>
  <c r="BK93" i="8"/>
  <c r="BJ93" i="8"/>
  <c r="BI93" i="8"/>
  <c r="BH93" i="8"/>
  <c r="CJ92" i="8"/>
  <c r="CI92" i="8"/>
  <c r="CH92" i="8"/>
  <c r="CG92" i="8"/>
  <c r="CF92" i="8"/>
  <c r="CE92" i="8"/>
  <c r="CD92" i="8"/>
  <c r="CC92" i="8"/>
  <c r="CB92" i="8"/>
  <c r="CA92" i="8"/>
  <c r="BZ92" i="8"/>
  <c r="BY92" i="8"/>
  <c r="BX92" i="8"/>
  <c r="BW92" i="8"/>
  <c r="BV92" i="8"/>
  <c r="BU92" i="8"/>
  <c r="BT92" i="8"/>
  <c r="BS92" i="8"/>
  <c r="BR92" i="8"/>
  <c r="BQ92" i="8"/>
  <c r="BP92" i="8"/>
  <c r="BO92" i="8"/>
  <c r="BN92" i="8"/>
  <c r="BM92" i="8"/>
  <c r="BL92" i="8"/>
  <c r="BK92" i="8"/>
  <c r="BJ92" i="8"/>
  <c r="BI92" i="8"/>
  <c r="BH92" i="8"/>
  <c r="CJ91" i="8"/>
  <c r="CI91" i="8"/>
  <c r="CH91" i="8"/>
  <c r="CG91" i="8"/>
  <c r="CF91" i="8"/>
  <c r="CE91" i="8"/>
  <c r="CD91" i="8"/>
  <c r="CC91" i="8"/>
  <c r="CB91" i="8"/>
  <c r="CA91" i="8"/>
  <c r="BZ91" i="8"/>
  <c r="BY91" i="8"/>
  <c r="BX91" i="8"/>
  <c r="BW91" i="8"/>
  <c r="BV91" i="8"/>
  <c r="BU91" i="8"/>
  <c r="BT91" i="8"/>
  <c r="BS91" i="8"/>
  <c r="BR91" i="8"/>
  <c r="BQ91" i="8"/>
  <c r="BP91" i="8"/>
  <c r="BO91" i="8"/>
  <c r="BN91" i="8"/>
  <c r="BM91" i="8"/>
  <c r="BL91" i="8"/>
  <c r="BK91" i="8"/>
  <c r="BJ91" i="8"/>
  <c r="BI91" i="8"/>
  <c r="BH91" i="8"/>
  <c r="CJ90" i="8"/>
  <c r="CI90" i="8"/>
  <c r="CH90" i="8"/>
  <c r="CG90" i="8"/>
  <c r="CF90" i="8"/>
  <c r="CE90" i="8"/>
  <c r="CD90" i="8"/>
  <c r="CC90" i="8"/>
  <c r="CB90" i="8"/>
  <c r="CA90" i="8"/>
  <c r="BZ90" i="8"/>
  <c r="BY90" i="8"/>
  <c r="BX90" i="8"/>
  <c r="BW90" i="8"/>
  <c r="BV90" i="8"/>
  <c r="BU90" i="8"/>
  <c r="BT90" i="8"/>
  <c r="BS90" i="8"/>
  <c r="BR90" i="8"/>
  <c r="BQ90" i="8"/>
  <c r="BP90" i="8"/>
  <c r="BO90" i="8"/>
  <c r="BN90" i="8"/>
  <c r="BM90" i="8"/>
  <c r="BL90" i="8"/>
  <c r="BK90" i="8"/>
  <c r="BJ90" i="8"/>
  <c r="BI90" i="8"/>
  <c r="BH90"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CJ88" i="8"/>
  <c r="CI88" i="8"/>
  <c r="CH88" i="8"/>
  <c r="CG88" i="8"/>
  <c r="CF88" i="8"/>
  <c r="CE88" i="8"/>
  <c r="CD88" i="8"/>
  <c r="CC88" i="8"/>
  <c r="CB88" i="8"/>
  <c r="CA88" i="8"/>
  <c r="BZ88" i="8"/>
  <c r="BY88" i="8"/>
  <c r="BX88" i="8"/>
  <c r="BW88" i="8"/>
  <c r="BV88" i="8"/>
  <c r="BU88" i="8"/>
  <c r="BT88" i="8"/>
  <c r="BS88" i="8"/>
  <c r="BR88" i="8"/>
  <c r="BQ88" i="8"/>
  <c r="BP88" i="8"/>
  <c r="BO88" i="8"/>
  <c r="BN88" i="8"/>
  <c r="BM88" i="8"/>
  <c r="BL88" i="8"/>
  <c r="BK88" i="8"/>
  <c r="BJ88" i="8"/>
  <c r="BI88" i="8"/>
  <c r="BH88" i="8"/>
  <c r="CJ87" i="8"/>
  <c r="CI87" i="8"/>
  <c r="CH87" i="8"/>
  <c r="CG87" i="8"/>
  <c r="CF87" i="8"/>
  <c r="CE87" i="8"/>
  <c r="CD87" i="8"/>
  <c r="CC87" i="8"/>
  <c r="CB87" i="8"/>
  <c r="CA87" i="8"/>
  <c r="BZ87" i="8"/>
  <c r="BY87" i="8"/>
  <c r="BX87" i="8"/>
  <c r="BW87" i="8"/>
  <c r="BV87" i="8"/>
  <c r="BU87" i="8"/>
  <c r="BT87" i="8"/>
  <c r="BS87" i="8"/>
  <c r="BR87" i="8"/>
  <c r="BQ87" i="8"/>
  <c r="BP87" i="8"/>
  <c r="BO87" i="8"/>
  <c r="BN87" i="8"/>
  <c r="BM87" i="8"/>
  <c r="BL87" i="8"/>
  <c r="BK87" i="8"/>
  <c r="BJ87" i="8"/>
  <c r="BI87" i="8"/>
  <c r="BH87" i="8"/>
  <c r="CJ86" i="8"/>
  <c r="CI86" i="8"/>
  <c r="CH86" i="8"/>
  <c r="CG86" i="8"/>
  <c r="CF86" i="8"/>
  <c r="CE86" i="8"/>
  <c r="CD86" i="8"/>
  <c r="CC86" i="8"/>
  <c r="CB86" i="8"/>
  <c r="CA86" i="8"/>
  <c r="BZ86" i="8"/>
  <c r="BY86" i="8"/>
  <c r="BX86" i="8"/>
  <c r="BW86" i="8"/>
  <c r="BV86" i="8"/>
  <c r="BU86" i="8"/>
  <c r="BT86" i="8"/>
  <c r="BS86" i="8"/>
  <c r="BR86" i="8"/>
  <c r="BQ86" i="8"/>
  <c r="BP86" i="8"/>
  <c r="BO86" i="8"/>
  <c r="BN86" i="8"/>
  <c r="BM86" i="8"/>
  <c r="BL86" i="8"/>
  <c r="BK86" i="8"/>
  <c r="BJ86" i="8"/>
  <c r="BI86" i="8"/>
  <c r="BH86" i="8"/>
  <c r="CJ85" i="8"/>
  <c r="CI85" i="8"/>
  <c r="CH85" i="8"/>
  <c r="CG85" i="8"/>
  <c r="CF85" i="8"/>
  <c r="CE85" i="8"/>
  <c r="CD85" i="8"/>
  <c r="CC85" i="8"/>
  <c r="CB85" i="8"/>
  <c r="CA85" i="8"/>
  <c r="BZ85" i="8"/>
  <c r="BY85" i="8"/>
  <c r="BX85" i="8"/>
  <c r="BW85" i="8"/>
  <c r="BV85" i="8"/>
  <c r="BU85" i="8"/>
  <c r="BT85" i="8"/>
  <c r="BS85" i="8"/>
  <c r="BR85" i="8"/>
  <c r="BQ85" i="8"/>
  <c r="BP85" i="8"/>
  <c r="BO85" i="8"/>
  <c r="BN85" i="8"/>
  <c r="BM85" i="8"/>
  <c r="BL85" i="8"/>
  <c r="BK85" i="8"/>
  <c r="BJ85" i="8"/>
  <c r="BI85" i="8"/>
  <c r="BH85" i="8"/>
  <c r="CJ84" i="8"/>
  <c r="CI84" i="8"/>
  <c r="CH84" i="8"/>
  <c r="CG84" i="8"/>
  <c r="CF84" i="8"/>
  <c r="CE84" i="8"/>
  <c r="CD84" i="8"/>
  <c r="CC84" i="8"/>
  <c r="CB84" i="8"/>
  <c r="CA84" i="8"/>
  <c r="BZ84" i="8"/>
  <c r="BY84" i="8"/>
  <c r="BX84" i="8"/>
  <c r="BW84" i="8"/>
  <c r="BV84" i="8"/>
  <c r="BU84" i="8"/>
  <c r="BT84" i="8"/>
  <c r="BS84" i="8"/>
  <c r="BR84" i="8"/>
  <c r="BQ84" i="8"/>
  <c r="BP84" i="8"/>
  <c r="BO84" i="8"/>
  <c r="BN84" i="8"/>
  <c r="BM84" i="8"/>
  <c r="BL84" i="8"/>
  <c r="BK84" i="8"/>
  <c r="BJ84" i="8"/>
  <c r="BI84" i="8"/>
  <c r="BH84" i="8"/>
  <c r="CJ83" i="8"/>
  <c r="CI83" i="8"/>
  <c r="CH83" i="8"/>
  <c r="CG83" i="8"/>
  <c r="CF83" i="8"/>
  <c r="CE83" i="8"/>
  <c r="CD83" i="8"/>
  <c r="CC83" i="8"/>
  <c r="CB83" i="8"/>
  <c r="CA83" i="8"/>
  <c r="BZ83" i="8"/>
  <c r="BY83" i="8"/>
  <c r="BX83" i="8"/>
  <c r="BW83" i="8"/>
  <c r="BV83" i="8"/>
  <c r="BU83" i="8"/>
  <c r="BT83" i="8"/>
  <c r="BS83" i="8"/>
  <c r="BR83" i="8"/>
  <c r="BQ83" i="8"/>
  <c r="BP83" i="8"/>
  <c r="BO83" i="8"/>
  <c r="BN83" i="8"/>
  <c r="BM83" i="8"/>
  <c r="BL83" i="8"/>
  <c r="BK83" i="8"/>
  <c r="BJ83" i="8"/>
  <c r="BI83" i="8"/>
  <c r="BH83" i="8"/>
  <c r="CJ82" i="8"/>
  <c r="CI82" i="8"/>
  <c r="CH82" i="8"/>
  <c r="CG82" i="8"/>
  <c r="CF82" i="8"/>
  <c r="CE82" i="8"/>
  <c r="CD82" i="8"/>
  <c r="CC82" i="8"/>
  <c r="CB82" i="8"/>
  <c r="CA82" i="8"/>
  <c r="BZ82" i="8"/>
  <c r="BY82" i="8"/>
  <c r="BX82" i="8"/>
  <c r="BW82" i="8"/>
  <c r="BV82" i="8"/>
  <c r="BU82" i="8"/>
  <c r="BT82" i="8"/>
  <c r="BS82" i="8"/>
  <c r="BR82" i="8"/>
  <c r="BQ82" i="8"/>
  <c r="BP82" i="8"/>
  <c r="BO82" i="8"/>
  <c r="BN82" i="8"/>
  <c r="BM82" i="8"/>
  <c r="BL82" i="8"/>
  <c r="BK82" i="8"/>
  <c r="BJ82" i="8"/>
  <c r="BI82" i="8"/>
  <c r="BH82" i="8"/>
  <c r="CJ81" i="8"/>
  <c r="CI81" i="8"/>
  <c r="CH81" i="8"/>
  <c r="CG81" i="8"/>
  <c r="CF81" i="8"/>
  <c r="CE81" i="8"/>
  <c r="CD81" i="8"/>
  <c r="CC81" i="8"/>
  <c r="CB81" i="8"/>
  <c r="CA81" i="8"/>
  <c r="BZ81" i="8"/>
  <c r="BY81" i="8"/>
  <c r="BX81" i="8"/>
  <c r="BW81" i="8"/>
  <c r="BV81" i="8"/>
  <c r="BU81" i="8"/>
  <c r="BT81" i="8"/>
  <c r="BS81" i="8"/>
  <c r="BR81" i="8"/>
  <c r="BQ81" i="8"/>
  <c r="BP81" i="8"/>
  <c r="BO81" i="8"/>
  <c r="BN81" i="8"/>
  <c r="BM81" i="8"/>
  <c r="BL81" i="8"/>
  <c r="BK81" i="8"/>
  <c r="BJ81" i="8"/>
  <c r="BI81" i="8"/>
  <c r="BH81" i="8"/>
  <c r="CJ80" i="8"/>
  <c r="CI80" i="8"/>
  <c r="CH80" i="8"/>
  <c r="CG80" i="8"/>
  <c r="CF80" i="8"/>
  <c r="CE80" i="8"/>
  <c r="CD80" i="8"/>
  <c r="CC80" i="8"/>
  <c r="CB80" i="8"/>
  <c r="CA80" i="8"/>
  <c r="BZ80" i="8"/>
  <c r="BY80" i="8"/>
  <c r="BX80" i="8"/>
  <c r="BW80" i="8"/>
  <c r="BV80" i="8"/>
  <c r="BU80" i="8"/>
  <c r="BT80" i="8"/>
  <c r="BS80" i="8"/>
  <c r="BR80" i="8"/>
  <c r="BQ80" i="8"/>
  <c r="BP80" i="8"/>
  <c r="BO80" i="8"/>
  <c r="BN80" i="8"/>
  <c r="BM80" i="8"/>
  <c r="BL80" i="8"/>
  <c r="BK80" i="8"/>
  <c r="BJ80" i="8"/>
  <c r="BI80" i="8"/>
  <c r="BH80" i="8"/>
  <c r="CJ79" i="8"/>
  <c r="CI79" i="8"/>
  <c r="CH79" i="8"/>
  <c r="CG79" i="8"/>
  <c r="CF79" i="8"/>
  <c r="CE79" i="8"/>
  <c r="CD79" i="8"/>
  <c r="CC79" i="8"/>
  <c r="CB79" i="8"/>
  <c r="CA79" i="8"/>
  <c r="BZ79" i="8"/>
  <c r="BY79" i="8"/>
  <c r="BX79" i="8"/>
  <c r="BW79" i="8"/>
  <c r="BV79" i="8"/>
  <c r="BU79" i="8"/>
  <c r="BT79" i="8"/>
  <c r="BS79" i="8"/>
  <c r="BR79" i="8"/>
  <c r="BQ79" i="8"/>
  <c r="BP79" i="8"/>
  <c r="BO79" i="8"/>
  <c r="BN79" i="8"/>
  <c r="BM79" i="8"/>
  <c r="BL79" i="8"/>
  <c r="BK79" i="8"/>
  <c r="BJ79" i="8"/>
  <c r="BI79" i="8"/>
  <c r="BH79"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CJ77" i="8"/>
  <c r="CI77" i="8"/>
  <c r="CH77" i="8"/>
  <c r="CG77" i="8"/>
  <c r="CF77" i="8"/>
  <c r="CE77" i="8"/>
  <c r="CD77" i="8"/>
  <c r="CC77" i="8"/>
  <c r="CB77" i="8"/>
  <c r="CA77" i="8"/>
  <c r="BZ77" i="8"/>
  <c r="BY77" i="8"/>
  <c r="BX77" i="8"/>
  <c r="BW77" i="8"/>
  <c r="BV77" i="8"/>
  <c r="BU77" i="8"/>
  <c r="BT77" i="8"/>
  <c r="BS77" i="8"/>
  <c r="BR77" i="8"/>
  <c r="BQ77" i="8"/>
  <c r="BP77" i="8"/>
  <c r="BO77" i="8"/>
  <c r="BN77" i="8"/>
  <c r="BM77" i="8"/>
  <c r="BL77" i="8"/>
  <c r="BK77" i="8"/>
  <c r="BJ77" i="8"/>
  <c r="BI77" i="8"/>
  <c r="BH77" i="8"/>
  <c r="CJ76" i="8"/>
  <c r="CI76" i="8"/>
  <c r="CH76" i="8"/>
  <c r="CG76" i="8"/>
  <c r="CF76" i="8"/>
  <c r="CE76" i="8"/>
  <c r="CD76" i="8"/>
  <c r="CC76" i="8"/>
  <c r="CB76" i="8"/>
  <c r="CA76" i="8"/>
  <c r="BZ76" i="8"/>
  <c r="BY76" i="8"/>
  <c r="BX76" i="8"/>
  <c r="BW76" i="8"/>
  <c r="BV76" i="8"/>
  <c r="BU76" i="8"/>
  <c r="BT76" i="8"/>
  <c r="BS76" i="8"/>
  <c r="BR76" i="8"/>
  <c r="BQ76" i="8"/>
  <c r="BP76" i="8"/>
  <c r="BO76" i="8"/>
  <c r="BN76" i="8"/>
  <c r="BM76" i="8"/>
  <c r="BL76" i="8"/>
  <c r="BK76" i="8"/>
  <c r="BJ76" i="8"/>
  <c r="BI76" i="8"/>
  <c r="BH76" i="8"/>
  <c r="CJ75" i="8"/>
  <c r="CI75" i="8"/>
  <c r="CH75" i="8"/>
  <c r="CG75" i="8"/>
  <c r="CF75" i="8"/>
  <c r="CE75" i="8"/>
  <c r="CD75" i="8"/>
  <c r="CC75" i="8"/>
  <c r="CB75" i="8"/>
  <c r="CA75" i="8"/>
  <c r="BZ75" i="8"/>
  <c r="BY75" i="8"/>
  <c r="BX75" i="8"/>
  <c r="BW75" i="8"/>
  <c r="BV75" i="8"/>
  <c r="BU75" i="8"/>
  <c r="BT75" i="8"/>
  <c r="BS75" i="8"/>
  <c r="BR75" i="8"/>
  <c r="BQ75" i="8"/>
  <c r="BP75" i="8"/>
  <c r="BO75" i="8"/>
  <c r="BN75" i="8"/>
  <c r="BM75" i="8"/>
  <c r="BL75" i="8"/>
  <c r="BK75" i="8"/>
  <c r="BJ75" i="8"/>
  <c r="BI75" i="8"/>
  <c r="BH75" i="8"/>
  <c r="CJ74" i="8"/>
  <c r="CI74" i="8"/>
  <c r="CH74" i="8"/>
  <c r="CG74" i="8"/>
  <c r="CF74" i="8"/>
  <c r="CE74" i="8"/>
  <c r="CD74" i="8"/>
  <c r="CC74" i="8"/>
  <c r="CB74" i="8"/>
  <c r="CA74" i="8"/>
  <c r="BZ74" i="8"/>
  <c r="BY74" i="8"/>
  <c r="BX74" i="8"/>
  <c r="BW74" i="8"/>
  <c r="BV74" i="8"/>
  <c r="BU74" i="8"/>
  <c r="BT74" i="8"/>
  <c r="BS74" i="8"/>
  <c r="BR74" i="8"/>
  <c r="BQ74" i="8"/>
  <c r="BP74" i="8"/>
  <c r="BO74" i="8"/>
  <c r="BN74" i="8"/>
  <c r="BM74" i="8"/>
  <c r="BL74" i="8"/>
  <c r="BK74" i="8"/>
  <c r="BJ74" i="8"/>
  <c r="BI74" i="8"/>
  <c r="BH74" i="8"/>
  <c r="CJ73" i="8"/>
  <c r="CI73" i="8"/>
  <c r="CH73" i="8"/>
  <c r="CG73" i="8"/>
  <c r="CF73" i="8"/>
  <c r="CE73" i="8"/>
  <c r="CD73" i="8"/>
  <c r="CC73" i="8"/>
  <c r="CB73" i="8"/>
  <c r="CA73" i="8"/>
  <c r="BZ73" i="8"/>
  <c r="BY73" i="8"/>
  <c r="BX73" i="8"/>
  <c r="BW73" i="8"/>
  <c r="BV73" i="8"/>
  <c r="BU73" i="8"/>
  <c r="BT73" i="8"/>
  <c r="BS73" i="8"/>
  <c r="BR73" i="8"/>
  <c r="BQ73" i="8"/>
  <c r="BP73" i="8"/>
  <c r="BO73" i="8"/>
  <c r="BN73" i="8"/>
  <c r="BM73" i="8"/>
  <c r="BL73" i="8"/>
  <c r="BK73" i="8"/>
  <c r="BJ73" i="8"/>
  <c r="BI73" i="8"/>
  <c r="BH73" i="8"/>
  <c r="CJ72" i="8"/>
  <c r="CI72" i="8"/>
  <c r="CH72" i="8"/>
  <c r="CG72" i="8"/>
  <c r="CF72" i="8"/>
  <c r="CE72" i="8"/>
  <c r="CD72" i="8"/>
  <c r="CC72" i="8"/>
  <c r="CB72" i="8"/>
  <c r="CA72" i="8"/>
  <c r="BZ72" i="8"/>
  <c r="BY72" i="8"/>
  <c r="BX72" i="8"/>
  <c r="BW72" i="8"/>
  <c r="BV72" i="8"/>
  <c r="BU72" i="8"/>
  <c r="BT72" i="8"/>
  <c r="BS72" i="8"/>
  <c r="BR72" i="8"/>
  <c r="BQ72" i="8"/>
  <c r="BP72" i="8"/>
  <c r="BO72" i="8"/>
  <c r="BN72" i="8"/>
  <c r="BM72" i="8"/>
  <c r="BL72" i="8"/>
  <c r="BK72" i="8"/>
  <c r="BJ72" i="8"/>
  <c r="BI72" i="8"/>
  <c r="BH72" i="8"/>
  <c r="CJ71" i="8"/>
  <c r="CI71" i="8"/>
  <c r="CH71" i="8"/>
  <c r="CG71" i="8"/>
  <c r="CF71" i="8"/>
  <c r="CE71" i="8"/>
  <c r="CD71" i="8"/>
  <c r="CC71" i="8"/>
  <c r="CB71" i="8"/>
  <c r="CA71" i="8"/>
  <c r="BZ71" i="8"/>
  <c r="BY71" i="8"/>
  <c r="BX71" i="8"/>
  <c r="BW71" i="8"/>
  <c r="BV71" i="8"/>
  <c r="BU71" i="8"/>
  <c r="BT71" i="8"/>
  <c r="BS71" i="8"/>
  <c r="BR71" i="8"/>
  <c r="BQ71" i="8"/>
  <c r="BP71" i="8"/>
  <c r="BO71" i="8"/>
  <c r="BN71" i="8"/>
  <c r="BM71" i="8"/>
  <c r="BL71" i="8"/>
  <c r="BK71" i="8"/>
  <c r="BJ71" i="8"/>
  <c r="BI71" i="8"/>
  <c r="BH71" i="8"/>
  <c r="CJ70" i="8"/>
  <c r="CI70" i="8"/>
  <c r="CH70" i="8"/>
  <c r="CG70" i="8"/>
  <c r="CF70" i="8"/>
  <c r="CE70" i="8"/>
  <c r="CD70" i="8"/>
  <c r="CC70" i="8"/>
  <c r="CB70" i="8"/>
  <c r="CA70" i="8"/>
  <c r="BZ70" i="8"/>
  <c r="BY70" i="8"/>
  <c r="BX70" i="8"/>
  <c r="BW70" i="8"/>
  <c r="BV70" i="8"/>
  <c r="BU70" i="8"/>
  <c r="BT70" i="8"/>
  <c r="BS70" i="8"/>
  <c r="BR70" i="8"/>
  <c r="BQ70" i="8"/>
  <c r="BP70" i="8"/>
  <c r="BO70" i="8"/>
  <c r="BN70" i="8"/>
  <c r="BM70" i="8"/>
  <c r="BL70" i="8"/>
  <c r="BK70" i="8"/>
  <c r="BJ70" i="8"/>
  <c r="BI70" i="8"/>
  <c r="BH70" i="8"/>
  <c r="CJ69" i="8"/>
  <c r="CI69" i="8"/>
  <c r="CH69" i="8"/>
  <c r="CG69" i="8"/>
  <c r="CF69" i="8"/>
  <c r="CE69" i="8"/>
  <c r="CD69" i="8"/>
  <c r="CC69" i="8"/>
  <c r="CB69" i="8"/>
  <c r="CA69" i="8"/>
  <c r="BZ69" i="8"/>
  <c r="BY69" i="8"/>
  <c r="BX69" i="8"/>
  <c r="BW69" i="8"/>
  <c r="BV69" i="8"/>
  <c r="BU69" i="8"/>
  <c r="BT69" i="8"/>
  <c r="BS69" i="8"/>
  <c r="BR69" i="8"/>
  <c r="BQ69" i="8"/>
  <c r="BP69" i="8"/>
  <c r="BO69" i="8"/>
  <c r="BN69" i="8"/>
  <c r="BM69" i="8"/>
  <c r="BL69" i="8"/>
  <c r="BK69" i="8"/>
  <c r="BJ69" i="8"/>
  <c r="BI69" i="8"/>
  <c r="BH69"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CJ66" i="8"/>
  <c r="CI66" i="8"/>
  <c r="CH66" i="8"/>
  <c r="CG66" i="8"/>
  <c r="CF66" i="8"/>
  <c r="CE66" i="8"/>
  <c r="CD66" i="8"/>
  <c r="CC66" i="8"/>
  <c r="CB66" i="8"/>
  <c r="CA66" i="8"/>
  <c r="BZ66" i="8"/>
  <c r="BY66" i="8"/>
  <c r="BX66" i="8"/>
  <c r="BW66" i="8"/>
  <c r="BV66" i="8"/>
  <c r="BU66" i="8"/>
  <c r="BT66" i="8"/>
  <c r="BS66" i="8"/>
  <c r="BR66" i="8"/>
  <c r="BQ66" i="8"/>
  <c r="BP66" i="8"/>
  <c r="BO66" i="8"/>
  <c r="BN66" i="8"/>
  <c r="BM66" i="8"/>
  <c r="BL66" i="8"/>
  <c r="BK66" i="8"/>
  <c r="BJ66" i="8"/>
  <c r="BI66" i="8"/>
  <c r="BH66" i="8"/>
  <c r="CJ65" i="8"/>
  <c r="CI65" i="8"/>
  <c r="CH65" i="8"/>
  <c r="CG65" i="8"/>
  <c r="CF65" i="8"/>
  <c r="CE65" i="8"/>
  <c r="CD65" i="8"/>
  <c r="CC65" i="8"/>
  <c r="CB65" i="8"/>
  <c r="CA65" i="8"/>
  <c r="BZ65" i="8"/>
  <c r="BY65" i="8"/>
  <c r="BX65" i="8"/>
  <c r="BW65" i="8"/>
  <c r="BV65" i="8"/>
  <c r="BU65" i="8"/>
  <c r="BT65" i="8"/>
  <c r="BS65" i="8"/>
  <c r="BR65" i="8"/>
  <c r="BQ65" i="8"/>
  <c r="BP65" i="8"/>
  <c r="BO65" i="8"/>
  <c r="BN65" i="8"/>
  <c r="BM65" i="8"/>
  <c r="BL65" i="8"/>
  <c r="BK65" i="8"/>
  <c r="BJ65" i="8"/>
  <c r="BI65" i="8"/>
  <c r="BH65" i="8"/>
  <c r="CJ64" i="8"/>
  <c r="CI64" i="8"/>
  <c r="CH64" i="8"/>
  <c r="CG64" i="8"/>
  <c r="CF64" i="8"/>
  <c r="CE64" i="8"/>
  <c r="CD64" i="8"/>
  <c r="CC64" i="8"/>
  <c r="CB64" i="8"/>
  <c r="CA64" i="8"/>
  <c r="BZ64" i="8"/>
  <c r="BY64" i="8"/>
  <c r="BX64" i="8"/>
  <c r="BW64" i="8"/>
  <c r="BV64" i="8"/>
  <c r="BU64" i="8"/>
  <c r="BT64" i="8"/>
  <c r="BS64" i="8"/>
  <c r="BR64" i="8"/>
  <c r="BQ64" i="8"/>
  <c r="BP64" i="8"/>
  <c r="BO64" i="8"/>
  <c r="BN64" i="8"/>
  <c r="BM64" i="8"/>
  <c r="BL64" i="8"/>
  <c r="BK64" i="8"/>
  <c r="BJ64" i="8"/>
  <c r="BI64" i="8"/>
  <c r="BH64" i="8"/>
  <c r="CJ63" i="8"/>
  <c r="CI63" i="8"/>
  <c r="CH63" i="8"/>
  <c r="CG63" i="8"/>
  <c r="CF63" i="8"/>
  <c r="CE63" i="8"/>
  <c r="CD63" i="8"/>
  <c r="CC63" i="8"/>
  <c r="CB63" i="8"/>
  <c r="CA63" i="8"/>
  <c r="BZ63" i="8"/>
  <c r="BY63" i="8"/>
  <c r="BX63" i="8"/>
  <c r="BW63" i="8"/>
  <c r="BV63" i="8"/>
  <c r="BU63" i="8"/>
  <c r="BT63" i="8"/>
  <c r="BS63" i="8"/>
  <c r="BR63" i="8"/>
  <c r="BQ63" i="8"/>
  <c r="BP63" i="8"/>
  <c r="BO63" i="8"/>
  <c r="BN63" i="8"/>
  <c r="BM63" i="8"/>
  <c r="BL63" i="8"/>
  <c r="BK63" i="8"/>
  <c r="BJ63" i="8"/>
  <c r="BI63" i="8"/>
  <c r="BH63" i="8"/>
  <c r="CJ62" i="8"/>
  <c r="CI62" i="8"/>
  <c r="CH62" i="8"/>
  <c r="CG62" i="8"/>
  <c r="CF62" i="8"/>
  <c r="CE62" i="8"/>
  <c r="CD62" i="8"/>
  <c r="CC62" i="8"/>
  <c r="CB62" i="8"/>
  <c r="CA62" i="8"/>
  <c r="BZ62" i="8"/>
  <c r="BY62" i="8"/>
  <c r="BX62" i="8"/>
  <c r="BW62" i="8"/>
  <c r="BV62" i="8"/>
  <c r="BU62" i="8"/>
  <c r="BT62" i="8"/>
  <c r="BS62" i="8"/>
  <c r="BR62" i="8"/>
  <c r="BQ62" i="8"/>
  <c r="BP62" i="8"/>
  <c r="BO62" i="8"/>
  <c r="BN62" i="8"/>
  <c r="BM62" i="8"/>
  <c r="BL62" i="8"/>
  <c r="BK62" i="8"/>
  <c r="BJ62" i="8"/>
  <c r="BI62" i="8"/>
  <c r="BH62" i="8"/>
  <c r="CJ61" i="8"/>
  <c r="CI61" i="8"/>
  <c r="CH61" i="8"/>
  <c r="CG61" i="8"/>
  <c r="CF61" i="8"/>
  <c r="CE61" i="8"/>
  <c r="CD61" i="8"/>
  <c r="CC61" i="8"/>
  <c r="CB61" i="8"/>
  <c r="CA61" i="8"/>
  <c r="BZ61" i="8"/>
  <c r="BY61" i="8"/>
  <c r="BX61" i="8"/>
  <c r="BW61" i="8"/>
  <c r="BV61" i="8"/>
  <c r="BU61" i="8"/>
  <c r="BT61" i="8"/>
  <c r="BS61" i="8"/>
  <c r="BR61" i="8"/>
  <c r="BQ61" i="8"/>
  <c r="BP61" i="8"/>
  <c r="BO61" i="8"/>
  <c r="BN61" i="8"/>
  <c r="BM61" i="8"/>
  <c r="BL61" i="8"/>
  <c r="BK61" i="8"/>
  <c r="BJ61" i="8"/>
  <c r="BI61" i="8"/>
  <c r="BH61" i="8"/>
  <c r="CJ60" i="8"/>
  <c r="CI60" i="8"/>
  <c r="CH60" i="8"/>
  <c r="CG60" i="8"/>
  <c r="CF60" i="8"/>
  <c r="CE60" i="8"/>
  <c r="CD60" i="8"/>
  <c r="CC60" i="8"/>
  <c r="CB60" i="8"/>
  <c r="CA60" i="8"/>
  <c r="BZ60" i="8"/>
  <c r="BY60" i="8"/>
  <c r="BX60" i="8"/>
  <c r="BW60" i="8"/>
  <c r="BV60" i="8"/>
  <c r="BU60" i="8"/>
  <c r="BT60" i="8"/>
  <c r="BS60" i="8"/>
  <c r="BR60" i="8"/>
  <c r="BQ60" i="8"/>
  <c r="BP60" i="8"/>
  <c r="BO60" i="8"/>
  <c r="BN60" i="8"/>
  <c r="BM60" i="8"/>
  <c r="BL60" i="8"/>
  <c r="BK60" i="8"/>
  <c r="BJ60" i="8"/>
  <c r="BI60" i="8"/>
  <c r="BH60" i="8"/>
  <c r="CJ59" i="8"/>
  <c r="CI59" i="8"/>
  <c r="CH59" i="8"/>
  <c r="CG59" i="8"/>
  <c r="CF59" i="8"/>
  <c r="CE59" i="8"/>
  <c r="CD59" i="8"/>
  <c r="CC59" i="8"/>
  <c r="CB59" i="8"/>
  <c r="CA59" i="8"/>
  <c r="BZ59" i="8"/>
  <c r="BY59" i="8"/>
  <c r="BX59" i="8"/>
  <c r="BW59" i="8"/>
  <c r="BV59" i="8"/>
  <c r="BU59" i="8"/>
  <c r="BT59" i="8"/>
  <c r="BS59" i="8"/>
  <c r="BR59" i="8"/>
  <c r="BQ59" i="8"/>
  <c r="BP59" i="8"/>
  <c r="BO59" i="8"/>
  <c r="BN59" i="8"/>
  <c r="BM59" i="8"/>
  <c r="BL59" i="8"/>
  <c r="BK59" i="8"/>
  <c r="BJ59" i="8"/>
  <c r="BI59" i="8"/>
  <c r="BH59" i="8"/>
  <c r="CJ58" i="8"/>
  <c r="CI58" i="8"/>
  <c r="CH58" i="8"/>
  <c r="CG58" i="8"/>
  <c r="CF58" i="8"/>
  <c r="CE58" i="8"/>
  <c r="CD58" i="8"/>
  <c r="CC58" i="8"/>
  <c r="CB58" i="8"/>
  <c r="CA58" i="8"/>
  <c r="BZ58" i="8"/>
  <c r="BY58" i="8"/>
  <c r="BX58" i="8"/>
  <c r="BW58" i="8"/>
  <c r="BV58" i="8"/>
  <c r="BU58" i="8"/>
  <c r="BT58" i="8"/>
  <c r="BS58" i="8"/>
  <c r="BR58" i="8"/>
  <c r="BQ58" i="8"/>
  <c r="BP58" i="8"/>
  <c r="BO58" i="8"/>
  <c r="BN58" i="8"/>
  <c r="BM58" i="8"/>
  <c r="BL58" i="8"/>
  <c r="BK58" i="8"/>
  <c r="BJ58" i="8"/>
  <c r="BI58" i="8"/>
  <c r="BH58" i="8"/>
  <c r="CJ57"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CJ55" i="8"/>
  <c r="CI55" i="8"/>
  <c r="CH55" i="8"/>
  <c r="CG55" i="8"/>
  <c r="CF55" i="8"/>
  <c r="CE55" i="8"/>
  <c r="CD55" i="8"/>
  <c r="CC55" i="8"/>
  <c r="CB55" i="8"/>
  <c r="CA55" i="8"/>
  <c r="BZ55" i="8"/>
  <c r="BY55" i="8"/>
  <c r="BX55" i="8"/>
  <c r="BW55" i="8"/>
  <c r="BV55" i="8"/>
  <c r="BU55" i="8"/>
  <c r="BT55" i="8"/>
  <c r="BS55" i="8"/>
  <c r="BR55" i="8"/>
  <c r="BQ55" i="8"/>
  <c r="BP55" i="8"/>
  <c r="BO55" i="8"/>
  <c r="BN55" i="8"/>
  <c r="BM55" i="8"/>
  <c r="BL55" i="8"/>
  <c r="BK55" i="8"/>
  <c r="BJ55" i="8"/>
  <c r="BI55" i="8"/>
  <c r="BH55" i="8"/>
  <c r="CJ54" i="8"/>
  <c r="CI54" i="8"/>
  <c r="CH54" i="8"/>
  <c r="CG54" i="8"/>
  <c r="CF54" i="8"/>
  <c r="CE54" i="8"/>
  <c r="CD54" i="8"/>
  <c r="CC54" i="8"/>
  <c r="CB54" i="8"/>
  <c r="CA54" i="8"/>
  <c r="BZ54" i="8"/>
  <c r="BY54" i="8"/>
  <c r="BX54" i="8"/>
  <c r="BW54" i="8"/>
  <c r="BV54" i="8"/>
  <c r="BU54" i="8"/>
  <c r="BT54" i="8"/>
  <c r="BS54" i="8"/>
  <c r="BR54" i="8"/>
  <c r="BQ54" i="8"/>
  <c r="BP54" i="8"/>
  <c r="BO54" i="8"/>
  <c r="BN54" i="8"/>
  <c r="BM54" i="8"/>
  <c r="BL54" i="8"/>
  <c r="BK54" i="8"/>
  <c r="BJ54" i="8"/>
  <c r="BI54" i="8"/>
  <c r="BH54" i="8"/>
  <c r="CJ53" i="8"/>
  <c r="CI53" i="8"/>
  <c r="CH53" i="8"/>
  <c r="CG53" i="8"/>
  <c r="CF53" i="8"/>
  <c r="CE53" i="8"/>
  <c r="CD53" i="8"/>
  <c r="CC53" i="8"/>
  <c r="CB53" i="8"/>
  <c r="CA53" i="8"/>
  <c r="BZ53" i="8"/>
  <c r="BY53" i="8"/>
  <c r="BX53" i="8"/>
  <c r="BW53" i="8"/>
  <c r="BV53" i="8"/>
  <c r="BU53" i="8"/>
  <c r="BT53" i="8"/>
  <c r="BS53" i="8"/>
  <c r="BR53" i="8"/>
  <c r="BQ53" i="8"/>
  <c r="BP53" i="8"/>
  <c r="BO53" i="8"/>
  <c r="BN53" i="8"/>
  <c r="BM53" i="8"/>
  <c r="BL53" i="8"/>
  <c r="BK53" i="8"/>
  <c r="BJ53" i="8"/>
  <c r="BI53" i="8"/>
  <c r="BH53" i="8"/>
  <c r="CJ52" i="8"/>
  <c r="CI52" i="8"/>
  <c r="CH52" i="8"/>
  <c r="CG52" i="8"/>
  <c r="CF52" i="8"/>
  <c r="CE52" i="8"/>
  <c r="CD52" i="8"/>
  <c r="CC52" i="8"/>
  <c r="CB52" i="8"/>
  <c r="CA52" i="8"/>
  <c r="BZ52" i="8"/>
  <c r="BY52" i="8"/>
  <c r="BX52" i="8"/>
  <c r="BW52" i="8"/>
  <c r="BV52" i="8"/>
  <c r="BU52" i="8"/>
  <c r="BT52" i="8"/>
  <c r="BS52" i="8"/>
  <c r="BR52" i="8"/>
  <c r="BQ52" i="8"/>
  <c r="BP52" i="8"/>
  <c r="BO52" i="8"/>
  <c r="BN52" i="8"/>
  <c r="BM52" i="8"/>
  <c r="BL52" i="8"/>
  <c r="BK52" i="8"/>
  <c r="BJ52" i="8"/>
  <c r="BI52" i="8"/>
  <c r="BH52" i="8"/>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CJ50" i="8"/>
  <c r="CI50" i="8"/>
  <c r="CH50" i="8"/>
  <c r="CG50" i="8"/>
  <c r="CF50" i="8"/>
  <c r="CE50" i="8"/>
  <c r="CD50" i="8"/>
  <c r="CC50" i="8"/>
  <c r="CB50" i="8"/>
  <c r="CA50" i="8"/>
  <c r="BZ50" i="8"/>
  <c r="BY50" i="8"/>
  <c r="BX50" i="8"/>
  <c r="BW50" i="8"/>
  <c r="BV50" i="8"/>
  <c r="BU50" i="8"/>
  <c r="BT50" i="8"/>
  <c r="BS50" i="8"/>
  <c r="BR50" i="8"/>
  <c r="BQ50" i="8"/>
  <c r="BP50" i="8"/>
  <c r="BO50" i="8"/>
  <c r="BN50" i="8"/>
  <c r="BM50" i="8"/>
  <c r="BL50" i="8"/>
  <c r="BK50" i="8"/>
  <c r="BJ50" i="8"/>
  <c r="BI50" i="8"/>
  <c r="BH50" i="8"/>
  <c r="CJ49" i="8"/>
  <c r="CI49" i="8"/>
  <c r="CH49" i="8"/>
  <c r="CG49" i="8"/>
  <c r="CF49" i="8"/>
  <c r="CE49" i="8"/>
  <c r="CD49" i="8"/>
  <c r="CC49" i="8"/>
  <c r="CB49" i="8"/>
  <c r="CA49" i="8"/>
  <c r="BZ49" i="8"/>
  <c r="BY49" i="8"/>
  <c r="BX49" i="8"/>
  <c r="BW49" i="8"/>
  <c r="BV49" i="8"/>
  <c r="BU49" i="8"/>
  <c r="BT49" i="8"/>
  <c r="BS49" i="8"/>
  <c r="BR49" i="8"/>
  <c r="BQ49" i="8"/>
  <c r="BP49" i="8"/>
  <c r="BO49" i="8"/>
  <c r="BN49" i="8"/>
  <c r="BM49" i="8"/>
  <c r="BL49" i="8"/>
  <c r="BK49" i="8"/>
  <c r="BJ49" i="8"/>
  <c r="BI49" i="8"/>
  <c r="BH49" i="8"/>
  <c r="CJ48" i="8"/>
  <c r="CI48" i="8"/>
  <c r="CH48" i="8"/>
  <c r="CG48" i="8"/>
  <c r="CF48" i="8"/>
  <c r="CE48" i="8"/>
  <c r="CD48" i="8"/>
  <c r="CC48" i="8"/>
  <c r="CB48" i="8"/>
  <c r="CA48" i="8"/>
  <c r="BZ48" i="8"/>
  <c r="BY48" i="8"/>
  <c r="BX48" i="8"/>
  <c r="BW48" i="8"/>
  <c r="BV48" i="8"/>
  <c r="BU48" i="8"/>
  <c r="BT48" i="8"/>
  <c r="BS48" i="8"/>
  <c r="BR48" i="8"/>
  <c r="BQ48" i="8"/>
  <c r="BP48" i="8"/>
  <c r="BO48" i="8"/>
  <c r="BN48" i="8"/>
  <c r="BM48" i="8"/>
  <c r="BL48" i="8"/>
  <c r="BK48" i="8"/>
  <c r="BJ48" i="8"/>
  <c r="BI48" i="8"/>
  <c r="BH48" i="8"/>
  <c r="CJ47" i="8"/>
  <c r="CI47" i="8"/>
  <c r="CH47" i="8"/>
  <c r="CG47" i="8"/>
  <c r="CF47" i="8"/>
  <c r="CE47" i="8"/>
  <c r="CD47" i="8"/>
  <c r="CC47" i="8"/>
  <c r="CB47" i="8"/>
  <c r="CA47" i="8"/>
  <c r="BZ47" i="8"/>
  <c r="BY47" i="8"/>
  <c r="BX47" i="8"/>
  <c r="BW47" i="8"/>
  <c r="BV47" i="8"/>
  <c r="BU47" i="8"/>
  <c r="BT47" i="8"/>
  <c r="BS47" i="8"/>
  <c r="BR47" i="8"/>
  <c r="BQ47" i="8"/>
  <c r="BP47" i="8"/>
  <c r="BO47" i="8"/>
  <c r="BN47" i="8"/>
  <c r="BM47" i="8"/>
  <c r="BL47" i="8"/>
  <c r="BK47" i="8"/>
  <c r="BJ47" i="8"/>
  <c r="BI47" i="8"/>
  <c r="BH47" i="8"/>
  <c r="CJ46" i="8"/>
  <c r="CI46" i="8"/>
  <c r="CH46" i="8"/>
  <c r="CG46" i="8"/>
  <c r="CF46" i="8"/>
  <c r="CE46" i="8"/>
  <c r="CD46" i="8"/>
  <c r="CC46" i="8"/>
  <c r="CB46" i="8"/>
  <c r="CA46" i="8"/>
  <c r="BZ46" i="8"/>
  <c r="BY46" i="8"/>
  <c r="BX46" i="8"/>
  <c r="BW46" i="8"/>
  <c r="BV46" i="8"/>
  <c r="BU46" i="8"/>
  <c r="BT46" i="8"/>
  <c r="BS46" i="8"/>
  <c r="BR46" i="8"/>
  <c r="BQ46" i="8"/>
  <c r="BP46" i="8"/>
  <c r="BO46" i="8"/>
  <c r="BN46" i="8"/>
  <c r="BM46" i="8"/>
  <c r="BL46" i="8"/>
  <c r="BK46" i="8"/>
  <c r="BJ46" i="8"/>
  <c r="BI46" i="8"/>
  <c r="BH46"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CJ44" i="8"/>
  <c r="CI44" i="8"/>
  <c r="CH44" i="8"/>
  <c r="CG44" i="8"/>
  <c r="CF44" i="8"/>
  <c r="CE44" i="8"/>
  <c r="CD44" i="8"/>
  <c r="CC44" i="8"/>
  <c r="CB44" i="8"/>
  <c r="CA44" i="8"/>
  <c r="BZ44" i="8"/>
  <c r="BY44" i="8"/>
  <c r="BX44" i="8"/>
  <c r="BW44" i="8"/>
  <c r="BV44" i="8"/>
  <c r="BU44" i="8"/>
  <c r="BT44" i="8"/>
  <c r="BS44" i="8"/>
  <c r="BR44" i="8"/>
  <c r="BQ44" i="8"/>
  <c r="BP44" i="8"/>
  <c r="BO44" i="8"/>
  <c r="BN44" i="8"/>
  <c r="BM44" i="8"/>
  <c r="BL44" i="8"/>
  <c r="BK44" i="8"/>
  <c r="BJ44" i="8"/>
  <c r="BI44" i="8"/>
  <c r="BH44" i="8"/>
  <c r="CJ43" i="8"/>
  <c r="CI43" i="8"/>
  <c r="CH43" i="8"/>
  <c r="CG43" i="8"/>
  <c r="CF43" i="8"/>
  <c r="CE43" i="8"/>
  <c r="CD43" i="8"/>
  <c r="CC43" i="8"/>
  <c r="CB43" i="8"/>
  <c r="CA43" i="8"/>
  <c r="BZ43" i="8"/>
  <c r="BY43" i="8"/>
  <c r="BX43" i="8"/>
  <c r="BW43" i="8"/>
  <c r="BV43" i="8"/>
  <c r="BU43" i="8"/>
  <c r="BT43" i="8"/>
  <c r="BS43" i="8"/>
  <c r="BR43" i="8"/>
  <c r="BQ43" i="8"/>
  <c r="BP43" i="8"/>
  <c r="BO43" i="8"/>
  <c r="BN43" i="8"/>
  <c r="BM43" i="8"/>
  <c r="BL43" i="8"/>
  <c r="BK43" i="8"/>
  <c r="BJ43" i="8"/>
  <c r="BI43" i="8"/>
  <c r="BH43" i="8"/>
  <c r="CJ42" i="8"/>
  <c r="CI42" i="8"/>
  <c r="CH42" i="8"/>
  <c r="CG42" i="8"/>
  <c r="CF42" i="8"/>
  <c r="CE42" i="8"/>
  <c r="CD42" i="8"/>
  <c r="CC42" i="8"/>
  <c r="CB42" i="8"/>
  <c r="CA42" i="8"/>
  <c r="BZ42" i="8"/>
  <c r="BY42" i="8"/>
  <c r="BX42" i="8"/>
  <c r="BW42" i="8"/>
  <c r="BV42" i="8"/>
  <c r="BU42" i="8"/>
  <c r="BT42" i="8"/>
  <c r="BS42" i="8"/>
  <c r="BR42" i="8"/>
  <c r="BQ42" i="8"/>
  <c r="BP42" i="8"/>
  <c r="BO42" i="8"/>
  <c r="BN42" i="8"/>
  <c r="BM42" i="8"/>
  <c r="BL42" i="8"/>
  <c r="BK42" i="8"/>
  <c r="BJ42" i="8"/>
  <c r="BI42" i="8"/>
  <c r="BH42" i="8"/>
  <c r="CJ41" i="8"/>
  <c r="CI41" i="8"/>
  <c r="CH41" i="8"/>
  <c r="CG41" i="8"/>
  <c r="CF41" i="8"/>
  <c r="CE41" i="8"/>
  <c r="CD41" i="8"/>
  <c r="CC41" i="8"/>
  <c r="CB41" i="8"/>
  <c r="CA41" i="8"/>
  <c r="BZ41" i="8"/>
  <c r="BY41" i="8"/>
  <c r="BX41" i="8"/>
  <c r="BW41" i="8"/>
  <c r="BV41" i="8"/>
  <c r="BU41" i="8"/>
  <c r="BT41" i="8"/>
  <c r="BS41" i="8"/>
  <c r="BR41" i="8"/>
  <c r="BQ41" i="8"/>
  <c r="BP41" i="8"/>
  <c r="BO41" i="8"/>
  <c r="BN41" i="8"/>
  <c r="BM41" i="8"/>
  <c r="BL41" i="8"/>
  <c r="BK41" i="8"/>
  <c r="BJ41" i="8"/>
  <c r="BI41" i="8"/>
  <c r="BH41" i="8"/>
  <c r="CJ40" i="8"/>
  <c r="CI40" i="8"/>
  <c r="CH40" i="8"/>
  <c r="CG40" i="8"/>
  <c r="CF40" i="8"/>
  <c r="CE40" i="8"/>
  <c r="CD40" i="8"/>
  <c r="CC40" i="8"/>
  <c r="CB40" i="8"/>
  <c r="CA40" i="8"/>
  <c r="BZ40" i="8"/>
  <c r="BY40" i="8"/>
  <c r="BX40" i="8"/>
  <c r="BW40" i="8"/>
  <c r="BV40" i="8"/>
  <c r="BU40" i="8"/>
  <c r="BT40" i="8"/>
  <c r="BS40" i="8"/>
  <c r="BR40" i="8"/>
  <c r="BQ40" i="8"/>
  <c r="BP40" i="8"/>
  <c r="BO40" i="8"/>
  <c r="BN40" i="8"/>
  <c r="BM40" i="8"/>
  <c r="BL40" i="8"/>
  <c r="BK40" i="8"/>
  <c r="BJ40" i="8"/>
  <c r="BI40" i="8"/>
  <c r="BH40" i="8"/>
  <c r="CJ39" i="8"/>
  <c r="CI39" i="8"/>
  <c r="CH39" i="8"/>
  <c r="CG39" i="8"/>
  <c r="CF39" i="8"/>
  <c r="CE39" i="8"/>
  <c r="CD39" i="8"/>
  <c r="CC39" i="8"/>
  <c r="CB39" i="8"/>
  <c r="CA39" i="8"/>
  <c r="BZ39" i="8"/>
  <c r="BY39" i="8"/>
  <c r="BX39" i="8"/>
  <c r="BW39" i="8"/>
  <c r="BV39" i="8"/>
  <c r="BU39" i="8"/>
  <c r="BT39" i="8"/>
  <c r="BS39" i="8"/>
  <c r="BR39" i="8"/>
  <c r="BQ39" i="8"/>
  <c r="BP39" i="8"/>
  <c r="BO39" i="8"/>
  <c r="BN39" i="8"/>
  <c r="BM39" i="8"/>
  <c r="BL39" i="8"/>
  <c r="BK39" i="8"/>
  <c r="BJ39" i="8"/>
  <c r="BI39" i="8"/>
  <c r="BH39" i="8"/>
  <c r="CJ38" i="8"/>
  <c r="CI38" i="8"/>
  <c r="CH38" i="8"/>
  <c r="CG38" i="8"/>
  <c r="CF38" i="8"/>
  <c r="CE38" i="8"/>
  <c r="CD38" i="8"/>
  <c r="CC38" i="8"/>
  <c r="CB38" i="8"/>
  <c r="CA38" i="8"/>
  <c r="BZ38" i="8"/>
  <c r="BY38" i="8"/>
  <c r="BX38" i="8"/>
  <c r="BW38" i="8"/>
  <c r="BV38" i="8"/>
  <c r="BU38" i="8"/>
  <c r="BT38" i="8"/>
  <c r="BS38" i="8"/>
  <c r="BR38" i="8"/>
  <c r="BQ38" i="8"/>
  <c r="BP38" i="8"/>
  <c r="BO38" i="8"/>
  <c r="BN38" i="8"/>
  <c r="BM38" i="8"/>
  <c r="BL38" i="8"/>
  <c r="BK38" i="8"/>
  <c r="BJ38" i="8"/>
  <c r="BI38" i="8"/>
  <c r="BH38" i="8"/>
  <c r="CJ37" i="8"/>
  <c r="CI37" i="8"/>
  <c r="CH37" i="8"/>
  <c r="CG37" i="8"/>
  <c r="CF37" i="8"/>
  <c r="CE37" i="8"/>
  <c r="CD37" i="8"/>
  <c r="CC37" i="8"/>
  <c r="CB37" i="8"/>
  <c r="CA37" i="8"/>
  <c r="BZ37" i="8"/>
  <c r="BY37" i="8"/>
  <c r="BX37" i="8"/>
  <c r="BW37" i="8"/>
  <c r="BV37" i="8"/>
  <c r="BU37" i="8"/>
  <c r="BT37" i="8"/>
  <c r="BS37" i="8"/>
  <c r="BR37" i="8"/>
  <c r="BQ37" i="8"/>
  <c r="BP37" i="8"/>
  <c r="BO37" i="8"/>
  <c r="BN37" i="8"/>
  <c r="BM37" i="8"/>
  <c r="BL37" i="8"/>
  <c r="BK37" i="8"/>
  <c r="BJ37" i="8"/>
  <c r="BI37" i="8"/>
  <c r="BH37" i="8"/>
  <c r="CJ36" i="8"/>
  <c r="CI36" i="8"/>
  <c r="CH36" i="8"/>
  <c r="CG36" i="8"/>
  <c r="CF36" i="8"/>
  <c r="CE36" i="8"/>
  <c r="CD36" i="8"/>
  <c r="CC36" i="8"/>
  <c r="CB36" i="8"/>
  <c r="CA36" i="8"/>
  <c r="BZ36" i="8"/>
  <c r="BY36" i="8"/>
  <c r="BX36" i="8"/>
  <c r="BW36" i="8"/>
  <c r="BV36" i="8"/>
  <c r="BU36" i="8"/>
  <c r="BT36" i="8"/>
  <c r="BS36" i="8"/>
  <c r="BR36" i="8"/>
  <c r="BQ36" i="8"/>
  <c r="BP36" i="8"/>
  <c r="BO36" i="8"/>
  <c r="BN36" i="8"/>
  <c r="BM36" i="8"/>
  <c r="BL36" i="8"/>
  <c r="BK36" i="8"/>
  <c r="BJ36" i="8"/>
  <c r="BI36" i="8"/>
  <c r="BH36" i="8"/>
  <c r="CJ35" i="8"/>
  <c r="CI35" i="8"/>
  <c r="CH35" i="8"/>
  <c r="CG35" i="8"/>
  <c r="CF35" i="8"/>
  <c r="CE35" i="8"/>
  <c r="CD35" i="8"/>
  <c r="CC35" i="8"/>
  <c r="CB35" i="8"/>
  <c r="CA35" i="8"/>
  <c r="BZ35" i="8"/>
  <c r="BY35" i="8"/>
  <c r="BX35" i="8"/>
  <c r="BW35" i="8"/>
  <c r="BV35" i="8"/>
  <c r="BU35" i="8"/>
  <c r="BT35" i="8"/>
  <c r="BS35" i="8"/>
  <c r="BR35" i="8"/>
  <c r="BQ35" i="8"/>
  <c r="BP35" i="8"/>
  <c r="BO35" i="8"/>
  <c r="BN35" i="8"/>
  <c r="BM35" i="8"/>
  <c r="BL35" i="8"/>
  <c r="BK35" i="8"/>
  <c r="BJ35" i="8"/>
  <c r="BI35" i="8"/>
  <c r="BH35" i="8"/>
  <c r="CJ34" i="8"/>
  <c r="CI34" i="8"/>
  <c r="CH34" i="8"/>
  <c r="CG34" i="8"/>
  <c r="CF34" i="8"/>
  <c r="CE34" i="8"/>
  <c r="CD34" i="8"/>
  <c r="CC34" i="8"/>
  <c r="CB34" i="8"/>
  <c r="CA34" i="8"/>
  <c r="BZ34" i="8"/>
  <c r="BY34" i="8"/>
  <c r="BX34" i="8"/>
  <c r="BW34" i="8"/>
  <c r="BV34" i="8"/>
  <c r="BU34" i="8"/>
  <c r="BT34" i="8"/>
  <c r="BS34" i="8"/>
  <c r="BR34" i="8"/>
  <c r="BQ34" i="8"/>
  <c r="BP34" i="8"/>
  <c r="BO34" i="8"/>
  <c r="BN34" i="8"/>
  <c r="BM34" i="8"/>
  <c r="BL34" i="8"/>
  <c r="BK34" i="8"/>
  <c r="BJ34" i="8"/>
  <c r="BI34" i="8"/>
  <c r="BH34"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CJ32" i="8"/>
  <c r="CI32" i="8"/>
  <c r="CH32" i="8"/>
  <c r="CG32" i="8"/>
  <c r="CF32" i="8"/>
  <c r="CE32" i="8"/>
  <c r="CD32" i="8"/>
  <c r="CC32" i="8"/>
  <c r="CB32" i="8"/>
  <c r="CA32" i="8"/>
  <c r="BZ32" i="8"/>
  <c r="BY32" i="8"/>
  <c r="BX32" i="8"/>
  <c r="BW32" i="8"/>
  <c r="BV32" i="8"/>
  <c r="BU32" i="8"/>
  <c r="BT32" i="8"/>
  <c r="BS32" i="8"/>
  <c r="BR32" i="8"/>
  <c r="BQ32" i="8"/>
  <c r="BP32" i="8"/>
  <c r="BO32" i="8"/>
  <c r="BN32" i="8"/>
  <c r="BM32" i="8"/>
  <c r="BL32" i="8"/>
  <c r="BK32" i="8"/>
  <c r="BJ32" i="8"/>
  <c r="BI32" i="8"/>
  <c r="BH32" i="8"/>
  <c r="CJ31" i="8"/>
  <c r="CI31" i="8"/>
  <c r="CH31" i="8"/>
  <c r="CG31" i="8"/>
  <c r="CF31" i="8"/>
  <c r="CE31" i="8"/>
  <c r="CD31" i="8"/>
  <c r="CC31" i="8"/>
  <c r="CB31" i="8"/>
  <c r="CA31" i="8"/>
  <c r="BZ31" i="8"/>
  <c r="BY31" i="8"/>
  <c r="BX31" i="8"/>
  <c r="BW31" i="8"/>
  <c r="BV31" i="8"/>
  <c r="BU31" i="8"/>
  <c r="BT31" i="8"/>
  <c r="BS31" i="8"/>
  <c r="BR31" i="8"/>
  <c r="BQ31" i="8"/>
  <c r="BP31" i="8"/>
  <c r="BO31" i="8"/>
  <c r="BN31" i="8"/>
  <c r="BM31" i="8"/>
  <c r="BL31" i="8"/>
  <c r="BK31" i="8"/>
  <c r="BJ31" i="8"/>
  <c r="BI31" i="8"/>
  <c r="BH31" i="8"/>
  <c r="CJ30" i="8"/>
  <c r="CI30" i="8"/>
  <c r="CH30" i="8"/>
  <c r="CG30" i="8"/>
  <c r="CF30" i="8"/>
  <c r="CE30" i="8"/>
  <c r="CD30" i="8"/>
  <c r="CC30" i="8"/>
  <c r="CB30" i="8"/>
  <c r="CA30" i="8"/>
  <c r="BZ30" i="8"/>
  <c r="BY30" i="8"/>
  <c r="BX30" i="8"/>
  <c r="BW30" i="8"/>
  <c r="BV30" i="8"/>
  <c r="BU30" i="8"/>
  <c r="BT30" i="8"/>
  <c r="BS30" i="8"/>
  <c r="BR30" i="8"/>
  <c r="BQ30" i="8"/>
  <c r="BP30" i="8"/>
  <c r="BO30" i="8"/>
  <c r="BN30" i="8"/>
  <c r="BM30" i="8"/>
  <c r="BL30" i="8"/>
  <c r="BK30" i="8"/>
  <c r="BJ30" i="8"/>
  <c r="BI30" i="8"/>
  <c r="BH30"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CJ28" i="8"/>
  <c r="CI28" i="8"/>
  <c r="CH28" i="8"/>
  <c r="CG28" i="8"/>
  <c r="CF28" i="8"/>
  <c r="CE28" i="8"/>
  <c r="CD28" i="8"/>
  <c r="CC28" i="8"/>
  <c r="CB28" i="8"/>
  <c r="CA28" i="8"/>
  <c r="BZ28" i="8"/>
  <c r="BY28" i="8"/>
  <c r="BX28" i="8"/>
  <c r="BW28" i="8"/>
  <c r="BV28" i="8"/>
  <c r="BU28" i="8"/>
  <c r="BT28" i="8"/>
  <c r="BS28" i="8"/>
  <c r="BR28" i="8"/>
  <c r="BQ28" i="8"/>
  <c r="BP28" i="8"/>
  <c r="BO28" i="8"/>
  <c r="BN28" i="8"/>
  <c r="BM28" i="8"/>
  <c r="BL28" i="8"/>
  <c r="BK28" i="8"/>
  <c r="BJ28" i="8"/>
  <c r="BI28" i="8"/>
  <c r="BH28" i="8"/>
  <c r="CJ27" i="8"/>
  <c r="CI27" i="8"/>
  <c r="CH27" i="8"/>
  <c r="CG27" i="8"/>
  <c r="CF27" i="8"/>
  <c r="CE27" i="8"/>
  <c r="CD27" i="8"/>
  <c r="CC27" i="8"/>
  <c r="CB27" i="8"/>
  <c r="CA27" i="8"/>
  <c r="BZ27" i="8"/>
  <c r="BY27" i="8"/>
  <c r="BX27" i="8"/>
  <c r="BW27" i="8"/>
  <c r="BV27" i="8"/>
  <c r="BU27" i="8"/>
  <c r="BT27" i="8"/>
  <c r="BS27" i="8"/>
  <c r="BR27" i="8"/>
  <c r="BQ27" i="8"/>
  <c r="BP27" i="8"/>
  <c r="BO27" i="8"/>
  <c r="BN27" i="8"/>
  <c r="BM27" i="8"/>
  <c r="BL27" i="8"/>
  <c r="BK27" i="8"/>
  <c r="BJ27" i="8"/>
  <c r="BI27" i="8"/>
  <c r="BH27" i="8"/>
  <c r="CJ26" i="8"/>
  <c r="CI26" i="8"/>
  <c r="CH26" i="8"/>
  <c r="CG26" i="8"/>
  <c r="CF26" i="8"/>
  <c r="CE26" i="8"/>
  <c r="CD26" i="8"/>
  <c r="CC26" i="8"/>
  <c r="CB26" i="8"/>
  <c r="CA26" i="8"/>
  <c r="BZ26" i="8"/>
  <c r="BY26" i="8"/>
  <c r="BX26" i="8"/>
  <c r="BW26" i="8"/>
  <c r="BV26" i="8"/>
  <c r="BU26" i="8"/>
  <c r="BT26" i="8"/>
  <c r="BS26" i="8"/>
  <c r="BR26" i="8"/>
  <c r="BQ26" i="8"/>
  <c r="BP26" i="8"/>
  <c r="BO26" i="8"/>
  <c r="BN26" i="8"/>
  <c r="BM26" i="8"/>
  <c r="BL26" i="8"/>
  <c r="BK26" i="8"/>
  <c r="BJ26" i="8"/>
  <c r="BI26" i="8"/>
  <c r="BH26" i="8"/>
  <c r="CJ25" i="8"/>
  <c r="CI25" i="8"/>
  <c r="CH25" i="8"/>
  <c r="CG25" i="8"/>
  <c r="CF25" i="8"/>
  <c r="CE25" i="8"/>
  <c r="CD25" i="8"/>
  <c r="CC25" i="8"/>
  <c r="CB25" i="8"/>
  <c r="CA25" i="8"/>
  <c r="BZ25" i="8"/>
  <c r="BY25" i="8"/>
  <c r="BX25" i="8"/>
  <c r="BW25" i="8"/>
  <c r="BV25" i="8"/>
  <c r="BU25" i="8"/>
  <c r="BT25" i="8"/>
  <c r="BS25" i="8"/>
  <c r="BR25" i="8"/>
  <c r="BQ25" i="8"/>
  <c r="BP25" i="8"/>
  <c r="BO25" i="8"/>
  <c r="BN25" i="8"/>
  <c r="BM25" i="8"/>
  <c r="BL25" i="8"/>
  <c r="BK25" i="8"/>
  <c r="BJ25" i="8"/>
  <c r="BI25" i="8"/>
  <c r="BH25"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CJ17" i="8"/>
  <c r="CI17" i="8"/>
  <c r="CH17" i="8"/>
  <c r="CG17" i="8"/>
  <c r="CF17" i="8"/>
  <c r="CE17" i="8"/>
  <c r="CD17" i="8"/>
  <c r="CC17" i="8"/>
  <c r="CB17" i="8"/>
  <c r="CA17" i="8"/>
  <c r="BZ17" i="8"/>
  <c r="BY17" i="8"/>
  <c r="BX17" i="8"/>
  <c r="BW17" i="8"/>
  <c r="BV17" i="8"/>
  <c r="BU17" i="8"/>
  <c r="BT17" i="8"/>
  <c r="BS17" i="8"/>
  <c r="BR17" i="8"/>
  <c r="BQ17" i="8"/>
  <c r="BP17" i="8"/>
  <c r="BO17" i="8"/>
  <c r="BN17" i="8"/>
  <c r="BM17" i="8"/>
  <c r="BL17" i="8"/>
  <c r="BK17" i="8"/>
  <c r="BJ17" i="8"/>
  <c r="BI17" i="8"/>
  <c r="BH17"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CJ15" i="8"/>
  <c r="CI15" i="8"/>
  <c r="CH15" i="8"/>
  <c r="CG15" i="8"/>
  <c r="CF15" i="8"/>
  <c r="CE15" i="8"/>
  <c r="CD15" i="8"/>
  <c r="CC15" i="8"/>
  <c r="CB15" i="8"/>
  <c r="CA15" i="8"/>
  <c r="BZ15" i="8"/>
  <c r="BY15" i="8"/>
  <c r="BX15" i="8"/>
  <c r="BW15" i="8"/>
  <c r="BV15" i="8"/>
  <c r="BU15" i="8"/>
  <c r="BT15" i="8"/>
  <c r="BS15" i="8"/>
  <c r="BR15" i="8"/>
  <c r="BQ15" i="8"/>
  <c r="BP15" i="8"/>
  <c r="BO15" i="8"/>
  <c r="BN15" i="8"/>
  <c r="BM15" i="8"/>
  <c r="BL15" i="8"/>
  <c r="BK15" i="8"/>
  <c r="BJ15" i="8"/>
  <c r="BI15" i="8"/>
  <c r="BH15"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H8" i="8"/>
  <c r="BI8" i="8"/>
  <c r="BJ8" i="8"/>
  <c r="BK8" i="8"/>
  <c r="BL8" i="8"/>
  <c r="BM8" i="8"/>
  <c r="BN8" i="8"/>
  <c r="BO8" i="8"/>
  <c r="BP8" i="8"/>
  <c r="BQ8" i="8"/>
  <c r="BR8" i="8"/>
  <c r="BS8" i="8"/>
  <c r="BT8" i="8"/>
  <c r="BU8" i="8"/>
  <c r="BV8" i="8"/>
  <c r="BW8" i="8"/>
  <c r="BX8" i="8"/>
  <c r="BY8" i="8"/>
  <c r="BZ8" i="8"/>
  <c r="CA8" i="8"/>
  <c r="CB8" i="8"/>
  <c r="CC8" i="8"/>
  <c r="CD8" i="8"/>
  <c r="CE8" i="8"/>
  <c r="CF8" i="8"/>
  <c r="CG8" i="8"/>
  <c r="CH8" i="8"/>
  <c r="CI8" i="8"/>
  <c r="CJ8" i="8"/>
  <c r="BH9" i="8"/>
  <c r="BI9" i="8"/>
  <c r="BJ9" i="8"/>
  <c r="BK9" i="8"/>
  <c r="BL9" i="8"/>
  <c r="BM9" i="8"/>
  <c r="BN9" i="8"/>
  <c r="BO9" i="8"/>
  <c r="BP9" i="8"/>
  <c r="BQ9" i="8"/>
  <c r="BR9" i="8"/>
  <c r="BS9" i="8"/>
  <c r="BT9" i="8"/>
  <c r="BU9" i="8"/>
  <c r="BV9" i="8"/>
  <c r="BW9" i="8"/>
  <c r="BX9" i="8"/>
  <c r="BY9" i="8"/>
  <c r="BZ9" i="8"/>
  <c r="CA9" i="8"/>
  <c r="CB9" i="8"/>
  <c r="CC9" i="8"/>
  <c r="CD9" i="8"/>
  <c r="CE9" i="8"/>
  <c r="CF9" i="8"/>
  <c r="CG9" i="8"/>
  <c r="CH9" i="8"/>
  <c r="CI9" i="8"/>
  <c r="CJ9" i="8"/>
  <c r="BH10" i="8"/>
  <c r="BI10" i="8"/>
  <c r="BJ10" i="8"/>
  <c r="BK10" i="8"/>
  <c r="BL10" i="8"/>
  <c r="BM10" i="8"/>
  <c r="BN10" i="8"/>
  <c r="BO10" i="8"/>
  <c r="BP10" i="8"/>
  <c r="BQ10" i="8"/>
  <c r="BR10" i="8"/>
  <c r="BS10" i="8"/>
  <c r="BT10" i="8"/>
  <c r="BU10" i="8"/>
  <c r="BV10" i="8"/>
  <c r="BW10" i="8"/>
  <c r="BX10" i="8"/>
  <c r="BY10" i="8"/>
  <c r="BZ10" i="8"/>
  <c r="CA10" i="8"/>
  <c r="CB10" i="8"/>
  <c r="CC10" i="8"/>
  <c r="CD10" i="8"/>
  <c r="CE10" i="8"/>
  <c r="CF10" i="8"/>
  <c r="CG10" i="8"/>
  <c r="CH10" i="8"/>
  <c r="CI10" i="8"/>
  <c r="CJ10" i="8"/>
  <c r="BH11" i="8"/>
  <c r="BI11" i="8"/>
  <c r="BJ11" i="8"/>
  <c r="BK11" i="8"/>
  <c r="BL11" i="8"/>
  <c r="BM11" i="8"/>
  <c r="BN11" i="8"/>
  <c r="BO11" i="8"/>
  <c r="BP11" i="8"/>
  <c r="BQ11" i="8"/>
  <c r="BR11" i="8"/>
  <c r="BS11" i="8"/>
  <c r="BT11" i="8"/>
  <c r="BU11" i="8"/>
  <c r="BV11" i="8"/>
  <c r="BW11" i="8"/>
  <c r="BX11" i="8"/>
  <c r="BY11" i="8"/>
  <c r="BZ11" i="8"/>
  <c r="CA11" i="8"/>
  <c r="CB11" i="8"/>
  <c r="CC11" i="8"/>
  <c r="CD11" i="8"/>
  <c r="CE11" i="8"/>
  <c r="CF11" i="8"/>
  <c r="CG11" i="8"/>
  <c r="CH11" i="8"/>
  <c r="CI11" i="8"/>
  <c r="CJ11" i="8"/>
  <c r="BH12" i="8"/>
  <c r="BI12" i="8"/>
  <c r="BJ12" i="8"/>
  <c r="BK12" i="8"/>
  <c r="BL12" i="8"/>
  <c r="BM12" i="8"/>
  <c r="BN12" i="8"/>
  <c r="BO12" i="8"/>
  <c r="BP12" i="8"/>
  <c r="BQ12" i="8"/>
  <c r="BR12" i="8"/>
  <c r="BS12" i="8"/>
  <c r="BT12" i="8"/>
  <c r="BU12" i="8"/>
  <c r="BV12" i="8"/>
  <c r="BW12" i="8"/>
  <c r="BX12" i="8"/>
  <c r="BY12" i="8"/>
  <c r="BZ12" i="8"/>
  <c r="CA12" i="8"/>
  <c r="CB12" i="8"/>
  <c r="CC12" i="8"/>
  <c r="CD12" i="8"/>
  <c r="CE12" i="8"/>
  <c r="CF12" i="8"/>
  <c r="CG12" i="8"/>
  <c r="CH12" i="8"/>
  <c r="CI12" i="8"/>
  <c r="CJ12" i="8"/>
  <c r="BH13" i="8"/>
  <c r="BI13" i="8"/>
  <c r="BJ13" i="8"/>
  <c r="BK13" i="8"/>
  <c r="BL13" i="8"/>
  <c r="BM13" i="8"/>
  <c r="BN13" i="8"/>
  <c r="BO13" i="8"/>
  <c r="BP13" i="8"/>
  <c r="BQ13" i="8"/>
  <c r="BR13" i="8"/>
  <c r="BS13" i="8"/>
  <c r="BT13" i="8"/>
  <c r="BU13" i="8"/>
  <c r="BV13" i="8"/>
  <c r="BW13" i="8"/>
  <c r="BX13" i="8"/>
  <c r="BY13" i="8"/>
  <c r="BZ13" i="8"/>
  <c r="CA13" i="8"/>
  <c r="CB13" i="8"/>
  <c r="CC13" i="8"/>
  <c r="CD13" i="8"/>
  <c r="CE13" i="8"/>
  <c r="CF13" i="8"/>
  <c r="CG13" i="8"/>
  <c r="CH13" i="8"/>
  <c r="CI13" i="8"/>
  <c r="CJ13" i="8"/>
  <c r="AG11" i="2"/>
  <c r="AK113" i="2"/>
  <c r="C5" i="14" s="1" a="1"/>
  <c r="C5" i="14" s="1"/>
  <c r="AN175" i="2"/>
  <c r="AN176" i="2"/>
  <c r="AN177" i="2"/>
  <c r="AN178" i="2"/>
  <c r="AL132" i="2"/>
  <c r="CE7" i="8"/>
  <c r="BO7" i="8"/>
  <c r="BO5" i="8" s="1"/>
  <c r="BO4" i="8" s="1"/>
  <c r="I29" i="2" s="1"/>
  <c r="CI1" i="8"/>
  <c r="CG1" i="8"/>
  <c r="CE1" i="8"/>
  <c r="CC1" i="8"/>
  <c r="CA1" i="8"/>
  <c r="BY1" i="8"/>
  <c r="BW1" i="8"/>
  <c r="CJ7" i="8"/>
  <c r="CJ5" i="8" s="1" a="1"/>
  <c r="CJ5" i="8" s="1"/>
  <c r="CI5" i="8" s="1"/>
  <c r="CI7" i="8"/>
  <c r="CH7" i="8"/>
  <c r="CG7" i="8"/>
  <c r="CF7" i="8"/>
  <c r="CD7" i="8"/>
  <c r="CC7" i="8"/>
  <c r="CB7" i="8"/>
  <c r="CB5" i="8" s="1" a="1"/>
  <c r="CB5" i="8" s="1"/>
  <c r="CA5" i="8" s="1"/>
  <c r="CA7" i="8"/>
  <c r="BZ7" i="8"/>
  <c r="BZ5" i="8" s="1" a="1"/>
  <c r="BZ5" i="8" s="1"/>
  <c r="BY5" i="8" s="1"/>
  <c r="BY7" i="8"/>
  <c r="BX7" i="8"/>
  <c r="BX5" i="8" s="1" a="1"/>
  <c r="BX5" i="8" s="1"/>
  <c r="BW5" i="8" s="1"/>
  <c r="BW7" i="8"/>
  <c r="BV7" i="8"/>
  <c r="BV5" i="8" s="1"/>
  <c r="BU7" i="8"/>
  <c r="BU5" i="8" s="1"/>
  <c r="BT7" i="8"/>
  <c r="BT5" i="8" s="1"/>
  <c r="BS7" i="8"/>
  <c r="BS5" i="8" s="1"/>
  <c r="BR7" i="8"/>
  <c r="BR5" i="8" s="1"/>
  <c r="BQ7" i="8"/>
  <c r="BQ5" i="8" s="1"/>
  <c r="BP7" i="8"/>
  <c r="BP5" i="8" s="1"/>
  <c r="BN7" i="8"/>
  <c r="BN5" i="8" s="1"/>
  <c r="BM7" i="8"/>
  <c r="BM5" i="8" s="1"/>
  <c r="BM3" i="8" s="1"/>
  <c r="BL7" i="8"/>
  <c r="BL5" i="8" s="1"/>
  <c r="BK7" i="8"/>
  <c r="BK5" i="8" s="1"/>
  <c r="BJ7" i="8"/>
  <c r="BJ5" i="8" s="1"/>
  <c r="BI7" i="8"/>
  <c r="BI5" i="8" s="1"/>
  <c r="BH7" i="8"/>
  <c r="BH5" i="8" s="1"/>
  <c r="BA4" i="8"/>
  <c r="AZ4" i="8"/>
  <c r="AY4" i="8"/>
  <c r="AX4" i="8"/>
  <c r="AW4" i="8"/>
  <c r="AV4" i="8"/>
  <c r="AU4" i="8"/>
  <c r="AT4" i="8"/>
  <c r="AS4" i="8"/>
  <c r="AR4" i="8"/>
  <c r="AQ4" i="8"/>
  <c r="AP4" i="8"/>
  <c r="AO4" i="8"/>
  <c r="AN4" i="8"/>
  <c r="AM4" i="8"/>
  <c r="AL4" i="8"/>
  <c r="AK4" i="8"/>
  <c r="AJ4" i="8"/>
  <c r="AI4" i="8"/>
  <c r="AH4" i="8"/>
  <c r="AG4" i="8"/>
  <c r="E9" i="1"/>
  <c r="J2" i="8"/>
  <c r="BE1" i="8"/>
  <c r="AE2" i="8"/>
  <c r="AD2" i="8"/>
  <c r="AC2" i="8"/>
  <c r="AB2" i="8"/>
  <c r="AA2" i="8"/>
  <c r="Z2" i="8"/>
  <c r="Y2" i="8"/>
  <c r="X2" i="8"/>
  <c r="W2" i="8"/>
  <c r="V2" i="8"/>
  <c r="U2" i="8"/>
  <c r="T2" i="8"/>
  <c r="S2" i="8"/>
  <c r="R2" i="8"/>
  <c r="Q2" i="8"/>
  <c r="P2" i="8"/>
  <c r="O2" i="8"/>
  <c r="N2" i="8"/>
  <c r="M2" i="8"/>
  <c r="L2" i="8"/>
  <c r="K2" i="8"/>
  <c r="BC3" i="8"/>
  <c r="I2" i="8"/>
  <c r="H2" i="8"/>
  <c r="F2" i="8"/>
  <c r="E2" i="8"/>
  <c r="D2" i="8"/>
  <c r="G2" i="8"/>
  <c r="C2" i="8"/>
  <c r="U54" i="2"/>
  <c r="I26" i="1"/>
  <c r="Q224" i="15" l="1"/>
  <c r="Q226" i="15"/>
  <c r="S9" i="15" a="1"/>
  <c r="S9" i="15" s="1"/>
  <c r="S11" i="15"/>
  <c r="S12" i="15" s="1"/>
  <c r="O15" i="15"/>
  <c r="R12" i="15"/>
  <c r="R10" i="15"/>
  <c r="P12" i="15"/>
  <c r="P10" i="15"/>
  <c r="N12" i="15"/>
  <c r="N10" i="15"/>
  <c r="AL133" i="2"/>
  <c r="AL134" i="2"/>
  <c r="AG12" i="2"/>
  <c r="E17" i="2"/>
  <c r="AN179" i="2"/>
  <c r="AN180" i="2"/>
  <c r="AN181" i="2"/>
  <c r="I23" i="1"/>
  <c r="H26" i="2"/>
  <c r="I23" i="2"/>
  <c r="BX4" i="8" a="1"/>
  <c r="BX4" i="8" s="1"/>
  <c r="BW2" i="8" s="1"/>
  <c r="BW3" i="8" a="1"/>
  <c r="BW3" i="8" s="1"/>
  <c r="BZ4" i="8" a="1"/>
  <c r="BZ4" i="8" s="1"/>
  <c r="BY3" i="8" a="1"/>
  <c r="BY3" i="8" s="1"/>
  <c r="BY2" i="8"/>
  <c r="CB4" i="8" a="1"/>
  <c r="CB4" i="8" s="1"/>
  <c r="CA3" i="8" a="1"/>
  <c r="CA3" i="8" s="1"/>
  <c r="CA2" i="8"/>
  <c r="CD4" i="8" a="1"/>
  <c r="CD4" i="8" s="1"/>
  <c r="CD5" i="8" a="1"/>
  <c r="CD5" i="8" s="1"/>
  <c r="CC5" i="8" s="1"/>
  <c r="CC3" i="8" a="1"/>
  <c r="CC3" i="8" s="1"/>
  <c r="CH4" i="8" a="1"/>
  <c r="CH4" i="8" s="1"/>
  <c r="CH5" i="8" a="1"/>
  <c r="CH5" i="8" s="1"/>
  <c r="CG5" i="8" s="1"/>
  <c r="CG2" i="8" s="1"/>
  <c r="CG3" i="8" a="1"/>
  <c r="CG3" i="8" s="1"/>
  <c r="CJ4" i="8" a="1"/>
  <c r="CJ4" i="8" s="1"/>
  <c r="CI3" i="8" a="1"/>
  <c r="CI3" i="8" s="1"/>
  <c r="CI2" i="8"/>
  <c r="U55" i="2"/>
  <c r="U56" i="2"/>
  <c r="U57" i="2"/>
  <c r="U58" i="2"/>
  <c r="O8" i="15" l="1"/>
  <c r="Q8" i="15"/>
  <c r="S10" i="15"/>
  <c r="M9" i="15"/>
  <c r="M11" i="15"/>
  <c r="M12" i="15" s="1"/>
  <c r="AL135" i="2"/>
  <c r="AN182" i="2"/>
  <c r="AN183" i="2"/>
  <c r="AN184" i="2"/>
  <c r="AN185" i="2"/>
  <c r="AL136" i="2"/>
  <c r="AG13" i="2"/>
  <c r="I20" i="1"/>
  <c r="AN186" i="2"/>
  <c r="AN187" i="2"/>
  <c r="AN188" i="2" s="1"/>
  <c r="AN189" i="2"/>
  <c r="H23" i="1"/>
  <c r="CC2" i="8"/>
  <c r="I24" i="2"/>
  <c r="I21" i="1" s="1"/>
  <c r="V50" i="2"/>
  <c r="U59" i="2"/>
  <c r="U60" i="2"/>
  <c r="V51" i="2"/>
  <c r="O9" i="15" l="1"/>
  <c r="O11" i="15"/>
  <c r="O10" i="15" s="1"/>
  <c r="AN190" i="2"/>
  <c r="AN191" i="2"/>
  <c r="I16" i="2"/>
  <c r="Q9" i="15"/>
  <c r="Q11" i="15"/>
  <c r="Q12" i="15"/>
  <c r="E22" i="2"/>
  <c r="AN192" i="2"/>
  <c r="AN193" i="2"/>
  <c r="AN194" i="2"/>
  <c r="AN195" i="2"/>
  <c r="AL137" i="2"/>
  <c r="AL138" i="2"/>
  <c r="AL139" i="2"/>
  <c r="AL140" i="2"/>
  <c r="AN196" i="2"/>
  <c r="AN197" i="2"/>
  <c r="AG14" i="2"/>
  <c r="AO113" i="2"/>
  <c r="AO106" i="2"/>
  <c r="AO105" i="2"/>
  <c r="U62" i="2"/>
  <c r="U63" i="2"/>
  <c r="U65" i="2"/>
  <c r="U66" i="2"/>
  <c r="V67" i="2"/>
  <c r="V66" i="2"/>
  <c r="V65" i="2"/>
  <c r="V64" i="2"/>
  <c r="V63" i="2"/>
  <c r="V62" i="2"/>
  <c r="V61" i="2"/>
  <c r="V60" i="2"/>
  <c r="V59" i="2"/>
  <c r="O12" i="15" l="1"/>
  <c r="T12" i="15" s="1"/>
  <c r="Q10" i="15"/>
  <c r="I22" i="2" s="1"/>
  <c r="I19" i="1" s="1"/>
  <c r="AL141" i="2"/>
  <c r="AO173" i="2"/>
  <c r="AO172" i="2"/>
  <c r="AO171" i="2"/>
  <c r="AO170" i="2"/>
  <c r="AO169" i="2"/>
  <c r="AO168" i="2"/>
  <c r="AO167" i="2"/>
  <c r="AO166" i="2"/>
  <c r="AO165" i="2"/>
  <c r="AO164" i="2"/>
  <c r="AO163" i="2"/>
  <c r="AO162" i="2"/>
  <c r="AO161" i="2"/>
  <c r="AO160" i="2"/>
  <c r="AO159" i="2"/>
  <c r="AO158" i="2"/>
  <c r="AO157" i="2"/>
  <c r="AO156" i="2"/>
  <c r="AO155" i="2"/>
  <c r="AO154" i="2"/>
  <c r="AO153" i="2"/>
  <c r="AO152" i="2"/>
  <c r="AO151" i="2"/>
  <c r="AO150" i="2"/>
  <c r="AO149" i="2"/>
  <c r="AO148" i="2"/>
  <c r="AO147" i="2"/>
  <c r="AO146" i="2"/>
  <c r="AO145" i="2"/>
  <c r="AO144" i="2"/>
  <c r="AO143" i="2"/>
  <c r="AO142" i="2"/>
  <c r="AO141" i="2"/>
  <c r="AO140" i="2"/>
  <c r="AO139" i="2"/>
  <c r="AO138" i="2"/>
  <c r="AO137" i="2"/>
  <c r="AO136" i="2"/>
  <c r="AO135" i="2"/>
  <c r="AO134" i="2"/>
  <c r="AO133" i="2"/>
  <c r="AO132" i="2"/>
  <c r="AO131" i="2"/>
  <c r="AO130" i="2"/>
  <c r="AO129" i="2"/>
  <c r="AO128" i="2"/>
  <c r="AO127" i="2"/>
  <c r="AO126" i="2"/>
  <c r="AO125" i="2"/>
  <c r="AO124" i="2"/>
  <c r="AO123" i="2"/>
  <c r="AO122" i="2"/>
  <c r="AO121" i="2"/>
  <c r="AO120" i="2"/>
  <c r="AO119" i="2"/>
  <c r="AO118" i="2"/>
  <c r="AO117" i="2"/>
  <c r="AO116" i="2"/>
  <c r="AO115" i="2"/>
  <c r="AO114" i="2"/>
  <c r="AO112" i="2"/>
  <c r="AO111" i="2"/>
  <c r="AO110" i="2"/>
  <c r="AO109" i="2"/>
  <c r="AO108" i="2"/>
  <c r="AO198" i="2"/>
  <c r="AO197" i="2"/>
  <c r="AO196" i="2"/>
  <c r="AO195" i="2"/>
  <c r="AO194" i="2"/>
  <c r="AO193" i="2"/>
  <c r="AO192" i="2"/>
  <c r="AO191" i="2"/>
  <c r="AO190" i="2"/>
  <c r="AO189" i="2"/>
  <c r="AO188" i="2"/>
  <c r="AO187" i="2"/>
  <c r="AO186" i="2"/>
  <c r="AO185" i="2"/>
  <c r="AO184" i="2"/>
  <c r="AO183" i="2"/>
  <c r="AO182" i="2"/>
  <c r="AO181" i="2"/>
  <c r="AO180" i="2"/>
  <c r="AO179" i="2"/>
  <c r="AO178" i="2"/>
  <c r="AO177" i="2"/>
  <c r="AO176" i="2"/>
  <c r="AO175" i="2"/>
  <c r="AO174" i="2"/>
  <c r="AO107" i="2"/>
  <c r="E5" i="14" s="1" a="1"/>
  <c r="E5" i="14" s="1"/>
  <c r="AG15" i="2"/>
  <c r="AL142" i="2" l="1"/>
  <c r="AL143" i="2"/>
  <c r="AG16" i="2"/>
  <c r="CF5" i="8" a="1"/>
  <c r="CF5" i="8" s="1"/>
  <c r="CE5" i="8" s="1"/>
  <c r="CF4" i="8" a="1"/>
  <c r="CF4" i="8" s="1"/>
  <c r="CE3" i="8" a="1"/>
  <c r="CE3" i="8" s="1"/>
  <c r="AL144" i="2" l="1"/>
  <c r="AL145" i="2"/>
  <c r="AG17" i="2"/>
  <c r="CE2" i="8"/>
  <c r="I15" i="2"/>
  <c r="AL146" i="2" l="1"/>
  <c r="AL147" i="2"/>
  <c r="AG18" i="2"/>
  <c r="I12" i="1"/>
  <c r="AL148" i="2" l="1"/>
  <c r="AL149" i="2"/>
  <c r="AG19" i="2"/>
  <c r="V58" i="2"/>
  <c r="V57" i="2"/>
  <c r="V56" i="2"/>
  <c r="V55" i="2"/>
  <c r="V52" i="2"/>
  <c r="V53" i="2"/>
  <c r="V54" i="2"/>
  <c r="AL150" i="2" l="1"/>
  <c r="AL151" i="2"/>
  <c r="AL152" i="2"/>
  <c r="AG20" i="2"/>
  <c r="AG21" i="2"/>
  <c r="AG22" i="2"/>
  <c r="AG23" i="2" s="1"/>
  <c r="AH21" i="2"/>
  <c r="AH20" i="2"/>
  <c r="AH19" i="2"/>
  <c r="AH23" i="2"/>
  <c r="AH22" i="2"/>
  <c r="AL153" i="2" l="1"/>
  <c r="AH5" i="2"/>
  <c r="AH16" i="2"/>
  <c r="AH17" i="2"/>
  <c r="AH8" i="2"/>
  <c r="AH7" i="2"/>
  <c r="AH6" i="2"/>
  <c r="AH9" i="2"/>
  <c r="AH10" i="2"/>
  <c r="AH11" i="2"/>
  <c r="AH12" i="2"/>
  <c r="AH13" i="2"/>
  <c r="AH14" i="2"/>
  <c r="AH15" i="2"/>
  <c r="AH18" i="2"/>
  <c r="AX153" i="2"/>
  <c r="D629" i="1"/>
  <c r="AL154" i="2" l="1"/>
  <c r="AL155" i="2"/>
  <c r="AL156" i="2"/>
  <c r="AL157" i="2"/>
  <c r="AL158" i="2" l="1"/>
  <c r="AL159" i="2" s="1"/>
  <c r="AL160" i="2"/>
  <c r="AL161" i="2"/>
  <c r="AL168" i="2"/>
  <c r="AL162" i="2" l="1"/>
  <c r="AL163" i="2"/>
  <c r="AL164" i="2"/>
  <c r="AL165" i="2"/>
  <c r="AL166" i="2"/>
  <c r="AL167" i="2"/>
  <c r="AL169" i="2"/>
  <c r="AL170" i="2" l="1"/>
  <c r="AM126" i="2"/>
  <c r="AM122" i="2"/>
  <c r="AM125" i="2"/>
  <c r="AM124" i="2"/>
  <c r="AM123" i="2"/>
  <c r="AM129" i="2"/>
  <c r="AM128" i="2"/>
  <c r="AM130" i="2"/>
  <c r="AM131" i="2"/>
  <c r="AM132" i="2"/>
  <c r="AM127" i="2" l="1"/>
  <c r="AM120" i="2"/>
  <c r="AM119" i="2"/>
  <c r="AM118" i="2"/>
  <c r="AM116" i="2"/>
  <c r="AM117" i="2"/>
  <c r="AM106" i="2"/>
  <c r="AM105" i="2"/>
  <c r="AM110" i="2"/>
  <c r="AM109" i="2"/>
  <c r="AM108" i="2"/>
  <c r="AM107" i="2"/>
  <c r="AM112" i="2"/>
  <c r="AM111" i="2"/>
  <c r="AM115" i="2"/>
  <c r="AM114" i="2"/>
  <c r="AM113" i="2"/>
  <c r="AM121" i="2"/>
  <c r="AM168" i="2"/>
  <c r="AM167" i="2"/>
  <c r="AM166" i="2"/>
  <c r="AM165" i="2"/>
  <c r="AM164" i="2"/>
  <c r="AM163" i="2"/>
  <c r="AM162" i="2"/>
  <c r="AM161" i="2"/>
  <c r="AM160" i="2"/>
  <c r="AM159" i="2"/>
  <c r="AM158" i="2"/>
  <c r="AM157" i="2"/>
  <c r="AM156" i="2"/>
  <c r="AM155" i="2"/>
  <c r="AM154" i="2"/>
  <c r="AM153" i="2"/>
  <c r="AM152" i="2"/>
  <c r="AM151" i="2"/>
  <c r="AM150" i="2"/>
  <c r="AM149" i="2"/>
  <c r="AM148" i="2"/>
  <c r="AM147" i="2"/>
  <c r="AM146" i="2"/>
  <c r="AM145" i="2"/>
  <c r="AM144" i="2"/>
  <c r="AM143" i="2"/>
  <c r="AM142" i="2"/>
  <c r="AM141" i="2"/>
  <c r="AM140" i="2"/>
  <c r="AM139" i="2"/>
  <c r="AM138" i="2"/>
  <c r="AM137" i="2"/>
  <c r="AM136" i="2"/>
  <c r="AM135" i="2"/>
  <c r="AM134" i="2"/>
  <c r="AM133" i="2"/>
  <c r="AM198" i="2"/>
  <c r="AM197" i="2"/>
  <c r="AM196" i="2"/>
  <c r="AM195" i="2"/>
  <c r="AM194" i="2"/>
  <c r="AM193" i="2"/>
  <c r="AM192" i="2"/>
  <c r="AM191" i="2"/>
  <c r="AM190" i="2"/>
  <c r="AM189" i="2"/>
  <c r="AM188" i="2"/>
  <c r="AM187" i="2"/>
  <c r="AM186" i="2"/>
  <c r="AM185" i="2"/>
  <c r="AM184" i="2"/>
  <c r="AM183" i="2"/>
  <c r="AM182" i="2"/>
  <c r="AM181" i="2"/>
  <c r="AM180" i="2"/>
  <c r="AM179" i="2"/>
  <c r="AM178" i="2"/>
  <c r="AM177" i="2"/>
  <c r="AM176" i="2"/>
  <c r="AM175" i="2"/>
  <c r="AM174" i="2"/>
  <c r="AM173" i="2"/>
  <c r="AM172" i="2"/>
  <c r="AM171" i="2"/>
  <c r="AM170" i="2"/>
  <c r="AM169" i="2"/>
  <c r="D5" i="14" a="1"/>
  <c r="D5" i="14" s="1"/>
  <c r="D54" i="1" l="1"/>
  <c r="V24" i="1" l="1"/>
  <c r="W13" i="1"/>
  <c r="X13" i="1" s="1"/>
  <c r="D13" i="2"/>
  <c r="F11" i="2"/>
  <c r="I39" i="2"/>
  <c r="I36" i="1" s="1"/>
  <c r="W24" i="1" l="1"/>
  <c r="C25" i="13" a="1"/>
  <c r="C25" i="13" s="1"/>
  <c r="B25" i="13" a="1"/>
  <c r="B25" i="13" s="1"/>
  <c r="B19" i="13"/>
  <c r="Q13" i="13" l="1"/>
  <c r="R13" i="13" s="1"/>
  <c r="U8" i="13"/>
  <c r="Q9" i="13"/>
  <c r="R9" i="13" s="1"/>
  <c r="Q8" i="13"/>
  <c r="Q18" i="13"/>
  <c r="R18" i="13" s="1"/>
  <c r="Q17" i="13"/>
  <c r="R17" i="13" s="1"/>
  <c r="Q16" i="13"/>
  <c r="B32" i="13"/>
  <c r="B31" i="13"/>
  <c r="C19" i="13"/>
  <c r="AA19" i="1" s="1"/>
  <c r="E16" i="2"/>
  <c r="H41" i="2" l="1"/>
  <c r="H42" i="2"/>
  <c r="H38" i="1"/>
  <c r="Z19" i="1"/>
  <c r="Q30" i="13"/>
  <c r="Q29" i="13"/>
  <c r="Q23" i="13"/>
  <c r="R23" i="13" s="1"/>
  <c r="Q22" i="13"/>
  <c r="R22" i="13" s="1"/>
  <c r="Q21" i="13"/>
  <c r="R21" i="13" s="1"/>
  <c r="Q20" i="13"/>
  <c r="R20" i="13" s="1"/>
  <c r="Q19" i="13"/>
  <c r="Q7" i="13"/>
  <c r="R7" i="13" s="1"/>
  <c r="Q6" i="13"/>
  <c r="R6" i="13" s="1"/>
  <c r="Q5" i="13"/>
  <c r="Q12" i="13"/>
  <c r="R12" i="13" s="1"/>
  <c r="Q11" i="13"/>
  <c r="W12" i="13" s="1"/>
  <c r="R16" i="13"/>
  <c r="W18" i="13"/>
  <c r="AB22" i="1" s="1"/>
  <c r="W17" i="13"/>
  <c r="M10" i="15" l="1"/>
  <c r="R19" i="13"/>
  <c r="W16" i="13"/>
  <c r="W13" i="13"/>
  <c r="W11" i="13"/>
  <c r="I1" i="2"/>
  <c r="I14" i="2"/>
  <c r="I11" i="1" s="1"/>
  <c r="I17" i="2"/>
  <c r="I14" i="1" s="1"/>
  <c r="AB21" i="1"/>
  <c r="R11" i="13"/>
  <c r="W7" i="13"/>
  <c r="AB20" i="1" s="1"/>
  <c r="W6" i="13"/>
  <c r="W5" i="13"/>
  <c r="R5" i="13"/>
  <c r="W31" i="13"/>
  <c r="AB23" i="1" s="1"/>
  <c r="W30" i="13"/>
  <c r="W29" i="13"/>
  <c r="I13" i="1" l="1"/>
  <c r="S5" i="2"/>
  <c r="I12" i="2"/>
  <c r="AC5" i="13"/>
  <c r="AD6" i="13"/>
  <c r="AD7" i="13"/>
  <c r="AD8" i="13"/>
  <c r="AD5" i="13"/>
  <c r="AD9" i="13" s="1"/>
  <c r="Z25" i="1" s="1"/>
  <c r="AC8" i="13"/>
  <c r="AC7" i="13"/>
  <c r="AC6" i="13"/>
  <c r="AC9" i="13" l="1"/>
  <c r="Z24" i="1" s="1"/>
  <c r="I9" i="1"/>
  <c r="AX152" i="2" l="1"/>
  <c r="D628" i="1"/>
  <c r="AX151" i="2" l="1"/>
  <c r="D627" i="1"/>
  <c r="AX150" i="2" l="1"/>
  <c r="D626" i="1"/>
  <c r="AX44" i="2" l="1"/>
  <c r="D112" i="1"/>
  <c r="AX149" i="2"/>
  <c r="D625" i="1"/>
  <c r="AX43" i="2" l="1"/>
  <c r="D111" i="1"/>
  <c r="AX148" i="2"/>
  <c r="D624" i="1"/>
  <c r="AX42" i="2" l="1"/>
  <c r="D110" i="1"/>
  <c r="AX147" i="2"/>
  <c r="D623" i="1"/>
  <c r="AX146" i="2" l="1"/>
  <c r="D622" i="1"/>
  <c r="AX41" i="2"/>
  <c r="D109" i="1"/>
  <c r="AX145" i="2" l="1"/>
  <c r="D621" i="1"/>
  <c r="D108" i="1"/>
  <c r="AX40" i="2"/>
  <c r="AX144" i="2" l="1"/>
  <c r="D620" i="1"/>
  <c r="D105" i="1"/>
  <c r="AX39" i="2"/>
  <c r="AX143" i="2" l="1"/>
  <c r="D619" i="1"/>
  <c r="D104" i="1"/>
  <c r="AX38" i="2"/>
  <c r="AX142" i="2" l="1"/>
  <c r="D618" i="1"/>
  <c r="D103" i="1"/>
  <c r="AX37" i="2"/>
  <c r="AX141" i="2" l="1"/>
  <c r="D617" i="1"/>
  <c r="D102" i="1"/>
  <c r="AX36" i="2"/>
  <c r="AX140" i="2" l="1"/>
  <c r="D616" i="1"/>
  <c r="D101" i="1"/>
  <c r="AX35" i="2"/>
  <c r="AX139" i="2" l="1"/>
  <c r="D615" i="1"/>
  <c r="AX138" i="2" l="1"/>
  <c r="D614" i="1"/>
  <c r="D100" i="1"/>
  <c r="AX34" i="2"/>
  <c r="D99" i="1"/>
  <c r="AX33" i="2"/>
  <c r="AX137" i="2" l="1"/>
  <c r="D613" i="1"/>
  <c r="AX136" i="2" l="1"/>
  <c r="D612" i="1"/>
  <c r="D98" i="1"/>
  <c r="AX32" i="2"/>
  <c r="AX135" i="2" l="1"/>
  <c r="D611" i="1"/>
  <c r="D97" i="1"/>
  <c r="AX31" i="2"/>
  <c r="D96" i="1"/>
  <c r="AX30" i="2"/>
  <c r="AX134" i="2" l="1"/>
  <c r="D610" i="1"/>
  <c r="D93" i="1" l="1"/>
  <c r="AX29" i="2"/>
  <c r="D92" i="1" l="1"/>
  <c r="AX28" i="2"/>
  <c r="D91" i="1" l="1"/>
  <c r="AX27" i="2"/>
  <c r="D90" i="1" l="1"/>
  <c r="AX26" i="2"/>
  <c r="D89" i="1" l="1"/>
  <c r="AX25" i="2"/>
  <c r="D88" i="1" l="1"/>
  <c r="AX24" i="2"/>
  <c r="D87" i="1" l="1"/>
  <c r="AX23" i="2"/>
  <c r="D86" i="1" l="1"/>
  <c r="AX22" i="2"/>
  <c r="D83" i="1" l="1"/>
  <c r="AX21" i="2"/>
  <c r="D82" i="1" l="1"/>
  <c r="AX20" i="2"/>
  <c r="D81" i="1" l="1"/>
  <c r="AX19" i="2"/>
  <c r="D80" i="1" l="1"/>
  <c r="AX18" i="2"/>
  <c r="D79" i="1" l="1"/>
  <c r="AX17" i="2"/>
  <c r="D78" i="1" l="1"/>
  <c r="AX16" i="2"/>
  <c r="D77" i="1" l="1"/>
  <c r="AX15" i="2"/>
  <c r="D76" i="1" l="1"/>
  <c r="AX14" i="2"/>
  <c r="D73" i="1" l="1"/>
  <c r="AX13" i="2"/>
  <c r="D72" i="1" l="1"/>
  <c r="AX12" i="2"/>
  <c r="D71" i="1" l="1"/>
  <c r="AX11" i="2"/>
  <c r="D70" i="1" l="1"/>
  <c r="AX10" i="2"/>
  <c r="D69" i="1" l="1"/>
  <c r="AX9" i="2"/>
  <c r="D68" i="1" l="1"/>
  <c r="AX8" i="2"/>
  <c r="D67" i="1" l="1"/>
  <c r="AX7" i="2"/>
  <c r="D66" i="1" l="1"/>
  <c r="AX6" i="2"/>
  <c r="D65" i="1" l="1"/>
  <c r="AX5" i="2"/>
  <c r="AX133" i="2" l="1"/>
  <c r="D609" i="1"/>
  <c r="AX132" i="2" l="1"/>
  <c r="D608" i="1"/>
  <c r="AX131" i="2" l="1"/>
  <c r="D607" i="1"/>
  <c r="AX130" i="2" l="1"/>
  <c r="D606" i="1"/>
  <c r="AX129" i="2" l="1"/>
  <c r="D605" i="1"/>
  <c r="D604" i="1" l="1"/>
  <c r="AX128" i="2"/>
  <c r="BB127" i="2" l="1"/>
  <c r="BC127" i="2" s="1"/>
  <c r="BB126" i="2"/>
  <c r="BC126" i="2" s="1"/>
  <c r="BB125" i="2"/>
  <c r="BC125" i="2" s="1"/>
  <c r="BB124" i="2"/>
  <c r="BC124" i="2" s="1"/>
  <c r="BB123" i="2"/>
  <c r="BC123" i="2" s="1"/>
  <c r="BB122" i="2"/>
  <c r="BC122" i="2" s="1"/>
  <c r="BB121" i="2"/>
  <c r="BC121" i="2" s="1"/>
  <c r="BB120" i="2"/>
  <c r="BC120" i="2" s="1"/>
  <c r="BB119" i="2"/>
  <c r="BC119" i="2" s="1"/>
  <c r="BB118" i="2"/>
  <c r="BC118" i="2" s="1"/>
  <c r="BB117" i="2"/>
  <c r="BC117" i="2" s="1"/>
  <c r="BB116" i="2"/>
  <c r="BC116" i="2" s="1"/>
  <c r="BB115" i="2"/>
  <c r="BC115" i="2" s="1"/>
  <c r="BB114" i="2"/>
  <c r="BC114" i="2" s="1"/>
  <c r="BB113" i="2"/>
  <c r="BC113" i="2" s="1"/>
  <c r="BB112" i="2"/>
  <c r="BC112" i="2" s="1"/>
  <c r="BB111" i="2"/>
  <c r="BC111" i="2" s="1"/>
  <c r="BB110" i="2"/>
  <c r="BC110" i="2" s="1"/>
  <c r="BB109" i="2"/>
  <c r="BC109" i="2" s="1"/>
  <c r="BB108" i="2"/>
  <c r="BC108" i="2" s="1"/>
  <c r="BB107" i="2"/>
  <c r="BC107" i="2" s="1"/>
  <c r="BB106" i="2"/>
  <c r="BC106" i="2" s="1"/>
  <c r="BB105" i="2"/>
  <c r="BC105" i="2" s="1"/>
  <c r="BB104" i="2"/>
  <c r="BC104" i="2" s="1"/>
  <c r="BB103" i="2"/>
  <c r="BC103" i="2" s="1"/>
  <c r="BB102" i="2"/>
  <c r="BC102" i="2" s="1"/>
  <c r="BB101" i="2"/>
  <c r="BC101" i="2" s="1"/>
  <c r="BB100" i="2"/>
  <c r="BC100" i="2" s="1"/>
  <c r="BB99" i="2"/>
  <c r="BC99" i="2" s="1"/>
  <c r="BB98" i="2"/>
  <c r="BC98" i="2" s="1"/>
  <c r="BB97" i="2"/>
  <c r="BC97" i="2" s="1"/>
  <c r="BB96" i="2"/>
  <c r="BC96" i="2" s="1"/>
  <c r="BB95" i="2"/>
  <c r="BC95" i="2" s="1"/>
  <c r="BB94" i="2"/>
  <c r="BC94" i="2" s="1"/>
  <c r="BB93" i="2"/>
  <c r="BC93" i="2" s="1"/>
  <c r="BB92" i="2"/>
  <c r="BC92" i="2" s="1"/>
  <c r="BB91" i="2"/>
  <c r="BC91" i="2" s="1"/>
  <c r="BB90" i="2"/>
  <c r="BC90" i="2" s="1"/>
  <c r="BB89" i="2"/>
  <c r="BC89" i="2" s="1"/>
  <c r="BB88" i="2"/>
  <c r="BC88" i="2" s="1"/>
  <c r="BB87" i="2"/>
  <c r="BC87" i="2" s="1"/>
  <c r="BB86" i="2"/>
  <c r="BB85" i="2"/>
  <c r="BB84" i="2"/>
  <c r="BB83" i="2"/>
  <c r="BB82" i="2"/>
  <c r="BB81" i="2"/>
  <c r="BB80" i="2"/>
  <c r="BB79" i="2"/>
  <c r="BB78" i="2"/>
  <c r="BB77" i="2"/>
  <c r="BB76" i="2"/>
  <c r="BB75" i="2"/>
  <c r="BB74" i="2"/>
  <c r="BB73" i="2"/>
  <c r="BB72" i="2"/>
  <c r="BB71" i="2"/>
  <c r="BB70" i="2"/>
  <c r="BB69" i="2"/>
  <c r="BB68" i="2"/>
  <c r="BB67" i="2"/>
  <c r="BB66" i="2"/>
  <c r="BB65" i="2"/>
  <c r="BB64" i="2"/>
  <c r="BB63" i="2"/>
  <c r="BB62" i="2"/>
  <c r="BB61" i="2"/>
  <c r="BB60" i="2"/>
  <c r="BB59" i="2"/>
  <c r="BB58" i="2"/>
  <c r="BB57" i="2"/>
  <c r="BB56" i="2"/>
  <c r="BB55" i="2"/>
  <c r="BB54" i="2"/>
  <c r="BB53" i="2"/>
  <c r="BB52" i="2"/>
  <c r="BB51" i="2"/>
  <c r="BB50" i="2"/>
  <c r="BB49" i="2"/>
  <c r="BB48" i="2"/>
  <c r="BB47" i="2"/>
  <c r="BB46" i="2"/>
  <c r="BB298" i="2"/>
  <c r="BC298" i="2" s="1"/>
  <c r="BB299" i="2"/>
  <c r="BC299" i="2" s="1"/>
  <c r="BB300" i="2"/>
  <c r="BC300" i="2" s="1"/>
  <c r="BB301" i="2"/>
  <c r="BC301" i="2" s="1"/>
  <c r="BB302" i="2"/>
  <c r="BC302" i="2" s="1"/>
  <c r="BB303" i="2"/>
  <c r="BC303" i="2" s="1"/>
  <c r="BB304" i="2"/>
  <c r="BC304" i="2" s="1"/>
  <c r="BB305" i="2"/>
  <c r="BC305" i="2" s="1"/>
  <c r="BB306" i="2"/>
  <c r="BC306" i="2" s="1"/>
  <c r="BB307" i="2"/>
  <c r="BC307" i="2" s="1"/>
  <c r="BB308" i="2"/>
  <c r="BC308" i="2" s="1"/>
  <c r="BB309" i="2"/>
  <c r="BC309" i="2" s="1"/>
  <c r="BB310" i="2"/>
  <c r="BC310" i="2" s="1"/>
  <c r="BB311" i="2"/>
  <c r="BC311" i="2" s="1"/>
  <c r="BB312" i="2"/>
  <c r="BC312" i="2" s="1"/>
  <c r="BB313" i="2"/>
  <c r="BC313" i="2" s="1"/>
  <c r="BB314" i="2"/>
  <c r="BC314" i="2" s="1"/>
  <c r="BB315" i="2"/>
  <c r="BC315" i="2" s="1"/>
  <c r="BB316" i="2"/>
  <c r="BC316" i="2" s="1"/>
  <c r="BB317" i="2"/>
  <c r="BC317" i="2" s="1"/>
  <c r="BB318" i="2"/>
  <c r="BC318" i="2" s="1"/>
  <c r="BB319" i="2"/>
  <c r="BC319" i="2" s="1"/>
  <c r="BB320" i="2"/>
  <c r="BC320" i="2" s="1"/>
  <c r="BB321" i="2"/>
  <c r="BC321" i="2" s="1"/>
  <c r="BB322" i="2"/>
  <c r="BC322" i="2" s="1"/>
  <c r="BB323" i="2"/>
  <c r="BC323" i="2" s="1"/>
  <c r="BB324" i="2"/>
  <c r="BC324" i="2" s="1"/>
  <c r="BB325" i="2"/>
  <c r="BC325" i="2" s="1"/>
  <c r="BB326" i="2"/>
  <c r="BC326" i="2" s="1"/>
  <c r="BB327" i="2"/>
  <c r="BC327" i="2" s="1"/>
  <c r="BB328" i="2"/>
  <c r="BC328" i="2" s="1"/>
  <c r="BB329" i="2"/>
  <c r="BC329" i="2" s="1"/>
  <c r="BB330" i="2"/>
  <c r="BC330" i="2" s="1"/>
  <c r="BB331" i="2"/>
  <c r="BC331" i="2" s="1"/>
  <c r="BB332" i="2"/>
  <c r="BC332" i="2" s="1"/>
  <c r="BB333" i="2"/>
  <c r="BC333" i="2" s="1"/>
  <c r="BB334" i="2"/>
  <c r="BC334" i="2" s="1"/>
  <c r="BB335" i="2"/>
  <c r="BC335" i="2" s="1"/>
  <c r="BB336" i="2"/>
  <c r="BC336" i="2" s="1"/>
  <c r="BB337" i="2"/>
  <c r="BC337" i="2" s="1"/>
  <c r="BB338" i="2"/>
  <c r="BC338" i="2" s="1"/>
  <c r="BB339" i="2"/>
  <c r="BC339" i="2" s="1"/>
  <c r="BB340" i="2"/>
  <c r="BC340" i="2" s="1"/>
  <c r="BB341" i="2"/>
  <c r="BC341" i="2" s="1"/>
  <c r="BB342" i="2"/>
  <c r="BC342" i="2" s="1"/>
  <c r="BB343" i="2"/>
  <c r="BC343" i="2" s="1"/>
  <c r="BB344" i="2"/>
  <c r="BC344" i="2" s="1"/>
  <c r="BB345" i="2"/>
  <c r="BC345" i="2" s="1"/>
  <c r="BB346" i="2"/>
  <c r="BC346" i="2" s="1"/>
  <c r="BB347" i="2"/>
  <c r="BC347" i="2" s="1"/>
  <c r="BB348" i="2"/>
  <c r="BC348" i="2" s="1"/>
  <c r="BB349" i="2"/>
  <c r="BC349" i="2" s="1"/>
  <c r="BB350" i="2"/>
  <c r="BC350" i="2" s="1"/>
  <c r="BB351" i="2"/>
  <c r="BC351" i="2" s="1"/>
  <c r="BB352" i="2"/>
  <c r="BC352" i="2" s="1"/>
  <c r="BB353" i="2"/>
  <c r="BC353" i="2" s="1"/>
  <c r="BB354" i="2"/>
  <c r="BC354" i="2" s="1"/>
  <c r="BB355" i="2"/>
  <c r="BC355" i="2" s="1"/>
  <c r="BB356" i="2"/>
  <c r="BC356" i="2" s="1"/>
  <c r="BB357" i="2"/>
  <c r="BC357" i="2" s="1"/>
  <c r="BB358" i="2"/>
  <c r="BC358" i="2" s="1"/>
  <c r="BB359" i="2"/>
  <c r="BC359" i="2" s="1"/>
  <c r="BB360" i="2"/>
  <c r="BC360" i="2" s="1"/>
  <c r="BB361" i="2"/>
  <c r="BC361" i="2" s="1"/>
  <c r="BB362" i="2"/>
  <c r="BC362" i="2" s="1"/>
  <c r="BB363" i="2"/>
  <c r="BC363" i="2" s="1"/>
  <c r="BB364" i="2"/>
  <c r="BC364" i="2" s="1"/>
  <c r="BB365" i="2"/>
  <c r="BC365" i="2" s="1"/>
  <c r="BB366" i="2"/>
  <c r="BC366" i="2" s="1"/>
  <c r="BB367" i="2"/>
  <c r="BC367" i="2" s="1"/>
  <c r="BB368" i="2"/>
  <c r="BC368" i="2" s="1"/>
  <c r="BB369" i="2"/>
  <c r="BC369" i="2" s="1"/>
  <c r="BB370" i="2"/>
  <c r="BC370" i="2" s="1"/>
  <c r="BB371" i="2"/>
  <c r="BC371" i="2" s="1"/>
  <c r="BB372" i="2"/>
  <c r="BC372" i="2" s="1"/>
  <c r="BB373" i="2"/>
  <c r="BC373" i="2" s="1"/>
  <c r="BB374" i="2"/>
  <c r="BC374" i="2" s="1"/>
  <c r="BB375" i="2"/>
  <c r="BC375" i="2" s="1"/>
  <c r="BB376" i="2"/>
  <c r="BC376" i="2" s="1"/>
  <c r="BB377" i="2"/>
  <c r="BC377" i="2" s="1"/>
  <c r="BB378" i="2"/>
  <c r="BC378" i="2" s="1"/>
  <c r="BB379" i="2"/>
  <c r="BC379" i="2" s="1"/>
  <c r="BB380" i="2"/>
  <c r="BC380" i="2" s="1"/>
  <c r="BB381" i="2"/>
  <c r="BC381" i="2" s="1"/>
  <c r="BB382" i="2"/>
  <c r="BC382" i="2" s="1"/>
  <c r="BB383" i="2"/>
  <c r="BC383" i="2" s="1"/>
  <c r="BB384" i="2"/>
  <c r="BC384" i="2" s="1"/>
  <c r="BB385" i="2"/>
  <c r="BC385" i="2" s="1"/>
  <c r="BB386" i="2"/>
  <c r="BC386" i="2" s="1"/>
  <c r="BB387" i="2"/>
  <c r="BC387" i="2" s="1"/>
  <c r="BB388" i="2"/>
  <c r="BC388" i="2" s="1"/>
  <c r="BB389" i="2"/>
  <c r="BC389" i="2" s="1"/>
  <c r="BB390" i="2"/>
  <c r="BC390" i="2" s="1"/>
  <c r="BB391" i="2"/>
  <c r="BC391" i="2" s="1"/>
  <c r="BB392" i="2"/>
  <c r="BC392" i="2" s="1"/>
  <c r="BB393" i="2"/>
  <c r="BC393" i="2" s="1"/>
  <c r="BB394" i="2"/>
  <c r="BC394" i="2" s="1"/>
  <c r="BB395" i="2"/>
  <c r="BC395" i="2" s="1"/>
  <c r="BB396" i="2"/>
  <c r="BC396" i="2" s="1"/>
  <c r="BB397" i="2"/>
  <c r="BC397" i="2" s="1"/>
  <c r="BB398" i="2"/>
  <c r="BC398" i="2" s="1"/>
  <c r="BB399" i="2"/>
  <c r="BC399" i="2" s="1"/>
  <c r="BB400" i="2"/>
  <c r="BC400" i="2" s="1"/>
  <c r="BB401" i="2"/>
  <c r="BC401" i="2" s="1"/>
  <c r="BB402" i="2"/>
  <c r="BC402" i="2" s="1"/>
  <c r="BB403" i="2"/>
  <c r="BC403" i="2" s="1"/>
  <c r="BB404" i="2"/>
  <c r="BC404" i="2" s="1"/>
  <c r="BB405" i="2"/>
  <c r="BC405" i="2" s="1"/>
  <c r="BB406" i="2"/>
  <c r="BC406" i="2" s="1"/>
  <c r="BB407" i="2"/>
  <c r="BC407" i="2" s="1"/>
  <c r="BB408" i="2"/>
  <c r="BC408" i="2" s="1"/>
  <c r="BB409" i="2"/>
  <c r="BC409" i="2" s="1"/>
  <c r="BB410" i="2"/>
  <c r="BC410" i="2" s="1"/>
  <c r="BB411" i="2"/>
  <c r="BC411" i="2" s="1"/>
  <c r="BB412" i="2"/>
  <c r="BC412" i="2" s="1"/>
  <c r="BB413" i="2"/>
  <c r="BC413" i="2" s="1"/>
  <c r="BB414" i="2"/>
  <c r="BC414" i="2" s="1"/>
  <c r="BB415" i="2"/>
  <c r="BC415" i="2" s="1"/>
  <c r="BB416" i="2"/>
  <c r="BC416" i="2" s="1"/>
  <c r="BB417" i="2"/>
  <c r="BC417" i="2" s="1"/>
  <c r="BB418" i="2"/>
  <c r="BC418" i="2" s="1"/>
  <c r="BB419" i="2"/>
  <c r="BC419" i="2" s="1"/>
  <c r="BB420" i="2"/>
  <c r="BC420" i="2" s="1"/>
  <c r="BB421" i="2"/>
  <c r="BC421" i="2" s="1"/>
  <c r="BB422" i="2"/>
  <c r="BC422" i="2" s="1"/>
  <c r="BB423" i="2"/>
  <c r="BC423" i="2" s="1"/>
  <c r="BB424" i="2"/>
  <c r="BC424" i="2" s="1"/>
  <c r="BB425" i="2"/>
  <c r="BC425" i="2" s="1"/>
  <c r="BB426" i="2"/>
  <c r="BC426" i="2" s="1"/>
  <c r="BB427" i="2"/>
  <c r="BC427" i="2" s="1"/>
  <c r="BB428" i="2"/>
  <c r="BC428" i="2" s="1"/>
  <c r="BB429" i="2"/>
  <c r="BC429" i="2" s="1"/>
  <c r="BB430" i="2"/>
  <c r="BC430" i="2" s="1"/>
  <c r="BB431" i="2"/>
  <c r="BC431" i="2" s="1"/>
  <c r="BB432" i="2"/>
  <c r="BC432" i="2" s="1"/>
  <c r="BB433" i="2"/>
  <c r="BC433" i="2" s="1"/>
  <c r="BB434" i="2"/>
  <c r="BC434" i="2" s="1"/>
  <c r="BB435" i="2"/>
  <c r="BC435" i="2" s="1"/>
  <c r="BB436" i="2"/>
  <c r="BC436" i="2" s="1"/>
  <c r="BB437" i="2"/>
  <c r="BC437" i="2" s="1"/>
  <c r="BB438" i="2"/>
  <c r="BC438" i="2" s="1"/>
  <c r="BB439" i="2"/>
  <c r="BC439" i="2" s="1"/>
  <c r="BB440" i="2"/>
  <c r="BC440" i="2" s="1"/>
  <c r="BB441" i="2"/>
  <c r="BC441" i="2" s="1"/>
  <c r="BB442" i="2"/>
  <c r="BC442" i="2" s="1"/>
  <c r="BB443" i="2"/>
  <c r="BC443" i="2" s="1"/>
  <c r="BB444" i="2"/>
  <c r="BC444" i="2" s="1"/>
  <c r="BB445" i="2"/>
  <c r="BC445" i="2" s="1"/>
  <c r="BB446" i="2"/>
  <c r="BC446" i="2" s="1"/>
  <c r="BB447" i="2"/>
  <c r="BC447" i="2" s="1"/>
  <c r="BB448" i="2"/>
  <c r="BC448" i="2" s="1"/>
  <c r="BB449" i="2"/>
  <c r="BC449" i="2" s="1"/>
  <c r="BB450" i="2"/>
  <c r="BC450" i="2" s="1"/>
  <c r="BB451" i="2"/>
  <c r="BC451" i="2" s="1"/>
  <c r="BB452" i="2"/>
  <c r="BC452" i="2" s="1"/>
  <c r="BB453" i="2"/>
  <c r="BC453" i="2" s="1"/>
  <c r="BB454" i="2"/>
  <c r="BC454" i="2" s="1"/>
  <c r="BB455" i="2"/>
  <c r="BC455" i="2" s="1"/>
  <c r="BB456" i="2"/>
  <c r="BC456" i="2" s="1"/>
  <c r="BB457" i="2"/>
  <c r="BC457" i="2" s="1"/>
  <c r="BB458" i="2"/>
  <c r="BC458" i="2" s="1"/>
  <c r="BB459" i="2"/>
  <c r="BC459" i="2" s="1"/>
  <c r="BB460" i="2"/>
  <c r="BC460" i="2" s="1"/>
  <c r="BB461" i="2"/>
  <c r="BC461" i="2" s="1"/>
  <c r="BB462" i="2"/>
  <c r="BC462" i="2" s="1"/>
  <c r="BB463" i="2"/>
  <c r="BC463" i="2" s="1"/>
  <c r="BB464" i="2"/>
  <c r="BC464" i="2" s="1"/>
  <c r="BB465" i="2"/>
  <c r="BC465" i="2" s="1"/>
  <c r="BB466" i="2"/>
  <c r="BC466" i="2" s="1"/>
  <c r="BB467" i="2"/>
  <c r="BC467" i="2" s="1"/>
  <c r="BB468" i="2"/>
  <c r="BC468" i="2" s="1"/>
  <c r="BB469" i="2"/>
  <c r="BC469" i="2" s="1"/>
  <c r="BB470" i="2"/>
  <c r="BC470" i="2" s="1"/>
  <c r="BB471" i="2"/>
  <c r="BC471" i="2" s="1"/>
  <c r="BB472" i="2"/>
  <c r="BC472" i="2" s="1"/>
  <c r="BB473" i="2"/>
  <c r="BC473" i="2" s="1"/>
  <c r="BB474" i="2"/>
  <c r="BC474" i="2" s="1"/>
  <c r="BB475" i="2"/>
  <c r="BC475" i="2" s="1"/>
  <c r="BB476" i="2"/>
  <c r="BC476" i="2" s="1"/>
  <c r="BB477" i="2"/>
  <c r="BC477" i="2" s="1"/>
  <c r="BB478" i="2"/>
  <c r="BC478" i="2" s="1"/>
  <c r="BB479" i="2"/>
  <c r="BC479" i="2" s="1"/>
  <c r="BB480" i="2"/>
  <c r="BC480" i="2" s="1"/>
  <c r="BB481" i="2"/>
  <c r="BC481" i="2" s="1"/>
  <c r="BB482" i="2"/>
  <c r="BC482" i="2" s="1"/>
  <c r="BB483" i="2"/>
  <c r="BC483" i="2" s="1"/>
  <c r="BB484" i="2"/>
  <c r="BC484" i="2" s="1"/>
  <c r="BB485" i="2"/>
  <c r="BC485" i="2" s="1"/>
  <c r="BB486" i="2"/>
  <c r="BC486" i="2" s="1"/>
  <c r="BB487" i="2"/>
  <c r="BC487" i="2" s="1"/>
  <c r="BB488" i="2"/>
  <c r="BC488" i="2" s="1"/>
  <c r="BB489" i="2"/>
  <c r="BC489" i="2" s="1"/>
  <c r="BB490" i="2"/>
  <c r="BC490" i="2" s="1"/>
  <c r="I52" i="2" l="1"/>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D361" i="1"/>
  <c r="AX323" i="2"/>
  <c r="AX322" i="2"/>
  <c r="AX321" i="2"/>
  <c r="AX320" i="2"/>
  <c r="AX319" i="2"/>
  <c r="AX318" i="2"/>
  <c r="AX317" i="2"/>
  <c r="AX316" i="2"/>
  <c r="AX315" i="2"/>
  <c r="AX314" i="2"/>
  <c r="AX313" i="2"/>
  <c r="AX312" i="2"/>
  <c r="AX311" i="2"/>
  <c r="AX310" i="2"/>
  <c r="AX309" i="2"/>
  <c r="AX308" i="2"/>
  <c r="AX307" i="2"/>
  <c r="AX306" i="2"/>
  <c r="AX305" i="2"/>
  <c r="AX304" i="2"/>
  <c r="AX303" i="2"/>
  <c r="AX302" i="2"/>
  <c r="AX301" i="2"/>
  <c r="AX300" i="2"/>
  <c r="AX299" i="2"/>
  <c r="AX298" i="2"/>
  <c r="AX349" i="2"/>
  <c r="AX348" i="2"/>
  <c r="AX347" i="2"/>
  <c r="AX346" i="2"/>
  <c r="AX345" i="2"/>
  <c r="AX344" i="2"/>
  <c r="AX343" i="2"/>
  <c r="AX342" i="2"/>
  <c r="AX341" i="2"/>
  <c r="AX340" i="2"/>
  <c r="AX339" i="2"/>
  <c r="AX338" i="2"/>
  <c r="AX337" i="2"/>
  <c r="AX336" i="2"/>
  <c r="AX335" i="2"/>
  <c r="AX334" i="2"/>
  <c r="AX333" i="2"/>
  <c r="AX332" i="2"/>
  <c r="AX331" i="2"/>
  <c r="AX330" i="2"/>
  <c r="AX329" i="2"/>
  <c r="AX328" i="2"/>
  <c r="AX327" i="2"/>
  <c r="AX326" i="2"/>
  <c r="AX325" i="2"/>
  <c r="AX324" i="2"/>
  <c r="AX375" i="2"/>
  <c r="AX374" i="2"/>
  <c r="AX373" i="2"/>
  <c r="AX372" i="2"/>
  <c r="AX371" i="2"/>
  <c r="AX370" i="2"/>
  <c r="AX369" i="2"/>
  <c r="AX368" i="2"/>
  <c r="AX367" i="2"/>
  <c r="AX366" i="2"/>
  <c r="AX365" i="2"/>
  <c r="AX364" i="2"/>
  <c r="AX363" i="2"/>
  <c r="AX362" i="2"/>
  <c r="AX361" i="2"/>
  <c r="AX360" i="2"/>
  <c r="AX359" i="2"/>
  <c r="AX358" i="2"/>
  <c r="AX357" i="2"/>
  <c r="AX356" i="2"/>
  <c r="AX355" i="2"/>
  <c r="AX354" i="2"/>
  <c r="AX353" i="2"/>
  <c r="AX352" i="2"/>
  <c r="AX351" i="2"/>
  <c r="AX350" i="2"/>
  <c r="AX401" i="2"/>
  <c r="AX400" i="2"/>
  <c r="AX399" i="2"/>
  <c r="AX398" i="2"/>
  <c r="AX397" i="2"/>
  <c r="AX396" i="2"/>
  <c r="AX395" i="2"/>
  <c r="AX394" i="2"/>
  <c r="AX393" i="2"/>
  <c r="AX392" i="2"/>
  <c r="AX391" i="2"/>
  <c r="AX390" i="2"/>
  <c r="AX389" i="2"/>
  <c r="AX388" i="2"/>
  <c r="AX387" i="2"/>
  <c r="AX386" i="2"/>
  <c r="AX385" i="2"/>
  <c r="AX384" i="2"/>
  <c r="AX383" i="2"/>
  <c r="AX382" i="2"/>
  <c r="AX381" i="2"/>
  <c r="AX380" i="2"/>
  <c r="AX379" i="2"/>
  <c r="AX378" i="2"/>
  <c r="AX377" i="2"/>
  <c r="AX376" i="2"/>
  <c r="AX430" i="2"/>
  <c r="AX429" i="2"/>
  <c r="AX428" i="2"/>
  <c r="AX427" i="2"/>
  <c r="AX426" i="2"/>
  <c r="AX425" i="2"/>
  <c r="AX424" i="2"/>
  <c r="AX423" i="2"/>
  <c r="AX422" i="2"/>
  <c r="AX421" i="2"/>
  <c r="AX420" i="2"/>
  <c r="AX419" i="2"/>
  <c r="AX418" i="2"/>
  <c r="AX417" i="2"/>
  <c r="AX416" i="2"/>
  <c r="AX415" i="2"/>
  <c r="AX414" i="2"/>
  <c r="AX413" i="2"/>
  <c r="AX412" i="2"/>
  <c r="AX411" i="2"/>
  <c r="AX410" i="2"/>
  <c r="AX409" i="2"/>
  <c r="AX408" i="2"/>
  <c r="AX407" i="2"/>
  <c r="AX406" i="2"/>
  <c r="AX405" i="2"/>
  <c r="AX404" i="2"/>
  <c r="AX403" i="2"/>
  <c r="AX402" i="2"/>
  <c r="AX459" i="2"/>
  <c r="AX458" i="2"/>
  <c r="AX457"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90" i="2"/>
  <c r="AX489" i="2"/>
  <c r="AX488" i="2"/>
  <c r="AX487" i="2"/>
  <c r="AX486" i="2"/>
  <c r="AX485" i="2"/>
  <c r="AX484" i="2"/>
  <c r="AX483" i="2"/>
  <c r="AX482" i="2"/>
  <c r="AX481" i="2"/>
  <c r="AX480" i="2"/>
  <c r="AX479" i="2"/>
  <c r="AX478" i="2"/>
  <c r="AX477" i="2"/>
  <c r="AX476" i="2"/>
  <c r="AX475" i="2"/>
  <c r="AX474" i="2"/>
  <c r="AX473" i="2"/>
  <c r="AX472" i="2"/>
  <c r="AX471" i="2"/>
  <c r="AX470" i="2"/>
  <c r="AX469" i="2"/>
  <c r="AX468" i="2"/>
  <c r="AX467" i="2"/>
  <c r="AX466" i="2"/>
  <c r="AX465" i="2"/>
  <c r="AX464" i="2"/>
  <c r="AX463" i="2"/>
  <c r="AX462" i="2"/>
  <c r="AX461" i="2"/>
  <c r="AX460" i="2"/>
  <c r="AX86" i="2"/>
  <c r="D401" i="1"/>
  <c r="E92" i="2"/>
  <c r="N51" i="1" s="1"/>
  <c r="AX85" i="2"/>
  <c r="D413" i="1"/>
  <c r="E91" i="2"/>
  <c r="N50" i="1" s="1"/>
  <c r="AX84" i="2"/>
  <c r="D400" i="1"/>
  <c r="E90" i="2"/>
  <c r="N49" i="1" s="1"/>
  <c r="AX83" i="2"/>
  <c r="D399" i="1"/>
  <c r="E89" i="2"/>
  <c r="N48" i="1" s="1"/>
  <c r="AX82" i="2"/>
  <c r="D398" i="1"/>
  <c r="E88" i="2"/>
  <c r="N47" i="1" s="1"/>
  <c r="AX81" i="2"/>
  <c r="D397" i="1"/>
  <c r="E87" i="2"/>
  <c r="N46" i="1" s="1"/>
  <c r="AX80" i="2"/>
  <c r="D396" i="1"/>
  <c r="E86" i="2"/>
  <c r="N45" i="1" s="1"/>
  <c r="AX79" i="2"/>
  <c r="D395" i="1"/>
  <c r="E85" i="2"/>
  <c r="N44" i="1" s="1"/>
  <c r="AX78" i="2"/>
  <c r="D394" i="1"/>
  <c r="E84" i="2"/>
  <c r="N43" i="1" s="1"/>
  <c r="AX46" i="2"/>
  <c r="AX47" i="2"/>
  <c r="D362" i="1"/>
  <c r="AX77" i="2"/>
  <c r="D393" i="1"/>
  <c r="E83" i="2"/>
  <c r="N42" i="1" s="1"/>
  <c r="AX76" i="2"/>
  <c r="D392" i="1"/>
  <c r="E82" i="2"/>
  <c r="N41" i="1" s="1"/>
  <c r="AX75" i="2"/>
  <c r="D390" i="1"/>
  <c r="E81" i="2"/>
  <c r="N40" i="1" s="1"/>
  <c r="AX74" i="2"/>
  <c r="D389" i="1"/>
  <c r="E80" i="2"/>
  <c r="N39" i="1" s="1"/>
  <c r="AX73" i="2"/>
  <c r="D388" i="1"/>
  <c r="E79" i="2"/>
  <c r="N38" i="1" s="1"/>
  <c r="AX72" i="2"/>
  <c r="D387" i="1"/>
  <c r="E78" i="2"/>
  <c r="N37" i="1" s="1"/>
  <c r="AX71" i="2"/>
  <c r="D386" i="1"/>
  <c r="AX70" i="2"/>
  <c r="D385" i="1"/>
  <c r="AX69" i="2"/>
  <c r="D384" i="1"/>
  <c r="AX68" i="2"/>
  <c r="D383" i="1"/>
  <c r="AX67" i="2"/>
  <c r="D382" i="1"/>
  <c r="AX66" i="2"/>
  <c r="D381" i="1"/>
  <c r="AX65" i="2"/>
  <c r="D380" i="1"/>
  <c r="AX64" i="2"/>
  <c r="D379" i="1"/>
  <c r="AX63" i="2"/>
  <c r="D378" i="1"/>
  <c r="AX62" i="2"/>
  <c r="D377" i="1"/>
  <c r="AX61" i="2"/>
  <c r="D376" i="1"/>
  <c r="AX60" i="2"/>
  <c r="D375" i="1"/>
  <c r="AX59" i="2"/>
  <c r="D374" i="1"/>
  <c r="AX58" i="2"/>
  <c r="D373" i="1"/>
  <c r="AX57" i="2"/>
  <c r="D372" i="1"/>
  <c r="AX56" i="2"/>
  <c r="D371" i="1"/>
  <c r="AX55" i="2"/>
  <c r="D370" i="1"/>
  <c r="AX54" i="2"/>
  <c r="D369" i="1"/>
  <c r="AX53" i="2"/>
  <c r="D368" i="1"/>
  <c r="AX52" i="2"/>
  <c r="D367" i="1"/>
  <c r="AX51" i="2"/>
  <c r="D366" i="1"/>
  <c r="AX50" i="2"/>
  <c r="D365" i="1"/>
  <c r="AX48" i="2"/>
  <c r="D363" i="1"/>
  <c r="AX49" i="2"/>
  <c r="D364" i="1"/>
  <c r="BC46" i="2"/>
  <c r="BC47" i="2"/>
  <c r="BC48" i="2"/>
  <c r="BC49" i="2"/>
  <c r="BC50" i="2"/>
  <c r="BC51" i="2"/>
  <c r="BC52" i="2"/>
  <c r="BC53" i="2"/>
  <c r="BC54" i="2"/>
  <c r="BC55" i="2"/>
  <c r="BC56" i="2"/>
  <c r="BC57" i="2"/>
  <c r="BC58" i="2"/>
  <c r="BC59" i="2"/>
  <c r="BC60" i="2"/>
  <c r="BC61" i="2"/>
  <c r="BC62" i="2"/>
  <c r="BC63" i="2"/>
  <c r="BC64" i="2"/>
  <c r="BC65" i="2"/>
  <c r="BC66" i="2"/>
  <c r="BC67" i="2"/>
  <c r="BC68" i="2"/>
  <c r="BC69" i="2"/>
  <c r="BC70" i="2"/>
  <c r="BC71" i="2"/>
  <c r="BC72" i="2"/>
  <c r="BC73" i="2"/>
  <c r="BC74" i="2"/>
  <c r="BC75" i="2"/>
  <c r="BC76" i="2"/>
  <c r="BC77" i="2"/>
  <c r="BC78" i="2"/>
  <c r="BC79" i="2"/>
  <c r="BC80" i="2"/>
  <c r="BC81" i="2"/>
  <c r="BC82" i="2"/>
  <c r="BC83" i="2"/>
  <c r="BC84" i="2"/>
  <c r="BC85" i="2"/>
  <c r="BC86" i="2"/>
  <c r="AX87" i="2"/>
  <c r="D483" i="1"/>
  <c r="AX88" i="2"/>
  <c r="D484" i="1"/>
  <c r="AX89" i="2"/>
  <c r="D485" i="1"/>
  <c r="AX90" i="2"/>
  <c r="D486" i="1"/>
  <c r="AX91" i="2"/>
  <c r="D487" i="1"/>
  <c r="AX92" i="2"/>
  <c r="D488" i="1"/>
  <c r="AX93" i="2"/>
  <c r="D489" i="1"/>
  <c r="AX94" i="2"/>
  <c r="D490" i="1"/>
  <c r="AX95" i="2"/>
  <c r="D491" i="1"/>
  <c r="AX96" i="2"/>
  <c r="D492" i="1"/>
  <c r="AX97" i="2"/>
  <c r="D493" i="1"/>
  <c r="AX98" i="2"/>
  <c r="D494" i="1"/>
  <c r="AX99" i="2"/>
  <c r="D495" i="1"/>
  <c r="AX100" i="2"/>
  <c r="D496" i="1"/>
  <c r="AX101" i="2"/>
  <c r="D497" i="1"/>
  <c r="AX102" i="2"/>
  <c r="D498" i="1"/>
  <c r="AX103" i="2"/>
  <c r="D499" i="1"/>
  <c r="AX104" i="2"/>
  <c r="D500" i="1"/>
  <c r="AX105" i="2"/>
  <c r="D501" i="1"/>
  <c r="AX106" i="2"/>
  <c r="D502" i="1"/>
  <c r="AX107" i="2"/>
  <c r="D503" i="1"/>
  <c r="AX108" i="2"/>
  <c r="D504" i="1"/>
  <c r="AX109" i="2"/>
  <c r="D505" i="1"/>
  <c r="AX110" i="2"/>
  <c r="D506" i="1"/>
  <c r="AX111" i="2"/>
  <c r="D507" i="1"/>
  <c r="AX112" i="2"/>
  <c r="D508" i="1"/>
  <c r="AX113" i="2"/>
  <c r="D509" i="1"/>
  <c r="AX114" i="2"/>
  <c r="D510" i="1"/>
  <c r="AX115" i="2"/>
  <c r="D511" i="1"/>
  <c r="AX116" i="2"/>
  <c r="D512" i="1"/>
  <c r="AX117" i="2"/>
  <c r="D513" i="1"/>
  <c r="AX118" i="2"/>
  <c r="D514" i="1"/>
  <c r="AX119" i="2"/>
  <c r="D515" i="1"/>
  <c r="AX120" i="2"/>
  <c r="D516" i="1"/>
  <c r="AX121" i="2"/>
  <c r="D517" i="1"/>
  <c r="AX122" i="2"/>
  <c r="D518" i="1"/>
  <c r="AX123" i="2"/>
  <c r="D519" i="1"/>
  <c r="AX124" i="2"/>
  <c r="D520" i="1"/>
  <c r="AX125" i="2"/>
  <c r="D521" i="1"/>
  <c r="AX126" i="2"/>
  <c r="D522" i="1"/>
  <c r="AX127" i="2"/>
  <c r="D523" i="1"/>
  <c r="BB45" i="2"/>
  <c r="F113" i="1"/>
  <c r="BC45" i="2" l="1"/>
  <c r="BB297" i="2"/>
  <c r="BC297" i="2" s="1"/>
  <c r="BB296" i="2"/>
  <c r="BC296" i="2" s="1"/>
  <c r="BB295" i="2"/>
  <c r="BC295" i="2" s="1"/>
  <c r="BB294" i="2"/>
  <c r="BC294" i="2" s="1"/>
  <c r="BB293" i="2"/>
  <c r="BC293" i="2" s="1"/>
  <c r="BB292" i="2"/>
  <c r="BC292" i="2" s="1"/>
  <c r="BB291" i="2"/>
  <c r="BC291" i="2" s="1"/>
  <c r="BB290" i="2"/>
  <c r="BC290" i="2" s="1"/>
  <c r="BB289" i="2"/>
  <c r="BC289" i="2" s="1"/>
  <c r="BB288" i="2"/>
  <c r="BC288" i="2" s="1"/>
  <c r="BB287" i="2"/>
  <c r="BC287" i="2" s="1"/>
  <c r="BB286" i="2"/>
  <c r="BC286" i="2" s="1"/>
  <c r="BB285" i="2"/>
  <c r="BC285" i="2" s="1"/>
  <c r="BB284" i="2"/>
  <c r="BC284" i="2" s="1"/>
  <c r="BB283" i="2"/>
  <c r="BC283" i="2" s="1"/>
  <c r="BB282" i="2"/>
  <c r="BC282" i="2" s="1"/>
  <c r="BB281" i="2"/>
  <c r="BC281" i="2" s="1"/>
  <c r="BB280" i="2"/>
  <c r="BC280" i="2" s="1"/>
  <c r="BB279" i="2"/>
  <c r="BC279" i="2" s="1"/>
  <c r="BB278" i="2"/>
  <c r="BC278" i="2" s="1"/>
  <c r="BB277" i="2"/>
  <c r="BC277" i="2" s="1"/>
  <c r="BB276" i="2"/>
  <c r="BC276" i="2" s="1"/>
  <c r="BB275" i="2"/>
  <c r="BC275" i="2" s="1"/>
  <c r="AX275" i="2" l="1"/>
  <c r="AX276" i="2"/>
  <c r="AX277" i="2"/>
  <c r="AX278" i="2"/>
  <c r="AX279" i="2"/>
  <c r="AX280" i="2"/>
  <c r="AX281" i="2"/>
  <c r="AX282" i="2"/>
  <c r="AX283" i="2"/>
  <c r="AX284" i="2"/>
  <c r="AX285" i="2"/>
  <c r="AX286" i="2"/>
  <c r="AX287" i="2"/>
  <c r="AX288" i="2"/>
  <c r="AX289" i="2"/>
  <c r="AX290" i="2"/>
  <c r="AX291" i="2"/>
  <c r="AX292" i="2"/>
  <c r="AX293" i="2"/>
  <c r="AX294" i="2"/>
  <c r="AX295" i="2"/>
  <c r="AX296" i="2"/>
  <c r="AX297" i="2"/>
  <c r="AX154" i="2"/>
  <c r="BB154" i="2"/>
  <c r="BC154" i="2" s="1"/>
  <c r="AX155" i="2"/>
  <c r="BB155" i="2"/>
  <c r="BC155" i="2" s="1"/>
  <c r="AX156" i="2"/>
  <c r="BB156" i="2"/>
  <c r="BC156" i="2" s="1"/>
  <c r="AX157" i="2"/>
  <c r="BB157" i="2"/>
  <c r="BC157" i="2" s="1"/>
  <c r="AX158" i="2"/>
  <c r="BB158" i="2"/>
  <c r="BC158" i="2" s="1"/>
  <c r="AX159" i="2"/>
  <c r="BB159" i="2"/>
  <c r="BC159" i="2" s="1"/>
  <c r="AX160" i="2"/>
  <c r="BB160" i="2"/>
  <c r="BC160" i="2" s="1"/>
  <c r="AX161" i="2"/>
  <c r="BB161" i="2"/>
  <c r="BC161" i="2" s="1"/>
  <c r="AX162" i="2"/>
  <c r="BB162" i="2"/>
  <c r="BC162" i="2" s="1"/>
  <c r="AX163" i="2"/>
  <c r="BB163" i="2"/>
  <c r="BC163" i="2" s="1"/>
  <c r="AX164" i="2"/>
  <c r="BB164" i="2"/>
  <c r="BC164" i="2" s="1"/>
  <c r="AX165" i="2"/>
  <c r="BB165" i="2"/>
  <c r="BC165" i="2" s="1"/>
  <c r="AX166" i="2"/>
  <c r="BB166" i="2"/>
  <c r="BC166" i="2" s="1"/>
  <c r="AX167" i="2"/>
  <c r="BB167" i="2"/>
  <c r="BC167" i="2" s="1"/>
  <c r="AX168" i="2"/>
  <c r="BB168" i="2"/>
  <c r="BC168" i="2" s="1"/>
  <c r="AX169" i="2"/>
  <c r="BB169" i="2"/>
  <c r="BC169" i="2" s="1"/>
  <c r="AX170" i="2"/>
  <c r="BB170" i="2"/>
  <c r="BC170" i="2" s="1"/>
  <c r="AX171" i="2"/>
  <c r="BB171" i="2"/>
  <c r="BC171" i="2" s="1"/>
  <c r="AX172" i="2"/>
  <c r="BB172" i="2"/>
  <c r="BC172" i="2" s="1"/>
  <c r="AX173" i="2"/>
  <c r="BB173" i="2"/>
  <c r="BC173" i="2" s="1"/>
  <c r="AX174" i="2"/>
  <c r="BB174" i="2"/>
  <c r="BC174" i="2" s="1"/>
  <c r="AX175" i="2"/>
  <c r="BB175" i="2"/>
  <c r="BC175" i="2" s="1"/>
  <c r="AX176" i="2"/>
  <c r="BB176" i="2"/>
  <c r="BC176" i="2" s="1"/>
  <c r="AX177" i="2"/>
  <c r="BB177" i="2"/>
  <c r="BC177" i="2" s="1"/>
  <c r="AX178" i="2"/>
  <c r="BB178" i="2"/>
  <c r="BC178" i="2" s="1"/>
  <c r="AX179" i="2"/>
  <c r="BB179" i="2"/>
  <c r="BC179" i="2" s="1"/>
  <c r="AX180" i="2"/>
  <c r="BB180" i="2"/>
  <c r="BC180" i="2" s="1"/>
  <c r="AX248" i="2"/>
  <c r="BB248" i="2"/>
  <c r="BC248" i="2" s="1"/>
  <c r="AX249" i="2"/>
  <c r="BB249" i="2"/>
  <c r="BC249" i="2" s="1"/>
  <c r="AX250" i="2"/>
  <c r="BB250" i="2"/>
  <c r="BC250" i="2" s="1"/>
  <c r="AX251" i="2"/>
  <c r="BB251" i="2"/>
  <c r="BC251" i="2" s="1"/>
  <c r="AX252" i="2"/>
  <c r="BB252" i="2"/>
  <c r="BC252" i="2" s="1"/>
  <c r="AX253" i="2"/>
  <c r="BB253" i="2"/>
  <c r="BC253" i="2" s="1"/>
  <c r="AX254" i="2"/>
  <c r="BB254" i="2"/>
  <c r="BC254" i="2" s="1"/>
  <c r="AX255" i="2"/>
  <c r="BB255" i="2"/>
  <c r="BC255" i="2" s="1"/>
  <c r="AX256" i="2"/>
  <c r="BB256" i="2"/>
  <c r="BC256" i="2" s="1"/>
  <c r="AX257" i="2"/>
  <c r="BB257" i="2"/>
  <c r="BC257" i="2" s="1"/>
  <c r="AX258" i="2"/>
  <c r="BB258" i="2"/>
  <c r="BC258" i="2" s="1"/>
  <c r="AX259" i="2"/>
  <c r="BB259" i="2"/>
  <c r="BC259" i="2" s="1"/>
  <c r="AX260" i="2"/>
  <c r="BB260" i="2"/>
  <c r="BC260" i="2" s="1"/>
  <c r="AX261" i="2"/>
  <c r="BB261" i="2"/>
  <c r="BC261" i="2" s="1"/>
  <c r="AX262" i="2"/>
  <c r="BB262" i="2"/>
  <c r="BC262" i="2" s="1"/>
  <c r="AX263" i="2"/>
  <c r="BB263" i="2"/>
  <c r="BC263" i="2" s="1"/>
  <c r="AX264" i="2"/>
  <c r="BB264" i="2"/>
  <c r="BC264" i="2" s="1"/>
  <c r="AX265" i="2"/>
  <c r="BB265" i="2"/>
  <c r="BC265" i="2" s="1"/>
  <c r="AX266" i="2"/>
  <c r="BB266" i="2"/>
  <c r="BC266" i="2" s="1"/>
  <c r="AX267" i="2"/>
  <c r="BB267" i="2"/>
  <c r="BC267" i="2" s="1"/>
  <c r="AX268" i="2"/>
  <c r="BB268" i="2"/>
  <c r="BC268" i="2" s="1"/>
  <c r="AX269" i="2"/>
  <c r="BB269" i="2"/>
  <c r="BC269" i="2" s="1"/>
  <c r="AX270" i="2"/>
  <c r="BB270" i="2"/>
  <c r="BC270" i="2" s="1"/>
  <c r="AX271" i="2"/>
  <c r="BB271" i="2"/>
  <c r="BC271" i="2" s="1"/>
  <c r="AX272" i="2"/>
  <c r="BB272" i="2"/>
  <c r="BC272" i="2" s="1"/>
  <c r="AX273" i="2"/>
  <c r="BB273" i="2"/>
  <c r="BC273" i="2" s="1"/>
  <c r="AX274" i="2"/>
  <c r="BB274" i="2"/>
  <c r="BC274" i="2" s="1"/>
  <c r="D249" i="1" l="1"/>
  <c r="AX221" i="2"/>
  <c r="E77" i="2"/>
  <c r="N36" i="1" s="1"/>
  <c r="D92" i="2" l="1"/>
  <c r="BB153" i="2"/>
  <c r="BC153" i="2" s="1"/>
  <c r="AX247" i="2"/>
  <c r="BB221" i="2"/>
  <c r="E76" i="2"/>
  <c r="N35" i="1" s="1"/>
  <c r="BC221" i="2" l="1"/>
  <c r="BB152" i="2"/>
  <c r="BC152" i="2" s="1"/>
  <c r="BB246" i="2"/>
  <c r="AX246" i="2"/>
  <c r="D771" i="1"/>
  <c r="BB247" i="2"/>
  <c r="E75" i="2"/>
  <c r="N34" i="1" s="1"/>
  <c r="BC247" i="2" l="1"/>
  <c r="BC246" i="2"/>
  <c r="BB151" i="2"/>
  <c r="BC151" i="2" s="1"/>
  <c r="BB245" i="2"/>
  <c r="AX245" i="2"/>
  <c r="D770" i="1"/>
  <c r="E74" i="2"/>
  <c r="N33" i="1" s="1"/>
  <c r="BC245" i="2" l="1"/>
  <c r="BB150" i="2"/>
  <c r="BC150" i="2" s="1"/>
  <c r="BB244" i="2"/>
  <c r="AX244" i="2"/>
  <c r="D769" i="1"/>
  <c r="E73" i="2"/>
  <c r="N32" i="1" s="1"/>
  <c r="BC244" i="2" l="1"/>
  <c r="AX220" i="2"/>
  <c r="D91" i="2" s="1"/>
  <c r="D246" i="1"/>
  <c r="BB44" i="2"/>
  <c r="F112" i="1"/>
  <c r="BB149" i="2"/>
  <c r="BC149" i="2" s="1"/>
  <c r="BB243" i="2"/>
  <c r="AX243" i="2"/>
  <c r="D768" i="1"/>
  <c r="E72" i="2"/>
  <c r="N31" i="1" s="1"/>
  <c r="BC44" i="2" l="1"/>
  <c r="BC243" i="2"/>
  <c r="AX218" i="2"/>
  <c r="D89" i="2" s="1"/>
  <c r="D244" i="1"/>
  <c r="BB148" i="2"/>
  <c r="BC148" i="2" s="1"/>
  <c r="BB242" i="2"/>
  <c r="AX242" i="2"/>
  <c r="D767" i="1"/>
  <c r="AX219" i="2"/>
  <c r="D90" i="2" s="1"/>
  <c r="D245" i="1"/>
  <c r="E71" i="2"/>
  <c r="N30" i="1" s="1"/>
  <c r="BC242" i="2" l="1"/>
  <c r="AX217" i="2"/>
  <c r="D88" i="2" s="1"/>
  <c r="D243" i="1"/>
  <c r="BB147" i="2"/>
  <c r="BC147" i="2" s="1"/>
  <c r="BB241" i="2"/>
  <c r="AX241" i="2"/>
  <c r="D766" i="1"/>
  <c r="E70" i="2"/>
  <c r="N29" i="1" s="1"/>
  <c r="BC241" i="2" l="1"/>
  <c r="D242" i="1"/>
  <c r="AX216" i="2"/>
  <c r="D87" i="2" s="1"/>
  <c r="BB146" i="2"/>
  <c r="BC146" i="2" s="1"/>
  <c r="BB240" i="2"/>
  <c r="AX240" i="2"/>
  <c r="D765" i="1"/>
  <c r="E69" i="2"/>
  <c r="N28" i="1" s="1"/>
  <c r="BC240" i="2" l="1"/>
  <c r="D241" i="1"/>
  <c r="AX215" i="2"/>
  <c r="D86" i="2" s="1"/>
  <c r="BB145" i="2"/>
  <c r="BC145" i="2" s="1"/>
  <c r="BB239" i="2"/>
  <c r="AX239" i="2"/>
  <c r="D764" i="1"/>
  <c r="E68" i="2"/>
  <c r="N27" i="1" s="1"/>
  <c r="BC239" i="2" l="1"/>
  <c r="AX214" i="2"/>
  <c r="D85" i="2" s="1"/>
  <c r="D240" i="1"/>
  <c r="BB144" i="2"/>
  <c r="BC144" i="2" s="1"/>
  <c r="BB238" i="2"/>
  <c r="D763" i="1"/>
  <c r="AX238" i="2"/>
  <c r="BC238" i="2" l="1"/>
  <c r="D239" i="1"/>
  <c r="AX213" i="2"/>
  <c r="D84" i="2" s="1"/>
  <c r="BB143" i="2"/>
  <c r="BC143" i="2" s="1"/>
  <c r="D235" i="1" l="1"/>
  <c r="AX212" i="2"/>
  <c r="D83" i="2" s="1"/>
  <c r="BB142" i="2"/>
  <c r="BC142" i="2" s="1"/>
  <c r="D234" i="1" l="1"/>
  <c r="AX211" i="2"/>
  <c r="D82" i="2" s="1"/>
  <c r="BB141" i="2"/>
  <c r="BC141" i="2" s="1"/>
  <c r="BB140" i="2" l="1"/>
  <c r="BC140" i="2" s="1"/>
  <c r="AX181" i="2" l="1"/>
  <c r="D198" i="1"/>
  <c r="AX182" i="2"/>
  <c r="D199" i="1"/>
  <c r="D200" i="1"/>
  <c r="AX183" i="2"/>
  <c r="D201" i="1"/>
  <c r="AX184" i="2"/>
  <c r="D202" i="1"/>
  <c r="AX185" i="2"/>
  <c r="D203" i="1"/>
  <c r="AX186" i="2"/>
  <c r="D204" i="1"/>
  <c r="AX187" i="2"/>
  <c r="D205" i="1"/>
  <c r="AX188" i="2"/>
  <c r="D206" i="1"/>
  <c r="AX189" i="2"/>
  <c r="D209" i="1"/>
  <c r="AX190" i="2"/>
  <c r="D210" i="1"/>
  <c r="AX191" i="2"/>
  <c r="D211" i="1"/>
  <c r="AX192" i="2"/>
  <c r="D212" i="1"/>
  <c r="AX193" i="2"/>
  <c r="D213" i="1"/>
  <c r="AX194" i="2"/>
  <c r="D214" i="1"/>
  <c r="AX195" i="2"/>
  <c r="D215" i="1"/>
  <c r="AX196" i="2"/>
  <c r="D216" i="1"/>
  <c r="AX197" i="2"/>
  <c r="D219" i="1"/>
  <c r="AX198" i="2"/>
  <c r="AX199" i="2"/>
  <c r="D220" i="1"/>
  <c r="AX200" i="2"/>
  <c r="D221" i="1"/>
  <c r="AX201" i="2"/>
  <c r="D222" i="1"/>
  <c r="AX202" i="2"/>
  <c r="D223" i="1"/>
  <c r="AX203" i="2"/>
  <c r="D224" i="1"/>
  <c r="D225" i="1"/>
  <c r="AX204" i="2"/>
  <c r="D226" i="1"/>
  <c r="AX205" i="2"/>
  <c r="D76" i="2" s="1"/>
  <c r="D229" i="1"/>
  <c r="AX206" i="2"/>
  <c r="D77" i="2" s="1"/>
  <c r="D230" i="1"/>
  <c r="AX207" i="2"/>
  <c r="D78" i="2" s="1"/>
  <c r="D231" i="1"/>
  <c r="AX208" i="2"/>
  <c r="D79" i="2" s="1"/>
  <c r="D232" i="1"/>
  <c r="AX209" i="2"/>
  <c r="D80" i="2" s="1"/>
  <c r="D233" i="1"/>
  <c r="AX210" i="2"/>
  <c r="D81" i="2" s="1"/>
  <c r="BB139" i="2"/>
  <c r="BC139" i="2" s="1"/>
  <c r="D75" i="2" l="1"/>
  <c r="BB138" i="2"/>
  <c r="BC138" i="2" s="1"/>
  <c r="D74" i="2"/>
  <c r="BB137" i="2" l="1"/>
  <c r="BC137" i="2" s="1"/>
  <c r="D73" i="2"/>
  <c r="BB136" i="2" l="1"/>
  <c r="BC136" i="2" s="1"/>
  <c r="D72" i="2"/>
  <c r="BB135" i="2" l="1"/>
  <c r="BC135" i="2" s="1"/>
  <c r="D71" i="2"/>
  <c r="BB134" i="2" l="1"/>
  <c r="BC134" i="2" s="1"/>
  <c r="D70" i="2"/>
  <c r="D69" i="2" l="1"/>
  <c r="D68" i="2" l="1"/>
  <c r="F629" i="1" l="1"/>
  <c r="E629" i="1"/>
  <c r="F628" i="1"/>
  <c r="E628" i="1"/>
  <c r="F627" i="1"/>
  <c r="E627" i="1"/>
  <c r="F626" i="1"/>
  <c r="E626" i="1"/>
  <c r="F625" i="1"/>
  <c r="E625" i="1"/>
  <c r="F624" i="1"/>
  <c r="E624" i="1"/>
  <c r="F623" i="1"/>
  <c r="E623" i="1"/>
  <c r="F622" i="1"/>
  <c r="E622" i="1"/>
  <c r="F621" i="1"/>
  <c r="E621" i="1"/>
  <c r="F620" i="1"/>
  <c r="E620" i="1"/>
  <c r="F619" i="1"/>
  <c r="E619" i="1"/>
  <c r="F618" i="1"/>
  <c r="E618" i="1"/>
  <c r="F617" i="1"/>
  <c r="E617" i="1"/>
  <c r="E616" i="1"/>
  <c r="F616" i="1"/>
  <c r="F615" i="1"/>
  <c r="E615" i="1"/>
  <c r="F614" i="1"/>
  <c r="E614" i="1"/>
  <c r="E613" i="1"/>
  <c r="F613" i="1"/>
  <c r="E612" i="1"/>
  <c r="F612" i="1"/>
  <c r="E611" i="1"/>
  <c r="F611" i="1"/>
  <c r="E610" i="1"/>
  <c r="F610" i="1"/>
  <c r="E523" i="1"/>
  <c r="F523" i="1"/>
  <c r="E522" i="1"/>
  <c r="F522" i="1"/>
  <c r="E521" i="1"/>
  <c r="F521" i="1"/>
  <c r="E520" i="1"/>
  <c r="F520" i="1"/>
  <c r="E519" i="1"/>
  <c r="F519" i="1"/>
  <c r="E518" i="1"/>
  <c r="F518" i="1"/>
  <c r="E517" i="1"/>
  <c r="F517" i="1"/>
  <c r="E516" i="1"/>
  <c r="F516" i="1"/>
  <c r="E515" i="1"/>
  <c r="F515" i="1"/>
  <c r="E514" i="1"/>
  <c r="F514" i="1"/>
  <c r="E513" i="1"/>
  <c r="F513" i="1"/>
  <c r="E512" i="1"/>
  <c r="F512" i="1"/>
  <c r="E511" i="1"/>
  <c r="F511" i="1"/>
  <c r="E510" i="1"/>
  <c r="F510" i="1"/>
  <c r="E509" i="1"/>
  <c r="F509" i="1"/>
  <c r="E508" i="1"/>
  <c r="F508" i="1"/>
  <c r="E507" i="1"/>
  <c r="F507" i="1"/>
  <c r="E506" i="1"/>
  <c r="F506" i="1"/>
  <c r="E505" i="1"/>
  <c r="F505" i="1"/>
  <c r="E504" i="1"/>
  <c r="F504" i="1"/>
  <c r="E503" i="1"/>
  <c r="F503" i="1"/>
  <c r="E502" i="1"/>
  <c r="F502" i="1"/>
  <c r="E501" i="1"/>
  <c r="F501" i="1"/>
  <c r="E500" i="1"/>
  <c r="F500" i="1"/>
  <c r="E499" i="1"/>
  <c r="F499" i="1"/>
  <c r="E498" i="1"/>
  <c r="F498" i="1"/>
  <c r="E497" i="1"/>
  <c r="F497" i="1"/>
  <c r="E496" i="1"/>
  <c r="F496" i="1"/>
  <c r="E495" i="1"/>
  <c r="F495" i="1"/>
  <c r="E494" i="1"/>
  <c r="F494" i="1"/>
  <c r="E493" i="1"/>
  <c r="F493" i="1"/>
  <c r="E492" i="1"/>
  <c r="F492" i="1"/>
  <c r="E491" i="1"/>
  <c r="F491" i="1"/>
  <c r="E490" i="1"/>
  <c r="F490" i="1"/>
  <c r="E489" i="1"/>
  <c r="F489" i="1"/>
  <c r="E488" i="1"/>
  <c r="F488" i="1"/>
  <c r="E487" i="1"/>
  <c r="F487" i="1"/>
  <c r="E486" i="1"/>
  <c r="F486" i="1"/>
  <c r="E485" i="1"/>
  <c r="F485" i="1"/>
  <c r="F484" i="1"/>
  <c r="E484" i="1"/>
  <c r="E483" i="1"/>
  <c r="F483" i="1"/>
  <c r="E364" i="1"/>
  <c r="F364" i="1"/>
  <c r="E363" i="1"/>
  <c r="F363" i="1"/>
  <c r="E365" i="1"/>
  <c r="F365" i="1"/>
  <c r="E366" i="1"/>
  <c r="F366" i="1"/>
  <c r="E367" i="1"/>
  <c r="F367" i="1"/>
  <c r="E368" i="1"/>
  <c r="F368" i="1"/>
  <c r="E369" i="1"/>
  <c r="F369" i="1"/>
  <c r="E370" i="1"/>
  <c r="F370" i="1"/>
  <c r="E371" i="1"/>
  <c r="F371" i="1"/>
  <c r="E372" i="1"/>
  <c r="F372" i="1"/>
  <c r="E373" i="1"/>
  <c r="F373" i="1"/>
  <c r="E374" i="1"/>
  <c r="F374" i="1"/>
  <c r="E375" i="1"/>
  <c r="F375" i="1"/>
  <c r="E376" i="1"/>
  <c r="F376" i="1"/>
  <c r="E377" i="1"/>
  <c r="F377" i="1"/>
  <c r="E378" i="1"/>
  <c r="F378" i="1"/>
  <c r="E379" i="1"/>
  <c r="F379" i="1"/>
  <c r="E380" i="1"/>
  <c r="F380" i="1"/>
  <c r="E381" i="1"/>
  <c r="F381" i="1"/>
  <c r="E382" i="1"/>
  <c r="F382" i="1"/>
  <c r="E383" i="1"/>
  <c r="F383" i="1"/>
  <c r="E384" i="1"/>
  <c r="F384" i="1"/>
  <c r="E385" i="1"/>
  <c r="F385" i="1"/>
  <c r="E386" i="1"/>
  <c r="F386" i="1"/>
  <c r="E387" i="1"/>
  <c r="F387" i="1"/>
  <c r="E388" i="1"/>
  <c r="F388" i="1"/>
  <c r="E389" i="1"/>
  <c r="F389" i="1"/>
  <c r="E390" i="1"/>
  <c r="F390" i="1"/>
  <c r="E392" i="1"/>
  <c r="F392" i="1"/>
  <c r="E393" i="1"/>
  <c r="F393" i="1"/>
  <c r="E362" i="1"/>
  <c r="F362" i="1"/>
  <c r="E361" i="1"/>
  <c r="F361" i="1"/>
  <c r="E394" i="1"/>
  <c r="F394" i="1"/>
  <c r="E395" i="1"/>
  <c r="F395" i="1"/>
  <c r="E396" i="1"/>
  <c r="F396" i="1"/>
  <c r="E397" i="1"/>
  <c r="F397" i="1"/>
  <c r="E398" i="1"/>
  <c r="F398" i="1"/>
  <c r="E399" i="1"/>
  <c r="F399" i="1"/>
  <c r="E400" i="1"/>
  <c r="F400" i="1"/>
  <c r="E413" i="1"/>
  <c r="F413" i="1"/>
  <c r="E401" i="1"/>
  <c r="F401" i="1"/>
  <c r="F249" i="1"/>
  <c r="E609" i="1" l="1"/>
  <c r="E608" i="1" l="1"/>
  <c r="E607" i="1" l="1"/>
  <c r="E606" i="1" l="1"/>
  <c r="E605" i="1" l="1"/>
  <c r="E604" i="1" l="1"/>
  <c r="BB133" i="2" l="1"/>
  <c r="BC133" i="2" s="1"/>
  <c r="F609" i="1"/>
  <c r="BB132" i="2" l="1"/>
  <c r="BC132" i="2" s="1"/>
  <c r="F608" i="1"/>
  <c r="BB131" i="2" l="1"/>
  <c r="BC131" i="2" s="1"/>
  <c r="F607" i="1"/>
  <c r="BB130" i="2" l="1"/>
  <c r="BC130" i="2" s="1"/>
  <c r="F606" i="1"/>
  <c r="BB129" i="2" l="1"/>
  <c r="BC129" i="2" s="1"/>
  <c r="F605" i="1"/>
  <c r="BB128" i="2" l="1"/>
  <c r="BC128" i="2" s="1"/>
  <c r="F604" i="1"/>
  <c r="BB26" i="2" l="1"/>
  <c r="F90" i="1"/>
  <c r="BB27" i="2"/>
  <c r="F91" i="1"/>
  <c r="BB28" i="2"/>
  <c r="F92" i="1"/>
  <c r="BB29" i="2"/>
  <c r="F93" i="1"/>
  <c r="BB30" i="2"/>
  <c r="F96" i="1"/>
  <c r="BB31" i="2"/>
  <c r="F97" i="1"/>
  <c r="BB32" i="2"/>
  <c r="F98" i="1"/>
  <c r="BB33" i="2"/>
  <c r="F99" i="1"/>
  <c r="BB34" i="2"/>
  <c r="F100" i="1"/>
  <c r="BB35" i="2"/>
  <c r="F101" i="1"/>
  <c r="BB36" i="2"/>
  <c r="F102" i="1"/>
  <c r="BB37" i="2"/>
  <c r="F103" i="1"/>
  <c r="BB38" i="2"/>
  <c r="F104" i="1"/>
  <c r="BB39" i="2"/>
  <c r="F105" i="1"/>
  <c r="BB40" i="2"/>
  <c r="F108" i="1"/>
  <c r="BB41" i="2"/>
  <c r="F109" i="1"/>
  <c r="BB42" i="2"/>
  <c r="F110" i="1"/>
  <c r="BB43" i="2"/>
  <c r="F111" i="1"/>
  <c r="BB220" i="2"/>
  <c r="F246" i="1"/>
  <c r="BC220" i="2" l="1"/>
  <c r="BC43" i="2"/>
  <c r="BC42" i="2"/>
  <c r="BC41" i="2"/>
  <c r="BC40" i="2"/>
  <c r="BC39" i="2"/>
  <c r="BC38" i="2"/>
  <c r="BC37" i="2"/>
  <c r="BC36" i="2"/>
  <c r="BC35" i="2"/>
  <c r="BC34" i="2"/>
  <c r="BC33" i="2"/>
  <c r="BC32" i="2"/>
  <c r="BC31" i="2"/>
  <c r="BC30" i="2"/>
  <c r="BC29" i="2"/>
  <c r="BC28" i="2"/>
  <c r="BC27" i="2"/>
  <c r="BC26" i="2"/>
  <c r="BB219" i="2"/>
  <c r="F245" i="1"/>
  <c r="BB25" i="2"/>
  <c r="F89" i="1"/>
  <c r="BC219" i="2" l="1"/>
  <c r="BC25" i="2"/>
  <c r="BB218" i="2"/>
  <c r="F244" i="1"/>
  <c r="BB24" i="2"/>
  <c r="F88" i="1"/>
  <c r="BC218" i="2" l="1"/>
  <c r="BC24" i="2"/>
  <c r="BB217" i="2"/>
  <c r="F243" i="1"/>
  <c r="BB23" i="2"/>
  <c r="F87" i="1"/>
  <c r="BC217" i="2" l="1"/>
  <c r="BC23" i="2"/>
  <c r="BB216" i="2"/>
  <c r="F242" i="1"/>
  <c r="BB22" i="2"/>
  <c r="F86" i="1"/>
  <c r="BC216" i="2" l="1"/>
  <c r="BC22" i="2"/>
  <c r="BB215" i="2"/>
  <c r="F241" i="1"/>
  <c r="BB21" i="2"/>
  <c r="F83" i="1"/>
  <c r="BC215" i="2" l="1"/>
  <c r="BC21" i="2"/>
  <c r="BB214" i="2"/>
  <c r="F240" i="1"/>
  <c r="BB20" i="2"/>
  <c r="BC20" i="2" s="1"/>
  <c r="F82" i="1"/>
  <c r="BC214" i="2" l="1"/>
  <c r="BB213" i="2"/>
  <c r="F239" i="1"/>
  <c r="BB19" i="2"/>
  <c r="BC19" i="2" s="1"/>
  <c r="F81" i="1"/>
  <c r="BC213" i="2" l="1"/>
  <c r="BB212" i="2"/>
  <c r="F235" i="1"/>
  <c r="BB18" i="2"/>
  <c r="BC18" i="2" s="1"/>
  <c r="F80" i="1"/>
  <c r="BC212" i="2" l="1"/>
  <c r="BB211" i="2"/>
  <c r="F234" i="1"/>
  <c r="BB17" i="2"/>
  <c r="BC17" i="2" s="1"/>
  <c r="F79" i="1"/>
  <c r="BC211" i="2" l="1"/>
  <c r="BB210" i="2"/>
  <c r="F233" i="1"/>
  <c r="BB16" i="2"/>
  <c r="BC16" i="2" s="1"/>
  <c r="F78" i="1"/>
  <c r="BC210" i="2" l="1"/>
  <c r="BB209" i="2"/>
  <c r="F232" i="1"/>
  <c r="BB15" i="2"/>
  <c r="BC15" i="2" s="1"/>
  <c r="F77" i="1"/>
  <c r="BC209" i="2" l="1"/>
  <c r="BB208" i="2"/>
  <c r="F231" i="1"/>
  <c r="BB14" i="2"/>
  <c r="BC14" i="2" s="1"/>
  <c r="F76" i="1"/>
  <c r="BC208" i="2" l="1"/>
  <c r="BB207" i="2"/>
  <c r="F230" i="1"/>
  <c r="BB13" i="2"/>
  <c r="BC13" i="2" s="1"/>
  <c r="F73" i="1"/>
  <c r="BC207" i="2" l="1"/>
  <c r="BB206" i="2"/>
  <c r="F229" i="1"/>
  <c r="BB12" i="2"/>
  <c r="BC12" i="2" s="1"/>
  <c r="F72" i="1"/>
  <c r="BC206" i="2" l="1"/>
  <c r="BB205" i="2"/>
  <c r="F226" i="1"/>
  <c r="BB11" i="2"/>
  <c r="BC11" i="2" s="1"/>
  <c r="F71" i="1"/>
  <c r="BC205" i="2" l="1"/>
  <c r="BB204" i="2"/>
  <c r="F225" i="1"/>
  <c r="BB10" i="2"/>
  <c r="BC10" i="2" s="1"/>
  <c r="F70" i="1"/>
  <c r="BC204" i="2" l="1"/>
  <c r="BB203" i="2"/>
  <c r="F224" i="1"/>
  <c r="BB9" i="2"/>
  <c r="BC9" i="2" s="1"/>
  <c r="F69" i="1"/>
  <c r="BC203" i="2" l="1"/>
  <c r="BB202" i="2"/>
  <c r="F223" i="1"/>
  <c r="BB8" i="2"/>
  <c r="BC8" i="2" s="1"/>
  <c r="F68" i="1"/>
  <c r="BC202" i="2" l="1"/>
  <c r="BB201" i="2"/>
  <c r="F222" i="1"/>
  <c r="BB7" i="2"/>
  <c r="BC7" i="2" s="1"/>
  <c r="F67" i="1"/>
  <c r="BC201" i="2" l="1"/>
  <c r="BB200" i="2"/>
  <c r="F221" i="1"/>
  <c r="BB6" i="2"/>
  <c r="BC6" i="2" s="1"/>
  <c r="F66" i="1"/>
  <c r="BC200" i="2" l="1"/>
  <c r="BB199" i="2"/>
  <c r="F220" i="1"/>
  <c r="BB5" i="2"/>
  <c r="BC5" i="2" s="1"/>
  <c r="F65" i="1"/>
  <c r="BC199" i="2" l="1"/>
  <c r="BB198" i="2"/>
  <c r="F219" i="1"/>
  <c r="BC198" i="2" l="1"/>
  <c r="BB197" i="2"/>
  <c r="F216" i="1"/>
  <c r="BC197" i="2" l="1"/>
  <c r="BB196" i="2"/>
  <c r="BC196" i="2" s="1"/>
  <c r="F215" i="1"/>
  <c r="BB195" i="2" l="1"/>
  <c r="BC195" i="2" s="1"/>
  <c r="F214" i="1"/>
  <c r="BB194" i="2" l="1"/>
  <c r="BC194" i="2" s="1"/>
  <c r="F213" i="1"/>
  <c r="BB193" i="2" l="1"/>
  <c r="BC193" i="2" s="1"/>
  <c r="F212" i="1"/>
  <c r="BB192" i="2" l="1"/>
  <c r="BC192" i="2" s="1"/>
  <c r="F211" i="1"/>
  <c r="BB191" i="2" l="1"/>
  <c r="BC191" i="2" s="1"/>
  <c r="F210" i="1"/>
  <c r="BB190" i="2" l="1"/>
  <c r="BC190" i="2" s="1"/>
  <c r="F209" i="1"/>
  <c r="BB189" i="2" l="1"/>
  <c r="BC189" i="2" s="1"/>
  <c r="F206" i="1"/>
  <c r="BB188" i="2" l="1"/>
  <c r="BC188" i="2" s="1"/>
  <c r="F205" i="1"/>
  <c r="BB187" i="2" l="1"/>
  <c r="BC187" i="2" s="1"/>
  <c r="F204" i="1"/>
  <c r="BB186" i="2" l="1"/>
  <c r="BC186" i="2" s="1"/>
  <c r="F203" i="1"/>
  <c r="BB185" i="2" l="1"/>
  <c r="BC185" i="2" s="1"/>
  <c r="F202" i="1"/>
  <c r="BB184" i="2" l="1"/>
  <c r="BC184" i="2" s="1"/>
  <c r="F201" i="1"/>
  <c r="BB183" i="2" l="1"/>
  <c r="BC183" i="2" s="1"/>
  <c r="F200" i="1"/>
  <c r="BB182" i="2" l="1"/>
  <c r="BC182" i="2" s="1"/>
  <c r="F199" i="1"/>
  <c r="BB181" i="2" l="1"/>
  <c r="BC181" i="2" s="1"/>
  <c r="F198" i="1"/>
  <c r="E67" i="2" l="1"/>
  <c r="N26" i="1" s="1"/>
  <c r="AX237" i="2" l="1"/>
  <c r="D67" i="2" s="1"/>
  <c r="D762" i="1"/>
  <c r="E66" i="2"/>
  <c r="N25" i="1" s="1"/>
  <c r="BB237" i="2" l="1"/>
  <c r="AX236" i="2"/>
  <c r="D66" i="2" s="1"/>
  <c r="D761" i="1"/>
  <c r="E65" i="2"/>
  <c r="N24" i="1" s="1"/>
  <c r="BC237" i="2" l="1"/>
  <c r="BB236" i="2"/>
  <c r="AX235" i="2"/>
  <c r="D65" i="2" s="1"/>
  <c r="D760" i="1"/>
  <c r="E64" i="2"/>
  <c r="N23" i="1" s="1"/>
  <c r="BC236" i="2" l="1"/>
  <c r="BB235" i="2"/>
  <c r="AX234" i="2"/>
  <c r="D64" i="2" s="1"/>
  <c r="D759" i="1"/>
  <c r="E63" i="2"/>
  <c r="N22" i="1" s="1"/>
  <c r="BC235" i="2" l="1"/>
  <c r="BB234" i="2"/>
  <c r="AX233" i="2"/>
  <c r="D63" i="2" s="1"/>
  <c r="D758" i="1"/>
  <c r="E62" i="2"/>
  <c r="N21" i="1" s="1"/>
  <c r="BC234" i="2" l="1"/>
  <c r="BB233" i="2"/>
  <c r="AX232" i="2"/>
  <c r="D62" i="2" s="1"/>
  <c r="D757" i="1"/>
  <c r="E61" i="2"/>
  <c r="N20" i="1" s="1"/>
  <c r="BC233" i="2" l="1"/>
  <c r="BB232" i="2"/>
  <c r="AX231" i="2"/>
  <c r="D61" i="2" s="1"/>
  <c r="D756" i="1"/>
  <c r="E60" i="2"/>
  <c r="N19" i="1" s="1"/>
  <c r="BC232" i="2" l="1"/>
  <c r="BB231" i="2"/>
  <c r="AX230" i="2"/>
  <c r="D60" i="2" s="1"/>
  <c r="D755" i="1"/>
  <c r="E59" i="2"/>
  <c r="N18" i="1" s="1"/>
  <c r="BC231" i="2" l="1"/>
  <c r="AX229" i="2"/>
  <c r="D59" i="2" s="1"/>
  <c r="D754" i="1"/>
  <c r="BB230" i="2"/>
  <c r="E58" i="2"/>
  <c r="N17" i="1" s="1"/>
  <c r="BC230" i="2" l="1"/>
  <c r="AX228" i="2"/>
  <c r="D58" i="2" s="1"/>
  <c r="D753" i="1"/>
  <c r="BB229" i="2"/>
  <c r="E57" i="2"/>
  <c r="N16" i="1" s="1"/>
  <c r="BC229" i="2" l="1"/>
  <c r="D752" i="1"/>
  <c r="AX227" i="2"/>
  <c r="D57" i="2" s="1"/>
  <c r="BB228" i="2"/>
  <c r="E56" i="2"/>
  <c r="N15" i="1" s="1"/>
  <c r="BC228" i="2" l="1"/>
  <c r="D751" i="1"/>
  <c r="AX226" i="2"/>
  <c r="D56" i="2" s="1"/>
  <c r="BB227" i="2"/>
  <c r="E55" i="2"/>
  <c r="N14" i="1" s="1"/>
  <c r="BC227" i="2" l="1"/>
  <c r="BB226" i="2"/>
  <c r="D750" i="1"/>
  <c r="AX225" i="2"/>
  <c r="D55" i="2" s="1"/>
  <c r="E54" i="2"/>
  <c r="N13" i="1" s="1"/>
  <c r="BC226" i="2" l="1"/>
  <c r="BB225" i="2"/>
  <c r="D749" i="1"/>
  <c r="AX224" i="2"/>
  <c r="D54" i="2" s="1"/>
  <c r="E53" i="2"/>
  <c r="N12" i="1" s="1"/>
  <c r="BC225" i="2" l="1"/>
  <c r="D748" i="1"/>
  <c r="AX223" i="2"/>
  <c r="D53" i="2" s="1"/>
  <c r="BB224" i="2"/>
  <c r="E52" i="2"/>
  <c r="N11" i="1" l="1"/>
  <c r="E13" i="2"/>
  <c r="E12" i="2"/>
  <c r="BC224" i="2"/>
  <c r="D747" i="1"/>
  <c r="AX222" i="2"/>
  <c r="BB223" i="2"/>
  <c r="F748" i="1"/>
  <c r="E748" i="1"/>
  <c r="E772" i="1" l="1"/>
  <c r="F772" i="1"/>
  <c r="D52" i="2"/>
  <c r="J55" i="2" a="1"/>
  <c r="J55" i="2" s="1"/>
  <c r="J54" i="2"/>
  <c r="J58" i="2" s="1"/>
  <c r="BC223" i="2"/>
  <c r="BB222" i="2"/>
  <c r="E771" i="1"/>
  <c r="F771" i="1"/>
  <c r="E770" i="1"/>
  <c r="F770" i="1"/>
  <c r="E769" i="1"/>
  <c r="F769" i="1"/>
  <c r="E768" i="1"/>
  <c r="F768" i="1"/>
  <c r="E767" i="1"/>
  <c r="F767" i="1"/>
  <c r="E766" i="1"/>
  <c r="F766" i="1"/>
  <c r="E765" i="1"/>
  <c r="F765" i="1"/>
  <c r="E764" i="1"/>
  <c r="F764" i="1"/>
  <c r="E763" i="1"/>
  <c r="F763" i="1"/>
  <c r="E762" i="1"/>
  <c r="F762" i="1"/>
  <c r="E761" i="1"/>
  <c r="F761" i="1"/>
  <c r="E760" i="1"/>
  <c r="F760" i="1"/>
  <c r="E759" i="1"/>
  <c r="F759" i="1"/>
  <c r="E758" i="1"/>
  <c r="F758" i="1"/>
  <c r="E757" i="1"/>
  <c r="F757" i="1"/>
  <c r="E756" i="1"/>
  <c r="F756" i="1"/>
  <c r="E755" i="1"/>
  <c r="F755" i="1"/>
  <c r="E754" i="1"/>
  <c r="F754" i="1"/>
  <c r="E753" i="1"/>
  <c r="F753" i="1"/>
  <c r="F752" i="1"/>
  <c r="E752" i="1"/>
  <c r="F751" i="1"/>
  <c r="E751" i="1"/>
  <c r="E750" i="1"/>
  <c r="F750" i="1"/>
  <c r="E749" i="1"/>
  <c r="F749" i="1"/>
  <c r="E747" i="1"/>
  <c r="F747" i="1"/>
  <c r="J59" i="2" l="1"/>
  <c r="J12" i="2"/>
  <c r="J70" i="2"/>
  <c r="J13" i="2"/>
  <c r="J71" i="2"/>
  <c r="J62" i="2"/>
  <c r="F12" i="2" s="1"/>
  <c r="J63" i="2"/>
  <c r="F13" i="2" s="1"/>
  <c r="BC222" i="2"/>
  <c r="E18" i="2" l="1"/>
  <c r="I11" i="2" l="1"/>
  <c r="I13" i="2" s="1"/>
  <c r="K74" i="2"/>
  <c r="I10" i="1" l="1"/>
  <c r="F92" i="2" l="1"/>
  <c r="F91" i="2" l="1"/>
  <c r="F90" i="2"/>
  <c r="F89" i="2"/>
  <c r="O51" i="1"/>
  <c r="H92" i="2"/>
  <c r="Q51" i="1" s="1"/>
  <c r="G92" i="2"/>
  <c r="P51" i="1" s="1"/>
  <c r="F88" i="2" l="1"/>
  <c r="O48" i="1"/>
  <c r="G89" i="2"/>
  <c r="P48" i="1" s="1"/>
  <c r="H89" i="2"/>
  <c r="Q48" i="1" s="1"/>
  <c r="O49" i="1"/>
  <c r="G90" i="2"/>
  <c r="P49" i="1" s="1"/>
  <c r="H90" i="2"/>
  <c r="Q49" i="1" s="1"/>
  <c r="O50" i="1"/>
  <c r="G91" i="2"/>
  <c r="P50" i="1" s="1"/>
  <c r="H91" i="2"/>
  <c r="Q50" i="1" s="1"/>
  <c r="F87" i="2" l="1"/>
  <c r="O47" i="1"/>
  <c r="G88" i="2"/>
  <c r="P47" i="1" s="1"/>
  <c r="H88" i="2"/>
  <c r="Q47" i="1" s="1"/>
  <c r="F86" i="2" l="1"/>
  <c r="O46" i="1"/>
  <c r="G87" i="2"/>
  <c r="P46" i="1" s="1"/>
  <c r="H87" i="2"/>
  <c r="Q46" i="1" s="1"/>
  <c r="F85" i="2" l="1"/>
  <c r="O45" i="1"/>
  <c r="G86" i="2"/>
  <c r="P45" i="1" s="1"/>
  <c r="H86" i="2"/>
  <c r="Q45" i="1" s="1"/>
  <c r="F84" i="2" l="1"/>
  <c r="O44" i="1"/>
  <c r="G85" i="2"/>
  <c r="P44" i="1" s="1"/>
  <c r="H85" i="2"/>
  <c r="Q44" i="1" s="1"/>
  <c r="F83" i="2" l="1"/>
  <c r="O43" i="1"/>
  <c r="G84" i="2"/>
  <c r="P43" i="1" s="1"/>
  <c r="H84" i="2"/>
  <c r="Q43" i="1" s="1"/>
  <c r="F82" i="2" l="1"/>
  <c r="O42" i="1"/>
  <c r="G83" i="2"/>
  <c r="P42" i="1" s="1"/>
  <c r="H83" i="2"/>
  <c r="Q42" i="1" s="1"/>
  <c r="F81" i="2" l="1"/>
  <c r="O41" i="1"/>
  <c r="G82" i="2"/>
  <c r="P41" i="1" s="1"/>
  <c r="H82" i="2"/>
  <c r="Q41" i="1" s="1"/>
  <c r="F80" i="2" l="1"/>
  <c r="O40" i="1"/>
  <c r="G81" i="2"/>
  <c r="P40" i="1" s="1"/>
  <c r="H81" i="2"/>
  <c r="Q40" i="1" s="1"/>
  <c r="F79" i="2" l="1"/>
  <c r="O39" i="1"/>
  <c r="G80" i="2"/>
  <c r="P39" i="1" s="1"/>
  <c r="H80" i="2"/>
  <c r="Q39" i="1" s="1"/>
  <c r="F78" i="2" l="1"/>
  <c r="O38" i="1"/>
  <c r="G79" i="2"/>
  <c r="P38" i="1" s="1"/>
  <c r="H79" i="2"/>
  <c r="Q38" i="1" s="1"/>
  <c r="F77" i="2" l="1"/>
  <c r="O37" i="1"/>
  <c r="G78" i="2"/>
  <c r="P37" i="1" s="1"/>
  <c r="H78" i="2"/>
  <c r="Q37" i="1" s="1"/>
  <c r="F76" i="2" l="1"/>
  <c r="O36" i="1"/>
  <c r="H77" i="2"/>
  <c r="Q36" i="1" s="1"/>
  <c r="G77" i="2"/>
  <c r="P36" i="1" s="1"/>
  <c r="F75" i="2" l="1"/>
  <c r="O35" i="1"/>
  <c r="H76" i="2"/>
  <c r="Q35" i="1" s="1"/>
  <c r="G76" i="2"/>
  <c r="P35" i="1" s="1"/>
  <c r="F74" i="2" l="1"/>
  <c r="O34" i="1"/>
  <c r="H75" i="2"/>
  <c r="Q34" i="1" s="1"/>
  <c r="G75" i="2"/>
  <c r="P34" i="1" s="1"/>
  <c r="F73" i="2" l="1"/>
  <c r="O33" i="1"/>
  <c r="H74" i="2"/>
  <c r="Q33" i="1" s="1"/>
  <c r="G74" i="2"/>
  <c r="P33" i="1" s="1"/>
  <c r="F72" i="2" l="1"/>
  <c r="O32" i="1"/>
  <c r="H73" i="2"/>
  <c r="Q32" i="1" s="1"/>
  <c r="G73" i="2"/>
  <c r="P32" i="1" s="1"/>
  <c r="F71" i="2" l="1"/>
  <c r="O31" i="1"/>
  <c r="H72" i="2"/>
  <c r="Q31" i="1" s="1"/>
  <c r="G72" i="2"/>
  <c r="P31" i="1" s="1"/>
  <c r="F70" i="2" l="1"/>
  <c r="O30" i="1"/>
  <c r="H71" i="2"/>
  <c r="Q30" i="1" s="1"/>
  <c r="G71" i="2"/>
  <c r="P30" i="1" s="1"/>
  <c r="F69" i="2" l="1"/>
  <c r="O29" i="1"/>
  <c r="H70" i="2"/>
  <c r="Q29" i="1" s="1"/>
  <c r="G70" i="2"/>
  <c r="P29" i="1" s="1"/>
  <c r="F68" i="2" l="1"/>
  <c r="O28" i="1"/>
  <c r="H69" i="2"/>
  <c r="Q28" i="1" s="1"/>
  <c r="G69" i="2"/>
  <c r="P28" i="1" s="1"/>
  <c r="F67" i="2" l="1"/>
  <c r="O27" i="1"/>
  <c r="H68" i="2"/>
  <c r="Q27" i="1" s="1"/>
  <c r="G68" i="2"/>
  <c r="P27" i="1" s="1"/>
  <c r="F66" i="2" l="1"/>
  <c r="O26" i="1"/>
  <c r="H67" i="2"/>
  <c r="Q26" i="1" s="1"/>
  <c r="G67" i="2"/>
  <c r="P26" i="1" s="1"/>
  <c r="F65" i="2" l="1"/>
  <c r="O25" i="1"/>
  <c r="H66" i="2"/>
  <c r="Q25" i="1" s="1"/>
  <c r="G66" i="2"/>
  <c r="P25" i="1" s="1"/>
  <c r="F64" i="2" l="1"/>
  <c r="O24" i="1"/>
  <c r="H65" i="2"/>
  <c r="Q24" i="1" s="1"/>
  <c r="G65" i="2"/>
  <c r="P24" i="1" s="1"/>
  <c r="F63" i="2" l="1"/>
  <c r="O23" i="1"/>
  <c r="H64" i="2"/>
  <c r="Q23" i="1" s="1"/>
  <c r="G64" i="2"/>
  <c r="P23" i="1" s="1"/>
  <c r="F62" i="2" l="1"/>
  <c r="O22" i="1"/>
  <c r="H63" i="2"/>
  <c r="Q22" i="1" s="1"/>
  <c r="G63" i="2"/>
  <c r="P22" i="1" s="1"/>
  <c r="F61" i="2" l="1"/>
  <c r="O21" i="1"/>
  <c r="H62" i="2"/>
  <c r="Q21" i="1" s="1"/>
  <c r="G62" i="2"/>
  <c r="P21" i="1" s="1"/>
  <c r="F60" i="2" l="1"/>
  <c r="O20" i="1"/>
  <c r="H61" i="2"/>
  <c r="Q20" i="1" s="1"/>
  <c r="G61" i="2"/>
  <c r="P20" i="1" s="1"/>
  <c r="F59" i="2" l="1"/>
  <c r="O19" i="1"/>
  <c r="H60" i="2"/>
  <c r="Q19" i="1" s="1"/>
  <c r="G60" i="2"/>
  <c r="P19" i="1" s="1"/>
  <c r="F58" i="2" l="1"/>
  <c r="O18" i="1"/>
  <c r="H59" i="2"/>
  <c r="Q18" i="1" s="1"/>
  <c r="G59" i="2"/>
  <c r="P18" i="1" s="1"/>
  <c r="F57" i="2" l="1"/>
  <c r="O17" i="1"/>
  <c r="H58" i="2"/>
  <c r="Q17" i="1" s="1"/>
  <c r="G58" i="2"/>
  <c r="P17" i="1" s="1"/>
  <c r="J67" i="2" l="1"/>
  <c r="G13" i="2" s="1"/>
  <c r="F56" i="2"/>
  <c r="J66" i="2" s="1"/>
  <c r="G12" i="2" s="1"/>
  <c r="H13" i="2" s="1"/>
  <c r="O16" i="1"/>
  <c r="H57" i="2"/>
  <c r="Q16" i="1" s="1"/>
  <c r="G57" i="2"/>
  <c r="P16" i="1" s="1"/>
  <c r="H10" i="1" l="1"/>
  <c r="H44" i="2"/>
  <c r="F55" i="2"/>
  <c r="O15" i="1"/>
  <c r="H56" i="2"/>
  <c r="Q15" i="1" s="1"/>
  <c r="G56" i="2"/>
  <c r="P15" i="1" s="1"/>
  <c r="H46" i="2" l="1"/>
  <c r="H40" i="1"/>
  <c r="F54" i="2"/>
  <c r="O14" i="1"/>
  <c r="H55" i="2"/>
  <c r="Q14" i="1" s="1"/>
  <c r="G55" i="2"/>
  <c r="P14" i="1" s="1"/>
  <c r="H42" i="1" l="1"/>
  <c r="F53" i="2"/>
  <c r="O13" i="1"/>
  <c r="H54" i="2"/>
  <c r="Q13" i="1" s="1"/>
  <c r="G54" i="2"/>
  <c r="P13" i="1" s="1"/>
  <c r="F52" i="2" l="1"/>
  <c r="O12" i="1"/>
  <c r="H53" i="2"/>
  <c r="Q12" i="1" s="1"/>
  <c r="G53" i="2"/>
  <c r="P12" i="1" s="1"/>
  <c r="H97" i="2"/>
  <c r="K13" i="2" s="1"/>
  <c r="O11" i="1" l="1"/>
  <c r="H52" i="2"/>
  <c r="Q11" i="1" s="1"/>
  <c r="G52" i="2"/>
  <c r="P11" i="1" s="1"/>
  <c r="AH53" i="2" l="1" a="1"/>
  <c r="AH53" i="2" s="1"/>
  <c r="AA6" i="1" l="1" a="1"/>
  <c r="AA6" i="1" s="1"/>
  <c r="AA357" i="1" l="1"/>
  <c r="AA479" i="1"/>
  <c r="AA743" i="1"/>
  <c r="AA600" i="1"/>
  <c r="AA61" i="1"/>
  <c r="AA194"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cellMetadata count="1">
    <bk>
      <rc t="1" v="0"/>
    </bk>
  </cellMetadata>
  <valueMetadata count="6">
    <bk>
      <rc t="2" v="0"/>
    </bk>
    <bk>
      <rc t="2" v="1"/>
    </bk>
    <bk>
      <rc t="2" v="2"/>
    </bk>
    <bk>
      <rc t="2" v="3"/>
    </bk>
    <bk>
      <rc t="2" v="4"/>
    </bk>
    <bk>
      <rc t="2" v="5"/>
    </bk>
  </valueMetadata>
</metadata>
</file>

<file path=xl/sharedStrings.xml><?xml version="1.0" encoding="utf-8"?>
<sst xmlns="http://schemas.openxmlformats.org/spreadsheetml/2006/main" count="32600" uniqueCount="4246">
  <si>
    <t>30 Day Pricing</t>
  </si>
  <si>
    <t>30yr Fixed</t>
  </si>
  <si>
    <t>Product</t>
  </si>
  <si>
    <t>720 - 739</t>
  </si>
  <si>
    <t>Interest-Only</t>
  </si>
  <si>
    <t>700 - 719</t>
  </si>
  <si>
    <t>680 - 699</t>
  </si>
  <si>
    <t>660 - 679</t>
  </si>
  <si>
    <t>Loan Amount</t>
  </si>
  <si>
    <t>640 - 659</t>
  </si>
  <si>
    <t>620 - 639</t>
  </si>
  <si>
    <t>600 - 619</t>
  </si>
  <si>
    <t>400,001-600k</t>
  </si>
  <si>
    <t>600,001-750k</t>
  </si>
  <si>
    <t>DTI</t>
  </si>
  <si>
    <t>50.01-55</t>
  </si>
  <si>
    <t>Cash-Out</t>
  </si>
  <si>
    <t>Second Home</t>
  </si>
  <si>
    <t>1x30x12</t>
  </si>
  <si>
    <t>Modular</t>
  </si>
  <si>
    <t>ACH</t>
  </si>
  <si>
    <t>Rural</t>
  </si>
  <si>
    <t>No Escrows (No HPML)</t>
  </si>
  <si>
    <t>Lock Term</t>
  </si>
  <si>
    <t>LTV</t>
  </si>
  <si>
    <t>Credit Score</t>
  </si>
  <si>
    <t>85.01-90</t>
  </si>
  <si>
    <t>80.01-85</t>
  </si>
  <si>
    <t>75.01-80</t>
  </si>
  <si>
    <t>70.01-75</t>
  </si>
  <si>
    <t>65.01-70</t>
  </si>
  <si>
    <t>60.01-65</t>
  </si>
  <si>
    <t>00.01-43</t>
  </si>
  <si>
    <t>Purpose</t>
  </si>
  <si>
    <t>Purchase</t>
  </si>
  <si>
    <t>Rate-Term</t>
  </si>
  <si>
    <t>Property</t>
  </si>
  <si>
    <t>Owner Occupied</t>
  </si>
  <si>
    <t>Non Owner Occupied</t>
  </si>
  <si>
    <t>Occupancy</t>
  </si>
  <si>
    <t>State</t>
  </si>
  <si>
    <t>CA</t>
  </si>
  <si>
    <t>Amort Term</t>
  </si>
  <si>
    <t>Credit History</t>
  </si>
  <si>
    <t>Housing History</t>
  </si>
  <si>
    <t>Foreign National</t>
  </si>
  <si>
    <t>Citizenship</t>
  </si>
  <si>
    <t>No Escrows</t>
  </si>
  <si>
    <t>Servicing</t>
  </si>
  <si>
    <t>Escrows</t>
  </si>
  <si>
    <t>No ACH</t>
  </si>
  <si>
    <t>Payment</t>
  </si>
  <si>
    <t>Option 1</t>
  </si>
  <si>
    <t>Option 2</t>
  </si>
  <si>
    <t>Option 3</t>
  </si>
  <si>
    <t>Option 4</t>
  </si>
  <si>
    <t>Option 5</t>
  </si>
  <si>
    <t>Option 6</t>
  </si>
  <si>
    <t>Option 7</t>
  </si>
  <si>
    <t>Option 8</t>
  </si>
  <si>
    <t>Option 9</t>
  </si>
  <si>
    <t>Option 10</t>
  </si>
  <si>
    <t>DSCR</t>
  </si>
  <si>
    <t>Level</t>
  </si>
  <si>
    <t>Prepay Penalty</t>
  </si>
  <si>
    <t>Prepay</t>
  </si>
  <si>
    <t>3yr Prepay</t>
  </si>
  <si>
    <t>2yr Prepay</t>
  </si>
  <si>
    <t>1yr Prepay</t>
  </si>
  <si>
    <t>Available Product</t>
  </si>
  <si>
    <t>Doc Type</t>
  </si>
  <si>
    <t>Option</t>
  </si>
  <si>
    <t>Doc</t>
  </si>
  <si>
    <t>30 Day</t>
  </si>
  <si>
    <t>45 Day</t>
  </si>
  <si>
    <t>60 Day</t>
  </si>
  <si>
    <t xml:space="preserve"> </t>
  </si>
  <si>
    <t>24mo Bank Stmt</t>
  </si>
  <si>
    <t>12mo Bank Stmt</t>
  </si>
  <si>
    <t>3mo Bank Stmt</t>
  </si>
  <si>
    <t>Bank Statement</t>
  </si>
  <si>
    <t>Bank Stmt</t>
  </si>
  <si>
    <t>No Prepay</t>
  </si>
  <si>
    <t>SFR</t>
  </si>
  <si>
    <t>55.01-60</t>
  </si>
  <si>
    <t>00.01-55</t>
  </si>
  <si>
    <t>1,000,001-1.5m</t>
  </si>
  <si>
    <t>1,500,001-2.0m</t>
  </si>
  <si>
    <t>Lookup</t>
  </si>
  <si>
    <t>750,001-1.0m</t>
  </si>
  <si>
    <t>Other Miscellaneous</t>
  </si>
  <si>
    <t>Property Type</t>
  </si>
  <si>
    <t>Note Rate</t>
  </si>
  <si>
    <t>Doc01</t>
  </si>
  <si>
    <t>Doc02</t>
  </si>
  <si>
    <t>Doc03</t>
  </si>
  <si>
    <t>Doc04</t>
  </si>
  <si>
    <t>Doc05</t>
  </si>
  <si>
    <t>Full Amortization</t>
  </si>
  <si>
    <t>DSCR Not Applicable</t>
  </si>
  <si>
    <t>Col</t>
  </si>
  <si>
    <t>LLPA</t>
  </si>
  <si>
    <t>Pricing</t>
  </si>
  <si>
    <t>Pricing Adjustments</t>
  </si>
  <si>
    <t>Max Price</t>
  </si>
  <si>
    <t>Net Price</t>
  </si>
  <si>
    <t>Credit / Housing History</t>
  </si>
  <si>
    <t>Y</t>
  </si>
  <si>
    <t>N</t>
  </si>
  <si>
    <t>Bank Statement Required</t>
  </si>
  <si>
    <t>DTI Required</t>
  </si>
  <si>
    <t>DSCR Required</t>
  </si>
  <si>
    <t>00.00-00</t>
  </si>
  <si>
    <t>CT</t>
  </si>
  <si>
    <t>ID</t>
  </si>
  <si>
    <t>IL</t>
  </si>
  <si>
    <t>MD</t>
  </si>
  <si>
    <t>NJ</t>
  </si>
  <si>
    <t>NY</t>
  </si>
  <si>
    <t>Eligible</t>
  </si>
  <si>
    <t>Group</t>
  </si>
  <si>
    <t>Eligible Interest Only</t>
  </si>
  <si>
    <t>Interest Only</t>
  </si>
  <si>
    <t>Interest Only Caution</t>
  </si>
  <si>
    <t>3,000,001-3.5m</t>
  </si>
  <si>
    <t>NoLatesx12</t>
  </si>
  <si>
    <t>Rate</t>
  </si>
  <si>
    <t>30yr Fix</t>
  </si>
  <si>
    <t>PUD</t>
  </si>
  <si>
    <t>2mo Bank Stmt</t>
  </si>
  <si>
    <t>Log Home</t>
  </si>
  <si>
    <t>Condo-Warrantable</t>
  </si>
  <si>
    <t>Condo-NonWarrantable</t>
  </si>
  <si>
    <t>2-Unit</t>
  </si>
  <si>
    <t>3-Unit</t>
  </si>
  <si>
    <t>4-Unit</t>
  </si>
  <si>
    <t>No Bank Stmt</t>
  </si>
  <si>
    <t>NoBkStmt</t>
  </si>
  <si>
    <t>24moBkStmt</t>
  </si>
  <si>
    <t>12moBkStmt</t>
  </si>
  <si>
    <t>03moBkStmt</t>
  </si>
  <si>
    <t>02moBkStmt</t>
  </si>
  <si>
    <t>12moBkStmt, 24moBkStmt</t>
  </si>
  <si>
    <t>Bank Statement Acceptable</t>
  </si>
  <si>
    <t>Rate Lookup</t>
  </si>
  <si>
    <t>2,000,001-2.5m</t>
  </si>
  <si>
    <t>2,500,001-3.0m</t>
  </si>
  <si>
    <t>Product Code</t>
  </si>
  <si>
    <t>Description</t>
  </si>
  <si>
    <t>PrepayErrorMsg</t>
  </si>
  <si>
    <t>580 - 599</t>
  </si>
  <si>
    <t>Lock Detail</t>
  </si>
  <si>
    <t>1x60x12</t>
  </si>
  <si>
    <t>Townhouse</t>
  </si>
  <si>
    <t>Rowhouse</t>
  </si>
  <si>
    <t>D-PUD</t>
  </si>
  <si>
    <t>W-2 (12mo) or Tax Returns (12mo)</t>
  </si>
  <si>
    <t>Asset Statement (6mo)</t>
  </si>
  <si>
    <t>P&amp;L (12mo) [CPA, CTEC, EA]</t>
  </si>
  <si>
    <t>VOE, VVOE, Employment History (24mo)</t>
  </si>
  <si>
    <t>Name</t>
  </si>
  <si>
    <t>Borrower Name</t>
  </si>
  <si>
    <t>Property Address</t>
  </si>
  <si>
    <t>Property City</t>
  </si>
  <si>
    <t>40yr Fixed</t>
  </si>
  <si>
    <t>4yr Prepay</t>
  </si>
  <si>
    <t>5yr Prepay</t>
  </si>
  <si>
    <t>Full Amortization, Interest-Only</t>
  </si>
  <si>
    <t>Amort Type</t>
  </si>
  <si>
    <t>30F</t>
  </si>
  <si>
    <t>40F</t>
  </si>
  <si>
    <t>IO</t>
  </si>
  <si>
    <t>Available DocTypeIDs</t>
  </si>
  <si>
    <t>01</t>
  </si>
  <si>
    <t>02</t>
  </si>
  <si>
    <t>03</t>
  </si>
  <si>
    <t>05</t>
  </si>
  <si>
    <t>04</t>
  </si>
  <si>
    <t>06</t>
  </si>
  <si>
    <t>07</t>
  </si>
  <si>
    <t>08</t>
  </si>
  <si>
    <t>09</t>
  </si>
  <si>
    <t>10</t>
  </si>
  <si>
    <t>DocTypeID</t>
  </si>
  <si>
    <t>Final Price</t>
  </si>
  <si>
    <t>Investor DSCR &lt; 1.00 (No Min DSCR)</t>
  </si>
  <si>
    <t>03-Bank Statement</t>
  </si>
  <si>
    <t>04-Bank Statement Plus</t>
  </si>
  <si>
    <t>07-P&amp;L Only</t>
  </si>
  <si>
    <t>08-VOE Only</t>
  </si>
  <si>
    <t>09-DSCR</t>
  </si>
  <si>
    <t>10-DSCR Limited</t>
  </si>
  <si>
    <t>Total LLPA</t>
  </si>
  <si>
    <t>Base</t>
  </si>
  <si>
    <t>Final (PL)</t>
  </si>
  <si>
    <t>PricerName</t>
  </si>
  <si>
    <t>Disclaimer1</t>
  </si>
  <si>
    <t>DisclaimerPricer1</t>
  </si>
  <si>
    <t>DisclaimerPricer2</t>
  </si>
  <si>
    <t>Incentive</t>
  </si>
  <si>
    <t>06-Asset Qualifier</t>
  </si>
  <si>
    <t>05-Bank Statement P&amp;L</t>
  </si>
  <si>
    <t>02moBkStmt, 03moBkStmt</t>
  </si>
  <si>
    <t>Bank Statement + P&amp;L (3+24mo, 2+12mo) [CPA, CTEC, EA]</t>
  </si>
  <si>
    <t>Bank Statement + Asset Statement (24+2mo, 12+2mo) [Asset Amortization]</t>
  </si>
  <si>
    <t>(24, 12mo)</t>
  </si>
  <si>
    <t>Level 1</t>
  </si>
  <si>
    <t>Level 2</t>
  </si>
  <si>
    <t>Level 5</t>
  </si>
  <si>
    <t>Level 3</t>
  </si>
  <si>
    <t>Bank Statements</t>
  </si>
  <si>
    <t xml:space="preserve">                 Documentation</t>
  </si>
  <si>
    <t xml:space="preserve">                  Documentation</t>
  </si>
  <si>
    <t>11-Asset Qualifier Plus</t>
  </si>
  <si>
    <t>Option 11</t>
  </si>
  <si>
    <t>Permanent Resident Alien</t>
  </si>
  <si>
    <t>Non-Permanent Resident Alien</t>
  </si>
  <si>
    <t>US Citizen</t>
  </si>
  <si>
    <t>No Prepay - Hard</t>
  </si>
  <si>
    <t>1yr Prepay - Hard</t>
  </si>
  <si>
    <t>2yr Prepay - Hard</t>
  </si>
  <si>
    <t>3yr Prepay - Hard</t>
  </si>
  <si>
    <t>Site Condo</t>
  </si>
  <si>
    <t>Condo-Site</t>
  </si>
  <si>
    <t>55.01-99</t>
  </si>
  <si>
    <t>Credit Events</t>
  </si>
  <si>
    <t>12-1040 Plus</t>
  </si>
  <si>
    <t>Option 12</t>
  </si>
  <si>
    <t>Tax Return Page One, Tax Transcripts, VVOE</t>
  </si>
  <si>
    <t>5,000,001+</t>
  </si>
  <si>
    <t>3,500,001-4.0m</t>
  </si>
  <si>
    <t>4,000,001-4.5m</t>
  </si>
  <si>
    <t>4,500,001-5.0m</t>
  </si>
  <si>
    <t>5-Unit</t>
  </si>
  <si>
    <t>6-Unit</t>
  </si>
  <si>
    <t>7-Unit</t>
  </si>
  <si>
    <t>8-Unit</t>
  </si>
  <si>
    <t>Non-Perm Resident Alien</t>
  </si>
  <si>
    <t>Multiple30x12</t>
  </si>
  <si>
    <t>Rate Sheet</t>
  </si>
  <si>
    <t>2-Unit Mixed Use</t>
  </si>
  <si>
    <t>3-Unit Mixed Use</t>
  </si>
  <si>
    <t>4-Unit Mixed Use</t>
  </si>
  <si>
    <t>5-Unit Mixed Use</t>
  </si>
  <si>
    <t>6-Unit Mixed Use</t>
  </si>
  <si>
    <t>7-Unit Mixed Use</t>
  </si>
  <si>
    <t>8-Unit Mixed Use</t>
  </si>
  <si>
    <t>13-Asset Depletion</t>
  </si>
  <si>
    <t>Option 13</t>
  </si>
  <si>
    <t>00.01-50</t>
  </si>
  <si>
    <t>Months Reserves</t>
  </si>
  <si>
    <t>300,001-400k</t>
  </si>
  <si>
    <t>Asset Depletion</t>
  </si>
  <si>
    <t>Investor DSCR</t>
  </si>
  <si>
    <t>740 - 759</t>
  </si>
  <si>
    <t>760 - 779</t>
  </si>
  <si>
    <t>Cashout Amount</t>
  </si>
  <si>
    <t>Reserves Months</t>
  </si>
  <si>
    <t>Price</t>
  </si>
  <si>
    <t>Program</t>
  </si>
  <si>
    <t>Occ</t>
  </si>
  <si>
    <t>List</t>
  </si>
  <si>
    <t>Value</t>
  </si>
  <si>
    <t>Input</t>
  </si>
  <si>
    <t>Loan Amt Min</t>
  </si>
  <si>
    <t>Loan Amt Max</t>
  </si>
  <si>
    <t>DTI Min</t>
  </si>
  <si>
    <t>DTI Max</t>
  </si>
  <si>
    <t>CS Min</t>
  </si>
  <si>
    <t>CS Max</t>
  </si>
  <si>
    <t>LTV Min</t>
  </si>
  <si>
    <t>LTV Max</t>
  </si>
  <si>
    <t>Reserves Min</t>
  </si>
  <si>
    <t>Reserves Max</t>
  </si>
  <si>
    <t>Purchase, Rate-Term</t>
  </si>
  <si>
    <t>Loan Amt</t>
  </si>
  <si>
    <t>CS</t>
  </si>
  <si>
    <t>Reserves</t>
  </si>
  <si>
    <t>Restriction</t>
  </si>
  <si>
    <t>DSCR Min</t>
  </si>
  <si>
    <t>DSCR Max</t>
  </si>
  <si>
    <t>Min Credit Score</t>
  </si>
  <si>
    <t>Min Reserves</t>
  </si>
  <si>
    <t>NoLatesx24</t>
  </si>
  <si>
    <t>First Time Homebuyer</t>
  </si>
  <si>
    <t>First Time HB</t>
  </si>
  <si>
    <t>Overlays</t>
  </si>
  <si>
    <t>LTV Base Reductions</t>
  </si>
  <si>
    <t>Test Match</t>
  </si>
  <si>
    <r>
      <t>Max Pricing</t>
    </r>
    <r>
      <rPr>
        <sz val="8"/>
        <color theme="1"/>
        <rFont val="Calibri"/>
        <family val="2"/>
        <scheme val="minor"/>
      </rPr>
      <t xml:space="preserve"> (Lower of Price or Premium)</t>
    </r>
  </si>
  <si>
    <t>Cash Amt Max</t>
  </si>
  <si>
    <t>N, Y</t>
  </si>
  <si>
    <t>Housing Hist</t>
  </si>
  <si>
    <t>1stTime HB</t>
  </si>
  <si>
    <t>No Escrows, Escrows</t>
  </si>
  <si>
    <t>Cashout Amt Min</t>
  </si>
  <si>
    <t>Cashout Amt Max</t>
  </si>
  <si>
    <t>Cashout Amt</t>
  </si>
  <si>
    <t>First Time Home buyer</t>
  </si>
  <si>
    <t>DSCR 1.10-1.24</t>
  </si>
  <si>
    <t>DSCR 1.25-1.49</t>
  </si>
  <si>
    <t>Eligibility Matrix</t>
  </si>
  <si>
    <t>Eligiblity Overlays</t>
  </si>
  <si>
    <t>01, 02</t>
  </si>
  <si>
    <t>03, 04</t>
  </si>
  <si>
    <t>13</t>
  </si>
  <si>
    <t>Term</t>
  </si>
  <si>
    <t>LTV Max CO</t>
  </si>
  <si>
    <t>Add Reserves</t>
  </si>
  <si>
    <t>ARM Margin</t>
  </si>
  <si>
    <t>US Citizen, Permanent Resident Alien, Non-Permanent Resident Alien</t>
  </si>
  <si>
    <t>200,001-300k</t>
  </si>
  <si>
    <t>NoLatesx24, NoLatesx12, 1x30x12, Multiple30x12</t>
  </si>
  <si>
    <t>Pricing Type</t>
  </si>
  <si>
    <t>DollarPrice</t>
  </si>
  <si>
    <t>Price Lookup</t>
  </si>
  <si>
    <t>Loan</t>
  </si>
  <si>
    <t>Detail</t>
  </si>
  <si>
    <t>Yes</t>
  </si>
  <si>
    <t>No</t>
  </si>
  <si>
    <t>Notes</t>
  </si>
  <si>
    <t>Other</t>
  </si>
  <si>
    <t>Lates</t>
  </si>
  <si>
    <t>Snip/Copy Next-Qual "Qualify" tab and email to:</t>
  </si>
  <si>
    <t>Pre-Qual for UW</t>
  </si>
  <si>
    <t>Action Request</t>
  </si>
  <si>
    <t>Rate Lock</t>
  </si>
  <si>
    <t>Snip/Copy Next-Price "Price" tab and email to:</t>
  </si>
  <si>
    <t>OOC</t>
  </si>
  <si>
    <t>2ND</t>
  </si>
  <si>
    <t>NOO</t>
  </si>
  <si>
    <t>OOC, 2ND</t>
  </si>
  <si>
    <t>SF</t>
  </si>
  <si>
    <t>DP</t>
  </si>
  <si>
    <t>PD</t>
  </si>
  <si>
    <t>2U</t>
  </si>
  <si>
    <t>3U</t>
  </si>
  <si>
    <t>4U</t>
  </si>
  <si>
    <t>CW</t>
  </si>
  <si>
    <t>CN</t>
  </si>
  <si>
    <t>TH</t>
  </si>
  <si>
    <t>RW</t>
  </si>
  <si>
    <t>RL</t>
  </si>
  <si>
    <t>LG</t>
  </si>
  <si>
    <t>5U</t>
  </si>
  <si>
    <t>6U</t>
  </si>
  <si>
    <t>7U</t>
  </si>
  <si>
    <t>8U</t>
  </si>
  <si>
    <t>PropType</t>
  </si>
  <si>
    <t>P &amp; L Only</t>
  </si>
  <si>
    <t>Level 4</t>
  </si>
  <si>
    <t>DSCR 1.00-1.09</t>
  </si>
  <si>
    <t>DSCR 0.75-0.99</t>
  </si>
  <si>
    <t>DSCR &lt;0.75</t>
  </si>
  <si>
    <t>DSCR 0.00-0.75</t>
  </si>
  <si>
    <t>DSCR 1.50+</t>
  </si>
  <si>
    <t>5U, 6U, 7U, 8U, 2M, 3M, 4M, 5M, 6M, 7M, 8M</t>
  </si>
  <si>
    <t>John Woodruff</t>
  </si>
  <si>
    <t>Available Value</t>
  </si>
  <si>
    <t>Lookup Order</t>
  </si>
  <si>
    <t>Dropdown Value</t>
  </si>
  <si>
    <t>Lock Type</t>
  </si>
  <si>
    <t>Mandatory</t>
  </si>
  <si>
    <t>Best Efforts</t>
  </si>
  <si>
    <t>LockType</t>
  </si>
  <si>
    <t>Seller Name</t>
  </si>
  <si>
    <t>Seller Loan ID</t>
  </si>
  <si>
    <t>Comments</t>
  </si>
  <si>
    <t>AK</t>
  </si>
  <si>
    <t>AL</t>
  </si>
  <si>
    <t>AR</t>
  </si>
  <si>
    <t>AZ</t>
  </si>
  <si>
    <t>CO</t>
  </si>
  <si>
    <t>DC</t>
  </si>
  <si>
    <t>DE</t>
  </si>
  <si>
    <t>FL</t>
  </si>
  <si>
    <t>GA</t>
  </si>
  <si>
    <t>HI</t>
  </si>
  <si>
    <t>IA</t>
  </si>
  <si>
    <t>IN</t>
  </si>
  <si>
    <t>KS</t>
  </si>
  <si>
    <t>KY</t>
  </si>
  <si>
    <t>LA</t>
  </si>
  <si>
    <t>MA</t>
  </si>
  <si>
    <t>ME</t>
  </si>
  <si>
    <t>MI</t>
  </si>
  <si>
    <t>MN</t>
  </si>
  <si>
    <t>MO</t>
  </si>
  <si>
    <t>MS</t>
  </si>
  <si>
    <t>MT</t>
  </si>
  <si>
    <t>NC</t>
  </si>
  <si>
    <t>ND</t>
  </si>
  <si>
    <t>NE</t>
  </si>
  <si>
    <t>NH</t>
  </si>
  <si>
    <t>NM</t>
  </si>
  <si>
    <t>NV</t>
  </si>
  <si>
    <t>OH</t>
  </si>
  <si>
    <t>OK</t>
  </si>
  <si>
    <t>OR</t>
  </si>
  <si>
    <t>PA</t>
  </si>
  <si>
    <t>PR</t>
  </si>
  <si>
    <t>RI</t>
  </si>
  <si>
    <t>SC</t>
  </si>
  <si>
    <t>SD</t>
  </si>
  <si>
    <t>TN</t>
  </si>
  <si>
    <t>TX</t>
  </si>
  <si>
    <t>UT</t>
  </si>
  <si>
    <t>VA</t>
  </si>
  <si>
    <t>VT</t>
  </si>
  <si>
    <t>WA</t>
  </si>
  <si>
    <t>WI</t>
  </si>
  <si>
    <t>WV</t>
  </si>
  <si>
    <t>WY</t>
  </si>
  <si>
    <t>DocType N/A</t>
  </si>
  <si>
    <t>Base Rules</t>
  </si>
  <si>
    <t>Final Rules</t>
  </si>
  <si>
    <t>Overlay</t>
  </si>
  <si>
    <t>LTV Adjust</t>
  </si>
  <si>
    <t>Base LTV</t>
  </si>
  <si>
    <t>AVM Vendor</t>
  </si>
  <si>
    <t>ClearCapital</t>
  </si>
  <si>
    <t>ConsolidatedAnalytics</t>
  </si>
  <si>
    <t>CoreLogic</t>
  </si>
  <si>
    <t>FSD Score Adjustment</t>
  </si>
  <si>
    <t>AVM</t>
  </si>
  <si>
    <t>12moBkStmt, 24moBkStmt, 03moBkStmt</t>
  </si>
  <si>
    <t>(24, 12)</t>
  </si>
  <si>
    <t>Full Appraisal</t>
  </si>
  <si>
    <t>Property Valuation</t>
  </si>
  <si>
    <t>Valuation Type</t>
  </si>
  <si>
    <t>NoLatesx24, NoLatesx12</t>
  </si>
  <si>
    <t>30A36</t>
  </si>
  <si>
    <t>30A56</t>
  </si>
  <si>
    <t>40A56</t>
  </si>
  <si>
    <t>30A76</t>
  </si>
  <si>
    <t>40A76</t>
  </si>
  <si>
    <t>30A106</t>
  </si>
  <si>
    <t>40A106</t>
  </si>
  <si>
    <t>5/6 30yr ARM SOFR</t>
  </si>
  <si>
    <t>5/6 40yr ARM SOFR</t>
  </si>
  <si>
    <t>7/6 30yr ARM SOFR</t>
  </si>
  <si>
    <t>7/6 40yr ARM SOFR</t>
  </si>
  <si>
    <t>4yr Prepay - Hard</t>
  </si>
  <si>
    <t>5yr Prepay - Hard</t>
  </si>
  <si>
    <t>Foreign Nat'l (DSCR Only)</t>
  </si>
  <si>
    <t>SOFR</t>
  </si>
  <si>
    <t>24mo Bank Stmt, 12mo Bank Stmt</t>
  </si>
  <si>
    <t>BkStmt</t>
  </si>
  <si>
    <t># Match All</t>
  </si>
  <si>
    <t># Match Find LTV</t>
  </si>
  <si>
    <t>&lt; -Max LTV</t>
  </si>
  <si>
    <t># Match Find Program</t>
  </si>
  <si>
    <t>CalculatorName</t>
  </si>
  <si>
    <t>OO</t>
  </si>
  <si>
    <t>IntOnly</t>
  </si>
  <si>
    <t>10/6 30yr ARM SOFR</t>
  </si>
  <si>
    <t>10/6 40yr ARM SOFR</t>
  </si>
  <si>
    <t>15yr Fixed</t>
  </si>
  <si>
    <t>15F</t>
  </si>
  <si>
    <t>20F</t>
  </si>
  <si>
    <t>20yr Fixed</t>
  </si>
  <si>
    <t>Full</t>
  </si>
  <si>
    <t>Mid</t>
  </si>
  <si>
    <t>None</t>
  </si>
  <si>
    <t>Multi</t>
  </si>
  <si>
    <t>ProductClass</t>
  </si>
  <si>
    <t>14-1099</t>
  </si>
  <si>
    <t>Option 14</t>
  </si>
  <si>
    <t>14</t>
  </si>
  <si>
    <t>15-WVOE</t>
  </si>
  <si>
    <t>Option 15</t>
  </si>
  <si>
    <t>WVOE</t>
  </si>
  <si>
    <t>15</t>
  </si>
  <si>
    <t>13, 15</t>
  </si>
  <si>
    <t>FTHB</t>
  </si>
  <si>
    <t>2nd Home</t>
  </si>
  <si>
    <t>OverlayRules</t>
  </si>
  <si>
    <t>Find Scenario</t>
  </si>
  <si>
    <t>OverlayReason</t>
  </si>
  <si>
    <t>Final Comment</t>
  </si>
  <si>
    <t>Final</t>
  </si>
  <si>
    <t>NonQMOO</t>
  </si>
  <si>
    <t>NonQMNOO</t>
  </si>
  <si>
    <t>NonQM OO</t>
  </si>
  <si>
    <t>NonQM NOO</t>
  </si>
  <si>
    <t>Mutli NOO</t>
  </si>
  <si>
    <t>PN</t>
  </si>
  <si>
    <t>IR</t>
  </si>
  <si>
    <t>PN15F</t>
  </si>
  <si>
    <t>PN20F</t>
  </si>
  <si>
    <t>PN30F</t>
  </si>
  <si>
    <t>PN30FIO</t>
  </si>
  <si>
    <t>PN40FIO</t>
  </si>
  <si>
    <t>PN30A56</t>
  </si>
  <si>
    <t>PN30A76</t>
  </si>
  <si>
    <t>PN30A106</t>
  </si>
  <si>
    <t>PN30A56IO</t>
  </si>
  <si>
    <t>PN30A76IO</t>
  </si>
  <si>
    <t>PN30A106IO</t>
  </si>
  <si>
    <t>PN40A56IO</t>
  </si>
  <si>
    <t>PN40A76IO</t>
  </si>
  <si>
    <t>PN40A106IO</t>
  </si>
  <si>
    <t>IN15F</t>
  </si>
  <si>
    <t>IN20F</t>
  </si>
  <si>
    <t>IN30F</t>
  </si>
  <si>
    <t>IN30FIO</t>
  </si>
  <si>
    <t>IN40FIO</t>
  </si>
  <si>
    <t>IN30A56</t>
  </si>
  <si>
    <t>IN30A76</t>
  </si>
  <si>
    <t>IN30A106</t>
  </si>
  <si>
    <t>IN30A56IO</t>
  </si>
  <si>
    <t>IN30A76IO</t>
  </si>
  <si>
    <t>IN30A106IO</t>
  </si>
  <si>
    <t>IN40A56IO</t>
  </si>
  <si>
    <t>IN40A76IO</t>
  </si>
  <si>
    <t>IN40A106IO</t>
  </si>
  <si>
    <t>MN30F</t>
  </si>
  <si>
    <t>MN30FIO</t>
  </si>
  <si>
    <t>MN40FIO</t>
  </si>
  <si>
    <t>MN30A56</t>
  </si>
  <si>
    <t>MN30A76</t>
  </si>
  <si>
    <t>MN30A56IO</t>
  </si>
  <si>
    <t>MN30A76IO</t>
  </si>
  <si>
    <t>MN40A56IO</t>
  </si>
  <si>
    <t>MN40A76IO</t>
  </si>
  <si>
    <t>NonQM</t>
  </si>
  <si>
    <t>IN_No Prepay</t>
  </si>
  <si>
    <t>PN_No Prepay</t>
  </si>
  <si>
    <t>MN_No Prepay</t>
  </si>
  <si>
    <t>PN_Doc01_760 - 779</t>
  </si>
  <si>
    <t>PN_Doc01_740 - 759</t>
  </si>
  <si>
    <t>PN_Doc01_720 - 739</t>
  </si>
  <si>
    <t>PN_Doc01_700 - 719</t>
  </si>
  <si>
    <t>PN_Doc01_680 - 699</t>
  </si>
  <si>
    <t>PN_Doc01_660 - 679</t>
  </si>
  <si>
    <t>PN_Doc02_760 - 779</t>
  </si>
  <si>
    <t>PN_Doc02_740 - 759</t>
  </si>
  <si>
    <t>PN_Doc02_720 - 739</t>
  </si>
  <si>
    <t>PN_Doc02_700 - 719</t>
  </si>
  <si>
    <t>PN_Doc02_680 - 699</t>
  </si>
  <si>
    <t>PN_Doc02_660 - 679</t>
  </si>
  <si>
    <t>PN_Doc03_760 - 779</t>
  </si>
  <si>
    <t>PN_Doc03_740 - 759</t>
  </si>
  <si>
    <t>PN_Doc03_720 - 739</t>
  </si>
  <si>
    <t>PN_Doc03_700 - 719</t>
  </si>
  <si>
    <t>PN_Doc03_680 - 699</t>
  </si>
  <si>
    <t>PN_Doc03_660 - 679</t>
  </si>
  <si>
    <t>PN_Doc04_760 - 779</t>
  </si>
  <si>
    <t>PN_Doc04_740 - 759</t>
  </si>
  <si>
    <t>PN_Doc04_720 - 739</t>
  </si>
  <si>
    <t>PN_Doc04_700 - 719</t>
  </si>
  <si>
    <t>PN_Doc04_680 - 699</t>
  </si>
  <si>
    <t>PN_Doc04_660 - 679</t>
  </si>
  <si>
    <t>PN_No Bank Stmt</t>
  </si>
  <si>
    <t>PN_12mo Bank Stmt</t>
  </si>
  <si>
    <t>PN_24mo Bank Stmt</t>
  </si>
  <si>
    <t>PN_5/6 30yr ARM SOFR</t>
  </si>
  <si>
    <t>PN_7/6 30yr ARM SOFR</t>
  </si>
  <si>
    <t>PN_10/6 30yr ARM SOFR</t>
  </si>
  <si>
    <t>PN_5/6 40yr ARM SOFR</t>
  </si>
  <si>
    <t>PN_7/6 40yr ARM SOFR</t>
  </si>
  <si>
    <t>PN_10/6 40yr ARM SOFR</t>
  </si>
  <si>
    <t>PN_15yr Fixed</t>
  </si>
  <si>
    <t>PN_20yr Fixed</t>
  </si>
  <si>
    <t>PN_30yr Fixed</t>
  </si>
  <si>
    <t>PN_40yr Fixed</t>
  </si>
  <si>
    <t>PN_Full Amortization</t>
  </si>
  <si>
    <t>PN_Interest-Only</t>
  </si>
  <si>
    <t>PN_200,001-300k</t>
  </si>
  <si>
    <t>PN_300,001-400k</t>
  </si>
  <si>
    <t>PN_400,001-600k</t>
  </si>
  <si>
    <t>PN_600,001-750k</t>
  </si>
  <si>
    <t>PN_750,001-1.0m</t>
  </si>
  <si>
    <t>PN_1,000,001-1.5m</t>
  </si>
  <si>
    <t>PN_1,500,001-2.0m</t>
  </si>
  <si>
    <t>PN_2,000,001-2.5m</t>
  </si>
  <si>
    <t>PN_2,500,001-3.0m</t>
  </si>
  <si>
    <t>PN_3,000,001-3.5m</t>
  </si>
  <si>
    <t>PN_3,500,001-4.0m</t>
  </si>
  <si>
    <t>PN_4,000,001-4.5m</t>
  </si>
  <si>
    <t>PN_4,500,001-5.0m</t>
  </si>
  <si>
    <t>PN_5,000,001+</t>
  </si>
  <si>
    <t>PN_00.00-00</t>
  </si>
  <si>
    <t>PN_00.01-43</t>
  </si>
  <si>
    <t>PN_50.01-55</t>
  </si>
  <si>
    <t>PN_DSCR Not Applicable</t>
  </si>
  <si>
    <t>PN_Purchase</t>
  </si>
  <si>
    <t>PN_Rate-Term</t>
  </si>
  <si>
    <t>PN_Cash-Out</t>
  </si>
  <si>
    <t>PN_Owner Occupied</t>
  </si>
  <si>
    <t>PN_Second Home</t>
  </si>
  <si>
    <t>PN_Full Appraisal</t>
  </si>
  <si>
    <t>PN_CA</t>
  </si>
  <si>
    <t>PN_Non-CA</t>
  </si>
  <si>
    <t>PN_SFR</t>
  </si>
  <si>
    <t>PN_D-PUD</t>
  </si>
  <si>
    <t>PN_PUD</t>
  </si>
  <si>
    <t>PN_Townhouse</t>
  </si>
  <si>
    <t>PN_Rowhouse</t>
  </si>
  <si>
    <t>PN_Condo-Site</t>
  </si>
  <si>
    <t>PN_Condo-Warrantable</t>
  </si>
  <si>
    <t>PN_Condo-NonWarrantable</t>
  </si>
  <si>
    <t>PN_2-Unit</t>
  </si>
  <si>
    <t>PN_3-Unit</t>
  </si>
  <si>
    <t>PN_4-Unit</t>
  </si>
  <si>
    <t>PN_Modular</t>
  </si>
  <si>
    <t>PN_Log Home</t>
  </si>
  <si>
    <t>PN_US Citizen</t>
  </si>
  <si>
    <t>PN_Permanent Resident Alien</t>
  </si>
  <si>
    <t>PN_Non-Permanent Resident Alien</t>
  </si>
  <si>
    <t>PN_Foreign National</t>
  </si>
  <si>
    <t>PN_NoLatesx24</t>
  </si>
  <si>
    <t>PN_NoLatesx12</t>
  </si>
  <si>
    <t>PN_1x30x12</t>
  </si>
  <si>
    <t>PN_Multiple30x12</t>
  </si>
  <si>
    <t>PN_1x60x12</t>
  </si>
  <si>
    <t>PN_No ACH</t>
  </si>
  <si>
    <t>PN_ACH</t>
  </si>
  <si>
    <t>PN_Escrows</t>
  </si>
  <si>
    <t>PN_No Escrows</t>
  </si>
  <si>
    <t>PN_30 Day</t>
  </si>
  <si>
    <t>PN_45 Day</t>
  </si>
  <si>
    <t>PN_60 Day</t>
  </si>
  <si>
    <t>PN_Mandatory</t>
  </si>
  <si>
    <t>PN_Best Efforts</t>
  </si>
  <si>
    <t>IN_Doc01_760 - 779</t>
  </si>
  <si>
    <t>IN_Doc01_740 - 759</t>
  </si>
  <si>
    <t>IN_Doc01_720 - 739</t>
  </si>
  <si>
    <t>IN_Doc01_700 - 719</t>
  </si>
  <si>
    <t>IN_Doc01_680 - 699</t>
  </si>
  <si>
    <t>IN_Doc01_660 - 679</t>
  </si>
  <si>
    <t>IN_Doc02_760 - 779</t>
  </si>
  <si>
    <t>IN_Doc02_740 - 759</t>
  </si>
  <si>
    <t>IN_Doc02_720 - 739</t>
  </si>
  <si>
    <t>IN_Doc02_700 - 719</t>
  </si>
  <si>
    <t>IN_Doc02_680 - 699</t>
  </si>
  <si>
    <t>IN_Doc02_660 - 679</t>
  </si>
  <si>
    <t>IN_Doc03_760 - 779</t>
  </si>
  <si>
    <t>IN_Doc03_740 - 759</t>
  </si>
  <si>
    <t>IN_Doc03_720 - 739</t>
  </si>
  <si>
    <t>IN_Doc03_700 - 719</t>
  </si>
  <si>
    <t>IN_Doc03_680 - 699</t>
  </si>
  <si>
    <t>IN_Doc03_660 - 679</t>
  </si>
  <si>
    <t>IN_Doc04_760 - 779</t>
  </si>
  <si>
    <t>IN_Doc04_740 - 759</t>
  </si>
  <si>
    <t>IN_Doc04_720 - 739</t>
  </si>
  <si>
    <t>IN_Doc04_700 - 719</t>
  </si>
  <si>
    <t>IN_Doc04_680 - 699</t>
  </si>
  <si>
    <t>IN_Doc04_660 - 679</t>
  </si>
  <si>
    <t>IN_Doc05_760 - 779</t>
  </si>
  <si>
    <t>IN_Doc05_740 - 759</t>
  </si>
  <si>
    <t>IN_Doc05_720 - 739</t>
  </si>
  <si>
    <t>IN_Doc05_700 - 719</t>
  </si>
  <si>
    <t>IN_Doc05_680 - 699</t>
  </si>
  <si>
    <t>IN_Doc05_660 - 679</t>
  </si>
  <si>
    <t>IN_No Bank Stmt</t>
  </si>
  <si>
    <t>IN_12mo Bank Stmt</t>
  </si>
  <si>
    <t>IN_24mo Bank Stmt</t>
  </si>
  <si>
    <t>IN_5/6 30yr ARM SOFR</t>
  </si>
  <si>
    <t>IN_7/6 30yr ARM SOFR</t>
  </si>
  <si>
    <t>IN_10/6 30yr ARM SOFR</t>
  </si>
  <si>
    <t>IN_5/6 40yr ARM SOFR</t>
  </si>
  <si>
    <t>IN_7/6 40yr ARM SOFR</t>
  </si>
  <si>
    <t>IN_10/6 40yr ARM SOFR</t>
  </si>
  <si>
    <t>IN_15yr Fixed</t>
  </si>
  <si>
    <t>IN_20yr Fixed</t>
  </si>
  <si>
    <t>IN_30yr Fixed</t>
  </si>
  <si>
    <t>IN_40yr Fixed</t>
  </si>
  <si>
    <t>IN_Full Amortization</t>
  </si>
  <si>
    <t>IN_Interest-Only</t>
  </si>
  <si>
    <t>IN_200,001-300k</t>
  </si>
  <si>
    <t>IN_300,001-400k</t>
  </si>
  <si>
    <t>IN_400,001-600k</t>
  </si>
  <si>
    <t>IN_600,001-750k</t>
  </si>
  <si>
    <t>IN_750,001-1.0m</t>
  </si>
  <si>
    <t>IN_1,000,001-1.5m</t>
  </si>
  <si>
    <t>IN_1,500,001-2.0m</t>
  </si>
  <si>
    <t>IN_2,000,001-2.5m</t>
  </si>
  <si>
    <t>IN_2,500,001-3.0m</t>
  </si>
  <si>
    <t>IN_3,000,001-3.5m</t>
  </si>
  <si>
    <t>IN_3,500,001-4.0m</t>
  </si>
  <si>
    <t>IN_4,000,001-4.5m</t>
  </si>
  <si>
    <t>IN_4,500,001-5.0m</t>
  </si>
  <si>
    <t>IN_5,000,001+</t>
  </si>
  <si>
    <t>IN_00.00-00</t>
  </si>
  <si>
    <t>IN_00.01-43</t>
  </si>
  <si>
    <t>IN_50.01-55</t>
  </si>
  <si>
    <t>IN_DSCR Not Applicable</t>
  </si>
  <si>
    <t>IN_DSCR 1.50+</t>
  </si>
  <si>
    <t>IN_DSCR 1.25-1.49</t>
  </si>
  <si>
    <t>IN_DSCR 1.10-1.24</t>
  </si>
  <si>
    <t>IN_DSCR 1.00-1.09</t>
  </si>
  <si>
    <t>IN_DSCR 0.75-0.99</t>
  </si>
  <si>
    <t>IN_DSCR 0.00-0.75</t>
  </si>
  <si>
    <t>IN_Purchase</t>
  </si>
  <si>
    <t>IN_Rate-Term</t>
  </si>
  <si>
    <t>IN_Cash-Out</t>
  </si>
  <si>
    <t>IN_Non Owner Occupied</t>
  </si>
  <si>
    <t>IN_Full Appraisal</t>
  </si>
  <si>
    <t>IN_CA</t>
  </si>
  <si>
    <t>IN_Non-CA</t>
  </si>
  <si>
    <t>IN_SFR</t>
  </si>
  <si>
    <t>IN_D-PUD</t>
  </si>
  <si>
    <t>IN_PUD</t>
  </si>
  <si>
    <t>IN_Townhouse</t>
  </si>
  <si>
    <t>IN_Rowhouse</t>
  </si>
  <si>
    <t>IN_Condo-Site</t>
  </si>
  <si>
    <t>IN_Condo-Warrantable</t>
  </si>
  <si>
    <t>IN_Condo-NonWarrantable</t>
  </si>
  <si>
    <t>IN_2-Unit</t>
  </si>
  <si>
    <t>IN_3-Unit</t>
  </si>
  <si>
    <t>IN_4-Unit</t>
  </si>
  <si>
    <t>IN_Modular</t>
  </si>
  <si>
    <t>IN_Log Home</t>
  </si>
  <si>
    <t>IN_US Citizen</t>
  </si>
  <si>
    <t>IN_Permanent Resident Alien</t>
  </si>
  <si>
    <t>IN_Non-Permanent Resident Alien</t>
  </si>
  <si>
    <t>IN_Foreign National</t>
  </si>
  <si>
    <t>IN_NoLatesx24</t>
  </si>
  <si>
    <t>IN_NoLatesx12</t>
  </si>
  <si>
    <t>IN_1x30x12</t>
  </si>
  <si>
    <t>IN_Multiple30x12</t>
  </si>
  <si>
    <t>IN_1x60x12</t>
  </si>
  <si>
    <t>IN_No ACH</t>
  </si>
  <si>
    <t>IN_ACH</t>
  </si>
  <si>
    <t>IN_Escrows</t>
  </si>
  <si>
    <t>IN_No Escrows</t>
  </si>
  <si>
    <t>IN_30 Day</t>
  </si>
  <si>
    <t>IN_45 Day</t>
  </si>
  <si>
    <t>IN_60 Day</t>
  </si>
  <si>
    <t>IN_Mandatory</t>
  </si>
  <si>
    <t>IN_Best Efforts</t>
  </si>
  <si>
    <t>5yr Prepay_5Pct</t>
  </si>
  <si>
    <t>4yr Prepay_5Pct</t>
  </si>
  <si>
    <t>3yr Prepay_5Pct</t>
  </si>
  <si>
    <t>2yr Prepay_5Pct</t>
  </si>
  <si>
    <t>1yr Prepay_5Pct</t>
  </si>
  <si>
    <t>5yr Prepay_54321</t>
  </si>
  <si>
    <t>4yr Prepay_4321</t>
  </si>
  <si>
    <t>3yr Prepay_321</t>
  </si>
  <si>
    <t>2yr Prepay_21</t>
  </si>
  <si>
    <t>1yr Prepay_1</t>
  </si>
  <si>
    <t>IN_5yr Prepay_5Pct</t>
  </si>
  <si>
    <t>IN_4yr Prepay_5Pct</t>
  </si>
  <si>
    <t>IN_3yr Prepay_5Pct</t>
  </si>
  <si>
    <t>IN_2yr Prepay_5Pct</t>
  </si>
  <si>
    <t>IN_1yr Prepay_5Pct</t>
  </si>
  <si>
    <t>IN_5yr Prepay_54321</t>
  </si>
  <si>
    <t>IN_4yr Prepay_4321</t>
  </si>
  <si>
    <t>IN_3yr Prepay_321</t>
  </si>
  <si>
    <t>IN_2yr Prepay_21</t>
  </si>
  <si>
    <t>IN_1yr Prepay_1</t>
  </si>
  <si>
    <t>MN_5yr Prepay_5Pct</t>
  </si>
  <si>
    <t>MN_4yr Prepay_5Pct</t>
  </si>
  <si>
    <t>MN_3yr Prepay_5Pct</t>
  </si>
  <si>
    <t>MN_2yr Prepay_5Pct</t>
  </si>
  <si>
    <t>MN_1yr Prepay_5Pct</t>
  </si>
  <si>
    <t>MN_5yr Prepay_54321</t>
  </si>
  <si>
    <t>MN_4yr Prepay_4321</t>
  </si>
  <si>
    <t>MN_3yr Prepay_321</t>
  </si>
  <si>
    <t>MN_2yr Prepay_21</t>
  </si>
  <si>
    <t>MN_1yr Prepay_1</t>
  </si>
  <si>
    <t>Prefix (Desc Sort)</t>
  </si>
  <si>
    <t>Desc Sort 1</t>
  </si>
  <si>
    <t>Desc Sort 2</t>
  </si>
  <si>
    <t>Linked to Source</t>
  </si>
  <si>
    <t>Controls</t>
  </si>
  <si>
    <t>NQO0001</t>
  </si>
  <si>
    <t>NQO0002</t>
  </si>
  <si>
    <t>NQO0003</t>
  </si>
  <si>
    <t>NQO0004</t>
  </si>
  <si>
    <t>NQO0005</t>
  </si>
  <si>
    <t>NQO0006</t>
  </si>
  <si>
    <t>NQO0007</t>
  </si>
  <si>
    <t>NQO0008</t>
  </si>
  <si>
    <t>NQO0009</t>
  </si>
  <si>
    <t>NQO0010</t>
  </si>
  <si>
    <t>NQO0011</t>
  </si>
  <si>
    <t>NQO0012</t>
  </si>
  <si>
    <t>NQO0013</t>
  </si>
  <si>
    <t>NQO0014</t>
  </si>
  <si>
    <t>NQO0015</t>
  </si>
  <si>
    <t>NQO0016</t>
  </si>
  <si>
    <t>NQO0017</t>
  </si>
  <si>
    <t>NQO0018</t>
  </si>
  <si>
    <t>NQO0019</t>
  </si>
  <si>
    <t>NQO0020</t>
  </si>
  <si>
    <t>NQO0021</t>
  </si>
  <si>
    <t>NQO0022</t>
  </si>
  <si>
    <t>NQO0023</t>
  </si>
  <si>
    <t>NQO0024</t>
  </si>
  <si>
    <t>NQO0025</t>
  </si>
  <si>
    <t>NQO0026</t>
  </si>
  <si>
    <t>NQO0027</t>
  </si>
  <si>
    <t>NQO0028</t>
  </si>
  <si>
    <t>NQO0029</t>
  </si>
  <si>
    <t>NQO0030</t>
  </si>
  <si>
    <t>NQO0031</t>
  </si>
  <si>
    <t>NQO0032</t>
  </si>
  <si>
    <t>NQO0033</t>
  </si>
  <si>
    <t>NQO0034</t>
  </si>
  <si>
    <t>NQO0035</t>
  </si>
  <si>
    <t>NQO0036</t>
  </si>
  <si>
    <t>NQO0043</t>
  </si>
  <si>
    <t>NQO0044</t>
  </si>
  <si>
    <t>NQO0045</t>
  </si>
  <si>
    <t>NQO0046</t>
  </si>
  <si>
    <t>NQO0047</t>
  </si>
  <si>
    <t>NQO0048</t>
  </si>
  <si>
    <t>NQO0049</t>
  </si>
  <si>
    <t>NQO0050</t>
  </si>
  <si>
    <t>NQO0051</t>
  </si>
  <si>
    <t>NQO0052</t>
  </si>
  <si>
    <t>NQO0053</t>
  </si>
  <si>
    <t>NQO0054</t>
  </si>
  <si>
    <t>NQO0055</t>
  </si>
  <si>
    <t>NQO0056</t>
  </si>
  <si>
    <t>NQO0057</t>
  </si>
  <si>
    <t>NQO0058</t>
  </si>
  <si>
    <t>NQO0059</t>
  </si>
  <si>
    <t>NQO0060</t>
  </si>
  <si>
    <t>NQO0061</t>
  </si>
  <si>
    <t>NQO0062</t>
  </si>
  <si>
    <t>NQO0063</t>
  </si>
  <si>
    <t>NQO0064</t>
  </si>
  <si>
    <t>NQO0065</t>
  </si>
  <si>
    <t>NQO0066</t>
  </si>
  <si>
    <t>NQO0067</t>
  </si>
  <si>
    <t>NQO0068</t>
  </si>
  <si>
    <t>NQO0069</t>
  </si>
  <si>
    <t>NQO0070</t>
  </si>
  <si>
    <t>NQO0071</t>
  </si>
  <si>
    <t>NQO0072</t>
  </si>
  <si>
    <t>NQO0073</t>
  </si>
  <si>
    <t>NQO0074</t>
  </si>
  <si>
    <t>NQO0075</t>
  </si>
  <si>
    <t>NQO0076</t>
  </si>
  <si>
    <t>NQO0077</t>
  </si>
  <si>
    <t>NQO0078</t>
  </si>
  <si>
    <t>NQO0079</t>
  </si>
  <si>
    <t>NQO0080</t>
  </si>
  <si>
    <t>NQO0081</t>
  </si>
  <si>
    <t>NQO0082</t>
  </si>
  <si>
    <t>NQO0083</t>
  </si>
  <si>
    <t>NQO0084</t>
  </si>
  <si>
    <t>NQO0085</t>
  </si>
  <si>
    <t>NQO0086</t>
  </si>
  <si>
    <t>NQO0087</t>
  </si>
  <si>
    <t>NQO0088</t>
  </si>
  <si>
    <t>NQO0089</t>
  </si>
  <si>
    <t>NQO0090</t>
  </si>
  <si>
    <t>NQO0091</t>
  </si>
  <si>
    <t>NQO0092</t>
  </si>
  <si>
    <t>NQO0093</t>
  </si>
  <si>
    <t>NQO0094</t>
  </si>
  <si>
    <t>NQO0095</t>
  </si>
  <si>
    <t>NQO0096</t>
  </si>
  <si>
    <t>NQO0097</t>
  </si>
  <si>
    <t>NQO0098</t>
  </si>
  <si>
    <t>NQO0099</t>
  </si>
  <si>
    <t>NQO0100</t>
  </si>
  <si>
    <t>NQO0101</t>
  </si>
  <si>
    <t>NQO0102</t>
  </si>
  <si>
    <t>NQO0109</t>
  </si>
  <si>
    <t>NQO0110</t>
  </si>
  <si>
    <t>NQO0111</t>
  </si>
  <si>
    <t>NQO0112</t>
  </si>
  <si>
    <t>NQO0113</t>
  </si>
  <si>
    <t>NQO0114</t>
  </si>
  <si>
    <t>NQO0115</t>
  </si>
  <si>
    <t>NQO0116</t>
  </si>
  <si>
    <t>NQO0117</t>
  </si>
  <si>
    <t>NQO0118</t>
  </si>
  <si>
    <t>NQO0119</t>
  </si>
  <si>
    <t>NQO0120</t>
  </si>
  <si>
    <t>NQO0121</t>
  </si>
  <si>
    <t>NQO0122</t>
  </si>
  <si>
    <t>NQO0123</t>
  </si>
  <si>
    <t>NQO0124</t>
  </si>
  <si>
    <t>NQO0125</t>
  </si>
  <si>
    <t>NQO0126</t>
  </si>
  <si>
    <t>NQO0127</t>
  </si>
  <si>
    <t>NQO0128</t>
  </si>
  <si>
    <t>NQO0129</t>
  </si>
  <si>
    <t>NQO0130</t>
  </si>
  <si>
    <t>NQO0131</t>
  </si>
  <si>
    <t>NQO0132</t>
  </si>
  <si>
    <t>NQO0133</t>
  </si>
  <si>
    <t>NQO0134</t>
  </si>
  <si>
    <t>NQO0135</t>
  </si>
  <si>
    <t>NQO0136</t>
  </si>
  <si>
    <t>NQO0137</t>
  </si>
  <si>
    <t>NQO0138</t>
  </si>
  <si>
    <t>NQO0139</t>
  </si>
  <si>
    <t>NQO0140</t>
  </si>
  <si>
    <t>NQO0141</t>
  </si>
  <si>
    <t>NQO0142</t>
  </si>
  <si>
    <t>NQO0143</t>
  </si>
  <si>
    <t>NQO0144</t>
  </si>
  <si>
    <t>NQO0145</t>
  </si>
  <si>
    <t>NQO0146</t>
  </si>
  <si>
    <t>NQO0147</t>
  </si>
  <si>
    <t>NQO0148</t>
  </si>
  <si>
    <t>NQO0149</t>
  </si>
  <si>
    <t>NQO0150</t>
  </si>
  <si>
    <t>NQO0151</t>
  </si>
  <si>
    <t>NQO0152</t>
  </si>
  <si>
    <t>NQO0153</t>
  </si>
  <si>
    <t>NQO0154</t>
  </si>
  <si>
    <t>NQO0155</t>
  </si>
  <si>
    <t>NQO0156</t>
  </si>
  <si>
    <t>NQO0157</t>
  </si>
  <si>
    <t>NQO0158</t>
  </si>
  <si>
    <t>NQO0159</t>
  </si>
  <si>
    <t>NQO0160</t>
  </si>
  <si>
    <t>NQO0161</t>
  </si>
  <si>
    <t>NQO0162</t>
  </si>
  <si>
    <t>NQO0163</t>
  </si>
  <si>
    <t>NQO0164</t>
  </si>
  <si>
    <t>NQO0165</t>
  </si>
  <si>
    <t>NQO0166</t>
  </si>
  <si>
    <t>NQO0167</t>
  </si>
  <si>
    <t>NQO0168</t>
  </si>
  <si>
    <t>NQO0169</t>
  </si>
  <si>
    <t>NQO0170</t>
  </si>
  <si>
    <t>NQO0171</t>
  </si>
  <si>
    <t>NQO0172</t>
  </si>
  <si>
    <t>NQO0173</t>
  </si>
  <si>
    <t>NQO0174</t>
  </si>
  <si>
    <t>NQO0175</t>
  </si>
  <si>
    <t>NQO0176</t>
  </si>
  <si>
    <t>NQO0177</t>
  </si>
  <si>
    <t>NQO0178</t>
  </si>
  <si>
    <t>NQO0179</t>
  </si>
  <si>
    <t>NQO0180</t>
  </si>
  <si>
    <t>NQO0181</t>
  </si>
  <si>
    <t>NQO0182</t>
  </si>
  <si>
    <t>NQO0183</t>
  </si>
  <si>
    <t>NQO0184</t>
  </si>
  <si>
    <t>NQO0185</t>
  </si>
  <si>
    <t>NQO0186</t>
  </si>
  <si>
    <t>NQO0187</t>
  </si>
  <si>
    <t>NQO0188</t>
  </si>
  <si>
    <t>NQO0189</t>
  </si>
  <si>
    <t>NQO0190</t>
  </si>
  <si>
    <t>NQO0191</t>
  </si>
  <si>
    <t>NQO0192</t>
  </si>
  <si>
    <t>NQO0193</t>
  </si>
  <si>
    <t>NQO0194</t>
  </si>
  <si>
    <t>NQO0195</t>
  </si>
  <si>
    <t>NQO0196</t>
  </si>
  <si>
    <t>NQO0197</t>
  </si>
  <si>
    <t>NQO0198</t>
  </si>
  <si>
    <t>NQO0199</t>
  </si>
  <si>
    <t>NQO0200</t>
  </si>
  <si>
    <t>NQO0201</t>
  </si>
  <si>
    <t>NQO0202</t>
  </si>
  <si>
    <t>NQO0203</t>
  </si>
  <si>
    <t>NQO0204</t>
  </si>
  <si>
    <t>NQO0205</t>
  </si>
  <si>
    <t>NQO0206</t>
  </si>
  <si>
    <t>NQO0207</t>
  </si>
  <si>
    <t>NQO0208</t>
  </si>
  <si>
    <t>NQO0209</t>
  </si>
  <si>
    <t>NQO0210</t>
  </si>
  <si>
    <t>NQO0211</t>
  </si>
  <si>
    <t>NQO0212</t>
  </si>
  <si>
    <t>NQO0213</t>
  </si>
  <si>
    <t>NQO0214</t>
  </si>
  <si>
    <t>NQO0215</t>
  </si>
  <si>
    <t>NQO0216</t>
  </si>
  <si>
    <t>NQN0001</t>
  </si>
  <si>
    <t>NQN0002</t>
  </si>
  <si>
    <t>NQN0003</t>
  </si>
  <si>
    <t>NQN0004</t>
  </si>
  <si>
    <t>NQN0005</t>
  </si>
  <si>
    <t>NQN0006</t>
  </si>
  <si>
    <t>NQN0007</t>
  </si>
  <si>
    <t>NQN0008</t>
  </si>
  <si>
    <t>NQN0009</t>
  </si>
  <si>
    <t>NQN0010</t>
  </si>
  <si>
    <t>NQN0011</t>
  </si>
  <si>
    <t>NQN0012</t>
  </si>
  <si>
    <t>NQN0013</t>
  </si>
  <si>
    <t>NQN0014</t>
  </si>
  <si>
    <t>NQN0015</t>
  </si>
  <si>
    <t>NQN0016</t>
  </si>
  <si>
    <t>NQN0017</t>
  </si>
  <si>
    <t>NQN0018</t>
  </si>
  <si>
    <t>NQN0019</t>
  </si>
  <si>
    <t>NQN0020</t>
  </si>
  <si>
    <t>NQN0021</t>
  </si>
  <si>
    <t>NQN0022</t>
  </si>
  <si>
    <t>NQN0023</t>
  </si>
  <si>
    <t>NQN0024</t>
  </si>
  <si>
    <t>NQN0025</t>
  </si>
  <si>
    <t>NQN0026</t>
  </si>
  <si>
    <t>NQN0027</t>
  </si>
  <si>
    <t>NQN0028</t>
  </si>
  <si>
    <t>NQN0029</t>
  </si>
  <si>
    <t>NQN0030</t>
  </si>
  <si>
    <t>NQN0031</t>
  </si>
  <si>
    <t>NQN0032</t>
  </si>
  <si>
    <t>NQN0033</t>
  </si>
  <si>
    <t>NQN0034</t>
  </si>
  <si>
    <t>NQN0035</t>
  </si>
  <si>
    <t>NQN0036</t>
  </si>
  <si>
    <t>NQN0037</t>
  </si>
  <si>
    <t>NQN0038</t>
  </si>
  <si>
    <t>NQN0039</t>
  </si>
  <si>
    <t>NQN0040</t>
  </si>
  <si>
    <t>NQN0041</t>
  </si>
  <si>
    <t>NQN0042</t>
  </si>
  <si>
    <t>NQN0043</t>
  </si>
  <si>
    <t>NQN0044</t>
  </si>
  <si>
    <t>NQN0045</t>
  </si>
  <si>
    <t>NQN0046</t>
  </si>
  <si>
    <t>NQN0047</t>
  </si>
  <si>
    <t>NQN0048</t>
  </si>
  <si>
    <t>NQN0049</t>
  </si>
  <si>
    <t>NQN0050</t>
  </si>
  <si>
    <t>NQN0051</t>
  </si>
  <si>
    <t>NQN0052</t>
  </si>
  <si>
    <t>NQN0053</t>
  </si>
  <si>
    <t>NQN0054</t>
  </si>
  <si>
    <t>NQN0055</t>
  </si>
  <si>
    <t>NQN0056</t>
  </si>
  <si>
    <t>NQN0057</t>
  </si>
  <si>
    <t>NQN0058</t>
  </si>
  <si>
    <t>NQN0059</t>
  </si>
  <si>
    <t>NQN0060</t>
  </si>
  <si>
    <t>NQN0061</t>
  </si>
  <si>
    <t>NQN0062</t>
  </si>
  <si>
    <t>NQN0063</t>
  </si>
  <si>
    <t>NQN0064</t>
  </si>
  <si>
    <t>NQN0065</t>
  </si>
  <si>
    <t>NQN0066</t>
  </si>
  <si>
    <t>NQN0067</t>
  </si>
  <si>
    <t>NQN0068</t>
  </si>
  <si>
    <t>NQN0069</t>
  </si>
  <si>
    <t>NQN0070</t>
  </si>
  <si>
    <t>NQN0071</t>
  </si>
  <si>
    <t>NQN0072</t>
  </si>
  <si>
    <t>NQN0073</t>
  </si>
  <si>
    <t>NQN0074</t>
  </si>
  <si>
    <t>NQN0075</t>
  </si>
  <si>
    <t>NQN0076</t>
  </si>
  <si>
    <t>NQN0077</t>
  </si>
  <si>
    <t>NQN0078</t>
  </si>
  <si>
    <t>NQN0079</t>
  </si>
  <si>
    <t>NQN0080</t>
  </si>
  <si>
    <t>NQN0081</t>
  </si>
  <si>
    <t>NQN0082</t>
  </si>
  <si>
    <t>NQN0083</t>
  </si>
  <si>
    <t>NQN0084</t>
  </si>
  <si>
    <t>NQN0085</t>
  </si>
  <si>
    <t>NQN0086</t>
  </si>
  <si>
    <t>NQN0087</t>
  </si>
  <si>
    <t>NQN0088</t>
  </si>
  <si>
    <t>NQN0089</t>
  </si>
  <si>
    <t>NQN0090</t>
  </si>
  <si>
    <t>NQN0091</t>
  </si>
  <si>
    <t>NQN0092</t>
  </si>
  <si>
    <t>NQN0093</t>
  </si>
  <si>
    <t>NQN0094</t>
  </si>
  <si>
    <t>NQN0095</t>
  </si>
  <si>
    <t>NQN0096</t>
  </si>
  <si>
    <t>NQN0097</t>
  </si>
  <si>
    <t>NQN0098</t>
  </si>
  <si>
    <t>NQN0099</t>
  </si>
  <si>
    <t>NQN0100</t>
  </si>
  <si>
    <t>NQN0101</t>
  </si>
  <si>
    <t>NQN0102</t>
  </si>
  <si>
    <t>NQN0103</t>
  </si>
  <si>
    <t>NQN0104</t>
  </si>
  <si>
    <t>NQN0105</t>
  </si>
  <si>
    <t>NQN0106</t>
  </si>
  <si>
    <t>NQN0107</t>
  </si>
  <si>
    <t>NQN0108</t>
  </si>
  <si>
    <t>NQN0109</t>
  </si>
  <si>
    <t>NQN0110</t>
  </si>
  <si>
    <t>NQN0111</t>
  </si>
  <si>
    <t>NQN0112</t>
  </si>
  <si>
    <t>NQN0113</t>
  </si>
  <si>
    <t>NQN0114</t>
  </si>
  <si>
    <t>NQN0115</t>
  </si>
  <si>
    <t>NQN0116</t>
  </si>
  <si>
    <t>NQN0117</t>
  </si>
  <si>
    <t>NQN0118</t>
  </si>
  <si>
    <t>NQN0119</t>
  </si>
  <si>
    <t>NQN0120</t>
  </si>
  <si>
    <t>NQN0121</t>
  </si>
  <si>
    <t>NQN0122</t>
  </si>
  <si>
    <t>NQN0123</t>
  </si>
  <si>
    <t>NQN0124</t>
  </si>
  <si>
    <t>NQN0125</t>
  </si>
  <si>
    <t>NQN0126</t>
  </si>
  <si>
    <t>NQN0127</t>
  </si>
  <si>
    <t>NQN0128</t>
  </si>
  <si>
    <t>NQN0129</t>
  </si>
  <si>
    <t>NQN0130</t>
  </si>
  <si>
    <t>NQN0131</t>
  </si>
  <si>
    <t>NQN0132</t>
  </si>
  <si>
    <t>NQN0133</t>
  </si>
  <si>
    <t>NQN0134</t>
  </si>
  <si>
    <t>NQN0135</t>
  </si>
  <si>
    <t>NQN0136</t>
  </si>
  <si>
    <t>NQN0137</t>
  </si>
  <si>
    <t>NQN0138</t>
  </si>
  <si>
    <t>NQN0139</t>
  </si>
  <si>
    <t>NQN0140</t>
  </si>
  <si>
    <t>NQN0141</t>
  </si>
  <si>
    <t>NQN0142</t>
  </si>
  <si>
    <t>NQN0143</t>
  </si>
  <si>
    <t>NQN0144</t>
  </si>
  <si>
    <t>NQN0145</t>
  </si>
  <si>
    <t>NQN0146</t>
  </si>
  <si>
    <t>NQN0147</t>
  </si>
  <si>
    <t>NQN0148</t>
  </si>
  <si>
    <t>NQN0149</t>
  </si>
  <si>
    <t>NQN0150</t>
  </si>
  <si>
    <t>NQN0151</t>
  </si>
  <si>
    <t>NQN0152</t>
  </si>
  <si>
    <t>NQN0153</t>
  </si>
  <si>
    <t>NQN0154</t>
  </si>
  <si>
    <t>NQN0155</t>
  </si>
  <si>
    <t>NQN0156</t>
  </si>
  <si>
    <t>NQN0157</t>
  </si>
  <si>
    <t>NQN0158</t>
  </si>
  <si>
    <t>NQN0159</t>
  </si>
  <si>
    <t>NQN0160</t>
  </si>
  <si>
    <t>NQN0161</t>
  </si>
  <si>
    <t>NQN0162</t>
  </si>
  <si>
    <t>NQN0163</t>
  </si>
  <si>
    <t>NQN0164</t>
  </si>
  <si>
    <t>NQN0165</t>
  </si>
  <si>
    <t>NQN0166</t>
  </si>
  <si>
    <t>NQN0167</t>
  </si>
  <si>
    <t>NQN0168</t>
  </si>
  <si>
    <t>NQN0169</t>
  </si>
  <si>
    <t>NQN0170</t>
  </si>
  <si>
    <t>NQN0171</t>
  </si>
  <si>
    <t>NQN0172</t>
  </si>
  <si>
    <t>NQN0173</t>
  </si>
  <si>
    <t>NQN0174</t>
  </si>
  <si>
    <t>NQN0175</t>
  </si>
  <si>
    <t>NQN0176</t>
  </si>
  <si>
    <t>NQN0177</t>
  </si>
  <si>
    <t>NQN0178</t>
  </si>
  <si>
    <t>NQN0179</t>
  </si>
  <si>
    <t>NQN0180</t>
  </si>
  <si>
    <t>NQN0181</t>
  </si>
  <si>
    <t>NQN0182</t>
  </si>
  <si>
    <t>NQN0183</t>
  </si>
  <si>
    <t>NQN0184</t>
  </si>
  <si>
    <t>NQN0185</t>
  </si>
  <si>
    <t>NQN0186</t>
  </si>
  <si>
    <t>NQN0187</t>
  </si>
  <si>
    <t>NQN0188</t>
  </si>
  <si>
    <t>NQN0189</t>
  </si>
  <si>
    <t>NQN0190</t>
  </si>
  <si>
    <t>NQN0191</t>
  </si>
  <si>
    <t>NQN0192</t>
  </si>
  <si>
    <t>NQN0193</t>
  </si>
  <si>
    <t>NQN0194</t>
  </si>
  <si>
    <t>NQN0195</t>
  </si>
  <si>
    <t>NQN0196</t>
  </si>
  <si>
    <t>NQM0001</t>
  </si>
  <si>
    <t>NQM0002</t>
  </si>
  <si>
    <t>NQM0003</t>
  </si>
  <si>
    <t>NQM0004</t>
  </si>
  <si>
    <t>NQM0005</t>
  </si>
  <si>
    <t>NQM0006</t>
  </si>
  <si>
    <t>NQM0007</t>
  </si>
  <si>
    <t>NQM0008</t>
  </si>
  <si>
    <t>NQM0009</t>
  </si>
  <si>
    <t>NQM0010</t>
  </si>
  <si>
    <t>NQM0011</t>
  </si>
  <si>
    <t>NQM0012</t>
  </si>
  <si>
    <t>NQM0013</t>
  </si>
  <si>
    <t>NQM0014</t>
  </si>
  <si>
    <t>NQM0015</t>
  </si>
  <si>
    <t>NQM0016</t>
  </si>
  <si>
    <t>NQM0017</t>
  </si>
  <si>
    <t>NQM0018</t>
  </si>
  <si>
    <t>NQM0019</t>
  </si>
  <si>
    <t>NQM0020</t>
  </si>
  <si>
    <t>NQM0021</t>
  </si>
  <si>
    <t>NQM0022</t>
  </si>
  <si>
    <t>NQM0023</t>
  </si>
  <si>
    <t>NQM0024</t>
  </si>
  <si>
    <t>NQM0025</t>
  </si>
  <si>
    <t>NQM0026</t>
  </si>
  <si>
    <t>NQM0027</t>
  </si>
  <si>
    <t>NQM0029</t>
  </si>
  <si>
    <t>NQM0030</t>
  </si>
  <si>
    <t>Elig_BaseLimit_LoanAmt_Max</t>
  </si>
  <si>
    <t>Elig_OverlayLimit_LoanAmt_Max</t>
  </si>
  <si>
    <t>Elig_OverlayReason_LoanAmt_Max</t>
  </si>
  <si>
    <t>Elig_OverlayMsg_LoanAmt</t>
  </si>
  <si>
    <t>Elig_FinalLimit_LoanAmt_Max</t>
  </si>
  <si>
    <t>1stTime Homebuyer/Inv</t>
  </si>
  <si>
    <t>FTHB 3mo</t>
  </si>
  <si>
    <t>Bk Stmt</t>
  </si>
  <si>
    <t>1stTime Homebuyer</t>
  </si>
  <si>
    <t>Long Name</t>
  </si>
  <si>
    <t>State Lookup</t>
  </si>
  <si>
    <t>Lookup Values</t>
  </si>
  <si>
    <t>01,02,03,04,07,13,14,15</t>
  </si>
  <si>
    <t>01,02,03,04,07,09,13,14,15</t>
  </si>
  <si>
    <t>FNMA Form 1005</t>
  </si>
  <si>
    <t>1099</t>
  </si>
  <si>
    <t>NQN0197</t>
  </si>
  <si>
    <t>NQN0198</t>
  </si>
  <si>
    <t>NQO0217</t>
  </si>
  <si>
    <t>NQO0218</t>
  </si>
  <si>
    <t>NQO0219</t>
  </si>
  <si>
    <t>NQO0220</t>
  </si>
  <si>
    <t>NQO0221</t>
  </si>
  <si>
    <t>NQO0222</t>
  </si>
  <si>
    <t>NQN0199</t>
  </si>
  <si>
    <t>NQN0200</t>
  </si>
  <si>
    <t>NQN0201</t>
  </si>
  <si>
    <t>NQN0202</t>
  </si>
  <si>
    <t>NQN0203</t>
  </si>
  <si>
    <t>NQN0204</t>
  </si>
  <si>
    <t>NQN0205</t>
  </si>
  <si>
    <t>NQN0206</t>
  </si>
  <si>
    <t>NQN0207</t>
  </si>
  <si>
    <t>NQN0208</t>
  </si>
  <si>
    <t>NQN0209</t>
  </si>
  <si>
    <t>NQN0210</t>
  </si>
  <si>
    <t>NQM0028</t>
  </si>
  <si>
    <t>01,02,03</t>
  </si>
  <si>
    <t>Standard</t>
  </si>
  <si>
    <t>PrimePoint, InvestPoint</t>
  </si>
  <si>
    <t>PrimePoint</t>
  </si>
  <si>
    <t>Message</t>
  </si>
  <si>
    <t>DSCR &lt; 1</t>
  </si>
  <si>
    <t>Product Lookup</t>
  </si>
  <si>
    <t>Max Pricing Lookup</t>
  </si>
  <si>
    <t>Dropdown Lookups</t>
  </si>
  <si>
    <t>Range Lookups</t>
  </si>
  <si>
    <t>Pricing Lookups</t>
  </si>
  <si>
    <t>State Lookups</t>
  </si>
  <si>
    <t>Pricer Lookup</t>
  </si>
  <si>
    <t>Second</t>
  </si>
  <si>
    <t>Second OO</t>
  </si>
  <si>
    <t>Second NOO</t>
  </si>
  <si>
    <t>SecondOO</t>
  </si>
  <si>
    <t>SecondNOO</t>
  </si>
  <si>
    <t>30/15yr Balloon</t>
  </si>
  <si>
    <t>30B</t>
  </si>
  <si>
    <t>40/15yr Balloon</t>
  </si>
  <si>
    <t>40B</t>
  </si>
  <si>
    <t>10yr Fixed</t>
  </si>
  <si>
    <t>NSO0001</t>
  </si>
  <si>
    <t>NSO0002</t>
  </si>
  <si>
    <t>NSO0003</t>
  </si>
  <si>
    <t>NSO0004</t>
  </si>
  <si>
    <t>NSO0005</t>
  </si>
  <si>
    <t>NSO0006</t>
  </si>
  <si>
    <t>NSO0007</t>
  </si>
  <si>
    <t>NSO0008</t>
  </si>
  <si>
    <t>NSO0009</t>
  </si>
  <si>
    <t>NSO0010</t>
  </si>
  <si>
    <t>NSO0011</t>
  </si>
  <si>
    <t>NSO0012</t>
  </si>
  <si>
    <t>NSO0013</t>
  </si>
  <si>
    <t>NSO0014</t>
  </si>
  <si>
    <t>NSO0015</t>
  </si>
  <si>
    <t>NSO0016</t>
  </si>
  <si>
    <t>NSO0017</t>
  </si>
  <si>
    <t>NSO0018</t>
  </si>
  <si>
    <t>NSO0019</t>
  </si>
  <si>
    <t>NSO0020</t>
  </si>
  <si>
    <t>NSO0021</t>
  </si>
  <si>
    <t>NSO0022</t>
  </si>
  <si>
    <t>NSO0023</t>
  </si>
  <si>
    <t>NSO0024</t>
  </si>
  <si>
    <t>10F</t>
  </si>
  <si>
    <t>780 - 799</t>
  </si>
  <si>
    <t>≥ 800</t>
  </si>
  <si>
    <t>PN_Doc01_≥ 800</t>
  </si>
  <si>
    <t>PN_Doc01_780 - 799</t>
  </si>
  <si>
    <t>PN_Doc04_≥ 800</t>
  </si>
  <si>
    <t>PN_Doc04_780 - 799</t>
  </si>
  <si>
    <t>PN_Doc03_780 - 799</t>
  </si>
  <si>
    <t>PN_Doc03_≥ 800</t>
  </si>
  <si>
    <t>PN_Doc02_780 - 799</t>
  </si>
  <si>
    <t>PN_Doc02_≥ 800</t>
  </si>
  <si>
    <t>IN_Doc01_≥ 800</t>
  </si>
  <si>
    <t>IN_Doc01_780 - 799</t>
  </si>
  <si>
    <t>IN_Doc02_≥ 800</t>
  </si>
  <si>
    <t>IN_Doc02_780 - 799</t>
  </si>
  <si>
    <t>IN_Doc03_≥ 800</t>
  </si>
  <si>
    <t>IN_Doc03_780 - 799</t>
  </si>
  <si>
    <t>IN_Doc04_≥ 800</t>
  </si>
  <si>
    <t>IN_Doc04_780 - 799</t>
  </si>
  <si>
    <t>IN_Doc05_≥ 800</t>
  </si>
  <si>
    <t>IN_Doc05_780 - 799</t>
  </si>
  <si>
    <t>CLTV</t>
  </si>
  <si>
    <t>30/15yr Balloon, 40/15yr Balloon</t>
  </si>
  <si>
    <t>NSO0025</t>
  </si>
  <si>
    <t>NSO0026</t>
  </si>
  <si>
    <t>NSO0027</t>
  </si>
  <si>
    <t>NSO0028</t>
  </si>
  <si>
    <t>NSO0029</t>
  </si>
  <si>
    <t>NSO0030</t>
  </si>
  <si>
    <t>NSO0031</t>
  </si>
  <si>
    <t>NSO0032</t>
  </si>
  <si>
    <t>AK, AL, AR, AZ, CA, CO, CT, DC, DE, FL, GA, HI, IA, ID, IL, IN, KS, KY, LA, MA, MD, ME, MI, MN, MO, MS, MT, NC, ND, NE, NH, NJ, NM, NV, NY, OH, OK, OR, PA, RI, SC, SD, TN, TX, UT, VA, VT, WA, WI, WV, WY</t>
  </si>
  <si>
    <r>
      <t>Match Scenario</t>
    </r>
    <r>
      <rPr>
        <sz val="8"/>
        <color theme="1"/>
        <rFont val="Arial"/>
        <family val="2"/>
      </rPr>
      <t xml:space="preserve"> (22 Total)</t>
    </r>
  </si>
  <si>
    <t>075,001-100k</t>
  </si>
  <si>
    <t>100,001-125k</t>
  </si>
  <si>
    <t>125,001-150k</t>
  </si>
  <si>
    <t>150,001-175k</t>
  </si>
  <si>
    <t>175,001-200k</t>
  </si>
  <si>
    <t>PN_075,001-100k</t>
  </si>
  <si>
    <t>PN_100,001-125k</t>
  </si>
  <si>
    <t>PN_125,001-150k</t>
  </si>
  <si>
    <t>PN_150,001-175k</t>
  </si>
  <si>
    <t>PN_175,001-200k</t>
  </si>
  <si>
    <t>IN_075,001-100k</t>
  </si>
  <si>
    <t>IN_100,001-125k</t>
  </si>
  <si>
    <t>IN_125,001-150k</t>
  </si>
  <si>
    <t>IN_150,001-175k</t>
  </si>
  <si>
    <t>IN_175,001-200k</t>
  </si>
  <si>
    <t>1st Lien</t>
  </si>
  <si>
    <t>2nd Lien</t>
  </si>
  <si>
    <t>Amount</t>
  </si>
  <si>
    <t>Combined Lien Detail</t>
  </si>
  <si>
    <t>Purchase, Rate-Term, Cash-Out</t>
  </si>
  <si>
    <t>Reduced Reserves Calc</t>
  </si>
  <si>
    <t>DSCR ≥1.50</t>
  </si>
  <si>
    <t>075,000-100k</t>
  </si>
  <si>
    <t>PT_Doc01_≥ 800</t>
  </si>
  <si>
    <t>PT_Doc01_780 - 799</t>
  </si>
  <si>
    <t>PT_Doc01_760 - 779</t>
  </si>
  <si>
    <t>PT_Doc01_740 - 759</t>
  </si>
  <si>
    <t>PT_Doc01_720 - 739</t>
  </si>
  <si>
    <t>PT_Doc01_700 - 719</t>
  </si>
  <si>
    <t>PT_Doc01_680 - 699</t>
  </si>
  <si>
    <t>PT_Doc01_660 - 679</t>
  </si>
  <si>
    <t>PT_Doc01_640 - 659</t>
  </si>
  <si>
    <t>PT_Doc01_620 - 639</t>
  </si>
  <si>
    <t>PT_Doc02_≥ 800</t>
  </si>
  <si>
    <t>PT_Doc02_780 - 799</t>
  </si>
  <si>
    <t>PT_Doc02_760 - 779</t>
  </si>
  <si>
    <t>PT_Doc02_740 - 759</t>
  </si>
  <si>
    <t>PT_Doc02_720 - 739</t>
  </si>
  <si>
    <t>PT_Doc02_700 - 719</t>
  </si>
  <si>
    <t>PT_Doc02_680 - 699</t>
  </si>
  <si>
    <t>PT_Doc02_660 - 679</t>
  </si>
  <si>
    <t>PT_Doc02_640 - 659</t>
  </si>
  <si>
    <t>PT_Doc02_620 - 639</t>
  </si>
  <si>
    <t>PT_No Bank Stmt</t>
  </si>
  <si>
    <t>PT_12mo Bank Stmt</t>
  </si>
  <si>
    <t>PT_24mo Bank Stmt</t>
  </si>
  <si>
    <t>PT_10yr Fixed</t>
  </si>
  <si>
    <t>PT_15yr Fixed</t>
  </si>
  <si>
    <t>PT_20yr Fixed</t>
  </si>
  <si>
    <t>PT_30/15yr Balloon</t>
  </si>
  <si>
    <t>PT_40/15yr Balloon</t>
  </si>
  <si>
    <t>PT_Full Amortization</t>
  </si>
  <si>
    <t>PT_Interest-Only</t>
  </si>
  <si>
    <t>PT_075,001-100k</t>
  </si>
  <si>
    <t>PT_100,001-125k</t>
  </si>
  <si>
    <t>PT_125,001-150k</t>
  </si>
  <si>
    <t>PT_150,001-175k</t>
  </si>
  <si>
    <t>PT_175,001-200k</t>
  </si>
  <si>
    <t>PT_200,001-300k</t>
  </si>
  <si>
    <t>PT_300,001-400k</t>
  </si>
  <si>
    <t>PT_400,001-600k</t>
  </si>
  <si>
    <t>PT_600,001-750k</t>
  </si>
  <si>
    <t>PT_750,001-1.0m</t>
  </si>
  <si>
    <t>PT_1,000,001-1.5m</t>
  </si>
  <si>
    <t>PT_1,500,001-2.0m</t>
  </si>
  <si>
    <t>PT_2,000,001-2.5m</t>
  </si>
  <si>
    <t>PT_2,500,001-3.0m</t>
  </si>
  <si>
    <t>PT_3,000,001-3.5m</t>
  </si>
  <si>
    <t>PT_3,500,001-4.0m</t>
  </si>
  <si>
    <t>PT_4,000,001-4.5m</t>
  </si>
  <si>
    <t>PT_4,500,001-5.0m</t>
  </si>
  <si>
    <t>PT_5,000,001+</t>
  </si>
  <si>
    <t>PT_00.00-00</t>
  </si>
  <si>
    <t>PT_00.01-43</t>
  </si>
  <si>
    <t>PT_50.01-55</t>
  </si>
  <si>
    <t>PT_DSCR Not Applicable</t>
  </si>
  <si>
    <t>PT_Purchase</t>
  </si>
  <si>
    <t>PT_Rate-Term</t>
  </si>
  <si>
    <t>PT_Cash-Out</t>
  </si>
  <si>
    <t>PT_Owner Occupied</t>
  </si>
  <si>
    <t>PT_Second Home</t>
  </si>
  <si>
    <t>PT_Full Appraisal</t>
  </si>
  <si>
    <t>PT_AVM</t>
  </si>
  <si>
    <t>PT_CA</t>
  </si>
  <si>
    <t>PT_Non-CA</t>
  </si>
  <si>
    <t>PT_SFR</t>
  </si>
  <si>
    <t>PT_D-PUD</t>
  </si>
  <si>
    <t>PT_PUD</t>
  </si>
  <si>
    <t>PT_Townhouse</t>
  </si>
  <si>
    <t>PT_Rowhouse</t>
  </si>
  <si>
    <t>PT_Condo-Site</t>
  </si>
  <si>
    <t>PT_Condo-Warrantable</t>
  </si>
  <si>
    <t>PT_Condo-NonWarrantable</t>
  </si>
  <si>
    <t>PT_2-Unit</t>
  </si>
  <si>
    <t>PT_3-Unit</t>
  </si>
  <si>
    <t>PT_4-Unit</t>
  </si>
  <si>
    <t>PT_Modular</t>
  </si>
  <si>
    <t>PT_Log Home</t>
  </si>
  <si>
    <t>PT_US Citizen</t>
  </si>
  <si>
    <t>PT_Permanent Resident Alien</t>
  </si>
  <si>
    <t>PT_Non-Permanent Resident Alien</t>
  </si>
  <si>
    <t>PT_Foreign National</t>
  </si>
  <si>
    <t>PT_NoLatesx24</t>
  </si>
  <si>
    <t>PT_NoLatesx12</t>
  </si>
  <si>
    <t>PT_1x30x12</t>
  </si>
  <si>
    <t>PT_Multiple30x12</t>
  </si>
  <si>
    <t>PT_1x60x12</t>
  </si>
  <si>
    <t>PT_No ACH</t>
  </si>
  <si>
    <t>PT_ACH</t>
  </si>
  <si>
    <t>PT_Escrows</t>
  </si>
  <si>
    <t>PT_No Escrows</t>
  </si>
  <si>
    <t>PT_No Prepay</t>
  </si>
  <si>
    <t>PT_30 Day</t>
  </si>
  <si>
    <t>PT_45 Day</t>
  </si>
  <si>
    <t>PT_60 Day</t>
  </si>
  <si>
    <t>PT_Mandatory</t>
  </si>
  <si>
    <t>PT_Best Efforts</t>
  </si>
  <si>
    <t>IT_Doc01_≥ 800</t>
  </si>
  <si>
    <t>IT_Doc01_780 - 799</t>
  </si>
  <si>
    <t>IT_Doc01_760 - 779</t>
  </si>
  <si>
    <t>IT_Doc01_740 - 759</t>
  </si>
  <si>
    <t>IT_Doc01_720 - 739</t>
  </si>
  <si>
    <t>IT_Doc01_700 - 719</t>
  </si>
  <si>
    <t>IT_Doc01_680 - 699</t>
  </si>
  <si>
    <t>IT_Doc01_660 - 679</t>
  </si>
  <si>
    <t>IT_Doc01_640 - 659</t>
  </si>
  <si>
    <t>IT_Doc01_620 - 639</t>
  </si>
  <si>
    <t>IT_Doc02_≥ 800</t>
  </si>
  <si>
    <t>IT_Doc02_780 - 799</t>
  </si>
  <si>
    <t>IT_Doc02_760 - 779</t>
  </si>
  <si>
    <t>IT_Doc02_740 - 759</t>
  </si>
  <si>
    <t>IT_Doc02_720 - 739</t>
  </si>
  <si>
    <t>IT_Doc02_700 - 719</t>
  </si>
  <si>
    <t>IT_Doc02_680 - 699</t>
  </si>
  <si>
    <t>IT_Doc02_660 - 679</t>
  </si>
  <si>
    <t>IT_Doc02_640 - 659</t>
  </si>
  <si>
    <t>IT_Doc02_620 - 639</t>
  </si>
  <si>
    <t>IT_No Bank Stmt</t>
  </si>
  <si>
    <t>IT_12mo Bank Stmt</t>
  </si>
  <si>
    <t>IT_24mo Bank Stmt</t>
  </si>
  <si>
    <t>IT_10yr Fixed</t>
  </si>
  <si>
    <t>IT_15yr Fixed</t>
  </si>
  <si>
    <t>IT_20yr Fixed</t>
  </si>
  <si>
    <t>IT_30/15yr Balloon</t>
  </si>
  <si>
    <t>IT_40/15yr Balloon</t>
  </si>
  <si>
    <t>IT_Full Amortization</t>
  </si>
  <si>
    <t>IT_Interest-Only</t>
  </si>
  <si>
    <t>IT_075,001-100k</t>
  </si>
  <si>
    <t>IT_100,001-125k</t>
  </si>
  <si>
    <t>IT_125,001-150k</t>
  </si>
  <si>
    <t>IT_150,001-175k</t>
  </si>
  <si>
    <t>IT_175,001-200k</t>
  </si>
  <si>
    <t>IT_200,001-300k</t>
  </si>
  <si>
    <t>IT_300,001-400k</t>
  </si>
  <si>
    <t>IT_400,001-600k</t>
  </si>
  <si>
    <t>IT_600,001-750k</t>
  </si>
  <si>
    <t>IT_750,001-1.0m</t>
  </si>
  <si>
    <t>IT_1,000,001-1.5m</t>
  </si>
  <si>
    <t>IT_1,500,001-2.0m</t>
  </si>
  <si>
    <t>IT_2,000,001-2.5m</t>
  </si>
  <si>
    <t>IT_2,500,001-3.0m</t>
  </si>
  <si>
    <t>IT_3,000,001-3.5m</t>
  </si>
  <si>
    <t>IT_3,500,001-4.0m</t>
  </si>
  <si>
    <t>IT_4,000,001-4.5m</t>
  </si>
  <si>
    <t>IT_4,500,001-5.0m</t>
  </si>
  <si>
    <t>IT_5,000,001+</t>
  </si>
  <si>
    <t>IT_00.00-00</t>
  </si>
  <si>
    <t>IT_00.01-43</t>
  </si>
  <si>
    <t>IT_50.01-55</t>
  </si>
  <si>
    <t>IT_DSCR Not Applicable</t>
  </si>
  <si>
    <t>IT_Purchase</t>
  </si>
  <si>
    <t>IT_Rate-Term</t>
  </si>
  <si>
    <t>IT_Cash-Out</t>
  </si>
  <si>
    <t>IT_Non Owner Occupied</t>
  </si>
  <si>
    <t>IT_Full Appraisal</t>
  </si>
  <si>
    <t>IT_AVM</t>
  </si>
  <si>
    <t>IT_CA</t>
  </si>
  <si>
    <t>IT_Non-CA</t>
  </si>
  <si>
    <t>IT_SFR</t>
  </si>
  <si>
    <t>IT_D-PUD</t>
  </si>
  <si>
    <t>IT_PUD</t>
  </si>
  <si>
    <t>IT_Townhouse</t>
  </si>
  <si>
    <t>IT_Rowhouse</t>
  </si>
  <si>
    <t>IT_Condo-Site</t>
  </si>
  <si>
    <t>IT_Condo-Warrantable</t>
  </si>
  <si>
    <t>IT_Condo-NonWarrantable</t>
  </si>
  <si>
    <t>IT_2-Unit</t>
  </si>
  <si>
    <t>IT_3-Unit</t>
  </si>
  <si>
    <t>IT_4-Unit</t>
  </si>
  <si>
    <t>IT_Modular</t>
  </si>
  <si>
    <t>IT_Log Home</t>
  </si>
  <si>
    <t>IT_US Citizen</t>
  </si>
  <si>
    <t>IT_Permanent Resident Alien</t>
  </si>
  <si>
    <t>IT_Non-Permanent Resident Alien</t>
  </si>
  <si>
    <t>IT_Foreign National</t>
  </si>
  <si>
    <t>IT_NoLatesx24</t>
  </si>
  <si>
    <t>IT_NoLatesx12</t>
  </si>
  <si>
    <t>IT_1x30x12</t>
  </si>
  <si>
    <t>IT_Multiple30x12</t>
  </si>
  <si>
    <t>IT_1x60x12</t>
  </si>
  <si>
    <t>IT_No ACH</t>
  </si>
  <si>
    <t>IT_ACH</t>
  </si>
  <si>
    <t>IT_Escrows</t>
  </si>
  <si>
    <t>IT_No Escrows</t>
  </si>
  <si>
    <t>IT_No Prepay</t>
  </si>
  <si>
    <t>IT_1yr Prepay_5Pct</t>
  </si>
  <si>
    <t>IT_2yr Prepay_5Pct</t>
  </si>
  <si>
    <t>IT_3yr Prepay_5Pct</t>
  </si>
  <si>
    <t>IT_4yr Prepay_5Pct</t>
  </si>
  <si>
    <t>IT_5yr Prepay_5Pct</t>
  </si>
  <si>
    <t>IT_1yr Prepay_1</t>
  </si>
  <si>
    <t>IT_2yr Prepay_21</t>
  </si>
  <si>
    <t>IT_3yr Prepay_321</t>
  </si>
  <si>
    <t>IT_4yr Prepay_4321</t>
  </si>
  <si>
    <t>IT_5yr Prepay_54321</t>
  </si>
  <si>
    <t>IT_30 Day</t>
  </si>
  <si>
    <t>IT_45 Day</t>
  </si>
  <si>
    <t>IT_60 Day</t>
  </si>
  <si>
    <t>IT_Mandatory</t>
  </si>
  <si>
    <t>IT_Best Efforts</t>
  </si>
  <si>
    <t>PT</t>
  </si>
  <si>
    <t>IT</t>
  </si>
  <si>
    <t>PT10F</t>
  </si>
  <si>
    <t>PT15F</t>
  </si>
  <si>
    <t>PT20F</t>
  </si>
  <si>
    <t>PT30B</t>
  </si>
  <si>
    <t>PT40B</t>
  </si>
  <si>
    <t>IT10F</t>
  </si>
  <si>
    <t>IT15F</t>
  </si>
  <si>
    <t>IT20F</t>
  </si>
  <si>
    <t>IT30B</t>
  </si>
  <si>
    <t>IT40B</t>
  </si>
  <si>
    <t xml:space="preserve">Licensed </t>
  </si>
  <si>
    <t>BusPurpose</t>
  </si>
  <si>
    <t>Restrictions</t>
  </si>
  <si>
    <t>Calc</t>
  </si>
  <si>
    <t>43.01-45</t>
  </si>
  <si>
    <t>45.01-50</t>
  </si>
  <si>
    <t>PT_45.01-50</t>
  </si>
  <si>
    <t>PT_43.01-45</t>
  </si>
  <si>
    <t>IT_43.01-45</t>
  </si>
  <si>
    <t>IT_45.01-50</t>
  </si>
  <si>
    <t>PN_43.01-45</t>
  </si>
  <si>
    <t>PN_45.01-50</t>
  </si>
  <si>
    <t>IN_43.01-45</t>
  </si>
  <si>
    <t>IN_45.01-50</t>
  </si>
  <si>
    <t>PT_30yr Fixed</t>
  </si>
  <si>
    <t>IT_30yr Fixed</t>
  </si>
  <si>
    <t>10yr Fixed, 15yr Fixed, 20yr Fixed, 30yr Fixed</t>
  </si>
  <si>
    <t>PT30F</t>
  </si>
  <si>
    <t>IT30F</t>
  </si>
  <si>
    <t>Fixed Rate</t>
  </si>
  <si>
    <t>%</t>
  </si>
  <si>
    <t>Loan Purpose</t>
  </si>
  <si>
    <t>TX Cashout OO</t>
  </si>
  <si>
    <t>Ratesheet Source</t>
  </si>
  <si>
    <t>10yr Fixed, 15yr Fixed, 20yr Fixed, 30yr Fixed, 30/15yr Balloon, 40/15yr Balloon</t>
  </si>
  <si>
    <t>Total Overlay Reduce</t>
  </si>
  <si>
    <t>NSO0033</t>
  </si>
  <si>
    <t>NSO0034</t>
  </si>
  <si>
    <t>NSO0035</t>
  </si>
  <si>
    <t>NSO0036</t>
  </si>
  <si>
    <t>NSO0037</t>
  </si>
  <si>
    <t>NSO0038</t>
  </si>
  <si>
    <t>NSO0039</t>
  </si>
  <si>
    <t>NSO0040</t>
  </si>
  <si>
    <t>NSO0041</t>
  </si>
  <si>
    <t>NSO0042</t>
  </si>
  <si>
    <t>NSO0043</t>
  </si>
  <si>
    <t>NSO0044</t>
  </si>
  <si>
    <t>NSO0045</t>
  </si>
  <si>
    <t>NSO0046</t>
  </si>
  <si>
    <t>NSO0047</t>
  </si>
  <si>
    <t>NSO0048</t>
  </si>
  <si>
    <t>NSO0049</t>
  </si>
  <si>
    <t>NSO0050</t>
  </si>
  <si>
    <t>NSO0051</t>
  </si>
  <si>
    <t>NSO0052</t>
  </si>
  <si>
    <t>NSO0053</t>
  </si>
  <si>
    <t>NSO0054</t>
  </si>
  <si>
    <t>NSO0055</t>
  </si>
  <si>
    <t>NSO0056</t>
  </si>
  <si>
    <t>NSO0057</t>
  </si>
  <si>
    <t>NSO0058</t>
  </si>
  <si>
    <t>NSO0059</t>
  </si>
  <si>
    <t>NSO0060</t>
  </si>
  <si>
    <t>NSO0061</t>
  </si>
  <si>
    <t>NSO0062</t>
  </si>
  <si>
    <t>NSO0063</t>
  </si>
  <si>
    <t>NSO0064</t>
  </si>
  <si>
    <t>NSO0065</t>
  </si>
  <si>
    <t>NSO0066</t>
  </si>
  <si>
    <t>NSO0067</t>
  </si>
  <si>
    <t>NSO0068</t>
  </si>
  <si>
    <t>NSO0069</t>
  </si>
  <si>
    <t>NSO0070</t>
  </si>
  <si>
    <t>NSO0071</t>
  </si>
  <si>
    <t>NSO0072</t>
  </si>
  <si>
    <t>Reduced Reserves</t>
  </si>
  <si>
    <t>Rate &gt;</t>
  </si>
  <si>
    <t>CO &gt;12 Ineligible</t>
  </si>
  <si>
    <t>PN_Doc01_640 - 659</t>
  </si>
  <si>
    <t>PN_Doc02_640 - 659</t>
  </si>
  <si>
    <t>2nd Home 2-Unit</t>
  </si>
  <si>
    <t>2nd Home 3-Unit</t>
  </si>
  <si>
    <t>2nd Home 4-Unit</t>
  </si>
  <si>
    <t>TX Cashout OO 80</t>
  </si>
  <si>
    <t>5/6 ARM</t>
  </si>
  <si>
    <t>10yr</t>
  </si>
  <si>
    <t>All</t>
  </si>
  <si>
    <t>15yr</t>
  </si>
  <si>
    <t>20yr</t>
  </si>
  <si>
    <t>30yr</t>
  </si>
  <si>
    <t>40yr</t>
  </si>
  <si>
    <t/>
  </si>
  <si>
    <t>Margin</t>
  </si>
  <si>
    <t>Type</t>
  </si>
  <si>
    <t>Condotel</t>
  </si>
  <si>
    <t>SF, DP, PD, CS, 2U, 3U, 4U, CW, CN, CT, TH, RW, MD, RL</t>
  </si>
  <si>
    <t>Max Loan Amt</t>
  </si>
  <si>
    <t>PN_Condotel</t>
  </si>
  <si>
    <t>IN_Condotel</t>
  </si>
  <si>
    <t>SFR-Rural</t>
  </si>
  <si>
    <t>PT_SFR-Rural</t>
  </si>
  <si>
    <t>IT_SFR-Rural</t>
  </si>
  <si>
    <t>PN_SFR-Rural</t>
  </si>
  <si>
    <t>IN_SFR-Rural</t>
  </si>
  <si>
    <t>01-Full Doc 2yr</t>
  </si>
  <si>
    <t>02-Full Doc 1yr</t>
  </si>
  <si>
    <t>Full Doc 1yr</t>
  </si>
  <si>
    <t>Full Doc 2yr</t>
  </si>
  <si>
    <t>PN_Doc01_620 - 639</t>
  </si>
  <si>
    <t>PN_Doc02_620 - 639</t>
  </si>
  <si>
    <t>Foreign National CondoNonWarr</t>
  </si>
  <si>
    <t>Foreign National Condotel</t>
  </si>
  <si>
    <t>75 Day</t>
  </si>
  <si>
    <t>NSO0073</t>
  </si>
  <si>
    <t>NSO0074</t>
  </si>
  <si>
    <t>NSO0075</t>
  </si>
  <si>
    <t>NSO0076</t>
  </si>
  <si>
    <t>NSO0077</t>
  </si>
  <si>
    <t>NSO0078</t>
  </si>
  <si>
    <t>NSO0079</t>
  </si>
  <si>
    <t>NSO0080</t>
  </si>
  <si>
    <t>Pricing Specials</t>
  </si>
  <si>
    <t>Channel</t>
  </si>
  <si>
    <t>Qualify Criteria</t>
  </si>
  <si>
    <t>PT_GA</t>
  </si>
  <si>
    <t>IT_GA</t>
  </si>
  <si>
    <t>PN_GA</t>
  </si>
  <si>
    <t>IN_GA</t>
  </si>
  <si>
    <t>PT_AL</t>
  </si>
  <si>
    <t>IT_AL</t>
  </si>
  <si>
    <t>PN_AL</t>
  </si>
  <si>
    <t>IN_AL</t>
  </si>
  <si>
    <t>Funding</t>
  </si>
  <si>
    <t>Employment</t>
  </si>
  <si>
    <t>Self-Employed</t>
  </si>
  <si>
    <t>Criteria</t>
  </si>
  <si>
    <t>Document Name</t>
  </si>
  <si>
    <t>External</t>
  </si>
  <si>
    <t>Monthly Fees</t>
  </si>
  <si>
    <t>APR</t>
  </si>
  <si>
    <t>HC_Fed_APR_1st_1</t>
  </si>
  <si>
    <t>HC_Fed_APR_1st_2</t>
  </si>
  <si>
    <t>HC_Fed_APR_2nd</t>
  </si>
  <si>
    <t>HC_Fed_PtsFees_1</t>
  </si>
  <si>
    <t>HC_Fed_PtsFees_2</t>
  </si>
  <si>
    <t>QM_PtsFees_1</t>
  </si>
  <si>
    <t>QM_PtsFees_2</t>
  </si>
  <si>
    <t>QM_PtsFees_3</t>
  </si>
  <si>
    <t>QM_APR_1st_1</t>
  </si>
  <si>
    <t>QM_APR_2nd_1</t>
  </si>
  <si>
    <t>QM_APR_2nd_2</t>
  </si>
  <si>
    <t>QM_APR_1st_2</t>
  </si>
  <si>
    <t>QM_APR_1st_3</t>
  </si>
  <si>
    <t>HP_Fed_APR_2nd</t>
  </si>
  <si>
    <t>HP_Fed_APR_1st</t>
  </si>
  <si>
    <t>HC_State_PtsFees</t>
  </si>
  <si>
    <t>APOR</t>
  </si>
  <si>
    <t>APOR Spread</t>
  </si>
  <si>
    <t>Fee Pct</t>
  </si>
  <si>
    <t>Fee Amt</t>
  </si>
  <si>
    <t>Ln Amt Min</t>
  </si>
  <si>
    <t>Ln Amt Max</t>
  </si>
  <si>
    <t>Loan Type</t>
  </si>
  <si>
    <t>Treasury</t>
  </si>
  <si>
    <t>Index</t>
  </si>
  <si>
    <t>Units</t>
  </si>
  <si>
    <t>Agency Amt Group</t>
  </si>
  <si>
    <t>AK, HI</t>
  </si>
  <si>
    <t>US, DC</t>
  </si>
  <si>
    <t>Agency Limits</t>
  </si>
  <si>
    <t>Spread to Index</t>
  </si>
  <si>
    <t>Spread 1st</t>
  </si>
  <si>
    <t>Spread 2nd</t>
  </si>
  <si>
    <t>Points &amp; Fees Limit</t>
  </si>
  <si>
    <t>High Cost / QM Test</t>
  </si>
  <si>
    <t>Lien Position</t>
  </si>
  <si>
    <t>&gt;=</t>
  </si>
  <si>
    <t>&lt;</t>
  </si>
  <si>
    <t>High Cost APR Federal</t>
  </si>
  <si>
    <t>High Cost Pts Fees Federal</t>
  </si>
  <si>
    <t>High Cost APR State</t>
  </si>
  <si>
    <t>High Cost Pts Fees State</t>
  </si>
  <si>
    <t>High Price APR Federal</t>
  </si>
  <si>
    <t>HC_State_APR_1st</t>
  </si>
  <si>
    <t>HC_State_APR_2nd</t>
  </si>
  <si>
    <t>High Cost (State)</t>
  </si>
  <si>
    <t>QM</t>
  </si>
  <si>
    <t>QM Rebuttable Presumption</t>
  </si>
  <si>
    <t>QM Safe Harbor</t>
  </si>
  <si>
    <t>NonQM HPML</t>
  </si>
  <si>
    <t>Appraisal</t>
  </si>
  <si>
    <t>FRM</t>
  </si>
  <si>
    <t>ARM</t>
  </si>
  <si>
    <t>Calculator</t>
  </si>
  <si>
    <t>Identification</t>
  </si>
  <si>
    <t>Results</t>
  </si>
  <si>
    <t>Test</t>
  </si>
  <si>
    <t>Valuation</t>
  </si>
  <si>
    <t>HPML</t>
  </si>
  <si>
    <t>Fees</t>
  </si>
  <si>
    <t>APR Federal</t>
  </si>
  <si>
    <t>APR State</t>
  </si>
  <si>
    <t>Points (%)</t>
  </si>
  <si>
    <t>Lender Fees ($)</t>
  </si>
  <si>
    <t>Broker Fees ($)</t>
  </si>
  <si>
    <t>Other Fees ($)</t>
  </si>
  <si>
    <t>3rd Party Fees ($)</t>
  </si>
  <si>
    <t>Term Maturity</t>
  </si>
  <si>
    <t>Term Amort</t>
  </si>
  <si>
    <t>VPM Loan Limit AVM</t>
  </si>
  <si>
    <t>07yr</t>
  </si>
  <si>
    <t>05yr</t>
  </si>
  <si>
    <t>Monthly Fees (Input)</t>
  </si>
  <si>
    <t>Prepaid Interest ($)</t>
  </si>
  <si>
    <t>QM_Interest Only</t>
  </si>
  <si>
    <t>QM_Balloon</t>
  </si>
  <si>
    <t>QM_Term</t>
  </si>
  <si>
    <t>Pts Fees</t>
  </si>
  <si>
    <t>PtsFees</t>
  </si>
  <si>
    <t>Threshold</t>
  </si>
  <si>
    <t>QM_BusinessPurpose</t>
  </si>
  <si>
    <t>Zip</t>
  </si>
  <si>
    <t>Interest Days ($)</t>
  </si>
  <si>
    <t>Calc APR Total Fees</t>
  </si>
  <si>
    <t>Compensation Type</t>
  </si>
  <si>
    <t>CompensationType</t>
  </si>
  <si>
    <t>Lender Paid</t>
  </si>
  <si>
    <t>Borrower Paid</t>
  </si>
  <si>
    <t>Blended</t>
  </si>
  <si>
    <t>PH</t>
  </si>
  <si>
    <t>HELOCOO</t>
  </si>
  <si>
    <t>HELOC OO</t>
  </si>
  <si>
    <t>NSO0081</t>
  </si>
  <si>
    <t>NSO0082</t>
  </si>
  <si>
    <t>NSO0083</t>
  </si>
  <si>
    <t>NSO0084</t>
  </si>
  <si>
    <t>NSO0085</t>
  </si>
  <si>
    <t>NSO0086</t>
  </si>
  <si>
    <t>NSO0087</t>
  </si>
  <si>
    <t>NSO0088</t>
  </si>
  <si>
    <t>NSO0089</t>
  </si>
  <si>
    <t>NSO0090</t>
  </si>
  <si>
    <t>NSO0091</t>
  </si>
  <si>
    <t>NSO0092</t>
  </si>
  <si>
    <t>NSO0093</t>
  </si>
  <si>
    <t>NSO0094</t>
  </si>
  <si>
    <t>NSO0095</t>
  </si>
  <si>
    <t>NSO0096</t>
  </si>
  <si>
    <t>PH_No Prepay</t>
  </si>
  <si>
    <t>High Cost (Fed)</t>
  </si>
  <si>
    <t>Inputs</t>
  </si>
  <si>
    <t>Outputs</t>
  </si>
  <si>
    <t>$</t>
  </si>
  <si>
    <t>Current Loan (Actual)</t>
  </si>
  <si>
    <t>SF, DP, PD, CS, CW, TH, RW, MD, 2U, 3U, 4U, RL</t>
  </si>
  <si>
    <t>SF, DP, PD, CS, CW, TH, RW, RL</t>
  </si>
  <si>
    <t>SS-89</t>
  </si>
  <si>
    <t>Tests</t>
  </si>
  <si>
    <t>20A3P</t>
  </si>
  <si>
    <t>20A5P</t>
  </si>
  <si>
    <t>30A3P</t>
  </si>
  <si>
    <t>30A5P</t>
  </si>
  <si>
    <t>PH20A3PIO</t>
  </si>
  <si>
    <t>PH30A3PIO</t>
  </si>
  <si>
    <t>PH20A5PIO</t>
  </si>
  <si>
    <t>PH30A5PIO</t>
  </si>
  <si>
    <t>PT_01</t>
  </si>
  <si>
    <t>PT_02</t>
  </si>
  <si>
    <t>PT_03</t>
  </si>
  <si>
    <t>PT_04</t>
  </si>
  <si>
    <t>PT_05</t>
  </si>
  <si>
    <t>PT_06</t>
  </si>
  <si>
    <t>PT_07</t>
  </si>
  <si>
    <t>PT_08</t>
  </si>
  <si>
    <t>PT_09</t>
  </si>
  <si>
    <t>PT_10</t>
  </si>
  <si>
    <t>PT_11</t>
  </si>
  <si>
    <t>PT_12</t>
  </si>
  <si>
    <t>PT_13</t>
  </si>
  <si>
    <t>PT_14</t>
  </si>
  <si>
    <t>PT_15</t>
  </si>
  <si>
    <t>PT_16</t>
  </si>
  <si>
    <t>PT_17</t>
  </si>
  <si>
    <t>PT_18</t>
  </si>
  <si>
    <t>PT_19</t>
  </si>
  <si>
    <t>PT_20</t>
  </si>
  <si>
    <t>PT_21</t>
  </si>
  <si>
    <t>PT_22</t>
  </si>
  <si>
    <t>PT_23</t>
  </si>
  <si>
    <t>PT_24</t>
  </si>
  <si>
    <t>PT_25</t>
  </si>
  <si>
    <t>PT_26</t>
  </si>
  <si>
    <t>PT_27</t>
  </si>
  <si>
    <t>PT_28</t>
  </si>
  <si>
    <t>PT_29</t>
  </si>
  <si>
    <t>PT_30</t>
  </si>
  <si>
    <t>PT_31</t>
  </si>
  <si>
    <t>PT_32</t>
  </si>
  <si>
    <t>PT_33</t>
  </si>
  <si>
    <t>PT_34</t>
  </si>
  <si>
    <t>PT_35</t>
  </si>
  <si>
    <t>PT_36</t>
  </si>
  <si>
    <t>PT_37</t>
  </si>
  <si>
    <t>PT_38</t>
  </si>
  <si>
    <t>PT_39</t>
  </si>
  <si>
    <t>PT_40</t>
  </si>
  <si>
    <t>PT_41</t>
  </si>
  <si>
    <t>PH_01</t>
  </si>
  <si>
    <t>PH_02</t>
  </si>
  <si>
    <t>PH_03</t>
  </si>
  <si>
    <t>PH_04</t>
  </si>
  <si>
    <t>PH_05</t>
  </si>
  <si>
    <t>PH_06</t>
  </si>
  <si>
    <t>PH_07</t>
  </si>
  <si>
    <t>PH_08</t>
  </si>
  <si>
    <t>PH_09</t>
  </si>
  <si>
    <t>PH_10</t>
  </si>
  <si>
    <t>PH_11</t>
  </si>
  <si>
    <t>PH_12</t>
  </si>
  <si>
    <t>PH_13</t>
  </si>
  <si>
    <t>PH_14</t>
  </si>
  <si>
    <t>PH_15</t>
  </si>
  <si>
    <t>PH_16</t>
  </si>
  <si>
    <t>PH_17</t>
  </si>
  <si>
    <t>PH_18</t>
  </si>
  <si>
    <t>PH_19</t>
  </si>
  <si>
    <t>PH_20</t>
  </si>
  <si>
    <t>PH_21</t>
  </si>
  <si>
    <t>PH_22</t>
  </si>
  <si>
    <t>PH_23</t>
  </si>
  <si>
    <t>PH_24</t>
  </si>
  <si>
    <t>PH_25</t>
  </si>
  <si>
    <t>PH_26</t>
  </si>
  <si>
    <t>PH_27</t>
  </si>
  <si>
    <t>PH_28</t>
  </si>
  <si>
    <t>PH_29</t>
  </si>
  <si>
    <t>PH_30</t>
  </si>
  <si>
    <t>PH_31</t>
  </si>
  <si>
    <t>PH_32</t>
  </si>
  <si>
    <t>PH_33</t>
  </si>
  <si>
    <t>PH_34</t>
  </si>
  <si>
    <t>PH_35</t>
  </si>
  <si>
    <t>PH_36</t>
  </si>
  <si>
    <t>PH_37</t>
  </si>
  <si>
    <t>PH_38</t>
  </si>
  <si>
    <t>PH_39</t>
  </si>
  <si>
    <t>PH_40</t>
  </si>
  <si>
    <t>PH_41</t>
  </si>
  <si>
    <t>PN_01</t>
  </si>
  <si>
    <t>PN_02</t>
  </si>
  <si>
    <t>PN_03</t>
  </si>
  <si>
    <t>PN_04</t>
  </si>
  <si>
    <t>PN_05</t>
  </si>
  <si>
    <t>PN_06</t>
  </si>
  <si>
    <t>PN_07</t>
  </si>
  <si>
    <t>PN_08</t>
  </si>
  <si>
    <t>PN_09</t>
  </si>
  <si>
    <t>PN_10</t>
  </si>
  <si>
    <t>PN_11</t>
  </si>
  <si>
    <t>PN_12</t>
  </si>
  <si>
    <t>PN_13</t>
  </si>
  <si>
    <t>PN_14</t>
  </si>
  <si>
    <t>PN_15</t>
  </si>
  <si>
    <t>PN_16</t>
  </si>
  <si>
    <t>PN_17</t>
  </si>
  <si>
    <t>PN_18</t>
  </si>
  <si>
    <t>PN_19</t>
  </si>
  <si>
    <t>PN_20</t>
  </si>
  <si>
    <t>PN_21</t>
  </si>
  <si>
    <t>PN_22</t>
  </si>
  <si>
    <t>PN_23</t>
  </si>
  <si>
    <t>PN_24</t>
  </si>
  <si>
    <t>PN_25</t>
  </si>
  <si>
    <t>PN_26</t>
  </si>
  <si>
    <t>IT_01</t>
  </si>
  <si>
    <t>IT_02</t>
  </si>
  <si>
    <t>IT_03</t>
  </si>
  <si>
    <t>IT_04</t>
  </si>
  <si>
    <t>IT_05</t>
  </si>
  <si>
    <t>IT_06</t>
  </si>
  <si>
    <t>IT_07</t>
  </si>
  <si>
    <t>IT_08</t>
  </si>
  <si>
    <t>IT_09</t>
  </si>
  <si>
    <t>IT_10</t>
  </si>
  <si>
    <t>IT_11</t>
  </si>
  <si>
    <t>IT_12</t>
  </si>
  <si>
    <t>IT_13</t>
  </si>
  <si>
    <t>IT_14</t>
  </si>
  <si>
    <t>IT_15</t>
  </si>
  <si>
    <t>IT_16</t>
  </si>
  <si>
    <t>IT_17</t>
  </si>
  <si>
    <t>IT_18</t>
  </si>
  <si>
    <t>IT_19</t>
  </si>
  <si>
    <t>IT_20</t>
  </si>
  <si>
    <t>IT_21</t>
  </si>
  <si>
    <t>IT_22</t>
  </si>
  <si>
    <t>IT_23</t>
  </si>
  <si>
    <t>IT_24</t>
  </si>
  <si>
    <t>IT_25</t>
  </si>
  <si>
    <t>IT_26</t>
  </si>
  <si>
    <t>IT_27</t>
  </si>
  <si>
    <t>IT_28</t>
  </si>
  <si>
    <t>IT_29</t>
  </si>
  <si>
    <t>IT_30</t>
  </si>
  <si>
    <t>IT_31</t>
  </si>
  <si>
    <t>IT_32</t>
  </si>
  <si>
    <t>IT_33</t>
  </si>
  <si>
    <t>IT_34</t>
  </si>
  <si>
    <t>IT_35</t>
  </si>
  <si>
    <t>IT_36</t>
  </si>
  <si>
    <t>IT_37</t>
  </si>
  <si>
    <t>IT_38</t>
  </si>
  <si>
    <t>IT_39</t>
  </si>
  <si>
    <t>IT_40</t>
  </si>
  <si>
    <t>IT_41</t>
  </si>
  <si>
    <t>IN_01</t>
  </si>
  <si>
    <t>IN_02</t>
  </si>
  <si>
    <t>IN_03</t>
  </si>
  <si>
    <t>IN_04</t>
  </si>
  <si>
    <t>IN_05</t>
  </si>
  <si>
    <t>IN_06</t>
  </si>
  <si>
    <t>IN_07</t>
  </si>
  <si>
    <t>IN_08</t>
  </si>
  <si>
    <t>IN_09</t>
  </si>
  <si>
    <t>IN_10</t>
  </si>
  <si>
    <t>IN_11</t>
  </si>
  <si>
    <t>IN_12</t>
  </si>
  <si>
    <t>IN_13</t>
  </si>
  <si>
    <t>IN_14</t>
  </si>
  <si>
    <t>IN_15</t>
  </si>
  <si>
    <t>IN_16</t>
  </si>
  <si>
    <t>IN_17</t>
  </si>
  <si>
    <t>IN_18</t>
  </si>
  <si>
    <t>IN_19</t>
  </si>
  <si>
    <t>IN_20</t>
  </si>
  <si>
    <t>IN_21</t>
  </si>
  <si>
    <t>IN_22</t>
  </si>
  <si>
    <t>IN_23</t>
  </si>
  <si>
    <t>IN_24</t>
  </si>
  <si>
    <t>IN_25</t>
  </si>
  <si>
    <t>IN_26</t>
  </si>
  <si>
    <t>Pricing Code</t>
  </si>
  <si>
    <t>Lookup Rate</t>
  </si>
  <si>
    <t>Lookup Price</t>
  </si>
  <si>
    <t>Rate Code</t>
  </si>
  <si>
    <t>HELOC</t>
  </si>
  <si>
    <t>Exemption</t>
  </si>
  <si>
    <t>Term Initial</t>
  </si>
  <si>
    <t>3yrDraw 20yr ARM PRIME, 5yrDraw 20yr ARM PRIME, 3yrDraw 30yr ARM PRIME, 5yrDraw 30yr ARM PRIME</t>
  </si>
  <si>
    <t>IH20A3PIO</t>
  </si>
  <si>
    <t>IH30A3PIO</t>
  </si>
  <si>
    <t>IH20A5PIO</t>
  </si>
  <si>
    <t>IH30A5PIO</t>
  </si>
  <si>
    <t>HELOC NOO</t>
  </si>
  <si>
    <t>IH</t>
  </si>
  <si>
    <t>HELOCNOO</t>
  </si>
  <si>
    <t>IH_01</t>
  </si>
  <si>
    <t>IH_02</t>
  </si>
  <si>
    <t>IH_03</t>
  </si>
  <si>
    <t>IH_04</t>
  </si>
  <si>
    <t>IH_05</t>
  </si>
  <si>
    <t>IH_06</t>
  </si>
  <si>
    <t>IH_07</t>
  </si>
  <si>
    <t>IH_08</t>
  </si>
  <si>
    <t>IH_09</t>
  </si>
  <si>
    <t>IH_10</t>
  </si>
  <si>
    <t>IH_11</t>
  </si>
  <si>
    <t>IH_12</t>
  </si>
  <si>
    <t>IH_13</t>
  </si>
  <si>
    <t>IH_14</t>
  </si>
  <si>
    <t>IH_15</t>
  </si>
  <si>
    <t>IH_16</t>
  </si>
  <si>
    <t>IH_17</t>
  </si>
  <si>
    <t>IH_18</t>
  </si>
  <si>
    <t>IH_19</t>
  </si>
  <si>
    <t>IH_20</t>
  </si>
  <si>
    <t>IH_21</t>
  </si>
  <si>
    <t>IH_22</t>
  </si>
  <si>
    <t>IH_23</t>
  </si>
  <si>
    <t>IH_24</t>
  </si>
  <si>
    <t>IH_25</t>
  </si>
  <si>
    <t>IH_26</t>
  </si>
  <si>
    <t>IH_27</t>
  </si>
  <si>
    <t>IH_28</t>
  </si>
  <si>
    <t>IH_29</t>
  </si>
  <si>
    <t>IH_30</t>
  </si>
  <si>
    <t>IH_31</t>
  </si>
  <si>
    <t>IH_32</t>
  </si>
  <si>
    <t>IH_33</t>
  </si>
  <si>
    <t>IH_34</t>
  </si>
  <si>
    <t>IH_35</t>
  </si>
  <si>
    <t>IH_36</t>
  </si>
  <si>
    <t>IH_37</t>
  </si>
  <si>
    <t>IH_38</t>
  </si>
  <si>
    <t>IH_39</t>
  </si>
  <si>
    <t>IH_40</t>
  </si>
  <si>
    <t>IH_41</t>
  </si>
  <si>
    <t>IH_No Prepay</t>
  </si>
  <si>
    <t>Output Code</t>
  </si>
  <si>
    <t>Output Rate</t>
  </si>
  <si>
    <t>Output Price</t>
  </si>
  <si>
    <t>Rate/Price Find</t>
  </si>
  <si>
    <t>Lookup LLPA</t>
  </si>
  <si>
    <t>Pricing Matrix</t>
  </si>
  <si>
    <t>Input_Price_Target</t>
  </si>
  <si>
    <t>Output_Rate_Target</t>
  </si>
  <si>
    <t>Recommended</t>
  </si>
  <si>
    <t>Evidence PITIA for all REO (Mtg stmt, ins. Policy, etc.)</t>
  </si>
  <si>
    <t>State: CO</t>
  </si>
  <si>
    <t>ATR - DU/LP Approve/Ineligible or Refer</t>
  </si>
  <si>
    <t>Endorsements T42 and T42.1 / Texas Cash Out</t>
  </si>
  <si>
    <t>2nd TD</t>
  </si>
  <si>
    <t>Mortgage Statement Coupon</t>
  </si>
  <si>
    <t>Disclosure</t>
  </si>
  <si>
    <t>Broker Fee Sheet</t>
  </si>
  <si>
    <t>Timing</t>
  </si>
  <si>
    <t>SubmissionRequired</t>
  </si>
  <si>
    <t>SubmissionRecommended</t>
  </si>
  <si>
    <t>Submission Required</t>
  </si>
  <si>
    <t>Disclosure Required</t>
  </si>
  <si>
    <t>Evidence PITIA (Subject Property)</t>
  </si>
  <si>
    <t>YTD P&amp;L (12mo from CPA)</t>
  </si>
  <si>
    <t>12mo/24mo Consecutive Stmts (Same account, all pages)</t>
  </si>
  <si>
    <t>Title Commitment / Texas Cash Out (Must Include Vesting)</t>
  </si>
  <si>
    <t>YTD P&amp;L (Self Employed)</t>
  </si>
  <si>
    <t>2 Full Appraisals</t>
  </si>
  <si>
    <t>1007 (Market Rent Survey)</t>
  </si>
  <si>
    <t>Colorado Tangible Net Benefit Disclosure (Signed by borrower and LO prior to disclosures)</t>
  </si>
  <si>
    <t>Escrow Instructions (If business entity, provide formation articles/agreement, tax ID #, cert of good standing)</t>
  </si>
  <si>
    <t>1003 Loan Application (Signed and Dated by LO)</t>
  </si>
  <si>
    <t>Brokers Advantage Submission Form and Checklist (Optional Cover Letter)</t>
  </si>
  <si>
    <t>ID: Passport or  DL (Cannot be Expired)</t>
  </si>
  <si>
    <t>Business Ownership Percentage Letter</t>
  </si>
  <si>
    <t>Lender Paid Comp Transactions (Anti-Steering Disclosure to be provided by Broker)</t>
  </si>
  <si>
    <t>Borrower Identification (Perm-Res or Non-Perm: Green Card or Valid Visa)</t>
  </si>
  <si>
    <t>Letters of Explanation (Address Inquiries &lt; 90 days, Derog/Disputed Credit &lt; 2yrs, Name, SSN, Address Variations)</t>
  </si>
  <si>
    <t>Letters of Explanation (Address Non-Arm's Length Relationships (Builder, Developer, Seller, LO, RE Agent, etc.))</t>
  </si>
  <si>
    <t>Balance Sheet (If using Business Assets for Funds for Closing/Reserves/Down Pmt)</t>
  </si>
  <si>
    <t>Liability Docs for other REO (Tax/HOI/HOA bills)</t>
  </si>
  <si>
    <t>12mo Cancelled Checks (Include Copy of Note, if available)</t>
  </si>
  <si>
    <t>Master Liability Insurance (w/ Walls-In)</t>
  </si>
  <si>
    <t>Payoff Demand(s) w/in 30 days</t>
  </si>
  <si>
    <t>Preliminary Title Report / Title Commitment (24mo chain of title, ALTA supp for property address, plat map / survey)</t>
  </si>
  <si>
    <t>2yrs W2s or Personal Returns, 1mo Recent Paystubs (Wage Earner)</t>
  </si>
  <si>
    <t>2yrs Personal and Business Returns (Self-Employed)</t>
  </si>
  <si>
    <t>1yr W2 or Personal Returns, 1mo Recent Paystubs  (Wage Earner)</t>
  </si>
  <si>
    <t>1yr Personal and Business Returns, YTD P&amp;L (Self-Employed)</t>
  </si>
  <si>
    <t>6mo Consecutive Statements (Same Account, All Pages)</t>
  </si>
  <si>
    <t>Purchase Contract (Cannot be Expired, All Pages, Amendments, Counteroffers, Signed by All)</t>
  </si>
  <si>
    <t>Full Documentation of Non-Employment income (SSI, Pension, Alimony, Child Support, Trust Income, etc.)</t>
  </si>
  <si>
    <t>6mo Consecutive Statements (Must be personal and liquid)</t>
  </si>
  <si>
    <t>Self-Employment Verification Docs (Verify 2yrs Self-Employment w/Business License(s), CPA Letter, etc.)</t>
  </si>
  <si>
    <t>Self-Employment Verification Docs (2yrs Self-Empl w/Business License(s), CPA letter, etc.)</t>
  </si>
  <si>
    <t>Letters of Explanation (Purpose of Cash-Out - DSCR must be Business Purpose)</t>
  </si>
  <si>
    <t>HOA Package/Cert (if condo)</t>
  </si>
  <si>
    <t>Hazard Insurance (Replacement Cost Estimator)</t>
  </si>
  <si>
    <t>Full Interior/Exterior Appraisal(s) and Invoice w/in 90 days</t>
  </si>
  <si>
    <t>Fidelity Bond (Projects &gt; 20 units)</t>
  </si>
  <si>
    <t>Solar Agreement and Endorsement [if applicable]</t>
  </si>
  <si>
    <t>Self-Employment Verification Docs [if applicable] (Verify 2yrs self-employment w/business license(s), CPA letter, etc.)</t>
  </si>
  <si>
    <t>Self-Employment Verification Docs [if applicable] (For &gt; 50% expense factor, provide CPA letter or P&amp;L from CPA)</t>
  </si>
  <si>
    <t>Divorce Decree / Separation Agmt [if applicable] (All Pages, incl. Attachments. Signed by All Parties)</t>
  </si>
  <si>
    <t>BK papers [if applicable] (All schedules and evidence discharged)</t>
  </si>
  <si>
    <t>Gift Letter [if applicable] (Evidence Donor Funds Transferred to Borrower or Settlement Agent)</t>
  </si>
  <si>
    <t>1004D / Final Inspection [if applicable] (Condition rating C5/C6 and Quality rating Q6 unacceptable)</t>
  </si>
  <si>
    <t>1004D / Final Inspection [if applicable] (Min 600 sf)</t>
  </si>
  <si>
    <t>1031 Exchange Documentation [if applicable] (Executed Agreement and Settlement Stmt from Accommodator)</t>
  </si>
  <si>
    <t>Current Property Tax Bill</t>
  </si>
  <si>
    <t>CPL (With Brokers Advantage Listed as Mortgagee)</t>
  </si>
  <si>
    <t>4506C Signed by Borrower(s)</t>
  </si>
  <si>
    <t>Credit Report or Tri-Merge [TPO Connect] (Not Locked or Frozen)</t>
  </si>
  <si>
    <t>WVOE for Last 2yrs</t>
  </si>
  <si>
    <t>1yr or 2yr 1099(s), YTD Payroll Check Stub from 1099 Source or 3mo Stmts</t>
  </si>
  <si>
    <t>2mo Consecutive Stmts w/in 90 Days (if Business Stmt, Provide Evidence of Ownership and Balance Sheet)</t>
  </si>
  <si>
    <t>HO-6 (if Master Ins Does Not Have Walls-In (Bare Walls Not Acceptable))</t>
  </si>
  <si>
    <t>12mo Verification of Primary Housing Payment if not reported on credit (If Private Party, provide 12mo Cancelled Checks)</t>
  </si>
  <si>
    <t>Fee Sheet / Est. Closing Statement (Impounds Required: HPML Loans and Loans &gt;80 LTV - Unless Prohibited by State Law)</t>
  </si>
  <si>
    <t>UW Submission Required</t>
  </si>
  <si>
    <t>UW Submission Recommended</t>
  </si>
  <si>
    <t>PC10F</t>
  </si>
  <si>
    <t>PC15F</t>
  </si>
  <si>
    <t>PC20F</t>
  </si>
  <si>
    <t>01,02</t>
  </si>
  <si>
    <t>000,000-050k</t>
  </si>
  <si>
    <t>050,000-075k</t>
  </si>
  <si>
    <t>050,001-075k</t>
  </si>
  <si>
    <t>PT_000,000-050k</t>
  </si>
  <si>
    <t>PT_050,001-075k</t>
  </si>
  <si>
    <t>IT_000,000-050k</t>
  </si>
  <si>
    <t>IT_050,001-075k</t>
  </si>
  <si>
    <t>PN_000,000-050k</t>
  </si>
  <si>
    <t>PN_050,001-075k</t>
  </si>
  <si>
    <t>IN_000,000-050k</t>
  </si>
  <si>
    <t>IN_050,001-075k</t>
  </si>
  <si>
    <t>PE</t>
  </si>
  <si>
    <t>IE</t>
  </si>
  <si>
    <t>Edge</t>
  </si>
  <si>
    <t>PE30F</t>
  </si>
  <si>
    <t>PE30FIO</t>
  </si>
  <si>
    <t>PE40FIO</t>
  </si>
  <si>
    <t>PE30A56</t>
  </si>
  <si>
    <t>PE30A56IO</t>
  </si>
  <si>
    <t>PE40A56IO</t>
  </si>
  <si>
    <t>PE30A76</t>
  </si>
  <si>
    <t>PE30A76IO</t>
  </si>
  <si>
    <t>PE40A76IO</t>
  </si>
  <si>
    <t>IE30F</t>
  </si>
  <si>
    <t>IE30FIO</t>
  </si>
  <si>
    <t>IE40FIO</t>
  </si>
  <si>
    <t>IE30A56</t>
  </si>
  <si>
    <t>IE30A56IO</t>
  </si>
  <si>
    <t>IE40A56IO</t>
  </si>
  <si>
    <t>IE30A76</t>
  </si>
  <si>
    <t>IE30A76IO</t>
  </si>
  <si>
    <t>IE40A76IO</t>
  </si>
  <si>
    <t>IE_No Prepay</t>
  </si>
  <si>
    <t>IE_1yr Prepay_5Pct</t>
  </si>
  <si>
    <t>IE_2yr Prepay_5Pct</t>
  </si>
  <si>
    <t>IE_3yr Prepay_5Pct</t>
  </si>
  <si>
    <t>IE_4yr Prepay_5Pct</t>
  </si>
  <si>
    <t>IE_5yr Prepay_5Pct</t>
  </si>
  <si>
    <t>IE_1yr Prepay_1</t>
  </si>
  <si>
    <t>IE_2yr Prepay_21</t>
  </si>
  <si>
    <t>IE_3yr Prepay_321</t>
  </si>
  <si>
    <t>IE_4yr Prepay_4321</t>
  </si>
  <si>
    <t>IE_5yr Prepay_54321</t>
  </si>
  <si>
    <t>PE_No Prepay</t>
  </si>
  <si>
    <t>EdgeOO</t>
  </si>
  <si>
    <t>PE_01</t>
  </si>
  <si>
    <t>PE_02</t>
  </si>
  <si>
    <t>PE_03</t>
  </si>
  <si>
    <t>PE_04</t>
  </si>
  <si>
    <t>PE_05</t>
  </si>
  <si>
    <t>PE_06</t>
  </si>
  <si>
    <t>PE_07</t>
  </si>
  <si>
    <t>PE_08</t>
  </si>
  <si>
    <t>PE_09</t>
  </si>
  <si>
    <t>PE_10</t>
  </si>
  <si>
    <t>PE_11</t>
  </si>
  <si>
    <t>PE_12</t>
  </si>
  <si>
    <t>PE_13</t>
  </si>
  <si>
    <t>PE_14</t>
  </si>
  <si>
    <t>PE_15</t>
  </si>
  <si>
    <t>PE_16</t>
  </si>
  <si>
    <t>PE_17</t>
  </si>
  <si>
    <t>PE_18</t>
  </si>
  <si>
    <t>PE_19</t>
  </si>
  <si>
    <t>PE_20</t>
  </si>
  <si>
    <t>PE_21</t>
  </si>
  <si>
    <t>PE_22</t>
  </si>
  <si>
    <t>PE_23</t>
  </si>
  <si>
    <t>PE_24</t>
  </si>
  <si>
    <t>PE_25</t>
  </si>
  <si>
    <t>PE_26</t>
  </si>
  <si>
    <t>IE_01</t>
  </si>
  <si>
    <t>IE_02</t>
  </si>
  <si>
    <t>IE_03</t>
  </si>
  <si>
    <t>IE_04</t>
  </si>
  <si>
    <t>IE_05</t>
  </si>
  <si>
    <t>IE_06</t>
  </si>
  <si>
    <t>IE_07</t>
  </si>
  <si>
    <t>IE_08</t>
  </si>
  <si>
    <t>IE_09</t>
  </si>
  <si>
    <t>IE_10</t>
  </si>
  <si>
    <t>IE_11</t>
  </si>
  <si>
    <t>IE_12</t>
  </si>
  <si>
    <t>IE_13</t>
  </si>
  <si>
    <t>IE_14</t>
  </si>
  <si>
    <t>IE_15</t>
  </si>
  <si>
    <t>IE_16</t>
  </si>
  <si>
    <t>IE_17</t>
  </si>
  <si>
    <t>IE_18</t>
  </si>
  <si>
    <t>IE_19</t>
  </si>
  <si>
    <t>IE_20</t>
  </si>
  <si>
    <t>IE_21</t>
  </si>
  <si>
    <t>IE_22</t>
  </si>
  <si>
    <t>IE_23</t>
  </si>
  <si>
    <t>IE_24</t>
  </si>
  <si>
    <t>IE_25</t>
  </si>
  <si>
    <t>IE_26</t>
  </si>
  <si>
    <t>EdgeNOO</t>
  </si>
  <si>
    <t>NEO0001</t>
  </si>
  <si>
    <t>30yr Fixed, 40yr Fixed, 5/6 30yr ARM SOFR, 5/6 40yr ARM SOFR, 7/6 30yr ARM SOFR, 7/6 40yr ARM SOFR</t>
  </si>
  <si>
    <t>NEO0002</t>
  </si>
  <si>
    <t>NEO0003</t>
  </si>
  <si>
    <t>NEO0004</t>
  </si>
  <si>
    <t>NEO0005</t>
  </si>
  <si>
    <t>NEO0006</t>
  </si>
  <si>
    <t>NEO0007</t>
  </si>
  <si>
    <t>NEO0008</t>
  </si>
  <si>
    <t>NEO0009</t>
  </si>
  <si>
    <t>NEO0010</t>
  </si>
  <si>
    <t>NEO0011</t>
  </si>
  <si>
    <t>NEO0012</t>
  </si>
  <si>
    <t>NEO0013</t>
  </si>
  <si>
    <t>NEO0014</t>
  </si>
  <si>
    <t>NEO0015</t>
  </si>
  <si>
    <t>NEO0016</t>
  </si>
  <si>
    <t>NEO0017</t>
  </si>
  <si>
    <t>NEO0018</t>
  </si>
  <si>
    <t>NEO0019</t>
  </si>
  <si>
    <t>NEO0020</t>
  </si>
  <si>
    <t>NEO0021</t>
  </si>
  <si>
    <t>NEO0022</t>
  </si>
  <si>
    <t>NEO0023</t>
  </si>
  <si>
    <t>NEO0024</t>
  </si>
  <si>
    <t>NEO0025</t>
  </si>
  <si>
    <t>NEO0026</t>
  </si>
  <si>
    <t>NEO0027</t>
  </si>
  <si>
    <t>NEO0028</t>
  </si>
  <si>
    <t>NEO0029</t>
  </si>
  <si>
    <t>NEO0030</t>
  </si>
  <si>
    <t>NEO0031</t>
  </si>
  <si>
    <t>NEO0032</t>
  </si>
  <si>
    <t>NEO0033</t>
  </si>
  <si>
    <t>NEO0034</t>
  </si>
  <si>
    <t>NEO0035</t>
  </si>
  <si>
    <t>NEO0036</t>
  </si>
  <si>
    <t>NEO0037</t>
  </si>
  <si>
    <t>NEO0038</t>
  </si>
  <si>
    <t>NEO0039</t>
  </si>
  <si>
    <t>NEO0040</t>
  </si>
  <si>
    <t>NEO0041</t>
  </si>
  <si>
    <t>NEO0042</t>
  </si>
  <si>
    <t>NEO0043</t>
  </si>
  <si>
    <t>NEO0044</t>
  </si>
  <si>
    <t>NEO0045</t>
  </si>
  <si>
    <t>NEO0046</t>
  </si>
  <si>
    <t>NEO0047</t>
  </si>
  <si>
    <t>NEO0048</t>
  </si>
  <si>
    <t>NEO0049</t>
  </si>
  <si>
    <t>NEO0050</t>
  </si>
  <si>
    <t>NEO0051</t>
  </si>
  <si>
    <t>NEO0052</t>
  </si>
  <si>
    <t>NEO0053</t>
  </si>
  <si>
    <t>NEO0054</t>
  </si>
  <si>
    <t>NEO0055</t>
  </si>
  <si>
    <t>NEO0056</t>
  </si>
  <si>
    <t>NEO0057</t>
  </si>
  <si>
    <t>NEO0058</t>
  </si>
  <si>
    <t>NEO0059</t>
  </si>
  <si>
    <t>NEO0060</t>
  </si>
  <si>
    <t>NEO0061</t>
  </si>
  <si>
    <t>NEO0062</t>
  </si>
  <si>
    <t>NEO0063</t>
  </si>
  <si>
    <t>NEO0064</t>
  </si>
  <si>
    <t>NEO0065</t>
  </si>
  <si>
    <t>NEO0066</t>
  </si>
  <si>
    <t>NEO0067</t>
  </si>
  <si>
    <t>NEO0068</t>
  </si>
  <si>
    <t>NEO0069</t>
  </si>
  <si>
    <t>NEO0070</t>
  </si>
  <si>
    <t>NEO0071</t>
  </si>
  <si>
    <t>NEO0072</t>
  </si>
  <si>
    <t>NEO0073</t>
  </si>
  <si>
    <t>NEO0074</t>
  </si>
  <si>
    <t>NEO0075</t>
  </si>
  <si>
    <t>NEO0076</t>
  </si>
  <si>
    <t>NEO0077</t>
  </si>
  <si>
    <t>NEO0078</t>
  </si>
  <si>
    <t>NEO0079</t>
  </si>
  <si>
    <t>NEO0080</t>
  </si>
  <si>
    <t>NEO0081</t>
  </si>
  <si>
    <t>NEO0082</t>
  </si>
  <si>
    <t>NEO0083</t>
  </si>
  <si>
    <t>NEO0084</t>
  </si>
  <si>
    <t>NEO0085</t>
  </si>
  <si>
    <t>NEO0086</t>
  </si>
  <si>
    <t>NEO0087</t>
  </si>
  <si>
    <t>NEO0088</t>
  </si>
  <si>
    <t>NEO0089</t>
  </si>
  <si>
    <t>NEO0090</t>
  </si>
  <si>
    <t>NEO0091</t>
  </si>
  <si>
    <t>NEO0092</t>
  </si>
  <si>
    <t>NEO0093</t>
  </si>
  <si>
    <t>NEO0094</t>
  </si>
  <si>
    <t>NEO0095</t>
  </si>
  <si>
    <t>NEO0096</t>
  </si>
  <si>
    <t>NEO0097</t>
  </si>
  <si>
    <t>NEO0098</t>
  </si>
  <si>
    <t>NEO0099</t>
  </si>
  <si>
    <t>NEO0100</t>
  </si>
  <si>
    <t>NEO0101</t>
  </si>
  <si>
    <t>NEO0102</t>
  </si>
  <si>
    <t>NEO0103</t>
  </si>
  <si>
    <t>NEO0104</t>
  </si>
  <si>
    <t>NEO0105</t>
  </si>
  <si>
    <t>NEO0106</t>
  </si>
  <si>
    <t>NEO0107</t>
  </si>
  <si>
    <t>NEO0108</t>
  </si>
  <si>
    <t>NEO0109</t>
  </si>
  <si>
    <t>NEO0110</t>
  </si>
  <si>
    <t>NEO0111</t>
  </si>
  <si>
    <t>NEO0112</t>
  </si>
  <si>
    <t>NEO0113</t>
  </si>
  <si>
    <t>NEO0114</t>
  </si>
  <si>
    <t>NEO0115</t>
  </si>
  <si>
    <t>NEO0116</t>
  </si>
  <si>
    <t>NEO0117</t>
  </si>
  <si>
    <t>NEO0118</t>
  </si>
  <si>
    <t>NEO0119</t>
  </si>
  <si>
    <t>NEO0120</t>
  </si>
  <si>
    <t>NEO0121</t>
  </si>
  <si>
    <t>NEO0122</t>
  </si>
  <si>
    <t>NEO0123</t>
  </si>
  <si>
    <t>NEO0124</t>
  </si>
  <si>
    <t>NEO0125</t>
  </si>
  <si>
    <t>NEO0126</t>
  </si>
  <si>
    <t>NEO0127</t>
  </si>
  <si>
    <t>NEO0128</t>
  </si>
  <si>
    <t>NEO0129</t>
  </si>
  <si>
    <t>NEO0130</t>
  </si>
  <si>
    <t>NEO0131</t>
  </si>
  <si>
    <t>NEO0132</t>
  </si>
  <si>
    <t>NEO0133</t>
  </si>
  <si>
    <t>NEO0134</t>
  </si>
  <si>
    <t>NEO0135</t>
  </si>
  <si>
    <t>NEO0136</t>
  </si>
  <si>
    <t>NEO0137</t>
  </si>
  <si>
    <t>NEO0138</t>
  </si>
  <si>
    <t>NEO0139</t>
  </si>
  <si>
    <t>NEO0140</t>
  </si>
  <si>
    <t>NEO0141</t>
  </si>
  <si>
    <t>NEO0142</t>
  </si>
  <si>
    <t>NEO0143</t>
  </si>
  <si>
    <t>NEO0144</t>
  </si>
  <si>
    <t>NEO0145</t>
  </si>
  <si>
    <t>NEO0146</t>
  </si>
  <si>
    <t>NEO0147</t>
  </si>
  <si>
    <t>NEO0148</t>
  </si>
  <si>
    <t>NEO0149</t>
  </si>
  <si>
    <t>NEO0150</t>
  </si>
  <si>
    <t>NEO0151</t>
  </si>
  <si>
    <t>NEO0152</t>
  </si>
  <si>
    <t>NEO0153</t>
  </si>
  <si>
    <t>NEO0154</t>
  </si>
  <si>
    <t>NEO0155</t>
  </si>
  <si>
    <t>NEO0156</t>
  </si>
  <si>
    <t>NEO0157</t>
  </si>
  <si>
    <t>NEO0158</t>
  </si>
  <si>
    <t>NEO0159</t>
  </si>
  <si>
    <t>NEO0160</t>
  </si>
  <si>
    <t>NEO0161</t>
  </si>
  <si>
    <t>NEO0162</t>
  </si>
  <si>
    <t>NEO0163</t>
  </si>
  <si>
    <t>NEO0164</t>
  </si>
  <si>
    <t>NEO0165</t>
  </si>
  <si>
    <t>NEO0166</t>
  </si>
  <si>
    <t>NEO0167</t>
  </si>
  <si>
    <t>NEO0168</t>
  </si>
  <si>
    <t>NEO0169</t>
  </si>
  <si>
    <t>NEO0170</t>
  </si>
  <si>
    <t>NEO0171</t>
  </si>
  <si>
    <t>NEO0172</t>
  </si>
  <si>
    <t>NEO0173</t>
  </si>
  <si>
    <t>NEO0174</t>
  </si>
  <si>
    <t>NEN0001</t>
  </si>
  <si>
    <t>NEN0002</t>
  </si>
  <si>
    <t>NEN0003</t>
  </si>
  <si>
    <t>NEN0004</t>
  </si>
  <si>
    <t>NEN0005</t>
  </si>
  <si>
    <t>NEN0006</t>
  </si>
  <si>
    <t>NEN0007</t>
  </si>
  <si>
    <t>NEN0008</t>
  </si>
  <si>
    <t>NEN0009</t>
  </si>
  <si>
    <t>NEN0010</t>
  </si>
  <si>
    <t>NEN0011</t>
  </si>
  <si>
    <t>NEN0012</t>
  </si>
  <si>
    <t>NEN0013</t>
  </si>
  <si>
    <t>NEN0014</t>
  </si>
  <si>
    <t>NEN0015</t>
  </si>
  <si>
    <t>NEN0016</t>
  </si>
  <si>
    <t>NEN0017</t>
  </si>
  <si>
    <t>NEN0018</t>
  </si>
  <si>
    <t>NEN0019</t>
  </si>
  <si>
    <t>NEN0020</t>
  </si>
  <si>
    <t>NEN0021</t>
  </si>
  <si>
    <t>NEN0022</t>
  </si>
  <si>
    <t>NEN0023</t>
  </si>
  <si>
    <t>NEN0024</t>
  </si>
  <si>
    <t>NEN0025</t>
  </si>
  <si>
    <t>NEN0026</t>
  </si>
  <si>
    <t>NEN0027</t>
  </si>
  <si>
    <t>NEN0028</t>
  </si>
  <si>
    <t>NEN0029</t>
  </si>
  <si>
    <t>NEN0030</t>
  </si>
  <si>
    <t>NEN0031</t>
  </si>
  <si>
    <t>NEN0032</t>
  </si>
  <si>
    <t>NEN0033</t>
  </si>
  <si>
    <t>NEN0034</t>
  </si>
  <si>
    <t>NEN0035</t>
  </si>
  <si>
    <t>NEN0036</t>
  </si>
  <si>
    <t>NEN0037</t>
  </si>
  <si>
    <t>NEN0038</t>
  </si>
  <si>
    <t>NEN0039</t>
  </si>
  <si>
    <t>NEN0040</t>
  </si>
  <si>
    <t>NEN0041</t>
  </si>
  <si>
    <t>NEN0042</t>
  </si>
  <si>
    <t>NEN0043</t>
  </si>
  <si>
    <t>NEN0044</t>
  </si>
  <si>
    <t>NEN0045</t>
  </si>
  <si>
    <t>NEN0046</t>
  </si>
  <si>
    <t>NEN0047</t>
  </si>
  <si>
    <t>NEN0048</t>
  </si>
  <si>
    <t>NEN0049</t>
  </si>
  <si>
    <t>NEN0050</t>
  </si>
  <si>
    <t>NEN0051</t>
  </si>
  <si>
    <t>NEN0052</t>
  </si>
  <si>
    <t>NEN0053</t>
  </si>
  <si>
    <t>NEN0054</t>
  </si>
  <si>
    <t>NEN0055</t>
  </si>
  <si>
    <t>NEN0056</t>
  </si>
  <si>
    <t>NEN0057</t>
  </si>
  <si>
    <t>NEN0058</t>
  </si>
  <si>
    <t>NEN0059</t>
  </si>
  <si>
    <t>NEN0060</t>
  </si>
  <si>
    <t>NEN0061</t>
  </si>
  <si>
    <t>NEN0062</t>
  </si>
  <si>
    <t>NEN0063</t>
  </si>
  <si>
    <t>NEN0064</t>
  </si>
  <si>
    <t>NEN0065</t>
  </si>
  <si>
    <t>NEN0066</t>
  </si>
  <si>
    <t>NEN0067</t>
  </si>
  <si>
    <t>NEN0068</t>
  </si>
  <si>
    <t>NEN0069</t>
  </si>
  <si>
    <t>NEN0070</t>
  </si>
  <si>
    <t>NEN0071</t>
  </si>
  <si>
    <t>NEN0072</t>
  </si>
  <si>
    <t>NEN0083</t>
  </si>
  <si>
    <t>NEN0084</t>
  </si>
  <si>
    <t>NEN0085</t>
  </si>
  <si>
    <t>NEN0086</t>
  </si>
  <si>
    <t>NEN0087</t>
  </si>
  <si>
    <t>NEN0088</t>
  </si>
  <si>
    <t>NEN0089</t>
  </si>
  <si>
    <t>NEN0090</t>
  </si>
  <si>
    <t>NEN0091</t>
  </si>
  <si>
    <t>NEN0092</t>
  </si>
  <si>
    <t>NEN0093</t>
  </si>
  <si>
    <t>NEN0094</t>
  </si>
  <si>
    <t>NEN0095</t>
  </si>
  <si>
    <t>NEN0096</t>
  </si>
  <si>
    <t>NEN0097</t>
  </si>
  <si>
    <t>NEN0098</t>
  </si>
  <si>
    <t>NEN0099</t>
  </si>
  <si>
    <t>NEN0100</t>
  </si>
  <si>
    <t>NEN0101</t>
  </si>
  <si>
    <t>NEN0102</t>
  </si>
  <si>
    <t>NEN0103</t>
  </si>
  <si>
    <t>NEN0104</t>
  </si>
  <si>
    <t>NEN0105</t>
  </si>
  <si>
    <t>NEN0106</t>
  </si>
  <si>
    <t>NEN0107</t>
  </si>
  <si>
    <t>NEN0108</t>
  </si>
  <si>
    <t>NEN0109</t>
  </si>
  <si>
    <t>NEN0110</t>
  </si>
  <si>
    <t>NEN0111</t>
  </si>
  <si>
    <t>NEN0112</t>
  </si>
  <si>
    <t>NEN0113</t>
  </si>
  <si>
    <t>NEN0114</t>
  </si>
  <si>
    <t>NEN0115</t>
  </si>
  <si>
    <t>NEN0116</t>
  </si>
  <si>
    <t>NEN0117</t>
  </si>
  <si>
    <t>NEN0118</t>
  </si>
  <si>
    <t>NEN0119</t>
  </si>
  <si>
    <t>NEN0120</t>
  </si>
  <si>
    <t>NEN0121</t>
  </si>
  <si>
    <t>NEN0122</t>
  </si>
  <si>
    <t>NEN0123</t>
  </si>
  <si>
    <t>NEN0124</t>
  </si>
  <si>
    <t>NEN0125</t>
  </si>
  <si>
    <t>NEN0126</t>
  </si>
  <si>
    <t>NEN0127</t>
  </si>
  <si>
    <t>NEN0128</t>
  </si>
  <si>
    <t>NEN0129</t>
  </si>
  <si>
    <t>NEN0130</t>
  </si>
  <si>
    <t>NEN0131</t>
  </si>
  <si>
    <t>NEN0132</t>
  </si>
  <si>
    <t>NEN0133</t>
  </si>
  <si>
    <t>NEN0134</t>
  </si>
  <si>
    <t>NEN0135</t>
  </si>
  <si>
    <t>NEN0136</t>
  </si>
  <si>
    <t>NEN0137</t>
  </si>
  <si>
    <t>NEN0138</t>
  </si>
  <si>
    <t>NEN0139</t>
  </si>
  <si>
    <t>NEN0140</t>
  </si>
  <si>
    <t>NEN0141</t>
  </si>
  <si>
    <t>NEN0142</t>
  </si>
  <si>
    <t>NEN0143</t>
  </si>
  <si>
    <t>NEN0144</t>
  </si>
  <si>
    <t>US Citizen, Permanent Resident Alien, Non-Permanent Resident Alien, Foreign National</t>
  </si>
  <si>
    <t>Full documentation of non-employment income (SSI, pension, alimony, child support, trust income, etc.)</t>
  </si>
  <si>
    <t>2yrs W2s or personal returns, 1mo recent paystubs (Wage earners only)</t>
  </si>
  <si>
    <t>2yrs personal and business returns, YTD P&amp;L (Self-employed only)</t>
  </si>
  <si>
    <t>1yr W2 or personal returns, 1mo recent paystubs (Wage earners only)</t>
  </si>
  <si>
    <t>1yr personal and business returns, YTD P&amp;L (Self-employed only)</t>
  </si>
  <si>
    <t>12mo/24mo consecutive statements (Same account, all pages)</t>
  </si>
  <si>
    <t>Self-employment verification docs (if applicable) (Verify 2yrs self-employment w/business license(s), CPA letter, etc.)</t>
  </si>
  <si>
    <t>Self-employment verification docs (Verify 2yrs self-employment w/business license(s), CPA letter, etc.)</t>
  </si>
  <si>
    <t>Evidence PITIA (For subject property)</t>
  </si>
  <si>
    <t>6mo consecutive statements (Same account, all pages)</t>
  </si>
  <si>
    <t>DocType</t>
  </si>
  <si>
    <t>4506C</t>
  </si>
  <si>
    <t>WVOE for last 2yrs</t>
  </si>
  <si>
    <t>Business ownership percentage letter</t>
  </si>
  <si>
    <t>1007 [For unleased unit(s)]</t>
  </si>
  <si>
    <t>1yr or 2yr 1099(s), YTD payroll check stub from 1099 source or 3mo stmts</t>
  </si>
  <si>
    <t>4506C [Signed by borrower(s)]</t>
  </si>
  <si>
    <t>DE_No Prepay</t>
  </si>
  <si>
    <t>DE_1yr Prepay_5Pct</t>
  </si>
  <si>
    <t>DE_2yr Prepay_5Pct</t>
  </si>
  <si>
    <t>DE_3yr Prepay_5Pct</t>
  </si>
  <si>
    <t>DE_4yr Prepay_5Pct</t>
  </si>
  <si>
    <t>DE_5yr Prepay_5Pct</t>
  </si>
  <si>
    <t>DE_1yr Prepay_1</t>
  </si>
  <si>
    <t>DE_2yr Prepay_21</t>
  </si>
  <si>
    <t>DE_3yr Prepay_321</t>
  </si>
  <si>
    <t>DE_4yr Prepay_4321</t>
  </si>
  <si>
    <t>DE_5yr Prepay_54321</t>
  </si>
  <si>
    <t>EdgeNOODSCR</t>
  </si>
  <si>
    <t>DE_01</t>
  </si>
  <si>
    <t>DE_02</t>
  </si>
  <si>
    <t>DE_03</t>
  </si>
  <si>
    <t>DE_04</t>
  </si>
  <si>
    <t>DE_05</t>
  </si>
  <si>
    <t>DE_06</t>
  </si>
  <si>
    <t>DE_07</t>
  </si>
  <si>
    <t>DE_08</t>
  </si>
  <si>
    <t>DE_09</t>
  </si>
  <si>
    <t>DE_10</t>
  </si>
  <si>
    <t>DE_11</t>
  </si>
  <si>
    <t>DE_12</t>
  </si>
  <si>
    <t>DE_13</t>
  </si>
  <si>
    <t>DE_14</t>
  </si>
  <si>
    <t>DE_15</t>
  </si>
  <si>
    <t>DE_16</t>
  </si>
  <si>
    <t>DE_17</t>
  </si>
  <si>
    <t>DE_18</t>
  </si>
  <si>
    <t>DE_19</t>
  </si>
  <si>
    <t>DE_20</t>
  </si>
  <si>
    <t>DE_21</t>
  </si>
  <si>
    <t>DE_22</t>
  </si>
  <si>
    <t>DE_23</t>
  </si>
  <si>
    <t>01,02,03,07,14</t>
  </si>
  <si>
    <t>DE30F</t>
  </si>
  <si>
    <t>DE30FIO</t>
  </si>
  <si>
    <t>DE40FIO</t>
  </si>
  <si>
    <t>DE30A56</t>
  </si>
  <si>
    <t>DE30A56IO</t>
  </si>
  <si>
    <t>DE40A56IO</t>
  </si>
  <si>
    <t>DE30A76</t>
  </si>
  <si>
    <t>DE30A76IO</t>
  </si>
  <si>
    <t>DE40A76IO</t>
  </si>
  <si>
    <t>DEN0001</t>
  </si>
  <si>
    <t>DEN0002</t>
  </si>
  <si>
    <t>DEN0003</t>
  </si>
  <si>
    <t>DEN0004</t>
  </si>
  <si>
    <t>DEN0005</t>
  </si>
  <si>
    <t>DEN0006</t>
  </si>
  <si>
    <t>DEN0007</t>
  </si>
  <si>
    <t>DEN0008</t>
  </si>
  <si>
    <t>DEN0009</t>
  </si>
  <si>
    <t>DEN0010</t>
  </si>
  <si>
    <t>DEN0011</t>
  </si>
  <si>
    <t>DEN0012</t>
  </si>
  <si>
    <t>DEN0013</t>
  </si>
  <si>
    <t>DEN0014</t>
  </si>
  <si>
    <t>DEN0015</t>
  </si>
  <si>
    <t>DEN0016</t>
  </si>
  <si>
    <t>DEN0017</t>
  </si>
  <si>
    <t>DEN0018</t>
  </si>
  <si>
    <t>DEN0019</t>
  </si>
  <si>
    <t>DEN0020</t>
  </si>
  <si>
    <t>IE_27</t>
  </si>
  <si>
    <t>PE_27</t>
  </si>
  <si>
    <t>CondoTel</t>
  </si>
  <si>
    <t>Edge NOO DSCR FNat</t>
  </si>
  <si>
    <t>DSCR .800-.999</t>
  </si>
  <si>
    <t>DSCR .800-.999 Cashout</t>
  </si>
  <si>
    <t>DEN0021</t>
  </si>
  <si>
    <t>DEN0022</t>
  </si>
  <si>
    <t>DEN0023</t>
  </si>
  <si>
    <t>DEN0024</t>
  </si>
  <si>
    <t>DEN0025</t>
  </si>
  <si>
    <t>DEN0026</t>
  </si>
  <si>
    <t>DEN0027</t>
  </si>
  <si>
    <t>DEN0028</t>
  </si>
  <si>
    <t>DEN0029</t>
  </si>
  <si>
    <t>DEN0030</t>
  </si>
  <si>
    <t>Condotel Min 150K Loan Amount</t>
  </si>
  <si>
    <t>UW Fee</t>
  </si>
  <si>
    <t>Output Range Names</t>
  </si>
  <si>
    <t>Output_Display_RequiredDocs_Disclosure</t>
  </si>
  <si>
    <t>Output_Display_RequiredDocs_Submission</t>
  </si>
  <si>
    <t>Output_Display_RequiredDocs_Recommended</t>
  </si>
  <si>
    <t>Output_Display_RequiredDocs_DocType</t>
  </si>
  <si>
    <t>Output_Display_Required_UWFee</t>
  </si>
  <si>
    <t>Output_Display_ProductRatePriceMatrix</t>
  </si>
  <si>
    <t>SFR-Rural NOO Not Allowed</t>
  </si>
  <si>
    <t>SFR-Rural 2ndHome Not Allowed</t>
  </si>
  <si>
    <t>Wage-Earner</t>
  </si>
  <si>
    <t>&lt;--Not Working - Base Doesn't Allow 0 in Matrix</t>
  </si>
  <si>
    <t>IntOnly DSCR Min</t>
  </si>
  <si>
    <t>IT_1yr Prepay_Standard</t>
  </si>
  <si>
    <t>IT_2yr Prepay_Standard</t>
  </si>
  <si>
    <t>IT_3yr Prepay_Standard</t>
  </si>
  <si>
    <t>IT_4yr Prepay_Standard</t>
  </si>
  <si>
    <t>IT_5yr Prepay_Standard</t>
  </si>
  <si>
    <t>IE_1yr Prepay_Standard</t>
  </si>
  <si>
    <t>IE_2yr Prepay_Standard</t>
  </si>
  <si>
    <t>IE_3yr Prepay_Standard</t>
  </si>
  <si>
    <t>IE_4yr Prepay_Standard</t>
  </si>
  <si>
    <t>IE_5yr Prepay_Standard</t>
  </si>
  <si>
    <t>DE_1yr Prepay_Standard</t>
  </si>
  <si>
    <t>DE_2yr Prepay_Standard</t>
  </si>
  <si>
    <t>DE_3yr Prepay_Standard</t>
  </si>
  <si>
    <t>DE_4yr Prepay_Standard</t>
  </si>
  <si>
    <t>DE_5yr Prepay_Standard</t>
  </si>
  <si>
    <t>1yr Prepay_Standard</t>
  </si>
  <si>
    <t>2yr Prepay_Standard</t>
  </si>
  <si>
    <t>3yr Prepay_Standard</t>
  </si>
  <si>
    <t>4yr Prepay_Standard</t>
  </si>
  <si>
    <t>5yr Prepay_Standard</t>
  </si>
  <si>
    <t>IN_1yr Prepay_Standard</t>
  </si>
  <si>
    <t>IN_2yr Prepay_Standard</t>
  </si>
  <si>
    <t>IN_3yr Prepay_Standard</t>
  </si>
  <si>
    <t>IN_4yr Prepay_Standard</t>
  </si>
  <si>
    <t>IN_5yr Prepay_Standard</t>
  </si>
  <si>
    <t>MN_1yr Prepay_Standard</t>
  </si>
  <si>
    <t>MN_2yr Prepay_Standard</t>
  </si>
  <si>
    <t>MN_3yr Prepay_Standard</t>
  </si>
  <si>
    <t>MN_4yr Prepay_Standard</t>
  </si>
  <si>
    <t>MN_5yr Prepay_Standard</t>
  </si>
  <si>
    <t>No Events 48+</t>
  </si>
  <si>
    <t>Events 36-47mo</t>
  </si>
  <si>
    <t>Events 24-35mo</t>
  </si>
  <si>
    <t>Events 12-23mo</t>
  </si>
  <si>
    <t>PT_No Events 48mo+</t>
  </si>
  <si>
    <t>IT_No Events 48mo+</t>
  </si>
  <si>
    <t>PN_No Events 48mo+</t>
  </si>
  <si>
    <t>IN_No Events 48mo+</t>
  </si>
  <si>
    <t>No Events 48mo+</t>
  </si>
  <si>
    <t>DocLevel</t>
  </si>
  <si>
    <t>SFR-Rural Not Full Doc</t>
  </si>
  <si>
    <t>Content Lookup</t>
  </si>
  <si>
    <t>400,001-500k</t>
  </si>
  <si>
    <t>Error LLPA</t>
  </si>
  <si>
    <t>Loan Amount Max</t>
  </si>
  <si>
    <t>AVM Restriction</t>
  </si>
  <si>
    <t>No Prepay, 1yr Prepay, 2yr Prepay, 3yr Prepay, 4yr Prepay, 5yr Prepay, 1yr Prepay_5Pct, 2yr Prepay_5Pct, 3yr Prepay_5Pct, 4yr Prepay_5Pct, 5yr Prepay_5Pct, 1yr Prepay_1, 2yr Prepay_21, 3yr Prepay_321, 4yr Prepay_4321, 5yr Prepay_54321, 1yr Prepay_Standard, 2yr Prepay_Standard, 3yr Prepay_Standard, 4yr Prepay_Standard,  5yr Prepay_Standard</t>
  </si>
  <si>
    <t>Loan Estimator*</t>
  </si>
  <si>
    <t>*When originating CES, the lender must address compliance factors related to the rate and cost of the loan. It is imperative that there is early consideration of the triggers of a loan being classified as High-Cost, nonQM, or HPML. When a 2nd lien is a QM or non-HPML/nonQM, then an AVM can be used for valuation. Leveraging an AVM in the origination process is crucial to maximize efficiencies with lower balance 2nd liens. This Loan Estimator is designed to be used as a tool in your loan decision flow specific to 2nd lien manufacturing, but is not meant to replace your own compliance determinations.
Pre-populated point and fee inputs in yellow may be edited. Note rate and loan amount may be edited through the pricer. For the purpose of estimating a loan’s High-Cost or QM status, any discount points charged on the loan are not analyzed for whether or not they are Bona Fide Discount Points. This tool is solely for estimating a loan scenario for High-Cost or QM status and the potential correlating valuation type.</t>
  </si>
  <si>
    <t>DSCR .800-.999 Condotel</t>
  </si>
  <si>
    <t>InterestOnly</t>
  </si>
  <si>
    <t>DSCR .800-.999 Interest Only</t>
  </si>
  <si>
    <t>Title Commitment</t>
  </si>
  <si>
    <t>Not TX</t>
  </si>
  <si>
    <t>01,02,03,07,13,14,15</t>
  </si>
  <si>
    <t>NEO0175</t>
  </si>
  <si>
    <t>NEO0176</t>
  </si>
  <si>
    <t>NEO0177</t>
  </si>
  <si>
    <t>NEO0178</t>
  </si>
  <si>
    <t>NEO0179</t>
  </si>
  <si>
    <t>NEO0180</t>
  </si>
  <si>
    <t>NEO0181</t>
  </si>
  <si>
    <t>NEO0182</t>
  </si>
  <si>
    <t>NEO0183</t>
  </si>
  <si>
    <t>NEO0184</t>
  </si>
  <si>
    <t>NEO0185</t>
  </si>
  <si>
    <t>NEO0186</t>
  </si>
  <si>
    <t>NEO0187</t>
  </si>
  <si>
    <t>NEO0188</t>
  </si>
  <si>
    <t>NEO0189</t>
  </si>
  <si>
    <t>NEO0190</t>
  </si>
  <si>
    <t>NEO0191</t>
  </si>
  <si>
    <t>NEO0192</t>
  </si>
  <si>
    <t>NEO0193</t>
  </si>
  <si>
    <t>NEO0194</t>
  </si>
  <si>
    <t>NEO0195</t>
  </si>
  <si>
    <t>NEO0196</t>
  </si>
  <si>
    <t>NEO0197</t>
  </si>
  <si>
    <t>NEO0198</t>
  </si>
  <si>
    <t>NEO0199</t>
  </si>
  <si>
    <t>NEO0200</t>
  </si>
  <si>
    <t>NEO0201</t>
  </si>
  <si>
    <t>NEO0202</t>
  </si>
  <si>
    <t>NEO0203</t>
  </si>
  <si>
    <t>NEO0204</t>
  </si>
  <si>
    <t>NEO0205</t>
  </si>
  <si>
    <t>NEO0206</t>
  </si>
  <si>
    <t>NEO0207</t>
  </si>
  <si>
    <t>NEO0208</t>
  </si>
  <si>
    <t>NEO0209</t>
  </si>
  <si>
    <t>NEO0210</t>
  </si>
  <si>
    <t>Core Prime</t>
  </si>
  <si>
    <t>Core Flex</t>
  </si>
  <si>
    <t>Core CashFlow</t>
  </si>
  <si>
    <t>Core Multi</t>
  </si>
  <si>
    <t>Core ForeignNat</t>
  </si>
  <si>
    <t>XP</t>
  </si>
  <si>
    <t>XX</t>
  </si>
  <si>
    <t>XF</t>
  </si>
  <si>
    <t>XM</t>
  </si>
  <si>
    <t>XN</t>
  </si>
  <si>
    <t>Core</t>
  </si>
  <si>
    <t>CXP0001</t>
  </si>
  <si>
    <t>CXP0002</t>
  </si>
  <si>
    <t>CXP0003</t>
  </si>
  <si>
    <t>CXP0004</t>
  </si>
  <si>
    <t>CXP0005</t>
  </si>
  <si>
    <t>CXP0006</t>
  </si>
  <si>
    <t>CXP0007</t>
  </si>
  <si>
    <t>CXP0008</t>
  </si>
  <si>
    <t>CXP0009</t>
  </si>
  <si>
    <t>CXP0010</t>
  </si>
  <si>
    <t>CXP0011</t>
  </si>
  <si>
    <t>CXP0012</t>
  </si>
  <si>
    <t>CXP0013</t>
  </si>
  <si>
    <t>CXP0014</t>
  </si>
  <si>
    <t>CXP0015</t>
  </si>
  <si>
    <t>CXP0016</t>
  </si>
  <si>
    <t>CXP0017</t>
  </si>
  <si>
    <t>CXP0018</t>
  </si>
  <si>
    <t>CXP0019</t>
  </si>
  <si>
    <t>CXP0020</t>
  </si>
  <si>
    <t>CXP0021</t>
  </si>
  <si>
    <t>CXP0022</t>
  </si>
  <si>
    <t>CXP0023</t>
  </si>
  <si>
    <t>15yr Fixed, 30yr Fixed, 40yr Fixed, 5/6 30yr ARM SOFR</t>
  </si>
  <si>
    <t>OOC, 2ND, NOO</t>
  </si>
  <si>
    <t xml:space="preserve">01, 02, 03, 14, 07, 15, 13 </t>
  </si>
  <si>
    <t>No Bank Stmt,24mo Bank Stmt, 12mo Bank Stmt</t>
  </si>
  <si>
    <t>NoLatesx24, NoLatesx12, 1x30x12</t>
  </si>
  <si>
    <t>CXP0024</t>
  </si>
  <si>
    <t>CXP0025</t>
  </si>
  <si>
    <t>CXP0026</t>
  </si>
  <si>
    <t>CXP0027</t>
  </si>
  <si>
    <t>CXP0028</t>
  </si>
  <si>
    <t>CXP0029</t>
  </si>
  <si>
    <t>CXP0030</t>
  </si>
  <si>
    <t>CXP0031</t>
  </si>
  <si>
    <t>CXP0032</t>
  </si>
  <si>
    <t>CXP0033</t>
  </si>
  <si>
    <t>CXP0034</t>
  </si>
  <si>
    <t>CXP0035</t>
  </si>
  <si>
    <t>CXP0036</t>
  </si>
  <si>
    <t>CXP0037</t>
  </si>
  <si>
    <t>CXP0038</t>
  </si>
  <si>
    <t>CXP0039</t>
  </si>
  <si>
    <t>CXP0040</t>
  </si>
  <si>
    <t>CXP0041</t>
  </si>
  <si>
    <t>CXP0042</t>
  </si>
  <si>
    <t>CXP0043</t>
  </si>
  <si>
    <t>CXP0044</t>
  </si>
  <si>
    <t>CXP0045</t>
  </si>
  <si>
    <t>CXP0046</t>
  </si>
  <si>
    <t>CXP0047</t>
  </si>
  <si>
    <t>CXP0048</t>
  </si>
  <si>
    <t>CXP0049</t>
  </si>
  <si>
    <t>CXP0052</t>
  </si>
  <si>
    <t>CXP0053</t>
  </si>
  <si>
    <t>CXP0054</t>
  </si>
  <si>
    <t>CXP0055</t>
  </si>
  <si>
    <t>CXP0056</t>
  </si>
  <si>
    <t>CXP0058</t>
  </si>
  <si>
    <t>CXP0059</t>
  </si>
  <si>
    <t>CXP0060</t>
  </si>
  <si>
    <t>CXP0061</t>
  </si>
  <si>
    <t>CXP0062</t>
  </si>
  <si>
    <t>CXP0063</t>
  </si>
  <si>
    <t>CXP0064</t>
  </si>
  <si>
    <t>CXP0065</t>
  </si>
  <si>
    <t>CXP0066</t>
  </si>
  <si>
    <t>CXX0001</t>
  </si>
  <si>
    <t>01, 02, 03, 14</t>
  </si>
  <si>
    <t>CXX0002</t>
  </si>
  <si>
    <t>CXX0003</t>
  </si>
  <si>
    <t>CXX0004</t>
  </si>
  <si>
    <t>CXX0005</t>
  </si>
  <si>
    <t>CXX0006</t>
  </si>
  <si>
    <t>CXX0007</t>
  </si>
  <si>
    <t>CXX0008</t>
  </si>
  <si>
    <t>CXX0009</t>
  </si>
  <si>
    <t>CXX0010</t>
  </si>
  <si>
    <t>CXX0011</t>
  </si>
  <si>
    <t>CXX0012</t>
  </si>
  <si>
    <t>CXX0013</t>
  </si>
  <si>
    <t>CXX0014</t>
  </si>
  <si>
    <t>CXX0015</t>
  </si>
  <si>
    <t>CXX0016</t>
  </si>
  <si>
    <t>CXX0017</t>
  </si>
  <si>
    <t>CXX0018</t>
  </si>
  <si>
    <t>CXX0019</t>
  </si>
  <si>
    <t>CXX0020</t>
  </si>
  <si>
    <t>CXX0021</t>
  </si>
  <si>
    <t>CXX0022</t>
  </si>
  <si>
    <t>CXX0023</t>
  </si>
  <si>
    <t>CXX0024</t>
  </si>
  <si>
    <t>CXX0025</t>
  </si>
  <si>
    <t>CXX0026</t>
  </si>
  <si>
    <t>CXX0027</t>
  </si>
  <si>
    <t>CXX0030</t>
  </si>
  <si>
    <t>CXX0031</t>
  </si>
  <si>
    <t>CXX0032</t>
  </si>
  <si>
    <t>CXX0033</t>
  </si>
  <si>
    <t>CXX0034</t>
  </si>
  <si>
    <t>CXX0035</t>
  </si>
  <si>
    <t>CXX0036</t>
  </si>
  <si>
    <t>CXX0037</t>
  </si>
  <si>
    <t>CXX0038</t>
  </si>
  <si>
    <t>CXX0039</t>
  </si>
  <si>
    <t>CXX0040</t>
  </si>
  <si>
    <t>CXX0041</t>
  </si>
  <si>
    <t>CXX0042</t>
  </si>
  <si>
    <t>CXF0001</t>
  </si>
  <si>
    <t>CXF0002</t>
  </si>
  <si>
    <t>CXF0003</t>
  </si>
  <si>
    <t>CXF0004</t>
  </si>
  <si>
    <t>CXF0005</t>
  </si>
  <si>
    <t>CXF0006</t>
  </si>
  <si>
    <t>CXF0007</t>
  </si>
  <si>
    <t>CXF0008</t>
  </si>
  <si>
    <t>CXF0009</t>
  </si>
  <si>
    <t>CXF0010</t>
  </si>
  <si>
    <t>CXF0011</t>
  </si>
  <si>
    <t>CXF0012</t>
  </si>
  <si>
    <t>CXF0013</t>
  </si>
  <si>
    <t>CXF0014</t>
  </si>
  <si>
    <t>CXF0015</t>
  </si>
  <si>
    <t>CXF0016</t>
  </si>
  <si>
    <t>CXF0017</t>
  </si>
  <si>
    <t>CXF0018</t>
  </si>
  <si>
    <t>CXF0019</t>
  </si>
  <si>
    <t>CXF0020</t>
  </si>
  <si>
    <t>CXF0021</t>
  </si>
  <si>
    <t>CXF0022</t>
  </si>
  <si>
    <t>CXF0023</t>
  </si>
  <si>
    <t>CXF0024</t>
  </si>
  <si>
    <t>CXF0025</t>
  </si>
  <si>
    <t>CXF0026</t>
  </si>
  <si>
    <t>CXF0027</t>
  </si>
  <si>
    <t>CXF0028</t>
  </si>
  <si>
    <t>CXF0029</t>
  </si>
  <si>
    <t>CXF0030</t>
  </si>
  <si>
    <t>CXF0031</t>
  </si>
  <si>
    <t>CXF0032</t>
  </si>
  <si>
    <t>CXF0033</t>
  </si>
  <si>
    <t>CXF0035</t>
  </si>
  <si>
    <t>CXF0036</t>
  </si>
  <si>
    <t>CXF0039</t>
  </si>
  <si>
    <t>CXF0040</t>
  </si>
  <si>
    <t>CXF0041</t>
  </si>
  <si>
    <t>CXF0044</t>
  </si>
  <si>
    <t>CXF0045</t>
  </si>
  <si>
    <t>CXF0046</t>
  </si>
  <si>
    <t>CXF0049</t>
  </si>
  <si>
    <t>CXF0050</t>
  </si>
  <si>
    <t>CXF0051</t>
  </si>
  <si>
    <t>CXF0052</t>
  </si>
  <si>
    <t>CXM0001</t>
  </si>
  <si>
    <t>15yr Fixed, 30yr Fixed, 5/6 30yr ARM SOFR</t>
  </si>
  <si>
    <t>CXM0002</t>
  </si>
  <si>
    <t>CXM0003</t>
  </si>
  <si>
    <t>CXM0004</t>
  </si>
  <si>
    <t>CXM0005</t>
  </si>
  <si>
    <t>CXM0006</t>
  </si>
  <si>
    <t>CXN0001</t>
  </si>
  <si>
    <t>CXN0002</t>
  </si>
  <si>
    <t>CXN0003</t>
  </si>
  <si>
    <t>CXN0004</t>
  </si>
  <si>
    <t>CXN0005</t>
  </si>
  <si>
    <t>CXN0006</t>
  </si>
  <si>
    <t>CXN0007</t>
  </si>
  <si>
    <t>CXN0008</t>
  </si>
  <si>
    <t>CXN0009</t>
  </si>
  <si>
    <t>CXN0010</t>
  </si>
  <si>
    <t>CXN0011</t>
  </si>
  <si>
    <t>CXN0012</t>
  </si>
  <si>
    <t>CXN0013</t>
  </si>
  <si>
    <t>CXN0015</t>
  </si>
  <si>
    <t>CXN0017</t>
  </si>
  <si>
    <t>CXN0018</t>
  </si>
  <si>
    <t>CXN0019</t>
  </si>
  <si>
    <t>CXN0020</t>
  </si>
  <si>
    <t>XP15F</t>
  </si>
  <si>
    <t>Core Prime 15yr FRM</t>
  </si>
  <si>
    <t>XP30F</t>
  </si>
  <si>
    <t>Core Prime 30yr FRM</t>
  </si>
  <si>
    <t>XP40F</t>
  </si>
  <si>
    <t>Core Prime 40yr FRM</t>
  </si>
  <si>
    <t>XP30FIO</t>
  </si>
  <si>
    <t>Core Prime 30yr FRM IO</t>
  </si>
  <si>
    <t>XP40FIO</t>
  </si>
  <si>
    <t>Core Prime 40yr FRM IO</t>
  </si>
  <si>
    <t>XP30A56</t>
  </si>
  <si>
    <t>Core Prime 30yr ARM 5/6</t>
  </si>
  <si>
    <t>XP30A56IO</t>
  </si>
  <si>
    <t>Core Prime 30yr ARM 5/6 IO</t>
  </si>
  <si>
    <t>YP15F</t>
  </si>
  <si>
    <t>YP30F</t>
  </si>
  <si>
    <t>YP40F</t>
  </si>
  <si>
    <t>YP30FIO</t>
  </si>
  <si>
    <t>YP40FIO</t>
  </si>
  <si>
    <t>YP30A56</t>
  </si>
  <si>
    <t>YP30A56IO</t>
  </si>
  <si>
    <t>XX15F</t>
  </si>
  <si>
    <t>Core Flex 15yr FRM</t>
  </si>
  <si>
    <t>XX30F</t>
  </si>
  <si>
    <t>Core Flex 30yr FRM</t>
  </si>
  <si>
    <t>XX40F</t>
  </si>
  <si>
    <t>Core Flex 40yr FRM</t>
  </si>
  <si>
    <t>XX30FIO</t>
  </si>
  <si>
    <t>Core Flex 30yr FRM IO</t>
  </si>
  <si>
    <t>XX40FIO</t>
  </si>
  <si>
    <t>Core Flex 40yr FRM IO</t>
  </si>
  <si>
    <t>XX30A56</t>
  </si>
  <si>
    <t>Core Flex 30yr ARM 5/6</t>
  </si>
  <si>
    <t>XX30A56IO</t>
  </si>
  <si>
    <t>Core Flex 30yr ARM 5/6 IO</t>
  </si>
  <si>
    <t>YX15F</t>
  </si>
  <si>
    <t>YX30F</t>
  </si>
  <si>
    <t>YX40F</t>
  </si>
  <si>
    <t>YX30FIO</t>
  </si>
  <si>
    <t>YX40FIO</t>
  </si>
  <si>
    <t>YX30A56</t>
  </si>
  <si>
    <t>YX30A56IO</t>
  </si>
  <si>
    <t>XF15F</t>
  </si>
  <si>
    <t>Core CashFlow 15yr FRM</t>
  </si>
  <si>
    <t>XF30F</t>
  </si>
  <si>
    <t>Core CashFlow 30yr FRM</t>
  </si>
  <si>
    <t>XF40F</t>
  </si>
  <si>
    <t>Core CashFlow 40yr FRM</t>
  </si>
  <si>
    <t>XF30FIO</t>
  </si>
  <si>
    <t>Core CashFlow 30yr FRM IO</t>
  </si>
  <si>
    <t>XF40FIO</t>
  </si>
  <si>
    <t>Core CashFlow 40yr FRM IO</t>
  </si>
  <si>
    <t>XF30A56</t>
  </si>
  <si>
    <t>Core CashFlow 30yr ARM 5/6</t>
  </si>
  <si>
    <t>XF30A56IO</t>
  </si>
  <si>
    <t>Core CashFlow 30yr ARM 5/6 IO</t>
  </si>
  <si>
    <t>YF15F</t>
  </si>
  <si>
    <t>YF30F</t>
  </si>
  <si>
    <t>YF40F</t>
  </si>
  <si>
    <t>YF30FIO</t>
  </si>
  <si>
    <t>YF40FIO</t>
  </si>
  <si>
    <t>YF30A56</t>
  </si>
  <si>
    <t>YF30A56IO</t>
  </si>
  <si>
    <t>XM15F</t>
  </si>
  <si>
    <t>Core Multi 15yr FRM</t>
  </si>
  <si>
    <t>XM30F</t>
  </si>
  <si>
    <t>Core Multi 30yr FRM</t>
  </si>
  <si>
    <t>XM30FIO</t>
  </si>
  <si>
    <t>Core Multi 30yr FRM IO</t>
  </si>
  <si>
    <t>XM30A56</t>
  </si>
  <si>
    <t>Core Multi 30yr ARM 5/6</t>
  </si>
  <si>
    <t>XM30A56IO</t>
  </si>
  <si>
    <t>Core Multi 30yr ARM 5/6 IO</t>
  </si>
  <si>
    <t>YM15F</t>
  </si>
  <si>
    <t>YM30F</t>
  </si>
  <si>
    <t>YM30FIO</t>
  </si>
  <si>
    <t>YM30A56</t>
  </si>
  <si>
    <t>YM30A56IO</t>
  </si>
  <si>
    <t>XN15F</t>
  </si>
  <si>
    <t>Core ForeignNat 15yr FRM</t>
  </si>
  <si>
    <t>XN30F</t>
  </si>
  <si>
    <t>Core ForeignNat 30yr FRM</t>
  </si>
  <si>
    <t>XN30FIO</t>
  </si>
  <si>
    <t>Core ForeignNat 30yr FRM IO</t>
  </si>
  <si>
    <t>XN40FIO</t>
  </si>
  <si>
    <t>Core ForeignNat 40yr FRM IO</t>
  </si>
  <si>
    <t>XN30A56</t>
  </si>
  <si>
    <t>Core ForeignNat 30yr ARM 5/6</t>
  </si>
  <si>
    <t>XN30A56IO</t>
  </si>
  <si>
    <t>Core ForeignNat 30yr ARM 5/6 IO</t>
  </si>
  <si>
    <t>YN15F</t>
  </si>
  <si>
    <t>YN30F</t>
  </si>
  <si>
    <t>YN30FIO</t>
  </si>
  <si>
    <t>YN40FIO</t>
  </si>
  <si>
    <t>YN30A56</t>
  </si>
  <si>
    <t>YN30A56IO</t>
  </si>
  <si>
    <t>01, 02, 03, 14, 07, 13, 15</t>
  </si>
  <si>
    <t>YP</t>
  </si>
  <si>
    <t>YF</t>
  </si>
  <si>
    <t>YM</t>
  </si>
  <si>
    <t>YN</t>
  </si>
  <si>
    <t>YX</t>
  </si>
  <si>
    <t>SF, DP, PD, CS, CW, CN, TH, RW, MD, 2U, 3U, 4U, RL, CT</t>
  </si>
  <si>
    <t>SF, DP, PD, CS, CW, CN, TH, RW, MD, 2U, 3U, 4U, CT</t>
  </si>
  <si>
    <t>5U, 6U, 7U, 8U</t>
  </si>
  <si>
    <t>LTV Max RT</t>
  </si>
  <si>
    <t>LTV Max Purch</t>
  </si>
  <si>
    <t>Fico</t>
  </si>
  <si>
    <t>LTV Purch</t>
  </si>
  <si>
    <t>LTV RT</t>
  </si>
  <si>
    <t>LTV CO</t>
  </si>
  <si>
    <t>IO CS/LTV</t>
  </si>
  <si>
    <t>Reserves LTV</t>
  </si>
  <si>
    <t>&gt;</t>
  </si>
  <si>
    <t>&lt;=</t>
  </si>
  <si>
    <t>Calc LTV</t>
  </si>
  <si>
    <t>HousingHistory</t>
  </si>
  <si>
    <t>NoLates</t>
  </si>
  <si>
    <t>Min CS</t>
  </si>
  <si>
    <t>&lt;&gt;</t>
  </si>
  <si>
    <t>=</t>
  </si>
  <si>
    <t>Match Credit</t>
  </si>
  <si>
    <t>Match Housing</t>
  </si>
  <si>
    <t>Occ CS/LTV/LAmt</t>
  </si>
  <si>
    <t>DTI 50.01-55</t>
  </si>
  <si>
    <t>Asset Doc CS</t>
  </si>
  <si>
    <t>P&amp;L</t>
  </si>
  <si>
    <t>Reserves LAmt</t>
  </si>
  <si>
    <t>NoLatesx12, NoLatesx24</t>
  </si>
  <si>
    <t>Core Prime OO</t>
  </si>
  <si>
    <t>Core Flex OO</t>
  </si>
  <si>
    <t>Core Prime NOO</t>
  </si>
  <si>
    <t>Core Flex NOO</t>
  </si>
  <si>
    <t>Core CashFlow NOO</t>
  </si>
  <si>
    <t>Core Multi NOO</t>
  </si>
  <si>
    <t>Core ForeignNat NOO</t>
  </si>
  <si>
    <t>XP_No Prepay</t>
  </si>
  <si>
    <t>YP_No Prepay</t>
  </si>
  <si>
    <t>XX_No Prepay</t>
  </si>
  <si>
    <t>YX_No Prepay</t>
  </si>
  <si>
    <t>YF_No Prepay</t>
  </si>
  <si>
    <t>YM_No Prepay</t>
  </si>
  <si>
    <t>YN_No Prepay</t>
  </si>
  <si>
    <t>XP_01</t>
  </si>
  <si>
    <t>XP_02</t>
  </si>
  <si>
    <t>XP_03</t>
  </si>
  <si>
    <t>XP_04</t>
  </si>
  <si>
    <t>XP_05</t>
  </si>
  <si>
    <t>XP_06</t>
  </si>
  <si>
    <t>XP_07</t>
  </si>
  <si>
    <t>XP_08</t>
  </si>
  <si>
    <t>XP_09</t>
  </si>
  <si>
    <t>XP_10</t>
  </si>
  <si>
    <t>XP_11</t>
  </si>
  <si>
    <t>XP_12</t>
  </si>
  <si>
    <t>XP_13</t>
  </si>
  <si>
    <t>XP_14</t>
  </si>
  <si>
    <t>XP_15</t>
  </si>
  <si>
    <t>XP_16</t>
  </si>
  <si>
    <t>XP_17</t>
  </si>
  <si>
    <t>XP_18</t>
  </si>
  <si>
    <t>XP_19</t>
  </si>
  <si>
    <t>XP_20</t>
  </si>
  <si>
    <t>XP_21</t>
  </si>
  <si>
    <t>XP_22</t>
  </si>
  <si>
    <t>XP_23</t>
  </si>
  <si>
    <t>XP_24</t>
  </si>
  <si>
    <t>XP_25</t>
  </si>
  <si>
    <t>XP_26</t>
  </si>
  <si>
    <t>YP_01</t>
  </si>
  <si>
    <t>YP_02</t>
  </si>
  <si>
    <t>YP_03</t>
  </si>
  <si>
    <t>YP_04</t>
  </si>
  <si>
    <t>YP_05</t>
  </si>
  <si>
    <t>YP_06</t>
  </si>
  <si>
    <t>YP_07</t>
  </si>
  <si>
    <t>YP_08</t>
  </si>
  <si>
    <t>YP_09</t>
  </si>
  <si>
    <t>YP_10</t>
  </si>
  <si>
    <t>YP_11</t>
  </si>
  <si>
    <t>YP_12</t>
  </si>
  <si>
    <t>YP_13</t>
  </si>
  <si>
    <t>YP_14</t>
  </si>
  <si>
    <t>YP_15</t>
  </si>
  <si>
    <t>YP_16</t>
  </si>
  <si>
    <t>YP_17</t>
  </si>
  <si>
    <t>YP_18</t>
  </si>
  <si>
    <t>YP_19</t>
  </si>
  <si>
    <t>YP_20</t>
  </si>
  <si>
    <t>YP_21</t>
  </si>
  <si>
    <t>YP_22</t>
  </si>
  <si>
    <t>YP_23</t>
  </si>
  <si>
    <t>YP_24</t>
  </si>
  <si>
    <t>YP_25</t>
  </si>
  <si>
    <t>YP_26</t>
  </si>
  <si>
    <t>XX_01</t>
  </si>
  <si>
    <t>XX_02</t>
  </si>
  <si>
    <t>XX_03</t>
  </si>
  <si>
    <t>XX_04</t>
  </si>
  <si>
    <t>XX_05</t>
  </si>
  <si>
    <t>XX_06</t>
  </si>
  <si>
    <t>XX_07</t>
  </si>
  <si>
    <t>XX_08</t>
  </si>
  <si>
    <t>XX_09</t>
  </si>
  <si>
    <t>XX_10</t>
  </si>
  <si>
    <t>XX_11</t>
  </si>
  <si>
    <t>XX_12</t>
  </si>
  <si>
    <t>XX_13</t>
  </si>
  <si>
    <t>XX_14</t>
  </si>
  <si>
    <t>XX_15</t>
  </si>
  <si>
    <t>XX_16</t>
  </si>
  <si>
    <t>XX_17</t>
  </si>
  <si>
    <t>XX_18</t>
  </si>
  <si>
    <t>XX_19</t>
  </si>
  <si>
    <t>XX_20</t>
  </si>
  <si>
    <t>XX_21</t>
  </si>
  <si>
    <t>XX_22</t>
  </si>
  <si>
    <t>XX_23</t>
  </si>
  <si>
    <t>XX_24</t>
  </si>
  <si>
    <t>XX_25</t>
  </si>
  <si>
    <t>XX_26</t>
  </si>
  <si>
    <t>YX_01</t>
  </si>
  <si>
    <t>YX_02</t>
  </si>
  <si>
    <t>YX_03</t>
  </si>
  <si>
    <t>YX_04</t>
  </si>
  <si>
    <t>YX_05</t>
  </si>
  <si>
    <t>YX_06</t>
  </si>
  <si>
    <t>YX_07</t>
  </si>
  <si>
    <t>YX_08</t>
  </si>
  <si>
    <t>YX_09</t>
  </si>
  <si>
    <t>YX_10</t>
  </si>
  <si>
    <t>YX_11</t>
  </si>
  <si>
    <t>YX_12</t>
  </si>
  <si>
    <t>YX_13</t>
  </si>
  <si>
    <t>YX_14</t>
  </si>
  <si>
    <t>YX_15</t>
  </si>
  <si>
    <t>YX_16</t>
  </si>
  <si>
    <t>YX_17</t>
  </si>
  <si>
    <t>YX_18</t>
  </si>
  <si>
    <t>YX_19</t>
  </si>
  <si>
    <t>YX_20</t>
  </si>
  <si>
    <t>YX_21</t>
  </si>
  <si>
    <t>YX_22</t>
  </si>
  <si>
    <t>YX_23</t>
  </si>
  <si>
    <t>YX_24</t>
  </si>
  <si>
    <t>YX_25</t>
  </si>
  <si>
    <t>YX_26</t>
  </si>
  <si>
    <t>YM_01</t>
  </si>
  <si>
    <t>YM_02</t>
  </si>
  <si>
    <t>YM_03</t>
  </si>
  <si>
    <t>YM_04</t>
  </si>
  <si>
    <t>YM_05</t>
  </si>
  <si>
    <t>YM_06</t>
  </si>
  <si>
    <t>YM_07</t>
  </si>
  <si>
    <t>YM_08</t>
  </si>
  <si>
    <t>YM_09</t>
  </si>
  <si>
    <t>YM_10</t>
  </si>
  <si>
    <t>YM_11</t>
  </si>
  <si>
    <t>YM_12</t>
  </si>
  <si>
    <t>YM_13</t>
  </si>
  <si>
    <t>YM_14</t>
  </si>
  <si>
    <t>YM_15</t>
  </si>
  <si>
    <t>YM_16</t>
  </si>
  <si>
    <t>YM_17</t>
  </si>
  <si>
    <t>YM_18</t>
  </si>
  <si>
    <t>YM_19</t>
  </si>
  <si>
    <t>YM_20</t>
  </si>
  <si>
    <t>YM_21</t>
  </si>
  <si>
    <t>YM_22</t>
  </si>
  <si>
    <t>YM_23</t>
  </si>
  <si>
    <t>YM_24</t>
  </si>
  <si>
    <t>YM_25</t>
  </si>
  <si>
    <t>YM_26</t>
  </si>
  <si>
    <t>YM_27</t>
  </si>
  <si>
    <t>YM_28</t>
  </si>
  <si>
    <t>YM_29</t>
  </si>
  <si>
    <t>YN_01</t>
  </si>
  <si>
    <t>YN_02</t>
  </si>
  <si>
    <t>YN_03</t>
  </si>
  <si>
    <t>YN_04</t>
  </si>
  <si>
    <t>YN_05</t>
  </si>
  <si>
    <t>YN_06</t>
  </si>
  <si>
    <t>YN_07</t>
  </si>
  <si>
    <t>YN_08</t>
  </si>
  <si>
    <t>YN_09</t>
  </si>
  <si>
    <t>YN_10</t>
  </si>
  <si>
    <t>YN_11</t>
  </si>
  <si>
    <t>YN_12</t>
  </si>
  <si>
    <t>YN_13</t>
  </si>
  <si>
    <t>YN_14</t>
  </si>
  <si>
    <t>YN_15</t>
  </si>
  <si>
    <t>YN_16</t>
  </si>
  <si>
    <t>YN_17</t>
  </si>
  <si>
    <t>YN_18</t>
  </si>
  <si>
    <t>YN_19</t>
  </si>
  <si>
    <t>YN_20</t>
  </si>
  <si>
    <t>YN_21</t>
  </si>
  <si>
    <t>YN_22</t>
  </si>
  <si>
    <t>YN_23</t>
  </si>
  <si>
    <t>YN_24</t>
  </si>
  <si>
    <t>YN_25</t>
  </si>
  <si>
    <t>YN_26</t>
  </si>
  <si>
    <t>YN_27</t>
  </si>
  <si>
    <t>YN_28</t>
  </si>
  <si>
    <t>YN_29</t>
  </si>
  <si>
    <t>YN_30</t>
  </si>
  <si>
    <t>YN_31</t>
  </si>
  <si>
    <t>YF_01</t>
  </si>
  <si>
    <t>YF_02</t>
  </si>
  <si>
    <t>YF_03</t>
  </si>
  <si>
    <t>YF_04</t>
  </si>
  <si>
    <t>YF_05</t>
  </si>
  <si>
    <t>YF_06</t>
  </si>
  <si>
    <t>YF_07</t>
  </si>
  <si>
    <t>YF_08</t>
  </si>
  <si>
    <t>YF_09</t>
  </si>
  <si>
    <t>YF_10</t>
  </si>
  <si>
    <t>YF_11</t>
  </si>
  <si>
    <t>YF_12</t>
  </si>
  <si>
    <t>YF_13</t>
  </si>
  <si>
    <t>YF_14</t>
  </si>
  <si>
    <t>YF_15</t>
  </si>
  <si>
    <t>YF_16</t>
  </si>
  <si>
    <t>YF_17</t>
  </si>
  <si>
    <t>YF_18</t>
  </si>
  <si>
    <t>YF_19</t>
  </si>
  <si>
    <t>YF_20</t>
  </si>
  <si>
    <t>YF_21</t>
  </si>
  <si>
    <t>YF_22</t>
  </si>
  <si>
    <t>YF_23</t>
  </si>
  <si>
    <t>YF_24</t>
  </si>
  <si>
    <t>YF_25</t>
  </si>
  <si>
    <t>YF_26</t>
  </si>
  <si>
    <t>YF_27</t>
  </si>
  <si>
    <t>YF_28</t>
  </si>
  <si>
    <t>YF_29</t>
  </si>
  <si>
    <t>YP_1yr Prepay_Standard</t>
  </si>
  <si>
    <t>YP_2yr Prepay_Standard</t>
  </si>
  <si>
    <t>YP_3yr Prepay_Standard</t>
  </si>
  <si>
    <t>YP_4yr Prepay_Standard</t>
  </si>
  <si>
    <t>YP_5yr Prepay_Standard</t>
  </si>
  <si>
    <t>YP_1yr Prepay_5Pct</t>
  </si>
  <si>
    <t>YP_2yr Prepay_5Pct</t>
  </si>
  <si>
    <t>YP_3yr Prepay_5Pct</t>
  </si>
  <si>
    <t>YP_4yr Prepay_5Pct</t>
  </si>
  <si>
    <t>YP_5yr Prepay_5Pct</t>
  </si>
  <si>
    <t>YP_1yr Prepay_1</t>
  </si>
  <si>
    <t>YP_2yr Prepay_21</t>
  </si>
  <si>
    <t>YP_3yr Prepay_321</t>
  </si>
  <si>
    <t>YP_4yr Prepay_4321</t>
  </si>
  <si>
    <t>YP_5yr Prepay_54321</t>
  </si>
  <si>
    <t>YX_1yr Prepay_Standard</t>
  </si>
  <si>
    <t>YX_2yr Prepay_Standard</t>
  </si>
  <si>
    <t>YX_3yr Prepay_Standard</t>
  </si>
  <si>
    <t>YX_4yr Prepay_Standard</t>
  </si>
  <si>
    <t>YX_5yr Prepay_Standard</t>
  </si>
  <si>
    <t>YX_1yr Prepay_5Pct</t>
  </si>
  <si>
    <t>YX_2yr Prepay_5Pct</t>
  </si>
  <si>
    <t>YX_3yr Prepay_5Pct</t>
  </si>
  <si>
    <t>YX_4yr Prepay_5Pct</t>
  </si>
  <si>
    <t>YX_5yr Prepay_5Pct</t>
  </si>
  <si>
    <t>YX_1yr Prepay_1</t>
  </si>
  <si>
    <t>YX_2yr Prepay_21</t>
  </si>
  <si>
    <t>YX_3yr Prepay_321</t>
  </si>
  <si>
    <t>YX_4yr Prepay_4321</t>
  </si>
  <si>
    <t>YX_5yr Prepay_54321</t>
  </si>
  <si>
    <t>YF_1yr Prepay_Standard</t>
  </si>
  <si>
    <t>YF_2yr Prepay_Standard</t>
  </si>
  <si>
    <t>YF_3yr Prepay_Standard</t>
  </si>
  <si>
    <t>YF_4yr Prepay_Standard</t>
  </si>
  <si>
    <t>YF_5yr Prepay_Standard</t>
  </si>
  <si>
    <t>YF_1yr Prepay_5Pct</t>
  </si>
  <si>
    <t>YF_2yr Prepay_5Pct</t>
  </si>
  <si>
    <t>YF_3yr Prepay_5Pct</t>
  </si>
  <si>
    <t>YF_4yr Prepay_5Pct</t>
  </si>
  <si>
    <t>YF_5yr Prepay_5Pct</t>
  </si>
  <si>
    <t>YF_1yr Prepay_1</t>
  </si>
  <si>
    <t>YF_2yr Prepay_21</t>
  </si>
  <si>
    <t>YF_3yr Prepay_321</t>
  </si>
  <si>
    <t>YF_4yr Prepay_4321</t>
  </si>
  <si>
    <t>YF_5yr Prepay_54321</t>
  </si>
  <si>
    <t>YM_1yr Prepay_Standard</t>
  </si>
  <si>
    <t>YM_2yr Prepay_Standard</t>
  </si>
  <si>
    <t>YM_3yr Prepay_Standard</t>
  </si>
  <si>
    <t>YM_4yr Prepay_Standard</t>
  </si>
  <si>
    <t>YM_5yr Prepay_Standard</t>
  </si>
  <si>
    <t>YM_1yr Prepay_5Pct</t>
  </si>
  <si>
    <t>YM_2yr Prepay_5Pct</t>
  </si>
  <si>
    <t>YM_3yr Prepay_5Pct</t>
  </si>
  <si>
    <t>YM_4yr Prepay_5Pct</t>
  </si>
  <si>
    <t>YM_5yr Prepay_5Pct</t>
  </si>
  <si>
    <t>YM_1yr Prepay_1</t>
  </si>
  <si>
    <t>YM_2yr Prepay_21</t>
  </si>
  <si>
    <t>YM_3yr Prepay_321</t>
  </si>
  <si>
    <t>YM_4yr Prepay_4321</t>
  </si>
  <si>
    <t>YM_5yr Prepay_54321</t>
  </si>
  <si>
    <t>YN_1yr Prepay_Standard</t>
  </si>
  <si>
    <t>YN_2yr Prepay_Standard</t>
  </si>
  <si>
    <t>YN_3yr Prepay_Standard</t>
  </si>
  <si>
    <t>YN_4yr Prepay_Standard</t>
  </si>
  <si>
    <t>YN_5yr Prepay_Standard</t>
  </si>
  <si>
    <t>YN_1yr Prepay_5Pct</t>
  </si>
  <si>
    <t>YN_2yr Prepay_5Pct</t>
  </si>
  <si>
    <t>YN_3yr Prepay_5Pct</t>
  </si>
  <si>
    <t>YN_4yr Prepay_5Pct</t>
  </si>
  <si>
    <t>YN_5yr Prepay_5Pct</t>
  </si>
  <si>
    <t>YN_1yr Prepay_1</t>
  </si>
  <si>
    <t>YN_2yr Prepay_21</t>
  </si>
  <si>
    <t>YN_3yr Prepay_321</t>
  </si>
  <si>
    <t>YN_4yr Prepay_4321</t>
  </si>
  <si>
    <t>YN_5yr Prepay_54321</t>
  </si>
  <si>
    <t>Reserves_lt_12</t>
  </si>
  <si>
    <t>Reserves_gte_12</t>
  </si>
  <si>
    <t>PH_Doc01_≥ 800</t>
  </si>
  <si>
    <t>PH_Doc01_780 - 799</t>
  </si>
  <si>
    <t>PH_Doc01_760 - 779</t>
  </si>
  <si>
    <t>PH_Doc01_740 - 759</t>
  </si>
  <si>
    <t>PH_Doc01_720 - 739</t>
  </si>
  <si>
    <t>PH_Doc01_700 - 719</t>
  </si>
  <si>
    <t>PH_Doc01_680 - 699</t>
  </si>
  <si>
    <t>PH_Doc01_660 - 679</t>
  </si>
  <si>
    <t>PH_Doc01_640 - 659</t>
  </si>
  <si>
    <t>PH_Doc01_620 - 639</t>
  </si>
  <si>
    <t>PH_Doc02_≥ 800</t>
  </si>
  <si>
    <t>PH_Doc02_780 - 799</t>
  </si>
  <si>
    <t>PH_Doc02_760 - 779</t>
  </si>
  <si>
    <t>PH_Doc02_740 - 759</t>
  </si>
  <si>
    <t>PH_Doc02_720 - 739</t>
  </si>
  <si>
    <t>PH_Doc02_700 - 719</t>
  </si>
  <si>
    <t>PH_Doc02_680 - 699</t>
  </si>
  <si>
    <t>PH_Doc02_660 - 679</t>
  </si>
  <si>
    <t>PH_Doc02_640 - 659</t>
  </si>
  <si>
    <t>PH_Doc02_620 - 639</t>
  </si>
  <si>
    <t>PH_No Bank Stmt</t>
  </si>
  <si>
    <t>PH_12mo Bank Stmt</t>
  </si>
  <si>
    <t>PH_24mo Bank Stmt</t>
  </si>
  <si>
    <t>3yrDraw 20yr ARM PRIME</t>
  </si>
  <si>
    <t>PH_3yrDraw 20yr ARM PRIME</t>
  </si>
  <si>
    <t>5yrDraw 20yr ARM PRIME</t>
  </si>
  <si>
    <t>PH_5yrDraw 20yr ARM PRIME</t>
  </si>
  <si>
    <t>3yrDraw 30yr ARM PRIME</t>
  </si>
  <si>
    <t>PH_3yrDraw 30yr ARM PRIME</t>
  </si>
  <si>
    <t>5yrDraw 30yr ARM PRIME</t>
  </si>
  <si>
    <t>PH_5yrDraw 30yr ARM PRIME</t>
  </si>
  <si>
    <t>PH_Full Amortization</t>
  </si>
  <si>
    <t>PH_Interest-Only</t>
  </si>
  <si>
    <t>PH_075,001-100k</t>
  </si>
  <si>
    <t>PH_100,001-125k</t>
  </si>
  <si>
    <t>PH_125,001-150k</t>
  </si>
  <si>
    <t>PH_150,001-175k</t>
  </si>
  <si>
    <t>PH_175,001-200k</t>
  </si>
  <si>
    <t>PH_200,001-300k</t>
  </si>
  <si>
    <t>PH_300,001-400k</t>
  </si>
  <si>
    <t>PH_400,001-600k</t>
  </si>
  <si>
    <t>PH_600,001-750k</t>
  </si>
  <si>
    <t>Caps and Floors</t>
  </si>
  <si>
    <t>PH_750,001-1.0m</t>
  </si>
  <si>
    <t>PH_1,000,001-1.5m</t>
  </si>
  <si>
    <t>PH_1,500,001-2.0m</t>
  </si>
  <si>
    <t>PH_2,000,001-2.5m</t>
  </si>
  <si>
    <t>PH_2,500,001-3.0m</t>
  </si>
  <si>
    <t>PH_3,000,001-3.5m</t>
  </si>
  <si>
    <t>PH_3,500,001-4.0m</t>
  </si>
  <si>
    <t>PH_4,000,001-4.5m</t>
  </si>
  <si>
    <t>PH_4,500,001-5.0m</t>
  </si>
  <si>
    <t>PH_5,000,001+</t>
  </si>
  <si>
    <t>PH_00.00-00</t>
  </si>
  <si>
    <t>PH_00.01-43</t>
  </si>
  <si>
    <t>PH_43.01-45</t>
  </si>
  <si>
    <t>PH_45.01-50</t>
  </si>
  <si>
    <t>PH_50.01-55</t>
  </si>
  <si>
    <t>PH_DSCR Not Applicable</t>
  </si>
  <si>
    <t>PH_Purchase</t>
  </si>
  <si>
    <t>PH_Rate-Term</t>
  </si>
  <si>
    <t>PH_Cash-Out</t>
  </si>
  <si>
    <t>PH_Owner Occupied</t>
  </si>
  <si>
    <t>PH_Second Home</t>
  </si>
  <si>
    <t>PH_Full Appraisal</t>
  </si>
  <si>
    <t>PH_AVM</t>
  </si>
  <si>
    <t>PH_CA</t>
  </si>
  <si>
    <t>PH_GA</t>
  </si>
  <si>
    <t>PH_AL</t>
  </si>
  <si>
    <t>PH_Non-CA</t>
  </si>
  <si>
    <t>PH_SFR</t>
  </si>
  <si>
    <t>PH_D-PUD</t>
  </si>
  <si>
    <t>PH_PUD</t>
  </si>
  <si>
    <t>PH_Townhouse</t>
  </si>
  <si>
    <t>PH_Rowhouse</t>
  </si>
  <si>
    <t>PH_Condo-Site</t>
  </si>
  <si>
    <t>PH_Condo-Warrantable</t>
  </si>
  <si>
    <t>PH_Condo-NonWarrantable</t>
  </si>
  <si>
    <t>PH_2-Unit</t>
  </si>
  <si>
    <t>PH_3-Unit</t>
  </si>
  <si>
    <t>PH_4-Unit</t>
  </si>
  <si>
    <t>PH_Modular</t>
  </si>
  <si>
    <t>PH_SFR-Rural</t>
  </si>
  <si>
    <t>PH_Log Home</t>
  </si>
  <si>
    <t>PH_US Citizen</t>
  </si>
  <si>
    <t>PH_Permanent Resident Alien</t>
  </si>
  <si>
    <t>PH_Non-Permanent Resident Alien</t>
  </si>
  <si>
    <t>PH_Foreign National</t>
  </si>
  <si>
    <t>PH_NoLatesx24</t>
  </si>
  <si>
    <t>PH_NoLatesx12</t>
  </si>
  <si>
    <t>PH_1x30x12</t>
  </si>
  <si>
    <t>PH_Multiple30x12</t>
  </si>
  <si>
    <t>PH_1x60x12</t>
  </si>
  <si>
    <t>PH_No ACH</t>
  </si>
  <si>
    <t>PH_ACH</t>
  </si>
  <si>
    <t>PH_Escrows</t>
  </si>
  <si>
    <t>PH_No Escrows</t>
  </si>
  <si>
    <t>PH_30 Day</t>
  </si>
  <si>
    <t>PH_45 Day</t>
  </si>
  <si>
    <t>PH_60 Day</t>
  </si>
  <si>
    <t>PH_75 Day</t>
  </si>
  <si>
    <t>PH_Mandatory</t>
  </si>
  <si>
    <t>PH_Best Efforts</t>
  </si>
  <si>
    <t>IH_Doc01_≥ 800</t>
  </si>
  <si>
    <t>IH_Doc01_780 - 799</t>
  </si>
  <si>
    <t>IH_Doc01_760 - 779</t>
  </si>
  <si>
    <t>IH_Doc01_740 - 759</t>
  </si>
  <si>
    <t>IH_Doc01_720 - 739</t>
  </si>
  <si>
    <t>IH_Doc01_700 - 719</t>
  </si>
  <si>
    <t>IH_Doc01_680 - 699</t>
  </si>
  <si>
    <t>IH_Doc01_660 - 679</t>
  </si>
  <si>
    <t>IH_Doc01_640 - 659</t>
  </si>
  <si>
    <t>IH_Doc01_620 - 639</t>
  </si>
  <si>
    <t>IH_Doc02_≥ 800</t>
  </si>
  <si>
    <t>IH_Doc02_780 - 799</t>
  </si>
  <si>
    <t>IH_Doc02_760 - 779</t>
  </si>
  <si>
    <t>IH_Doc02_740 - 759</t>
  </si>
  <si>
    <t>IH_Doc02_720 - 739</t>
  </si>
  <si>
    <t>IH_Doc02_700 - 719</t>
  </si>
  <si>
    <t>IH_Doc02_680 - 699</t>
  </si>
  <si>
    <t>IH_Doc02_660 - 679</t>
  </si>
  <si>
    <t>IH_Doc02_640 - 659</t>
  </si>
  <si>
    <t>IH_Doc02_620 - 639</t>
  </si>
  <si>
    <t>IH_No Bank Stmt</t>
  </si>
  <si>
    <t>IH_12mo Bank Stmt</t>
  </si>
  <si>
    <t>IH_24mo Bank Stmt</t>
  </si>
  <si>
    <t>IH_3yrDraw 20yr ARM PRIME</t>
  </si>
  <si>
    <t>IH_5yrDraw 20yr ARM PRIME</t>
  </si>
  <si>
    <t>IH_3yrDraw 30yr ARM PRIME</t>
  </si>
  <si>
    <t>IH_5yrDraw 30yr ARM PRIME</t>
  </si>
  <si>
    <t>IH_Full Amortization</t>
  </si>
  <si>
    <t>IH_Interest-Only</t>
  </si>
  <si>
    <t>IH_075,001-100k</t>
  </si>
  <si>
    <t>IH_100,001-125k</t>
  </si>
  <si>
    <t>IH_125,001-150k</t>
  </si>
  <si>
    <t>IH_150,001-175k</t>
  </si>
  <si>
    <t>IH_175,001-200k</t>
  </si>
  <si>
    <t>IH_200,001-300k</t>
  </si>
  <si>
    <t>IH_300,001-400k</t>
  </si>
  <si>
    <t>IH_400,001-600k</t>
  </si>
  <si>
    <t>IH_600,001-750k</t>
  </si>
  <si>
    <t>IH_750,001-1.0m</t>
  </si>
  <si>
    <t>IH_1,000,001-1.5m</t>
  </si>
  <si>
    <t>IH_1,500,001-2.0m</t>
  </si>
  <si>
    <t>IH_2,000,001-2.5m</t>
  </si>
  <si>
    <t>IH_2,500,001-3.0m</t>
  </si>
  <si>
    <t>IH_3,000,001-3.5m</t>
  </si>
  <si>
    <t>IH_3,500,001-4.0m</t>
  </si>
  <si>
    <t>IH_4,000,001-4.5m</t>
  </si>
  <si>
    <t>IH_4,500,001-5.0m</t>
  </si>
  <si>
    <t>IH_5,000,001+</t>
  </si>
  <si>
    <t>IH_00.00-00</t>
  </si>
  <si>
    <t>IH_00.01-43</t>
  </si>
  <si>
    <t>IH_43.01-45</t>
  </si>
  <si>
    <t>IH_45.01-50</t>
  </si>
  <si>
    <t>IH_50.01-55</t>
  </si>
  <si>
    <t>IH_DSCR Not Applicable</t>
  </si>
  <si>
    <t>IH_Purchase</t>
  </si>
  <si>
    <t>IH_Rate-Term</t>
  </si>
  <si>
    <t>IH_Cash-Out</t>
  </si>
  <si>
    <t>IH_Non Owner Occupied</t>
  </si>
  <si>
    <t>IH_Full Appraisal</t>
  </si>
  <si>
    <t>IH_AVM</t>
  </si>
  <si>
    <t>IH_CA</t>
  </si>
  <si>
    <t>IH_GA</t>
  </si>
  <si>
    <t>IH_AL</t>
  </si>
  <si>
    <t>IH_Non-CA</t>
  </si>
  <si>
    <t>IH_SFR</t>
  </si>
  <si>
    <t>IH_D-PUD</t>
  </si>
  <si>
    <t>IH_PUD</t>
  </si>
  <si>
    <t>IH_Townhouse</t>
  </si>
  <si>
    <t>IH_Rowhouse</t>
  </si>
  <si>
    <t>IH_Condo-Site</t>
  </si>
  <si>
    <t>IH_Condo-Warrantable</t>
  </si>
  <si>
    <t>IH_Condo-NonWarrantable</t>
  </si>
  <si>
    <t>IH_2-Unit</t>
  </si>
  <si>
    <t>IH_3-Unit</t>
  </si>
  <si>
    <t>IH_4-Unit</t>
  </si>
  <si>
    <t>IH_Modular</t>
  </si>
  <si>
    <t>IH_SFR-Rural</t>
  </si>
  <si>
    <t>IH_Log Home</t>
  </si>
  <si>
    <t>IH_US Citizen</t>
  </si>
  <si>
    <t>IH_Permanent Resident Alien</t>
  </si>
  <si>
    <t>IH_Non-Permanent Resident Alien</t>
  </si>
  <si>
    <t>IH_Foreign National</t>
  </si>
  <si>
    <t>IH_NoLatesx24</t>
  </si>
  <si>
    <t>IH_NoLatesx12</t>
  </si>
  <si>
    <t>IH_1x30x12</t>
  </si>
  <si>
    <t>IH_Multiple30x12</t>
  </si>
  <si>
    <t>IH_1x60x12</t>
  </si>
  <si>
    <t>IH_No ACH</t>
  </si>
  <si>
    <t>IH_ACH</t>
  </si>
  <si>
    <t>IH_Escrows</t>
  </si>
  <si>
    <t>IH_No Escrows</t>
  </si>
  <si>
    <t>IH_30 Day</t>
  </si>
  <si>
    <t>IH_45 Day</t>
  </si>
  <si>
    <t>IH_60 Day</t>
  </si>
  <si>
    <t>IH_75 Day</t>
  </si>
  <si>
    <t>IH_Mandatory</t>
  </si>
  <si>
    <t>IH_Best Efforts</t>
  </si>
  <si>
    <t>PH_No Events 48mo+</t>
  </si>
  <si>
    <t>IH_No Events 48mo+</t>
  </si>
  <si>
    <t>PC30F</t>
  </si>
  <si>
    <t>PH_050,001-075k</t>
  </si>
  <si>
    <t>PH_000,000-050k</t>
  </si>
  <si>
    <t>IH_000,000-050k</t>
  </si>
  <si>
    <t>IH_050,001-075k</t>
  </si>
  <si>
    <t>Other Income</t>
  </si>
  <si>
    <t>03yr</t>
  </si>
  <si>
    <t>02yr</t>
  </si>
  <si>
    <t>01yr</t>
  </si>
  <si>
    <t>AK, AL, AR, AZ, CA, CO, CT, DC, DE, FL, GA, HI, IA, ID, IL, IN, KS, KY, LA, MA, MD, ME, MI, MN, MO, MS, MT, NC, ND, NE, NH, NJ, NM, NV, NY, OH, OK, OR, PA, RI, SC, SD, UT, VA, VT, WA, WI, WV, WY</t>
  </si>
  <si>
    <t>Purpose LTV</t>
  </si>
  <si>
    <t>Exclude HELOC State HighCost Rules</t>
  </si>
  <si>
    <t>NEN0073</t>
  </si>
  <si>
    <t>NEN0074</t>
  </si>
  <si>
    <t>NEN0075</t>
  </si>
  <si>
    <t>NEN0076</t>
  </si>
  <si>
    <t>NEN0077</t>
  </si>
  <si>
    <t>NEN0078</t>
  </si>
  <si>
    <t>NEN0079</t>
  </si>
  <si>
    <t>NEN0080</t>
  </si>
  <si>
    <t>NEN0081</t>
  </si>
  <si>
    <t>NEN0082</t>
  </si>
  <si>
    <t>CXP0050</t>
  </si>
  <si>
    <t>CXP0051</t>
  </si>
  <si>
    <t>CXP0057</t>
  </si>
  <si>
    <t>CXP0067</t>
  </si>
  <si>
    <t>CXP0068</t>
  </si>
  <si>
    <t>CXP0069</t>
  </si>
  <si>
    <t>CXP0070</t>
  </si>
  <si>
    <t>CXP0071</t>
  </si>
  <si>
    <t>CXP0072</t>
  </si>
  <si>
    <t>CXP0073</t>
  </si>
  <si>
    <t>CXP0074</t>
  </si>
  <si>
    <t>CXP0075</t>
  </si>
  <si>
    <t>CXP0076</t>
  </si>
  <si>
    <t>CXP0077</t>
  </si>
  <si>
    <t>CXP0078</t>
  </si>
  <si>
    <t>CXP0079</t>
  </si>
  <si>
    <t>CXP0080</t>
  </si>
  <si>
    <t>CXP0081</t>
  </si>
  <si>
    <t>CXP0082</t>
  </si>
  <si>
    <t>CXP0083</t>
  </si>
  <si>
    <t>CXP0084</t>
  </si>
  <si>
    <t>CXP0085</t>
  </si>
  <si>
    <t>CXP0086</t>
  </si>
  <si>
    <t>CXP0087</t>
  </si>
  <si>
    <t>CXP0088</t>
  </si>
  <si>
    <t>CXP0089</t>
  </si>
  <si>
    <t>CXP0090</t>
  </si>
  <si>
    <t>CXP0091</t>
  </si>
  <si>
    <t>CXP0092</t>
  </si>
  <si>
    <t>CXP0093</t>
  </si>
  <si>
    <t>CXP0094</t>
  </si>
  <si>
    <t>CXP0095</t>
  </si>
  <si>
    <t>CXP0096</t>
  </si>
  <si>
    <t>CXP0097</t>
  </si>
  <si>
    <t>CXP0098</t>
  </si>
  <si>
    <t>CXP0099</t>
  </si>
  <si>
    <t>CXP0100</t>
  </si>
  <si>
    <t>CXP0101</t>
  </si>
  <si>
    <t>CXP0102</t>
  </si>
  <si>
    <t>CXP0103</t>
  </si>
  <si>
    <t>CXP0104</t>
  </si>
  <si>
    <t>CXP0105</t>
  </si>
  <si>
    <t>CXP0106</t>
  </si>
  <si>
    <t>CXP0107</t>
  </si>
  <si>
    <t>CXP0108</t>
  </si>
  <si>
    <t>CXP0109</t>
  </si>
  <si>
    <t>CXP0110</t>
  </si>
  <si>
    <t>CXP0111</t>
  </si>
  <si>
    <t>CXP0112</t>
  </si>
  <si>
    <t>CXP0113</t>
  </si>
  <si>
    <t>CXP0114</t>
  </si>
  <si>
    <t>CXP0115</t>
  </si>
  <si>
    <t>CXP0116</t>
  </si>
  <si>
    <t>CXP0117</t>
  </si>
  <si>
    <t>CXP0118</t>
  </si>
  <si>
    <t>CXP0119</t>
  </si>
  <si>
    <t>CXP0120</t>
  </si>
  <si>
    <t>CXP0121</t>
  </si>
  <si>
    <t>CXP0122</t>
  </si>
  <si>
    <t>CXP0123</t>
  </si>
  <si>
    <t>CXP0124</t>
  </si>
  <si>
    <t>CXP0125</t>
  </si>
  <si>
    <t>CXP0126</t>
  </si>
  <si>
    <t>CXX0028</t>
  </si>
  <si>
    <t>CXX0029</t>
  </si>
  <si>
    <t>CXF0034</t>
  </si>
  <si>
    <t>CXF0037</t>
  </si>
  <si>
    <t>CXF0038</t>
  </si>
  <si>
    <t>CXF0042</t>
  </si>
  <si>
    <t>CXF0043</t>
  </si>
  <si>
    <t>CXF0047</t>
  </si>
  <si>
    <t>CXF0048</t>
  </si>
  <si>
    <t>CXN0014</t>
  </si>
  <si>
    <t>CXN0016</t>
  </si>
  <si>
    <t>HSO0001</t>
  </si>
  <si>
    <t>HSO0002</t>
  </si>
  <si>
    <t>HSO0003</t>
  </si>
  <si>
    <t>HSO0004</t>
  </si>
  <si>
    <t>HSO0005</t>
  </si>
  <si>
    <t>HSO0006</t>
  </si>
  <si>
    <t>HSO0007</t>
  </si>
  <si>
    <t>HSO0008</t>
  </si>
  <si>
    <t>HSO0009</t>
  </si>
  <si>
    <t>HSO0010</t>
  </si>
  <si>
    <t>HSO0011</t>
  </si>
  <si>
    <t>HSO0012</t>
  </si>
  <si>
    <t>HSO0013</t>
  </si>
  <si>
    <t>HSO0014</t>
  </si>
  <si>
    <t>HSO0015</t>
  </si>
  <si>
    <t>HSO0016</t>
  </si>
  <si>
    <t>HSO0017</t>
  </si>
  <si>
    <t>HSO0018</t>
  </si>
  <si>
    <t>HSO0019</t>
  </si>
  <si>
    <t>HSO0020</t>
  </si>
  <si>
    <t>HSO0021</t>
  </si>
  <si>
    <t>HSO0022</t>
  </si>
  <si>
    <t>HSO0023</t>
  </si>
  <si>
    <t>HSO0024</t>
  </si>
  <si>
    <t>HSO0025</t>
  </si>
  <si>
    <t>HSO0026</t>
  </si>
  <si>
    <t>HSO0027</t>
  </si>
  <si>
    <t>HSO0028</t>
  </si>
  <si>
    <t>HSO0029</t>
  </si>
  <si>
    <t>HSO0030</t>
  </si>
  <si>
    <t>HSO0031</t>
  </si>
  <si>
    <t>HSO0032</t>
  </si>
  <si>
    <t>HSO0033</t>
  </si>
  <si>
    <t>HSO0034</t>
  </si>
  <si>
    <t>HSO0035</t>
  </si>
  <si>
    <t>HSO0036</t>
  </si>
  <si>
    <t>HSN0001</t>
  </si>
  <si>
    <t>HSN0002</t>
  </si>
  <si>
    <t>HSN0003</t>
  </si>
  <si>
    <t>HSN0004</t>
  </si>
  <si>
    <t>HSN0005</t>
  </si>
  <si>
    <t>HSN0006</t>
  </si>
  <si>
    <t>HSN0007</t>
  </si>
  <si>
    <t>HSN0008</t>
  </si>
  <si>
    <t>HSN0009</t>
  </si>
  <si>
    <t>HSN0010</t>
  </si>
  <si>
    <t>HSN0011</t>
  </si>
  <si>
    <t>HSN0012</t>
  </si>
  <si>
    <t>HSN0013</t>
  </si>
  <si>
    <t>HSN0014</t>
  </si>
  <si>
    <t>HSN0015</t>
  </si>
  <si>
    <t>HSN0016</t>
  </si>
  <si>
    <t>HSN0017</t>
  </si>
  <si>
    <t>HSN0018</t>
  </si>
  <si>
    <t>NQN0211</t>
  </si>
  <si>
    <t>NQN0212</t>
  </si>
  <si>
    <t>NQN0213</t>
  </si>
  <si>
    <t>NQN0214</t>
  </si>
  <si>
    <t>NSN0001</t>
  </si>
  <si>
    <t>NSN0002</t>
  </si>
  <si>
    <t>NSN0003</t>
  </si>
  <si>
    <t>NSN0004</t>
  </si>
  <si>
    <t>NSN0005</t>
  </si>
  <si>
    <t>NSN0006</t>
  </si>
  <si>
    <t>NSN0007</t>
  </si>
  <si>
    <t>NSN0008</t>
  </si>
  <si>
    <t>NSN0009</t>
  </si>
  <si>
    <t>NSN0010</t>
  </si>
  <si>
    <t>NSN0011</t>
  </si>
  <si>
    <t>NSN0012</t>
  </si>
  <si>
    <t>NSN0013</t>
  </si>
  <si>
    <t>NSN0014</t>
  </si>
  <si>
    <t>NSN0015</t>
  </si>
  <si>
    <t>NSN0016</t>
  </si>
  <si>
    <t>NSN0017</t>
  </si>
  <si>
    <t>NSN0018</t>
  </si>
  <si>
    <t>NSN0019</t>
  </si>
  <si>
    <t>NSN0020</t>
  </si>
  <si>
    <t>NSN0021</t>
  </si>
  <si>
    <t>NSN0022</t>
  </si>
  <si>
    <t>NSN0023</t>
  </si>
  <si>
    <t>NSN0024</t>
  </si>
  <si>
    <t>NSN0025</t>
  </si>
  <si>
    <t>NSN0026</t>
  </si>
  <si>
    <t>NSN0027</t>
  </si>
  <si>
    <t>NSN0028</t>
  </si>
  <si>
    <t>NSN0029</t>
  </si>
  <si>
    <t>NSN0030</t>
  </si>
  <si>
    <t>NSN0031</t>
  </si>
  <si>
    <t>NSN0032</t>
  </si>
  <si>
    <t>NSN0033</t>
  </si>
  <si>
    <t>NSN0034</t>
  </si>
  <si>
    <t>NSN0035</t>
  </si>
  <si>
    <t>NSN0036</t>
  </si>
  <si>
    <t>NSN0037</t>
  </si>
  <si>
    <t>NSN0038</t>
  </si>
  <si>
    <t>NSN0039</t>
  </si>
  <si>
    <t>NSN0040</t>
  </si>
  <si>
    <t>NSN0041</t>
  </si>
  <si>
    <t>NSN0042</t>
  </si>
  <si>
    <t>NSN0043</t>
  </si>
  <si>
    <t>NSN0044</t>
  </si>
  <si>
    <t>NSN0045</t>
  </si>
  <si>
    <t>NSN0046</t>
  </si>
  <si>
    <t>NSN0047</t>
  </si>
  <si>
    <t>NSN0048</t>
  </si>
  <si>
    <t>CXX0043</t>
  </si>
  <si>
    <t>CXX0044</t>
  </si>
  <si>
    <t>CXX0045</t>
  </si>
  <si>
    <t>CXX0046</t>
  </si>
  <si>
    <t>CXX0047</t>
  </si>
  <si>
    <t>CXX0048</t>
  </si>
  <si>
    <t>CXX0049</t>
  </si>
  <si>
    <t>CXX0050</t>
  </si>
  <si>
    <t>CXX0051</t>
  </si>
  <si>
    <t>CXX0052</t>
  </si>
  <si>
    <t>CXX0053</t>
  </si>
  <si>
    <t>CXX0054</t>
  </si>
  <si>
    <t>CXX0055</t>
  </si>
  <si>
    <t>CXX0056</t>
  </si>
  <si>
    <t>CXX0057</t>
  </si>
  <si>
    <t>CXX0058</t>
  </si>
  <si>
    <t>CXX0059</t>
  </si>
  <si>
    <t>CXX0060</t>
  </si>
  <si>
    <t>CXX0061</t>
  </si>
  <si>
    <t>CXX0062</t>
  </si>
  <si>
    <t>CXX0063</t>
  </si>
  <si>
    <t>CXX0064</t>
  </si>
  <si>
    <t>CXX0065</t>
  </si>
  <si>
    <t>CXX0066</t>
  </si>
  <si>
    <t>CXX0067</t>
  </si>
  <si>
    <t>CXX0068</t>
  </si>
  <si>
    <t>CXX0069</t>
  </si>
  <si>
    <t>CXX0070</t>
  </si>
  <si>
    <t>CXX0071</t>
  </si>
  <si>
    <t>CXX0072</t>
  </si>
  <si>
    <t>CXX0073</t>
  </si>
  <si>
    <t>CXX0074</t>
  </si>
  <si>
    <t>CXX0075</t>
  </si>
  <si>
    <t>CXX0076</t>
  </si>
  <si>
    <t>CXX0077</t>
  </si>
  <si>
    <t>CXX0078</t>
  </si>
  <si>
    <t>CXX0079</t>
  </si>
  <si>
    <t>CXX0080</t>
  </si>
  <si>
    <t>ProductType</t>
  </si>
  <si>
    <t>NoteRate</t>
  </si>
  <si>
    <t>OccupancyType</t>
  </si>
  <si>
    <t>CreditScore</t>
  </si>
  <si>
    <t>LoanAmount</t>
  </si>
  <si>
    <t>AmortizationTermType</t>
  </si>
  <si>
    <t>AmortizationType</t>
  </si>
  <si>
    <t>DocumentationType</t>
  </si>
  <si>
    <t>BankStatementType</t>
  </si>
  <si>
    <t>MonthsReserves</t>
  </si>
  <si>
    <t>PurposeType</t>
  </si>
  <si>
    <t>CashoutAmount</t>
  </si>
  <si>
    <t>PropertyType</t>
  </si>
  <si>
    <t>ValuationType</t>
  </si>
  <si>
    <t>HousingHistoryType</t>
  </si>
  <si>
    <t>CreditEventsType</t>
  </si>
  <si>
    <t>CitizenshipType</t>
  </si>
  <si>
    <t>EmploymentType</t>
  </si>
  <si>
    <t>FirstTimeHomebuyerType</t>
  </si>
  <si>
    <t>PaymentType</t>
  </si>
  <si>
    <t>ServicingType</t>
  </si>
  <si>
    <t>PrepayType</t>
  </si>
  <si>
    <t>LockTermType</t>
  </si>
  <si>
    <t>PT_Doc04_≥ 800</t>
  </si>
  <si>
    <t>PT_Doc04_780 - 799</t>
  </si>
  <si>
    <t>PT_Doc04_760 - 779</t>
  </si>
  <si>
    <t>PT_Doc04_740 - 759</t>
  </si>
  <si>
    <t>PT_Doc04_720 - 739</t>
  </si>
  <si>
    <t>PT_Doc04_700 - 719</t>
  </si>
  <si>
    <t>PT_Doc04_680 - 699</t>
  </si>
  <si>
    <t>PT_Doc04_660 - 679</t>
  </si>
  <si>
    <t>IT_Doc04_≥ 800</t>
  </si>
  <si>
    <t>IT_Doc04_780 - 799</t>
  </si>
  <si>
    <t>IT_Doc04_760 - 779</t>
  </si>
  <si>
    <t>IT_Doc04_740 - 759</t>
  </si>
  <si>
    <t>IT_Doc04_720 - 739</t>
  </si>
  <si>
    <t>IT_Doc04_700 - 719</t>
  </si>
  <si>
    <t>IT_Doc04_680 - 699</t>
  </si>
  <si>
    <t>IT_Doc04_660 - 679</t>
  </si>
  <si>
    <t>PT_Doc04_640 - 659</t>
  </si>
  <si>
    <t>PT_Doc04_620 - 639</t>
  </si>
  <si>
    <t>IT_Doc04_640 - 659</t>
  </si>
  <si>
    <t>IT_Doc04_620 - 639</t>
  </si>
  <si>
    <t>Min DSCR</t>
  </si>
  <si>
    <t>Loan Amt DSCR LTV</t>
  </si>
  <si>
    <t>300,001-350k</t>
  </si>
  <si>
    <t>Lookup Margin</t>
  </si>
  <si>
    <t xml:space="preserve">Rate Ceiling = 18% </t>
  </si>
  <si>
    <t>Rate Floor = 4%</t>
  </si>
  <si>
    <t>NSN0049</t>
  </si>
  <si>
    <t>NSN0050</t>
  </si>
  <si>
    <t>NSN0051</t>
  </si>
  <si>
    <t>NSN0052</t>
  </si>
  <si>
    <t>NSN0053</t>
  </si>
  <si>
    <t>NSN0054</t>
  </si>
  <si>
    <t>NSN0055</t>
  </si>
  <si>
    <t>NSN0056</t>
  </si>
  <si>
    <t>NSN0057</t>
  </si>
  <si>
    <t>NSN0058</t>
  </si>
  <si>
    <t>NSN0059</t>
  </si>
  <si>
    <t>NSN0060</t>
  </si>
  <si>
    <t>NSN0061</t>
  </si>
  <si>
    <t>NSN0062</t>
  </si>
  <si>
    <t>NSN0063</t>
  </si>
  <si>
    <t>NSN0064</t>
  </si>
  <si>
    <t>NSO0097</t>
  </si>
  <si>
    <t>NSO0098</t>
  </si>
  <si>
    <t>NSO0099</t>
  </si>
  <si>
    <t>NSO0100</t>
  </si>
  <si>
    <t>NSO0101</t>
  </si>
  <si>
    <t>NSO0102</t>
  </si>
  <si>
    <t>NSO0103</t>
  </si>
  <si>
    <t>NSO0104</t>
  </si>
  <si>
    <t>NSO0105</t>
  </si>
  <si>
    <t>NSO0106</t>
  </si>
  <si>
    <t>NSO0107</t>
  </si>
  <si>
    <t>NSO0108</t>
  </si>
  <si>
    <t>NSO0109</t>
  </si>
  <si>
    <t>NSO0110</t>
  </si>
  <si>
    <t>NSO0111</t>
  </si>
  <si>
    <t>NSO0112</t>
  </si>
  <si>
    <t>NSO0113</t>
  </si>
  <si>
    <t>NSO0114</t>
  </si>
  <si>
    <t>NSO0115</t>
  </si>
  <si>
    <t>NSO0116</t>
  </si>
  <si>
    <t>NSO0117</t>
  </si>
  <si>
    <t>NSO0118</t>
  </si>
  <si>
    <t>NSO0119</t>
  </si>
  <si>
    <t>NSO0120</t>
  </si>
  <si>
    <t>NSO0121</t>
  </si>
  <si>
    <t>NSO0122</t>
  </si>
  <si>
    <t>NSO0123</t>
  </si>
  <si>
    <t>NSO0124</t>
  </si>
  <si>
    <t>NSO0125</t>
  </si>
  <si>
    <t>NSO0126</t>
  </si>
  <si>
    <t>NSO0127</t>
  </si>
  <si>
    <t>NSO0128</t>
  </si>
  <si>
    <t>01,02,03,14,15,07</t>
  </si>
  <si>
    <t>Output Margin</t>
  </si>
  <si>
    <t>na</t>
  </si>
  <si>
    <t>FTInv - No FTHB</t>
  </si>
  <si>
    <t>Corr1</t>
  </si>
  <si>
    <t>Corr2</t>
  </si>
  <si>
    <t>Corr3</t>
  </si>
  <si>
    <t>CorrND</t>
  </si>
  <si>
    <t>Whol</t>
  </si>
  <si>
    <t>Channel Name</t>
  </si>
  <si>
    <t>Retl</t>
  </si>
  <si>
    <t>your Brokers Advantage Account Executive</t>
  </si>
  <si>
    <t>Lockdesk@BrokersAdvantageMtg.com</t>
  </si>
  <si>
    <t>15yr Fixed, 30yr Fixed, 40yr Fixed, 5/6 30yr ARM SOFR, 5/6 40yr ARM SOFR, 7/6 30yr ARM SOFR, 7/6 40yr ARM SOFR</t>
  </si>
  <si>
    <t>Corr1, Corr2, Corr3, CorrND, Whol, Retl</t>
  </si>
  <si>
    <t>PN40F</t>
  </si>
  <si>
    <t>IN40F</t>
  </si>
  <si>
    <t>IT_Doc05_≥ 800</t>
  </si>
  <si>
    <t>IT_Doc05_780 - 799</t>
  </si>
  <si>
    <t>IT_Doc05_760 - 779</t>
  </si>
  <si>
    <t>IT_Doc05_740 - 759</t>
  </si>
  <si>
    <t>IT_Doc05_720 - 739</t>
  </si>
  <si>
    <t>IT_Doc05_700 - 719</t>
  </si>
  <si>
    <t>IT_Doc05_680 - 699</t>
  </si>
  <si>
    <t>IT_Doc05_660 - 679</t>
  </si>
  <si>
    <t>IT_Doc05_640 - 659</t>
  </si>
  <si>
    <t>IT_Doc05_620 - 639</t>
  </si>
  <si>
    <t>IN_Doc05_640 - 659</t>
  </si>
  <si>
    <t>Edge OO</t>
  </si>
  <si>
    <t>Edge NOO</t>
  </si>
  <si>
    <t>Edge NOO DSCR</t>
  </si>
  <si>
    <t>Max Price Adj</t>
  </si>
  <si>
    <t>IT_DSCR 1.50+</t>
  </si>
  <si>
    <t>IT_DSCR 1.25-1.49</t>
  </si>
  <si>
    <t>IT_DSCR 1.10-1.24</t>
  </si>
  <si>
    <t>IT_DSCR 1.00-1.09</t>
  </si>
  <si>
    <t>IT_DSCR 0.75-0.99</t>
  </si>
  <si>
    <t>IT_DSCR 0.00-0.75</t>
  </si>
  <si>
    <t>NonDel Adj</t>
  </si>
  <si>
    <r>
      <rPr>
        <b/>
        <sz val="8"/>
        <color theme="1"/>
        <rFont val="Microsoft Sans Serif"/>
        <family val="2"/>
      </rPr>
      <t xml:space="preserve">&lt;- </t>
    </r>
    <r>
      <rPr>
        <b/>
        <sz val="8"/>
        <color theme="1"/>
        <rFont val="Calibri"/>
        <family val="2"/>
        <scheme val="minor"/>
      </rPr>
      <t>Change Origination Channel</t>
    </r>
  </si>
  <si>
    <t>Channel Dropdown Values</t>
  </si>
  <si>
    <t>PT_Multiple60x12</t>
  </si>
  <si>
    <t>Multiple60x12</t>
  </si>
  <si>
    <t>IT_Multiple60x12</t>
  </si>
  <si>
    <t>PH_Multiple60x12</t>
  </si>
  <si>
    <t>IH_Multiple60x12</t>
  </si>
  <si>
    <t>PN_Multiple60x12</t>
  </si>
  <si>
    <t>IN_Multiple60x12</t>
  </si>
  <si>
    <t>NoLatesx24, NoLatesx12, 1x30x12, Multiple30x12, 1x60x12, Multiple60x12</t>
  </si>
  <si>
    <t>01,02,03,14,15,07,09</t>
  </si>
  <si>
    <t>NQO0037</t>
  </si>
  <si>
    <t>NQO0038</t>
  </si>
  <si>
    <t>NQO0039</t>
  </si>
  <si>
    <t>NQO0040</t>
  </si>
  <si>
    <t>NQO0041</t>
  </si>
  <si>
    <t>NQO0042</t>
  </si>
  <si>
    <t>NQO0103</t>
  </si>
  <si>
    <t>NQO0104</t>
  </si>
  <si>
    <t>NQO0105</t>
  </si>
  <si>
    <t>NQO0106</t>
  </si>
  <si>
    <t>NQO0107</t>
  </si>
  <si>
    <t>NQO0108</t>
  </si>
  <si>
    <t>NQO0223</t>
  </si>
  <si>
    <t>NQO0224</t>
  </si>
  <si>
    <t>NQO0225</t>
  </si>
  <si>
    <t>NQO0226</t>
  </si>
  <si>
    <t>NQO0227</t>
  </si>
  <si>
    <t>NQO0228</t>
  </si>
  <si>
    <t>NQO0229</t>
  </si>
  <si>
    <t>NQO0230</t>
  </si>
  <si>
    <t>NQO0231</t>
  </si>
  <si>
    <t>NQO0232</t>
  </si>
  <si>
    <t>NQO0233</t>
  </si>
  <si>
    <t>NQO0234</t>
  </si>
  <si>
    <t>NQO0235</t>
  </si>
  <si>
    <t>NQO0236</t>
  </si>
  <si>
    <t>NQO0237</t>
  </si>
  <si>
    <t>NQO0238</t>
  </si>
  <si>
    <t>NQO0239</t>
  </si>
  <si>
    <t>NQO0240</t>
  </si>
  <si>
    <t>NQO0241</t>
  </si>
  <si>
    <t>NQO0242</t>
  </si>
  <si>
    <t>NQO0243</t>
  </si>
  <si>
    <t>NQO0244</t>
  </si>
  <si>
    <t>NQO0245</t>
  </si>
  <si>
    <t>NQO0246</t>
  </si>
  <si>
    <t>NQO0247</t>
  </si>
  <si>
    <t>NQO0248</t>
  </si>
  <si>
    <t>NQO0249</t>
  </si>
  <si>
    <t>NQO0250</t>
  </si>
  <si>
    <t>NQO0251</t>
  </si>
  <si>
    <t>NQO0252</t>
  </si>
  <si>
    <t>NQO0253</t>
  </si>
  <si>
    <t>NQO0254</t>
  </si>
  <si>
    <t>NQO0255</t>
  </si>
  <si>
    <t>NQO0256</t>
  </si>
  <si>
    <t>NQO0257</t>
  </si>
  <si>
    <t>NQO0258</t>
  </si>
  <si>
    <t>NQO0259</t>
  </si>
  <si>
    <t>NQO0260</t>
  </si>
  <si>
    <t>NQO0261</t>
  </si>
  <si>
    <t>NQO0262</t>
  </si>
  <si>
    <t>NQO0263</t>
  </si>
  <si>
    <t>NQO0264</t>
  </si>
  <si>
    <t>NQO0265</t>
  </si>
  <si>
    <t>NQO0266</t>
  </si>
  <si>
    <t>NQO0267</t>
  </si>
  <si>
    <t>NQO0268</t>
  </si>
  <si>
    <t>NQN0215</t>
  </si>
  <si>
    <t>NQN0216</t>
  </si>
  <si>
    <t>NQN0217</t>
  </si>
  <si>
    <t>NQN0218</t>
  </si>
  <si>
    <t>NQN0219</t>
  </si>
  <si>
    <t>NQN0220</t>
  </si>
  <si>
    <t>NQN0221</t>
  </si>
  <si>
    <t>NQN0222</t>
  </si>
  <si>
    <t>NQN0223</t>
  </si>
  <si>
    <t>NQN0224</t>
  </si>
  <si>
    <t>NQN0225</t>
  </si>
  <si>
    <t>NQN0226</t>
  </si>
  <si>
    <t>NQN0227</t>
  </si>
  <si>
    <t>NQN0228</t>
  </si>
  <si>
    <t>NQN0229</t>
  </si>
  <si>
    <t>NQN0230</t>
  </si>
  <si>
    <t>NQN0231</t>
  </si>
  <si>
    <t>NQN0232</t>
  </si>
  <si>
    <t>NQN0233</t>
  </si>
  <si>
    <t>NQN0234</t>
  </si>
  <si>
    <t>NQN0235</t>
  </si>
  <si>
    <t>NQN0236</t>
  </si>
  <si>
    <t>NQN0237</t>
  </si>
  <si>
    <t>NQN0238</t>
  </si>
  <si>
    <t>NQN0239</t>
  </si>
  <si>
    <t>NQN0240</t>
  </si>
  <si>
    <t>NQN0241</t>
  </si>
  <si>
    <t>NQN0242</t>
  </si>
  <si>
    <t>NQN0243</t>
  </si>
  <si>
    <t>NQN0244</t>
  </si>
  <si>
    <t>NQN0245</t>
  </si>
  <si>
    <t>NQN0246</t>
  </si>
  <si>
    <t>NQN0247</t>
  </si>
  <si>
    <t>NQN0248</t>
  </si>
  <si>
    <t>NQN0249</t>
  </si>
  <si>
    <t>NQN0250</t>
  </si>
  <si>
    <t>NQN0251</t>
  </si>
  <si>
    <t>NQN0252</t>
  </si>
  <si>
    <t>NQN0253</t>
  </si>
  <si>
    <t>NQN0254</t>
  </si>
  <si>
    <t>NQN0255</t>
  </si>
  <si>
    <t>NQN0256</t>
  </si>
  <si>
    <t>NQN0257</t>
  </si>
  <si>
    <t>NQN0258</t>
  </si>
  <si>
    <t>NQN0259</t>
  </si>
  <si>
    <t>NQN0260</t>
  </si>
  <si>
    <t>NQN0261</t>
  </si>
  <si>
    <t>NQN0262</t>
  </si>
  <si>
    <t>NQN0263</t>
  </si>
  <si>
    <t>NQN0264</t>
  </si>
  <si>
    <t>NQN0265</t>
  </si>
  <si>
    <t>NQN0266</t>
  </si>
  <si>
    <t>NQN0267</t>
  </si>
  <si>
    <t>NSN0065</t>
  </si>
  <si>
    <t>NSN0066</t>
  </si>
  <si>
    <t>NSN0067</t>
  </si>
  <si>
    <t>NSN0068</t>
  </si>
  <si>
    <t>NSN0069</t>
  </si>
  <si>
    <t>NSN0070</t>
  </si>
  <si>
    <t>NSN0071</t>
  </si>
  <si>
    <t>NSN0072</t>
  </si>
  <si>
    <t>NSN0073</t>
  </si>
  <si>
    <t>NSN0074</t>
  </si>
  <si>
    <t>NSN0075</t>
  </si>
  <si>
    <t>NSN0076</t>
  </si>
  <si>
    <t>NSN0077</t>
  </si>
  <si>
    <t>NSN0078</t>
  </si>
  <si>
    <t>NSN0079</t>
  </si>
  <si>
    <t>NSN0080</t>
  </si>
  <si>
    <t>LnAmt Min</t>
  </si>
  <si>
    <t>LnAmt Max</t>
  </si>
  <si>
    <t>NSO0129</t>
  </si>
  <si>
    <t>NSO0130</t>
  </si>
  <si>
    <t>NSO0131</t>
  </si>
  <si>
    <t>NSO0132</t>
  </si>
  <si>
    <t>NSO0133</t>
  </si>
  <si>
    <t>NSO0134</t>
  </si>
  <si>
    <t>NSO0135</t>
  </si>
  <si>
    <t>NSO0136</t>
  </si>
  <si>
    <t>NSO0137</t>
  </si>
  <si>
    <t>NSO0138</t>
  </si>
  <si>
    <t>NSO0139</t>
  </si>
  <si>
    <t>NSO0140</t>
  </si>
  <si>
    <t>NSO0141</t>
  </si>
  <si>
    <t>NSO0142</t>
  </si>
  <si>
    <t>NSO0143</t>
  </si>
  <si>
    <t>NSO0144</t>
  </si>
  <si>
    <t>NSO0145</t>
  </si>
  <si>
    <t>NSO0146</t>
  </si>
  <si>
    <t>NSO0147</t>
  </si>
  <si>
    <t>NSO0148</t>
  </si>
  <si>
    <t>NSO0149</t>
  </si>
  <si>
    <t>NSO0150</t>
  </si>
  <si>
    <t>NSO0151</t>
  </si>
  <si>
    <t>NSO0152</t>
  </si>
  <si>
    <t>NSO0153</t>
  </si>
  <si>
    <t>NSO0154</t>
  </si>
  <si>
    <t>NSO0155</t>
  </si>
  <si>
    <t>NSO0156</t>
  </si>
  <si>
    <t>NSO0157</t>
  </si>
  <si>
    <t>NSO0158</t>
  </si>
  <si>
    <t>NSO0159</t>
  </si>
  <si>
    <t>NSO0160</t>
  </si>
  <si>
    <t>NSN0081</t>
  </si>
  <si>
    <t>NSN0082</t>
  </si>
  <si>
    <t>NSN0083</t>
  </si>
  <si>
    <t>NSN0084</t>
  </si>
  <si>
    <t>NSN0085</t>
  </si>
  <si>
    <t>NSN0086</t>
  </si>
  <si>
    <t>NSN0087</t>
  </si>
  <si>
    <t>NSN0088</t>
  </si>
  <si>
    <t>NSN0089</t>
  </si>
  <si>
    <t>NSN0090</t>
  </si>
  <si>
    <t>NSN0091</t>
  </si>
  <si>
    <t>NSN0092</t>
  </si>
  <si>
    <t>NSN0093</t>
  </si>
  <si>
    <t>NSN0094</t>
  </si>
  <si>
    <t>NSN0095</t>
  </si>
  <si>
    <t>NSN0096</t>
  </si>
  <si>
    <t>US Citizen, Permanent Resident Alien</t>
  </si>
  <si>
    <t>NQN0268</t>
  </si>
  <si>
    <t>NQN0269</t>
  </si>
  <si>
    <t>NQN0270</t>
  </si>
  <si>
    <t>NQN0271</t>
  </si>
  <si>
    <t>NQN0272</t>
  </si>
  <si>
    <t>NQN0273</t>
  </si>
  <si>
    <t>NQN0274</t>
  </si>
  <si>
    <t>NQN0275</t>
  </si>
  <si>
    <t>NQN0276</t>
  </si>
  <si>
    <t>NQN0277</t>
  </si>
  <si>
    <t>NQN0278</t>
  </si>
  <si>
    <t>NQN0279</t>
  </si>
  <si>
    <t>NQN0280</t>
  </si>
  <si>
    <t>NQN0281</t>
  </si>
  <si>
    <t>NQN0282</t>
  </si>
  <si>
    <t>NQN0283</t>
  </si>
  <si>
    <t>NQN0284</t>
  </si>
  <si>
    <t>NQN0285</t>
  </si>
  <si>
    <t>NQN0286</t>
  </si>
  <si>
    <t>NQN0287</t>
  </si>
  <si>
    <t>NQN0288</t>
  </si>
  <si>
    <t>NQN0289</t>
  </si>
  <si>
    <t>NQN0290</t>
  </si>
  <si>
    <t>NQN0291</t>
  </si>
  <si>
    <t>NQN0292</t>
  </si>
  <si>
    <t>NQN0293</t>
  </si>
  <si>
    <t>NQN0294</t>
  </si>
  <si>
    <t>NQN0295</t>
  </si>
  <si>
    <t>NQN0296</t>
  </si>
  <si>
    <t>NQN0297</t>
  </si>
  <si>
    <t>NQN0298</t>
  </si>
  <si>
    <t>NQN0299</t>
  </si>
  <si>
    <t>NQN0300</t>
  </si>
  <si>
    <t>NQN0301</t>
  </si>
  <si>
    <t>NQN0302</t>
  </si>
  <si>
    <t>NQN0303</t>
  </si>
  <si>
    <t>NQN0304</t>
  </si>
  <si>
    <t>NQN0305</t>
  </si>
  <si>
    <t>NQN0306</t>
  </si>
  <si>
    <t>NQN0307</t>
  </si>
  <si>
    <t>NQN0308</t>
  </si>
  <si>
    <t>NQN0309</t>
  </si>
  <si>
    <t>NQN0310</t>
  </si>
  <si>
    <t>NQN0311</t>
  </si>
  <si>
    <t>NQN0312</t>
  </si>
  <si>
    <t>NQN0313</t>
  </si>
  <si>
    <t>NQN0314</t>
  </si>
  <si>
    <t>NQN0315</t>
  </si>
  <si>
    <t>NQN0316</t>
  </si>
  <si>
    <t>NQN0317</t>
  </si>
  <si>
    <t>NQN0318</t>
  </si>
  <si>
    <t>NQN0319</t>
  </si>
  <si>
    <t>NQN0320</t>
  </si>
  <si>
    <t>NQN0321</t>
  </si>
  <si>
    <t>Min DTI</t>
  </si>
  <si>
    <t>Cashout Amt Multiple60x12</t>
  </si>
  <si>
    <t>No Prepay,1yr Prepay, 2yr Prepay, 3yr Prepay, 4yr Prepay, 5yr Prepay, 1yr Prepay_5Pct, 2yr Prepay_5Pct, 3yr Prepay_5Pct, 4yr Prepay_5Pct, 5yr Prepay_5Pct, 1yr Prepay_1, 2yr Prepay_21, 3yr Prepay_321, 4yr Prepay_4321, 5yr Prepay_54321, 1yr Prepay_Standard, 2yr Prepay_Standard, 3yr Prepay_Standard, 4yr Prepay_Standard,  5yr Prepay_Standard</t>
  </si>
  <si>
    <t>DSCR Prepay Required</t>
  </si>
  <si>
    <t>Events 12-23mo Cashout</t>
  </si>
  <si>
    <t>Not Cash-Out</t>
  </si>
  <si>
    <t>Max Credit Score</t>
  </si>
  <si>
    <t>Events 24-35mo FC/SS/DIL</t>
  </si>
  <si>
    <t>Events 36-47mo FC/SS/DIL</t>
  </si>
  <si>
    <t>Events 12-23mo FC/SS/DIL</t>
  </si>
  <si>
    <t>Events 36-47mo BK</t>
  </si>
  <si>
    <t>Events 24-35mo BK</t>
  </si>
  <si>
    <t>Events 12-23mo BK</t>
  </si>
  <si>
    <t>PT_Events 36-47mo FC/SS/DIL</t>
  </si>
  <si>
    <t>PT_Events 24-35mo FC/SS/DIL</t>
  </si>
  <si>
    <t>PT_Events 12-23mo FC/SS/DIL</t>
  </si>
  <si>
    <t>PT_Events 36-47mo BK</t>
  </si>
  <si>
    <t>PT_Events 24-35mo BK</t>
  </si>
  <si>
    <t>PT_Events 12-23mo BK</t>
  </si>
  <si>
    <t>IT_Events 36-47mo FC/SS/DIL</t>
  </si>
  <si>
    <t>IT_Events 24-35mo FC/SS/DIL</t>
  </si>
  <si>
    <t>IT_Events 12-23mo FC/SS/DIL</t>
  </si>
  <si>
    <t>IT_Events 36-47mo BK</t>
  </si>
  <si>
    <t>IT_Events 24-35mo BK</t>
  </si>
  <si>
    <t>IT_Events 12-23mo BK</t>
  </si>
  <si>
    <t>PH_Events 36-47mo FC/SS/DIL</t>
  </si>
  <si>
    <t>PH_Events 24-35mo FC/SS/DIL</t>
  </si>
  <si>
    <t>PH_Events 12-23mo FC/SS/DIL</t>
  </si>
  <si>
    <t>PH_Events 36-47mo BK</t>
  </si>
  <si>
    <t>PH_Events 24-35mo BK</t>
  </si>
  <si>
    <t>PH_Events 12-23mo BK</t>
  </si>
  <si>
    <t>IH_Events 36-47mo FC/SS/DIL</t>
  </si>
  <si>
    <t>IH_Events 24-35mo FC/SS/DIL</t>
  </si>
  <si>
    <t>IH_Events 12-23mo FC/SS/DIL</t>
  </si>
  <si>
    <t>IH_Events 36-47mo BK</t>
  </si>
  <si>
    <t>IH_Events 24-35mo BK</t>
  </si>
  <si>
    <t>IH_Events 12-23mo BK</t>
  </si>
  <si>
    <t>PN_Events 36-47mo FC/SS/DIL</t>
  </si>
  <si>
    <t>PN_Events 24-35mo FC/SS/DIL</t>
  </si>
  <si>
    <t>PN_Events 12-23mo FC/SS/DIL</t>
  </si>
  <si>
    <t>PN_Events 36-47mo BK</t>
  </si>
  <si>
    <t>PN_Events 24-35mo BK</t>
  </si>
  <si>
    <t>PN_Events 12-23mo BK</t>
  </si>
  <si>
    <t>IN_Events 36-47mo FC/SS/DIL</t>
  </si>
  <si>
    <t>IN_Events 24-35mo FC/SS/DIL</t>
  </si>
  <si>
    <t>IN_Events 12-23mo FC/SS/DIL</t>
  </si>
  <si>
    <t>IN_Events 36-47mo BK</t>
  </si>
  <si>
    <t>IN_Events 24-35mo BK</t>
  </si>
  <si>
    <t>IN_Events 12-23mo BK</t>
  </si>
  <si>
    <t>No Events 48mo+, Events 36-47mo FC/SS/DIL, Events 24-35mo FC/SS/DIL, Events 12-23mo FC/SS/DIL, Events 36-47mo BK, Events 24-35mo BK, Events 12-23mo BK</t>
  </si>
  <si>
    <t>No Events 48mo+, Events 36-47mo FC/SS/DIL, Events 24-35mo FC/SS/DIL, Events 36-47mo BK, Events 24-35mo BK</t>
  </si>
  <si>
    <t>No Events 48mo+, Events 36-47mo FC/SS/DIL, Events 36-47mo BK</t>
  </si>
  <si>
    <t>See Matrix: FC/SS/DIL</t>
  </si>
  <si>
    <t>See Matrix: BK</t>
  </si>
  <si>
    <t>V2025_01A</t>
  </si>
  <si>
    <t>DEN0031</t>
  </si>
  <si>
    <t>DEN0032</t>
  </si>
  <si>
    <t>DEN0033</t>
  </si>
  <si>
    <t>DEN0034</t>
  </si>
  <si>
    <t>DEN0035</t>
  </si>
  <si>
    <t>DEN0036</t>
  </si>
  <si>
    <t>DEN0037</t>
  </si>
  <si>
    <t>DEN0038</t>
  </si>
  <si>
    <t>DEN0039</t>
  </si>
  <si>
    <t>DEN0040</t>
  </si>
  <si>
    <t>DEN0041</t>
  </si>
  <si>
    <t>DEN0042</t>
  </si>
  <si>
    <t>DEN0043</t>
  </si>
  <si>
    <t>DEN0044</t>
  </si>
  <si>
    <t>DEN0045</t>
  </si>
  <si>
    <t>DEN0046</t>
  </si>
  <si>
    <t>DEN0047</t>
  </si>
  <si>
    <t>DEN0048</t>
  </si>
  <si>
    <t>DEN0049</t>
  </si>
  <si>
    <t>DEN0050</t>
  </si>
  <si>
    <t>DEN0051</t>
  </si>
  <si>
    <t>DEN0052</t>
  </si>
  <si>
    <t>DEN0053</t>
  </si>
  <si>
    <t>DEN0054</t>
  </si>
  <si>
    <t>DEN0055</t>
  </si>
  <si>
    <t>DEN0056</t>
  </si>
  <si>
    <t>DEN0057</t>
  </si>
  <si>
    <t>DEN0058</t>
  </si>
  <si>
    <t>DEN0059</t>
  </si>
  <si>
    <t>DEN0060</t>
  </si>
  <si>
    <t>PricePoint</t>
  </si>
  <si>
    <t>The information in this document is intended for use by licensed mortgage bankers and mortgage loans officers, and may not to be viewed, used, or relied upon by consumers. The information disclosed in this document is subject to change without notice. Not available in all states.</t>
  </si>
  <si>
    <t>Life Force 2nds</t>
  </si>
  <si>
    <t xml:space="preserve">  </t>
  </si>
  <si>
    <t>LEAD PLUS Seconds Calculator</t>
  </si>
  <si>
    <t>LEAD PLUS Seconds Calculator will generate pricing scenarios outside of guideline restrictions. Compliance is a general guideline, and must be verified with Lead Plus</t>
  </si>
  <si>
    <t>Please confirm pricing scenarios meet Lead Plus Wholesale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</si>
</sst>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
    <numFmt numFmtId="165" formatCode="\+0.000;\-0.000;&quot;-&quot;"/>
    <numFmt numFmtId="166" formatCode="#,##0.000"/>
    <numFmt numFmtId="167" formatCode="0.0000"/>
    <numFmt numFmtId="168" formatCode="0.00000"/>
    <numFmt numFmtId="169" formatCode="#,##0.0000"/>
    <numFmt numFmtId="170" formatCode="#,##0.00000"/>
    <numFmt numFmtId="171" formatCode="#,##0.000_);\(#,##0.000\)"/>
    <numFmt numFmtId="172" formatCode="#,###.000_);\(#,###.000\)"/>
    <numFmt numFmtId="173" formatCode="0.000%"/>
    <numFmt numFmtId="174" formatCode=".000%\ "/>
    <numFmt numFmtId="175" formatCode="#,##0.0000_);\(#,##0.0000\)"/>
  </numFmts>
  <fonts count="90" x14ac:knownFonts="1">
    <font>
      <sz val="11"/>
      <color theme="1"/>
      <name val="Calibri"/>
      <family val="2"/>
      <scheme val="minor"/>
    </font>
    <font>
      <sz val="8"/>
      <color theme="1"/>
      <name val="Arial"/>
      <family val="2"/>
    </font>
    <font>
      <sz val="8"/>
      <color theme="1"/>
      <name val="Arial"/>
      <family val="2"/>
    </font>
    <font>
      <sz val="11"/>
      <color theme="1"/>
      <name val="Calibri"/>
      <family val="2"/>
      <scheme val="minor"/>
    </font>
    <font>
      <b/>
      <sz val="8"/>
      <color theme="1"/>
      <name val="Arial"/>
      <family val="2"/>
    </font>
    <font>
      <sz val="8"/>
      <name val="Arial"/>
      <family val="2"/>
    </font>
    <font>
      <sz val="8"/>
      <color theme="1"/>
      <name val="Calibri"/>
      <family val="2"/>
      <scheme val="minor"/>
    </font>
    <font>
      <sz val="8"/>
      <color theme="0"/>
      <name val="Arial"/>
      <family val="2"/>
    </font>
    <font>
      <sz val="8"/>
      <color indexed="8"/>
      <name val="Calibri"/>
      <family val="2"/>
      <scheme val="minor"/>
    </font>
    <font>
      <sz val="8"/>
      <color rgb="FFC00000"/>
      <name val="Arial"/>
      <family val="2"/>
    </font>
    <font>
      <sz val="8"/>
      <name val="Calibri"/>
      <family val="2"/>
      <scheme val="minor"/>
    </font>
    <font>
      <sz val="8"/>
      <color theme="0" tint="-0.34998626667073579"/>
      <name val="Arial"/>
      <family val="2"/>
    </font>
    <font>
      <b/>
      <sz val="8"/>
      <color theme="1" tint="0.34998626667073579"/>
      <name val="Calibri"/>
      <family val="2"/>
      <scheme val="minor"/>
    </font>
    <font>
      <b/>
      <sz val="8"/>
      <color rgb="FFC00000"/>
      <name val="Arial"/>
      <family val="2"/>
    </font>
    <font>
      <b/>
      <sz val="8"/>
      <name val="Calibri"/>
      <family val="2"/>
      <scheme val="minor"/>
    </font>
    <font>
      <sz val="8"/>
      <color theme="1" tint="0.34998626667073579"/>
      <name val="Calibri"/>
      <family val="2"/>
      <scheme val="minor"/>
    </font>
    <font>
      <sz val="8"/>
      <color theme="1" tint="0.499984740745262"/>
      <name val="Calibri"/>
      <family val="2"/>
      <scheme val="minor"/>
    </font>
    <font>
      <b/>
      <sz val="8"/>
      <color theme="1"/>
      <name val="Calibri"/>
      <family val="2"/>
      <scheme val="minor"/>
    </font>
    <font>
      <sz val="9"/>
      <color theme="1" tint="0.34998626667073579"/>
      <name val="Calibri"/>
      <family val="2"/>
      <scheme val="minor"/>
    </font>
    <font>
      <sz val="9"/>
      <color theme="1"/>
      <name val="Calibri"/>
      <family val="2"/>
      <scheme val="minor"/>
    </font>
    <font>
      <sz val="8"/>
      <name val="Calibri"/>
      <family val="2"/>
    </font>
    <font>
      <sz val="8"/>
      <color theme="1" tint="0.249977111117893"/>
      <name val="Calibri"/>
      <family val="2"/>
      <scheme val="minor"/>
    </font>
    <font>
      <b/>
      <sz val="8"/>
      <color theme="0" tint="-4.9989318521683403E-2"/>
      <name val="Arial"/>
      <family val="2"/>
    </font>
    <font>
      <b/>
      <sz val="8"/>
      <color theme="7" tint="0.59999389629810485"/>
      <name val="Arial"/>
      <family val="2"/>
    </font>
    <font>
      <sz val="8"/>
      <color theme="0" tint="-0.249977111117893"/>
      <name val="Calibri"/>
      <family val="2"/>
      <scheme val="minor"/>
    </font>
    <font>
      <sz val="8"/>
      <color theme="0" tint="-0.14999847407452621"/>
      <name val="Calibri"/>
      <family val="2"/>
      <scheme val="minor"/>
    </font>
    <font>
      <b/>
      <sz val="8"/>
      <color theme="1" tint="0.499984740745262"/>
      <name val="Calibri"/>
      <family val="2"/>
      <scheme val="minor"/>
    </font>
    <font>
      <b/>
      <sz val="11"/>
      <color theme="0"/>
      <name val="Calibri"/>
      <family val="2"/>
      <scheme val="minor"/>
    </font>
    <font>
      <b/>
      <sz val="8"/>
      <color rgb="FFC00000"/>
      <name val="Calibri"/>
      <family val="2"/>
      <scheme val="minor"/>
    </font>
    <font>
      <sz val="8"/>
      <color rgb="FFC00000"/>
      <name val="Calibri"/>
      <family val="2"/>
      <scheme val="minor"/>
    </font>
    <font>
      <u/>
      <sz val="11"/>
      <color theme="10"/>
      <name val="Calibri"/>
      <family val="2"/>
      <scheme val="minor"/>
    </font>
    <font>
      <sz val="10"/>
      <color rgb="FF222222"/>
      <name val="Arial"/>
      <family val="2"/>
    </font>
    <font>
      <sz val="8"/>
      <color theme="0" tint="-4.9989318521683403E-2"/>
      <name val="Calibri"/>
      <family val="2"/>
      <scheme val="minor"/>
    </font>
    <font>
      <sz val="8"/>
      <color theme="0" tint="-0.499984740745262"/>
      <name val="Arial"/>
      <family val="2"/>
    </font>
    <font>
      <sz val="6"/>
      <color theme="1"/>
      <name val="Small Fonts"/>
    </font>
    <font>
      <sz val="8"/>
      <color theme="1"/>
      <name val="Microsoft Sans Serif"/>
      <family val="2"/>
    </font>
    <font>
      <sz val="8"/>
      <color theme="0" tint="-0.34998626667073579"/>
      <name val="Calibri"/>
      <family val="2"/>
      <scheme val="minor"/>
    </font>
    <font>
      <b/>
      <sz val="8"/>
      <color theme="0" tint="-0.14999847407452621"/>
      <name val="Calibri"/>
      <family val="2"/>
      <scheme val="minor"/>
    </font>
    <font>
      <sz val="8"/>
      <color theme="4" tint="-0.499984740745262"/>
      <name val="Calibri"/>
      <family val="2"/>
      <scheme val="minor"/>
    </font>
    <font>
      <sz val="8"/>
      <color theme="0" tint="-0.499984740745262"/>
      <name val="Calibri"/>
      <family val="2"/>
      <scheme val="minor"/>
    </font>
    <font>
      <b/>
      <sz val="8"/>
      <color indexed="8"/>
      <name val="Calibri"/>
      <family val="2"/>
      <scheme val="minor"/>
    </font>
    <font>
      <sz val="7"/>
      <color theme="0" tint="-0.499984740745262"/>
      <name val="Arial"/>
      <family val="2"/>
    </font>
    <font>
      <sz val="8"/>
      <color rgb="FFFF0000"/>
      <name val="Arial"/>
      <family val="2"/>
    </font>
    <font>
      <b/>
      <sz val="8"/>
      <color theme="0"/>
      <name val="Calibri"/>
      <family val="2"/>
      <scheme val="minor"/>
    </font>
    <font>
      <sz val="8"/>
      <color theme="0"/>
      <name val="Calibri"/>
      <family val="2"/>
      <scheme val="minor"/>
    </font>
    <font>
      <b/>
      <sz val="8"/>
      <name val="Calibri"/>
      <family val="2"/>
    </font>
    <font>
      <sz val="8"/>
      <color theme="1" tint="0.34998626667073579"/>
      <name val="Calibri"/>
      <family val="2"/>
    </font>
    <font>
      <b/>
      <sz val="10"/>
      <color rgb="FFC00000"/>
      <name val="Calibri"/>
      <family val="2"/>
      <scheme val="minor"/>
    </font>
    <font>
      <sz val="8"/>
      <color rgb="FF2E471D"/>
      <name val="Calibri"/>
      <family val="2"/>
      <scheme val="minor"/>
    </font>
    <font>
      <b/>
      <sz val="8"/>
      <color theme="1" tint="0.249977111117893"/>
      <name val="Calibri"/>
      <family val="2"/>
      <scheme val="minor"/>
    </font>
    <font>
      <b/>
      <sz val="8"/>
      <color rgb="FF2E471D"/>
      <name val="Calibri"/>
      <family val="2"/>
      <scheme val="minor"/>
    </font>
    <font>
      <b/>
      <sz val="8"/>
      <color theme="1" tint="4.9989318521683403E-2"/>
      <name val="Calibri"/>
      <family val="2"/>
      <scheme val="minor"/>
    </font>
    <font>
      <sz val="8"/>
      <color theme="1" tint="4.9989318521683403E-2"/>
      <name val="Calibri"/>
      <family val="2"/>
      <scheme val="minor"/>
    </font>
    <font>
      <b/>
      <sz val="8"/>
      <color rgb="FFFF0000"/>
      <name val="Calibri"/>
      <family val="2"/>
      <scheme val="minor"/>
    </font>
    <font>
      <sz val="8"/>
      <color rgb="FF467D43"/>
      <name val="Calibri"/>
      <family val="2"/>
      <scheme val="minor"/>
    </font>
    <font>
      <sz val="8"/>
      <color theme="1"/>
      <name val="Calibri"/>
      <family val="2"/>
    </font>
    <font>
      <sz val="8"/>
      <color indexed="8"/>
      <name val="Calibri"/>
      <family val="2"/>
    </font>
    <font>
      <b/>
      <sz val="9"/>
      <color theme="0"/>
      <name val="Calibri"/>
      <family val="2"/>
    </font>
    <font>
      <sz val="9"/>
      <color theme="1"/>
      <name val="Calibri"/>
      <family val="2"/>
    </font>
    <font>
      <b/>
      <sz val="8"/>
      <color rgb="FFC00000"/>
      <name val="Calibri"/>
      <family val="2"/>
    </font>
    <font>
      <b/>
      <sz val="8"/>
      <color rgb="FFFF0000"/>
      <name val="Calibri"/>
      <family val="2"/>
    </font>
    <font>
      <sz val="8"/>
      <color theme="0"/>
      <name val="Calibri"/>
      <family val="2"/>
    </font>
    <font>
      <b/>
      <sz val="8"/>
      <color rgb="FFFFFF00"/>
      <name val="Calibri"/>
      <family val="2"/>
    </font>
    <font>
      <sz val="8"/>
      <color rgb="FFFFFF00"/>
      <name val="Calibri"/>
      <family val="2"/>
    </font>
    <font>
      <sz val="8"/>
      <color rgb="FFC00000"/>
      <name val="Calibri"/>
      <family val="2"/>
    </font>
    <font>
      <b/>
      <sz val="8"/>
      <color rgb="FFDA0000"/>
      <name val="Calibri"/>
      <family val="2"/>
    </font>
    <font>
      <b/>
      <sz val="8"/>
      <color theme="1"/>
      <name val="Calibri"/>
      <family val="2"/>
    </font>
    <font>
      <b/>
      <sz val="8"/>
      <color rgb="FF3E5F27"/>
      <name val="Calibri"/>
      <family val="2"/>
    </font>
    <font>
      <sz val="8"/>
      <color theme="1" tint="0.499984740745262"/>
      <name val="Calibri"/>
      <family val="2"/>
    </font>
    <font>
      <sz val="8"/>
      <color theme="0" tint="-0.249977111117893"/>
      <name val="Calibri"/>
      <family val="2"/>
    </font>
    <font>
      <sz val="8"/>
      <color rgb="FF3E5F27"/>
      <name val="Calibri"/>
      <family val="2"/>
    </font>
    <font>
      <sz val="8"/>
      <color rgb="FF202124"/>
      <name val="Calibri"/>
      <family val="2"/>
    </font>
    <font>
      <b/>
      <sz val="8"/>
      <color theme="0"/>
      <name val="Calibri"/>
      <family val="2"/>
    </font>
    <font>
      <sz val="8"/>
      <color rgb="FF000000"/>
      <name val="Calibri"/>
      <family val="2"/>
    </font>
    <font>
      <sz val="8"/>
      <color theme="0" tint="-0.34998626667073579"/>
      <name val="Calibri"/>
      <family val="2"/>
    </font>
    <font>
      <b/>
      <sz val="8"/>
      <color theme="0" tint="-0.249977111117893"/>
      <name val="Calibri"/>
      <family val="2"/>
      <scheme val="minor"/>
    </font>
    <font>
      <sz val="9"/>
      <color theme="7" tint="0.79998168889431442"/>
      <name val="Calibri"/>
      <family val="2"/>
      <scheme val="minor"/>
    </font>
    <font>
      <sz val="8"/>
      <color rgb="FFFF0000"/>
      <name val="Calibri"/>
      <family val="2"/>
    </font>
    <font>
      <b/>
      <sz val="8"/>
      <color theme="7" tint="0.59999389629810485"/>
      <name val="Calibri"/>
      <family val="2"/>
    </font>
    <font>
      <sz val="8"/>
      <color theme="1" tint="0.249977111117893"/>
      <name val="Calibri"/>
      <family val="2"/>
    </font>
    <font>
      <b/>
      <sz val="8"/>
      <color theme="1" tint="0.249977111117893"/>
      <name val="Calibri"/>
      <family val="2"/>
    </font>
    <font>
      <b/>
      <sz val="8"/>
      <color rgb="FF595959"/>
      <name val="Calibri"/>
      <family val="2"/>
    </font>
    <font>
      <b/>
      <sz val="8"/>
      <color theme="1" tint="4.9989318521683403E-2"/>
      <name val="Calibri"/>
      <family val="2"/>
    </font>
    <font>
      <b/>
      <sz val="24"/>
      <color theme="1" tint="0.249977111117893"/>
      <name val="Calibri"/>
      <family val="2"/>
      <scheme val="minor"/>
    </font>
    <font>
      <b/>
      <sz val="8"/>
      <color theme="1"/>
      <name val="Microsoft Sans Serif"/>
      <family val="2"/>
    </font>
    <font>
      <sz val="8"/>
      <color rgb="FF212121"/>
      <name val="Calibri"/>
      <family val="2"/>
      <scheme val="minor"/>
    </font>
    <font>
      <b/>
      <sz val="24"/>
      <color theme="9" tint="-0.499984740745262"/>
      <name val="Calibri"/>
      <family val="2"/>
      <scheme val="minor"/>
    </font>
    <font>
      <b/>
      <sz val="8"/>
      <color theme="9" tint="-0.499984740745262"/>
      <name val="Calibri"/>
      <family val="2"/>
      <scheme val="minor"/>
    </font>
    <font>
      <sz val="8"/>
      <color theme="9" tint="-0.499984740745262"/>
      <name val="Calibri"/>
      <family val="2"/>
      <scheme val="minor"/>
    </font>
    <font>
      <b/>
      <sz val="26"/>
      <color theme="9" tint="-0.499984740745262"/>
      <name val="Calibri"/>
      <family val="2"/>
      <scheme val="minor"/>
    </font>
  </fonts>
  <fills count="61">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6FAF4"/>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rgb="FFE1E1E1"/>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rgb="FFFFE5E5"/>
        <bgColor indexed="64"/>
      </patternFill>
    </fill>
    <fill>
      <patternFill patternType="solid">
        <fgColor theme="4" tint="-0.249977111117893"/>
        <bgColor indexed="64"/>
      </patternFill>
    </fill>
    <fill>
      <patternFill patternType="solid">
        <fgColor rgb="FFFFC000"/>
        <bgColor indexed="64"/>
      </patternFill>
    </fill>
    <fill>
      <patternFill patternType="solid">
        <fgColor theme="1" tint="0.34998626667073579"/>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C00000"/>
        <bgColor indexed="64"/>
      </patternFill>
    </fill>
    <fill>
      <patternFill patternType="solid">
        <fgColor rgb="FFFF0000"/>
        <bgColor indexed="64"/>
      </patternFill>
    </fill>
    <fill>
      <patternFill patternType="solid">
        <fgColor theme="7" tint="0.59999389629810485"/>
        <bgColor indexed="64"/>
      </patternFill>
    </fill>
    <fill>
      <patternFill patternType="solid">
        <fgColor rgb="FFE6AF00"/>
        <bgColor indexed="64"/>
      </patternFill>
    </fill>
    <fill>
      <patternFill patternType="solid">
        <fgColor rgb="FFFFFFFF"/>
        <bgColor indexed="64"/>
      </patternFill>
    </fill>
    <fill>
      <patternFill patternType="solid">
        <fgColor rgb="FFFFE38B"/>
        <bgColor indexed="64"/>
      </patternFill>
    </fill>
    <fill>
      <patternFill patternType="solid">
        <fgColor rgb="FFFFF6DD"/>
        <bgColor indexed="64"/>
      </patternFill>
    </fill>
    <fill>
      <patternFill patternType="solid">
        <fgColor theme="7" tint="0.39997558519241921"/>
        <bgColor indexed="64"/>
      </patternFill>
    </fill>
    <fill>
      <patternFill patternType="solid">
        <fgColor rgb="FFFFD757"/>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theme="7" tint="-0.499984740745262"/>
        <bgColor indexed="64"/>
      </patternFill>
    </fill>
    <fill>
      <patternFill patternType="solid">
        <fgColor rgb="FFDFDA00"/>
        <bgColor indexed="64"/>
      </patternFill>
    </fill>
    <fill>
      <patternFill patternType="solid">
        <fgColor rgb="FFFFFF93"/>
        <bgColor indexed="64"/>
      </patternFill>
    </fill>
    <fill>
      <patternFill patternType="solid">
        <fgColor theme="1"/>
        <bgColor indexed="64"/>
      </patternFill>
    </fill>
    <fill>
      <patternFill patternType="solid">
        <fgColor rgb="FFFEFCCE"/>
        <bgColor indexed="64"/>
      </patternFill>
    </fill>
    <fill>
      <patternFill patternType="solid">
        <fgColor rgb="FFFFC1C1"/>
        <bgColor indexed="64"/>
      </patternFill>
    </fill>
    <fill>
      <patternFill patternType="solid">
        <fgColor rgb="FFFF9393"/>
        <bgColor indexed="64"/>
      </patternFill>
    </fill>
    <fill>
      <patternFill patternType="solid">
        <fgColor rgb="FFFF5B5B"/>
        <bgColor indexed="64"/>
      </patternFill>
    </fill>
    <fill>
      <patternFill patternType="solid">
        <fgColor rgb="FFFF2121"/>
        <bgColor indexed="64"/>
      </patternFill>
    </fill>
    <fill>
      <patternFill patternType="solid">
        <fgColor rgb="FFE20000"/>
        <bgColor indexed="64"/>
      </patternFill>
    </fill>
    <fill>
      <patternFill patternType="solid">
        <fgColor rgb="FFFF8989"/>
        <bgColor indexed="64"/>
      </patternFill>
    </fill>
    <fill>
      <patternFill patternType="solid">
        <fgColor rgb="FFFFD54F"/>
        <bgColor indexed="64"/>
      </patternFill>
    </fill>
    <fill>
      <patternFill patternType="solid">
        <fgColor rgb="FFF2F2F2"/>
        <bgColor indexed="64"/>
      </patternFill>
    </fill>
    <fill>
      <patternFill patternType="solid">
        <fgColor theme="0"/>
        <bgColor theme="0" tint="-0.14999847407452621"/>
      </patternFill>
    </fill>
    <fill>
      <patternFill patternType="solid">
        <fgColor theme="0" tint="-4.9989318521683403E-2"/>
        <bgColor theme="0" tint="-0.14999847407452621"/>
      </patternFill>
    </fill>
  </fills>
  <borders count="563">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0" tint="-0.24994659260841701"/>
      </right>
      <top style="thin">
        <color theme="1" tint="0.34998626667073579"/>
      </top>
      <bottom style="thin">
        <color theme="0" tint="-0.24994659260841701"/>
      </bottom>
      <diagonal/>
    </border>
    <border>
      <left style="thin">
        <color theme="0" tint="-0.24994659260841701"/>
      </left>
      <right style="thin">
        <color theme="1" tint="0.34998626667073579"/>
      </right>
      <top style="thin">
        <color theme="1" tint="0.34998626667073579"/>
      </top>
      <bottom style="thin">
        <color theme="0" tint="-0.24994659260841701"/>
      </bottom>
      <diagonal/>
    </border>
    <border>
      <left style="thin">
        <color theme="1"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tint="0.34998626667073579"/>
      </right>
      <top style="thin">
        <color theme="0" tint="-0.24994659260841701"/>
      </top>
      <bottom style="thin">
        <color theme="0" tint="-0.24994659260841701"/>
      </bottom>
      <diagonal/>
    </border>
    <border>
      <left style="thin">
        <color theme="1" tint="0.34998626667073579"/>
      </left>
      <right style="thin">
        <color theme="0" tint="-0.24994659260841701"/>
      </right>
      <top style="thin">
        <color theme="0" tint="-0.24994659260841701"/>
      </top>
      <bottom style="thin">
        <color theme="1" tint="0.34998626667073579"/>
      </bottom>
      <diagonal/>
    </border>
    <border>
      <left style="thin">
        <color theme="0" tint="-0.24994659260841701"/>
      </left>
      <right style="thin">
        <color theme="1" tint="0.34998626667073579"/>
      </right>
      <top style="thin">
        <color theme="0" tint="-0.24994659260841701"/>
      </top>
      <bottom style="thin">
        <color theme="1" tint="0.34998626667073579"/>
      </bottom>
      <diagonal/>
    </border>
    <border>
      <left style="thin">
        <color auto="1"/>
      </left>
      <right/>
      <top style="thin">
        <color auto="1"/>
      </top>
      <bottom style="thin">
        <color auto="1"/>
      </bottom>
      <diagonal/>
    </border>
    <border>
      <left style="thin">
        <color theme="1" tint="0.34998626667073579"/>
      </left>
      <right style="thin">
        <color theme="0" tint="-0.24994659260841701"/>
      </right>
      <top/>
      <bottom style="thin">
        <color theme="0" tint="-0.24994659260841701"/>
      </bottom>
      <diagonal/>
    </border>
    <border>
      <left style="thin">
        <color theme="0" tint="-0.24994659260841701"/>
      </left>
      <right style="thin">
        <color theme="1" tint="0.34998626667073579"/>
      </right>
      <top/>
      <bottom style="thin">
        <color theme="0" tint="-0.2499465926084170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theme="0" tint="-0.24994659260841701"/>
      </top>
      <bottom style="thin">
        <color auto="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theme="0" tint="-0.24994659260841701"/>
      </left>
      <right style="thin">
        <color theme="0" tint="-0.24994659260841701"/>
      </right>
      <top style="thin">
        <color theme="1" tint="0.34998626667073579"/>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1" tint="0.34998626667073579"/>
      </bottom>
      <diagonal/>
    </border>
    <border>
      <left style="thin">
        <color theme="0" tint="-0.24994659260841701"/>
      </left>
      <right style="thin">
        <color theme="0" tint="-0.24994659260841701"/>
      </right>
      <top style="thin">
        <color theme="0" tint="-0.2499465926084170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theme="0" tint="-0.24994659260841701"/>
      </bottom>
      <diagonal/>
    </border>
    <border>
      <left style="thin">
        <color theme="0" tint="-0.24994659260841701"/>
      </left>
      <right style="thin">
        <color auto="1"/>
      </right>
      <top style="thin">
        <color auto="1"/>
      </top>
      <bottom style="thin">
        <color auto="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right style="thin">
        <color indexed="64"/>
      </right>
      <top/>
      <bottom style="thin">
        <color theme="0" tint="-0.24994659260841701"/>
      </bottom>
      <diagonal/>
    </border>
    <border>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auto="1"/>
      </right>
      <top style="thin">
        <color theme="0" tint="-0.24994659260841701"/>
      </top>
      <bottom/>
      <diagonal/>
    </border>
    <border>
      <left style="thin">
        <color auto="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style="thin">
        <color indexed="64"/>
      </top>
      <bottom style="thin">
        <color indexed="64"/>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0" tint="-0.24994659260841701"/>
      </left>
      <right style="thin">
        <color theme="0" tint="-0.24994659260841701"/>
      </right>
      <top/>
      <bottom/>
      <diagonal/>
    </border>
    <border>
      <left style="thin">
        <color theme="0" tint="-0.24994659260841701"/>
      </left>
      <right/>
      <top style="thin">
        <color auto="1"/>
      </top>
      <bottom style="thin">
        <color auto="1"/>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style="thin">
        <color theme="0" tint="-0.24994659260841701"/>
      </left>
      <right style="thin">
        <color theme="0" tint="-0.24994659260841701"/>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right/>
      <top/>
      <bottom style="thin">
        <color theme="0" tint="-0.24994659260841701"/>
      </bottom>
      <diagonal/>
    </border>
    <border>
      <left/>
      <right style="thin">
        <color theme="0" tint="-0.24994659260841701"/>
      </right>
      <top style="thin">
        <color indexed="64"/>
      </top>
      <bottom style="thin">
        <color auto="1"/>
      </bottom>
      <diagonal/>
    </border>
    <border>
      <left style="thin">
        <color indexed="64"/>
      </left>
      <right style="thin">
        <color indexed="64"/>
      </right>
      <top/>
      <bottom/>
      <diagonal/>
    </border>
    <border>
      <left style="thin">
        <color indexed="64"/>
      </left>
      <right/>
      <top style="thin">
        <color theme="0" tint="-0.24994659260841701"/>
      </top>
      <bottom/>
      <diagonal/>
    </border>
    <border>
      <left/>
      <right/>
      <top style="thin">
        <color theme="0" tint="-0.24994659260841701"/>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style="thin">
        <color theme="0" tint="-0.499984740745262"/>
      </top>
      <bottom style="thin">
        <color theme="0" tint="-0.14996795556505021"/>
      </bottom>
      <diagonal/>
    </border>
    <border>
      <left style="thin">
        <color theme="0" tint="-0.499984740745262"/>
      </left>
      <right/>
      <top style="thin">
        <color theme="0" tint="-0.14996795556505021"/>
      </top>
      <bottom style="thin">
        <color theme="0" tint="-0.14996795556505021"/>
      </bottom>
      <diagonal/>
    </border>
    <border>
      <left/>
      <right style="thin">
        <color theme="0" tint="-0.499984740745262"/>
      </right>
      <top style="thin">
        <color theme="0" tint="-0.14996795556505021"/>
      </top>
      <bottom style="thin">
        <color theme="0" tint="-0.14996795556505021"/>
      </bottom>
      <diagonal/>
    </border>
    <border>
      <left style="thin">
        <color theme="0" tint="-0.499984740745262"/>
      </left>
      <right/>
      <top style="thin">
        <color theme="0" tint="-0.14996795556505021"/>
      </top>
      <bottom style="thin">
        <color theme="0" tint="-0.499984740745262"/>
      </bottom>
      <diagonal/>
    </border>
    <border>
      <left/>
      <right style="thin">
        <color theme="0" tint="-0.499984740745262"/>
      </right>
      <top style="thin">
        <color theme="0" tint="-0.14996795556505021"/>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24994659260841701"/>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style="thin">
        <color theme="0" tint="-0.499984740745262"/>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24994659260841701"/>
      </right>
      <top style="thin">
        <color theme="0" tint="-0.499984740745262"/>
      </top>
      <bottom style="thin">
        <color theme="0" tint="-0.24994659260841701"/>
      </bottom>
      <diagonal/>
    </border>
    <border>
      <left style="thin">
        <color theme="0" tint="-0.24994659260841701"/>
      </left>
      <right style="thin">
        <color theme="0" tint="-0.499984740745262"/>
      </right>
      <top style="thin">
        <color theme="0" tint="-0.499984740745262"/>
      </top>
      <bottom style="thin">
        <color theme="0" tint="-0.24994659260841701"/>
      </bottom>
      <diagonal/>
    </border>
    <border>
      <left style="thin">
        <color theme="0"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24994659260841701"/>
      </right>
      <top style="thin">
        <color theme="0" tint="-0.24994659260841701"/>
      </top>
      <bottom style="thin">
        <color theme="0" tint="-0.499984740745262"/>
      </bottom>
      <diagonal/>
    </border>
    <border>
      <left style="thin">
        <color theme="0" tint="-0.24994659260841701"/>
      </left>
      <right style="thin">
        <color theme="0" tint="-0.499984740745262"/>
      </right>
      <top style="thin">
        <color theme="0" tint="-0.24994659260841701"/>
      </top>
      <bottom style="thin">
        <color theme="0" tint="-0.499984740745262"/>
      </bottom>
      <diagonal/>
    </border>
    <border>
      <left/>
      <right/>
      <top style="thin">
        <color theme="0" tint="-0.499984740745262"/>
      </top>
      <bottom style="thin">
        <color theme="0" tint="-0.24994659260841701"/>
      </bottom>
      <diagonal/>
    </border>
    <border>
      <left style="thin">
        <color theme="0" tint="-0.499984740745262"/>
      </left>
      <right style="thin">
        <color theme="0" tint="-0.24994659260841701"/>
      </right>
      <top style="thin">
        <color theme="0" tint="-0.499984740745262"/>
      </top>
      <bottom/>
      <diagonal/>
    </border>
    <border>
      <left style="thin">
        <color theme="0" tint="-0.24994659260841701"/>
      </left>
      <right style="thin">
        <color theme="0" tint="-0.24994659260841701"/>
      </right>
      <top style="thin">
        <color theme="0" tint="-0.499984740745262"/>
      </top>
      <bottom/>
      <diagonal/>
    </border>
    <border>
      <left style="thin">
        <color theme="0" tint="-0.24994659260841701"/>
      </left>
      <right style="thin">
        <color theme="0" tint="-0.499984740745262"/>
      </right>
      <top style="thin">
        <color theme="0" tint="-0.499984740745262"/>
      </top>
      <bottom/>
      <diagonal/>
    </border>
    <border>
      <left style="thin">
        <color theme="0" tint="-0.499984740745262"/>
      </left>
      <right style="thin">
        <color theme="0" tint="-0.24994659260841701"/>
      </right>
      <top/>
      <bottom/>
      <diagonal/>
    </border>
    <border>
      <left style="thin">
        <color theme="0" tint="-0.24994659260841701"/>
      </left>
      <right style="thin">
        <color theme="0" tint="-0.24994659260841701"/>
      </right>
      <top style="thin">
        <color theme="0" tint="-0.499984740745262"/>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24994659260841701"/>
      </top>
      <bottom/>
      <diagonal/>
    </border>
    <border>
      <left/>
      <right/>
      <top style="thin">
        <color theme="0" tint="-0.24994659260841701"/>
      </top>
      <bottom style="thin">
        <color theme="0" tint="-0.499984740745262"/>
      </bottom>
      <diagonal/>
    </border>
    <border>
      <left/>
      <right style="thin">
        <color theme="0" tint="-0.499984740745262"/>
      </right>
      <top style="thin">
        <color theme="0" tint="-0.499984740745262"/>
      </top>
      <bottom style="thin">
        <color theme="0" tint="-0.24994659260841701"/>
      </bottom>
      <diagonal/>
    </border>
    <border>
      <left/>
      <right style="thin">
        <color theme="0" tint="-0.499984740745262"/>
      </right>
      <top style="thin">
        <color theme="0" tint="-0.24994659260841701"/>
      </top>
      <bottom style="thin">
        <color theme="0" tint="-0.24994659260841701"/>
      </bottom>
      <diagonal/>
    </border>
    <border>
      <left/>
      <right style="thin">
        <color theme="0" tint="-0.499984740745262"/>
      </right>
      <top style="thin">
        <color theme="0" tint="-0.24994659260841701"/>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style="thin">
        <color theme="0" tint="-0.14996795556505021"/>
      </top>
      <bottom style="thin">
        <color theme="0" tint="-0.1499679555650502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auto="1"/>
      </top>
      <bottom/>
      <diagonal/>
    </border>
    <border>
      <left/>
      <right style="thin">
        <color theme="0" tint="-0.34998626667073579"/>
      </right>
      <top style="thin">
        <color auto="1"/>
      </top>
      <bottom/>
      <diagonal/>
    </border>
    <border>
      <left style="thin">
        <color auto="1"/>
      </left>
      <right style="thin">
        <color theme="0" tint="-0.34998626667073579"/>
      </right>
      <top style="thin">
        <color auto="1"/>
      </top>
      <bottom style="thin">
        <color theme="0" tint="-0.34998626667073579"/>
      </bottom>
      <diagonal/>
    </border>
    <border>
      <left style="thin">
        <color theme="0" tint="-0.34998626667073579"/>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indexed="64"/>
      </left>
      <right style="thin">
        <color theme="0" tint="-0.499984740745262"/>
      </right>
      <top/>
      <bottom/>
      <diagonal/>
    </border>
    <border>
      <left/>
      <right style="thin">
        <color theme="0" tint="-0.24994659260841701"/>
      </right>
      <top style="thin">
        <color indexed="64"/>
      </top>
      <bottom/>
      <diagonal/>
    </border>
    <border>
      <left style="thin">
        <color auto="1"/>
      </left>
      <right style="thin">
        <color theme="0" tint="-0.34998626667073579"/>
      </right>
      <top style="thin">
        <color auto="1"/>
      </top>
      <bottom/>
      <diagonal/>
    </border>
    <border>
      <left style="thin">
        <color theme="0" tint="-0.34998626667073579"/>
      </left>
      <right style="thin">
        <color theme="0" tint="-0.34998626667073579"/>
      </right>
      <top style="thin">
        <color auto="1"/>
      </top>
      <bottom/>
      <diagonal/>
    </border>
    <border>
      <left style="thin">
        <color theme="0" tint="-0.34998626667073579"/>
      </left>
      <right style="thin">
        <color auto="1"/>
      </right>
      <top style="thin">
        <color auto="1"/>
      </top>
      <bottom/>
      <diagonal/>
    </border>
    <border>
      <left style="thin">
        <color theme="0" tint="-0.24994659260841701"/>
      </left>
      <right style="thin">
        <color theme="0" tint="-0.24994659260841701"/>
      </right>
      <top style="thin">
        <color theme="1" tint="0.499984740745262"/>
      </top>
      <bottom style="thin">
        <color theme="0" tint="-0.24994659260841701"/>
      </bottom>
      <diagonal/>
    </border>
    <border>
      <left style="thin">
        <color theme="0" tint="-0.24994659260841701"/>
      </left>
      <right style="thin">
        <color theme="1"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1" tint="0.499984740745262"/>
      </bottom>
      <diagonal/>
    </border>
    <border>
      <left style="thin">
        <color theme="1" tint="0.499984740745262"/>
      </left>
      <right style="thin">
        <color theme="0" tint="-0.14996795556505021"/>
      </right>
      <top style="thin">
        <color theme="1" tint="0.499984740745262"/>
      </top>
      <bottom style="thin">
        <color theme="0" tint="-0.14996795556505021"/>
      </bottom>
      <diagonal/>
    </border>
    <border>
      <left style="thin">
        <color theme="1" tint="0.499984740745262"/>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1" tint="0.499984740745262"/>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1" tint="0.499984740745262"/>
      </bottom>
      <diagonal/>
    </border>
    <border>
      <left style="thin">
        <color theme="0" tint="-0.14996795556505021"/>
      </left>
      <right style="thin">
        <color theme="1" tint="0.499984740745262"/>
      </right>
      <top style="thin">
        <color theme="0" tint="-0.14996795556505021"/>
      </top>
      <bottom style="thin">
        <color theme="1" tint="0.499984740745262"/>
      </bottom>
      <diagonal/>
    </border>
    <border>
      <left style="thin">
        <color theme="0" tint="-0.499984740745262"/>
      </left>
      <right style="thin">
        <color theme="0" tint="-0.24994659260841701"/>
      </right>
      <top style="thin">
        <color theme="0" tint="-0.24994659260841701"/>
      </top>
      <bottom/>
      <diagonal/>
    </border>
    <border>
      <left/>
      <right style="thin">
        <color theme="0" tint="-0.24994659260841701"/>
      </right>
      <top style="thin">
        <color theme="1" tint="0.499984740745262"/>
      </top>
      <bottom style="thin">
        <color theme="0" tint="-0.24994659260841701"/>
      </bottom>
      <diagonal/>
    </border>
    <border>
      <left/>
      <right style="thin">
        <color theme="0" tint="-0.24994659260841701"/>
      </right>
      <top style="thin">
        <color theme="0" tint="-0.24994659260841701"/>
      </top>
      <bottom style="thin">
        <color theme="1" tint="0.499984740745262"/>
      </bottom>
      <diagonal/>
    </border>
    <border>
      <left style="thin">
        <color theme="1" tint="0.34998626667073579"/>
      </left>
      <right/>
      <top/>
      <bottom/>
      <diagonal/>
    </border>
    <border>
      <left/>
      <right style="thin">
        <color theme="1" tint="0.34998626667073579"/>
      </right>
      <top/>
      <bottom/>
      <diagonal/>
    </border>
    <border>
      <left style="thin">
        <color theme="0" tint="-0.24994659260841701"/>
      </left>
      <right/>
      <top style="thin">
        <color theme="0" tint="-0.24994659260841701"/>
      </top>
      <bottom style="thin">
        <color theme="0" tint="-0.499984740745262"/>
      </bottom>
      <diagonal/>
    </border>
    <border>
      <left style="thin">
        <color theme="0" tint="-0.24994659260841701"/>
      </left>
      <right/>
      <top style="thin">
        <color theme="0" tint="-0.499984740745262"/>
      </top>
      <bottom style="thin">
        <color theme="0" tint="-0.24994659260841701"/>
      </bottom>
      <diagonal/>
    </border>
    <border>
      <left style="thin">
        <color theme="0" tint="-0.499984740745262"/>
      </left>
      <right/>
      <top style="thin">
        <color theme="0" tint="-0.24994659260841701"/>
      </top>
      <bottom style="thin">
        <color theme="0" tint="-0.24994659260841701"/>
      </bottom>
      <diagonal/>
    </border>
    <border>
      <left style="thin">
        <color theme="0" tint="-0.24994659260841701"/>
      </left>
      <right style="thin">
        <color theme="0" tint="-0.499984740745262"/>
      </right>
      <top style="thin">
        <color theme="0" tint="-0.24994659260841701"/>
      </top>
      <bottom/>
      <diagonal/>
    </border>
    <border>
      <left style="thin">
        <color theme="1" tint="0.34998626667073579"/>
      </left>
      <right style="thin">
        <color theme="1" tint="0.34998626667073579"/>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right/>
      <top style="thin">
        <color theme="1" tint="0.34998626667073579"/>
      </top>
      <bottom style="thin">
        <color theme="1" tint="0.34998626667073579"/>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theme="0" tint="-0.499984740745262"/>
      </right>
      <top style="thin">
        <color indexed="64"/>
      </top>
      <bottom style="thin">
        <color theme="0" tint="-0.24994659260841701"/>
      </bottom>
      <diagonal/>
    </border>
    <border>
      <left style="thin">
        <color theme="0" tint="-0.499984740745262"/>
      </left>
      <right style="thin">
        <color theme="0" tint="-0.499984740745262"/>
      </right>
      <top style="thin">
        <color theme="0" tint="-0.24994659260841701"/>
      </top>
      <bottom style="thin">
        <color auto="1"/>
      </bottom>
      <diagonal/>
    </border>
    <border>
      <left/>
      <right/>
      <top/>
      <bottom style="thin">
        <color theme="1" tint="0.34998626667073579"/>
      </bottom>
      <diagonal/>
    </border>
    <border>
      <left style="thin">
        <color indexed="64"/>
      </left>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theme="0" tint="-0.499984740745262"/>
      </bottom>
      <diagonal/>
    </border>
    <border>
      <left/>
      <right style="thin">
        <color theme="0" tint="-0.499984740745262"/>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1" tint="0.499984740745262"/>
      </left>
      <right style="thin">
        <color theme="0" tint="-0.14996795556505021"/>
      </right>
      <top style="thin">
        <color theme="0" tint="-0.14996795556505021"/>
      </top>
      <bottom style="thin">
        <color theme="1" tint="0.499984740745262"/>
      </bottom>
      <diagonal/>
    </border>
    <border>
      <left style="thin">
        <color auto="1"/>
      </left>
      <right style="thin">
        <color auto="1"/>
      </right>
      <top style="thin">
        <color auto="1"/>
      </top>
      <bottom style="thin">
        <color auto="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499984740745262"/>
      </left>
      <right/>
      <top style="thin">
        <color theme="0" tint="-0.499984740745262"/>
      </top>
      <bottom style="thin">
        <color theme="0" tint="-0.24994659260841701"/>
      </bottom>
      <diagonal/>
    </border>
    <border>
      <left style="thin">
        <color auto="1"/>
      </left>
      <right style="thin">
        <color theme="0" tint="-0.34998626667073579"/>
      </right>
      <top style="thin">
        <color theme="0" tint="-0.34998626667073579"/>
      </top>
      <bottom/>
      <diagonal/>
    </border>
    <border>
      <left style="thin">
        <color theme="0" tint="-0.34998626667073579"/>
      </left>
      <right style="thin">
        <color auto="1"/>
      </right>
      <top style="thin">
        <color theme="0" tint="-0.34998626667073579"/>
      </top>
      <bottom/>
      <diagonal/>
    </border>
    <border>
      <left style="thin">
        <color auto="1"/>
      </left>
      <right/>
      <top style="thin">
        <color theme="0" tint="-0.34998626667073579"/>
      </top>
      <bottom/>
      <diagonal/>
    </border>
    <border>
      <left style="thin">
        <color theme="1" tint="0.34998626667073579"/>
      </left>
      <right style="thin">
        <color theme="1" tint="0.34998626667073579"/>
      </right>
      <top style="thin">
        <color theme="1" tint="0.34998626667073579"/>
      </top>
      <bottom/>
      <diagonal/>
    </border>
    <border>
      <left/>
      <right style="thin">
        <color theme="0" tint="-0.34998626667073579"/>
      </right>
      <top style="thin">
        <color auto="1"/>
      </top>
      <bottom style="thin">
        <color theme="0" tint="-0.34998626667073579"/>
      </bottom>
      <diagonal/>
    </border>
    <border>
      <left/>
      <right style="thin">
        <color theme="0" tint="-0.24994659260841701"/>
      </right>
      <top style="thin">
        <color theme="0" tint="-0.499984740745262"/>
      </top>
      <bottom style="thin">
        <color theme="0" tint="-0.24994659260841701"/>
      </bottom>
      <diagonal/>
    </border>
    <border>
      <left style="thin">
        <color theme="1" tint="0.499984740745262"/>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1" tint="0.499984740745262"/>
      </right>
      <top style="thin">
        <color theme="0" tint="-0.499984740745262"/>
      </top>
      <bottom style="thin">
        <color theme="0" tint="-0.1499679555650502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thin">
        <color indexed="64"/>
      </bottom>
      <diagonal/>
    </border>
    <border>
      <left style="thin">
        <color theme="0" tint="-0.34998626667073579"/>
      </left>
      <right style="thin">
        <color theme="0" tint="-0.14996795556505021"/>
      </right>
      <top/>
      <bottom style="thin">
        <color theme="0" tint="-0.34998626667073579"/>
      </bottom>
      <diagonal/>
    </border>
    <border>
      <left style="thin">
        <color theme="0" tint="-0.14996795556505021"/>
      </left>
      <right style="thin">
        <color theme="0" tint="-0.14996795556505021"/>
      </right>
      <top/>
      <bottom style="thin">
        <color theme="0" tint="-0.34998626667073579"/>
      </bottom>
      <diagonal/>
    </border>
    <border>
      <left style="thin">
        <color theme="0" tint="-0.14996795556505021"/>
      </left>
      <right style="thin">
        <color theme="0" tint="-0.34998626667073579"/>
      </right>
      <top/>
      <bottom style="thin">
        <color theme="0" tint="-0.34998626667073579"/>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right/>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style="thin">
        <color theme="1"/>
      </left>
      <right style="thin">
        <color theme="1"/>
      </right>
      <top style="thin">
        <color theme="1"/>
      </top>
      <bottom style="thin">
        <color theme="1"/>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style="thin">
        <color theme="1"/>
      </left>
      <right style="thin">
        <color theme="0" tint="-0.24994659260841701"/>
      </right>
      <top/>
      <bottom style="thin">
        <color theme="1"/>
      </bottom>
      <diagonal/>
    </border>
    <border>
      <left style="thin">
        <color indexed="64"/>
      </left>
      <right/>
      <top/>
      <bottom style="thin">
        <color theme="1"/>
      </bottom>
      <diagonal/>
    </border>
    <border>
      <left style="thin">
        <color auto="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499984740745262"/>
      </bottom>
      <diagonal/>
    </border>
    <border>
      <left style="thin">
        <color theme="0" tint="-0.499984740745262"/>
      </left>
      <right/>
      <top style="thin">
        <color theme="0" tint="-0.24994659260841701"/>
      </top>
      <bottom style="thin">
        <color theme="0" tint="-0.499984740745262"/>
      </bottom>
      <diagonal/>
    </border>
    <border>
      <left style="thin">
        <color theme="0" tint="-0.499984740745262"/>
      </left>
      <right style="thin">
        <color theme="1"/>
      </right>
      <top style="thin">
        <color theme="0" tint="-0.499984740745262"/>
      </top>
      <bottom style="thin">
        <color theme="0" tint="-0.14996795556505021"/>
      </bottom>
      <diagonal/>
    </border>
    <border>
      <left style="thin">
        <color theme="1"/>
      </left>
      <right style="thin">
        <color theme="1"/>
      </right>
      <top style="thin">
        <color theme="0" tint="-0.499984740745262"/>
      </top>
      <bottom style="thin">
        <color theme="0" tint="-0.14996795556505021"/>
      </bottom>
      <diagonal/>
    </border>
    <border>
      <left style="thin">
        <color theme="1"/>
      </left>
      <right/>
      <top style="thin">
        <color theme="0" tint="-0.499984740745262"/>
      </top>
      <bottom style="thin">
        <color theme="0" tint="-0.14996795556505021"/>
      </bottom>
      <diagonal/>
    </border>
    <border>
      <left style="thin">
        <color auto="1"/>
      </left>
      <right style="thin">
        <color theme="0" tint="-0.24994659260841701"/>
      </right>
      <top style="thin">
        <color theme="0" tint="-0.499984740745262"/>
      </top>
      <bottom style="thin">
        <color theme="0" tint="-0.14996795556505021"/>
      </bottom>
      <diagonal/>
    </border>
    <border>
      <left style="thin">
        <color theme="0" tint="-0.24994659260841701"/>
      </left>
      <right style="thin">
        <color indexed="64"/>
      </right>
      <top style="thin">
        <color theme="0" tint="-0.499984740745262"/>
      </top>
      <bottom style="thin">
        <color theme="0" tint="-0.14996795556505021"/>
      </bottom>
      <diagonal/>
    </border>
    <border>
      <left style="thin">
        <color theme="0" tint="-0.24994659260841701"/>
      </left>
      <right style="thin">
        <color theme="0" tint="-0.499984740745262"/>
      </right>
      <top style="thin">
        <color theme="0" tint="-0.499984740745262"/>
      </top>
      <bottom style="thin">
        <color theme="0" tint="-0.14996795556505021"/>
      </bottom>
      <diagonal/>
    </border>
    <border>
      <left style="thin">
        <color theme="0" tint="-0.499984740745262"/>
      </left>
      <right style="thin">
        <color theme="1"/>
      </right>
      <top style="thin">
        <color theme="0" tint="-0.14996795556505021"/>
      </top>
      <bottom style="thin">
        <color theme="0" tint="-0.14996795556505021"/>
      </bottom>
      <diagonal/>
    </border>
    <border>
      <left style="thin">
        <color theme="1"/>
      </left>
      <right style="thin">
        <color theme="1"/>
      </right>
      <top style="thin">
        <color theme="0" tint="-0.14996795556505021"/>
      </top>
      <bottom style="thin">
        <color theme="0" tint="-0.14996795556505021"/>
      </bottom>
      <diagonal/>
    </border>
    <border>
      <left style="thin">
        <color theme="1"/>
      </left>
      <right/>
      <top style="thin">
        <color theme="0" tint="-0.14996795556505021"/>
      </top>
      <bottom style="thin">
        <color theme="0" tint="-0.14996795556505021"/>
      </bottom>
      <diagonal/>
    </border>
    <border>
      <left style="thin">
        <color auto="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auto="1"/>
      </right>
      <top style="thin">
        <color theme="0" tint="-0.14996795556505021"/>
      </top>
      <bottom style="thin">
        <color theme="0" tint="-0.14996795556505021"/>
      </bottom>
      <diagonal/>
    </border>
    <border>
      <left style="thin">
        <color theme="0" tint="-0.24994659260841701"/>
      </left>
      <right style="thin">
        <color theme="0" tint="-0.499984740745262"/>
      </right>
      <top style="thin">
        <color theme="0" tint="-0.14996795556505021"/>
      </top>
      <bottom style="thin">
        <color theme="0" tint="-0.14996795556505021"/>
      </bottom>
      <diagonal/>
    </border>
    <border>
      <left style="thin">
        <color theme="0" tint="-0.499984740745262"/>
      </left>
      <right style="thin">
        <color theme="1"/>
      </right>
      <top style="thin">
        <color theme="0" tint="-0.14996795556505021"/>
      </top>
      <bottom style="thin">
        <color theme="0" tint="-0.499984740745262"/>
      </bottom>
      <diagonal/>
    </border>
    <border>
      <left style="thin">
        <color theme="1"/>
      </left>
      <right style="thin">
        <color theme="1"/>
      </right>
      <top style="thin">
        <color theme="0" tint="-0.14996795556505021"/>
      </top>
      <bottom style="thin">
        <color theme="0" tint="-0.499984740745262"/>
      </bottom>
      <diagonal/>
    </border>
    <border>
      <left style="thin">
        <color theme="1"/>
      </left>
      <right/>
      <top style="thin">
        <color theme="0" tint="-0.14996795556505021"/>
      </top>
      <bottom style="thin">
        <color theme="0" tint="-0.499984740745262"/>
      </bottom>
      <diagonal/>
    </border>
    <border>
      <left style="thin">
        <color auto="1"/>
      </left>
      <right style="thin">
        <color theme="0" tint="-0.24994659260841701"/>
      </right>
      <top style="thin">
        <color theme="0" tint="-0.14996795556505021"/>
      </top>
      <bottom style="thin">
        <color theme="0" tint="-0.499984740745262"/>
      </bottom>
      <diagonal/>
    </border>
    <border>
      <left style="thin">
        <color theme="0" tint="-0.24994659260841701"/>
      </left>
      <right style="thin">
        <color auto="1"/>
      </right>
      <top style="thin">
        <color theme="0" tint="-0.14996795556505021"/>
      </top>
      <bottom style="thin">
        <color theme="0" tint="-0.499984740745262"/>
      </bottom>
      <diagonal/>
    </border>
    <border>
      <left style="thin">
        <color theme="0" tint="-0.24994659260841701"/>
      </left>
      <right style="thin">
        <color theme="0" tint="-0.499984740745262"/>
      </right>
      <top style="thin">
        <color theme="0" tint="-0.14996795556505021"/>
      </top>
      <bottom style="thin">
        <color theme="0" tint="-0.499984740745262"/>
      </bottom>
      <diagonal/>
    </border>
    <border>
      <left style="thin">
        <color theme="1"/>
      </left>
      <right style="thin">
        <color theme="1"/>
      </right>
      <top/>
      <bottom style="thin">
        <color theme="0" tint="-0.14996795556505021"/>
      </bottom>
      <diagonal/>
    </border>
    <border>
      <left style="thin">
        <color theme="1"/>
      </left>
      <right/>
      <top/>
      <bottom style="thin">
        <color theme="0" tint="-0.14996795556505021"/>
      </bottom>
      <diagonal/>
    </border>
    <border>
      <left style="thin">
        <color auto="1"/>
      </left>
      <right style="thin">
        <color theme="0" tint="-0.24994659260841701"/>
      </right>
      <top/>
      <bottom style="thin">
        <color theme="0" tint="-0.14996795556505021"/>
      </bottom>
      <diagonal/>
    </border>
    <border>
      <left style="thin">
        <color theme="0" tint="-0.24994659260841701"/>
      </left>
      <right style="thin">
        <color indexed="64"/>
      </right>
      <top/>
      <bottom style="thin">
        <color theme="0" tint="-0.14996795556505021"/>
      </bottom>
      <diagonal/>
    </border>
    <border>
      <left style="thin">
        <color theme="1"/>
      </left>
      <right style="thin">
        <color theme="1"/>
      </right>
      <top style="thin">
        <color theme="0" tint="-0.14996795556505021"/>
      </top>
      <bottom style="thin">
        <color theme="1"/>
      </bottom>
      <diagonal/>
    </border>
    <border>
      <left style="thin">
        <color theme="1"/>
      </left>
      <right/>
      <top style="thin">
        <color theme="0" tint="-0.14996795556505021"/>
      </top>
      <bottom style="thin">
        <color theme="1"/>
      </bottom>
      <diagonal/>
    </border>
    <border>
      <left style="thin">
        <color theme="1"/>
      </left>
      <right style="thin">
        <color theme="1"/>
      </right>
      <top style="thin">
        <color theme="1"/>
      </top>
      <bottom style="thin">
        <color theme="0" tint="-0.14996795556505021"/>
      </bottom>
      <diagonal/>
    </border>
    <border>
      <left style="thin">
        <color theme="1"/>
      </left>
      <right/>
      <top style="thin">
        <color theme="1"/>
      </top>
      <bottom style="thin">
        <color theme="0" tint="-0.14996795556505021"/>
      </bottom>
      <diagonal/>
    </border>
    <border>
      <left style="thin">
        <color auto="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auto="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1" tint="0.14996795556505021"/>
      </top>
      <bottom style="thin">
        <color theme="0" tint="-0.14996795556505021"/>
      </bottom>
      <diagonal/>
    </border>
    <border>
      <left/>
      <right/>
      <top style="thin">
        <color theme="1" tint="0.14996795556505021"/>
      </top>
      <bottom style="thin">
        <color theme="0" tint="-0.14996795556505021"/>
      </bottom>
      <diagonal/>
    </border>
    <border>
      <left style="thin">
        <color theme="0" tint="-0.14996795556505021"/>
      </left>
      <right style="thin">
        <color theme="0" tint="-0.14996795556505021"/>
      </right>
      <top/>
      <bottom style="thin">
        <color theme="0" tint="-0.499984740745262"/>
      </bottom>
      <diagonal/>
    </border>
    <border>
      <left style="thin">
        <color theme="0" tint="-0.14996795556505021"/>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tint="-0.24994659260841701"/>
      </left>
      <right/>
      <top/>
      <bottom/>
      <diagonal/>
    </border>
    <border>
      <left style="thin">
        <color theme="0" tint="-0.499984740745262"/>
      </left>
      <right style="thin">
        <color theme="0" tint="-0.499984740745262"/>
      </right>
      <top/>
      <bottom style="thin">
        <color theme="0" tint="-0.14996795556505021"/>
      </bottom>
      <diagonal/>
    </border>
    <border>
      <left style="thin">
        <color theme="0" tint="-0.499984740745262"/>
      </left>
      <right style="thin">
        <color theme="0" tint="-0.499984740745262"/>
      </right>
      <top style="thin">
        <color theme="0" tint="-0.14996795556505021"/>
      </top>
      <bottom/>
      <diagonal/>
    </border>
    <border>
      <left style="thin">
        <color indexed="64"/>
      </left>
      <right/>
      <top style="thin">
        <color theme="0" tint="-0.499984740745262"/>
      </top>
      <bottom style="thin">
        <color auto="1"/>
      </bottom>
      <diagonal/>
    </border>
    <border>
      <left style="thin">
        <color theme="0" tint="-0.24994659260841701"/>
      </left>
      <right style="thin">
        <color auto="1"/>
      </right>
      <top style="thin">
        <color theme="0" tint="-0.499984740745262"/>
      </top>
      <bottom style="thin">
        <color auto="1"/>
      </bottom>
      <diagonal/>
    </border>
    <border>
      <left style="thin">
        <color auto="1"/>
      </left>
      <right style="thin">
        <color auto="1"/>
      </right>
      <top style="thin">
        <color theme="0" tint="-0.34998626667073579"/>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thin">
        <color auto="1"/>
      </right>
      <top style="thin">
        <color theme="0" tint="-0.14996795556505021"/>
      </top>
      <bottom style="thin">
        <color theme="0" tint="-0.34998626667073579"/>
      </bottom>
      <diagonal/>
    </border>
    <border>
      <left style="thin">
        <color theme="0" tint="-0.24994659260841701"/>
      </left>
      <right style="thin">
        <color theme="1" tint="0.499984740745262"/>
      </right>
      <top style="thin">
        <color theme="0" tint="-0.499984740745262"/>
      </top>
      <bottom/>
      <diagonal/>
    </border>
    <border>
      <left style="thin">
        <color theme="0" tint="-0.14996795556505021"/>
      </left>
      <right style="thin">
        <color theme="0" tint="-0.14996795556505021"/>
      </right>
      <top style="thin">
        <color theme="0" tint="-0.499984740745262"/>
      </top>
      <bottom style="thin">
        <color theme="0" tint="-0.499984740745262"/>
      </bottom>
      <diagonal/>
    </border>
    <border>
      <left style="thin">
        <color theme="0" tint="-0.14996795556505021"/>
      </left>
      <right style="thin">
        <color theme="0" tint="-0.14996795556505021"/>
      </right>
      <top style="thin">
        <color theme="0" tint="-0.499984740745262"/>
      </top>
      <bottom/>
      <diagonal/>
    </border>
    <border>
      <left style="thin">
        <color theme="0" tint="-0.24994659260841701"/>
      </left>
      <right style="thin">
        <color theme="0" tint="-0.24994659260841701"/>
      </right>
      <top/>
      <bottom style="thin">
        <color theme="0" tint="-0.14996795556505021"/>
      </bottom>
      <diagonal/>
    </border>
    <border>
      <left/>
      <right/>
      <top/>
      <bottom style="thin">
        <color theme="0" tint="-0.14996795556505021"/>
      </bottom>
      <diagonal/>
    </border>
    <border>
      <left/>
      <right style="thin">
        <color theme="0" tint="-0.499984740745262"/>
      </right>
      <top/>
      <bottom style="thin">
        <color theme="0" tint="-0.24994659260841701"/>
      </bottom>
      <diagonal/>
    </border>
    <border>
      <left style="thin">
        <color theme="0" tint="-0.499984740745262"/>
      </left>
      <right/>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style="thin">
        <color theme="0" tint="-0.14996795556505021"/>
      </left>
      <right style="thin">
        <color theme="1" tint="0.34998626667073579"/>
      </right>
      <top style="thin">
        <color theme="0" tint="-0.499984740745262"/>
      </top>
      <bottom style="thin">
        <color theme="0" tint="-0.14996795556505021"/>
      </bottom>
      <diagonal/>
    </border>
    <border>
      <left style="thin">
        <color theme="0" tint="-0.14996795556505021"/>
      </left>
      <right style="thin">
        <color theme="1" tint="0.34998626667073579"/>
      </right>
      <top style="thin">
        <color theme="0" tint="-0.14996795556505021"/>
      </top>
      <bottom style="thin">
        <color theme="0" tint="-0.14996795556505021"/>
      </bottom>
      <diagonal/>
    </border>
    <border>
      <left style="thin">
        <color theme="0" tint="-0.499984740745262"/>
      </left>
      <right/>
      <top style="thin">
        <color theme="0" tint="-0.24994659260841701"/>
      </top>
      <bottom/>
      <diagonal/>
    </border>
    <border>
      <left style="thin">
        <color theme="0" tint="-0.24994659260841701"/>
      </left>
      <right style="thin">
        <color theme="0" tint="-0.499984740745262"/>
      </right>
      <top style="thin">
        <color auto="1"/>
      </top>
      <bottom style="thin">
        <color theme="0" tint="-0.24994659260841701"/>
      </bottom>
      <diagonal/>
    </border>
    <border>
      <left style="thin">
        <color rgb="FFC00000"/>
      </left>
      <right style="thin">
        <color rgb="FFC00000"/>
      </right>
      <top/>
      <bottom style="thin">
        <color rgb="FFC00000"/>
      </bottom>
      <diagonal/>
    </border>
    <border>
      <left style="thin">
        <color rgb="FFC00000"/>
      </left>
      <right style="thin">
        <color theme="0" tint="-0.24994659260841701"/>
      </right>
      <top style="thin">
        <color indexed="64"/>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theme="1" tint="0.34998626667073579"/>
      </right>
      <top/>
      <bottom style="thin">
        <color rgb="FFC00000"/>
      </bottom>
      <diagonal/>
    </border>
    <border>
      <left/>
      <right style="thin">
        <color rgb="FFC00000"/>
      </right>
      <top/>
      <bottom style="thin">
        <color rgb="FFC00000"/>
      </bottom>
      <diagonal/>
    </border>
    <border>
      <left style="thin">
        <color theme="0" tint="-0.34998626667073579"/>
      </left>
      <right style="thin">
        <color theme="0" tint="-0.34998626667073579"/>
      </right>
      <top style="thin">
        <color theme="1" tint="0.499984740745262"/>
      </top>
      <bottom style="thin">
        <color theme="0" tint="-0.34998626667073579"/>
      </bottom>
      <diagonal/>
    </border>
    <border>
      <left style="thin">
        <color theme="0" tint="-0.34998626667073579"/>
      </left>
      <right style="thin">
        <color theme="1" tint="0.499984740745262"/>
      </right>
      <top style="thin">
        <color theme="1" tint="0.499984740745262"/>
      </top>
      <bottom style="thin">
        <color theme="0" tint="-0.34998626667073579"/>
      </bottom>
      <diagonal/>
    </border>
    <border>
      <left style="thin">
        <color theme="0" tint="-0.34998626667073579"/>
      </left>
      <right style="thin">
        <color theme="1" tint="0.499984740745262"/>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1" tint="0.499984740745262"/>
      </bottom>
      <diagonal/>
    </border>
    <border>
      <left style="thin">
        <color theme="0" tint="-0.34998626667073579"/>
      </left>
      <right style="thin">
        <color theme="1" tint="0.499984740745262"/>
      </right>
      <top style="thin">
        <color theme="0" tint="-0.34998626667073579"/>
      </top>
      <bottom style="thin">
        <color theme="1" tint="0.499984740745262"/>
      </bottom>
      <diagonal/>
    </border>
    <border>
      <left/>
      <right style="thin">
        <color theme="0" tint="-0.24994659260841701"/>
      </right>
      <top style="thin">
        <color theme="0" tint="-0.499984740745262"/>
      </top>
      <bottom/>
      <diagonal/>
    </border>
    <border>
      <left style="thin">
        <color theme="0" tint="-0.14996795556505021"/>
      </left>
      <right style="thin">
        <color theme="0" tint="-0.14996795556505021"/>
      </right>
      <top style="thin">
        <color theme="0" tint="-0.24994659260841701"/>
      </top>
      <bottom/>
      <diagonal/>
    </border>
    <border>
      <left/>
      <right style="thin">
        <color theme="0" tint="-0.499984740745262"/>
      </right>
      <top/>
      <bottom style="thin">
        <color indexed="64"/>
      </bottom>
      <diagonal/>
    </border>
    <border>
      <left style="thin">
        <color theme="0" tint="-0.24994659260841701"/>
      </left>
      <right style="thin">
        <color theme="0" tint="-0.24994659260841701"/>
      </right>
      <top style="thin">
        <color auto="1"/>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auto="1"/>
      </bottom>
      <diagonal/>
    </border>
    <border>
      <left/>
      <right style="thin">
        <color auto="1"/>
      </right>
      <top style="thin">
        <color theme="0" tint="-0.14996795556505021"/>
      </top>
      <bottom style="thin">
        <color auto="1"/>
      </bottom>
      <diagonal/>
    </border>
    <border>
      <left style="thin">
        <color theme="0" tint="-0.34998626667073579"/>
      </left>
      <right style="thin">
        <color theme="0" tint="-0.34998626667073579"/>
      </right>
      <top/>
      <bottom/>
      <diagonal/>
    </border>
    <border>
      <left/>
      <right style="thin">
        <color indexed="64"/>
      </right>
      <top style="thin">
        <color indexed="64"/>
      </top>
      <bottom style="thin">
        <color theme="0" tint="-0.14996795556505021"/>
      </bottom>
      <diagonal/>
    </border>
    <border>
      <left style="thin">
        <color auto="1"/>
      </left>
      <right style="thin">
        <color indexed="64"/>
      </right>
      <top style="thin">
        <color theme="0" tint="-0.14996795556505021"/>
      </top>
      <bottom style="thin">
        <color indexed="64"/>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right style="thin">
        <color theme="0" tint="-0.14996795556505021"/>
      </right>
      <top style="thin">
        <color auto="1"/>
      </top>
      <bottom style="thin">
        <color theme="0" tint="-0.14996795556505021"/>
      </bottom>
      <diagonal/>
    </border>
    <border>
      <left style="thin">
        <color theme="0" tint="-0.14996795556505021"/>
      </left>
      <right/>
      <top style="thin">
        <color auto="1"/>
      </top>
      <bottom style="thin">
        <color theme="0" tint="-0.14996795556505021"/>
      </bottom>
      <diagonal/>
    </border>
    <border>
      <left style="thin">
        <color theme="1" tint="0.499984740745262"/>
      </left>
      <right/>
      <top style="thin">
        <color auto="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1" tint="0.499984740745262"/>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auto="1"/>
      </bottom>
      <diagonal/>
    </border>
    <border>
      <left style="thin">
        <color theme="1" tint="0.499984740745262"/>
      </left>
      <right/>
      <top style="thin">
        <color theme="0" tint="-0.14996795556505021"/>
      </top>
      <bottom style="thin">
        <color auto="1"/>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diagonal/>
    </border>
    <border>
      <left style="thin">
        <color theme="1"/>
      </left>
      <right/>
      <top/>
      <bottom/>
      <diagonal/>
    </border>
    <border>
      <left style="thin">
        <color auto="1"/>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right/>
      <top style="thin">
        <color theme="1"/>
      </top>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auto="1"/>
      </left>
      <right style="thin">
        <color theme="0" tint="-0.14996795556505021"/>
      </right>
      <top style="thin">
        <color theme="0" tint="-0.14996795556505021"/>
      </top>
      <bottom style="thin">
        <color auto="1"/>
      </bottom>
      <diagonal/>
    </border>
    <border>
      <left style="thin">
        <color theme="0" tint="-0.14996795556505021"/>
      </left>
      <right style="thin">
        <color theme="0" tint="-0.14996795556505021"/>
      </right>
      <top style="thin">
        <color theme="0" tint="-0.14996795556505021"/>
      </top>
      <bottom style="thin">
        <color auto="1"/>
      </bottom>
      <diagonal/>
    </border>
    <border>
      <left style="thin">
        <color theme="0" tint="-0.14996795556505021"/>
      </left>
      <right style="thin">
        <color auto="1"/>
      </right>
      <top style="thin">
        <color theme="0" tint="-0.14996795556505021"/>
      </top>
      <bottom style="thin">
        <color auto="1"/>
      </bottom>
      <diagonal/>
    </border>
    <border>
      <left style="thin">
        <color theme="0" tint="-0.14996795556505021"/>
      </left>
      <right style="thin">
        <color theme="0" tint="-0.14996795556505021"/>
      </right>
      <top style="thin">
        <color auto="1"/>
      </top>
      <bottom style="thin">
        <color auto="1"/>
      </bottom>
      <diagonal/>
    </border>
    <border>
      <left style="thin">
        <color theme="1" tint="0.499984740745262"/>
      </left>
      <right/>
      <top/>
      <bottom/>
      <diagonal/>
    </border>
    <border>
      <left/>
      <right style="thin">
        <color indexed="64"/>
      </right>
      <top/>
      <bottom style="thin">
        <color theme="0" tint="-0.14996795556505021"/>
      </bottom>
      <diagonal/>
    </border>
    <border>
      <left style="thin">
        <color auto="1"/>
      </left>
      <right style="thin">
        <color theme="0" tint="-0.24994659260841701"/>
      </right>
      <top style="thin">
        <color theme="0" tint="-0.14996795556505021"/>
      </top>
      <bottom style="thin">
        <color theme="1"/>
      </bottom>
      <diagonal/>
    </border>
    <border>
      <left style="thin">
        <color theme="0" tint="-0.24994659260841701"/>
      </left>
      <right style="thin">
        <color auto="1"/>
      </right>
      <top style="thin">
        <color theme="0" tint="-0.14996795556505021"/>
      </top>
      <bottom style="thin">
        <color theme="1"/>
      </bottom>
      <diagonal/>
    </border>
    <border>
      <left style="thin">
        <color theme="0" tint="-0.14996795556505021"/>
      </left>
      <right style="thin">
        <color theme="0" tint="-0.14996795556505021"/>
      </right>
      <top style="thin">
        <color theme="0" tint="-0.14996795556505021"/>
      </top>
      <bottom style="thin">
        <color theme="1"/>
      </bottom>
      <diagonal/>
    </border>
    <border>
      <left style="thin">
        <color auto="1"/>
      </left>
      <right style="thin">
        <color theme="0" tint="-0.24994659260841701"/>
      </right>
      <top style="thin">
        <color theme="1"/>
      </top>
      <bottom style="thin">
        <color theme="0" tint="-0.14996795556505021"/>
      </bottom>
      <diagonal/>
    </border>
    <border>
      <left style="thin">
        <color theme="0" tint="-0.24994659260841701"/>
      </left>
      <right style="thin">
        <color indexed="64"/>
      </right>
      <top style="thin">
        <color theme="1"/>
      </top>
      <bottom style="thin">
        <color theme="0" tint="-0.14996795556505021"/>
      </bottom>
      <diagonal/>
    </border>
    <border>
      <left style="thin">
        <color theme="1"/>
      </left>
      <right style="thin">
        <color theme="1"/>
      </right>
      <top style="thin">
        <color theme="0" tint="-0.14996795556505021"/>
      </top>
      <bottom/>
      <diagonal/>
    </border>
    <border>
      <left style="thin">
        <color theme="1"/>
      </left>
      <right/>
      <top style="thin">
        <color theme="0" tint="-0.14996795556505021"/>
      </top>
      <bottom/>
      <diagonal/>
    </border>
    <border>
      <left style="thin">
        <color auto="1"/>
      </left>
      <right style="thin">
        <color theme="0" tint="-0.24994659260841701"/>
      </right>
      <top style="thin">
        <color theme="0" tint="-0.14996795556505021"/>
      </top>
      <bottom/>
      <diagonal/>
    </border>
    <border>
      <left style="thin">
        <color theme="0" tint="-0.24994659260841701"/>
      </left>
      <right style="thin">
        <color auto="1"/>
      </right>
      <top style="thin">
        <color theme="0" tint="-0.14996795556505021"/>
      </top>
      <bottom/>
      <diagonal/>
    </border>
    <border>
      <left style="thin">
        <color theme="0" tint="-0.14996795556505021"/>
      </left>
      <right style="thin">
        <color theme="0" tint="-0.14996795556505021"/>
      </right>
      <top style="thin">
        <color theme="1"/>
      </top>
      <bottom style="thin">
        <color theme="0" tint="-0.14996795556505021"/>
      </bottom>
      <diagonal/>
    </border>
    <border>
      <left style="thin">
        <color theme="0" tint="-0.499984740745262"/>
      </left>
      <right/>
      <top style="thin">
        <color theme="0" tint="-0.24994659260841701"/>
      </top>
      <bottom style="thin">
        <color theme="0" tint="-0.14996795556505021"/>
      </bottom>
      <diagonal/>
    </border>
    <border>
      <left/>
      <right style="thin">
        <color theme="0" tint="-0.499984740745262"/>
      </right>
      <top style="thin">
        <color theme="0" tint="-0.24994659260841701"/>
      </top>
      <bottom style="thin">
        <color theme="0" tint="-0.14996795556505021"/>
      </bottom>
      <diagonal/>
    </border>
    <border>
      <left style="thin">
        <color theme="0" tint="-0.14996795556505021"/>
      </left>
      <right style="thin">
        <color theme="1"/>
      </right>
      <top style="thin">
        <color theme="1"/>
      </top>
      <bottom style="thin">
        <color theme="0" tint="-0.14996795556505021"/>
      </bottom>
      <diagonal/>
    </border>
    <border>
      <left style="thin">
        <color theme="0" tint="-0.14996795556505021"/>
      </left>
      <right style="thin">
        <color theme="1"/>
      </right>
      <top style="thin">
        <color theme="0" tint="-0.14996795556505021"/>
      </top>
      <bottom style="thin">
        <color theme="1"/>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rgb="FFDADCE0"/>
      </bottom>
      <diagonal/>
    </border>
    <border>
      <left style="thin">
        <color theme="1"/>
      </left>
      <right style="thin">
        <color theme="1"/>
      </right>
      <top style="thin">
        <color rgb="FFDADCE0"/>
      </top>
      <bottom style="thin">
        <color rgb="FFDADCE0"/>
      </bottom>
      <diagonal/>
    </border>
    <border>
      <left style="thin">
        <color theme="1"/>
      </left>
      <right style="thin">
        <color theme="1"/>
      </right>
      <top style="thin">
        <color rgb="FFDADCE0"/>
      </top>
      <bottom style="thin">
        <color theme="1"/>
      </bottom>
      <diagonal/>
    </border>
    <border>
      <left style="thin">
        <color theme="1"/>
      </left>
      <right style="thin">
        <color rgb="FFDADCE0"/>
      </right>
      <top style="thin">
        <color theme="1"/>
      </top>
      <bottom style="thin">
        <color rgb="FFDADCE0"/>
      </bottom>
      <diagonal/>
    </border>
    <border>
      <left style="thin">
        <color rgb="FFDADCE0"/>
      </left>
      <right style="thin">
        <color theme="1"/>
      </right>
      <top style="thin">
        <color theme="1"/>
      </top>
      <bottom style="thin">
        <color rgb="FFDADCE0"/>
      </bottom>
      <diagonal/>
    </border>
    <border>
      <left style="thin">
        <color theme="1"/>
      </left>
      <right style="thin">
        <color rgb="FFDADCE0"/>
      </right>
      <top style="thin">
        <color rgb="FFDADCE0"/>
      </top>
      <bottom style="thin">
        <color rgb="FFDADCE0"/>
      </bottom>
      <diagonal/>
    </border>
    <border>
      <left style="thin">
        <color rgb="FFDADCE0"/>
      </left>
      <right style="thin">
        <color theme="1"/>
      </right>
      <top style="thin">
        <color rgb="FFDADCE0"/>
      </top>
      <bottom style="thin">
        <color rgb="FFDADCE0"/>
      </bottom>
      <diagonal/>
    </border>
    <border>
      <left style="thin">
        <color theme="1"/>
      </left>
      <right style="thin">
        <color rgb="FFDADCE0"/>
      </right>
      <top style="thin">
        <color rgb="FFDADCE0"/>
      </top>
      <bottom style="thin">
        <color theme="1"/>
      </bottom>
      <diagonal/>
    </border>
    <border>
      <left style="thin">
        <color rgb="FFDADCE0"/>
      </left>
      <right style="thin">
        <color theme="1"/>
      </right>
      <top style="thin">
        <color rgb="FFDADCE0"/>
      </top>
      <bottom style="thin">
        <color theme="1"/>
      </bottom>
      <diagonal/>
    </border>
    <border>
      <left style="thin">
        <color theme="0" tint="-0.499984740745262"/>
      </left>
      <right style="thin">
        <color theme="0" tint="-0.24994659260841701"/>
      </right>
      <top style="thin">
        <color auto="1"/>
      </top>
      <bottom style="thin">
        <color theme="0" tint="-0.24994659260841701"/>
      </bottom>
      <diagonal/>
    </border>
    <border>
      <left/>
      <right style="thin">
        <color theme="0" tint="-0.14996795556505021"/>
      </right>
      <top style="thin">
        <color theme="1"/>
      </top>
      <bottom style="thin">
        <color theme="0" tint="-0.14996795556505021"/>
      </bottom>
      <diagonal/>
    </border>
    <border>
      <left/>
      <right style="thin">
        <color theme="0" tint="-0.14996795556505021"/>
      </right>
      <top style="thin">
        <color theme="0" tint="-0.14996795556505021"/>
      </top>
      <bottom style="thin">
        <color theme="1"/>
      </bottom>
      <diagonal/>
    </border>
    <border>
      <left style="thin">
        <color theme="1"/>
      </left>
      <right style="thin">
        <color theme="1"/>
      </right>
      <top/>
      <bottom/>
      <diagonal/>
    </border>
    <border>
      <left style="thin">
        <color theme="1"/>
      </left>
      <right style="thin">
        <color auto="1"/>
      </right>
      <top style="thin">
        <color theme="0" tint="-0.24994659260841701"/>
      </top>
      <bottom style="thin">
        <color theme="0" tint="-0.24994659260841701"/>
      </bottom>
      <diagonal/>
    </border>
    <border>
      <left style="thin">
        <color theme="1"/>
      </left>
      <right style="thin">
        <color auto="1"/>
      </right>
      <top style="thin">
        <color theme="0" tint="-0.24994659260841701"/>
      </top>
      <bottom style="thin">
        <color theme="1"/>
      </bottom>
      <diagonal/>
    </border>
    <border>
      <left style="thin">
        <color theme="0" tint="-0.24994659260841701"/>
      </left>
      <right style="thin">
        <color auto="1"/>
      </right>
      <top style="thin">
        <color theme="0" tint="-0.24994659260841701"/>
      </top>
      <bottom style="thin">
        <color theme="1"/>
      </bottom>
      <diagonal/>
    </border>
    <border>
      <left style="thin">
        <color auto="1"/>
      </left>
      <right style="thin">
        <color auto="1"/>
      </right>
      <top style="thin">
        <color auto="1"/>
      </top>
      <bottom style="thin">
        <color auto="1"/>
      </bottom>
      <diagonal/>
    </border>
    <border>
      <left style="thin">
        <color theme="1"/>
      </left>
      <right style="thin">
        <color indexed="64"/>
      </right>
      <top/>
      <bottom style="thin">
        <color theme="0" tint="-0.2499465926084170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auto="1"/>
      </left>
      <right style="thin">
        <color theme="0" tint="-0.14996795556505021"/>
      </right>
      <top style="thin">
        <color auto="1"/>
      </top>
      <bottom style="thin">
        <color auto="1"/>
      </bottom>
      <diagonal/>
    </border>
    <border>
      <left style="thin">
        <color theme="0" tint="-0.14996795556505021"/>
      </left>
      <right/>
      <top style="thin">
        <color theme="0" tint="-0.14996795556505021"/>
      </top>
      <bottom style="thin">
        <color theme="1"/>
      </bottom>
      <diagonal/>
    </border>
    <border>
      <left style="thin">
        <color theme="0" tint="-0.14996795556505021"/>
      </left>
      <right/>
      <top style="thin">
        <color theme="1"/>
      </top>
      <bottom style="thin">
        <color theme="0" tint="-0.1499679555650502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auto="1"/>
      </left>
      <right/>
      <top/>
      <bottom style="thin">
        <color theme="0" tint="-0.14996795556505021"/>
      </bottom>
      <diagonal/>
    </border>
    <border>
      <left/>
      <right style="thin">
        <color theme="0" tint="-0.14996795556505021"/>
      </right>
      <top/>
      <bottom style="thin">
        <color theme="0" tint="-0.14996795556505021"/>
      </bottom>
      <diagonal/>
    </border>
    <border>
      <left/>
      <right/>
      <top style="thin">
        <color theme="0" tint="-0.14996795556505021"/>
      </top>
      <bottom style="thin">
        <color theme="1"/>
      </bottom>
      <diagonal/>
    </border>
    <border>
      <left/>
      <right/>
      <top/>
      <bottom style="thin">
        <color theme="1"/>
      </bottom>
      <diagonal/>
    </border>
    <border>
      <left style="thin">
        <color auto="1"/>
      </left>
      <right style="thin">
        <color auto="1"/>
      </right>
      <top style="thin">
        <color auto="1"/>
      </top>
      <bottom style="thin">
        <color theme="1"/>
      </bottom>
      <diagonal/>
    </border>
    <border>
      <left style="thin">
        <color auto="1"/>
      </left>
      <right style="thin">
        <color auto="1"/>
      </right>
      <top style="thin">
        <color theme="1"/>
      </top>
      <bottom style="thin">
        <color auto="1"/>
      </bottom>
      <diagonal/>
    </border>
    <border>
      <left style="thin">
        <color auto="1"/>
      </left>
      <right/>
      <top style="thin">
        <color theme="0" tint="-0.499984740745262"/>
      </top>
      <bottom style="thin">
        <color theme="0" tint="-0.14996795556505021"/>
      </bottom>
      <diagonal/>
    </border>
    <border>
      <left style="thin">
        <color theme="0" tint="-0.14996795556505021"/>
      </left>
      <right style="thin">
        <color indexed="64"/>
      </right>
      <top style="thin">
        <color indexed="64"/>
      </top>
      <bottom style="thin">
        <color indexed="64"/>
      </bottom>
      <diagonal/>
    </border>
    <border>
      <left/>
      <right style="thin">
        <color auto="1"/>
      </right>
      <top style="thin">
        <color auto="1"/>
      </top>
      <bottom style="thin">
        <color theme="1"/>
      </bottom>
      <diagonal/>
    </border>
    <border>
      <left/>
      <right style="thin">
        <color theme="0" tint="-0.34998626667073579"/>
      </right>
      <top style="thin">
        <color theme="0" tint="-0.34998626667073579"/>
      </top>
      <bottom style="thin">
        <color auto="1"/>
      </bottom>
      <diagonal/>
    </border>
    <border>
      <left style="thin">
        <color theme="0" tint="-0.24994659260841701"/>
      </left>
      <right style="thin">
        <color theme="0" tint="-0.24994659260841701"/>
      </right>
      <top style="thin">
        <color theme="1"/>
      </top>
      <bottom style="thin">
        <color auto="1"/>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theme="1"/>
      </left>
      <right style="thin">
        <color indexed="64"/>
      </right>
      <top style="thin">
        <color indexed="64"/>
      </top>
      <bottom style="thin">
        <color theme="0" tint="-0.24994659260841701"/>
      </bottom>
      <diagonal/>
    </border>
    <border>
      <left style="thin">
        <color theme="1"/>
      </left>
      <right style="thin">
        <color indexed="64"/>
      </right>
      <top style="thin">
        <color theme="0" tint="-0.24994659260841701"/>
      </top>
      <bottom style="thin">
        <color indexed="64"/>
      </bottom>
      <diagonal/>
    </border>
    <border>
      <left style="thin">
        <color theme="1"/>
      </left>
      <right style="thin">
        <color theme="1"/>
      </right>
      <top/>
      <bottom style="thin">
        <color indexed="64"/>
      </bottom>
      <diagonal/>
    </border>
    <border>
      <left style="thin">
        <color theme="0" tint="-0.24994659260841701"/>
      </left>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1" tint="0.499984740745262"/>
      </top>
      <bottom style="thin">
        <color theme="0" tint="-0.14996795556505021"/>
      </bottom>
      <diagonal/>
    </border>
    <border>
      <left style="thin">
        <color theme="0" tint="-0.24994659260841701"/>
      </left>
      <right/>
      <top style="thin">
        <color theme="1" tint="0.499984740745262"/>
      </top>
      <bottom style="thin">
        <color theme="0" tint="-0.14996795556505021"/>
      </bottom>
      <diagonal/>
    </border>
    <border>
      <left/>
      <right/>
      <top style="thin">
        <color theme="1" tint="0.499984740745262"/>
      </top>
      <bottom style="thin">
        <color theme="0" tint="-0.14996795556505021"/>
      </bottom>
      <diagonal/>
    </border>
    <border>
      <left/>
      <right style="thin">
        <color theme="1" tint="0.499984740745262"/>
      </right>
      <top style="thin">
        <color theme="1" tint="0.499984740745262"/>
      </top>
      <bottom style="thin">
        <color theme="0" tint="-0.14996795556505021"/>
      </bottom>
      <diagonal/>
    </border>
    <border>
      <left/>
      <right style="thin">
        <color theme="1" tint="0.499984740745262"/>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0" tint="-0.14996795556505021"/>
      </top>
      <bottom style="thin">
        <color theme="1" tint="0.499984740745262"/>
      </bottom>
      <diagonal/>
    </border>
    <border>
      <left style="thin">
        <color theme="0" tint="-0.24994659260841701"/>
      </left>
      <right/>
      <top style="thin">
        <color theme="0" tint="-0.14996795556505021"/>
      </top>
      <bottom style="thin">
        <color theme="1" tint="0.499984740745262"/>
      </bottom>
      <diagonal/>
    </border>
    <border>
      <left/>
      <right style="thin">
        <color theme="0" tint="-0.14996795556505021"/>
      </right>
      <top style="thin">
        <color theme="0" tint="-0.14996795556505021"/>
      </top>
      <bottom style="thin">
        <color theme="1" tint="0.499984740745262"/>
      </bottom>
      <diagonal/>
    </border>
    <border>
      <left/>
      <right/>
      <top style="thin">
        <color theme="0" tint="-0.14996795556505021"/>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0" tint="-0.14996795556505021"/>
      </bottom>
      <diagonal/>
    </border>
    <border>
      <left style="thin">
        <color theme="0" tint="-0.499984740745262"/>
      </left>
      <right style="thin">
        <color theme="1" tint="0.499984740745262"/>
      </right>
      <top style="thin">
        <color theme="1" tint="0.499984740745262"/>
      </top>
      <bottom/>
      <diagonal/>
    </border>
    <border>
      <left style="thin">
        <color theme="1" tint="0.499984740745262"/>
      </left>
      <right/>
      <top style="thin">
        <color theme="0" tint="-0.14996795556505021"/>
      </top>
      <bottom style="thin">
        <color theme="1" tint="0.499984740745262"/>
      </bottom>
      <diagonal/>
    </border>
    <border>
      <left style="thin">
        <color theme="0" tint="-0.24994659260841701"/>
      </left>
      <right style="thin">
        <color theme="0" tint="-0.499984740745262"/>
      </right>
      <top style="thin">
        <color theme="0" tint="-0.24994659260841701"/>
      </top>
      <bottom style="thin">
        <color theme="1" tint="0.499984740745262"/>
      </bottom>
      <diagonal/>
    </border>
    <border>
      <left style="thin">
        <color theme="0" tint="-0.499984740745262"/>
      </left>
      <right style="thin">
        <color theme="0" tint="-0.499984740745262"/>
      </right>
      <top style="thin">
        <color theme="0" tint="-0.14996795556505021"/>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top/>
      <bottom style="thin">
        <color theme="0" tint="-0.14996795556505021"/>
      </bottom>
      <diagonal/>
    </border>
    <border>
      <left/>
      <right style="thin">
        <color auto="1"/>
      </right>
      <top style="thin">
        <color theme="0" tint="-0.14996795556505021"/>
      </top>
      <bottom style="thin">
        <color theme="1" tint="0.499984740745262"/>
      </bottom>
      <diagonal/>
    </border>
    <border>
      <left/>
      <right style="thin">
        <color theme="1" tint="0.499984740745262"/>
      </right>
      <top style="thin">
        <color theme="0" tint="-0.14996795556505021"/>
      </top>
      <bottom style="thin">
        <color theme="1" tint="0.499984740745262"/>
      </bottom>
      <diagonal/>
    </border>
    <border>
      <left style="thin">
        <color auto="1"/>
      </left>
      <right/>
      <top/>
      <bottom style="thin">
        <color theme="1" tint="0.34998626667073579"/>
      </bottom>
      <diagonal/>
    </border>
    <border>
      <left/>
      <right style="thin">
        <color theme="0" tint="-0.499984740745262"/>
      </right>
      <top/>
      <bottom style="thin">
        <color theme="1" tint="0.34998626667073579"/>
      </bottom>
      <diagonal/>
    </border>
    <border>
      <left/>
      <right style="thin">
        <color theme="0" tint="-0.24994659260841701"/>
      </right>
      <top style="thin">
        <color theme="0" tint="-0.24994659260841701"/>
      </top>
      <bottom style="thin">
        <color theme="1" tint="0.34998626667073579"/>
      </bottom>
      <diagonal/>
    </border>
    <border>
      <left/>
      <right style="thin">
        <color theme="1"/>
      </right>
      <top style="thin">
        <color theme="1"/>
      </top>
      <bottom style="thin">
        <color theme="1" tint="0.34998626667073579"/>
      </bottom>
      <diagonal/>
    </border>
    <border>
      <left style="thin">
        <color theme="0" tint="-0.24994659260841701"/>
      </left>
      <right style="thin">
        <color theme="1" tint="0.34998626667073579"/>
      </right>
      <top style="thin">
        <color indexed="64"/>
      </top>
      <bottom style="thin">
        <color indexed="64"/>
      </bottom>
      <diagonal/>
    </border>
    <border>
      <left style="thin">
        <color theme="0" tint="-0.499984740745262"/>
      </left>
      <right/>
      <top/>
      <bottom style="thin">
        <color theme="1" tint="0.499984740745262"/>
      </bottom>
      <diagonal/>
    </border>
    <border>
      <left/>
      <right style="thin">
        <color theme="0" tint="-0.499984740745262"/>
      </right>
      <top/>
      <bottom style="thin">
        <color theme="0" tint="-0.14996795556505021"/>
      </bottom>
      <diagonal/>
    </border>
    <border>
      <left style="thin">
        <color theme="1" tint="0.499984740745262"/>
      </left>
      <right style="thin">
        <color theme="1" tint="0.499984740745262"/>
      </right>
      <top style="thin">
        <color theme="1" tint="0.499984740745262"/>
      </top>
      <bottom style="thin">
        <color theme="0" tint="-0.14996795556505021"/>
      </bottom>
      <diagonal/>
    </border>
    <border>
      <left style="thin">
        <color theme="1" tint="0.499984740745262"/>
      </left>
      <right style="thin">
        <color theme="1" tint="0.499984740745262"/>
      </right>
      <top style="thin">
        <color theme="0" tint="-0.14996795556505021"/>
      </top>
      <bottom style="thin">
        <color theme="0" tint="-0.14996795556505021"/>
      </bottom>
      <diagonal/>
    </border>
    <border>
      <left style="thin">
        <color theme="1" tint="0.499984740745262"/>
      </left>
      <right style="thin">
        <color theme="1" tint="0.499984740745262"/>
      </right>
      <top style="thin">
        <color theme="0" tint="-0.14996795556505021"/>
      </top>
      <bottom style="thin">
        <color theme="1" tint="0.499984740745262"/>
      </bottom>
      <diagonal/>
    </border>
    <border>
      <left/>
      <right/>
      <top style="thin">
        <color theme="1" tint="0.499984740745262"/>
      </top>
      <bottom style="thin">
        <color theme="1" tint="0.499984740745262"/>
      </bottom>
      <diagonal/>
    </border>
    <border>
      <left style="thin">
        <color theme="0" tint="-0.24994659260841701"/>
      </left>
      <right style="thin">
        <color theme="1" tint="0.499984740745262"/>
      </right>
      <top style="thin">
        <color theme="0" tint="-0.14996795556505021"/>
      </top>
      <bottom style="thin">
        <color theme="1" tint="0.499984740745262"/>
      </bottom>
      <diagonal/>
    </border>
    <border>
      <left style="thin">
        <color theme="0" tint="-0.24994659260841701"/>
      </left>
      <right style="thin">
        <color theme="0" tint="-0.24994659260841701"/>
      </right>
      <top style="thin">
        <color theme="0" tint="-0.14996795556505021"/>
      </top>
      <bottom style="thin">
        <color theme="1" tint="0.499984740745262"/>
      </bottom>
      <diagonal/>
    </border>
    <border>
      <left style="thin">
        <color theme="1" tint="0.499984740745262"/>
      </left>
      <right style="thin">
        <color theme="1" tint="0.499984740745262"/>
      </right>
      <top style="thin">
        <color theme="1" tint="0.499984740745262"/>
      </top>
      <bottom style="thin">
        <color theme="0" tint="-0.24994659260841701"/>
      </bottom>
      <diagonal/>
    </border>
    <border>
      <left style="thin">
        <color theme="1" tint="0.499984740745262"/>
      </left>
      <right style="thin">
        <color theme="1" tint="0.499984740745262"/>
      </right>
      <top style="thin">
        <color theme="0" tint="-0.24994659260841701"/>
      </top>
      <bottom style="thin">
        <color theme="0" tint="-0.24994659260841701"/>
      </bottom>
      <diagonal/>
    </border>
    <border>
      <left style="thin">
        <color theme="1" tint="0.499984740745262"/>
      </left>
      <right style="thin">
        <color theme="1" tint="0.499984740745262"/>
      </right>
      <top style="thin">
        <color theme="0" tint="-0.24994659260841701"/>
      </top>
      <bottom style="thin">
        <color theme="0" tint="-0.14996795556505021"/>
      </bottom>
      <diagonal/>
    </border>
    <border>
      <left/>
      <right style="thin">
        <color theme="1" tint="0.499984740745262"/>
      </right>
      <top/>
      <bottom style="thin">
        <color theme="0" tint="-0.24994659260841701"/>
      </bottom>
      <diagonal/>
    </border>
    <border>
      <left/>
      <right style="thin">
        <color theme="1" tint="0.499984740745262"/>
      </right>
      <top/>
      <bottom style="thin">
        <color indexed="64"/>
      </bottom>
      <diagonal/>
    </border>
    <border>
      <left style="thin">
        <color theme="1" tint="0.34998626667073579"/>
      </left>
      <right style="thin">
        <color theme="0" tint="-0.14996795556505021"/>
      </right>
      <top style="thin">
        <color theme="1" tint="0.34998626667073579"/>
      </top>
      <bottom style="thin">
        <color theme="0" tint="-0.14996795556505021"/>
      </bottom>
      <diagonal/>
    </border>
    <border>
      <left style="thin">
        <color theme="0" tint="-0.14996795556505021"/>
      </left>
      <right style="thin">
        <color theme="0" tint="-0.14996795556505021"/>
      </right>
      <top style="thin">
        <color theme="1" tint="0.34998626667073579"/>
      </top>
      <bottom style="thin">
        <color theme="0" tint="-0.14996795556505021"/>
      </bottom>
      <diagonal/>
    </border>
    <border>
      <left style="thin">
        <color theme="0" tint="-0.14996795556505021"/>
      </left>
      <right style="thin">
        <color theme="1" tint="0.34998626667073579"/>
      </right>
      <top style="thin">
        <color theme="1" tint="0.34998626667073579"/>
      </top>
      <bottom style="thin">
        <color theme="0" tint="-0.14996795556505021"/>
      </bottom>
      <diagonal/>
    </border>
    <border>
      <left style="thin">
        <color theme="1" tint="0.34998626667073579"/>
      </left>
      <right style="thin">
        <color theme="0" tint="-0.14996795556505021"/>
      </right>
      <top style="thin">
        <color theme="0" tint="-0.14996795556505021"/>
      </top>
      <bottom style="thin">
        <color theme="0" tint="-0.14996795556505021"/>
      </bottom>
      <diagonal/>
    </border>
    <border>
      <left style="thin">
        <color theme="1" tint="0.34998626667073579"/>
      </left>
      <right style="thin">
        <color theme="0" tint="-0.14996795556505021"/>
      </right>
      <top style="thin">
        <color theme="0" tint="-0.14996795556505021"/>
      </top>
      <bottom style="thin">
        <color theme="1" tint="0.34998626667073579"/>
      </bottom>
      <diagonal/>
    </border>
    <border>
      <left style="thin">
        <color theme="0" tint="-0.14996795556505021"/>
      </left>
      <right style="thin">
        <color theme="0" tint="-0.14996795556505021"/>
      </right>
      <top style="thin">
        <color theme="0" tint="-0.14996795556505021"/>
      </top>
      <bottom style="thin">
        <color theme="1" tint="0.34998626667073579"/>
      </bottom>
      <diagonal/>
    </border>
    <border>
      <left style="thin">
        <color theme="0" tint="-0.14996795556505021"/>
      </left>
      <right style="thin">
        <color theme="1" tint="0.34998626667073579"/>
      </right>
      <top style="thin">
        <color theme="0" tint="-0.14996795556505021"/>
      </top>
      <bottom style="thin">
        <color theme="1" tint="0.34998626667073579"/>
      </bottom>
      <diagonal/>
    </border>
    <border>
      <left style="thin">
        <color theme="1" tint="0.24994659260841701"/>
      </left>
      <right style="thin">
        <color theme="0" tint="-0.34998626667073579"/>
      </right>
      <top style="thin">
        <color theme="1" tint="0.24994659260841701"/>
      </top>
      <bottom style="thin">
        <color theme="0" tint="-0.34998626667073579"/>
      </bottom>
      <diagonal/>
    </border>
    <border>
      <left style="thin">
        <color theme="0" tint="-0.34998626667073579"/>
      </left>
      <right style="thin">
        <color theme="0" tint="-0.34998626667073579"/>
      </right>
      <top style="thin">
        <color theme="1" tint="0.24994659260841701"/>
      </top>
      <bottom style="thin">
        <color theme="0" tint="-0.34998626667073579"/>
      </bottom>
      <diagonal/>
    </border>
    <border>
      <left style="thin">
        <color theme="0" tint="-0.34998626667073579"/>
      </left>
      <right style="thin">
        <color theme="1" tint="0.24994659260841701"/>
      </right>
      <top style="thin">
        <color theme="1" tint="0.24994659260841701"/>
      </top>
      <bottom style="thin">
        <color theme="0" tint="-0.34998626667073579"/>
      </bottom>
      <diagonal/>
    </border>
    <border>
      <left style="thin">
        <color theme="1"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1" tint="0.24994659260841701"/>
      </right>
      <top style="thin">
        <color theme="0" tint="-0.34998626667073579"/>
      </top>
      <bottom style="thin">
        <color theme="0" tint="-0.34998626667073579"/>
      </bottom>
      <diagonal/>
    </border>
    <border>
      <left style="thin">
        <color theme="1" tint="0.24994659260841701"/>
      </left>
      <right style="thin">
        <color theme="0" tint="-0.34998626667073579"/>
      </right>
      <top style="thin">
        <color theme="0" tint="-0.34998626667073579"/>
      </top>
      <bottom style="thin">
        <color theme="1" tint="0.24994659260841701"/>
      </bottom>
      <diagonal/>
    </border>
    <border>
      <left style="thin">
        <color theme="0" tint="-0.34998626667073579"/>
      </left>
      <right style="thin">
        <color theme="0" tint="-0.34998626667073579"/>
      </right>
      <top style="thin">
        <color theme="0" tint="-0.34998626667073579"/>
      </top>
      <bottom style="thin">
        <color theme="1" tint="0.24994659260841701"/>
      </bottom>
      <diagonal/>
    </border>
    <border>
      <left style="thin">
        <color theme="0" tint="-0.34998626667073579"/>
      </left>
      <right style="thin">
        <color theme="1" tint="0.24994659260841701"/>
      </right>
      <top style="thin">
        <color theme="0" tint="-0.34998626667073579"/>
      </top>
      <bottom style="thin">
        <color theme="1" tint="0.24994659260841701"/>
      </bottom>
      <diagonal/>
    </border>
    <border>
      <left style="thin">
        <color theme="1" tint="0.34998626667073579"/>
      </left>
      <right style="thin">
        <color theme="0" tint="-0.14996795556505021"/>
      </right>
      <top style="thin">
        <color theme="1" tint="0.34998626667073579"/>
      </top>
      <bottom/>
      <diagonal/>
    </border>
    <border>
      <left style="thin">
        <color theme="0" tint="-0.14996795556505021"/>
      </left>
      <right style="thin">
        <color theme="0" tint="-0.14996795556505021"/>
      </right>
      <top style="thin">
        <color theme="1" tint="0.34998626667073579"/>
      </top>
      <bottom/>
      <diagonal/>
    </border>
    <border>
      <left style="thin">
        <color theme="0" tint="-0.14996795556505021"/>
      </left>
      <right style="thin">
        <color theme="1" tint="0.34998626667073579"/>
      </right>
      <top style="thin">
        <color theme="1" tint="0.34998626667073579"/>
      </top>
      <bottom/>
      <diagonal/>
    </border>
    <border>
      <left style="thin">
        <color theme="1" tint="0.34998626667073579"/>
      </left>
      <right style="thin">
        <color theme="0" tint="-0.14996795556505021"/>
      </right>
      <top/>
      <bottom style="thin">
        <color theme="0" tint="-0.14996795556505021"/>
      </bottom>
      <diagonal/>
    </border>
    <border>
      <left style="thin">
        <color theme="1" tint="0.34998626667073579"/>
      </left>
      <right style="thin">
        <color theme="0" tint="-0.14996795556505021"/>
      </right>
      <top/>
      <bottom style="thin">
        <color theme="1" tint="0.34998626667073579"/>
      </bottom>
      <diagonal/>
    </border>
    <border>
      <left style="thin">
        <color theme="0" tint="-0.14996795556505021"/>
      </left>
      <right style="thin">
        <color theme="0" tint="-0.14996795556505021"/>
      </right>
      <top/>
      <bottom style="thin">
        <color theme="1" tint="0.34998626667073579"/>
      </bottom>
      <diagonal/>
    </border>
    <border>
      <left style="thin">
        <color theme="0" tint="-0.14996795556505021"/>
      </left>
      <right style="thin">
        <color theme="1" tint="0.34998626667073579"/>
      </right>
      <top/>
      <bottom style="thin">
        <color theme="1" tint="0.34998626667073579"/>
      </bottom>
      <diagonal/>
    </border>
    <border>
      <left style="thin">
        <color theme="1" tint="0.34998626667073579"/>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1" tint="0.34998626667073579"/>
      </right>
      <top style="thin">
        <color theme="0" tint="-0.24994659260841701"/>
      </top>
      <bottom style="thin">
        <color theme="0" tint="-0.24994659260841701"/>
      </bottom>
      <diagonal/>
    </border>
    <border>
      <left/>
      <right/>
      <top style="thin">
        <color theme="1" tint="0.499984740745262"/>
      </top>
      <bottom/>
      <diagonal/>
    </border>
    <border>
      <left/>
      <right style="thin">
        <color theme="0" tint="-0.14996795556505021"/>
      </right>
      <top style="thin">
        <color theme="0" tint="-0.14996795556505021"/>
      </top>
      <bottom style="thin">
        <color theme="0" tint="-0.499984740745262"/>
      </bottom>
      <diagonal/>
    </border>
    <border>
      <left style="thin">
        <color theme="1" tint="0.34998626667073579"/>
      </left>
      <right style="thin">
        <color theme="1" tint="0.34998626667073579"/>
      </right>
      <top style="thin">
        <color theme="1" tint="0.34998626667073579"/>
      </top>
      <bottom style="thin">
        <color theme="0" tint="-0.24994659260841701"/>
      </bottom>
      <diagonal/>
    </border>
    <border>
      <left style="thin">
        <color theme="1" tint="0.34998626667073579"/>
      </left>
      <right style="thin">
        <color theme="1" tint="0.34998626667073579"/>
      </right>
      <top style="thin">
        <color theme="0" tint="-0.24994659260841701"/>
      </top>
      <bottom style="thin">
        <color theme="0" tint="-0.24994659260841701"/>
      </bottom>
      <diagonal/>
    </border>
    <border>
      <left style="thin">
        <color theme="1" tint="0.34998626667073579"/>
      </left>
      <right style="thin">
        <color theme="1" tint="0.34998626667073579"/>
      </right>
      <top style="thin">
        <color auto="1"/>
      </top>
      <bottom style="thin">
        <color theme="0" tint="-0.24994659260841701"/>
      </bottom>
      <diagonal/>
    </border>
    <border>
      <left style="thin">
        <color theme="1" tint="0.34998626667073579"/>
      </left>
      <right style="thin">
        <color theme="1" tint="0.34998626667073579"/>
      </right>
      <top style="thin">
        <color theme="0" tint="-0.24994659260841701"/>
      </top>
      <bottom/>
      <diagonal/>
    </border>
    <border>
      <left style="thin">
        <color theme="1" tint="0.34998626667073579"/>
      </left>
      <right style="thin">
        <color theme="1" tint="0.34998626667073579"/>
      </right>
      <top style="thin">
        <color theme="0" tint="-0.499984740745262"/>
      </top>
      <bottom style="thin">
        <color theme="0" tint="-0.24994659260841701"/>
      </bottom>
      <diagonal/>
    </border>
    <border>
      <left style="thin">
        <color theme="1" tint="0.34998626667073579"/>
      </left>
      <right style="thin">
        <color theme="1" tint="0.34998626667073579"/>
      </right>
      <top style="thin">
        <color theme="0" tint="-0.499984740745262"/>
      </top>
      <bottom/>
      <diagonal/>
    </border>
    <border>
      <left style="thin">
        <color theme="1" tint="0.34998626667073579"/>
      </left>
      <right style="thin">
        <color theme="1" tint="0.34998626667073579"/>
      </right>
      <top/>
      <bottom style="thin">
        <color indexed="64"/>
      </bottom>
      <diagonal/>
    </border>
    <border>
      <left style="thin">
        <color theme="1" tint="0.34998626667073579"/>
      </left>
      <right style="thin">
        <color theme="1" tint="0.34998626667073579"/>
      </right>
      <top style="thin">
        <color theme="0" tint="-0.24994659260841701"/>
      </top>
      <bottom style="thin">
        <color auto="1"/>
      </bottom>
      <diagonal/>
    </border>
    <border>
      <left style="thin">
        <color theme="1" tint="0.34998626667073579"/>
      </left>
      <right style="thin">
        <color theme="1" tint="0.34998626667073579"/>
      </right>
      <top/>
      <bottom style="thin">
        <color theme="0" tint="-0.24994659260841701"/>
      </bottom>
      <diagonal/>
    </border>
    <border>
      <left style="thin">
        <color theme="1" tint="0.34998626667073579"/>
      </left>
      <right style="thin">
        <color theme="1" tint="0.34998626667073579"/>
      </right>
      <top style="thin">
        <color indexed="64"/>
      </top>
      <bottom/>
      <diagonal/>
    </border>
    <border>
      <left style="thin">
        <color theme="1" tint="0.34998626667073579"/>
      </left>
      <right style="thin">
        <color theme="1" tint="0.34998626667073579"/>
      </right>
      <top style="thin">
        <color auto="1"/>
      </top>
      <bottom style="thin">
        <color auto="1"/>
      </bottom>
      <diagonal/>
    </border>
    <border>
      <left style="thin">
        <color theme="1" tint="0.34998626667073579"/>
      </left>
      <right style="thin">
        <color theme="1" tint="0.34998626667073579"/>
      </right>
      <top style="thin">
        <color theme="0" tint="-0.24994659260841701"/>
      </top>
      <bottom style="thin">
        <color theme="1" tint="0.34998626667073579"/>
      </bottom>
      <diagonal/>
    </border>
    <border>
      <left style="thin">
        <color theme="1" tint="0.34998626667073579"/>
      </left>
      <right style="thin">
        <color theme="1" tint="0.34998626667073579"/>
      </right>
      <top style="thin">
        <color theme="0" tint="-0.24994659260841701"/>
      </top>
      <bottom style="thin">
        <color theme="0" tint="-0.499984740745262"/>
      </bottom>
      <diagonal/>
    </border>
    <border>
      <left style="thin">
        <color theme="0" tint="-0.14996795556505021"/>
      </left>
      <right/>
      <top/>
      <bottom style="thin">
        <color theme="0" tint="-0.14996795556505021"/>
      </bottom>
      <diagonal/>
    </border>
    <border>
      <left style="thin">
        <color theme="0" tint="-0.14996795556505021"/>
      </left>
      <right/>
      <top style="thin">
        <color theme="0" tint="-0.14996795556505021"/>
      </top>
      <bottom style="thin">
        <color theme="0" tint="-0.499984740745262"/>
      </bottom>
      <diagonal/>
    </border>
    <border>
      <left style="thin">
        <color theme="1" tint="0.499984740745262"/>
      </left>
      <right style="thin">
        <color theme="0" tint="-0.24994659260841701"/>
      </right>
      <top/>
      <bottom/>
      <diagonal/>
    </border>
    <border>
      <left style="thin">
        <color theme="1" tint="0.499984740745262"/>
      </left>
      <right style="thin">
        <color theme="0" tint="-0.24994659260841701"/>
      </right>
      <top style="thin">
        <color auto="1"/>
      </top>
      <bottom style="thin">
        <color theme="0" tint="-0.14996795556505021"/>
      </bottom>
      <diagonal/>
    </border>
    <border>
      <left style="thin">
        <color theme="1" tint="0.499984740745262"/>
      </left>
      <right style="thin">
        <color theme="0" tint="-0.24994659260841701"/>
      </right>
      <top style="thin">
        <color theme="0" tint="-0.14996795556505021"/>
      </top>
      <bottom style="thin">
        <color theme="0" tint="-0.14996795556505021"/>
      </bottom>
      <diagonal/>
    </border>
    <border>
      <left style="thin">
        <color theme="1" tint="0.499984740745262"/>
      </left>
      <right style="thin">
        <color theme="0" tint="-0.24994659260841701"/>
      </right>
      <top style="thin">
        <color theme="0" tint="-0.14996795556505021"/>
      </top>
      <bottom style="thin">
        <color auto="1"/>
      </bottom>
      <diagonal/>
    </border>
    <border>
      <left style="thin">
        <color theme="1" tint="0.499984740745262"/>
      </left>
      <right style="thin">
        <color indexed="64"/>
      </right>
      <top style="thin">
        <color indexed="64"/>
      </top>
      <bottom/>
      <diagonal/>
    </border>
    <border>
      <left style="thin">
        <color theme="0" tint="-0.14996795556505021"/>
      </left>
      <right/>
      <top/>
      <bottom style="thin">
        <color theme="0" tint="-0.499984740745262"/>
      </bottom>
      <diagonal/>
    </border>
    <border>
      <left style="thin">
        <color theme="1" tint="0.499984740745262"/>
      </left>
      <right/>
      <top style="thin">
        <color theme="0" tint="-0.14996795556505021"/>
      </top>
      <bottom/>
      <diagonal/>
    </border>
    <border>
      <left/>
      <right style="thin">
        <color theme="0" tint="-0.14993743705557422"/>
      </right>
      <top style="thin">
        <color theme="0" tint="-0.499984740745262"/>
      </top>
      <bottom/>
      <diagonal/>
    </border>
    <border>
      <left/>
      <right style="thin">
        <color theme="0" tint="-0.14993743705557422"/>
      </right>
      <top/>
      <bottom style="thin">
        <color theme="0" tint="-0.499984740745262"/>
      </bottom>
      <diagonal/>
    </border>
    <border>
      <left style="thin">
        <color theme="1" tint="0.34998626667073579"/>
      </left>
      <right/>
      <top/>
      <bottom style="thin">
        <color theme="0" tint="-0.24994659260841701"/>
      </bottom>
      <diagonal/>
    </border>
    <border>
      <left style="thin">
        <color theme="1" tint="0.34998626667073579"/>
      </left>
      <right/>
      <top style="thin">
        <color theme="0" tint="-0.24994659260841701"/>
      </top>
      <bottom style="thin">
        <color theme="0" tint="-0.24994659260841701"/>
      </bottom>
      <diagonal/>
    </border>
    <border>
      <left/>
      <right style="thin">
        <color theme="1" tint="0.34998626667073579"/>
      </right>
      <top style="thin">
        <color theme="0" tint="-0.24994659260841701"/>
      </top>
      <bottom style="thin">
        <color theme="0" tint="-0.24994659260841701"/>
      </bottom>
      <diagonal/>
    </border>
    <border>
      <left style="thin">
        <color theme="1" tint="0.34998626667073579"/>
      </left>
      <right/>
      <top style="thin">
        <color theme="0" tint="-0.499984740745262"/>
      </top>
      <bottom style="thin">
        <color theme="0" tint="-0.24994659260841701"/>
      </bottom>
      <diagonal/>
    </border>
    <border>
      <left/>
      <right style="thin">
        <color theme="1" tint="0.34998626667073579"/>
      </right>
      <top style="thin">
        <color theme="0" tint="-0.499984740745262"/>
      </top>
      <bottom style="thin">
        <color theme="0" tint="-0.24994659260841701"/>
      </bottom>
      <diagonal/>
    </border>
    <border>
      <left style="thin">
        <color theme="1" tint="0.34998626667073579"/>
      </left>
      <right/>
      <top/>
      <bottom style="thin">
        <color theme="0" tint="-0.499984740745262"/>
      </bottom>
      <diagonal/>
    </border>
    <border>
      <left/>
      <right style="thin">
        <color theme="1" tint="0.34998626667073579"/>
      </right>
      <top/>
      <bottom style="thin">
        <color theme="0" tint="-0.499984740745262"/>
      </bottom>
      <diagonal/>
    </border>
    <border>
      <left style="thin">
        <color theme="1" tint="0.34998626667073579"/>
      </left>
      <right/>
      <top style="thin">
        <color theme="0" tint="-0.24994659260841701"/>
      </top>
      <bottom style="thin">
        <color theme="0" tint="-0.499984740745262"/>
      </bottom>
      <diagonal/>
    </border>
    <border>
      <left/>
      <right style="thin">
        <color theme="1" tint="0.34998626667073579"/>
      </right>
      <top style="thin">
        <color theme="0" tint="-0.24994659260841701"/>
      </top>
      <bottom style="thin">
        <color theme="0" tint="-0.499984740745262"/>
      </bottom>
      <diagonal/>
    </border>
    <border>
      <left style="thin">
        <color theme="1" tint="0.34998626667073579"/>
      </left>
      <right/>
      <top style="thin">
        <color theme="0" tint="-0.499984740745262"/>
      </top>
      <bottom style="thin">
        <color theme="0" tint="-0.499984740745262"/>
      </bottom>
      <diagonal/>
    </border>
    <border>
      <left/>
      <right style="thin">
        <color theme="1" tint="0.34998626667073579"/>
      </right>
      <top style="thin">
        <color theme="0" tint="-0.499984740745262"/>
      </top>
      <bottom style="thin">
        <color theme="0" tint="-0.499984740745262"/>
      </bottom>
      <diagonal/>
    </border>
    <border>
      <left style="thin">
        <color theme="1" tint="0.34998626667073579"/>
      </left>
      <right/>
      <top style="thin">
        <color theme="0" tint="-0.24994659260841701"/>
      </top>
      <bottom style="thin">
        <color theme="1" tint="0.34998626667073579"/>
      </bottom>
      <diagonal/>
    </border>
    <border>
      <left style="thin">
        <color theme="0" tint="-0.14996795556505021"/>
      </left>
      <right style="thin">
        <color theme="0" tint="-0.14996795556505021"/>
      </right>
      <top style="thin">
        <color theme="0" tint="-0.24994659260841701"/>
      </top>
      <bottom style="thin">
        <color theme="1" tint="0.34998626667073579"/>
      </bottom>
      <diagonal/>
    </border>
    <border>
      <left/>
      <right style="thin">
        <color theme="1" tint="0.34998626667073579"/>
      </right>
      <top style="thin">
        <color theme="0" tint="-0.24994659260841701"/>
      </top>
      <bottom style="thin">
        <color theme="1" tint="0.34998626667073579"/>
      </bottom>
      <diagonal/>
    </border>
    <border>
      <left style="thin">
        <color theme="0" tint="-0.14996795556505021"/>
      </left>
      <right style="thin">
        <color theme="1" tint="0.34998626667073579"/>
      </right>
      <top/>
      <bottom style="thin">
        <color theme="0" tint="-0.24994659260841701"/>
      </bottom>
      <diagonal/>
    </border>
    <border>
      <left style="thin">
        <color theme="0" tint="-0.14996795556505021"/>
      </left>
      <right style="thin">
        <color theme="1" tint="0.34998626667073579"/>
      </right>
      <top style="thin">
        <color theme="0" tint="-0.499984740745262"/>
      </top>
      <bottom style="thin">
        <color theme="0" tint="-0.24994659260841701"/>
      </bottom>
      <diagonal/>
    </border>
    <border>
      <left style="thin">
        <color theme="0" tint="-0.14996795556505021"/>
      </left>
      <right style="thin">
        <color theme="1" tint="0.34998626667073579"/>
      </right>
      <top style="thin">
        <color theme="0" tint="-0.24994659260841701"/>
      </top>
      <bottom style="thin">
        <color theme="0" tint="-0.499984740745262"/>
      </bottom>
      <diagonal/>
    </border>
    <border>
      <left style="thin">
        <color theme="0" tint="-0.14996795556505021"/>
      </left>
      <right style="thin">
        <color theme="1" tint="0.34998626667073579"/>
      </right>
      <top style="thin">
        <color theme="0" tint="-0.499984740745262"/>
      </top>
      <bottom style="thin">
        <color theme="0" tint="-0.499984740745262"/>
      </bottom>
      <diagonal/>
    </border>
    <border>
      <left style="thin">
        <color theme="0" tint="-0.14996795556505021"/>
      </left>
      <right style="thin">
        <color theme="1" tint="0.34998626667073579"/>
      </right>
      <top style="thin">
        <color theme="0" tint="-0.24994659260841701"/>
      </top>
      <bottom style="thin">
        <color theme="1" tint="0.34998626667073579"/>
      </bottom>
      <diagonal/>
    </border>
    <border>
      <left style="thin">
        <color theme="0" tint="-0.14996795556505021"/>
      </left>
      <right style="thin">
        <color theme="1" tint="0.34998626667073579"/>
      </right>
      <top/>
      <bottom style="thin">
        <color theme="0" tint="-0.14996795556505021"/>
      </bottom>
      <diagonal/>
    </border>
    <border>
      <left style="thin">
        <color theme="1" tint="0.34998626667073579"/>
      </left>
      <right style="thin">
        <color theme="0" tint="-0.14996795556505021"/>
      </right>
      <top style="thin">
        <color theme="0" tint="-0.14996795556505021"/>
      </top>
      <bottom style="thin">
        <color theme="0" tint="-0.499984740745262"/>
      </bottom>
      <diagonal/>
    </border>
    <border>
      <left style="thin">
        <color theme="0" tint="-0.14996795556505021"/>
      </left>
      <right style="thin">
        <color theme="1" tint="0.34998626667073579"/>
      </right>
      <top style="thin">
        <color theme="0" tint="-0.14996795556505021"/>
      </top>
      <bottom style="thin">
        <color theme="0" tint="-0.499984740745262"/>
      </bottom>
      <diagonal/>
    </border>
    <border>
      <left style="thin">
        <color theme="1" tint="0.34998626667073579"/>
      </left>
      <right style="thin">
        <color theme="0" tint="-0.14996795556505021"/>
      </right>
      <top style="thin">
        <color theme="0" tint="-0.499984740745262"/>
      </top>
      <bottom style="thin">
        <color theme="0" tint="-0.14996795556505021"/>
      </bottom>
      <diagonal/>
    </border>
    <border>
      <left style="thin">
        <color theme="1" tint="0.34998626667073579"/>
      </left>
      <right style="thin">
        <color theme="0" tint="-0.14996795556505021"/>
      </right>
      <top style="thin">
        <color theme="0" tint="-0.499984740745262"/>
      </top>
      <bottom style="thin">
        <color theme="0" tint="-0.499984740745262"/>
      </bottom>
      <diagonal/>
    </border>
    <border>
      <left style="thin">
        <color theme="9" tint="-0.499984740745262"/>
      </left>
      <right/>
      <top/>
      <bottom style="thin">
        <color theme="9" tint="-0.499984740745262"/>
      </bottom>
      <diagonal/>
    </border>
    <border>
      <left/>
      <right style="thin">
        <color theme="9" tint="-0.499984740745262"/>
      </right>
      <top/>
      <bottom style="thin">
        <color theme="9" tint="-0.499984740745262"/>
      </bottom>
      <diagonal/>
    </border>
    <border>
      <left style="thin">
        <color theme="0" tint="-0.499984740745262"/>
      </left>
      <right/>
      <top style="thin">
        <color auto="1"/>
      </top>
      <bottom/>
      <diagonal/>
    </border>
    <border>
      <left/>
      <right style="thin">
        <color theme="0" tint="-0.499984740745262"/>
      </right>
      <top style="thin">
        <color auto="1"/>
      </top>
      <bottom/>
      <diagonal/>
    </border>
    <border>
      <left style="thin">
        <color theme="0" tint="-0.499984740745262"/>
      </left>
      <right style="thin">
        <color theme="0" tint="-0.499984740745262"/>
      </right>
      <top style="thin">
        <color theme="0" tint="-0.24994659260841701"/>
      </top>
      <bottom style="thin">
        <color theme="0" tint="-0.14996795556505021"/>
      </bottom>
      <diagonal/>
    </border>
    <border>
      <left style="thin">
        <color theme="0" tint="-0.499984740745262"/>
      </left>
      <right style="thin">
        <color theme="0" tint="-0.499984740745262"/>
      </right>
      <top style="thin">
        <color theme="1" tint="0.499984740745262"/>
      </top>
      <bottom/>
      <diagonal/>
    </border>
    <border>
      <left style="thin">
        <color theme="1"/>
      </left>
      <right style="thin">
        <color theme="0" tint="-0.24994659260841701"/>
      </right>
      <top style="thin">
        <color theme="0" tint="-0.14996795556505021"/>
      </top>
      <bottom style="thin">
        <color theme="0" tint="-0.14996795556505021"/>
      </bottom>
      <diagonal/>
    </border>
    <border>
      <left style="thin">
        <color theme="1"/>
      </left>
      <right style="thin">
        <color theme="0" tint="-0.24994659260841701"/>
      </right>
      <top style="thin">
        <color theme="0" tint="-0.14996795556505021"/>
      </top>
      <bottom style="thin">
        <color theme="1"/>
      </bottom>
      <diagonal/>
    </border>
    <border>
      <left style="thin">
        <color indexed="64"/>
      </left>
      <right/>
      <top style="thin">
        <color theme="0" tint="-0.14996795556505021"/>
      </top>
      <bottom style="thin">
        <color theme="1"/>
      </bottom>
      <diagonal/>
    </border>
    <border>
      <left style="thin">
        <color theme="1"/>
      </left>
      <right style="thin">
        <color theme="0" tint="-0.24994659260841701"/>
      </right>
      <top style="thin">
        <color theme="1"/>
      </top>
      <bottom style="thin">
        <color theme="0" tint="-0.14996795556505021"/>
      </bottom>
      <diagonal/>
    </border>
    <border>
      <left style="thin">
        <color indexed="64"/>
      </left>
      <right/>
      <top style="thin">
        <color theme="1"/>
      </top>
      <bottom style="thin">
        <color theme="0" tint="-0.14996795556505021"/>
      </bottom>
      <diagonal/>
    </border>
    <border>
      <left style="thin">
        <color theme="1" tint="0.499984740745262"/>
      </left>
      <right style="thin">
        <color theme="1" tint="0.499984740745262"/>
      </right>
      <top style="thin">
        <color theme="1"/>
      </top>
      <bottom style="thin">
        <color theme="0" tint="-0.14996795556505021"/>
      </bottom>
      <diagonal/>
    </border>
    <border>
      <left style="thin">
        <color theme="1" tint="0.499984740745262"/>
      </left>
      <right style="thin">
        <color theme="1"/>
      </right>
      <top style="thin">
        <color theme="1"/>
      </top>
      <bottom style="thin">
        <color theme="0" tint="-0.14996795556505021"/>
      </bottom>
      <diagonal/>
    </border>
    <border>
      <left style="thin">
        <color theme="1" tint="0.499984740745262"/>
      </left>
      <right style="thin">
        <color theme="1" tint="0.499984740745262"/>
      </right>
      <top style="thin">
        <color theme="0" tint="-0.14996795556505021"/>
      </top>
      <bottom style="thin">
        <color theme="1"/>
      </bottom>
      <diagonal/>
    </border>
    <border>
      <left style="thin">
        <color theme="1" tint="0.499984740745262"/>
      </left>
      <right style="thin">
        <color theme="1"/>
      </right>
      <top style="thin">
        <color theme="0" tint="-0.14996795556505021"/>
      </top>
      <bottom style="thin">
        <color theme="1"/>
      </bottom>
      <diagonal/>
    </border>
    <border>
      <left style="thin">
        <color theme="1" tint="0.499984740745262"/>
      </left>
      <right style="thin">
        <color theme="1"/>
      </right>
      <top style="thin">
        <color theme="0" tint="-0.14996795556505021"/>
      </top>
      <bottom style="thin">
        <color theme="0" tint="-0.14996795556505021"/>
      </bottom>
      <diagonal/>
    </border>
    <border>
      <left style="thin">
        <color theme="1" tint="0.499984740745262"/>
      </left>
      <right style="thin">
        <color theme="1" tint="0.499984740745262"/>
      </right>
      <top/>
      <bottom style="thin">
        <color theme="1"/>
      </bottom>
      <diagonal/>
    </border>
    <border>
      <left style="thin">
        <color theme="1" tint="0.499984740745262"/>
      </left>
      <right style="thin">
        <color theme="1"/>
      </right>
      <top/>
      <bottom style="thin">
        <color theme="1"/>
      </bottom>
      <diagonal/>
    </border>
    <border>
      <left style="thin">
        <color theme="0" tint="-0.14996795556505021"/>
      </left>
      <right style="thin">
        <color theme="1"/>
      </right>
      <top style="thin">
        <color theme="0" tint="-0.14996795556505021"/>
      </top>
      <bottom style="thin">
        <color theme="0" tint="-0.14996795556505021"/>
      </bottom>
      <diagonal/>
    </border>
    <border>
      <left style="thin">
        <color theme="1"/>
      </left>
      <right style="thin">
        <color theme="0" tint="-0.24994659260841701"/>
      </right>
      <top/>
      <bottom style="thin">
        <color theme="0" tint="-0.14996795556505021"/>
      </bottom>
      <diagonal/>
    </border>
    <border>
      <left style="thin">
        <color theme="1" tint="0.499984740745262"/>
      </left>
      <right/>
      <top/>
      <bottom style="thin">
        <color theme="1"/>
      </bottom>
      <diagonal/>
    </border>
    <border>
      <left style="thin">
        <color rgb="FFC00000"/>
      </left>
      <right/>
      <top style="thin">
        <color rgb="FFC00000"/>
      </top>
      <bottom/>
      <diagonal/>
    </border>
    <border>
      <left/>
      <right style="thin">
        <color auto="1"/>
      </right>
      <top style="thin">
        <color rgb="FFC00000"/>
      </top>
      <bottom/>
      <diagonal/>
    </border>
    <border>
      <left/>
      <right/>
      <top style="thin">
        <color rgb="FFC00000"/>
      </top>
      <bottom/>
      <diagonal/>
    </border>
    <border>
      <left style="thin">
        <color auto="1"/>
      </left>
      <right style="thin">
        <color auto="1"/>
      </right>
      <top style="thin">
        <color rgb="FFC00000"/>
      </top>
      <bottom/>
      <diagonal/>
    </border>
    <border>
      <left style="thin">
        <color auto="1"/>
      </left>
      <right/>
      <top style="thin">
        <color rgb="FFC00000"/>
      </top>
      <bottom/>
      <diagonal/>
    </border>
    <border>
      <left style="thin">
        <color rgb="FFC00000"/>
      </left>
      <right style="thin">
        <color rgb="FFC00000"/>
      </right>
      <top style="thin">
        <color auto="1"/>
      </top>
      <bottom/>
      <diagonal/>
    </border>
    <border>
      <left style="thin">
        <color theme="0" tint="-0.24994659260841701"/>
      </left>
      <right style="thin">
        <color auto="1"/>
      </right>
      <top/>
      <bottom/>
      <diagonal/>
    </border>
    <border>
      <left style="thin">
        <color auto="1"/>
      </left>
      <right style="thin">
        <color theme="0" tint="-0.24994659260841701"/>
      </right>
      <top/>
      <bottom/>
      <diagonal/>
    </border>
    <border>
      <left style="thin">
        <color theme="1" tint="0.24994659260841701"/>
      </left>
      <right style="thin">
        <color theme="0" tint="-0.34998626667073579"/>
      </right>
      <top/>
      <bottom/>
      <diagonal/>
    </border>
    <border>
      <left style="thin">
        <color theme="0" tint="-0.34998626667073579"/>
      </left>
      <right style="thin">
        <color theme="1" tint="0.24994659260841701"/>
      </right>
      <top/>
      <bottom/>
      <diagonal/>
    </border>
    <border>
      <left style="thin">
        <color theme="1" tint="0.34998626667073579"/>
      </left>
      <right style="thin">
        <color theme="0" tint="-0.14996795556505021"/>
      </right>
      <top/>
      <bottom style="thin">
        <color theme="0" tint="-0.499984740745262"/>
      </bottom>
      <diagonal/>
    </border>
    <border>
      <left style="thin">
        <color theme="0" tint="-0.499984740745262"/>
      </left>
      <right style="thin">
        <color theme="0" tint="-0.499984740745262"/>
      </right>
      <top style="thin">
        <color indexed="64"/>
      </top>
      <bottom/>
      <diagonal/>
    </border>
    <border>
      <left style="thin">
        <color auto="1"/>
      </left>
      <right style="thin">
        <color theme="0" tint="-0.14996795556505021"/>
      </right>
      <top style="thin">
        <color auto="1"/>
      </top>
      <bottom/>
      <diagonal/>
    </border>
    <border>
      <left/>
      <right style="thin">
        <color theme="0" tint="-0.499984740745262"/>
      </right>
      <top style="thin">
        <color rgb="FFC00000"/>
      </top>
      <bottom/>
      <diagonal/>
    </border>
    <border>
      <left style="thin">
        <color theme="0" tint="-0.499984740745262"/>
      </left>
      <right style="thin">
        <color theme="0" tint="-0.34998626667073579"/>
      </right>
      <top style="thin">
        <color auto="1"/>
      </top>
      <bottom/>
      <diagonal/>
    </border>
    <border>
      <left style="thin">
        <color indexed="64"/>
      </left>
      <right style="thin">
        <color theme="0" tint="-0.499984740745262"/>
      </right>
      <top style="thin">
        <color indexed="64"/>
      </top>
      <bottom/>
      <diagonal/>
    </border>
    <border>
      <left style="thin">
        <color theme="0" tint="-0.499984740745262"/>
      </left>
      <right style="thin">
        <color theme="0" tint="-0.34998626667073579"/>
      </right>
      <top style="thin">
        <color auto="1"/>
      </top>
      <bottom style="thin">
        <color auto="1"/>
      </bottom>
      <diagonal/>
    </border>
    <border>
      <left style="thin">
        <color theme="1" tint="0.34998626667073579"/>
      </left>
      <right/>
      <top style="thin">
        <color theme="0" tint="-0.24994659260841701"/>
      </top>
      <bottom/>
      <diagonal/>
    </border>
    <border>
      <left/>
      <right style="thin">
        <color theme="1" tint="0.34998626667073579"/>
      </right>
      <top style="thin">
        <color theme="0" tint="-0.24994659260841701"/>
      </top>
      <bottom/>
      <diagonal/>
    </border>
    <border>
      <left/>
      <right style="thin">
        <color theme="1" tint="0.34998626667073579"/>
      </right>
      <top style="thin">
        <color theme="0" tint="-0.14996795556505021"/>
      </top>
      <bottom style="thin">
        <color theme="0" tint="-0.24994659260841701"/>
      </bottom>
      <diagonal/>
    </border>
    <border>
      <left style="thin">
        <color theme="0" tint="-0.14996795556505021"/>
      </left>
      <right style="thin">
        <color theme="1" tint="0.499984740745262"/>
      </right>
      <top style="thin">
        <color theme="0" tint="-0.14996795556505021"/>
      </top>
      <bottom style="thin">
        <color theme="0" tint="-0.499984740745262"/>
      </bottom>
      <diagonal/>
    </border>
    <border>
      <left style="thin">
        <color theme="0" tint="-0.14996795556505021"/>
      </left>
      <right style="thin">
        <color theme="1"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0" tint="-0.14996795556505021"/>
      </top>
      <bottom style="thin">
        <color auto="1"/>
      </bottom>
      <diagonal/>
    </border>
    <border>
      <left style="thin">
        <color theme="0" tint="-0.14996795556505021"/>
      </left>
      <right style="thin">
        <color theme="1" tint="0.499984740745262"/>
      </right>
      <top/>
      <bottom style="thin">
        <color theme="0" tint="-0.14996795556505021"/>
      </bottom>
      <diagonal/>
    </border>
    <border>
      <left style="thin">
        <color theme="0" tint="-0.24994659260841701"/>
      </left>
      <right style="thin">
        <color theme="1" tint="0.499984740745262"/>
      </right>
      <top style="thin">
        <color theme="0" tint="-0.499984740745262"/>
      </top>
      <bottom style="thin">
        <color theme="1" tint="0.34998626667073579"/>
      </bottom>
      <diagonal/>
    </border>
    <border>
      <left style="thin">
        <color theme="1" tint="0.34998626667073579"/>
      </left>
      <right style="thin">
        <color theme="0" tint="-0.14993743705557422"/>
      </right>
      <top style="thin">
        <color theme="0" tint="-0.14996795556505021"/>
      </top>
      <bottom style="thin">
        <color theme="0" tint="-0.14996795556505021"/>
      </bottom>
      <diagonal/>
    </border>
    <border>
      <left style="thin">
        <color theme="0" tint="-0.24994659260841701"/>
      </left>
      <right style="thin">
        <color theme="1" tint="0.499984740745262"/>
      </right>
      <top style="thin">
        <color auto="1"/>
      </top>
      <bottom style="thin">
        <color theme="0" tint="-0.24994659260841701"/>
      </bottom>
      <diagonal/>
    </border>
    <border>
      <left/>
      <right style="thin">
        <color theme="1" tint="0.499984740745262"/>
      </right>
      <top/>
      <bottom/>
      <diagonal/>
    </border>
    <border>
      <left style="thin">
        <color theme="0" tint="-0.14996795556505021"/>
      </left>
      <right style="thin">
        <color theme="1" tint="0.499984740745262"/>
      </right>
      <top style="thin">
        <color theme="0" tint="-0.14996795556505021"/>
      </top>
      <bottom style="thin">
        <color theme="1" tint="0.34998626667073579"/>
      </bottom>
      <diagonal/>
    </border>
    <border>
      <left style="thin">
        <color theme="1" tint="0.499984740745262"/>
      </left>
      <right style="thin">
        <color theme="1" tint="0.499984740745262"/>
      </right>
      <top style="thin">
        <color indexed="64"/>
      </top>
      <bottom style="thin">
        <color theme="0" tint="-0.14996795556505021"/>
      </bottom>
      <diagonal/>
    </border>
    <border>
      <left style="thin">
        <color theme="1" tint="0.499984740745262"/>
      </left>
      <right style="thin">
        <color theme="1" tint="0.499984740745262"/>
      </right>
      <top style="thin">
        <color auto="1"/>
      </top>
      <bottom style="thin">
        <color auto="1"/>
      </bottom>
      <diagonal/>
    </border>
    <border>
      <left style="thin">
        <color theme="0" tint="-0.24994659260841701"/>
      </left>
      <right style="thin">
        <color theme="0" tint="-0.24994659260841701"/>
      </right>
      <top style="thin">
        <color theme="0" tint="-0.14996795556505021"/>
      </top>
      <bottom/>
      <diagonal/>
    </border>
    <border>
      <left style="thin">
        <color theme="1" tint="0.499984740745262"/>
      </left>
      <right style="thin">
        <color theme="0" tint="-0.24994659260841701"/>
      </right>
      <top style="thin">
        <color theme="1" tint="0.499984740745262"/>
      </top>
      <bottom style="thin">
        <color theme="0" tint="-0.14996795556505021"/>
      </bottom>
      <diagonal/>
    </border>
    <border>
      <left style="thin">
        <color theme="1" tint="0.499984740745262"/>
      </left>
      <right style="thin">
        <color theme="0" tint="-0.24994659260841701"/>
      </right>
      <top style="thin">
        <color theme="0" tint="-0.14996795556505021"/>
      </top>
      <bottom/>
      <diagonal/>
    </border>
    <border>
      <left/>
      <right style="thin">
        <color theme="1" tint="0.499984740745262"/>
      </right>
      <top style="thin">
        <color theme="0" tint="-0.14996795556505021"/>
      </top>
      <bottom/>
      <diagonal/>
    </border>
    <border>
      <left/>
      <right style="thin">
        <color theme="1" tint="0.499984740745262"/>
      </right>
      <top style="thin">
        <color indexed="64"/>
      </top>
      <bottom style="thin">
        <color theme="0" tint="-0.14996795556505021"/>
      </bottom>
      <diagonal/>
    </border>
    <border>
      <left/>
      <right style="thin">
        <color theme="1" tint="0.499984740745262"/>
      </right>
      <top style="thin">
        <color theme="0" tint="-0.14996795556505021"/>
      </top>
      <bottom style="thin">
        <color auto="1"/>
      </bottom>
      <diagonal/>
    </border>
    <border>
      <left style="thin">
        <color theme="1" tint="0.499984740745262"/>
      </left>
      <right style="thin">
        <color theme="0" tint="-0.24994659260841701"/>
      </right>
      <top style="thin">
        <color theme="0" tint="-0.14996795556505021"/>
      </top>
      <bottom style="thin">
        <color theme="1" tint="0.499984740745262"/>
      </bottom>
      <diagonal/>
    </border>
    <border>
      <left style="thin">
        <color theme="1" tint="0.499984740745262"/>
      </left>
      <right style="thin">
        <color theme="1" tint="0.499984740745262"/>
      </right>
      <top style="thin">
        <color theme="0" tint="-0.14996795556505021"/>
      </top>
      <bottom/>
      <diagonal/>
    </border>
    <border>
      <left style="thin">
        <color theme="1" tint="0.499984740745262"/>
      </left>
      <right style="thin">
        <color theme="1" tint="0.499984740745262"/>
      </right>
      <top/>
      <bottom style="thin">
        <color theme="0" tint="-0.14996795556505021"/>
      </bottom>
      <diagonal/>
    </border>
    <border>
      <left style="thin">
        <color theme="1" tint="0.499984740745262"/>
      </left>
      <right style="thin">
        <color theme="1" tint="0.499984740745262"/>
      </right>
      <top style="thin">
        <color theme="0" tint="-0.14996795556505021"/>
      </top>
      <bottom style="thin">
        <color theme="0" tint="-0.24994659260841701"/>
      </bottom>
      <diagonal/>
    </border>
    <border>
      <left style="thin">
        <color theme="1" tint="0.499984740745262"/>
      </left>
      <right style="thin">
        <color theme="1" tint="0.499984740745262"/>
      </right>
      <top style="thin">
        <color indexed="64"/>
      </top>
      <bottom style="thin">
        <color theme="0" tint="-0.24994659260841701"/>
      </bottom>
      <diagonal/>
    </border>
    <border>
      <left style="thin">
        <color theme="1" tint="0.499984740745262"/>
      </left>
      <right style="thin">
        <color theme="1" tint="0.499984740745262"/>
      </right>
      <top style="thin">
        <color theme="0" tint="-0.24994659260841701"/>
      </top>
      <bottom/>
      <diagonal/>
    </border>
    <border>
      <left style="thin">
        <color theme="1" tint="0.499984740745262"/>
      </left>
      <right style="thin">
        <color theme="1" tint="0.499984740745262"/>
      </right>
      <top style="thin">
        <color theme="0" tint="-0.24994659260841701"/>
      </top>
      <bottom style="thin">
        <color indexed="64"/>
      </bottom>
      <diagonal/>
    </border>
    <border>
      <left style="thin">
        <color theme="1" tint="0.34998626667073579"/>
      </left>
      <right style="thin">
        <color auto="1"/>
      </right>
      <top/>
      <bottom style="thin">
        <color theme="1" tint="0.34998626667073579"/>
      </bottom>
      <diagonal/>
    </border>
    <border>
      <left style="thin">
        <color theme="0" tint="-0.14996795556505021"/>
      </left>
      <right/>
      <top style="thin">
        <color theme="0" tint="-0.499984740745262"/>
      </top>
      <bottom style="thin">
        <color theme="0" tint="-0.14996795556505021"/>
      </bottom>
      <diagonal/>
    </border>
    <border>
      <left style="thin">
        <color theme="0" tint="-0.14996795556505021"/>
      </left>
      <right/>
      <top style="thin">
        <color theme="0" tint="-0.499984740745262"/>
      </top>
      <bottom style="thin">
        <color theme="0" tint="-0.499984740745262"/>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diagonal/>
    </border>
    <border>
      <left style="thin">
        <color theme="0" tint="-0.14996795556505021"/>
      </left>
      <right/>
      <top style="thin">
        <color theme="0" tint="-0.14996795556505021"/>
      </top>
      <bottom style="thin">
        <color theme="1" tint="0.34998626667073579"/>
      </bottom>
      <diagonal/>
    </border>
    <border>
      <left style="thin">
        <color theme="0" tint="-0.14996795556505021"/>
      </left>
      <right style="thin">
        <color theme="1" tint="0.499984740745262"/>
      </right>
      <top style="thin">
        <color auto="1"/>
      </top>
      <bottom style="thin">
        <color theme="0" tint="-0.24994659260841701"/>
      </bottom>
      <diagonal/>
    </border>
    <border>
      <left style="thin">
        <color theme="0" tint="-0.14996795556505021"/>
      </left>
      <right style="thin">
        <color theme="1" tint="0.499984740745262"/>
      </right>
      <top style="thin">
        <color theme="0" tint="-0.24994659260841701"/>
      </top>
      <bottom style="thin">
        <color theme="0" tint="-0.24994659260841701"/>
      </bottom>
      <diagonal/>
    </border>
    <border>
      <left style="thin">
        <color theme="0" tint="-0.14996795556505021"/>
      </left>
      <right style="thin">
        <color theme="1" tint="0.499984740745262"/>
      </right>
      <top/>
      <bottom/>
      <diagonal/>
    </border>
    <border>
      <left style="thin">
        <color theme="0" tint="-0.14996795556505021"/>
      </left>
      <right style="thin">
        <color theme="1" tint="0.499984740745262"/>
      </right>
      <top style="thin">
        <color theme="0" tint="-0.24994659260841701"/>
      </top>
      <bottom style="thin">
        <color auto="1"/>
      </bottom>
      <diagonal/>
    </border>
    <border>
      <left style="thin">
        <color theme="0" tint="-0.14996795556505021"/>
      </left>
      <right style="thin">
        <color theme="1" tint="0.499984740745262"/>
      </right>
      <top/>
      <bottom style="thin">
        <color theme="0" tint="-0.24994659260841701"/>
      </bottom>
      <diagonal/>
    </border>
    <border>
      <left style="thin">
        <color theme="0" tint="-0.14996795556505021"/>
      </left>
      <right style="thin">
        <color theme="1" tint="0.499984740745262"/>
      </right>
      <top style="thin">
        <color theme="0" tint="-0.24994659260841701"/>
      </top>
      <bottom/>
      <diagonal/>
    </border>
    <border>
      <left style="thin">
        <color theme="0" tint="-0.14996795556505021"/>
      </left>
      <right style="thin">
        <color theme="1" tint="0.499984740745262"/>
      </right>
      <top style="thin">
        <color auto="1"/>
      </top>
      <bottom style="thin">
        <color theme="0" tint="-0.14996795556505021"/>
      </bottom>
      <diagonal/>
    </border>
    <border>
      <left style="thin">
        <color theme="0" tint="-0.14996795556505021"/>
      </left>
      <right style="thin">
        <color theme="1" tint="0.499984740745262"/>
      </right>
      <top/>
      <bottom style="thin">
        <color auto="1"/>
      </bottom>
      <diagonal/>
    </border>
    <border>
      <left style="thin">
        <color theme="0" tint="-0.24994659260841701"/>
      </left>
      <right style="thin">
        <color theme="1" tint="0.499984740745262"/>
      </right>
      <top style="thin">
        <color theme="0" tint="-0.24994659260841701"/>
      </top>
      <bottom style="thin">
        <color theme="0" tint="-0.499984740745262"/>
      </bottom>
      <diagonal/>
    </border>
    <border>
      <left/>
      <right style="thin">
        <color theme="9" tint="-0.499984740745262"/>
      </right>
      <top style="thin">
        <color theme="9" tint="-0.499984740745262"/>
      </top>
      <bottom style="thin">
        <color theme="9" tint="-0.499984740745262"/>
      </bottom>
      <diagonal/>
    </border>
    <border>
      <left style="thin">
        <color theme="0" tint="-0.24994659260841701"/>
      </left>
      <right style="thin">
        <color theme="0" tint="-0.24994659260841701"/>
      </right>
      <top style="thin">
        <color theme="9" tint="-0.499984740745262"/>
      </top>
      <bottom style="thin">
        <color theme="9" tint="-0.499984740745262"/>
      </bottom>
      <diagonal/>
    </border>
  </borders>
  <cellStyleXfs count="6">
    <xf numFmtId="0" fontId="0" fillId="0" borderId="0"/>
    <xf numFmtId="9" fontId="3" fillId="0" borderId="0" applyFont="0" applyFill="0" applyBorder="0" applyAlignment="0" applyProtection="0"/>
    <xf numFmtId="0" fontId="3" fillId="0" borderId="0"/>
    <xf numFmtId="0" fontId="8" fillId="0" borderId="0"/>
    <xf numFmtId="0" fontId="30" fillId="0" borderId="0" applyNumberFormat="0" applyFill="0" applyBorder="0" applyAlignment="0" applyProtection="0"/>
    <xf numFmtId="0" fontId="3" fillId="0" borderId="0"/>
  </cellStyleXfs>
  <cellXfs count="2816">
    <xf numFmtId="0" fontId="0" fillId="0" borderId="0" xfId="0"/>
    <xf numFmtId="0" fontId="6" fillId="0" borderId="0" xfId="0" applyFont="1"/>
    <xf numFmtId="0" fontId="2" fillId="0" borderId="0" xfId="0" applyFont="1"/>
    <xf numFmtId="0" fontId="19" fillId="9" borderId="0" xfId="0" applyFont="1" applyFill="1" applyProtection="1">
      <protection hidden="1"/>
    </xf>
    <xf numFmtId="0" fontId="17" fillId="0" borderId="0" xfId="0" quotePrefix="1" applyFont="1" applyAlignment="1" applyProtection="1">
      <alignment horizontal="left"/>
      <protection hidden="1"/>
    </xf>
    <xf numFmtId="0" fontId="6" fillId="0" borderId="0" xfId="0" applyFont="1" applyAlignment="1" applyProtection="1">
      <alignment vertical="center"/>
      <protection hidden="1"/>
    </xf>
    <xf numFmtId="0" fontId="6" fillId="0" borderId="76" xfId="0" applyFont="1" applyBorder="1" applyAlignment="1" applyProtection="1">
      <alignment vertical="center"/>
      <protection hidden="1"/>
    </xf>
    <xf numFmtId="0" fontId="6" fillId="0" borderId="77" xfId="0" applyFont="1" applyBorder="1" applyAlignment="1" applyProtection="1">
      <alignment vertical="center"/>
      <protection hidden="1"/>
    </xf>
    <xf numFmtId="0" fontId="14" fillId="3" borderId="97" xfId="2" quotePrefix="1" applyFont="1" applyFill="1" applyBorder="1" applyAlignment="1" applyProtection="1">
      <alignment horizontal="center" vertical="center"/>
      <protection hidden="1"/>
    </xf>
    <xf numFmtId="0" fontId="14" fillId="3" borderId="99" xfId="2" quotePrefix="1" applyFont="1" applyFill="1" applyBorder="1" applyAlignment="1" applyProtection="1">
      <alignment horizontal="center" vertical="center"/>
      <protection hidden="1"/>
    </xf>
    <xf numFmtId="0" fontId="6" fillId="0" borderId="0" xfId="0" applyFont="1" applyProtection="1">
      <protection hidden="1"/>
    </xf>
    <xf numFmtId="0" fontId="6" fillId="0" borderId="100" xfId="0" quotePrefix="1" applyFont="1" applyBorder="1" applyAlignment="1" applyProtection="1">
      <alignment horizontal="left" vertical="center"/>
      <protection hidden="1"/>
    </xf>
    <xf numFmtId="0" fontId="6" fillId="0" borderId="101" xfId="0" applyFont="1" applyBorder="1" applyAlignment="1" applyProtection="1">
      <alignment horizontal="left" vertical="center"/>
      <protection hidden="1"/>
    </xf>
    <xf numFmtId="0" fontId="6" fillId="0" borderId="102" xfId="0" quotePrefix="1" applyFont="1" applyBorder="1" applyAlignment="1" applyProtection="1">
      <alignment horizontal="left" vertical="center"/>
      <protection hidden="1"/>
    </xf>
    <xf numFmtId="0" fontId="6" fillId="0" borderId="103" xfId="0" applyFont="1" applyBorder="1" applyAlignment="1" applyProtection="1">
      <alignment horizontal="left" vertical="center"/>
      <protection hidden="1"/>
    </xf>
    <xf numFmtId="0" fontId="6" fillId="0" borderId="104" xfId="0" quotePrefix="1" applyFont="1" applyBorder="1" applyAlignment="1" applyProtection="1">
      <alignment horizontal="left" vertical="center"/>
      <protection hidden="1"/>
    </xf>
    <xf numFmtId="0" fontId="6" fillId="0" borderId="105" xfId="0" applyFont="1" applyBorder="1" applyAlignment="1" applyProtection="1">
      <alignment horizontal="left" vertical="center"/>
      <protection hidden="1"/>
    </xf>
    <xf numFmtId="0" fontId="6" fillId="0" borderId="0" xfId="0" quotePrefix="1" applyFont="1" applyAlignment="1">
      <alignment horizontal="left" vertical="center"/>
    </xf>
    <xf numFmtId="0" fontId="14" fillId="3" borderId="82" xfId="2" quotePrefix="1" applyFont="1" applyFill="1" applyBorder="1" applyAlignment="1" applyProtection="1">
      <alignment horizontal="center" vertical="center"/>
      <protection hidden="1"/>
    </xf>
    <xf numFmtId="0" fontId="6" fillId="9" borderId="0" xfId="0" applyFont="1" applyFill="1" applyProtection="1">
      <protection hidden="1"/>
    </xf>
    <xf numFmtId="0" fontId="6" fillId="0" borderId="147" xfId="0" quotePrefix="1" applyFont="1" applyBorder="1" applyAlignment="1" applyProtection="1">
      <alignment horizontal="left" vertical="center"/>
      <protection hidden="1"/>
    </xf>
    <xf numFmtId="0" fontId="6" fillId="0" borderId="155" xfId="0" applyFont="1" applyBorder="1" applyAlignment="1" applyProtection="1">
      <alignment horizontal="left" vertical="center"/>
      <protection hidden="1"/>
    </xf>
    <xf numFmtId="0" fontId="17" fillId="0" borderId="0" xfId="0" quotePrefix="1" applyFont="1" applyAlignment="1">
      <alignment horizontal="left" vertical="center"/>
    </xf>
    <xf numFmtId="0" fontId="4" fillId="6" borderId="46" xfId="0" applyFont="1" applyFill="1" applyBorder="1" applyAlignment="1">
      <alignment horizontal="center"/>
    </xf>
    <xf numFmtId="4" fontId="5" fillId="2" borderId="51" xfId="0" applyNumberFormat="1" applyFont="1" applyFill="1" applyBorder="1"/>
    <xf numFmtId="3" fontId="5" fillId="2" borderId="51" xfId="0" applyNumberFormat="1" applyFont="1" applyFill="1" applyBorder="1"/>
    <xf numFmtId="0" fontId="31" fillId="0" borderId="0" xfId="0" applyFont="1"/>
    <xf numFmtId="0" fontId="15" fillId="9" borderId="86" xfId="0" applyFont="1" applyFill="1" applyBorder="1" applyAlignment="1" applyProtection="1">
      <alignment vertical="center"/>
      <protection hidden="1"/>
    </xf>
    <xf numFmtId="0" fontId="15" fillId="9" borderId="86" xfId="0" quotePrefix="1" applyFont="1" applyFill="1" applyBorder="1" applyAlignment="1" applyProtection="1">
      <alignment horizontal="left" vertical="center"/>
      <protection hidden="1"/>
    </xf>
    <xf numFmtId="0" fontId="15" fillId="9" borderId="86" xfId="0" quotePrefix="1" applyFont="1" applyFill="1" applyBorder="1" applyAlignment="1" applyProtection="1">
      <alignment vertical="center"/>
      <protection hidden="1"/>
    </xf>
    <xf numFmtId="0" fontId="25" fillId="9" borderId="87" xfId="0" applyFont="1" applyFill="1" applyBorder="1" applyAlignment="1" applyProtection="1">
      <alignment horizontal="right" vertical="center"/>
      <protection hidden="1"/>
    </xf>
    <xf numFmtId="0" fontId="34" fillId="9" borderId="136" xfId="0" applyFont="1" applyFill="1" applyBorder="1" applyAlignment="1">
      <alignment horizontal="left" vertical="top" wrapText="1"/>
    </xf>
    <xf numFmtId="0" fontId="34" fillId="9" borderId="129" xfId="0" quotePrefix="1" applyFont="1" applyFill="1" applyBorder="1" applyAlignment="1">
      <alignment horizontal="left" vertical="top" wrapText="1"/>
    </xf>
    <xf numFmtId="0" fontId="34" fillId="9" borderId="137" xfId="0" applyFont="1" applyFill="1" applyBorder="1" applyAlignment="1">
      <alignment horizontal="left" vertical="top" wrapText="1"/>
    </xf>
    <xf numFmtId="0" fontId="34" fillId="9" borderId="137" xfId="0" quotePrefix="1" applyFont="1" applyFill="1" applyBorder="1" applyAlignment="1">
      <alignment horizontal="left" vertical="top" wrapText="1"/>
    </xf>
    <xf numFmtId="0" fontId="34" fillId="19" borderId="137" xfId="0" applyFont="1" applyFill="1" applyBorder="1" applyAlignment="1">
      <alignment horizontal="left" vertical="top" wrapText="1"/>
    </xf>
    <xf numFmtId="0" fontId="34" fillId="19" borderId="137" xfId="0" quotePrefix="1" applyFont="1" applyFill="1" applyBorder="1" applyAlignment="1">
      <alignment horizontal="left" vertical="top" wrapText="1"/>
    </xf>
    <xf numFmtId="0" fontId="34" fillId="19" borderId="138" xfId="0" applyFont="1" applyFill="1" applyBorder="1" applyAlignment="1">
      <alignment horizontal="left" vertical="top" wrapText="1"/>
    </xf>
    <xf numFmtId="0" fontId="34" fillId="15" borderId="128" xfId="0" applyFont="1" applyFill="1" applyBorder="1" applyAlignment="1">
      <alignment horizontal="left" vertical="top" wrapText="1"/>
    </xf>
    <xf numFmtId="0" fontId="35" fillId="0" borderId="0" xfId="0" quotePrefix="1" applyFont="1" applyAlignment="1">
      <alignment horizontal="left"/>
    </xf>
    <xf numFmtId="0" fontId="6" fillId="0" borderId="86" xfId="0" applyFont="1" applyBorder="1" applyAlignment="1" applyProtection="1">
      <alignment vertical="center"/>
      <protection hidden="1"/>
    </xf>
    <xf numFmtId="0" fontId="6" fillId="0" borderId="86" xfId="0" applyFont="1" applyBorder="1" applyProtection="1">
      <protection hidden="1"/>
    </xf>
    <xf numFmtId="0" fontId="6" fillId="0" borderId="87" xfId="0" applyFont="1" applyBorder="1" applyProtection="1">
      <protection hidden="1"/>
    </xf>
    <xf numFmtId="0" fontId="6" fillId="9" borderId="0" xfId="0" applyFont="1" applyFill="1" applyAlignment="1" applyProtection="1">
      <alignment vertical="center"/>
      <protection hidden="1"/>
    </xf>
    <xf numFmtId="0" fontId="6" fillId="0" borderId="81" xfId="0" applyFont="1" applyBorder="1" applyProtection="1">
      <protection hidden="1"/>
    </xf>
    <xf numFmtId="0" fontId="32" fillId="0" borderId="0" xfId="0" applyFont="1" applyAlignment="1" applyProtection="1">
      <alignment vertical="center"/>
      <protection hidden="1"/>
    </xf>
    <xf numFmtId="0" fontId="6" fillId="0" borderId="87" xfId="0" applyFont="1" applyBorder="1" applyAlignment="1" applyProtection="1">
      <alignment vertical="center"/>
      <protection hidden="1"/>
    </xf>
    <xf numFmtId="164" fontId="6" fillId="0" borderId="0" xfId="0" applyNumberFormat="1"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6" fillId="0" borderId="120" xfId="0" applyFont="1" applyBorder="1" applyAlignment="1" applyProtection="1">
      <alignment vertical="center"/>
      <protection hidden="1"/>
    </xf>
    <xf numFmtId="0" fontId="10" fillId="0" borderId="76" xfId="0" applyFont="1" applyBorder="1" applyAlignment="1" applyProtection="1">
      <alignment vertical="center"/>
      <protection hidden="1"/>
    </xf>
    <xf numFmtId="0" fontId="10" fillId="0" borderId="77" xfId="0" applyFont="1" applyBorder="1" applyAlignment="1" applyProtection="1">
      <alignment vertical="center"/>
      <protection hidden="1"/>
    </xf>
    <xf numFmtId="164" fontId="6" fillId="0" borderId="94" xfId="0" applyNumberFormat="1" applyFont="1" applyBorder="1" applyAlignment="1" applyProtection="1">
      <alignment horizontal="center" vertical="center"/>
      <protection hidden="1"/>
    </xf>
    <xf numFmtId="167" fontId="6" fillId="0" borderId="102" xfId="0" applyNumberFormat="1" applyFont="1" applyBorder="1" applyAlignment="1" applyProtection="1">
      <alignment vertical="center"/>
      <protection hidden="1"/>
    </xf>
    <xf numFmtId="167" fontId="6" fillId="0" borderId="103" xfId="0" applyNumberFormat="1" applyFont="1" applyBorder="1" applyAlignment="1" applyProtection="1">
      <alignment vertical="center"/>
      <protection hidden="1"/>
    </xf>
    <xf numFmtId="0" fontId="37" fillId="0" borderId="0" xfId="2" quotePrefix="1" applyFont="1" applyAlignment="1" applyProtection="1">
      <alignment vertical="center"/>
      <protection hidden="1"/>
    </xf>
    <xf numFmtId="0" fontId="37" fillId="0" borderId="87" xfId="2" quotePrefix="1" applyFont="1" applyBorder="1" applyAlignment="1" applyProtection="1">
      <alignment vertical="center"/>
      <protection hidden="1"/>
    </xf>
    <xf numFmtId="0" fontId="16" fillId="9" borderId="83" xfId="0" quotePrefix="1" applyFont="1" applyFill="1" applyBorder="1" applyAlignment="1" applyProtection="1">
      <alignment vertical="center"/>
      <protection hidden="1"/>
    </xf>
    <xf numFmtId="0" fontId="16" fillId="9" borderId="84" xfId="0" quotePrefix="1" applyFont="1" applyFill="1" applyBorder="1" applyAlignment="1" applyProtection="1">
      <alignment vertical="center"/>
      <protection hidden="1"/>
    </xf>
    <xf numFmtId="0" fontId="16" fillId="9" borderId="85" xfId="0" quotePrefix="1" applyFont="1" applyFill="1" applyBorder="1" applyAlignment="1" applyProtection="1">
      <alignment horizontal="right" vertical="center"/>
      <protection hidden="1"/>
    </xf>
    <xf numFmtId="0" fontId="14" fillId="9" borderId="86" xfId="0" applyFont="1" applyFill="1" applyBorder="1" applyAlignment="1" applyProtection="1">
      <alignment horizontal="left" vertical="center"/>
      <protection hidden="1"/>
    </xf>
    <xf numFmtId="0" fontId="14" fillId="9" borderId="0" xfId="0" applyFont="1" applyFill="1" applyAlignment="1" applyProtection="1">
      <alignment horizontal="left" vertical="center"/>
      <protection hidden="1"/>
    </xf>
    <xf numFmtId="0" fontId="39" fillId="9" borderId="87" xfId="0" applyFont="1" applyFill="1" applyBorder="1" applyAlignment="1" applyProtection="1">
      <alignment horizontal="center" vertical="center"/>
      <protection hidden="1"/>
    </xf>
    <xf numFmtId="0" fontId="14" fillId="9" borderId="86" xfId="0" quotePrefix="1" applyFont="1" applyFill="1" applyBorder="1" applyAlignment="1" applyProtection="1">
      <alignment horizontal="left" vertical="center"/>
      <protection hidden="1"/>
    </xf>
    <xf numFmtId="0" fontId="14" fillId="9" borderId="0" xfId="0" quotePrefix="1" applyFont="1" applyFill="1" applyAlignment="1" applyProtection="1">
      <alignment horizontal="left" vertical="center"/>
      <protection hidden="1"/>
    </xf>
    <xf numFmtId="0" fontId="6" fillId="9" borderId="86" xfId="0" applyFont="1" applyFill="1" applyBorder="1" applyAlignment="1" applyProtection="1">
      <alignment vertical="center"/>
      <protection hidden="1"/>
    </xf>
    <xf numFmtId="0" fontId="39" fillId="9" borderId="85" xfId="0" quotePrefix="1" applyFont="1" applyFill="1" applyBorder="1" applyAlignment="1" applyProtection="1">
      <alignment horizontal="center" vertical="center"/>
      <protection hidden="1"/>
    </xf>
    <xf numFmtId="0" fontId="16" fillId="9" borderId="0" xfId="0" quotePrefix="1" applyFont="1" applyFill="1" applyAlignment="1" applyProtection="1">
      <alignment horizontal="left" vertical="center"/>
      <protection hidden="1"/>
    </xf>
    <xf numFmtId="169" fontId="6" fillId="0" borderId="78" xfId="0" applyNumberFormat="1" applyFont="1" applyBorder="1" applyAlignment="1" applyProtection="1">
      <alignment vertical="center"/>
      <protection hidden="1"/>
    </xf>
    <xf numFmtId="164" fontId="6" fillId="0" borderId="0" xfId="0" applyNumberFormat="1" applyFont="1" applyAlignment="1" applyProtection="1">
      <alignment vertical="center"/>
      <protection hidden="1"/>
    </xf>
    <xf numFmtId="0" fontId="6" fillId="0" borderId="0" xfId="0" quotePrefix="1" applyFont="1" applyAlignment="1" applyProtection="1">
      <alignment horizontal="left" vertical="center"/>
      <protection hidden="1"/>
    </xf>
    <xf numFmtId="2" fontId="8" fillId="0" borderId="84" xfId="0" applyNumberFormat="1" applyFont="1" applyBorder="1" applyAlignment="1" applyProtection="1">
      <alignment horizontal="left" vertical="center"/>
      <protection hidden="1"/>
    </xf>
    <xf numFmtId="2" fontId="40" fillId="0" borderId="84" xfId="0" applyNumberFormat="1" applyFont="1" applyBorder="1" applyAlignment="1" applyProtection="1">
      <alignment horizontal="left" vertical="center"/>
      <protection hidden="1"/>
    </xf>
    <xf numFmtId="2" fontId="40" fillId="0" borderId="85" xfId="0" applyNumberFormat="1" applyFont="1" applyBorder="1" applyAlignment="1" applyProtection="1">
      <alignment horizontal="left" vertical="center"/>
      <protection hidden="1"/>
    </xf>
    <xf numFmtId="2" fontId="8" fillId="0" borderId="0" xfId="0" applyNumberFormat="1" applyFont="1" applyAlignment="1" applyProtection="1">
      <alignment horizontal="left" vertical="center"/>
      <protection hidden="1"/>
    </xf>
    <xf numFmtId="2" fontId="40" fillId="0" borderId="83" xfId="0" quotePrefix="1" applyNumberFormat="1" applyFont="1" applyBorder="1" applyAlignment="1" applyProtection="1">
      <alignment horizontal="left" vertical="center"/>
      <protection hidden="1"/>
    </xf>
    <xf numFmtId="172" fontId="38" fillId="0" borderId="0" xfId="0" quotePrefix="1" applyNumberFormat="1" applyFont="1" applyAlignment="1" applyProtection="1">
      <alignment horizontal="center" vertical="center"/>
      <protection hidden="1"/>
    </xf>
    <xf numFmtId="171" fontId="38" fillId="0" borderId="0" xfId="0" quotePrefix="1" applyNumberFormat="1" applyFont="1" applyAlignment="1" applyProtection="1">
      <alignment horizontal="center" vertical="center"/>
      <protection hidden="1"/>
    </xf>
    <xf numFmtId="2" fontId="8" fillId="0" borderId="0" xfId="0" applyNumberFormat="1" applyFont="1" applyAlignment="1" applyProtection="1">
      <alignment vertical="center"/>
      <protection hidden="1"/>
    </xf>
    <xf numFmtId="165" fontId="10" fillId="0" borderId="0" xfId="0" quotePrefix="1" applyNumberFormat="1" applyFont="1" applyAlignment="1" applyProtection="1">
      <alignment horizontal="center" vertical="center"/>
      <protection hidden="1"/>
    </xf>
    <xf numFmtId="165" fontId="10" fillId="0" borderId="81" xfId="0" quotePrefix="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14" fillId="0" borderId="0" xfId="0" applyFont="1" applyAlignment="1" applyProtection="1">
      <alignment horizontal="center" vertical="center"/>
      <protection hidden="1"/>
    </xf>
    <xf numFmtId="0" fontId="10" fillId="0" borderId="5" xfId="0" applyFont="1" applyBorder="1" applyAlignment="1" applyProtection="1">
      <alignment vertical="center"/>
      <protection hidden="1"/>
    </xf>
    <xf numFmtId="0" fontId="37" fillId="0" borderId="3" xfId="2" quotePrefix="1" applyFont="1" applyBorder="1" applyAlignment="1" applyProtection="1">
      <alignment vertical="center"/>
      <protection hidden="1"/>
    </xf>
    <xf numFmtId="0" fontId="6" fillId="0" borderId="134" xfId="0" applyFont="1" applyBorder="1" applyAlignment="1" applyProtection="1">
      <alignment vertical="center"/>
      <protection hidden="1"/>
    </xf>
    <xf numFmtId="0" fontId="10" fillId="9" borderId="117" xfId="2" applyFont="1" applyFill="1" applyBorder="1" applyAlignment="1" applyProtection="1">
      <alignment horizontal="left" vertical="center"/>
      <protection hidden="1"/>
    </xf>
    <xf numFmtId="0" fontId="6" fillId="9" borderId="86" xfId="0" applyFont="1" applyFill="1" applyBorder="1" applyProtection="1">
      <protection hidden="1"/>
    </xf>
    <xf numFmtId="0" fontId="10" fillId="9" borderId="79" xfId="0" applyFont="1" applyFill="1" applyBorder="1" applyAlignment="1" applyProtection="1">
      <alignment horizontal="left" vertical="center"/>
      <protection hidden="1"/>
    </xf>
    <xf numFmtId="0" fontId="10" fillId="9" borderId="80" xfId="0" applyFont="1" applyFill="1" applyBorder="1" applyAlignment="1" applyProtection="1">
      <alignment horizontal="left" vertical="center"/>
      <protection hidden="1"/>
    </xf>
    <xf numFmtId="0" fontId="39" fillId="9" borderId="81" xfId="0" applyFont="1" applyFill="1" applyBorder="1" applyAlignment="1" applyProtection="1">
      <alignment horizontal="center" vertical="center"/>
      <protection hidden="1"/>
    </xf>
    <xf numFmtId="0" fontId="39" fillId="9" borderId="86" xfId="0" quotePrefix="1" applyFont="1" applyFill="1" applyBorder="1" applyAlignment="1" applyProtection="1">
      <alignment horizontal="left" vertical="top"/>
      <protection hidden="1"/>
    </xf>
    <xf numFmtId="0" fontId="39" fillId="9" borderId="0" xfId="0" quotePrefix="1" applyFont="1" applyFill="1" applyAlignment="1" applyProtection="1">
      <alignment horizontal="left" vertical="top"/>
      <protection hidden="1"/>
    </xf>
    <xf numFmtId="0" fontId="14" fillId="9" borderId="79" xfId="0" quotePrefix="1" applyFont="1" applyFill="1" applyBorder="1" applyAlignment="1" applyProtection="1">
      <alignment horizontal="left" vertical="center"/>
      <protection hidden="1"/>
    </xf>
    <xf numFmtId="0" fontId="14" fillId="9" borderId="80" xfId="0" quotePrefix="1" applyFont="1" applyFill="1" applyBorder="1" applyAlignment="1" applyProtection="1">
      <alignment horizontal="left" vertical="center"/>
      <protection hidden="1"/>
    </xf>
    <xf numFmtId="0" fontId="17" fillId="9" borderId="86" xfId="0" applyFont="1" applyFill="1" applyBorder="1" applyProtection="1">
      <protection hidden="1"/>
    </xf>
    <xf numFmtId="0" fontId="17" fillId="9" borderId="0" xfId="0" applyFont="1" applyFill="1" applyProtection="1">
      <protection hidden="1"/>
    </xf>
    <xf numFmtId="0" fontId="10" fillId="9" borderId="87" xfId="0" applyFont="1" applyFill="1" applyBorder="1" applyAlignment="1" applyProtection="1">
      <alignment horizontal="center" vertical="center"/>
      <protection hidden="1"/>
    </xf>
    <xf numFmtId="0" fontId="10" fillId="9" borderId="86" xfId="0" applyFont="1" applyFill="1" applyBorder="1" applyAlignment="1" applyProtection="1">
      <alignment horizontal="left" vertical="center"/>
      <protection hidden="1"/>
    </xf>
    <xf numFmtId="0" fontId="10" fillId="9" borderId="0" xfId="0" applyFont="1" applyFill="1" applyAlignment="1" applyProtection="1">
      <alignment horizontal="left" vertical="center"/>
      <protection hidden="1"/>
    </xf>
    <xf numFmtId="165" fontId="8" fillId="9" borderId="116" xfId="0" quotePrefix="1" applyNumberFormat="1" applyFont="1" applyFill="1" applyBorder="1" applyAlignment="1" applyProtection="1">
      <alignment horizontal="left" vertical="center"/>
      <protection hidden="1"/>
    </xf>
    <xf numFmtId="165" fontId="8" fillId="9" borderId="117" xfId="0" applyNumberFormat="1" applyFont="1" applyFill="1" applyBorder="1" applyAlignment="1" applyProtection="1">
      <alignment horizontal="left" vertical="center"/>
      <protection hidden="1"/>
    </xf>
    <xf numFmtId="165" fontId="8" fillId="9" borderId="118" xfId="0" applyNumberFormat="1" applyFont="1" applyFill="1" applyBorder="1" applyAlignment="1" applyProtection="1">
      <alignment horizontal="left" vertical="center"/>
      <protection hidden="1"/>
    </xf>
    <xf numFmtId="165" fontId="8" fillId="0" borderId="116" xfId="0" applyNumberFormat="1" applyFont="1" applyBorder="1" applyAlignment="1" applyProtection="1">
      <alignment horizontal="left" vertical="center"/>
      <protection hidden="1"/>
    </xf>
    <xf numFmtId="165" fontId="8" fillId="0" borderId="118" xfId="0" applyNumberFormat="1" applyFont="1" applyBorder="1" applyAlignment="1" applyProtection="1">
      <alignment horizontal="left" vertical="center"/>
      <protection hidden="1"/>
    </xf>
    <xf numFmtId="167" fontId="6" fillId="0" borderId="93" xfId="0" applyNumberFormat="1" applyFont="1" applyBorder="1" applyAlignment="1" applyProtection="1">
      <alignment vertical="center"/>
      <protection hidden="1"/>
    </xf>
    <xf numFmtId="167" fontId="6" fillId="0" borderId="94" xfId="0" applyNumberFormat="1" applyFont="1" applyBorder="1" applyAlignment="1" applyProtection="1">
      <alignment vertical="center"/>
      <protection hidden="1"/>
    </xf>
    <xf numFmtId="167" fontId="6" fillId="0" borderId="121" xfId="0" applyNumberFormat="1" applyFont="1" applyBorder="1" applyAlignment="1" applyProtection="1">
      <alignment vertical="center"/>
      <protection hidden="1"/>
    </xf>
    <xf numFmtId="167" fontId="6" fillId="0" borderId="95" xfId="0" applyNumberFormat="1" applyFont="1" applyBorder="1" applyAlignment="1" applyProtection="1">
      <alignment vertical="center"/>
      <protection hidden="1"/>
    </xf>
    <xf numFmtId="165" fontId="8" fillId="0" borderId="117" xfId="0" quotePrefix="1" applyNumberFormat="1" applyFont="1" applyBorder="1" applyAlignment="1" applyProtection="1">
      <alignment horizontal="left" vertical="center"/>
      <protection hidden="1"/>
    </xf>
    <xf numFmtId="165" fontId="8" fillId="0" borderId="118" xfId="0" quotePrefix="1" applyNumberFormat="1" applyFont="1" applyBorder="1" applyAlignment="1" applyProtection="1">
      <alignment horizontal="left" vertical="center"/>
      <protection hidden="1"/>
    </xf>
    <xf numFmtId="2" fontId="8" fillId="0" borderId="116" xfId="0" applyNumberFormat="1" applyFont="1" applyBorder="1" applyAlignment="1" applyProtection="1">
      <alignment vertical="center"/>
      <protection hidden="1"/>
    </xf>
    <xf numFmtId="2" fontId="8" fillId="0" borderId="117" xfId="0" applyNumberFormat="1" applyFont="1" applyBorder="1" applyAlignment="1" applyProtection="1">
      <alignment horizontal="left" vertical="center"/>
      <protection hidden="1"/>
    </xf>
    <xf numFmtId="2" fontId="8" fillId="0" borderId="118" xfId="0" applyNumberFormat="1" applyFont="1" applyBorder="1" applyAlignment="1" applyProtection="1">
      <alignment horizontal="left" vertical="center"/>
      <protection hidden="1"/>
    </xf>
    <xf numFmtId="2" fontId="8" fillId="0" borderId="116" xfId="0" applyNumberFormat="1" applyFont="1" applyBorder="1" applyAlignment="1" applyProtection="1">
      <alignment horizontal="left" vertical="center"/>
      <protection hidden="1"/>
    </xf>
    <xf numFmtId="2" fontId="8" fillId="0" borderId="116" xfId="0" quotePrefix="1" applyNumberFormat="1" applyFont="1" applyBorder="1" applyAlignment="1" applyProtection="1">
      <alignment horizontal="left" vertical="center"/>
      <protection hidden="1"/>
    </xf>
    <xf numFmtId="2" fontId="8" fillId="0" borderId="117" xfId="0" quotePrefix="1" applyNumberFormat="1" applyFont="1" applyBorder="1" applyAlignment="1" applyProtection="1">
      <alignment horizontal="left" vertical="center"/>
      <protection hidden="1"/>
    </xf>
    <xf numFmtId="0" fontId="6" fillId="0" borderId="117" xfId="0" applyFont="1" applyBorder="1" applyAlignment="1" applyProtection="1">
      <alignment vertical="center"/>
      <protection hidden="1"/>
    </xf>
    <xf numFmtId="2" fontId="8" fillId="0" borderId="114" xfId="0" quotePrefix="1" applyNumberFormat="1" applyFont="1" applyBorder="1" applyAlignment="1" applyProtection="1">
      <alignment horizontal="left" vertical="center"/>
      <protection hidden="1"/>
    </xf>
    <xf numFmtId="2" fontId="8" fillId="0" borderId="118" xfId="0" quotePrefix="1" applyNumberFormat="1" applyFont="1" applyBorder="1" applyAlignment="1" applyProtection="1">
      <alignment horizontal="left" vertical="center"/>
      <protection hidden="1"/>
    </xf>
    <xf numFmtId="2" fontId="10" fillId="0" borderId="0" xfId="0" applyNumberFormat="1" applyFont="1" applyAlignment="1" applyProtection="1">
      <alignment vertical="center"/>
      <protection hidden="1"/>
    </xf>
    <xf numFmtId="0" fontId="6" fillId="0" borderId="0" xfId="0" quotePrefix="1" applyFont="1" applyAlignment="1" applyProtection="1">
      <alignment horizontal="left"/>
      <protection hidden="1"/>
    </xf>
    <xf numFmtId="0" fontId="2" fillId="12" borderId="169" xfId="0" applyFont="1" applyFill="1" applyBorder="1"/>
    <xf numFmtId="0" fontId="2" fillId="28" borderId="197" xfId="0" applyFont="1" applyFill="1" applyBorder="1"/>
    <xf numFmtId="0" fontId="2" fillId="12" borderId="197" xfId="0" applyFont="1" applyFill="1" applyBorder="1"/>
    <xf numFmtId="0" fontId="41" fillId="9" borderId="169" xfId="0" applyFont="1" applyFill="1" applyBorder="1" applyAlignment="1">
      <alignment vertical="top" wrapText="1"/>
    </xf>
    <xf numFmtId="0" fontId="41" fillId="9" borderId="169" xfId="0" quotePrefix="1" applyFont="1" applyFill="1" applyBorder="1" applyAlignment="1">
      <alignment horizontal="left" vertical="top" wrapText="1"/>
    </xf>
    <xf numFmtId="0" fontId="6" fillId="0" borderId="84" xfId="0" applyFont="1" applyBorder="1" applyProtection="1">
      <protection hidden="1"/>
    </xf>
    <xf numFmtId="0" fontId="6" fillId="0" borderId="85" xfId="0" applyFont="1" applyBorder="1" applyProtection="1">
      <protection hidden="1"/>
    </xf>
    <xf numFmtId="4" fontId="9" fillId="2" borderId="179" xfId="0" applyNumberFormat="1" applyFont="1" applyFill="1" applyBorder="1"/>
    <xf numFmtId="4" fontId="5" fillId="2" borderId="111" xfId="0" quotePrefix="1" applyNumberFormat="1" applyFont="1" applyFill="1" applyBorder="1" applyAlignment="1">
      <alignment horizontal="left"/>
    </xf>
    <xf numFmtId="4" fontId="5" fillId="2" borderId="111" xfId="0" applyNumberFormat="1" applyFont="1" applyFill="1" applyBorder="1"/>
    <xf numFmtId="3" fontId="5" fillId="2" borderId="111" xfId="0" applyNumberFormat="1" applyFont="1" applyFill="1" applyBorder="1"/>
    <xf numFmtId="4" fontId="9" fillId="2" borderId="123" xfId="0" applyNumberFormat="1" applyFont="1" applyFill="1" applyBorder="1"/>
    <xf numFmtId="4" fontId="5" fillId="2" borderId="30" xfId="0" applyNumberFormat="1" applyFont="1" applyFill="1" applyBorder="1"/>
    <xf numFmtId="4" fontId="5" fillId="2" borderId="30" xfId="0" quotePrefix="1" applyNumberFormat="1" applyFont="1" applyFill="1" applyBorder="1" applyAlignment="1">
      <alignment horizontal="left"/>
    </xf>
    <xf numFmtId="3" fontId="5" fillId="2" borderId="30" xfId="0" applyNumberFormat="1" applyFont="1" applyFill="1" applyBorder="1"/>
    <xf numFmtId="4" fontId="9" fillId="2" borderId="149" xfId="0" applyNumberFormat="1" applyFont="1" applyFill="1" applyBorder="1"/>
    <xf numFmtId="4" fontId="5" fillId="2" borderId="141" xfId="0" applyNumberFormat="1" applyFont="1" applyFill="1" applyBorder="1"/>
    <xf numFmtId="3" fontId="5" fillId="2" borderId="141" xfId="0" applyNumberFormat="1" applyFont="1" applyFill="1" applyBorder="1"/>
    <xf numFmtId="4" fontId="9" fillId="2" borderId="148" xfId="0" applyNumberFormat="1" applyFont="1" applyFill="1" applyBorder="1"/>
    <xf numFmtId="4" fontId="5" fillId="2" borderId="139" xfId="0" applyNumberFormat="1" applyFont="1" applyFill="1" applyBorder="1"/>
    <xf numFmtId="4" fontId="5" fillId="2" borderId="139" xfId="0" quotePrefix="1" applyNumberFormat="1" applyFont="1" applyFill="1" applyBorder="1" applyAlignment="1">
      <alignment horizontal="left"/>
    </xf>
    <xf numFmtId="3" fontId="5" fillId="2" borderId="139" xfId="0" applyNumberFormat="1" applyFont="1" applyFill="1" applyBorder="1"/>
    <xf numFmtId="4" fontId="5" fillId="2" borderId="51" xfId="0" quotePrefix="1" applyNumberFormat="1" applyFont="1" applyFill="1" applyBorder="1" applyAlignment="1">
      <alignment horizontal="left"/>
    </xf>
    <xf numFmtId="4" fontId="5" fillId="2" borderId="141" xfId="0" quotePrefix="1" applyNumberFormat="1" applyFont="1" applyFill="1" applyBorder="1" applyAlignment="1">
      <alignment horizontal="left"/>
    </xf>
    <xf numFmtId="4" fontId="9" fillId="2" borderId="157" xfId="0" applyNumberFormat="1" applyFont="1" applyFill="1" applyBorder="1"/>
    <xf numFmtId="4" fontId="5" fillId="2" borderId="54" xfId="0" applyNumberFormat="1" applyFont="1" applyFill="1" applyBorder="1"/>
    <xf numFmtId="4" fontId="5" fillId="2" borderId="54" xfId="0" quotePrefix="1" applyNumberFormat="1" applyFont="1" applyFill="1" applyBorder="1" applyAlignment="1">
      <alignment horizontal="left"/>
    </xf>
    <xf numFmtId="3" fontId="5" fillId="2" borderId="54" xfId="0" applyNumberFormat="1" applyFont="1" applyFill="1" applyBorder="1"/>
    <xf numFmtId="4" fontId="9" fillId="26" borderId="148" xfId="0" applyNumberFormat="1" applyFont="1" applyFill="1" applyBorder="1"/>
    <xf numFmtId="4" fontId="5" fillId="26" borderId="139" xfId="0" applyNumberFormat="1" applyFont="1" applyFill="1" applyBorder="1"/>
    <xf numFmtId="4" fontId="5" fillId="26" borderId="139" xfId="0" quotePrefix="1" applyNumberFormat="1" applyFont="1" applyFill="1" applyBorder="1" applyAlignment="1">
      <alignment horizontal="left"/>
    </xf>
    <xf numFmtId="3" fontId="5" fillId="26" borderId="139" xfId="0" applyNumberFormat="1" applyFont="1" applyFill="1" applyBorder="1"/>
    <xf numFmtId="4" fontId="9" fillId="26" borderId="123" xfId="0" applyNumberFormat="1" applyFont="1" applyFill="1" applyBorder="1"/>
    <xf numFmtId="4" fontId="5" fillId="26" borderId="30" xfId="0" applyNumberFormat="1" applyFont="1" applyFill="1" applyBorder="1"/>
    <xf numFmtId="4" fontId="5" fillId="26" borderId="30" xfId="0" quotePrefix="1" applyNumberFormat="1" applyFont="1" applyFill="1" applyBorder="1" applyAlignment="1">
      <alignment horizontal="left"/>
    </xf>
    <xf numFmtId="3" fontId="5" fillId="26" borderId="30" xfId="0" applyNumberFormat="1" applyFont="1" applyFill="1" applyBorder="1"/>
    <xf numFmtId="0" fontId="4" fillId="12" borderId="178" xfId="0" applyFont="1" applyFill="1" applyBorder="1" applyAlignment="1">
      <alignment horizontal="center" vertical="center" wrapText="1"/>
    </xf>
    <xf numFmtId="0" fontId="4" fillId="12" borderId="131" xfId="0" applyFont="1" applyFill="1" applyBorder="1" applyAlignment="1">
      <alignment horizontal="center" vertical="center" wrapText="1"/>
    </xf>
    <xf numFmtId="0" fontId="4" fillId="12" borderId="130" xfId="0" applyFont="1" applyFill="1" applyBorder="1" applyAlignment="1">
      <alignment horizontal="center" vertical="center" wrapText="1"/>
    </xf>
    <xf numFmtId="0" fontId="4" fillId="12" borderId="132" xfId="0" applyFont="1" applyFill="1" applyBorder="1" applyAlignment="1">
      <alignment horizontal="center" vertical="center" wrapText="1"/>
    </xf>
    <xf numFmtId="0" fontId="4" fillId="12" borderId="133" xfId="0" applyFont="1" applyFill="1" applyBorder="1" applyAlignment="1">
      <alignment horizontal="center" vertical="center" wrapText="1"/>
    </xf>
    <xf numFmtId="0" fontId="4" fillId="12" borderId="174" xfId="0" applyFont="1" applyFill="1" applyBorder="1" applyAlignment="1">
      <alignment horizontal="center" vertical="center" wrapText="1"/>
    </xf>
    <xf numFmtId="0" fontId="4" fillId="12" borderId="175" xfId="0" applyFont="1" applyFill="1" applyBorder="1" applyAlignment="1">
      <alignment horizontal="center" vertical="center" wrapText="1"/>
    </xf>
    <xf numFmtId="0" fontId="4" fillId="12" borderId="176" xfId="0" applyFont="1" applyFill="1" applyBorder="1" applyAlignment="1">
      <alignment horizontal="center" vertical="center" wrapText="1"/>
    </xf>
    <xf numFmtId="0" fontId="2" fillId="12" borderId="180" xfId="0" applyFont="1" applyFill="1" applyBorder="1"/>
    <xf numFmtId="0" fontId="2" fillId="12" borderId="181" xfId="0" applyFont="1" applyFill="1" applyBorder="1"/>
    <xf numFmtId="0" fontId="2" fillId="12" borderId="182" xfId="0" applyFont="1" applyFill="1" applyBorder="1"/>
    <xf numFmtId="0" fontId="2" fillId="12" borderId="143" xfId="0" applyFont="1" applyFill="1" applyBorder="1"/>
    <xf numFmtId="0" fontId="2" fillId="12" borderId="126" xfId="0" applyFont="1" applyFill="1" applyBorder="1"/>
    <xf numFmtId="0" fontId="2" fillId="12" borderId="144" xfId="0" applyFont="1" applyFill="1" applyBorder="1"/>
    <xf numFmtId="0" fontId="4" fillId="12" borderId="180" xfId="0" applyFont="1" applyFill="1" applyBorder="1"/>
    <xf numFmtId="0" fontId="4" fillId="12" borderId="181" xfId="0" applyFont="1" applyFill="1" applyBorder="1"/>
    <xf numFmtId="0" fontId="4" fillId="12" borderId="143" xfId="0" applyFont="1" applyFill="1" applyBorder="1"/>
    <xf numFmtId="0" fontId="4" fillId="12" borderId="126" xfId="0" applyFont="1" applyFill="1" applyBorder="1"/>
    <xf numFmtId="2" fontId="13" fillId="12" borderId="185" xfId="0" applyNumberFormat="1" applyFont="1" applyFill="1" applyBorder="1"/>
    <xf numFmtId="0" fontId="2" fillId="12" borderId="16" xfId="0" applyFont="1" applyFill="1" applyBorder="1"/>
    <xf numFmtId="0" fontId="11" fillId="6" borderId="186" xfId="0" applyFont="1" applyFill="1" applyBorder="1"/>
    <xf numFmtId="0" fontId="11" fillId="6" borderId="187" xfId="0" applyFont="1" applyFill="1" applyBorder="1"/>
    <xf numFmtId="0" fontId="11" fillId="6" borderId="188" xfId="0" applyFont="1" applyFill="1" applyBorder="1"/>
    <xf numFmtId="0" fontId="33" fillId="12" borderId="82" xfId="0" applyFont="1" applyFill="1" applyBorder="1" applyAlignment="1">
      <alignment horizontal="left" vertical="top" wrapText="1"/>
    </xf>
    <xf numFmtId="0" fontId="9" fillId="12" borderId="0" xfId="0" applyFont="1" applyFill="1"/>
    <xf numFmtId="0" fontId="7" fillId="15" borderId="137" xfId="0" quotePrefix="1" applyFont="1" applyFill="1" applyBorder="1" applyAlignment="1">
      <alignment horizontal="left" vertical="top" wrapText="1"/>
    </xf>
    <xf numFmtId="0" fontId="7" fillId="15" borderId="136" xfId="0" applyFont="1" applyFill="1" applyBorder="1" applyAlignment="1">
      <alignment horizontal="left" vertical="top" wrapText="1"/>
    </xf>
    <xf numFmtId="0" fontId="7" fillId="15" borderId="129" xfId="0" applyFont="1" applyFill="1" applyBorder="1" applyAlignment="1">
      <alignment horizontal="left" vertical="top" wrapText="1"/>
    </xf>
    <xf numFmtId="0" fontId="7" fillId="15" borderId="129" xfId="0" quotePrefix="1" applyFont="1" applyFill="1" applyBorder="1" applyAlignment="1">
      <alignment horizontal="left" vertical="top" wrapText="1"/>
    </xf>
    <xf numFmtId="0" fontId="7" fillId="15" borderId="137" xfId="0" applyFont="1" applyFill="1" applyBorder="1" applyAlignment="1">
      <alignment horizontal="left" vertical="top" wrapText="1"/>
    </xf>
    <xf numFmtId="0" fontId="7" fillId="15" borderId="138" xfId="0" quotePrefix="1" applyFont="1" applyFill="1" applyBorder="1" applyAlignment="1">
      <alignment horizontal="left" vertical="top" wrapText="1"/>
    </xf>
    <xf numFmtId="0" fontId="2" fillId="12" borderId="127" xfId="0" applyFont="1" applyFill="1" applyBorder="1"/>
    <xf numFmtId="0" fontId="2" fillId="12" borderId="177" xfId="0" applyFont="1" applyFill="1" applyBorder="1"/>
    <xf numFmtId="0" fontId="2" fillId="12" borderId="208" xfId="0" applyFont="1" applyFill="1" applyBorder="1"/>
    <xf numFmtId="0" fontId="2" fillId="12" borderId="209" xfId="0" applyFont="1" applyFill="1" applyBorder="1"/>
    <xf numFmtId="0" fontId="2" fillId="12" borderId="210" xfId="0" applyFont="1" applyFill="1" applyBorder="1"/>
    <xf numFmtId="0" fontId="2" fillId="12" borderId="211" xfId="0" applyFont="1" applyFill="1" applyBorder="1"/>
    <xf numFmtId="0" fontId="2" fillId="12" borderId="212" xfId="0" applyFont="1" applyFill="1" applyBorder="1"/>
    <xf numFmtId="0" fontId="2" fillId="12" borderId="213" xfId="0" applyFont="1" applyFill="1" applyBorder="1"/>
    <xf numFmtId="0" fontId="2" fillId="12" borderId="214" xfId="0" applyFont="1" applyFill="1" applyBorder="1"/>
    <xf numFmtId="0" fontId="2" fillId="12" borderId="215" xfId="0" applyFont="1" applyFill="1" applyBorder="1"/>
    <xf numFmtId="0" fontId="2" fillId="12" borderId="216" xfId="0" applyFont="1" applyFill="1" applyBorder="1"/>
    <xf numFmtId="0" fontId="2" fillId="12" borderId="217" xfId="0" applyFont="1" applyFill="1" applyBorder="1"/>
    <xf numFmtId="0" fontId="2" fillId="12" borderId="218" xfId="0" applyFont="1" applyFill="1" applyBorder="1"/>
    <xf numFmtId="0" fontId="2" fillId="12" borderId="219" xfId="0" applyFont="1" applyFill="1" applyBorder="1"/>
    <xf numFmtId="0" fontId="2" fillId="12" borderId="220" xfId="0" applyFont="1" applyFill="1" applyBorder="1"/>
    <xf numFmtId="0" fontId="2" fillId="12" borderId="221" xfId="0" applyFont="1" applyFill="1" applyBorder="1"/>
    <xf numFmtId="0" fontId="2" fillId="12" borderId="222" xfId="0" applyFont="1" applyFill="1" applyBorder="1"/>
    <xf numFmtId="0" fontId="2" fillId="12" borderId="223" xfId="0" applyFont="1" applyFill="1" applyBorder="1"/>
    <xf numFmtId="0" fontId="2" fillId="12" borderId="224" xfId="0" applyFont="1" applyFill="1" applyBorder="1"/>
    <xf numFmtId="0" fontId="2" fillId="12" borderId="225" xfId="0" applyFont="1" applyFill="1" applyBorder="1"/>
    <xf numFmtId="0" fontId="2" fillId="12" borderId="226" xfId="0" applyFont="1" applyFill="1" applyBorder="1"/>
    <xf numFmtId="0" fontId="2" fillId="12" borderId="227" xfId="0" applyFont="1" applyFill="1" applyBorder="1"/>
    <xf numFmtId="0" fontId="2" fillId="12" borderId="228" xfId="0" applyFont="1" applyFill="1" applyBorder="1"/>
    <xf numFmtId="0" fontId="2" fillId="12" borderId="229" xfId="0" applyFont="1" applyFill="1" applyBorder="1"/>
    <xf numFmtId="0" fontId="2" fillId="12" borderId="230" xfId="0" applyFont="1" applyFill="1" applyBorder="1"/>
    <xf numFmtId="0" fontId="2" fillId="12" borderId="231" xfId="0" applyFont="1" applyFill="1" applyBorder="1"/>
    <xf numFmtId="0" fontId="2" fillId="12" borderId="232" xfId="0" applyFont="1" applyFill="1" applyBorder="1"/>
    <xf numFmtId="0" fontId="2" fillId="12" borderId="233" xfId="0" applyFont="1" applyFill="1" applyBorder="1"/>
    <xf numFmtId="0" fontId="2" fillId="12" borderId="234" xfId="0" applyFont="1" applyFill="1" applyBorder="1"/>
    <xf numFmtId="0" fontId="2" fillId="12" borderId="235" xfId="0" applyFont="1" applyFill="1" applyBorder="1"/>
    <xf numFmtId="0" fontId="2" fillId="0" borderId="237" xfId="0" applyFont="1" applyBorder="1"/>
    <xf numFmtId="4" fontId="5" fillId="5" borderId="30" xfId="0" applyNumberFormat="1" applyFont="1" applyFill="1" applyBorder="1"/>
    <xf numFmtId="0" fontId="6" fillId="0" borderId="83" xfId="0" applyFont="1" applyBorder="1" applyAlignment="1" applyProtection="1">
      <alignment vertical="center"/>
      <protection hidden="1"/>
    </xf>
    <xf numFmtId="0" fontId="6" fillId="0" borderId="79" xfId="0" applyFont="1" applyBorder="1" applyAlignment="1" applyProtection="1">
      <alignment vertical="center"/>
      <protection hidden="1"/>
    </xf>
    <xf numFmtId="0" fontId="15" fillId="9" borderId="83" xfId="0" applyFont="1" applyFill="1" applyBorder="1" applyAlignment="1" applyProtection="1">
      <alignment vertical="center"/>
      <protection hidden="1"/>
    </xf>
    <xf numFmtId="0" fontId="25" fillId="9" borderId="84" xfId="0" applyFont="1" applyFill="1" applyBorder="1" applyAlignment="1" applyProtection="1">
      <alignment horizontal="right"/>
      <protection hidden="1"/>
    </xf>
    <xf numFmtId="0" fontId="1" fillId="0" borderId="0" xfId="0" applyFont="1"/>
    <xf numFmtId="0" fontId="19" fillId="9" borderId="0" xfId="0" applyFont="1" applyFill="1" applyAlignment="1" applyProtection="1">
      <alignment vertical="center"/>
      <protection hidden="1"/>
    </xf>
    <xf numFmtId="4" fontId="9" fillId="2" borderId="158" xfId="0" applyNumberFormat="1" applyFont="1" applyFill="1" applyBorder="1"/>
    <xf numFmtId="4" fontId="5" fillId="5" borderId="111" xfId="0" applyNumberFormat="1" applyFont="1" applyFill="1" applyBorder="1"/>
    <xf numFmtId="165" fontId="10" fillId="0" borderId="80" xfId="0" quotePrefix="1" applyNumberFormat="1" applyFont="1" applyBorder="1" applyAlignment="1" applyProtection="1">
      <alignment horizontal="center" vertical="center"/>
      <protection hidden="1"/>
    </xf>
    <xf numFmtId="0" fontId="4" fillId="5" borderId="136" xfId="0" applyFont="1" applyFill="1" applyBorder="1" applyAlignment="1">
      <alignment horizontal="left" vertical="top" wrapText="1"/>
    </xf>
    <xf numFmtId="0" fontId="10" fillId="0" borderId="79" xfId="0" applyFont="1" applyBorder="1" applyAlignment="1" applyProtection="1">
      <alignment vertical="center"/>
      <protection hidden="1"/>
    </xf>
    <xf numFmtId="0" fontId="10" fillId="0" borderId="80" xfId="0" applyFont="1" applyBorder="1" applyAlignment="1" applyProtection="1">
      <alignment vertical="center"/>
      <protection hidden="1"/>
    </xf>
    <xf numFmtId="0" fontId="2" fillId="0" borderId="255" xfId="0" applyFont="1" applyBorder="1"/>
    <xf numFmtId="0" fontId="16" fillId="9" borderId="86" xfId="0" quotePrefix="1" applyFont="1" applyFill="1" applyBorder="1" applyAlignment="1" applyProtection="1">
      <alignment vertical="center"/>
      <protection hidden="1"/>
    </xf>
    <xf numFmtId="0" fontId="16" fillId="9" borderId="0" xfId="0" quotePrefix="1" applyFont="1" applyFill="1" applyAlignment="1" applyProtection="1">
      <alignment vertical="center"/>
      <protection hidden="1"/>
    </xf>
    <xf numFmtId="0" fontId="16" fillId="9" borderId="87" xfId="0" quotePrefix="1" applyFont="1" applyFill="1" applyBorder="1" applyAlignment="1" applyProtection="1">
      <alignment horizontal="right" vertical="center"/>
      <protection hidden="1"/>
    </xf>
    <xf numFmtId="0" fontId="39" fillId="9" borderId="87" xfId="0" quotePrefix="1" applyFont="1" applyFill="1" applyBorder="1" applyAlignment="1" applyProtection="1">
      <alignment horizontal="center" vertical="center"/>
      <protection hidden="1"/>
    </xf>
    <xf numFmtId="0" fontId="4" fillId="12" borderId="259" xfId="0" applyFont="1" applyFill="1" applyBorder="1"/>
    <xf numFmtId="0" fontId="4" fillId="12" borderId="260" xfId="0" applyFont="1" applyFill="1" applyBorder="1"/>
    <xf numFmtId="165" fontId="8" fillId="0" borderId="256" xfId="0" quotePrefix="1" applyNumberFormat="1" applyFont="1" applyBorder="1" applyAlignment="1" applyProtection="1">
      <alignment horizontal="left" vertical="center"/>
      <protection hidden="1"/>
    </xf>
    <xf numFmtId="2" fontId="40" fillId="0" borderId="83" xfId="0" quotePrefix="1" applyNumberFormat="1" applyFont="1" applyBorder="1" applyAlignment="1" applyProtection="1">
      <alignment vertical="top"/>
      <protection hidden="1"/>
    </xf>
    <xf numFmtId="2" fontId="40" fillId="0" borderId="84" xfId="0" quotePrefix="1" applyNumberFormat="1" applyFont="1" applyBorder="1" applyAlignment="1" applyProtection="1">
      <alignment vertical="top"/>
      <protection hidden="1"/>
    </xf>
    <xf numFmtId="2" fontId="40" fillId="0" borderId="85" xfId="0" quotePrefix="1" applyNumberFormat="1" applyFont="1" applyBorder="1" applyAlignment="1" applyProtection="1">
      <alignment vertical="top"/>
      <protection hidden="1"/>
    </xf>
    <xf numFmtId="2" fontId="40" fillId="0" borderId="86" xfId="0" quotePrefix="1" applyNumberFormat="1" applyFont="1" applyBorder="1" applyAlignment="1" applyProtection="1">
      <alignment vertical="top"/>
      <protection hidden="1"/>
    </xf>
    <xf numFmtId="2" fontId="40" fillId="0" borderId="0" xfId="0" quotePrefix="1" applyNumberFormat="1" applyFont="1" applyAlignment="1" applyProtection="1">
      <alignment vertical="top"/>
      <protection hidden="1"/>
    </xf>
    <xf numFmtId="2" fontId="40" fillId="0" borderId="87" xfId="0" quotePrefix="1" applyNumberFormat="1" applyFont="1" applyBorder="1" applyAlignment="1" applyProtection="1">
      <alignment vertical="top"/>
      <protection hidden="1"/>
    </xf>
    <xf numFmtId="0" fontId="24" fillId="0" borderId="0" xfId="0" applyFont="1" applyProtection="1">
      <protection locked="0"/>
    </xf>
    <xf numFmtId="0" fontId="15" fillId="0" borderId="83" xfId="0" applyFont="1" applyBorder="1" applyProtection="1">
      <protection hidden="1"/>
    </xf>
    <xf numFmtId="0" fontId="15" fillId="0" borderId="84" xfId="0" applyFont="1" applyBorder="1" applyProtection="1">
      <protection hidden="1"/>
    </xf>
    <xf numFmtId="0" fontId="15" fillId="0" borderId="86" xfId="0" applyFont="1" applyBorder="1" applyProtection="1">
      <protection hidden="1"/>
    </xf>
    <xf numFmtId="0" fontId="18" fillId="0" borderId="0" xfId="0" applyFont="1" applyProtection="1">
      <protection hidden="1"/>
    </xf>
    <xf numFmtId="0" fontId="15" fillId="0" borderId="0" xfId="0" applyFont="1" applyProtection="1">
      <protection hidden="1"/>
    </xf>
    <xf numFmtId="0" fontId="6" fillId="34" borderId="195" xfId="0" applyFont="1" applyFill="1" applyBorder="1" applyProtection="1">
      <protection hidden="1"/>
    </xf>
    <xf numFmtId="0" fontId="6" fillId="34" borderId="196" xfId="0" applyFont="1" applyFill="1" applyBorder="1" applyProtection="1">
      <protection hidden="1"/>
    </xf>
    <xf numFmtId="0" fontId="14" fillId="34" borderId="97" xfId="0" applyFont="1" applyFill="1" applyBorder="1" applyAlignment="1" applyProtection="1">
      <alignment vertical="center"/>
      <protection hidden="1"/>
    </xf>
    <xf numFmtId="0" fontId="14" fillId="34" borderId="98" xfId="0" quotePrefix="1" applyFont="1" applyFill="1" applyBorder="1" applyAlignment="1" applyProtection="1">
      <alignment horizontal="left" vertical="center"/>
      <protection hidden="1"/>
    </xf>
    <xf numFmtId="0" fontId="14" fillId="34" borderId="98" xfId="0" applyFont="1" applyFill="1" applyBorder="1" applyAlignment="1" applyProtection="1">
      <alignment horizontal="center" vertical="center"/>
      <protection hidden="1"/>
    </xf>
    <xf numFmtId="0" fontId="36" fillId="34" borderId="99" xfId="0" applyFont="1" applyFill="1" applyBorder="1" applyAlignment="1" applyProtection="1">
      <alignment horizontal="right" vertical="center"/>
      <protection hidden="1"/>
    </xf>
    <xf numFmtId="0" fontId="14" fillId="34" borderId="0" xfId="2" applyFont="1" applyFill="1" applyAlignment="1" applyProtection="1">
      <alignment horizontal="center" vertical="center"/>
      <protection hidden="1"/>
    </xf>
    <xf numFmtId="0" fontId="14" fillId="34" borderId="97" xfId="2" quotePrefix="1" applyFont="1" applyFill="1" applyBorder="1" applyAlignment="1" applyProtection="1">
      <alignment horizontal="center" vertical="center"/>
      <protection hidden="1"/>
    </xf>
    <xf numFmtId="0" fontId="14" fillId="34" borderId="98" xfId="1" quotePrefix="1" applyNumberFormat="1" applyFont="1" applyFill="1" applyBorder="1" applyAlignment="1" applyProtection="1">
      <alignment horizontal="center" vertical="center"/>
      <protection hidden="1"/>
    </xf>
    <xf numFmtId="0" fontId="14" fillId="34" borderId="98" xfId="1" applyNumberFormat="1" applyFont="1" applyFill="1" applyBorder="1" applyAlignment="1" applyProtection="1">
      <alignment horizontal="center" vertical="center"/>
      <protection hidden="1"/>
    </xf>
    <xf numFmtId="0" fontId="14" fillId="34" borderId="99" xfId="1" applyNumberFormat="1" applyFont="1" applyFill="1" applyBorder="1" applyAlignment="1" applyProtection="1">
      <alignment horizontal="center" vertical="center"/>
      <protection hidden="1"/>
    </xf>
    <xf numFmtId="0" fontId="14" fillId="34" borderId="83" xfId="0" applyFont="1" applyFill="1" applyBorder="1" applyAlignment="1" applyProtection="1">
      <alignment vertical="center"/>
      <protection hidden="1"/>
    </xf>
    <xf numFmtId="0" fontId="14" fillId="34" borderId="84" xfId="0" quotePrefix="1" applyFont="1" applyFill="1" applyBorder="1" applyAlignment="1" applyProtection="1">
      <alignment horizontal="left" vertical="center"/>
      <protection hidden="1"/>
    </xf>
    <xf numFmtId="0" fontId="14" fillId="34" borderId="84" xfId="0" applyFont="1" applyFill="1" applyBorder="1" applyAlignment="1" applyProtection="1">
      <alignment horizontal="center" vertical="center"/>
      <protection hidden="1"/>
    </xf>
    <xf numFmtId="0" fontId="36" fillId="34" borderId="85" xfId="0" applyFont="1" applyFill="1" applyBorder="1" applyAlignment="1" applyProtection="1">
      <alignment horizontal="right" vertical="center"/>
      <protection hidden="1"/>
    </xf>
    <xf numFmtId="0" fontId="17" fillId="34" borderId="85" xfId="0" applyFont="1" applyFill="1" applyBorder="1" applyAlignment="1" applyProtection="1">
      <alignment horizontal="center" vertical="center"/>
      <protection hidden="1"/>
    </xf>
    <xf numFmtId="0" fontId="14" fillId="34" borderId="110" xfId="2" quotePrefix="1" applyFont="1" applyFill="1" applyBorder="1" applyAlignment="1" applyProtection="1">
      <alignment horizontal="center" vertical="center"/>
      <protection hidden="1"/>
    </xf>
    <xf numFmtId="0" fontId="14" fillId="34" borderId="61" xfId="1" quotePrefix="1" applyNumberFormat="1" applyFont="1" applyFill="1" applyBorder="1" applyAlignment="1" applyProtection="1">
      <alignment horizontal="center" vertical="center"/>
      <protection hidden="1"/>
    </xf>
    <xf numFmtId="0" fontId="14" fillId="34" borderId="61" xfId="1" applyNumberFormat="1" applyFont="1" applyFill="1" applyBorder="1" applyAlignment="1" applyProtection="1">
      <alignment horizontal="center" vertical="center"/>
      <protection hidden="1"/>
    </xf>
    <xf numFmtId="0" fontId="14" fillId="34" borderId="251" xfId="1" applyNumberFormat="1" applyFont="1" applyFill="1" applyBorder="1" applyAlignment="1" applyProtection="1">
      <alignment horizontal="center" vertical="center"/>
      <protection hidden="1"/>
    </xf>
    <xf numFmtId="0" fontId="14" fillId="34" borderId="243" xfId="1" applyNumberFormat="1" applyFont="1" applyFill="1" applyBorder="1" applyAlignment="1" applyProtection="1">
      <alignment horizontal="center" vertical="center"/>
      <protection hidden="1"/>
    </xf>
    <xf numFmtId="0" fontId="6" fillId="34" borderId="83" xfId="0" applyFont="1" applyFill="1" applyBorder="1" applyProtection="1">
      <protection hidden="1"/>
    </xf>
    <xf numFmtId="0" fontId="6" fillId="34" borderId="79" xfId="0" applyFont="1" applyFill="1" applyBorder="1" applyProtection="1">
      <protection hidden="1"/>
    </xf>
    <xf numFmtId="0" fontId="6" fillId="34" borderId="83" xfId="0" applyFont="1" applyFill="1" applyBorder="1" applyAlignment="1" applyProtection="1">
      <alignment vertical="center"/>
      <protection hidden="1"/>
    </xf>
    <xf numFmtId="0" fontId="6" fillId="34" borderId="79" xfId="0" applyFont="1" applyFill="1" applyBorder="1" applyAlignment="1" applyProtection="1">
      <alignment vertical="center"/>
      <protection hidden="1"/>
    </xf>
    <xf numFmtId="0" fontId="26" fillId="0" borderId="0" xfId="0" applyFont="1" applyProtection="1">
      <protection hidden="1"/>
    </xf>
    <xf numFmtId="0" fontId="26" fillId="0" borderId="84" xfId="0" applyFont="1" applyBorder="1" applyProtection="1">
      <protection hidden="1"/>
    </xf>
    <xf numFmtId="4" fontId="9" fillId="11" borderId="270" xfId="0" applyNumberFormat="1" applyFont="1" applyFill="1" applyBorder="1"/>
    <xf numFmtId="4" fontId="5" fillId="11" borderId="270" xfId="0" applyNumberFormat="1" applyFont="1" applyFill="1" applyBorder="1"/>
    <xf numFmtId="4" fontId="5" fillId="11" borderId="270" xfId="0" quotePrefix="1" applyNumberFormat="1" applyFont="1" applyFill="1" applyBorder="1" applyAlignment="1">
      <alignment horizontal="left"/>
    </xf>
    <xf numFmtId="3" fontId="5" fillId="11" borderId="270" xfId="0" applyNumberFormat="1" applyFont="1" applyFill="1" applyBorder="1"/>
    <xf numFmtId="4" fontId="5" fillId="11" borderId="271" xfId="0" applyNumberFormat="1" applyFont="1" applyFill="1" applyBorder="1"/>
    <xf numFmtId="4" fontId="9" fillId="11" borderId="127" xfId="0" applyNumberFormat="1" applyFont="1" applyFill="1" applyBorder="1"/>
    <xf numFmtId="4" fontId="5" fillId="11" borderId="127" xfId="0" applyNumberFormat="1" applyFont="1" applyFill="1" applyBorder="1"/>
    <xf numFmtId="4" fontId="5" fillId="11" borderId="127" xfId="0" quotePrefix="1" applyNumberFormat="1" applyFont="1" applyFill="1" applyBorder="1" applyAlignment="1">
      <alignment horizontal="left"/>
    </xf>
    <xf numFmtId="3" fontId="5" fillId="11" borderId="127" xfId="0" applyNumberFormat="1" applyFont="1" applyFill="1" applyBorder="1"/>
    <xf numFmtId="4" fontId="5" fillId="11" borderId="272" xfId="0" applyNumberFormat="1" applyFont="1" applyFill="1" applyBorder="1"/>
    <xf numFmtId="4" fontId="9" fillId="11" borderId="273" xfId="0" applyNumberFormat="1" applyFont="1" applyFill="1" applyBorder="1"/>
    <xf numFmtId="4" fontId="5" fillId="11" borderId="273" xfId="0" applyNumberFormat="1" applyFont="1" applyFill="1" applyBorder="1"/>
    <xf numFmtId="3" fontId="5" fillId="11" borderId="273" xfId="0" applyNumberFormat="1" applyFont="1" applyFill="1" applyBorder="1"/>
    <xf numFmtId="4" fontId="5" fillId="11" borderId="274" xfId="0" applyNumberFormat="1" applyFont="1" applyFill="1" applyBorder="1"/>
    <xf numFmtId="4" fontId="5" fillId="11" borderId="273" xfId="0" quotePrefix="1" applyNumberFormat="1" applyFont="1" applyFill="1" applyBorder="1" applyAlignment="1">
      <alignment horizontal="left"/>
    </xf>
    <xf numFmtId="4" fontId="5" fillId="26" borderId="51" xfId="0" applyNumberFormat="1" applyFont="1" applyFill="1" applyBorder="1"/>
    <xf numFmtId="4" fontId="9" fillId="26" borderId="158" xfId="0" applyNumberFormat="1" applyFont="1" applyFill="1" applyBorder="1"/>
    <xf numFmtId="4" fontId="5" fillId="26" borderId="51" xfId="0" quotePrefix="1" applyNumberFormat="1" applyFont="1" applyFill="1" applyBorder="1" applyAlignment="1">
      <alignment horizontal="left"/>
    </xf>
    <xf numFmtId="3" fontId="5" fillId="26" borderId="51" xfId="0" applyNumberFormat="1" applyFont="1" applyFill="1" applyBorder="1"/>
    <xf numFmtId="4" fontId="5" fillId="5" borderId="127" xfId="0" applyNumberFormat="1" applyFont="1" applyFill="1" applyBorder="1"/>
    <xf numFmtId="2" fontId="40" fillId="0" borderId="79" xfId="0" quotePrefix="1" applyNumberFormat="1" applyFont="1" applyBorder="1" applyAlignment="1" applyProtection="1">
      <alignment vertical="top"/>
      <protection hidden="1"/>
    </xf>
    <xf numFmtId="2" fontId="40" fillId="0" borderId="80" xfId="0" quotePrefix="1" applyNumberFormat="1" applyFont="1" applyBorder="1" applyAlignment="1" applyProtection="1">
      <alignment vertical="top"/>
      <protection hidden="1"/>
    </xf>
    <xf numFmtId="2" fontId="40" fillId="0" borderId="81" xfId="0" quotePrefix="1" applyNumberFormat="1" applyFont="1" applyBorder="1" applyAlignment="1" applyProtection="1">
      <alignment vertical="top"/>
      <protection hidden="1"/>
    </xf>
    <xf numFmtId="0" fontId="6" fillId="0" borderId="3" xfId="0" applyFont="1" applyBorder="1" applyAlignment="1" applyProtection="1">
      <alignment vertical="center"/>
      <protection hidden="1"/>
    </xf>
    <xf numFmtId="0" fontId="6" fillId="0" borderId="3" xfId="0" applyFont="1" applyBorder="1" applyProtection="1">
      <protection hidden="1"/>
    </xf>
    <xf numFmtId="0" fontId="14" fillId="9" borderId="80" xfId="0" applyFont="1" applyFill="1" applyBorder="1" applyAlignment="1" applyProtection="1">
      <alignment horizontal="left" vertical="center"/>
      <protection hidden="1"/>
    </xf>
    <xf numFmtId="0" fontId="6" fillId="0" borderId="1" xfId="0" applyFont="1" applyBorder="1" applyAlignment="1" applyProtection="1">
      <alignment vertical="center"/>
      <protection hidden="1"/>
    </xf>
    <xf numFmtId="0" fontId="6" fillId="0" borderId="2" xfId="0" applyFont="1" applyBorder="1" applyAlignment="1" applyProtection="1">
      <alignment vertical="center"/>
      <protection hidden="1"/>
    </xf>
    <xf numFmtId="0" fontId="6" fillId="0" borderId="4" xfId="0" applyFont="1" applyBorder="1" applyAlignment="1" applyProtection="1">
      <alignment vertical="center"/>
      <protection hidden="1"/>
    </xf>
    <xf numFmtId="4" fontId="5" fillId="5" borderId="141" xfId="0" applyNumberFormat="1" applyFont="1" applyFill="1" applyBorder="1"/>
    <xf numFmtId="0" fontId="2" fillId="12" borderId="313" xfId="0" applyFont="1" applyFill="1" applyBorder="1"/>
    <xf numFmtId="0" fontId="2" fillId="12" borderId="314" xfId="0" applyFont="1" applyFill="1" applyBorder="1"/>
    <xf numFmtId="0" fontId="2" fillId="12" borderId="316" xfId="0" applyFont="1" applyFill="1" applyBorder="1"/>
    <xf numFmtId="0" fontId="2" fillId="12" borderId="317" xfId="0" applyFont="1" applyFill="1" applyBorder="1"/>
    <xf numFmtId="0" fontId="2" fillId="12" borderId="318" xfId="0" applyFont="1" applyFill="1" applyBorder="1"/>
    <xf numFmtId="0" fontId="2" fillId="12" borderId="319" xfId="0" applyFont="1" applyFill="1" applyBorder="1"/>
    <xf numFmtId="0" fontId="2" fillId="12" borderId="320" xfId="0" applyFont="1" applyFill="1" applyBorder="1"/>
    <xf numFmtId="0" fontId="2" fillId="12" borderId="321" xfId="0" applyFont="1" applyFill="1" applyBorder="1"/>
    <xf numFmtId="0" fontId="16" fillId="0" borderId="84" xfId="0" applyFont="1" applyBorder="1" applyAlignment="1" applyProtection="1">
      <alignment horizontal="right" indent="1"/>
      <protection hidden="1"/>
    </xf>
    <xf numFmtId="4" fontId="5" fillId="5" borderId="139" xfId="0" applyNumberFormat="1" applyFont="1" applyFill="1" applyBorder="1"/>
    <xf numFmtId="4" fontId="5" fillId="5" borderId="51" xfId="0" applyNumberFormat="1" applyFont="1" applyFill="1" applyBorder="1"/>
    <xf numFmtId="4" fontId="5" fillId="5" borderId="54" xfId="0" applyNumberFormat="1" applyFont="1" applyFill="1" applyBorder="1"/>
    <xf numFmtId="4" fontId="5" fillId="5" borderId="270" xfId="0" applyNumberFormat="1" applyFont="1" applyFill="1" applyBorder="1"/>
    <xf numFmtId="4" fontId="5" fillId="5" borderId="273" xfId="0" applyNumberFormat="1" applyFont="1" applyFill="1" applyBorder="1"/>
    <xf numFmtId="2" fontId="40" fillId="0" borderId="83" xfId="0" applyNumberFormat="1" applyFont="1" applyBorder="1" applyAlignment="1" applyProtection="1">
      <alignment vertical="top"/>
      <protection hidden="1"/>
    </xf>
    <xf numFmtId="2" fontId="40" fillId="0" borderId="84" xfId="0" applyNumberFormat="1" applyFont="1" applyBorder="1" applyAlignment="1" applyProtection="1">
      <alignment vertical="top"/>
      <protection hidden="1"/>
    </xf>
    <xf numFmtId="2" fontId="40" fillId="0" borderId="85" xfId="0" applyNumberFormat="1" applyFont="1" applyBorder="1" applyAlignment="1" applyProtection="1">
      <alignment vertical="top"/>
      <protection hidden="1"/>
    </xf>
    <xf numFmtId="2" fontId="40" fillId="0" borderId="86" xfId="0" applyNumberFormat="1" applyFont="1" applyBorder="1" applyAlignment="1" applyProtection="1">
      <alignment vertical="top"/>
      <protection hidden="1"/>
    </xf>
    <xf numFmtId="2" fontId="40" fillId="0" borderId="87" xfId="0" applyNumberFormat="1" applyFont="1" applyBorder="1" applyAlignment="1" applyProtection="1">
      <alignment vertical="top"/>
      <protection hidden="1"/>
    </xf>
    <xf numFmtId="2" fontId="40" fillId="0" borderId="79" xfId="0" applyNumberFormat="1" applyFont="1" applyBorder="1" applyAlignment="1" applyProtection="1">
      <alignment vertical="top"/>
      <protection hidden="1"/>
    </xf>
    <xf numFmtId="2" fontId="40" fillId="0" borderId="80" xfId="0" applyNumberFormat="1" applyFont="1" applyBorder="1" applyAlignment="1" applyProtection="1">
      <alignment vertical="top"/>
      <protection hidden="1"/>
    </xf>
    <xf numFmtId="2" fontId="40" fillId="0" borderId="81" xfId="0" applyNumberFormat="1" applyFont="1" applyBorder="1" applyAlignment="1" applyProtection="1">
      <alignment vertical="top"/>
      <protection hidden="1"/>
    </xf>
    <xf numFmtId="0" fontId="14" fillId="0" borderId="0" xfId="2" applyFont="1" applyAlignment="1" applyProtection="1">
      <alignment horizontal="center" vertical="center"/>
      <protection hidden="1"/>
    </xf>
    <xf numFmtId="2" fontId="40" fillId="0" borderId="0" xfId="0" applyNumberFormat="1" applyFont="1" applyAlignment="1" applyProtection="1">
      <alignment vertical="top"/>
      <protection hidden="1"/>
    </xf>
    <xf numFmtId="0" fontId="17" fillId="0" borderId="0" xfId="0" applyFont="1" applyAlignment="1">
      <alignment horizontal="center"/>
    </xf>
    <xf numFmtId="0" fontId="6" fillId="0" borderId="30" xfId="0" applyFont="1" applyBorder="1" applyAlignment="1" applyProtection="1">
      <alignment vertical="center"/>
      <protection locked="0"/>
    </xf>
    <xf numFmtId="164" fontId="6" fillId="0" borderId="30" xfId="0" applyNumberFormat="1" applyFont="1" applyBorder="1" applyAlignment="1" applyProtection="1">
      <alignment vertical="center"/>
      <protection locked="0"/>
    </xf>
    <xf numFmtId="0" fontId="12" fillId="9" borderId="86" xfId="0" applyFont="1" applyFill="1" applyBorder="1" applyAlignment="1" applyProtection="1">
      <alignment horizontal="left" vertical="top" wrapText="1"/>
      <protection hidden="1"/>
    </xf>
    <xf numFmtId="0" fontId="12" fillId="9" borderId="0" xfId="0" applyFont="1" applyFill="1" applyAlignment="1" applyProtection="1">
      <alignment horizontal="left" vertical="top" wrapText="1"/>
      <protection hidden="1"/>
    </xf>
    <xf numFmtId="0" fontId="12" fillId="9" borderId="87" xfId="0" applyFont="1" applyFill="1" applyBorder="1" applyAlignment="1" applyProtection="1">
      <alignment horizontal="left" vertical="top" wrapText="1"/>
      <protection hidden="1"/>
    </xf>
    <xf numFmtId="0" fontId="17" fillId="0" borderId="0" xfId="0" applyFont="1" applyProtection="1">
      <protection hidden="1"/>
    </xf>
    <xf numFmtId="3" fontId="6" fillId="0" borderId="322" xfId="0" applyNumberFormat="1" applyFont="1" applyBorder="1" applyProtection="1">
      <protection hidden="1"/>
    </xf>
    <xf numFmtId="3" fontId="6" fillId="0" borderId="315" xfId="0" applyNumberFormat="1" applyFont="1" applyBorder="1" applyProtection="1">
      <protection hidden="1"/>
    </xf>
    <xf numFmtId="3" fontId="6" fillId="0" borderId="325" xfId="0" applyNumberFormat="1" applyFont="1" applyBorder="1" applyProtection="1">
      <protection hidden="1"/>
    </xf>
    <xf numFmtId="3" fontId="6" fillId="0" borderId="326" xfId="0" applyNumberFormat="1" applyFont="1" applyBorder="1" applyProtection="1">
      <protection hidden="1"/>
    </xf>
    <xf numFmtId="166" fontId="6" fillId="0" borderId="0" xfId="0" applyNumberFormat="1" applyFont="1" applyProtection="1">
      <protection hidden="1"/>
    </xf>
    <xf numFmtId="0" fontId="43" fillId="32" borderId="327" xfId="0" applyFont="1" applyFill="1" applyBorder="1" applyAlignment="1" applyProtection="1">
      <alignment horizontal="center"/>
      <protection hidden="1"/>
    </xf>
    <xf numFmtId="0" fontId="28" fillId="0" borderId="0" xfId="0" applyFont="1" applyProtection="1">
      <protection hidden="1"/>
    </xf>
    <xf numFmtId="0" fontId="43" fillId="32" borderId="340" xfId="0" applyFont="1" applyFill="1" applyBorder="1" applyAlignment="1">
      <alignment horizontal="center" vertical="top"/>
    </xf>
    <xf numFmtId="0" fontId="17" fillId="18" borderId="197" xfId="0" applyFont="1" applyFill="1" applyBorder="1" applyAlignment="1" applyProtection="1">
      <alignment horizontal="center"/>
      <protection hidden="1"/>
    </xf>
    <xf numFmtId="0" fontId="43" fillId="32" borderId="0" xfId="0" applyFont="1" applyFill="1" applyAlignment="1" applyProtection="1">
      <alignment horizontal="center"/>
      <protection hidden="1"/>
    </xf>
    <xf numFmtId="0" fontId="43" fillId="32" borderId="0" xfId="0" applyFont="1" applyFill="1" applyAlignment="1">
      <alignment horizontal="center" vertical="top"/>
    </xf>
    <xf numFmtId="0" fontId="14" fillId="9" borderId="232" xfId="0" applyFont="1" applyFill="1" applyBorder="1" applyProtection="1">
      <protection hidden="1"/>
    </xf>
    <xf numFmtId="0" fontId="14" fillId="9" borderId="215" xfId="0" applyFont="1" applyFill="1" applyBorder="1" applyProtection="1">
      <protection hidden="1"/>
    </xf>
    <xf numFmtId="0" fontId="14" fillId="9" borderId="230" xfId="0" applyFont="1" applyFill="1" applyBorder="1" applyProtection="1">
      <protection hidden="1"/>
    </xf>
    <xf numFmtId="0" fontId="10" fillId="9" borderId="232" xfId="0" applyFont="1" applyFill="1" applyBorder="1" applyProtection="1">
      <protection hidden="1"/>
    </xf>
    <xf numFmtId="0" fontId="10" fillId="9" borderId="215" xfId="0" applyFont="1" applyFill="1" applyBorder="1" applyProtection="1">
      <protection hidden="1"/>
    </xf>
    <xf numFmtId="0" fontId="10" fillId="9" borderId="230" xfId="0" applyFont="1" applyFill="1" applyBorder="1" applyProtection="1">
      <protection hidden="1"/>
    </xf>
    <xf numFmtId="0" fontId="6" fillId="0" borderId="65" xfId="0" quotePrefix="1" applyFont="1" applyBorder="1" applyAlignment="1" applyProtection="1">
      <alignment horizontal="left" vertical="center"/>
      <protection hidden="1"/>
    </xf>
    <xf numFmtId="2" fontId="8" fillId="0" borderId="65" xfId="0" quotePrefix="1" applyNumberFormat="1" applyFont="1" applyBorder="1" applyAlignment="1" applyProtection="1">
      <alignment horizontal="left" vertical="center"/>
      <protection hidden="1"/>
    </xf>
    <xf numFmtId="0" fontId="14" fillId="12" borderId="232" xfId="0" applyFont="1" applyFill="1" applyBorder="1" applyProtection="1">
      <protection hidden="1"/>
    </xf>
    <xf numFmtId="0" fontId="14" fillId="12" borderId="215" xfId="0" applyFont="1" applyFill="1" applyBorder="1" applyProtection="1">
      <protection hidden="1"/>
    </xf>
    <xf numFmtId="0" fontId="14" fillId="12" borderId="230" xfId="0" applyFont="1" applyFill="1" applyBorder="1" applyProtection="1">
      <protection hidden="1"/>
    </xf>
    <xf numFmtId="0" fontId="28" fillId="12" borderId="230" xfId="0" applyFont="1" applyFill="1" applyBorder="1" applyProtection="1">
      <protection hidden="1"/>
    </xf>
    <xf numFmtId="0" fontId="17" fillId="18" borderId="352" xfId="0" applyFont="1" applyFill="1" applyBorder="1" applyAlignment="1" applyProtection="1">
      <alignment horizontal="center"/>
      <protection hidden="1"/>
    </xf>
    <xf numFmtId="0" fontId="17" fillId="18" borderId="353" xfId="0" applyFont="1" applyFill="1" applyBorder="1" applyAlignment="1" applyProtection="1">
      <alignment horizontal="center"/>
      <protection hidden="1"/>
    </xf>
    <xf numFmtId="3" fontId="14" fillId="12" borderId="300" xfId="0" applyNumberFormat="1" applyFont="1" applyFill="1" applyBorder="1" applyProtection="1">
      <protection hidden="1"/>
    </xf>
    <xf numFmtId="0" fontId="6" fillId="12" borderId="302" xfId="0" applyFont="1" applyFill="1" applyBorder="1" applyProtection="1">
      <protection hidden="1"/>
    </xf>
    <xf numFmtId="3" fontId="14" fillId="12" borderId="304" xfId="0" applyNumberFormat="1" applyFont="1" applyFill="1" applyBorder="1" applyProtection="1">
      <protection hidden="1"/>
    </xf>
    <xf numFmtId="0" fontId="6" fillId="12" borderId="306" xfId="0" applyFont="1" applyFill="1" applyBorder="1" applyProtection="1">
      <protection hidden="1"/>
    </xf>
    <xf numFmtId="3" fontId="14" fillId="12" borderId="307" xfId="0" applyNumberFormat="1" applyFont="1" applyFill="1" applyBorder="1" applyProtection="1">
      <protection hidden="1"/>
    </xf>
    <xf numFmtId="0" fontId="6" fillId="12" borderId="309" xfId="0" applyFont="1" applyFill="1" applyBorder="1" applyProtection="1">
      <protection hidden="1"/>
    </xf>
    <xf numFmtId="3" fontId="10" fillId="12" borderId="300" xfId="0" applyNumberFormat="1" applyFont="1" applyFill="1" applyBorder="1" applyProtection="1">
      <protection hidden="1"/>
    </xf>
    <xf numFmtId="3" fontId="10" fillId="12" borderId="307" xfId="0" applyNumberFormat="1" applyFont="1" applyFill="1" applyBorder="1" applyProtection="1">
      <protection hidden="1"/>
    </xf>
    <xf numFmtId="164" fontId="10" fillId="6" borderId="172" xfId="0" applyNumberFormat="1" applyFont="1" applyFill="1" applyBorder="1" applyAlignment="1">
      <alignment horizontal="center"/>
    </xf>
    <xf numFmtId="164" fontId="28" fillId="12" borderId="22" xfId="0" applyNumberFormat="1" applyFont="1" applyFill="1" applyBorder="1"/>
    <xf numFmtId="164" fontId="10" fillId="6" borderId="23" xfId="0" applyNumberFormat="1" applyFont="1" applyFill="1" applyBorder="1" applyAlignment="1">
      <alignment horizontal="center"/>
    </xf>
    <xf numFmtId="164" fontId="28" fillId="12" borderId="23" xfId="0" applyNumberFormat="1" applyFont="1" applyFill="1" applyBorder="1"/>
    <xf numFmtId="164" fontId="10" fillId="6" borderId="22" xfId="0" applyNumberFormat="1" applyFont="1" applyFill="1" applyBorder="1"/>
    <xf numFmtId="164" fontId="10" fillId="6" borderId="24" xfId="0" applyNumberFormat="1" applyFont="1" applyFill="1" applyBorder="1"/>
    <xf numFmtId="164" fontId="28" fillId="12" borderId="25" xfId="0" applyNumberFormat="1" applyFont="1" applyFill="1" applyBorder="1"/>
    <xf numFmtId="3" fontId="6" fillId="0" borderId="290" xfId="0" applyNumberFormat="1" applyFont="1" applyBorder="1" applyProtection="1">
      <protection hidden="1"/>
    </xf>
    <xf numFmtId="3" fontId="6" fillId="0" borderId="293" xfId="0" applyNumberFormat="1" applyFont="1" applyBorder="1" applyProtection="1">
      <protection hidden="1"/>
    </xf>
    <xf numFmtId="3" fontId="6" fillId="0" borderId="350" xfId="0" applyNumberFormat="1" applyFont="1" applyBorder="1" applyProtection="1">
      <protection hidden="1"/>
    </xf>
    <xf numFmtId="166" fontId="6" fillId="0" borderId="164" xfId="0" applyNumberFormat="1" applyFont="1" applyBorder="1" applyProtection="1">
      <protection hidden="1"/>
    </xf>
    <xf numFmtId="166" fontId="6" fillId="0" borderId="289" xfId="0" applyNumberFormat="1" applyFont="1" applyBorder="1" applyProtection="1">
      <protection hidden="1"/>
    </xf>
    <xf numFmtId="166" fontId="6" fillId="0" borderId="292" xfId="0" applyNumberFormat="1" applyFont="1" applyBorder="1" applyProtection="1">
      <protection hidden="1"/>
    </xf>
    <xf numFmtId="166" fontId="6" fillId="0" borderId="339" xfId="0" applyNumberFormat="1" applyFont="1" applyBorder="1" applyProtection="1">
      <protection hidden="1"/>
    </xf>
    <xf numFmtId="166" fontId="6" fillId="0" borderId="354" xfId="0" applyNumberFormat="1" applyFont="1" applyBorder="1" applyProtection="1">
      <protection hidden="1"/>
    </xf>
    <xf numFmtId="3" fontId="6" fillId="0" borderId="1" xfId="0" applyNumberFormat="1" applyFont="1" applyBorder="1" applyProtection="1">
      <protection hidden="1"/>
    </xf>
    <xf numFmtId="166" fontId="43" fillId="24" borderId="26" xfId="0" applyNumberFormat="1" applyFont="1" applyFill="1" applyBorder="1" applyProtection="1">
      <protection hidden="1"/>
    </xf>
    <xf numFmtId="166" fontId="43" fillId="24" borderId="27" xfId="0" applyNumberFormat="1" applyFont="1" applyFill="1" applyBorder="1" applyProtection="1">
      <protection hidden="1"/>
    </xf>
    <xf numFmtId="166" fontId="43" fillId="24" borderId="28" xfId="0" applyNumberFormat="1" applyFont="1" applyFill="1" applyBorder="1" applyProtection="1">
      <protection hidden="1"/>
    </xf>
    <xf numFmtId="3" fontId="43" fillId="24" borderId="171" xfId="0" applyNumberFormat="1" applyFont="1" applyFill="1" applyBorder="1" applyProtection="1">
      <protection hidden="1"/>
    </xf>
    <xf numFmtId="3" fontId="43" fillId="24" borderId="172" xfId="0" applyNumberFormat="1" applyFont="1" applyFill="1" applyBorder="1" applyProtection="1">
      <protection hidden="1"/>
    </xf>
    <xf numFmtId="3" fontId="43" fillId="24" borderId="22" xfId="0" applyNumberFormat="1" applyFont="1" applyFill="1" applyBorder="1" applyProtection="1">
      <protection hidden="1"/>
    </xf>
    <xf numFmtId="3" fontId="43" fillId="24" borderId="23" xfId="0" applyNumberFormat="1" applyFont="1" applyFill="1" applyBorder="1" applyProtection="1">
      <protection hidden="1"/>
    </xf>
    <xf numFmtId="3" fontId="43" fillId="24" borderId="24" xfId="0" applyNumberFormat="1" applyFont="1" applyFill="1" applyBorder="1" applyProtection="1">
      <protection hidden="1"/>
    </xf>
    <xf numFmtId="3" fontId="43" fillId="24" borderId="25" xfId="0" applyNumberFormat="1" applyFont="1" applyFill="1" applyBorder="1" applyProtection="1">
      <protection hidden="1"/>
    </xf>
    <xf numFmtId="3" fontId="10" fillId="0" borderId="290" xfId="0" applyNumberFormat="1" applyFont="1" applyBorder="1" applyProtection="1">
      <protection hidden="1"/>
    </xf>
    <xf numFmtId="3" fontId="10" fillId="0" borderId="293" xfId="0" applyNumberFormat="1" applyFont="1" applyBorder="1" applyProtection="1">
      <protection hidden="1"/>
    </xf>
    <xf numFmtId="166" fontId="10" fillId="0" borderId="289" xfId="0" applyNumberFormat="1" applyFont="1" applyBorder="1" applyProtection="1">
      <protection hidden="1"/>
    </xf>
    <xf numFmtId="166" fontId="10" fillId="0" borderId="292" xfId="0" applyNumberFormat="1" applyFont="1" applyBorder="1" applyProtection="1">
      <protection hidden="1"/>
    </xf>
    <xf numFmtId="3" fontId="14" fillId="12" borderId="289" xfId="0" applyNumberFormat="1" applyFont="1" applyFill="1" applyBorder="1" applyProtection="1">
      <protection hidden="1"/>
    </xf>
    <xf numFmtId="3" fontId="14" fillId="12" borderId="292" xfId="0" applyNumberFormat="1" applyFont="1" applyFill="1" applyBorder="1" applyProtection="1">
      <protection hidden="1"/>
    </xf>
    <xf numFmtId="3" fontId="10" fillId="0" borderId="356" xfId="0" applyNumberFormat="1" applyFont="1" applyBorder="1" applyProtection="1">
      <protection hidden="1"/>
    </xf>
    <xf numFmtId="3" fontId="14" fillId="12" borderId="295" xfId="0" applyNumberFormat="1" applyFont="1" applyFill="1" applyBorder="1" applyProtection="1">
      <protection hidden="1"/>
    </xf>
    <xf numFmtId="166" fontId="14" fillId="0" borderId="202" xfId="0" applyNumberFormat="1" applyFont="1" applyBorder="1" applyProtection="1">
      <protection hidden="1"/>
    </xf>
    <xf numFmtId="3" fontId="14" fillId="6" borderId="171" xfId="0" applyNumberFormat="1" applyFont="1" applyFill="1" applyBorder="1" applyProtection="1">
      <protection hidden="1"/>
    </xf>
    <xf numFmtId="3" fontId="14" fillId="6" borderId="24" xfId="0" applyNumberFormat="1" applyFont="1" applyFill="1" applyBorder="1" applyProtection="1">
      <protection hidden="1"/>
    </xf>
    <xf numFmtId="3" fontId="14" fillId="6" borderId="58" xfId="0" applyNumberFormat="1" applyFont="1" applyFill="1" applyBorder="1" applyProtection="1">
      <protection hidden="1"/>
    </xf>
    <xf numFmtId="3" fontId="17" fillId="0" borderId="351" xfId="0" applyNumberFormat="1" applyFont="1" applyBorder="1" applyProtection="1">
      <protection hidden="1"/>
    </xf>
    <xf numFmtId="3" fontId="17" fillId="0" borderId="350" xfId="0" applyNumberFormat="1" applyFont="1" applyBorder="1" applyProtection="1">
      <protection hidden="1"/>
    </xf>
    <xf numFmtId="3" fontId="17" fillId="0" borderId="293" xfId="0" applyNumberFormat="1" applyFont="1" applyBorder="1" applyProtection="1">
      <protection hidden="1"/>
    </xf>
    <xf numFmtId="166" fontId="17" fillId="0" borderId="292" xfId="0" applyNumberFormat="1" applyFont="1" applyBorder="1" applyProtection="1">
      <protection hidden="1"/>
    </xf>
    <xf numFmtId="166" fontId="17" fillId="0" borderId="339" xfId="0" applyNumberFormat="1" applyFont="1" applyBorder="1" applyProtection="1">
      <protection hidden="1"/>
    </xf>
    <xf numFmtId="166" fontId="6" fillId="0" borderId="338" xfId="0" applyNumberFormat="1" applyFont="1" applyBorder="1" applyProtection="1">
      <protection hidden="1"/>
    </xf>
    <xf numFmtId="3" fontId="17" fillId="0" borderId="303" xfId="0" applyNumberFormat="1" applyFont="1" applyBorder="1" applyProtection="1">
      <protection hidden="1"/>
    </xf>
    <xf numFmtId="166" fontId="17" fillId="0" borderId="239" xfId="0" applyNumberFormat="1" applyFont="1" applyBorder="1" applyProtection="1">
      <protection hidden="1"/>
    </xf>
    <xf numFmtId="166" fontId="17" fillId="0" borderId="355" xfId="0" applyNumberFormat="1" applyFont="1" applyBorder="1" applyProtection="1">
      <protection hidden="1"/>
    </xf>
    <xf numFmtId="3" fontId="17" fillId="0" borderId="357" xfId="0" applyNumberFormat="1" applyFont="1" applyBorder="1" applyProtection="1">
      <protection hidden="1"/>
    </xf>
    <xf numFmtId="166" fontId="43" fillId="38" borderId="344" xfId="0" applyNumberFormat="1" applyFont="1" applyFill="1" applyBorder="1" applyProtection="1">
      <protection hidden="1"/>
    </xf>
    <xf numFmtId="3" fontId="43" fillId="38" borderId="171" xfId="0" applyNumberFormat="1" applyFont="1" applyFill="1" applyBorder="1" applyProtection="1">
      <protection hidden="1"/>
    </xf>
    <xf numFmtId="3" fontId="43" fillId="38" borderId="172" xfId="0" applyNumberFormat="1" applyFont="1" applyFill="1" applyBorder="1" applyProtection="1">
      <protection hidden="1"/>
    </xf>
    <xf numFmtId="3" fontId="43" fillId="38" borderId="22" xfId="0" applyNumberFormat="1" applyFont="1" applyFill="1" applyBorder="1" applyProtection="1">
      <protection hidden="1"/>
    </xf>
    <xf numFmtId="3" fontId="43" fillId="38" borderId="23" xfId="0" applyNumberFormat="1" applyFont="1" applyFill="1" applyBorder="1" applyProtection="1">
      <protection hidden="1"/>
    </xf>
    <xf numFmtId="3" fontId="43" fillId="38" borderId="24" xfId="0" applyNumberFormat="1" applyFont="1" applyFill="1" applyBorder="1" applyProtection="1">
      <protection hidden="1"/>
    </xf>
    <xf numFmtId="3" fontId="43" fillId="38" borderId="25" xfId="0" applyNumberFormat="1" applyFont="1" applyFill="1" applyBorder="1" applyProtection="1">
      <protection hidden="1"/>
    </xf>
    <xf numFmtId="166" fontId="43" fillId="25" borderId="344" xfId="0" applyNumberFormat="1" applyFont="1" applyFill="1" applyBorder="1" applyProtection="1">
      <protection hidden="1"/>
    </xf>
    <xf numFmtId="0" fontId="10" fillId="40" borderId="171" xfId="0" applyFont="1" applyFill="1" applyBorder="1" applyProtection="1">
      <protection hidden="1"/>
    </xf>
    <xf numFmtId="0" fontId="10" fillId="40" borderId="172" xfId="0" applyFont="1" applyFill="1" applyBorder="1" applyProtection="1">
      <protection hidden="1"/>
    </xf>
    <xf numFmtId="0" fontId="10" fillId="40" borderId="22" xfId="0" applyFont="1" applyFill="1" applyBorder="1" applyProtection="1">
      <protection hidden="1"/>
    </xf>
    <xf numFmtId="0" fontId="10" fillId="40" borderId="23" xfId="0" applyFont="1" applyFill="1" applyBorder="1" applyProtection="1">
      <protection hidden="1"/>
    </xf>
    <xf numFmtId="0" fontId="10" fillId="40" borderId="24" xfId="0" applyFont="1" applyFill="1" applyBorder="1" applyProtection="1">
      <protection hidden="1"/>
    </xf>
    <xf numFmtId="0" fontId="10" fillId="40" borderId="25" xfId="0" applyFont="1" applyFill="1" applyBorder="1" applyProtection="1">
      <protection hidden="1"/>
    </xf>
    <xf numFmtId="0" fontId="10" fillId="14" borderId="58" xfId="0" applyFont="1" applyFill="1" applyBorder="1" applyProtection="1">
      <protection hidden="1"/>
    </xf>
    <xf numFmtId="0" fontId="10" fillId="14" borderId="347" xfId="0" applyFont="1" applyFill="1" applyBorder="1" applyProtection="1">
      <protection hidden="1"/>
    </xf>
    <xf numFmtId="166" fontId="14" fillId="12" borderId="26" xfId="0" applyNumberFormat="1" applyFont="1" applyFill="1" applyBorder="1" applyProtection="1">
      <protection hidden="1"/>
    </xf>
    <xf numFmtId="166" fontId="14" fillId="12" borderId="28" xfId="0" applyNumberFormat="1" applyFont="1" applyFill="1" applyBorder="1" applyProtection="1">
      <protection hidden="1"/>
    </xf>
    <xf numFmtId="3" fontId="14" fillId="12" borderId="172" xfId="0" applyNumberFormat="1" applyFont="1" applyFill="1" applyBorder="1" applyProtection="1">
      <protection hidden="1"/>
    </xf>
    <xf numFmtId="0" fontId="6" fillId="12" borderId="171" xfId="0" applyFont="1" applyFill="1" applyBorder="1" applyProtection="1">
      <protection hidden="1"/>
    </xf>
    <xf numFmtId="0" fontId="6" fillId="12" borderId="172" xfId="0" applyFont="1" applyFill="1" applyBorder="1" applyProtection="1">
      <protection hidden="1"/>
    </xf>
    <xf numFmtId="3" fontId="14" fillId="12" borderId="25" xfId="0" applyNumberFormat="1" applyFont="1" applyFill="1" applyBorder="1" applyProtection="1">
      <protection hidden="1"/>
    </xf>
    <xf numFmtId="0" fontId="6" fillId="12" borderId="24" xfId="0" applyFont="1" applyFill="1" applyBorder="1" applyProtection="1">
      <protection hidden="1"/>
    </xf>
    <xf numFmtId="0" fontId="6" fillId="12" borderId="25" xfId="0" applyFont="1" applyFill="1" applyBorder="1" applyProtection="1">
      <protection hidden="1"/>
    </xf>
    <xf numFmtId="3" fontId="14" fillId="12" borderId="347" xfId="0" applyNumberFormat="1" applyFont="1" applyFill="1" applyBorder="1" applyProtection="1">
      <protection hidden="1"/>
    </xf>
    <xf numFmtId="0" fontId="6" fillId="12" borderId="58" xfId="0" applyFont="1" applyFill="1" applyBorder="1" applyProtection="1">
      <protection hidden="1"/>
    </xf>
    <xf numFmtId="0" fontId="6" fillId="12" borderId="347" xfId="0" applyFont="1" applyFill="1" applyBorder="1" applyProtection="1">
      <protection hidden="1"/>
    </xf>
    <xf numFmtId="166" fontId="14" fillId="12" borderId="344" xfId="0" applyNumberFormat="1" applyFont="1" applyFill="1" applyBorder="1" applyProtection="1">
      <protection hidden="1"/>
    </xf>
    <xf numFmtId="166" fontId="14" fillId="12" borderId="46" xfId="0" applyNumberFormat="1" applyFont="1" applyFill="1" applyBorder="1" applyProtection="1">
      <protection hidden="1"/>
    </xf>
    <xf numFmtId="166" fontId="14" fillId="12" borderId="62" xfId="0" applyNumberFormat="1" applyFont="1" applyFill="1" applyBorder="1" applyProtection="1">
      <protection hidden="1"/>
    </xf>
    <xf numFmtId="0" fontId="6" fillId="12" borderId="0" xfId="0" applyFont="1" applyFill="1" applyProtection="1">
      <protection hidden="1"/>
    </xf>
    <xf numFmtId="0" fontId="6" fillId="12" borderId="0" xfId="0" applyFont="1" applyFill="1"/>
    <xf numFmtId="0" fontId="17" fillId="12" borderId="242" xfId="0" applyFont="1" applyFill="1" applyBorder="1" applyProtection="1">
      <protection hidden="1"/>
    </xf>
    <xf numFmtId="0" fontId="6" fillId="12" borderId="240" xfId="0" applyFont="1" applyFill="1" applyBorder="1" applyProtection="1">
      <protection hidden="1"/>
    </xf>
    <xf numFmtId="0" fontId="28" fillId="12" borderId="358" xfId="0" applyFont="1" applyFill="1" applyBorder="1" applyProtection="1">
      <protection hidden="1"/>
    </xf>
    <xf numFmtId="0" fontId="29" fillId="12" borderId="359" xfId="0" applyFont="1" applyFill="1" applyBorder="1" applyProtection="1">
      <protection hidden="1"/>
    </xf>
    <xf numFmtId="0" fontId="6" fillId="6" borderId="171" xfId="0" quotePrefix="1" applyFont="1" applyFill="1" applyBorder="1" applyAlignment="1">
      <alignment vertical="center"/>
    </xf>
    <xf numFmtId="0" fontId="6" fillId="6" borderId="24" xfId="0" quotePrefix="1" applyFont="1" applyFill="1" applyBorder="1" applyAlignment="1">
      <alignment vertical="center"/>
    </xf>
    <xf numFmtId="1" fontId="10" fillId="6" borderId="25" xfId="0" applyNumberFormat="1" applyFont="1" applyFill="1" applyBorder="1"/>
    <xf numFmtId="164" fontId="52" fillId="9" borderId="0" xfId="0" applyNumberFormat="1" applyFont="1" applyFill="1" applyProtection="1">
      <protection hidden="1"/>
    </xf>
    <xf numFmtId="0" fontId="51" fillId="41" borderId="96" xfId="0" applyFont="1" applyFill="1" applyBorder="1" applyProtection="1">
      <protection locked="0"/>
    </xf>
    <xf numFmtId="0" fontId="53" fillId="9" borderId="0" xfId="0" applyFont="1" applyFill="1" applyAlignment="1" applyProtection="1">
      <alignment vertical="center" wrapText="1"/>
      <protection hidden="1"/>
    </xf>
    <xf numFmtId="2" fontId="51" fillId="41" borderId="121" xfId="0" applyNumberFormat="1" applyFont="1" applyFill="1" applyBorder="1" applyProtection="1">
      <protection locked="0"/>
    </xf>
    <xf numFmtId="3" fontId="51" fillId="41" borderId="119" xfId="0" applyNumberFormat="1" applyFont="1" applyFill="1" applyBorder="1" applyProtection="1">
      <protection locked="0"/>
    </xf>
    <xf numFmtId="169" fontId="51" fillId="41" borderId="113" xfId="0" applyNumberFormat="1" applyFont="1" applyFill="1" applyBorder="1" applyProtection="1">
      <protection locked="0"/>
    </xf>
    <xf numFmtId="0" fontId="54" fillId="9" borderId="0" xfId="0" applyFont="1" applyFill="1" applyProtection="1">
      <protection hidden="1"/>
    </xf>
    <xf numFmtId="169" fontId="51" fillId="41" borderId="96" xfId="0" applyNumberFormat="1" applyFont="1" applyFill="1" applyBorder="1" applyProtection="1">
      <protection locked="0"/>
    </xf>
    <xf numFmtId="169" fontId="51" fillId="41" borderId="121" xfId="0" applyNumberFormat="1" applyFont="1" applyFill="1" applyBorder="1" applyProtection="1">
      <protection locked="0"/>
    </xf>
    <xf numFmtId="3" fontId="51" fillId="41" borderId="120" xfId="0" applyNumberFormat="1" applyFont="1" applyFill="1" applyBorder="1" applyProtection="1">
      <protection locked="0"/>
    </xf>
    <xf numFmtId="0" fontId="51" fillId="41" borderId="244" xfId="0" applyFont="1" applyFill="1" applyBorder="1" applyProtection="1">
      <protection locked="0"/>
    </xf>
    <xf numFmtId="0" fontId="51" fillId="41" borderId="122" xfId="0" applyFont="1" applyFill="1" applyBorder="1" applyProtection="1">
      <protection locked="0"/>
    </xf>
    <xf numFmtId="0" fontId="51" fillId="41" borderId="245" xfId="0" quotePrefix="1" applyFont="1" applyFill="1" applyBorder="1" applyProtection="1">
      <protection locked="0"/>
    </xf>
    <xf numFmtId="0" fontId="51" fillId="41" borderId="120" xfId="0" applyFont="1" applyFill="1" applyBorder="1" applyProtection="1">
      <protection locked="0"/>
    </xf>
    <xf numFmtId="170" fontId="28" fillId="6" borderId="172" xfId="0" applyNumberFormat="1" applyFont="1" applyFill="1" applyBorder="1"/>
    <xf numFmtId="170" fontId="28" fillId="6" borderId="25" xfId="0" applyNumberFormat="1" applyFont="1" applyFill="1" applyBorder="1"/>
    <xf numFmtId="0" fontId="15" fillId="9" borderId="88" xfId="0" quotePrefix="1" applyFont="1" applyFill="1" applyBorder="1" applyAlignment="1" applyProtection="1">
      <alignment vertical="center"/>
      <protection hidden="1"/>
    </xf>
    <xf numFmtId="0" fontId="15" fillId="9" borderId="90" xfId="0" quotePrefix="1" applyFont="1" applyFill="1" applyBorder="1" applyAlignment="1" applyProtection="1">
      <alignment vertical="center"/>
      <protection hidden="1"/>
    </xf>
    <xf numFmtId="4" fontId="50" fillId="41" borderId="122" xfId="0" applyNumberFormat="1" applyFont="1" applyFill="1" applyBorder="1" applyAlignment="1" applyProtection="1">
      <alignment vertical="center"/>
      <protection locked="0"/>
    </xf>
    <xf numFmtId="49" fontId="52" fillId="41" borderId="75" xfId="0" applyNumberFormat="1" applyFont="1" applyFill="1" applyBorder="1" applyAlignment="1" applyProtection="1">
      <alignment horizontal="left" vertical="center"/>
      <protection locked="0"/>
    </xf>
    <xf numFmtId="0" fontId="12" fillId="0" borderId="0" xfId="0" applyFont="1" applyProtection="1">
      <protection hidden="1"/>
    </xf>
    <xf numFmtId="0" fontId="49" fillId="9" borderId="82" xfId="0" applyFont="1" applyFill="1" applyBorder="1" applyAlignment="1" applyProtection="1">
      <alignment horizontal="left"/>
      <protection hidden="1"/>
    </xf>
    <xf numFmtId="167" fontId="32" fillId="9" borderId="119" xfId="0" applyNumberFormat="1" applyFont="1" applyFill="1" applyBorder="1" applyProtection="1">
      <protection hidden="1"/>
    </xf>
    <xf numFmtId="167" fontId="6" fillId="9" borderId="113" xfId="0" applyNumberFormat="1" applyFont="1" applyFill="1" applyBorder="1" applyAlignment="1" applyProtection="1">
      <alignment horizontal="right" vertical="center"/>
      <protection hidden="1"/>
    </xf>
    <xf numFmtId="0" fontId="6" fillId="6" borderId="50" xfId="0" quotePrefix="1" applyFont="1" applyFill="1" applyBorder="1" applyAlignment="1">
      <alignment vertical="center"/>
    </xf>
    <xf numFmtId="0" fontId="15" fillId="9" borderId="360" xfId="0" quotePrefix="1" applyFont="1" applyFill="1" applyBorder="1" applyAlignment="1" applyProtection="1">
      <alignment vertical="center"/>
      <protection hidden="1"/>
    </xf>
    <xf numFmtId="0" fontId="6" fillId="30" borderId="0" xfId="0" applyFont="1" applyFill="1" applyProtection="1">
      <protection hidden="1"/>
    </xf>
    <xf numFmtId="0" fontId="44" fillId="30" borderId="58" xfId="0" applyFont="1" applyFill="1" applyBorder="1" applyProtection="1">
      <protection hidden="1"/>
    </xf>
    <xf numFmtId="0" fontId="6" fillId="0" borderId="349" xfId="0" applyFont="1" applyBorder="1"/>
    <xf numFmtId="0" fontId="6" fillId="0" borderId="310" xfId="0" applyFont="1" applyBorder="1"/>
    <xf numFmtId="3" fontId="44" fillId="30" borderId="310" xfId="0" applyNumberFormat="1" applyFont="1" applyFill="1" applyBorder="1" applyProtection="1">
      <protection hidden="1"/>
    </xf>
    <xf numFmtId="0" fontId="6" fillId="0" borderId="361" xfId="0" applyFont="1" applyBorder="1"/>
    <xf numFmtId="166" fontId="14" fillId="13" borderId="62" xfId="0" applyNumberFormat="1" applyFont="1" applyFill="1" applyBorder="1" applyProtection="1">
      <protection hidden="1"/>
    </xf>
    <xf numFmtId="0" fontId="43" fillId="32" borderId="44" xfId="0" applyFont="1" applyFill="1" applyBorder="1" applyAlignment="1" applyProtection="1">
      <alignment horizontal="center"/>
      <protection hidden="1"/>
    </xf>
    <xf numFmtId="14" fontId="17" fillId="5" borderId="288" xfId="0" applyNumberFormat="1" applyFont="1" applyFill="1" applyBorder="1"/>
    <xf numFmtId="167" fontId="17" fillId="5" borderId="286" xfId="0" applyNumberFormat="1" applyFont="1" applyFill="1" applyBorder="1" applyProtection="1">
      <protection hidden="1"/>
    </xf>
    <xf numFmtId="14" fontId="17" fillId="5" borderId="288" xfId="0" applyNumberFormat="1" applyFont="1" applyFill="1" applyBorder="1" applyAlignment="1">
      <alignment horizontal="center"/>
    </xf>
    <xf numFmtId="0" fontId="6" fillId="0" borderId="44" xfId="0" applyFont="1" applyBorder="1" applyProtection="1">
      <protection hidden="1"/>
    </xf>
    <xf numFmtId="0" fontId="6" fillId="0" borderId="185" xfId="0" applyFont="1" applyBorder="1" applyProtection="1">
      <protection hidden="1"/>
    </xf>
    <xf numFmtId="0" fontId="17" fillId="6" borderId="36" xfId="0" quotePrefix="1" applyFont="1" applyFill="1" applyBorder="1" applyAlignment="1">
      <alignment horizontal="center" vertical="center"/>
    </xf>
    <xf numFmtId="0" fontId="17" fillId="6" borderId="38" xfId="0" quotePrefix="1" applyFont="1" applyFill="1" applyBorder="1" applyAlignment="1">
      <alignment horizontal="center" vertical="center"/>
    </xf>
    <xf numFmtId="0" fontId="17" fillId="6" borderId="37" xfId="0" quotePrefix="1" applyFont="1" applyFill="1" applyBorder="1" applyAlignment="1">
      <alignment horizontal="center" vertical="center"/>
    </xf>
    <xf numFmtId="164" fontId="10" fillId="6" borderId="26" xfId="0" applyNumberFormat="1" applyFont="1" applyFill="1" applyBorder="1" applyAlignment="1">
      <alignment horizontal="center"/>
    </xf>
    <xf numFmtId="164" fontId="28" fillId="12" borderId="27" xfId="0" applyNumberFormat="1" applyFont="1" applyFill="1" applyBorder="1"/>
    <xf numFmtId="164" fontId="10" fillId="6" borderId="27" xfId="0" applyNumberFormat="1" applyFont="1" applyFill="1" applyBorder="1" applyAlignment="1">
      <alignment horizontal="center"/>
    </xf>
    <xf numFmtId="164" fontId="10" fillId="6" borderId="27" xfId="0" applyNumberFormat="1" applyFont="1" applyFill="1" applyBorder="1"/>
    <xf numFmtId="164" fontId="10" fillId="6" borderId="28" xfId="0" applyNumberFormat="1" applyFont="1" applyFill="1" applyBorder="1"/>
    <xf numFmtId="164" fontId="28" fillId="12" borderId="171" xfId="0" applyNumberFormat="1" applyFont="1" applyFill="1" applyBorder="1"/>
    <xf numFmtId="0" fontId="43" fillId="21" borderId="349" xfId="0" quotePrefix="1" applyFont="1" applyFill="1" applyBorder="1" applyAlignment="1">
      <alignment horizontal="center" vertical="center"/>
    </xf>
    <xf numFmtId="0" fontId="43" fillId="21" borderId="361" xfId="0" quotePrefix="1" applyFont="1" applyFill="1" applyBorder="1" applyAlignment="1">
      <alignment horizontal="center" vertical="center"/>
    </xf>
    <xf numFmtId="0" fontId="17" fillId="6" borderId="22" xfId="0" quotePrefix="1" applyFont="1" applyFill="1" applyBorder="1" applyAlignment="1">
      <alignment vertical="center"/>
    </xf>
    <xf numFmtId="1" fontId="10" fillId="6" borderId="172" xfId="0" applyNumberFormat="1" applyFont="1" applyFill="1" applyBorder="1"/>
    <xf numFmtId="0" fontId="6" fillId="6" borderId="203" xfId="0" quotePrefix="1" applyFont="1" applyFill="1" applyBorder="1" applyAlignment="1" applyProtection="1">
      <alignment vertical="center"/>
      <protection hidden="1"/>
    </xf>
    <xf numFmtId="0" fontId="55" fillId="0" borderId="0" xfId="0" applyFont="1"/>
    <xf numFmtId="0" fontId="55" fillId="0" borderId="0" xfId="0" applyFont="1" applyAlignment="1">
      <alignment vertical="center"/>
    </xf>
    <xf numFmtId="2" fontId="56" fillId="0" borderId="39" xfId="0" quotePrefix="1" applyNumberFormat="1" applyFont="1" applyBorder="1" applyAlignment="1">
      <alignment vertical="center"/>
    </xf>
    <xf numFmtId="2" fontId="56" fillId="0" borderId="41" xfId="0" quotePrefix="1" applyNumberFormat="1" applyFont="1" applyBorder="1" applyAlignment="1">
      <alignment vertical="center"/>
    </xf>
    <xf numFmtId="0" fontId="58" fillId="0" borderId="0" xfId="0" applyFont="1"/>
    <xf numFmtId="0" fontId="55" fillId="0" borderId="45" xfId="0" applyFont="1" applyBorder="1"/>
    <xf numFmtId="0" fontId="55" fillId="0" borderId="43" xfId="0" applyFont="1" applyBorder="1"/>
    <xf numFmtId="0" fontId="59" fillId="0" borderId="43" xfId="0" applyFont="1" applyBorder="1" applyAlignment="1">
      <alignment horizontal="center"/>
    </xf>
    <xf numFmtId="0" fontId="59" fillId="0" borderId="42" xfId="0" applyFont="1" applyBorder="1" applyAlignment="1">
      <alignment horizontal="center"/>
    </xf>
    <xf numFmtId="0" fontId="60" fillId="12" borderId="33" xfId="0" applyFont="1" applyFill="1" applyBorder="1" applyAlignment="1">
      <alignment horizontal="left" vertical="top"/>
    </xf>
    <xf numFmtId="0" fontId="55" fillId="6" borderId="13" xfId="0" applyFont="1" applyFill="1" applyBorder="1"/>
    <xf numFmtId="0" fontId="55" fillId="6" borderId="16" xfId="0" applyFont="1" applyFill="1" applyBorder="1"/>
    <xf numFmtId="0" fontId="55" fillId="6" borderId="58" xfId="0" quotePrefix="1" applyFont="1" applyFill="1" applyBorder="1" applyAlignment="1">
      <alignment horizontal="center"/>
    </xf>
    <xf numFmtId="0" fontId="55" fillId="6" borderId="35" xfId="0" applyFont="1" applyFill="1" applyBorder="1" applyAlignment="1">
      <alignment horizontal="center"/>
    </xf>
    <xf numFmtId="0" fontId="55" fillId="0" borderId="0" xfId="0" quotePrefix="1" applyFont="1" applyAlignment="1">
      <alignment horizontal="left"/>
    </xf>
    <xf numFmtId="0" fontId="59" fillId="5" borderId="185" xfId="0" applyFont="1" applyFill="1" applyBorder="1" applyAlignment="1">
      <alignment horizontal="center" vertical="top"/>
    </xf>
    <xf numFmtId="0" fontId="55" fillId="0" borderId="185" xfId="0" applyFont="1" applyBorder="1" applyAlignment="1">
      <alignment vertical="top"/>
    </xf>
    <xf numFmtId="0" fontId="55" fillId="0" borderId="5" xfId="0" applyFont="1" applyBorder="1" applyAlignment="1">
      <alignment horizontal="center" vertical="top"/>
    </xf>
    <xf numFmtId="0" fontId="55" fillId="0" borderId="0" xfId="0" applyFont="1" applyAlignment="1">
      <alignment horizontal="center" vertical="top"/>
    </xf>
    <xf numFmtId="0" fontId="59" fillId="0" borderId="0" xfId="0" applyFont="1" applyAlignment="1">
      <alignment horizontal="center" vertical="top"/>
    </xf>
    <xf numFmtId="0" fontId="59" fillId="0" borderId="3" xfId="0" applyFont="1" applyBorder="1" applyAlignment="1">
      <alignment horizontal="center" vertical="top"/>
    </xf>
    <xf numFmtId="0" fontId="61" fillId="15" borderId="45" xfId="0" applyFont="1" applyFill="1" applyBorder="1" applyAlignment="1">
      <alignment horizontal="center" vertical="top" wrapText="1"/>
    </xf>
    <xf numFmtId="0" fontId="61" fillId="15" borderId="45" xfId="0" applyFont="1" applyFill="1" applyBorder="1" applyAlignment="1">
      <alignment horizontal="center" vertical="top"/>
    </xf>
    <xf numFmtId="164" fontId="55" fillId="12" borderId="26" xfId="0" applyNumberFormat="1" applyFont="1" applyFill="1" applyBorder="1" applyAlignment="1">
      <alignment horizontal="center" vertical="top"/>
    </xf>
    <xf numFmtId="164" fontId="20" fillId="6" borderId="26" xfId="0" applyNumberFormat="1" applyFont="1" applyFill="1" applyBorder="1" applyAlignment="1">
      <alignment horizontal="center" vertical="top"/>
    </xf>
    <xf numFmtId="0" fontId="61" fillId="15" borderId="13" xfId="0" applyFont="1" applyFill="1" applyBorder="1" applyAlignment="1">
      <alignment horizontal="center" vertical="top" wrapText="1"/>
    </xf>
    <xf numFmtId="0" fontId="60" fillId="12" borderId="33" xfId="0" applyFont="1" applyFill="1" applyBorder="1" applyAlignment="1">
      <alignment horizontal="center" vertical="top" wrapText="1"/>
    </xf>
    <xf numFmtId="0" fontId="61" fillId="15" borderId="13" xfId="0" quotePrefix="1" applyFont="1" applyFill="1" applyBorder="1" applyAlignment="1">
      <alignment horizontal="center" vertical="top" wrapText="1"/>
    </xf>
    <xf numFmtId="0" fontId="61" fillId="15" borderId="17" xfId="0" applyFont="1" applyFill="1" applyBorder="1" applyAlignment="1">
      <alignment horizontal="center" vertical="top" wrapText="1"/>
    </xf>
    <xf numFmtId="0" fontId="61" fillId="15" borderId="18" xfId="0" applyFont="1" applyFill="1" applyBorder="1" applyAlignment="1">
      <alignment horizontal="center" vertical="top" wrapText="1"/>
    </xf>
    <xf numFmtId="0" fontId="61" fillId="15" borderId="19" xfId="0" applyFont="1" applyFill="1" applyBorder="1" applyAlignment="1">
      <alignment horizontal="center" vertical="top" wrapText="1"/>
    </xf>
    <xf numFmtId="0" fontId="61" fillId="15" borderId="135" xfId="0" quotePrefix="1" applyFont="1" applyFill="1" applyBorder="1" applyAlignment="1">
      <alignment horizontal="center" vertical="top" wrapText="1"/>
    </xf>
    <xf numFmtId="0" fontId="61" fillId="15" borderId="56" xfId="0" quotePrefix="1" applyFont="1" applyFill="1" applyBorder="1" applyAlignment="1">
      <alignment horizontal="center" vertical="top" wrapText="1"/>
    </xf>
    <xf numFmtId="0" fontId="61" fillId="15" borderId="57" xfId="0" quotePrefix="1" applyFont="1" applyFill="1" applyBorder="1" applyAlignment="1">
      <alignment horizontal="center" vertical="top" wrapText="1"/>
    </xf>
    <xf numFmtId="0" fontId="61" fillId="15" borderId="58" xfId="0" quotePrefix="1" applyFont="1" applyFill="1" applyBorder="1" applyAlignment="1">
      <alignment horizontal="center" vertical="top" wrapText="1"/>
    </xf>
    <xf numFmtId="0" fontId="61" fillId="15" borderId="56" xfId="0" applyFont="1" applyFill="1" applyBorder="1" applyAlignment="1">
      <alignment horizontal="center" vertical="top" wrapText="1"/>
    </xf>
    <xf numFmtId="0" fontId="61" fillId="15" borderId="42" xfId="0" quotePrefix="1" applyFont="1" applyFill="1" applyBorder="1" applyAlignment="1">
      <alignment horizontal="center" vertical="top" wrapText="1"/>
    </xf>
    <xf numFmtId="0" fontId="61" fillId="15" borderId="57" xfId="0" applyFont="1" applyFill="1" applyBorder="1" applyAlignment="1">
      <alignment horizontal="center" vertical="top" wrapText="1"/>
    </xf>
    <xf numFmtId="0" fontId="63" fillId="15" borderId="57" xfId="0" quotePrefix="1" applyFont="1" applyFill="1" applyBorder="1" applyAlignment="1">
      <alignment horizontal="center" vertical="top" wrapText="1"/>
    </xf>
    <xf numFmtId="0" fontId="63" fillId="15" borderId="35" xfId="0" applyFont="1" applyFill="1" applyBorder="1" applyAlignment="1">
      <alignment horizontal="center" vertical="top" wrapText="1"/>
    </xf>
    <xf numFmtId="0" fontId="61" fillId="15" borderId="35" xfId="0" applyFont="1" applyFill="1" applyBorder="1" applyAlignment="1">
      <alignment horizontal="center" vertical="top" wrapText="1"/>
    </xf>
    <xf numFmtId="0" fontId="55" fillId="0" borderId="5" xfId="0" applyFont="1" applyBorder="1"/>
    <xf numFmtId="0" fontId="59" fillId="0" borderId="0" xfId="0" applyFont="1" applyAlignment="1">
      <alignment horizontal="center"/>
    </xf>
    <xf numFmtId="167" fontId="64" fillId="12" borderId="169" xfId="0" applyNumberFormat="1" applyFont="1" applyFill="1" applyBorder="1" applyAlignment="1">
      <alignment horizontal="left" vertical="center"/>
    </xf>
    <xf numFmtId="0" fontId="55" fillId="12" borderId="44" xfId="0" applyFont="1" applyFill="1" applyBorder="1"/>
    <xf numFmtId="0" fontId="55" fillId="11" borderId="13" xfId="0" quotePrefix="1" applyFont="1" applyFill="1" applyBorder="1" applyAlignment="1">
      <alignment horizontal="left" vertical="center"/>
    </xf>
    <xf numFmtId="164" fontId="55" fillId="12" borderId="169" xfId="0" applyNumberFormat="1" applyFont="1" applyFill="1" applyBorder="1" applyAlignment="1">
      <alignment horizontal="center" vertical="center"/>
    </xf>
    <xf numFmtId="164" fontId="20" fillId="6" borderId="169" xfId="0" applyNumberFormat="1" applyFont="1" applyFill="1" applyBorder="1" applyAlignment="1">
      <alignment horizontal="center" vertical="center"/>
    </xf>
    <xf numFmtId="2" fontId="56" fillId="0" borderId="36" xfId="0" quotePrefix="1" applyNumberFormat="1" applyFont="1" applyBorder="1" applyAlignment="1">
      <alignment vertical="center"/>
    </xf>
    <xf numFmtId="2" fontId="56" fillId="0" borderId="40" xfId="0" quotePrefix="1" applyNumberFormat="1" applyFont="1" applyBorder="1" applyAlignment="1">
      <alignment vertical="center"/>
    </xf>
    <xf numFmtId="1" fontId="56" fillId="0" borderId="40" xfId="0" quotePrefix="1" applyNumberFormat="1" applyFont="1" applyBorder="1" applyAlignment="1">
      <alignment vertical="center"/>
    </xf>
    <xf numFmtId="2" fontId="56" fillId="12" borderId="40" xfId="0" quotePrefix="1" applyNumberFormat="1" applyFont="1" applyFill="1" applyBorder="1" applyAlignment="1">
      <alignment horizontal="left" vertical="center"/>
    </xf>
    <xf numFmtId="1" fontId="56" fillId="12" borderId="40" xfId="0" quotePrefix="1" applyNumberFormat="1" applyFont="1" applyFill="1" applyBorder="1" applyAlignment="1">
      <alignment horizontal="left" vertical="center"/>
    </xf>
    <xf numFmtId="2" fontId="56" fillId="12" borderId="40" xfId="0" quotePrefix="1" applyNumberFormat="1" applyFont="1" applyFill="1" applyBorder="1" applyAlignment="1">
      <alignment vertical="center"/>
    </xf>
    <xf numFmtId="0" fontId="55" fillId="6" borderId="6" xfId="0" applyFont="1" applyFill="1" applyBorder="1" applyAlignment="1">
      <alignment vertical="center"/>
    </xf>
    <xf numFmtId="0" fontId="55" fillId="6" borderId="60" xfId="0" quotePrefix="1" applyFont="1" applyFill="1" applyBorder="1" applyAlignment="1">
      <alignment horizontal="right" vertical="center"/>
    </xf>
    <xf numFmtId="0" fontId="55" fillId="6" borderId="59" xfId="0" applyFont="1" applyFill="1" applyBorder="1" applyAlignment="1">
      <alignment vertical="center"/>
    </xf>
    <xf numFmtId="0" fontId="55" fillId="0" borderId="36" xfId="0" applyFont="1" applyBorder="1"/>
    <xf numFmtId="0" fontId="55" fillId="6" borderId="100" xfId="0" applyFont="1" applyFill="1" applyBorder="1"/>
    <xf numFmtId="0" fontId="55" fillId="6" borderId="111" xfId="0" applyFont="1" applyFill="1" applyBorder="1"/>
    <xf numFmtId="0" fontId="55" fillId="6" borderId="111" xfId="0" quotePrefix="1" applyFont="1" applyFill="1" applyBorder="1" applyAlignment="1">
      <alignment horizontal="left"/>
    </xf>
    <xf numFmtId="0" fontId="55" fillId="6" borderId="101" xfId="0" applyFont="1" applyFill="1" applyBorder="1"/>
    <xf numFmtId="0" fontId="55" fillId="6" borderId="153" xfId="0" applyFont="1" applyFill="1" applyBorder="1"/>
    <xf numFmtId="0" fontId="55" fillId="6" borderId="262" xfId="0" applyFont="1" applyFill="1" applyBorder="1"/>
    <xf numFmtId="0" fontId="65" fillId="5" borderId="103" xfId="0" applyFont="1" applyFill="1" applyBorder="1" applyAlignment="1">
      <alignment horizontal="center"/>
    </xf>
    <xf numFmtId="0" fontId="55" fillId="6" borderId="337" xfId="0" applyFont="1" applyFill="1" applyBorder="1"/>
    <xf numFmtId="166" fontId="55" fillId="6" borderId="170" xfId="0" applyNumberFormat="1" applyFont="1" applyFill="1" applyBorder="1"/>
    <xf numFmtId="0" fontId="55" fillId="6" borderId="170" xfId="0" applyFont="1" applyFill="1" applyBorder="1"/>
    <xf numFmtId="0" fontId="55" fillId="12" borderId="169" xfId="0" applyFont="1" applyFill="1" applyBorder="1"/>
    <xf numFmtId="0" fontId="55" fillId="26" borderId="2" xfId="0" applyFont="1" applyFill="1" applyBorder="1"/>
    <xf numFmtId="0" fontId="55" fillId="12" borderId="34" xfId="0" applyFont="1" applyFill="1" applyBorder="1"/>
    <xf numFmtId="0" fontId="55" fillId="11" borderId="39" xfId="0" quotePrefix="1" applyFont="1" applyFill="1" applyBorder="1" applyAlignment="1">
      <alignment horizontal="left" vertical="center"/>
    </xf>
    <xf numFmtId="164" fontId="55" fillId="12" borderId="34" xfId="0" applyNumberFormat="1" applyFont="1" applyFill="1" applyBorder="1" applyAlignment="1">
      <alignment horizontal="center" vertical="center"/>
    </xf>
    <xf numFmtId="164" fontId="20" fillId="6" borderId="34" xfId="0" applyNumberFormat="1" applyFont="1" applyFill="1" applyBorder="1" applyAlignment="1">
      <alignment horizontal="center" vertical="center"/>
    </xf>
    <xf numFmtId="1" fontId="56" fillId="0" borderId="41" xfId="0" quotePrefix="1" applyNumberFormat="1" applyFont="1" applyBorder="1" applyAlignment="1">
      <alignment vertical="center"/>
    </xf>
    <xf numFmtId="2" fontId="56" fillId="12" borderId="41" xfId="0" quotePrefix="1" applyNumberFormat="1" applyFont="1" applyFill="1" applyBorder="1" applyAlignment="1">
      <alignment horizontal="left" vertical="center"/>
    </xf>
    <xf numFmtId="1" fontId="56" fillId="12" borderId="41" xfId="0" quotePrefix="1" applyNumberFormat="1" applyFont="1" applyFill="1" applyBorder="1" applyAlignment="1">
      <alignment horizontal="left" vertical="center"/>
    </xf>
    <xf numFmtId="2" fontId="56" fillId="12" borderId="41" xfId="0" quotePrefix="1" applyNumberFormat="1" applyFont="1" applyFill="1" applyBorder="1" applyAlignment="1">
      <alignment vertical="center"/>
    </xf>
    <xf numFmtId="0" fontId="55" fillId="0" borderId="7" xfId="0" applyFont="1" applyBorder="1" applyAlignment="1">
      <alignment horizontal="left" vertical="center"/>
    </xf>
    <xf numFmtId="0" fontId="55" fillId="0" borderId="29" xfId="0" quotePrefix="1" applyFont="1" applyBorder="1" applyAlignment="1">
      <alignment horizontal="left" vertical="center"/>
    </xf>
    <xf numFmtId="0" fontId="55" fillId="0" borderId="8" xfId="0" applyFont="1" applyBorder="1" applyAlignment="1">
      <alignment vertical="center"/>
    </xf>
    <xf numFmtId="0" fontId="55" fillId="0" borderId="38" xfId="0" applyFont="1" applyBorder="1"/>
    <xf numFmtId="0" fontId="55" fillId="6" borderId="102" xfId="0" applyFont="1" applyFill="1" applyBorder="1"/>
    <xf numFmtId="0" fontId="55" fillId="6" borderId="30" xfId="0" applyFont="1" applyFill="1" applyBorder="1"/>
    <xf numFmtId="0" fontId="55" fillId="6" borderId="103" xfId="0" applyFont="1" applyFill="1" applyBorder="1"/>
    <xf numFmtId="0" fontId="55" fillId="6" borderId="64" xfId="0" applyFont="1" applyFill="1" applyBorder="1"/>
    <xf numFmtId="166" fontId="55" fillId="6" borderId="30" xfId="0" applyNumberFormat="1" applyFont="1" applyFill="1" applyBorder="1"/>
    <xf numFmtId="0" fontId="55" fillId="11" borderId="38" xfId="0" quotePrefix="1" applyFont="1" applyFill="1" applyBorder="1" applyAlignment="1">
      <alignment horizontal="left" vertical="center"/>
    </xf>
    <xf numFmtId="164" fontId="55" fillId="12" borderId="27" xfId="0" applyNumberFormat="1" applyFont="1" applyFill="1" applyBorder="1" applyAlignment="1">
      <alignment horizontal="center" vertical="center"/>
    </xf>
    <xf numFmtId="164" fontId="20" fillId="6" borderId="27" xfId="0" applyNumberFormat="1" applyFont="1" applyFill="1" applyBorder="1" applyAlignment="1">
      <alignment horizontal="center" vertical="center"/>
    </xf>
    <xf numFmtId="0" fontId="55" fillId="0" borderId="9" xfId="0" applyFont="1" applyBorder="1" applyAlignment="1">
      <alignment horizontal="left" vertical="center"/>
    </xf>
    <xf numFmtId="0" fontId="55" fillId="0" borderId="30" xfId="0" applyFont="1" applyBorder="1" applyAlignment="1">
      <alignment vertical="center"/>
    </xf>
    <xf numFmtId="0" fontId="55" fillId="0" borderId="10" xfId="0" applyFont="1" applyBorder="1" applyAlignment="1">
      <alignment vertical="center"/>
    </xf>
    <xf numFmtId="0" fontId="55" fillId="0" borderId="2" xfId="0" applyFont="1" applyBorder="1"/>
    <xf numFmtId="0" fontId="55" fillId="0" borderId="1" xfId="0" applyFont="1" applyBorder="1"/>
    <xf numFmtId="0" fontId="55" fillId="11" borderId="37" xfId="0" quotePrefix="1" applyFont="1" applyFill="1" applyBorder="1" applyAlignment="1">
      <alignment horizontal="left" vertical="center"/>
    </xf>
    <xf numFmtId="164" fontId="55" fillId="12" borderId="28" xfId="0" applyNumberFormat="1" applyFont="1" applyFill="1" applyBorder="1" applyAlignment="1">
      <alignment horizontal="center" vertical="center"/>
    </xf>
    <xf numFmtId="164" fontId="20" fillId="6" borderId="28" xfId="0" applyNumberFormat="1" applyFont="1" applyFill="1" applyBorder="1" applyAlignment="1">
      <alignment horizontal="center" vertical="center"/>
    </xf>
    <xf numFmtId="0" fontId="55" fillId="7" borderId="45" xfId="0" applyFont="1" applyFill="1" applyBorder="1" applyAlignment="1">
      <alignment vertical="center"/>
    </xf>
    <xf numFmtId="0" fontId="55" fillId="7" borderId="43" xfId="0" applyFont="1" applyFill="1" applyBorder="1" applyAlignment="1">
      <alignment vertical="center"/>
    </xf>
    <xf numFmtId="167" fontId="66" fillId="12" borderId="56" xfId="0" applyNumberFormat="1" applyFont="1" applyFill="1" applyBorder="1" applyAlignment="1">
      <alignment horizontal="left" vertical="center"/>
    </xf>
    <xf numFmtId="0" fontId="66" fillId="0" borderId="44" xfId="0" applyFont="1" applyBorder="1" applyAlignment="1">
      <alignment horizontal="right"/>
    </xf>
    <xf numFmtId="0" fontId="55" fillId="7" borderId="5" xfId="0" applyFont="1" applyFill="1" applyBorder="1" applyAlignment="1">
      <alignment vertical="center"/>
    </xf>
    <xf numFmtId="0" fontId="46" fillId="7" borderId="0" xfId="0" applyFont="1" applyFill="1" applyAlignment="1">
      <alignment vertical="center"/>
    </xf>
    <xf numFmtId="167" fontId="55" fillId="6" borderId="26" xfId="0" applyNumberFormat="1" applyFont="1" applyFill="1" applyBorder="1" applyAlignment="1">
      <alignment horizontal="left" vertical="center"/>
    </xf>
    <xf numFmtId="0" fontId="67" fillId="12" borderId="26" xfId="0" applyFont="1" applyFill="1" applyBorder="1" applyAlignment="1">
      <alignment horizontal="center"/>
    </xf>
    <xf numFmtId="0" fontId="64" fillId="12" borderId="49" xfId="0" applyFont="1" applyFill="1" applyBorder="1" applyAlignment="1">
      <alignment vertical="top"/>
    </xf>
    <xf numFmtId="167" fontId="55" fillId="9" borderId="0" xfId="0" applyNumberFormat="1" applyFont="1" applyFill="1" applyAlignment="1">
      <alignment horizontal="left" vertical="center"/>
    </xf>
    <xf numFmtId="0" fontId="20" fillId="12" borderId="248" xfId="0" applyFont="1" applyFill="1" applyBorder="1" applyAlignment="1">
      <alignment horizontal="left"/>
    </xf>
    <xf numFmtId="0" fontId="61" fillId="15" borderId="58" xfId="0" applyFont="1" applyFill="1" applyBorder="1" applyAlignment="1">
      <alignment horizontal="left" vertical="top"/>
    </xf>
    <xf numFmtId="0" fontId="61" fillId="15" borderId="67" xfId="0" applyFont="1" applyFill="1" applyBorder="1" applyAlignment="1">
      <alignment horizontal="left" vertical="top"/>
    </xf>
    <xf numFmtId="0" fontId="61" fillId="15" borderId="67" xfId="0" quotePrefix="1" applyFont="1" applyFill="1" applyBorder="1" applyAlignment="1">
      <alignment horizontal="left" vertical="top"/>
    </xf>
    <xf numFmtId="0" fontId="61" fillId="15" borderId="35" xfId="0" quotePrefix="1" applyFont="1" applyFill="1" applyBorder="1" applyAlignment="1">
      <alignment horizontal="left" vertical="top"/>
    </xf>
    <xf numFmtId="0" fontId="55" fillId="6" borderId="30" xfId="0" quotePrefix="1" applyFont="1" applyFill="1" applyBorder="1" applyAlignment="1">
      <alignment horizontal="left"/>
    </xf>
    <xf numFmtId="167" fontId="55" fillId="6" borderId="27" xfId="0" applyNumberFormat="1" applyFont="1" applyFill="1" applyBorder="1" applyAlignment="1">
      <alignment horizontal="left" vertical="center"/>
    </xf>
    <xf numFmtId="168" fontId="55" fillId="12" borderId="27" xfId="0" applyNumberFormat="1" applyFont="1" applyFill="1" applyBorder="1" applyAlignment="1">
      <alignment horizontal="right" vertical="center"/>
    </xf>
    <xf numFmtId="0" fontId="68" fillId="12" borderId="49" xfId="0" applyFont="1" applyFill="1" applyBorder="1"/>
    <xf numFmtId="0" fontId="20" fillId="9" borderId="249" xfId="0" applyFont="1" applyFill="1" applyBorder="1" applyAlignment="1">
      <alignment horizontal="left"/>
    </xf>
    <xf numFmtId="0" fontId="55" fillId="3" borderId="171" xfId="0" quotePrefix="1" applyFont="1" applyFill="1" applyBorder="1" applyAlignment="1">
      <alignment horizontal="left" vertical="center"/>
    </xf>
    <xf numFmtId="0" fontId="55" fillId="3" borderId="170" xfId="0" quotePrefix="1" applyFont="1" applyFill="1" applyBorder="1" applyAlignment="1">
      <alignment horizontal="left" vertical="center"/>
    </xf>
    <xf numFmtId="0" fontId="55" fillId="3" borderId="170" xfId="0" applyFont="1" applyFill="1" applyBorder="1" applyAlignment="1">
      <alignment vertical="center"/>
    </xf>
    <xf numFmtId="0" fontId="55" fillId="3" borderId="170" xfId="0" quotePrefix="1" applyFont="1" applyFill="1" applyBorder="1" applyAlignment="1">
      <alignment horizontal="left"/>
    </xf>
    <xf numFmtId="0" fontId="55" fillId="12" borderId="170" xfId="0" applyFont="1" applyFill="1" applyBorder="1" applyAlignment="1">
      <alignment vertical="center"/>
    </xf>
    <xf numFmtId="0" fontId="55" fillId="3" borderId="172" xfId="0" applyFont="1" applyFill="1" applyBorder="1" applyAlignment="1">
      <alignment vertical="center"/>
    </xf>
    <xf numFmtId="0" fontId="55" fillId="0" borderId="11" xfId="0" applyFont="1" applyBorder="1" applyAlignment="1">
      <alignment horizontal="left" vertical="center"/>
    </xf>
    <xf numFmtId="0" fontId="55" fillId="0" borderId="31" xfId="0" quotePrefix="1" applyFont="1" applyBorder="1" applyAlignment="1">
      <alignment horizontal="left" vertical="center"/>
    </xf>
    <xf numFmtId="0" fontId="55" fillId="0" borderId="12" xfId="0" applyFont="1" applyBorder="1" applyAlignment="1">
      <alignment vertical="center"/>
    </xf>
    <xf numFmtId="0" fontId="55" fillId="6" borderId="27" xfId="0" applyFont="1" applyFill="1" applyBorder="1" applyAlignment="1">
      <alignment horizontal="left" vertical="center"/>
    </xf>
    <xf numFmtId="0" fontId="55" fillId="9" borderId="123" xfId="0" applyFont="1" applyFill="1" applyBorder="1" applyAlignment="1">
      <alignment vertical="center"/>
    </xf>
    <xf numFmtId="0" fontId="55" fillId="9" borderId="30" xfId="0" applyFont="1" applyFill="1" applyBorder="1" applyAlignment="1">
      <alignment vertical="center"/>
    </xf>
    <xf numFmtId="0" fontId="55" fillId="9" borderId="64" xfId="0" applyFont="1" applyFill="1" applyBorder="1" applyAlignment="1">
      <alignment vertical="center"/>
    </xf>
    <xf numFmtId="168" fontId="46" fillId="12" borderId="27" xfId="0" applyNumberFormat="1" applyFont="1" applyFill="1" applyBorder="1" applyAlignment="1">
      <alignment horizontal="right" vertical="center"/>
    </xf>
    <xf numFmtId="4" fontId="68" fillId="9" borderId="49" xfId="0" applyNumberFormat="1" applyFont="1" applyFill="1" applyBorder="1"/>
    <xf numFmtId="0" fontId="20" fillId="12" borderId="249" xfId="0" applyFont="1" applyFill="1" applyBorder="1" applyAlignment="1">
      <alignment horizontal="left"/>
    </xf>
    <xf numFmtId="0" fontId="55" fillId="3" borderId="22" xfId="0" quotePrefix="1" applyFont="1" applyFill="1" applyBorder="1" applyAlignment="1">
      <alignment horizontal="left" vertical="center"/>
    </xf>
    <xf numFmtId="0" fontId="55" fillId="3" borderId="30" xfId="0" quotePrefix="1" applyFont="1" applyFill="1" applyBorder="1" applyAlignment="1">
      <alignment horizontal="left" vertical="center"/>
    </xf>
    <xf numFmtId="0" fontId="55" fillId="3" borderId="30" xfId="0" applyFont="1" applyFill="1" applyBorder="1" applyAlignment="1">
      <alignment vertical="center"/>
    </xf>
    <xf numFmtId="0" fontId="55" fillId="3" borderId="30" xfId="0" quotePrefix="1" applyFont="1" applyFill="1" applyBorder="1" applyAlignment="1">
      <alignment horizontal="left"/>
    </xf>
    <xf numFmtId="0" fontId="55" fillId="3" borderId="23" xfId="0" quotePrefix="1" applyFont="1" applyFill="1" applyBorder="1" applyAlignment="1">
      <alignment horizontal="left" vertical="center"/>
    </xf>
    <xf numFmtId="0" fontId="55" fillId="6" borderId="123" xfId="0" applyFont="1" applyFill="1" applyBorder="1" applyAlignment="1">
      <alignment vertical="center"/>
    </xf>
    <xf numFmtId="0" fontId="55" fillId="9" borderId="27" xfId="0" applyFont="1" applyFill="1" applyBorder="1"/>
    <xf numFmtId="0" fontId="68" fillId="12" borderId="49" xfId="0" applyFont="1" applyFill="1" applyBorder="1" applyAlignment="1">
      <alignment vertical="top"/>
    </xf>
    <xf numFmtId="0" fontId="55" fillId="12" borderId="30" xfId="0" quotePrefix="1" applyFont="1" applyFill="1" applyBorder="1" applyAlignment="1">
      <alignment horizontal="left" vertical="center"/>
    </xf>
    <xf numFmtId="0" fontId="61" fillId="15" borderId="13" xfId="0" applyFont="1" applyFill="1" applyBorder="1" applyAlignment="1">
      <alignment horizontal="left" vertical="top" wrapText="1"/>
    </xf>
    <xf numFmtId="0" fontId="61" fillId="15" borderId="16" xfId="0" applyFont="1" applyFill="1" applyBorder="1" applyAlignment="1">
      <alignment horizontal="left" vertical="top" wrapText="1"/>
    </xf>
    <xf numFmtId="167" fontId="55" fillId="9" borderId="27" xfId="0" applyNumberFormat="1" applyFont="1" applyFill="1" applyBorder="1" applyAlignment="1">
      <alignment horizontal="right" vertical="center"/>
    </xf>
    <xf numFmtId="0" fontId="55" fillId="3" borderId="30" xfId="0" quotePrefix="1" applyFont="1" applyFill="1" applyBorder="1" applyAlignment="1">
      <alignment vertical="center"/>
    </xf>
    <xf numFmtId="0" fontId="55" fillId="3" borderId="23" xfId="0" quotePrefix="1" applyFont="1" applyFill="1" applyBorder="1" applyAlignment="1">
      <alignment vertical="center"/>
    </xf>
    <xf numFmtId="4" fontId="55" fillId="0" borderId="20" xfId="0" applyNumberFormat="1" applyFont="1" applyBorder="1" applyAlignment="1">
      <alignment vertical="center"/>
    </xf>
    <xf numFmtId="165" fontId="56" fillId="12" borderId="21" xfId="0" quotePrefix="1" applyNumberFormat="1" applyFont="1" applyFill="1" applyBorder="1" applyAlignment="1">
      <alignment horizontal="left" vertical="center"/>
    </xf>
    <xf numFmtId="0" fontId="46" fillId="7" borderId="0" xfId="0" quotePrefix="1" applyFont="1" applyFill="1" applyAlignment="1">
      <alignment horizontal="left" vertical="center"/>
    </xf>
    <xf numFmtId="4" fontId="55" fillId="12" borderId="22" xfId="0" applyNumberFormat="1" applyFont="1" applyFill="1" applyBorder="1" applyAlignment="1">
      <alignment vertical="center"/>
    </xf>
    <xf numFmtId="165" fontId="56" fillId="12" borderId="23" xfId="0" quotePrefix="1" applyNumberFormat="1" applyFont="1" applyFill="1" applyBorder="1" applyAlignment="1">
      <alignment horizontal="left" vertical="center"/>
    </xf>
    <xf numFmtId="0" fontId="46" fillId="7" borderId="0" xfId="0" quotePrefix="1" applyFont="1" applyFill="1" applyAlignment="1">
      <alignment vertical="center"/>
    </xf>
    <xf numFmtId="0" fontId="55" fillId="12" borderId="123" xfId="0" applyFont="1" applyFill="1" applyBorder="1" applyAlignment="1">
      <alignment vertical="center"/>
    </xf>
    <xf numFmtId="0" fontId="55" fillId="12" borderId="64" xfId="0" applyFont="1" applyFill="1" applyBorder="1" applyAlignment="1">
      <alignment vertical="center"/>
    </xf>
    <xf numFmtId="0" fontId="55" fillId="12" borderId="30" xfId="0" applyFont="1" applyFill="1" applyBorder="1" applyAlignment="1">
      <alignment vertical="center"/>
    </xf>
    <xf numFmtId="0" fontId="68" fillId="12" borderId="49" xfId="0" applyFont="1" applyFill="1" applyBorder="1" applyAlignment="1">
      <alignment vertical="top" wrapText="1"/>
    </xf>
    <xf numFmtId="0" fontId="55" fillId="3" borderId="24" xfId="0" quotePrefix="1" applyFont="1" applyFill="1" applyBorder="1" applyAlignment="1">
      <alignment horizontal="left" vertical="center"/>
    </xf>
    <xf numFmtId="0" fontId="55" fillId="3" borderId="32" xfId="0" quotePrefix="1" applyFont="1" applyFill="1" applyBorder="1" applyAlignment="1">
      <alignment horizontal="left" vertical="center"/>
    </xf>
    <xf numFmtId="0" fontId="55" fillId="3" borderId="32" xfId="0" applyFont="1" applyFill="1" applyBorder="1" applyAlignment="1">
      <alignment vertical="center"/>
    </xf>
    <xf numFmtId="0" fontId="55" fillId="3" borderId="25" xfId="0" quotePrefix="1" applyFont="1" applyFill="1" applyBorder="1" applyAlignment="1">
      <alignment horizontal="left" vertical="center"/>
    </xf>
    <xf numFmtId="0" fontId="55" fillId="4" borderId="36" xfId="0" quotePrefix="1" applyFont="1" applyFill="1" applyBorder="1" applyAlignment="1">
      <alignment horizontal="left" vertical="center"/>
    </xf>
    <xf numFmtId="164" fontId="55" fillId="12" borderId="26" xfId="0" applyNumberFormat="1" applyFont="1" applyFill="1" applyBorder="1" applyAlignment="1">
      <alignment horizontal="center" vertical="center"/>
    </xf>
    <xf numFmtId="164" fontId="20" fillId="6" borderId="26" xfId="0" applyNumberFormat="1" applyFont="1" applyFill="1" applyBorder="1" applyAlignment="1">
      <alignment horizontal="center" vertical="center"/>
    </xf>
    <xf numFmtId="4" fontId="55" fillId="5" borderId="22" xfId="0" applyNumberFormat="1" applyFont="1" applyFill="1" applyBorder="1" applyAlignment="1">
      <alignment vertical="center"/>
    </xf>
    <xf numFmtId="0" fontId="55" fillId="13" borderId="22" xfId="0" quotePrefix="1" applyFont="1" applyFill="1" applyBorder="1" applyAlignment="1">
      <alignment horizontal="left" vertical="center"/>
    </xf>
    <xf numFmtId="0" fontId="55" fillId="13" borderId="30" xfId="0" applyFont="1" applyFill="1" applyBorder="1" applyAlignment="1">
      <alignment vertical="center"/>
    </xf>
    <xf numFmtId="0" fontId="55" fillId="13" borderId="30" xfId="0" quotePrefix="1" applyFont="1" applyFill="1" applyBorder="1" applyAlignment="1">
      <alignment horizontal="left" vertical="center"/>
    </xf>
    <xf numFmtId="0" fontId="55" fillId="13" borderId="23" xfId="0" applyFont="1" applyFill="1" applyBorder="1" applyAlignment="1">
      <alignment vertical="center"/>
    </xf>
    <xf numFmtId="2" fontId="56" fillId="0" borderId="38" xfId="0" applyNumberFormat="1" applyFont="1" applyBorder="1" applyAlignment="1">
      <alignment vertical="center"/>
    </xf>
    <xf numFmtId="2" fontId="56" fillId="0" borderId="23" xfId="0" applyNumberFormat="1" applyFont="1" applyBorder="1" applyAlignment="1">
      <alignment vertical="center"/>
    </xf>
    <xf numFmtId="1" fontId="56" fillId="0" borderId="23" xfId="0" applyNumberFormat="1" applyFont="1" applyBorder="1" applyAlignment="1">
      <alignment vertical="center"/>
    </xf>
    <xf numFmtId="1" fontId="56" fillId="12" borderId="23" xfId="0" applyNumberFormat="1" applyFont="1" applyFill="1" applyBorder="1" applyAlignment="1">
      <alignment horizontal="left" vertical="center"/>
    </xf>
    <xf numFmtId="2" fontId="56" fillId="12" borderId="23" xfId="0" applyNumberFormat="1" applyFont="1" applyFill="1" applyBorder="1" applyAlignment="1">
      <alignment vertical="center"/>
    </xf>
    <xf numFmtId="168" fontId="46" fillId="13" borderId="27" xfId="0" applyNumberFormat="1" applyFont="1" applyFill="1" applyBorder="1" applyAlignment="1">
      <alignment horizontal="right" vertical="center"/>
    </xf>
    <xf numFmtId="2" fontId="56" fillId="0" borderId="37" xfId="0" quotePrefix="1" applyNumberFormat="1" applyFont="1" applyBorder="1" applyAlignment="1">
      <alignment vertical="center"/>
    </xf>
    <xf numFmtId="2" fontId="56" fillId="0" borderId="25" xfId="0" applyNumberFormat="1" applyFont="1" applyBorder="1" applyAlignment="1">
      <alignment vertical="center"/>
    </xf>
    <xf numFmtId="1" fontId="56" fillId="0" borderId="25" xfId="0" applyNumberFormat="1" applyFont="1" applyBorder="1" applyAlignment="1">
      <alignment vertical="center"/>
    </xf>
    <xf numFmtId="1" fontId="56" fillId="12" borderId="25" xfId="0" applyNumberFormat="1" applyFont="1" applyFill="1" applyBorder="1" applyAlignment="1">
      <alignment horizontal="left" vertical="center"/>
    </xf>
    <xf numFmtId="2" fontId="56" fillId="12" borderId="25" xfId="0" applyNumberFormat="1" applyFont="1" applyFill="1" applyBorder="1" applyAlignment="1">
      <alignment vertical="center"/>
    </xf>
    <xf numFmtId="4" fontId="55" fillId="0" borderId="22" xfId="0" applyNumberFormat="1" applyFont="1" applyBorder="1" applyAlignment="1">
      <alignment vertical="center"/>
    </xf>
    <xf numFmtId="165" fontId="56" fillId="0" borderId="23" xfId="0" quotePrefix="1" applyNumberFormat="1" applyFont="1" applyBorder="1" applyAlignment="1">
      <alignment horizontal="left" vertical="center"/>
    </xf>
    <xf numFmtId="165" fontId="56" fillId="0" borderId="23" xfId="0" quotePrefix="1" applyNumberFormat="1" applyFont="1" applyBorder="1" applyAlignment="1">
      <alignment vertical="center"/>
    </xf>
    <xf numFmtId="168" fontId="46" fillId="12" borderId="27" xfId="0" applyNumberFormat="1" applyFont="1" applyFill="1" applyBorder="1" applyAlignment="1" applyProtection="1">
      <alignment horizontal="right" vertical="center"/>
      <protection hidden="1"/>
    </xf>
    <xf numFmtId="0" fontId="55" fillId="13" borderId="23" xfId="0" quotePrefix="1" applyFont="1" applyFill="1" applyBorder="1" applyAlignment="1">
      <alignment horizontal="left" vertical="center"/>
    </xf>
    <xf numFmtId="0" fontId="61" fillId="15" borderId="58" xfId="0" applyFont="1" applyFill="1" applyBorder="1"/>
    <xf numFmtId="0" fontId="61" fillId="15" borderId="35" xfId="0" quotePrefix="1" applyFont="1" applyFill="1" applyBorder="1" applyAlignment="1">
      <alignment horizontal="left"/>
    </xf>
    <xf numFmtId="0" fontId="60" fillId="12" borderId="33" xfId="0" applyFont="1" applyFill="1" applyBorder="1"/>
    <xf numFmtId="0" fontId="68" fillId="9" borderId="49" xfId="0" applyFont="1" applyFill="1" applyBorder="1"/>
    <xf numFmtId="0" fontId="55" fillId="0" borderId="36" xfId="0" quotePrefix="1" applyFont="1" applyBorder="1" applyAlignment="1">
      <alignment horizontal="left"/>
    </xf>
    <xf numFmtId="0" fontId="55" fillId="0" borderId="40" xfId="0" quotePrefix="1" applyFont="1" applyBorder="1" applyAlignment="1">
      <alignment horizontal="left"/>
    </xf>
    <xf numFmtId="0" fontId="55" fillId="0" borderId="40" xfId="0" quotePrefix="1" applyFont="1" applyBorder="1"/>
    <xf numFmtId="0" fontId="55" fillId="31" borderId="30" xfId="0" applyFont="1" applyFill="1" applyBorder="1" applyAlignment="1">
      <alignment vertical="center"/>
    </xf>
    <xf numFmtId="168" fontId="46" fillId="5" borderId="27" xfId="0" applyNumberFormat="1" applyFont="1" applyFill="1" applyBorder="1" applyAlignment="1">
      <alignment horizontal="right" vertical="center"/>
    </xf>
    <xf numFmtId="0" fontId="68" fillId="31" borderId="49" xfId="0" applyFont="1" applyFill="1" applyBorder="1" applyAlignment="1">
      <alignment vertical="top"/>
    </xf>
    <xf numFmtId="0" fontId="55" fillId="0" borderId="38" xfId="0" quotePrefix="1" applyFont="1" applyBorder="1" applyAlignment="1">
      <alignment horizontal="left"/>
    </xf>
    <xf numFmtId="0" fontId="55" fillId="0" borderId="23" xfId="0" applyFont="1" applyBorder="1"/>
    <xf numFmtId="0" fontId="55" fillId="13" borderId="24" xfId="0" quotePrefix="1" applyFont="1" applyFill="1" applyBorder="1" applyAlignment="1">
      <alignment horizontal="left" vertical="center"/>
    </xf>
    <xf numFmtId="0" fontId="55" fillId="13" borderId="32" xfId="0" applyFont="1" applyFill="1" applyBorder="1" applyAlignment="1">
      <alignment vertical="center"/>
    </xf>
    <xf numFmtId="0" fontId="55" fillId="13" borderId="32" xfId="0" quotePrefix="1" applyFont="1" applyFill="1" applyBorder="1" applyAlignment="1">
      <alignment horizontal="left" vertical="center"/>
    </xf>
    <xf numFmtId="0" fontId="55" fillId="13" borderId="25" xfId="0" quotePrefix="1" applyFont="1" applyFill="1" applyBorder="1" applyAlignment="1">
      <alignment horizontal="left" vertical="center"/>
    </xf>
    <xf numFmtId="0" fontId="55" fillId="0" borderId="37" xfId="0" quotePrefix="1" applyFont="1" applyBorder="1" applyAlignment="1">
      <alignment horizontal="left"/>
    </xf>
    <xf numFmtId="0" fontId="55" fillId="0" borderId="25" xfId="0" quotePrefix="1" applyFont="1" applyBorder="1" applyAlignment="1">
      <alignment horizontal="left"/>
    </xf>
    <xf numFmtId="0" fontId="55" fillId="0" borderId="25" xfId="0" quotePrefix="1" applyFont="1" applyBorder="1"/>
    <xf numFmtId="0" fontId="55" fillId="19" borderId="45" xfId="0" applyFont="1" applyFill="1" applyBorder="1"/>
    <xf numFmtId="0" fontId="55" fillId="19" borderId="57" xfId="0" applyFont="1" applyFill="1" applyBorder="1"/>
    <xf numFmtId="0" fontId="55" fillId="19" borderId="246" xfId="0" applyFont="1" applyFill="1" applyBorder="1"/>
    <xf numFmtId="0" fontId="55" fillId="19" borderId="247" xfId="0" applyFont="1" applyFill="1" applyBorder="1"/>
    <xf numFmtId="0" fontId="68" fillId="9" borderId="49" xfId="0" applyFont="1" applyFill="1" applyBorder="1" applyAlignment="1">
      <alignment vertical="top" wrapText="1"/>
    </xf>
    <xf numFmtId="0" fontId="61" fillId="15" borderId="13" xfId="0" applyFont="1" applyFill="1" applyBorder="1" applyAlignment="1">
      <alignment horizontal="left" vertical="top"/>
    </xf>
    <xf numFmtId="0" fontId="61" fillId="15" borderId="46" xfId="0" applyFont="1" applyFill="1" applyBorder="1" applyAlignment="1">
      <alignment horizontal="left" vertical="top"/>
    </xf>
    <xf numFmtId="0" fontId="61" fillId="15" borderId="13" xfId="0" quotePrefix="1" applyFont="1" applyFill="1" applyBorder="1" applyAlignment="1">
      <alignment horizontal="left" vertical="top"/>
    </xf>
    <xf numFmtId="0" fontId="55" fillId="0" borderId="156" xfId="0" applyFont="1" applyBorder="1" applyAlignment="1">
      <alignment vertical="center"/>
    </xf>
    <xf numFmtId="0" fontId="55" fillId="0" borderId="150" xfId="0" applyFont="1" applyBorder="1" applyAlignment="1">
      <alignment horizontal="right" vertical="center"/>
    </xf>
    <xf numFmtId="0" fontId="55" fillId="0" borderId="151" xfId="0" applyFont="1" applyBorder="1" applyAlignment="1">
      <alignment vertical="center"/>
    </xf>
    <xf numFmtId="0" fontId="63" fillId="15" borderId="57" xfId="0" quotePrefix="1" applyFont="1" applyFill="1" applyBorder="1" applyAlignment="1">
      <alignment horizontal="left"/>
    </xf>
    <xf numFmtId="0" fontId="55" fillId="2" borderId="171" xfId="0" quotePrefix="1" applyFont="1" applyFill="1" applyBorder="1" applyAlignment="1">
      <alignment horizontal="left"/>
    </xf>
    <xf numFmtId="0" fontId="55" fillId="0" borderId="170" xfId="0" applyFont="1" applyBorder="1"/>
    <xf numFmtId="0" fontId="55" fillId="0" borderId="170" xfId="0" quotePrefix="1" applyFont="1" applyBorder="1"/>
    <xf numFmtId="0" fontId="55" fillId="0" borderId="170" xfId="0" quotePrefix="1" applyFont="1" applyBorder="1" applyAlignment="1">
      <alignment horizontal="left"/>
    </xf>
    <xf numFmtId="0" fontId="55" fillId="0" borderId="172" xfId="0" quotePrefix="1" applyFont="1" applyBorder="1"/>
    <xf numFmtId="0" fontId="61" fillId="15" borderId="13" xfId="0" quotePrefix="1" applyFont="1" applyFill="1" applyBorder="1" applyAlignment="1">
      <alignment horizontal="left"/>
    </xf>
    <xf numFmtId="0" fontId="62" fillId="15" borderId="35" xfId="0" quotePrefix="1" applyFont="1" applyFill="1" applyBorder="1" applyAlignment="1">
      <alignment horizontal="left"/>
    </xf>
    <xf numFmtId="0" fontId="55" fillId="2" borderId="22" xfId="0" quotePrefix="1" applyFont="1" applyFill="1" applyBorder="1" applyAlignment="1">
      <alignment horizontal="left"/>
    </xf>
    <xf numFmtId="0" fontId="55" fillId="0" borderId="30" xfId="0" applyFont="1" applyBorder="1"/>
    <xf numFmtId="0" fontId="55" fillId="0" borderId="30" xfId="0" quotePrefix="1" applyFont="1" applyBorder="1"/>
    <xf numFmtId="0" fontId="55" fillId="0" borderId="30" xfId="0" quotePrefix="1" applyFont="1" applyBorder="1" applyAlignment="1">
      <alignment horizontal="left"/>
    </xf>
    <xf numFmtId="0" fontId="55" fillId="0" borderId="23" xfId="0" quotePrefix="1" applyFont="1" applyBorder="1"/>
    <xf numFmtId="0" fontId="55" fillId="0" borderId="25" xfId="0" applyFont="1" applyBorder="1"/>
    <xf numFmtId="0" fontId="55" fillId="27" borderId="22" xfId="0" quotePrefix="1" applyFont="1" applyFill="1" applyBorder="1" applyAlignment="1">
      <alignment horizontal="left"/>
    </xf>
    <xf numFmtId="4" fontId="55" fillId="0" borderId="24" xfId="0" applyNumberFormat="1" applyFont="1" applyBorder="1" applyAlignment="1">
      <alignment vertical="center"/>
    </xf>
    <xf numFmtId="165" fontId="56" fillId="0" borderId="25" xfId="0" quotePrefix="1" applyNumberFormat="1" applyFont="1" applyBorder="1" applyAlignment="1">
      <alignment horizontal="left" vertical="center"/>
    </xf>
    <xf numFmtId="0" fontId="55" fillId="0" borderId="51" xfId="0" applyFont="1" applyBorder="1"/>
    <xf numFmtId="0" fontId="55" fillId="0" borderId="52" xfId="0" applyFont="1" applyBorder="1"/>
    <xf numFmtId="0" fontId="55" fillId="0" borderId="23" xfId="0" quotePrefix="1" applyFont="1" applyBorder="1" applyAlignment="1">
      <alignment horizontal="left"/>
    </xf>
    <xf numFmtId="0" fontId="55" fillId="26" borderId="13" xfId="0" quotePrefix="1" applyFont="1" applyFill="1" applyBorder="1" applyAlignment="1">
      <alignment horizontal="left" vertical="center"/>
    </xf>
    <xf numFmtId="0" fontId="61" fillId="15" borderId="13" xfId="0" applyFont="1" applyFill="1" applyBorder="1"/>
    <xf numFmtId="167" fontId="69" fillId="9" borderId="49" xfId="0" applyNumberFormat="1" applyFont="1" applyFill="1" applyBorder="1" applyAlignment="1">
      <alignment horizontal="left" vertical="top" wrapText="1"/>
    </xf>
    <xf numFmtId="0" fontId="55" fillId="26" borderId="39" xfId="0" quotePrefix="1" applyFont="1" applyFill="1" applyBorder="1" applyAlignment="1">
      <alignment horizontal="left" vertical="center"/>
    </xf>
    <xf numFmtId="0" fontId="55" fillId="0" borderId="38" xfId="0" quotePrefix="1" applyFont="1" applyBorder="1"/>
    <xf numFmtId="0" fontId="55" fillId="6" borderId="28" xfId="0" applyFont="1" applyFill="1" applyBorder="1" applyAlignment="1">
      <alignment horizontal="left" vertical="center"/>
    </xf>
    <xf numFmtId="0" fontId="55" fillId="9" borderId="125" xfId="0" applyFont="1" applyFill="1" applyBorder="1" applyAlignment="1">
      <alignment vertical="center"/>
    </xf>
    <xf numFmtId="0" fontId="55" fillId="9" borderId="32" xfId="0" applyFont="1" applyFill="1" applyBorder="1" applyAlignment="1">
      <alignment vertical="center"/>
    </xf>
    <xf numFmtId="0" fontId="55" fillId="9" borderId="66" xfId="0" applyFont="1" applyFill="1" applyBorder="1" applyAlignment="1">
      <alignment vertical="center"/>
    </xf>
    <xf numFmtId="168" fontId="46" fillId="12" borderId="28" xfId="0" applyNumberFormat="1" applyFont="1" applyFill="1" applyBorder="1" applyAlignment="1">
      <alignment horizontal="right" vertical="center"/>
    </xf>
    <xf numFmtId="167" fontId="69" fillId="9" borderId="48" xfId="0" applyNumberFormat="1" applyFont="1" applyFill="1" applyBorder="1" applyAlignment="1">
      <alignment horizontal="left" vertical="top" wrapText="1"/>
    </xf>
    <xf numFmtId="0" fontId="20" fillId="12" borderId="250" xfId="0" applyFont="1" applyFill="1" applyBorder="1" applyAlignment="1">
      <alignment horizontal="left"/>
    </xf>
    <xf numFmtId="0" fontId="55" fillId="26" borderId="38" xfId="0" quotePrefix="1" applyFont="1" applyFill="1" applyBorder="1" applyAlignment="1">
      <alignment horizontal="left" vertical="center"/>
    </xf>
    <xf numFmtId="0" fontId="61" fillId="15" borderId="13" xfId="0" applyFont="1" applyFill="1" applyBorder="1" applyAlignment="1">
      <alignment horizontal="center"/>
    </xf>
    <xf numFmtId="0" fontId="61" fillId="15" borderId="16" xfId="0" applyFont="1" applyFill="1" applyBorder="1" applyAlignment="1">
      <alignment horizontal="center"/>
    </xf>
    <xf numFmtId="0" fontId="55" fillId="7" borderId="0" xfId="0" applyFont="1" applyFill="1" applyAlignment="1">
      <alignment vertical="center"/>
    </xf>
    <xf numFmtId="0" fontId="55" fillId="0" borderId="71" xfId="0" applyFont="1" applyBorder="1"/>
    <xf numFmtId="0" fontId="55" fillId="0" borderId="14" xfId="0" applyFont="1" applyBorder="1"/>
    <xf numFmtId="0" fontId="20" fillId="0" borderId="15" xfId="2" quotePrefix="1" applyFont="1" applyBorder="1" applyAlignment="1">
      <alignment horizontal="center" vertical="center"/>
    </xf>
    <xf numFmtId="0" fontId="55" fillId="6" borderId="169" xfId="0" applyFont="1" applyFill="1" applyBorder="1" applyAlignment="1">
      <alignment horizontal="left" vertical="center"/>
    </xf>
    <xf numFmtId="0" fontId="55" fillId="7" borderId="70" xfId="0" applyFont="1" applyFill="1" applyBorder="1" applyAlignment="1">
      <alignment vertical="center"/>
    </xf>
    <xf numFmtId="0" fontId="55" fillId="7" borderId="67" xfId="0" applyFont="1" applyFill="1" applyBorder="1" applyAlignment="1">
      <alignment vertical="center"/>
    </xf>
    <xf numFmtId="0" fontId="55" fillId="7" borderId="62" xfId="0" applyFont="1" applyFill="1" applyBorder="1" applyAlignment="1">
      <alignment vertical="center"/>
    </xf>
    <xf numFmtId="168" fontId="46" fillId="6" borderId="27" xfId="0" applyNumberFormat="1" applyFont="1" applyFill="1" applyBorder="1" applyAlignment="1">
      <alignment horizontal="right" vertical="center"/>
    </xf>
    <xf numFmtId="0" fontId="70" fillId="9" borderId="49" xfId="0" applyFont="1" applyFill="1" applyBorder="1"/>
    <xf numFmtId="0" fontId="55" fillId="0" borderId="172" xfId="0" applyFont="1" applyBorder="1"/>
    <xf numFmtId="0" fontId="55" fillId="0" borderId="5" xfId="0" quotePrefix="1" applyFont="1" applyBorder="1"/>
    <xf numFmtId="0" fontId="55" fillId="0" borderId="9" xfId="0" applyFont="1" applyBorder="1"/>
    <xf numFmtId="0" fontId="20" fillId="0" borderId="10" xfId="2" applyFont="1" applyBorder="1" applyAlignment="1">
      <alignment horizontal="center" vertical="center"/>
    </xf>
    <xf numFmtId="0" fontId="55" fillId="26" borderId="37" xfId="0" quotePrefix="1" applyFont="1" applyFill="1" applyBorder="1" applyAlignment="1">
      <alignment horizontal="left" vertical="center"/>
    </xf>
    <xf numFmtId="168" fontId="66" fillId="12" borderId="13" xfId="0" applyNumberFormat="1" applyFont="1" applyFill="1" applyBorder="1" applyAlignment="1">
      <alignment horizontal="right" vertical="center"/>
    </xf>
    <xf numFmtId="168" fontId="66" fillId="12" borderId="28" xfId="0" applyNumberFormat="1" applyFont="1" applyFill="1" applyBorder="1" applyAlignment="1">
      <alignment horizontal="right" vertical="center"/>
    </xf>
    <xf numFmtId="0" fontId="70" fillId="9" borderId="48" xfId="0" applyFont="1" applyFill="1" applyBorder="1"/>
    <xf numFmtId="0" fontId="55" fillId="0" borderId="32" xfId="0" applyFont="1" applyBorder="1"/>
    <xf numFmtId="0" fontId="55" fillId="7" borderId="2" xfId="0" applyFont="1" applyFill="1" applyBorder="1" applyAlignment="1">
      <alignment vertical="center"/>
    </xf>
    <xf numFmtId="0" fontId="55" fillId="7" borderId="1" xfId="0" applyFont="1" applyFill="1" applyBorder="1" applyAlignment="1">
      <alignment vertical="center"/>
    </xf>
    <xf numFmtId="0" fontId="55" fillId="0" borderId="185" xfId="0" applyFont="1" applyBorder="1"/>
    <xf numFmtId="0" fontId="61" fillId="15" borderId="35" xfId="0" applyFont="1" applyFill="1" applyBorder="1"/>
    <xf numFmtId="0" fontId="55" fillId="0" borderId="32" xfId="0" quotePrefix="1" applyFont="1" applyBorder="1" applyAlignment="1">
      <alignment horizontal="left"/>
    </xf>
    <xf numFmtId="0" fontId="55" fillId="0" borderId="37" xfId="0" applyFont="1" applyBorder="1"/>
    <xf numFmtId="0" fontId="20" fillId="0" borderId="10" xfId="2" quotePrefix="1" applyFont="1" applyBorder="1" applyAlignment="1">
      <alignment horizontal="center" vertical="center"/>
    </xf>
    <xf numFmtId="0" fontId="55" fillId="0" borderId="3" xfId="0" applyFont="1" applyBorder="1"/>
    <xf numFmtId="3" fontId="60" fillId="12" borderId="33" xfId="0" applyNumberFormat="1" applyFont="1" applyFill="1" applyBorder="1" applyAlignment="1">
      <alignment vertical="top" wrapText="1"/>
    </xf>
    <xf numFmtId="0" fontId="61" fillId="15" borderId="17" xfId="0" applyFont="1" applyFill="1" applyBorder="1" applyAlignment="1">
      <alignment horizontal="center"/>
    </xf>
    <xf numFmtId="0" fontId="61" fillId="15" borderId="19" xfId="0" applyFont="1" applyFill="1" applyBorder="1" applyAlignment="1">
      <alignment horizontal="center"/>
    </xf>
    <xf numFmtId="0" fontId="55" fillId="0" borderId="11" xfId="0" applyFont="1" applyBorder="1"/>
    <xf numFmtId="0" fontId="55" fillId="0" borderId="40" xfId="0" applyFont="1" applyBorder="1"/>
    <xf numFmtId="0" fontId="71" fillId="39" borderId="328" xfId="0" applyFont="1" applyFill="1" applyBorder="1" applyAlignment="1">
      <alignment vertical="center" wrapText="1"/>
    </xf>
    <xf numFmtId="38" fontId="71" fillId="12" borderId="331" xfId="0" applyNumberFormat="1" applyFont="1" applyFill="1" applyBorder="1" applyAlignment="1">
      <alignment vertical="center" wrapText="1"/>
    </xf>
    <xf numFmtId="38" fontId="71" fillId="12" borderId="332" xfId="0" applyNumberFormat="1" applyFont="1" applyFill="1" applyBorder="1" applyAlignment="1">
      <alignment vertical="center" wrapText="1"/>
    </xf>
    <xf numFmtId="0" fontId="71" fillId="39" borderId="329" xfId="0" applyFont="1" applyFill="1" applyBorder="1" applyAlignment="1">
      <alignment vertical="center" wrapText="1"/>
    </xf>
    <xf numFmtId="38" fontId="71" fillId="12" borderId="333" xfId="0" applyNumberFormat="1" applyFont="1" applyFill="1" applyBorder="1" applyAlignment="1">
      <alignment vertical="center" wrapText="1"/>
    </xf>
    <xf numFmtId="38" fontId="71" fillId="12" borderId="334" xfId="0" applyNumberFormat="1" applyFont="1" applyFill="1" applyBorder="1" applyAlignment="1">
      <alignment vertical="center" wrapText="1"/>
    </xf>
    <xf numFmtId="0" fontId="55" fillId="6" borderId="104" xfId="0" applyFont="1" applyFill="1" applyBorder="1"/>
    <xf numFmtId="0" fontId="55" fillId="6" borderId="112" xfId="0" applyFont="1" applyFill="1" applyBorder="1"/>
    <xf numFmtId="0" fontId="55" fillId="6" borderId="105" xfId="0" applyFont="1" applyFill="1" applyBorder="1"/>
    <xf numFmtId="0" fontId="55" fillId="6" borderId="152" xfId="0" applyFont="1" applyFill="1" applyBorder="1"/>
    <xf numFmtId="0" fontId="61" fillId="15" borderId="45" xfId="0" applyFont="1" applyFill="1" applyBorder="1"/>
    <xf numFmtId="0" fontId="61" fillId="15" borderId="45" xfId="0" quotePrefix="1" applyFont="1" applyFill="1" applyBorder="1" applyAlignment="1">
      <alignment horizontal="left" vertical="top"/>
    </xf>
    <xf numFmtId="0" fontId="72" fillId="15" borderId="45" xfId="0" quotePrefix="1" applyFont="1" applyFill="1" applyBorder="1" applyAlignment="1">
      <alignment horizontal="center" vertical="top"/>
    </xf>
    <xf numFmtId="0" fontId="71" fillId="39" borderId="330" xfId="0" applyFont="1" applyFill="1" applyBorder="1" applyAlignment="1">
      <alignment vertical="center" wrapText="1"/>
    </xf>
    <xf numFmtId="38" fontId="71" fillId="12" borderId="335" xfId="0" applyNumberFormat="1" applyFont="1" applyFill="1" applyBorder="1" applyAlignment="1">
      <alignment vertical="center" wrapText="1"/>
    </xf>
    <xf numFmtId="38" fontId="71" fillId="12" borderId="336" xfId="0" applyNumberFormat="1" applyFont="1" applyFill="1" applyBorder="1" applyAlignment="1">
      <alignment vertical="center" wrapText="1"/>
    </xf>
    <xf numFmtId="167" fontId="55" fillId="0" borderId="7" xfId="0" applyNumberFormat="1" applyFont="1" applyBorder="1"/>
    <xf numFmtId="0" fontId="20" fillId="0" borderId="8" xfId="2" quotePrefix="1" applyFont="1" applyBorder="1" applyAlignment="1">
      <alignment horizontal="center" vertical="center"/>
    </xf>
    <xf numFmtId="0" fontId="55" fillId="19" borderId="13" xfId="0" applyFont="1" applyFill="1" applyBorder="1"/>
    <xf numFmtId="0" fontId="55" fillId="12" borderId="13" xfId="0" applyFont="1" applyFill="1" applyBorder="1"/>
    <xf numFmtId="2" fontId="56" fillId="12" borderId="35" xfId="0" quotePrefix="1" applyNumberFormat="1" applyFont="1" applyFill="1" applyBorder="1" applyAlignment="1">
      <alignment vertical="center"/>
    </xf>
    <xf numFmtId="167" fontId="55" fillId="0" borderId="9" xfId="0" applyNumberFormat="1" applyFont="1" applyBorder="1"/>
    <xf numFmtId="0" fontId="55" fillId="19" borderId="5" xfId="0" applyFont="1" applyFill="1" applyBorder="1"/>
    <xf numFmtId="0" fontId="55" fillId="6" borderId="5" xfId="0" applyFont="1" applyFill="1" applyBorder="1"/>
    <xf numFmtId="0" fontId="55" fillId="12" borderId="5" xfId="0" applyFont="1" applyFill="1" applyBorder="1"/>
    <xf numFmtId="0" fontId="55" fillId="12" borderId="71" xfId="0" applyFont="1" applyFill="1" applyBorder="1"/>
    <xf numFmtId="0" fontId="55" fillId="19" borderId="36" xfId="0" applyFont="1" applyFill="1" applyBorder="1"/>
    <xf numFmtId="0" fontId="55" fillId="6" borderId="36" xfId="0" applyFont="1" applyFill="1" applyBorder="1"/>
    <xf numFmtId="0" fontId="55" fillId="12" borderId="36" xfId="0" applyFont="1" applyFill="1" applyBorder="1"/>
    <xf numFmtId="0" fontId="55" fillId="12" borderId="26" xfId="0" applyFont="1" applyFill="1" applyBorder="1"/>
    <xf numFmtId="0" fontId="55" fillId="0" borderId="45" xfId="0" quotePrefix="1" applyFont="1" applyBorder="1" applyAlignment="1">
      <alignment horizontal="left"/>
    </xf>
    <xf numFmtId="0" fontId="55" fillId="0" borderId="57" xfId="0" quotePrefix="1" applyFont="1" applyBorder="1"/>
    <xf numFmtId="0" fontId="55" fillId="19" borderId="38" xfId="0" applyFont="1" applyFill="1" applyBorder="1"/>
    <xf numFmtId="0" fontId="55" fillId="6" borderId="38" xfId="0" applyFont="1" applyFill="1" applyBorder="1"/>
    <xf numFmtId="0" fontId="55" fillId="12" borderId="38" xfId="0" applyFont="1" applyFill="1" applyBorder="1"/>
    <xf numFmtId="0" fontId="55" fillId="12" borderId="27" xfId="0" applyFont="1" applyFill="1" applyBorder="1"/>
    <xf numFmtId="167" fontId="55" fillId="0" borderId="11" xfId="0" applyNumberFormat="1" applyFont="1" applyBorder="1"/>
    <xf numFmtId="0" fontId="20" fillId="0" borderId="12" xfId="2" applyFont="1" applyBorder="1" applyAlignment="1">
      <alignment horizontal="center" vertical="center"/>
    </xf>
    <xf numFmtId="0" fontId="55" fillId="19" borderId="37" xfId="0" quotePrefix="1" applyFont="1" applyFill="1" applyBorder="1" applyAlignment="1">
      <alignment horizontal="left"/>
    </xf>
    <xf numFmtId="0" fontId="55" fillId="6" borderId="37" xfId="0" quotePrefix="1" applyFont="1" applyFill="1" applyBorder="1" applyAlignment="1">
      <alignment horizontal="left"/>
    </xf>
    <xf numFmtId="0" fontId="55" fillId="12" borderId="37" xfId="0" quotePrefix="1" applyFont="1" applyFill="1" applyBorder="1"/>
    <xf numFmtId="0" fontId="55" fillId="12" borderId="28" xfId="0" applyFont="1" applyFill="1" applyBorder="1"/>
    <xf numFmtId="0" fontId="55" fillId="0" borderId="0" xfId="0" applyFont="1" applyAlignment="1">
      <alignment horizontal="left"/>
    </xf>
    <xf numFmtId="0" fontId="62" fillId="15" borderId="344" xfId="0" quotePrefix="1" applyFont="1" applyFill="1" applyBorder="1" applyAlignment="1">
      <alignment horizontal="center" vertical="top" wrapText="1"/>
    </xf>
    <xf numFmtId="0" fontId="62" fillId="15" borderId="347" xfId="0" quotePrefix="1" applyFont="1" applyFill="1" applyBorder="1" applyAlignment="1">
      <alignment horizontal="center" vertical="top" wrapText="1"/>
    </xf>
    <xf numFmtId="0" fontId="55" fillId="19" borderId="39" xfId="0" quotePrefix="1" applyFont="1" applyFill="1" applyBorder="1" applyAlignment="1">
      <alignment horizontal="left"/>
    </xf>
    <xf numFmtId="0" fontId="55" fillId="6" borderId="39" xfId="0" quotePrefix="1" applyFont="1" applyFill="1" applyBorder="1" applyAlignment="1">
      <alignment horizontal="left"/>
    </xf>
    <xf numFmtId="0" fontId="55" fillId="12" borderId="39" xfId="0" quotePrefix="1" applyFont="1" applyFill="1" applyBorder="1"/>
    <xf numFmtId="0" fontId="61" fillId="15" borderId="70" xfId="0" applyFont="1" applyFill="1" applyBorder="1" applyAlignment="1">
      <alignment horizontal="center"/>
    </xf>
    <xf numFmtId="0" fontId="55" fillId="0" borderId="345" xfId="0" applyFont="1" applyBorder="1" applyAlignment="1">
      <alignment horizontal="center"/>
    </xf>
    <xf numFmtId="164" fontId="55" fillId="0" borderId="41" xfId="0" applyNumberFormat="1" applyFont="1" applyBorder="1" applyAlignment="1">
      <alignment horizontal="center"/>
    </xf>
    <xf numFmtId="164" fontId="74" fillId="0" borderId="41" xfId="0" applyNumberFormat="1" applyFont="1" applyBorder="1" applyAlignment="1">
      <alignment horizontal="center"/>
    </xf>
    <xf numFmtId="167" fontId="55" fillId="0" borderId="36" xfId="0" applyNumberFormat="1" applyFont="1" applyBorder="1"/>
    <xf numFmtId="0" fontId="55" fillId="0" borderId="63" xfId="0" quotePrefix="1" applyFont="1" applyBorder="1" applyAlignment="1">
      <alignment horizontal="left"/>
    </xf>
    <xf numFmtId="0" fontId="55" fillId="0" borderId="341" xfId="0" applyFont="1" applyBorder="1" applyAlignment="1">
      <alignment horizontal="center"/>
    </xf>
    <xf numFmtId="164" fontId="55" fillId="0" borderId="23" xfId="0" applyNumberFormat="1" applyFont="1" applyBorder="1" applyAlignment="1">
      <alignment horizontal="center"/>
    </xf>
    <xf numFmtId="164" fontId="74" fillId="0" borderId="23" xfId="0" applyNumberFormat="1" applyFont="1" applyBorder="1" applyAlignment="1">
      <alignment horizontal="center"/>
    </xf>
    <xf numFmtId="167" fontId="55" fillId="0" borderId="38" xfId="0" applyNumberFormat="1" applyFont="1" applyBorder="1"/>
    <xf numFmtId="0" fontId="55" fillId="0" borderId="64" xfId="0" applyFont="1" applyBorder="1"/>
    <xf numFmtId="0" fontId="55" fillId="19" borderId="37" xfId="0" applyFont="1" applyFill="1" applyBorder="1"/>
    <xf numFmtId="0" fontId="55" fillId="6" borderId="37" xfId="0" applyFont="1" applyFill="1" applyBorder="1"/>
    <xf numFmtId="0" fontId="55" fillId="12" borderId="37" xfId="0" applyFont="1" applyFill="1" applyBorder="1"/>
    <xf numFmtId="0" fontId="55" fillId="0" borderId="64" xfId="0" quotePrefix="1" applyFont="1" applyBorder="1" applyAlignment="1">
      <alignment horizontal="left"/>
    </xf>
    <xf numFmtId="0" fontId="55" fillId="19" borderId="38" xfId="0" quotePrefix="1" applyFont="1" applyFill="1" applyBorder="1" applyAlignment="1">
      <alignment horizontal="left"/>
    </xf>
    <xf numFmtId="0" fontId="55" fillId="6" borderId="38" xfId="0" quotePrefix="1" applyFont="1" applyFill="1" applyBorder="1" applyAlignment="1">
      <alignment horizontal="left"/>
    </xf>
    <xf numFmtId="0" fontId="55" fillId="12" borderId="38" xfId="0" quotePrefix="1" applyFont="1" applyFill="1" applyBorder="1"/>
    <xf numFmtId="0" fontId="55" fillId="0" borderId="342" xfId="0" quotePrefix="1" applyFont="1" applyBorder="1" applyAlignment="1">
      <alignment horizontal="center"/>
    </xf>
    <xf numFmtId="164" fontId="55" fillId="0" borderId="343" xfId="0" quotePrefix="1" applyNumberFormat="1" applyFont="1" applyBorder="1" applyAlignment="1">
      <alignment horizontal="center"/>
    </xf>
    <xf numFmtId="164" fontId="74" fillId="0" borderId="343" xfId="0" quotePrefix="1" applyNumberFormat="1" applyFont="1" applyBorder="1" applyAlignment="1">
      <alignment horizontal="center"/>
    </xf>
    <xf numFmtId="0" fontId="55" fillId="0" borderId="172" xfId="0" quotePrefix="1" applyFont="1" applyBorder="1" applyAlignment="1">
      <alignment horizontal="left"/>
    </xf>
    <xf numFmtId="167" fontId="55" fillId="0" borderId="37" xfId="0" quotePrefix="1" applyNumberFormat="1" applyFont="1" applyBorder="1"/>
    <xf numFmtId="0" fontId="55" fillId="0" borderId="66" xfId="0" quotePrefix="1" applyFont="1" applyBorder="1" applyAlignment="1">
      <alignment horizontal="left"/>
    </xf>
    <xf numFmtId="0" fontId="55" fillId="0" borderId="37" xfId="0" quotePrefix="1" applyFont="1" applyBorder="1"/>
    <xf numFmtId="10" fontId="55" fillId="6" borderId="169" xfId="0" quotePrefix="1" applyNumberFormat="1" applyFont="1" applyFill="1" applyBorder="1"/>
    <xf numFmtId="10" fontId="55" fillId="6" borderId="169" xfId="0" applyNumberFormat="1" applyFont="1" applyFill="1" applyBorder="1"/>
    <xf numFmtId="0" fontId="20" fillId="0" borderId="26" xfId="0" quotePrefix="1" applyFont="1" applyBorder="1" applyAlignment="1">
      <alignment horizontal="left" vertical="center"/>
    </xf>
    <xf numFmtId="2" fontId="20" fillId="0" borderId="171" xfId="0" quotePrefix="1" applyNumberFormat="1" applyFont="1" applyBorder="1" applyAlignment="1">
      <alignment vertical="center"/>
    </xf>
    <xf numFmtId="0" fontId="20" fillId="0" borderId="170" xfId="0" quotePrefix="1" applyFont="1" applyBorder="1" applyAlignment="1">
      <alignment vertical="center"/>
    </xf>
    <xf numFmtId="2" fontId="20" fillId="0" borderId="172" xfId="0" quotePrefix="1" applyNumberFormat="1" applyFont="1" applyBorder="1" applyAlignment="1">
      <alignment vertical="center"/>
    </xf>
    <xf numFmtId="0" fontId="55" fillId="0" borderId="27" xfId="0" quotePrefix="1" applyFont="1" applyBorder="1" applyAlignment="1">
      <alignment horizontal="left" vertical="center"/>
    </xf>
    <xf numFmtId="0" fontId="55" fillId="0" borderId="22" xfId="0" quotePrefix="1" applyFont="1" applyBorder="1" applyAlignment="1">
      <alignment vertical="center"/>
    </xf>
    <xf numFmtId="2" fontId="55" fillId="0" borderId="30" xfId="0" applyNumberFormat="1" applyFont="1" applyBorder="1" applyAlignment="1">
      <alignment vertical="center"/>
    </xf>
    <xf numFmtId="0" fontId="55" fillId="0" borderId="23" xfId="0" applyFont="1" applyBorder="1" applyAlignment="1">
      <alignment vertical="center"/>
    </xf>
    <xf numFmtId="0" fontId="55" fillId="0" borderId="28" xfId="0" quotePrefix="1" applyFont="1" applyBorder="1" applyAlignment="1">
      <alignment horizontal="left" vertical="center"/>
    </xf>
    <xf numFmtId="0" fontId="55" fillId="0" borderId="24" xfId="0" quotePrefix="1" applyFont="1" applyBorder="1" applyAlignment="1">
      <alignment vertical="center"/>
    </xf>
    <xf numFmtId="0" fontId="55" fillId="0" borderId="32" xfId="0" applyFont="1" applyBorder="1" applyAlignment="1">
      <alignment vertical="center"/>
    </xf>
    <xf numFmtId="2" fontId="55" fillId="0" borderId="25" xfId="0" applyNumberFormat="1" applyFont="1" applyBorder="1" applyAlignment="1">
      <alignment vertical="center"/>
    </xf>
    <xf numFmtId="0" fontId="55" fillId="14" borderId="36" xfId="0" quotePrefix="1" applyFont="1" applyFill="1" applyBorder="1"/>
    <xf numFmtId="0" fontId="55" fillId="14" borderId="38" xfId="0" applyFont="1" applyFill="1" applyBorder="1"/>
    <xf numFmtId="0" fontId="55" fillId="19" borderId="25" xfId="0" applyFont="1" applyFill="1" applyBorder="1"/>
    <xf numFmtId="0" fontId="61" fillId="15" borderId="169" xfId="0" applyFont="1" applyFill="1" applyBorder="1"/>
    <xf numFmtId="0" fontId="55" fillId="0" borderId="26" xfId="0" quotePrefix="1" applyFont="1" applyBorder="1" applyAlignment="1">
      <alignment horizontal="left"/>
    </xf>
    <xf numFmtId="0" fontId="55" fillId="0" borderId="28" xfId="0" quotePrefix="1" applyFont="1" applyBorder="1" applyAlignment="1">
      <alignment horizontal="left"/>
    </xf>
    <xf numFmtId="0" fontId="55" fillId="0" borderId="28" xfId="0" applyFont="1" applyBorder="1"/>
    <xf numFmtId="0" fontId="60" fillId="12" borderId="185" xfId="0" applyFont="1" applyFill="1" applyBorder="1" applyAlignment="1">
      <alignment horizontal="left" vertical="top" wrapText="1"/>
    </xf>
    <xf numFmtId="0" fontId="61" fillId="15" borderId="45" xfId="0" quotePrefix="1" applyFont="1" applyFill="1" applyBorder="1" applyAlignment="1">
      <alignment horizontal="left" vertical="top" wrapText="1"/>
    </xf>
    <xf numFmtId="0" fontId="61" fillId="15" borderId="13" xfId="0" quotePrefix="1" applyFont="1" applyFill="1" applyBorder="1" applyAlignment="1">
      <alignment horizontal="left" vertical="top" wrapText="1"/>
    </xf>
    <xf numFmtId="2" fontId="56" fillId="0" borderId="72" xfId="0" applyNumberFormat="1" applyFont="1" applyBorder="1" applyAlignment="1">
      <alignment vertical="center"/>
    </xf>
    <xf numFmtId="2" fontId="56" fillId="0" borderId="52" xfId="0" applyNumberFormat="1" applyFont="1" applyBorder="1" applyAlignment="1">
      <alignment vertical="center"/>
    </xf>
    <xf numFmtId="0" fontId="55" fillId="0" borderId="0" xfId="0" applyFont="1" applyAlignment="1">
      <alignment wrapText="1"/>
    </xf>
    <xf numFmtId="164" fontId="6" fillId="0" borderId="0" xfId="0" applyNumberFormat="1" applyFont="1" applyProtection="1">
      <protection hidden="1"/>
    </xf>
    <xf numFmtId="0" fontId="6" fillId="0" borderId="42" xfId="0" applyFont="1" applyBorder="1" applyProtection="1">
      <protection hidden="1"/>
    </xf>
    <xf numFmtId="0" fontId="28" fillId="12" borderId="362" xfId="0" applyFont="1" applyFill="1" applyBorder="1" applyProtection="1">
      <protection hidden="1"/>
    </xf>
    <xf numFmtId="166" fontId="10" fillId="12" borderId="288" xfId="0" applyNumberFormat="1" applyFont="1" applyFill="1" applyBorder="1" applyProtection="1">
      <protection hidden="1"/>
    </xf>
    <xf numFmtId="166" fontId="10" fillId="12" borderId="249" xfId="0" applyNumberFormat="1" applyFont="1" applyFill="1" applyBorder="1" applyProtection="1">
      <protection hidden="1"/>
    </xf>
    <xf numFmtId="166" fontId="10" fillId="12" borderId="286" xfId="0" applyNumberFormat="1" applyFont="1" applyFill="1" applyBorder="1" applyProtection="1">
      <protection hidden="1"/>
    </xf>
    <xf numFmtId="168" fontId="6" fillId="12" borderId="288" xfId="0" applyNumberFormat="1" applyFont="1" applyFill="1" applyBorder="1" applyProtection="1">
      <protection hidden="1"/>
    </xf>
    <xf numFmtId="168" fontId="6" fillId="12" borderId="286" xfId="0" applyNumberFormat="1" applyFont="1" applyFill="1" applyBorder="1" applyProtection="1">
      <protection hidden="1"/>
    </xf>
    <xf numFmtId="0" fontId="10" fillId="26" borderId="171" xfId="0" applyFont="1" applyFill="1" applyBorder="1" applyProtection="1">
      <protection hidden="1"/>
    </xf>
    <xf numFmtId="0" fontId="10" fillId="26" borderId="172" xfId="0" applyFont="1" applyFill="1" applyBorder="1" applyProtection="1">
      <protection hidden="1"/>
    </xf>
    <xf numFmtId="0" fontId="10" fillId="26" borderId="24" xfId="0" applyFont="1" applyFill="1" applyBorder="1" applyProtection="1">
      <protection hidden="1"/>
    </xf>
    <xf numFmtId="0" fontId="10" fillId="26" borderId="25" xfId="0" applyFont="1" applyFill="1" applyBorder="1" applyProtection="1">
      <protection hidden="1"/>
    </xf>
    <xf numFmtId="0" fontId="10" fillId="26" borderId="58" xfId="0" applyFont="1" applyFill="1" applyBorder="1" applyProtection="1">
      <protection hidden="1"/>
    </xf>
    <xf numFmtId="0" fontId="10" fillId="26" borderId="347" xfId="0" applyFont="1" applyFill="1" applyBorder="1" applyProtection="1">
      <protection hidden="1"/>
    </xf>
    <xf numFmtId="0" fontId="10" fillId="23" borderId="171" xfId="0" applyFont="1" applyFill="1" applyBorder="1" applyProtection="1">
      <protection hidden="1"/>
    </xf>
    <xf numFmtId="0" fontId="10" fillId="23" borderId="172" xfId="0" applyFont="1" applyFill="1" applyBorder="1" applyProtection="1">
      <protection hidden="1"/>
    </xf>
    <xf numFmtId="0" fontId="10" fillId="23" borderId="22" xfId="0" applyFont="1" applyFill="1" applyBorder="1" applyProtection="1">
      <protection hidden="1"/>
    </xf>
    <xf numFmtId="0" fontId="10" fillId="23" borderId="23" xfId="0" applyFont="1" applyFill="1" applyBorder="1" applyProtection="1">
      <protection hidden="1"/>
    </xf>
    <xf numFmtId="0" fontId="10" fillId="23" borderId="24" xfId="0" applyFont="1" applyFill="1" applyBorder="1" applyProtection="1">
      <protection hidden="1"/>
    </xf>
    <xf numFmtId="0" fontId="10" fillId="23" borderId="25" xfId="0" applyFont="1" applyFill="1" applyBorder="1" applyProtection="1">
      <protection hidden="1"/>
    </xf>
    <xf numFmtId="166" fontId="43" fillId="24" borderId="36" xfId="0" applyNumberFormat="1" applyFont="1" applyFill="1" applyBorder="1" applyProtection="1">
      <protection hidden="1"/>
    </xf>
    <xf numFmtId="3" fontId="43" fillId="24" borderId="124" xfId="0" applyNumberFormat="1" applyFont="1" applyFill="1" applyBorder="1" applyProtection="1">
      <protection hidden="1"/>
    </xf>
    <xf numFmtId="3" fontId="43" fillId="24" borderId="364" xfId="0" applyNumberFormat="1" applyFont="1" applyFill="1" applyBorder="1" applyProtection="1">
      <protection hidden="1"/>
    </xf>
    <xf numFmtId="3" fontId="43" fillId="38" borderId="123" xfId="0" applyNumberFormat="1" applyFont="1" applyFill="1" applyBorder="1" applyProtection="1">
      <protection hidden="1"/>
    </xf>
    <xf numFmtId="3" fontId="43" fillId="38" borderId="58" xfId="0" applyNumberFormat="1" applyFont="1" applyFill="1" applyBorder="1" applyProtection="1">
      <protection hidden="1"/>
    </xf>
    <xf numFmtId="10" fontId="6" fillId="0" borderId="0" xfId="0" applyNumberFormat="1" applyFont="1"/>
    <xf numFmtId="166" fontId="17" fillId="0" borderId="233" xfId="0" applyNumberFormat="1" applyFont="1" applyBorder="1" applyProtection="1">
      <protection hidden="1"/>
    </xf>
    <xf numFmtId="166" fontId="17" fillId="0" borderId="365" xfId="0" applyNumberFormat="1" applyFont="1" applyBorder="1" applyProtection="1">
      <protection hidden="1"/>
    </xf>
    <xf numFmtId="166" fontId="17" fillId="0" borderId="319" xfId="0" applyNumberFormat="1" applyFont="1" applyBorder="1" applyProtection="1">
      <protection hidden="1"/>
    </xf>
    <xf numFmtId="166" fontId="43" fillId="38" borderId="366" xfId="0" applyNumberFormat="1" applyFont="1" applyFill="1" applyBorder="1" applyProtection="1">
      <protection hidden="1"/>
    </xf>
    <xf numFmtId="166" fontId="43" fillId="38" borderId="341" xfId="0" applyNumberFormat="1" applyFont="1" applyFill="1" applyBorder="1" applyProtection="1">
      <protection hidden="1"/>
    </xf>
    <xf numFmtId="166" fontId="43" fillId="38" borderId="367" xfId="0" applyNumberFormat="1" applyFont="1" applyFill="1" applyBorder="1" applyProtection="1">
      <protection hidden="1"/>
    </xf>
    <xf numFmtId="166" fontId="14" fillId="12" borderId="300" xfId="0" applyNumberFormat="1" applyFont="1" applyFill="1" applyBorder="1" applyProtection="1">
      <protection hidden="1"/>
    </xf>
    <xf numFmtId="1" fontId="15" fillId="9" borderId="305" xfId="3" applyNumberFormat="1" applyFont="1" applyFill="1" applyBorder="1" applyAlignment="1" applyProtection="1">
      <alignment vertical="center"/>
      <protection hidden="1"/>
    </xf>
    <xf numFmtId="49" fontId="52" fillId="41" borderId="369" xfId="0" applyNumberFormat="1" applyFont="1" applyFill="1" applyBorder="1" applyAlignment="1" applyProtection="1">
      <alignment horizontal="left" vertical="center"/>
      <protection locked="0"/>
    </xf>
    <xf numFmtId="0" fontId="15" fillId="9" borderId="142" xfId="0" quotePrefix="1" applyFont="1" applyFill="1" applyBorder="1" applyAlignment="1" applyProtection="1">
      <alignment vertical="center"/>
      <protection hidden="1"/>
    </xf>
    <xf numFmtId="0" fontId="15" fillId="9" borderId="370" xfId="0" quotePrefix="1" applyFont="1" applyFill="1" applyBorder="1" applyAlignment="1" applyProtection="1">
      <alignment vertical="center"/>
      <protection hidden="1"/>
    </xf>
    <xf numFmtId="49" fontId="52" fillId="41" borderId="371" xfId="0" applyNumberFormat="1" applyFont="1" applyFill="1" applyBorder="1" applyAlignment="1" applyProtection="1">
      <alignment horizontal="left" vertical="center"/>
      <protection locked="0"/>
    </xf>
    <xf numFmtId="49" fontId="52" fillId="41" borderId="372" xfId="0" applyNumberFormat="1" applyFont="1" applyFill="1" applyBorder="1" applyAlignment="1" applyProtection="1">
      <alignment horizontal="left" vertical="center"/>
      <protection locked="0"/>
    </xf>
    <xf numFmtId="49" fontId="52" fillId="41" borderId="373" xfId="0" applyNumberFormat="1" applyFont="1" applyFill="1" applyBorder="1" applyAlignment="1" applyProtection="1">
      <alignment horizontal="left" vertical="center"/>
      <protection locked="0"/>
    </xf>
    <xf numFmtId="1" fontId="15" fillId="9" borderId="143" xfId="3" applyNumberFormat="1" applyFont="1" applyFill="1" applyBorder="1" applyAlignment="1" applyProtection="1">
      <alignment vertical="center"/>
      <protection hidden="1"/>
    </xf>
    <xf numFmtId="49" fontId="52" fillId="41" borderId="374" xfId="0" applyNumberFormat="1" applyFont="1" applyFill="1" applyBorder="1" applyAlignment="1" applyProtection="1">
      <alignment horizontal="left" vertical="center"/>
      <protection locked="0"/>
    </xf>
    <xf numFmtId="1" fontId="15" fillId="9" borderId="168" xfId="3" applyNumberFormat="1" applyFont="1" applyFill="1" applyBorder="1" applyAlignment="1" applyProtection="1">
      <alignment vertical="center"/>
      <protection hidden="1"/>
    </xf>
    <xf numFmtId="0" fontId="15" fillId="9" borderId="375" xfId="0" quotePrefix="1" applyFont="1" applyFill="1" applyBorder="1" applyAlignment="1" applyProtection="1">
      <alignment vertical="center"/>
      <protection hidden="1"/>
    </xf>
    <xf numFmtId="49" fontId="52" fillId="41" borderId="376" xfId="0" applyNumberFormat="1" applyFont="1" applyFill="1" applyBorder="1" applyAlignment="1" applyProtection="1">
      <alignment horizontal="left" vertical="center"/>
      <protection locked="0"/>
    </xf>
    <xf numFmtId="49" fontId="52" fillId="41" borderId="377" xfId="0" applyNumberFormat="1" applyFont="1" applyFill="1" applyBorder="1" applyAlignment="1" applyProtection="1">
      <alignment horizontal="left" vertical="center"/>
      <protection locked="0"/>
    </xf>
    <xf numFmtId="1" fontId="15" fillId="9" borderId="145" xfId="3" applyNumberFormat="1" applyFont="1" applyFill="1" applyBorder="1" applyAlignment="1" applyProtection="1">
      <alignment vertical="center"/>
      <protection hidden="1"/>
    </xf>
    <xf numFmtId="0" fontId="52" fillId="41" borderId="145" xfId="0" applyFont="1" applyFill="1" applyBorder="1" applyAlignment="1" applyProtection="1">
      <alignment horizontal="left" vertical="center"/>
      <protection locked="0"/>
    </xf>
    <xf numFmtId="0" fontId="15" fillId="9" borderId="145" xfId="0" quotePrefix="1" applyFont="1" applyFill="1" applyBorder="1" applyAlignment="1" applyProtection="1">
      <alignment vertical="center"/>
      <protection hidden="1"/>
    </xf>
    <xf numFmtId="49" fontId="52" fillId="41" borderId="146" xfId="0" applyNumberFormat="1" applyFont="1" applyFill="1" applyBorder="1" applyAlignment="1" applyProtection="1">
      <alignment horizontal="left" vertical="center"/>
      <protection locked="0"/>
    </xf>
    <xf numFmtId="0" fontId="43" fillId="13" borderId="348" xfId="0" applyFont="1" applyFill="1" applyBorder="1" applyAlignment="1" applyProtection="1">
      <alignment vertical="center"/>
      <protection hidden="1"/>
    </xf>
    <xf numFmtId="0" fontId="43" fillId="13" borderId="46" xfId="0" applyFont="1" applyFill="1" applyBorder="1" applyAlignment="1" applyProtection="1">
      <alignment vertical="center"/>
      <protection hidden="1"/>
    </xf>
    <xf numFmtId="0" fontId="43" fillId="13" borderId="16" xfId="0" applyFont="1" applyFill="1" applyBorder="1" applyAlignment="1" applyProtection="1">
      <alignment vertical="center"/>
      <protection hidden="1"/>
    </xf>
    <xf numFmtId="0" fontId="43" fillId="13" borderId="45" xfId="0" applyFont="1" applyFill="1" applyBorder="1" applyAlignment="1" applyProtection="1">
      <alignment vertical="center"/>
      <protection hidden="1"/>
    </xf>
    <xf numFmtId="0" fontId="43" fillId="13" borderId="43" xfId="0" applyFont="1" applyFill="1" applyBorder="1" applyAlignment="1" applyProtection="1">
      <alignment vertical="center"/>
      <protection hidden="1"/>
    </xf>
    <xf numFmtId="0" fontId="43" fillId="13" borderId="42" xfId="0" applyFont="1" applyFill="1" applyBorder="1" applyAlignment="1" applyProtection="1">
      <alignment vertical="center"/>
      <protection hidden="1"/>
    </xf>
    <xf numFmtId="49" fontId="52" fillId="41" borderId="378" xfId="0" applyNumberFormat="1" applyFont="1" applyFill="1" applyBorder="1" applyAlignment="1" applyProtection="1">
      <alignment horizontal="left" vertical="center"/>
      <protection locked="0"/>
    </xf>
    <xf numFmtId="0" fontId="6" fillId="0" borderId="45" xfId="0" applyFont="1" applyBorder="1" applyAlignment="1" applyProtection="1">
      <alignment vertical="center"/>
      <protection hidden="1"/>
    </xf>
    <xf numFmtId="0" fontId="6" fillId="0" borderId="43" xfId="0" applyFont="1" applyBorder="1" applyAlignment="1" applyProtection="1">
      <alignment vertical="center"/>
      <protection hidden="1"/>
    </xf>
    <xf numFmtId="0" fontId="6" fillId="9" borderId="58" xfId="0" applyFont="1" applyFill="1" applyBorder="1" applyAlignment="1" applyProtection="1">
      <alignment horizontal="center" vertical="center"/>
      <protection hidden="1"/>
    </xf>
    <xf numFmtId="0" fontId="6" fillId="9" borderId="67" xfId="0" applyFont="1" applyFill="1" applyBorder="1" applyAlignment="1" applyProtection="1">
      <alignment horizontal="center" vertical="center"/>
      <protection hidden="1"/>
    </xf>
    <xf numFmtId="0" fontId="6" fillId="0" borderId="42" xfId="0" applyFont="1" applyBorder="1" applyAlignment="1" applyProtection="1">
      <alignment vertical="center"/>
      <protection hidden="1"/>
    </xf>
    <xf numFmtId="3" fontId="17" fillId="41" borderId="157" xfId="0" applyNumberFormat="1" applyFont="1" applyFill="1" applyBorder="1" applyAlignment="1" applyProtection="1">
      <alignment vertical="center"/>
      <protection locked="0" hidden="1"/>
    </xf>
    <xf numFmtId="0" fontId="15" fillId="9" borderId="166" xfId="0" quotePrefix="1" applyFont="1" applyFill="1" applyBorder="1" applyAlignment="1" applyProtection="1">
      <alignment vertical="center"/>
      <protection hidden="1"/>
    </xf>
    <xf numFmtId="0" fontId="15" fillId="9" borderId="380" xfId="0" quotePrefix="1" applyFont="1" applyFill="1" applyBorder="1" applyAlignment="1" applyProtection="1">
      <alignment vertical="center"/>
      <protection hidden="1"/>
    </xf>
    <xf numFmtId="0" fontId="15" fillId="9" borderId="294" xfId="0" quotePrefix="1" applyFont="1" applyFill="1" applyBorder="1" applyAlignment="1" applyProtection="1">
      <alignment vertical="center"/>
      <protection hidden="1"/>
    </xf>
    <xf numFmtId="0" fontId="15" fillId="9" borderId="382" xfId="0" quotePrefix="1" applyFont="1" applyFill="1" applyBorder="1" applyAlignment="1" applyProtection="1">
      <alignment vertical="center"/>
      <protection hidden="1"/>
    </xf>
    <xf numFmtId="3" fontId="50" fillId="41" borderId="383" xfId="0" applyNumberFormat="1" applyFont="1" applyFill="1" applyBorder="1" applyAlignment="1" applyProtection="1">
      <alignment vertical="center"/>
      <protection locked="0"/>
    </xf>
    <xf numFmtId="1" fontId="15" fillId="9" borderId="294" xfId="3" applyNumberFormat="1" applyFont="1" applyFill="1" applyBorder="1" applyAlignment="1" applyProtection="1">
      <alignment vertical="center"/>
      <protection hidden="1"/>
    </xf>
    <xf numFmtId="0" fontId="6" fillId="0" borderId="379" xfId="0" applyFont="1" applyBorder="1" applyAlignment="1" applyProtection="1">
      <alignment vertical="center"/>
      <protection hidden="1"/>
    </xf>
    <xf numFmtId="0" fontId="14" fillId="9" borderId="382" xfId="0" applyFont="1" applyFill="1" applyBorder="1" applyAlignment="1" applyProtection="1">
      <alignment vertical="center"/>
      <protection hidden="1"/>
    </xf>
    <xf numFmtId="0" fontId="10" fillId="9" borderId="387" xfId="0" applyFont="1" applyFill="1" applyBorder="1" applyAlignment="1" applyProtection="1">
      <alignment vertical="center"/>
      <protection hidden="1"/>
    </xf>
    <xf numFmtId="4" fontId="10" fillId="6" borderId="23" xfId="0" applyNumberFormat="1" applyFont="1" applyFill="1" applyBorder="1" applyAlignment="1">
      <alignment horizontal="right"/>
    </xf>
    <xf numFmtId="4" fontId="10" fillId="6" borderId="52" xfId="0" applyNumberFormat="1" applyFont="1" applyFill="1" applyBorder="1" applyAlignment="1">
      <alignment horizontal="right"/>
    </xf>
    <xf numFmtId="4" fontId="14" fillId="6" borderId="23" xfId="0" applyNumberFormat="1" applyFont="1" applyFill="1" applyBorder="1" applyAlignment="1">
      <alignment horizontal="right"/>
    </xf>
    <xf numFmtId="173" fontId="10" fillId="6" borderId="23" xfId="0" applyNumberFormat="1" applyFont="1" applyFill="1" applyBorder="1" applyAlignment="1">
      <alignment horizontal="right"/>
    </xf>
    <xf numFmtId="173" fontId="10" fillId="6" borderId="52" xfId="0" applyNumberFormat="1" applyFont="1" applyFill="1" applyBorder="1" applyAlignment="1">
      <alignment horizontal="right"/>
    </xf>
    <xf numFmtId="0" fontId="6" fillId="6" borderId="354" xfId="0" quotePrefix="1" applyFont="1" applyFill="1" applyBorder="1" applyAlignment="1" applyProtection="1">
      <alignment vertical="center"/>
      <protection hidden="1"/>
    </xf>
    <xf numFmtId="4" fontId="10" fillId="6" borderId="41" xfId="0" applyNumberFormat="1" applyFont="1" applyFill="1" applyBorder="1" applyAlignment="1">
      <alignment horizontal="right"/>
    </xf>
    <xf numFmtId="173" fontId="10" fillId="6" borderId="41" xfId="0" applyNumberFormat="1" applyFont="1" applyFill="1" applyBorder="1" applyAlignment="1">
      <alignment horizontal="right"/>
    </xf>
    <xf numFmtId="0" fontId="6" fillId="6" borderId="58" xfId="0" quotePrefix="1" applyFont="1" applyFill="1" applyBorder="1" applyAlignment="1">
      <alignment vertical="center"/>
    </xf>
    <xf numFmtId="4" fontId="28" fillId="12" borderId="347" xfId="0" applyNumberFormat="1" applyFont="1" applyFill="1" applyBorder="1" applyAlignment="1">
      <alignment horizontal="right"/>
    </xf>
    <xf numFmtId="173" fontId="28" fillId="12" borderId="347" xfId="0" applyNumberFormat="1" applyFont="1" applyFill="1" applyBorder="1" applyAlignment="1">
      <alignment horizontal="right"/>
    </xf>
    <xf numFmtId="174" fontId="17" fillId="12" borderId="381" xfId="0" applyNumberFormat="1" applyFont="1" applyFill="1" applyBorder="1" applyAlignment="1" applyProtection="1">
      <alignment horizontal="right" vertical="center"/>
      <protection locked="0"/>
    </xf>
    <xf numFmtId="3" fontId="21" fillId="17" borderId="346" xfId="0" applyNumberFormat="1" applyFont="1" applyFill="1" applyBorder="1" applyAlignment="1" applyProtection="1">
      <alignment vertical="center"/>
      <protection hidden="1"/>
    </xf>
    <xf numFmtId="0" fontId="15" fillId="9" borderId="389" xfId="0" quotePrefix="1" applyFont="1" applyFill="1" applyBorder="1" applyAlignment="1" applyProtection="1">
      <alignment vertical="center"/>
      <protection hidden="1"/>
    </xf>
    <xf numFmtId="0" fontId="15" fillId="9" borderId="390" xfId="0" quotePrefix="1" applyFont="1" applyFill="1" applyBorder="1" applyAlignment="1" applyProtection="1">
      <alignment vertical="center"/>
      <protection hidden="1"/>
    </xf>
    <xf numFmtId="164" fontId="17" fillId="41" borderId="391" xfId="0" applyNumberFormat="1" applyFont="1" applyFill="1" applyBorder="1" applyAlignment="1" applyProtection="1">
      <alignment vertical="center"/>
      <protection locked="0" hidden="1"/>
    </xf>
    <xf numFmtId="164" fontId="21" fillId="17" borderId="31" xfId="0" applyNumberFormat="1" applyFont="1" applyFill="1" applyBorder="1" applyAlignment="1" applyProtection="1">
      <alignment vertical="center"/>
      <protection hidden="1"/>
    </xf>
    <xf numFmtId="164" fontId="28" fillId="17" borderId="392" xfId="0" applyNumberFormat="1" applyFont="1" applyFill="1" applyBorder="1" applyAlignment="1" applyProtection="1">
      <alignment vertical="center"/>
      <protection hidden="1"/>
    </xf>
    <xf numFmtId="0" fontId="6" fillId="9" borderId="393" xfId="0" applyFont="1" applyFill="1" applyBorder="1" applyAlignment="1" applyProtection="1">
      <alignment horizontal="center" vertical="center"/>
      <protection hidden="1"/>
    </xf>
    <xf numFmtId="0" fontId="55" fillId="12" borderId="249" xfId="0" applyFont="1" applyFill="1" applyBorder="1"/>
    <xf numFmtId="0" fontId="1" fillId="0" borderId="237" xfId="0" applyFont="1" applyBorder="1"/>
    <xf numFmtId="0" fontId="1" fillId="0" borderId="255" xfId="0" applyFont="1" applyBorder="1"/>
    <xf numFmtId="0" fontId="1" fillId="12" borderId="215" xfId="0" applyFont="1" applyFill="1" applyBorder="1"/>
    <xf numFmtId="0" fontId="1" fillId="12" borderId="216" xfId="0" applyFont="1" applyFill="1" applyBorder="1"/>
    <xf numFmtId="0" fontId="1" fillId="12" borderId="217" xfId="0" applyFont="1" applyFill="1" applyBorder="1"/>
    <xf numFmtId="0" fontId="1" fillId="12" borderId="218" xfId="0" applyFont="1" applyFill="1" applyBorder="1"/>
    <xf numFmtId="4" fontId="9" fillId="23" borderId="254" xfId="0" applyNumberFormat="1" applyFont="1" applyFill="1" applyBorder="1"/>
    <xf numFmtId="4" fontId="5" fillId="23" borderId="254" xfId="0" quotePrefix="1" applyNumberFormat="1" applyFont="1" applyFill="1" applyBorder="1" applyAlignment="1">
      <alignment horizontal="left"/>
    </xf>
    <xf numFmtId="4" fontId="5" fillId="23" borderId="254" xfId="0" applyNumberFormat="1" applyFont="1" applyFill="1" applyBorder="1"/>
    <xf numFmtId="3" fontId="5" fillId="23" borderId="254" xfId="0" applyNumberFormat="1" applyFont="1" applyFill="1" applyBorder="1"/>
    <xf numFmtId="4" fontId="9" fillId="23" borderId="236" xfId="0" applyNumberFormat="1" applyFont="1" applyFill="1" applyBorder="1"/>
    <xf numFmtId="4" fontId="5" fillId="23" borderId="236" xfId="0" quotePrefix="1" applyNumberFormat="1" applyFont="1" applyFill="1" applyBorder="1" applyAlignment="1">
      <alignment horizontal="left"/>
    </xf>
    <xf numFmtId="4" fontId="5" fillId="23" borderId="236" xfId="0" applyNumberFormat="1" applyFont="1" applyFill="1" applyBorder="1"/>
    <xf numFmtId="3" fontId="5" fillId="23" borderId="236" xfId="0" applyNumberFormat="1" applyFont="1" applyFill="1" applyBorder="1"/>
    <xf numFmtId="0" fontId="55" fillId="23" borderId="13" xfId="0" quotePrefix="1" applyFont="1" applyFill="1" applyBorder="1" applyAlignment="1">
      <alignment horizontal="left" vertical="center"/>
    </xf>
    <xf numFmtId="174" fontId="6" fillId="9" borderId="89" xfId="0" applyNumberFormat="1" applyFont="1" applyFill="1" applyBorder="1" applyAlignment="1" applyProtection="1">
      <alignment horizontal="right" vertical="center"/>
      <protection hidden="1"/>
    </xf>
    <xf numFmtId="174" fontId="6" fillId="9" borderId="394" xfId="0" applyNumberFormat="1" applyFont="1" applyFill="1" applyBorder="1" applyAlignment="1" applyProtection="1">
      <alignment horizontal="right" vertical="center"/>
      <protection hidden="1"/>
    </xf>
    <xf numFmtId="0" fontId="14" fillId="9" borderId="386" xfId="0" applyFont="1" applyFill="1" applyBorder="1" applyAlignment="1" applyProtection="1">
      <alignment vertical="center"/>
      <protection hidden="1"/>
    </xf>
    <xf numFmtId="0" fontId="10" fillId="9" borderId="312" xfId="0" applyFont="1" applyFill="1" applyBorder="1" applyAlignment="1" applyProtection="1">
      <alignment vertical="center"/>
      <protection hidden="1"/>
    </xf>
    <xf numFmtId="173" fontId="6" fillId="9" borderId="373" xfId="1" applyNumberFormat="1" applyFont="1" applyFill="1" applyBorder="1" applyAlignment="1" applyProtection="1">
      <alignment horizontal="right" vertical="center"/>
      <protection hidden="1"/>
    </xf>
    <xf numFmtId="173" fontId="6" fillId="9" borderId="374" xfId="1" applyNumberFormat="1" applyFont="1" applyFill="1" applyBorder="1" applyAlignment="1" applyProtection="1">
      <alignment vertical="center"/>
      <protection hidden="1"/>
    </xf>
    <xf numFmtId="173" fontId="6" fillId="9" borderId="388" xfId="1" applyNumberFormat="1" applyFont="1" applyFill="1" applyBorder="1" applyAlignment="1" applyProtection="1">
      <alignment vertical="center"/>
      <protection hidden="1"/>
    </xf>
    <xf numFmtId="164" fontId="6" fillId="9" borderId="396" xfId="0" applyNumberFormat="1" applyFont="1" applyFill="1" applyBorder="1" applyAlignment="1" applyProtection="1">
      <alignment vertical="center"/>
      <protection hidden="1"/>
    </xf>
    <xf numFmtId="164" fontId="6" fillId="9" borderId="397" xfId="0" applyNumberFormat="1" applyFont="1" applyFill="1" applyBorder="1" applyAlignment="1" applyProtection="1">
      <alignment vertical="center"/>
      <protection hidden="1"/>
    </xf>
    <xf numFmtId="164" fontId="6" fillId="9" borderId="398" xfId="0" applyNumberFormat="1" applyFont="1" applyFill="1" applyBorder="1" applyAlignment="1" applyProtection="1">
      <alignment vertical="center"/>
      <protection hidden="1"/>
    </xf>
    <xf numFmtId="174" fontId="6" fillId="9" borderId="86" xfId="0" applyNumberFormat="1" applyFont="1" applyFill="1" applyBorder="1" applyAlignment="1" applyProtection="1">
      <alignment horizontal="right" vertical="center"/>
      <protection hidden="1"/>
    </xf>
    <xf numFmtId="0" fontId="15" fillId="9" borderId="395" xfId="0" quotePrefix="1" applyFont="1" applyFill="1" applyBorder="1" applyAlignment="1" applyProtection="1">
      <alignment vertical="center"/>
      <protection hidden="1"/>
    </xf>
    <xf numFmtId="0" fontId="6" fillId="0" borderId="241" xfId="0" applyFont="1" applyBorder="1" applyProtection="1">
      <protection hidden="1"/>
    </xf>
    <xf numFmtId="0" fontId="6" fillId="0" borderId="242" xfId="0" applyFont="1" applyBorder="1" applyProtection="1">
      <protection hidden="1"/>
    </xf>
    <xf numFmtId="0" fontId="6" fillId="0" borderId="399" xfId="0" applyFont="1" applyBorder="1" applyProtection="1">
      <protection hidden="1"/>
    </xf>
    <xf numFmtId="0" fontId="15" fillId="9" borderId="373" xfId="0" quotePrefix="1" applyFont="1" applyFill="1" applyBorder="1" applyAlignment="1" applyProtection="1">
      <alignment vertical="center"/>
      <protection hidden="1"/>
    </xf>
    <xf numFmtId="1" fontId="15" fillId="9" borderId="374" xfId="3" applyNumberFormat="1" applyFont="1" applyFill="1" applyBorder="1" applyAlignment="1" applyProtection="1">
      <alignment vertical="center"/>
      <protection hidden="1"/>
    </xf>
    <xf numFmtId="0" fontId="15" fillId="9" borderId="388" xfId="0" quotePrefix="1" applyFont="1" applyFill="1" applyBorder="1" applyAlignment="1" applyProtection="1">
      <alignment vertical="center"/>
      <protection hidden="1"/>
    </xf>
    <xf numFmtId="0" fontId="14" fillId="9" borderId="240" xfId="0" applyFont="1" applyFill="1" applyBorder="1" applyAlignment="1" applyProtection="1">
      <alignment horizontal="center" vertical="center"/>
      <protection hidden="1"/>
    </xf>
    <xf numFmtId="0" fontId="14" fillId="9" borderId="241" xfId="0" applyFont="1" applyFill="1" applyBorder="1" applyAlignment="1" applyProtection="1">
      <alignment horizontal="center" vertical="center"/>
      <protection hidden="1"/>
    </xf>
    <xf numFmtId="0" fontId="6" fillId="0" borderId="385" xfId="0" applyFont="1" applyBorder="1" applyAlignment="1" applyProtection="1">
      <alignment vertical="center"/>
      <protection hidden="1"/>
    </xf>
    <xf numFmtId="0" fontId="14" fillId="9" borderId="240" xfId="0" applyFont="1" applyFill="1" applyBorder="1" applyAlignment="1" applyProtection="1">
      <alignment horizontal="center" vertical="top"/>
      <protection hidden="1"/>
    </xf>
    <xf numFmtId="4" fontId="9" fillId="23" borderId="401" xfId="0" applyNumberFormat="1" applyFont="1" applyFill="1" applyBorder="1"/>
    <xf numFmtId="4" fontId="5" fillId="23" borderId="401" xfId="0" applyNumberFormat="1" applyFont="1" applyFill="1" applyBorder="1"/>
    <xf numFmtId="4" fontId="5" fillId="23" borderId="401" xfId="0" quotePrefix="1" applyNumberFormat="1" applyFont="1" applyFill="1" applyBorder="1" applyAlignment="1">
      <alignment horizontal="left"/>
    </xf>
    <xf numFmtId="3" fontId="5" fillId="23" borderId="401" xfId="0" applyNumberFormat="1" applyFont="1" applyFill="1" applyBorder="1"/>
    <xf numFmtId="4" fontId="5" fillId="23" borderId="400" xfId="0" applyNumberFormat="1" applyFont="1" applyFill="1" applyBorder="1"/>
    <xf numFmtId="4" fontId="50" fillId="9" borderId="384" xfId="0" applyNumberFormat="1" applyFont="1" applyFill="1" applyBorder="1" applyAlignment="1">
      <alignment vertical="center"/>
    </xf>
    <xf numFmtId="0" fontId="17" fillId="18" borderId="240" xfId="0" applyFont="1" applyFill="1" applyBorder="1" applyProtection="1">
      <protection hidden="1"/>
    </xf>
    <xf numFmtId="0" fontId="6" fillId="18" borderId="240" xfId="0" applyFont="1" applyFill="1" applyBorder="1" applyProtection="1">
      <protection hidden="1"/>
    </xf>
    <xf numFmtId="166" fontId="28" fillId="18" borderId="240" xfId="0" applyNumberFormat="1" applyFont="1" applyFill="1" applyBorder="1" applyAlignment="1" applyProtection="1">
      <alignment vertical="center"/>
      <protection hidden="1"/>
    </xf>
    <xf numFmtId="173" fontId="28" fillId="18" borderId="240" xfId="1" applyNumberFormat="1" applyFont="1" applyFill="1" applyBorder="1" applyAlignment="1" applyProtection="1">
      <alignment vertical="center"/>
      <protection hidden="1"/>
    </xf>
    <xf numFmtId="0" fontId="29" fillId="37" borderId="344" xfId="0" applyFont="1" applyFill="1" applyBorder="1" applyProtection="1">
      <protection hidden="1"/>
    </xf>
    <xf numFmtId="0" fontId="17" fillId="6" borderId="402" xfId="0" applyFont="1" applyFill="1" applyBorder="1" applyAlignment="1" applyProtection="1">
      <alignment horizontal="center" vertical="center"/>
      <protection hidden="1"/>
    </xf>
    <xf numFmtId="0" fontId="17" fillId="6" borderId="403" xfId="0" applyFont="1" applyFill="1" applyBorder="1" applyAlignment="1" applyProtection="1">
      <alignment horizontal="center" vertical="center"/>
      <protection hidden="1"/>
    </xf>
    <xf numFmtId="0" fontId="17" fillId="6" borderId="404" xfId="0" applyFont="1" applyFill="1" applyBorder="1" applyAlignment="1" applyProtection="1">
      <alignment horizontal="center" vertical="center"/>
      <protection hidden="1"/>
    </xf>
    <xf numFmtId="164" fontId="55" fillId="0" borderId="30" xfId="0" applyNumberFormat="1" applyFont="1" applyBorder="1"/>
    <xf numFmtId="167" fontId="55" fillId="11" borderId="30" xfId="0" applyNumberFormat="1" applyFont="1" applyFill="1" applyBorder="1" applyAlignment="1">
      <alignment horizontal="right" vertical="center"/>
    </xf>
    <xf numFmtId="167" fontId="55" fillId="45" borderId="124" xfId="0" applyNumberFormat="1" applyFont="1" applyFill="1" applyBorder="1" applyAlignment="1">
      <alignment horizontal="right" vertical="center"/>
    </xf>
    <xf numFmtId="167" fontId="55" fillId="45" borderId="123" xfId="0" applyNumberFormat="1" applyFont="1" applyFill="1" applyBorder="1" applyAlignment="1">
      <alignment horizontal="right" vertical="center"/>
    </xf>
    <xf numFmtId="166" fontId="10" fillId="12" borderId="285" xfId="0" applyNumberFormat="1" applyFont="1" applyFill="1" applyBorder="1" applyProtection="1">
      <protection hidden="1"/>
    </xf>
    <xf numFmtId="166" fontId="10" fillId="12" borderId="279" xfId="0" applyNumberFormat="1" applyFont="1" applyFill="1" applyBorder="1" applyProtection="1">
      <protection hidden="1"/>
    </xf>
    <xf numFmtId="166" fontId="10" fillId="12" borderId="283" xfId="0" applyNumberFormat="1" applyFont="1" applyFill="1" applyBorder="1" applyProtection="1">
      <protection hidden="1"/>
    </xf>
    <xf numFmtId="3" fontId="14" fillId="12" borderId="285" xfId="0" applyNumberFormat="1" applyFont="1" applyFill="1" applyBorder="1" applyProtection="1">
      <protection hidden="1"/>
    </xf>
    <xf numFmtId="3" fontId="14" fillId="0" borderId="288" xfId="0" applyNumberFormat="1" applyFont="1" applyBorder="1" applyProtection="1">
      <protection hidden="1"/>
    </xf>
    <xf numFmtId="3" fontId="14" fillId="0" borderId="249" xfId="0" applyNumberFormat="1" applyFont="1" applyBorder="1" applyProtection="1">
      <protection hidden="1"/>
    </xf>
    <xf numFmtId="3" fontId="14" fillId="0" borderId="286" xfId="0" applyNumberFormat="1" applyFont="1" applyBorder="1" applyProtection="1">
      <protection hidden="1"/>
    </xf>
    <xf numFmtId="0" fontId="55" fillId="27" borderId="50" xfId="0" quotePrefix="1" applyFont="1" applyFill="1" applyBorder="1" applyAlignment="1">
      <alignment horizontal="left"/>
    </xf>
    <xf numFmtId="0" fontId="55" fillId="27" borderId="53" xfId="0" quotePrefix="1" applyFont="1" applyFill="1" applyBorder="1" applyAlignment="1">
      <alignment horizontal="left"/>
    </xf>
    <xf numFmtId="0" fontId="55" fillId="0" borderId="54" xfId="0" quotePrefix="1" applyFont="1" applyBorder="1" applyAlignment="1">
      <alignment horizontal="left"/>
    </xf>
    <xf numFmtId="0" fontId="55" fillId="0" borderId="54" xfId="0" quotePrefix="1" applyFont="1" applyBorder="1"/>
    <xf numFmtId="0" fontId="55" fillId="0" borderId="41" xfId="0" quotePrefix="1" applyFont="1" applyBorder="1"/>
    <xf numFmtId="0" fontId="55" fillId="0" borderId="41" xfId="0" quotePrefix="1" applyFont="1" applyBorder="1" applyAlignment="1">
      <alignment horizontal="left"/>
    </xf>
    <xf numFmtId="0" fontId="55" fillId="2" borderId="24" xfId="0" quotePrefix="1" applyFont="1" applyFill="1" applyBorder="1" applyAlignment="1">
      <alignment horizontal="left"/>
    </xf>
    <xf numFmtId="0" fontId="55" fillId="0" borderId="32" xfId="0" quotePrefix="1" applyFont="1" applyBorder="1"/>
    <xf numFmtId="3" fontId="75" fillId="6" borderId="279" xfId="0" applyNumberFormat="1" applyFont="1" applyFill="1" applyBorder="1" applyProtection="1">
      <protection hidden="1"/>
    </xf>
    <xf numFmtId="3" fontId="75" fillId="6" borderId="283" xfId="0" applyNumberFormat="1" applyFont="1" applyFill="1" applyBorder="1" applyProtection="1">
      <protection hidden="1"/>
    </xf>
    <xf numFmtId="4" fontId="9" fillId="42" borderId="254" xfId="0" applyNumberFormat="1" applyFont="1" applyFill="1" applyBorder="1"/>
    <xf numFmtId="4" fontId="5" fillId="42" borderId="254" xfId="0" quotePrefix="1" applyNumberFormat="1" applyFont="1" applyFill="1" applyBorder="1" applyAlignment="1">
      <alignment horizontal="left"/>
    </xf>
    <xf numFmtId="4" fontId="5" fillId="42" borderId="254" xfId="0" applyNumberFormat="1" applyFont="1" applyFill="1" applyBorder="1"/>
    <xf numFmtId="3" fontId="5" fillId="42" borderId="254" xfId="0" applyNumberFormat="1" applyFont="1" applyFill="1" applyBorder="1"/>
    <xf numFmtId="4" fontId="9" fillId="42" borderId="401" xfId="0" applyNumberFormat="1" applyFont="1" applyFill="1" applyBorder="1"/>
    <xf numFmtId="4" fontId="5" fillId="42" borderId="401" xfId="0" applyNumberFormat="1" applyFont="1" applyFill="1" applyBorder="1"/>
    <xf numFmtId="4" fontId="5" fillId="42" borderId="401" xfId="0" quotePrefix="1" applyNumberFormat="1" applyFont="1" applyFill="1" applyBorder="1" applyAlignment="1">
      <alignment horizontal="left"/>
    </xf>
    <xf numFmtId="3" fontId="5" fillId="42" borderId="401" xfId="0" applyNumberFormat="1" applyFont="1" applyFill="1" applyBorder="1"/>
    <xf numFmtId="4" fontId="9" fillId="42" borderId="236" xfId="0" applyNumberFormat="1" applyFont="1" applyFill="1" applyBorder="1"/>
    <xf numFmtId="4" fontId="5" fillId="42" borderId="236" xfId="0" quotePrefix="1" applyNumberFormat="1" applyFont="1" applyFill="1" applyBorder="1" applyAlignment="1">
      <alignment horizontal="left"/>
    </xf>
    <xf numFmtId="4" fontId="5" fillId="42" borderId="236" xfId="0" applyNumberFormat="1" applyFont="1" applyFill="1" applyBorder="1"/>
    <xf numFmtId="3" fontId="5" fillId="42" borderId="236" xfId="0" applyNumberFormat="1" applyFont="1" applyFill="1" applyBorder="1"/>
    <xf numFmtId="0" fontId="55" fillId="23" borderId="169" xfId="0" quotePrefix="1" applyFont="1" applyFill="1" applyBorder="1" applyAlignment="1">
      <alignment horizontal="left" vertical="top"/>
    </xf>
    <xf numFmtId="0" fontId="55" fillId="23" borderId="169" xfId="0" applyFont="1" applyFill="1" applyBorder="1" applyAlignment="1">
      <alignment horizontal="left"/>
    </xf>
    <xf numFmtId="167" fontId="55" fillId="11" borderId="170" xfId="0" applyNumberFormat="1" applyFont="1" applyFill="1" applyBorder="1" applyAlignment="1">
      <alignment horizontal="right" vertical="center"/>
    </xf>
    <xf numFmtId="167" fontId="55" fillId="11" borderId="63" xfId="0" applyNumberFormat="1" applyFont="1" applyFill="1" applyBorder="1" applyAlignment="1">
      <alignment horizontal="right" vertical="center"/>
    </xf>
    <xf numFmtId="167" fontId="55" fillId="11" borderId="64" xfId="0" applyNumberFormat="1" applyFont="1" applyFill="1" applyBorder="1" applyAlignment="1">
      <alignment horizontal="right" vertical="center"/>
    </xf>
    <xf numFmtId="0" fontId="55" fillId="12" borderId="396" xfId="0" applyFont="1" applyFill="1" applyBorder="1" applyAlignment="1">
      <alignment horizontal="left"/>
    </xf>
    <xf numFmtId="0" fontId="55" fillId="12" borderId="398" xfId="0" applyFont="1" applyFill="1" applyBorder="1" applyAlignment="1">
      <alignment horizontal="left"/>
    </xf>
    <xf numFmtId="168" fontId="55" fillId="12" borderId="396" xfId="0" applyNumberFormat="1" applyFont="1" applyFill="1" applyBorder="1"/>
    <xf numFmtId="168" fontId="55" fillId="12" borderId="398" xfId="0" applyNumberFormat="1" applyFont="1" applyFill="1" applyBorder="1"/>
    <xf numFmtId="0" fontId="10" fillId="9" borderId="65" xfId="2" quotePrefix="1" applyFont="1" applyFill="1" applyBorder="1" applyAlignment="1" applyProtection="1">
      <alignment horizontal="left" vertical="center"/>
      <protection hidden="1"/>
    </xf>
    <xf numFmtId="0" fontId="10" fillId="9" borderId="65" xfId="2" applyFont="1" applyFill="1" applyBorder="1" applyAlignment="1" applyProtection="1">
      <alignment horizontal="left" vertical="center"/>
      <protection hidden="1"/>
    </xf>
    <xf numFmtId="165" fontId="8" fillId="9" borderId="173" xfId="0" quotePrefix="1" applyNumberFormat="1" applyFont="1" applyFill="1" applyBorder="1" applyAlignment="1" applyProtection="1">
      <alignment horizontal="left" vertical="center"/>
      <protection hidden="1"/>
    </xf>
    <xf numFmtId="165" fontId="8" fillId="9" borderId="65" xfId="0" applyNumberFormat="1" applyFont="1" applyFill="1" applyBorder="1" applyAlignment="1" applyProtection="1">
      <alignment horizontal="left" vertical="center"/>
      <protection hidden="1"/>
    </xf>
    <xf numFmtId="165" fontId="8" fillId="0" borderId="83" xfId="0" applyNumberFormat="1" applyFont="1" applyBorder="1" applyAlignment="1" applyProtection="1">
      <alignment horizontal="left" vertical="center"/>
      <protection hidden="1"/>
    </xf>
    <xf numFmtId="165" fontId="8" fillId="0" borderId="154" xfId="0" applyNumberFormat="1" applyFont="1" applyBorder="1" applyAlignment="1" applyProtection="1">
      <alignment horizontal="left" vertical="center"/>
      <protection hidden="1"/>
    </xf>
    <xf numFmtId="165" fontId="8" fillId="0" borderId="154" xfId="0" quotePrefix="1" applyNumberFormat="1" applyFont="1" applyBorder="1" applyAlignment="1" applyProtection="1">
      <alignment horizontal="left" vertical="center"/>
      <protection hidden="1"/>
    </xf>
    <xf numFmtId="165" fontId="8" fillId="0" borderId="69" xfId="0" quotePrefix="1" applyNumberFormat="1" applyFont="1" applyBorder="1" applyAlignment="1" applyProtection="1">
      <alignment horizontal="left" vertical="center"/>
      <protection hidden="1"/>
    </xf>
    <xf numFmtId="165" fontId="8" fillId="0" borderId="65" xfId="0" quotePrefix="1" applyNumberFormat="1" applyFont="1" applyBorder="1" applyAlignment="1" applyProtection="1">
      <alignment horizontal="left" vertical="center"/>
      <protection hidden="1"/>
    </xf>
    <xf numFmtId="2" fontId="8" fillId="0" borderId="65" xfId="0" applyNumberFormat="1" applyFont="1" applyBorder="1" applyAlignment="1" applyProtection="1">
      <alignment horizontal="left" vertical="center"/>
      <protection hidden="1"/>
    </xf>
    <xf numFmtId="2" fontId="8" fillId="0" borderId="73" xfId="0" quotePrefix="1" applyNumberFormat="1" applyFont="1" applyBorder="1" applyAlignment="1" applyProtection="1">
      <alignment horizontal="left" vertical="center"/>
      <protection hidden="1"/>
    </xf>
    <xf numFmtId="2" fontId="8" fillId="0" borderId="65" xfId="0" applyNumberFormat="1" applyFont="1" applyBorder="1" applyAlignment="1" applyProtection="1">
      <alignment vertical="center"/>
      <protection hidden="1"/>
    </xf>
    <xf numFmtId="0" fontId="6" fillId="0" borderId="65" xfId="0" applyFont="1" applyBorder="1" applyAlignment="1" applyProtection="1">
      <alignment vertical="center"/>
      <protection hidden="1"/>
    </xf>
    <xf numFmtId="2" fontId="8" fillId="0" borderId="154" xfId="0" applyNumberFormat="1" applyFont="1" applyBorder="1" applyAlignment="1" applyProtection="1">
      <alignment horizontal="left" vertical="center"/>
      <protection hidden="1"/>
    </xf>
    <xf numFmtId="2" fontId="8" fillId="0" borderId="115" xfId="0" applyNumberFormat="1" applyFont="1" applyBorder="1" applyAlignment="1" applyProtection="1">
      <alignment horizontal="left" vertical="center"/>
      <protection hidden="1"/>
    </xf>
    <xf numFmtId="0" fontId="10" fillId="9" borderId="73" xfId="2" applyFont="1" applyFill="1" applyBorder="1" applyAlignment="1" applyProtection="1">
      <alignment horizontal="left" vertical="center"/>
      <protection hidden="1"/>
    </xf>
    <xf numFmtId="0" fontId="6" fillId="0" borderId="65" xfId="0" applyFont="1" applyBorder="1" applyProtection="1">
      <protection hidden="1"/>
    </xf>
    <xf numFmtId="0" fontId="10" fillId="9" borderId="69" xfId="2" applyFont="1" applyFill="1" applyBorder="1" applyAlignment="1" applyProtection="1">
      <alignment horizontal="left" vertical="center"/>
      <protection hidden="1"/>
    </xf>
    <xf numFmtId="165" fontId="8" fillId="0" borderId="106" xfId="0" applyNumberFormat="1" applyFont="1" applyBorder="1" applyAlignment="1" applyProtection="1">
      <alignment horizontal="left" vertical="center"/>
      <protection hidden="1"/>
    </xf>
    <xf numFmtId="165" fontId="8" fillId="0" borderId="73" xfId="0" applyNumberFormat="1" applyFont="1" applyBorder="1" applyAlignment="1" applyProtection="1">
      <alignment horizontal="left" vertical="center"/>
      <protection hidden="1"/>
    </xf>
    <xf numFmtId="165" fontId="8" fillId="0" borderId="115" xfId="0" applyNumberFormat="1" applyFont="1" applyBorder="1" applyAlignment="1" applyProtection="1">
      <alignment horizontal="left" vertical="center"/>
      <protection hidden="1"/>
    </xf>
    <xf numFmtId="0" fontId="10" fillId="9" borderId="173" xfId="2" quotePrefix="1" applyFont="1" applyFill="1" applyBorder="1" applyAlignment="1" applyProtection="1">
      <alignment horizontal="left" vertical="center"/>
      <protection hidden="1"/>
    </xf>
    <xf numFmtId="0" fontId="10" fillId="9" borderId="154" xfId="2" quotePrefix="1" applyFont="1" applyFill="1" applyBorder="1" applyAlignment="1" applyProtection="1">
      <alignment horizontal="left" vertical="center"/>
      <protection hidden="1"/>
    </xf>
    <xf numFmtId="0" fontId="10" fillId="9" borderId="154" xfId="2" applyFont="1" applyFill="1" applyBorder="1" applyAlignment="1" applyProtection="1">
      <alignment horizontal="left" vertical="center"/>
      <protection hidden="1"/>
    </xf>
    <xf numFmtId="165" fontId="8" fillId="9" borderId="154" xfId="0" applyNumberFormat="1" applyFont="1" applyFill="1" applyBorder="1" applyAlignment="1" applyProtection="1">
      <alignment horizontal="left" vertical="center"/>
      <protection hidden="1"/>
    </xf>
    <xf numFmtId="165" fontId="8" fillId="9" borderId="207" xfId="0" applyNumberFormat="1" applyFont="1" applyFill="1" applyBorder="1" applyAlignment="1" applyProtection="1">
      <alignment horizontal="left" vertical="center"/>
      <protection hidden="1"/>
    </xf>
    <xf numFmtId="165" fontId="8" fillId="0" borderId="173" xfId="0" applyNumberFormat="1" applyFont="1" applyBorder="1" applyAlignment="1" applyProtection="1">
      <alignment horizontal="left" vertical="center"/>
      <protection hidden="1"/>
    </xf>
    <xf numFmtId="165" fontId="8" fillId="0" borderId="207" xfId="0" applyNumberFormat="1" applyFont="1" applyBorder="1" applyAlignment="1" applyProtection="1">
      <alignment horizontal="left" vertical="center"/>
      <protection hidden="1"/>
    </xf>
    <xf numFmtId="165" fontId="8" fillId="0" borderId="106" xfId="0" quotePrefix="1" applyNumberFormat="1" applyFont="1" applyBorder="1" applyAlignment="1" applyProtection="1">
      <alignment horizontal="left" vertical="center"/>
      <protection hidden="1"/>
    </xf>
    <xf numFmtId="165" fontId="8" fillId="0" borderId="207" xfId="0" quotePrefix="1" applyNumberFormat="1" applyFont="1" applyBorder="1" applyAlignment="1" applyProtection="1">
      <alignment horizontal="left" vertical="center"/>
      <protection hidden="1"/>
    </xf>
    <xf numFmtId="165" fontId="8" fillId="0" borderId="76" xfId="0" quotePrefix="1" applyNumberFormat="1" applyFont="1" applyBorder="1" applyAlignment="1" applyProtection="1">
      <alignment horizontal="left" vertical="center"/>
      <protection hidden="1"/>
    </xf>
    <xf numFmtId="165" fontId="8" fillId="0" borderId="173" xfId="0" quotePrefix="1" applyNumberFormat="1" applyFont="1" applyBorder="1" applyAlignment="1" applyProtection="1">
      <alignment horizontal="left" vertical="center"/>
      <protection hidden="1"/>
    </xf>
    <xf numFmtId="165" fontId="8" fillId="0" borderId="76" xfId="0" quotePrefix="1" applyNumberFormat="1" applyFont="1" applyBorder="1" applyAlignment="1" applyProtection="1">
      <alignment vertical="center"/>
      <protection hidden="1"/>
    </xf>
    <xf numFmtId="2" fontId="8" fillId="0" borderId="173" xfId="0" applyNumberFormat="1" applyFont="1" applyBorder="1" applyAlignment="1" applyProtection="1">
      <alignment vertical="center"/>
      <protection hidden="1"/>
    </xf>
    <xf numFmtId="2" fontId="8" fillId="0" borderId="207" xfId="0" applyNumberFormat="1" applyFont="1" applyBorder="1" applyAlignment="1" applyProtection="1">
      <alignment horizontal="left" vertical="center"/>
      <protection hidden="1"/>
    </xf>
    <xf numFmtId="2" fontId="8" fillId="0" borderId="173" xfId="0" applyNumberFormat="1" applyFont="1" applyBorder="1" applyAlignment="1" applyProtection="1">
      <alignment horizontal="left" vertical="center"/>
      <protection hidden="1"/>
    </xf>
    <xf numFmtId="2" fontId="8" fillId="0" borderId="154" xfId="0" quotePrefix="1" applyNumberFormat="1" applyFont="1" applyBorder="1" applyAlignment="1" applyProtection="1">
      <alignment horizontal="left" vertical="center"/>
      <protection hidden="1"/>
    </xf>
    <xf numFmtId="2" fontId="8" fillId="0" borderId="261" xfId="0" quotePrefix="1" applyNumberFormat="1" applyFont="1" applyBorder="1" applyAlignment="1" applyProtection="1">
      <alignment horizontal="left" vertical="center"/>
      <protection hidden="1"/>
    </xf>
    <xf numFmtId="2" fontId="8" fillId="0" borderId="173" xfId="0" quotePrefix="1" applyNumberFormat="1" applyFont="1" applyBorder="1" applyAlignment="1" applyProtection="1">
      <alignment horizontal="left" vertical="center"/>
      <protection hidden="1"/>
    </xf>
    <xf numFmtId="2" fontId="8" fillId="0" borderId="154" xfId="0" applyNumberFormat="1" applyFont="1" applyBorder="1" applyAlignment="1" applyProtection="1">
      <alignment vertical="center"/>
      <protection hidden="1"/>
    </xf>
    <xf numFmtId="2" fontId="8" fillId="0" borderId="207" xfId="0" quotePrefix="1" applyNumberFormat="1" applyFont="1" applyBorder="1" applyAlignment="1" applyProtection="1">
      <alignment horizontal="left" vertical="center"/>
      <protection hidden="1"/>
    </xf>
    <xf numFmtId="0" fontId="6" fillId="0" borderId="154" xfId="0" applyFont="1" applyBorder="1" applyAlignment="1" applyProtection="1">
      <alignment vertical="center"/>
      <protection hidden="1"/>
    </xf>
    <xf numFmtId="0" fontId="6" fillId="0" borderId="207" xfId="0" applyFont="1" applyBorder="1" applyAlignment="1" applyProtection="1">
      <alignment vertical="center"/>
      <protection hidden="1"/>
    </xf>
    <xf numFmtId="2" fontId="8" fillId="0" borderId="76" xfId="0" applyNumberFormat="1" applyFont="1" applyBorder="1" applyAlignment="1" applyProtection="1">
      <alignment horizontal="left" vertical="center"/>
      <protection hidden="1"/>
    </xf>
    <xf numFmtId="2" fontId="8" fillId="0" borderId="79" xfId="0" applyNumberFormat="1" applyFont="1" applyBorder="1" applyAlignment="1" applyProtection="1">
      <alignment horizontal="left" vertical="center"/>
      <protection hidden="1"/>
    </xf>
    <xf numFmtId="0" fontId="17" fillId="34" borderId="78" xfId="0" applyFont="1" applyFill="1" applyBorder="1" applyAlignment="1" applyProtection="1">
      <alignment horizontal="center" vertical="center"/>
      <protection hidden="1"/>
    </xf>
    <xf numFmtId="165" fontId="8" fillId="0" borderId="79" xfId="0" quotePrefix="1" applyNumberFormat="1" applyFont="1" applyBorder="1" applyAlignment="1" applyProtection="1">
      <alignment horizontal="left" vertical="center"/>
      <protection hidden="1"/>
    </xf>
    <xf numFmtId="0" fontId="17" fillId="34" borderId="84" xfId="0" applyFont="1" applyFill="1" applyBorder="1" applyAlignment="1" applyProtection="1">
      <alignment horizontal="center" vertical="center"/>
      <protection hidden="1"/>
    </xf>
    <xf numFmtId="165" fontId="8" fillId="9" borderId="106" xfId="0" quotePrefix="1" applyNumberFormat="1" applyFont="1" applyFill="1" applyBorder="1" applyAlignment="1" applyProtection="1">
      <alignment horizontal="left" vertical="center"/>
      <protection hidden="1"/>
    </xf>
    <xf numFmtId="165" fontId="8" fillId="9" borderId="115" xfId="0" applyNumberFormat="1" applyFont="1" applyFill="1" applyBorder="1" applyAlignment="1" applyProtection="1">
      <alignment horizontal="left" vertical="center"/>
      <protection hidden="1"/>
    </xf>
    <xf numFmtId="165" fontId="8" fillId="0" borderId="115" xfId="0" quotePrefix="1" applyNumberFormat="1" applyFont="1" applyBorder="1" applyAlignment="1" applyProtection="1">
      <alignment horizontal="left" vertical="center"/>
      <protection hidden="1"/>
    </xf>
    <xf numFmtId="2" fontId="8" fillId="0" borderId="106" xfId="0" applyNumberFormat="1" applyFont="1" applyBorder="1" applyAlignment="1" applyProtection="1">
      <alignment vertical="center"/>
      <protection hidden="1"/>
    </xf>
    <xf numFmtId="2" fontId="8" fillId="0" borderId="77" xfId="0" applyNumberFormat="1" applyFont="1" applyBorder="1" applyAlignment="1" applyProtection="1">
      <alignment horizontal="left" vertical="center"/>
      <protection hidden="1"/>
    </xf>
    <xf numFmtId="2" fontId="8" fillId="0" borderId="106" xfId="0" applyNumberFormat="1" applyFont="1" applyBorder="1" applyAlignment="1" applyProtection="1">
      <alignment horizontal="left" vertical="center"/>
      <protection hidden="1"/>
    </xf>
    <xf numFmtId="2" fontId="8" fillId="0" borderId="106" xfId="0" quotePrefix="1" applyNumberFormat="1" applyFont="1" applyBorder="1" applyAlignment="1" applyProtection="1">
      <alignment horizontal="left" vertical="center"/>
      <protection hidden="1"/>
    </xf>
    <xf numFmtId="0" fontId="6" fillId="0" borderId="115" xfId="0" applyFont="1" applyBorder="1" applyAlignment="1" applyProtection="1">
      <alignment vertical="center"/>
      <protection hidden="1"/>
    </xf>
    <xf numFmtId="0" fontId="6" fillId="0" borderId="115" xfId="0" quotePrefix="1" applyFont="1" applyBorder="1" applyAlignment="1" applyProtection="1">
      <alignment horizontal="left" vertical="center"/>
      <protection hidden="1"/>
    </xf>
    <xf numFmtId="0" fontId="6" fillId="0" borderId="154" xfId="0" applyFont="1" applyBorder="1" applyProtection="1">
      <protection hidden="1"/>
    </xf>
    <xf numFmtId="0" fontId="6" fillId="0" borderId="207" xfId="0" applyFont="1" applyBorder="1" applyProtection="1">
      <protection hidden="1"/>
    </xf>
    <xf numFmtId="0" fontId="6" fillId="0" borderId="115" xfId="0" applyFont="1" applyBorder="1" applyProtection="1">
      <protection hidden="1"/>
    </xf>
    <xf numFmtId="2" fontId="8" fillId="0" borderId="80" xfId="0" applyNumberFormat="1" applyFont="1" applyBorder="1" applyAlignment="1" applyProtection="1">
      <alignment horizontal="left" vertical="center"/>
      <protection hidden="1"/>
    </xf>
    <xf numFmtId="0" fontId="10" fillId="9" borderId="257" xfId="2" applyFont="1" applyFill="1" applyBorder="1" applyAlignment="1" applyProtection="1">
      <alignment horizontal="left" vertical="center"/>
      <protection hidden="1"/>
    </xf>
    <xf numFmtId="0" fontId="14" fillId="0" borderId="77" xfId="2" applyFont="1" applyBorder="1" applyAlignment="1" applyProtection="1">
      <alignment horizontal="center" vertical="center"/>
      <protection hidden="1"/>
    </xf>
    <xf numFmtId="0" fontId="14" fillId="0" borderId="80" xfId="2" applyFont="1" applyBorder="1" applyAlignment="1" applyProtection="1">
      <alignment horizontal="center" vertical="center"/>
      <protection hidden="1"/>
    </xf>
    <xf numFmtId="0" fontId="17" fillId="34" borderId="77" xfId="0" applyFont="1" applyFill="1" applyBorder="1" applyAlignment="1" applyProtection="1">
      <alignment horizontal="center" vertical="center"/>
      <protection hidden="1"/>
    </xf>
    <xf numFmtId="0" fontId="10" fillId="9" borderId="106" xfId="2" quotePrefix="1" applyFont="1" applyFill="1" applyBorder="1" applyAlignment="1" applyProtection="1">
      <alignment horizontal="left" vertical="center"/>
      <protection hidden="1"/>
    </xf>
    <xf numFmtId="165" fontId="8" fillId="0" borderId="84" xfId="0" applyNumberFormat="1" applyFont="1" applyBorder="1" applyAlignment="1" applyProtection="1">
      <alignment horizontal="left" vertical="center"/>
      <protection hidden="1"/>
    </xf>
    <xf numFmtId="165" fontId="8" fillId="0" borderId="65" xfId="0" applyNumberFormat="1" applyFont="1" applyBorder="1" applyAlignment="1" applyProtection="1">
      <alignment horizontal="left" vertical="center"/>
      <protection hidden="1"/>
    </xf>
    <xf numFmtId="165" fontId="8" fillId="0" borderId="77" xfId="0" quotePrefix="1" applyNumberFormat="1" applyFont="1" applyBorder="1" applyAlignment="1" applyProtection="1">
      <alignment horizontal="left" vertical="center"/>
      <protection hidden="1"/>
    </xf>
    <xf numFmtId="165" fontId="8" fillId="0" borderId="77" xfId="0" quotePrefix="1" applyNumberFormat="1" applyFont="1" applyBorder="1" applyAlignment="1" applyProtection="1">
      <alignment vertical="center"/>
      <protection hidden="1"/>
    </xf>
    <xf numFmtId="2" fontId="8" fillId="0" borderId="115" xfId="0" quotePrefix="1" applyNumberFormat="1" applyFont="1" applyBorder="1" applyAlignment="1" applyProtection="1">
      <alignment horizontal="left" vertical="center"/>
      <protection hidden="1"/>
    </xf>
    <xf numFmtId="165" fontId="8" fillId="0" borderId="80" xfId="0" quotePrefix="1" applyNumberFormat="1" applyFont="1" applyBorder="1" applyAlignment="1" applyProtection="1">
      <alignment horizontal="left" vertical="center"/>
      <protection hidden="1"/>
    </xf>
    <xf numFmtId="164" fontId="26" fillId="0" borderId="30" xfId="0" applyNumberFormat="1" applyFont="1" applyBorder="1" applyProtection="1">
      <protection hidden="1"/>
    </xf>
    <xf numFmtId="0" fontId="55" fillId="6" borderId="2" xfId="0" applyFont="1" applyFill="1" applyBorder="1"/>
    <xf numFmtId="0" fontId="55" fillId="6" borderId="1" xfId="0" applyFont="1" applyFill="1" applyBorder="1"/>
    <xf numFmtId="0" fontId="55" fillId="6" borderId="4" xfId="0" applyFont="1" applyFill="1" applyBorder="1"/>
    <xf numFmtId="0" fontId="55" fillId="6" borderId="0" xfId="0" applyFont="1" applyFill="1"/>
    <xf numFmtId="0" fontId="55" fillId="6" borderId="3" xfId="0" applyFont="1" applyFill="1" applyBorder="1"/>
    <xf numFmtId="0" fontId="55" fillId="6" borderId="3" xfId="0" applyFont="1" applyFill="1" applyBorder="1" applyAlignment="1">
      <alignment horizontal="left"/>
    </xf>
    <xf numFmtId="0" fontId="59" fillId="0" borderId="1" xfId="0" applyFont="1" applyBorder="1" applyAlignment="1">
      <alignment horizontal="center"/>
    </xf>
    <xf numFmtId="0" fontId="59" fillId="0" borderId="1" xfId="0" applyFont="1" applyBorder="1" applyAlignment="1">
      <alignment horizontal="center" vertical="top"/>
    </xf>
    <xf numFmtId="0" fontId="59" fillId="0" borderId="4" xfId="0" applyFont="1" applyBorder="1" applyAlignment="1">
      <alignment horizontal="center" vertical="top"/>
    </xf>
    <xf numFmtId="0" fontId="55" fillId="0" borderId="0" xfId="0" applyFont="1" applyAlignment="1">
      <alignment horizontal="left" vertical="top"/>
    </xf>
    <xf numFmtId="0" fontId="17" fillId="34" borderId="76" xfId="0" applyFont="1" applyFill="1" applyBorder="1" applyAlignment="1" applyProtection="1">
      <alignment horizontal="left" vertical="center"/>
      <protection hidden="1"/>
    </xf>
    <xf numFmtId="0" fontId="17" fillId="34" borderId="84" xfId="0" applyFont="1" applyFill="1" applyBorder="1" applyAlignment="1" applyProtection="1">
      <alignment horizontal="left" vertical="center"/>
      <protection hidden="1"/>
    </xf>
    <xf numFmtId="0" fontId="12" fillId="9" borderId="54" xfId="0" quotePrefix="1" applyFont="1" applyFill="1" applyBorder="1" applyAlignment="1" applyProtection="1">
      <alignment horizontal="center"/>
      <protection hidden="1"/>
    </xf>
    <xf numFmtId="167" fontId="55" fillId="12" borderId="171" xfId="0" applyNumberFormat="1" applyFont="1" applyFill="1" applyBorder="1" applyAlignment="1">
      <alignment horizontal="right" vertical="center"/>
    </xf>
    <xf numFmtId="167" fontId="64" fillId="12" borderId="24" xfId="0" applyNumberFormat="1" applyFont="1" applyFill="1" applyBorder="1" applyAlignment="1">
      <alignment horizontal="right" vertical="center"/>
    </xf>
    <xf numFmtId="164" fontId="55" fillId="0" borderId="0" xfId="0" applyNumberFormat="1" applyFont="1"/>
    <xf numFmtId="2" fontId="56" fillId="37" borderId="40" xfId="0" quotePrefix="1" applyNumberFormat="1" applyFont="1" applyFill="1" applyBorder="1" applyAlignment="1">
      <alignment vertical="center"/>
    </xf>
    <xf numFmtId="1" fontId="56" fillId="37" borderId="41" xfId="0" quotePrefix="1" applyNumberFormat="1" applyFont="1" applyFill="1" applyBorder="1" applyAlignment="1">
      <alignment horizontal="left" vertical="center"/>
    </xf>
    <xf numFmtId="2" fontId="56" fillId="37" borderId="41" xfId="0" quotePrefix="1" applyNumberFormat="1" applyFont="1" applyFill="1" applyBorder="1" applyAlignment="1">
      <alignment vertical="center"/>
    </xf>
    <xf numFmtId="1" fontId="56" fillId="27" borderId="41" xfId="0" quotePrefix="1" applyNumberFormat="1" applyFont="1" applyFill="1" applyBorder="1" applyAlignment="1">
      <alignment horizontal="left" vertical="center"/>
    </xf>
    <xf numFmtId="2" fontId="56" fillId="27" borderId="40" xfId="0" quotePrefix="1" applyNumberFormat="1" applyFont="1" applyFill="1" applyBorder="1" applyAlignment="1">
      <alignment vertical="center"/>
    </xf>
    <xf numFmtId="2" fontId="56" fillId="27" borderId="41" xfId="0" quotePrefix="1" applyNumberFormat="1" applyFont="1" applyFill="1" applyBorder="1" applyAlignment="1">
      <alignment vertical="center"/>
    </xf>
    <xf numFmtId="1" fontId="56" fillId="2" borderId="41" xfId="0" quotePrefix="1" applyNumberFormat="1" applyFont="1" applyFill="1" applyBorder="1" applyAlignment="1">
      <alignment horizontal="left" vertical="center"/>
    </xf>
    <xf numFmtId="2" fontId="56" fillId="2" borderId="40" xfId="0" quotePrefix="1" applyNumberFormat="1" applyFont="1" applyFill="1" applyBorder="1" applyAlignment="1">
      <alignment vertical="center"/>
    </xf>
    <xf numFmtId="2" fontId="56" fillId="2" borderId="41" xfId="0" quotePrefix="1" applyNumberFormat="1" applyFont="1" applyFill="1" applyBorder="1" applyAlignment="1">
      <alignment vertical="center"/>
    </xf>
    <xf numFmtId="2" fontId="56" fillId="0" borderId="37" xfId="0" applyNumberFormat="1" applyFont="1" applyBorder="1" applyAlignment="1">
      <alignment vertical="center"/>
    </xf>
    <xf numFmtId="2" fontId="56" fillId="0" borderId="39" xfId="0" applyNumberFormat="1" applyFont="1" applyBorder="1" applyAlignment="1">
      <alignment vertical="center"/>
    </xf>
    <xf numFmtId="2" fontId="56" fillId="0" borderId="72" xfId="0" quotePrefix="1" applyNumberFormat="1" applyFont="1" applyBorder="1" applyAlignment="1">
      <alignment vertical="center"/>
    </xf>
    <xf numFmtId="2" fontId="56" fillId="0" borderId="36" xfId="0" applyNumberFormat="1" applyFont="1" applyBorder="1" applyAlignment="1">
      <alignment vertical="center"/>
    </xf>
    <xf numFmtId="2" fontId="56" fillId="0" borderId="40" xfId="0" applyNumberFormat="1" applyFont="1" applyBorder="1" applyAlignment="1">
      <alignment vertical="center"/>
    </xf>
    <xf numFmtId="2" fontId="56" fillId="0" borderId="52" xfId="0" quotePrefix="1" applyNumberFormat="1" applyFont="1" applyBorder="1" applyAlignment="1">
      <alignment vertical="center"/>
    </xf>
    <xf numFmtId="2" fontId="56" fillId="0" borderId="41" xfId="0" applyNumberFormat="1" applyFont="1" applyBorder="1" applyAlignment="1">
      <alignment vertical="center"/>
    </xf>
    <xf numFmtId="2" fontId="56" fillId="4" borderId="52" xfId="0" applyNumberFormat="1" applyFont="1" applyFill="1" applyBorder="1" applyAlignment="1">
      <alignment horizontal="left" vertical="center"/>
    </xf>
    <xf numFmtId="2" fontId="56" fillId="19" borderId="26" xfId="0" quotePrefix="1" applyNumberFormat="1" applyFont="1" applyFill="1" applyBorder="1" applyAlignment="1">
      <alignment horizontal="left" vertical="center"/>
    </xf>
    <xf numFmtId="2" fontId="56" fillId="19" borderId="34" xfId="0" quotePrefix="1" applyNumberFormat="1" applyFont="1" applyFill="1" applyBorder="1" applyAlignment="1">
      <alignment horizontal="left" vertical="center"/>
    </xf>
    <xf numFmtId="2" fontId="56" fillId="19" borderId="34" xfId="0" applyNumberFormat="1" applyFont="1" applyFill="1" applyBorder="1" applyAlignment="1">
      <alignment horizontal="left" vertical="center"/>
    </xf>
    <xf numFmtId="2" fontId="56" fillId="19" borderId="52" xfId="0" quotePrefix="1" applyNumberFormat="1" applyFont="1" applyFill="1" applyBorder="1" applyAlignment="1">
      <alignment horizontal="left" vertical="center"/>
    </xf>
    <xf numFmtId="2" fontId="56" fillId="19" borderId="52" xfId="0" applyNumberFormat="1" applyFont="1" applyFill="1" applyBorder="1" applyAlignment="1">
      <alignment horizontal="left" vertical="center"/>
    </xf>
    <xf numFmtId="2" fontId="56" fillId="4" borderId="34" xfId="0" quotePrefix="1" applyNumberFormat="1" applyFont="1" applyFill="1" applyBorder="1" applyAlignment="1">
      <alignment horizontal="left" vertical="center"/>
    </xf>
    <xf numFmtId="2" fontId="56" fillId="0" borderId="25" xfId="0" applyNumberFormat="1" applyFont="1" applyBorder="1" applyAlignment="1">
      <alignment horizontal="left" vertical="center"/>
    </xf>
    <xf numFmtId="2" fontId="56" fillId="4" borderId="52" xfId="0" quotePrefix="1" applyNumberFormat="1" applyFont="1" applyFill="1" applyBorder="1" applyAlignment="1">
      <alignment horizontal="left" vertical="center"/>
    </xf>
    <xf numFmtId="0" fontId="72" fillId="15" borderId="0" xfId="0" applyFont="1" applyFill="1" applyAlignment="1">
      <alignment horizontal="center"/>
    </xf>
    <xf numFmtId="0" fontId="55" fillId="8" borderId="13" xfId="0" quotePrefix="1" applyFont="1" applyFill="1" applyBorder="1" applyAlignment="1">
      <alignment horizontal="left" vertical="center"/>
    </xf>
    <xf numFmtId="0" fontId="55" fillId="8" borderId="39" xfId="0" quotePrefix="1" applyFont="1" applyFill="1" applyBorder="1" applyAlignment="1">
      <alignment horizontal="left" vertical="center"/>
    </xf>
    <xf numFmtId="0" fontId="55" fillId="8" borderId="38" xfId="0" quotePrefix="1" applyFont="1" applyFill="1" applyBorder="1" applyAlignment="1">
      <alignment horizontal="left" vertical="center"/>
    </xf>
    <xf numFmtId="0" fontId="55" fillId="8" borderId="37" xfId="0" quotePrefix="1" applyFont="1" applyFill="1" applyBorder="1" applyAlignment="1">
      <alignment horizontal="left" vertical="center"/>
    </xf>
    <xf numFmtId="0" fontId="20" fillId="13" borderId="201" xfId="0" quotePrefix="1" applyFont="1" applyFill="1" applyBorder="1" applyAlignment="1">
      <alignment horizontal="left"/>
    </xf>
    <xf numFmtId="0" fontId="20" fillId="13" borderId="202" xfId="0" applyFont="1" applyFill="1" applyBorder="1"/>
    <xf numFmtId="4" fontId="9" fillId="48" borderId="407" xfId="0" applyNumberFormat="1" applyFont="1" applyFill="1" applyBorder="1"/>
    <xf numFmtId="4" fontId="5" fillId="48" borderId="408" xfId="0" applyNumberFormat="1" applyFont="1" applyFill="1" applyBorder="1"/>
    <xf numFmtId="4" fontId="5" fillId="48" borderId="408" xfId="0" quotePrefix="1" applyNumberFormat="1" applyFont="1" applyFill="1" applyBorder="1" applyAlignment="1">
      <alignment horizontal="left"/>
    </xf>
    <xf numFmtId="3" fontId="5" fillId="48" borderId="408" xfId="0" applyNumberFormat="1" applyFont="1" applyFill="1" applyBorder="1"/>
    <xf numFmtId="4" fontId="5" fillId="48" borderId="409" xfId="0" applyNumberFormat="1" applyFont="1" applyFill="1" applyBorder="1"/>
    <xf numFmtId="4" fontId="9" fillId="48" borderId="410" xfId="0" applyNumberFormat="1" applyFont="1" applyFill="1" applyBorder="1"/>
    <xf numFmtId="4" fontId="5" fillId="48" borderId="126" xfId="0" applyNumberFormat="1" applyFont="1" applyFill="1" applyBorder="1"/>
    <xf numFmtId="4" fontId="5" fillId="48" borderId="126" xfId="0" quotePrefix="1" applyNumberFormat="1" applyFont="1" applyFill="1" applyBorder="1" applyAlignment="1">
      <alignment horizontal="left"/>
    </xf>
    <xf numFmtId="3" fontId="5" fillId="48" borderId="126" xfId="0" applyNumberFormat="1" applyFont="1" applyFill="1" applyBorder="1"/>
    <xf numFmtId="4" fontId="5" fillId="48" borderId="260" xfId="0" applyNumberFormat="1" applyFont="1" applyFill="1" applyBorder="1"/>
    <xf numFmtId="4" fontId="9" fillId="48" borderId="411" xfId="0" applyNumberFormat="1" applyFont="1" applyFill="1" applyBorder="1"/>
    <xf numFmtId="4" fontId="5" fillId="48" borderId="412" xfId="0" applyNumberFormat="1" applyFont="1" applyFill="1" applyBorder="1"/>
    <xf numFmtId="4" fontId="5" fillId="48" borderId="412" xfId="0" quotePrefix="1" applyNumberFormat="1" applyFont="1" applyFill="1" applyBorder="1" applyAlignment="1">
      <alignment horizontal="left"/>
    </xf>
    <xf numFmtId="3" fontId="5" fillId="48" borderId="412" xfId="0" applyNumberFormat="1" applyFont="1" applyFill="1" applyBorder="1"/>
    <xf numFmtId="4" fontId="5" fillId="48" borderId="413" xfId="0" applyNumberFormat="1" applyFont="1" applyFill="1" applyBorder="1"/>
    <xf numFmtId="4" fontId="9" fillId="47" borderId="407" xfId="0" applyNumberFormat="1" applyFont="1" applyFill="1" applyBorder="1"/>
    <xf numFmtId="4" fontId="5" fillId="47" borderId="408" xfId="0" applyNumberFormat="1" applyFont="1" applyFill="1" applyBorder="1"/>
    <xf numFmtId="4" fontId="5" fillId="47" borderId="408" xfId="0" quotePrefix="1" applyNumberFormat="1" applyFont="1" applyFill="1" applyBorder="1" applyAlignment="1">
      <alignment horizontal="left"/>
    </xf>
    <xf numFmtId="3" fontId="5" fillId="47" borderId="408" xfId="0" applyNumberFormat="1" applyFont="1" applyFill="1" applyBorder="1"/>
    <xf numFmtId="4" fontId="5" fillId="47" borderId="409" xfId="0" applyNumberFormat="1" applyFont="1" applyFill="1" applyBorder="1"/>
    <xf numFmtId="4" fontId="9" fillId="47" borderId="410" xfId="0" applyNumberFormat="1" applyFont="1" applyFill="1" applyBorder="1"/>
    <xf numFmtId="4" fontId="5" fillId="47" borderId="126" xfId="0" applyNumberFormat="1" applyFont="1" applyFill="1" applyBorder="1"/>
    <xf numFmtId="4" fontId="5" fillId="47" borderId="126" xfId="0" quotePrefix="1" applyNumberFormat="1" applyFont="1" applyFill="1" applyBorder="1" applyAlignment="1">
      <alignment horizontal="left"/>
    </xf>
    <xf numFmtId="3" fontId="5" fillId="47" borderId="126" xfId="0" applyNumberFormat="1" applyFont="1" applyFill="1" applyBorder="1"/>
    <xf numFmtId="4" fontId="5" fillId="47" borderId="260" xfId="0" applyNumberFormat="1" applyFont="1" applyFill="1" applyBorder="1"/>
    <xf numFmtId="4" fontId="9" fillId="47" borderId="411" xfId="0" applyNumberFormat="1" applyFont="1" applyFill="1" applyBorder="1"/>
    <xf numFmtId="4" fontId="5" fillId="47" borderId="412" xfId="0" applyNumberFormat="1" applyFont="1" applyFill="1" applyBorder="1"/>
    <xf numFmtId="4" fontId="5" fillId="47" borderId="412" xfId="0" quotePrefix="1" applyNumberFormat="1" applyFont="1" applyFill="1" applyBorder="1" applyAlignment="1">
      <alignment horizontal="left"/>
    </xf>
    <xf numFmtId="3" fontId="5" fillId="47" borderId="412" xfId="0" applyNumberFormat="1" applyFont="1" applyFill="1" applyBorder="1"/>
    <xf numFmtId="4" fontId="5" fillId="47" borderId="413" xfId="0" applyNumberFormat="1" applyFont="1" applyFill="1" applyBorder="1"/>
    <xf numFmtId="164" fontId="55" fillId="4" borderId="127" xfId="0" applyNumberFormat="1" applyFont="1" applyFill="1" applyBorder="1" applyAlignment="1">
      <alignment horizontal="left" vertical="center"/>
    </xf>
    <xf numFmtId="164" fontId="55" fillId="12" borderId="127" xfId="0" applyNumberFormat="1" applyFont="1" applyFill="1" applyBorder="1" applyAlignment="1">
      <alignment horizontal="center" vertical="center"/>
    </xf>
    <xf numFmtId="167" fontId="55" fillId="6" borderId="127" xfId="0" applyNumberFormat="1" applyFont="1" applyFill="1" applyBorder="1" applyAlignment="1">
      <alignment horizontal="center" vertical="center"/>
    </xf>
    <xf numFmtId="167" fontId="55" fillId="12" borderId="127" xfId="0" applyNumberFormat="1" applyFont="1" applyFill="1" applyBorder="1" applyAlignment="1">
      <alignment horizontal="center" vertical="center"/>
    </xf>
    <xf numFmtId="164" fontId="55" fillId="16" borderId="127" xfId="0" applyNumberFormat="1" applyFont="1" applyFill="1" applyBorder="1" applyAlignment="1">
      <alignment horizontal="left" vertical="center"/>
    </xf>
    <xf numFmtId="164" fontId="55" fillId="5" borderId="127" xfId="0" applyNumberFormat="1" applyFont="1" applyFill="1" applyBorder="1" applyAlignment="1">
      <alignment horizontal="left" vertical="center"/>
    </xf>
    <xf numFmtId="164" fontId="55" fillId="5" borderId="127" xfId="0" applyNumberFormat="1" applyFont="1" applyFill="1" applyBorder="1" applyAlignment="1">
      <alignment horizontal="center" vertical="center"/>
    </xf>
    <xf numFmtId="167" fontId="55" fillId="5" borderId="127" xfId="0" applyNumberFormat="1" applyFont="1" applyFill="1" applyBorder="1" applyAlignment="1">
      <alignment horizontal="center" vertical="center"/>
    </xf>
    <xf numFmtId="164" fontId="55" fillId="44" borderId="127" xfId="0" applyNumberFormat="1" applyFont="1" applyFill="1" applyBorder="1" applyAlignment="1">
      <alignment horizontal="left" vertical="center"/>
    </xf>
    <xf numFmtId="164" fontId="55" fillId="44" borderId="127" xfId="0" applyNumberFormat="1" applyFont="1" applyFill="1" applyBorder="1" applyAlignment="1">
      <alignment horizontal="center" vertical="center"/>
    </xf>
    <xf numFmtId="167" fontId="55" fillId="44" borderId="127" xfId="0" applyNumberFormat="1" applyFont="1" applyFill="1" applyBorder="1" applyAlignment="1">
      <alignment horizontal="center" vertical="center"/>
    </xf>
    <xf numFmtId="164" fontId="55" fillId="2" borderId="127" xfId="0" applyNumberFormat="1" applyFont="1" applyFill="1" applyBorder="1" applyAlignment="1">
      <alignment horizontal="left" vertical="center"/>
    </xf>
    <xf numFmtId="164" fontId="55" fillId="11" borderId="127" xfId="0" applyNumberFormat="1" applyFont="1" applyFill="1" applyBorder="1" applyAlignment="1">
      <alignment horizontal="left" vertical="center"/>
    </xf>
    <xf numFmtId="164" fontId="55" fillId="16" borderId="414" xfId="0" applyNumberFormat="1" applyFont="1" applyFill="1" applyBorder="1" applyAlignment="1">
      <alignment horizontal="center" vertical="center"/>
    </xf>
    <xf numFmtId="164" fontId="55" fillId="16" borderId="415" xfId="0" applyNumberFormat="1" applyFont="1" applyFill="1" applyBorder="1" applyAlignment="1">
      <alignment horizontal="left" vertical="center"/>
    </xf>
    <xf numFmtId="164" fontId="55" fillId="12" borderId="415" xfId="0" applyNumberFormat="1" applyFont="1" applyFill="1" applyBorder="1" applyAlignment="1">
      <alignment horizontal="center" vertical="center"/>
    </xf>
    <xf numFmtId="167" fontId="55" fillId="6" borderId="415" xfId="0" applyNumberFormat="1" applyFont="1" applyFill="1" applyBorder="1" applyAlignment="1">
      <alignment horizontal="center" vertical="center"/>
    </xf>
    <xf numFmtId="167" fontId="55" fillId="12" borderId="415" xfId="0" applyNumberFormat="1" applyFont="1" applyFill="1" applyBorder="1" applyAlignment="1">
      <alignment horizontal="center" vertical="center"/>
    </xf>
    <xf numFmtId="164" fontId="55" fillId="16" borderId="416" xfId="0" applyNumberFormat="1" applyFont="1" applyFill="1" applyBorder="1" applyAlignment="1">
      <alignment horizontal="center" vertical="center"/>
    </xf>
    <xf numFmtId="164" fontId="55" fillId="16" borderId="417" xfId="0" applyNumberFormat="1" applyFont="1" applyFill="1" applyBorder="1" applyAlignment="1">
      <alignment horizontal="center" vertical="center"/>
    </xf>
    <xf numFmtId="164" fontId="55" fillId="16" borderId="418" xfId="0" applyNumberFormat="1" applyFont="1" applyFill="1" applyBorder="1" applyAlignment="1">
      <alignment horizontal="center" vertical="center"/>
    </xf>
    <xf numFmtId="164" fontId="55" fillId="11" borderId="417" xfId="0" applyNumberFormat="1" applyFont="1" applyFill="1" applyBorder="1" applyAlignment="1">
      <alignment horizontal="center" vertical="center"/>
    </xf>
    <xf numFmtId="164" fontId="55" fillId="11" borderId="418" xfId="0" applyNumberFormat="1" applyFont="1" applyFill="1" applyBorder="1" applyAlignment="1">
      <alignment horizontal="center" vertical="center"/>
    </xf>
    <xf numFmtId="164" fontId="55" fillId="11" borderId="419" xfId="0" applyNumberFormat="1" applyFont="1" applyFill="1" applyBorder="1" applyAlignment="1">
      <alignment horizontal="center" vertical="center"/>
    </xf>
    <xf numFmtId="164" fontId="55" fillId="11" borderId="420" xfId="0" applyNumberFormat="1" applyFont="1" applyFill="1" applyBorder="1" applyAlignment="1">
      <alignment horizontal="left" vertical="center"/>
    </xf>
    <xf numFmtId="164" fontId="55" fillId="12" borderId="420" xfId="0" applyNumberFormat="1" applyFont="1" applyFill="1" applyBorder="1" applyAlignment="1">
      <alignment horizontal="center" vertical="center"/>
    </xf>
    <xf numFmtId="167" fontId="55" fillId="6" borderId="420" xfId="0" applyNumberFormat="1" applyFont="1" applyFill="1" applyBorder="1" applyAlignment="1">
      <alignment horizontal="center" vertical="center"/>
    </xf>
    <xf numFmtId="167" fontId="55" fillId="12" borderId="420" xfId="0" applyNumberFormat="1" applyFont="1" applyFill="1" applyBorder="1" applyAlignment="1">
      <alignment horizontal="center" vertical="center"/>
    </xf>
    <xf numFmtId="164" fontId="55" fillId="11" borderId="421" xfId="0" applyNumberFormat="1" applyFont="1" applyFill="1" applyBorder="1" applyAlignment="1">
      <alignment horizontal="center" vertical="center"/>
    </xf>
    <xf numFmtId="164" fontId="55" fillId="5" borderId="414" xfId="0" applyNumberFormat="1" applyFont="1" applyFill="1" applyBorder="1" applyAlignment="1">
      <alignment horizontal="center" vertical="center"/>
    </xf>
    <xf numFmtId="164" fontId="55" fillId="5" borderId="415" xfId="0" applyNumberFormat="1" applyFont="1" applyFill="1" applyBorder="1" applyAlignment="1">
      <alignment horizontal="left" vertical="center"/>
    </xf>
    <xf numFmtId="164" fontId="55" fillId="5" borderId="415" xfId="0" applyNumberFormat="1" applyFont="1" applyFill="1" applyBorder="1" applyAlignment="1">
      <alignment horizontal="center" vertical="center"/>
    </xf>
    <xf numFmtId="167" fontId="55" fillId="5" borderId="415" xfId="0" applyNumberFormat="1" applyFont="1" applyFill="1" applyBorder="1" applyAlignment="1">
      <alignment horizontal="center" vertical="center"/>
    </xf>
    <xf numFmtId="164" fontId="55" fillId="5" borderId="416" xfId="0" applyNumberFormat="1" applyFont="1" applyFill="1" applyBorder="1" applyAlignment="1">
      <alignment horizontal="center" vertical="center"/>
    </xf>
    <xf numFmtId="164" fontId="55" fillId="5" borderId="417" xfId="0" applyNumberFormat="1" applyFont="1" applyFill="1" applyBorder="1" applyAlignment="1">
      <alignment horizontal="center" vertical="center"/>
    </xf>
    <xf numFmtId="164" fontId="55" fillId="5" borderId="418" xfId="0" applyNumberFormat="1" applyFont="1" applyFill="1" applyBorder="1" applyAlignment="1">
      <alignment horizontal="center" vertical="center"/>
    </xf>
    <xf numFmtId="164" fontId="55" fillId="5" borderId="419" xfId="0" applyNumberFormat="1" applyFont="1" applyFill="1" applyBorder="1" applyAlignment="1">
      <alignment horizontal="center" vertical="center"/>
    </xf>
    <xf numFmtId="164" fontId="55" fillId="5" borderId="420" xfId="0" applyNumberFormat="1" applyFont="1" applyFill="1" applyBorder="1" applyAlignment="1">
      <alignment horizontal="left" vertical="center"/>
    </xf>
    <xf numFmtId="164" fontId="55" fillId="5" borderId="420" xfId="0" applyNumberFormat="1" applyFont="1" applyFill="1" applyBorder="1" applyAlignment="1">
      <alignment horizontal="center" vertical="center"/>
    </xf>
    <xf numFmtId="167" fontId="55" fillId="5" borderId="420" xfId="0" applyNumberFormat="1" applyFont="1" applyFill="1" applyBorder="1" applyAlignment="1">
      <alignment horizontal="center" vertical="center"/>
    </xf>
    <xf numFmtId="164" fontId="55" fillId="5" borderId="421" xfId="0" applyNumberFormat="1" applyFont="1" applyFill="1" applyBorder="1" applyAlignment="1">
      <alignment horizontal="center" vertical="center"/>
    </xf>
    <xf numFmtId="164" fontId="55" fillId="2" borderId="414" xfId="0" applyNumberFormat="1" applyFont="1" applyFill="1" applyBorder="1" applyAlignment="1">
      <alignment horizontal="center" vertical="center"/>
    </xf>
    <xf numFmtId="164" fontId="55" fillId="2" borderId="415" xfId="0" applyNumberFormat="1" applyFont="1" applyFill="1" applyBorder="1" applyAlignment="1">
      <alignment horizontal="left" vertical="center"/>
    </xf>
    <xf numFmtId="164" fontId="55" fillId="2" borderId="416" xfId="0" applyNumberFormat="1" applyFont="1" applyFill="1" applyBorder="1" applyAlignment="1">
      <alignment horizontal="center" vertical="center"/>
    </xf>
    <xf numFmtId="164" fontId="55" fillId="2" borderId="417" xfId="0" applyNumberFormat="1" applyFont="1" applyFill="1" applyBorder="1" applyAlignment="1">
      <alignment horizontal="center" vertical="center"/>
    </xf>
    <xf numFmtId="164" fontId="55" fillId="2" borderId="418" xfId="0" applyNumberFormat="1" applyFont="1" applyFill="1" applyBorder="1" applyAlignment="1">
      <alignment horizontal="center" vertical="center"/>
    </xf>
    <xf numFmtId="164" fontId="55" fillId="2" borderId="419" xfId="0" applyNumberFormat="1" applyFont="1" applyFill="1" applyBorder="1" applyAlignment="1">
      <alignment horizontal="center" vertical="center"/>
    </xf>
    <xf numFmtId="164" fontId="55" fillId="2" borderId="420" xfId="0" applyNumberFormat="1" applyFont="1" applyFill="1" applyBorder="1" applyAlignment="1">
      <alignment horizontal="left" vertical="center"/>
    </xf>
    <xf numFmtId="164" fontId="55" fillId="2" borderId="421" xfId="0" applyNumberFormat="1" applyFont="1" applyFill="1" applyBorder="1" applyAlignment="1">
      <alignment horizontal="center" vertical="center"/>
    </xf>
    <xf numFmtId="164" fontId="55" fillId="44" borderId="414" xfId="0" applyNumberFormat="1" applyFont="1" applyFill="1" applyBorder="1" applyAlignment="1">
      <alignment horizontal="center" vertical="center"/>
    </xf>
    <xf numFmtId="164" fontId="55" fillId="44" borderId="415" xfId="0" applyNumberFormat="1" applyFont="1" applyFill="1" applyBorder="1" applyAlignment="1">
      <alignment horizontal="left" vertical="center"/>
    </xf>
    <xf numFmtId="164" fontId="55" fillId="44" borderId="415" xfId="0" applyNumberFormat="1" applyFont="1" applyFill="1" applyBorder="1" applyAlignment="1">
      <alignment horizontal="center" vertical="center"/>
    </xf>
    <xf numFmtId="167" fontId="55" fillId="44" borderId="415" xfId="0" applyNumberFormat="1" applyFont="1" applyFill="1" applyBorder="1" applyAlignment="1">
      <alignment horizontal="center" vertical="center"/>
    </xf>
    <xf numFmtId="164" fontId="55" fillId="44" borderId="416" xfId="0" applyNumberFormat="1" applyFont="1" applyFill="1" applyBorder="1" applyAlignment="1">
      <alignment horizontal="center" vertical="center"/>
    </xf>
    <xf numFmtId="164" fontId="55" fillId="44" borderId="417" xfId="0" applyNumberFormat="1" applyFont="1" applyFill="1" applyBorder="1" applyAlignment="1">
      <alignment horizontal="center" vertical="center"/>
    </xf>
    <xf numFmtId="164" fontId="55" fillId="44" borderId="418" xfId="0" applyNumberFormat="1" applyFont="1" applyFill="1" applyBorder="1" applyAlignment="1">
      <alignment horizontal="center" vertical="center"/>
    </xf>
    <xf numFmtId="164" fontId="55" fillId="44" borderId="419" xfId="0" applyNumberFormat="1" applyFont="1" applyFill="1" applyBorder="1" applyAlignment="1">
      <alignment horizontal="center" vertical="center"/>
    </xf>
    <xf numFmtId="164" fontId="55" fillId="44" borderId="420" xfId="0" applyNumberFormat="1" applyFont="1" applyFill="1" applyBorder="1" applyAlignment="1">
      <alignment horizontal="left" vertical="center"/>
    </xf>
    <xf numFmtId="164" fontId="55" fillId="44" borderId="420" xfId="0" applyNumberFormat="1" applyFont="1" applyFill="1" applyBorder="1" applyAlignment="1">
      <alignment horizontal="center" vertical="center"/>
    </xf>
    <xf numFmtId="167" fontId="55" fillId="44" borderId="420" xfId="0" applyNumberFormat="1" applyFont="1" applyFill="1" applyBorder="1" applyAlignment="1">
      <alignment horizontal="center" vertical="center"/>
    </xf>
    <xf numFmtId="164" fontId="55" fillId="44" borderId="421" xfId="0" applyNumberFormat="1" applyFont="1" applyFill="1" applyBorder="1" applyAlignment="1">
      <alignment horizontal="center" vertical="center"/>
    </xf>
    <xf numFmtId="164" fontId="55" fillId="4" borderId="414" xfId="0" applyNumberFormat="1" applyFont="1" applyFill="1" applyBorder="1" applyAlignment="1">
      <alignment horizontal="center" vertical="center"/>
    </xf>
    <xf numFmtId="164" fontId="55" fillId="4" borderId="415" xfId="0" applyNumberFormat="1" applyFont="1" applyFill="1" applyBorder="1" applyAlignment="1">
      <alignment horizontal="left" vertical="center"/>
    </xf>
    <xf numFmtId="164" fontId="55" fillId="4" borderId="416" xfId="0" applyNumberFormat="1" applyFont="1" applyFill="1" applyBorder="1" applyAlignment="1">
      <alignment horizontal="center" vertical="center"/>
    </xf>
    <xf numFmtId="164" fontId="55" fillId="4" borderId="417" xfId="0" applyNumberFormat="1" applyFont="1" applyFill="1" applyBorder="1" applyAlignment="1">
      <alignment horizontal="center" vertical="center"/>
    </xf>
    <xf numFmtId="164" fontId="55" fillId="4" borderId="418" xfId="0" applyNumberFormat="1" applyFont="1" applyFill="1" applyBorder="1" applyAlignment="1">
      <alignment horizontal="center" vertical="center"/>
    </xf>
    <xf numFmtId="164" fontId="55" fillId="4" borderId="419" xfId="0" applyNumberFormat="1" applyFont="1" applyFill="1" applyBorder="1" applyAlignment="1">
      <alignment horizontal="center" vertical="center"/>
    </xf>
    <xf numFmtId="164" fontId="55" fillId="4" borderId="420" xfId="0" applyNumberFormat="1" applyFont="1" applyFill="1" applyBorder="1" applyAlignment="1">
      <alignment horizontal="left" vertical="center"/>
    </xf>
    <xf numFmtId="164" fontId="55" fillId="4" borderId="421" xfId="0" applyNumberFormat="1" applyFont="1" applyFill="1" applyBorder="1" applyAlignment="1">
      <alignment horizontal="center" vertical="center"/>
    </xf>
    <xf numFmtId="0" fontId="55" fillId="2" borderId="36" xfId="0" quotePrefix="1" applyFont="1" applyFill="1" applyBorder="1" applyAlignment="1">
      <alignment horizontal="left" vertical="top"/>
    </xf>
    <xf numFmtId="0" fontId="55" fillId="47" borderId="13" xfId="0" quotePrefix="1" applyFont="1" applyFill="1" applyBorder="1" applyAlignment="1">
      <alignment horizontal="left" vertical="center"/>
    </xf>
    <xf numFmtId="164" fontId="55" fillId="47" borderId="169" xfId="0" applyNumberFormat="1" applyFont="1" applyFill="1" applyBorder="1" applyAlignment="1">
      <alignment horizontal="center" vertical="center"/>
    </xf>
    <xf numFmtId="164" fontId="20" fillId="47" borderId="169" xfId="0" applyNumberFormat="1" applyFont="1" applyFill="1" applyBorder="1" applyAlignment="1">
      <alignment horizontal="center" vertical="center"/>
    </xf>
    <xf numFmtId="0" fontId="55" fillId="47" borderId="39" xfId="0" quotePrefix="1" applyFont="1" applyFill="1" applyBorder="1" applyAlignment="1">
      <alignment horizontal="left" vertical="center"/>
    </xf>
    <xf numFmtId="164" fontId="55" fillId="47" borderId="34" xfId="0" applyNumberFormat="1" applyFont="1" applyFill="1" applyBorder="1" applyAlignment="1">
      <alignment horizontal="center" vertical="center"/>
    </xf>
    <xf numFmtId="164" fontId="20" fillId="47" borderId="34" xfId="0" applyNumberFormat="1" applyFont="1" applyFill="1" applyBorder="1" applyAlignment="1">
      <alignment horizontal="center" vertical="center"/>
    </xf>
    <xf numFmtId="0" fontId="55" fillId="47" borderId="38" xfId="0" quotePrefix="1" applyFont="1" applyFill="1" applyBorder="1" applyAlignment="1">
      <alignment horizontal="left" vertical="center"/>
    </xf>
    <xf numFmtId="164" fontId="55" fillId="47" borderId="27" xfId="0" applyNumberFormat="1" applyFont="1" applyFill="1" applyBorder="1" applyAlignment="1">
      <alignment horizontal="center" vertical="center"/>
    </xf>
    <xf numFmtId="164" fontId="20" fillId="47" borderId="27" xfId="0" applyNumberFormat="1" applyFont="1" applyFill="1" applyBorder="1" applyAlignment="1">
      <alignment horizontal="center" vertical="center"/>
    </xf>
    <xf numFmtId="0" fontId="55" fillId="47" borderId="37" xfId="0" quotePrefix="1" applyFont="1" applyFill="1" applyBorder="1" applyAlignment="1">
      <alignment horizontal="left" vertical="center"/>
    </xf>
    <xf numFmtId="164" fontId="55" fillId="47" borderId="28" xfId="0" applyNumberFormat="1" applyFont="1" applyFill="1" applyBorder="1" applyAlignment="1">
      <alignment horizontal="center" vertical="center"/>
    </xf>
    <xf numFmtId="164" fontId="20" fillId="47" borderId="28" xfId="0" applyNumberFormat="1" applyFont="1" applyFill="1" applyBorder="1" applyAlignment="1">
      <alignment horizontal="center" vertical="center"/>
    </xf>
    <xf numFmtId="0" fontId="55" fillId="48" borderId="36" xfId="0" quotePrefix="1" applyFont="1" applyFill="1" applyBorder="1" applyAlignment="1">
      <alignment horizontal="left" vertical="top"/>
    </xf>
    <xf numFmtId="164" fontId="55" fillId="48" borderId="26" xfId="0" applyNumberFormat="1" applyFont="1" applyFill="1" applyBorder="1" applyAlignment="1">
      <alignment horizontal="center" vertical="top"/>
    </xf>
    <xf numFmtId="164" fontId="20" fillId="48" borderId="26" xfId="0" applyNumberFormat="1" applyFont="1" applyFill="1" applyBorder="1" applyAlignment="1">
      <alignment horizontal="center" vertical="top"/>
    </xf>
    <xf numFmtId="1" fontId="56" fillId="26" borderId="41" xfId="0" quotePrefix="1" applyNumberFormat="1" applyFont="1" applyFill="1" applyBorder="1" applyAlignment="1">
      <alignment horizontal="left" vertical="center"/>
    </xf>
    <xf numFmtId="2" fontId="56" fillId="26" borderId="40" xfId="0" quotePrefix="1" applyNumberFormat="1" applyFont="1" applyFill="1" applyBorder="1" applyAlignment="1">
      <alignment vertical="center"/>
    </xf>
    <xf numFmtId="2" fontId="56" fillId="26" borderId="41" xfId="0" quotePrefix="1" applyNumberFormat="1" applyFont="1" applyFill="1" applyBorder="1" applyAlignment="1">
      <alignment vertical="center"/>
    </xf>
    <xf numFmtId="0" fontId="6" fillId="10" borderId="30" xfId="0" applyFont="1" applyFill="1" applyBorder="1" applyProtection="1">
      <protection hidden="1"/>
    </xf>
    <xf numFmtId="0" fontId="24" fillId="10" borderId="30" xfId="0" applyFont="1" applyFill="1" applyBorder="1" applyProtection="1">
      <protection locked="0"/>
    </xf>
    <xf numFmtId="0" fontId="51" fillId="6" borderId="44" xfId="0" applyFont="1" applyFill="1" applyBorder="1" applyAlignment="1" applyProtection="1">
      <alignment horizontal="left" vertical="top" wrapText="1"/>
      <protection hidden="1"/>
    </xf>
    <xf numFmtId="0" fontId="6" fillId="0" borderId="0" xfId="0" applyFont="1" applyAlignment="1">
      <alignment horizontal="left" vertical="top" wrapText="1"/>
    </xf>
    <xf numFmtId="0" fontId="55" fillId="42" borderId="13" xfId="0" quotePrefix="1" applyFont="1" applyFill="1" applyBorder="1" applyAlignment="1">
      <alignment horizontal="left" vertical="center"/>
    </xf>
    <xf numFmtId="164" fontId="55" fillId="42" borderId="169" xfId="0" applyNumberFormat="1" applyFont="1" applyFill="1" applyBorder="1" applyAlignment="1">
      <alignment horizontal="center" vertical="center"/>
    </xf>
    <xf numFmtId="164" fontId="20" fillId="42" borderId="169" xfId="0" applyNumberFormat="1" applyFont="1" applyFill="1" applyBorder="1" applyAlignment="1">
      <alignment horizontal="center" vertical="center"/>
    </xf>
    <xf numFmtId="0" fontId="55" fillId="42" borderId="39" xfId="0" quotePrefix="1" applyFont="1" applyFill="1" applyBorder="1" applyAlignment="1">
      <alignment horizontal="left" vertical="center"/>
    </xf>
    <xf numFmtId="164" fontId="55" fillId="42" borderId="34" xfId="0" applyNumberFormat="1" applyFont="1" applyFill="1" applyBorder="1" applyAlignment="1">
      <alignment horizontal="center" vertical="center"/>
    </xf>
    <xf numFmtId="164" fontId="20" fillId="42" borderId="34" xfId="0" applyNumberFormat="1" applyFont="1" applyFill="1" applyBorder="1" applyAlignment="1">
      <alignment horizontal="center" vertical="center"/>
    </xf>
    <xf numFmtId="0" fontId="55" fillId="42" borderId="38" xfId="0" quotePrefix="1" applyFont="1" applyFill="1" applyBorder="1" applyAlignment="1">
      <alignment horizontal="left" vertical="center"/>
    </xf>
    <xf numFmtId="164" fontId="55" fillId="42" borderId="27" xfId="0" applyNumberFormat="1" applyFont="1" applyFill="1" applyBorder="1" applyAlignment="1">
      <alignment horizontal="center" vertical="center"/>
    </xf>
    <xf numFmtId="164" fontId="20" fillId="42" borderId="27" xfId="0" applyNumberFormat="1" applyFont="1" applyFill="1" applyBorder="1" applyAlignment="1">
      <alignment horizontal="center" vertical="center"/>
    </xf>
    <xf numFmtId="0" fontId="55" fillId="42" borderId="37" xfId="0" quotePrefix="1" applyFont="1" applyFill="1" applyBorder="1" applyAlignment="1">
      <alignment horizontal="left" vertical="center"/>
    </xf>
    <xf numFmtId="164" fontId="55" fillId="42" borderId="28" xfId="0" applyNumberFormat="1" applyFont="1" applyFill="1" applyBorder="1" applyAlignment="1">
      <alignment horizontal="center" vertical="center"/>
    </xf>
    <xf numFmtId="164" fontId="20" fillId="42" borderId="28" xfId="0" applyNumberFormat="1" applyFont="1" applyFill="1" applyBorder="1" applyAlignment="1">
      <alignment horizontal="center" vertical="center"/>
    </xf>
    <xf numFmtId="164" fontId="55" fillId="42" borderId="414" xfId="0" applyNumberFormat="1" applyFont="1" applyFill="1" applyBorder="1" applyAlignment="1">
      <alignment horizontal="center" vertical="center"/>
    </xf>
    <xf numFmtId="164" fontId="55" fillId="42" borderId="415" xfId="0" applyNumberFormat="1" applyFont="1" applyFill="1" applyBorder="1" applyAlignment="1">
      <alignment horizontal="left" vertical="center"/>
    </xf>
    <xf numFmtId="164" fontId="55" fillId="42" borderId="415" xfId="0" applyNumberFormat="1" applyFont="1" applyFill="1" applyBorder="1" applyAlignment="1">
      <alignment horizontal="center" vertical="center"/>
    </xf>
    <xf numFmtId="167" fontId="55" fillId="42" borderId="415" xfId="0" applyNumberFormat="1" applyFont="1" applyFill="1" applyBorder="1" applyAlignment="1">
      <alignment horizontal="center" vertical="center"/>
    </xf>
    <xf numFmtId="164" fontId="55" fillId="42" borderId="416" xfId="0" applyNumberFormat="1" applyFont="1" applyFill="1" applyBorder="1" applyAlignment="1">
      <alignment horizontal="center" vertical="center"/>
    </xf>
    <xf numFmtId="164" fontId="55" fillId="42" borderId="417" xfId="0" applyNumberFormat="1" applyFont="1" applyFill="1" applyBorder="1" applyAlignment="1">
      <alignment horizontal="center" vertical="center"/>
    </xf>
    <xf numFmtId="164" fontId="55" fillId="42" borderId="127" xfId="0" applyNumberFormat="1" applyFont="1" applyFill="1" applyBorder="1" applyAlignment="1">
      <alignment horizontal="left" vertical="center"/>
    </xf>
    <xf numFmtId="164" fontId="55" fillId="42" borderId="127" xfId="0" applyNumberFormat="1" applyFont="1" applyFill="1" applyBorder="1" applyAlignment="1">
      <alignment horizontal="center" vertical="center"/>
    </xf>
    <xf numFmtId="167" fontId="55" fillId="42" borderId="127" xfId="0" applyNumberFormat="1" applyFont="1" applyFill="1" applyBorder="1" applyAlignment="1">
      <alignment horizontal="center" vertical="center"/>
    </xf>
    <xf numFmtId="164" fontId="55" fillId="42" borderId="418" xfId="0" applyNumberFormat="1" applyFont="1" applyFill="1" applyBorder="1" applyAlignment="1">
      <alignment horizontal="center" vertical="center"/>
    </xf>
    <xf numFmtId="0" fontId="6" fillId="9" borderId="79" xfId="0" applyFont="1" applyFill="1" applyBorder="1" applyAlignment="1" applyProtection="1">
      <alignment vertical="center"/>
      <protection hidden="1"/>
    </xf>
    <xf numFmtId="0" fontId="6" fillId="9" borderId="80" xfId="0" applyFont="1" applyFill="1" applyBorder="1" applyProtection="1">
      <protection hidden="1"/>
    </xf>
    <xf numFmtId="0" fontId="6" fillId="9" borderId="80" xfId="0" applyFont="1" applyFill="1" applyBorder="1" applyAlignment="1" applyProtection="1">
      <alignment vertical="center"/>
      <protection hidden="1"/>
    </xf>
    <xf numFmtId="0" fontId="15" fillId="9" borderId="80" xfId="0" applyFont="1" applyFill="1" applyBorder="1" applyAlignment="1" applyProtection="1">
      <alignment vertical="center"/>
      <protection hidden="1"/>
    </xf>
    <xf numFmtId="0" fontId="15" fillId="9" borderId="80" xfId="0" applyFont="1" applyFill="1" applyBorder="1" applyProtection="1">
      <protection hidden="1"/>
    </xf>
    <xf numFmtId="0" fontId="15" fillId="9" borderId="81" xfId="0" applyFont="1" applyFill="1" applyBorder="1" applyAlignment="1" applyProtection="1">
      <alignment vertical="center"/>
      <protection hidden="1"/>
    </xf>
    <xf numFmtId="4" fontId="9" fillId="42" borderId="422" xfId="0" applyNumberFormat="1" applyFont="1" applyFill="1" applyBorder="1"/>
    <xf numFmtId="4" fontId="5" fillId="42" borderId="423" xfId="0" applyNumberFormat="1" applyFont="1" applyFill="1" applyBorder="1"/>
    <xf numFmtId="4" fontId="5" fillId="42" borderId="423" xfId="0" quotePrefix="1" applyNumberFormat="1" applyFont="1" applyFill="1" applyBorder="1" applyAlignment="1">
      <alignment horizontal="left"/>
    </xf>
    <xf numFmtId="4" fontId="9" fillId="42" borderId="426" xfId="0" applyNumberFormat="1" applyFont="1" applyFill="1" applyBorder="1"/>
    <xf numFmtId="4" fontId="5" fillId="42" borderId="427" xfId="0" applyNumberFormat="1" applyFont="1" applyFill="1" applyBorder="1"/>
    <xf numFmtId="4" fontId="5" fillId="42" borderId="427" xfId="0" quotePrefix="1" applyNumberFormat="1" applyFont="1" applyFill="1" applyBorder="1" applyAlignment="1">
      <alignment horizontal="left"/>
    </xf>
    <xf numFmtId="4" fontId="9" fillId="42" borderId="429" xfId="0" applyNumberFormat="1" applyFont="1" applyFill="1" applyBorder="1"/>
    <xf numFmtId="4" fontId="5" fillId="42" borderId="205" xfId="0" applyNumberFormat="1" applyFont="1" applyFill="1" applyBorder="1"/>
    <xf numFmtId="4" fontId="5" fillId="42" borderId="205" xfId="0" quotePrefix="1" applyNumberFormat="1" applyFont="1" applyFill="1" applyBorder="1" applyAlignment="1">
      <alignment horizontal="left"/>
    </xf>
    <xf numFmtId="0" fontId="62" fillId="15" borderId="44" xfId="0" quotePrefix="1" applyFont="1" applyFill="1" applyBorder="1" applyAlignment="1">
      <alignment horizontal="left" vertical="top"/>
    </xf>
    <xf numFmtId="0" fontId="61" fillId="15" borderId="57" xfId="0" quotePrefix="1" applyFont="1" applyFill="1" applyBorder="1" applyAlignment="1">
      <alignment horizontal="center" vertical="top"/>
    </xf>
    <xf numFmtId="0" fontId="73" fillId="26" borderId="7" xfId="0" applyFont="1" applyFill="1" applyBorder="1" applyAlignment="1">
      <alignment horizontal="left" vertical="center"/>
    </xf>
    <xf numFmtId="0" fontId="73" fillId="26" borderId="8" xfId="0" quotePrefix="1" applyFont="1" applyFill="1" applyBorder="1" applyAlignment="1">
      <alignment horizontal="left" vertical="center"/>
    </xf>
    <xf numFmtId="0" fontId="73" fillId="26" borderId="9" xfId="0" quotePrefix="1" applyFont="1" applyFill="1" applyBorder="1" applyAlignment="1">
      <alignment horizontal="left" vertical="center"/>
    </xf>
    <xf numFmtId="0" fontId="73" fillId="26" borderId="10" xfId="0" applyFont="1" applyFill="1" applyBorder="1" applyAlignment="1">
      <alignment horizontal="left" vertical="center"/>
    </xf>
    <xf numFmtId="0" fontId="55" fillId="26" borderId="9" xfId="0" quotePrefix="1" applyFont="1" applyFill="1" applyBorder="1" applyAlignment="1">
      <alignment horizontal="left" vertical="center"/>
    </xf>
    <xf numFmtId="0" fontId="55" fillId="26" borderId="10" xfId="0" quotePrefix="1" applyFont="1" applyFill="1" applyBorder="1" applyAlignment="1">
      <alignment horizontal="left" vertical="center"/>
    </xf>
    <xf numFmtId="0" fontId="73" fillId="26" borderId="9" xfId="0" applyFont="1" applyFill="1" applyBorder="1" applyAlignment="1">
      <alignment horizontal="left" vertical="center"/>
    </xf>
    <xf numFmtId="0" fontId="55" fillId="26" borderId="9" xfId="0" applyFont="1" applyFill="1" applyBorder="1" applyAlignment="1">
      <alignment horizontal="left" vertical="center"/>
    </xf>
    <xf numFmtId="0" fontId="55" fillId="26" borderId="10" xfId="0" applyFont="1" applyFill="1" applyBorder="1" applyAlignment="1">
      <alignment horizontal="left" vertical="center"/>
    </xf>
    <xf numFmtId="0" fontId="55" fillId="26" borderId="11" xfId="0" applyFont="1" applyFill="1" applyBorder="1" applyAlignment="1">
      <alignment horizontal="left" vertical="center"/>
    </xf>
    <xf numFmtId="0" fontId="55" fillId="26" borderId="12" xfId="0" applyFont="1" applyFill="1" applyBorder="1" applyAlignment="1">
      <alignment horizontal="left" vertical="center"/>
    </xf>
    <xf numFmtId="0" fontId="73" fillId="4" borderId="7" xfId="0" quotePrefix="1" applyFont="1" applyFill="1" applyBorder="1" applyAlignment="1">
      <alignment horizontal="left" vertical="center"/>
    </xf>
    <xf numFmtId="0" fontId="73" fillId="4" borderId="8" xfId="0" quotePrefix="1" applyFont="1" applyFill="1" applyBorder="1" applyAlignment="1">
      <alignment horizontal="left" vertical="center"/>
    </xf>
    <xf numFmtId="0" fontId="73" fillId="4" borderId="9" xfId="0" quotePrefix="1" applyFont="1" applyFill="1" applyBorder="1" applyAlignment="1">
      <alignment horizontal="left" vertical="center"/>
    </xf>
    <xf numFmtId="0" fontId="73" fillId="4" borderId="10" xfId="0" quotePrefix="1" applyFont="1" applyFill="1" applyBorder="1" applyAlignment="1">
      <alignment horizontal="left" vertical="center"/>
    </xf>
    <xf numFmtId="0" fontId="55" fillId="4" borderId="9" xfId="0" quotePrefix="1" applyFont="1" applyFill="1" applyBorder="1" applyAlignment="1">
      <alignment horizontal="left" vertical="center"/>
    </xf>
    <xf numFmtId="0" fontId="55" fillId="4" borderId="10" xfId="0" quotePrefix="1" applyFont="1" applyFill="1" applyBorder="1" applyAlignment="1">
      <alignment horizontal="left" vertical="center"/>
    </xf>
    <xf numFmtId="0" fontId="73" fillId="4" borderId="10" xfId="0" applyFont="1" applyFill="1" applyBorder="1" applyAlignment="1">
      <alignment horizontal="left" vertical="center"/>
    </xf>
    <xf numFmtId="0" fontId="55" fillId="4" borderId="11" xfId="0" quotePrefix="1" applyFont="1" applyFill="1" applyBorder="1" applyAlignment="1">
      <alignment horizontal="left" vertical="center"/>
    </xf>
    <xf numFmtId="0" fontId="55" fillId="4" borderId="12" xfId="0" applyFont="1" applyFill="1" applyBorder="1" applyAlignment="1">
      <alignment horizontal="left" vertical="center"/>
    </xf>
    <xf numFmtId="0" fontId="73" fillId="16" borderId="7" xfId="0" quotePrefix="1" applyFont="1" applyFill="1" applyBorder="1" applyAlignment="1">
      <alignment horizontal="left" vertical="center"/>
    </xf>
    <xf numFmtId="0" fontId="73" fillId="16" borderId="8" xfId="0" quotePrefix="1" applyFont="1" applyFill="1" applyBorder="1" applyAlignment="1">
      <alignment horizontal="left" vertical="center"/>
    </xf>
    <xf numFmtId="0" fontId="73" fillId="16" borderId="9" xfId="0" quotePrefix="1" applyFont="1" applyFill="1" applyBorder="1" applyAlignment="1">
      <alignment horizontal="left" vertical="center"/>
    </xf>
    <xf numFmtId="0" fontId="73" fillId="16" borderId="10" xfId="0" quotePrefix="1" applyFont="1" applyFill="1" applyBorder="1" applyAlignment="1">
      <alignment horizontal="left" vertical="center"/>
    </xf>
    <xf numFmtId="0" fontId="55" fillId="16" borderId="11" xfId="0" quotePrefix="1" applyFont="1" applyFill="1" applyBorder="1" applyAlignment="1">
      <alignment horizontal="left" vertical="center"/>
    </xf>
    <xf numFmtId="0" fontId="55" fillId="16" borderId="12" xfId="0" quotePrefix="1" applyFont="1" applyFill="1" applyBorder="1" applyAlignment="1">
      <alignment horizontal="left" vertical="center"/>
    </xf>
    <xf numFmtId="0" fontId="73" fillId="8" borderId="7" xfId="0" applyFont="1" applyFill="1" applyBorder="1" applyAlignment="1">
      <alignment horizontal="left" vertical="center"/>
    </xf>
    <xf numFmtId="0" fontId="73" fillId="8" borderId="8" xfId="0" quotePrefix="1" applyFont="1" applyFill="1" applyBorder="1" applyAlignment="1">
      <alignment horizontal="left" vertical="center"/>
    </xf>
    <xf numFmtId="0" fontId="73" fillId="8" borderId="9" xfId="0" applyFont="1" applyFill="1" applyBorder="1" applyAlignment="1">
      <alignment horizontal="left" vertical="center"/>
    </xf>
    <xf numFmtId="0" fontId="73" fillId="8" borderId="10" xfId="0" applyFont="1" applyFill="1" applyBorder="1" applyAlignment="1">
      <alignment horizontal="left" vertical="center"/>
    </xf>
    <xf numFmtId="0" fontId="55" fillId="8" borderId="9" xfId="0" quotePrefix="1" applyFont="1" applyFill="1" applyBorder="1" applyAlignment="1">
      <alignment horizontal="left" vertical="center"/>
    </xf>
    <xf numFmtId="0" fontId="55" fillId="8" borderId="10" xfId="0" applyFont="1" applyFill="1" applyBorder="1" applyAlignment="1">
      <alignment horizontal="left" vertical="center"/>
    </xf>
    <xf numFmtId="0" fontId="73" fillId="8" borderId="9" xfId="0" quotePrefix="1" applyFont="1" applyFill="1" applyBorder="1" applyAlignment="1">
      <alignment horizontal="left" vertical="center"/>
    </xf>
    <xf numFmtId="0" fontId="55" fillId="8" borderId="11" xfId="0" quotePrefix="1" applyFont="1" applyFill="1" applyBorder="1" applyAlignment="1">
      <alignment horizontal="left" vertical="center"/>
    </xf>
    <xf numFmtId="0" fontId="55" fillId="8" borderId="12" xfId="0" applyFont="1" applyFill="1" applyBorder="1" applyAlignment="1">
      <alignment horizontal="left" vertical="center"/>
    </xf>
    <xf numFmtId="4" fontId="20" fillId="42" borderId="7" xfId="0" quotePrefix="1" applyNumberFormat="1" applyFont="1" applyFill="1" applyBorder="1" applyAlignment="1">
      <alignment horizontal="left"/>
    </xf>
    <xf numFmtId="4" fontId="20" fillId="42" borderId="8" xfId="0" quotePrefix="1" applyNumberFormat="1" applyFont="1" applyFill="1" applyBorder="1" applyAlignment="1">
      <alignment horizontal="left"/>
    </xf>
    <xf numFmtId="4" fontId="20" fillId="42" borderId="9" xfId="0" quotePrefix="1" applyNumberFormat="1" applyFont="1" applyFill="1" applyBorder="1" applyAlignment="1">
      <alignment horizontal="left"/>
    </xf>
    <xf numFmtId="4" fontId="20" fillId="42" borderId="10" xfId="0" quotePrefix="1" applyNumberFormat="1" applyFont="1" applyFill="1" applyBorder="1" applyAlignment="1">
      <alignment horizontal="left"/>
    </xf>
    <xf numFmtId="4" fontId="20" fillId="42" borderId="11" xfId="0" quotePrefix="1" applyNumberFormat="1" applyFont="1" applyFill="1" applyBorder="1" applyAlignment="1">
      <alignment horizontal="left"/>
    </xf>
    <xf numFmtId="4" fontId="20" fillId="42" borderId="12" xfId="0" quotePrefix="1" applyNumberFormat="1" applyFont="1" applyFill="1" applyBorder="1" applyAlignment="1">
      <alignment horizontal="left"/>
    </xf>
    <xf numFmtId="4" fontId="20" fillId="47" borderId="7" xfId="0" quotePrefix="1" applyNumberFormat="1" applyFont="1" applyFill="1" applyBorder="1" applyAlignment="1">
      <alignment horizontal="left"/>
    </xf>
    <xf numFmtId="4" fontId="20" fillId="47" borderId="8" xfId="0" quotePrefix="1" applyNumberFormat="1" applyFont="1" applyFill="1" applyBorder="1" applyAlignment="1">
      <alignment horizontal="left"/>
    </xf>
    <xf numFmtId="4" fontId="20" fillId="47" borderId="9" xfId="0" quotePrefix="1" applyNumberFormat="1" applyFont="1" applyFill="1" applyBorder="1" applyAlignment="1">
      <alignment horizontal="left"/>
    </xf>
    <xf numFmtId="4" fontId="20" fillId="47" borderId="10" xfId="0" quotePrefix="1" applyNumberFormat="1" applyFont="1" applyFill="1" applyBorder="1" applyAlignment="1">
      <alignment horizontal="left"/>
    </xf>
    <xf numFmtId="4" fontId="20" fillId="47" borderId="11" xfId="0" quotePrefix="1" applyNumberFormat="1" applyFont="1" applyFill="1" applyBorder="1" applyAlignment="1">
      <alignment horizontal="left"/>
    </xf>
    <xf numFmtId="4" fontId="20" fillId="47" borderId="12" xfId="0" quotePrefix="1" applyNumberFormat="1" applyFont="1" applyFill="1" applyBorder="1" applyAlignment="1">
      <alignment horizontal="left"/>
    </xf>
    <xf numFmtId="4" fontId="20" fillId="48" borderId="7" xfId="0" quotePrefix="1" applyNumberFormat="1" applyFont="1" applyFill="1" applyBorder="1" applyAlignment="1">
      <alignment horizontal="left"/>
    </xf>
    <xf numFmtId="4" fontId="20" fillId="48" borderId="8" xfId="0" quotePrefix="1" applyNumberFormat="1" applyFont="1" applyFill="1" applyBorder="1" applyAlignment="1">
      <alignment horizontal="left"/>
    </xf>
    <xf numFmtId="4" fontId="20" fillId="48" borderId="9" xfId="0" quotePrefix="1" applyNumberFormat="1" applyFont="1" applyFill="1" applyBorder="1" applyAlignment="1">
      <alignment horizontal="left"/>
    </xf>
    <xf numFmtId="4" fontId="20" fillId="48" borderId="10" xfId="0" quotePrefix="1" applyNumberFormat="1" applyFont="1" applyFill="1" applyBorder="1" applyAlignment="1">
      <alignment horizontal="left"/>
    </xf>
    <xf numFmtId="4" fontId="20" fillId="48" borderId="11" xfId="0" quotePrefix="1" applyNumberFormat="1" applyFont="1" applyFill="1" applyBorder="1" applyAlignment="1">
      <alignment horizontal="left"/>
    </xf>
    <xf numFmtId="4" fontId="20" fillId="48" borderId="12" xfId="0" quotePrefix="1" applyNumberFormat="1" applyFont="1" applyFill="1" applyBorder="1" applyAlignment="1">
      <alignment horizontal="left"/>
    </xf>
    <xf numFmtId="0" fontId="55" fillId="44" borderId="7" xfId="0" quotePrefix="1" applyFont="1" applyFill="1" applyBorder="1" applyAlignment="1">
      <alignment horizontal="left" vertical="center"/>
    </xf>
    <xf numFmtId="0" fontId="55" fillId="44" borderId="8" xfId="0" applyFont="1" applyFill="1" applyBorder="1" applyAlignment="1">
      <alignment horizontal="left" vertical="center"/>
    </xf>
    <xf numFmtId="0" fontId="55" fillId="44" borderId="9" xfId="0" quotePrefix="1" applyFont="1" applyFill="1" applyBorder="1" applyAlignment="1">
      <alignment horizontal="left" vertical="center"/>
    </xf>
    <xf numFmtId="0" fontId="55" fillId="44" borderId="10" xfId="0" applyFont="1" applyFill="1" applyBorder="1" applyAlignment="1">
      <alignment horizontal="left" vertical="center"/>
    </xf>
    <xf numFmtId="0" fontId="55" fillId="44" borderId="11" xfId="0" quotePrefix="1" applyFont="1" applyFill="1" applyBorder="1" applyAlignment="1">
      <alignment horizontal="left" vertical="center"/>
    </xf>
    <xf numFmtId="0" fontId="55" fillId="44" borderId="12" xfId="0" applyFont="1" applyFill="1" applyBorder="1" applyAlignment="1">
      <alignment horizontal="left" vertical="center"/>
    </xf>
    <xf numFmtId="0" fontId="55" fillId="23" borderId="7" xfId="0" quotePrefix="1" applyFont="1" applyFill="1" applyBorder="1" applyAlignment="1">
      <alignment horizontal="left" vertical="center"/>
    </xf>
    <xf numFmtId="0" fontId="55" fillId="23" borderId="8" xfId="0" applyFont="1" applyFill="1" applyBorder="1" applyAlignment="1">
      <alignment horizontal="left" vertical="center"/>
    </xf>
    <xf numFmtId="0" fontId="55" fillId="23" borderId="9" xfId="0" quotePrefix="1" applyFont="1" applyFill="1" applyBorder="1" applyAlignment="1">
      <alignment horizontal="left" vertical="center"/>
    </xf>
    <xf numFmtId="0" fontId="55" fillId="23" borderId="10" xfId="0" applyFont="1" applyFill="1" applyBorder="1" applyAlignment="1">
      <alignment horizontal="left" vertical="center"/>
    </xf>
    <xf numFmtId="0" fontId="55" fillId="23" borderId="11" xfId="0" quotePrefix="1" applyFont="1" applyFill="1" applyBorder="1" applyAlignment="1">
      <alignment horizontal="left" vertical="center"/>
    </xf>
    <xf numFmtId="0" fontId="55" fillId="23" borderId="12" xfId="0" applyFont="1" applyFill="1" applyBorder="1" applyAlignment="1">
      <alignment horizontal="left" vertical="center"/>
    </xf>
    <xf numFmtId="0" fontId="73" fillId="14" borderId="7" xfId="0" applyFont="1" applyFill="1" applyBorder="1" applyAlignment="1">
      <alignment horizontal="left" vertical="center"/>
    </xf>
    <xf numFmtId="0" fontId="73" fillId="14" borderId="8" xfId="0" quotePrefix="1" applyFont="1" applyFill="1" applyBorder="1" applyAlignment="1">
      <alignment horizontal="left" vertical="center"/>
    </xf>
    <xf numFmtId="0" fontId="55" fillId="14" borderId="9" xfId="0" applyFont="1" applyFill="1" applyBorder="1" applyAlignment="1">
      <alignment horizontal="left" vertical="center"/>
    </xf>
    <xf numFmtId="0" fontId="55" fillId="14" borderId="10" xfId="0" applyFont="1" applyFill="1" applyBorder="1" applyAlignment="1">
      <alignment horizontal="left" vertical="center"/>
    </xf>
    <xf numFmtId="0" fontId="55" fillId="14" borderId="9" xfId="0" quotePrefix="1" applyFont="1" applyFill="1" applyBorder="1" applyAlignment="1">
      <alignment horizontal="left" vertical="center"/>
    </xf>
    <xf numFmtId="0" fontId="73" fillId="14" borderId="9" xfId="0" quotePrefix="1" applyFont="1" applyFill="1" applyBorder="1" applyAlignment="1">
      <alignment horizontal="left" vertical="center"/>
    </xf>
    <xf numFmtId="0" fontId="73" fillId="14" borderId="10" xfId="0" quotePrefix="1" applyFont="1" applyFill="1" applyBorder="1" applyAlignment="1">
      <alignment horizontal="left" vertical="center"/>
    </xf>
    <xf numFmtId="0" fontId="55" fillId="14" borderId="10" xfId="0" quotePrefix="1" applyFont="1" applyFill="1" applyBorder="1" applyAlignment="1">
      <alignment horizontal="left" vertical="center"/>
    </xf>
    <xf numFmtId="0" fontId="73" fillId="14" borderId="9" xfId="0" applyFont="1" applyFill="1" applyBorder="1" applyAlignment="1">
      <alignment horizontal="left" vertical="center"/>
    </xf>
    <xf numFmtId="0" fontId="73" fillId="14" borderId="10" xfId="0" applyFont="1" applyFill="1" applyBorder="1" applyAlignment="1">
      <alignment horizontal="left" vertical="center"/>
    </xf>
    <xf numFmtId="0" fontId="55" fillId="14" borderId="11" xfId="0" quotePrefix="1" applyFont="1" applyFill="1" applyBorder="1" applyAlignment="1">
      <alignment horizontal="left" vertical="center"/>
    </xf>
    <xf numFmtId="0" fontId="55" fillId="14" borderId="12" xfId="0" applyFont="1" applyFill="1" applyBorder="1" applyAlignment="1">
      <alignment horizontal="left" vertical="center"/>
    </xf>
    <xf numFmtId="0" fontId="73" fillId="2" borderId="7" xfId="0" applyFont="1" applyFill="1" applyBorder="1" applyAlignment="1">
      <alignment horizontal="left" vertical="center"/>
    </xf>
    <xf numFmtId="0" fontId="73" fillId="2" borderId="8" xfId="0" quotePrefix="1" applyFont="1" applyFill="1" applyBorder="1" applyAlignment="1">
      <alignment horizontal="left" vertical="center"/>
    </xf>
    <xf numFmtId="0" fontId="55" fillId="2" borderId="9" xfId="0" applyFont="1" applyFill="1" applyBorder="1" applyAlignment="1">
      <alignment horizontal="left" vertical="center"/>
    </xf>
    <xf numFmtId="0" fontId="55" fillId="2" borderId="10" xfId="0" applyFont="1" applyFill="1" applyBorder="1" applyAlignment="1">
      <alignment horizontal="left" vertical="center"/>
    </xf>
    <xf numFmtId="0" fontId="55" fillId="2" borderId="9" xfId="0" quotePrefix="1" applyFont="1" applyFill="1" applyBorder="1" applyAlignment="1">
      <alignment horizontal="left" vertical="center"/>
    </xf>
    <xf numFmtId="0" fontId="73" fillId="2" borderId="9" xfId="0" quotePrefix="1" applyFont="1" applyFill="1" applyBorder="1" applyAlignment="1">
      <alignment horizontal="left" vertical="center"/>
    </xf>
    <xf numFmtId="0" fontId="73" fillId="2" borderId="10" xfId="0" quotePrefix="1" applyFont="1" applyFill="1" applyBorder="1" applyAlignment="1">
      <alignment horizontal="left" vertical="center"/>
    </xf>
    <xf numFmtId="0" fontId="55" fillId="2" borderId="10" xfId="0" quotePrefix="1" applyFont="1" applyFill="1" applyBorder="1" applyAlignment="1">
      <alignment horizontal="left" vertical="center"/>
    </xf>
    <xf numFmtId="0" fontId="73" fillId="2" borderId="9" xfId="0" applyFont="1" applyFill="1" applyBorder="1" applyAlignment="1">
      <alignment horizontal="left" vertical="center"/>
    </xf>
    <xf numFmtId="0" fontId="73" fillId="2" borderId="10" xfId="0" applyFont="1" applyFill="1" applyBorder="1" applyAlignment="1">
      <alignment horizontal="left" vertical="center"/>
    </xf>
    <xf numFmtId="0" fontId="55" fillId="2" borderId="11" xfId="0" quotePrefix="1" applyFont="1" applyFill="1" applyBorder="1" applyAlignment="1">
      <alignment horizontal="left" vertical="center"/>
    </xf>
    <xf numFmtId="0" fontId="55" fillId="2" borderId="12" xfId="0" applyFont="1" applyFill="1" applyBorder="1" applyAlignment="1">
      <alignment horizontal="left" vertical="center"/>
    </xf>
    <xf numFmtId="0" fontId="76" fillId="21" borderId="344" xfId="0" applyFont="1" applyFill="1" applyBorder="1" applyAlignment="1">
      <alignment horizontal="left" vertical="top" wrapText="1"/>
    </xf>
    <xf numFmtId="0" fontId="19" fillId="0" borderId="0" xfId="0" applyFont="1"/>
    <xf numFmtId="0" fontId="55" fillId="0" borderId="300" xfId="0" quotePrefix="1" applyFont="1" applyBorder="1" applyAlignment="1">
      <alignment horizontal="left"/>
    </xf>
    <xf numFmtId="0" fontId="55" fillId="20" borderId="302" xfId="0" applyFont="1" applyFill="1" applyBorder="1"/>
    <xf numFmtId="0" fontId="55" fillId="0" borderId="304" xfId="0" quotePrefix="1" applyFont="1" applyBorder="1" applyAlignment="1">
      <alignment horizontal="left"/>
    </xf>
    <xf numFmtId="0" fontId="55" fillId="20" borderId="306" xfId="0" applyFont="1" applyFill="1" applyBorder="1"/>
    <xf numFmtId="0" fontId="55" fillId="0" borderId="307" xfId="0" quotePrefix="1" applyFont="1" applyBorder="1" applyAlignment="1">
      <alignment horizontal="left"/>
    </xf>
    <xf numFmtId="0" fontId="55" fillId="5" borderId="309" xfId="0" applyFont="1" applyFill="1" applyBorder="1"/>
    <xf numFmtId="2" fontId="8" fillId="0" borderId="0" xfId="0" quotePrefix="1" applyNumberFormat="1" applyFont="1" applyAlignment="1" applyProtection="1">
      <alignment vertical="top"/>
      <protection hidden="1"/>
    </xf>
    <xf numFmtId="175" fontId="25" fillId="0" borderId="165" xfId="0" quotePrefix="1" applyNumberFormat="1" applyFont="1" applyBorder="1" applyAlignment="1" applyProtection="1">
      <alignment horizontal="center" vertical="center"/>
      <protection hidden="1"/>
    </xf>
    <xf numFmtId="175" fontId="25" fillId="0" borderId="126" xfId="0" quotePrefix="1" applyNumberFormat="1" applyFont="1" applyBorder="1" applyAlignment="1" applyProtection="1">
      <alignment horizontal="center" vertical="center"/>
      <protection hidden="1"/>
    </xf>
    <xf numFmtId="175" fontId="25" fillId="0" borderId="87" xfId="2" applyNumberFormat="1" applyFont="1" applyBorder="1" applyAlignment="1" applyProtection="1">
      <alignment horizontal="center" vertical="center"/>
      <protection hidden="1"/>
    </xf>
    <xf numFmtId="175" fontId="25" fillId="0" borderId="87" xfId="0" quotePrefix="1" applyNumberFormat="1" applyFont="1" applyBorder="1" applyAlignment="1" applyProtection="1">
      <alignment horizontal="center" vertical="center"/>
      <protection hidden="1"/>
    </xf>
    <xf numFmtId="175" fontId="25" fillId="0" borderId="87" xfId="0" applyNumberFormat="1" applyFont="1" applyBorder="1" applyAlignment="1" applyProtection="1">
      <alignment horizontal="center" vertical="center"/>
      <protection hidden="1"/>
    </xf>
    <xf numFmtId="175" fontId="25" fillId="0" borderId="205" xfId="5" applyNumberFormat="1" applyFont="1" applyBorder="1" applyAlignment="1" applyProtection="1">
      <alignment horizontal="center" vertical="center"/>
      <protection hidden="1"/>
    </xf>
    <xf numFmtId="175" fontId="25" fillId="0" borderId="238" xfId="0" applyNumberFormat="1" applyFont="1" applyBorder="1" applyAlignment="1" applyProtection="1">
      <alignment horizontal="center" vertical="center"/>
      <protection hidden="1"/>
    </xf>
    <xf numFmtId="167" fontId="26" fillId="0" borderId="30" xfId="0" applyNumberFormat="1" applyFont="1" applyBorder="1" applyProtection="1">
      <protection hidden="1"/>
    </xf>
    <xf numFmtId="167" fontId="6" fillId="17" borderId="82" xfId="0" applyNumberFormat="1" applyFont="1" applyFill="1" applyBorder="1" applyAlignment="1" applyProtection="1">
      <alignment horizontal="right" vertical="center"/>
      <protection hidden="1"/>
    </xf>
    <xf numFmtId="167" fontId="15" fillId="17" borderId="95" xfId="0" applyNumberFormat="1" applyFont="1" applyFill="1" applyBorder="1" applyAlignment="1" applyProtection="1">
      <alignment horizontal="right" vertical="center"/>
      <protection hidden="1"/>
    </xf>
    <xf numFmtId="167" fontId="15" fillId="17" borderId="119" xfId="0" applyNumberFormat="1" applyFont="1" applyFill="1" applyBorder="1" applyAlignment="1" applyProtection="1">
      <alignment horizontal="right" vertical="center"/>
      <protection hidden="1"/>
    </xf>
    <xf numFmtId="167" fontId="15" fillId="17" borderId="93" xfId="0" applyNumberFormat="1" applyFont="1" applyFill="1" applyBorder="1" applyAlignment="1" applyProtection="1">
      <alignment horizontal="right" vertical="center"/>
      <protection hidden="1"/>
    </xf>
    <xf numFmtId="167" fontId="15" fillId="17" borderId="94" xfId="0" applyNumberFormat="1" applyFont="1" applyFill="1" applyBorder="1" applyAlignment="1" applyProtection="1">
      <alignment horizontal="right" vertical="center"/>
      <protection hidden="1"/>
    </xf>
    <xf numFmtId="167" fontId="15" fillId="17" borderId="96" xfId="0" applyNumberFormat="1" applyFont="1" applyFill="1" applyBorder="1" applyAlignment="1" applyProtection="1">
      <alignment horizontal="right" vertical="center"/>
      <protection hidden="1"/>
    </xf>
    <xf numFmtId="167" fontId="15" fillId="17" borderId="121" xfId="0" applyNumberFormat="1" applyFont="1" applyFill="1" applyBorder="1" applyAlignment="1" applyProtection="1">
      <alignment horizontal="right" vertical="center"/>
      <protection hidden="1"/>
    </xf>
    <xf numFmtId="167" fontId="15" fillId="17" borderId="113" xfId="0" applyNumberFormat="1" applyFont="1" applyFill="1" applyBorder="1" applyAlignment="1" applyProtection="1">
      <alignment horizontal="right" vertical="center"/>
      <protection hidden="1"/>
    </xf>
    <xf numFmtId="167" fontId="51" fillId="41" borderId="82" xfId="0" applyNumberFormat="1" applyFont="1" applyFill="1" applyBorder="1" applyAlignment="1" applyProtection="1">
      <alignment horizontal="right" vertical="center"/>
      <protection locked="0"/>
    </xf>
    <xf numFmtId="167" fontId="15" fillId="17" borderId="82" xfId="0" applyNumberFormat="1" applyFont="1" applyFill="1" applyBorder="1" applyAlignment="1" applyProtection="1">
      <alignment horizontal="right" vertical="center"/>
      <protection hidden="1"/>
    </xf>
    <xf numFmtId="167" fontId="29" fillId="17" borderId="95" xfId="0" applyNumberFormat="1" applyFont="1" applyFill="1" applyBorder="1" applyAlignment="1" applyProtection="1">
      <alignment horizontal="right" vertical="center"/>
      <protection hidden="1"/>
    </xf>
    <xf numFmtId="167" fontId="17" fillId="17" borderId="82" xfId="0" applyNumberFormat="1" applyFont="1" applyFill="1" applyBorder="1" applyAlignment="1" applyProtection="1">
      <alignment horizontal="right" vertical="center"/>
      <protection hidden="1"/>
    </xf>
    <xf numFmtId="4" fontId="5" fillId="27" borderId="271" xfId="0" applyNumberFormat="1" applyFont="1" applyFill="1" applyBorder="1"/>
    <xf numFmtId="4" fontId="5" fillId="27" borderId="272" xfId="0" applyNumberFormat="1" applyFont="1" applyFill="1" applyBorder="1"/>
    <xf numFmtId="4" fontId="5" fillId="27" borderId="274" xfId="0" applyNumberFormat="1" applyFont="1" applyFill="1" applyBorder="1"/>
    <xf numFmtId="0" fontId="15" fillId="0" borderId="79" xfId="0" applyFont="1" applyBorder="1" applyProtection="1">
      <protection hidden="1"/>
    </xf>
    <xf numFmtId="172" fontId="38" fillId="0" borderId="0" xfId="0" quotePrefix="1" applyNumberFormat="1" applyFont="1" applyAlignment="1" applyProtection="1">
      <alignment horizontal="right" vertical="center"/>
      <protection hidden="1"/>
    </xf>
    <xf numFmtId="0" fontId="70" fillId="9" borderId="47" xfId="0" applyFont="1" applyFill="1" applyBorder="1"/>
    <xf numFmtId="0" fontId="55" fillId="9" borderId="135" xfId="0" applyFont="1" applyFill="1" applyBorder="1" applyAlignment="1">
      <alignment vertical="center"/>
    </xf>
    <xf numFmtId="0" fontId="55" fillId="9" borderId="42" xfId="0" applyFont="1" applyFill="1" applyBorder="1" applyAlignment="1">
      <alignment vertical="center"/>
    </xf>
    <xf numFmtId="167" fontId="69" fillId="9" borderId="42" xfId="0" applyNumberFormat="1" applyFont="1" applyFill="1" applyBorder="1" applyAlignment="1">
      <alignment horizontal="left" vertical="top" wrapText="1"/>
    </xf>
    <xf numFmtId="168" fontId="46" fillId="36" borderId="26" xfId="0" applyNumberFormat="1" applyFont="1" applyFill="1" applyBorder="1" applyAlignment="1">
      <alignment horizontal="right" vertical="center"/>
    </xf>
    <xf numFmtId="168" fontId="72" fillId="36" borderId="28" xfId="0" applyNumberFormat="1" applyFont="1" applyFill="1" applyBorder="1" applyAlignment="1">
      <alignment horizontal="right" vertical="center"/>
    </xf>
    <xf numFmtId="0" fontId="14" fillId="34" borderId="107" xfId="2" quotePrefix="1" applyFont="1" applyFill="1" applyBorder="1" applyAlignment="1" applyProtection="1">
      <alignment horizontal="center" vertical="center"/>
      <protection hidden="1"/>
    </xf>
    <xf numFmtId="0" fontId="14" fillId="34" borderId="108" xfId="1" quotePrefix="1" applyNumberFormat="1" applyFont="1" applyFill="1" applyBorder="1" applyAlignment="1" applyProtection="1">
      <alignment horizontal="center" vertical="center"/>
      <protection hidden="1"/>
    </xf>
    <xf numFmtId="0" fontId="14" fillId="34" borderId="108" xfId="1" applyNumberFormat="1" applyFont="1" applyFill="1" applyBorder="1" applyAlignment="1" applyProtection="1">
      <alignment horizontal="center" vertical="center"/>
      <protection hidden="1"/>
    </xf>
    <xf numFmtId="0" fontId="14" fillId="34" borderId="109" xfId="1" applyNumberFormat="1" applyFont="1" applyFill="1" applyBorder="1" applyAlignment="1" applyProtection="1">
      <alignment horizontal="center" vertical="center"/>
      <protection hidden="1"/>
    </xf>
    <xf numFmtId="168" fontId="51" fillId="50" borderId="120" xfId="0" applyNumberFormat="1" applyFont="1" applyFill="1" applyBorder="1" applyProtection="1">
      <protection locked="0"/>
    </xf>
    <xf numFmtId="4" fontId="48" fillId="9" borderId="486" xfId="0" applyNumberFormat="1" applyFont="1" applyFill="1" applyBorder="1" applyAlignment="1" applyProtection="1">
      <alignment vertical="center"/>
      <protection hidden="1"/>
    </xf>
    <xf numFmtId="164" fontId="9" fillId="12" borderId="285" xfId="0" applyNumberFormat="1" applyFont="1" applyFill="1" applyBorder="1" applyAlignment="1" applyProtection="1">
      <alignment horizontal="center"/>
      <protection locked="0"/>
    </xf>
    <xf numFmtId="0" fontId="64" fillId="12" borderId="487" xfId="0" quotePrefix="1" applyFont="1" applyFill="1" applyBorder="1" applyAlignment="1">
      <alignment horizontal="left"/>
    </xf>
    <xf numFmtId="0" fontId="55" fillId="12" borderId="203" xfId="0" applyFont="1" applyFill="1" applyBorder="1"/>
    <xf numFmtId="0" fontId="64" fillId="12" borderId="488" xfId="0" quotePrefix="1" applyFont="1" applyFill="1" applyBorder="1" applyAlignment="1">
      <alignment horizontal="left"/>
    </xf>
    <xf numFmtId="0" fontId="55" fillId="12" borderId="489" xfId="0" applyFont="1" applyFill="1" applyBorder="1"/>
    <xf numFmtId="0" fontId="64" fillId="12" borderId="490" xfId="0" applyFont="1" applyFill="1" applyBorder="1"/>
    <xf numFmtId="0" fontId="55" fillId="12" borderId="491" xfId="0" applyFont="1" applyFill="1" applyBorder="1"/>
    <xf numFmtId="0" fontId="64" fillId="12" borderId="488" xfId="0" applyFont="1" applyFill="1" applyBorder="1"/>
    <xf numFmtId="0" fontId="64" fillId="12" borderId="490" xfId="0" quotePrefix="1" applyFont="1" applyFill="1" applyBorder="1" applyAlignment="1">
      <alignment horizontal="left"/>
    </xf>
    <xf numFmtId="0" fontId="61" fillId="15" borderId="297" xfId="0" applyFont="1" applyFill="1" applyBorder="1" applyAlignment="1">
      <alignment horizontal="center" vertical="top" wrapText="1"/>
    </xf>
    <xf numFmtId="0" fontId="62" fillId="15" borderId="297" xfId="0" quotePrefix="1" applyFont="1" applyFill="1" applyBorder="1" applyAlignment="1">
      <alignment horizontal="center" vertical="top" wrapText="1"/>
    </xf>
    <xf numFmtId="0" fontId="62" fillId="15" borderId="452" xfId="0" quotePrefix="1" applyFont="1" applyFill="1" applyBorder="1" applyAlignment="1">
      <alignment horizontal="center" vertical="top" wrapText="1"/>
    </xf>
    <xf numFmtId="0" fontId="55" fillId="2" borderId="492" xfId="0" applyFont="1" applyFill="1" applyBorder="1"/>
    <xf numFmtId="0" fontId="55" fillId="2" borderId="493" xfId="0" applyFont="1" applyFill="1" applyBorder="1"/>
    <xf numFmtId="0" fontId="55" fillId="11" borderId="494" xfId="0" applyFont="1" applyFill="1" applyBorder="1"/>
    <xf numFmtId="0" fontId="55" fillId="11" borderId="495" xfId="0" applyFont="1" applyFill="1" applyBorder="1"/>
    <xf numFmtId="0" fontId="55" fillId="42" borderId="492" xfId="0" applyFont="1" applyFill="1" applyBorder="1"/>
    <xf numFmtId="0" fontId="55" fillId="43" borderId="493" xfId="0" applyFont="1" applyFill="1" applyBorder="1"/>
    <xf numFmtId="0" fontId="55" fillId="42" borderId="494" xfId="0" applyFont="1" applyFill="1" applyBorder="1"/>
    <xf numFmtId="0" fontId="55" fillId="43" borderId="495" xfId="0" applyFont="1" applyFill="1" applyBorder="1"/>
    <xf numFmtId="0" fontId="55" fillId="4" borderId="492" xfId="0" applyFont="1" applyFill="1" applyBorder="1"/>
    <xf numFmtId="0" fontId="55" fillId="4" borderId="493" xfId="0" applyFont="1" applyFill="1" applyBorder="1"/>
    <xf numFmtId="0" fontId="55" fillId="8" borderId="494" xfId="0" applyFont="1" applyFill="1" applyBorder="1"/>
    <xf numFmtId="0" fontId="55" fillId="8" borderId="495" xfId="0" applyFont="1" applyFill="1" applyBorder="1"/>
    <xf numFmtId="0" fontId="55" fillId="5" borderId="492" xfId="0" applyFont="1" applyFill="1" applyBorder="1"/>
    <xf numFmtId="0" fontId="55" fillId="5" borderId="493" xfId="0" applyFont="1" applyFill="1" applyBorder="1"/>
    <xf numFmtId="0" fontId="55" fillId="47" borderId="397" xfId="0" applyFont="1" applyFill="1" applyBorder="1"/>
    <xf numFmtId="0" fontId="55" fillId="47" borderId="496" xfId="0" applyFont="1" applyFill="1" applyBorder="1"/>
    <xf numFmtId="0" fontId="55" fillId="42" borderId="495" xfId="0" applyFont="1" applyFill="1" applyBorder="1"/>
    <xf numFmtId="0" fontId="6" fillId="51" borderId="298" xfId="0" applyFont="1" applyFill="1" applyBorder="1"/>
    <xf numFmtId="0" fontId="6" fillId="51" borderId="311" xfId="0" applyFont="1" applyFill="1" applyBorder="1"/>
    <xf numFmtId="0" fontId="6" fillId="52" borderId="298" xfId="0" applyFont="1" applyFill="1" applyBorder="1"/>
    <xf numFmtId="0" fontId="6" fillId="52" borderId="311" xfId="0" applyFont="1" applyFill="1" applyBorder="1"/>
    <xf numFmtId="0" fontId="6" fillId="53" borderId="298" xfId="0" applyFont="1" applyFill="1" applyBorder="1"/>
    <xf numFmtId="0" fontId="6" fillId="53" borderId="311" xfId="0" applyFont="1" applyFill="1" applyBorder="1"/>
    <xf numFmtId="0" fontId="6" fillId="54" borderId="298" xfId="0" applyFont="1" applyFill="1" applyBorder="1"/>
    <xf numFmtId="0" fontId="6" fillId="54" borderId="311" xfId="0" applyFont="1" applyFill="1" applyBorder="1"/>
    <xf numFmtId="0" fontId="20" fillId="13" borderId="497" xfId="0" applyFont="1" applyFill="1" applyBorder="1"/>
    <xf numFmtId="0" fontId="20" fillId="13" borderId="498" xfId="0" applyFont="1" applyFill="1" applyBorder="1"/>
    <xf numFmtId="4" fontId="5" fillId="51" borderId="126" xfId="0" applyNumberFormat="1" applyFont="1" applyFill="1" applyBorder="1"/>
    <xf numFmtId="4" fontId="5" fillId="51" borderId="126" xfId="0" quotePrefix="1" applyNumberFormat="1" applyFont="1" applyFill="1" applyBorder="1" applyAlignment="1">
      <alignment horizontal="left"/>
    </xf>
    <xf numFmtId="3" fontId="5" fillId="51" borderId="126" xfId="0" applyNumberFormat="1" applyFont="1" applyFill="1" applyBorder="1"/>
    <xf numFmtId="4" fontId="5" fillId="51" borderId="322" xfId="0" applyNumberFormat="1" applyFont="1" applyFill="1" applyBorder="1"/>
    <xf numFmtId="4" fontId="5" fillId="51" borderId="322" xfId="0" quotePrefix="1" applyNumberFormat="1" applyFont="1" applyFill="1" applyBorder="1" applyAlignment="1">
      <alignment horizontal="left"/>
    </xf>
    <xf numFmtId="3" fontId="5" fillId="51" borderId="322" xfId="0" applyNumberFormat="1" applyFont="1" applyFill="1" applyBorder="1"/>
    <xf numFmtId="4" fontId="5" fillId="51" borderId="325" xfId="0" applyNumberFormat="1" applyFont="1" applyFill="1" applyBorder="1"/>
    <xf numFmtId="4" fontId="5" fillId="51" borderId="499" xfId="0" applyNumberFormat="1" applyFont="1" applyFill="1" applyBorder="1"/>
    <xf numFmtId="4" fontId="5" fillId="51" borderId="315" xfId="0" applyNumberFormat="1" applyFont="1" applyFill="1" applyBorder="1"/>
    <xf numFmtId="4" fontId="5" fillId="51" borderId="315" xfId="0" quotePrefix="1" applyNumberFormat="1" applyFont="1" applyFill="1" applyBorder="1" applyAlignment="1">
      <alignment horizontal="left"/>
    </xf>
    <xf numFmtId="3" fontId="5" fillId="51" borderId="315" xfId="0" applyNumberFormat="1" applyFont="1" applyFill="1" applyBorder="1"/>
    <xf numFmtId="4" fontId="5" fillId="51" borderId="326" xfId="0" applyNumberFormat="1" applyFont="1" applyFill="1" applyBorder="1"/>
    <xf numFmtId="4" fontId="5" fillId="52" borderId="322" xfId="0" applyNumberFormat="1" applyFont="1" applyFill="1" applyBorder="1"/>
    <xf numFmtId="4" fontId="5" fillId="52" borderId="322" xfId="0" quotePrefix="1" applyNumberFormat="1" applyFont="1" applyFill="1" applyBorder="1" applyAlignment="1">
      <alignment horizontal="left"/>
    </xf>
    <xf numFmtId="3" fontId="5" fillId="52" borderId="322" xfId="0" applyNumberFormat="1" applyFont="1" applyFill="1" applyBorder="1"/>
    <xf numFmtId="4" fontId="5" fillId="52" borderId="325" xfId="0" applyNumberFormat="1" applyFont="1" applyFill="1" applyBorder="1"/>
    <xf numFmtId="4" fontId="5" fillId="52" borderId="126" xfId="0" applyNumberFormat="1" applyFont="1" applyFill="1" applyBorder="1"/>
    <xf numFmtId="4" fontId="5" fillId="52" borderId="126" xfId="0" quotePrefix="1" applyNumberFormat="1" applyFont="1" applyFill="1" applyBorder="1" applyAlignment="1">
      <alignment horizontal="left"/>
    </xf>
    <xf numFmtId="3" fontId="5" fillId="52" borderId="126" xfId="0" applyNumberFormat="1" applyFont="1" applyFill="1" applyBorder="1"/>
    <xf numFmtId="4" fontId="5" fillId="52" borderId="499" xfId="0" applyNumberFormat="1" applyFont="1" applyFill="1" applyBorder="1"/>
    <xf numFmtId="4" fontId="5" fillId="52" borderId="315" xfId="0" applyNumberFormat="1" applyFont="1" applyFill="1" applyBorder="1"/>
    <xf numFmtId="4" fontId="5" fillId="52" borderId="315" xfId="0" quotePrefix="1" applyNumberFormat="1" applyFont="1" applyFill="1" applyBorder="1" applyAlignment="1">
      <alignment horizontal="left"/>
    </xf>
    <xf numFmtId="3" fontId="5" fillId="52" borderId="315" xfId="0" applyNumberFormat="1" applyFont="1" applyFill="1" applyBorder="1"/>
    <xf numFmtId="4" fontId="5" fillId="52" borderId="326" xfId="0" applyNumberFormat="1" applyFont="1" applyFill="1" applyBorder="1"/>
    <xf numFmtId="4" fontId="5" fillId="53" borderId="322" xfId="0" applyNumberFormat="1" applyFont="1" applyFill="1" applyBorder="1"/>
    <xf numFmtId="4" fontId="5" fillId="53" borderId="322" xfId="0" quotePrefix="1" applyNumberFormat="1" applyFont="1" applyFill="1" applyBorder="1"/>
    <xf numFmtId="4" fontId="5" fillId="53" borderId="322" xfId="0" quotePrefix="1" applyNumberFormat="1" applyFont="1" applyFill="1" applyBorder="1" applyAlignment="1">
      <alignment horizontal="left"/>
    </xf>
    <xf numFmtId="3" fontId="5" fillId="53" borderId="322" xfId="0" applyNumberFormat="1" applyFont="1" applyFill="1" applyBorder="1"/>
    <xf numFmtId="4" fontId="5" fillId="53" borderId="325" xfId="0" applyNumberFormat="1" applyFont="1" applyFill="1" applyBorder="1"/>
    <xf numFmtId="4" fontId="5" fillId="53" borderId="126" xfId="0" applyNumberFormat="1" applyFont="1" applyFill="1" applyBorder="1"/>
    <xf numFmtId="4" fontId="5" fillId="53" borderId="126" xfId="0" quotePrefix="1" applyNumberFormat="1" applyFont="1" applyFill="1" applyBorder="1" applyAlignment="1">
      <alignment horizontal="left"/>
    </xf>
    <xf numFmtId="3" fontId="5" fillId="53" borderId="126" xfId="0" applyNumberFormat="1" applyFont="1" applyFill="1" applyBorder="1"/>
    <xf numFmtId="4" fontId="5" fillId="53" borderId="499" xfId="0" applyNumberFormat="1" applyFont="1" applyFill="1" applyBorder="1"/>
    <xf numFmtId="4" fontId="5" fillId="53" borderId="315" xfId="0" applyNumberFormat="1" applyFont="1" applyFill="1" applyBorder="1"/>
    <xf numFmtId="4" fontId="5" fillId="53" borderId="315" xfId="0" quotePrefix="1" applyNumberFormat="1" applyFont="1" applyFill="1" applyBorder="1" applyAlignment="1">
      <alignment horizontal="left"/>
    </xf>
    <xf numFmtId="3" fontId="5" fillId="53" borderId="315" xfId="0" applyNumberFormat="1" applyFont="1" applyFill="1" applyBorder="1"/>
    <xf numFmtId="4" fontId="5" fillId="53" borderId="326" xfId="0" applyNumberFormat="1" applyFont="1" applyFill="1" applyBorder="1"/>
    <xf numFmtId="4" fontId="7" fillId="54" borderId="322" xfId="0" applyNumberFormat="1" applyFont="1" applyFill="1" applyBorder="1"/>
    <xf numFmtId="4" fontId="7" fillId="54" borderId="322" xfId="0" quotePrefix="1" applyNumberFormat="1" applyFont="1" applyFill="1" applyBorder="1" applyAlignment="1">
      <alignment horizontal="left"/>
    </xf>
    <xf numFmtId="3" fontId="7" fillId="54" borderId="322" xfId="0" applyNumberFormat="1" applyFont="1" applyFill="1" applyBorder="1"/>
    <xf numFmtId="4" fontId="7" fillId="54" borderId="325" xfId="0" applyNumberFormat="1" applyFont="1" applyFill="1" applyBorder="1"/>
    <xf numFmtId="4" fontId="7" fillId="54" borderId="315" xfId="0" applyNumberFormat="1" applyFont="1" applyFill="1" applyBorder="1"/>
    <xf numFmtId="4" fontId="7" fillId="54" borderId="315" xfId="0" quotePrefix="1" applyNumberFormat="1" applyFont="1" applyFill="1" applyBorder="1" applyAlignment="1">
      <alignment horizontal="left"/>
    </xf>
    <xf numFmtId="3" fontId="7" fillId="54" borderId="315" xfId="0" applyNumberFormat="1" applyFont="1" applyFill="1" applyBorder="1"/>
    <xf numFmtId="4" fontId="7" fillId="54" borderId="326" xfId="0" applyNumberFormat="1" applyFont="1" applyFill="1" applyBorder="1"/>
    <xf numFmtId="4" fontId="7" fillId="55" borderId="322" xfId="0" applyNumberFormat="1" applyFont="1" applyFill="1" applyBorder="1"/>
    <xf numFmtId="4" fontId="7" fillId="55" borderId="322" xfId="0" quotePrefix="1" applyNumberFormat="1" applyFont="1" applyFill="1" applyBorder="1" applyAlignment="1">
      <alignment horizontal="left"/>
    </xf>
    <xf numFmtId="3" fontId="7" fillId="55" borderId="322" xfId="0" applyNumberFormat="1" applyFont="1" applyFill="1" applyBorder="1"/>
    <xf numFmtId="4" fontId="7" fillId="55" borderId="325" xfId="0" applyNumberFormat="1" applyFont="1" applyFill="1" applyBorder="1"/>
    <xf numFmtId="4" fontId="7" fillId="55" borderId="126" xfId="0" applyNumberFormat="1" applyFont="1" applyFill="1" applyBorder="1"/>
    <xf numFmtId="4" fontId="7" fillId="55" borderId="126" xfId="0" quotePrefix="1" applyNumberFormat="1" applyFont="1" applyFill="1" applyBorder="1" applyAlignment="1">
      <alignment horizontal="left"/>
    </xf>
    <xf numFmtId="3" fontId="7" fillId="55" borderId="126" xfId="0" applyNumberFormat="1" applyFont="1" applyFill="1" applyBorder="1"/>
    <xf numFmtId="4" fontId="7" fillId="55" borderId="499" xfId="0" applyNumberFormat="1" applyFont="1" applyFill="1" applyBorder="1"/>
    <xf numFmtId="4" fontId="7" fillId="55" borderId="315" xfId="0" applyNumberFormat="1" applyFont="1" applyFill="1" applyBorder="1"/>
    <xf numFmtId="4" fontId="7" fillId="55" borderId="315" xfId="0" quotePrefix="1" applyNumberFormat="1" applyFont="1" applyFill="1" applyBorder="1" applyAlignment="1">
      <alignment horizontal="left"/>
    </xf>
    <xf numFmtId="3" fontId="7" fillId="55" borderId="315" xfId="0" applyNumberFormat="1" applyFont="1" applyFill="1" applyBorder="1"/>
    <xf numFmtId="4" fontId="7" fillId="55" borderId="326" xfId="0" applyNumberFormat="1" applyFont="1" applyFill="1" applyBorder="1"/>
    <xf numFmtId="0" fontId="29" fillId="51" borderId="30" xfId="0" applyFont="1" applyFill="1" applyBorder="1" applyAlignment="1">
      <alignment horizontal="left" vertical="center"/>
    </xf>
    <xf numFmtId="0" fontId="29" fillId="51" borderId="30" xfId="0" quotePrefix="1" applyFont="1" applyFill="1" applyBorder="1" applyAlignment="1">
      <alignment horizontal="left" vertical="center"/>
    </xf>
    <xf numFmtId="0" fontId="72" fillId="35" borderId="45" xfId="0" applyFont="1" applyFill="1" applyBorder="1" applyAlignment="1">
      <alignment horizontal="center" vertical="top" wrapText="1"/>
    </xf>
    <xf numFmtId="0" fontId="64" fillId="12" borderId="500" xfId="0" quotePrefix="1" applyFont="1" applyFill="1" applyBorder="1" applyAlignment="1">
      <alignment horizontal="left"/>
    </xf>
    <xf numFmtId="0" fontId="55" fillId="12" borderId="354" xfId="0" applyFont="1" applyFill="1" applyBorder="1"/>
    <xf numFmtId="0" fontId="6" fillId="52" borderId="497" xfId="0" applyFont="1" applyFill="1" applyBorder="1"/>
    <xf numFmtId="0" fontId="6" fillId="52" borderId="501" xfId="0" applyFont="1" applyFill="1" applyBorder="1"/>
    <xf numFmtId="0" fontId="6" fillId="55" borderId="497" xfId="0" applyFont="1" applyFill="1" applyBorder="1"/>
    <xf numFmtId="0" fontId="6" fillId="55" borderId="501" xfId="0" applyFont="1" applyFill="1" applyBorder="1"/>
    <xf numFmtId="2" fontId="56" fillId="5" borderId="41" xfId="0" quotePrefix="1" applyNumberFormat="1" applyFont="1" applyFill="1" applyBorder="1" applyAlignment="1">
      <alignment horizontal="left" vertical="center"/>
    </xf>
    <xf numFmtId="2" fontId="56" fillId="5" borderId="23" xfId="0" applyNumberFormat="1" applyFont="1" applyFill="1" applyBorder="1" applyAlignment="1">
      <alignment horizontal="left" vertical="center"/>
    </xf>
    <xf numFmtId="2" fontId="56" fillId="5" borderId="25" xfId="0" applyNumberFormat="1" applyFont="1" applyFill="1" applyBorder="1" applyAlignment="1">
      <alignment horizontal="left" vertical="center"/>
    </xf>
    <xf numFmtId="0" fontId="55" fillId="42" borderId="249" xfId="0" applyFont="1" applyFill="1" applyBorder="1"/>
    <xf numFmtId="4" fontId="55" fillId="0" borderId="0" xfId="0" applyNumberFormat="1" applyFont="1"/>
    <xf numFmtId="3" fontId="59" fillId="5" borderId="198" xfId="0" applyNumberFormat="1" applyFont="1" applyFill="1" applyBorder="1"/>
    <xf numFmtId="2" fontId="55" fillId="0" borderId="0" xfId="0" applyNumberFormat="1" applyFont="1"/>
    <xf numFmtId="4" fontId="59" fillId="12" borderId="199" xfId="0" applyNumberFormat="1" applyFont="1" applyFill="1" applyBorder="1"/>
    <xf numFmtId="0" fontId="77" fillId="0" borderId="0" xfId="0" quotePrefix="1" applyFont="1" applyAlignment="1">
      <alignment horizontal="left"/>
    </xf>
    <xf numFmtId="3" fontId="59" fillId="12" borderId="198" xfId="0" applyNumberFormat="1" applyFont="1" applyFill="1" applyBorder="1"/>
    <xf numFmtId="1" fontId="55" fillId="0" borderId="0" xfId="0" applyNumberFormat="1" applyFont="1"/>
    <xf numFmtId="0" fontId="20" fillId="0" borderId="348" xfId="0" applyFont="1" applyBorder="1"/>
    <xf numFmtId="0" fontId="20" fillId="0" borderId="46" xfId="0" applyFont="1" applyBorder="1"/>
    <xf numFmtId="0" fontId="20" fillId="0" borderId="16" xfId="0" applyFont="1" applyBorder="1"/>
    <xf numFmtId="4" fontId="61" fillId="15" borderId="184" xfId="0" quotePrefix="1" applyNumberFormat="1" applyFont="1" applyFill="1" applyBorder="1" applyAlignment="1">
      <alignment horizontal="center" vertical="top" wrapText="1"/>
    </xf>
    <xf numFmtId="4" fontId="61" fillId="15" borderId="127" xfId="0" quotePrefix="1" applyNumberFormat="1" applyFont="1" applyFill="1" applyBorder="1" applyAlignment="1">
      <alignment horizontal="center" vertical="top" wrapText="1"/>
    </xf>
    <xf numFmtId="2" fontId="61" fillId="15" borderId="127" xfId="0" quotePrefix="1" applyNumberFormat="1" applyFont="1" applyFill="1" applyBorder="1" applyAlignment="1">
      <alignment horizontal="center" vertical="top" wrapText="1"/>
    </xf>
    <xf numFmtId="1" fontId="61" fillId="15" borderId="127" xfId="0" quotePrefix="1" applyNumberFormat="1" applyFont="1" applyFill="1" applyBorder="1" applyAlignment="1">
      <alignment horizontal="center" vertical="top" wrapText="1"/>
    </xf>
    <xf numFmtId="0" fontId="20" fillId="0" borderId="5" xfId="0" applyFont="1" applyBorder="1"/>
    <xf numFmtId="0" fontId="20" fillId="0" borderId="0" xfId="0" applyFont="1"/>
    <xf numFmtId="0" fontId="20" fillId="0" borderId="3" xfId="0" applyFont="1" applyBorder="1"/>
    <xf numFmtId="4" fontId="59" fillId="12" borderId="184" xfId="0" applyNumberFormat="1" applyFont="1" applyFill="1" applyBorder="1"/>
    <xf numFmtId="4" fontId="59" fillId="12" borderId="127" xfId="0" applyNumberFormat="1" applyFont="1" applyFill="1" applyBorder="1"/>
    <xf numFmtId="3" fontId="59" fillId="12" borderId="127" xfId="0" applyNumberFormat="1" applyFont="1" applyFill="1" applyBorder="1"/>
    <xf numFmtId="2" fontId="59" fillId="12" borderId="127" xfId="0" applyNumberFormat="1" applyFont="1" applyFill="1" applyBorder="1"/>
    <xf numFmtId="2" fontId="59" fillId="12" borderId="133" xfId="0" applyNumberFormat="1" applyFont="1" applyFill="1" applyBorder="1"/>
    <xf numFmtId="2" fontId="20" fillId="12" borderId="133" xfId="0" applyNumberFormat="1" applyFont="1" applyFill="1" applyBorder="1"/>
    <xf numFmtId="0" fontId="45" fillId="12" borderId="184" xfId="0" applyFont="1" applyFill="1" applyBorder="1"/>
    <xf numFmtId="0" fontId="45" fillId="12" borderId="127" xfId="0" applyFont="1" applyFill="1" applyBorder="1"/>
    <xf numFmtId="0" fontId="45" fillId="12" borderId="133" xfId="0" applyFont="1" applyFill="1" applyBorder="1"/>
    <xf numFmtId="4" fontId="45" fillId="12" borderId="127" xfId="0" applyNumberFormat="1" applyFont="1" applyFill="1" applyBorder="1"/>
    <xf numFmtId="0" fontId="20" fillId="12" borderId="133" xfId="0" applyFont="1" applyFill="1" applyBorder="1"/>
    <xf numFmtId="3" fontId="59" fillId="12" borderId="178" xfId="0" applyNumberFormat="1" applyFont="1" applyFill="1" applyBorder="1"/>
    <xf numFmtId="3" fontId="59" fillId="12" borderId="131" xfId="0" applyNumberFormat="1" applyFont="1" applyFill="1" applyBorder="1"/>
    <xf numFmtId="4" fontId="59" fillId="12" borderId="198" xfId="0" applyNumberFormat="1" applyFont="1" applyFill="1" applyBorder="1"/>
    <xf numFmtId="3" fontId="20" fillId="12" borderId="131" xfId="0" applyNumberFormat="1" applyFont="1" applyFill="1" applyBorder="1"/>
    <xf numFmtId="4" fontId="59" fillId="12" borderId="363" xfId="0" applyNumberFormat="1" applyFont="1" applyFill="1" applyBorder="1"/>
    <xf numFmtId="3" fontId="59" fillId="12" borderId="199" xfId="0" applyNumberFormat="1" applyFont="1" applyFill="1" applyBorder="1"/>
    <xf numFmtId="4" fontId="59" fillId="12" borderId="200" xfId="0" applyNumberFormat="1" applyFont="1" applyFill="1" applyBorder="1"/>
    <xf numFmtId="4" fontId="20" fillId="12" borderId="200" xfId="0" applyNumberFormat="1" applyFont="1" applyFill="1" applyBorder="1"/>
    <xf numFmtId="0" fontId="20" fillId="0" borderId="2" xfId="0" applyFont="1" applyBorder="1"/>
    <xf numFmtId="0" fontId="20" fillId="0" borderId="1" xfId="0" applyFont="1" applyBorder="1"/>
    <xf numFmtId="0" fontId="20" fillId="0" borderId="4" xfId="0" applyFont="1" applyBorder="1"/>
    <xf numFmtId="4" fontId="45" fillId="12" borderId="200" xfId="0" applyNumberFormat="1" applyFont="1" applyFill="1" applyBorder="1"/>
    <xf numFmtId="0" fontId="61" fillId="15" borderId="136" xfId="0" applyFont="1" applyFill="1" applyBorder="1" applyAlignment="1">
      <alignment horizontal="left" vertical="top"/>
    </xf>
    <xf numFmtId="0" fontId="61" fillId="15" borderId="137" xfId="0" applyFont="1" applyFill="1" applyBorder="1" applyAlignment="1">
      <alignment horizontal="left" vertical="top"/>
    </xf>
    <xf numFmtId="0" fontId="61" fillId="15" borderId="137" xfId="0" quotePrefix="1" applyFont="1" applyFill="1" applyBorder="1" applyAlignment="1">
      <alignment horizontal="left" vertical="top"/>
    </xf>
    <xf numFmtId="0" fontId="61" fillId="15" borderId="128" xfId="0" applyFont="1" applyFill="1" applyBorder="1" applyAlignment="1">
      <alignment horizontal="left" vertical="top"/>
    </xf>
    <xf numFmtId="0" fontId="61" fillId="15" borderId="42" xfId="0" applyFont="1" applyFill="1" applyBorder="1" applyAlignment="1">
      <alignment horizontal="left" vertical="top"/>
    </xf>
    <xf numFmtId="0" fontId="20" fillId="0" borderId="0" xfId="0" quotePrefix="1" applyFont="1" applyAlignment="1">
      <alignment horizontal="left"/>
    </xf>
    <xf numFmtId="2" fontId="20" fillId="0" borderId="0" xfId="0" applyNumberFormat="1" applyFont="1"/>
    <xf numFmtId="4" fontId="72" fillId="21" borderId="55" xfId="0" applyNumberFormat="1" applyFont="1" applyFill="1" applyBorder="1" applyAlignment="1">
      <alignment horizontal="center"/>
    </xf>
    <xf numFmtId="2" fontId="20" fillId="6" borderId="30" xfId="0" quotePrefix="1" applyNumberFormat="1" applyFont="1" applyFill="1" applyBorder="1" applyAlignment="1">
      <alignment horizontal="left" vertical="center"/>
    </xf>
    <xf numFmtId="2" fontId="20" fillId="0" borderId="30" xfId="0" quotePrefix="1" applyNumberFormat="1" applyFont="1" applyBorder="1" applyAlignment="1">
      <alignment horizontal="left" vertical="center"/>
    </xf>
    <xf numFmtId="4" fontId="20" fillId="6" borderId="30" xfId="0" applyNumberFormat="1" applyFont="1" applyFill="1" applyBorder="1"/>
    <xf numFmtId="2" fontId="20" fillId="6" borderId="112" xfId="0" quotePrefix="1" applyNumberFormat="1" applyFont="1" applyFill="1" applyBorder="1" applyAlignment="1">
      <alignment horizontal="left" vertical="center"/>
    </xf>
    <xf numFmtId="2" fontId="20" fillId="0" borderId="112" xfId="0" quotePrefix="1" applyNumberFormat="1" applyFont="1" applyBorder="1" applyAlignment="1">
      <alignment horizontal="left" vertical="center"/>
    </xf>
    <xf numFmtId="0" fontId="61" fillId="15" borderId="43" xfId="0" quotePrefix="1" applyFont="1" applyFill="1" applyBorder="1" applyAlignment="1">
      <alignment horizontal="left" vertical="top"/>
    </xf>
    <xf numFmtId="0" fontId="61" fillId="15" borderId="42" xfId="0" quotePrefix="1" applyFont="1" applyFill="1" applyBorder="1" applyAlignment="1">
      <alignment horizontal="left" vertical="top"/>
    </xf>
    <xf numFmtId="4" fontId="59" fillId="21" borderId="264" xfId="0" applyNumberFormat="1" applyFont="1" applyFill="1" applyBorder="1"/>
    <xf numFmtId="4" fontId="59" fillId="21" borderId="45" xfId="0" applyNumberFormat="1" applyFont="1" applyFill="1" applyBorder="1"/>
    <xf numFmtId="4" fontId="59" fillId="21" borderId="135" xfId="0" applyNumberFormat="1" applyFont="1" applyFill="1" applyBorder="1"/>
    <xf numFmtId="4" fontId="59" fillId="21" borderId="55" xfId="0" applyNumberFormat="1" applyFont="1" applyFill="1" applyBorder="1"/>
    <xf numFmtId="0" fontId="55" fillId="0" borderId="265" xfId="0" applyFont="1" applyBorder="1"/>
    <xf numFmtId="0" fontId="61" fillId="15" borderId="43" xfId="0" applyFont="1" applyFill="1" applyBorder="1" applyAlignment="1">
      <alignment horizontal="left" vertical="top"/>
    </xf>
    <xf numFmtId="0" fontId="61" fillId="15" borderId="138" xfId="0" quotePrefix="1" applyFont="1" applyFill="1" applyBorder="1" applyAlignment="1">
      <alignment horizontal="left" vertical="top"/>
    </xf>
    <xf numFmtId="4" fontId="20" fillId="6" borderId="30" xfId="0" quotePrefix="1" applyNumberFormat="1" applyFont="1" applyFill="1" applyBorder="1" applyAlignment="1">
      <alignment vertical="center"/>
    </xf>
    <xf numFmtId="3" fontId="20" fillId="6" borderId="30" xfId="0" applyNumberFormat="1" applyFont="1" applyFill="1" applyBorder="1"/>
    <xf numFmtId="0" fontId="61" fillId="15" borderId="129" xfId="0" applyFont="1" applyFill="1" applyBorder="1" applyAlignment="1">
      <alignment horizontal="left" vertical="top"/>
    </xf>
    <xf numFmtId="0" fontId="61" fillId="15" borderId="128" xfId="0" quotePrefix="1" applyFont="1" applyFill="1" applyBorder="1" applyAlignment="1">
      <alignment horizontal="left" vertical="top"/>
    </xf>
    <xf numFmtId="1" fontId="20" fillId="12" borderId="30" xfId="0" applyNumberFormat="1" applyFont="1" applyFill="1" applyBorder="1"/>
    <xf numFmtId="0" fontId="55" fillId="0" borderId="431" xfId="0" applyFont="1" applyBorder="1"/>
    <xf numFmtId="0" fontId="55" fillId="0" borderId="80" xfId="0" applyFont="1" applyBorder="1"/>
    <xf numFmtId="0" fontId="20" fillId="18" borderId="60" xfId="0" applyFont="1" applyFill="1" applyBorder="1"/>
    <xf numFmtId="0" fontId="20" fillId="18" borderId="163" xfId="0" applyFont="1" applyFill="1" applyBorder="1"/>
    <xf numFmtId="0" fontId="20" fillId="18" borderId="159" xfId="0" applyFont="1" applyFill="1" applyBorder="1"/>
    <xf numFmtId="4" fontId="20" fillId="21" borderId="266" xfId="0" applyNumberFormat="1" applyFont="1" applyFill="1" applyBorder="1"/>
    <xf numFmtId="4" fontId="20" fillId="21" borderId="267" xfId="0" applyNumberFormat="1" applyFont="1" applyFill="1" applyBorder="1"/>
    <xf numFmtId="4" fontId="20" fillId="21" borderId="263" xfId="0" applyNumberFormat="1" applyFont="1" applyFill="1" applyBorder="1"/>
    <xf numFmtId="1" fontId="20" fillId="21" borderId="267" xfId="0" applyNumberFormat="1" applyFont="1" applyFill="1" applyBorder="1"/>
    <xf numFmtId="4" fontId="20" fillId="21" borderId="268" xfId="0" applyNumberFormat="1" applyFont="1" applyFill="1" applyBorder="1"/>
    <xf numFmtId="4" fontId="20" fillId="21" borderId="269" xfId="0" applyNumberFormat="1" applyFont="1" applyFill="1" applyBorder="1"/>
    <xf numFmtId="0" fontId="61" fillId="15" borderId="129" xfId="0" quotePrefix="1" applyFont="1" applyFill="1" applyBorder="1" applyAlignment="1">
      <alignment horizontal="left" vertical="top"/>
    </xf>
    <xf numFmtId="0" fontId="61" fillId="15" borderId="137" xfId="0" quotePrefix="1" applyFont="1" applyFill="1" applyBorder="1" applyAlignment="1">
      <alignment horizontal="center" vertical="top"/>
    </xf>
    <xf numFmtId="4" fontId="72" fillId="36" borderId="503" xfId="0" applyNumberFormat="1" applyFont="1" applyFill="1" applyBorder="1" applyAlignment="1">
      <alignment horizontal="right"/>
    </xf>
    <xf numFmtId="4" fontId="62" fillId="35" borderId="504" xfId="0" applyNumberFormat="1" applyFont="1" applyFill="1" applyBorder="1"/>
    <xf numFmtId="1" fontId="20" fillId="36" borderId="505" xfId="0" applyNumberFormat="1" applyFont="1" applyFill="1" applyBorder="1"/>
    <xf numFmtId="2" fontId="55" fillId="36" borderId="506" xfId="0" applyNumberFormat="1" applyFont="1" applyFill="1" applyBorder="1"/>
    <xf numFmtId="4" fontId="59" fillId="21" borderId="507" xfId="0" applyNumberFormat="1" applyFont="1" applyFill="1" applyBorder="1"/>
    <xf numFmtId="164" fontId="55" fillId="5" borderId="510" xfId="0" applyNumberFormat="1" applyFont="1" applyFill="1" applyBorder="1" applyAlignment="1">
      <alignment horizontal="center" vertical="center"/>
    </xf>
    <xf numFmtId="164" fontId="55" fillId="5" borderId="284" xfId="0" applyNumberFormat="1" applyFont="1" applyFill="1" applyBorder="1" applyAlignment="1">
      <alignment horizontal="left" vertical="center"/>
    </xf>
    <xf numFmtId="164" fontId="55" fillId="5" borderId="284" xfId="0" applyNumberFormat="1" applyFont="1" applyFill="1" applyBorder="1" applyAlignment="1">
      <alignment horizontal="center" vertical="center"/>
    </xf>
    <xf numFmtId="167" fontId="55" fillId="5" borderId="284" xfId="0" applyNumberFormat="1" applyFont="1" applyFill="1" applyBorder="1" applyAlignment="1">
      <alignment horizontal="center" vertical="center"/>
    </xf>
    <xf numFmtId="164" fontId="55" fillId="5" borderId="511" xfId="0" applyNumberFormat="1" applyFont="1" applyFill="1" applyBorder="1" applyAlignment="1">
      <alignment horizontal="center" vertical="center"/>
    </xf>
    <xf numFmtId="164" fontId="55" fillId="51" borderId="414" xfId="0" applyNumberFormat="1" applyFont="1" applyFill="1" applyBorder="1" applyAlignment="1">
      <alignment horizontal="center" vertical="center"/>
    </xf>
    <xf numFmtId="164" fontId="55" fillId="51" borderId="415" xfId="0" applyNumberFormat="1" applyFont="1" applyFill="1" applyBorder="1" applyAlignment="1">
      <alignment horizontal="left" vertical="center"/>
    </xf>
    <xf numFmtId="164" fontId="55" fillId="51" borderId="417" xfId="0" applyNumberFormat="1" applyFont="1" applyFill="1" applyBorder="1" applyAlignment="1">
      <alignment horizontal="center" vertical="center"/>
    </xf>
    <xf numFmtId="164" fontId="55" fillId="51" borderId="127" xfId="0" applyNumberFormat="1" applyFont="1" applyFill="1" applyBorder="1" applyAlignment="1">
      <alignment horizontal="left" vertical="center"/>
    </xf>
    <xf numFmtId="167" fontId="55" fillId="51" borderId="415" xfId="0" applyNumberFormat="1" applyFont="1" applyFill="1" applyBorder="1" applyAlignment="1">
      <alignment horizontal="center" vertical="center"/>
    </xf>
    <xf numFmtId="167" fontId="55" fillId="51" borderId="127" xfId="0" applyNumberFormat="1" applyFont="1" applyFill="1" applyBorder="1" applyAlignment="1">
      <alignment horizontal="center" vertical="center"/>
    </xf>
    <xf numFmtId="164" fontId="55" fillId="51" borderId="416" xfId="0" applyNumberFormat="1" applyFont="1" applyFill="1" applyBorder="1" applyAlignment="1">
      <alignment horizontal="center" vertical="center"/>
    </xf>
    <xf numFmtId="164" fontId="55" fillId="51" borderId="418" xfId="0" applyNumberFormat="1" applyFont="1" applyFill="1" applyBorder="1" applyAlignment="1">
      <alignment horizontal="center" vertical="center"/>
    </xf>
    <xf numFmtId="164" fontId="55" fillId="56" borderId="414" xfId="0" applyNumberFormat="1" applyFont="1" applyFill="1" applyBorder="1" applyAlignment="1">
      <alignment horizontal="center" vertical="center"/>
    </xf>
    <xf numFmtId="164" fontId="55" fillId="56" borderId="415" xfId="0" applyNumberFormat="1" applyFont="1" applyFill="1" applyBorder="1" applyAlignment="1">
      <alignment horizontal="left" vertical="center"/>
    </xf>
    <xf numFmtId="164" fontId="55" fillId="56" borderId="417" xfId="0" applyNumberFormat="1" applyFont="1" applyFill="1" applyBorder="1" applyAlignment="1">
      <alignment horizontal="center" vertical="center"/>
    </xf>
    <xf numFmtId="164" fontId="55" fillId="56" borderId="127" xfId="0" applyNumberFormat="1" applyFont="1" applyFill="1" applyBorder="1" applyAlignment="1">
      <alignment horizontal="left" vertical="center"/>
    </xf>
    <xf numFmtId="167" fontId="55" fillId="56" borderId="415" xfId="0" applyNumberFormat="1" applyFont="1" applyFill="1" applyBorder="1" applyAlignment="1">
      <alignment horizontal="center" vertical="center"/>
    </xf>
    <xf numFmtId="167" fontId="55" fillId="56" borderId="127" xfId="0" applyNumberFormat="1" applyFont="1" applyFill="1" applyBorder="1" applyAlignment="1">
      <alignment horizontal="center" vertical="center"/>
    </xf>
    <xf numFmtId="164" fontId="55" fillId="56" borderId="416" xfId="0" applyNumberFormat="1" applyFont="1" applyFill="1" applyBorder="1" applyAlignment="1">
      <alignment horizontal="center" vertical="center"/>
    </xf>
    <xf numFmtId="164" fontId="55" fillId="56" borderId="418" xfId="0" applyNumberFormat="1" applyFont="1" applyFill="1" applyBorder="1" applyAlignment="1">
      <alignment horizontal="center" vertical="center"/>
    </xf>
    <xf numFmtId="164" fontId="55" fillId="54" borderId="414" xfId="0" applyNumberFormat="1" applyFont="1" applyFill="1" applyBorder="1" applyAlignment="1">
      <alignment horizontal="center" vertical="center"/>
    </xf>
    <xf numFmtId="164" fontId="55" fillId="54" borderId="415" xfId="0" applyNumberFormat="1" applyFont="1" applyFill="1" applyBorder="1" applyAlignment="1">
      <alignment horizontal="left" vertical="center"/>
    </xf>
    <xf numFmtId="164" fontId="55" fillId="54" borderId="417" xfId="0" applyNumberFormat="1" applyFont="1" applyFill="1" applyBorder="1" applyAlignment="1">
      <alignment horizontal="center" vertical="center"/>
    </xf>
    <xf numFmtId="164" fontId="55" fillId="54" borderId="127" xfId="0" applyNumberFormat="1" applyFont="1" applyFill="1" applyBorder="1" applyAlignment="1">
      <alignment horizontal="left" vertical="center"/>
    </xf>
    <xf numFmtId="167" fontId="55" fillId="54" borderId="415" xfId="0" applyNumberFormat="1" applyFont="1" applyFill="1" applyBorder="1" applyAlignment="1">
      <alignment horizontal="center" vertical="center"/>
    </xf>
    <xf numFmtId="167" fontId="55" fillId="54" borderId="127" xfId="0" applyNumberFormat="1" applyFont="1" applyFill="1" applyBorder="1" applyAlignment="1">
      <alignment horizontal="center" vertical="center"/>
    </xf>
    <xf numFmtId="164" fontId="55" fillId="54" borderId="416" xfId="0" applyNumberFormat="1" applyFont="1" applyFill="1" applyBorder="1" applyAlignment="1">
      <alignment horizontal="center" vertical="center"/>
    </xf>
    <xf numFmtId="164" fontId="55" fillId="54" borderId="418" xfId="0" applyNumberFormat="1" applyFont="1" applyFill="1" applyBorder="1" applyAlignment="1">
      <alignment horizontal="center" vertical="center"/>
    </xf>
    <xf numFmtId="0" fontId="55" fillId="51" borderId="36" xfId="0" quotePrefix="1" applyFont="1" applyFill="1" applyBorder="1" applyAlignment="1">
      <alignment horizontal="left" vertical="top"/>
    </xf>
    <xf numFmtId="0" fontId="55" fillId="51" borderId="39" xfId="0" quotePrefix="1" applyFont="1" applyFill="1" applyBorder="1" applyAlignment="1">
      <alignment horizontal="left" vertical="center"/>
    </xf>
    <xf numFmtId="164" fontId="55" fillId="51" borderId="34" xfId="0" applyNumberFormat="1" applyFont="1" applyFill="1" applyBorder="1" applyAlignment="1">
      <alignment horizontal="center" vertical="center"/>
    </xf>
    <xf numFmtId="164" fontId="20" fillId="51" borderId="34" xfId="0" applyNumberFormat="1" applyFont="1" applyFill="1" applyBorder="1" applyAlignment="1">
      <alignment horizontal="center" vertical="center"/>
    </xf>
    <xf numFmtId="0" fontId="55" fillId="51" borderId="38" xfId="0" quotePrefix="1" applyFont="1" applyFill="1" applyBorder="1" applyAlignment="1">
      <alignment horizontal="left" vertical="center"/>
    </xf>
    <xf numFmtId="164" fontId="55" fillId="51" borderId="27" xfId="0" applyNumberFormat="1" applyFont="1" applyFill="1" applyBorder="1" applyAlignment="1">
      <alignment horizontal="center" vertical="center"/>
    </xf>
    <xf numFmtId="164" fontId="20" fillId="51" borderId="27" xfId="0" applyNumberFormat="1" applyFont="1" applyFill="1" applyBorder="1" applyAlignment="1">
      <alignment horizontal="center" vertical="center"/>
    </xf>
    <xf numFmtId="0" fontId="55" fillId="51" borderId="37" xfId="0" quotePrefix="1" applyFont="1" applyFill="1" applyBorder="1" applyAlignment="1">
      <alignment horizontal="left" vertical="center"/>
    </xf>
    <xf numFmtId="164" fontId="55" fillId="51" borderId="28" xfId="0" applyNumberFormat="1" applyFont="1" applyFill="1" applyBorder="1" applyAlignment="1">
      <alignment horizontal="center" vertical="center"/>
    </xf>
    <xf numFmtId="164" fontId="20" fillId="51" borderId="28" xfId="0" applyNumberFormat="1" applyFont="1" applyFill="1" applyBorder="1" applyAlignment="1">
      <alignment horizontal="center" vertical="center"/>
    </xf>
    <xf numFmtId="164" fontId="55" fillId="51" borderId="26" xfId="0" applyNumberFormat="1" applyFont="1" applyFill="1" applyBorder="1" applyAlignment="1">
      <alignment horizontal="center" vertical="top"/>
    </xf>
    <xf numFmtId="164" fontId="20" fillId="51" borderId="26" xfId="0" applyNumberFormat="1" applyFont="1" applyFill="1" applyBorder="1" applyAlignment="1">
      <alignment horizontal="center" vertical="top"/>
    </xf>
    <xf numFmtId="0" fontId="55" fillId="52" borderId="36" xfId="0" quotePrefix="1" applyFont="1" applyFill="1" applyBorder="1" applyAlignment="1">
      <alignment horizontal="left" vertical="top"/>
    </xf>
    <xf numFmtId="164" fontId="55" fillId="52" borderId="26" xfId="0" applyNumberFormat="1" applyFont="1" applyFill="1" applyBorder="1" applyAlignment="1">
      <alignment horizontal="center" vertical="top"/>
    </xf>
    <xf numFmtId="164" fontId="20" fillId="52" borderId="26" xfId="0" applyNumberFormat="1" applyFont="1" applyFill="1" applyBorder="1" applyAlignment="1">
      <alignment horizontal="center" vertical="top"/>
    </xf>
    <xf numFmtId="0" fontId="55" fillId="51" borderId="13" xfId="0" quotePrefix="1" applyFont="1" applyFill="1" applyBorder="1" applyAlignment="1">
      <alignment horizontal="left" vertical="center"/>
    </xf>
    <xf numFmtId="164" fontId="55" fillId="51" borderId="169" xfId="0" applyNumberFormat="1" applyFont="1" applyFill="1" applyBorder="1" applyAlignment="1">
      <alignment horizontal="center" vertical="center"/>
    </xf>
    <xf numFmtId="164" fontId="20" fillId="51" borderId="169" xfId="0" applyNumberFormat="1" applyFont="1" applyFill="1" applyBorder="1" applyAlignment="1">
      <alignment horizontal="center" vertical="center"/>
    </xf>
    <xf numFmtId="0" fontId="55" fillId="56" borderId="13" xfId="0" quotePrefix="1" applyFont="1" applyFill="1" applyBorder="1" applyAlignment="1">
      <alignment horizontal="left" vertical="center"/>
    </xf>
    <xf numFmtId="164" fontId="55" fillId="56" borderId="169" xfId="0" applyNumberFormat="1" applyFont="1" applyFill="1" applyBorder="1" applyAlignment="1">
      <alignment horizontal="center" vertical="center"/>
    </xf>
    <xf numFmtId="164" fontId="20" fillId="56" borderId="169" xfId="0" applyNumberFormat="1" applyFont="1" applyFill="1" applyBorder="1" applyAlignment="1">
      <alignment horizontal="center" vertical="center"/>
    </xf>
    <xf numFmtId="0" fontId="55" fillId="56" borderId="39" xfId="0" quotePrefix="1" applyFont="1" applyFill="1" applyBorder="1" applyAlignment="1">
      <alignment horizontal="left" vertical="center"/>
    </xf>
    <xf numFmtId="164" fontId="55" fillId="56" borderId="34" xfId="0" applyNumberFormat="1" applyFont="1" applyFill="1" applyBorder="1" applyAlignment="1">
      <alignment horizontal="center" vertical="center"/>
    </xf>
    <xf numFmtId="164" fontId="20" fillId="56" borderId="34" xfId="0" applyNumberFormat="1" applyFont="1" applyFill="1" applyBorder="1" applyAlignment="1">
      <alignment horizontal="center" vertical="center"/>
    </xf>
    <xf numFmtId="0" fontId="55" fillId="56" borderId="38" xfId="0" quotePrefix="1" applyFont="1" applyFill="1" applyBorder="1" applyAlignment="1">
      <alignment horizontal="left" vertical="center"/>
    </xf>
    <xf numFmtId="164" fontId="55" fillId="56" borderId="27" xfId="0" applyNumberFormat="1" applyFont="1" applyFill="1" applyBorder="1" applyAlignment="1">
      <alignment horizontal="center" vertical="center"/>
    </xf>
    <xf numFmtId="164" fontId="20" fillId="56" borderId="27" xfId="0" applyNumberFormat="1" applyFont="1" applyFill="1" applyBorder="1" applyAlignment="1">
      <alignment horizontal="center" vertical="center"/>
    </xf>
    <xf numFmtId="0" fontId="55" fillId="56" borderId="37" xfId="0" quotePrefix="1" applyFont="1" applyFill="1" applyBorder="1" applyAlignment="1">
      <alignment horizontal="left" vertical="center"/>
    </xf>
    <xf numFmtId="164" fontId="55" fillId="56" borderId="28" xfId="0" applyNumberFormat="1" applyFont="1" applyFill="1" applyBorder="1" applyAlignment="1">
      <alignment horizontal="center" vertical="center"/>
    </xf>
    <xf numFmtId="164" fontId="20" fillId="56" borderId="28" xfId="0" applyNumberFormat="1" applyFont="1" applyFill="1" applyBorder="1" applyAlignment="1">
      <alignment horizontal="center" vertical="center"/>
    </xf>
    <xf numFmtId="0" fontId="55" fillId="53" borderId="13" xfId="0" quotePrefix="1" applyFont="1" applyFill="1" applyBorder="1" applyAlignment="1">
      <alignment horizontal="left" vertical="center"/>
    </xf>
    <xf numFmtId="164" fontId="55" fillId="53" borderId="169" xfId="0" applyNumberFormat="1" applyFont="1" applyFill="1" applyBorder="1" applyAlignment="1">
      <alignment horizontal="center" vertical="center"/>
    </xf>
    <xf numFmtId="164" fontId="20" fillId="53" borderId="169" xfId="0" applyNumberFormat="1" applyFont="1" applyFill="1" applyBorder="1" applyAlignment="1">
      <alignment horizontal="center" vertical="center"/>
    </xf>
    <xf numFmtId="0" fontId="55" fillId="53" borderId="39" xfId="0" quotePrefix="1" applyFont="1" applyFill="1" applyBorder="1" applyAlignment="1">
      <alignment horizontal="left" vertical="center"/>
    </xf>
    <xf numFmtId="164" fontId="55" fillId="53" borderId="34" xfId="0" applyNumberFormat="1" applyFont="1" applyFill="1" applyBorder="1" applyAlignment="1">
      <alignment horizontal="center" vertical="center"/>
    </xf>
    <xf numFmtId="164" fontId="20" fillId="53" borderId="34" xfId="0" applyNumberFormat="1" applyFont="1" applyFill="1" applyBorder="1" applyAlignment="1">
      <alignment horizontal="center" vertical="center"/>
    </xf>
    <xf numFmtId="0" fontId="55" fillId="53" borderId="38" xfId="0" quotePrefix="1" applyFont="1" applyFill="1" applyBorder="1" applyAlignment="1">
      <alignment horizontal="left" vertical="center"/>
    </xf>
    <xf numFmtId="164" fontId="55" fillId="53" borderId="27" xfId="0" applyNumberFormat="1" applyFont="1" applyFill="1" applyBorder="1" applyAlignment="1">
      <alignment horizontal="center" vertical="center"/>
    </xf>
    <xf numFmtId="164" fontId="20" fillId="53" borderId="27" xfId="0" applyNumberFormat="1" applyFont="1" applyFill="1" applyBorder="1" applyAlignment="1">
      <alignment horizontal="center" vertical="center"/>
    </xf>
    <xf numFmtId="0" fontId="55" fillId="53" borderId="37" xfId="0" quotePrefix="1" applyFont="1" applyFill="1" applyBorder="1" applyAlignment="1">
      <alignment horizontal="left" vertical="center"/>
    </xf>
    <xf numFmtId="164" fontId="55" fillId="53" borderId="28" xfId="0" applyNumberFormat="1" applyFont="1" applyFill="1" applyBorder="1" applyAlignment="1">
      <alignment horizontal="center" vertical="center"/>
    </xf>
    <xf numFmtId="164" fontId="20" fillId="53" borderId="28" xfId="0" applyNumberFormat="1" applyFont="1" applyFill="1" applyBorder="1" applyAlignment="1">
      <alignment horizontal="center" vertical="center"/>
    </xf>
    <xf numFmtId="0" fontId="55" fillId="55" borderId="13" xfId="0" quotePrefix="1" applyFont="1" applyFill="1" applyBorder="1" applyAlignment="1">
      <alignment horizontal="left" vertical="center"/>
    </xf>
    <xf numFmtId="164" fontId="55" fillId="55" borderId="169" xfId="0" applyNumberFormat="1" applyFont="1" applyFill="1" applyBorder="1" applyAlignment="1">
      <alignment horizontal="center" vertical="center"/>
    </xf>
    <xf numFmtId="164" fontId="20" fillId="55" borderId="169" xfId="0" applyNumberFormat="1" applyFont="1" applyFill="1" applyBorder="1" applyAlignment="1">
      <alignment horizontal="center" vertical="center"/>
    </xf>
    <xf numFmtId="0" fontId="55" fillId="55" borderId="39" xfId="0" quotePrefix="1" applyFont="1" applyFill="1" applyBorder="1" applyAlignment="1">
      <alignment horizontal="left" vertical="center"/>
    </xf>
    <xf numFmtId="164" fontId="55" fillId="55" borderId="34" xfId="0" applyNumberFormat="1" applyFont="1" applyFill="1" applyBorder="1" applyAlignment="1">
      <alignment horizontal="center" vertical="center"/>
    </xf>
    <xf numFmtId="164" fontId="20" fillId="55" borderId="34" xfId="0" applyNumberFormat="1" applyFont="1" applyFill="1" applyBorder="1" applyAlignment="1">
      <alignment horizontal="center" vertical="center"/>
    </xf>
    <xf numFmtId="0" fontId="55" fillId="55" borderId="38" xfId="0" quotePrefix="1" applyFont="1" applyFill="1" applyBorder="1" applyAlignment="1">
      <alignment horizontal="left" vertical="center"/>
    </xf>
    <xf numFmtId="164" fontId="55" fillId="55" borderId="27" xfId="0" applyNumberFormat="1" applyFont="1" applyFill="1" applyBorder="1" applyAlignment="1">
      <alignment horizontal="center" vertical="center"/>
    </xf>
    <xf numFmtId="164" fontId="20" fillId="55" borderId="27" xfId="0" applyNumberFormat="1" applyFont="1" applyFill="1" applyBorder="1" applyAlignment="1">
      <alignment horizontal="center" vertical="center"/>
    </xf>
    <xf numFmtId="0" fontId="55" fillId="55" borderId="37" xfId="0" quotePrefix="1" applyFont="1" applyFill="1" applyBorder="1" applyAlignment="1">
      <alignment horizontal="left" vertical="center"/>
    </xf>
    <xf numFmtId="164" fontId="55" fillId="55" borderId="28" xfId="0" applyNumberFormat="1" applyFont="1" applyFill="1" applyBorder="1" applyAlignment="1">
      <alignment horizontal="center" vertical="center"/>
    </xf>
    <xf numFmtId="164" fontId="20" fillId="55" borderId="28" xfId="0" applyNumberFormat="1" applyFont="1" applyFill="1" applyBorder="1" applyAlignment="1">
      <alignment horizontal="center" vertical="center"/>
    </xf>
    <xf numFmtId="0" fontId="55" fillId="35" borderId="13" xfId="0" quotePrefix="1" applyFont="1" applyFill="1" applyBorder="1" applyAlignment="1">
      <alignment horizontal="left" vertical="center"/>
    </xf>
    <xf numFmtId="164" fontId="55" fillId="35" borderId="169" xfId="0" applyNumberFormat="1" applyFont="1" applyFill="1" applyBorder="1" applyAlignment="1">
      <alignment horizontal="center" vertical="center"/>
    </xf>
    <xf numFmtId="164" fontId="20" fillId="35" borderId="169" xfId="0" applyNumberFormat="1" applyFont="1" applyFill="1" applyBorder="1" applyAlignment="1">
      <alignment horizontal="center" vertical="center"/>
    </xf>
    <xf numFmtId="0" fontId="55" fillId="35" borderId="39" xfId="0" quotePrefix="1" applyFont="1" applyFill="1" applyBorder="1" applyAlignment="1">
      <alignment horizontal="left" vertical="center"/>
    </xf>
    <xf numFmtId="164" fontId="55" fillId="35" borderId="34" xfId="0" applyNumberFormat="1" applyFont="1" applyFill="1" applyBorder="1" applyAlignment="1">
      <alignment horizontal="center" vertical="center"/>
    </xf>
    <xf numFmtId="164" fontId="20" fillId="35" borderId="34" xfId="0" applyNumberFormat="1" applyFont="1" applyFill="1" applyBorder="1" applyAlignment="1">
      <alignment horizontal="center" vertical="center"/>
    </xf>
    <xf numFmtId="0" fontId="55" fillId="35" borderId="38" xfId="0" quotePrefix="1" applyFont="1" applyFill="1" applyBorder="1" applyAlignment="1">
      <alignment horizontal="left" vertical="center"/>
    </xf>
    <xf numFmtId="164" fontId="55" fillId="35" borderId="27" xfId="0" applyNumberFormat="1" applyFont="1" applyFill="1" applyBorder="1" applyAlignment="1">
      <alignment horizontal="center" vertical="center"/>
    </xf>
    <xf numFmtId="164" fontId="20" fillId="35" borderId="27" xfId="0" applyNumberFormat="1" applyFont="1" applyFill="1" applyBorder="1" applyAlignment="1">
      <alignment horizontal="center" vertical="center"/>
    </xf>
    <xf numFmtId="0" fontId="55" fillId="35" borderId="37" xfId="0" quotePrefix="1" applyFont="1" applyFill="1" applyBorder="1" applyAlignment="1">
      <alignment horizontal="left" vertical="center"/>
    </xf>
    <xf numFmtId="164" fontId="55" fillId="35" borderId="28" xfId="0" applyNumberFormat="1" applyFont="1" applyFill="1" applyBorder="1" applyAlignment="1">
      <alignment horizontal="center" vertical="center"/>
    </xf>
    <xf numFmtId="164" fontId="20" fillId="35" borderId="28" xfId="0" applyNumberFormat="1" applyFont="1" applyFill="1" applyBorder="1" applyAlignment="1">
      <alignment horizontal="center" vertical="center"/>
    </xf>
    <xf numFmtId="164" fontId="58" fillId="0" borderId="0" xfId="0" applyNumberFormat="1" applyFont="1"/>
    <xf numFmtId="175" fontId="25" fillId="0" borderId="480" xfId="0" quotePrefix="1" applyNumberFormat="1" applyFont="1" applyBorder="1" applyAlignment="1" applyProtection="1">
      <alignment horizontal="center" vertical="center"/>
      <protection hidden="1"/>
    </xf>
    <xf numFmtId="175" fontId="25" fillId="0" borderId="252" xfId="0" quotePrefix="1" applyNumberFormat="1" applyFont="1" applyBorder="1" applyAlignment="1" applyProtection="1">
      <alignment horizontal="center" vertical="center"/>
      <protection hidden="1"/>
    </xf>
    <xf numFmtId="175" fontId="25" fillId="0" borderId="479" xfId="0" quotePrefix="1" applyNumberFormat="1" applyFont="1" applyBorder="1" applyAlignment="1" applyProtection="1">
      <alignment horizontal="center" vertical="center"/>
      <protection hidden="1"/>
    </xf>
    <xf numFmtId="175" fontId="25" fillId="0" borderId="181" xfId="0" quotePrefix="1" applyNumberFormat="1" applyFont="1" applyBorder="1" applyAlignment="1" applyProtection="1">
      <alignment horizontal="center" vertical="center"/>
      <protection hidden="1"/>
    </xf>
    <xf numFmtId="175" fontId="25" fillId="0" borderId="259" xfId="0" quotePrefix="1" applyNumberFormat="1" applyFont="1" applyBorder="1" applyAlignment="1" applyProtection="1">
      <alignment horizontal="center" vertical="center"/>
      <protection hidden="1"/>
    </xf>
    <xf numFmtId="175" fontId="25" fillId="0" borderId="477" xfId="0" quotePrefix="1" applyNumberFormat="1" applyFont="1" applyBorder="1" applyAlignment="1" applyProtection="1">
      <alignment horizontal="center" vertical="center"/>
      <protection hidden="1"/>
    </xf>
    <xf numFmtId="175" fontId="25" fillId="0" borderId="478" xfId="0" quotePrefix="1" applyNumberFormat="1" applyFont="1" applyBorder="1" applyAlignment="1" applyProtection="1">
      <alignment horizontal="center" vertical="center"/>
      <protection hidden="1"/>
    </xf>
    <xf numFmtId="175" fontId="25" fillId="0" borderId="425" xfId="0" quotePrefix="1" applyNumberFormat="1" applyFont="1" applyBorder="1" applyAlignment="1" applyProtection="1">
      <alignment horizontal="center" vertical="center"/>
      <protection hidden="1"/>
    </xf>
    <xf numFmtId="175" fontId="25" fillId="0" borderId="167" xfId="0" quotePrefix="1" applyNumberFormat="1" applyFont="1" applyBorder="1" applyAlignment="1" applyProtection="1">
      <alignment horizontal="center" vertical="center"/>
      <protection hidden="1"/>
    </xf>
    <xf numFmtId="175" fontId="25" fillId="0" borderId="476" xfId="0" quotePrefix="1" applyNumberFormat="1" applyFont="1" applyBorder="1" applyAlignment="1" applyProtection="1">
      <alignment horizontal="center" vertical="center"/>
      <protection hidden="1"/>
    </xf>
    <xf numFmtId="175" fontId="25" fillId="0" borderId="260" xfId="0" quotePrefix="1" applyNumberFormat="1" applyFont="1" applyBorder="1" applyAlignment="1" applyProtection="1">
      <alignment horizontal="center" vertical="center"/>
      <protection hidden="1"/>
    </xf>
    <xf numFmtId="175" fontId="25" fillId="0" borderId="410" xfId="0" quotePrefix="1" applyNumberFormat="1" applyFont="1" applyBorder="1" applyAlignment="1" applyProtection="1">
      <alignment horizontal="center" vertical="center"/>
      <protection hidden="1"/>
    </xf>
    <xf numFmtId="175" fontId="25" fillId="0" borderId="165" xfId="0" applyNumberFormat="1" applyFont="1" applyBorder="1" applyAlignment="1" applyProtection="1">
      <alignment horizontal="center" vertical="center"/>
      <protection hidden="1"/>
    </xf>
    <xf numFmtId="175" fontId="25" fillId="0" borderId="477" xfId="0" applyNumberFormat="1" applyFont="1" applyBorder="1" applyAlignment="1" applyProtection="1">
      <alignment horizontal="center" vertical="center"/>
      <protection hidden="1"/>
    </xf>
    <xf numFmtId="175" fontId="25" fillId="0" borderId="252" xfId="0" applyNumberFormat="1" applyFont="1" applyBorder="1" applyAlignment="1" applyProtection="1">
      <alignment horizontal="center" vertical="center"/>
      <protection hidden="1"/>
    </xf>
    <xf numFmtId="175" fontId="25" fillId="0" borderId="205" xfId="2" applyNumberFormat="1" applyFont="1" applyBorder="1" applyAlignment="1" applyProtection="1">
      <alignment horizontal="center" vertical="center"/>
      <protection hidden="1"/>
    </xf>
    <xf numFmtId="0" fontId="55" fillId="5" borderId="102" xfId="0" applyFont="1" applyFill="1" applyBorder="1"/>
    <xf numFmtId="0" fontId="17" fillId="34" borderId="76" xfId="0" applyFont="1" applyFill="1" applyBorder="1" applyAlignment="1" applyProtection="1">
      <alignment horizontal="center" vertical="center"/>
      <protection hidden="1"/>
    </xf>
    <xf numFmtId="0" fontId="10" fillId="9" borderId="116" xfId="2" quotePrefix="1" applyFont="1" applyFill="1" applyBorder="1" applyAlignment="1" applyProtection="1">
      <alignment horizontal="left" vertical="center"/>
      <protection hidden="1"/>
    </xf>
    <xf numFmtId="0" fontId="10" fillId="9" borderId="117" xfId="2" quotePrefix="1" applyFont="1" applyFill="1" applyBorder="1" applyAlignment="1" applyProtection="1">
      <alignment horizontal="left" vertical="center"/>
      <protection hidden="1"/>
    </xf>
    <xf numFmtId="165" fontId="8" fillId="0" borderId="85" xfId="0" applyNumberFormat="1" applyFont="1" applyBorder="1" applyAlignment="1" applyProtection="1">
      <alignment horizontal="left" vertical="center"/>
      <protection hidden="1"/>
    </xf>
    <xf numFmtId="165" fontId="8" fillId="0" borderId="117" xfId="0" applyNumberFormat="1" applyFont="1" applyBorder="1" applyAlignment="1" applyProtection="1">
      <alignment horizontal="left" vertical="center"/>
      <protection hidden="1"/>
    </xf>
    <xf numFmtId="165" fontId="8" fillId="0" borderId="116" xfId="0" quotePrefix="1" applyNumberFormat="1" applyFont="1" applyBorder="1" applyAlignment="1" applyProtection="1">
      <alignment horizontal="left" vertical="center"/>
      <protection hidden="1"/>
    </xf>
    <xf numFmtId="165" fontId="8" fillId="0" borderId="78" xfId="0" quotePrefix="1" applyNumberFormat="1" applyFont="1" applyBorder="1" applyAlignment="1" applyProtection="1">
      <alignment horizontal="left" vertical="center"/>
      <protection hidden="1"/>
    </xf>
    <xf numFmtId="165" fontId="8" fillId="0" borderId="78" xfId="0" quotePrefix="1" applyNumberFormat="1" applyFont="1" applyBorder="1" applyAlignment="1" applyProtection="1">
      <alignment vertical="center"/>
      <protection hidden="1"/>
    </xf>
    <xf numFmtId="2" fontId="8" fillId="0" borderId="117" xfId="0" applyNumberFormat="1" applyFont="1" applyBorder="1" applyAlignment="1" applyProtection="1">
      <alignment vertical="center"/>
      <protection hidden="1"/>
    </xf>
    <xf numFmtId="0" fontId="6" fillId="0" borderId="118" xfId="0" applyFont="1" applyBorder="1" applyAlignment="1" applyProtection="1">
      <alignment vertical="center"/>
      <protection hidden="1"/>
    </xf>
    <xf numFmtId="2" fontId="8" fillId="0" borderId="78" xfId="0" applyNumberFormat="1" applyFont="1" applyBorder="1" applyAlignment="1" applyProtection="1">
      <alignment horizontal="left" vertical="center"/>
      <protection hidden="1"/>
    </xf>
    <xf numFmtId="2" fontId="8" fillId="0" borderId="81" xfId="0" applyNumberFormat="1" applyFont="1" applyBorder="1" applyAlignment="1" applyProtection="1">
      <alignment horizontal="left" vertical="center"/>
      <protection hidden="1"/>
    </xf>
    <xf numFmtId="0" fontId="14" fillId="57" borderId="82" xfId="2" applyFont="1" applyFill="1" applyBorder="1" applyAlignment="1" applyProtection="1">
      <alignment horizontal="center" vertical="center"/>
      <protection hidden="1"/>
    </xf>
    <xf numFmtId="0" fontId="10" fillId="57" borderId="161" xfId="2" quotePrefix="1" applyFont="1" applyFill="1" applyBorder="1" applyAlignment="1" applyProtection="1">
      <alignment horizontal="left" vertical="center"/>
      <protection hidden="1"/>
    </xf>
    <xf numFmtId="0" fontId="10" fillId="57" borderId="94" xfId="2" quotePrefix="1" applyFont="1" applyFill="1" applyBorder="1" applyAlignment="1" applyProtection="1">
      <alignment horizontal="left" vertical="center"/>
      <protection hidden="1"/>
    </xf>
    <xf numFmtId="0" fontId="10" fillId="57" borderId="94" xfId="2" applyFont="1" applyFill="1" applyBorder="1" applyAlignment="1" applyProtection="1">
      <alignment horizontal="left" vertical="center"/>
      <protection hidden="1"/>
    </xf>
    <xf numFmtId="0" fontId="10" fillId="57" borderId="121" xfId="2" quotePrefix="1" applyFont="1" applyFill="1" applyBorder="1" applyAlignment="1" applyProtection="1">
      <alignment horizontal="left" vertical="center"/>
      <protection hidden="1"/>
    </xf>
    <xf numFmtId="165" fontId="8" fillId="57" borderId="93" xfId="0" quotePrefix="1" applyNumberFormat="1" applyFont="1" applyFill="1" applyBorder="1" applyAlignment="1" applyProtection="1">
      <alignment horizontal="left" vertical="center"/>
      <protection hidden="1"/>
    </xf>
    <xf numFmtId="165" fontId="8" fillId="57" borderId="94" xfId="0" quotePrefix="1" applyNumberFormat="1" applyFont="1" applyFill="1" applyBorder="1" applyAlignment="1" applyProtection="1">
      <alignment horizontal="left" vertical="center"/>
      <protection hidden="1"/>
    </xf>
    <xf numFmtId="165" fontId="8" fillId="57" borderId="121" xfId="0" quotePrefix="1" applyNumberFormat="1" applyFont="1" applyFill="1" applyBorder="1" applyAlignment="1" applyProtection="1">
      <alignment horizontal="left" vertical="center"/>
      <protection hidden="1"/>
    </xf>
    <xf numFmtId="165" fontId="8" fillId="57" borderId="119" xfId="0" applyNumberFormat="1" applyFont="1" applyFill="1" applyBorder="1" applyAlignment="1" applyProtection="1">
      <alignment vertical="center"/>
      <protection hidden="1"/>
    </xf>
    <xf numFmtId="165" fontId="8" fillId="57" borderId="94" xfId="0" applyNumberFormat="1" applyFont="1" applyFill="1" applyBorder="1" applyAlignment="1" applyProtection="1">
      <alignment vertical="center"/>
      <protection hidden="1"/>
    </xf>
    <xf numFmtId="165" fontId="8" fillId="57" borderId="161" xfId="0" quotePrefix="1" applyNumberFormat="1" applyFont="1" applyFill="1" applyBorder="1" applyAlignment="1" applyProtection="1">
      <alignment horizontal="left" vertical="center"/>
      <protection hidden="1"/>
    </xf>
    <xf numFmtId="165" fontId="8" fillId="57" borderId="162" xfId="0" applyNumberFormat="1" applyFont="1" applyFill="1" applyBorder="1" applyAlignment="1" applyProtection="1">
      <alignment vertical="center"/>
      <protection hidden="1"/>
    </xf>
    <xf numFmtId="165" fontId="8" fillId="57" borderId="96" xfId="0" quotePrefix="1" applyNumberFormat="1" applyFont="1" applyFill="1" applyBorder="1" applyAlignment="1" applyProtection="1">
      <alignment horizontal="left" vertical="center"/>
      <protection hidden="1"/>
    </xf>
    <xf numFmtId="165" fontId="8" fillId="57" borderId="162" xfId="0" quotePrefix="1" applyNumberFormat="1" applyFont="1" applyFill="1" applyBorder="1" applyAlignment="1" applyProtection="1">
      <alignment horizontal="left" vertical="center"/>
      <protection hidden="1"/>
    </xf>
    <xf numFmtId="165" fontId="8" fillId="57" borderId="513" xfId="0" quotePrefix="1" applyNumberFormat="1" applyFont="1" applyFill="1" applyBorder="1" applyAlignment="1" applyProtection="1">
      <alignment horizontal="left" vertical="center"/>
      <protection hidden="1"/>
    </xf>
    <xf numFmtId="165" fontId="8" fillId="57" borderId="68" xfId="0" quotePrefix="1" applyNumberFormat="1" applyFont="1" applyFill="1" applyBorder="1" applyAlignment="1" applyProtection="1">
      <alignment horizontal="left" vertical="center"/>
      <protection hidden="1"/>
    </xf>
    <xf numFmtId="2" fontId="8" fillId="57" borderId="96" xfId="0" applyNumberFormat="1" applyFont="1" applyFill="1" applyBorder="1" applyAlignment="1" applyProtection="1">
      <alignment vertical="center"/>
      <protection hidden="1"/>
    </xf>
    <xf numFmtId="2" fontId="8" fillId="57" borderId="94" xfId="0" applyNumberFormat="1" applyFont="1" applyFill="1" applyBorder="1" applyAlignment="1" applyProtection="1">
      <alignment vertical="center"/>
      <protection hidden="1"/>
    </xf>
    <xf numFmtId="2" fontId="8" fillId="57" borderId="162" xfId="0" applyNumberFormat="1" applyFont="1" applyFill="1" applyBorder="1" applyAlignment="1" applyProtection="1">
      <alignment vertical="center"/>
      <protection hidden="1"/>
    </xf>
    <xf numFmtId="2" fontId="8" fillId="57" borderId="161" xfId="0" applyNumberFormat="1" applyFont="1" applyFill="1" applyBorder="1" applyAlignment="1" applyProtection="1">
      <alignment vertical="center"/>
      <protection hidden="1"/>
    </xf>
    <xf numFmtId="2" fontId="8" fillId="57" borderId="161" xfId="0" quotePrefix="1" applyNumberFormat="1" applyFont="1" applyFill="1" applyBorder="1" applyAlignment="1" applyProtection="1">
      <alignment horizontal="left" vertical="center"/>
      <protection hidden="1"/>
    </xf>
    <xf numFmtId="2" fontId="8" fillId="57" borderId="162" xfId="0" quotePrefix="1" applyNumberFormat="1" applyFont="1" applyFill="1" applyBorder="1" applyAlignment="1" applyProtection="1">
      <alignment horizontal="left" vertical="center"/>
      <protection hidden="1"/>
    </xf>
    <xf numFmtId="2" fontId="8" fillId="57" borderId="513" xfId="0" applyNumberFormat="1" applyFont="1" applyFill="1" applyBorder="1" applyAlignment="1" applyProtection="1">
      <alignment vertical="center"/>
      <protection hidden="1"/>
    </xf>
    <xf numFmtId="2" fontId="8" fillId="57" borderId="94" xfId="0" quotePrefix="1" applyNumberFormat="1" applyFont="1" applyFill="1" applyBorder="1" applyAlignment="1" applyProtection="1">
      <alignment horizontal="left" vertical="center"/>
      <protection hidden="1"/>
    </xf>
    <xf numFmtId="0" fontId="6" fillId="57" borderId="94" xfId="0" quotePrefix="1" applyFont="1" applyFill="1" applyBorder="1" applyAlignment="1" applyProtection="1">
      <alignment horizontal="left" vertical="center"/>
      <protection hidden="1"/>
    </xf>
    <xf numFmtId="0" fontId="6" fillId="57" borderId="162" xfId="0" quotePrefix="1" applyFont="1" applyFill="1" applyBorder="1" applyAlignment="1" applyProtection="1">
      <alignment horizontal="left" vertical="center"/>
      <protection hidden="1"/>
    </xf>
    <xf numFmtId="0" fontId="6" fillId="57" borderId="94" xfId="0" applyFont="1" applyFill="1" applyBorder="1" applyAlignment="1" applyProtection="1">
      <alignment vertical="center"/>
      <protection hidden="1"/>
    </xf>
    <xf numFmtId="0" fontId="6" fillId="57" borderId="162" xfId="0" applyFont="1" applyFill="1" applyBorder="1" applyAlignment="1" applyProtection="1">
      <alignment vertical="center"/>
      <protection hidden="1"/>
    </xf>
    <xf numFmtId="2" fontId="8" fillId="57" borderId="96" xfId="0" quotePrefix="1" applyNumberFormat="1" applyFont="1" applyFill="1" applyBorder="1" applyAlignment="1" applyProtection="1">
      <alignment horizontal="left" vertical="center"/>
      <protection hidden="1"/>
    </xf>
    <xf numFmtId="2" fontId="8" fillId="57" borderId="121" xfId="0" applyNumberFormat="1" applyFont="1" applyFill="1" applyBorder="1" applyAlignment="1" applyProtection="1">
      <alignment vertical="center"/>
      <protection hidden="1"/>
    </xf>
    <xf numFmtId="2" fontId="8" fillId="57" borderId="68" xfId="0" quotePrefix="1" applyNumberFormat="1" applyFont="1" applyFill="1" applyBorder="1" applyAlignment="1" applyProtection="1">
      <alignment horizontal="left" vertical="center"/>
      <protection hidden="1"/>
    </xf>
    <xf numFmtId="2" fontId="8" fillId="57" borderId="160" xfId="0" applyNumberFormat="1" applyFont="1" applyFill="1" applyBorder="1" applyAlignment="1" applyProtection="1">
      <alignment vertical="center"/>
      <protection hidden="1"/>
    </xf>
    <xf numFmtId="2" fontId="8" fillId="57" borderId="95" xfId="0" quotePrefix="1" applyNumberFormat="1" applyFont="1" applyFill="1" applyBorder="1" applyAlignment="1" applyProtection="1">
      <alignment horizontal="left" vertical="center"/>
      <protection hidden="1"/>
    </xf>
    <xf numFmtId="0" fontId="10" fillId="57" borderId="433" xfId="2" quotePrefix="1" applyFont="1" applyFill="1" applyBorder="1" applyAlignment="1" applyProtection="1">
      <alignment horizontal="left" vertical="center"/>
      <protection hidden="1"/>
    </xf>
    <xf numFmtId="0" fontId="10" fillId="57" borderId="434" xfId="2" quotePrefix="1" applyFont="1" applyFill="1" applyBorder="1" applyAlignment="1" applyProtection="1">
      <alignment horizontal="left" vertical="center"/>
      <protection hidden="1"/>
    </xf>
    <xf numFmtId="0" fontId="10" fillId="57" borderId="434" xfId="2" applyFont="1" applyFill="1" applyBorder="1" applyAlignment="1" applyProtection="1">
      <alignment horizontal="left" vertical="center"/>
      <protection hidden="1"/>
    </xf>
    <xf numFmtId="165" fontId="8" fillId="57" borderId="437" xfId="0" quotePrefix="1" applyNumberFormat="1" applyFont="1" applyFill="1" applyBorder="1" applyAlignment="1" applyProtection="1">
      <alignment horizontal="left" vertical="center"/>
      <protection hidden="1"/>
    </xf>
    <xf numFmtId="165" fontId="8" fillId="57" borderId="438" xfId="0" applyNumberFormat="1" applyFont="1" applyFill="1" applyBorder="1" applyAlignment="1" applyProtection="1">
      <alignment vertical="center"/>
      <protection hidden="1"/>
    </xf>
    <xf numFmtId="165" fontId="8" fillId="57" borderId="434" xfId="0" applyNumberFormat="1" applyFont="1" applyFill="1" applyBorder="1" applyAlignment="1" applyProtection="1">
      <alignment vertical="center"/>
      <protection hidden="1"/>
    </xf>
    <xf numFmtId="165" fontId="8" fillId="57" borderId="434" xfId="0" quotePrefix="1" applyNumberFormat="1" applyFont="1" applyFill="1" applyBorder="1" applyAlignment="1" applyProtection="1">
      <alignment horizontal="left" vertical="center"/>
      <protection hidden="1"/>
    </xf>
    <xf numFmtId="165" fontId="8" fillId="57" borderId="439" xfId="0" quotePrefix="1" applyNumberFormat="1" applyFont="1" applyFill="1" applyBorder="1" applyAlignment="1" applyProtection="1">
      <alignment horizontal="left" vertical="center"/>
      <protection hidden="1"/>
    </xf>
    <xf numFmtId="165" fontId="8" fillId="57" borderId="435" xfId="0" quotePrefix="1" applyNumberFormat="1" applyFont="1" applyFill="1" applyBorder="1" applyAlignment="1" applyProtection="1">
      <alignment horizontal="left" vertical="center"/>
      <protection hidden="1"/>
    </xf>
    <xf numFmtId="165" fontId="8" fillId="57" borderId="440" xfId="0" applyNumberFormat="1" applyFont="1" applyFill="1" applyBorder="1" applyAlignment="1" applyProtection="1">
      <alignment vertical="center"/>
      <protection hidden="1"/>
    </xf>
    <xf numFmtId="165" fontId="8" fillId="57" borderId="441" xfId="0" quotePrefix="1" applyNumberFormat="1" applyFont="1" applyFill="1" applyBorder="1" applyAlignment="1" applyProtection="1">
      <alignment horizontal="left" vertical="center"/>
      <protection hidden="1"/>
    </xf>
    <xf numFmtId="165" fontId="8" fillId="57" borderId="442" xfId="0" quotePrefix="1" applyNumberFormat="1" applyFont="1" applyFill="1" applyBorder="1" applyAlignment="1" applyProtection="1">
      <alignment horizontal="left" vertical="center"/>
      <protection hidden="1"/>
    </xf>
    <xf numFmtId="165" fontId="8" fillId="57" borderId="440" xfId="0" quotePrefix="1" applyNumberFormat="1" applyFont="1" applyFill="1" applyBorder="1" applyAlignment="1" applyProtection="1">
      <alignment horizontal="left" vertical="center"/>
      <protection hidden="1"/>
    </xf>
    <xf numFmtId="165" fontId="8" fillId="57" borderId="443" xfId="0" quotePrefix="1" applyNumberFormat="1" applyFont="1" applyFill="1" applyBorder="1" applyAlignment="1" applyProtection="1">
      <alignment horizontal="left" vertical="center"/>
      <protection hidden="1"/>
    </xf>
    <xf numFmtId="2" fontId="8" fillId="57" borderId="441" xfId="0" applyNumberFormat="1" applyFont="1" applyFill="1" applyBorder="1" applyAlignment="1" applyProtection="1">
      <alignment vertical="center"/>
      <protection hidden="1"/>
    </xf>
    <xf numFmtId="2" fontId="8" fillId="57" borderId="434" xfId="0" applyNumberFormat="1" applyFont="1" applyFill="1" applyBorder="1" applyAlignment="1" applyProtection="1">
      <alignment vertical="center"/>
      <protection hidden="1"/>
    </xf>
    <xf numFmtId="2" fontId="8" fillId="57" borderId="440" xfId="0" applyNumberFormat="1" applyFont="1" applyFill="1" applyBorder="1" applyAlignment="1" applyProtection="1">
      <alignment vertical="center"/>
      <protection hidden="1"/>
    </xf>
    <xf numFmtId="2" fontId="8" fillId="57" borderId="435" xfId="0" applyNumberFormat="1" applyFont="1" applyFill="1" applyBorder="1" applyAlignment="1" applyProtection="1">
      <alignment vertical="center"/>
      <protection hidden="1"/>
    </xf>
    <xf numFmtId="2" fontId="8" fillId="57" borderId="435" xfId="0" quotePrefix="1" applyNumberFormat="1" applyFont="1" applyFill="1" applyBorder="1" applyAlignment="1" applyProtection="1">
      <alignment horizontal="left" vertical="center"/>
      <protection hidden="1"/>
    </xf>
    <xf numFmtId="2" fontId="8" fillId="57" borderId="440" xfId="0" quotePrefix="1" applyNumberFormat="1" applyFont="1" applyFill="1" applyBorder="1" applyAlignment="1" applyProtection="1">
      <alignment horizontal="left" vertical="center"/>
      <protection hidden="1"/>
    </xf>
    <xf numFmtId="2" fontId="8" fillId="57" borderId="442" xfId="0" applyNumberFormat="1" applyFont="1" applyFill="1" applyBorder="1" applyAlignment="1" applyProtection="1">
      <alignment vertical="center"/>
      <protection hidden="1"/>
    </xf>
    <xf numFmtId="2" fontId="8" fillId="57" borderId="434" xfId="0" quotePrefix="1" applyNumberFormat="1" applyFont="1" applyFill="1" applyBorder="1" applyAlignment="1" applyProtection="1">
      <alignment horizontal="left" vertical="center"/>
      <protection hidden="1"/>
    </xf>
    <xf numFmtId="0" fontId="6" fillId="57" borderId="434" xfId="0" quotePrefix="1" applyFont="1" applyFill="1" applyBorder="1" applyAlignment="1" applyProtection="1">
      <alignment horizontal="left" vertical="center"/>
      <protection hidden="1"/>
    </xf>
    <xf numFmtId="0" fontId="6" fillId="57" borderId="440" xfId="0" quotePrefix="1" applyFont="1" applyFill="1" applyBorder="1" applyAlignment="1" applyProtection="1">
      <alignment horizontal="left" vertical="center"/>
      <protection hidden="1"/>
    </xf>
    <xf numFmtId="0" fontId="6" fillId="57" borderId="434" xfId="0" applyFont="1" applyFill="1" applyBorder="1" applyAlignment="1" applyProtection="1">
      <alignment vertical="center"/>
      <protection hidden="1"/>
    </xf>
    <xf numFmtId="0" fontId="6" fillId="57" borderId="439" xfId="0" quotePrefix="1" applyFont="1" applyFill="1" applyBorder="1" applyAlignment="1" applyProtection="1">
      <alignment horizontal="left" vertical="center"/>
      <protection hidden="1"/>
    </xf>
    <xf numFmtId="2" fontId="8" fillId="57" borderId="441" xfId="0" quotePrefix="1" applyNumberFormat="1" applyFont="1" applyFill="1" applyBorder="1" applyAlignment="1" applyProtection="1">
      <alignment horizontal="left" vertical="center"/>
      <protection hidden="1"/>
    </xf>
    <xf numFmtId="2" fontId="8" fillId="57" borderId="156" xfId="0" quotePrefix="1" applyNumberFormat="1" applyFont="1" applyFill="1" applyBorder="1" applyAlignment="1" applyProtection="1">
      <alignment horizontal="left" vertical="center"/>
      <protection hidden="1"/>
    </xf>
    <xf numFmtId="2" fontId="8" fillId="57" borderId="436" xfId="0" applyNumberFormat="1" applyFont="1" applyFill="1" applyBorder="1" applyAlignment="1" applyProtection="1">
      <alignment vertical="center"/>
      <protection hidden="1"/>
    </xf>
    <xf numFmtId="2" fontId="8" fillId="57" borderId="443" xfId="0" quotePrefix="1" applyNumberFormat="1" applyFont="1" applyFill="1" applyBorder="1" applyAlignment="1" applyProtection="1">
      <alignment horizontal="left" vertical="center"/>
      <protection hidden="1"/>
    </xf>
    <xf numFmtId="2" fontId="8" fillId="57" borderId="439" xfId="0" applyNumberFormat="1" applyFont="1" applyFill="1" applyBorder="1" applyAlignment="1" applyProtection="1">
      <alignment vertical="center"/>
      <protection hidden="1"/>
    </xf>
    <xf numFmtId="2" fontId="8" fillId="57" borderId="444" xfId="0" quotePrefix="1" applyNumberFormat="1" applyFont="1" applyFill="1" applyBorder="1" applyAlignment="1" applyProtection="1">
      <alignment horizontal="left" vertical="center"/>
      <protection hidden="1"/>
    </xf>
    <xf numFmtId="0" fontId="10" fillId="57" borderId="435" xfId="2" quotePrefix="1" applyFont="1" applyFill="1" applyBorder="1" applyAlignment="1" applyProtection="1">
      <alignment horizontal="left" vertical="center"/>
      <protection hidden="1"/>
    </xf>
    <xf numFmtId="0" fontId="10" fillId="57" borderId="436" xfId="2" quotePrefix="1" applyFont="1" applyFill="1" applyBorder="1" applyAlignment="1" applyProtection="1">
      <alignment horizontal="left" vertical="center"/>
      <protection hidden="1"/>
    </xf>
    <xf numFmtId="165" fontId="8" fillId="57" borderId="436" xfId="0" quotePrefix="1" applyNumberFormat="1" applyFont="1" applyFill="1" applyBorder="1" applyAlignment="1" applyProtection="1">
      <alignment horizontal="left" vertical="center"/>
      <protection hidden="1"/>
    </xf>
    <xf numFmtId="0" fontId="10" fillId="57" borderId="436" xfId="2" applyFont="1" applyFill="1" applyBorder="1" applyAlignment="1" applyProtection="1">
      <alignment horizontal="left" vertical="center"/>
      <protection hidden="1"/>
    </xf>
    <xf numFmtId="0" fontId="10" fillId="57" borderId="440" xfId="2" quotePrefix="1" applyFont="1" applyFill="1" applyBorder="1" applyAlignment="1" applyProtection="1">
      <alignment horizontal="left" vertical="center"/>
      <protection hidden="1"/>
    </xf>
    <xf numFmtId="165" fontId="8" fillId="57" borderId="156" xfId="0" quotePrefix="1" applyNumberFormat="1" applyFont="1" applyFill="1" applyBorder="1" applyAlignment="1" applyProtection="1">
      <alignment horizontal="left" vertical="center"/>
      <protection hidden="1"/>
    </xf>
    <xf numFmtId="0" fontId="6" fillId="57" borderId="434" xfId="0" applyFont="1" applyFill="1" applyBorder="1" applyProtection="1">
      <protection hidden="1"/>
    </xf>
    <xf numFmtId="0" fontId="6" fillId="57" borderId="436" xfId="0" applyFont="1" applyFill="1" applyBorder="1" applyProtection="1">
      <protection hidden="1"/>
    </xf>
    <xf numFmtId="0" fontId="6" fillId="57" borderId="436" xfId="0" quotePrefix="1" applyFont="1" applyFill="1" applyBorder="1" applyAlignment="1" applyProtection="1">
      <alignment horizontal="left"/>
      <protection hidden="1"/>
    </xf>
    <xf numFmtId="0" fontId="6" fillId="57" borderId="440" xfId="0" quotePrefix="1" applyFont="1" applyFill="1" applyBorder="1" applyAlignment="1" applyProtection="1">
      <alignment horizontal="left"/>
      <protection hidden="1"/>
    </xf>
    <xf numFmtId="0" fontId="6" fillId="57" borderId="434" xfId="0" quotePrefix="1" applyFont="1" applyFill="1" applyBorder="1" applyAlignment="1" applyProtection="1">
      <alignment horizontal="left"/>
      <protection hidden="1"/>
    </xf>
    <xf numFmtId="0" fontId="6" fillId="57" borderId="440" xfId="0" applyFont="1" applyFill="1" applyBorder="1" applyProtection="1">
      <protection hidden="1"/>
    </xf>
    <xf numFmtId="0" fontId="10" fillId="57" borderId="441" xfId="2" applyFont="1" applyFill="1" applyBorder="1" applyAlignment="1" applyProtection="1">
      <alignment horizontal="left" vertical="center"/>
      <protection hidden="1"/>
    </xf>
    <xf numFmtId="165" fontId="8" fillId="57" borderId="445" xfId="0" quotePrefix="1" applyNumberFormat="1" applyFont="1" applyFill="1" applyBorder="1" applyAlignment="1" applyProtection="1">
      <alignment horizontal="left" vertical="center"/>
      <protection hidden="1"/>
    </xf>
    <xf numFmtId="2" fontId="8" fillId="57" borderId="445" xfId="0" applyNumberFormat="1" applyFont="1" applyFill="1" applyBorder="1" applyAlignment="1" applyProtection="1">
      <alignment vertical="center"/>
      <protection hidden="1"/>
    </xf>
    <xf numFmtId="165" fontId="8" fillId="57" borderId="438" xfId="0" quotePrefix="1" applyNumberFormat="1" applyFont="1" applyFill="1" applyBorder="1" applyAlignment="1" applyProtection="1">
      <alignment horizontal="left" vertical="center"/>
      <protection hidden="1"/>
    </xf>
    <xf numFmtId="0" fontId="21" fillId="0" borderId="0" xfId="0" applyFont="1" applyProtection="1">
      <protection locked="0"/>
    </xf>
    <xf numFmtId="0" fontId="21" fillId="0" borderId="0" xfId="0" applyFont="1" applyProtection="1">
      <protection hidden="1"/>
    </xf>
    <xf numFmtId="166" fontId="14" fillId="12" borderId="514" xfId="0" applyNumberFormat="1" applyFont="1" applyFill="1" applyBorder="1" applyProtection="1">
      <protection hidden="1"/>
    </xf>
    <xf numFmtId="0" fontId="28" fillId="12" borderId="44" xfId="0" applyFont="1" applyFill="1" applyBorder="1" applyProtection="1">
      <protection hidden="1"/>
    </xf>
    <xf numFmtId="166" fontId="14" fillId="12" borderId="354" xfId="0" applyNumberFormat="1" applyFont="1" applyFill="1" applyBorder="1" applyProtection="1">
      <protection hidden="1"/>
    </xf>
    <xf numFmtId="0" fontId="29" fillId="37" borderId="185" xfId="0" applyFont="1" applyFill="1" applyBorder="1" applyProtection="1">
      <protection hidden="1"/>
    </xf>
    <xf numFmtId="166" fontId="14" fillId="12" borderId="304" xfId="0" applyNumberFormat="1" applyFont="1" applyFill="1" applyBorder="1" applyProtection="1">
      <protection hidden="1"/>
    </xf>
    <xf numFmtId="0" fontId="61" fillId="15" borderId="35" xfId="0" applyFont="1" applyFill="1" applyBorder="1" applyAlignment="1">
      <alignment horizontal="left" vertical="top"/>
    </xf>
    <xf numFmtId="0" fontId="2" fillId="12" borderId="340" xfId="0" applyFont="1" applyFill="1" applyBorder="1"/>
    <xf numFmtId="0" fontId="2" fillId="12" borderId="299" xfId="0" applyFont="1" applyFill="1" applyBorder="1"/>
    <xf numFmtId="0" fontId="2" fillId="12" borderId="509" xfId="0" applyFont="1" applyFill="1" applyBorder="1"/>
    <xf numFmtId="0" fontId="2" fillId="12" borderId="508" xfId="0" applyFont="1" applyFill="1" applyBorder="1"/>
    <xf numFmtId="4" fontId="5" fillId="2" borderId="179" xfId="0" applyNumberFormat="1" applyFont="1" applyFill="1" applyBorder="1"/>
    <xf numFmtId="4" fontId="5" fillId="2" borderId="123" xfId="0" applyNumberFormat="1" applyFont="1" applyFill="1" applyBorder="1"/>
    <xf numFmtId="4" fontId="5" fillId="26" borderId="148" xfId="0" applyNumberFormat="1" applyFont="1" applyFill="1" applyBorder="1"/>
    <xf numFmtId="4" fontId="5" fillId="26" borderId="123" xfId="0" applyNumberFormat="1" applyFont="1" applyFill="1" applyBorder="1"/>
    <xf numFmtId="4" fontId="5" fillId="48" borderId="407" xfId="0" applyNumberFormat="1" applyFont="1" applyFill="1" applyBorder="1"/>
    <xf numFmtId="4" fontId="5" fillId="48" borderId="410" xfId="0" applyNumberFormat="1" applyFont="1" applyFill="1" applyBorder="1"/>
    <xf numFmtId="4" fontId="5" fillId="47" borderId="407" xfId="0" applyNumberFormat="1" applyFont="1" applyFill="1" applyBorder="1"/>
    <xf numFmtId="4" fontId="5" fillId="47" borderId="410" xfId="0" applyNumberFormat="1" applyFont="1" applyFill="1" applyBorder="1"/>
    <xf numFmtId="4" fontId="5" fillId="42" borderId="422" xfId="0" applyNumberFormat="1" applyFont="1" applyFill="1" applyBorder="1"/>
    <xf numFmtId="4" fontId="5" fillId="42" borderId="429" xfId="0" applyNumberFormat="1" applyFont="1" applyFill="1" applyBorder="1"/>
    <xf numFmtId="4" fontId="5" fillId="54" borderId="322" xfId="0" applyNumberFormat="1" applyFont="1" applyFill="1" applyBorder="1"/>
    <xf numFmtId="4" fontId="5" fillId="54" borderId="315" xfId="0" applyNumberFormat="1" applyFont="1" applyFill="1" applyBorder="1"/>
    <xf numFmtId="4" fontId="5" fillId="55" borderId="322" xfId="0" applyNumberFormat="1" applyFont="1" applyFill="1" applyBorder="1"/>
    <xf numFmtId="4" fontId="5" fillId="55" borderId="126" xfId="0" applyNumberFormat="1" applyFont="1" applyFill="1" applyBorder="1"/>
    <xf numFmtId="0" fontId="79" fillId="41" borderId="344" xfId="0" applyFont="1" applyFill="1" applyBorder="1" applyAlignment="1">
      <alignment vertical="center"/>
    </xf>
    <xf numFmtId="0" fontId="79" fillId="41" borderId="344" xfId="0" applyFont="1" applyFill="1" applyBorder="1" applyAlignment="1">
      <alignment horizontal="right" vertical="center"/>
    </xf>
    <xf numFmtId="3" fontId="79" fillId="41" borderId="344" xfId="0" applyNumberFormat="1" applyFont="1" applyFill="1" applyBorder="1" applyAlignment="1">
      <alignment horizontal="right" vertical="center"/>
    </xf>
    <xf numFmtId="164" fontId="79" fillId="50" borderId="344" xfId="0" applyNumberFormat="1" applyFont="1" applyFill="1" applyBorder="1" applyAlignment="1">
      <alignment horizontal="right" vertical="center"/>
    </xf>
    <xf numFmtId="2" fontId="79" fillId="41" borderId="344" xfId="0" applyNumberFormat="1" applyFont="1" applyFill="1" applyBorder="1" applyAlignment="1">
      <alignment horizontal="right" vertical="center"/>
    </xf>
    <xf numFmtId="0" fontId="81" fillId="58" borderId="344" xfId="0" applyFont="1" applyFill="1" applyBorder="1" applyAlignment="1">
      <alignment vertical="center"/>
    </xf>
    <xf numFmtId="0" fontId="80" fillId="37" borderId="344" xfId="0" applyFont="1" applyFill="1" applyBorder="1" applyAlignment="1">
      <alignment vertical="center"/>
    </xf>
    <xf numFmtId="4" fontId="20" fillId="0" borderId="30" xfId="0" applyNumberFormat="1" applyFont="1" applyBorder="1"/>
    <xf numFmtId="4" fontId="20" fillId="5" borderId="30" xfId="0" applyNumberFormat="1" applyFont="1" applyFill="1" applyBorder="1"/>
    <xf numFmtId="169" fontId="20" fillId="0" borderId="30" xfId="0" applyNumberFormat="1" applyFont="1" applyBorder="1"/>
    <xf numFmtId="2" fontId="64" fillId="0" borderId="30" xfId="0" quotePrefix="1" applyNumberFormat="1" applyFont="1" applyBorder="1" applyAlignment="1">
      <alignment horizontal="left" vertical="center"/>
    </xf>
    <xf numFmtId="4" fontId="20" fillId="6" borderId="30" xfId="0" quotePrefix="1" applyNumberFormat="1" applyFont="1" applyFill="1" applyBorder="1" applyAlignment="1">
      <alignment horizontal="left"/>
    </xf>
    <xf numFmtId="169" fontId="20" fillId="6" borderId="30" xfId="0" applyNumberFormat="1" applyFont="1" applyFill="1" applyBorder="1"/>
    <xf numFmtId="4" fontId="20" fillId="0" borderId="30" xfId="0" quotePrefix="1" applyNumberFormat="1" applyFont="1" applyBorder="1" applyAlignment="1">
      <alignment vertical="center"/>
    </xf>
    <xf numFmtId="2" fontId="20" fillId="6" borderId="30" xfId="0" applyNumberFormat="1" applyFont="1" applyFill="1" applyBorder="1" applyAlignment="1">
      <alignment horizontal="left" vertical="center"/>
    </xf>
    <xf numFmtId="2" fontId="20" fillId="6" borderId="30" xfId="0" applyNumberFormat="1" applyFont="1" applyFill="1" applyBorder="1" applyAlignment="1">
      <alignment vertical="center"/>
    </xf>
    <xf numFmtId="2" fontId="20" fillId="5" borderId="30" xfId="0" quotePrefix="1" applyNumberFormat="1" applyFont="1" applyFill="1" applyBorder="1" applyAlignment="1">
      <alignment horizontal="left" vertical="center"/>
    </xf>
    <xf numFmtId="2" fontId="20" fillId="0" borderId="30" xfId="0" quotePrefix="1" applyNumberFormat="1" applyFont="1" applyBorder="1" applyAlignment="1">
      <alignment vertical="center"/>
    </xf>
    <xf numFmtId="4" fontId="20" fillId="22" borderId="30" xfId="0" applyNumberFormat="1" applyFont="1" applyFill="1" applyBorder="1"/>
    <xf numFmtId="4" fontId="20" fillId="6" borderId="30" xfId="0" quotePrefix="1" applyNumberFormat="1" applyFont="1" applyFill="1" applyBorder="1"/>
    <xf numFmtId="166" fontId="20" fillId="6" borderId="30" xfId="0" quotePrefix="1" applyNumberFormat="1" applyFont="1" applyFill="1" applyBorder="1"/>
    <xf numFmtId="166" fontId="20" fillId="6" borderId="30" xfId="0" quotePrefix="1" applyNumberFormat="1" applyFont="1" applyFill="1" applyBorder="1" applyAlignment="1">
      <alignment horizontal="left"/>
    </xf>
    <xf numFmtId="3" fontId="20" fillId="6" borderId="30" xfId="0" quotePrefix="1" applyNumberFormat="1" applyFont="1" applyFill="1" applyBorder="1" applyAlignment="1">
      <alignment horizontal="center"/>
    </xf>
    <xf numFmtId="169" fontId="20" fillId="0" borderId="30" xfId="0" applyNumberFormat="1" applyFont="1" applyBorder="1" applyAlignment="1">
      <alignment horizontal="center"/>
    </xf>
    <xf numFmtId="4" fontId="20" fillId="6" borderId="30" xfId="0" quotePrefix="1" applyNumberFormat="1" applyFont="1" applyFill="1" applyBorder="1" applyAlignment="1">
      <alignment horizontal="center"/>
    </xf>
    <xf numFmtId="169" fontId="20" fillId="0" borderId="30" xfId="0" applyNumberFormat="1" applyFont="1" applyBorder="1" applyAlignment="1">
      <alignment horizontal="right"/>
    </xf>
    <xf numFmtId="0" fontId="55" fillId="11" borderId="30" xfId="0" applyFont="1" applyFill="1" applyBorder="1"/>
    <xf numFmtId="3" fontId="20" fillId="0" borderId="30" xfId="0" quotePrefix="1" applyNumberFormat="1" applyFont="1" applyBorder="1" applyAlignment="1">
      <alignment horizontal="center"/>
    </xf>
    <xf numFmtId="3" fontId="59" fillId="6" borderId="30" xfId="0" applyNumberFormat="1" applyFont="1" applyFill="1" applyBorder="1"/>
    <xf numFmtId="2" fontId="20" fillId="6" borderId="30" xfId="0" quotePrefix="1" applyNumberFormat="1" applyFont="1" applyFill="1" applyBorder="1" applyAlignment="1">
      <alignment vertical="center"/>
    </xf>
    <xf numFmtId="4" fontId="20" fillId="12" borderId="30" xfId="0" applyNumberFormat="1" applyFont="1" applyFill="1" applyBorder="1"/>
    <xf numFmtId="1" fontId="20" fillId="35" borderId="30" xfId="0" applyNumberFormat="1" applyFont="1" applyFill="1" applyBorder="1"/>
    <xf numFmtId="4" fontId="61" fillId="36" borderId="30" xfId="0" applyNumberFormat="1" applyFont="1" applyFill="1" applyBorder="1"/>
    <xf numFmtId="1" fontId="20" fillId="0" borderId="30" xfId="0" applyNumberFormat="1" applyFont="1" applyBorder="1"/>
    <xf numFmtId="4" fontId="61" fillId="35" borderId="30" xfId="0" applyNumberFormat="1" applyFont="1" applyFill="1" applyBorder="1"/>
    <xf numFmtId="2" fontId="20" fillId="0" borderId="30" xfId="0" applyNumberFormat="1" applyFont="1" applyBorder="1"/>
    <xf numFmtId="2" fontId="20" fillId="12" borderId="30" xfId="0" applyNumberFormat="1" applyFont="1" applyFill="1" applyBorder="1"/>
    <xf numFmtId="0" fontId="55" fillId="0" borderId="69" xfId="0" applyFont="1" applyBorder="1"/>
    <xf numFmtId="2" fontId="62" fillId="35" borderId="44" xfId="0" applyNumberFormat="1" applyFont="1" applyFill="1" applyBorder="1"/>
    <xf numFmtId="4" fontId="20" fillId="2" borderId="102" xfId="0" applyNumberFormat="1" applyFont="1" applyFill="1" applyBorder="1"/>
    <xf numFmtId="4" fontId="20" fillId="11" borderId="102" xfId="0" applyNumberFormat="1" applyFont="1" applyFill="1" applyBorder="1"/>
    <xf numFmtId="0" fontId="55" fillId="4" borderId="102" xfId="0" quotePrefix="1" applyFont="1" applyFill="1" applyBorder="1" applyAlignment="1">
      <alignment horizontal="left" vertical="center"/>
    </xf>
    <xf numFmtId="0" fontId="55" fillId="23" borderId="102" xfId="0" quotePrefix="1" applyFont="1" applyFill="1" applyBorder="1" applyAlignment="1">
      <alignment horizontal="left" vertical="center"/>
    </xf>
    <xf numFmtId="0" fontId="55" fillId="0" borderId="103" xfId="0" applyFont="1" applyBorder="1"/>
    <xf numFmtId="0" fontId="55" fillId="44" borderId="102" xfId="0" quotePrefix="1" applyFont="1" applyFill="1" applyBorder="1" applyAlignment="1">
      <alignment horizontal="left" vertical="center"/>
    </xf>
    <xf numFmtId="0" fontId="55" fillId="0" borderId="86" xfId="0" applyFont="1" applyBorder="1"/>
    <xf numFmtId="0" fontId="55" fillId="0" borderId="87" xfId="0" applyFont="1" applyBorder="1"/>
    <xf numFmtId="0" fontId="20" fillId="0" borderId="86" xfId="0" applyFont="1" applyBorder="1"/>
    <xf numFmtId="0" fontId="55" fillId="36" borderId="515" xfId="0" applyFont="1" applyFill="1" applyBorder="1"/>
    <xf numFmtId="0" fontId="61" fillId="15" borderId="516" xfId="0" applyFont="1" applyFill="1" applyBorder="1" applyAlignment="1">
      <alignment horizontal="left" vertical="top"/>
    </xf>
    <xf numFmtId="4" fontId="72" fillId="21" borderId="517" xfId="0" applyNumberFormat="1" applyFont="1" applyFill="1" applyBorder="1" applyAlignment="1">
      <alignment horizontal="center"/>
    </xf>
    <xf numFmtId="0" fontId="55" fillId="16" borderId="102" xfId="0" quotePrefix="1" applyFont="1" applyFill="1" applyBorder="1" applyAlignment="1">
      <alignment horizontal="left" vertical="center"/>
    </xf>
    <xf numFmtId="4" fontId="20" fillId="48" borderId="102" xfId="0" applyNumberFormat="1" applyFont="1" applyFill="1" applyBorder="1"/>
    <xf numFmtId="4" fontId="20" fillId="47" borderId="102" xfId="0" applyNumberFormat="1" applyFont="1" applyFill="1" applyBorder="1"/>
    <xf numFmtId="4" fontId="20" fillId="42" borderId="102" xfId="0" applyNumberFormat="1" applyFont="1" applyFill="1" applyBorder="1"/>
    <xf numFmtId="0" fontId="55" fillId="51" borderId="102" xfId="0" applyFont="1" applyFill="1" applyBorder="1"/>
    <xf numFmtId="0" fontId="55" fillId="52" borderId="102" xfId="0" applyFont="1" applyFill="1" applyBorder="1"/>
    <xf numFmtId="0" fontId="55" fillId="55" borderId="102" xfId="0" applyFont="1" applyFill="1" applyBorder="1"/>
    <xf numFmtId="0" fontId="55" fillId="54" borderId="102" xfId="0" applyFont="1" applyFill="1" applyBorder="1"/>
    <xf numFmtId="4" fontId="20" fillId="26" borderId="102" xfId="0" applyNumberFormat="1" applyFont="1" applyFill="1" applyBorder="1"/>
    <xf numFmtId="0" fontId="55" fillId="0" borderId="256" xfId="0" applyFont="1" applyBorder="1"/>
    <xf numFmtId="0" fontId="55" fillId="22" borderId="102" xfId="0" quotePrefix="1" applyFont="1" applyFill="1" applyBorder="1" applyAlignment="1">
      <alignment horizontal="left" vertical="center"/>
    </xf>
    <xf numFmtId="0" fontId="55" fillId="53" borderId="102" xfId="0" applyFont="1" applyFill="1" applyBorder="1"/>
    <xf numFmtId="0" fontId="55" fillId="6" borderId="103" xfId="0" quotePrefix="1" applyFont="1" applyFill="1" applyBorder="1" applyAlignment="1">
      <alignment horizontal="left"/>
    </xf>
    <xf numFmtId="0" fontId="45" fillId="0" borderId="0" xfId="0" applyFont="1" applyAlignment="1">
      <alignment horizontal="left"/>
    </xf>
    <xf numFmtId="0" fontId="66" fillId="0" borderId="0" xfId="0" applyFont="1" applyAlignment="1">
      <alignment horizontal="center"/>
    </xf>
    <xf numFmtId="0" fontId="45" fillId="0" borderId="0" xfId="0" applyFont="1" applyAlignment="1">
      <alignment horizontal="center"/>
    </xf>
    <xf numFmtId="0" fontId="20" fillId="0" borderId="0" xfId="0" applyFont="1" applyAlignment="1">
      <alignment horizontal="center"/>
    </xf>
    <xf numFmtId="0" fontId="66" fillId="0" borderId="0" xfId="0" applyFont="1" applyAlignment="1">
      <alignment horizontal="right"/>
    </xf>
    <xf numFmtId="166" fontId="20" fillId="0" borderId="0" xfId="0" quotePrefix="1" applyNumberFormat="1" applyFont="1" applyAlignment="1">
      <alignment horizontal="left"/>
    </xf>
    <xf numFmtId="3" fontId="20" fillId="0" borderId="0" xfId="0" quotePrefix="1" applyNumberFormat="1" applyFont="1" applyAlignment="1">
      <alignment horizontal="center"/>
    </xf>
    <xf numFmtId="0" fontId="66" fillId="0" borderId="0" xfId="0" applyFont="1"/>
    <xf numFmtId="166" fontId="20" fillId="0" borderId="86" xfId="0" quotePrefix="1" applyNumberFormat="1" applyFont="1" applyBorder="1" applyAlignment="1">
      <alignment horizontal="left"/>
    </xf>
    <xf numFmtId="3" fontId="20" fillId="0" borderId="86" xfId="0" quotePrefix="1" applyNumberFormat="1" applyFont="1" applyBorder="1" applyAlignment="1">
      <alignment horizontal="center"/>
    </xf>
    <xf numFmtId="4" fontId="55" fillId="2" borderId="102" xfId="0" applyNumberFormat="1" applyFont="1" applyFill="1" applyBorder="1"/>
    <xf numFmtId="0" fontId="61" fillId="15" borderId="518" xfId="0" applyFont="1" applyFill="1" applyBorder="1" applyAlignment="1">
      <alignment horizontal="left" vertical="top"/>
    </xf>
    <xf numFmtId="2" fontId="55" fillId="12" borderId="103" xfId="0" applyNumberFormat="1" applyFont="1" applyFill="1" applyBorder="1"/>
    <xf numFmtId="0" fontId="55" fillId="8" borderId="102" xfId="0" quotePrefix="1" applyFont="1" applyFill="1" applyBorder="1" applyAlignment="1">
      <alignment horizontal="left" vertical="center"/>
    </xf>
    <xf numFmtId="0" fontId="55" fillId="55" borderId="104" xfId="0" applyFont="1" applyFill="1" applyBorder="1"/>
    <xf numFmtId="4" fontId="20" fillId="0" borderId="112" xfId="0" quotePrefix="1" applyNumberFormat="1" applyFont="1" applyBorder="1" applyAlignment="1">
      <alignment vertical="center"/>
    </xf>
    <xf numFmtId="4" fontId="20" fillId="0" borderId="112" xfId="0" applyNumberFormat="1" applyFont="1" applyBorder="1"/>
    <xf numFmtId="4" fontId="61" fillId="36" borderId="112" xfId="0" applyNumberFormat="1" applyFont="1" applyFill="1" applyBorder="1"/>
    <xf numFmtId="1" fontId="20" fillId="0" borderId="112" xfId="0" applyNumberFormat="1" applyFont="1" applyBorder="1"/>
    <xf numFmtId="2" fontId="55" fillId="12" borderId="105" xfId="0" applyNumberFormat="1" applyFont="1" applyFill="1" applyBorder="1"/>
    <xf numFmtId="0" fontId="10" fillId="9" borderId="69" xfId="2" quotePrefix="1" applyFont="1" applyFill="1" applyBorder="1" applyAlignment="1" applyProtection="1">
      <alignment horizontal="left" vertical="center"/>
      <protection hidden="1"/>
    </xf>
    <xf numFmtId="0" fontId="10" fillId="9" borderId="261" xfId="2" quotePrefix="1" applyFont="1" applyFill="1" applyBorder="1" applyAlignment="1" applyProtection="1">
      <alignment horizontal="left" vertical="center"/>
      <protection hidden="1"/>
    </xf>
    <xf numFmtId="0" fontId="10" fillId="9" borderId="73" xfId="2" quotePrefix="1" applyFont="1" applyFill="1" applyBorder="1" applyAlignment="1" applyProtection="1">
      <alignment horizontal="left" vertical="center"/>
      <protection hidden="1"/>
    </xf>
    <xf numFmtId="0" fontId="10" fillId="57" borderId="437" xfId="2" quotePrefix="1" applyFont="1" applyFill="1" applyBorder="1" applyAlignment="1" applyProtection="1">
      <alignment horizontal="left" vertical="center"/>
      <protection hidden="1"/>
    </xf>
    <xf numFmtId="166" fontId="20" fillId="6" borderId="30" xfId="0" quotePrefix="1" applyNumberFormat="1" applyFont="1" applyFill="1" applyBorder="1" applyAlignment="1">
      <alignment vertical="center"/>
    </xf>
    <xf numFmtId="4" fontId="1" fillId="0" borderId="0" xfId="0" applyNumberFormat="1" applyFont="1"/>
    <xf numFmtId="4" fontId="72" fillId="36" borderId="502" xfId="0" applyNumberFormat="1" applyFont="1" applyFill="1" applyBorder="1"/>
    <xf numFmtId="0" fontId="66" fillId="6" borderId="0" xfId="0" applyFont="1" applyFill="1" applyAlignment="1">
      <alignment horizontal="left"/>
    </xf>
    <xf numFmtId="164" fontId="55" fillId="6" borderId="3" xfId="0" applyNumberFormat="1" applyFont="1" applyFill="1" applyBorder="1"/>
    <xf numFmtId="164" fontId="55" fillId="12" borderId="30" xfId="0" applyNumberFormat="1" applyFont="1" applyFill="1" applyBorder="1"/>
    <xf numFmtId="0" fontId="55" fillId="2" borderId="51" xfId="0" applyFont="1" applyFill="1" applyBorder="1"/>
    <xf numFmtId="175" fontId="25" fillId="0" borderId="144" xfId="0" quotePrefix="1" applyNumberFormat="1" applyFont="1" applyBorder="1" applyAlignment="1" applyProtection="1">
      <alignment horizontal="center" vertical="center"/>
      <protection hidden="1"/>
    </xf>
    <xf numFmtId="164" fontId="55" fillId="23" borderId="0" xfId="0" applyNumberFormat="1" applyFont="1" applyFill="1" applyAlignment="1">
      <alignment vertical="center"/>
    </xf>
    <xf numFmtId="0" fontId="30" fillId="0" borderId="23" xfId="4" applyBorder="1"/>
    <xf numFmtId="4" fontId="5" fillId="27" borderId="270" xfId="0" applyNumberFormat="1" applyFont="1" applyFill="1" applyBorder="1"/>
    <xf numFmtId="4" fontId="9" fillId="27" borderId="270" xfId="0" applyNumberFormat="1" applyFont="1" applyFill="1" applyBorder="1"/>
    <xf numFmtId="4" fontId="5" fillId="27" borderId="270" xfId="0" quotePrefix="1" applyNumberFormat="1" applyFont="1" applyFill="1" applyBorder="1" applyAlignment="1">
      <alignment horizontal="left"/>
    </xf>
    <xf numFmtId="3" fontId="5" fillId="27" borderId="270" xfId="0" applyNumberFormat="1" applyFont="1" applyFill="1" applyBorder="1"/>
    <xf numFmtId="4" fontId="5" fillId="27" borderId="127" xfId="0" applyNumberFormat="1" applyFont="1" applyFill="1" applyBorder="1"/>
    <xf numFmtId="4" fontId="9" fillId="27" borderId="127" xfId="0" applyNumberFormat="1" applyFont="1" applyFill="1" applyBorder="1"/>
    <xf numFmtId="4" fontId="5" fillId="27" borderId="127" xfId="0" quotePrefix="1" applyNumberFormat="1" applyFont="1" applyFill="1" applyBorder="1" applyAlignment="1">
      <alignment horizontal="left"/>
    </xf>
    <xf numFmtId="3" fontId="5" fillId="27" borderId="127" xfId="0" applyNumberFormat="1" applyFont="1" applyFill="1" applyBorder="1"/>
    <xf numFmtId="4" fontId="5" fillId="27" borderId="273" xfId="0" applyNumberFormat="1" applyFont="1" applyFill="1" applyBorder="1"/>
    <xf numFmtId="4" fontId="9" fillId="27" borderId="273" xfId="0" applyNumberFormat="1" applyFont="1" applyFill="1" applyBorder="1"/>
    <xf numFmtId="4" fontId="5" fillId="27" borderId="273" xfId="0" quotePrefix="1" applyNumberFormat="1" applyFont="1" applyFill="1" applyBorder="1" applyAlignment="1">
      <alignment horizontal="left"/>
    </xf>
    <xf numFmtId="3" fontId="5" fillId="27" borderId="273" xfId="0" applyNumberFormat="1" applyFont="1" applyFill="1" applyBorder="1"/>
    <xf numFmtId="4" fontId="5" fillId="45" borderId="254" xfId="0" applyNumberFormat="1" applyFont="1" applyFill="1" applyBorder="1"/>
    <xf numFmtId="4" fontId="9" fillId="45" borderId="254" xfId="0" applyNumberFormat="1" applyFont="1" applyFill="1" applyBorder="1"/>
    <xf numFmtId="4" fontId="5" fillId="45" borderId="254" xfId="0" quotePrefix="1" applyNumberFormat="1" applyFont="1" applyFill="1" applyBorder="1" applyAlignment="1">
      <alignment horizontal="left"/>
    </xf>
    <xf numFmtId="3" fontId="5" fillId="45" borderId="254" xfId="0" applyNumberFormat="1" applyFont="1" applyFill="1" applyBorder="1"/>
    <xf numFmtId="4" fontId="5" fillId="45" borderId="236" xfId="0" applyNumberFormat="1" applyFont="1" applyFill="1" applyBorder="1"/>
    <xf numFmtId="4" fontId="9" fillId="45" borderId="236" xfId="0" applyNumberFormat="1" applyFont="1" applyFill="1" applyBorder="1"/>
    <xf numFmtId="4" fontId="5" fillId="45" borderId="236" xfId="0" quotePrefix="1" applyNumberFormat="1" applyFont="1" applyFill="1" applyBorder="1" applyAlignment="1">
      <alignment horizontal="left"/>
    </xf>
    <xf numFmtId="3" fontId="5" fillId="45" borderId="236" xfId="0" applyNumberFormat="1" applyFont="1" applyFill="1" applyBorder="1"/>
    <xf numFmtId="3" fontId="5" fillId="42" borderId="423" xfId="0" applyNumberFormat="1" applyFont="1" applyFill="1" applyBorder="1"/>
    <xf numFmtId="4" fontId="5" fillId="42" borderId="424" xfId="0" applyNumberFormat="1" applyFont="1" applyFill="1" applyBorder="1"/>
    <xf numFmtId="3" fontId="5" fillId="42" borderId="205" xfId="0" applyNumberFormat="1" applyFont="1" applyFill="1" applyBorder="1"/>
    <xf numFmtId="4" fontId="5" fillId="42" borderId="430" xfId="0" applyNumberFormat="1" applyFont="1" applyFill="1" applyBorder="1"/>
    <xf numFmtId="3" fontId="5" fillId="42" borderId="427" xfId="0" applyNumberFormat="1" applyFont="1" applyFill="1" applyBorder="1"/>
    <xf numFmtId="4" fontId="5" fillId="42" borderId="428" xfId="0" applyNumberFormat="1" applyFont="1" applyFill="1" applyBorder="1"/>
    <xf numFmtId="4" fontId="5" fillId="42" borderId="400" xfId="0" applyNumberFormat="1" applyFont="1" applyFill="1" applyBorder="1"/>
    <xf numFmtId="175" fontId="25" fillId="0" borderId="459" xfId="5" applyNumberFormat="1" applyFont="1" applyBorder="1" applyAlignment="1" applyProtection="1">
      <alignment horizontal="center" vertical="center"/>
      <protection hidden="1"/>
    </xf>
    <xf numFmtId="175" fontId="25" fillId="0" borderId="458" xfId="5" applyNumberFormat="1" applyFont="1" applyBorder="1" applyAlignment="1" applyProtection="1">
      <alignment horizontal="center" vertical="center"/>
      <protection hidden="1"/>
    </xf>
    <xf numFmtId="175" fontId="25" fillId="0" borderId="519" xfId="5" applyNumberFormat="1" applyFont="1" applyBorder="1" applyAlignment="1" applyProtection="1">
      <alignment horizontal="center" vertical="center"/>
      <protection hidden="1"/>
    </xf>
    <xf numFmtId="175" fontId="25" fillId="0" borderId="276" xfId="5" applyNumberFormat="1" applyFont="1" applyBorder="1" applyAlignment="1" applyProtection="1">
      <alignment horizontal="center" vertical="center"/>
      <protection hidden="1"/>
    </xf>
    <xf numFmtId="175" fontId="25" fillId="0" borderId="520" xfId="5" applyNumberFormat="1" applyFont="1" applyBorder="1" applyAlignment="1" applyProtection="1">
      <alignment horizontal="center" vertical="center"/>
      <protection hidden="1"/>
    </xf>
    <xf numFmtId="175" fontId="25" fillId="0" borderId="521" xfId="5" applyNumberFormat="1" applyFont="1" applyBorder="1" applyAlignment="1" applyProtection="1">
      <alignment horizontal="center" vertical="center"/>
      <protection hidden="1"/>
    </xf>
    <xf numFmtId="175" fontId="25" fillId="0" borderId="458" xfId="0" quotePrefix="1" applyNumberFormat="1" applyFont="1" applyBorder="1" applyAlignment="1" applyProtection="1">
      <alignment horizontal="center" vertical="center"/>
      <protection hidden="1"/>
    </xf>
    <xf numFmtId="175" fontId="25" fillId="0" borderId="205" xfId="0" quotePrefix="1" applyNumberFormat="1" applyFont="1" applyBorder="1" applyAlignment="1" applyProtection="1">
      <alignment horizontal="center" vertical="center"/>
      <protection hidden="1"/>
    </xf>
    <xf numFmtId="175" fontId="25" fillId="0" borderId="459" xfId="0" quotePrefix="1" applyNumberFormat="1" applyFont="1" applyBorder="1" applyAlignment="1" applyProtection="1">
      <alignment horizontal="center" vertical="center"/>
      <protection hidden="1"/>
    </xf>
    <xf numFmtId="175" fontId="25" fillId="0" borderId="464" xfId="0" quotePrefix="1" applyNumberFormat="1" applyFont="1" applyBorder="1" applyAlignment="1" applyProtection="1">
      <alignment horizontal="center" vertical="center"/>
      <protection hidden="1"/>
    </xf>
    <xf numFmtId="175" fontId="25" fillId="0" borderId="206" xfId="0" quotePrefix="1" applyNumberFormat="1" applyFont="1" applyBorder="1" applyAlignment="1" applyProtection="1">
      <alignment horizontal="center" vertical="center"/>
      <protection hidden="1"/>
    </xf>
    <xf numFmtId="175" fontId="25" fillId="0" borderId="465" xfId="0" quotePrefix="1" applyNumberFormat="1" applyFont="1" applyBorder="1" applyAlignment="1" applyProtection="1">
      <alignment horizontal="center" vertical="center"/>
      <protection hidden="1"/>
    </xf>
    <xf numFmtId="175" fontId="25" fillId="0" borderId="460" xfId="0" quotePrefix="1" applyNumberFormat="1" applyFont="1" applyBorder="1" applyAlignment="1" applyProtection="1">
      <alignment horizontal="center" vertical="center"/>
      <protection hidden="1"/>
    </xf>
    <xf numFmtId="175" fontId="25" fillId="0" borderId="204" xfId="0" quotePrefix="1" applyNumberFormat="1" applyFont="1" applyBorder="1" applyAlignment="1" applyProtection="1">
      <alignment horizontal="center" vertical="center"/>
      <protection hidden="1"/>
    </xf>
    <xf numFmtId="175" fontId="25" fillId="0" borderId="461" xfId="0" quotePrefix="1" applyNumberFormat="1" applyFont="1" applyBorder="1" applyAlignment="1" applyProtection="1">
      <alignment horizontal="center" vertical="center"/>
      <protection hidden="1"/>
    </xf>
    <xf numFmtId="175" fontId="25" fillId="0" borderId="206" xfId="0" applyNumberFormat="1" applyFont="1" applyBorder="1" applyAlignment="1" applyProtection="1">
      <alignment horizontal="center" vertical="center"/>
      <protection hidden="1"/>
    </xf>
    <xf numFmtId="175" fontId="25" fillId="0" borderId="464" xfId="0" applyNumberFormat="1" applyFont="1" applyBorder="1" applyAlignment="1" applyProtection="1">
      <alignment horizontal="center" vertical="center"/>
      <protection hidden="1"/>
    </xf>
    <xf numFmtId="175" fontId="25" fillId="0" borderId="205" xfId="0" applyNumberFormat="1" applyFont="1" applyBorder="1" applyAlignment="1" applyProtection="1">
      <alignment horizontal="center" vertical="center"/>
      <protection hidden="1"/>
    </xf>
    <xf numFmtId="175" fontId="25" fillId="0" borderId="204" xfId="0" applyNumberFormat="1" applyFont="1" applyBorder="1" applyAlignment="1" applyProtection="1">
      <alignment horizontal="center" vertical="center"/>
      <protection hidden="1"/>
    </xf>
    <xf numFmtId="175" fontId="25" fillId="0" borderId="458" xfId="2" applyNumberFormat="1" applyFont="1" applyBorder="1" applyAlignment="1" applyProtection="1">
      <alignment horizontal="center" vertical="center"/>
      <protection hidden="1"/>
    </xf>
    <xf numFmtId="175" fontId="25" fillId="0" borderId="430" xfId="2" applyNumberFormat="1" applyFont="1" applyBorder="1" applyAlignment="1" applyProtection="1">
      <alignment horizontal="center" vertical="center"/>
      <protection hidden="1"/>
    </xf>
    <xf numFmtId="175" fontId="25" fillId="0" borderId="471" xfId="2" applyNumberFormat="1" applyFont="1" applyBorder="1" applyAlignment="1" applyProtection="1">
      <alignment horizontal="center" vertical="center"/>
      <protection hidden="1"/>
    </xf>
    <xf numFmtId="175" fontId="25" fillId="0" borderId="430" xfId="0" quotePrefix="1" applyNumberFormat="1" applyFont="1" applyBorder="1" applyAlignment="1" applyProtection="1">
      <alignment horizontal="center" vertical="center"/>
      <protection hidden="1"/>
    </xf>
    <xf numFmtId="175" fontId="25" fillId="0" borderId="473" xfId="0" quotePrefix="1" applyNumberFormat="1" applyFont="1" applyBorder="1" applyAlignment="1" applyProtection="1">
      <alignment horizontal="center" vertical="center"/>
      <protection hidden="1"/>
    </xf>
    <xf numFmtId="175" fontId="25" fillId="0" borderId="472" xfId="0" quotePrefix="1" applyNumberFormat="1" applyFont="1" applyBorder="1" applyAlignment="1" applyProtection="1">
      <alignment horizontal="center" vertical="center"/>
      <protection hidden="1"/>
    </xf>
    <xf numFmtId="175" fontId="25" fillId="0" borderId="473" xfId="0" applyNumberFormat="1" applyFont="1" applyBorder="1" applyAlignment="1" applyProtection="1">
      <alignment horizontal="center" vertical="center"/>
      <protection hidden="1"/>
    </xf>
    <xf numFmtId="175" fontId="25" fillId="0" borderId="525" xfId="0" quotePrefix="1" applyNumberFormat="1" applyFont="1" applyBorder="1" applyAlignment="1" applyProtection="1">
      <alignment horizontal="center" vertical="center"/>
      <protection hidden="1"/>
    </xf>
    <xf numFmtId="175" fontId="25" fillId="0" borderId="390" xfId="0" quotePrefix="1" applyNumberFormat="1" applyFont="1" applyBorder="1" applyAlignment="1" applyProtection="1">
      <alignment horizontal="center" vertical="center"/>
      <protection hidden="1"/>
    </xf>
    <xf numFmtId="165" fontId="10" fillId="0" borderId="77" xfId="0" quotePrefix="1" applyNumberFormat="1" applyFont="1" applyBorder="1" applyAlignment="1" applyProtection="1">
      <alignment horizontal="center" vertical="center"/>
      <protection hidden="1"/>
    </xf>
    <xf numFmtId="0" fontId="37" fillId="0" borderId="80" xfId="2" quotePrefix="1" applyFont="1" applyBorder="1" applyAlignment="1" applyProtection="1">
      <alignment vertical="center"/>
      <protection hidden="1"/>
    </xf>
    <xf numFmtId="0" fontId="14" fillId="34" borderId="526" xfId="1" applyNumberFormat="1" applyFont="1" applyFill="1" applyBorder="1" applyAlignment="1" applyProtection="1">
      <alignment horizontal="center" vertical="center"/>
      <protection hidden="1"/>
    </xf>
    <xf numFmtId="175" fontId="25" fillId="0" borderId="455" xfId="2" applyNumberFormat="1" applyFont="1" applyBorder="1" applyAlignment="1" applyProtection="1">
      <alignment horizontal="center" vertical="center"/>
      <protection hidden="1"/>
    </xf>
    <xf numFmtId="175" fontId="25" fillId="0" borderId="85" xfId="2" applyNumberFormat="1" applyFont="1" applyBorder="1" applyAlignment="1" applyProtection="1">
      <alignment horizontal="center" vertical="center"/>
      <protection hidden="1"/>
    </xf>
    <xf numFmtId="175" fontId="25" fillId="0" borderId="456" xfId="0" quotePrefix="1" applyNumberFormat="1" applyFont="1" applyBorder="1" applyAlignment="1" applyProtection="1">
      <alignment horizontal="center" vertical="center"/>
      <protection hidden="1"/>
    </xf>
    <xf numFmtId="175" fontId="25" fillId="0" borderId="81" xfId="0" quotePrefix="1" applyNumberFormat="1" applyFont="1" applyBorder="1" applyAlignment="1" applyProtection="1">
      <alignment horizontal="center" vertical="center"/>
      <protection hidden="1"/>
    </xf>
    <xf numFmtId="175" fontId="25" fillId="0" borderId="527" xfId="2" applyNumberFormat="1" applyFont="1" applyBorder="1" applyAlignment="1" applyProtection="1">
      <alignment horizontal="center" vertical="center"/>
      <protection hidden="1"/>
    </xf>
    <xf numFmtId="175" fontId="25" fillId="0" borderId="90" xfId="2" applyNumberFormat="1" applyFont="1" applyBorder="1" applyAlignment="1" applyProtection="1">
      <alignment horizontal="center" vertical="center"/>
      <protection hidden="1"/>
    </xf>
    <xf numFmtId="175" fontId="25" fillId="0" borderId="527" xfId="0" quotePrefix="1" applyNumberFormat="1" applyFont="1" applyBorder="1" applyAlignment="1" applyProtection="1">
      <alignment horizontal="center" vertical="center"/>
      <protection hidden="1"/>
    </xf>
    <xf numFmtId="175" fontId="25" fillId="0" borderId="90" xfId="0" quotePrefix="1" applyNumberFormat="1" applyFont="1" applyBorder="1" applyAlignment="1" applyProtection="1">
      <alignment horizontal="center" vertical="center"/>
      <protection hidden="1"/>
    </xf>
    <xf numFmtId="175" fontId="25" fillId="0" borderId="527" xfId="0" applyNumberFormat="1" applyFont="1" applyBorder="1" applyAlignment="1" applyProtection="1">
      <alignment horizontal="center" vertical="center"/>
      <protection hidden="1"/>
    </xf>
    <xf numFmtId="175" fontId="25" fillId="0" borderId="90" xfId="0" applyNumberFormat="1" applyFont="1" applyBorder="1" applyAlignment="1" applyProtection="1">
      <alignment horizontal="center" vertical="center"/>
      <protection hidden="1"/>
    </xf>
    <xf numFmtId="175" fontId="25" fillId="0" borderId="280" xfId="0" quotePrefix="1" applyNumberFormat="1" applyFont="1" applyBorder="1" applyAlignment="1" applyProtection="1">
      <alignment horizontal="center" vertical="center"/>
      <protection hidden="1"/>
    </xf>
    <xf numFmtId="0" fontId="66" fillId="37" borderId="348" xfId="0" applyFont="1" applyFill="1" applyBorder="1" applyAlignment="1">
      <alignment horizontal="center"/>
    </xf>
    <xf numFmtId="0" fontId="66" fillId="37" borderId="16" xfId="0" applyFont="1" applyFill="1" applyBorder="1" applyAlignment="1">
      <alignment horizontal="center"/>
    </xf>
    <xf numFmtId="0" fontId="66" fillId="33" borderId="348" xfId="0" applyFont="1" applyFill="1" applyBorder="1" applyAlignment="1">
      <alignment horizontal="center"/>
    </xf>
    <xf numFmtId="0" fontId="66" fillId="33" borderId="16" xfId="0" applyFont="1" applyFill="1" applyBorder="1" applyAlignment="1">
      <alignment horizontal="center"/>
    </xf>
    <xf numFmtId="0" fontId="66" fillId="14" borderId="348" xfId="0" applyFont="1" applyFill="1" applyBorder="1" applyAlignment="1">
      <alignment horizontal="center"/>
    </xf>
    <xf numFmtId="0" fontId="66" fillId="14" borderId="16" xfId="0" applyFont="1" applyFill="1" applyBorder="1" applyAlignment="1">
      <alignment horizontal="center"/>
    </xf>
    <xf numFmtId="0" fontId="66" fillId="23" borderId="348" xfId="0" applyFont="1" applyFill="1" applyBorder="1" applyAlignment="1">
      <alignment horizontal="center"/>
    </xf>
    <xf numFmtId="0" fontId="66" fillId="23" borderId="16" xfId="0" applyFont="1" applyFill="1" applyBorder="1" applyAlignment="1">
      <alignment horizontal="center"/>
    </xf>
    <xf numFmtId="3" fontId="5" fillId="5" borderId="30" xfId="0" applyNumberFormat="1" applyFont="1" applyFill="1" applyBorder="1"/>
    <xf numFmtId="3" fontId="5" fillId="5" borderId="127" xfId="0" applyNumberFormat="1" applyFont="1" applyFill="1" applyBorder="1"/>
    <xf numFmtId="3" fontId="5" fillId="5" borderId="273" xfId="0" applyNumberFormat="1" applyFont="1" applyFill="1" applyBorder="1"/>
    <xf numFmtId="4" fontId="5" fillId="5" borderId="270" xfId="0" quotePrefix="1" applyNumberFormat="1" applyFont="1" applyFill="1" applyBorder="1" applyAlignment="1">
      <alignment horizontal="left"/>
    </xf>
    <xf numFmtId="4" fontId="5" fillId="5" borderId="271" xfId="0" applyNumberFormat="1" applyFont="1" applyFill="1" applyBorder="1"/>
    <xf numFmtId="4" fontId="5" fillId="5" borderId="272" xfId="0" applyNumberFormat="1" applyFont="1" applyFill="1" applyBorder="1"/>
    <xf numFmtId="3" fontId="42" fillId="11" borderId="127" xfId="0" applyNumberFormat="1" applyFont="1" applyFill="1" applyBorder="1"/>
    <xf numFmtId="4" fontId="5" fillId="5" borderId="274" xfId="0" applyNumberFormat="1" applyFont="1" applyFill="1" applyBorder="1"/>
    <xf numFmtId="4" fontId="5" fillId="5" borderId="236" xfId="0" applyNumberFormat="1" applyFont="1" applyFill="1" applyBorder="1"/>
    <xf numFmtId="4" fontId="5" fillId="5" borderId="254" xfId="0" applyNumberFormat="1" applyFont="1" applyFill="1" applyBorder="1"/>
    <xf numFmtId="4" fontId="5" fillId="5" borderId="127" xfId="0" quotePrefix="1" applyNumberFormat="1" applyFont="1" applyFill="1" applyBorder="1" applyAlignment="1">
      <alignment horizontal="left"/>
    </xf>
    <xf numFmtId="4" fontId="5" fillId="5" borderId="273" xfId="0" quotePrefix="1" applyNumberFormat="1" applyFont="1" applyFill="1" applyBorder="1" applyAlignment="1">
      <alignment horizontal="left"/>
    </xf>
    <xf numFmtId="4" fontId="5" fillId="5" borderId="236" xfId="0" quotePrefix="1" applyNumberFormat="1" applyFont="1" applyFill="1" applyBorder="1" applyAlignment="1">
      <alignment horizontal="left"/>
    </xf>
    <xf numFmtId="4" fontId="5" fillId="5" borderId="254" xfId="0" quotePrefix="1" applyNumberFormat="1" applyFont="1" applyFill="1" applyBorder="1" applyAlignment="1">
      <alignment horizontal="left"/>
    </xf>
    <xf numFmtId="0" fontId="60" fillId="5" borderId="0" xfId="0" applyFont="1" applyFill="1"/>
    <xf numFmtId="2" fontId="56" fillId="0" borderId="69" xfId="0" applyNumberFormat="1" applyFont="1" applyBorder="1" applyAlignment="1">
      <alignment vertical="center"/>
    </xf>
    <xf numFmtId="0" fontId="82" fillId="5" borderId="82" xfId="0" applyFont="1" applyFill="1" applyBorder="1" applyProtection="1">
      <protection locked="0"/>
    </xf>
    <xf numFmtId="4" fontId="20" fillId="11" borderId="30" xfId="0" applyNumberFormat="1" applyFont="1" applyFill="1" applyBorder="1" applyAlignment="1">
      <alignment horizontal="center"/>
    </xf>
    <xf numFmtId="4" fontId="20" fillId="11" borderId="30" xfId="0" applyNumberFormat="1" applyFont="1" applyFill="1" applyBorder="1"/>
    <xf numFmtId="4" fontId="20" fillId="11" borderId="30" xfId="0" quotePrefix="1" applyNumberFormat="1" applyFont="1" applyFill="1" applyBorder="1" applyAlignment="1">
      <alignment horizontal="center"/>
    </xf>
    <xf numFmtId="3" fontId="20" fillId="6" borderId="30" xfId="0" quotePrefix="1" applyNumberFormat="1" applyFont="1" applyFill="1" applyBorder="1" applyAlignment="1">
      <alignment horizontal="left"/>
    </xf>
    <xf numFmtId="169" fontId="20" fillId="6" borderId="30" xfId="0" applyNumberFormat="1" applyFont="1" applyFill="1" applyBorder="1" applyAlignment="1">
      <alignment horizontal="left"/>
    </xf>
    <xf numFmtId="169" fontId="20" fillId="6" borderId="30" xfId="0" quotePrefix="1" applyNumberFormat="1" applyFont="1" applyFill="1" applyBorder="1" applyAlignment="1">
      <alignment horizontal="center"/>
    </xf>
    <xf numFmtId="169" fontId="20" fillId="6" borderId="30" xfId="0" applyNumberFormat="1" applyFont="1" applyFill="1" applyBorder="1" applyAlignment="1">
      <alignment horizontal="center"/>
    </xf>
    <xf numFmtId="0" fontId="55" fillId="6" borderId="30" xfId="0" quotePrefix="1" applyFont="1" applyFill="1" applyBorder="1" applyAlignment="1">
      <alignment horizontal="left" vertical="center"/>
    </xf>
    <xf numFmtId="0" fontId="55" fillId="12" borderId="30" xfId="0" applyFont="1" applyFill="1" applyBorder="1"/>
    <xf numFmtId="4" fontId="61" fillId="55" borderId="30" xfId="0" applyNumberFormat="1" applyFont="1" applyFill="1" applyBorder="1"/>
    <xf numFmtId="4" fontId="20" fillId="55" borderId="30" xfId="0" applyNumberFormat="1" applyFont="1" applyFill="1" applyBorder="1"/>
    <xf numFmtId="4" fontId="20" fillId="5" borderId="30" xfId="0" quotePrefix="1" applyNumberFormat="1" applyFont="1" applyFill="1" applyBorder="1" applyAlignment="1">
      <alignment vertical="center"/>
    </xf>
    <xf numFmtId="0" fontId="55" fillId="5" borderId="5" xfId="0" quotePrefix="1" applyFont="1" applyFill="1" applyBorder="1"/>
    <xf numFmtId="4" fontId="5" fillId="5" borderId="111" xfId="0" quotePrefix="1" applyNumberFormat="1" applyFont="1" applyFill="1" applyBorder="1" applyAlignment="1">
      <alignment horizontal="left"/>
    </xf>
    <xf numFmtId="4" fontId="5" fillId="5" borderId="139" xfId="0" quotePrefix="1" applyNumberFormat="1" applyFont="1" applyFill="1" applyBorder="1" applyAlignment="1">
      <alignment horizontal="left"/>
    </xf>
    <xf numFmtId="4" fontId="5" fillId="5" borderId="54" xfId="0" quotePrefix="1" applyNumberFormat="1" applyFont="1" applyFill="1" applyBorder="1" applyAlignment="1">
      <alignment horizontal="left"/>
    </xf>
    <xf numFmtId="4" fontId="20" fillId="5" borderId="30" xfId="0" quotePrefix="1" applyNumberFormat="1" applyFont="1" applyFill="1" applyBorder="1" applyAlignment="1">
      <alignment horizontal="left"/>
    </xf>
    <xf numFmtId="3" fontId="20" fillId="5" borderId="30" xfId="0" applyNumberFormat="1" applyFont="1" applyFill="1" applyBorder="1"/>
    <xf numFmtId="2" fontId="20" fillId="5" borderId="30" xfId="0" quotePrefix="1" applyNumberFormat="1" applyFont="1" applyFill="1" applyBorder="1" applyAlignment="1">
      <alignment vertical="center"/>
    </xf>
    <xf numFmtId="0" fontId="61" fillId="15" borderId="138" xfId="0" quotePrefix="1" applyFont="1" applyFill="1" applyBorder="1" applyAlignment="1">
      <alignment horizontal="center" vertical="top"/>
    </xf>
    <xf numFmtId="0" fontId="61" fillId="15" borderId="137" xfId="0" quotePrefix="1" applyFont="1" applyFill="1" applyBorder="1" applyAlignment="1">
      <alignment horizontal="right" vertical="top"/>
    </xf>
    <xf numFmtId="0" fontId="55" fillId="0" borderId="197" xfId="0" applyFont="1" applyBorder="1"/>
    <xf numFmtId="0" fontId="21" fillId="11" borderId="84" xfId="0" applyFont="1" applyFill="1" applyBorder="1" applyProtection="1">
      <protection hidden="1"/>
    </xf>
    <xf numFmtId="0" fontId="21" fillId="11" borderId="85" xfId="0" applyFont="1" applyFill="1" applyBorder="1" applyProtection="1">
      <protection hidden="1"/>
    </xf>
    <xf numFmtId="0" fontId="21" fillId="11" borderId="0" xfId="0" applyFont="1" applyFill="1" applyProtection="1">
      <protection hidden="1"/>
    </xf>
    <xf numFmtId="0" fontId="21" fillId="11" borderId="87" xfId="0" applyFont="1" applyFill="1" applyBorder="1" applyProtection="1">
      <protection hidden="1"/>
    </xf>
    <xf numFmtId="0" fontId="21" fillId="11" borderId="80" xfId="0" applyFont="1" applyFill="1" applyBorder="1" applyProtection="1">
      <protection hidden="1"/>
    </xf>
    <xf numFmtId="0" fontId="21" fillId="11" borderId="81" xfId="0" applyFont="1" applyFill="1" applyBorder="1" applyProtection="1">
      <protection hidden="1"/>
    </xf>
    <xf numFmtId="0" fontId="21" fillId="11" borderId="189" xfId="0" applyFont="1" applyFill="1" applyBorder="1" applyProtection="1">
      <protection hidden="1"/>
    </xf>
    <xf numFmtId="0" fontId="21" fillId="11" borderId="190" xfId="0" applyFont="1" applyFill="1" applyBorder="1" applyProtection="1">
      <protection hidden="1"/>
    </xf>
    <xf numFmtId="0" fontId="21" fillId="11" borderId="192" xfId="0" applyFont="1" applyFill="1" applyBorder="1" applyProtection="1">
      <protection hidden="1"/>
    </xf>
    <xf numFmtId="0" fontId="21" fillId="11" borderId="481" xfId="0" applyFont="1" applyFill="1" applyBorder="1" applyProtection="1">
      <protection hidden="1"/>
    </xf>
    <xf numFmtId="0" fontId="21" fillId="11" borderId="194" xfId="0" applyFont="1" applyFill="1" applyBorder="1" applyProtection="1">
      <protection hidden="1"/>
    </xf>
    <xf numFmtId="175" fontId="25" fillId="0" borderId="457" xfId="2" applyNumberFormat="1" applyFont="1" applyBorder="1" applyAlignment="1" applyProtection="1">
      <alignment horizontal="center" vertical="center"/>
      <protection hidden="1"/>
    </xf>
    <xf numFmtId="175" fontId="25" fillId="0" borderId="258" xfId="2" applyNumberFormat="1" applyFont="1" applyBorder="1" applyAlignment="1" applyProtection="1">
      <alignment horizontal="center" vertical="center"/>
      <protection hidden="1"/>
    </xf>
    <xf numFmtId="4" fontId="5" fillId="23" borderId="271" xfId="0" applyNumberFormat="1" applyFont="1" applyFill="1" applyBorder="1"/>
    <xf numFmtId="4" fontId="5" fillId="23" borderId="272" xfId="0" applyNumberFormat="1" applyFont="1" applyFill="1" applyBorder="1"/>
    <xf numFmtId="4" fontId="5" fillId="23" borderId="274" xfId="0" applyNumberFormat="1" applyFont="1" applyFill="1" applyBorder="1"/>
    <xf numFmtId="0" fontId="55" fillId="12" borderId="171" xfId="0" quotePrefix="1" applyFont="1" applyFill="1" applyBorder="1" applyAlignment="1">
      <alignment horizontal="left"/>
    </xf>
    <xf numFmtId="0" fontId="55" fillId="12" borderId="24" xfId="0" quotePrefix="1" applyFont="1" applyFill="1" applyBorder="1" applyAlignment="1">
      <alignment horizontal="left"/>
    </xf>
    <xf numFmtId="164" fontId="29" fillId="22" borderId="534" xfId="0" applyNumberFormat="1" applyFont="1" applyFill="1" applyBorder="1" applyAlignment="1" applyProtection="1">
      <alignment horizontal="center"/>
      <protection locked="0"/>
    </xf>
    <xf numFmtId="164" fontId="29" fillId="22" borderId="373" xfId="0" applyNumberFormat="1" applyFont="1" applyFill="1" applyBorder="1" applyAlignment="1" applyProtection="1">
      <alignment horizontal="center"/>
      <protection locked="0"/>
    </xf>
    <xf numFmtId="164" fontId="29" fillId="22" borderId="535" xfId="0" applyNumberFormat="1" applyFont="1" applyFill="1" applyBorder="1" applyAlignment="1" applyProtection="1">
      <alignment horizontal="center"/>
      <protection locked="0"/>
    </xf>
    <xf numFmtId="164" fontId="29" fillId="22" borderId="536" xfId="0" applyNumberFormat="1" applyFont="1" applyFill="1" applyBorder="1" applyAlignment="1" applyProtection="1">
      <alignment horizontal="center"/>
      <protection locked="0"/>
    </xf>
    <xf numFmtId="164" fontId="29" fillId="22" borderId="449" xfId="0" applyNumberFormat="1" applyFont="1" applyFill="1" applyBorder="1" applyAlignment="1" applyProtection="1">
      <alignment horizontal="center"/>
      <protection locked="0"/>
    </xf>
    <xf numFmtId="164" fontId="29" fillId="22" borderId="537" xfId="0" applyNumberFormat="1" applyFont="1" applyFill="1" applyBorder="1" applyAlignment="1" applyProtection="1">
      <alignment horizontal="center"/>
      <protection locked="0"/>
    </xf>
    <xf numFmtId="164" fontId="29" fillId="22" borderId="450" xfId="0" applyNumberFormat="1" applyFont="1" applyFill="1" applyBorder="1" applyAlignment="1" applyProtection="1">
      <alignment horizontal="center"/>
      <protection locked="0"/>
    </xf>
    <xf numFmtId="164" fontId="29" fillId="22" borderId="374" xfId="0" applyNumberFormat="1" applyFont="1" applyFill="1" applyBorder="1" applyAlignment="1" applyProtection="1">
      <alignment horizontal="center"/>
      <protection locked="0"/>
    </xf>
    <xf numFmtId="164" fontId="29" fillId="22" borderId="451" xfId="0" applyNumberFormat="1" applyFont="1" applyFill="1" applyBorder="1" applyAlignment="1" applyProtection="1">
      <alignment horizontal="center"/>
      <protection locked="0"/>
    </xf>
    <xf numFmtId="164" fontId="29" fillId="22" borderId="538" xfId="0" applyNumberFormat="1" applyFont="1" applyFill="1" applyBorder="1" applyAlignment="1" applyProtection="1">
      <alignment horizontal="center"/>
      <protection locked="0"/>
    </xf>
    <xf numFmtId="164" fontId="29" fillId="22" borderId="448" xfId="0" applyNumberFormat="1" applyFont="1" applyFill="1" applyBorder="1" applyAlignment="1" applyProtection="1">
      <alignment horizontal="center"/>
      <protection locked="0"/>
    </xf>
    <xf numFmtId="164" fontId="29" fillId="22" borderId="529" xfId="0" applyNumberFormat="1" applyFont="1" applyFill="1" applyBorder="1" applyAlignment="1" applyProtection="1">
      <alignment horizontal="center"/>
      <protection locked="0"/>
    </xf>
    <xf numFmtId="164" fontId="29" fillId="22" borderId="539" xfId="0" applyNumberFormat="1" applyFont="1" applyFill="1" applyBorder="1" applyAlignment="1" applyProtection="1">
      <alignment horizontal="center"/>
      <protection locked="0"/>
    </xf>
    <xf numFmtId="164" fontId="29" fillId="22" borderId="388" xfId="0" applyNumberFormat="1" applyFont="1" applyFill="1" applyBorder="1" applyAlignment="1" applyProtection="1">
      <alignment horizontal="center"/>
      <protection locked="0"/>
    </xf>
    <xf numFmtId="175" fontId="25" fillId="0" borderId="446" xfId="0" quotePrefix="1" applyNumberFormat="1" applyFont="1" applyBorder="1" applyAlignment="1" applyProtection="1">
      <alignment horizontal="center" vertical="center"/>
      <protection hidden="1"/>
    </xf>
    <xf numFmtId="175" fontId="25" fillId="0" borderId="512" xfId="0" quotePrefix="1" applyNumberFormat="1" applyFont="1" applyBorder="1" applyAlignment="1" applyProtection="1">
      <alignment horizontal="center" vertical="center"/>
      <protection hidden="1"/>
    </xf>
    <xf numFmtId="175" fontId="25" fillId="0" borderId="238" xfId="0" quotePrefix="1" applyNumberFormat="1" applyFont="1" applyBorder="1" applyAlignment="1" applyProtection="1">
      <alignment horizontal="center" vertical="center"/>
      <protection hidden="1"/>
    </xf>
    <xf numFmtId="2" fontId="8" fillId="57" borderId="546" xfId="0" quotePrefix="1" applyNumberFormat="1" applyFont="1" applyFill="1" applyBorder="1" applyAlignment="1" applyProtection="1">
      <alignment horizontal="left" vertical="center"/>
      <protection hidden="1"/>
    </xf>
    <xf numFmtId="0" fontId="55" fillId="5" borderId="2" xfId="0" quotePrefix="1" applyFont="1" applyFill="1" applyBorder="1"/>
    <xf numFmtId="0" fontId="21" fillId="0" borderId="0" xfId="0" applyFont="1"/>
    <xf numFmtId="0" fontId="85" fillId="0" borderId="0" xfId="0" applyFont="1" applyAlignment="1">
      <alignment vertical="center"/>
    </xf>
    <xf numFmtId="175" fontId="10" fillId="60" borderId="171" xfId="1" applyNumberFormat="1" applyFont="1" applyFill="1" applyBorder="1" applyAlignment="1">
      <alignment horizontal="center"/>
    </xf>
    <xf numFmtId="175" fontId="10" fillId="60" borderId="170" xfId="1" applyNumberFormat="1" applyFont="1" applyFill="1" applyBorder="1" applyAlignment="1">
      <alignment horizontal="center"/>
    </xf>
    <xf numFmtId="175" fontId="10" fillId="60" borderId="172" xfId="1" applyNumberFormat="1" applyFont="1" applyFill="1" applyBorder="1" applyAlignment="1">
      <alignment horizontal="center"/>
    </xf>
    <xf numFmtId="175" fontId="10" fillId="60" borderId="22" xfId="1" applyNumberFormat="1" applyFont="1" applyFill="1" applyBorder="1" applyAlignment="1">
      <alignment horizontal="center"/>
    </xf>
    <xf numFmtId="175" fontId="10" fillId="60" borderId="30" xfId="1" applyNumberFormat="1" applyFont="1" applyFill="1" applyBorder="1" applyAlignment="1">
      <alignment horizontal="center"/>
    </xf>
    <xf numFmtId="175" fontId="10" fillId="60" borderId="23" xfId="1" applyNumberFormat="1" applyFont="1" applyFill="1" applyBorder="1" applyAlignment="1">
      <alignment horizontal="center"/>
    </xf>
    <xf numFmtId="175" fontId="10" fillId="60" borderId="24" xfId="1" applyNumberFormat="1" applyFont="1" applyFill="1" applyBorder="1" applyAlignment="1">
      <alignment horizontal="center"/>
    </xf>
    <xf numFmtId="175" fontId="10" fillId="60" borderId="32" xfId="1" applyNumberFormat="1" applyFont="1" applyFill="1" applyBorder="1" applyAlignment="1">
      <alignment horizontal="center"/>
    </xf>
    <xf numFmtId="175" fontId="10" fillId="60" borderId="25" xfId="1" applyNumberFormat="1" applyFont="1" applyFill="1" applyBorder="1" applyAlignment="1">
      <alignment horizontal="center"/>
    </xf>
    <xf numFmtId="175" fontId="10" fillId="0" borderId="171" xfId="1" applyNumberFormat="1" applyFont="1" applyFill="1" applyBorder="1" applyAlignment="1">
      <alignment horizontal="center"/>
    </xf>
    <xf numFmtId="175" fontId="10" fillId="0" borderId="170" xfId="1" applyNumberFormat="1" applyFont="1" applyFill="1" applyBorder="1" applyAlignment="1">
      <alignment horizontal="center"/>
    </xf>
    <xf numFmtId="175" fontId="10" fillId="9" borderId="171" xfId="1" applyNumberFormat="1" applyFont="1" applyFill="1" applyBorder="1" applyAlignment="1">
      <alignment horizontal="center"/>
    </xf>
    <xf numFmtId="175" fontId="10" fillId="9" borderId="170" xfId="1" applyNumberFormat="1" applyFont="1" applyFill="1" applyBorder="1" applyAlignment="1">
      <alignment horizontal="center"/>
    </xf>
    <xf numFmtId="175" fontId="10" fillId="9" borderId="22" xfId="1" applyNumberFormat="1" applyFont="1" applyFill="1" applyBorder="1" applyAlignment="1">
      <alignment horizontal="center"/>
    </xf>
    <xf numFmtId="175" fontId="10" fillId="9" borderId="30" xfId="1" applyNumberFormat="1" applyFont="1" applyFill="1" applyBorder="1" applyAlignment="1">
      <alignment horizontal="center"/>
    </xf>
    <xf numFmtId="175" fontId="10" fillId="60" borderId="53" xfId="1" applyNumberFormat="1" applyFont="1" applyFill="1" applyBorder="1" applyAlignment="1">
      <alignment horizontal="center"/>
    </xf>
    <xf numFmtId="175" fontId="10" fillId="60" borderId="54" xfId="1" applyNumberFormat="1" applyFont="1" applyFill="1" applyBorder="1" applyAlignment="1">
      <alignment horizontal="center"/>
    </xf>
    <xf numFmtId="175" fontId="25" fillId="9" borderId="117" xfId="5" applyNumberFormat="1" applyFont="1" applyFill="1" applyBorder="1" applyAlignment="1" applyProtection="1">
      <alignment horizontal="center" vertical="center"/>
      <protection hidden="1"/>
    </xf>
    <xf numFmtId="175" fontId="25" fillId="9" borderId="205" xfId="5" applyNumberFormat="1" applyFont="1" applyFill="1" applyBorder="1" applyAlignment="1" applyProtection="1">
      <alignment horizontal="center" vertical="center"/>
      <protection hidden="1"/>
    </xf>
    <xf numFmtId="175" fontId="25" fillId="0" borderId="65" xfId="5" applyNumberFormat="1" applyFont="1" applyBorder="1" applyAlignment="1" applyProtection="1">
      <alignment horizontal="center" vertical="center"/>
      <protection hidden="1"/>
    </xf>
    <xf numFmtId="175" fontId="25" fillId="0" borderId="117" xfId="5" applyNumberFormat="1" applyFont="1" applyBorder="1" applyAlignment="1" applyProtection="1">
      <alignment horizontal="center" vertical="center"/>
      <protection hidden="1"/>
    </xf>
    <xf numFmtId="175" fontId="25" fillId="0" borderId="204" xfId="5" applyNumberFormat="1" applyFont="1" applyBorder="1" applyAlignment="1" applyProtection="1">
      <alignment horizontal="center" vertical="center"/>
      <protection hidden="1"/>
    </xf>
    <xf numFmtId="175" fontId="25" fillId="0" borderId="116" xfId="5" applyNumberFormat="1" applyFont="1" applyBorder="1" applyAlignment="1" applyProtection="1">
      <alignment horizontal="center" vertical="center"/>
      <protection hidden="1"/>
    </xf>
    <xf numFmtId="175" fontId="25" fillId="9" borderId="205" xfId="0" quotePrefix="1" applyNumberFormat="1" applyFont="1" applyFill="1" applyBorder="1" applyAlignment="1" applyProtection="1">
      <alignment horizontal="center" vertical="center"/>
      <protection hidden="1"/>
    </xf>
    <xf numFmtId="175" fontId="25" fillId="9" borderId="117" xfId="0" quotePrefix="1" applyNumberFormat="1" applyFont="1" applyFill="1" applyBorder="1" applyAlignment="1" applyProtection="1">
      <alignment horizontal="center" vertical="center"/>
      <protection hidden="1"/>
    </xf>
    <xf numFmtId="175" fontId="25" fillId="9" borderId="206" xfId="0" quotePrefix="1" applyNumberFormat="1" applyFont="1" applyFill="1" applyBorder="1" applyAlignment="1" applyProtection="1">
      <alignment horizontal="center" vertical="center"/>
      <protection hidden="1"/>
    </xf>
    <xf numFmtId="175" fontId="25" fillId="9" borderId="118" xfId="0" quotePrefix="1" applyNumberFormat="1" applyFont="1" applyFill="1" applyBorder="1" applyAlignment="1" applyProtection="1">
      <alignment horizontal="center" vertical="center"/>
      <protection hidden="1"/>
    </xf>
    <xf numFmtId="175" fontId="10" fillId="9" borderId="84" xfId="0" applyNumberFormat="1" applyFont="1" applyFill="1" applyBorder="1" applyAlignment="1" applyProtection="1">
      <alignment horizontal="center" vertical="center"/>
      <protection hidden="1"/>
    </xf>
    <xf numFmtId="175" fontId="10" fillId="9" borderId="253" xfId="0" applyNumberFormat="1" applyFont="1" applyFill="1" applyBorder="1" applyAlignment="1" applyProtection="1">
      <alignment horizontal="center" vertical="center"/>
      <protection hidden="1"/>
    </xf>
    <xf numFmtId="175" fontId="10" fillId="9" borderId="85" xfId="0" applyNumberFormat="1" applyFont="1" applyFill="1" applyBorder="1" applyAlignment="1" applyProtection="1">
      <alignment horizontal="center" vertical="center"/>
      <protection hidden="1"/>
    </xf>
    <xf numFmtId="175" fontId="10" fillId="9" borderId="65" xfId="0" applyNumberFormat="1" applyFont="1" applyFill="1" applyBorder="1" applyAlignment="1" applyProtection="1">
      <alignment horizontal="center" vertical="center"/>
      <protection hidden="1"/>
    </xf>
    <xf numFmtId="175" fontId="10" fillId="9" borderId="205" xfId="0" applyNumberFormat="1" applyFont="1" applyFill="1" applyBorder="1" applyAlignment="1" applyProtection="1">
      <alignment horizontal="center" vertical="center"/>
      <protection hidden="1"/>
    </xf>
    <xf numFmtId="175" fontId="10" fillId="9" borderId="117" xfId="0" applyNumberFormat="1" applyFont="1" applyFill="1" applyBorder="1" applyAlignment="1" applyProtection="1">
      <alignment horizontal="center" vertical="center"/>
      <protection hidden="1"/>
    </xf>
    <xf numFmtId="175" fontId="25" fillId="0" borderId="106" xfId="0" quotePrefix="1" applyNumberFormat="1" applyFont="1" applyBorder="1" applyAlignment="1" applyProtection="1">
      <alignment horizontal="center" vertical="center"/>
      <protection hidden="1"/>
    </xf>
    <xf numFmtId="175" fontId="25" fillId="0" borderId="116" xfId="0" quotePrefix="1" applyNumberFormat="1" applyFont="1" applyBorder="1" applyAlignment="1" applyProtection="1">
      <alignment horizontal="center" vertical="center"/>
      <protection hidden="1"/>
    </xf>
    <xf numFmtId="175" fontId="25" fillId="0" borderId="65" xfId="0" quotePrefix="1" applyNumberFormat="1" applyFont="1" applyBorder="1" applyAlignment="1" applyProtection="1">
      <alignment horizontal="center" vertical="center"/>
      <protection hidden="1"/>
    </xf>
    <xf numFmtId="175" fontId="25" fillId="0" borderId="117" xfId="0" quotePrefix="1" applyNumberFormat="1" applyFont="1" applyBorder="1" applyAlignment="1" applyProtection="1">
      <alignment horizontal="center" vertical="center"/>
      <protection hidden="1"/>
    </xf>
    <xf numFmtId="175" fontId="25" fillId="0" borderId="115" xfId="0" quotePrefix="1" applyNumberFormat="1" applyFont="1" applyBorder="1" applyAlignment="1" applyProtection="1">
      <alignment horizontal="center" vertical="center"/>
      <protection hidden="1"/>
    </xf>
    <xf numFmtId="175" fontId="25" fillId="0" borderId="118" xfId="0" quotePrefix="1" applyNumberFormat="1" applyFont="1" applyBorder="1" applyAlignment="1" applyProtection="1">
      <alignment horizontal="center" vertical="center"/>
      <protection hidden="1"/>
    </xf>
    <xf numFmtId="175" fontId="25" fillId="0" borderId="115" xfId="0" applyNumberFormat="1" applyFont="1" applyBorder="1" applyAlignment="1" applyProtection="1">
      <alignment horizontal="center" vertical="center"/>
      <protection hidden="1"/>
    </xf>
    <xf numFmtId="175" fontId="25" fillId="0" borderId="118" xfId="0" applyNumberFormat="1" applyFont="1" applyBorder="1" applyAlignment="1" applyProtection="1">
      <alignment horizontal="center" vertical="center"/>
      <protection hidden="1"/>
    </xf>
    <xf numFmtId="175" fontId="25" fillId="0" borderId="65" xfId="0" applyNumberFormat="1" applyFont="1" applyBorder="1" applyAlignment="1" applyProtection="1">
      <alignment horizontal="center" vertical="center"/>
      <protection hidden="1"/>
    </xf>
    <xf numFmtId="175" fontId="25" fillId="0" borderId="117" xfId="0" applyNumberFormat="1" applyFont="1" applyBorder="1" applyAlignment="1" applyProtection="1">
      <alignment horizontal="center" vertical="center"/>
      <protection hidden="1"/>
    </xf>
    <xf numFmtId="175" fontId="25" fillId="0" borderId="80" xfId="0" quotePrefix="1" applyNumberFormat="1" applyFont="1" applyBorder="1" applyAlignment="1" applyProtection="1">
      <alignment horizontal="center" vertical="center"/>
      <protection hidden="1"/>
    </xf>
    <xf numFmtId="175" fontId="25" fillId="0" borderId="258" xfId="5" applyNumberFormat="1" applyFont="1" applyBorder="1" applyAlignment="1" applyProtection="1">
      <alignment horizontal="center" vertical="center"/>
      <protection hidden="1"/>
    </xf>
    <xf numFmtId="175" fontId="25" fillId="0" borderId="256" xfId="5" applyNumberFormat="1" applyFont="1" applyBorder="1" applyAlignment="1" applyProtection="1">
      <alignment horizontal="center" vertical="center"/>
      <protection hidden="1"/>
    </xf>
    <xf numFmtId="175" fontId="25" fillId="0" borderId="126" xfId="5" applyNumberFormat="1" applyFont="1" applyBorder="1" applyAlignment="1" applyProtection="1">
      <alignment horizontal="center" vertical="center"/>
      <protection hidden="1"/>
    </xf>
    <xf numFmtId="175" fontId="25" fillId="0" borderId="306" xfId="5" applyNumberFormat="1" applyFont="1" applyBorder="1" applyAlignment="1" applyProtection="1">
      <alignment horizontal="center" vertical="center"/>
      <protection hidden="1"/>
    </xf>
    <xf numFmtId="175" fontId="25" fillId="9" borderId="126" xfId="5" applyNumberFormat="1" applyFont="1" applyFill="1" applyBorder="1" applyAlignment="1" applyProtection="1">
      <alignment horizontal="center" vertical="center"/>
      <protection hidden="1"/>
    </xf>
    <xf numFmtId="175" fontId="25" fillId="0" borderId="308" xfId="5" applyNumberFormat="1" applyFont="1" applyBorder="1" applyAlignment="1" applyProtection="1">
      <alignment horizontal="center" vertical="center"/>
      <protection hidden="1"/>
    </xf>
    <xf numFmtId="175" fontId="25" fillId="0" borderId="309" xfId="5" applyNumberFormat="1" applyFont="1" applyBorder="1" applyAlignment="1" applyProtection="1">
      <alignment horizontal="center" vertical="center"/>
      <protection hidden="1"/>
    </xf>
    <xf numFmtId="175" fontId="25" fillId="0" borderId="253" xfId="0" applyNumberFormat="1" applyFont="1" applyBorder="1" applyAlignment="1" applyProtection="1">
      <alignment horizontal="center" vertical="center"/>
      <protection hidden="1"/>
    </xf>
    <xf numFmtId="175" fontId="25" fillId="0" borderId="85" xfId="0" applyNumberFormat="1" applyFont="1" applyBorder="1" applyAlignment="1" applyProtection="1">
      <alignment horizontal="center" vertical="center"/>
      <protection hidden="1"/>
    </xf>
    <xf numFmtId="175" fontId="25" fillId="0" borderId="258" xfId="0" quotePrefix="1" applyNumberFormat="1" applyFont="1" applyBorder="1" applyAlignment="1" applyProtection="1">
      <alignment horizontal="center" vertical="center"/>
      <protection hidden="1"/>
    </xf>
    <xf numFmtId="175" fontId="25" fillId="0" borderId="256" xfId="0" quotePrefix="1" applyNumberFormat="1" applyFont="1" applyBorder="1" applyAlignment="1" applyProtection="1">
      <alignment horizontal="center" vertical="center"/>
      <protection hidden="1"/>
    </xf>
    <xf numFmtId="175" fontId="25" fillId="0" borderId="78" xfId="0" quotePrefix="1" applyNumberFormat="1" applyFont="1" applyBorder="1" applyAlignment="1" applyProtection="1">
      <alignment horizontal="center" vertical="center"/>
      <protection hidden="1"/>
    </xf>
    <xf numFmtId="175" fontId="25" fillId="0" borderId="78" xfId="0" applyNumberFormat="1" applyFont="1" applyBorder="1" applyAlignment="1" applyProtection="1">
      <alignment horizontal="center" vertical="center"/>
      <protection hidden="1"/>
    </xf>
    <xf numFmtId="175" fontId="25" fillId="0" borderId="116" xfId="0" applyNumberFormat="1" applyFont="1" applyBorder="1" applyAlignment="1" applyProtection="1">
      <alignment horizontal="center" vertical="center"/>
      <protection hidden="1"/>
    </xf>
    <xf numFmtId="175" fontId="10" fillId="60" borderId="41" xfId="1" applyNumberFormat="1" applyFont="1" applyFill="1" applyBorder="1" applyAlignment="1">
      <alignment horizontal="center"/>
    </xf>
    <xf numFmtId="175" fontId="25" fillId="0" borderId="523" xfId="0" quotePrefix="1" applyNumberFormat="1" applyFont="1" applyBorder="1" applyAlignment="1" applyProtection="1">
      <alignment horizontal="center" vertical="center"/>
      <protection hidden="1"/>
    </xf>
    <xf numFmtId="175" fontId="10" fillId="60" borderId="63" xfId="1" applyNumberFormat="1" applyFont="1" applyFill="1" applyBorder="1" applyAlignment="1">
      <alignment horizontal="center"/>
    </xf>
    <xf numFmtId="175" fontId="10" fillId="60" borderId="64" xfId="1" applyNumberFormat="1" applyFont="1" applyFill="1" applyBorder="1" applyAlignment="1">
      <alignment horizontal="center"/>
    </xf>
    <xf numFmtId="175" fontId="25" fillId="0" borderId="548" xfId="0" quotePrefix="1" applyNumberFormat="1" applyFont="1" applyBorder="1" applyAlignment="1" applyProtection="1">
      <alignment horizontal="center" vertical="center"/>
      <protection hidden="1"/>
    </xf>
    <xf numFmtId="175" fontId="25" fillId="0" borderId="547" xfId="0" quotePrefix="1" applyNumberFormat="1" applyFont="1" applyBorder="1" applyAlignment="1" applyProtection="1">
      <alignment horizontal="center" vertical="center"/>
      <protection hidden="1"/>
    </xf>
    <xf numFmtId="175" fontId="25" fillId="0" borderId="293" xfId="0" quotePrefix="1" applyNumberFormat="1" applyFont="1" applyBorder="1" applyAlignment="1" applyProtection="1">
      <alignment horizontal="center" vertical="center"/>
      <protection hidden="1"/>
    </xf>
    <xf numFmtId="175" fontId="25" fillId="0" borderId="447" xfId="0" quotePrefix="1" applyNumberFormat="1" applyFont="1" applyBorder="1" applyAlignment="1" applyProtection="1">
      <alignment horizontal="center" vertical="center"/>
      <protection hidden="1"/>
    </xf>
    <xf numFmtId="175" fontId="25" fillId="0" borderId="447" xfId="0" applyNumberFormat="1" applyFont="1" applyBorder="1" applyAlignment="1" applyProtection="1">
      <alignment horizontal="center" vertical="center"/>
      <protection hidden="1"/>
    </xf>
    <xf numFmtId="175" fontId="25" fillId="0" borderId="453" xfId="0" quotePrefix="1" applyNumberFormat="1" applyFont="1" applyBorder="1" applyAlignment="1" applyProtection="1">
      <alignment horizontal="center" vertical="center"/>
      <protection hidden="1"/>
    </xf>
    <xf numFmtId="175" fontId="10" fillId="60" borderId="552" xfId="1" applyNumberFormat="1" applyFont="1" applyFill="1" applyBorder="1" applyAlignment="1">
      <alignment horizontal="center"/>
    </xf>
    <xf numFmtId="175" fontId="10" fillId="60" borderId="553" xfId="1" applyNumberFormat="1" applyFont="1" applyFill="1" applyBorder="1" applyAlignment="1">
      <alignment horizontal="center"/>
    </xf>
    <xf numFmtId="175" fontId="25" fillId="0" borderId="554" xfId="0" quotePrefix="1" applyNumberFormat="1" applyFont="1" applyBorder="1" applyAlignment="1" applyProtection="1">
      <alignment horizontal="center" vertical="center"/>
      <protection hidden="1"/>
    </xf>
    <xf numFmtId="175" fontId="25" fillId="0" borderId="558" xfId="0" quotePrefix="1" applyNumberFormat="1" applyFont="1" applyBorder="1" applyAlignment="1" applyProtection="1">
      <alignment horizontal="center" vertical="center"/>
      <protection hidden="1"/>
    </xf>
    <xf numFmtId="175" fontId="25" fillId="60" borderId="63" xfId="1" applyNumberFormat="1" applyFont="1" applyFill="1" applyBorder="1" applyAlignment="1">
      <alignment horizontal="center"/>
    </xf>
    <xf numFmtId="175" fontId="25" fillId="60" borderId="64" xfId="1" applyNumberFormat="1" applyFont="1" applyFill="1" applyBorder="1" applyAlignment="1">
      <alignment horizontal="center"/>
    </xf>
    <xf numFmtId="175" fontId="25" fillId="60" borderId="528" xfId="1" applyNumberFormat="1" applyFont="1" applyFill="1" applyBorder="1" applyAlignment="1">
      <alignment horizontal="center"/>
    </xf>
    <xf numFmtId="175" fontId="25" fillId="60" borderId="140" xfId="1" applyNumberFormat="1" applyFont="1" applyFill="1" applyBorder="1" applyAlignment="1">
      <alignment horizontal="center"/>
    </xf>
    <xf numFmtId="175" fontId="25" fillId="60" borderId="560" xfId="1" applyNumberFormat="1" applyFont="1" applyFill="1" applyBorder="1" applyAlignment="1">
      <alignment horizontal="center"/>
    </xf>
    <xf numFmtId="175" fontId="10" fillId="9" borderId="53" xfId="1" applyNumberFormat="1" applyFont="1" applyFill="1" applyBorder="1" applyAlignment="1">
      <alignment horizontal="center"/>
    </xf>
    <xf numFmtId="175" fontId="10" fillId="9" borderId="54" xfId="1" applyNumberFormat="1" applyFont="1" applyFill="1" applyBorder="1" applyAlignment="1">
      <alignment horizontal="center"/>
    </xf>
    <xf numFmtId="175" fontId="25" fillId="59" borderId="22" xfId="1" applyNumberFormat="1" applyFont="1" applyFill="1" applyBorder="1" applyAlignment="1">
      <alignment horizontal="center"/>
    </xf>
    <xf numFmtId="175" fontId="25" fillId="59" borderId="30" xfId="1" applyNumberFormat="1" applyFont="1" applyFill="1" applyBorder="1" applyAlignment="1">
      <alignment horizontal="center"/>
    </xf>
    <xf numFmtId="175" fontId="25" fillId="59" borderId="64" xfId="1" applyNumberFormat="1" applyFont="1" applyFill="1" applyBorder="1" applyAlignment="1">
      <alignment horizontal="center"/>
    </xf>
    <xf numFmtId="175" fontId="25" fillId="59" borderId="553" xfId="1" applyNumberFormat="1" applyFont="1" applyFill="1" applyBorder="1" applyAlignment="1">
      <alignment horizontal="center"/>
    </xf>
    <xf numFmtId="175" fontId="10" fillId="9" borderId="64" xfId="1" applyNumberFormat="1" applyFont="1" applyFill="1" applyBorder="1" applyAlignment="1">
      <alignment horizontal="center"/>
    </xf>
    <xf numFmtId="175" fontId="10" fillId="9" borderId="553" xfId="1" applyNumberFormat="1" applyFont="1" applyFill="1" applyBorder="1" applyAlignment="1">
      <alignment horizontal="center"/>
    </xf>
    <xf numFmtId="175" fontId="10" fillId="9" borderId="24" xfId="1" applyNumberFormat="1" applyFont="1" applyFill="1" applyBorder="1" applyAlignment="1">
      <alignment horizontal="center"/>
    </xf>
    <xf numFmtId="175" fontId="10" fillId="9" borderId="32" xfId="1" applyNumberFormat="1" applyFont="1" applyFill="1" applyBorder="1" applyAlignment="1">
      <alignment horizontal="center"/>
    </xf>
    <xf numFmtId="175" fontId="10" fillId="9" borderId="66" xfId="1" applyNumberFormat="1" applyFont="1" applyFill="1" applyBorder="1" applyAlignment="1">
      <alignment horizontal="center"/>
    </xf>
    <xf numFmtId="175" fontId="10" fillId="9" borderId="555" xfId="1" applyNumberFormat="1" applyFont="1" applyFill="1" applyBorder="1" applyAlignment="1">
      <alignment horizontal="center"/>
    </xf>
    <xf numFmtId="175" fontId="10" fillId="9" borderId="549" xfId="1" applyNumberFormat="1" applyFont="1" applyFill="1" applyBorder="1" applyAlignment="1">
      <alignment horizontal="center"/>
    </xf>
    <xf numFmtId="175" fontId="10" fillId="9" borderId="556" xfId="1" applyNumberFormat="1" applyFont="1" applyFill="1" applyBorder="1" applyAlignment="1">
      <alignment horizontal="center"/>
    </xf>
    <xf numFmtId="175" fontId="10" fillId="9" borderId="63" xfId="1" applyNumberFormat="1" applyFont="1" applyFill="1" applyBorder="1" applyAlignment="1">
      <alignment horizontal="center"/>
    </xf>
    <xf numFmtId="175" fontId="10" fillId="9" borderId="552" xfId="1" applyNumberFormat="1" applyFont="1" applyFill="1" applyBorder="1" applyAlignment="1">
      <alignment horizontal="center"/>
    </xf>
    <xf numFmtId="175" fontId="10" fillId="9" borderId="50" xfId="1" applyNumberFormat="1" applyFont="1" applyFill="1" applyBorder="1" applyAlignment="1">
      <alignment horizontal="center"/>
    </xf>
    <xf numFmtId="175" fontId="10" fillId="9" borderId="51" xfId="1" applyNumberFormat="1" applyFont="1" applyFill="1" applyBorder="1" applyAlignment="1">
      <alignment horizontal="center"/>
    </xf>
    <xf numFmtId="175" fontId="10" fillId="9" borderId="550" xfId="1" applyNumberFormat="1" applyFont="1" applyFill="1" applyBorder="1" applyAlignment="1">
      <alignment horizontal="center"/>
    </xf>
    <xf numFmtId="175" fontId="10" fillId="9" borderId="557" xfId="1" applyNumberFormat="1" applyFont="1" applyFill="1" applyBorder="1" applyAlignment="1">
      <alignment horizontal="center"/>
    </xf>
    <xf numFmtId="175" fontId="10" fillId="9" borderId="460" xfId="0" quotePrefix="1" applyNumberFormat="1" applyFont="1" applyFill="1" applyBorder="1" applyAlignment="1" applyProtection="1">
      <alignment horizontal="center" vertical="center"/>
      <protection hidden="1"/>
    </xf>
    <xf numFmtId="175" fontId="10" fillId="9" borderId="204" xfId="0" quotePrefix="1" applyNumberFormat="1" applyFont="1" applyFill="1" applyBorder="1" applyAlignment="1" applyProtection="1">
      <alignment horizontal="center" vertical="center"/>
      <protection hidden="1"/>
    </xf>
    <xf numFmtId="175" fontId="10" fillId="9" borderId="461" xfId="0" quotePrefix="1" applyNumberFormat="1" applyFont="1" applyFill="1" applyBorder="1" applyAlignment="1" applyProtection="1">
      <alignment horizontal="center" vertical="center"/>
      <protection hidden="1"/>
    </xf>
    <xf numFmtId="175" fontId="10" fillId="0" borderId="458" xfId="0" quotePrefix="1" applyNumberFormat="1" applyFont="1" applyBorder="1" applyAlignment="1" applyProtection="1">
      <alignment horizontal="center" vertical="center"/>
      <protection hidden="1"/>
    </xf>
    <xf numFmtId="175" fontId="10" fillId="0" borderId="205" xfId="0" quotePrefix="1" applyNumberFormat="1" applyFont="1" applyBorder="1" applyAlignment="1" applyProtection="1">
      <alignment horizontal="center" vertical="center"/>
      <protection hidden="1"/>
    </xf>
    <xf numFmtId="175" fontId="10" fillId="0" borderId="459" xfId="0" quotePrefix="1" applyNumberFormat="1" applyFont="1" applyBorder="1" applyAlignment="1" applyProtection="1">
      <alignment horizontal="center" vertical="center"/>
      <protection hidden="1"/>
    </xf>
    <xf numFmtId="175" fontId="10" fillId="9" borderId="458" xfId="0" quotePrefix="1" applyNumberFormat="1" applyFont="1" applyFill="1" applyBorder="1" applyAlignment="1" applyProtection="1">
      <alignment horizontal="center" vertical="center"/>
      <protection hidden="1"/>
    </xf>
    <xf numFmtId="175" fontId="10" fillId="9" borderId="205" xfId="0" quotePrefix="1" applyNumberFormat="1" applyFont="1" applyFill="1" applyBorder="1" applyAlignment="1" applyProtection="1">
      <alignment horizontal="center" vertical="center"/>
      <protection hidden="1"/>
    </xf>
    <xf numFmtId="175" fontId="10" fillId="9" borderId="459" xfId="0" quotePrefix="1" applyNumberFormat="1" applyFont="1" applyFill="1" applyBorder="1" applyAlignment="1" applyProtection="1">
      <alignment horizontal="center" vertical="center"/>
      <protection hidden="1"/>
    </xf>
    <xf numFmtId="175" fontId="10" fillId="9" borderId="464" xfId="0" quotePrefix="1" applyNumberFormat="1" applyFont="1" applyFill="1" applyBorder="1" applyAlignment="1" applyProtection="1">
      <alignment horizontal="center" vertical="center"/>
      <protection hidden="1"/>
    </xf>
    <xf numFmtId="175" fontId="10" fillId="9" borderId="206" xfId="0" quotePrefix="1" applyNumberFormat="1" applyFont="1" applyFill="1" applyBorder="1" applyAlignment="1" applyProtection="1">
      <alignment horizontal="center" vertical="center"/>
      <protection hidden="1"/>
    </xf>
    <xf numFmtId="175" fontId="10" fillId="9" borderId="465" xfId="0" quotePrefix="1" applyNumberFormat="1" applyFont="1" applyFill="1" applyBorder="1" applyAlignment="1" applyProtection="1">
      <alignment horizontal="center" vertical="center"/>
      <protection hidden="1"/>
    </xf>
    <xf numFmtId="175" fontId="10" fillId="0" borderId="464" xfId="0" quotePrefix="1" applyNumberFormat="1" applyFont="1" applyBorder="1" applyAlignment="1" applyProtection="1">
      <alignment horizontal="center" vertical="center"/>
      <protection hidden="1"/>
    </xf>
    <xf numFmtId="175" fontId="10" fillId="0" borderId="206" xfId="0" quotePrefix="1" applyNumberFormat="1" applyFont="1" applyBorder="1" applyAlignment="1" applyProtection="1">
      <alignment horizontal="center" vertical="center"/>
      <protection hidden="1"/>
    </xf>
    <xf numFmtId="175" fontId="10" fillId="0" borderId="465" xfId="0" quotePrefix="1" applyNumberFormat="1" applyFont="1" applyBorder="1" applyAlignment="1" applyProtection="1">
      <alignment horizontal="center" vertical="center"/>
      <protection hidden="1"/>
    </xf>
    <xf numFmtId="175" fontId="10" fillId="0" borderId="460" xfId="0" quotePrefix="1" applyNumberFormat="1" applyFont="1" applyBorder="1" applyAlignment="1" applyProtection="1">
      <alignment horizontal="center" vertical="center"/>
      <protection hidden="1"/>
    </xf>
    <xf numFmtId="175" fontId="10" fillId="0" borderId="204" xfId="0" quotePrefix="1" applyNumberFormat="1" applyFont="1" applyBorder="1" applyAlignment="1" applyProtection="1">
      <alignment horizontal="center" vertical="center"/>
      <protection hidden="1"/>
    </xf>
    <xf numFmtId="175" fontId="10" fillId="0" borderId="461" xfId="0" quotePrefix="1" applyNumberFormat="1" applyFont="1" applyBorder="1" applyAlignment="1" applyProtection="1">
      <alignment horizontal="center" vertical="center"/>
      <protection hidden="1"/>
    </xf>
    <xf numFmtId="175" fontId="10" fillId="0" borderId="466" xfId="0" quotePrefix="1" applyNumberFormat="1" applyFont="1" applyBorder="1" applyAlignment="1" applyProtection="1">
      <alignment horizontal="center" vertical="center"/>
      <protection hidden="1"/>
    </xf>
    <xf numFmtId="175" fontId="10" fillId="0" borderId="252" xfId="0" quotePrefix="1" applyNumberFormat="1" applyFont="1" applyBorder="1" applyAlignment="1" applyProtection="1">
      <alignment horizontal="center" vertical="center"/>
      <protection hidden="1"/>
    </xf>
    <xf numFmtId="175" fontId="10" fillId="0" borderId="467" xfId="0" quotePrefix="1" applyNumberFormat="1" applyFont="1" applyBorder="1" applyAlignment="1" applyProtection="1">
      <alignment horizontal="center" vertical="center"/>
      <protection hidden="1"/>
    </xf>
    <xf numFmtId="175" fontId="10" fillId="0" borderId="252" xfId="0" applyNumberFormat="1" applyFont="1" applyBorder="1" applyAlignment="1" applyProtection="1">
      <alignment horizontal="center" vertical="center"/>
      <protection hidden="1"/>
    </xf>
    <xf numFmtId="175" fontId="10" fillId="0" borderId="467" xfId="0" applyNumberFormat="1" applyFont="1" applyBorder="1" applyAlignment="1" applyProtection="1">
      <alignment horizontal="center" vertical="center"/>
      <protection hidden="1"/>
    </xf>
    <xf numFmtId="175" fontId="10" fillId="0" borderId="468" xfId="0" quotePrefix="1" applyNumberFormat="1" applyFont="1" applyBorder="1" applyAlignment="1" applyProtection="1">
      <alignment horizontal="center" vertical="center"/>
      <protection hidden="1"/>
    </xf>
    <xf numFmtId="175" fontId="10" fillId="0" borderId="469" xfId="0" quotePrefix="1" applyNumberFormat="1" applyFont="1" applyBorder="1" applyAlignment="1" applyProtection="1">
      <alignment horizontal="center" vertical="center"/>
      <protection hidden="1"/>
    </xf>
    <xf numFmtId="175" fontId="10" fillId="0" borderId="470" xfId="0" quotePrefix="1" applyNumberFormat="1" applyFont="1" applyBorder="1" applyAlignment="1" applyProtection="1">
      <alignment horizontal="center" vertical="center"/>
      <protection hidden="1"/>
    </xf>
    <xf numFmtId="175" fontId="10" fillId="9" borderId="472" xfId="0" quotePrefix="1" applyNumberFormat="1" applyFont="1" applyFill="1" applyBorder="1" applyAlignment="1" applyProtection="1">
      <alignment horizontal="center" vertical="center"/>
      <protection hidden="1"/>
    </xf>
    <xf numFmtId="175" fontId="10" fillId="0" borderId="430" xfId="0" quotePrefix="1" applyNumberFormat="1" applyFont="1" applyBorder="1" applyAlignment="1" applyProtection="1">
      <alignment horizontal="center" vertical="center"/>
      <protection hidden="1"/>
    </xf>
    <xf numFmtId="175" fontId="10" fillId="9" borderId="430" xfId="0" quotePrefix="1" applyNumberFormat="1" applyFont="1" applyFill="1" applyBorder="1" applyAlignment="1" applyProtection="1">
      <alignment horizontal="center" vertical="center"/>
      <protection hidden="1"/>
    </xf>
    <xf numFmtId="175" fontId="10" fillId="9" borderId="473" xfId="0" quotePrefix="1" applyNumberFormat="1" applyFont="1" applyFill="1" applyBorder="1" applyAlignment="1" applyProtection="1">
      <alignment horizontal="center" vertical="center"/>
      <protection hidden="1"/>
    </xf>
    <xf numFmtId="175" fontId="10" fillId="0" borderId="473" xfId="0" quotePrefix="1" applyNumberFormat="1" applyFont="1" applyBorder="1" applyAlignment="1" applyProtection="1">
      <alignment horizontal="center" vertical="center"/>
      <protection hidden="1"/>
    </xf>
    <xf numFmtId="175" fontId="10" fillId="0" borderId="472" xfId="0" quotePrefix="1" applyNumberFormat="1" applyFont="1" applyBorder="1" applyAlignment="1" applyProtection="1">
      <alignment horizontal="center" vertical="center"/>
      <protection hidden="1"/>
    </xf>
    <xf numFmtId="175" fontId="10" fillId="0" borderId="474" xfId="0" quotePrefix="1" applyNumberFormat="1" applyFont="1" applyBorder="1" applyAlignment="1" applyProtection="1">
      <alignment horizontal="center" vertical="center"/>
      <protection hidden="1"/>
    </xf>
    <xf numFmtId="175" fontId="10" fillId="0" borderId="475" xfId="0" quotePrefix="1" applyNumberFormat="1" applyFont="1" applyBorder="1" applyAlignment="1" applyProtection="1">
      <alignment horizontal="center" vertical="center"/>
      <protection hidden="1"/>
    </xf>
    <xf numFmtId="175" fontId="10" fillId="9" borderId="106" xfId="0" applyNumberFormat="1" applyFont="1" applyFill="1" applyBorder="1" applyAlignment="1" applyProtection="1">
      <alignment horizontal="center" vertical="center"/>
      <protection hidden="1"/>
    </xf>
    <xf numFmtId="175" fontId="10" fillId="9" borderId="204" xfId="0" applyNumberFormat="1" applyFont="1" applyFill="1" applyBorder="1" applyAlignment="1" applyProtection="1">
      <alignment horizontal="center" vertical="center"/>
      <protection hidden="1"/>
    </xf>
    <xf numFmtId="175" fontId="10" fillId="9" borderId="204" xfId="5" applyNumberFormat="1" applyFont="1" applyFill="1" applyBorder="1" applyAlignment="1" applyProtection="1">
      <alignment horizontal="center" vertical="center"/>
      <protection hidden="1"/>
    </xf>
    <xf numFmtId="175" fontId="10" fillId="9" borderId="116" xfId="5" applyNumberFormat="1" applyFont="1" applyFill="1" applyBorder="1" applyAlignment="1" applyProtection="1">
      <alignment horizontal="center" vertical="center"/>
      <protection hidden="1"/>
    </xf>
    <xf numFmtId="175" fontId="10" fillId="9" borderId="69" xfId="0" applyNumberFormat="1" applyFont="1" applyFill="1" applyBorder="1" applyAlignment="1" applyProtection="1">
      <alignment horizontal="center" vertical="center"/>
      <protection hidden="1"/>
    </xf>
    <xf numFmtId="175" fontId="10" fillId="9" borderId="258" xfId="0" applyNumberFormat="1" applyFont="1" applyFill="1" applyBorder="1" applyAlignment="1" applyProtection="1">
      <alignment horizontal="center" vertical="center"/>
      <protection hidden="1"/>
    </xf>
    <xf numFmtId="175" fontId="10" fillId="9" borderId="258" xfId="5" applyNumberFormat="1" applyFont="1" applyFill="1" applyBorder="1" applyAlignment="1" applyProtection="1">
      <alignment horizontal="center" vertical="center"/>
      <protection hidden="1"/>
    </xf>
    <xf numFmtId="175" fontId="10" fillId="9" borderId="256" xfId="5" applyNumberFormat="1" applyFont="1" applyFill="1" applyBorder="1" applyAlignment="1" applyProtection="1">
      <alignment horizontal="center" vertical="center"/>
      <protection hidden="1"/>
    </xf>
    <xf numFmtId="175" fontId="10" fillId="9" borderId="65" xfId="5" applyNumberFormat="1" applyFont="1" applyFill="1" applyBorder="1" applyAlignment="1" applyProtection="1">
      <alignment horizontal="center" vertical="center"/>
      <protection hidden="1"/>
    </xf>
    <xf numFmtId="175" fontId="10" fillId="9" borderId="205" xfId="5" applyNumberFormat="1" applyFont="1" applyFill="1" applyBorder="1" applyAlignment="1" applyProtection="1">
      <alignment horizontal="center" vertical="center"/>
      <protection hidden="1"/>
    </xf>
    <xf numFmtId="175" fontId="10" fillId="9" borderId="117" xfId="5" applyNumberFormat="1" applyFont="1" applyFill="1" applyBorder="1" applyAlignment="1" applyProtection="1">
      <alignment horizontal="center" vertical="center"/>
      <protection hidden="1"/>
    </xf>
    <xf numFmtId="175" fontId="10" fillId="9" borderId="106" xfId="0" quotePrefix="1" applyNumberFormat="1" applyFont="1" applyFill="1" applyBorder="1" applyAlignment="1" applyProtection="1">
      <alignment horizontal="center" vertical="center"/>
      <protection hidden="1"/>
    </xf>
    <xf numFmtId="175" fontId="10" fillId="9" borderId="116" xfId="0" quotePrefix="1" applyNumberFormat="1" applyFont="1" applyFill="1" applyBorder="1" applyAlignment="1" applyProtection="1">
      <alignment horizontal="center" vertical="center"/>
      <protection hidden="1"/>
    </xf>
    <xf numFmtId="175" fontId="10" fillId="9" borderId="65" xfId="0" quotePrefix="1" applyNumberFormat="1" applyFont="1" applyFill="1" applyBorder="1" applyAlignment="1" applyProtection="1">
      <alignment horizontal="center" vertical="center"/>
      <protection hidden="1"/>
    </xf>
    <xf numFmtId="175" fontId="10" fillId="9" borderId="117" xfId="0" quotePrefix="1" applyNumberFormat="1" applyFont="1" applyFill="1" applyBorder="1" applyAlignment="1" applyProtection="1">
      <alignment horizontal="center" vertical="center"/>
      <protection hidden="1"/>
    </xf>
    <xf numFmtId="175" fontId="10" fillId="9" borderId="115" xfId="0" quotePrefix="1" applyNumberFormat="1" applyFont="1" applyFill="1" applyBorder="1" applyAlignment="1" applyProtection="1">
      <alignment horizontal="center" vertical="center"/>
      <protection hidden="1"/>
    </xf>
    <xf numFmtId="175" fontId="10" fillId="9" borderId="118" xfId="0" quotePrefix="1" applyNumberFormat="1" applyFont="1" applyFill="1" applyBorder="1" applyAlignment="1" applyProtection="1">
      <alignment horizontal="center" vertical="center"/>
      <protection hidden="1"/>
    </xf>
    <xf numFmtId="175" fontId="10" fillId="0" borderId="106" xfId="0" quotePrefix="1" applyNumberFormat="1" applyFont="1" applyBorder="1" applyAlignment="1" applyProtection="1">
      <alignment horizontal="center" vertical="center"/>
      <protection hidden="1"/>
    </xf>
    <xf numFmtId="175" fontId="10" fillId="0" borderId="116" xfId="0" quotePrefix="1" applyNumberFormat="1" applyFont="1" applyBorder="1" applyAlignment="1" applyProtection="1">
      <alignment horizontal="center" vertical="center"/>
      <protection hidden="1"/>
    </xf>
    <xf numFmtId="175" fontId="10" fillId="9" borderId="432" xfId="0" quotePrefix="1" applyNumberFormat="1" applyFont="1" applyFill="1" applyBorder="1" applyAlignment="1" applyProtection="1">
      <alignment horizontal="center" vertical="center"/>
      <protection hidden="1"/>
    </xf>
    <xf numFmtId="175" fontId="10" fillId="9" borderId="165" xfId="0" quotePrefix="1" applyNumberFormat="1" applyFont="1" applyFill="1" applyBorder="1" applyAlignment="1" applyProtection="1">
      <alignment horizontal="center" vertical="center"/>
      <protection hidden="1"/>
    </xf>
    <xf numFmtId="175" fontId="10" fillId="9" borderId="69" xfId="0" quotePrefix="1" applyNumberFormat="1" applyFont="1" applyFill="1" applyBorder="1" applyAlignment="1" applyProtection="1">
      <alignment horizontal="center" vertical="center"/>
      <protection hidden="1"/>
    </xf>
    <xf numFmtId="175" fontId="10" fillId="9" borderId="258" xfId="0" quotePrefix="1" applyNumberFormat="1" applyFont="1" applyFill="1" applyBorder="1" applyAlignment="1" applyProtection="1">
      <alignment horizontal="center" vertical="center"/>
      <protection hidden="1"/>
    </xf>
    <xf numFmtId="175" fontId="10" fillId="9" borderId="256" xfId="0" quotePrefix="1" applyNumberFormat="1" applyFont="1" applyFill="1" applyBorder="1" applyAlignment="1" applyProtection="1">
      <alignment horizontal="center" vertical="center"/>
      <protection hidden="1"/>
    </xf>
    <xf numFmtId="175" fontId="10" fillId="0" borderId="65" xfId="0" quotePrefix="1" applyNumberFormat="1" applyFont="1" applyBorder="1" applyAlignment="1" applyProtection="1">
      <alignment horizontal="center" vertical="center"/>
      <protection hidden="1"/>
    </xf>
    <xf numFmtId="175" fontId="10" fillId="0" borderId="117" xfId="0" quotePrefix="1" applyNumberFormat="1" applyFont="1" applyBorder="1" applyAlignment="1" applyProtection="1">
      <alignment horizontal="center" vertical="center"/>
      <protection hidden="1"/>
    </xf>
    <xf numFmtId="175" fontId="10" fillId="0" borderId="115" xfId="0" quotePrefix="1" applyNumberFormat="1" applyFont="1" applyBorder="1" applyAlignment="1" applyProtection="1">
      <alignment horizontal="center" vertical="center"/>
      <protection hidden="1"/>
    </xf>
    <xf numFmtId="175" fontId="10" fillId="0" borderId="118" xfId="0" quotePrefix="1" applyNumberFormat="1" applyFont="1" applyBorder="1" applyAlignment="1" applyProtection="1">
      <alignment horizontal="center" vertical="center"/>
      <protection hidden="1"/>
    </xf>
    <xf numFmtId="175" fontId="10" fillId="0" borderId="77" xfId="0" quotePrefix="1" applyNumberFormat="1" applyFont="1" applyBorder="1" applyAlignment="1" applyProtection="1">
      <alignment horizontal="center" vertical="center"/>
      <protection hidden="1"/>
    </xf>
    <xf numFmtId="175" fontId="10" fillId="0" borderId="78" xfId="0" quotePrefix="1" applyNumberFormat="1" applyFont="1" applyBorder="1" applyAlignment="1" applyProtection="1">
      <alignment horizontal="center" vertical="center"/>
      <protection hidden="1"/>
    </xf>
    <xf numFmtId="175" fontId="10" fillId="0" borderId="78" xfId="0" applyNumberFormat="1" applyFont="1" applyBorder="1" applyAlignment="1" applyProtection="1">
      <alignment horizontal="center" vertical="center"/>
      <protection hidden="1"/>
    </xf>
    <xf numFmtId="175" fontId="10" fillId="9" borderId="206" xfId="0" applyNumberFormat="1" applyFont="1" applyFill="1" applyBorder="1" applyAlignment="1" applyProtection="1">
      <alignment horizontal="center" vertical="center"/>
      <protection hidden="1"/>
    </xf>
    <xf numFmtId="175" fontId="10" fillId="9" borderId="116" xfId="0" applyNumberFormat="1" applyFont="1" applyFill="1" applyBorder="1" applyAlignment="1" applyProtection="1">
      <alignment horizontal="center" vertical="center"/>
      <protection hidden="1"/>
    </xf>
    <xf numFmtId="175" fontId="10" fillId="9" borderId="115" xfId="0" applyNumberFormat="1" applyFont="1" applyFill="1" applyBorder="1" applyAlignment="1" applyProtection="1">
      <alignment horizontal="center" vertical="center"/>
      <protection hidden="1"/>
    </xf>
    <xf numFmtId="175" fontId="10" fillId="9" borderId="118" xfId="0" applyNumberFormat="1" applyFont="1" applyFill="1" applyBorder="1" applyAlignment="1" applyProtection="1">
      <alignment horizontal="center" vertical="center"/>
      <protection hidden="1"/>
    </xf>
    <xf numFmtId="175" fontId="10" fillId="9" borderId="77" xfId="0" applyNumberFormat="1" applyFont="1" applyFill="1" applyBorder="1" applyAlignment="1" applyProtection="1">
      <alignment horizontal="center" vertical="center"/>
      <protection hidden="1"/>
    </xf>
    <xf numFmtId="175" fontId="10" fillId="9" borderId="252" xfId="0" applyNumberFormat="1" applyFont="1" applyFill="1" applyBorder="1" applyAlignment="1" applyProtection="1">
      <alignment horizontal="center" vertical="center"/>
      <protection hidden="1"/>
    </xf>
    <xf numFmtId="175" fontId="10" fillId="9" borderId="78" xfId="0" applyNumberFormat="1" applyFont="1" applyFill="1" applyBorder="1" applyAlignment="1" applyProtection="1">
      <alignment horizontal="center" vertical="center"/>
      <protection hidden="1"/>
    </xf>
    <xf numFmtId="175" fontId="10" fillId="9" borderId="300" xfId="0" applyNumberFormat="1" applyFont="1" applyFill="1" applyBorder="1" applyAlignment="1" applyProtection="1">
      <alignment horizontal="center" vertical="center"/>
      <protection hidden="1"/>
    </xf>
    <xf numFmtId="175" fontId="10" fillId="9" borderId="301" xfId="0" applyNumberFormat="1" applyFont="1" applyFill="1" applyBorder="1" applyAlignment="1" applyProtection="1">
      <alignment horizontal="center" vertical="center"/>
      <protection hidden="1"/>
    </xf>
    <xf numFmtId="175" fontId="10" fillId="9" borderId="304" xfId="0" applyNumberFormat="1" applyFont="1" applyFill="1" applyBorder="1" applyAlignment="1" applyProtection="1">
      <alignment horizontal="center" vertical="center"/>
      <protection hidden="1"/>
    </xf>
    <xf numFmtId="175" fontId="10" fillId="9" borderId="126" xfId="0" applyNumberFormat="1" applyFont="1" applyFill="1" applyBorder="1" applyAlignment="1" applyProtection="1">
      <alignment horizontal="center" vertical="center"/>
      <protection hidden="1"/>
    </xf>
    <xf numFmtId="175" fontId="10" fillId="9" borderId="77" xfId="0" quotePrefix="1" applyNumberFormat="1" applyFont="1" applyFill="1" applyBorder="1" applyAlignment="1" applyProtection="1">
      <alignment horizontal="center" vertical="center"/>
      <protection hidden="1"/>
    </xf>
    <xf numFmtId="175" fontId="10" fillId="9" borderId="252" xfId="0" quotePrefix="1" applyNumberFormat="1" applyFont="1" applyFill="1" applyBorder="1" applyAlignment="1" applyProtection="1">
      <alignment horizontal="center" vertical="center"/>
      <protection hidden="1"/>
    </xf>
    <xf numFmtId="175" fontId="10" fillId="9" borderId="479" xfId="0" quotePrefix="1" applyNumberFormat="1" applyFont="1" applyFill="1" applyBorder="1" applyAlignment="1" applyProtection="1">
      <alignment horizontal="center" vertical="center"/>
      <protection hidden="1"/>
    </xf>
    <xf numFmtId="175" fontId="10" fillId="9" borderId="181" xfId="0" quotePrefix="1" applyNumberFormat="1" applyFont="1" applyFill="1" applyBorder="1" applyAlignment="1" applyProtection="1">
      <alignment horizontal="center" vertical="center"/>
      <protection hidden="1"/>
    </xf>
    <xf numFmtId="175" fontId="10" fillId="9" borderId="259" xfId="0" quotePrefix="1" applyNumberFormat="1" applyFont="1" applyFill="1" applyBorder="1" applyAlignment="1" applyProtection="1">
      <alignment horizontal="center" vertical="center"/>
      <protection hidden="1"/>
    </xf>
    <xf numFmtId="175" fontId="10" fillId="9" borderId="410" xfId="0" quotePrefix="1" applyNumberFormat="1" applyFont="1" applyFill="1" applyBorder="1" applyAlignment="1" applyProtection="1">
      <alignment horizontal="center" vertical="center"/>
      <protection hidden="1"/>
    </xf>
    <xf numFmtId="175" fontId="10" fillId="9" borderId="126" xfId="0" quotePrefix="1" applyNumberFormat="1" applyFont="1" applyFill="1" applyBorder="1" applyAlignment="1" applyProtection="1">
      <alignment horizontal="center" vertical="center"/>
      <protection hidden="1"/>
    </xf>
    <xf numFmtId="175" fontId="10" fillId="9" borderId="260" xfId="0" quotePrefix="1" applyNumberFormat="1" applyFont="1" applyFill="1" applyBorder="1" applyAlignment="1" applyProtection="1">
      <alignment horizontal="center" vertical="center"/>
      <protection hidden="1"/>
    </xf>
    <xf numFmtId="175" fontId="10" fillId="9" borderId="477" xfId="0" quotePrefix="1" applyNumberFormat="1" applyFont="1" applyFill="1" applyBorder="1" applyAlignment="1" applyProtection="1">
      <alignment horizontal="center" vertical="center"/>
      <protection hidden="1"/>
    </xf>
    <xf numFmtId="175" fontId="10" fillId="9" borderId="478" xfId="0" quotePrefix="1" applyNumberFormat="1" applyFont="1" applyFill="1" applyBorder="1" applyAlignment="1" applyProtection="1">
      <alignment horizontal="center" vertical="center"/>
      <protection hidden="1"/>
    </xf>
    <xf numFmtId="175" fontId="10" fillId="9" borderId="479" xfId="0" applyNumberFormat="1" applyFont="1" applyFill="1" applyBorder="1" applyAlignment="1" applyProtection="1">
      <alignment horizontal="center" vertical="center"/>
      <protection hidden="1"/>
    </xf>
    <xf numFmtId="175" fontId="10" fillId="9" borderId="181" xfId="0" applyNumberFormat="1" applyFont="1" applyFill="1" applyBorder="1" applyAlignment="1" applyProtection="1">
      <alignment horizontal="center" vertical="center"/>
      <protection hidden="1"/>
    </xf>
    <xf numFmtId="175" fontId="10" fillId="9" borderId="259" xfId="0" applyNumberFormat="1" applyFont="1" applyFill="1" applyBorder="1" applyAlignment="1" applyProtection="1">
      <alignment horizontal="center" vertical="center"/>
      <protection hidden="1"/>
    </xf>
    <xf numFmtId="175" fontId="10" fillId="9" borderId="410" xfId="0" applyNumberFormat="1" applyFont="1" applyFill="1" applyBorder="1" applyAlignment="1" applyProtection="1">
      <alignment horizontal="center" vertical="center"/>
      <protection hidden="1"/>
    </xf>
    <xf numFmtId="175" fontId="10" fillId="9" borderId="260" xfId="0" applyNumberFormat="1" applyFont="1" applyFill="1" applyBorder="1" applyAlignment="1" applyProtection="1">
      <alignment horizontal="center" vertical="center"/>
      <protection hidden="1"/>
    </xf>
    <xf numFmtId="175" fontId="10" fillId="9" borderId="477" xfId="0" applyNumberFormat="1" applyFont="1" applyFill="1" applyBorder="1" applyAlignment="1" applyProtection="1">
      <alignment horizontal="center" vertical="center"/>
      <protection hidden="1"/>
    </xf>
    <xf numFmtId="175" fontId="10" fillId="9" borderId="165" xfId="0" applyNumberFormat="1" applyFont="1" applyFill="1" applyBorder="1" applyAlignment="1" applyProtection="1">
      <alignment horizontal="center" vertical="center"/>
      <protection hidden="1"/>
    </xf>
    <xf numFmtId="175" fontId="10" fillId="9" borderId="478" xfId="0" applyNumberFormat="1" applyFont="1" applyFill="1" applyBorder="1" applyAlignment="1" applyProtection="1">
      <alignment horizontal="center" vertical="center"/>
      <protection hidden="1"/>
    </xf>
    <xf numFmtId="175" fontId="10" fillId="9" borderId="480" xfId="0" quotePrefix="1" applyNumberFormat="1" applyFont="1" applyFill="1" applyBorder="1" applyAlignment="1" applyProtection="1">
      <alignment horizontal="center" vertical="center"/>
      <protection hidden="1"/>
    </xf>
    <xf numFmtId="175" fontId="10" fillId="9" borderId="474" xfId="0" quotePrefix="1" applyNumberFormat="1" applyFont="1" applyFill="1" applyBorder="1" applyAlignment="1" applyProtection="1">
      <alignment horizontal="center" vertical="center"/>
      <protection hidden="1"/>
    </xf>
    <xf numFmtId="175" fontId="10" fillId="9" borderId="474" xfId="0" applyNumberFormat="1" applyFont="1" applyFill="1" applyBorder="1" applyAlignment="1" applyProtection="1">
      <alignment horizontal="center" vertical="center"/>
      <protection hidden="1"/>
    </xf>
    <xf numFmtId="175" fontId="10" fillId="9" borderId="480" xfId="0" applyNumberFormat="1" applyFont="1" applyFill="1" applyBorder="1" applyAlignment="1" applyProtection="1">
      <alignment horizontal="center" vertical="center"/>
      <protection hidden="1"/>
    </xf>
    <xf numFmtId="175" fontId="10" fillId="9" borderId="411" xfId="0" quotePrefix="1" applyNumberFormat="1" applyFont="1" applyFill="1" applyBorder="1" applyAlignment="1" applyProtection="1">
      <alignment horizontal="center" vertical="center"/>
      <protection hidden="1"/>
    </xf>
    <xf numFmtId="175" fontId="10" fillId="9" borderId="412" xfId="0" quotePrefix="1" applyNumberFormat="1" applyFont="1" applyFill="1" applyBorder="1" applyAlignment="1" applyProtection="1">
      <alignment horizontal="center" vertical="center"/>
      <protection hidden="1"/>
    </xf>
    <xf numFmtId="175" fontId="10" fillId="9" borderId="413" xfId="0" quotePrefix="1" applyNumberFormat="1" applyFont="1" applyFill="1" applyBorder="1" applyAlignment="1" applyProtection="1">
      <alignment horizontal="center" vertical="center"/>
      <protection hidden="1"/>
    </xf>
    <xf numFmtId="175" fontId="10" fillId="9" borderId="547" xfId="0" quotePrefix="1" applyNumberFormat="1" applyFont="1" applyFill="1" applyBorder="1" applyAlignment="1" applyProtection="1">
      <alignment horizontal="center" vertical="center"/>
      <protection hidden="1"/>
    </xf>
    <xf numFmtId="175" fontId="10" fillId="9" borderId="182" xfId="0" quotePrefix="1" applyNumberFormat="1" applyFont="1" applyFill="1" applyBorder="1" applyAlignment="1" applyProtection="1">
      <alignment horizontal="center" vertical="center"/>
      <protection hidden="1"/>
    </xf>
    <xf numFmtId="175" fontId="10" fillId="9" borderId="293" xfId="0" quotePrefix="1" applyNumberFormat="1" applyFont="1" applyFill="1" applyBorder="1" applyAlignment="1" applyProtection="1">
      <alignment horizontal="center" vertical="center"/>
      <protection hidden="1"/>
    </xf>
    <xf numFmtId="175" fontId="10" fillId="9" borderId="144" xfId="0" quotePrefix="1" applyNumberFormat="1" applyFont="1" applyFill="1" applyBorder="1" applyAlignment="1" applyProtection="1">
      <alignment horizontal="center" vertical="center"/>
      <protection hidden="1"/>
    </xf>
    <xf numFmtId="175" fontId="10" fillId="9" borderId="447" xfId="0" quotePrefix="1" applyNumberFormat="1" applyFont="1" applyFill="1" applyBorder="1" applyAlignment="1" applyProtection="1">
      <alignment horizontal="center" vertical="center"/>
      <protection hidden="1"/>
    </xf>
    <xf numFmtId="175" fontId="10" fillId="9" borderId="522" xfId="0" quotePrefix="1" applyNumberFormat="1" applyFont="1" applyFill="1" applyBorder="1" applyAlignment="1" applyProtection="1">
      <alignment horizontal="center" vertical="center"/>
      <protection hidden="1"/>
    </xf>
    <xf numFmtId="175" fontId="10" fillId="9" borderId="479" xfId="2" applyNumberFormat="1" applyFont="1" applyFill="1" applyBorder="1" applyAlignment="1" applyProtection="1">
      <alignment horizontal="center" vertical="center"/>
      <protection hidden="1"/>
    </xf>
    <xf numFmtId="175" fontId="10" fillId="9" borderId="181" xfId="2" applyNumberFormat="1" applyFont="1" applyFill="1" applyBorder="1" applyAlignment="1" applyProtection="1">
      <alignment horizontal="center" vertical="center"/>
      <protection hidden="1"/>
    </xf>
    <xf numFmtId="175" fontId="10" fillId="9" borderId="547" xfId="2" applyNumberFormat="1" applyFont="1" applyFill="1" applyBorder="1" applyAlignment="1" applyProtection="1">
      <alignment horizontal="center" vertical="center"/>
      <protection hidden="1"/>
    </xf>
    <xf numFmtId="175" fontId="10" fillId="9" borderId="182" xfId="2" applyNumberFormat="1" applyFont="1" applyFill="1" applyBorder="1" applyAlignment="1" applyProtection="1">
      <alignment horizontal="center" vertical="center"/>
      <protection hidden="1"/>
    </xf>
    <xf numFmtId="175" fontId="10" fillId="9" borderId="477" xfId="2" applyNumberFormat="1" applyFont="1" applyFill="1" applyBorder="1" applyAlignment="1" applyProtection="1">
      <alignment horizontal="center" vertical="center"/>
      <protection hidden="1"/>
    </xf>
    <xf numFmtId="175" fontId="10" fillId="9" borderId="165" xfId="2" applyNumberFormat="1" applyFont="1" applyFill="1" applyBorder="1" applyAlignment="1" applyProtection="1">
      <alignment horizontal="center" vertical="center"/>
      <protection hidden="1"/>
    </xf>
    <xf numFmtId="175" fontId="10" fillId="9" borderId="447" xfId="2" applyNumberFormat="1" applyFont="1" applyFill="1" applyBorder="1" applyAlignment="1" applyProtection="1">
      <alignment horizontal="center" vertical="center"/>
      <protection hidden="1"/>
    </xf>
    <xf numFmtId="175" fontId="10" fillId="9" borderId="522" xfId="2" applyNumberFormat="1" applyFont="1" applyFill="1" applyBorder="1" applyAlignment="1" applyProtection="1">
      <alignment horizontal="center" vertical="center"/>
      <protection hidden="1"/>
    </xf>
    <xf numFmtId="175" fontId="10" fillId="0" borderId="523" xfId="0" quotePrefix="1" applyNumberFormat="1" applyFont="1" applyBorder="1" applyAlignment="1" applyProtection="1">
      <alignment horizontal="center" vertical="center"/>
      <protection hidden="1"/>
    </xf>
    <xf numFmtId="175" fontId="10" fillId="9" borderId="554" xfId="2" applyNumberFormat="1" applyFont="1" applyFill="1" applyBorder="1" applyAlignment="1" applyProtection="1">
      <alignment horizontal="center" vertical="center"/>
      <protection hidden="1"/>
    </xf>
    <xf numFmtId="175" fontId="10" fillId="9" borderId="548" xfId="0" quotePrefix="1" applyNumberFormat="1" applyFont="1" applyFill="1" applyBorder="1" applyAlignment="1" applyProtection="1">
      <alignment horizontal="center" vertical="center"/>
      <protection hidden="1"/>
    </xf>
    <xf numFmtId="175" fontId="10" fillId="9" borderId="523" xfId="0" quotePrefix="1" applyNumberFormat="1" applyFont="1" applyFill="1" applyBorder="1" applyAlignment="1" applyProtection="1">
      <alignment horizontal="center" vertical="center"/>
      <protection hidden="1"/>
    </xf>
    <xf numFmtId="175" fontId="10" fillId="0" borderId="480" xfId="0" quotePrefix="1" applyNumberFormat="1" applyFont="1" applyBorder="1" applyAlignment="1" applyProtection="1">
      <alignment horizontal="center" vertical="center"/>
      <protection hidden="1"/>
    </xf>
    <xf numFmtId="175" fontId="10" fillId="0" borderId="548" xfId="0" quotePrefix="1" applyNumberFormat="1" applyFont="1" applyBorder="1" applyAlignment="1" applyProtection="1">
      <alignment horizontal="center" vertical="center"/>
      <protection hidden="1"/>
    </xf>
    <xf numFmtId="175" fontId="10" fillId="9" borderId="551" xfId="0" quotePrefix="1" applyNumberFormat="1" applyFont="1" applyFill="1" applyBorder="1" applyAlignment="1" applyProtection="1">
      <alignment horizontal="center" vertical="center"/>
      <protection hidden="1"/>
    </xf>
    <xf numFmtId="175" fontId="10" fillId="9" borderId="530" xfId="0" quotePrefix="1" applyNumberFormat="1" applyFont="1" applyFill="1" applyBorder="1" applyAlignment="1" applyProtection="1">
      <alignment horizontal="center" vertical="center"/>
      <protection hidden="1"/>
    </xf>
    <xf numFmtId="175" fontId="10" fillId="9" borderId="238" xfId="0" quotePrefix="1" applyNumberFormat="1" applyFont="1" applyFill="1" applyBorder="1" applyAlignment="1" applyProtection="1">
      <alignment horizontal="center" vertical="center"/>
      <protection hidden="1"/>
    </xf>
    <xf numFmtId="175" fontId="25" fillId="60" borderId="23" xfId="1" applyNumberFormat="1" applyFont="1" applyFill="1" applyBorder="1" applyAlignment="1">
      <alignment horizontal="center"/>
    </xf>
    <xf numFmtId="175" fontId="25" fillId="60" borderId="32" xfId="1" applyNumberFormat="1" applyFont="1" applyFill="1" applyBorder="1" applyAlignment="1">
      <alignment horizontal="center"/>
    </xf>
    <xf numFmtId="175" fontId="25" fillId="60" borderId="25" xfId="1" applyNumberFormat="1" applyFont="1" applyFill="1" applyBorder="1" applyAlignment="1">
      <alignment horizontal="center"/>
    </xf>
    <xf numFmtId="175" fontId="25" fillId="60" borderId="30" xfId="1" applyNumberFormat="1" applyFont="1" applyFill="1" applyBorder="1" applyAlignment="1">
      <alignment horizontal="center"/>
    </xf>
    <xf numFmtId="175" fontId="25" fillId="60" borderId="172" xfId="1" applyNumberFormat="1" applyFont="1" applyFill="1" applyBorder="1" applyAlignment="1">
      <alignment horizontal="center"/>
    </xf>
    <xf numFmtId="175" fontId="25" fillId="59" borderId="24" xfId="1" applyNumberFormat="1" applyFont="1" applyFill="1" applyBorder="1" applyAlignment="1">
      <alignment horizontal="center"/>
    </xf>
    <xf numFmtId="175" fontId="25" fillId="59" borderId="32" xfId="1" applyNumberFormat="1" applyFont="1" applyFill="1" applyBorder="1" applyAlignment="1">
      <alignment horizontal="center"/>
    </xf>
    <xf numFmtId="175" fontId="25" fillId="9" borderId="30" xfId="1" applyNumberFormat="1" applyFont="1" applyFill="1" applyBorder="1" applyAlignment="1">
      <alignment horizontal="center"/>
    </xf>
    <xf numFmtId="175" fontId="25" fillId="0" borderId="22" xfId="1" applyNumberFormat="1" applyFont="1" applyFill="1" applyBorder="1" applyAlignment="1">
      <alignment horizontal="center"/>
    </xf>
    <xf numFmtId="175" fontId="25" fillId="0" borderId="30" xfId="1" applyNumberFormat="1" applyFont="1" applyFill="1" applyBorder="1" applyAlignment="1">
      <alignment horizontal="center"/>
    </xf>
    <xf numFmtId="175" fontId="25" fillId="60" borderId="170" xfId="1" applyNumberFormat="1" applyFont="1" applyFill="1" applyBorder="1" applyAlignment="1">
      <alignment horizontal="center"/>
    </xf>
    <xf numFmtId="175" fontId="25" fillId="60" borderId="553" xfId="1" applyNumberFormat="1" applyFont="1" applyFill="1" applyBorder="1" applyAlignment="1">
      <alignment horizontal="center"/>
    </xf>
    <xf numFmtId="175" fontId="25" fillId="60" borderId="552" xfId="1" applyNumberFormat="1" applyFont="1" applyFill="1" applyBorder="1" applyAlignment="1">
      <alignment horizontal="center"/>
    </xf>
    <xf numFmtId="175" fontId="25" fillId="9" borderId="555" xfId="1" applyNumberFormat="1" applyFont="1" applyFill="1" applyBorder="1" applyAlignment="1">
      <alignment horizontal="center"/>
    </xf>
    <xf numFmtId="175" fontId="25" fillId="9" borderId="64" xfId="1" applyNumberFormat="1" applyFont="1" applyFill="1" applyBorder="1" applyAlignment="1">
      <alignment horizontal="center"/>
    </xf>
    <xf numFmtId="175" fontId="25" fillId="9" borderId="553" xfId="1" applyNumberFormat="1" applyFont="1" applyFill="1" applyBorder="1" applyAlignment="1">
      <alignment horizontal="center"/>
    </xf>
    <xf numFmtId="175" fontId="25" fillId="9" borderId="32" xfId="1" applyNumberFormat="1" applyFont="1" applyFill="1" applyBorder="1" applyAlignment="1">
      <alignment horizontal="center"/>
    </xf>
    <xf numFmtId="175" fontId="25" fillId="9" borderId="66" xfId="1" applyNumberFormat="1" applyFont="1" applyFill="1" applyBorder="1" applyAlignment="1">
      <alignment horizontal="center"/>
    </xf>
    <xf numFmtId="175" fontId="25" fillId="9" borderId="522" xfId="0" quotePrefix="1" applyNumberFormat="1" applyFont="1" applyFill="1" applyBorder="1" applyAlignment="1" applyProtection="1">
      <alignment horizontal="center" vertical="center"/>
      <protection hidden="1"/>
    </xf>
    <xf numFmtId="175" fontId="25" fillId="9" borderId="557" xfId="1" applyNumberFormat="1" applyFont="1" applyFill="1" applyBorder="1" applyAlignment="1">
      <alignment horizontal="center"/>
    </xf>
    <xf numFmtId="175" fontId="25" fillId="12" borderId="425" xfId="0" quotePrefix="1" applyNumberFormat="1" applyFont="1" applyFill="1" applyBorder="1" applyAlignment="1" applyProtection="1">
      <alignment horizontal="center" vertical="center"/>
      <protection hidden="1"/>
    </xf>
    <xf numFmtId="175" fontId="25" fillId="12" borderId="167" xfId="0" quotePrefix="1" applyNumberFormat="1" applyFont="1" applyFill="1" applyBorder="1" applyAlignment="1" applyProtection="1">
      <alignment horizontal="center" vertical="center"/>
      <protection hidden="1"/>
    </xf>
    <xf numFmtId="175" fontId="25" fillId="12" borderId="476" xfId="0" quotePrefix="1" applyNumberFormat="1" applyFont="1" applyFill="1" applyBorder="1" applyAlignment="1" applyProtection="1">
      <alignment horizontal="center" vertical="center"/>
      <protection hidden="1"/>
    </xf>
    <xf numFmtId="175" fontId="25" fillId="12" borderId="446" xfId="0" quotePrefix="1" applyNumberFormat="1" applyFont="1" applyFill="1" applyBorder="1" applyAlignment="1" applyProtection="1">
      <alignment horizontal="center" vertical="center"/>
      <protection hidden="1"/>
    </xf>
    <xf numFmtId="175" fontId="25" fillId="12" borderId="559" xfId="0" quotePrefix="1" applyNumberFormat="1" applyFont="1" applyFill="1" applyBorder="1" applyAlignment="1" applyProtection="1">
      <alignment horizontal="center" vertical="center"/>
      <protection hidden="1"/>
    </xf>
    <xf numFmtId="175" fontId="25" fillId="9" borderId="465" xfId="0" quotePrefix="1" applyNumberFormat="1" applyFont="1" applyFill="1" applyBorder="1" applyAlignment="1" applyProtection="1">
      <alignment horizontal="center" vertical="center"/>
      <protection hidden="1"/>
    </xf>
    <xf numFmtId="175" fontId="25" fillId="60" borderId="22" xfId="1" applyNumberFormat="1" applyFont="1" applyFill="1" applyBorder="1" applyAlignment="1">
      <alignment horizontal="center"/>
    </xf>
    <xf numFmtId="175" fontId="10" fillId="9" borderId="460" xfId="0" applyNumberFormat="1" applyFont="1" applyFill="1" applyBorder="1" applyAlignment="1" applyProtection="1">
      <alignment horizontal="center" vertical="center"/>
      <protection hidden="1"/>
    </xf>
    <xf numFmtId="175" fontId="10" fillId="9" borderId="461" xfId="0" applyNumberFormat="1" applyFont="1" applyFill="1" applyBorder="1" applyAlignment="1" applyProtection="1">
      <alignment horizontal="center" vertical="center"/>
      <protection hidden="1"/>
    </xf>
    <xf numFmtId="175" fontId="10" fillId="9" borderId="458" xfId="0" applyNumberFormat="1" applyFont="1" applyFill="1" applyBorder="1" applyAlignment="1" applyProtection="1">
      <alignment horizontal="center" vertical="center"/>
      <protection hidden="1"/>
    </xf>
    <xf numFmtId="175" fontId="10" fillId="9" borderId="459" xfId="0" applyNumberFormat="1" applyFont="1" applyFill="1" applyBorder="1" applyAlignment="1" applyProtection="1">
      <alignment horizontal="center" vertical="center"/>
      <protection hidden="1"/>
    </xf>
    <xf numFmtId="175" fontId="25" fillId="9" borderId="460" xfId="0" applyNumberFormat="1" applyFont="1" applyFill="1" applyBorder="1" applyAlignment="1" applyProtection="1">
      <alignment horizontal="center" vertical="center"/>
      <protection hidden="1"/>
    </xf>
    <xf numFmtId="175" fontId="25" fillId="9" borderId="204" xfId="0" applyNumberFormat="1" applyFont="1" applyFill="1" applyBorder="1" applyAlignment="1" applyProtection="1">
      <alignment horizontal="center" vertical="center"/>
      <protection hidden="1"/>
    </xf>
    <xf numFmtId="175" fontId="25" fillId="9" borderId="461" xfId="0" applyNumberFormat="1" applyFont="1" applyFill="1" applyBorder="1" applyAlignment="1" applyProtection="1">
      <alignment horizontal="center" vertical="center"/>
      <protection hidden="1"/>
    </xf>
    <xf numFmtId="175" fontId="10" fillId="9" borderId="464" xfId="0" applyNumberFormat="1" applyFont="1" applyFill="1" applyBorder="1" applyAlignment="1" applyProtection="1">
      <alignment horizontal="center" vertical="center"/>
      <protection hidden="1"/>
    </xf>
    <xf numFmtId="175" fontId="10" fillId="9" borderId="465" xfId="0" applyNumberFormat="1" applyFont="1" applyFill="1" applyBorder="1" applyAlignment="1" applyProtection="1">
      <alignment horizontal="center" vertical="center"/>
      <protection hidden="1"/>
    </xf>
    <xf numFmtId="175" fontId="10" fillId="9" borderId="466" xfId="0" applyNumberFormat="1" applyFont="1" applyFill="1" applyBorder="1" applyAlignment="1" applyProtection="1">
      <alignment horizontal="center" vertical="center"/>
      <protection hidden="1"/>
    </xf>
    <xf numFmtId="175" fontId="10" fillId="9" borderId="467" xfId="0" applyNumberFormat="1" applyFont="1" applyFill="1" applyBorder="1" applyAlignment="1" applyProtection="1">
      <alignment horizontal="center" vertical="center"/>
      <protection hidden="1"/>
    </xf>
    <xf numFmtId="175" fontId="10" fillId="9" borderId="462" xfId="0" quotePrefix="1" applyNumberFormat="1" applyFont="1" applyFill="1" applyBorder="1" applyAlignment="1" applyProtection="1">
      <alignment horizontal="center" vertical="center"/>
      <protection hidden="1"/>
    </xf>
    <xf numFmtId="175" fontId="10" fillId="9" borderId="463" xfId="0" quotePrefix="1" applyNumberFormat="1" applyFont="1" applyFill="1" applyBorder="1" applyAlignment="1" applyProtection="1">
      <alignment horizontal="center" vertical="center"/>
      <protection hidden="1"/>
    </xf>
    <xf numFmtId="175" fontId="25" fillId="0" borderId="465" xfId="0" applyNumberFormat="1" applyFont="1" applyBorder="1" applyAlignment="1" applyProtection="1">
      <alignment horizontal="center" vertical="center"/>
      <protection hidden="1"/>
    </xf>
    <xf numFmtId="175" fontId="25" fillId="0" borderId="458" xfId="0" applyNumberFormat="1" applyFont="1" applyBorder="1" applyAlignment="1" applyProtection="1">
      <alignment horizontal="center" vertical="center"/>
      <protection hidden="1"/>
    </xf>
    <xf numFmtId="175" fontId="25" fillId="0" borderId="459" xfId="0" applyNumberFormat="1" applyFont="1" applyBorder="1" applyAlignment="1" applyProtection="1">
      <alignment horizontal="center" vertical="center"/>
      <protection hidden="1"/>
    </xf>
    <xf numFmtId="175" fontId="25" fillId="0" borderId="462" xfId="0" applyNumberFormat="1" applyFont="1" applyBorder="1" applyAlignment="1" applyProtection="1">
      <alignment horizontal="center" vertical="center"/>
      <protection hidden="1"/>
    </xf>
    <xf numFmtId="175" fontId="25" fillId="0" borderId="463" xfId="0" applyNumberFormat="1" applyFont="1" applyBorder="1" applyAlignment="1" applyProtection="1">
      <alignment horizontal="center" vertical="center"/>
      <protection hidden="1"/>
    </xf>
    <xf numFmtId="175" fontId="25" fillId="9" borderId="204" xfId="5" applyNumberFormat="1" applyFont="1" applyFill="1" applyBorder="1" applyAlignment="1" applyProtection="1">
      <alignment horizontal="center" vertical="center"/>
      <protection hidden="1"/>
    </xf>
    <xf numFmtId="175" fontId="25" fillId="9" borderId="116" xfId="5" applyNumberFormat="1" applyFont="1" applyFill="1" applyBorder="1" applyAlignment="1" applyProtection="1">
      <alignment horizontal="center" vertical="center"/>
      <protection hidden="1"/>
    </xf>
    <xf numFmtId="175" fontId="25" fillId="9" borderId="304" xfId="5" applyNumberFormat="1" applyFont="1" applyFill="1" applyBorder="1" applyAlignment="1" applyProtection="1">
      <alignment horizontal="center" vertical="center"/>
      <protection hidden="1"/>
    </xf>
    <xf numFmtId="175" fontId="25" fillId="9" borderId="307" xfId="5" applyNumberFormat="1" applyFont="1" applyFill="1" applyBorder="1" applyAlignment="1" applyProtection="1">
      <alignment horizontal="center" vertical="center"/>
      <protection hidden="1"/>
    </xf>
    <xf numFmtId="175" fontId="25" fillId="9" borderId="308" xfId="5" applyNumberFormat="1" applyFont="1" applyFill="1" applyBorder="1" applyAlignment="1" applyProtection="1">
      <alignment horizontal="center" vertical="center"/>
      <protection hidden="1"/>
    </xf>
    <xf numFmtId="175" fontId="25" fillId="9" borderId="258" xfId="5" applyNumberFormat="1" applyFont="1" applyFill="1" applyBorder="1" applyAlignment="1" applyProtection="1">
      <alignment horizontal="center" vertical="center"/>
      <protection hidden="1"/>
    </xf>
    <xf numFmtId="0" fontId="6" fillId="0" borderId="73" xfId="0" applyFont="1" applyBorder="1" applyAlignment="1" applyProtection="1">
      <alignment vertical="center"/>
      <protection hidden="1"/>
    </xf>
    <xf numFmtId="0" fontId="6" fillId="0" borderId="173" xfId="0" applyFont="1" applyBorder="1" applyAlignment="1" applyProtection="1">
      <alignment vertical="center"/>
      <protection hidden="1"/>
    </xf>
    <xf numFmtId="0" fontId="6" fillId="0" borderId="106" xfId="0" applyFont="1" applyBorder="1" applyAlignment="1" applyProtection="1">
      <alignment vertical="center"/>
      <protection hidden="1"/>
    </xf>
    <xf numFmtId="0" fontId="6" fillId="0" borderId="461" xfId="0" applyFont="1" applyBorder="1" applyAlignment="1" applyProtection="1">
      <alignment vertical="center"/>
      <protection hidden="1"/>
    </xf>
    <xf numFmtId="3" fontId="20" fillId="23" borderId="30" xfId="0" applyNumberFormat="1" applyFont="1" applyFill="1" applyBorder="1"/>
    <xf numFmtId="4" fontId="20" fillId="6" borderId="30" xfId="0" applyNumberFormat="1" applyFont="1" applyFill="1" applyBorder="1" applyAlignment="1">
      <alignment horizontal="center"/>
    </xf>
    <xf numFmtId="2" fontId="20" fillId="42" borderId="30" xfId="0" applyNumberFormat="1" applyFont="1" applyFill="1" applyBorder="1"/>
    <xf numFmtId="2" fontId="20" fillId="42" borderId="30" xfId="0" quotePrefix="1" applyNumberFormat="1" applyFont="1" applyFill="1" applyBorder="1" applyAlignment="1">
      <alignment horizontal="left" vertical="center"/>
    </xf>
    <xf numFmtId="0" fontId="55" fillId="0" borderId="39" xfId="0" quotePrefix="1" applyFont="1" applyBorder="1"/>
    <xf numFmtId="0" fontId="55" fillId="0" borderId="36" xfId="0" quotePrefix="1" applyFont="1" applyBorder="1"/>
    <xf numFmtId="175" fontId="10" fillId="60" borderId="50" xfId="1" applyNumberFormat="1" applyFont="1" applyFill="1" applyBorder="1" applyAlignment="1">
      <alignment horizontal="center"/>
    </xf>
    <xf numFmtId="175" fontId="10" fillId="60" borderId="51" xfId="1" applyNumberFormat="1" applyFont="1" applyFill="1" applyBorder="1" applyAlignment="1">
      <alignment horizontal="center"/>
    </xf>
    <xf numFmtId="175" fontId="10" fillId="60" borderId="52" xfId="1" applyNumberFormat="1" applyFont="1" applyFill="1" applyBorder="1" applyAlignment="1">
      <alignment horizontal="center"/>
    </xf>
    <xf numFmtId="4" fontId="20" fillId="5" borderId="30" xfId="0" applyNumberFormat="1" applyFont="1" applyFill="1" applyBorder="1" applyAlignment="1">
      <alignment horizontal="right"/>
    </xf>
    <xf numFmtId="169" fontId="20" fillId="6" borderId="30" xfId="0" quotePrefix="1" applyNumberFormat="1" applyFont="1" applyFill="1" applyBorder="1" applyAlignment="1">
      <alignment horizontal="left"/>
    </xf>
    <xf numFmtId="165" fontId="8" fillId="0" borderId="465" xfId="0" quotePrefix="1" applyNumberFormat="1" applyFont="1" applyBorder="1" applyAlignment="1" applyProtection="1">
      <alignment horizontal="left" vertical="center"/>
      <protection hidden="1"/>
    </xf>
    <xf numFmtId="0" fontId="87" fillId="11" borderId="0" xfId="0" quotePrefix="1" applyFont="1" applyFill="1" applyAlignment="1" applyProtection="1">
      <alignment horizontal="left" vertical="center"/>
      <protection hidden="1"/>
    </xf>
    <xf numFmtId="0" fontId="87" fillId="11" borderId="0" xfId="0" applyFont="1" applyFill="1" applyProtection="1">
      <protection hidden="1"/>
    </xf>
    <xf numFmtId="0" fontId="87" fillId="11" borderId="0" xfId="0" applyFont="1" applyFill="1" applyAlignment="1" applyProtection="1">
      <alignment horizontal="right"/>
      <protection hidden="1"/>
    </xf>
    <xf numFmtId="0" fontId="88" fillId="11" borderId="0" xfId="0" quotePrefix="1" applyFont="1" applyFill="1" applyAlignment="1" applyProtection="1">
      <alignment horizontal="left" vertical="center"/>
      <protection hidden="1"/>
    </xf>
    <xf numFmtId="0" fontId="87" fillId="11" borderId="0" xfId="0" applyFont="1" applyFill="1" applyAlignment="1" applyProtection="1">
      <alignment vertical="center"/>
      <protection hidden="1"/>
    </xf>
    <xf numFmtId="0" fontId="87" fillId="11" borderId="84" xfId="0" applyFont="1" applyFill="1" applyBorder="1" applyAlignment="1" applyProtection="1">
      <alignment vertical="center"/>
      <protection hidden="1"/>
    </xf>
    <xf numFmtId="0" fontId="87" fillId="11" borderId="84" xfId="0" applyFont="1" applyFill="1" applyBorder="1" applyProtection="1">
      <protection hidden="1"/>
    </xf>
    <xf numFmtId="0" fontId="88" fillId="11" borderId="0" xfId="0" applyFont="1" applyFill="1" applyProtection="1">
      <protection hidden="1"/>
    </xf>
    <xf numFmtId="0" fontId="88" fillId="11" borderId="80" xfId="0" quotePrefix="1" applyFont="1" applyFill="1" applyBorder="1" applyAlignment="1" applyProtection="1">
      <alignment horizontal="left" vertical="center"/>
      <protection hidden="1"/>
    </xf>
    <xf numFmtId="0" fontId="87" fillId="11" borderId="80" xfId="0" applyFont="1" applyFill="1" applyBorder="1" applyProtection="1">
      <protection hidden="1"/>
    </xf>
    <xf numFmtId="0" fontId="17" fillId="34" borderId="562" xfId="2" quotePrefix="1" applyFont="1" applyFill="1" applyBorder="1" applyAlignment="1" applyProtection="1">
      <alignment horizontal="center" vertical="center"/>
      <protection hidden="1"/>
    </xf>
    <xf numFmtId="0" fontId="17" fillId="34" borderId="562" xfId="1" quotePrefix="1" applyNumberFormat="1" applyFont="1" applyFill="1" applyBorder="1" applyAlignment="1" applyProtection="1">
      <alignment horizontal="center" vertical="center"/>
      <protection hidden="1"/>
    </xf>
    <xf numFmtId="0" fontId="17" fillId="34" borderId="562" xfId="1" applyNumberFormat="1" applyFont="1" applyFill="1" applyBorder="1" applyAlignment="1" applyProtection="1">
      <alignment horizontal="center" vertical="center"/>
      <protection hidden="1"/>
    </xf>
    <xf numFmtId="0" fontId="6" fillId="34" borderId="561" xfId="0" applyFont="1" applyFill="1" applyBorder="1" applyProtection="1">
      <protection hidden="1"/>
    </xf>
    <xf numFmtId="0" fontId="6" fillId="0" borderId="190" xfId="0" applyFont="1" applyBorder="1" applyProtection="1">
      <protection hidden="1"/>
    </xf>
    <xf numFmtId="0" fontId="28" fillId="0" borderId="0" xfId="0" quotePrefix="1" applyFont="1" applyAlignment="1" applyProtection="1">
      <alignment horizontal="center"/>
      <protection hidden="1"/>
    </xf>
    <xf numFmtId="4" fontId="5" fillId="5" borderId="423" xfId="0" applyNumberFormat="1" applyFont="1" applyFill="1" applyBorder="1"/>
    <xf numFmtId="4" fontId="5" fillId="5" borderId="205" xfId="0" applyNumberFormat="1" applyFont="1" applyFill="1" applyBorder="1"/>
    <xf numFmtId="4" fontId="5" fillId="5" borderId="427" xfId="0" applyNumberFormat="1" applyFont="1" applyFill="1" applyBorder="1"/>
    <xf numFmtId="4" fontId="5" fillId="5" borderId="424" xfId="0" applyNumberFormat="1" applyFont="1" applyFill="1" applyBorder="1"/>
    <xf numFmtId="4" fontId="5" fillId="5" borderId="430" xfId="0" applyNumberFormat="1" applyFont="1" applyFill="1" applyBorder="1"/>
    <xf numFmtId="4" fontId="5" fillId="5" borderId="428" xfId="0" applyNumberFormat="1" applyFont="1" applyFill="1" applyBorder="1"/>
    <xf numFmtId="3" fontId="5" fillId="5" borderId="423" xfId="0" applyNumberFormat="1" applyFont="1" applyFill="1" applyBorder="1"/>
    <xf numFmtId="3" fontId="5" fillId="5" borderId="205" xfId="0" applyNumberFormat="1" applyFont="1" applyFill="1" applyBorder="1"/>
    <xf numFmtId="3" fontId="5" fillId="5" borderId="427" xfId="0" applyNumberFormat="1" applyFont="1" applyFill="1" applyBorder="1"/>
    <xf numFmtId="0" fontId="21" fillId="0" borderId="189" xfId="0" applyFont="1" applyBorder="1" applyProtection="1">
      <protection hidden="1"/>
    </xf>
    <xf numFmtId="0" fontId="21" fillId="0" borderId="190" xfId="0" applyFont="1" applyBorder="1" applyProtection="1">
      <protection hidden="1"/>
    </xf>
    <xf numFmtId="0" fontId="83" fillId="0" borderId="190" xfId="0" applyFont="1" applyBorder="1" applyAlignment="1" applyProtection="1">
      <alignment vertical="center"/>
      <protection hidden="1"/>
    </xf>
    <xf numFmtId="0" fontId="87" fillId="0" borderId="190" xfId="0" applyFont="1" applyBorder="1" applyAlignment="1" applyProtection="1">
      <alignment vertical="center"/>
      <protection hidden="1"/>
    </xf>
    <xf numFmtId="0" fontId="87" fillId="0" borderId="190" xfId="0" applyFont="1" applyBorder="1" applyProtection="1">
      <protection hidden="1"/>
    </xf>
    <xf numFmtId="0" fontId="88" fillId="0" borderId="191" xfId="0" applyFont="1" applyBorder="1" applyProtection="1">
      <protection hidden="1"/>
    </xf>
    <xf numFmtId="0" fontId="21" fillId="0" borderId="192" xfId="0" applyFont="1" applyBorder="1" applyProtection="1">
      <protection hidden="1"/>
    </xf>
    <xf numFmtId="0" fontId="83" fillId="0" borderId="0" xfId="0" applyFont="1" applyAlignment="1" applyProtection="1">
      <alignment vertical="center"/>
      <protection hidden="1"/>
    </xf>
    <xf numFmtId="0" fontId="87" fillId="0" borderId="0" xfId="0" quotePrefix="1" applyFont="1" applyAlignment="1" applyProtection="1">
      <alignment horizontal="left" vertical="center"/>
      <protection hidden="1"/>
    </xf>
    <xf numFmtId="0" fontId="87" fillId="0" borderId="0" xfId="0" applyFont="1" applyProtection="1">
      <protection hidden="1"/>
    </xf>
    <xf numFmtId="0" fontId="87" fillId="0" borderId="0" xfId="0" applyFont="1" applyAlignment="1" applyProtection="1">
      <alignment horizontal="right"/>
      <protection hidden="1"/>
    </xf>
    <xf numFmtId="0" fontId="88" fillId="0" borderId="193" xfId="0" applyFont="1" applyBorder="1" applyProtection="1">
      <protection hidden="1"/>
    </xf>
    <xf numFmtId="0" fontId="88" fillId="0" borderId="0" xfId="0" quotePrefix="1" applyFont="1" applyAlignment="1" applyProtection="1">
      <alignment horizontal="left" vertical="center"/>
      <protection hidden="1"/>
    </xf>
    <xf numFmtId="0" fontId="87" fillId="0" borderId="0" xfId="0" applyFont="1" applyAlignment="1" applyProtection="1">
      <alignment vertical="center"/>
      <protection hidden="1"/>
    </xf>
    <xf numFmtId="0" fontId="88" fillId="0" borderId="0" xfId="0" quotePrefix="1" applyFont="1" applyAlignment="1" applyProtection="1">
      <alignment horizontal="left"/>
      <protection hidden="1"/>
    </xf>
    <xf numFmtId="0" fontId="87" fillId="0" borderId="0" xfId="0" quotePrefix="1" applyFont="1" applyAlignment="1" applyProtection="1">
      <alignment horizontal="right"/>
      <protection hidden="1"/>
    </xf>
    <xf numFmtId="0" fontId="21" fillId="0" borderId="481" xfId="0" applyFont="1" applyBorder="1" applyProtection="1">
      <protection hidden="1"/>
    </xf>
    <xf numFmtId="0" fontId="21" fillId="0" borderId="194" xfId="0" applyFont="1" applyBorder="1" applyProtection="1">
      <protection hidden="1"/>
    </xf>
    <xf numFmtId="0" fontId="83" fillId="0" borderId="194" xfId="0" applyFont="1" applyBorder="1" applyAlignment="1" applyProtection="1">
      <alignment vertical="center"/>
      <protection hidden="1"/>
    </xf>
    <xf numFmtId="0" fontId="88" fillId="0" borderId="194" xfId="0" quotePrefix="1" applyFont="1" applyBorder="1" applyAlignment="1" applyProtection="1">
      <alignment horizontal="left" vertical="center"/>
      <protection hidden="1"/>
    </xf>
    <xf numFmtId="0" fontId="87" fillId="0" borderId="194" xfId="0" applyFont="1" applyBorder="1" applyProtection="1">
      <protection hidden="1"/>
    </xf>
    <xf numFmtId="0" fontId="88" fillId="0" borderId="482" xfId="0" applyFont="1" applyBorder="1" applyProtection="1">
      <protection hidden="1"/>
    </xf>
    <xf numFmtId="0" fontId="17" fillId="22" borderId="169" xfId="0" applyFont="1" applyFill="1" applyBorder="1"/>
    <xf numFmtId="0" fontId="17" fillId="0" borderId="0" xfId="0" applyFont="1"/>
    <xf numFmtId="0" fontId="17" fillId="0" borderId="0" xfId="0" applyFont="1" applyAlignment="1">
      <alignment horizontal="left"/>
    </xf>
    <xf numFmtId="0" fontId="17" fillId="6" borderId="13" xfId="0" applyFont="1" applyFill="1" applyBorder="1" applyAlignment="1">
      <alignment horizontal="center" vertical="center"/>
    </xf>
    <xf numFmtId="0" fontId="17" fillId="6" borderId="344" xfId="0" applyFont="1" applyFill="1" applyBorder="1" applyAlignment="1">
      <alignment horizontal="center" vertical="center"/>
    </xf>
    <xf numFmtId="0" fontId="17" fillId="6" borderId="16" xfId="0" applyFont="1" applyFill="1" applyBorder="1" applyAlignment="1">
      <alignment horizontal="center" vertical="center"/>
    </xf>
    <xf numFmtId="0" fontId="17" fillId="6" borderId="44" xfId="0" applyFont="1" applyFill="1" applyBorder="1" applyAlignment="1">
      <alignment horizontal="center" vertical="center"/>
    </xf>
    <xf numFmtId="0" fontId="17" fillId="6" borderId="42" xfId="0" applyFont="1" applyFill="1" applyBorder="1" applyAlignment="1">
      <alignment horizontal="center" vertical="center"/>
    </xf>
    <xf numFmtId="0" fontId="17" fillId="6" borderId="344" xfId="0" applyFont="1" applyFill="1" applyBorder="1" applyAlignment="1">
      <alignment horizontal="left" vertical="center"/>
    </xf>
    <xf numFmtId="0" fontId="6" fillId="2" borderId="531" xfId="0" applyFont="1" applyFill="1" applyBorder="1" applyAlignment="1">
      <alignment horizontal="left" vertical="center"/>
    </xf>
    <xf numFmtId="164" fontId="29" fillId="12" borderId="278" xfId="0" applyNumberFormat="1" applyFont="1" applyFill="1" applyBorder="1" applyAlignment="1">
      <alignment horizontal="center"/>
    </xf>
    <xf numFmtId="164" fontId="29" fillId="12" borderId="285" xfId="0" applyNumberFormat="1" applyFont="1" applyFill="1" applyBorder="1" applyAlignment="1">
      <alignment horizontal="center"/>
    </xf>
    <xf numFmtId="164" fontId="29" fillId="22" borderId="288" xfId="0" applyNumberFormat="1" applyFont="1" applyFill="1" applyBorder="1" applyAlignment="1">
      <alignment horizontal="left"/>
    </xf>
    <xf numFmtId="0" fontId="6" fillId="11" borderId="540" xfId="0" applyFont="1" applyFill="1" applyBorder="1" applyAlignment="1">
      <alignment horizontal="left" vertical="center"/>
    </xf>
    <xf numFmtId="164" fontId="29" fillId="12" borderId="533" xfId="0" applyNumberFormat="1" applyFont="1" applyFill="1" applyBorder="1" applyAlignment="1">
      <alignment horizontal="center"/>
    </xf>
    <xf numFmtId="164" fontId="29" fillId="12" borderId="287" xfId="0" applyNumberFormat="1" applyFont="1" applyFill="1" applyBorder="1" applyAlignment="1">
      <alignment horizontal="center"/>
    </xf>
    <xf numFmtId="164" fontId="29" fillId="22" borderId="249" xfId="0" applyNumberFormat="1" applyFont="1" applyFill="1" applyBorder="1" applyAlignment="1">
      <alignment horizontal="left"/>
    </xf>
    <xf numFmtId="0" fontId="6" fillId="5" borderId="531" xfId="0" applyFont="1" applyFill="1" applyBorder="1" applyAlignment="1">
      <alignment horizontal="left" vertical="center"/>
    </xf>
    <xf numFmtId="0" fontId="6" fillId="47" borderId="397" xfId="0" applyFont="1" applyFill="1" applyBorder="1" applyAlignment="1">
      <alignment horizontal="left" vertical="center"/>
    </xf>
    <xf numFmtId="164" fontId="29" fillId="12" borderId="281" xfId="0" applyNumberFormat="1" applyFont="1" applyFill="1" applyBorder="1" applyAlignment="1">
      <alignment horizontal="center"/>
    </xf>
    <xf numFmtId="164" fontId="29" fillId="12" borderId="279" xfId="0" applyNumberFormat="1" applyFont="1" applyFill="1" applyBorder="1" applyAlignment="1">
      <alignment horizontal="center"/>
    </xf>
    <xf numFmtId="164" fontId="29" fillId="22" borderId="286" xfId="0" applyNumberFormat="1" applyFont="1" applyFill="1" applyBorder="1" applyAlignment="1">
      <alignment horizontal="left"/>
    </xf>
    <xf numFmtId="0" fontId="6" fillId="42" borderId="524" xfId="0" applyFont="1" applyFill="1" applyBorder="1" applyAlignment="1">
      <alignment horizontal="left" vertical="center"/>
    </xf>
    <xf numFmtId="164" fontId="29" fillId="12" borderId="282" xfId="0" applyNumberFormat="1" applyFont="1" applyFill="1" applyBorder="1" applyAlignment="1">
      <alignment horizontal="center"/>
    </xf>
    <xf numFmtId="164" fontId="29" fillId="12" borderId="283" xfId="0" applyNumberFormat="1" applyFont="1" applyFill="1" applyBorder="1" applyAlignment="1">
      <alignment horizontal="center"/>
    </xf>
    <xf numFmtId="164" fontId="29" fillId="22" borderId="185" xfId="0" applyNumberFormat="1" applyFont="1" applyFill="1" applyBorder="1" applyAlignment="1">
      <alignment horizontal="left"/>
    </xf>
    <xf numFmtId="0" fontId="6" fillId="51" borderId="541" xfId="0" quotePrefix="1" applyFont="1" applyFill="1" applyBorder="1" applyAlignment="1">
      <alignment horizontal="left"/>
    </xf>
    <xf numFmtId="164" fontId="29" fillId="22" borderId="344" xfId="0" applyNumberFormat="1" applyFont="1" applyFill="1" applyBorder="1" applyAlignment="1">
      <alignment horizontal="left"/>
    </xf>
    <xf numFmtId="0" fontId="6" fillId="52" borderId="397" xfId="0" quotePrefix="1" applyFont="1" applyFill="1" applyBorder="1" applyAlignment="1">
      <alignment horizontal="left"/>
    </xf>
    <xf numFmtId="0" fontId="6" fillId="53" borderId="397" xfId="0" quotePrefix="1" applyFont="1" applyFill="1" applyBorder="1" applyAlignment="1">
      <alignment horizontal="left"/>
    </xf>
    <xf numFmtId="0" fontId="6" fillId="54" borderId="397" xfId="0" quotePrefix="1" applyFont="1" applyFill="1" applyBorder="1" applyAlignment="1">
      <alignment horizontal="left"/>
    </xf>
    <xf numFmtId="0" fontId="6" fillId="55" borderId="540" xfId="0" quotePrefix="1" applyFont="1" applyFill="1" applyBorder="1" applyAlignment="1">
      <alignment horizontal="left"/>
    </xf>
    <xf numFmtId="0" fontId="6" fillId="22" borderId="298" xfId="0" applyFont="1" applyFill="1" applyBorder="1" applyAlignment="1">
      <alignment horizontal="left" vertical="center"/>
    </xf>
    <xf numFmtId="164" fontId="29" fillId="12" borderId="61" xfId="0" applyNumberFormat="1" applyFont="1" applyFill="1" applyBorder="1" applyAlignment="1">
      <alignment horizontal="center"/>
    </xf>
    <xf numFmtId="164" fontId="29" fillId="12" borderId="3" xfId="0" applyNumberFormat="1" applyFont="1" applyFill="1" applyBorder="1" applyAlignment="1">
      <alignment horizontal="center"/>
    </xf>
    <xf numFmtId="0" fontId="6" fillId="4" borderId="531" xfId="0" quotePrefix="1" applyFont="1" applyFill="1" applyBorder="1" applyAlignment="1">
      <alignment horizontal="left" vertical="center"/>
    </xf>
    <xf numFmtId="0" fontId="6" fillId="16" borderId="397" xfId="0" quotePrefix="1" applyFont="1" applyFill="1" applyBorder="1" applyAlignment="1">
      <alignment horizontal="left" vertical="center"/>
    </xf>
    <xf numFmtId="0" fontId="6" fillId="44" borderId="531" xfId="0" quotePrefix="1" applyFont="1" applyFill="1" applyBorder="1" applyAlignment="1">
      <alignment horizontal="left" vertical="center"/>
    </xf>
    <xf numFmtId="0" fontId="6" fillId="46" borderId="542" xfId="0" quotePrefix="1" applyFont="1" applyFill="1" applyBorder="1" applyAlignment="1">
      <alignment horizontal="left" vertical="center"/>
    </xf>
    <xf numFmtId="0" fontId="6" fillId="2" borderId="543" xfId="0" applyFont="1" applyFill="1" applyBorder="1"/>
    <xf numFmtId="0" fontId="6" fillId="22" borderId="298" xfId="0" applyFont="1" applyFill="1" applyBorder="1"/>
    <xf numFmtId="0" fontId="6" fillId="26" borderId="544" xfId="0" applyFont="1" applyFill="1" applyBorder="1"/>
    <xf numFmtId="0" fontId="6" fillId="4" borderId="544" xfId="0" applyFont="1" applyFill="1" applyBorder="1"/>
    <xf numFmtId="0" fontId="6" fillId="44" borderId="544" xfId="0" applyFont="1" applyFill="1" applyBorder="1"/>
    <xf numFmtId="0" fontId="6" fillId="36" borderId="524" xfId="0" applyFont="1" applyFill="1" applyBorder="1"/>
    <xf numFmtId="0" fontId="6" fillId="6" borderId="297" xfId="0" applyFont="1" applyFill="1" applyBorder="1" applyAlignment="1">
      <alignment horizontal="left" vertical="center"/>
    </xf>
    <xf numFmtId="0" fontId="6" fillId="6" borderId="532" xfId="0" applyFont="1" applyFill="1" applyBorder="1" applyAlignment="1">
      <alignment horizontal="left" vertical="center"/>
    </xf>
    <xf numFmtId="0" fontId="6" fillId="6" borderId="543" xfId="0" applyFont="1" applyFill="1" applyBorder="1" applyAlignment="1">
      <alignment horizontal="left" vertical="center"/>
    </xf>
    <xf numFmtId="0" fontId="6" fillId="6" borderId="545" xfId="0" applyFont="1" applyFill="1" applyBorder="1" applyAlignment="1">
      <alignment horizontal="left" vertical="center"/>
    </xf>
    <xf numFmtId="164" fontId="29" fillId="12" borderId="291" xfId="0" applyNumberFormat="1" applyFont="1" applyFill="1" applyBorder="1" applyAlignment="1" applyProtection="1">
      <alignment horizontal="left"/>
      <protection locked="0"/>
    </xf>
    <xf numFmtId="164" fontId="29" fillId="12" borderId="454" xfId="0" applyNumberFormat="1" applyFont="1" applyFill="1" applyBorder="1" applyAlignment="1" applyProtection="1">
      <alignment horizontal="left"/>
      <protection locked="0"/>
    </xf>
    <xf numFmtId="164" fontId="29" fillId="12" borderId="294" xfId="0" applyNumberFormat="1" applyFont="1" applyFill="1" applyBorder="1" applyAlignment="1" applyProtection="1">
      <alignment horizontal="left"/>
      <protection locked="0"/>
    </xf>
    <xf numFmtId="164" fontId="29" fillId="12" borderId="296" xfId="0" applyNumberFormat="1" applyFont="1" applyFill="1" applyBorder="1" applyAlignment="1" applyProtection="1">
      <alignment horizontal="left"/>
      <protection locked="0"/>
    </xf>
    <xf numFmtId="164" fontId="29" fillId="12" borderId="311" xfId="0" applyNumberFormat="1" applyFont="1" applyFill="1" applyBorder="1" applyAlignment="1" applyProtection="1">
      <alignment horizontal="left"/>
      <protection locked="0"/>
    </xf>
    <xf numFmtId="164" fontId="29" fillId="12" borderId="531" xfId="0" applyNumberFormat="1" applyFont="1" applyFill="1" applyBorder="1" applyAlignment="1" applyProtection="1">
      <alignment horizontal="left"/>
      <protection locked="0"/>
    </xf>
    <xf numFmtId="164" fontId="29" fillId="12" borderId="397" xfId="0" applyNumberFormat="1" applyFont="1" applyFill="1" applyBorder="1" applyAlignment="1" applyProtection="1">
      <alignment horizontal="left"/>
      <protection locked="0"/>
    </xf>
    <xf numFmtId="164" fontId="29" fillId="12" borderId="524" xfId="0" applyNumberFormat="1" applyFont="1" applyFill="1" applyBorder="1" applyAlignment="1" applyProtection="1">
      <alignment horizontal="left"/>
      <protection locked="0"/>
    </xf>
    <xf numFmtId="0" fontId="29" fillId="12" borderId="297" xfId="0" quotePrefix="1" applyFont="1" applyFill="1" applyBorder="1" applyAlignment="1" applyProtection="1">
      <alignment horizontal="left"/>
      <protection locked="0"/>
    </xf>
    <xf numFmtId="0" fontId="29" fillId="12" borderId="532" xfId="0" quotePrefix="1" applyFont="1" applyFill="1" applyBorder="1" applyAlignment="1" applyProtection="1">
      <alignment horizontal="left"/>
      <protection locked="0"/>
    </xf>
    <xf numFmtId="0" fontId="29" fillId="12" borderId="297" xfId="0" quotePrefix="1" applyFont="1" applyFill="1" applyBorder="1" applyAlignment="1" applyProtection="1">
      <alignment vertical="top" wrapText="1"/>
      <protection locked="0"/>
    </xf>
    <xf numFmtId="0" fontId="29" fillId="12" borderId="398" xfId="0" quotePrefix="1" applyFont="1" applyFill="1" applyBorder="1" applyAlignment="1" applyProtection="1">
      <alignment horizontal="left"/>
      <protection locked="0"/>
    </xf>
    <xf numFmtId="4" fontId="48" fillId="9" borderId="485" xfId="0" applyNumberFormat="1" applyFont="1" applyFill="1" applyBorder="1" applyAlignment="1" applyProtection="1">
      <alignment vertical="center"/>
      <protection locked="0"/>
    </xf>
    <xf numFmtId="2" fontId="40" fillId="0" borderId="76" xfId="0" applyNumberFormat="1" applyFont="1" applyBorder="1" applyAlignment="1" applyProtection="1">
      <alignment horizontal="left" vertical="top"/>
      <protection hidden="1"/>
    </xf>
    <xf numFmtId="2" fontId="40" fillId="0" borderId="77" xfId="0" applyNumberFormat="1" applyFont="1" applyBorder="1" applyAlignment="1" applyProtection="1">
      <alignment horizontal="left" vertical="top"/>
      <protection hidden="1"/>
    </xf>
    <xf numFmtId="2" fontId="40" fillId="0" borderId="78" xfId="0" applyNumberFormat="1" applyFont="1" applyBorder="1" applyAlignment="1" applyProtection="1">
      <alignment horizontal="left" vertical="top"/>
      <protection hidden="1"/>
    </xf>
    <xf numFmtId="2" fontId="40" fillId="0" borderId="83" xfId="0" applyNumberFormat="1" applyFont="1" applyBorder="1" applyAlignment="1" applyProtection="1">
      <alignment horizontal="left" vertical="top"/>
      <protection hidden="1"/>
    </xf>
    <xf numFmtId="2" fontId="40" fillId="0" borderId="84" xfId="0" applyNumberFormat="1" applyFont="1" applyBorder="1" applyAlignment="1" applyProtection="1">
      <alignment horizontal="left" vertical="top"/>
      <protection hidden="1"/>
    </xf>
    <xf numFmtId="2" fontId="40" fillId="0" borderId="85" xfId="0" applyNumberFormat="1" applyFont="1" applyBorder="1" applyAlignment="1" applyProtection="1">
      <alignment horizontal="left" vertical="top"/>
      <protection hidden="1"/>
    </xf>
    <xf numFmtId="2" fontId="40" fillId="0" borderId="86" xfId="0" applyNumberFormat="1" applyFont="1" applyBorder="1" applyAlignment="1" applyProtection="1">
      <alignment horizontal="left" vertical="top"/>
      <protection hidden="1"/>
    </xf>
    <xf numFmtId="2" fontId="40" fillId="0" borderId="0" xfId="0" applyNumberFormat="1" applyFont="1" applyAlignment="1" applyProtection="1">
      <alignment horizontal="left" vertical="top"/>
      <protection hidden="1"/>
    </xf>
    <xf numFmtId="2" fontId="40" fillId="0" borderId="87" xfId="0" applyNumberFormat="1" applyFont="1" applyBorder="1" applyAlignment="1" applyProtection="1">
      <alignment horizontal="left" vertical="top"/>
      <protection hidden="1"/>
    </xf>
    <xf numFmtId="2" fontId="40" fillId="0" borderId="79" xfId="0" applyNumberFormat="1" applyFont="1" applyBorder="1" applyAlignment="1" applyProtection="1">
      <alignment horizontal="left" vertical="top"/>
      <protection hidden="1"/>
    </xf>
    <xf numFmtId="2" fontId="40" fillId="0" borderId="80" xfId="0" applyNumberFormat="1" applyFont="1" applyBorder="1" applyAlignment="1" applyProtection="1">
      <alignment horizontal="left" vertical="top"/>
      <protection hidden="1"/>
    </xf>
    <xf numFmtId="2" fontId="40" fillId="0" borderId="81" xfId="0" applyNumberFormat="1" applyFont="1" applyBorder="1" applyAlignment="1" applyProtection="1">
      <alignment horizontal="left" vertical="top"/>
      <protection hidden="1"/>
    </xf>
    <xf numFmtId="2" fontId="40" fillId="0" borderId="83" xfId="0" quotePrefix="1" applyNumberFormat="1" applyFont="1" applyBorder="1" applyAlignment="1" applyProtection="1">
      <alignment horizontal="left" vertical="top"/>
      <protection hidden="1"/>
    </xf>
    <xf numFmtId="2" fontId="40" fillId="0" borderId="84" xfId="0" quotePrefix="1" applyNumberFormat="1" applyFont="1" applyBorder="1" applyAlignment="1" applyProtection="1">
      <alignment horizontal="left" vertical="top"/>
      <protection hidden="1"/>
    </xf>
    <xf numFmtId="2" fontId="40" fillId="0" borderId="85" xfId="0" quotePrefix="1" applyNumberFormat="1" applyFont="1" applyBorder="1" applyAlignment="1" applyProtection="1">
      <alignment horizontal="left" vertical="top"/>
      <protection hidden="1"/>
    </xf>
    <xf numFmtId="2" fontId="40" fillId="0" borderId="79" xfId="0" quotePrefix="1" applyNumberFormat="1" applyFont="1" applyBorder="1" applyAlignment="1" applyProtection="1">
      <alignment horizontal="left" vertical="top"/>
      <protection hidden="1"/>
    </xf>
    <xf numFmtId="2" fontId="40" fillId="0" borderId="80" xfId="0" quotePrefix="1" applyNumberFormat="1" applyFont="1" applyBorder="1" applyAlignment="1" applyProtection="1">
      <alignment horizontal="left" vertical="top"/>
      <protection hidden="1"/>
    </xf>
    <xf numFmtId="2" fontId="40" fillId="0" borderId="81" xfId="0" quotePrefix="1" applyNumberFormat="1" applyFont="1" applyBorder="1" applyAlignment="1" applyProtection="1">
      <alignment horizontal="left" vertical="top"/>
      <protection hidden="1"/>
    </xf>
    <xf numFmtId="0" fontId="17" fillId="0" borderId="0" xfId="0" applyFont="1" applyAlignment="1">
      <alignment horizontal="left" vertical="center"/>
    </xf>
    <xf numFmtId="0" fontId="17" fillId="0" borderId="0" xfId="0" quotePrefix="1" applyFont="1" applyAlignment="1">
      <alignment horizontal="left" vertical="center"/>
    </xf>
    <xf numFmtId="2" fontId="40" fillId="0" borderId="86" xfId="0" quotePrefix="1" applyNumberFormat="1" applyFont="1" applyBorder="1" applyAlignment="1" applyProtection="1">
      <alignment horizontal="left" vertical="top"/>
      <protection hidden="1"/>
    </xf>
    <xf numFmtId="2" fontId="40" fillId="0" borderId="0" xfId="0" quotePrefix="1" applyNumberFormat="1" applyFont="1" applyAlignment="1" applyProtection="1">
      <alignment horizontal="left" vertical="top"/>
      <protection hidden="1"/>
    </xf>
    <xf numFmtId="2" fontId="40" fillId="0" borderId="87" xfId="0" quotePrefix="1" applyNumberFormat="1" applyFont="1" applyBorder="1" applyAlignment="1" applyProtection="1">
      <alignment horizontal="left" vertical="top"/>
      <protection hidden="1"/>
    </xf>
    <xf numFmtId="0" fontId="21" fillId="34" borderId="84" xfId="0" quotePrefix="1" applyFont="1" applyFill="1" applyBorder="1" applyAlignment="1" applyProtection="1">
      <alignment horizontal="center" vertical="center" wrapText="1"/>
      <protection hidden="1"/>
    </xf>
    <xf numFmtId="0" fontId="21" fillId="34" borderId="85" xfId="0" quotePrefix="1" applyFont="1" applyFill="1" applyBorder="1" applyAlignment="1" applyProtection="1">
      <alignment horizontal="center" vertical="center" wrapText="1"/>
      <protection hidden="1"/>
    </xf>
    <xf numFmtId="0" fontId="21" fillId="34" borderId="80" xfId="0" quotePrefix="1" applyFont="1" applyFill="1" applyBorder="1" applyAlignment="1" applyProtection="1">
      <alignment horizontal="center" vertical="center" wrapText="1"/>
      <protection hidden="1"/>
    </xf>
    <xf numFmtId="0" fontId="21" fillId="34" borderId="81" xfId="0" quotePrefix="1" applyFont="1" applyFill="1" applyBorder="1" applyAlignment="1" applyProtection="1">
      <alignment horizontal="center" vertical="center" wrapText="1"/>
      <protection hidden="1"/>
    </xf>
    <xf numFmtId="0" fontId="14" fillId="34" borderId="76" xfId="0" applyFont="1" applyFill="1" applyBorder="1" applyAlignment="1" applyProtection="1">
      <alignment horizontal="center" vertical="center"/>
      <protection hidden="1"/>
    </xf>
    <xf numFmtId="0" fontId="14" fillId="34" borderId="77" xfId="0" applyFont="1" applyFill="1" applyBorder="1" applyAlignment="1" applyProtection="1">
      <alignment horizontal="center" vertical="center"/>
      <protection hidden="1"/>
    </xf>
    <xf numFmtId="0" fontId="14" fillId="34" borderId="78" xfId="0" applyFont="1" applyFill="1" applyBorder="1" applyAlignment="1" applyProtection="1">
      <alignment horizontal="center" vertical="center"/>
      <protection hidden="1"/>
    </xf>
    <xf numFmtId="0" fontId="14" fillId="0" borderId="275" xfId="2" quotePrefix="1" applyFont="1" applyBorder="1" applyAlignment="1" applyProtection="1">
      <alignment horizontal="center" vertical="center"/>
      <protection hidden="1"/>
    </xf>
    <xf numFmtId="0" fontId="14" fillId="0" borderId="108" xfId="2" applyFont="1" applyBorder="1" applyAlignment="1" applyProtection="1">
      <alignment horizontal="center" vertical="center"/>
      <protection hidden="1"/>
    </xf>
    <xf numFmtId="0" fontId="14" fillId="0" borderId="109" xfId="2" applyFont="1" applyBorder="1" applyAlignment="1" applyProtection="1">
      <alignment horizontal="center" vertical="center"/>
      <protection hidden="1"/>
    </xf>
    <xf numFmtId="0" fontId="16" fillId="9" borderId="93" xfId="0" quotePrefix="1" applyFont="1" applyFill="1" applyBorder="1" applyAlignment="1" applyProtection="1">
      <alignment horizontal="center" vertical="center" textRotation="90"/>
      <protection hidden="1"/>
    </xf>
    <xf numFmtId="0" fontId="16" fillId="9" borderId="96" xfId="0" quotePrefix="1" applyFont="1" applyFill="1" applyBorder="1" applyAlignment="1" applyProtection="1">
      <alignment horizontal="center" vertical="center" textRotation="90"/>
      <protection hidden="1"/>
    </xf>
    <xf numFmtId="0" fontId="16" fillId="9" borderId="94" xfId="0" quotePrefix="1" applyFont="1" applyFill="1" applyBorder="1" applyAlignment="1" applyProtection="1">
      <alignment horizontal="center" vertical="center" textRotation="90"/>
      <protection hidden="1"/>
    </xf>
    <xf numFmtId="14" fontId="87" fillId="11" borderId="80" xfId="0" quotePrefix="1" applyNumberFormat="1" applyFont="1" applyFill="1" applyBorder="1" applyAlignment="1" applyProtection="1">
      <alignment horizontal="right" vertical="center"/>
      <protection hidden="1"/>
    </xf>
    <xf numFmtId="0" fontId="26" fillId="0" borderId="84" xfId="0" quotePrefix="1" applyFont="1" applyBorder="1" applyAlignment="1" applyProtection="1">
      <alignment horizontal="center" vertical="center" wrapText="1"/>
      <protection hidden="1"/>
    </xf>
    <xf numFmtId="0" fontId="26" fillId="0" borderId="80" xfId="0" quotePrefix="1" applyFont="1" applyBorder="1" applyAlignment="1" applyProtection="1">
      <alignment horizontal="center" vertical="center" wrapText="1"/>
      <protection hidden="1"/>
    </xf>
    <xf numFmtId="0" fontId="87" fillId="11" borderId="84" xfId="0" applyFont="1" applyFill="1" applyBorder="1" applyAlignment="1" applyProtection="1">
      <alignment horizontal="right"/>
      <protection hidden="1"/>
    </xf>
    <xf numFmtId="2" fontId="40" fillId="9" borderId="83" xfId="0" quotePrefix="1" applyNumberFormat="1" applyFont="1" applyFill="1" applyBorder="1" applyAlignment="1" applyProtection="1">
      <alignment horizontal="left" vertical="top"/>
      <protection hidden="1"/>
    </xf>
    <xf numFmtId="2" fontId="40" fillId="9" borderId="84" xfId="0" quotePrefix="1" applyNumberFormat="1" applyFont="1" applyFill="1" applyBorder="1" applyAlignment="1" applyProtection="1">
      <alignment horizontal="left" vertical="top"/>
      <protection hidden="1"/>
    </xf>
    <xf numFmtId="2" fontId="40" fillId="9" borderId="85" xfId="0" quotePrefix="1" applyNumberFormat="1" applyFont="1" applyFill="1" applyBorder="1" applyAlignment="1" applyProtection="1">
      <alignment horizontal="left" vertical="top"/>
      <protection hidden="1"/>
    </xf>
    <xf numFmtId="2" fontId="40" fillId="9" borderId="86" xfId="0" quotePrefix="1" applyNumberFormat="1" applyFont="1" applyFill="1" applyBorder="1" applyAlignment="1" applyProtection="1">
      <alignment horizontal="left" vertical="top"/>
      <protection hidden="1"/>
    </xf>
    <xf numFmtId="2" fontId="40" fillId="9" borderId="0" xfId="0" quotePrefix="1" applyNumberFormat="1" applyFont="1" applyFill="1" applyAlignment="1" applyProtection="1">
      <alignment horizontal="left" vertical="top"/>
      <protection hidden="1"/>
    </xf>
    <xf numFmtId="2" fontId="40" fillId="9" borderId="87" xfId="0" quotePrefix="1" applyNumberFormat="1" applyFont="1" applyFill="1" applyBorder="1" applyAlignment="1" applyProtection="1">
      <alignment horizontal="left" vertical="top"/>
      <protection hidden="1"/>
    </xf>
    <xf numFmtId="2" fontId="40" fillId="9" borderId="79" xfId="0" quotePrefix="1" applyNumberFormat="1" applyFont="1" applyFill="1" applyBorder="1" applyAlignment="1" applyProtection="1">
      <alignment horizontal="left" vertical="top"/>
      <protection hidden="1"/>
    </xf>
    <xf numFmtId="2" fontId="40" fillId="9" borderId="80" xfId="0" quotePrefix="1" applyNumberFormat="1" applyFont="1" applyFill="1" applyBorder="1" applyAlignment="1" applyProtection="1">
      <alignment horizontal="left" vertical="top"/>
      <protection hidden="1"/>
    </xf>
    <xf numFmtId="2" fontId="40" fillId="9" borderId="81" xfId="0" quotePrefix="1" applyNumberFormat="1" applyFont="1" applyFill="1" applyBorder="1" applyAlignment="1" applyProtection="1">
      <alignment horizontal="left" vertical="top"/>
      <protection hidden="1"/>
    </xf>
    <xf numFmtId="0" fontId="87" fillId="11" borderId="0" xfId="0" applyFont="1" applyFill="1" applyAlignment="1" applyProtection="1">
      <alignment horizontal="right"/>
      <protection hidden="1"/>
    </xf>
    <xf numFmtId="0" fontId="86" fillId="11" borderId="84" xfId="0" applyFont="1" applyFill="1" applyBorder="1" applyAlignment="1" applyProtection="1">
      <alignment horizontal="center" vertical="center"/>
      <protection hidden="1"/>
    </xf>
    <xf numFmtId="0" fontId="86" fillId="11" borderId="0" xfId="0" applyFont="1" applyFill="1" applyAlignment="1" applyProtection="1">
      <alignment horizontal="center" vertical="center"/>
      <protection hidden="1"/>
    </xf>
    <xf numFmtId="0" fontId="86" fillId="11" borderId="80" xfId="0" applyFont="1" applyFill="1" applyBorder="1" applyAlignment="1" applyProtection="1">
      <alignment horizontal="center" vertical="center"/>
      <protection hidden="1"/>
    </xf>
    <xf numFmtId="0" fontId="17" fillId="34" borderId="97" xfId="0" applyFont="1" applyFill="1" applyBorder="1" applyAlignment="1" applyProtection="1">
      <alignment horizontal="center" vertical="center"/>
      <protection hidden="1"/>
    </xf>
    <xf numFmtId="0" fontId="17" fillId="34" borderId="98" xfId="0" applyFont="1" applyFill="1" applyBorder="1" applyAlignment="1" applyProtection="1">
      <alignment horizontal="center" vertical="center"/>
      <protection hidden="1"/>
    </xf>
    <xf numFmtId="0" fontId="17" fillId="34" borderId="99" xfId="0" applyFont="1" applyFill="1" applyBorder="1" applyAlignment="1" applyProtection="1">
      <alignment horizontal="center" vertical="center"/>
      <protection hidden="1"/>
    </xf>
    <xf numFmtId="0" fontId="12" fillId="9" borderId="0" xfId="0" applyFont="1" applyFill="1" applyAlignment="1" applyProtection="1">
      <alignment horizontal="left" vertical="center"/>
      <protection hidden="1"/>
    </xf>
    <xf numFmtId="0" fontId="12" fillId="9" borderId="87" xfId="0" applyFont="1" applyFill="1" applyBorder="1" applyAlignment="1" applyProtection="1">
      <alignment horizontal="left" vertical="center"/>
      <protection hidden="1"/>
    </xf>
    <xf numFmtId="0" fontId="12" fillId="9" borderId="86" xfId="0" applyFont="1" applyFill="1" applyBorder="1" applyAlignment="1" applyProtection="1">
      <alignment horizontal="left" vertical="center"/>
      <protection hidden="1"/>
    </xf>
    <xf numFmtId="0" fontId="51" fillId="41" borderId="76" xfId="0" applyFont="1" applyFill="1" applyBorder="1" applyProtection="1">
      <protection locked="0"/>
    </xf>
    <xf numFmtId="0" fontId="51" fillId="41" borderId="78" xfId="0" applyFont="1" applyFill="1" applyBorder="1" applyProtection="1">
      <protection locked="0"/>
    </xf>
    <xf numFmtId="0" fontId="51" fillId="41" borderId="173" xfId="0" quotePrefix="1" applyFont="1" applyFill="1" applyBorder="1" applyAlignment="1" applyProtection="1">
      <alignment horizontal="left"/>
      <protection locked="0"/>
    </xf>
    <xf numFmtId="0" fontId="51" fillId="41" borderId="116" xfId="0" quotePrefix="1" applyFont="1" applyFill="1" applyBorder="1" applyProtection="1">
      <protection locked="0"/>
    </xf>
    <xf numFmtId="0" fontId="43" fillId="13" borderId="348" xfId="0" applyFont="1" applyFill="1" applyBorder="1" applyAlignment="1" applyProtection="1">
      <alignment horizontal="center" vertical="center"/>
      <protection hidden="1"/>
    </xf>
    <xf numFmtId="0" fontId="43" fillId="13" borderId="46" xfId="0" applyFont="1" applyFill="1" applyBorder="1" applyAlignment="1" applyProtection="1">
      <alignment horizontal="center" vertical="center"/>
      <protection hidden="1"/>
    </xf>
    <xf numFmtId="0" fontId="43" fillId="13" borderId="16" xfId="0" applyFont="1" applyFill="1" applyBorder="1" applyAlignment="1" applyProtection="1">
      <alignment horizontal="center" vertical="center"/>
      <protection hidden="1"/>
    </xf>
    <xf numFmtId="0" fontId="17" fillId="18" borderId="241" xfId="0" applyFont="1" applyFill="1" applyBorder="1" applyAlignment="1" applyProtection="1">
      <alignment horizontal="center"/>
      <protection hidden="1"/>
    </xf>
    <xf numFmtId="0" fontId="17" fillId="18" borderId="399" xfId="0" applyFont="1" applyFill="1" applyBorder="1" applyAlignment="1" applyProtection="1">
      <alignment horizontal="center"/>
      <protection hidden="1"/>
    </xf>
    <xf numFmtId="0" fontId="17" fillId="18" borderId="242" xfId="0" applyFont="1" applyFill="1" applyBorder="1" applyAlignment="1" applyProtection="1">
      <alignment horizontal="center"/>
      <protection hidden="1"/>
    </xf>
    <xf numFmtId="0" fontId="6" fillId="0" borderId="241" xfId="0" applyFont="1" applyBorder="1" applyAlignment="1" applyProtection="1">
      <alignment horizontal="center"/>
      <protection hidden="1"/>
    </xf>
    <xf numFmtId="0" fontId="6" fillId="0" borderId="242" xfId="0" applyFont="1" applyBorder="1" applyAlignment="1" applyProtection="1">
      <alignment horizontal="center"/>
      <protection hidden="1"/>
    </xf>
    <xf numFmtId="0" fontId="28" fillId="17" borderId="39" xfId="0" applyFont="1" applyFill="1" applyBorder="1" applyAlignment="1" applyProtection="1">
      <alignment horizontal="left" vertical="center"/>
      <protection hidden="1"/>
    </xf>
    <xf numFmtId="0" fontId="28" fillId="17" borderId="69" xfId="0" applyFont="1" applyFill="1" applyBorder="1" applyAlignment="1" applyProtection="1">
      <alignment horizontal="left" vertical="center"/>
      <protection hidden="1"/>
    </xf>
    <xf numFmtId="0" fontId="28" fillId="17" borderId="405" xfId="0" applyFont="1" applyFill="1" applyBorder="1" applyAlignment="1" applyProtection="1">
      <alignment horizontal="left" vertical="center"/>
      <protection hidden="1"/>
    </xf>
    <xf numFmtId="0" fontId="28" fillId="17" borderId="2" xfId="0" applyFont="1" applyFill="1" applyBorder="1" applyAlignment="1" applyProtection="1">
      <alignment horizontal="left" vertical="center"/>
      <protection hidden="1"/>
    </xf>
    <xf numFmtId="0" fontId="28" fillId="17" borderId="1" xfId="0" applyFont="1" applyFill="1" applyBorder="1" applyAlignment="1" applyProtection="1">
      <alignment horizontal="left" vertical="center"/>
      <protection hidden="1"/>
    </xf>
    <xf numFmtId="0" fontId="28" fillId="17" borderId="406" xfId="0" applyFont="1" applyFill="1" applyBorder="1" applyAlignment="1" applyProtection="1">
      <alignment horizontal="left" vertical="center"/>
      <protection hidden="1"/>
    </xf>
    <xf numFmtId="0" fontId="12" fillId="9" borderId="86" xfId="0" applyFont="1" applyFill="1" applyBorder="1" applyAlignment="1" applyProtection="1">
      <alignment horizontal="left" vertical="top" wrapText="1"/>
      <protection hidden="1"/>
    </xf>
    <xf numFmtId="0" fontId="12" fillId="9" borderId="0" xfId="0" applyFont="1" applyFill="1" applyAlignment="1" applyProtection="1">
      <alignment horizontal="left" vertical="top" wrapText="1"/>
      <protection hidden="1"/>
    </xf>
    <xf numFmtId="0" fontId="12" fillId="9" borderId="87" xfId="0" applyFont="1" applyFill="1" applyBorder="1" applyAlignment="1" applyProtection="1">
      <alignment horizontal="left" vertical="top" wrapText="1"/>
      <protection hidden="1"/>
    </xf>
    <xf numFmtId="0" fontId="51" fillId="41" borderId="173" xfId="0" quotePrefix="1" applyFont="1" applyFill="1" applyBorder="1" applyProtection="1">
      <protection locked="0"/>
    </xf>
    <xf numFmtId="0" fontId="51" fillId="41" borderId="173" xfId="0" applyFont="1" applyFill="1" applyBorder="1" applyProtection="1">
      <protection locked="0"/>
    </xf>
    <xf numFmtId="0" fontId="51" fillId="41" borderId="116" xfId="0" applyFont="1" applyFill="1" applyBorder="1" applyProtection="1">
      <protection locked="0"/>
    </xf>
    <xf numFmtId="0" fontId="12" fillId="9" borderId="86" xfId="0" applyFont="1" applyFill="1" applyBorder="1" applyAlignment="1" applyProtection="1">
      <alignment horizontal="left"/>
      <protection hidden="1"/>
    </xf>
    <xf numFmtId="0" fontId="12" fillId="9" borderId="0" xfId="0" applyFont="1" applyFill="1" applyAlignment="1" applyProtection="1">
      <alignment horizontal="left"/>
      <protection hidden="1"/>
    </xf>
    <xf numFmtId="0" fontId="12" fillId="9" borderId="87" xfId="0" applyFont="1" applyFill="1" applyBorder="1" applyAlignment="1" applyProtection="1">
      <alignment horizontal="left"/>
      <protection hidden="1"/>
    </xf>
    <xf numFmtId="0" fontId="52" fillId="41" borderId="76" xfId="0" quotePrefix="1" applyFont="1" applyFill="1" applyBorder="1" applyProtection="1">
      <protection locked="0"/>
    </xf>
    <xf numFmtId="0" fontId="52" fillId="41" borderId="78" xfId="0" quotePrefix="1" applyFont="1" applyFill="1" applyBorder="1" applyProtection="1">
      <protection locked="0"/>
    </xf>
    <xf numFmtId="0" fontId="51" fillId="41" borderId="207" xfId="0" quotePrefix="1" applyFont="1" applyFill="1" applyBorder="1" applyProtection="1">
      <protection locked="0"/>
    </xf>
    <xf numFmtId="0" fontId="51" fillId="41" borderId="118" xfId="0" quotePrefix="1" applyFont="1" applyFill="1" applyBorder="1" applyProtection="1">
      <protection locked="0"/>
    </xf>
    <xf numFmtId="0" fontId="21" fillId="34" borderId="43" xfId="0" quotePrefix="1" applyFont="1" applyFill="1" applyBorder="1" applyAlignment="1" applyProtection="1">
      <alignment horizontal="center" vertical="center" wrapText="1"/>
      <protection hidden="1"/>
    </xf>
    <xf numFmtId="0" fontId="21" fillId="34" borderId="42" xfId="0" quotePrefix="1" applyFont="1" applyFill="1" applyBorder="1" applyAlignment="1" applyProtection="1">
      <alignment horizontal="center" vertical="center" wrapText="1"/>
      <protection hidden="1"/>
    </xf>
    <xf numFmtId="0" fontId="21" fillId="34" borderId="1" xfId="0" quotePrefix="1" applyFont="1" applyFill="1" applyBorder="1" applyAlignment="1" applyProtection="1">
      <alignment horizontal="center" vertical="center" wrapText="1"/>
      <protection hidden="1"/>
    </xf>
    <xf numFmtId="0" fontId="21" fillId="34" borderId="4" xfId="0" quotePrefix="1" applyFont="1" applyFill="1" applyBorder="1" applyAlignment="1" applyProtection="1">
      <alignment horizontal="center" vertical="center" wrapText="1"/>
      <protection hidden="1"/>
    </xf>
    <xf numFmtId="0" fontId="51" fillId="41" borderId="154" xfId="0" applyFont="1" applyFill="1" applyBorder="1" applyProtection="1">
      <protection locked="0"/>
    </xf>
    <xf numFmtId="0" fontId="51" fillId="41" borderId="117" xfId="0" applyFont="1" applyFill="1" applyBorder="1" applyProtection="1">
      <protection locked="0"/>
    </xf>
    <xf numFmtId="0" fontId="16" fillId="9" borderId="119" xfId="0" quotePrefix="1" applyFont="1" applyFill="1" applyBorder="1" applyAlignment="1" applyProtection="1">
      <alignment horizontal="center" vertical="center" textRotation="90"/>
      <protection hidden="1"/>
    </xf>
    <xf numFmtId="0" fontId="16" fillId="9" borderId="120" xfId="0" quotePrefix="1" applyFont="1" applyFill="1" applyBorder="1" applyAlignment="1" applyProtection="1">
      <alignment horizontal="center" vertical="center" textRotation="90"/>
      <protection hidden="1"/>
    </xf>
    <xf numFmtId="0" fontId="16" fillId="9" borderId="113" xfId="0" quotePrefix="1" applyFont="1" applyFill="1" applyBorder="1" applyAlignment="1" applyProtection="1">
      <alignment horizontal="center" vertical="center" textRotation="90"/>
      <protection hidden="1"/>
    </xf>
    <xf numFmtId="2" fontId="40" fillId="0" borderId="83" xfId="0" applyNumberFormat="1" applyFont="1" applyBorder="1" applyAlignment="1" applyProtection="1">
      <alignment vertical="top"/>
      <protection hidden="1"/>
    </xf>
    <xf numFmtId="2" fontId="40" fillId="0" borderId="84" xfId="0" applyNumberFormat="1" applyFont="1" applyBorder="1" applyAlignment="1" applyProtection="1">
      <alignment vertical="top"/>
      <protection hidden="1"/>
    </xf>
    <xf numFmtId="2" fontId="40" fillId="0" borderId="85" xfId="0" applyNumberFormat="1" applyFont="1" applyBorder="1" applyAlignment="1" applyProtection="1">
      <alignment vertical="top"/>
      <protection hidden="1"/>
    </xf>
    <xf numFmtId="2" fontId="40" fillId="0" borderId="86" xfId="0" applyNumberFormat="1" applyFont="1" applyBorder="1" applyAlignment="1" applyProtection="1">
      <alignment vertical="top"/>
      <protection hidden="1"/>
    </xf>
    <xf numFmtId="2" fontId="40" fillId="0" borderId="0" xfId="0" applyNumberFormat="1" applyFont="1" applyAlignment="1" applyProtection="1">
      <alignment vertical="top"/>
      <protection hidden="1"/>
    </xf>
    <xf numFmtId="2" fontId="40" fillId="0" borderId="87" xfId="0" applyNumberFormat="1" applyFont="1" applyBorder="1" applyAlignment="1" applyProtection="1">
      <alignment vertical="top"/>
      <protection hidden="1"/>
    </xf>
    <xf numFmtId="2" fontId="40" fillId="0" borderId="79" xfId="0" applyNumberFormat="1" applyFont="1" applyBorder="1" applyAlignment="1" applyProtection="1">
      <alignment vertical="top"/>
      <protection hidden="1"/>
    </xf>
    <xf numFmtId="2" fontId="40" fillId="0" borderId="80" xfId="0" applyNumberFormat="1" applyFont="1" applyBorder="1" applyAlignment="1" applyProtection="1">
      <alignment vertical="top"/>
      <protection hidden="1"/>
    </xf>
    <xf numFmtId="2" fontId="40" fillId="0" borderId="81" xfId="0" applyNumberFormat="1" applyFont="1" applyBorder="1" applyAlignment="1" applyProtection="1">
      <alignment vertical="top"/>
      <protection hidden="1"/>
    </xf>
    <xf numFmtId="0" fontId="51" fillId="41" borderId="79" xfId="0" applyFont="1" applyFill="1" applyBorder="1" applyAlignment="1" applyProtection="1">
      <alignment horizontal="left"/>
      <protection locked="0"/>
    </xf>
    <xf numFmtId="0" fontId="51" fillId="41" borderId="81" xfId="0" applyFont="1" applyFill="1" applyBorder="1" applyAlignment="1" applyProtection="1">
      <alignment horizontal="left"/>
      <protection locked="0"/>
    </xf>
    <xf numFmtId="0" fontId="15" fillId="0" borderId="83" xfId="0" applyFont="1" applyBorder="1" applyAlignment="1" applyProtection="1">
      <alignment horizontal="left" vertical="top" wrapText="1"/>
      <protection hidden="1"/>
    </xf>
    <xf numFmtId="0" fontId="15" fillId="0" borderId="84" xfId="0" applyFont="1" applyBorder="1" applyAlignment="1" applyProtection="1">
      <alignment horizontal="left" vertical="top" wrapText="1"/>
      <protection hidden="1"/>
    </xf>
    <xf numFmtId="0" fontId="15" fillId="0" borderId="85" xfId="0" applyFont="1" applyBorder="1" applyAlignment="1" applyProtection="1">
      <alignment horizontal="left" vertical="top" wrapText="1"/>
      <protection hidden="1"/>
    </xf>
    <xf numFmtId="0" fontId="15" fillId="0" borderId="86" xfId="0" applyFont="1" applyBorder="1" applyAlignment="1" applyProtection="1">
      <alignment horizontal="left" vertical="top" wrapText="1"/>
      <protection hidden="1"/>
    </xf>
    <xf numFmtId="0" fontId="15" fillId="0" borderId="0" xfId="0" applyFont="1" applyAlignment="1" applyProtection="1">
      <alignment horizontal="left" vertical="top" wrapText="1"/>
      <protection hidden="1"/>
    </xf>
    <xf numFmtId="0" fontId="15" fillId="0" borderId="87" xfId="0" applyFont="1" applyBorder="1" applyAlignment="1" applyProtection="1">
      <alignment horizontal="left" vertical="top" wrapText="1"/>
      <protection hidden="1"/>
    </xf>
    <xf numFmtId="0" fontId="15" fillId="0" borderId="79" xfId="0" applyFont="1" applyBorder="1" applyAlignment="1" applyProtection="1">
      <alignment horizontal="left" vertical="top" wrapText="1"/>
      <protection hidden="1"/>
    </xf>
    <xf numFmtId="0" fontId="15" fillId="0" borderId="80" xfId="0" applyFont="1" applyBorder="1" applyAlignment="1" applyProtection="1">
      <alignment horizontal="left" vertical="top" wrapText="1"/>
      <protection hidden="1"/>
    </xf>
    <xf numFmtId="0" fontId="15" fillId="0" borderId="81" xfId="0" applyFont="1" applyBorder="1" applyAlignment="1" applyProtection="1">
      <alignment horizontal="left" vertical="top" wrapText="1"/>
      <protection hidden="1"/>
    </xf>
    <xf numFmtId="0" fontId="89" fillId="11" borderId="84" xfId="0" applyFont="1" applyFill="1" applyBorder="1" applyAlignment="1" applyProtection="1">
      <alignment horizontal="center" vertical="center"/>
      <protection hidden="1"/>
    </xf>
    <xf numFmtId="0" fontId="89" fillId="11" borderId="0" xfId="0" applyFont="1" applyFill="1" applyAlignment="1" applyProtection="1">
      <alignment horizontal="center" vertical="center"/>
      <protection hidden="1"/>
    </xf>
    <xf numFmtId="0" fontId="89" fillId="11" borderId="80" xfId="0" applyFont="1" applyFill="1" applyBorder="1" applyAlignment="1" applyProtection="1">
      <alignment horizontal="center" vertical="center"/>
      <protection hidden="1"/>
    </xf>
    <xf numFmtId="0" fontId="21" fillId="34" borderId="84" xfId="0" quotePrefix="1" applyFont="1" applyFill="1" applyBorder="1" applyAlignment="1" applyProtection="1">
      <alignment horizontal="left" vertical="center" wrapText="1"/>
      <protection hidden="1"/>
    </xf>
    <xf numFmtId="0" fontId="21" fillId="34" borderId="85" xfId="0" quotePrefix="1" applyFont="1" applyFill="1" applyBorder="1" applyAlignment="1" applyProtection="1">
      <alignment horizontal="left" vertical="center" wrapText="1"/>
      <protection hidden="1"/>
    </xf>
    <xf numFmtId="0" fontId="21" fillId="34" borderId="80" xfId="0" quotePrefix="1" applyFont="1" applyFill="1" applyBorder="1" applyAlignment="1" applyProtection="1">
      <alignment horizontal="left" vertical="center" wrapText="1"/>
      <protection hidden="1"/>
    </xf>
    <xf numFmtId="0" fontId="21" fillId="34" borderId="81" xfId="0" quotePrefix="1" applyFont="1" applyFill="1" applyBorder="1" applyAlignment="1" applyProtection="1">
      <alignment horizontal="left" vertical="center" wrapText="1"/>
      <protection hidden="1"/>
    </xf>
    <xf numFmtId="2" fontId="40" fillId="0" borderId="76" xfId="0" applyNumberFormat="1" applyFont="1" applyBorder="1" applyAlignment="1" applyProtection="1">
      <alignment horizontal="left"/>
      <protection hidden="1"/>
    </xf>
    <xf numFmtId="2" fontId="40" fillId="0" borderId="77" xfId="0" applyNumberFormat="1" applyFont="1" applyBorder="1" applyAlignment="1" applyProtection="1">
      <alignment horizontal="left"/>
      <protection hidden="1"/>
    </xf>
    <xf numFmtId="2" fontId="40" fillId="0" borderId="78" xfId="0" applyNumberFormat="1" applyFont="1" applyBorder="1" applyAlignment="1" applyProtection="1">
      <alignment horizontal="left"/>
      <protection hidden="1"/>
    </xf>
    <xf numFmtId="0" fontId="15" fillId="9" borderId="86" xfId="0" applyFont="1" applyFill="1" applyBorder="1" applyAlignment="1" applyProtection="1">
      <alignment horizontal="left"/>
      <protection hidden="1"/>
    </xf>
    <xf numFmtId="0" fontId="15" fillId="9" borderId="0" xfId="0" applyFont="1" applyFill="1" applyAlignment="1" applyProtection="1">
      <alignment horizontal="left"/>
      <protection hidden="1"/>
    </xf>
    <xf numFmtId="0" fontId="15" fillId="9" borderId="87" xfId="0" applyFont="1" applyFill="1" applyBorder="1" applyAlignment="1" applyProtection="1">
      <alignment horizontal="left"/>
      <protection hidden="1"/>
    </xf>
    <xf numFmtId="0" fontId="14" fillId="0" borderId="77" xfId="2" quotePrefix="1" applyFont="1" applyBorder="1" applyAlignment="1" applyProtection="1">
      <alignment horizontal="center" vertical="center"/>
      <protection hidden="1"/>
    </xf>
    <xf numFmtId="0" fontId="14" fillId="0" borderId="78" xfId="2" quotePrefix="1" applyFont="1" applyBorder="1" applyAlignment="1" applyProtection="1">
      <alignment horizontal="center" vertical="center"/>
      <protection hidden="1"/>
    </xf>
    <xf numFmtId="2" fontId="40" fillId="0" borderId="76" xfId="0" quotePrefix="1" applyNumberFormat="1" applyFont="1" applyBorder="1" applyAlignment="1" applyProtection="1">
      <alignment horizontal="left" vertical="top"/>
      <protection hidden="1"/>
    </xf>
    <xf numFmtId="2" fontId="40" fillId="0" borderId="77" xfId="0" quotePrefix="1" applyNumberFormat="1" applyFont="1" applyBorder="1" applyAlignment="1" applyProtection="1">
      <alignment horizontal="left" vertical="top"/>
      <protection hidden="1"/>
    </xf>
    <xf numFmtId="2" fontId="40" fillId="0" borderId="78" xfId="0" quotePrefix="1" applyNumberFormat="1" applyFont="1" applyBorder="1" applyAlignment="1" applyProtection="1">
      <alignment horizontal="left" vertical="top"/>
      <protection hidden="1"/>
    </xf>
    <xf numFmtId="0" fontId="6" fillId="41" borderId="483" xfId="0" applyFont="1" applyFill="1" applyBorder="1" applyAlignment="1" applyProtection="1">
      <alignment horizontal="left" vertical="top"/>
      <protection locked="0"/>
    </xf>
    <xf numFmtId="0" fontId="6" fillId="41" borderId="43" xfId="0" applyFont="1" applyFill="1" applyBorder="1" applyAlignment="1" applyProtection="1">
      <alignment horizontal="left" vertical="top"/>
      <protection locked="0"/>
    </xf>
    <xf numFmtId="0" fontId="6" fillId="41" borderId="484" xfId="0" applyFont="1" applyFill="1" applyBorder="1" applyAlignment="1" applyProtection="1">
      <alignment horizontal="left" vertical="top"/>
      <protection locked="0"/>
    </xf>
    <xf numFmtId="0" fontId="6" fillId="41" borderId="86" xfId="0" applyFont="1" applyFill="1" applyBorder="1" applyAlignment="1" applyProtection="1">
      <alignment horizontal="left" vertical="top"/>
      <protection locked="0"/>
    </xf>
    <xf numFmtId="0" fontId="6" fillId="41" borderId="0" xfId="0" applyFont="1" applyFill="1" applyAlignment="1" applyProtection="1">
      <alignment horizontal="left" vertical="top"/>
      <protection locked="0"/>
    </xf>
    <xf numFmtId="0" fontId="6" fillId="41" borderId="87" xfId="0" applyFont="1" applyFill="1" applyBorder="1" applyAlignment="1" applyProtection="1">
      <alignment horizontal="left" vertical="top"/>
      <protection locked="0"/>
    </xf>
    <xf numFmtId="0" fontId="6" fillId="41" borderId="79" xfId="0" applyFont="1" applyFill="1" applyBorder="1" applyAlignment="1" applyProtection="1">
      <alignment horizontal="left" vertical="top"/>
      <protection locked="0"/>
    </xf>
    <xf numFmtId="0" fontId="6" fillId="41" borderId="80" xfId="0" applyFont="1" applyFill="1" applyBorder="1" applyAlignment="1" applyProtection="1">
      <alignment horizontal="left" vertical="top"/>
      <protection locked="0"/>
    </xf>
    <xf numFmtId="0" fontId="6" fillId="41" borderId="81" xfId="0" applyFont="1" applyFill="1" applyBorder="1" applyAlignment="1" applyProtection="1">
      <alignment horizontal="left" vertical="top"/>
      <protection locked="0"/>
    </xf>
    <xf numFmtId="0" fontId="16" fillId="9" borderId="121" xfId="0" quotePrefix="1" applyFont="1" applyFill="1" applyBorder="1" applyAlignment="1" applyProtection="1">
      <alignment horizontal="center" vertical="center" textRotation="90"/>
      <protection hidden="1"/>
    </xf>
    <xf numFmtId="0" fontId="51" fillId="41" borderId="154" xfId="0" quotePrefix="1" applyFont="1" applyFill="1" applyBorder="1" applyAlignment="1" applyProtection="1">
      <alignment horizontal="left"/>
      <protection locked="0"/>
    </xf>
    <xf numFmtId="0" fontId="51" fillId="41" borderId="117" xfId="0" quotePrefix="1" applyFont="1" applyFill="1" applyBorder="1" applyAlignment="1" applyProtection="1">
      <alignment horizontal="left"/>
      <protection locked="0"/>
    </xf>
    <xf numFmtId="0" fontId="51" fillId="41" borderId="76" xfId="0" applyFont="1" applyFill="1" applyBorder="1" applyAlignment="1" applyProtection="1">
      <alignment horizontal="left" vertical="center"/>
      <protection locked="0"/>
    </xf>
    <xf numFmtId="0" fontId="51" fillId="41" borderId="78" xfId="0" applyFont="1" applyFill="1" applyBorder="1" applyAlignment="1" applyProtection="1">
      <alignment horizontal="left" vertical="center"/>
      <protection locked="0"/>
    </xf>
    <xf numFmtId="167" fontId="12" fillId="9" borderId="86" xfId="0" applyNumberFormat="1" applyFont="1" applyFill="1" applyBorder="1" applyAlignment="1" applyProtection="1">
      <alignment horizontal="left" vertical="top" wrapText="1"/>
      <protection hidden="1"/>
    </xf>
    <xf numFmtId="167" fontId="12" fillId="9" borderId="0" xfId="0" applyNumberFormat="1" applyFont="1" applyFill="1" applyAlignment="1" applyProtection="1">
      <alignment horizontal="left" vertical="top" wrapText="1"/>
      <protection hidden="1"/>
    </xf>
    <xf numFmtId="167" fontId="12" fillId="9" borderId="87" xfId="0" applyNumberFormat="1" applyFont="1" applyFill="1" applyBorder="1" applyAlignment="1" applyProtection="1">
      <alignment horizontal="left" vertical="top" wrapText="1"/>
      <protection hidden="1"/>
    </xf>
    <xf numFmtId="0" fontId="51" fillId="41" borderId="323" xfId="0" quotePrefix="1" applyFont="1" applyFill="1" applyBorder="1" applyProtection="1">
      <protection locked="0"/>
    </xf>
    <xf numFmtId="0" fontId="51" fillId="41" borderId="324" xfId="0" quotePrefix="1" applyFont="1" applyFill="1" applyBorder="1" applyProtection="1">
      <protection locked="0"/>
    </xf>
    <xf numFmtId="0" fontId="51" fillId="41" borderId="91" xfId="0" quotePrefix="1" applyFont="1" applyFill="1" applyBorder="1" applyAlignment="1" applyProtection="1">
      <alignment horizontal="left" vertical="center"/>
      <protection locked="0"/>
    </xf>
    <xf numFmtId="0" fontId="51" fillId="41" borderId="92" xfId="0" quotePrefix="1" applyFont="1" applyFill="1" applyBorder="1" applyAlignment="1" applyProtection="1">
      <alignment horizontal="left" vertical="center"/>
      <protection locked="0"/>
    </xf>
    <xf numFmtId="0" fontId="47" fillId="0" borderId="0" xfId="0" applyFont="1" applyAlignment="1" applyProtection="1">
      <alignment horizontal="center"/>
      <protection hidden="1"/>
    </xf>
    <xf numFmtId="0" fontId="87" fillId="0" borderId="190" xfId="0" applyFont="1" applyBorder="1" applyAlignment="1" applyProtection="1">
      <alignment horizontal="right"/>
      <protection hidden="1"/>
    </xf>
    <xf numFmtId="0" fontId="87" fillId="0" borderId="0" xfId="0" applyFont="1" applyAlignment="1" applyProtection="1">
      <alignment horizontal="right"/>
      <protection hidden="1"/>
    </xf>
    <xf numFmtId="0" fontId="12" fillId="9" borderId="83" xfId="0" applyFont="1" applyFill="1" applyBorder="1" applyAlignment="1" applyProtection="1">
      <alignment horizontal="center" vertical="center"/>
      <protection hidden="1"/>
    </xf>
    <xf numFmtId="0" fontId="12" fillId="9" borderId="84" xfId="0" applyFont="1" applyFill="1" applyBorder="1" applyAlignment="1" applyProtection="1">
      <alignment horizontal="center" vertical="center"/>
      <protection hidden="1"/>
    </xf>
    <xf numFmtId="0" fontId="12" fillId="9" borderId="85" xfId="0" applyFont="1" applyFill="1" applyBorder="1" applyAlignment="1" applyProtection="1">
      <alignment horizontal="center" vertical="center"/>
      <protection hidden="1"/>
    </xf>
    <xf numFmtId="167" fontId="12" fillId="9" borderId="0" xfId="0" applyNumberFormat="1" applyFont="1" applyFill="1" applyAlignment="1" applyProtection="1">
      <alignment horizontal="left" vertical="center"/>
      <protection hidden="1"/>
    </xf>
    <xf numFmtId="167" fontId="12" fillId="9" borderId="87" xfId="0" applyNumberFormat="1" applyFont="1" applyFill="1" applyBorder="1" applyAlignment="1" applyProtection="1">
      <alignment horizontal="left" vertical="center"/>
      <protection hidden="1"/>
    </xf>
    <xf numFmtId="0" fontId="12" fillId="9" borderId="86" xfId="0" applyFont="1" applyFill="1" applyBorder="1" applyAlignment="1" applyProtection="1">
      <alignment horizontal="left" vertical="top"/>
      <protection hidden="1"/>
    </xf>
    <xf numFmtId="0" fontId="12" fillId="9" borderId="0" xfId="0" applyFont="1" applyFill="1" applyAlignment="1" applyProtection="1">
      <alignment horizontal="left" vertical="top"/>
      <protection hidden="1"/>
    </xf>
    <xf numFmtId="0" fontId="12" fillId="9" borderId="87" xfId="0" applyFont="1" applyFill="1" applyBorder="1" applyAlignment="1" applyProtection="1">
      <alignment horizontal="left" vertical="top"/>
      <protection hidden="1"/>
    </xf>
    <xf numFmtId="14" fontId="87" fillId="0" borderId="194" xfId="0" quotePrefix="1" applyNumberFormat="1" applyFont="1" applyBorder="1" applyAlignment="1" applyProtection="1">
      <alignment horizontal="right" vertical="center"/>
      <protection hidden="1"/>
    </xf>
    <xf numFmtId="0" fontId="14" fillId="9" borderId="241" xfId="0" applyFont="1" applyFill="1" applyBorder="1" applyAlignment="1" applyProtection="1">
      <alignment horizontal="center" vertical="top"/>
      <protection hidden="1"/>
    </xf>
    <xf numFmtId="0" fontId="14" fillId="9" borderId="242" xfId="0" applyFont="1" applyFill="1" applyBorder="1" applyAlignment="1" applyProtection="1">
      <alignment horizontal="center" vertical="top"/>
      <protection hidden="1"/>
    </xf>
    <xf numFmtId="0" fontId="86" fillId="0" borderId="190" xfId="0" applyFont="1" applyBorder="1" applyAlignment="1" applyProtection="1">
      <alignment horizontal="center" vertical="center"/>
      <protection hidden="1"/>
    </xf>
    <xf numFmtId="0" fontId="86" fillId="0" borderId="0" xfId="0" applyFont="1" applyAlignment="1" applyProtection="1">
      <alignment horizontal="center" vertical="center"/>
      <protection hidden="1"/>
    </xf>
    <xf numFmtId="0" fontId="86" fillId="0" borderId="194" xfId="0" applyFont="1" applyBorder="1" applyAlignment="1" applyProtection="1">
      <alignment horizontal="center" vertical="center"/>
      <protection hidden="1"/>
    </xf>
    <xf numFmtId="0" fontId="14" fillId="0" borderId="80" xfId="2" quotePrefix="1" applyFont="1" applyBorder="1" applyAlignment="1" applyProtection="1">
      <alignment horizontal="center" vertical="center"/>
      <protection hidden="1"/>
    </xf>
    <xf numFmtId="0" fontId="14" fillId="0" borderId="0" xfId="2" quotePrefix="1" applyFont="1" applyAlignment="1" applyProtection="1">
      <alignment horizontal="center" vertical="center"/>
      <protection hidden="1"/>
    </xf>
    <xf numFmtId="0" fontId="60" fillId="2" borderId="2" xfId="0" applyFont="1" applyFill="1" applyBorder="1" applyAlignment="1">
      <alignment horizontal="center" vertical="top"/>
    </xf>
    <xf numFmtId="0" fontId="60" fillId="2" borderId="1" xfId="0" applyFont="1" applyFill="1" applyBorder="1" applyAlignment="1">
      <alignment horizontal="center" vertical="top"/>
    </xf>
    <xf numFmtId="0" fontId="60" fillId="33" borderId="2" xfId="0" applyFont="1" applyFill="1" applyBorder="1" applyAlignment="1">
      <alignment horizontal="center" vertical="top"/>
    </xf>
    <xf numFmtId="0" fontId="60" fillId="33" borderId="1" xfId="0" applyFont="1" applyFill="1" applyBorder="1" applyAlignment="1">
      <alignment horizontal="center" vertical="top"/>
    </xf>
    <xf numFmtId="0" fontId="60" fillId="33" borderId="4" xfId="0" applyFont="1" applyFill="1" applyBorder="1" applyAlignment="1">
      <alignment horizontal="center" vertical="top"/>
    </xf>
    <xf numFmtId="0" fontId="59" fillId="29" borderId="2" xfId="0" quotePrefix="1" applyFont="1" applyFill="1" applyBorder="1" applyAlignment="1">
      <alignment horizontal="center" vertical="top"/>
    </xf>
    <xf numFmtId="0" fontId="59" fillId="29" borderId="1" xfId="0" applyFont="1" applyFill="1" applyBorder="1" applyAlignment="1">
      <alignment horizontal="center" vertical="top"/>
    </xf>
    <xf numFmtId="0" fontId="59" fillId="29" borderId="4" xfId="0" applyFont="1" applyFill="1" applyBorder="1" applyAlignment="1">
      <alignment horizontal="center" vertical="top"/>
    </xf>
    <xf numFmtId="0" fontId="59" fillId="22" borderId="5" xfId="0" quotePrefix="1" applyFont="1" applyFill="1" applyBorder="1" applyAlignment="1">
      <alignment horizontal="center" vertical="top"/>
    </xf>
    <xf numFmtId="0" fontId="59" fillId="22" borderId="0" xfId="0" quotePrefix="1" applyFont="1" applyFill="1" applyAlignment="1">
      <alignment horizontal="center" vertical="top"/>
    </xf>
    <xf numFmtId="0" fontId="57" fillId="32" borderId="5" xfId="0" applyFont="1" applyFill="1" applyBorder="1" applyAlignment="1">
      <alignment horizontal="center" vertical="center"/>
    </xf>
    <xf numFmtId="0" fontId="57" fillId="32" borderId="0" xfId="0" applyFont="1" applyFill="1" applyAlignment="1">
      <alignment horizontal="center" vertical="center"/>
    </xf>
    <xf numFmtId="0" fontId="72" fillId="49" borderId="1" xfId="0" applyFont="1" applyFill="1" applyBorder="1" applyAlignment="1">
      <alignment horizontal="center"/>
    </xf>
    <xf numFmtId="0" fontId="72" fillId="49" borderId="277" xfId="0" applyFont="1" applyFill="1" applyBorder="1" applyAlignment="1">
      <alignment horizontal="center"/>
    </xf>
    <xf numFmtId="0" fontId="68" fillId="12" borderId="49" xfId="0" applyFont="1" applyFill="1" applyBorder="1" applyAlignment="1">
      <alignment horizontal="left" vertical="top" wrapText="1"/>
    </xf>
    <xf numFmtId="0" fontId="62" fillId="15" borderId="62" xfId="0" quotePrefix="1" applyFont="1" applyFill="1" applyBorder="1" applyAlignment="1">
      <alignment horizontal="center" vertical="top" wrapText="1"/>
    </xf>
    <xf numFmtId="0" fontId="62" fillId="15" borderId="16" xfId="0" quotePrefix="1" applyFont="1" applyFill="1" applyBorder="1" applyAlignment="1">
      <alignment horizontal="center" vertical="top" wrapText="1"/>
    </xf>
    <xf numFmtId="0" fontId="66" fillId="0" borderId="1" xfId="0" applyFont="1" applyBorder="1" applyAlignment="1">
      <alignment horizontal="center"/>
    </xf>
    <xf numFmtId="0" fontId="72" fillId="32" borderId="5" xfId="0" applyFont="1" applyFill="1" applyBorder="1" applyAlignment="1">
      <alignment horizontal="center"/>
    </xf>
    <xf numFmtId="0" fontId="72" fillId="32" borderId="0" xfId="0" applyFont="1" applyFill="1" applyAlignment="1">
      <alignment horizontal="center"/>
    </xf>
    <xf numFmtId="0" fontId="62" fillId="15" borderId="5" xfId="0" quotePrefix="1" applyFont="1" applyFill="1" applyBorder="1" applyAlignment="1">
      <alignment horizontal="center" vertical="center"/>
    </xf>
    <xf numFmtId="0" fontId="62" fillId="15" borderId="0" xfId="0" quotePrefix="1" applyFont="1" applyFill="1" applyAlignment="1">
      <alignment horizontal="center" vertical="center"/>
    </xf>
    <xf numFmtId="0" fontId="57" fillId="32" borderId="5" xfId="0" quotePrefix="1" applyFont="1" applyFill="1" applyBorder="1" applyAlignment="1">
      <alignment horizontal="center" vertical="center"/>
    </xf>
    <xf numFmtId="0" fontId="57" fillId="32" borderId="0" xfId="0" quotePrefix="1" applyFont="1" applyFill="1" applyAlignment="1">
      <alignment horizontal="center" vertical="center"/>
    </xf>
    <xf numFmtId="0" fontId="72" fillId="32" borderId="13" xfId="0" applyFont="1" applyFill="1" applyBorder="1" applyAlignment="1">
      <alignment horizontal="center"/>
    </xf>
    <xf numFmtId="0" fontId="72" fillId="32" borderId="46" xfId="0" applyFont="1" applyFill="1" applyBorder="1" applyAlignment="1">
      <alignment horizontal="center"/>
    </xf>
    <xf numFmtId="0" fontId="72" fillId="32" borderId="16" xfId="0" applyFont="1" applyFill="1" applyBorder="1" applyAlignment="1">
      <alignment horizontal="center"/>
    </xf>
    <xf numFmtId="0" fontId="57" fillId="32" borderId="13" xfId="0" applyFont="1" applyFill="1" applyBorder="1" applyAlignment="1">
      <alignment horizontal="center" vertical="center"/>
    </xf>
    <xf numFmtId="0" fontId="57" fillId="32" borderId="46" xfId="0" applyFont="1" applyFill="1" applyBorder="1" applyAlignment="1">
      <alignment horizontal="center" vertical="center"/>
    </xf>
    <xf numFmtId="0" fontId="23" fillId="21" borderId="45" xfId="0" applyFont="1" applyFill="1" applyBorder="1" applyAlignment="1">
      <alignment horizontal="center"/>
    </xf>
    <xf numFmtId="0" fontId="23" fillId="21" borderId="43" xfId="0" applyFont="1" applyFill="1" applyBorder="1" applyAlignment="1">
      <alignment horizontal="center"/>
    </xf>
    <xf numFmtId="0" fontId="23" fillId="21" borderId="46" xfId="0" applyFont="1" applyFill="1" applyBorder="1" applyAlignment="1">
      <alignment horizontal="center"/>
    </xf>
    <xf numFmtId="0" fontId="23" fillId="21" borderId="16" xfId="0" applyFont="1" applyFill="1" applyBorder="1" applyAlignment="1">
      <alignment horizontal="center"/>
    </xf>
    <xf numFmtId="0" fontId="4" fillId="9" borderId="183" xfId="0" quotePrefix="1" applyFont="1" applyFill="1" applyBorder="1" applyAlignment="1">
      <alignment horizontal="center"/>
    </xf>
    <xf numFmtId="0" fontId="4" fillId="9" borderId="74" xfId="0" applyFont="1" applyFill="1" applyBorder="1" applyAlignment="1">
      <alignment horizontal="center"/>
    </xf>
    <xf numFmtId="0" fontId="4" fillId="9" borderId="184" xfId="0" applyFont="1" applyFill="1" applyBorder="1" applyAlignment="1">
      <alignment horizontal="center"/>
    </xf>
    <xf numFmtId="0" fontId="7" fillId="15" borderId="128" xfId="0" quotePrefix="1" applyFont="1" applyFill="1" applyBorder="1" applyAlignment="1">
      <alignment horizontal="center" vertical="top" wrapText="1"/>
    </xf>
    <xf numFmtId="0" fontId="7" fillId="15" borderId="129" xfId="0" quotePrefix="1" applyFont="1" applyFill="1" applyBorder="1" applyAlignment="1">
      <alignment horizontal="center" vertical="top" wrapText="1"/>
    </xf>
    <xf numFmtId="0" fontId="4" fillId="18" borderId="2" xfId="0" quotePrefix="1" applyFont="1" applyFill="1" applyBorder="1" applyAlignment="1">
      <alignment horizontal="center"/>
    </xf>
    <xf numFmtId="0" fontId="4" fillId="18" borderId="1" xfId="0" quotePrefix="1" applyFont="1" applyFill="1" applyBorder="1" applyAlignment="1">
      <alignment horizontal="center"/>
    </xf>
    <xf numFmtId="0" fontId="4" fillId="6" borderId="13" xfId="0" applyFont="1" applyFill="1" applyBorder="1" applyAlignment="1">
      <alignment horizontal="center"/>
    </xf>
    <xf numFmtId="0" fontId="4" fillId="6" borderId="46" xfId="0" applyFont="1" applyFill="1" applyBorder="1" applyAlignment="1">
      <alignment horizontal="center"/>
    </xf>
    <xf numFmtId="0" fontId="4" fillId="6" borderId="16" xfId="0" applyFont="1" applyFill="1" applyBorder="1" applyAlignment="1">
      <alignment horizontal="center"/>
    </xf>
    <xf numFmtId="0" fontId="4" fillId="13" borderId="13" xfId="0" applyFont="1" applyFill="1" applyBorder="1" applyAlignment="1">
      <alignment horizontal="center"/>
    </xf>
    <xf numFmtId="0" fontId="4" fillId="13" borderId="46" xfId="0" applyFont="1" applyFill="1" applyBorder="1" applyAlignment="1">
      <alignment horizontal="center"/>
    </xf>
    <xf numFmtId="0" fontId="4" fillId="13" borderId="16" xfId="0" applyFont="1" applyFill="1" applyBorder="1" applyAlignment="1">
      <alignment horizontal="center"/>
    </xf>
    <xf numFmtId="0" fontId="22" fillId="15" borderId="2" xfId="0" applyFont="1" applyFill="1" applyBorder="1" applyAlignment="1">
      <alignment horizontal="center"/>
    </xf>
    <xf numFmtId="0" fontId="22" fillId="15" borderId="1" xfId="0" applyFont="1" applyFill="1" applyBorder="1" applyAlignment="1">
      <alignment horizontal="center"/>
    </xf>
    <xf numFmtId="0" fontId="22" fillId="15" borderId="4" xfId="0" applyFont="1" applyFill="1" applyBorder="1" applyAlignment="1">
      <alignment horizontal="center"/>
    </xf>
    <xf numFmtId="0" fontId="72" fillId="49" borderId="1" xfId="0" quotePrefix="1" applyFont="1" applyFill="1" applyBorder="1" applyAlignment="1">
      <alignment horizontal="center"/>
    </xf>
    <xf numFmtId="0" fontId="72" fillId="49" borderId="86" xfId="0" quotePrefix="1" applyFont="1" applyFill="1" applyBorder="1" applyAlignment="1">
      <alignment horizontal="center"/>
    </xf>
    <xf numFmtId="0" fontId="72" fillId="49" borderId="0" xfId="0" quotePrefix="1" applyFont="1" applyFill="1" applyAlignment="1">
      <alignment horizontal="center"/>
    </xf>
    <xf numFmtId="0" fontId="78" fillId="21" borderId="0" xfId="0" applyFont="1" applyFill="1" applyAlignment="1">
      <alignment horizontal="center" vertical="center" wrapText="1"/>
    </xf>
    <xf numFmtId="0" fontId="27" fillId="21" borderId="0" xfId="0" applyFont="1" applyFill="1" applyAlignment="1">
      <alignment horizontal="center"/>
    </xf>
    <xf numFmtId="0" fontId="76" fillId="21" borderId="5" xfId="0" applyFont="1" applyFill="1" applyBorder="1" applyAlignment="1">
      <alignment horizontal="center" vertical="top" wrapText="1"/>
    </xf>
    <xf numFmtId="0" fontId="76" fillId="21" borderId="0" xfId="0" applyFont="1" applyFill="1" applyAlignment="1">
      <alignment horizontal="center" vertical="top" wrapText="1"/>
    </xf>
    <xf numFmtId="0" fontId="6" fillId="5" borderId="288" xfId="0" applyFont="1" applyFill="1" applyBorder="1" applyAlignment="1">
      <alignment horizontal="left" vertical="top" wrapText="1"/>
    </xf>
    <xf numFmtId="0" fontId="6" fillId="5" borderId="286" xfId="0" applyFont="1" applyFill="1" applyBorder="1" applyAlignment="1">
      <alignment horizontal="left" vertical="top" wrapText="1"/>
    </xf>
    <xf numFmtId="0" fontId="17" fillId="0" borderId="0" xfId="0" applyFont="1" applyAlignment="1">
      <alignment horizontal="center"/>
    </xf>
    <xf numFmtId="0" fontId="43" fillId="32" borderId="45" xfId="0" applyFont="1" applyFill="1" applyBorder="1" applyAlignment="1" applyProtection="1">
      <alignment horizontal="center"/>
      <protection hidden="1"/>
    </xf>
    <xf numFmtId="0" fontId="43" fillId="32" borderId="16" xfId="0" applyFont="1" applyFill="1" applyBorder="1" applyAlignment="1" applyProtection="1">
      <alignment horizontal="center"/>
      <protection hidden="1"/>
    </xf>
    <xf numFmtId="0" fontId="43" fillId="32" borderId="327" xfId="0" applyFont="1" applyFill="1" applyBorder="1" applyAlignment="1" applyProtection="1">
      <alignment horizontal="center" wrapText="1"/>
      <protection hidden="1"/>
    </xf>
    <xf numFmtId="0" fontId="43" fillId="32" borderId="368" xfId="0" applyFont="1" applyFill="1" applyBorder="1" applyAlignment="1" applyProtection="1">
      <alignment horizontal="center" wrapText="1"/>
      <protection hidden="1"/>
    </xf>
    <xf numFmtId="0" fontId="17" fillId="0" borderId="1" xfId="0" applyFont="1" applyBorder="1" applyAlignment="1">
      <alignment horizontal="left"/>
    </xf>
  </cellXfs>
  <cellStyles count="6">
    <cellStyle name="Hyperlink" xfId="4" builtinId="8"/>
    <cellStyle name="Normal" xfId="0" builtinId="0"/>
    <cellStyle name="Normal 2" xfId="3" xr:uid="{DD8DF290-121F-4B86-B09B-2C3D4A0E640E}"/>
    <cellStyle name="Normal 29 2 2 3" xfId="2" xr:uid="{B231949C-6BBD-4C1F-92EA-B6E61F1C0ABA}"/>
    <cellStyle name="Normal 29 2 2 3 3 2 3 2 3" xfId="5" xr:uid="{ACD95A1F-685D-4D20-8D68-DF0C05BDE341}"/>
    <cellStyle name="Percent" xfId="1" builtinId="5"/>
  </cellStyles>
  <dxfs count="241">
    <dxf>
      <font>
        <color rgb="FF9C0006"/>
      </font>
      <fill>
        <patternFill>
          <bgColor rgb="FFFFC7CE"/>
        </patternFill>
      </fill>
    </dxf>
    <dxf>
      <fill>
        <patternFill>
          <bgColor theme="7" tint="0.79998168889431442"/>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theme="7" tint="0.79998168889431442"/>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dxf>
    <dxf>
      <fill>
        <patternFill>
          <bgColor rgb="FFFFFF00"/>
        </patternFill>
      </fill>
    </dxf>
    <dxf>
      <fill>
        <patternFill>
          <bgColor theme="7" tint="0.79998168889431442"/>
        </patternFill>
      </fill>
    </dxf>
    <dxf>
      <fill>
        <patternFill>
          <bgColor theme="9" tint="0.79998168889431442"/>
        </patternFill>
      </fill>
    </dxf>
    <dxf>
      <fill>
        <patternFill>
          <bgColor theme="8" tint="0.79998168889431442"/>
        </patternFill>
      </fill>
    </dxf>
    <dxf>
      <fill>
        <patternFill>
          <bgColor theme="5" tint="0.79998168889431442"/>
        </patternFill>
      </fill>
    </dxf>
    <dxf>
      <fill>
        <patternFill>
          <bgColor rgb="FFEFE5F7"/>
        </patternFill>
      </fill>
    </dxf>
    <dxf>
      <fill>
        <patternFill>
          <bgColor theme="5" tint="0.59996337778862885"/>
        </patternFill>
      </fill>
    </dxf>
    <dxf>
      <fill>
        <patternFill>
          <bgColor rgb="FFFFB3B3"/>
        </patternFill>
      </fill>
    </dxf>
    <dxf>
      <fill>
        <patternFill>
          <bgColor rgb="FFFFFF00"/>
        </patternFill>
      </fill>
    </dxf>
    <dxf>
      <font>
        <b/>
        <i val="0"/>
        <color rgb="FFC00000"/>
      </font>
    </dxf>
    <dxf>
      <font>
        <b/>
        <i val="0"/>
        <color rgb="FFC00000"/>
      </font>
    </dxf>
    <dxf>
      <fill>
        <patternFill>
          <bgColor rgb="FFFFFF00"/>
        </patternFill>
      </fill>
    </dxf>
    <dxf>
      <fill>
        <patternFill>
          <bgColor rgb="FFFFFF00"/>
        </patternFill>
      </fill>
    </dxf>
    <dxf>
      <font>
        <b/>
        <i val="0"/>
        <color rgb="FFC00000"/>
      </font>
    </dxf>
    <dxf>
      <fill>
        <patternFill>
          <bgColor rgb="FFFFFF00"/>
        </patternFill>
      </fill>
    </dxf>
    <dxf>
      <font>
        <b/>
        <i val="0"/>
        <color rgb="FFC00000"/>
      </font>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C0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theme="0"/>
      </font>
      <fill>
        <patternFill>
          <bgColor theme="0"/>
        </patternFill>
      </fill>
      <border>
        <left/>
        <right/>
        <top/>
        <bottom/>
      </border>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rgb="FF9C0006"/>
      </font>
      <fill>
        <patternFill>
          <bgColor rgb="FFFFC7CE"/>
        </patternFill>
      </fill>
    </dxf>
    <dxf>
      <font>
        <color theme="0"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b/>
        <i val="0"/>
        <color rgb="FFC00000"/>
      </font>
    </dxf>
    <dxf>
      <font>
        <b/>
        <i val="0"/>
        <color rgb="FFC00000"/>
      </font>
    </dxf>
    <dxf>
      <fill>
        <patternFill>
          <bgColor rgb="FFFFFF00"/>
        </patternFill>
      </fill>
    </dxf>
    <dxf>
      <fill>
        <patternFill>
          <bgColor rgb="FFFFFF00"/>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rgb="FFEFE5F7"/>
        </patternFill>
      </fill>
    </dxf>
    <dxf>
      <fill>
        <patternFill>
          <bgColor theme="5" tint="0.59996337778862885"/>
        </patternFill>
      </fill>
    </dxf>
    <dxf>
      <fill>
        <patternFill>
          <bgColor rgb="FFFFB3B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54F"/>
      <color rgb="FFDFDA00"/>
      <color rgb="FFE20000"/>
      <color rgb="FF0A4438"/>
      <color rgb="FFFFFF93"/>
      <color rgb="FFFEFCCE"/>
      <color rgb="FFEBE600"/>
      <color rgb="FF006C52"/>
      <color rgb="FFFF2121"/>
      <color rgb="FFFF5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27709</xdr:colOff>
      <xdr:row>1</xdr:row>
      <xdr:rowOff>20781</xdr:rowOff>
    </xdr:from>
    <xdr:to>
      <xdr:col>6</xdr:col>
      <xdr:colOff>209734</xdr:colOff>
      <xdr:row>5</xdr:row>
      <xdr:rowOff>110837</xdr:rowOff>
    </xdr:to>
    <xdr:pic>
      <xdr:nvPicPr>
        <xdr:cNvPr id="2" name="Picture 1">
          <a:extLst>
            <a:ext uri="{FF2B5EF4-FFF2-40B4-BE49-F238E27FC236}">
              <a16:creationId xmlns:a16="http://schemas.microsoft.com/office/drawing/2014/main" id="{7DBD75E0-E307-42D3-BA9C-892230F6EE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873" y="62345"/>
          <a:ext cx="1906916" cy="6165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89</xdr:col>
      <xdr:colOff>0</xdr:colOff>
      <xdr:row>657</xdr:row>
      <xdr:rowOff>0</xdr:rowOff>
    </xdr:from>
    <xdr:to>
      <xdr:col>108</xdr:col>
      <xdr:colOff>595409</xdr:colOff>
      <xdr:row>704</xdr:row>
      <xdr:rowOff>69114</xdr:rowOff>
    </xdr:to>
    <xdr:pic>
      <xdr:nvPicPr>
        <xdr:cNvPr id="8" name="Picture 7">
          <a:extLst>
            <a:ext uri="{FF2B5EF4-FFF2-40B4-BE49-F238E27FC236}">
              <a16:creationId xmlns:a16="http://schemas.microsoft.com/office/drawing/2014/main" id="{CACE0B93-4125-C037-C22D-114F054BD699}"/>
            </a:ext>
          </a:extLst>
        </xdr:cNvPr>
        <xdr:cNvPicPr>
          <a:picLocks noChangeAspect="1"/>
        </xdr:cNvPicPr>
      </xdr:nvPicPr>
      <xdr:blipFill>
        <a:blip xmlns:r="http://schemas.openxmlformats.org/officeDocument/2006/relationships" r:embed="rId1"/>
        <a:stretch>
          <a:fillRect/>
        </a:stretch>
      </xdr:blipFill>
      <xdr:spPr>
        <a:xfrm>
          <a:off x="31927800" y="64533780"/>
          <a:ext cx="12101609" cy="6157494"/>
        </a:xfrm>
        <a:prstGeom prst="rect">
          <a:avLst/>
        </a:prstGeom>
      </xdr:spPr>
    </xdr:pic>
    <xdr:clientData/>
  </xdr:twoCellAnchor>
  <xdr:twoCellAnchor editAs="oneCell">
    <xdr:from>
      <xdr:col>11</xdr:col>
      <xdr:colOff>388621</xdr:colOff>
      <xdr:row>1634</xdr:row>
      <xdr:rowOff>45720</xdr:rowOff>
    </xdr:from>
    <xdr:to>
      <xdr:col>20</xdr:col>
      <xdr:colOff>342901</xdr:colOff>
      <xdr:row>1653</xdr:row>
      <xdr:rowOff>111461</xdr:rowOff>
    </xdr:to>
    <xdr:pic>
      <xdr:nvPicPr>
        <xdr:cNvPr id="3" name="Picture 2">
          <a:extLst>
            <a:ext uri="{FF2B5EF4-FFF2-40B4-BE49-F238E27FC236}">
              <a16:creationId xmlns:a16="http://schemas.microsoft.com/office/drawing/2014/main" id="{0AF42E78-3DA4-5A88-0475-6B6986BD7361}"/>
            </a:ext>
          </a:extLst>
        </xdr:cNvPr>
        <xdr:cNvPicPr>
          <a:picLocks noChangeAspect="1"/>
        </xdr:cNvPicPr>
      </xdr:nvPicPr>
      <xdr:blipFill>
        <a:blip xmlns:r="http://schemas.openxmlformats.org/officeDocument/2006/relationships" r:embed="rId2"/>
        <a:stretch>
          <a:fillRect/>
        </a:stretch>
      </xdr:blipFill>
      <xdr:spPr>
        <a:xfrm>
          <a:off x="8221981" y="4343400"/>
          <a:ext cx="7254240" cy="2267921"/>
        </a:xfrm>
        <a:prstGeom prst="rect">
          <a:avLst/>
        </a:prstGeom>
      </xdr:spPr>
    </xdr:pic>
    <xdr:clientData/>
  </xdr:twoCellAnchor>
  <xdr:twoCellAnchor editAs="oneCell">
    <xdr:from>
      <xdr:col>3</xdr:col>
      <xdr:colOff>129540</xdr:colOff>
      <xdr:row>1634</xdr:row>
      <xdr:rowOff>0</xdr:rowOff>
    </xdr:from>
    <xdr:to>
      <xdr:col>12</xdr:col>
      <xdr:colOff>738018</xdr:colOff>
      <xdr:row>1669</xdr:row>
      <xdr:rowOff>61420</xdr:rowOff>
    </xdr:to>
    <xdr:pic>
      <xdr:nvPicPr>
        <xdr:cNvPr id="4" name="Picture 3">
          <a:extLst>
            <a:ext uri="{FF2B5EF4-FFF2-40B4-BE49-F238E27FC236}">
              <a16:creationId xmlns:a16="http://schemas.microsoft.com/office/drawing/2014/main" id="{F6EDBC95-3656-A290-3C4E-DE6B1D7D13FE}"/>
            </a:ext>
          </a:extLst>
        </xdr:cNvPr>
        <xdr:cNvPicPr>
          <a:picLocks noChangeAspect="1"/>
        </xdr:cNvPicPr>
      </xdr:nvPicPr>
      <xdr:blipFill>
        <a:blip xmlns:r="http://schemas.openxmlformats.org/officeDocument/2006/relationships" r:embed="rId3"/>
        <a:stretch>
          <a:fillRect/>
        </a:stretch>
      </xdr:blipFill>
      <xdr:spPr>
        <a:xfrm>
          <a:off x="2377440" y="4297680"/>
          <a:ext cx="7321698" cy="409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800100</xdr:colOff>
      <xdr:row>332</xdr:row>
      <xdr:rowOff>38100</xdr:rowOff>
    </xdr:from>
    <xdr:to>
      <xdr:col>30</xdr:col>
      <xdr:colOff>320751</xdr:colOff>
      <xdr:row>364</xdr:row>
      <xdr:rowOff>46182</xdr:rowOff>
    </xdr:to>
    <xdr:pic>
      <xdr:nvPicPr>
        <xdr:cNvPr id="3" name="Picture 2">
          <a:extLst>
            <a:ext uri="{FF2B5EF4-FFF2-40B4-BE49-F238E27FC236}">
              <a16:creationId xmlns:a16="http://schemas.microsoft.com/office/drawing/2014/main" id="{311FEF67-FC99-49FA-87C7-8F962885D5F4}"/>
            </a:ext>
          </a:extLst>
        </xdr:cNvPr>
        <xdr:cNvPicPr>
          <a:picLocks noChangeAspect="1"/>
        </xdr:cNvPicPr>
      </xdr:nvPicPr>
      <xdr:blipFill>
        <a:blip xmlns:r="http://schemas.openxmlformats.org/officeDocument/2006/relationships" r:embed="rId1"/>
        <a:stretch>
          <a:fillRect/>
        </a:stretch>
      </xdr:blipFill>
      <xdr:spPr>
        <a:xfrm>
          <a:off x="11262360" y="41620440"/>
          <a:ext cx="7369251" cy="41533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777710</xdr:colOff>
      <xdr:row>34</xdr:row>
      <xdr:rowOff>21452</xdr:rowOff>
    </xdr:from>
    <xdr:to>
      <xdr:col>13</xdr:col>
      <xdr:colOff>462137</xdr:colOff>
      <xdr:row>73</xdr:row>
      <xdr:rowOff>41992</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777710" y="4247803"/>
          <a:ext cx="7948592" cy="4922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CapitalMarkets\Pricing\01_Source\Pricing_Source_Detail.xlsx" TargetMode="External"/><Relationship Id="rId1" Type="http://schemas.openxmlformats.org/officeDocument/2006/relationships/externalLinkPath" Target="/CapitalMarkets/Pricing/01_Source/Pricing_Source_Deta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ing"/>
      <sheetName val="LoanTest"/>
      <sheetName val="Spreads"/>
      <sheetName val="State"/>
      <sheetName val="BasePricing"/>
      <sheetName val="Treasury"/>
      <sheetName val="Archive"/>
    </sheetNames>
    <definedNames>
      <definedName name="Corr_PL_Incentive_PN" refersTo="='Spreads'!$J$5"/>
      <definedName name="DE_ARM05_P01" refersTo="='Pricing'!$BG$8"/>
      <definedName name="DE_ARM05_P02" refersTo="='Pricing'!$BG$9"/>
      <definedName name="DE_ARM05_P03" refersTo="='Pricing'!$BG$10"/>
      <definedName name="DE_ARM05_P04" refersTo="='Pricing'!$BG$11"/>
      <definedName name="DE_ARM05_P05" refersTo="='Pricing'!$BG$12"/>
      <definedName name="DE_ARM05_P06" refersTo="='Pricing'!$BG$13"/>
      <definedName name="DE_ARM05_P07" refersTo="='Pricing'!$BG$14"/>
      <definedName name="DE_ARM05_P08" refersTo="='Pricing'!$BG$15"/>
      <definedName name="DE_ARM05_P09" refersTo="='Pricing'!$BG$16"/>
      <definedName name="DE_ARM05_P10" refersTo="='Pricing'!$BG$17"/>
      <definedName name="DE_ARM05_P11" refersTo="='Pricing'!$BG$18"/>
      <definedName name="DE_ARM05_P12" refersTo="='Pricing'!$BG$19"/>
      <definedName name="DE_ARM05_P13" refersTo="='Pricing'!$BG$20"/>
      <definedName name="DE_ARM05_P14" refersTo="='Pricing'!$BG$21"/>
      <definedName name="DE_ARM05_P15" refersTo="='Pricing'!$BG$22"/>
      <definedName name="DE_ARM05_P16" refersTo="='Pricing'!$BG$23"/>
      <definedName name="DE_ARM05_P17" refersTo="='Pricing'!$BG$24"/>
      <definedName name="DE_ARM05_P18" refersTo="='Pricing'!$BG$25"/>
      <definedName name="DE_ARM05_P19" refersTo="='Pricing'!$BG$26"/>
      <definedName name="DE_ARM05_P20" refersTo="='Pricing'!$BG$27"/>
      <definedName name="DE_ARM05_P21" refersTo="='Pricing'!$BG$28"/>
      <definedName name="DE_ARM05_P22" refersTo="='Pricing'!$BG$29"/>
      <definedName name="DE_ARM05_P23" refersTo="='Pricing'!$BG$30"/>
      <definedName name="DE_FRM30_P01" refersTo="='Pricing'!$BH$8"/>
      <definedName name="DE_FRM30_P02" refersTo="='Pricing'!$BH$9"/>
      <definedName name="DE_FRM30_P03" refersTo="='Pricing'!$BH$10"/>
      <definedName name="DE_FRM30_P04" refersTo="='Pricing'!$BH$11"/>
      <definedName name="DE_FRM30_P05" refersTo="='Pricing'!$BH$12"/>
      <definedName name="DE_FRM30_P06" refersTo="='Pricing'!$BH$13"/>
      <definedName name="DE_FRM30_P07" refersTo="='Pricing'!$BH$14"/>
      <definedName name="DE_FRM30_P08" refersTo="='Pricing'!$BH$15"/>
      <definedName name="DE_FRM30_P09" refersTo="='Pricing'!$BH$16"/>
      <definedName name="DE_FRM30_P10" refersTo="='Pricing'!$BH$17"/>
      <definedName name="DE_FRM30_P11" refersTo="='Pricing'!$BH$18"/>
      <definedName name="DE_FRM30_P12" refersTo="='Pricing'!$BH$19"/>
      <definedName name="DE_FRM30_P13" refersTo="='Pricing'!$BH$20"/>
      <definedName name="DE_FRM30_P14" refersTo="='Pricing'!$BH$21"/>
      <definedName name="DE_FRM30_P15" refersTo="='Pricing'!$BH$22"/>
      <definedName name="DE_FRM30_P16" refersTo="='Pricing'!$BH$23"/>
      <definedName name="DE_FRM30_P17" refersTo="='Pricing'!$BH$24"/>
      <definedName name="DE_FRM30_P18" refersTo="='Pricing'!$BH$25"/>
      <definedName name="DE_FRM30_P19" refersTo="='Pricing'!$BH$26"/>
      <definedName name="DE_FRM30_P20" refersTo="='Pricing'!$BH$27"/>
      <definedName name="DE_FRM30_P21" refersTo="='Pricing'!$BH$28"/>
      <definedName name="DE_FRM30_P22" refersTo="='Pricing'!$BH$29"/>
      <definedName name="DE_FRM30_P23" refersTo="='Pricing'!$BH$30"/>
      <definedName name="DE_R01" refersTo="='Pricing'!$BF$8"/>
      <definedName name="DE_R02" refersTo="='Pricing'!$BF$9"/>
      <definedName name="DE_R03" refersTo="='Pricing'!$BF$10"/>
      <definedName name="DE_R04" refersTo="='Pricing'!$BF$11"/>
      <definedName name="DE_R05" refersTo="='Pricing'!$BF$12"/>
      <definedName name="DE_R06" refersTo="='Pricing'!$BF$13"/>
      <definedName name="DE_R07" refersTo="='Pricing'!$BF$14"/>
      <definedName name="DE_R08" refersTo="='Pricing'!$BF$15"/>
      <definedName name="DE_R09" refersTo="='Pricing'!$BF$16"/>
      <definedName name="DE_R10" refersTo="='Pricing'!$BF$17"/>
      <definedName name="DE_R11" refersTo="='Pricing'!$BF$18"/>
      <definedName name="DE_R12" refersTo="='Pricing'!$BF$19"/>
      <definedName name="DE_R13" refersTo="='Pricing'!$BF$20"/>
      <definedName name="DE_R14" refersTo="='Pricing'!$BF$21"/>
      <definedName name="DE_R15" refersTo="='Pricing'!$BF$22"/>
      <definedName name="DE_R16" refersTo="='Pricing'!$BF$23"/>
      <definedName name="DE_R17" refersTo="='Pricing'!$BF$24"/>
      <definedName name="DE_R18" refersTo="='Pricing'!$BF$25"/>
      <definedName name="DE_R19" refersTo="='Pricing'!$BF$26"/>
      <definedName name="DE_R20" refersTo="='Pricing'!$BF$27"/>
      <definedName name="DE_R21" refersTo="='Pricing'!$BF$28"/>
      <definedName name="DE_R22" refersTo="='Pricing'!$BF$29"/>
      <definedName name="DE_R23" refersTo="='Pricing'!$BF$30"/>
      <definedName name="IE_ARM05_P01" refersTo="='Pricing'!$BA$8"/>
      <definedName name="IE_ARM05_P02" refersTo="='Pricing'!$BA$9"/>
      <definedName name="IE_ARM05_P03" refersTo="='Pricing'!$BA$10"/>
      <definedName name="IE_ARM05_P04" refersTo="='Pricing'!$BA$11"/>
      <definedName name="IE_ARM05_P05" refersTo="='Pricing'!$BA$12"/>
      <definedName name="IE_ARM05_P06" refersTo="='Pricing'!$BA$13"/>
      <definedName name="IE_ARM05_P07" refersTo="='Pricing'!$BA$14"/>
      <definedName name="IE_ARM05_P08" refersTo="='Pricing'!$BA$15"/>
      <definedName name="IE_ARM05_P09" refersTo="='Pricing'!$BA$16"/>
      <definedName name="IE_ARM05_P10" refersTo="='Pricing'!$BA$17"/>
      <definedName name="IE_ARM05_P11" refersTo="='Pricing'!$BA$18"/>
      <definedName name="IE_ARM05_P12" refersTo="='Pricing'!$BA$19"/>
      <definedName name="IE_ARM05_P13" refersTo="='Pricing'!$BA$20"/>
      <definedName name="IE_ARM05_P14" refersTo="='Pricing'!$BA$21"/>
      <definedName name="IE_ARM05_P15" refersTo="='Pricing'!$BA$22"/>
      <definedName name="IE_ARM05_P16" refersTo="='Pricing'!$BA$23"/>
      <definedName name="IE_ARM05_P17" refersTo="='Pricing'!$BA$24"/>
      <definedName name="IE_ARM05_P18" refersTo="='Pricing'!$BA$25"/>
      <definedName name="IE_ARM05_P19" refersTo="='Pricing'!$BA$26"/>
      <definedName name="IE_ARM05_P20" refersTo="='Pricing'!$BA$27"/>
      <definedName name="IE_ARM05_P21" refersTo="='Pricing'!$BA$28"/>
      <definedName name="IE_ARM05_P22" refersTo="='Pricing'!$BA$29"/>
      <definedName name="IE_ARM05_P23" refersTo="='Pricing'!$BA$30"/>
      <definedName name="IE_ARM05_P24" refersTo="='Pricing'!$BA$31"/>
      <definedName name="IE_ARM05_P25" refersTo="='Pricing'!$BA$32"/>
      <definedName name="IE_ARM05_P26" refersTo="='Pricing'!$BA$33"/>
      <definedName name="IE_ARM05_P27" refersTo="='Pricing'!$BA$34"/>
      <definedName name="IE_FRM30_P01" refersTo="='Pricing'!$BB$8"/>
      <definedName name="IE_FRM30_P02" refersTo="='Pricing'!$BB$9"/>
      <definedName name="IE_FRM30_P03" refersTo="='Pricing'!$BB$10"/>
      <definedName name="IE_FRM30_P04" refersTo="='Pricing'!$BB$11"/>
      <definedName name="IE_FRM30_P05" refersTo="='Pricing'!$BB$12"/>
      <definedName name="IE_FRM30_P06" refersTo="='Pricing'!$BB$13"/>
      <definedName name="IE_FRM30_P07" refersTo="='Pricing'!$BB$14"/>
      <definedName name="IE_FRM30_P08" refersTo="='Pricing'!$BB$15"/>
      <definedName name="IE_FRM30_P09" refersTo="='Pricing'!$BB$16"/>
      <definedName name="IE_FRM30_P10" refersTo="='Pricing'!$BB$17"/>
      <definedName name="IE_FRM30_P11" refersTo="='Pricing'!$BB$18"/>
      <definedName name="IE_FRM30_P12" refersTo="='Pricing'!$BB$19"/>
      <definedName name="IE_FRM30_P13" refersTo="='Pricing'!$BB$20"/>
      <definedName name="IE_FRM30_P14" refersTo="='Pricing'!$BB$21"/>
      <definedName name="IE_FRM30_P15" refersTo="='Pricing'!$BB$22"/>
      <definedName name="IE_FRM30_P16" refersTo="='Pricing'!$BB$23"/>
      <definedName name="IE_FRM30_P17" refersTo="='Pricing'!$BB$24"/>
      <definedName name="IE_FRM30_P18" refersTo="='Pricing'!$BB$25"/>
      <definedName name="IE_FRM30_P19" refersTo="='Pricing'!$BB$26"/>
      <definedName name="IE_FRM30_P20" refersTo="='Pricing'!$BB$27"/>
      <definedName name="IE_FRM30_P21" refersTo="='Pricing'!$BB$28"/>
      <definedName name="IE_FRM30_P22" refersTo="='Pricing'!$BB$29"/>
      <definedName name="IE_FRM30_P23" refersTo="='Pricing'!$BB$30"/>
      <definedName name="IE_FRM30_P24" refersTo="='Pricing'!$BB$31"/>
      <definedName name="IE_FRM30_P25" refersTo="='Pricing'!$BB$32"/>
      <definedName name="IE_FRM30_P26" refersTo="='Pricing'!$BB$33"/>
      <definedName name="IE_FRM30_P27" refersTo="='Pricing'!$BB$34"/>
      <definedName name="IE_R01" refersTo="='Pricing'!$AZ$8"/>
      <definedName name="IE_R02" refersTo="='Pricing'!$AZ$9"/>
      <definedName name="IE_R03" refersTo="='Pricing'!$AZ$10"/>
      <definedName name="IE_R04" refersTo="='Pricing'!$AZ$11"/>
      <definedName name="IE_R05" refersTo="='Pricing'!$AZ$12"/>
      <definedName name="IE_R06" refersTo="='Pricing'!$AZ$13"/>
      <definedName name="IE_R07" refersTo="='Pricing'!$AZ$14"/>
      <definedName name="IE_R08" refersTo="='Pricing'!$AZ$15"/>
      <definedName name="IE_R09" refersTo="='Pricing'!$AZ$16"/>
      <definedName name="IE_R10" refersTo="='Pricing'!$AZ$17"/>
      <definedName name="IE_R11" refersTo="='Pricing'!$AZ$18"/>
      <definedName name="IE_R12" refersTo="='Pricing'!$AZ$19"/>
      <definedName name="IE_R13" refersTo="='Pricing'!$AZ$20"/>
      <definedName name="IE_R14" refersTo="='Pricing'!$AZ$21"/>
      <definedName name="IE_R15" refersTo="='Pricing'!$AZ$22"/>
      <definedName name="IE_R16" refersTo="='Pricing'!$AZ$23"/>
      <definedName name="IE_R17" refersTo="='Pricing'!$AZ$24"/>
      <definedName name="IE_R18" refersTo="='Pricing'!$AZ$25"/>
      <definedName name="IE_R19" refersTo="='Pricing'!$AZ$26"/>
      <definedName name="IE_R20" refersTo="='Pricing'!$AZ$27"/>
      <definedName name="IE_R21" refersTo="='Pricing'!$AZ$28"/>
      <definedName name="IE_R22" refersTo="='Pricing'!$AZ$29"/>
      <definedName name="IE_R23" refersTo="='Pricing'!$AZ$30"/>
      <definedName name="IE_R24" refersTo="='Pricing'!$AZ$31"/>
      <definedName name="IE_R25" refersTo="='Pricing'!$AZ$32"/>
      <definedName name="IE_R26" refersTo="='Pricing'!$AZ$33"/>
      <definedName name="IE_R27" refersTo="='Pricing'!$AZ$34"/>
      <definedName name="IH_FRM30_M01" refersTo="='Pricing'!$AC$8"/>
      <definedName name="IH_FRM30_M02" refersTo="='Pricing'!$AC$9"/>
      <definedName name="IH_FRM30_M03" refersTo="='Pricing'!$AC$10"/>
      <definedName name="IH_FRM30_M04" refersTo="='Pricing'!$AC$11"/>
      <definedName name="IH_FRM30_M05" refersTo="='Pricing'!$AC$12"/>
      <definedName name="IH_FRM30_M06" refersTo="='Pricing'!$AC$13"/>
      <definedName name="IH_FRM30_M07" refersTo="='Pricing'!$AC$14"/>
      <definedName name="IH_FRM30_M08" refersTo="='Pricing'!$AC$15"/>
      <definedName name="IH_FRM30_M09" refersTo="='Pricing'!$AC$16"/>
      <definedName name="IH_FRM30_M10" refersTo="='Pricing'!$AC$17"/>
      <definedName name="IH_FRM30_M11" refersTo="='Pricing'!$AC$18"/>
      <definedName name="IH_FRM30_M12" refersTo="='Pricing'!$AC$19"/>
      <definedName name="IH_FRM30_M13" refersTo="='Pricing'!$AC$20"/>
      <definedName name="IH_FRM30_M14" refersTo="='Pricing'!$AC$21"/>
      <definedName name="IH_FRM30_M15" refersTo="='Pricing'!$AC$22"/>
      <definedName name="IH_FRM30_M16" refersTo="='Pricing'!$AC$23"/>
      <definedName name="IH_FRM30_M17" refersTo="='Pricing'!$AC$24"/>
      <definedName name="IH_FRM30_M18" refersTo="='Pricing'!$AC$25"/>
      <definedName name="IH_FRM30_M19" refersTo="='Pricing'!$AC$26"/>
      <definedName name="IH_FRM30_M20" refersTo="='Pricing'!$AC$27"/>
      <definedName name="IH_FRM30_M21" refersTo="='Pricing'!$AC$28"/>
      <definedName name="IH_FRM30_M22" refersTo="='Pricing'!$AC$29"/>
      <definedName name="IH_FRM30_M23" refersTo="='Pricing'!$AC$30"/>
      <definedName name="IH_FRM30_M24" refersTo="='Pricing'!$AC$31"/>
      <definedName name="IH_FRM30_M25" refersTo="='Pricing'!$AC$32"/>
      <definedName name="IH_FRM30_M26" refersTo="='Pricing'!$AC$33"/>
      <definedName name="IH_FRM30_M27" refersTo="='Pricing'!$AC$34"/>
      <definedName name="IH_FRM30_M28" refersTo="='Pricing'!$AC$35"/>
      <definedName name="IH_FRM30_M29" refersTo="='Pricing'!$AC$36"/>
      <definedName name="IH_FRM30_M30" refersTo="='Pricing'!$AC$37"/>
      <definedName name="IH_FRM30_M31" refersTo="='Pricing'!$AC$38"/>
      <definedName name="IH_FRM30_M32" refersTo="='Pricing'!$AC$39"/>
      <definedName name="IH_FRM30_M33" refersTo="='Pricing'!$AC$40"/>
      <definedName name="IH_FRM30_M34" refersTo="='Pricing'!$AC$41"/>
      <definedName name="IH_FRM30_M35" refersTo="='Pricing'!$AC$42"/>
      <definedName name="IH_FRM30_M36" refersTo="='Pricing'!$AC$43"/>
      <definedName name="IH_FRM30_M37" refersTo="='Pricing'!$AC$44"/>
      <definedName name="IH_FRM30_M38" refersTo="='Pricing'!$AC$45"/>
      <definedName name="IH_FRM30_M39" refersTo="='Pricing'!$AC$46"/>
      <definedName name="IH_FRM30_M40" refersTo="='Pricing'!$AC$47"/>
      <definedName name="IH_FRM30_M41" refersTo="='Pricing'!$AC$48"/>
      <definedName name="IH_FRM30_P01" refersTo="='Pricing'!$AD$8"/>
      <definedName name="IH_FRM30_P02" refersTo="='Pricing'!$AD$9"/>
      <definedName name="IH_FRM30_P03" refersTo="='Pricing'!$AD$10"/>
      <definedName name="IH_FRM30_P04" refersTo="='Pricing'!$AD$11"/>
      <definedName name="IH_FRM30_P05" refersTo="='Pricing'!$AD$12"/>
      <definedName name="IH_FRM30_P06" refersTo="='Pricing'!$AD$13"/>
      <definedName name="IH_FRM30_P07" refersTo="='Pricing'!$AD$14"/>
      <definedName name="IH_FRM30_P08" refersTo="='Pricing'!$AD$15"/>
      <definedName name="IH_FRM30_P09" refersTo="='Pricing'!$AD$16"/>
      <definedName name="IH_FRM30_P10" refersTo="='Pricing'!$AD$17"/>
      <definedName name="IH_FRM30_P11" refersTo="='Pricing'!$AD$18"/>
      <definedName name="IH_FRM30_P12" refersTo="='Pricing'!$AD$19"/>
      <definedName name="IH_FRM30_P13" refersTo="='Pricing'!$AD$20"/>
      <definedName name="IH_FRM30_P14" refersTo="='Pricing'!$AD$21"/>
      <definedName name="IH_FRM30_P15" refersTo="='Pricing'!$AD$22"/>
      <definedName name="IH_FRM30_P16" refersTo="='Pricing'!$AD$23"/>
      <definedName name="IH_FRM30_P17" refersTo="='Pricing'!$AD$24"/>
      <definedName name="IH_FRM30_P18" refersTo="='Pricing'!$AD$25"/>
      <definedName name="IH_FRM30_P19" refersTo="='Pricing'!$AD$26"/>
      <definedName name="IH_FRM30_P20" refersTo="='Pricing'!$AD$27"/>
      <definedName name="IH_FRM30_P21" refersTo="='Pricing'!$AD$28"/>
      <definedName name="IH_FRM30_P22" refersTo="='Pricing'!$AD$29"/>
      <definedName name="IH_FRM30_P23" refersTo="='Pricing'!$AD$30"/>
      <definedName name="IH_FRM30_P24" refersTo="='Pricing'!$AD$31"/>
      <definedName name="IH_FRM30_P25" refersTo="='Pricing'!$AD$32"/>
      <definedName name="IH_FRM30_P26" refersTo="='Pricing'!$AD$33"/>
      <definedName name="IH_FRM30_P27" refersTo="='Pricing'!$AD$34"/>
      <definedName name="IH_FRM30_P28" refersTo="='Pricing'!$AD$35"/>
      <definedName name="IH_FRM30_P29" refersTo="='Pricing'!$AD$36"/>
      <definedName name="IH_FRM30_P30" refersTo="='Pricing'!$AD$37"/>
      <definedName name="IH_FRM30_P31" refersTo="='Pricing'!$AD$38"/>
      <definedName name="IH_FRM30_P32" refersTo="='Pricing'!$AD$39"/>
      <definedName name="IH_FRM30_P33" refersTo="='Pricing'!$AD$40"/>
      <definedName name="IH_FRM30_P34" refersTo="='Pricing'!$AD$41"/>
      <definedName name="IH_FRM30_P35" refersTo="='Pricing'!$AD$42"/>
      <definedName name="IH_FRM30_P36" refersTo="='Pricing'!$AD$43"/>
      <definedName name="IH_FRM30_P37" refersTo="='Pricing'!$AD$44"/>
      <definedName name="IH_FRM30_P38" refersTo="='Pricing'!$AD$45"/>
      <definedName name="IH_FRM30_P39" refersTo="='Pricing'!$AD$46"/>
      <definedName name="IH_FRM30_P40" refersTo="='Pricing'!$AD$47"/>
      <definedName name="IH_FRM30_P41" refersTo="='Pricing'!$AD$48"/>
      <definedName name="IH_R01" refersTo="='Pricing'!$AB$8"/>
      <definedName name="IH_R02" refersTo="='Pricing'!$AB$9"/>
      <definedName name="IH_R03" refersTo="='Pricing'!$AB$10"/>
      <definedName name="IH_R04" refersTo="='Pricing'!$AB$11"/>
      <definedName name="IH_R05" refersTo="='Pricing'!$AB$12"/>
      <definedName name="IH_R06" refersTo="='Pricing'!$AB$13"/>
      <definedName name="IH_R07" refersTo="='Pricing'!$AB$14"/>
      <definedName name="IH_R08" refersTo="='Pricing'!$AB$15"/>
      <definedName name="IH_R09" refersTo="='Pricing'!$AB$16"/>
      <definedName name="IH_R10" refersTo="='Pricing'!$AB$17"/>
      <definedName name="IH_R11" refersTo="='Pricing'!$AB$18"/>
      <definedName name="IH_R12" refersTo="='Pricing'!$AB$19"/>
      <definedName name="IH_R13" refersTo="='Pricing'!$AB$20"/>
      <definedName name="IH_R14" refersTo="='Pricing'!$AB$21"/>
      <definedName name="IH_R15" refersTo="='Pricing'!$AB$22"/>
      <definedName name="IH_R16" refersTo="='Pricing'!$AB$23"/>
      <definedName name="IH_R17" refersTo="='Pricing'!$AB$24"/>
      <definedName name="IH_R18" refersTo="='Pricing'!$AB$25"/>
      <definedName name="IH_R19" refersTo="='Pricing'!$AB$26"/>
      <definedName name="IH_R20" refersTo="='Pricing'!$AB$27"/>
      <definedName name="IH_R21" refersTo="='Pricing'!$AB$28"/>
      <definedName name="IH_R22" refersTo="='Pricing'!$AB$29"/>
      <definedName name="IH_R23" refersTo="='Pricing'!$AB$30"/>
      <definedName name="IH_R24" refersTo="='Pricing'!$AB$31"/>
      <definedName name="IH_R25" refersTo="='Pricing'!$AB$32"/>
      <definedName name="IH_R26" refersTo="='Pricing'!$AB$33"/>
      <definedName name="IH_R27" refersTo="='Pricing'!$AB$34"/>
      <definedName name="IH_R28" refersTo="='Pricing'!$AB$35"/>
      <definedName name="IH_R29" refersTo="='Pricing'!$AB$36"/>
      <definedName name="IH_R30" refersTo="='Pricing'!$AB$37"/>
      <definedName name="IH_R31" refersTo="='Pricing'!$AB$38"/>
      <definedName name="IH_R32" refersTo="='Pricing'!$AB$39"/>
      <definedName name="IH_R33" refersTo="='Pricing'!$AB$40"/>
      <definedName name="IH_R34" refersTo="='Pricing'!$AB$41"/>
      <definedName name="IH_R35" refersTo="='Pricing'!$AB$42"/>
      <definedName name="IH_R36" refersTo="='Pricing'!$AB$43"/>
      <definedName name="IH_R37" refersTo="='Pricing'!$AB$44"/>
      <definedName name="IH_R38" refersTo="='Pricing'!$AB$45"/>
      <definedName name="IH_R39" refersTo="='Pricing'!$AB$46"/>
      <definedName name="IH_R40" refersTo="='Pricing'!$AB$47"/>
      <definedName name="IH_R41" refersTo="='Pricing'!$AB$48"/>
      <definedName name="IN_ARM05_P01" refersTo="='Pricing'!$AO$8"/>
      <definedName name="IN_ARM05_P02" refersTo="='Pricing'!$AO$9"/>
      <definedName name="IN_ARM05_P03" refersTo="='Pricing'!$AO$10"/>
      <definedName name="IN_ARM05_P04" refersTo="='Pricing'!$AO$11"/>
      <definedName name="IN_ARM05_P05" refersTo="='Pricing'!$AO$12"/>
      <definedName name="IN_ARM05_P06" refersTo="='Pricing'!$AO$13"/>
      <definedName name="IN_ARM05_P07" refersTo="='Pricing'!$AO$14"/>
      <definedName name="IN_ARM05_P08" refersTo="='Pricing'!$AO$15"/>
      <definedName name="IN_ARM05_P09" refersTo="='Pricing'!$AO$16"/>
      <definedName name="IN_ARM05_P10" refersTo="='Pricing'!$AO$17"/>
      <definedName name="IN_ARM05_P11" refersTo="='Pricing'!$AO$18"/>
      <definedName name="IN_ARM05_P12" refersTo="='Pricing'!$AO$19"/>
      <definedName name="IN_ARM05_P13" refersTo="='Pricing'!$AO$20"/>
      <definedName name="IN_ARM05_P14" refersTo="='Pricing'!$AO$21"/>
      <definedName name="IN_ARM05_P15" refersTo="='Pricing'!$AO$22"/>
      <definedName name="IN_ARM05_P16" refersTo="='Pricing'!$AO$23"/>
      <definedName name="IN_ARM05_P17" refersTo="='Pricing'!$AO$24"/>
      <definedName name="IN_ARM05_P18" refersTo="='Pricing'!$AO$25"/>
      <definedName name="IN_ARM05_P19" refersTo="='Pricing'!$AO$26"/>
      <definedName name="IN_ARM05_P20" refersTo="='Pricing'!$AO$27"/>
      <definedName name="IN_ARM05_P21" refersTo="='Pricing'!$AO$28"/>
      <definedName name="IN_ARM05_P22" refersTo="='Pricing'!$AO$29"/>
      <definedName name="IN_ARM05_P23" refersTo="='Pricing'!$AO$30"/>
      <definedName name="IN_ARM05_P24" refersTo="='Pricing'!$AO$31"/>
      <definedName name="IN_ARM05_P25" refersTo="='Pricing'!$AO$32"/>
      <definedName name="IN_ARM05_P26" refersTo="='Pricing'!$AO$33"/>
      <definedName name="IN_FRM30_P01" refersTo="='Pricing'!$AP$8"/>
      <definedName name="IN_FRM30_P02" refersTo="='Pricing'!$AP$9"/>
      <definedName name="IN_FRM30_P03" refersTo="='Pricing'!$AP$10"/>
      <definedName name="IN_FRM30_P04" refersTo="='Pricing'!$AP$11"/>
      <definedName name="IN_FRM30_P05" refersTo="='Pricing'!$AP$12"/>
      <definedName name="IN_FRM30_P06" refersTo="='Pricing'!$AP$13"/>
      <definedName name="IN_FRM30_P07" refersTo="='Pricing'!$AP$14"/>
      <definedName name="IN_FRM30_P08" refersTo="='Pricing'!$AP$15"/>
      <definedName name="IN_FRM30_P09" refersTo="='Pricing'!$AP$16"/>
      <definedName name="IN_FRM30_P10" refersTo="='Pricing'!$AP$17"/>
      <definedName name="IN_FRM30_P11" refersTo="='Pricing'!$AP$18"/>
      <definedName name="IN_FRM30_P12" refersTo="='Pricing'!$AP$19"/>
      <definedName name="IN_FRM30_P13" refersTo="='Pricing'!$AP$20"/>
      <definedName name="IN_FRM30_P14" refersTo="='Pricing'!$AP$21"/>
      <definedName name="IN_FRM30_P15" refersTo="='Pricing'!$AP$22"/>
      <definedName name="IN_FRM30_P16" refersTo="='Pricing'!$AP$23"/>
      <definedName name="IN_FRM30_P17" refersTo="='Pricing'!$AP$24"/>
      <definedName name="IN_FRM30_P18" refersTo="='Pricing'!$AP$25"/>
      <definedName name="IN_FRM30_P19" refersTo="='Pricing'!$AP$26"/>
      <definedName name="IN_FRM30_P20" refersTo="='Pricing'!$AP$27"/>
      <definedName name="IN_FRM30_P21" refersTo="='Pricing'!$AP$28"/>
      <definedName name="IN_FRM30_P22" refersTo="='Pricing'!$AP$29"/>
      <definedName name="IN_FRM30_P23" refersTo="='Pricing'!$AP$30"/>
      <definedName name="IN_FRM30_P24" refersTo="='Pricing'!$AP$31"/>
      <definedName name="IN_FRM30_P25" refersTo="='Pricing'!$AP$32"/>
      <definedName name="IN_FRM30_P26" refersTo="='Pricing'!$AP$33"/>
      <definedName name="IN_R01" refersTo="='Pricing'!$AN$8"/>
      <definedName name="IN_R02" refersTo="='Pricing'!$AN$9"/>
      <definedName name="IN_R03" refersTo="='Pricing'!$AN$10"/>
      <definedName name="IN_R04" refersTo="='Pricing'!$AN$11"/>
      <definedName name="IN_R05" refersTo="='Pricing'!$AN$12"/>
      <definedName name="IN_R06" refersTo="='Pricing'!$AN$13"/>
      <definedName name="IN_R07" refersTo="='Pricing'!$AN$14"/>
      <definedName name="IN_R08" refersTo="='Pricing'!$AN$15"/>
      <definedName name="IN_R09" refersTo="='Pricing'!$AN$16"/>
      <definedName name="IN_R10" refersTo="='Pricing'!$AN$17"/>
      <definedName name="IN_R11" refersTo="='Pricing'!$AN$18"/>
      <definedName name="IN_R12" refersTo="='Pricing'!$AN$19"/>
      <definedName name="IN_R13" refersTo="='Pricing'!$AN$20"/>
      <definedName name="IN_R14" refersTo="='Pricing'!$AN$21"/>
      <definedName name="IN_R15" refersTo="='Pricing'!$AN$22"/>
      <definedName name="IN_R16" refersTo="='Pricing'!$AN$23"/>
      <definedName name="IN_R17" refersTo="='Pricing'!$AN$24"/>
      <definedName name="IN_R18" refersTo="='Pricing'!$AN$25"/>
      <definedName name="IN_R19" refersTo="='Pricing'!$AN$26"/>
      <definedName name="IN_R20" refersTo="='Pricing'!$AN$27"/>
      <definedName name="IN_R21" refersTo="='Pricing'!$AN$28"/>
      <definedName name="IN_R22" refersTo="='Pricing'!$AN$29"/>
      <definedName name="IN_R23" refersTo="='Pricing'!$AN$30"/>
      <definedName name="IN_R24" refersTo="='Pricing'!$AN$31"/>
      <definedName name="IN_R25" refersTo="='Pricing'!$AN$32"/>
      <definedName name="IN_R26" refersTo="='Pricing'!$AN$33"/>
      <definedName name="Input_Agency_Unit1_1" refersTo="='State'!$B$57"/>
      <definedName name="Input_Agency_Unit1_2" refersTo="='State'!$C$57"/>
      <definedName name="Input_Agency_Unit2_1" refersTo="='State'!$B$58"/>
      <definedName name="Input_Agency_Unit2_2" refersTo="='State'!$C$58"/>
      <definedName name="Input_Agency_Unit3_1" refersTo="='State'!$B$59"/>
      <definedName name="Input_Agency_Unit3_2" refersTo="='State'!$C$59"/>
      <definedName name="Input_Agency_Unit4_1" refersTo="='State'!$B$60"/>
      <definedName name="Input_Agency_Unit4_2" refersTo="='State'!$C$60"/>
      <definedName name="Input_Index_APOR_ARM01" refersTo="='Pricing'!$F$20"/>
      <definedName name="Input_Index_APOR_ARM02" refersTo="='Pricing'!$F$19"/>
      <definedName name="Input_Index_APOR_ARM03" refersTo="='Pricing'!$F$18"/>
      <definedName name="Input_Index_APOR_ARM05" refersTo="='Pricing'!$F$17"/>
      <definedName name="Input_Index_APOR_ARM07" refersTo="='Pricing'!$F$16"/>
      <definedName name="Input_Index_APOR_ARM10" refersTo="='Pricing'!$F$15"/>
      <definedName name="Input_Index_APOR_ARM15" refersTo="='Pricing'!$F$14"/>
      <definedName name="Input_Index_APOR_ARM20" refersTo="='Pricing'!$F$13"/>
      <definedName name="Input_Index_APOR_ARM30" refersTo="='Pricing'!$F$12"/>
      <definedName name="Input_Index_APOR_Dt" refersTo="='Pricing'!$E$9"/>
      <definedName name="Input_Index_APOR_FRM03" refersTo="='Pricing'!$E$18"/>
      <definedName name="Input_Index_APOR_FRM05" refersTo="='Pricing'!$E$17"/>
      <definedName name="Input_Index_APOR_FRM07" refersTo="='Pricing'!$E$16"/>
      <definedName name="Input_Index_APOR_FRM10" refersTo="='Pricing'!$E$15"/>
      <definedName name="Input_Index_APOR_FRM15" refersTo="='Pricing'!$E$14"/>
      <definedName name="Input_Index_APOR_FRM20" refersTo="='Pricing'!$E$13"/>
      <definedName name="Input_Index_APOR_FRM30" refersTo="='Pricing'!$E$12"/>
      <definedName name="Input_Index_APOR_FRM40" refersTo="='Pricing'!$E$11"/>
      <definedName name="Input_Index_Treasury_Dt" refersTo="='Pricing'!$E$25"/>
      <definedName name="Input_Index_Treasury01yr" refersTo="='Pricing'!$E$33"/>
      <definedName name="Input_Index_Treasury02yr" refersTo="='Pricing'!$E$32"/>
      <definedName name="Input_Index_Treasury03yr" refersTo="='Pricing'!$E$31"/>
      <definedName name="Input_Index_Treasury05yr" refersTo="='Pricing'!$E$30"/>
      <definedName name="Input_Index_Treasury07yr" refersTo="='Pricing'!$E$29"/>
      <definedName name="Input_Index_Treasury10yr" refersTo="='Pricing'!$E$28"/>
      <definedName name="Input_Index_Treasury20yr" refersTo="='Pricing'!$E$27"/>
      <definedName name="Input_Index_Treasury30yr" refersTo="='Pricing'!$E$26"/>
      <definedName name="Input_MaxPriceNet_DE_01PP" refersTo="='Pricing'!$B$33"/>
      <definedName name="Input_MaxPriceNet_DE_02PP" refersTo="='Pricing'!$B$34"/>
      <definedName name="Input_MaxPriceNet_DE_03PP" refersTo="='Pricing'!$B$35"/>
      <definedName name="Input_MaxPriceNet_DE_04PP" refersTo="='Pricing'!$B$36"/>
      <definedName name="Input_MaxPriceNet_DE_05PP" refersTo="='Pricing'!$B$37"/>
      <definedName name="Input_MaxPriceNet_DE_NoPP" refersTo="='Pricing'!$B$32"/>
      <definedName name="Input_MaxPriceNet_IE_01PP" refersTo="='Pricing'!$B$27"/>
      <definedName name="Input_MaxPriceNet_IE_02PP" refersTo="='Pricing'!$B$28"/>
      <definedName name="Input_MaxPriceNet_IE_03PP" refersTo="='Pricing'!$B$29"/>
      <definedName name="Input_MaxPriceNet_IE_04PP" refersTo="='Pricing'!$B$30"/>
      <definedName name="Input_MaxPriceNet_IE_05PP" refersTo="='Pricing'!$B$31"/>
      <definedName name="Input_MaxPriceNet_IE_NoPP" refersTo="='Pricing'!$B$26"/>
      <definedName name="Input_MaxPriceNet_IH_NoPP" refersTo="='Pricing'!$B$24"/>
      <definedName name="Input_MaxPriceNet_IN_01PP" refersTo="='Pricing'!$B$11"/>
      <definedName name="Input_MaxPriceNet_IN_02PP" refersTo="='Pricing'!$B$12"/>
      <definedName name="Input_MaxPriceNet_IN_03PP" refersTo="='Pricing'!$B$13"/>
      <definedName name="Input_MaxPriceNet_IN_04PP" refersTo="='Pricing'!$B$14"/>
      <definedName name="Input_MaxPriceNet_IN_05PP" refersTo="='Pricing'!$B$15"/>
      <definedName name="Input_MaxPriceNet_IN_NoPP" refersTo="='Pricing'!$B$10"/>
      <definedName name="Input_MaxPriceNet_IR_01PP" refersTo="='Pricing'!$B$18"/>
      <definedName name="Input_MaxPriceNet_IR_02PP" refersTo="='Pricing'!$B$19"/>
      <definedName name="Input_MaxPriceNet_IR_03PP" refersTo="='Pricing'!$B$20"/>
      <definedName name="Input_MaxPriceNet_IR_04PP" refersTo="='Pricing'!$B$21"/>
      <definedName name="Input_MaxPriceNet_IR_05PP" refersTo="='Pricing'!$B$22"/>
      <definedName name="Input_MaxPriceNet_IR_NoPP" refersTo="='Pricing'!$B$17"/>
      <definedName name="Input_MaxPriceNet_MN_01PP"/>
      <definedName name="Input_MaxPriceNet_MN_02PP"/>
      <definedName name="Input_MaxPriceNet_MN_03PP"/>
      <definedName name="Input_MaxPriceNet_MN_04PP"/>
      <definedName name="Input_MaxPriceNet_MN_05PP"/>
      <definedName name="Input_MaxPriceNet_MN_NoPP"/>
      <definedName name="Input_MaxPriceNet_PE_NoPP" refersTo="='Pricing'!$B$25"/>
      <definedName name="Input_MaxPriceNet_PH_NoPP" refersTo="='Pricing'!$B$23"/>
      <definedName name="Input_MaxPriceNet_PN_NoPP" refersTo="='Pricing'!$B$9"/>
      <definedName name="Input_MaxPriceNet_PR_NoPP" refersTo="='Pricing'!$B$16"/>
      <definedName name="Input_MaxPriceNet_XP_NoPP" refersTo="='Pricing'!$B$38"/>
      <definedName name="Input_MaxPriceNet_XX_NoPP" refersTo="='Pricing'!$B$45"/>
      <definedName name="Input_MaxPriceNet_YF_01PP" refersTo="='Pricing'!$B$53"/>
      <definedName name="Input_MaxPriceNet_YF_02PP" refersTo="='Pricing'!$B$54"/>
      <definedName name="Input_MaxPriceNet_YF_03PP" refersTo="='Pricing'!$B$55"/>
      <definedName name="Input_MaxPriceNet_YF_04PP" refersTo="='Pricing'!$B$56"/>
      <definedName name="Input_MaxPriceNet_YF_05PP" refersTo="='Pricing'!$B$57"/>
      <definedName name="Input_MaxPriceNet_YF_NoPP" refersTo="='Pricing'!$B$52"/>
      <definedName name="Input_MaxPriceNet_YM_01PP" refersTo="='Pricing'!$B$59"/>
      <definedName name="Input_MaxPriceNet_YM_02PP" refersTo="='Pricing'!$B$60"/>
      <definedName name="Input_MaxPriceNet_YM_03PP" refersTo="='Pricing'!$B$61"/>
      <definedName name="Input_MaxPriceNet_YM_04PP" refersTo="='Pricing'!$B$62"/>
      <definedName name="Input_MaxPriceNet_YM_05PP" refersTo="='Pricing'!$B$63"/>
      <definedName name="Input_MaxPriceNet_YM_NoPP" refersTo="='Pricing'!$B$58"/>
      <definedName name="Input_MaxPriceNet_YN_01PP" refersTo="='Pricing'!$B$65"/>
      <definedName name="Input_MaxPriceNet_YN_02PP" refersTo="='Pricing'!$B$66"/>
      <definedName name="Input_MaxPriceNet_YN_03PP" refersTo="='Pricing'!$B$67"/>
      <definedName name="Input_MaxPriceNet_YN_04PP" refersTo="='Pricing'!$B$68"/>
      <definedName name="Input_MaxPriceNet_YN_05PP" refersTo="='Pricing'!$B$69"/>
      <definedName name="Input_MaxPriceNet_YN_NoPP" refersTo="='Pricing'!$B$64"/>
      <definedName name="Input_MaxPriceNet_YP_01PP" refersTo="='Pricing'!$B$40"/>
      <definedName name="Input_MaxPriceNet_YP_02PP" refersTo="='Pricing'!$B$41"/>
      <definedName name="Input_MaxPriceNet_YP_03PP" refersTo="='Pricing'!$B$42"/>
      <definedName name="Input_MaxPriceNet_YP_04PP" refersTo="='Pricing'!$B$43"/>
      <definedName name="Input_MaxPriceNet_YP_05PP" refersTo="='Pricing'!$B$44"/>
      <definedName name="Input_MaxPriceNet_YP_NoPP" refersTo="='Pricing'!$B$39"/>
      <definedName name="Input_MaxPriceNet_YX_01PP" refersTo="='Pricing'!$B$47"/>
      <definedName name="Input_MaxPriceNet_YX_02PP" refersTo="='Pricing'!$B$48"/>
      <definedName name="Input_MaxPriceNet_YX_03PP" refersTo="='Pricing'!$B$49"/>
      <definedName name="Input_MaxPriceNet_YX_04PP" refersTo="='Pricing'!$B$50"/>
      <definedName name="Input_MaxPriceNet_YX_05PP" refersTo="='Pricing'!$B$51"/>
      <definedName name="Input_MaxPriceNet_YX_NoPP" refersTo="='Pricing'!$B$46"/>
      <definedName name="Input_RS_Dt" refersTo="='Pricing'!$B$2"/>
      <definedName name="Input_RS_ID" refersTo="='Pricing'!$B$3"/>
      <definedName name="IR_ARM05_P01" refersTo="='Pricing'!$Q$8"/>
      <definedName name="IR_ARM05_P02" refersTo="='Pricing'!$Q$9"/>
      <definedName name="IR_ARM05_P03" refersTo="='Pricing'!$Q$10"/>
      <definedName name="IR_ARM05_P04" refersTo="='Pricing'!$Q$11"/>
      <definedName name="IR_ARM05_P05" refersTo="='Pricing'!$Q$12"/>
      <definedName name="IR_ARM05_P06" refersTo="='Pricing'!$Q$13"/>
      <definedName name="IR_ARM05_P07" refersTo="='Pricing'!$Q$14"/>
      <definedName name="IR_ARM05_P08" refersTo="='Pricing'!$Q$15"/>
      <definedName name="IR_ARM05_P09" refersTo="='Pricing'!$Q$16"/>
      <definedName name="IR_ARM05_P10" refersTo="='Pricing'!$Q$17"/>
      <definedName name="IR_ARM05_P11" refersTo="='Pricing'!$Q$18"/>
      <definedName name="IR_ARM05_P12" refersTo="='Pricing'!$Q$19"/>
      <definedName name="IR_ARM05_P13" refersTo="='Pricing'!$Q$20"/>
      <definedName name="IR_ARM05_P14" refersTo="='Pricing'!$Q$21"/>
      <definedName name="IR_ARM05_P15" refersTo="='Pricing'!$Q$22"/>
      <definedName name="IR_ARM05_P16" refersTo="='Pricing'!$Q$23"/>
      <definedName name="IR_ARM05_P17" refersTo="='Pricing'!$Q$24"/>
      <definedName name="IR_ARM05_P18" refersTo="='Pricing'!$Q$25"/>
      <definedName name="IR_ARM05_P19" refersTo="='Pricing'!$Q$26"/>
      <definedName name="IR_ARM05_P20" refersTo="='Pricing'!$Q$27"/>
      <definedName name="IR_ARM05_P21" refersTo="='Pricing'!$Q$28"/>
      <definedName name="IR_ARM05_P22" refersTo="='Pricing'!$Q$29"/>
      <definedName name="IR_ARM05_P23" refersTo="='Pricing'!$Q$30"/>
      <definedName name="IR_ARM05_P24" refersTo="='Pricing'!$Q$31"/>
      <definedName name="IR_ARM05_P25" refersTo="='Pricing'!$Q$32"/>
      <definedName name="IR_ARM05_P26" refersTo="='Pricing'!$Q$33"/>
      <definedName name="IR_ARM05_P27" refersTo="='Pricing'!$Q$34"/>
      <definedName name="IR_ARM05_P28" refersTo="='Pricing'!$Q$35"/>
      <definedName name="IR_ARM05_P29" refersTo="='Pricing'!$Q$36"/>
      <definedName name="IR_ARM05_P30" refersTo="='Pricing'!$Q$37"/>
      <definedName name="IR_ARM05_P31" refersTo="='Pricing'!$Q$38"/>
      <definedName name="IR_ARM05_P32" refersTo="='Pricing'!$Q$39"/>
      <definedName name="IR_ARM05_P33" refersTo="='Pricing'!$Q$40"/>
      <definedName name="IR_ARM05_P34" refersTo="='Pricing'!$Q$41"/>
      <definedName name="IR_ARM05_P35" refersTo="='Pricing'!$Q$42"/>
      <definedName name="IR_ARM05_P36" refersTo="='Pricing'!$Q$43"/>
      <definedName name="IR_ARM05_P37" refersTo="='Pricing'!$Q$44"/>
      <definedName name="IR_ARM05_P38" refersTo="='Pricing'!$Q$45"/>
      <definedName name="IR_ARM05_P39" refersTo="='Pricing'!$Q$46"/>
      <definedName name="IR_ARM05_P40" refersTo="='Pricing'!$Q$47"/>
      <definedName name="IR_ARM05_P41" refersTo="='Pricing'!$Q$48"/>
      <definedName name="IR_FRM30_P01" refersTo="='Pricing'!$R$8"/>
      <definedName name="IR_FRM30_P02" refersTo="='Pricing'!$R$9"/>
      <definedName name="IR_FRM30_P03" refersTo="='Pricing'!$R$10"/>
      <definedName name="IR_FRM30_P04" refersTo="='Pricing'!$R$11"/>
      <definedName name="IR_FRM30_P05" refersTo="='Pricing'!$R$12"/>
      <definedName name="IR_FRM30_P06" refersTo="='Pricing'!$R$13"/>
      <definedName name="IR_FRM30_P07" refersTo="='Pricing'!$R$14"/>
      <definedName name="IR_FRM30_P08" refersTo="='Pricing'!$R$15"/>
      <definedName name="IR_FRM30_P09" refersTo="='Pricing'!$R$16"/>
      <definedName name="IR_FRM30_P10" refersTo="='Pricing'!$R$17"/>
      <definedName name="IR_FRM30_P11" refersTo="='Pricing'!$R$18"/>
      <definedName name="IR_FRM30_P12" refersTo="='Pricing'!$R$19"/>
      <definedName name="IR_FRM30_P13" refersTo="='Pricing'!$R$20"/>
      <definedName name="IR_FRM30_P14" refersTo="='Pricing'!$R$21"/>
      <definedName name="IR_FRM30_P15" refersTo="='Pricing'!$R$22"/>
      <definedName name="IR_FRM30_P16" refersTo="='Pricing'!$R$23"/>
      <definedName name="IR_FRM30_P17" refersTo="='Pricing'!$R$24"/>
      <definedName name="IR_FRM30_P18" refersTo="='Pricing'!$R$25"/>
      <definedName name="IR_FRM30_P19" refersTo="='Pricing'!$R$26"/>
      <definedName name="IR_FRM30_P20" refersTo="='Pricing'!$R$27"/>
      <definedName name="IR_FRM30_P21" refersTo="='Pricing'!$R$28"/>
      <definedName name="IR_FRM30_P22" refersTo="='Pricing'!$R$29"/>
      <definedName name="IR_FRM30_P23" refersTo="='Pricing'!$R$30"/>
      <definedName name="IR_FRM30_P24" refersTo="='Pricing'!$R$31"/>
      <definedName name="IR_FRM30_P25" refersTo="='Pricing'!$R$32"/>
      <definedName name="IR_FRM30_P26" refersTo="='Pricing'!$R$33"/>
      <definedName name="IR_FRM30_P27" refersTo="='Pricing'!$R$34"/>
      <definedName name="IR_FRM30_P28" refersTo="='Pricing'!$R$35"/>
      <definedName name="IR_FRM30_P29" refersTo="='Pricing'!$R$36"/>
      <definedName name="IR_FRM30_P30" refersTo="='Pricing'!$R$37"/>
      <definedName name="IR_FRM30_P31" refersTo="='Pricing'!$R$38"/>
      <definedName name="IR_FRM30_P32" refersTo="='Pricing'!$R$39"/>
      <definedName name="IR_FRM30_P33" refersTo="='Pricing'!$R$40"/>
      <definedName name="IR_FRM30_P34" refersTo="='Pricing'!$R$41"/>
      <definedName name="IR_FRM30_P35" refersTo="='Pricing'!$R$42"/>
      <definedName name="IR_FRM30_P36" refersTo="='Pricing'!$R$43"/>
      <definedName name="IR_FRM30_P37" refersTo="='Pricing'!$R$44"/>
      <definedName name="IR_FRM30_P38" refersTo="='Pricing'!$R$45"/>
      <definedName name="IR_FRM30_P39" refersTo="='Pricing'!$R$46"/>
      <definedName name="IR_FRM30_P40" refersTo="='Pricing'!$R$47"/>
      <definedName name="IR_FRM30_P41" refersTo="='Pricing'!$R$48"/>
      <definedName name="IR_R01" refersTo="='Pricing'!$P$8"/>
      <definedName name="IR_R02" refersTo="='Pricing'!$P$9"/>
      <definedName name="IR_R03" refersTo="='Pricing'!$P$10"/>
      <definedName name="IR_R04" refersTo="='Pricing'!$P$11"/>
      <definedName name="IR_R05" refersTo="='Pricing'!$P$12"/>
      <definedName name="IR_R06" refersTo="='Pricing'!$P$13"/>
      <definedName name="IR_R07" refersTo="='Pricing'!$P$14"/>
      <definedName name="IR_R08" refersTo="='Pricing'!$P$15"/>
      <definedName name="IR_R09" refersTo="='Pricing'!$P$16"/>
      <definedName name="IR_R10" refersTo="='Pricing'!$P$17"/>
      <definedName name="IR_R11" refersTo="='Pricing'!$P$18"/>
      <definedName name="IR_R12" refersTo="='Pricing'!$P$19"/>
      <definedName name="IR_R13" refersTo="='Pricing'!$P$20"/>
      <definedName name="IR_R14" refersTo="='Pricing'!$P$21"/>
      <definedName name="IR_R15" refersTo="='Pricing'!$P$22"/>
      <definedName name="IR_R16" refersTo="='Pricing'!$P$23"/>
      <definedName name="IR_R17" refersTo="='Pricing'!$P$24"/>
      <definedName name="IR_R18" refersTo="='Pricing'!$P$25"/>
      <definedName name="IR_R19" refersTo="='Pricing'!$P$26"/>
      <definedName name="IR_R20" refersTo="='Pricing'!$P$27"/>
      <definedName name="IR_R21" refersTo="='Pricing'!$P$28"/>
      <definedName name="IR_R22" refersTo="='Pricing'!$P$29"/>
      <definedName name="IR_R23" refersTo="='Pricing'!$P$30"/>
      <definedName name="IR_R24" refersTo="='Pricing'!$P$31"/>
      <definedName name="IR_R25" refersTo="='Pricing'!$P$32"/>
      <definedName name="IR_R26" refersTo="='Pricing'!$P$33"/>
      <definedName name="IR_R27" refersTo="='Pricing'!$P$34"/>
      <definedName name="IR_R28" refersTo="='Pricing'!$P$35"/>
      <definedName name="IR_R29" refersTo="='Pricing'!$P$36"/>
      <definedName name="IR_R30" refersTo="='Pricing'!$P$37"/>
      <definedName name="IR_R31" refersTo="='Pricing'!$P$38"/>
      <definedName name="IR_R32" refersTo="='Pricing'!$P$39"/>
      <definedName name="IR_R33" refersTo="='Pricing'!$P$40"/>
      <definedName name="IR_R34" refersTo="='Pricing'!$P$41"/>
      <definedName name="IR_R35" refersTo="='Pricing'!$P$42"/>
      <definedName name="IR_R36" refersTo="='Pricing'!$P$43"/>
      <definedName name="IR_R37" refersTo="='Pricing'!$P$44"/>
      <definedName name="IR_R38" refersTo="='Pricing'!$P$45"/>
      <definedName name="IR_R39" refersTo="='Pricing'!$P$46"/>
      <definedName name="IR_R40" refersTo="='Pricing'!$P$47"/>
      <definedName name="IR_R41" refersTo="='Pricing'!$P$48"/>
      <definedName name="List_StateInput" refersTo="='State'!$A$3:$A$53"/>
      <definedName name="List_StateInputAll" refersTo="='State'!$A$3:$X$53"/>
      <definedName name="LLPA_PN_000050_30_Day" refersTo="='Spreads'!$C$51"/>
      <definedName name="LLPA_PN_000050_45_Day" refersTo="='Spreads'!$C$52"/>
      <definedName name="LLPA_PN_000050_60_Day" refersTo="='Spreads'!$C$53"/>
      <definedName name="LLPA_PN_000050_Best_Efforts" refersTo="='Spreads'!$C$55"/>
      <definedName name="LLPA_PN_000050_Mandatory" refersTo="='Spreads'!$C$54"/>
      <definedName name="LoanTest_HC_Fed_APR_1st_1_APORSpread" refersTo="='LoanTest'!$F$4"/>
      <definedName name="LoanTest_HC_Fed_APR_1st_1_LnAmt_Max" refersTo="='LoanTest'!$J$4"/>
      <definedName name="LoanTest_HC_Fed_APR_1st_1_LnAmt_Min" refersTo="='LoanTest'!$I$4"/>
      <definedName name="LoanTest_HC_Fed_APR_1st_2_APORSpread" refersTo="='LoanTest'!$F$5"/>
      <definedName name="LoanTest_HC_Fed_APR_1st_2_LnAmt_Max" refersTo="='LoanTest'!$J$5"/>
      <definedName name="LoanTest_HC_Fed_APR_1st_2_LnAmt_Min" refersTo="='LoanTest'!$I$5"/>
      <definedName name="LoanTest_HC_Fed_APR_2nd_APORSpread" refersTo="='LoanTest'!$F$6"/>
      <definedName name="LoanTest_HC_Fed_APR_2nd_LnAmt_Max" refersTo="='LoanTest'!$J$6"/>
      <definedName name="LoanTest_HC_Fed_APR_2nd_LnAmt_Min" refersTo="='LoanTest'!$I$6"/>
      <definedName name="LoanTest_HC_Fed_PtsFees_1_FeeAmt" refersTo="='LoanTest'!$H$7"/>
      <definedName name="LoanTest_HC_Fed_PtsFees_1_FeePct" refersTo="='LoanTest'!$G$7"/>
      <definedName name="LoanTest_HC_Fed_PtsFees_1_LnAmt_Max" refersTo="='LoanTest'!$J$7"/>
      <definedName name="LoanTest_HC_Fed_PtsFees_1_LnAmt_Min" refersTo="='LoanTest'!$I$7"/>
      <definedName name="LoanTest_HC_Fed_PtsFees_2_FeePct" refersTo="='LoanTest'!$G$8"/>
      <definedName name="LoanTest_HC_Fed_PtsFees_2_LnAmt_Max" refersTo="='LoanTest'!$J$8"/>
      <definedName name="LoanTest_HC_Fed_PtsFees_2_LnAmt_Min" refersTo="='LoanTest'!$I$8"/>
      <definedName name="LoanTest_HP_Fed_APR_1st_APORSpread" refersTo="='LoanTest'!$F$25"/>
      <definedName name="LoanTest_HP_Fed_APR_2nd_APORSpread" refersTo="='LoanTest'!$F$26"/>
      <definedName name="LoanTest_QM_APR_1st_1_APORSpread" refersTo="='LoanTest'!$F$19"/>
      <definedName name="LoanTest_QM_APR_1st_1_LnAmt_Max" refersTo="='LoanTest'!$J$19"/>
      <definedName name="LoanTest_QM_APR_1st_1_LnAmt_Min" refersTo="='LoanTest'!$I$19"/>
      <definedName name="LoanTest_QM_APR_1st_2_APORSpread" refersTo="='LoanTest'!$F$20"/>
      <definedName name="LoanTest_QM_APR_1st_2_LnAmt_Max" refersTo="='LoanTest'!$J$20"/>
      <definedName name="LoanTest_QM_APR_1st_2_LnAmt_Min" refersTo="='LoanTest'!$I$20"/>
      <definedName name="LoanTest_QM_APR_1st_3_APORSpread" refersTo="='LoanTest'!$F$21"/>
      <definedName name="LoanTest_QM_APR_1st_3_LnAmt_Max" refersTo="='LoanTest'!$J$21"/>
      <definedName name="LoanTest_QM_APR_1st_3_LnAmt_Min" refersTo="='LoanTest'!$I$21"/>
      <definedName name="LoanTest_QM_APR_2nd_1_APORSpread" refersTo="='LoanTest'!$F$22"/>
      <definedName name="LoanTest_QM_APR_2nd_1_LnAmt_Max" refersTo="='LoanTest'!$J$22"/>
      <definedName name="LoanTest_QM_APR_2nd_1_LnAmt_Min" refersTo="='LoanTest'!$I$22"/>
      <definedName name="LoanTest_QM_APR_2nd_2_APORSpread" refersTo="='LoanTest'!$F$23"/>
      <definedName name="LoanTest_QM_APR_2nd_2_LnAmt_Max" refersTo="='LoanTest'!$J$23"/>
      <definedName name="LoanTest_QM_APR_2nd_2_LnAmt_Min" refersTo="='LoanTest'!$I$23"/>
      <definedName name="LoanTest_QM_PtsFees_1_FeePct" refersTo="='LoanTest'!$G$16"/>
      <definedName name="LoanTest_QM_PtsFees_1_LnAmt_Max" refersTo="='LoanTest'!$J$16"/>
      <definedName name="LoanTest_QM_PtsFees_1_LnAmt_Min" refersTo="='LoanTest'!$I$16"/>
      <definedName name="LoanTest_QM_PtsFees_2_FeeAmt" refersTo="='LoanTest'!$H$17"/>
      <definedName name="LoanTest_QM_PtsFees_2_LnAmt_Max" refersTo="='LoanTest'!$J$17"/>
      <definedName name="LoanTest_QM_PtsFees_2_LnAmt_Min" refersTo="='LoanTest'!$I$17"/>
      <definedName name="LoanTest_QM_PtsFees_3_FeePct" refersTo="='LoanTest'!$G$18"/>
      <definedName name="LoanTest_QM_PtsFees_3_LnAmt_Max" refersTo="='LoanTest'!$J$18"/>
      <definedName name="LoanTest_QM_PtsFees_3_LnAmt_Min" refersTo="='LoanTest'!$I$18"/>
      <definedName name="LoanTest_Test_Results_AVMLoanAmountLimit_VPM" refersTo="='LoanTest'!$I$28"/>
      <definedName name="PE_ARM05_P01" refersTo="='Pricing'!$AU$8"/>
      <definedName name="PE_ARM05_P02" refersTo="='Pricing'!$AU$9"/>
      <definedName name="PE_ARM05_P03" refersTo="='Pricing'!$AU$10"/>
      <definedName name="PE_ARM05_P04" refersTo="='Pricing'!$AU$11"/>
      <definedName name="PE_ARM05_P05" refersTo="='Pricing'!$AU$12"/>
      <definedName name="PE_ARM05_P06" refersTo="='Pricing'!$AU$13"/>
      <definedName name="PE_ARM05_P07" refersTo="='Pricing'!$AU$14"/>
      <definedName name="PE_ARM05_P08" refersTo="='Pricing'!$AU$15"/>
      <definedName name="PE_ARM05_P09" refersTo="='Pricing'!$AU$16"/>
      <definedName name="PE_ARM05_P10" refersTo="='Pricing'!$AU$17"/>
      <definedName name="PE_ARM05_P11" refersTo="='Pricing'!$AU$18"/>
      <definedName name="PE_ARM05_P12" refersTo="='Pricing'!$AU$19"/>
      <definedName name="PE_ARM05_P13" refersTo="='Pricing'!$AU$20"/>
      <definedName name="PE_ARM05_P14" refersTo="='Pricing'!$AU$21"/>
      <definedName name="PE_ARM05_P15" refersTo="='Pricing'!$AU$22"/>
      <definedName name="PE_ARM05_P16" refersTo="='Pricing'!$AU$23"/>
      <definedName name="PE_ARM05_P17" refersTo="='Pricing'!$AU$24"/>
      <definedName name="PE_ARM05_P18" refersTo="='Pricing'!$AU$25"/>
      <definedName name="PE_ARM05_P19" refersTo="='Pricing'!$AU$26"/>
      <definedName name="PE_ARM05_P20" refersTo="='Pricing'!$AU$27"/>
      <definedName name="PE_ARM05_P21" refersTo="='Pricing'!$AU$28"/>
      <definedName name="PE_ARM05_P22" refersTo="='Pricing'!$AU$29"/>
      <definedName name="PE_ARM05_P23" refersTo="='Pricing'!$AU$30"/>
      <definedName name="PE_ARM05_P24" refersTo="='Pricing'!$AU$31"/>
      <definedName name="PE_ARM05_P25" refersTo="='Pricing'!$AU$32"/>
      <definedName name="PE_ARM05_P26" refersTo="='Pricing'!$AU$33"/>
      <definedName name="PE_ARM05_P27" refersTo="='Pricing'!$AU$34"/>
      <definedName name="PE_FRM30_P01" refersTo="='Pricing'!$AV$8"/>
      <definedName name="PE_FRM30_P02" refersTo="='Pricing'!$AV$9"/>
      <definedName name="PE_FRM30_P03" refersTo="='Pricing'!$AV$10"/>
      <definedName name="PE_FRM30_P04" refersTo="='Pricing'!$AV$11"/>
      <definedName name="PE_FRM30_P05" refersTo="='Pricing'!$AV$12"/>
      <definedName name="PE_FRM30_P06" refersTo="='Pricing'!$AV$13"/>
      <definedName name="PE_FRM30_P07" refersTo="='Pricing'!$AV$14"/>
      <definedName name="PE_FRM30_P08" refersTo="='Pricing'!$AV$15"/>
      <definedName name="PE_FRM30_P09" refersTo="='Pricing'!$AV$16"/>
      <definedName name="PE_FRM30_P10" refersTo="='Pricing'!$AV$17"/>
      <definedName name="PE_FRM30_P11" refersTo="='Pricing'!$AV$18"/>
      <definedName name="PE_FRM30_P12" refersTo="='Pricing'!$AV$19"/>
      <definedName name="PE_FRM30_P13" refersTo="='Pricing'!$AV$20"/>
      <definedName name="PE_FRM30_P14" refersTo="='Pricing'!$AV$21"/>
      <definedName name="PE_FRM30_P15" refersTo="='Pricing'!$AV$22"/>
      <definedName name="PE_FRM30_P16" refersTo="='Pricing'!$AV$23"/>
      <definedName name="PE_FRM30_P17" refersTo="='Pricing'!$AV$24"/>
      <definedName name="PE_FRM30_P18" refersTo="='Pricing'!$AV$25"/>
      <definedName name="PE_FRM30_P19" refersTo="='Pricing'!$AV$26"/>
      <definedName name="PE_FRM30_P20" refersTo="='Pricing'!$AV$27"/>
      <definedName name="PE_FRM30_P21" refersTo="='Pricing'!$AV$28"/>
      <definedName name="PE_FRM30_P22" refersTo="='Pricing'!$AV$29"/>
      <definedName name="PE_FRM30_P23" refersTo="='Pricing'!$AV$30"/>
      <definedName name="PE_FRM30_P24" refersTo="='Pricing'!$AV$31"/>
      <definedName name="PE_FRM30_P25" refersTo="='Pricing'!$AV$32"/>
      <definedName name="PE_FRM30_P26" refersTo="='Pricing'!$AV$33"/>
      <definedName name="PE_FRM30_P27" refersTo="='Pricing'!$AV$34"/>
      <definedName name="PE_R01" refersTo="='Pricing'!$AT$8"/>
      <definedName name="PE_R02" refersTo="='Pricing'!$AT$9"/>
      <definedName name="PE_R03" refersTo="='Pricing'!$AT$10"/>
      <definedName name="PE_R04" refersTo="='Pricing'!$AT$11"/>
      <definedName name="PE_R05" refersTo="='Pricing'!$AT$12"/>
      <definedName name="PE_R06" refersTo="='Pricing'!$AT$13"/>
      <definedName name="PE_R07" refersTo="='Pricing'!$AT$14"/>
      <definedName name="PE_R08" refersTo="='Pricing'!$AT$15"/>
      <definedName name="PE_R09" refersTo="='Pricing'!$AT$16"/>
      <definedName name="PE_R10" refersTo="='Pricing'!$AT$17"/>
      <definedName name="PE_R11" refersTo="='Pricing'!$AT$18"/>
      <definedName name="PE_R12" refersTo="='Pricing'!$AT$19"/>
      <definedName name="PE_R13" refersTo="='Pricing'!$AT$20"/>
      <definedName name="PE_R14" refersTo="='Pricing'!$AT$21"/>
      <definedName name="PE_R15" refersTo="='Pricing'!$AT$22"/>
      <definedName name="PE_R16" refersTo="='Pricing'!$AT$23"/>
      <definedName name="PE_R17" refersTo="='Pricing'!$AT$24"/>
      <definedName name="PE_R18" refersTo="='Pricing'!$AT$25"/>
      <definedName name="PE_R19" refersTo="='Pricing'!$AT$26"/>
      <definedName name="PE_R20" refersTo="='Pricing'!$AT$27"/>
      <definedName name="PE_R21" refersTo="='Pricing'!$AT$28"/>
      <definedName name="PE_R22" refersTo="='Pricing'!$AT$29"/>
      <definedName name="PE_R23" refersTo="='Pricing'!$AT$30"/>
      <definedName name="PE_R24" refersTo="='Pricing'!$AT$31"/>
      <definedName name="PE_R25" refersTo="='Pricing'!$AT$32"/>
      <definedName name="PE_R26" refersTo="='Pricing'!$AT$33"/>
      <definedName name="PE_R27" refersTo="='Pricing'!$AT$34"/>
      <definedName name="PH_FRM30_M01" refersTo="='Pricing'!$W$8"/>
      <definedName name="PH_FRM30_M02" refersTo="='Pricing'!$W$9"/>
      <definedName name="PH_FRM30_M03" refersTo="='Pricing'!$W$10"/>
      <definedName name="PH_FRM30_M04" refersTo="='Pricing'!$W$11"/>
      <definedName name="PH_FRM30_M05" refersTo="='Pricing'!$W$12"/>
      <definedName name="PH_FRM30_M06" refersTo="='Pricing'!$W$13"/>
      <definedName name="PH_FRM30_M07" refersTo="='Pricing'!$W$14"/>
      <definedName name="PH_FRM30_M08" refersTo="='Pricing'!$W$15"/>
      <definedName name="PH_FRM30_M09" refersTo="='Pricing'!$W$16"/>
      <definedName name="PH_FRM30_M10" refersTo="='Pricing'!$W$17"/>
      <definedName name="PH_FRM30_M11" refersTo="='Pricing'!$W$18"/>
      <definedName name="PH_FRM30_M12" refersTo="='Pricing'!$W$19"/>
      <definedName name="PH_FRM30_M13" refersTo="='Pricing'!$W$20"/>
      <definedName name="PH_FRM30_M14" refersTo="='Pricing'!$W$21"/>
      <definedName name="PH_FRM30_M15" refersTo="='Pricing'!$W$22"/>
      <definedName name="PH_FRM30_M16" refersTo="='Pricing'!$W$23"/>
      <definedName name="PH_FRM30_M17" refersTo="='Pricing'!$W$24"/>
      <definedName name="PH_FRM30_M18" refersTo="='Pricing'!$W$25"/>
      <definedName name="PH_FRM30_M19" refersTo="='Pricing'!$W$26"/>
      <definedName name="PH_FRM30_M20" refersTo="='Pricing'!$W$27"/>
      <definedName name="PH_FRM30_M21" refersTo="='Pricing'!$W$28"/>
      <definedName name="PH_FRM30_M22" refersTo="='Pricing'!$W$29"/>
      <definedName name="PH_FRM30_M23" refersTo="='Pricing'!$W$30"/>
      <definedName name="PH_FRM30_M24" refersTo="='Pricing'!$W$31"/>
      <definedName name="PH_FRM30_M25" refersTo="='Pricing'!$W$32"/>
      <definedName name="PH_FRM30_M26" refersTo="='Pricing'!$W$33"/>
      <definedName name="PH_FRM30_M27" refersTo="='Pricing'!$W$34"/>
      <definedName name="PH_FRM30_M28" refersTo="='Pricing'!$W$35"/>
      <definedName name="PH_FRM30_M29" refersTo="='Pricing'!$W$36"/>
      <definedName name="PH_FRM30_M30" refersTo="='Pricing'!$W$37"/>
      <definedName name="PH_FRM30_M31" refersTo="='Pricing'!$W$38"/>
      <definedName name="PH_FRM30_M32" refersTo="='Pricing'!$W$39"/>
      <definedName name="PH_FRM30_M33" refersTo="='Pricing'!$W$40"/>
      <definedName name="PH_FRM30_M34" refersTo="='Pricing'!$W$41"/>
      <definedName name="PH_FRM30_M35" refersTo="='Pricing'!$W$42"/>
      <definedName name="PH_FRM30_M36" refersTo="='Pricing'!$W$43"/>
      <definedName name="PH_FRM30_M37" refersTo="='Pricing'!$W$44"/>
      <definedName name="PH_FRM30_M38" refersTo="='Pricing'!$W$45"/>
      <definedName name="PH_FRM30_M39" refersTo="='Pricing'!$W$46"/>
      <definedName name="PH_FRM30_M40" refersTo="='Pricing'!$W$47"/>
      <definedName name="PH_FRM30_M41" refersTo="='Pricing'!$W$48"/>
      <definedName name="PH_FRM30_P01" refersTo="='Pricing'!$X$8"/>
      <definedName name="PH_FRM30_P02" refersTo="='Pricing'!$X$9"/>
      <definedName name="PH_FRM30_P03" refersTo="='Pricing'!$X$10"/>
      <definedName name="PH_FRM30_P04" refersTo="='Pricing'!$X$11"/>
      <definedName name="PH_FRM30_P05" refersTo="='Pricing'!$X$12"/>
      <definedName name="PH_FRM30_P06" refersTo="='Pricing'!$X$13"/>
      <definedName name="PH_FRM30_P07" refersTo="='Pricing'!$X$14"/>
      <definedName name="PH_FRM30_P08" refersTo="='Pricing'!$X$15"/>
      <definedName name="PH_FRM30_P09" refersTo="='Pricing'!$X$16"/>
      <definedName name="PH_FRM30_P10" refersTo="='Pricing'!$X$17"/>
      <definedName name="PH_FRM30_P11" refersTo="='Pricing'!$X$18"/>
      <definedName name="PH_FRM30_P12" refersTo="='Pricing'!$X$19"/>
      <definedName name="PH_FRM30_P13" refersTo="='Pricing'!$X$20"/>
      <definedName name="PH_FRM30_P14" refersTo="='Pricing'!$X$21"/>
      <definedName name="PH_FRM30_P15" refersTo="='Pricing'!$X$22"/>
      <definedName name="PH_FRM30_P16" refersTo="='Pricing'!$X$23"/>
      <definedName name="PH_FRM30_P17" refersTo="='Pricing'!$X$24"/>
      <definedName name="PH_FRM30_P18" refersTo="='Pricing'!$X$25"/>
      <definedName name="PH_FRM30_P19" refersTo="='Pricing'!$X$26"/>
      <definedName name="PH_FRM30_P20" refersTo="='Pricing'!$X$27"/>
      <definedName name="PH_FRM30_P21" refersTo="='Pricing'!$X$28"/>
      <definedName name="PH_FRM30_P22" refersTo="='Pricing'!$X$29"/>
      <definedName name="PH_FRM30_P23" refersTo="='Pricing'!$X$30"/>
      <definedName name="PH_FRM30_P24" refersTo="='Pricing'!$X$31"/>
      <definedName name="PH_FRM30_P25" refersTo="='Pricing'!$X$32"/>
      <definedName name="PH_FRM30_P26" refersTo="='Pricing'!$X$33"/>
      <definedName name="PH_FRM30_P27" refersTo="='Pricing'!$X$34"/>
      <definedName name="PH_FRM30_P28" refersTo="='Pricing'!$X$35"/>
      <definedName name="PH_FRM30_P29" refersTo="='Pricing'!$X$36"/>
      <definedName name="PH_FRM30_P30" refersTo="='Pricing'!$X$37"/>
      <definedName name="PH_FRM30_P31" refersTo="='Pricing'!$X$38"/>
      <definedName name="PH_FRM30_P32" refersTo="='Pricing'!$X$39"/>
      <definedName name="PH_FRM30_P33" refersTo="='Pricing'!$X$40"/>
      <definedName name="PH_FRM30_P34" refersTo="='Pricing'!$X$41"/>
      <definedName name="PH_FRM30_P35" refersTo="='Pricing'!$X$42"/>
      <definedName name="PH_FRM30_P36" refersTo="='Pricing'!$X$43"/>
      <definedName name="PH_FRM30_P37" refersTo="='Pricing'!$X$44"/>
      <definedName name="PH_FRM30_P38" refersTo="='Pricing'!$X$45"/>
      <definedName name="PH_FRM30_P39" refersTo="='Pricing'!$X$46"/>
      <definedName name="PH_FRM30_P40" refersTo="='Pricing'!$X$47"/>
      <definedName name="PH_FRM30_P41" refersTo="='Pricing'!$X$48"/>
      <definedName name="PH_R01" refersTo="='Pricing'!$V$8"/>
      <definedName name="PH_R02" refersTo="='Pricing'!$V$9"/>
      <definedName name="PH_R03" refersTo="='Pricing'!$V$10"/>
      <definedName name="PH_R04" refersTo="='Pricing'!$V$11"/>
      <definedName name="PH_R05" refersTo="='Pricing'!$V$12"/>
      <definedName name="PH_R06" refersTo="='Pricing'!$V$13"/>
      <definedName name="PH_R07" refersTo="='Pricing'!$V$14"/>
      <definedName name="PH_R08" refersTo="='Pricing'!$V$15"/>
      <definedName name="PH_R09" refersTo="='Pricing'!$V$16"/>
      <definedName name="PH_R10" refersTo="='Pricing'!$V$17"/>
      <definedName name="PH_R11" refersTo="='Pricing'!$V$18"/>
      <definedName name="PH_R12" refersTo="='Pricing'!$V$19"/>
      <definedName name="PH_R13" refersTo="='Pricing'!$V$20"/>
      <definedName name="PH_R14" refersTo="='Pricing'!$V$21"/>
      <definedName name="PH_R15" refersTo="='Pricing'!$V$22"/>
      <definedName name="PH_R16" refersTo="='Pricing'!$V$23"/>
      <definedName name="PH_R17" refersTo="='Pricing'!$V$24"/>
      <definedName name="PH_R18" refersTo="='Pricing'!$V$25"/>
      <definedName name="PH_R19" refersTo="='Pricing'!$V$26"/>
      <definedName name="PH_R20" refersTo="='Pricing'!$V$27"/>
      <definedName name="PH_R21" refersTo="='Pricing'!$V$28"/>
      <definedName name="PH_R22" refersTo="='Pricing'!$V$29"/>
      <definedName name="PH_R23" refersTo="='Pricing'!$V$30"/>
      <definedName name="PH_R24" refersTo="='Pricing'!$V$31"/>
      <definedName name="PH_R25" refersTo="='Pricing'!$V$32"/>
      <definedName name="PH_R26" refersTo="='Pricing'!$V$33"/>
      <definedName name="PH_R27" refersTo="='Pricing'!$V$34"/>
      <definedName name="PH_R28" refersTo="='Pricing'!$V$35"/>
      <definedName name="PH_R29" refersTo="='Pricing'!$V$36"/>
      <definedName name="PH_R30" refersTo="='Pricing'!$V$37"/>
      <definedName name="PH_R31" refersTo="='Pricing'!$V$38"/>
      <definedName name="PH_R32" refersTo="='Pricing'!$V$39"/>
      <definedName name="PH_R33" refersTo="='Pricing'!$V$40"/>
      <definedName name="PH_R34" refersTo="='Pricing'!$V$41"/>
      <definedName name="PH_R35" refersTo="='Pricing'!$V$42"/>
      <definedName name="PH_R36" refersTo="='Pricing'!$V$43"/>
      <definedName name="PH_R37" refersTo="='Pricing'!$V$44"/>
      <definedName name="PH_R38" refersTo="='Pricing'!$V$45"/>
      <definedName name="PH_R39" refersTo="='Pricing'!$V$46"/>
      <definedName name="PH_R40" refersTo="='Pricing'!$V$47"/>
      <definedName name="PH_R41" refersTo="='Pricing'!$V$48"/>
      <definedName name="PN_ARM05_P01" refersTo="='Pricing'!$AI$8"/>
      <definedName name="PN_ARM05_P02" refersTo="='Pricing'!$AI$9"/>
      <definedName name="PN_ARM05_P03" refersTo="='Pricing'!$AI$10"/>
      <definedName name="PN_ARM05_P04" refersTo="='Pricing'!$AI$11"/>
      <definedName name="PN_ARM05_P05" refersTo="='Pricing'!$AI$12"/>
      <definedName name="PN_ARM05_P06" refersTo="='Pricing'!$AI$13"/>
      <definedName name="PN_ARM05_P07" refersTo="='Pricing'!$AI$14"/>
      <definedName name="PN_ARM05_P08" refersTo="='Pricing'!$AI$15"/>
      <definedName name="PN_ARM05_P09" refersTo="='Pricing'!$AI$16"/>
      <definedName name="PN_ARM05_P10" refersTo="='Pricing'!$AI$17"/>
      <definedName name="PN_ARM05_P11" refersTo="='Pricing'!$AI$18"/>
      <definedName name="PN_ARM05_P12" refersTo="='Pricing'!$AI$19"/>
      <definedName name="PN_ARM05_P13" refersTo="='Pricing'!$AI$20"/>
      <definedName name="PN_ARM05_P14" refersTo="='Pricing'!$AI$21"/>
      <definedName name="PN_ARM05_P15" refersTo="='Pricing'!$AI$22"/>
      <definedName name="PN_ARM05_P16" refersTo="='Pricing'!$AI$23"/>
      <definedName name="PN_ARM05_P17" refersTo="='Pricing'!$AI$24"/>
      <definedName name="PN_ARM05_P18" refersTo="='Pricing'!$AI$25"/>
      <definedName name="PN_ARM05_P19" refersTo="='Pricing'!$AI$26"/>
      <definedName name="PN_ARM05_P20" refersTo="='Pricing'!$AI$27"/>
      <definedName name="PN_ARM05_P21" refersTo="='Pricing'!$AI$28"/>
      <definedName name="PN_ARM05_P22" refersTo="='Pricing'!$AI$29"/>
      <definedName name="PN_ARM05_P23" refersTo="='Pricing'!$AI$30"/>
      <definedName name="PN_ARM05_P24" refersTo="='Pricing'!$AI$31"/>
      <definedName name="PN_ARM05_P25" refersTo="='Pricing'!$AI$32"/>
      <definedName name="PN_ARM05_P26" refersTo="='Pricing'!$AI$33"/>
      <definedName name="PN_FRM30_P01" refersTo="='Pricing'!$AJ$8"/>
      <definedName name="PN_FRM30_P02" refersTo="='Pricing'!$AJ$9"/>
      <definedName name="PN_FRM30_P03" refersTo="='Pricing'!$AJ$10"/>
      <definedName name="PN_FRM30_P04" refersTo="='Pricing'!$AJ$11"/>
      <definedName name="PN_FRM30_P05" refersTo="='Pricing'!$AJ$12"/>
      <definedName name="PN_FRM30_P06" refersTo="='Pricing'!$AJ$13"/>
      <definedName name="PN_FRM30_P07" refersTo="='Pricing'!$AJ$14"/>
      <definedName name="PN_FRM30_P08" refersTo="='Pricing'!$AJ$15"/>
      <definedName name="PN_FRM30_P09" refersTo="='Pricing'!$AJ$16"/>
      <definedName name="PN_FRM30_P10" refersTo="='Pricing'!$AJ$17"/>
      <definedName name="PN_FRM30_P11" refersTo="='Pricing'!$AJ$18"/>
      <definedName name="PN_FRM30_P12" refersTo="='Pricing'!$AJ$19"/>
      <definedName name="PN_FRM30_P13" refersTo="='Pricing'!$AJ$20"/>
      <definedName name="PN_FRM30_P14" refersTo="='Pricing'!$AJ$21"/>
      <definedName name="PN_FRM30_P15" refersTo="='Pricing'!$AJ$22"/>
      <definedName name="PN_FRM30_P16" refersTo="='Pricing'!$AJ$23"/>
      <definedName name="PN_FRM30_P17" refersTo="='Pricing'!$AJ$24"/>
      <definedName name="PN_FRM30_P18" refersTo="='Pricing'!$AJ$25"/>
      <definedName name="PN_FRM30_P19" refersTo="='Pricing'!$AJ$26"/>
      <definedName name="PN_FRM30_P20" refersTo="='Pricing'!$AJ$27"/>
      <definedName name="PN_FRM30_P21" refersTo="='Pricing'!$AJ$28"/>
      <definedName name="PN_FRM30_P22" refersTo="='Pricing'!$AJ$29"/>
      <definedName name="PN_FRM30_P23" refersTo="='Pricing'!$AJ$30"/>
      <definedName name="PN_FRM30_P24" refersTo="='Pricing'!$AJ$31"/>
      <definedName name="PN_FRM30_P25" refersTo="='Pricing'!$AJ$32"/>
      <definedName name="PN_FRM30_P26" refersTo="='Pricing'!$AJ$33"/>
      <definedName name="PN_R01" refersTo="='Pricing'!$AH$8"/>
      <definedName name="PN_R02" refersTo="='Pricing'!$AH$9"/>
      <definedName name="PN_R03" refersTo="='Pricing'!$AH$10"/>
      <definedName name="PN_R04" refersTo="='Pricing'!$AH$11"/>
      <definedName name="PN_R05" refersTo="='Pricing'!$AH$12"/>
      <definedName name="PN_R06" refersTo="='Pricing'!$AH$13"/>
      <definedName name="PN_R07" refersTo="='Pricing'!$AH$14"/>
      <definedName name="PN_R08" refersTo="='Pricing'!$AH$15"/>
      <definedName name="PN_R09" refersTo="='Pricing'!$AH$16"/>
      <definedName name="PN_R10" refersTo="='Pricing'!$AH$17"/>
      <definedName name="PN_R11" refersTo="='Pricing'!$AH$18"/>
      <definedName name="PN_R12" refersTo="='Pricing'!$AH$19"/>
      <definedName name="PN_R13" refersTo="='Pricing'!$AH$20"/>
      <definedName name="PN_R14" refersTo="='Pricing'!$AH$21"/>
      <definedName name="PN_R15" refersTo="='Pricing'!$AH$22"/>
      <definedName name="PN_R16" refersTo="='Pricing'!$AH$23"/>
      <definedName name="PN_R17" refersTo="='Pricing'!$AH$24"/>
      <definedName name="PN_R18" refersTo="='Pricing'!$AH$25"/>
      <definedName name="PN_R19" refersTo="='Pricing'!$AH$26"/>
      <definedName name="PN_R20" refersTo="='Pricing'!$AH$27"/>
      <definedName name="PN_R21" refersTo="='Pricing'!$AH$28"/>
      <definedName name="PN_R22" refersTo="='Pricing'!$AH$29"/>
      <definedName name="PN_R23" refersTo="='Pricing'!$AH$30"/>
      <definedName name="PN_R24" refersTo="='Pricing'!$AH$31"/>
      <definedName name="PN_R25" refersTo="='Pricing'!$AH$32"/>
      <definedName name="PN_R26" refersTo="='Pricing'!$AH$33"/>
      <definedName name="PR_ARM05_P01" refersTo="='Pricing'!$K$8"/>
      <definedName name="PR_ARM05_P03" refersTo="='Pricing'!$K$10"/>
      <definedName name="PR_ARM05_P04" refersTo="='Pricing'!$K$11"/>
      <definedName name="PR_ARM05_P05" refersTo="='Pricing'!$K$12"/>
      <definedName name="PR_ARM05_P06" refersTo="='Pricing'!$K$13"/>
      <definedName name="PR_ARM05_P07" refersTo="='Pricing'!$K$14"/>
      <definedName name="PR_ARM05_P08" refersTo="='Pricing'!$K$15"/>
      <definedName name="PR_ARM05_P09" refersTo="='Pricing'!$K$16"/>
      <definedName name="PR_ARM05_P10" refersTo="='Pricing'!$K$17"/>
      <definedName name="PR_ARM05_P11" refersTo="='Pricing'!$K$18"/>
      <definedName name="PR_ARM05_P12" refersTo="='Pricing'!$K$19"/>
      <definedName name="PR_ARM05_P13" refersTo="='Pricing'!$K$20"/>
      <definedName name="PR_ARM05_P14" refersTo="='Pricing'!$K$21"/>
      <definedName name="PR_ARM05_P15" refersTo="='Pricing'!$K$22"/>
      <definedName name="PR_ARM05_P16" refersTo="='Pricing'!$K$23"/>
      <definedName name="PR_ARM05_P17" refersTo="='Pricing'!$K$24"/>
      <definedName name="PR_ARM05_P18" refersTo="='Pricing'!$K$25"/>
      <definedName name="PR_ARM05_P19" refersTo="='Pricing'!$K$26"/>
      <definedName name="PR_ARM05_P20" refersTo="='Pricing'!$K$27"/>
      <definedName name="PR_ARM05_P21" refersTo="='Pricing'!$K$28"/>
      <definedName name="PR_ARM05_P22" refersTo="='Pricing'!$K$29"/>
      <definedName name="PR_ARM05_P23" refersTo="='Pricing'!$K$30"/>
      <definedName name="PR_ARM05_P24" refersTo="='Pricing'!$K$31"/>
      <definedName name="PR_ARM05_P25" refersTo="='Pricing'!$K$32"/>
      <definedName name="PR_ARM05_P26" refersTo="='Pricing'!$K$33"/>
      <definedName name="PR_ARM05_P27" refersTo="='Pricing'!$K$34"/>
      <definedName name="PR_ARM05_P28" refersTo="='Pricing'!$K$35"/>
      <definedName name="PR_ARM05_P29" refersTo="='Pricing'!$K$36"/>
      <definedName name="PR_ARM05_P30" refersTo="='Pricing'!$K$37"/>
      <definedName name="PR_ARM05_P31" refersTo="='Pricing'!$K$38"/>
      <definedName name="PR_ARM05_P32" refersTo="='Pricing'!$K$39"/>
      <definedName name="PR_ARM05_P33" refersTo="='Pricing'!$K$40"/>
      <definedName name="PR_ARM05_P34" refersTo="='Pricing'!$K$41"/>
      <definedName name="PR_ARM05_P35" refersTo="='Pricing'!$K$42"/>
      <definedName name="PR_ARM05_P36" refersTo="='Pricing'!$K$43"/>
      <definedName name="PR_ARM05_P37" refersTo="='Pricing'!$K$44"/>
      <definedName name="PR_ARM05_P38" refersTo="='Pricing'!$K$45"/>
      <definedName name="PR_ARM05_P39" refersTo="='Pricing'!$K$46"/>
      <definedName name="PR_ARM05_P40" refersTo="='Pricing'!$K$47"/>
      <definedName name="PR_ARM05_P41" refersTo="='Pricing'!$K$48"/>
      <definedName name="PR_FRM30_P01" refersTo="='Pricing'!$L$8"/>
      <definedName name="PR_FRM30_P02" refersTo="='Pricing'!$L$9"/>
      <definedName name="PR_FRM30_P03" refersTo="='Pricing'!$L$10"/>
      <definedName name="PR_FRM30_P04" refersTo="='Pricing'!$L$11"/>
      <definedName name="PR_FRM30_P05" refersTo="='Pricing'!$L$12"/>
      <definedName name="PR_FRM30_P06" refersTo="='Pricing'!$L$13"/>
      <definedName name="PR_FRM30_P07" refersTo="='Pricing'!$L$14"/>
      <definedName name="PR_FRM30_P08" refersTo="='Pricing'!$L$15"/>
      <definedName name="PR_FRM30_P09" refersTo="='Pricing'!$L$16"/>
      <definedName name="PR_FRM30_P10" refersTo="='Pricing'!$L$17"/>
      <definedName name="PR_FRM30_P11" refersTo="='Pricing'!$L$18"/>
      <definedName name="PR_FRM30_P12" refersTo="='Pricing'!$L$19"/>
      <definedName name="PR_FRM30_P13" refersTo="='Pricing'!$L$20"/>
      <definedName name="PR_FRM30_P14" refersTo="='Pricing'!$L$21"/>
      <definedName name="PR_FRM30_P15" refersTo="='Pricing'!$L$22"/>
      <definedName name="PR_FRM30_P16" refersTo="='Pricing'!$L$23"/>
      <definedName name="PR_FRM30_P17" refersTo="='Pricing'!$L$24"/>
      <definedName name="PR_FRM30_P18" refersTo="='Pricing'!$L$25"/>
      <definedName name="PR_FRM30_P19" refersTo="='Pricing'!$L$26"/>
      <definedName name="PR_FRM30_P20" refersTo="='Pricing'!$L$27"/>
      <definedName name="PR_FRM30_P21" refersTo="='Pricing'!$L$28"/>
      <definedName name="PR_FRM30_P22" refersTo="='Pricing'!$L$29"/>
      <definedName name="PR_FRM30_P23" refersTo="='Pricing'!$L$30"/>
      <definedName name="PR_FRM30_P24" refersTo="='Pricing'!$L$31"/>
      <definedName name="PR_FRM30_P25" refersTo="='Pricing'!$L$32"/>
      <definedName name="PR_FRM30_P26" refersTo="='Pricing'!$L$33"/>
      <definedName name="PR_FRM30_P27" refersTo="='Pricing'!$L$34"/>
      <definedName name="PR_FRM30_P28" refersTo="='Pricing'!$L$35"/>
      <definedName name="PR_FRM30_P29" refersTo="='Pricing'!$L$36"/>
      <definedName name="PR_FRM30_P30" refersTo="='Pricing'!$L$37"/>
      <definedName name="PR_FRM30_P31" refersTo="='Pricing'!$L$38"/>
      <definedName name="PR_FRM30_P32" refersTo="='Pricing'!$L$39"/>
      <definedName name="PR_FRM30_P33" refersTo="='Pricing'!$L$40"/>
      <definedName name="PR_FRM30_P34" refersTo="='Pricing'!$L$41"/>
      <definedName name="PR_FRM30_P35" refersTo="='Pricing'!$L$42"/>
      <definedName name="PR_FRM30_P36" refersTo="='Pricing'!$L$43"/>
      <definedName name="PR_FRM30_P37" refersTo="='Pricing'!$L$44"/>
      <definedName name="PR_FRM30_P38" refersTo="='Pricing'!$L$45"/>
      <definedName name="PR_FRM30_P39" refersTo="='Pricing'!$L$46"/>
      <definedName name="PR_FRM30_P40" refersTo="='Pricing'!$L$47"/>
      <definedName name="PR_FRM30_P41" refersTo="='Pricing'!$L$48"/>
      <definedName name="PR_R01" refersTo="='Pricing'!$J$8"/>
      <definedName name="PR_R02" refersTo="='Pricing'!$J$9"/>
      <definedName name="PR_R03" refersTo="='Pricing'!$J$10"/>
      <definedName name="PR_R04" refersTo="='Pricing'!$J$11"/>
      <definedName name="PR_R05" refersTo="='Pricing'!$J$12"/>
      <definedName name="PR_R06" refersTo="='Pricing'!$J$13"/>
      <definedName name="PR_R07" refersTo="='Pricing'!$J$14"/>
      <definedName name="PR_R08" refersTo="='Pricing'!$J$15"/>
      <definedName name="PR_R09" refersTo="='Pricing'!$J$16"/>
      <definedName name="PR_R10" refersTo="='Pricing'!$J$17"/>
      <definedName name="PR_R11" refersTo="='Pricing'!$J$18"/>
      <definedName name="PR_R12" refersTo="='Pricing'!$J$19"/>
      <definedName name="PR_R13" refersTo="='Pricing'!$J$20"/>
      <definedName name="PR_R14" refersTo="='Pricing'!$J$21"/>
      <definedName name="PR_R15" refersTo="='Pricing'!$J$22"/>
      <definedName name="PR_R16" refersTo="='Pricing'!$J$23"/>
      <definedName name="PR_R17" refersTo="='Pricing'!$J$24"/>
      <definedName name="PR_R18" refersTo="='Pricing'!$J$25"/>
      <definedName name="PR_R19" refersTo="='Pricing'!$J$26"/>
      <definedName name="PR_R20" refersTo="='Pricing'!$J$27"/>
      <definedName name="PR_R21" refersTo="='Pricing'!$J$28"/>
      <definedName name="PR_R22" refersTo="='Pricing'!$J$29"/>
      <definedName name="PR_R23" refersTo="='Pricing'!$J$30"/>
      <definedName name="PR_R24" refersTo="='Pricing'!$J$31"/>
      <definedName name="PR_R25" refersTo="='Pricing'!$J$32"/>
      <definedName name="PR_R26" refersTo="='Pricing'!$J$33"/>
      <definedName name="PR_R27" refersTo="='Pricing'!$J$34"/>
      <definedName name="PR_R28" refersTo="='Pricing'!$J$35"/>
      <definedName name="PR_R29" refersTo="='Pricing'!$J$36"/>
      <definedName name="PR_R30" refersTo="='Pricing'!$J$37"/>
      <definedName name="PR_R31" refersTo="='Pricing'!$J$38"/>
      <definedName name="PR_R32" refersTo="='Pricing'!$J$39"/>
      <definedName name="PR_R33" refersTo="='Pricing'!$J$40"/>
      <definedName name="PR_R34" refersTo="='Pricing'!$J$41"/>
      <definedName name="PR_R35" refersTo="='Pricing'!$J$42"/>
      <definedName name="PR_R36" refersTo="='Pricing'!$J$43"/>
      <definedName name="PR_R37" refersTo="='Pricing'!$J$44"/>
      <definedName name="PR_R38" refersTo="='Pricing'!$J$45"/>
      <definedName name="PR_R39" refersTo="='Pricing'!$J$46"/>
      <definedName name="PR_R40" refersTo="='Pricing'!$J$47"/>
      <definedName name="PR_R41" refersTo="='Pricing'!$J$48"/>
      <definedName name="Range_Incentive_MaxPriceAdj" refersTo="='Spreads'!$Q$5:$V$19"/>
      <definedName name="Range_Incentive_Name" refersTo="='Spreads'!$C$5:$H$31"/>
      <definedName name="Range_Incentive_Spread" refersTo="='Spreads'!$J$5:$O$19"/>
      <definedName name="Retl_PL_Incentive_PN" refersTo="='Spreads'!$O$5"/>
      <definedName name="Whol_Name_Product16" refersTo="='Spreads'!$G$10"/>
      <definedName name="Whol_Name_Product17" refersTo="='Spreads'!$G$11"/>
      <definedName name="Whol_Name_Product18" refersTo="='Spreads'!$G$12"/>
      <definedName name="Whol_Name_Product19" refersTo="='Spreads'!$G$13"/>
      <definedName name="Whol_Name_Product20" refersTo="='Spreads'!$G$14"/>
      <definedName name="Whol_PL_Incentive_PN" refersTo="='Spreads'!$N$5"/>
      <definedName name="XP_ARM05_P01" refersTo="='Pricing'!$BK$8"/>
      <definedName name="XP_ARM05_P03" refersTo="='Pricing'!$BK$10"/>
      <definedName name="XP_ARM05_P04" refersTo="='Pricing'!$BK$11"/>
      <definedName name="XP_ARM05_P05" refersTo="='Pricing'!$BK$12"/>
      <definedName name="XP_ARM05_P06" refersTo="='Pricing'!$BK$13"/>
      <definedName name="XP_ARM05_P07" refersTo="='Pricing'!$BK$14"/>
      <definedName name="XP_ARM05_P08" refersTo="='Pricing'!$BK$15"/>
      <definedName name="XP_ARM05_P09" refersTo="='Pricing'!$BK$16"/>
      <definedName name="XP_ARM05_P10" refersTo="='Pricing'!$BK$17"/>
      <definedName name="XP_ARM05_P11" refersTo="='Pricing'!$BK$18"/>
      <definedName name="XP_ARM05_P12" refersTo="='Pricing'!$BK$19"/>
      <definedName name="XP_ARM05_P13" refersTo="='Pricing'!$BK$20"/>
      <definedName name="XP_ARM05_P14" refersTo="='Pricing'!$BK$21"/>
      <definedName name="XP_ARM05_P15" refersTo="='Pricing'!$BK$22"/>
      <definedName name="XP_ARM05_P16" refersTo="='Pricing'!$BK$23"/>
      <definedName name="XP_ARM05_P17" refersTo="='Pricing'!$BK$24"/>
      <definedName name="XP_ARM05_P18" refersTo="='Pricing'!$BK$25"/>
      <definedName name="XP_ARM05_P19" refersTo="='Pricing'!$BK$26"/>
      <definedName name="XP_ARM05_P20" refersTo="='Pricing'!$BK$27"/>
      <definedName name="XP_ARM05_P21" refersTo="='Pricing'!$BK$28"/>
      <definedName name="XP_ARM05_P22" refersTo="='Pricing'!$BK$29"/>
      <definedName name="XP_ARM05_P23" refersTo="='Pricing'!$BK$30"/>
      <definedName name="XP_ARM05_P24" refersTo="='Pricing'!$BK$31"/>
      <definedName name="XP_ARM05_P25" refersTo="='Pricing'!$BK$32"/>
      <definedName name="XP_ARM05_P26" refersTo="='Pricing'!$BK$33"/>
      <definedName name="XP_FRM30_P01" refersTo="='Pricing'!$BL$8"/>
      <definedName name="XP_FRM30_P02" refersTo="='Pricing'!$BL$9"/>
      <definedName name="XP_FRM30_P03" refersTo="='Pricing'!$BL$10"/>
      <definedName name="XP_FRM30_P04" refersTo="='Pricing'!$BL$11"/>
      <definedName name="XP_FRM30_P05" refersTo="='Pricing'!$BL$12"/>
      <definedName name="XP_FRM30_P06" refersTo="='Pricing'!$BL$13"/>
      <definedName name="XP_FRM30_P07" refersTo="='Pricing'!$BL$14"/>
      <definedName name="XP_FRM30_P08" refersTo="='Pricing'!$BL$15"/>
      <definedName name="XP_FRM30_P09" refersTo="='Pricing'!$BL$16"/>
      <definedName name="XP_FRM30_P10" refersTo="='Pricing'!$BL$17"/>
      <definedName name="XP_FRM30_P11" refersTo="='Pricing'!$BL$18"/>
      <definedName name="XP_FRM30_P12" refersTo="='Pricing'!$BL$19"/>
      <definedName name="XP_FRM30_P13" refersTo="='Pricing'!$BL$20"/>
      <definedName name="XP_FRM30_P14" refersTo="='Pricing'!$BL$21"/>
      <definedName name="XP_FRM30_P15" refersTo="='Pricing'!$BL$22"/>
      <definedName name="XP_FRM30_P16" refersTo="='Pricing'!$BL$23"/>
      <definedName name="XP_FRM30_P17" refersTo="='Pricing'!$BL$24"/>
      <definedName name="XP_FRM30_P18" refersTo="='Pricing'!$BL$25"/>
      <definedName name="XP_FRM30_P19" refersTo="='Pricing'!$BL$26"/>
      <definedName name="XP_FRM30_P20" refersTo="='Pricing'!$BL$27"/>
      <definedName name="XP_FRM30_P21" refersTo="='Pricing'!$BL$28"/>
      <definedName name="XP_FRM30_P22" refersTo="='Pricing'!$BL$29"/>
      <definedName name="XP_FRM30_P23" refersTo="='Pricing'!$BL$30"/>
      <definedName name="XP_FRM30_P24" refersTo="='Pricing'!$BL$31"/>
      <definedName name="XP_FRM30_P25" refersTo="='Pricing'!$BL$32"/>
      <definedName name="XP_FRM30_P26" refersTo="='Pricing'!$BL$33"/>
      <definedName name="XP_R01" refersTo="='Pricing'!$BJ$8"/>
      <definedName name="XP_R02" refersTo="='Pricing'!$BJ$9"/>
      <definedName name="XP_R03" refersTo="='Pricing'!$BJ$10"/>
      <definedName name="XP_R04" refersTo="='Pricing'!$BJ$11"/>
      <definedName name="XP_R05" refersTo="='Pricing'!$BJ$12"/>
      <definedName name="XP_R06" refersTo="='Pricing'!$BJ$13"/>
      <definedName name="XP_R07" refersTo="='Pricing'!$BJ$14"/>
      <definedName name="XP_R08" refersTo="='Pricing'!$BJ$15"/>
      <definedName name="XP_R09" refersTo="='Pricing'!$BJ$16"/>
      <definedName name="XP_R10" refersTo="='Pricing'!$BJ$17"/>
      <definedName name="XP_R11" refersTo="='Pricing'!$BJ$18"/>
      <definedName name="XP_R12" refersTo="='Pricing'!$BJ$19"/>
      <definedName name="XP_R13" refersTo="='Pricing'!$BJ$20"/>
      <definedName name="XP_R14" refersTo="='Pricing'!$BJ$21"/>
      <definedName name="XP_R15" refersTo="='Pricing'!$BJ$22"/>
      <definedName name="XP_R16" refersTo="='Pricing'!$BJ$23"/>
      <definedName name="XP_R17" refersTo="='Pricing'!$BJ$24"/>
      <definedName name="XP_R18" refersTo="='Pricing'!$BJ$25"/>
      <definedName name="XP_R19" refersTo="='Pricing'!$BJ$26"/>
      <definedName name="XP_R20" refersTo="='Pricing'!$BJ$27"/>
      <definedName name="XP_R21" refersTo="='Pricing'!$BJ$28"/>
      <definedName name="XP_R22" refersTo="='Pricing'!$BJ$29"/>
      <definedName name="XP_R23" refersTo="='Pricing'!$BJ$30"/>
      <definedName name="XP_R24" refersTo="='Pricing'!$BJ$31"/>
      <definedName name="XP_R25" refersTo="='Pricing'!$BJ$32"/>
      <definedName name="XP_R26" refersTo="='Pricing'!$BJ$33"/>
      <definedName name="XX_ARM05_P01" refersTo="='Pricing'!$BS$8"/>
      <definedName name="XX_ARM05_P03" refersTo="='Pricing'!$BS$10"/>
      <definedName name="XX_ARM05_P04" refersTo="='Pricing'!$BS$11"/>
      <definedName name="XX_ARM05_P05" refersTo="='Pricing'!$BS$12"/>
      <definedName name="XX_ARM05_P06" refersTo="='Pricing'!$BS$13"/>
      <definedName name="XX_ARM05_P07" refersTo="='Pricing'!$BS$14"/>
      <definedName name="XX_ARM05_P08" refersTo="='Pricing'!$BS$15"/>
      <definedName name="XX_ARM05_P09" refersTo="='Pricing'!$BS$16"/>
      <definedName name="XX_ARM05_P10" refersTo="='Pricing'!$BS$17"/>
      <definedName name="XX_ARM05_P11" refersTo="='Pricing'!$BS$18"/>
      <definedName name="XX_ARM05_P12" refersTo="='Pricing'!$BS$19"/>
      <definedName name="XX_ARM05_P13" refersTo="='Pricing'!$BS$20"/>
      <definedName name="XX_ARM05_P14" refersTo="='Pricing'!$BS$21"/>
      <definedName name="XX_ARM05_P15" refersTo="='Pricing'!$BS$22"/>
      <definedName name="XX_ARM05_P16" refersTo="='Pricing'!$BS$23"/>
      <definedName name="XX_ARM05_P17" refersTo="='Pricing'!$BS$24"/>
      <definedName name="XX_ARM05_P18" refersTo="='Pricing'!$BS$25"/>
      <definedName name="XX_ARM05_P19" refersTo="='Pricing'!$BS$26"/>
      <definedName name="XX_ARM05_P20" refersTo="='Pricing'!$BS$27"/>
      <definedName name="XX_ARM05_P21" refersTo="='Pricing'!$BS$28"/>
      <definedName name="XX_ARM05_P22" refersTo="='Pricing'!$BS$29"/>
      <definedName name="XX_ARM05_P23" refersTo="='Pricing'!$BS$30"/>
      <definedName name="XX_ARM05_P24" refersTo="='Pricing'!$BS$31"/>
      <definedName name="XX_ARM05_P25" refersTo="='Pricing'!$BS$32"/>
      <definedName name="XX_ARM05_P26" refersTo="='Pricing'!$BS$33"/>
      <definedName name="XX_FRM30_P01" refersTo="='Pricing'!$BT$8"/>
      <definedName name="XX_FRM30_P02" refersTo="='Pricing'!$BT$9"/>
      <definedName name="XX_FRM30_P03" refersTo="='Pricing'!$BT$10"/>
      <definedName name="XX_FRM30_P04" refersTo="='Pricing'!$BT$11"/>
      <definedName name="XX_FRM30_P05" refersTo="='Pricing'!$BT$12"/>
      <definedName name="XX_FRM30_P06" refersTo="='Pricing'!$BT$13"/>
      <definedName name="XX_FRM30_P07" refersTo="='Pricing'!$BT$14"/>
      <definedName name="XX_FRM30_P08" refersTo="='Pricing'!$BT$15"/>
      <definedName name="XX_FRM30_P09" refersTo="='Pricing'!$BT$16"/>
      <definedName name="XX_FRM30_P10" refersTo="='Pricing'!$BT$17"/>
      <definedName name="XX_FRM30_P11" refersTo="='Pricing'!$BT$18"/>
      <definedName name="XX_FRM30_P12" refersTo="='Pricing'!$BT$19"/>
      <definedName name="XX_FRM30_P13" refersTo="='Pricing'!$BT$20"/>
      <definedName name="XX_FRM30_P14" refersTo="='Pricing'!$BT$21"/>
      <definedName name="XX_FRM30_P15" refersTo="='Pricing'!$BT$22"/>
      <definedName name="XX_FRM30_P16" refersTo="='Pricing'!$BT$23"/>
      <definedName name="XX_FRM30_P17" refersTo="='Pricing'!$BT$24"/>
      <definedName name="XX_FRM30_P18" refersTo="='Pricing'!$BT$25"/>
      <definedName name="XX_FRM30_P19" refersTo="='Pricing'!$BT$26"/>
      <definedName name="XX_FRM30_P20" refersTo="='Pricing'!$BT$27"/>
      <definedName name="XX_FRM30_P21" refersTo="='Pricing'!$BT$28"/>
      <definedName name="XX_FRM30_P22" refersTo="='Pricing'!$BT$29"/>
      <definedName name="XX_FRM30_P23" refersTo="='Pricing'!$BT$30"/>
      <definedName name="XX_FRM30_P24" refersTo="='Pricing'!$BT$31"/>
      <definedName name="XX_FRM30_P25" refersTo="='Pricing'!$BT$32"/>
      <definedName name="XX_FRM30_P26" refersTo="='Pricing'!$BT$33"/>
      <definedName name="XX_R01" refersTo="='Pricing'!$BR$8"/>
      <definedName name="XX_R02" refersTo="='Pricing'!$BR$9"/>
      <definedName name="XX_R03" refersTo="='Pricing'!$BR$10"/>
      <definedName name="XX_R04" refersTo="='Pricing'!$BR$11"/>
      <definedName name="XX_R05" refersTo="='Pricing'!$BR$12"/>
      <definedName name="XX_R06" refersTo="='Pricing'!$BR$13"/>
      <definedName name="XX_R07" refersTo="='Pricing'!$BR$14"/>
      <definedName name="XX_R08" refersTo="='Pricing'!$BR$15"/>
      <definedName name="XX_R09" refersTo="='Pricing'!$BR$16"/>
      <definedName name="XX_R10" refersTo="='Pricing'!$BR$17"/>
      <definedName name="XX_R11" refersTo="='Pricing'!$BR$18"/>
      <definedName name="XX_R12" refersTo="='Pricing'!$BR$19"/>
      <definedName name="XX_R13" refersTo="='Pricing'!$BR$20"/>
      <definedName name="XX_R14" refersTo="='Pricing'!$BR$21"/>
      <definedName name="XX_R15" refersTo="='Pricing'!$BR$22"/>
      <definedName name="XX_R16" refersTo="='Pricing'!$BR$23"/>
      <definedName name="XX_R17" refersTo="='Pricing'!$BR$24"/>
      <definedName name="XX_R18" refersTo="='Pricing'!$BR$25"/>
      <definedName name="XX_R19" refersTo="='Pricing'!$BR$26"/>
      <definedName name="XX_R20" refersTo="='Pricing'!$BR$27"/>
      <definedName name="XX_R21" refersTo="='Pricing'!$BR$28"/>
      <definedName name="XX_R22" refersTo="='Pricing'!$BR$29"/>
      <definedName name="XX_R23" refersTo="='Pricing'!$BR$30"/>
      <definedName name="XX_R24" refersTo="='Pricing'!$BR$31"/>
      <definedName name="XX_R25" refersTo="='Pricing'!$BR$32"/>
      <definedName name="XX_R26" refersTo="='Pricing'!$BR$33"/>
      <definedName name="YF_ARM05_P01" refersTo="='Pricing'!$CA$8"/>
      <definedName name="YF_ARM05_P03" refersTo="='Pricing'!$CA$10"/>
      <definedName name="YF_ARM05_P04" refersTo="='Pricing'!$CA$11"/>
      <definedName name="YF_ARM05_P05" refersTo="='Pricing'!$CA$12"/>
      <definedName name="YF_ARM05_P06" refersTo="='Pricing'!$CA$13"/>
      <definedName name="YF_ARM05_P07" refersTo="='Pricing'!$CA$14"/>
      <definedName name="YF_ARM05_P08" refersTo="='Pricing'!$CA$15"/>
      <definedName name="YF_ARM05_P09" refersTo="='Pricing'!$CA$16"/>
      <definedName name="YF_ARM05_P10" refersTo="='Pricing'!$CA$17"/>
      <definedName name="YF_ARM05_P11" refersTo="='Pricing'!$CA$18"/>
      <definedName name="YF_ARM05_P12" refersTo="='Pricing'!$CA$19"/>
      <definedName name="YF_ARM05_P13" refersTo="='Pricing'!$CA$20"/>
      <definedName name="YF_ARM05_P14" refersTo="='Pricing'!$CA$21"/>
      <definedName name="YF_ARM05_P15" refersTo="='Pricing'!$CA$22"/>
      <definedName name="YF_ARM05_P16" refersTo="='Pricing'!$CA$23"/>
      <definedName name="YF_ARM05_P17" refersTo="='Pricing'!$CA$24"/>
      <definedName name="YF_ARM05_P18" refersTo="='Pricing'!$CA$25"/>
      <definedName name="YF_ARM05_P19" refersTo="='Pricing'!$CA$26"/>
      <definedName name="YF_ARM05_P20" refersTo="='Pricing'!$CA$27"/>
      <definedName name="YF_ARM05_P21" refersTo="='Pricing'!$CA$28"/>
      <definedName name="YF_ARM05_P22" refersTo="='Pricing'!$CA$29"/>
      <definedName name="YF_ARM05_P23" refersTo="='Pricing'!$CA$30"/>
      <definedName name="YF_ARM05_P24" refersTo="='Pricing'!$CA$31"/>
      <definedName name="YF_ARM05_P25" refersTo="='Pricing'!$CA$32"/>
      <definedName name="YF_ARM05_P26" refersTo="='Pricing'!$CA$33"/>
      <definedName name="YF_ARM05_P27" refersTo="='Pricing'!$CA$34"/>
      <definedName name="YF_ARM05_P28" refersTo="='Pricing'!$CA$35"/>
      <definedName name="YF_ARM05_P29" refersTo="='Pricing'!$CA$36"/>
      <definedName name="YF_FRM30_P01" refersTo="='Pricing'!$CB$8"/>
      <definedName name="YF_FRM30_P02" refersTo="='Pricing'!$CB$9"/>
      <definedName name="YF_FRM30_P03" refersTo="='Pricing'!$CB$10"/>
      <definedName name="YF_FRM30_P04" refersTo="='Pricing'!$CB$11"/>
      <definedName name="YF_FRM30_P05" refersTo="='Pricing'!$CB$12"/>
      <definedName name="YF_FRM30_P06" refersTo="='Pricing'!$CB$13"/>
      <definedName name="YF_FRM30_P07" refersTo="='Pricing'!$CB$14"/>
      <definedName name="YF_FRM30_P08" refersTo="='Pricing'!$CB$15"/>
      <definedName name="YF_FRM30_P09" refersTo="='Pricing'!$CB$16"/>
      <definedName name="YF_FRM30_P10" refersTo="='Pricing'!$CB$17"/>
      <definedName name="YF_FRM30_P11" refersTo="='Pricing'!$CB$18"/>
      <definedName name="YF_FRM30_P12" refersTo="='Pricing'!$CB$19"/>
      <definedName name="YF_FRM30_P13" refersTo="='Pricing'!$CB$20"/>
      <definedName name="YF_FRM30_P14" refersTo="='Pricing'!$CB$21"/>
      <definedName name="YF_FRM30_P15" refersTo="='Pricing'!$CB$22"/>
      <definedName name="YF_FRM30_P16" refersTo="='Pricing'!$CB$23"/>
      <definedName name="YF_FRM30_P17" refersTo="='Pricing'!$CB$24"/>
      <definedName name="YF_FRM30_P18" refersTo="='Pricing'!$CB$25"/>
      <definedName name="YF_FRM30_P19" refersTo="='Pricing'!$CB$26"/>
      <definedName name="YF_FRM30_P20" refersTo="='Pricing'!$CB$27"/>
      <definedName name="YF_FRM30_P21" refersTo="='Pricing'!$CB$28"/>
      <definedName name="YF_FRM30_P22" refersTo="='Pricing'!$CB$29"/>
      <definedName name="YF_FRM30_P23" refersTo="='Pricing'!$CB$30"/>
      <definedName name="YF_FRM30_P24" refersTo="='Pricing'!$CB$31"/>
      <definedName name="YF_FRM30_P25" refersTo="='Pricing'!$CB$32"/>
      <definedName name="YF_FRM30_P26" refersTo="='Pricing'!$CB$33"/>
      <definedName name="YF_FRM30_P27" refersTo="='Pricing'!$CB$34"/>
      <definedName name="YF_FRM30_P28" refersTo="='Pricing'!$CB$35"/>
      <definedName name="YF_FRM30_P29" refersTo="='Pricing'!$CB$36"/>
      <definedName name="YF_R01" refersTo="='Pricing'!$BZ$8"/>
      <definedName name="YF_R02" refersTo="='Pricing'!$BZ$9"/>
      <definedName name="YF_R03" refersTo="='Pricing'!$BZ$10"/>
      <definedName name="YF_R04" refersTo="='Pricing'!$BZ$11"/>
      <definedName name="YF_R05" refersTo="='Pricing'!$BZ$12"/>
      <definedName name="YF_R06" refersTo="='Pricing'!$BZ$13"/>
      <definedName name="YF_R07" refersTo="='Pricing'!$BZ$14"/>
      <definedName name="YF_R08" refersTo="='Pricing'!$BZ$15"/>
      <definedName name="YF_R09" refersTo="='Pricing'!$BZ$16"/>
      <definedName name="YF_R10" refersTo="='Pricing'!$BZ$17"/>
      <definedName name="YF_R11" refersTo="='Pricing'!$BZ$18"/>
      <definedName name="YF_R12" refersTo="='Pricing'!$BZ$19"/>
      <definedName name="YF_R13" refersTo="='Pricing'!$BZ$20"/>
      <definedName name="YF_R14" refersTo="='Pricing'!$BZ$21"/>
      <definedName name="YF_R15" refersTo="='Pricing'!$BZ$22"/>
      <definedName name="YF_R16" refersTo="='Pricing'!$BZ$23"/>
      <definedName name="YF_R17" refersTo="='Pricing'!$BZ$24"/>
      <definedName name="YF_R18" refersTo="='Pricing'!$BZ$25"/>
      <definedName name="YF_R19" refersTo="='Pricing'!$BZ$26"/>
      <definedName name="YF_R20" refersTo="='Pricing'!$BZ$27"/>
      <definedName name="YF_R21" refersTo="='Pricing'!$BZ$28"/>
      <definedName name="YF_R22" refersTo="='Pricing'!$BZ$29"/>
      <definedName name="YF_R23" refersTo="='Pricing'!$BZ$30"/>
      <definedName name="YF_R24" refersTo="='Pricing'!$BZ$31"/>
      <definedName name="YF_R25" refersTo="='Pricing'!$BZ$32"/>
      <definedName name="YF_R26" refersTo="='Pricing'!$BZ$33"/>
      <definedName name="YF_R27" refersTo="='Pricing'!$BZ$34"/>
      <definedName name="YF_R28" refersTo="='Pricing'!$BZ$35"/>
      <definedName name="YF_R29" refersTo="='Pricing'!$BZ$36"/>
      <definedName name="YM_ARM05_P01" refersTo="='Pricing'!$CE$8"/>
      <definedName name="YM_ARM05_P03" refersTo="='Pricing'!$CE$10"/>
      <definedName name="YM_ARM05_P04" refersTo="='Pricing'!$CE$11"/>
      <definedName name="YM_ARM05_P05" refersTo="='Pricing'!$CE$12"/>
      <definedName name="YM_ARM05_P06" refersTo="='Pricing'!$CE$13"/>
      <definedName name="YM_ARM05_P07" refersTo="='Pricing'!$CE$14"/>
      <definedName name="YM_ARM05_P08" refersTo="='Pricing'!$CE$15"/>
      <definedName name="YM_ARM05_P09" refersTo="='Pricing'!$CE$16"/>
      <definedName name="YM_ARM05_P10" refersTo="='Pricing'!$CE$17"/>
      <definedName name="YM_ARM05_P11" refersTo="='Pricing'!$CE$18"/>
      <definedName name="YM_ARM05_P12" refersTo="='Pricing'!$CE$19"/>
      <definedName name="YM_ARM05_P13" refersTo="='Pricing'!$CE$20"/>
      <definedName name="YM_ARM05_P14" refersTo="='Pricing'!$CE$21"/>
      <definedName name="YM_ARM05_P15" refersTo="='Pricing'!$CE$22"/>
      <definedName name="YM_ARM05_P16" refersTo="='Pricing'!$CE$23"/>
      <definedName name="YM_ARM05_P17" refersTo="='Pricing'!$CE$24"/>
      <definedName name="YM_ARM05_P18" refersTo="='Pricing'!$CE$25"/>
      <definedName name="YM_ARM05_P19" refersTo="='Pricing'!$CE$26"/>
      <definedName name="YM_ARM05_P20" refersTo="='Pricing'!$CE$27"/>
      <definedName name="YM_ARM05_P21" refersTo="='Pricing'!$CE$28"/>
      <definedName name="YM_ARM05_P22" refersTo="='Pricing'!$CE$29"/>
      <definedName name="YM_ARM05_P23" refersTo="='Pricing'!$CE$30"/>
      <definedName name="YM_ARM05_P24" refersTo="='Pricing'!$CE$31"/>
      <definedName name="YM_ARM05_P25" refersTo="='Pricing'!$CE$32"/>
      <definedName name="YM_ARM05_P26" refersTo="='Pricing'!$CE$33"/>
      <definedName name="YM_ARM05_P27" refersTo="='Pricing'!$CE$34"/>
      <definedName name="YM_ARM05_P28" refersTo="='Pricing'!$CE$35"/>
      <definedName name="YM_ARM05_P29" refersTo="='Pricing'!$CE$36"/>
      <definedName name="YM_FRM30_P01" refersTo="='Pricing'!$CF$8"/>
      <definedName name="YM_FRM30_P02" refersTo="='Pricing'!$CF$9"/>
      <definedName name="YM_FRM30_P03" refersTo="='Pricing'!$CF$10"/>
      <definedName name="YM_FRM30_P04" refersTo="='Pricing'!$CF$11"/>
      <definedName name="YM_FRM30_P05" refersTo="='Pricing'!$CF$12"/>
      <definedName name="YM_FRM30_P06" refersTo="='Pricing'!$CF$13"/>
      <definedName name="YM_FRM30_P07" refersTo="='Pricing'!$CF$14"/>
      <definedName name="YM_FRM30_P08" refersTo="='Pricing'!$CF$15"/>
      <definedName name="YM_FRM30_P09" refersTo="='Pricing'!$CF$16"/>
      <definedName name="YM_FRM30_P10" refersTo="='Pricing'!$CF$17"/>
      <definedName name="YM_FRM30_P11" refersTo="='Pricing'!$CF$18"/>
      <definedName name="YM_FRM30_P12" refersTo="='Pricing'!$CF$19"/>
      <definedName name="YM_FRM30_P13" refersTo="='Pricing'!$CF$20"/>
      <definedName name="YM_FRM30_P14" refersTo="='Pricing'!$CF$21"/>
      <definedName name="YM_FRM30_P15" refersTo="='Pricing'!$CF$22"/>
      <definedName name="YM_FRM30_P16" refersTo="='Pricing'!$CF$23"/>
      <definedName name="YM_FRM30_P17" refersTo="='Pricing'!$CF$24"/>
      <definedName name="YM_FRM30_P18" refersTo="='Pricing'!$CF$25"/>
      <definedName name="YM_FRM30_P19" refersTo="='Pricing'!$CF$26"/>
      <definedName name="YM_FRM30_P20" refersTo="='Pricing'!$CF$27"/>
      <definedName name="YM_FRM30_P21" refersTo="='Pricing'!$CF$28"/>
      <definedName name="YM_FRM30_P22" refersTo="='Pricing'!$CF$29"/>
      <definedName name="YM_FRM30_P23" refersTo="='Pricing'!$CF$30"/>
      <definedName name="YM_FRM30_P24" refersTo="='Pricing'!$CF$31"/>
      <definedName name="YM_FRM30_P25" refersTo="='Pricing'!$CF$32"/>
      <definedName name="YM_FRM30_P26" refersTo="='Pricing'!$CF$33"/>
      <definedName name="YM_FRM30_P27" refersTo="='Pricing'!$CF$34"/>
      <definedName name="YM_FRM30_P28" refersTo="='Pricing'!$CF$35"/>
      <definedName name="YM_FRM30_P29" refersTo="='Pricing'!$CF$36"/>
      <definedName name="YM_R01" refersTo="='Pricing'!$CD$8"/>
      <definedName name="YM_R02" refersTo="='Pricing'!$CD$9"/>
      <definedName name="YM_R03" refersTo="='Pricing'!$CD$10"/>
      <definedName name="YM_R04" refersTo="='Pricing'!$CD$11"/>
      <definedName name="YM_R05" refersTo="='Pricing'!$CD$12"/>
      <definedName name="YM_R06" refersTo="='Pricing'!$CD$13"/>
      <definedName name="YM_R07" refersTo="='Pricing'!$CD$14"/>
      <definedName name="YM_R08" refersTo="='Pricing'!$CD$15"/>
      <definedName name="YM_R09" refersTo="='Pricing'!$CD$16"/>
      <definedName name="YM_R10" refersTo="='Pricing'!$CD$17"/>
      <definedName name="YM_R11" refersTo="='Pricing'!$CD$18"/>
      <definedName name="YM_R12" refersTo="='Pricing'!$CD$19"/>
      <definedName name="YM_R13" refersTo="='Pricing'!$CD$20"/>
      <definedName name="YM_R14" refersTo="='Pricing'!$CD$21"/>
      <definedName name="YM_R15" refersTo="='Pricing'!$CD$22"/>
      <definedName name="YM_R16" refersTo="='Pricing'!$CD$23"/>
      <definedName name="YM_R17" refersTo="='Pricing'!$CD$24"/>
      <definedName name="YM_R18" refersTo="='Pricing'!$CD$25"/>
      <definedName name="YM_R19" refersTo="='Pricing'!$CD$26"/>
      <definedName name="YM_R20" refersTo="='Pricing'!$CD$27"/>
      <definedName name="YM_R21" refersTo="='Pricing'!$CD$28"/>
      <definedName name="YM_R22" refersTo="='Pricing'!$CD$29"/>
      <definedName name="YM_R23" refersTo="='Pricing'!$CD$30"/>
      <definedName name="YM_R24" refersTo="='Pricing'!$CD$31"/>
      <definedName name="YM_R25" refersTo="='Pricing'!$CD$32"/>
      <definedName name="YM_R26" refersTo="='Pricing'!$CD$33"/>
      <definedName name="YM_R27" refersTo="='Pricing'!$CD$34"/>
      <definedName name="YM_R28" refersTo="='Pricing'!$CD$35"/>
      <definedName name="YM_R29" refersTo="='Pricing'!$CD$36"/>
      <definedName name="YN_ARM05_P01" refersTo="='Pricing'!$CI$8"/>
      <definedName name="YN_ARM05_P03" refersTo="='Pricing'!$CI$10"/>
      <definedName name="YN_ARM05_P04" refersTo="='Pricing'!$CI$11"/>
      <definedName name="YN_ARM05_P05" refersTo="='Pricing'!$CI$12"/>
      <definedName name="YN_ARM05_P06" refersTo="='Pricing'!$CI$13"/>
      <definedName name="YN_ARM05_P07" refersTo="='Pricing'!$CI$14"/>
      <definedName name="YN_ARM05_P08" refersTo="='Pricing'!$CI$15"/>
      <definedName name="YN_ARM05_P09" refersTo="='Pricing'!$CI$16"/>
      <definedName name="YN_ARM05_P10" refersTo="='Pricing'!$CI$17"/>
      <definedName name="YN_ARM05_P11" refersTo="='Pricing'!$CI$18"/>
      <definedName name="YN_ARM05_P12" refersTo="='Pricing'!$CI$19"/>
      <definedName name="YN_ARM05_P13" refersTo="='Pricing'!$CI$20"/>
      <definedName name="YN_ARM05_P14" refersTo="='Pricing'!$CI$21"/>
      <definedName name="YN_ARM05_P15" refersTo="='Pricing'!$CI$22"/>
      <definedName name="YN_ARM05_P16" refersTo="='Pricing'!$CI$23"/>
      <definedName name="YN_ARM05_P17" refersTo="='Pricing'!$CI$24"/>
      <definedName name="YN_ARM05_P18" refersTo="='Pricing'!$CI$25"/>
      <definedName name="YN_ARM05_P19" refersTo="='Pricing'!$CI$26"/>
      <definedName name="YN_ARM05_P20" refersTo="='Pricing'!$CI$27"/>
      <definedName name="YN_ARM05_P21" refersTo="='Pricing'!$CI$28"/>
      <definedName name="YN_ARM05_P22" refersTo="='Pricing'!$CI$29"/>
      <definedName name="YN_ARM05_P23" refersTo="='Pricing'!$CI$30"/>
      <definedName name="YN_ARM05_P24" refersTo="='Pricing'!$CI$31"/>
      <definedName name="YN_ARM05_P25" refersTo="='Pricing'!$CI$32"/>
      <definedName name="YN_ARM05_P26" refersTo="='Pricing'!$CI$33"/>
      <definedName name="YN_ARM05_P27" refersTo="='Pricing'!$CI$34"/>
      <definedName name="YN_ARM05_P28" refersTo="='Pricing'!$CI$35"/>
      <definedName name="YN_ARM05_P29" refersTo="='Pricing'!$CI$36"/>
      <definedName name="YN_ARM05_P30" refersTo="='Pricing'!$CI$37"/>
      <definedName name="YN_ARM05_P31" refersTo="='Pricing'!$CI$38"/>
      <definedName name="YN_FRM30_P01" refersTo="='Pricing'!$CJ$8"/>
      <definedName name="YN_FRM30_P02" refersTo="='Pricing'!$CJ$9"/>
      <definedName name="YN_FRM30_P03" refersTo="='Pricing'!$CJ$10"/>
      <definedName name="YN_FRM30_P04" refersTo="='Pricing'!$CJ$11"/>
      <definedName name="YN_FRM30_P05" refersTo="='Pricing'!$CJ$12"/>
      <definedName name="YN_FRM30_P06" refersTo="='Pricing'!$CJ$13"/>
      <definedName name="YN_FRM30_P07" refersTo="='Pricing'!$CJ$14"/>
      <definedName name="YN_FRM30_P08" refersTo="='Pricing'!$CJ$15"/>
      <definedName name="YN_FRM30_P09" refersTo="='Pricing'!$CJ$16"/>
      <definedName name="YN_FRM30_P10" refersTo="='Pricing'!$CJ$17"/>
      <definedName name="YN_FRM30_P11" refersTo="='Pricing'!$CJ$18"/>
      <definedName name="YN_FRM30_P12" refersTo="='Pricing'!$CJ$19"/>
      <definedName name="YN_FRM30_P13" refersTo="='Pricing'!$CJ$20"/>
      <definedName name="YN_FRM30_P14" refersTo="='Pricing'!$CJ$21"/>
      <definedName name="YN_FRM30_P15" refersTo="='Pricing'!$CJ$22"/>
      <definedName name="YN_FRM30_P16" refersTo="='Pricing'!$CJ$23"/>
      <definedName name="YN_FRM30_P17" refersTo="='Pricing'!$CJ$24"/>
      <definedName name="YN_FRM30_P18" refersTo="='Pricing'!$CJ$25"/>
      <definedName name="YN_FRM30_P19" refersTo="='Pricing'!$CJ$26"/>
      <definedName name="YN_FRM30_P20" refersTo="='Pricing'!$CJ$27"/>
      <definedName name="YN_FRM30_P21" refersTo="='Pricing'!$CJ$28"/>
      <definedName name="YN_FRM30_P22" refersTo="='Pricing'!$CJ$29"/>
      <definedName name="YN_FRM30_P23" refersTo="='Pricing'!$CJ$30"/>
      <definedName name="YN_FRM30_P24" refersTo="='Pricing'!$CJ$31"/>
      <definedName name="YN_FRM30_P25" refersTo="='Pricing'!$CJ$32"/>
      <definedName name="YN_FRM30_P26" refersTo="='Pricing'!$CJ$33"/>
      <definedName name="YN_FRM30_P27" refersTo="='Pricing'!$CJ$34"/>
      <definedName name="YN_FRM30_P28" refersTo="='Pricing'!$CJ$35"/>
      <definedName name="YN_FRM30_P29" refersTo="='Pricing'!$CJ$36"/>
      <definedName name="YN_FRM30_P30" refersTo="='Pricing'!$CJ$37"/>
      <definedName name="YN_FRM30_P31" refersTo="='Pricing'!$CJ$38"/>
      <definedName name="YN_R01" refersTo="='Pricing'!$CH$8"/>
      <definedName name="YN_R02" refersTo="='Pricing'!$CH$9"/>
      <definedName name="YN_R03" refersTo="='Pricing'!$CH$10"/>
      <definedName name="YN_R04" refersTo="='Pricing'!$CH$11"/>
      <definedName name="YN_R05" refersTo="='Pricing'!$CH$12"/>
      <definedName name="YN_R06" refersTo="='Pricing'!$CH$13"/>
      <definedName name="YN_R07" refersTo="='Pricing'!$CH$14"/>
      <definedName name="YN_R08" refersTo="='Pricing'!$CH$15"/>
      <definedName name="YN_R09" refersTo="='Pricing'!$CH$16"/>
      <definedName name="YN_R10" refersTo="='Pricing'!$CH$17"/>
      <definedName name="YN_R11" refersTo="='Pricing'!$CH$18"/>
      <definedName name="YN_R12" refersTo="='Pricing'!$CH$19"/>
      <definedName name="YN_R13" refersTo="='Pricing'!$CH$20"/>
      <definedName name="YN_R14" refersTo="='Pricing'!$CH$21"/>
      <definedName name="YN_R15" refersTo="='Pricing'!$CH$22"/>
      <definedName name="YN_R16" refersTo="='Pricing'!$CH$23"/>
      <definedName name="YN_R17" refersTo="='Pricing'!$CH$24"/>
      <definedName name="YN_R18" refersTo="='Pricing'!$CH$25"/>
      <definedName name="YN_R19" refersTo="='Pricing'!$CH$26"/>
      <definedName name="YN_R20" refersTo="='Pricing'!$CH$27"/>
      <definedName name="YN_R21" refersTo="='Pricing'!$CH$28"/>
      <definedName name="YN_R22" refersTo="='Pricing'!$CH$29"/>
      <definedName name="YN_R23" refersTo="='Pricing'!$CH$30"/>
      <definedName name="YN_R24" refersTo="='Pricing'!$CH$31"/>
      <definedName name="YN_R25" refersTo="='Pricing'!$CH$32"/>
      <definedName name="YN_R26" refersTo="='Pricing'!$CH$33"/>
      <definedName name="YN_R27" refersTo="='Pricing'!$CH$34"/>
      <definedName name="YN_R28" refersTo="='Pricing'!$CH$35"/>
      <definedName name="YN_R29" refersTo="='Pricing'!$CH$36"/>
      <definedName name="YN_R30" refersTo="='Pricing'!$CH$37"/>
      <definedName name="YN_R31" refersTo="='Pricing'!$CH$38"/>
      <definedName name="YP_ARM05_P01" refersTo="='Pricing'!$BO$8"/>
      <definedName name="YP_ARM05_P03" refersTo="='Pricing'!$BO$10"/>
      <definedName name="YP_ARM05_P04" refersTo="='Pricing'!$BO$11"/>
      <definedName name="YP_ARM05_P05" refersTo="='Pricing'!$BO$12"/>
      <definedName name="YP_ARM05_P06" refersTo="='Pricing'!$BO$13"/>
      <definedName name="YP_ARM05_P07" refersTo="='Pricing'!$BO$14"/>
      <definedName name="YP_ARM05_P08" refersTo="='Pricing'!$BO$15"/>
      <definedName name="YP_ARM05_P09" refersTo="='Pricing'!$BO$16"/>
      <definedName name="YP_ARM05_P10" refersTo="='Pricing'!$BO$17"/>
      <definedName name="YP_ARM05_P11" refersTo="='Pricing'!$BO$18"/>
      <definedName name="YP_ARM05_P12" refersTo="='Pricing'!$BO$19"/>
      <definedName name="YP_ARM05_P13" refersTo="='Pricing'!$BO$20"/>
      <definedName name="YP_ARM05_P14" refersTo="='Pricing'!$BO$21"/>
      <definedName name="YP_ARM05_P15" refersTo="='Pricing'!$BO$22"/>
      <definedName name="YP_ARM05_P16" refersTo="='Pricing'!$BO$23"/>
      <definedName name="YP_ARM05_P17" refersTo="='Pricing'!$BO$24"/>
      <definedName name="YP_ARM05_P18" refersTo="='Pricing'!$BO$25"/>
      <definedName name="YP_ARM05_P19" refersTo="='Pricing'!$BO$26"/>
      <definedName name="YP_ARM05_P20" refersTo="='Pricing'!$BO$27"/>
      <definedName name="YP_ARM05_P21" refersTo="='Pricing'!$BO$28"/>
      <definedName name="YP_ARM05_P22" refersTo="='Pricing'!$BO$29"/>
      <definedName name="YP_ARM05_P23" refersTo="='Pricing'!$BO$30"/>
      <definedName name="YP_ARM05_P24" refersTo="='Pricing'!$BO$31"/>
      <definedName name="YP_ARM05_P25" refersTo="='Pricing'!$BO$32"/>
      <definedName name="YP_ARM05_P26" refersTo="='Pricing'!$BO$33"/>
      <definedName name="YP_FRM30_P01" refersTo="='Pricing'!$BP$8"/>
      <definedName name="YP_FRM30_P02" refersTo="='Pricing'!$BP$9"/>
      <definedName name="YP_FRM30_P03" refersTo="='Pricing'!$BP$10"/>
      <definedName name="YP_FRM30_P04" refersTo="='Pricing'!$BP$11"/>
      <definedName name="YP_FRM30_P05" refersTo="='Pricing'!$BP$12"/>
      <definedName name="YP_FRM30_P06" refersTo="='Pricing'!$BP$13"/>
      <definedName name="YP_FRM30_P07" refersTo="='Pricing'!$BP$14"/>
      <definedName name="YP_FRM30_P08" refersTo="='Pricing'!$BP$15"/>
      <definedName name="YP_FRM30_P09" refersTo="='Pricing'!$BP$16"/>
      <definedName name="YP_FRM30_P10" refersTo="='Pricing'!$BP$17"/>
      <definedName name="YP_FRM30_P11" refersTo="='Pricing'!$BP$18"/>
      <definedName name="YP_FRM30_P12" refersTo="='Pricing'!$BP$19"/>
      <definedName name="YP_FRM30_P13" refersTo="='Pricing'!$BP$20"/>
      <definedName name="YP_FRM30_P14" refersTo="='Pricing'!$BP$21"/>
      <definedName name="YP_FRM30_P15" refersTo="='Pricing'!$BP$22"/>
      <definedName name="YP_FRM30_P16" refersTo="='Pricing'!$BP$23"/>
      <definedName name="YP_FRM30_P17" refersTo="='Pricing'!$BP$24"/>
      <definedName name="YP_FRM30_P18" refersTo="='Pricing'!$BP$25"/>
      <definedName name="YP_FRM30_P19" refersTo="='Pricing'!$BP$26"/>
      <definedName name="YP_FRM30_P20" refersTo="='Pricing'!$BP$27"/>
      <definedName name="YP_FRM30_P21" refersTo="='Pricing'!$BP$28"/>
      <definedName name="YP_FRM30_P22" refersTo="='Pricing'!$BP$29"/>
      <definedName name="YP_FRM30_P23" refersTo="='Pricing'!$BP$30"/>
      <definedName name="YP_FRM30_P24" refersTo="='Pricing'!$BP$31"/>
      <definedName name="YP_FRM30_P25" refersTo="='Pricing'!$BP$32"/>
      <definedName name="YP_FRM30_P26" refersTo="='Pricing'!$BP$33"/>
      <definedName name="YP_R01" refersTo="='Pricing'!$BN$8"/>
      <definedName name="YP_R02" refersTo="='Pricing'!$BN$9"/>
      <definedName name="YP_R03" refersTo="='Pricing'!$BN$10"/>
      <definedName name="YP_R04" refersTo="='Pricing'!$BN$11"/>
      <definedName name="YP_R05" refersTo="='Pricing'!$BN$12"/>
      <definedName name="YP_R06" refersTo="='Pricing'!$BN$13"/>
      <definedName name="YP_R07" refersTo="='Pricing'!$BN$14"/>
      <definedName name="YP_R08" refersTo="='Pricing'!$BN$15"/>
      <definedName name="YP_R09" refersTo="='Pricing'!$BN$16"/>
      <definedName name="YP_R10" refersTo="='Pricing'!$BN$17"/>
      <definedName name="YP_R11" refersTo="='Pricing'!$BN$18"/>
      <definedName name="YP_R12" refersTo="='Pricing'!$BN$19"/>
      <definedName name="YP_R13" refersTo="='Pricing'!$BN$20"/>
      <definedName name="YP_R14" refersTo="='Pricing'!$BN$21"/>
      <definedName name="YP_R15" refersTo="='Pricing'!$BN$22"/>
      <definedName name="YP_R16" refersTo="='Pricing'!$BN$23"/>
      <definedName name="YP_R17" refersTo="='Pricing'!$BN$24"/>
      <definedName name="YP_R18" refersTo="='Pricing'!$BN$25"/>
      <definedName name="YP_R19" refersTo="='Pricing'!$BN$26"/>
      <definedName name="YP_R20" refersTo="='Pricing'!$BN$27"/>
      <definedName name="YP_R21" refersTo="='Pricing'!$BN$28"/>
      <definedName name="YP_R22" refersTo="='Pricing'!$BN$29"/>
      <definedName name="YP_R23" refersTo="='Pricing'!$BN$30"/>
      <definedName name="YP_R24" refersTo="='Pricing'!$BN$31"/>
      <definedName name="YP_R25" refersTo="='Pricing'!$BN$32"/>
      <definedName name="YP_R26" refersTo="='Pricing'!$BN$33"/>
      <definedName name="YX_ARM05_P01" refersTo="='Pricing'!$BW$8"/>
      <definedName name="YX_ARM05_P03" refersTo="='Pricing'!$BW$10"/>
      <definedName name="YX_ARM05_P04" refersTo="='Pricing'!$BW$11"/>
      <definedName name="YX_ARM05_P05" refersTo="='Pricing'!$BW$12"/>
      <definedName name="YX_ARM05_P06" refersTo="='Pricing'!$BW$13"/>
      <definedName name="YX_ARM05_P07" refersTo="='Pricing'!$BW$14"/>
      <definedName name="YX_ARM05_P08" refersTo="='Pricing'!$BW$15"/>
      <definedName name="YX_ARM05_P09" refersTo="='Pricing'!$BW$16"/>
      <definedName name="YX_ARM05_P10" refersTo="='Pricing'!$BW$17"/>
      <definedName name="YX_ARM05_P11" refersTo="='Pricing'!$BW$18"/>
      <definedName name="YX_ARM05_P12" refersTo="='Pricing'!$BW$19"/>
      <definedName name="YX_ARM05_P13" refersTo="='Pricing'!$BW$20"/>
      <definedName name="YX_ARM05_P14" refersTo="='Pricing'!$BW$21"/>
      <definedName name="YX_ARM05_P15" refersTo="='Pricing'!$BW$22"/>
      <definedName name="YX_ARM05_P16" refersTo="='Pricing'!$BW$23"/>
      <definedName name="YX_ARM05_P17" refersTo="='Pricing'!$BW$24"/>
      <definedName name="YX_ARM05_P18" refersTo="='Pricing'!$BW$25"/>
      <definedName name="YX_ARM05_P19" refersTo="='Pricing'!$BW$26"/>
      <definedName name="YX_ARM05_P20" refersTo="='Pricing'!$BW$27"/>
      <definedName name="YX_ARM05_P21" refersTo="='Pricing'!$BW$28"/>
      <definedName name="YX_ARM05_P22" refersTo="='Pricing'!$BW$29"/>
      <definedName name="YX_ARM05_P23" refersTo="='Pricing'!$BW$30"/>
      <definedName name="YX_ARM05_P24" refersTo="='Pricing'!$BW$31"/>
      <definedName name="YX_ARM05_P25" refersTo="='Pricing'!$BW$32"/>
      <definedName name="YX_ARM05_P26" refersTo="='Pricing'!$BW$33"/>
      <definedName name="YX_FRM30_P01" refersTo="='Pricing'!$BX$8"/>
      <definedName name="YX_FRM30_P02" refersTo="='Pricing'!$BX$9"/>
      <definedName name="YX_FRM30_P03" refersTo="='Pricing'!$BX$10"/>
      <definedName name="YX_FRM30_P04" refersTo="='Pricing'!$BX$11"/>
      <definedName name="YX_FRM30_P05" refersTo="='Pricing'!$BX$12"/>
      <definedName name="YX_FRM30_P06" refersTo="='Pricing'!$BX$13"/>
      <definedName name="YX_FRM30_P07" refersTo="='Pricing'!$BX$14"/>
      <definedName name="YX_FRM30_P08" refersTo="='Pricing'!$BX$15"/>
      <definedName name="YX_FRM30_P09" refersTo="='Pricing'!$BX$16"/>
      <definedName name="YX_FRM30_P10" refersTo="='Pricing'!$BX$17"/>
      <definedName name="YX_FRM30_P11" refersTo="='Pricing'!$BX$18"/>
      <definedName name="YX_FRM30_P12" refersTo="='Pricing'!$BX$19"/>
      <definedName name="YX_FRM30_P13" refersTo="='Pricing'!$BX$20"/>
      <definedName name="YX_FRM30_P14" refersTo="='Pricing'!$BX$21"/>
      <definedName name="YX_FRM30_P15" refersTo="='Pricing'!$BX$22"/>
      <definedName name="YX_FRM30_P16" refersTo="='Pricing'!$BX$23"/>
      <definedName name="YX_FRM30_P17" refersTo="='Pricing'!$BX$24"/>
      <definedName name="YX_FRM30_P18" refersTo="='Pricing'!$BX$25"/>
      <definedName name="YX_FRM30_P19" refersTo="='Pricing'!$BX$26"/>
      <definedName name="YX_FRM30_P20" refersTo="='Pricing'!$BX$27"/>
      <definedName name="YX_FRM30_P21" refersTo="='Pricing'!$BX$28"/>
      <definedName name="YX_FRM30_P22" refersTo="='Pricing'!$BX$29"/>
      <definedName name="YX_FRM30_P23" refersTo="='Pricing'!$BX$30"/>
      <definedName name="YX_FRM30_P24" refersTo="='Pricing'!$BX$31"/>
      <definedName name="YX_FRM30_P25" refersTo="='Pricing'!$BX$32"/>
      <definedName name="YX_FRM30_P26" refersTo="='Pricing'!$BX$33"/>
      <definedName name="YX_R01" refersTo="='Pricing'!$BV$8"/>
      <definedName name="YX_R02" refersTo="='Pricing'!$BV$9"/>
      <definedName name="YX_R03" refersTo="='Pricing'!$BV$10"/>
      <definedName name="YX_R04" refersTo="='Pricing'!$BV$11"/>
      <definedName name="YX_R05" refersTo="='Pricing'!$BV$12"/>
      <definedName name="YX_R06" refersTo="='Pricing'!$BV$13"/>
      <definedName name="YX_R07" refersTo="='Pricing'!$BV$14"/>
      <definedName name="YX_R08" refersTo="='Pricing'!$BV$15"/>
      <definedName name="YX_R09" refersTo="='Pricing'!$BV$16"/>
      <definedName name="YX_R10" refersTo="='Pricing'!$BV$17"/>
      <definedName name="YX_R11" refersTo="='Pricing'!$BV$18"/>
      <definedName name="YX_R12" refersTo="='Pricing'!$BV$19"/>
      <definedName name="YX_R13" refersTo="='Pricing'!$BV$20"/>
      <definedName name="YX_R14" refersTo="='Pricing'!$BV$21"/>
      <definedName name="YX_R15" refersTo="='Pricing'!$BV$22"/>
      <definedName name="YX_R16" refersTo="='Pricing'!$BV$23"/>
      <definedName name="YX_R17" refersTo="='Pricing'!$BV$24"/>
      <definedName name="YX_R18" refersTo="='Pricing'!$BV$25"/>
      <definedName name="YX_R19" refersTo="='Pricing'!$BV$26"/>
      <definedName name="YX_R20" refersTo="='Pricing'!$BV$27"/>
      <definedName name="YX_R21" refersTo="='Pricing'!$BV$28"/>
      <definedName name="YX_R22" refersTo="='Pricing'!$BV$29"/>
      <definedName name="YX_R23" refersTo="='Pricing'!$BV$30"/>
      <definedName name="YX_R24" refersTo="='Pricing'!$BV$31"/>
      <definedName name="YX_R25" refersTo="='Pricing'!$BV$32"/>
      <definedName name="YX_R26" refersTo="='Pricing'!$BV$33"/>
    </definedNames>
    <sheetDataSet>
      <sheetData sheetId="0">
        <row r="2">
          <cell r="B2">
            <v>45743</v>
          </cell>
        </row>
        <row r="3">
          <cell r="A3" t="str">
            <v>RateSheet ID</v>
          </cell>
          <cell r="B3" t="str">
            <v>#01</v>
          </cell>
          <cell r="D3" t="str">
            <v>Only Change 
Yellow Cells</v>
          </cell>
          <cell r="K3" t="str">
            <v>Rate</v>
          </cell>
          <cell r="L3" t="str">
            <v>Price</v>
          </cell>
          <cell r="Q3" t="str">
            <v>Rate</v>
          </cell>
          <cell r="R3" t="str">
            <v>Price</v>
          </cell>
          <cell r="W3" t="str">
            <v>Rate</v>
          </cell>
          <cell r="X3" t="str">
            <v>Price</v>
          </cell>
        </row>
        <row r="4">
          <cell r="A4" t="str">
            <v>Adjust Rate</v>
          </cell>
          <cell r="B4">
            <v>0</v>
          </cell>
          <cell r="C4" t="str">
            <v/>
          </cell>
          <cell r="H4" t="str">
            <v>FRM v ARM Spread</v>
          </cell>
          <cell r="L4">
            <v>0</v>
          </cell>
          <cell r="R4">
            <v>0</v>
          </cell>
        </row>
        <row r="5">
          <cell r="A5" t="str">
            <v>Adjust Pricing 1st</v>
          </cell>
          <cell r="B5">
            <v>1.25</v>
          </cell>
          <cell r="D5" t="str">
            <v>WSJ Prime</v>
          </cell>
          <cell r="E5">
            <v>45645</v>
          </cell>
          <cell r="F5">
            <v>7.5</v>
          </cell>
          <cell r="H5" t="str">
            <v>Spread to NQM</v>
          </cell>
          <cell r="K5">
            <v>0</v>
          </cell>
          <cell r="L5">
            <v>0</v>
          </cell>
          <cell r="Q5">
            <v>0.75</v>
          </cell>
          <cell r="R5">
            <v>0.625</v>
          </cell>
          <cell r="W5">
            <v>0</v>
          </cell>
          <cell r="X5">
            <v>-3.25</v>
          </cell>
        </row>
        <row r="6">
          <cell r="A6" t="str">
            <v>Adjust Pricing 2nd</v>
          </cell>
          <cell r="B6">
            <v>0.875</v>
          </cell>
          <cell r="C6" t="str">
            <v/>
          </cell>
          <cell r="H6" t="str">
            <v>BU</v>
          </cell>
          <cell r="J6" t="str">
            <v>Second OO</v>
          </cell>
          <cell r="N6" t="str">
            <v>BU</v>
          </cell>
          <cell r="P6" t="str">
            <v>Second NOO</v>
          </cell>
          <cell r="T6" t="str">
            <v>BU</v>
          </cell>
          <cell r="V6" t="str">
            <v>HELOC OO</v>
          </cell>
        </row>
        <row r="7">
          <cell r="J7" t="str">
            <v>Rate</v>
          </cell>
          <cell r="K7" t="str">
            <v>5/1 ARM</v>
          </cell>
          <cell r="L7" t="str">
            <v>30yr FRM</v>
          </cell>
          <cell r="P7" t="str">
            <v>Rate</v>
          </cell>
          <cell r="Q7" t="str">
            <v>5/1 ARM</v>
          </cell>
          <cell r="R7" t="str">
            <v>30yr FRM</v>
          </cell>
          <cell r="V7" t="str">
            <v>Rate</v>
          </cell>
          <cell r="W7" t="str">
            <v>Margin</v>
          </cell>
          <cell r="X7" t="str">
            <v>30yr FRM</v>
          </cell>
        </row>
        <row r="8">
          <cell r="A8" t="str">
            <v>Max Pricing (Links to Rate Sheet)</v>
          </cell>
          <cell r="B8" t="str">
            <v>Net Max</v>
          </cell>
          <cell r="I8">
            <v>1</v>
          </cell>
          <cell r="J8">
            <v>13.125</v>
          </cell>
          <cell r="L8">
            <v>114.375</v>
          </cell>
          <cell r="O8">
            <v>1</v>
          </cell>
          <cell r="P8">
            <v>13.875</v>
          </cell>
          <cell r="R8">
            <v>113.375</v>
          </cell>
          <cell r="V8">
            <v>13</v>
          </cell>
          <cell r="W8">
            <v>5.5</v>
          </cell>
          <cell r="X8">
            <v>107.69374999999999</v>
          </cell>
          <cell r="AB8">
            <v>13</v>
          </cell>
          <cell r="AC8">
            <v>5.5</v>
          </cell>
          <cell r="AD8">
            <v>107.69374999999999</v>
          </cell>
          <cell r="AH8">
            <v>9.75</v>
          </cell>
          <cell r="AI8">
            <v>110.25</v>
          </cell>
          <cell r="AJ8">
            <v>110</v>
          </cell>
          <cell r="AN8">
            <v>9.875</v>
          </cell>
          <cell r="AO8">
            <v>111.625</v>
          </cell>
          <cell r="AP8">
            <v>111.375</v>
          </cell>
          <cell r="AT8">
            <v>9.5</v>
          </cell>
          <cell r="AU8">
            <v>105.375</v>
          </cell>
          <cell r="AV8">
            <v>105.375</v>
          </cell>
          <cell r="AZ8">
            <v>9.5</v>
          </cell>
          <cell r="BA8">
            <v>105.375</v>
          </cell>
          <cell r="BB8">
            <v>105.375</v>
          </cell>
          <cell r="BF8">
            <v>9.25</v>
          </cell>
          <cell r="BG8">
            <v>105.5625</v>
          </cell>
          <cell r="BH8">
            <v>105.5625</v>
          </cell>
          <cell r="BJ8">
            <v>9.75</v>
          </cell>
          <cell r="BK8">
            <v>106.181</v>
          </cell>
          <cell r="BL8">
            <v>106.331</v>
          </cell>
          <cell r="BN8">
            <v>9.75</v>
          </cell>
          <cell r="BO8">
            <v>106.181</v>
          </cell>
          <cell r="BP8">
            <v>106.331</v>
          </cell>
          <cell r="BR8">
            <v>9.75</v>
          </cell>
          <cell r="BS8">
            <v>106.181</v>
          </cell>
          <cell r="BT8">
            <v>106.331</v>
          </cell>
          <cell r="BV8">
            <v>9.75</v>
          </cell>
          <cell r="BW8">
            <v>106.181</v>
          </cell>
          <cell r="BX8">
            <v>106.331</v>
          </cell>
          <cell r="BZ8">
            <v>10.25</v>
          </cell>
          <cell r="CA8">
            <v>110.175</v>
          </cell>
          <cell r="CB8">
            <v>110.02500000000001</v>
          </cell>
          <cell r="CD8">
            <v>11.25</v>
          </cell>
          <cell r="CE8">
            <v>110.97499999999999</v>
          </cell>
          <cell r="CF8">
            <v>109.825</v>
          </cell>
          <cell r="CH8">
            <v>10.5</v>
          </cell>
          <cell r="CI8">
            <v>110.175</v>
          </cell>
          <cell r="CJ8">
            <v>110.02500000000001</v>
          </cell>
        </row>
        <row r="9">
          <cell r="A9" t="str">
            <v>NonQM OO No PP</v>
          </cell>
          <cell r="B9">
            <v>103</v>
          </cell>
          <cell r="D9" t="str">
            <v>APOR Date</v>
          </cell>
          <cell r="E9">
            <v>45733</v>
          </cell>
          <cell r="I9">
            <v>1</v>
          </cell>
          <cell r="J9">
            <v>13</v>
          </cell>
          <cell r="L9">
            <v>114.25</v>
          </cell>
          <cell r="O9">
            <v>1</v>
          </cell>
          <cell r="P9">
            <v>13.75</v>
          </cell>
          <cell r="R9">
            <v>113.25</v>
          </cell>
          <cell r="V9">
            <v>12.875</v>
          </cell>
          <cell r="W9">
            <v>5.375</v>
          </cell>
          <cell r="X9">
            <v>107.675</v>
          </cell>
          <cell r="AB9">
            <v>12.875</v>
          </cell>
          <cell r="AC9">
            <v>5.375</v>
          </cell>
          <cell r="AD9">
            <v>107.675</v>
          </cell>
          <cell r="AH9">
            <v>9.625</v>
          </cell>
          <cell r="AI9">
            <v>110</v>
          </cell>
          <cell r="AJ9">
            <v>109.75</v>
          </cell>
          <cell r="AN9">
            <v>9.75</v>
          </cell>
          <cell r="AO9">
            <v>111.375</v>
          </cell>
          <cell r="AP9">
            <v>111.125</v>
          </cell>
          <cell r="AT9">
            <v>9.375</v>
          </cell>
          <cell r="AU9">
            <v>105.25</v>
          </cell>
          <cell r="AV9">
            <v>105.25</v>
          </cell>
          <cell r="AZ9">
            <v>9.375</v>
          </cell>
          <cell r="BA9">
            <v>105.25</v>
          </cell>
          <cell r="BB9">
            <v>105.25</v>
          </cell>
          <cell r="BF9">
            <v>9.125</v>
          </cell>
          <cell r="BG9">
            <v>105.4375</v>
          </cell>
          <cell r="BH9">
            <v>105.4375</v>
          </cell>
          <cell r="BJ9">
            <v>9.625</v>
          </cell>
          <cell r="BL9">
            <v>106.206</v>
          </cell>
          <cell r="BN9">
            <v>9.625</v>
          </cell>
          <cell r="BP9">
            <v>106.206</v>
          </cell>
          <cell r="BR9">
            <v>9.625</v>
          </cell>
          <cell r="BT9">
            <v>106.206</v>
          </cell>
          <cell r="BV9">
            <v>9.625</v>
          </cell>
          <cell r="BX9">
            <v>106.206</v>
          </cell>
          <cell r="BZ9">
            <v>10.125</v>
          </cell>
          <cell r="CB9">
            <v>109.77500000000001</v>
          </cell>
          <cell r="CD9">
            <v>11.125</v>
          </cell>
          <cell r="CF9">
            <v>109.425</v>
          </cell>
          <cell r="CH9">
            <v>10.375</v>
          </cell>
          <cell r="CJ9">
            <v>109.77500000000001</v>
          </cell>
        </row>
        <row r="10">
          <cell r="A10" t="str">
            <v>NonQM NOO No PP</v>
          </cell>
          <cell r="B10">
            <v>101.5</v>
          </cell>
          <cell r="E10" t="str">
            <v>FRM</v>
          </cell>
          <cell r="F10" t="str">
            <v>ARM</v>
          </cell>
          <cell r="I10">
            <v>1</v>
          </cell>
          <cell r="J10">
            <v>12.875</v>
          </cell>
          <cell r="L10">
            <v>114.125</v>
          </cell>
          <cell r="O10">
            <v>1</v>
          </cell>
          <cell r="P10">
            <v>13.625</v>
          </cell>
          <cell r="R10">
            <v>113.125</v>
          </cell>
          <cell r="V10">
            <v>12.75</v>
          </cell>
          <cell r="W10">
            <v>5.25</v>
          </cell>
          <cell r="X10">
            <v>107.65625</v>
          </cell>
          <cell r="AB10">
            <v>12.75</v>
          </cell>
          <cell r="AC10">
            <v>5.25</v>
          </cell>
          <cell r="AD10">
            <v>107.65625</v>
          </cell>
          <cell r="AH10">
            <v>9.5</v>
          </cell>
          <cell r="AI10">
            <v>109.75</v>
          </cell>
          <cell r="AJ10">
            <v>109.5</v>
          </cell>
          <cell r="AN10">
            <v>9.625</v>
          </cell>
          <cell r="AO10">
            <v>111.125</v>
          </cell>
          <cell r="AP10">
            <v>110.875</v>
          </cell>
          <cell r="AT10">
            <v>9.25</v>
          </cell>
          <cell r="AU10">
            <v>105.125</v>
          </cell>
          <cell r="AV10">
            <v>105.125</v>
          </cell>
          <cell r="AZ10">
            <v>9.25</v>
          </cell>
          <cell r="BA10">
            <v>105.125</v>
          </cell>
          <cell r="BB10">
            <v>105.125</v>
          </cell>
          <cell r="BF10">
            <v>9</v>
          </cell>
          <cell r="BG10">
            <v>105.3125</v>
          </cell>
          <cell r="BH10">
            <v>105.3125</v>
          </cell>
          <cell r="BJ10">
            <v>9.5</v>
          </cell>
          <cell r="BK10">
            <v>105.931</v>
          </cell>
          <cell r="BL10">
            <v>106.081</v>
          </cell>
          <cell r="BN10">
            <v>9.5</v>
          </cell>
          <cell r="BO10">
            <v>105.931</v>
          </cell>
          <cell r="BP10">
            <v>106.081</v>
          </cell>
          <cell r="BR10">
            <v>9.5</v>
          </cell>
          <cell r="BS10">
            <v>105.931</v>
          </cell>
          <cell r="BT10">
            <v>106.081</v>
          </cell>
          <cell r="BV10">
            <v>9.5</v>
          </cell>
          <cell r="BW10">
            <v>105.931</v>
          </cell>
          <cell r="BX10">
            <v>106.081</v>
          </cell>
          <cell r="BZ10">
            <v>10</v>
          </cell>
          <cell r="CA10">
            <v>109.675</v>
          </cell>
          <cell r="CB10">
            <v>109.52500000000001</v>
          </cell>
          <cell r="CD10">
            <v>11</v>
          </cell>
          <cell r="CE10">
            <v>110.175</v>
          </cell>
          <cell r="CF10">
            <v>109.02500000000001</v>
          </cell>
          <cell r="CH10">
            <v>10.25</v>
          </cell>
          <cell r="CI10">
            <v>109.675</v>
          </cell>
          <cell r="CJ10">
            <v>109.52500000000001</v>
          </cell>
        </row>
        <row r="11">
          <cell r="A11" t="str">
            <v>NonQM NOO 1yr PP</v>
          </cell>
          <cell r="B11">
            <v>102.5</v>
          </cell>
          <cell r="D11" t="str">
            <v>APOR ARM 40yr</v>
          </cell>
          <cell r="E11">
            <v>6.65</v>
          </cell>
          <cell r="F11" t="e">
            <v>#N/A</v>
          </cell>
          <cell r="I11">
            <v>1</v>
          </cell>
          <cell r="J11">
            <v>12.75</v>
          </cell>
          <cell r="L11">
            <v>114</v>
          </cell>
          <cell r="O11">
            <v>1</v>
          </cell>
          <cell r="P11">
            <v>13.5</v>
          </cell>
          <cell r="R11">
            <v>113</v>
          </cell>
          <cell r="V11">
            <v>12.625</v>
          </cell>
          <cell r="W11">
            <v>5.125</v>
          </cell>
          <cell r="X11">
            <v>107.6375</v>
          </cell>
          <cell r="AB11">
            <v>12.625</v>
          </cell>
          <cell r="AC11">
            <v>5.125</v>
          </cell>
          <cell r="AD11">
            <v>107.6375</v>
          </cell>
          <cell r="AH11">
            <v>9.375</v>
          </cell>
          <cell r="AI11">
            <v>109.5</v>
          </cell>
          <cell r="AJ11">
            <v>109.25</v>
          </cell>
          <cell r="AN11">
            <v>9.5</v>
          </cell>
          <cell r="AO11">
            <v>110.875</v>
          </cell>
          <cell r="AP11">
            <v>110.625</v>
          </cell>
          <cell r="AT11">
            <v>9.125</v>
          </cell>
          <cell r="AU11">
            <v>105</v>
          </cell>
          <cell r="AV11">
            <v>105</v>
          </cell>
          <cell r="AZ11">
            <v>9.125</v>
          </cell>
          <cell r="BA11">
            <v>105</v>
          </cell>
          <cell r="BB11">
            <v>105</v>
          </cell>
          <cell r="BF11">
            <v>8.875</v>
          </cell>
          <cell r="BG11">
            <v>105.1875</v>
          </cell>
          <cell r="BH11">
            <v>105.1875</v>
          </cell>
          <cell r="BJ11">
            <v>9.375</v>
          </cell>
          <cell r="BK11">
            <v>105.74299999999999</v>
          </cell>
          <cell r="BL11">
            <v>105.893</v>
          </cell>
          <cell r="BN11">
            <v>9.375</v>
          </cell>
          <cell r="BO11">
            <v>105.74299999999999</v>
          </cell>
          <cell r="BP11">
            <v>105.893</v>
          </cell>
          <cell r="BR11">
            <v>9.375</v>
          </cell>
          <cell r="BS11">
            <v>105.74299999999999</v>
          </cell>
          <cell r="BT11">
            <v>105.893</v>
          </cell>
          <cell r="BV11">
            <v>9.375</v>
          </cell>
          <cell r="BW11">
            <v>105.74299999999999</v>
          </cell>
          <cell r="BX11">
            <v>105.893</v>
          </cell>
          <cell r="BZ11">
            <v>9.875</v>
          </cell>
          <cell r="CA11">
            <v>109.425</v>
          </cell>
          <cell r="CB11">
            <v>109.27500000000001</v>
          </cell>
          <cell r="CD11">
            <v>10.875</v>
          </cell>
          <cell r="CE11">
            <v>109.77500000000001</v>
          </cell>
          <cell r="CF11">
            <v>108.625</v>
          </cell>
          <cell r="CH11">
            <v>10.125</v>
          </cell>
          <cell r="CI11">
            <v>109.425</v>
          </cell>
          <cell r="CJ11">
            <v>109.27500000000001</v>
          </cell>
        </row>
        <row r="12">
          <cell r="A12" t="str">
            <v>NonQM NOO 2yr PP</v>
          </cell>
          <cell r="B12">
            <v>102.75</v>
          </cell>
          <cell r="D12" t="str">
            <v>APOR ARM 30yr</v>
          </cell>
          <cell r="E12">
            <v>6.65</v>
          </cell>
          <cell r="F12" t="e">
            <v>#N/A</v>
          </cell>
          <cell r="I12">
            <v>2</v>
          </cell>
          <cell r="J12">
            <v>12.625</v>
          </cell>
          <cell r="L12">
            <v>113.875</v>
          </cell>
          <cell r="O12">
            <v>1</v>
          </cell>
          <cell r="P12">
            <v>13.375</v>
          </cell>
          <cell r="R12">
            <v>112.875</v>
          </cell>
          <cell r="V12">
            <v>12.5</v>
          </cell>
          <cell r="W12">
            <v>5</v>
          </cell>
          <cell r="X12">
            <v>107.61875000000001</v>
          </cell>
          <cell r="AB12">
            <v>12.5</v>
          </cell>
          <cell r="AC12">
            <v>5</v>
          </cell>
          <cell r="AD12">
            <v>107.61875000000001</v>
          </cell>
          <cell r="AH12">
            <v>9.25</v>
          </cell>
          <cell r="AI12">
            <v>109.25</v>
          </cell>
          <cell r="AJ12">
            <v>109</v>
          </cell>
          <cell r="AN12">
            <v>9.375</v>
          </cell>
          <cell r="AO12">
            <v>110.625</v>
          </cell>
          <cell r="AP12">
            <v>110.375</v>
          </cell>
          <cell r="AT12">
            <v>9</v>
          </cell>
          <cell r="AU12">
            <v>104.875</v>
          </cell>
          <cell r="AV12">
            <v>104.875</v>
          </cell>
          <cell r="AZ12">
            <v>9</v>
          </cell>
          <cell r="BA12">
            <v>104.875</v>
          </cell>
          <cell r="BB12">
            <v>104.875</v>
          </cell>
          <cell r="BF12">
            <v>8.75</v>
          </cell>
          <cell r="BG12">
            <v>105.0625</v>
          </cell>
          <cell r="BH12">
            <v>105.0625</v>
          </cell>
          <cell r="BJ12">
            <v>9.25</v>
          </cell>
          <cell r="BK12">
            <v>105.556</v>
          </cell>
          <cell r="BL12">
            <v>105.706</v>
          </cell>
          <cell r="BN12">
            <v>9.25</v>
          </cell>
          <cell r="BO12">
            <v>105.556</v>
          </cell>
          <cell r="BP12">
            <v>105.706</v>
          </cell>
          <cell r="BR12">
            <v>9.25</v>
          </cell>
          <cell r="BS12">
            <v>105.556</v>
          </cell>
          <cell r="BT12">
            <v>105.706</v>
          </cell>
          <cell r="BV12">
            <v>9.25</v>
          </cell>
          <cell r="BW12">
            <v>105.556</v>
          </cell>
          <cell r="BX12">
            <v>105.706</v>
          </cell>
          <cell r="BZ12">
            <v>9.75</v>
          </cell>
          <cell r="CA12">
            <v>109.175</v>
          </cell>
          <cell r="CB12">
            <v>109.02500000000001</v>
          </cell>
          <cell r="CD12">
            <v>10.75</v>
          </cell>
          <cell r="CE12">
            <v>109.375</v>
          </cell>
          <cell r="CF12">
            <v>108.22499999999999</v>
          </cell>
          <cell r="CH12">
            <v>10</v>
          </cell>
          <cell r="CI12">
            <v>109.175</v>
          </cell>
          <cell r="CJ12">
            <v>109.02500000000001</v>
          </cell>
        </row>
        <row r="13">
          <cell r="A13" t="str">
            <v>NonQM NOO 3yr PP</v>
          </cell>
          <cell r="B13">
            <v>103.25</v>
          </cell>
          <cell r="D13" t="str">
            <v>APOR ARM 20yr</v>
          </cell>
          <cell r="E13">
            <v>6.31</v>
          </cell>
          <cell r="F13" t="e">
            <v>#N/A</v>
          </cell>
          <cell r="I13">
            <v>2</v>
          </cell>
          <cell r="J13">
            <v>12.5</v>
          </cell>
          <cell r="L13">
            <v>113.625</v>
          </cell>
          <cell r="O13">
            <v>2</v>
          </cell>
          <cell r="P13">
            <v>13.25</v>
          </cell>
          <cell r="R13">
            <v>112.75</v>
          </cell>
          <cell r="V13">
            <v>12.375</v>
          </cell>
          <cell r="W13">
            <v>4.875</v>
          </cell>
          <cell r="X13">
            <v>107.6</v>
          </cell>
          <cell r="AB13">
            <v>12.375</v>
          </cell>
          <cell r="AC13">
            <v>4.875</v>
          </cell>
          <cell r="AD13">
            <v>107.6</v>
          </cell>
          <cell r="AH13">
            <v>9.125</v>
          </cell>
          <cell r="AI13">
            <v>109</v>
          </cell>
          <cell r="AJ13">
            <v>108.75</v>
          </cell>
          <cell r="AN13">
            <v>9.25</v>
          </cell>
          <cell r="AO13">
            <v>110.375</v>
          </cell>
          <cell r="AP13">
            <v>110.125</v>
          </cell>
          <cell r="AT13">
            <v>8.875</v>
          </cell>
          <cell r="AU13">
            <v>104.625</v>
          </cell>
          <cell r="AV13">
            <v>104.625</v>
          </cell>
          <cell r="AZ13">
            <v>8.875</v>
          </cell>
          <cell r="BA13">
            <v>104.625</v>
          </cell>
          <cell r="BB13">
            <v>104.625</v>
          </cell>
          <cell r="BF13">
            <v>8.625</v>
          </cell>
          <cell r="BG13">
            <v>104.9375</v>
          </cell>
          <cell r="BH13">
            <v>104.9375</v>
          </cell>
          <cell r="BJ13">
            <v>9.125</v>
          </cell>
          <cell r="BK13">
            <v>105.36799999999999</v>
          </cell>
          <cell r="BL13">
            <v>105.518</v>
          </cell>
          <cell r="BN13">
            <v>9.125</v>
          </cell>
          <cell r="BO13">
            <v>105.36799999999999</v>
          </cell>
          <cell r="BP13">
            <v>105.518</v>
          </cell>
          <cell r="BR13">
            <v>9.125</v>
          </cell>
          <cell r="BS13">
            <v>105.36799999999999</v>
          </cell>
          <cell r="BT13">
            <v>105.518</v>
          </cell>
          <cell r="BV13">
            <v>9.125</v>
          </cell>
          <cell r="BW13">
            <v>105.36799999999999</v>
          </cell>
          <cell r="BX13">
            <v>105.518</v>
          </cell>
          <cell r="BZ13">
            <v>9.625</v>
          </cell>
          <cell r="CA13">
            <v>108.925</v>
          </cell>
          <cell r="CB13">
            <v>108.77500000000001</v>
          </cell>
          <cell r="CD13">
            <v>10.625</v>
          </cell>
          <cell r="CE13">
            <v>108.97499999999999</v>
          </cell>
          <cell r="CF13">
            <v>107.825</v>
          </cell>
          <cell r="CH13">
            <v>9.875</v>
          </cell>
          <cell r="CI13">
            <v>108.925</v>
          </cell>
          <cell r="CJ13">
            <v>108.77500000000001</v>
          </cell>
        </row>
        <row r="14">
          <cell r="A14" t="str">
            <v>NonQM NOO 4yr PP</v>
          </cell>
          <cell r="B14">
            <v>103.5</v>
          </cell>
          <cell r="D14" t="str">
            <v>APOR ARM 15yr</v>
          </cell>
          <cell r="E14">
            <v>6.04</v>
          </cell>
          <cell r="F14" t="e">
            <v>#N/A</v>
          </cell>
          <cell r="I14">
            <v>2</v>
          </cell>
          <cell r="J14">
            <v>12.375</v>
          </cell>
          <cell r="L14">
            <v>113.375</v>
          </cell>
          <cell r="O14">
            <v>2</v>
          </cell>
          <cell r="P14">
            <v>13.125</v>
          </cell>
          <cell r="R14">
            <v>112.5</v>
          </cell>
          <cell r="V14">
            <v>12.25</v>
          </cell>
          <cell r="W14">
            <v>4.75</v>
          </cell>
          <cell r="X14">
            <v>107.58125</v>
          </cell>
          <cell r="AB14">
            <v>12.25</v>
          </cell>
          <cell r="AC14">
            <v>4.75</v>
          </cell>
          <cell r="AD14">
            <v>107.58125</v>
          </cell>
          <cell r="AH14">
            <v>9</v>
          </cell>
          <cell r="AI14">
            <v>108.75</v>
          </cell>
          <cell r="AJ14">
            <v>108.5</v>
          </cell>
          <cell r="AN14">
            <v>9.125</v>
          </cell>
          <cell r="AO14">
            <v>110.125</v>
          </cell>
          <cell r="AP14">
            <v>109.875</v>
          </cell>
          <cell r="AT14">
            <v>8.75</v>
          </cell>
          <cell r="AU14">
            <v>104.375</v>
          </cell>
          <cell r="AV14">
            <v>104.375</v>
          </cell>
          <cell r="AZ14">
            <v>8.75</v>
          </cell>
          <cell r="BA14">
            <v>104.375</v>
          </cell>
          <cell r="BB14">
            <v>104.375</v>
          </cell>
          <cell r="BF14">
            <v>8.5</v>
          </cell>
          <cell r="BG14">
            <v>104.6875</v>
          </cell>
          <cell r="BH14">
            <v>104.6875</v>
          </cell>
          <cell r="BJ14">
            <v>9</v>
          </cell>
          <cell r="BK14">
            <v>105.181</v>
          </cell>
          <cell r="BL14">
            <v>105.331</v>
          </cell>
          <cell r="BN14">
            <v>9</v>
          </cell>
          <cell r="BO14">
            <v>105.181</v>
          </cell>
          <cell r="BP14">
            <v>105.331</v>
          </cell>
          <cell r="BR14">
            <v>9</v>
          </cell>
          <cell r="BS14">
            <v>105.181</v>
          </cell>
          <cell r="BT14">
            <v>105.331</v>
          </cell>
          <cell r="BV14">
            <v>9</v>
          </cell>
          <cell r="BW14">
            <v>105.181</v>
          </cell>
          <cell r="BX14">
            <v>105.331</v>
          </cell>
          <cell r="BZ14">
            <v>9.5</v>
          </cell>
          <cell r="CA14">
            <v>108.675</v>
          </cell>
          <cell r="CB14">
            <v>108.52500000000001</v>
          </cell>
          <cell r="CD14">
            <v>10.5</v>
          </cell>
          <cell r="CE14">
            <v>108.575</v>
          </cell>
          <cell r="CF14">
            <v>107.425</v>
          </cell>
          <cell r="CH14">
            <v>9.75</v>
          </cell>
          <cell r="CI14">
            <v>108.675</v>
          </cell>
          <cell r="CJ14">
            <v>108.52500000000001</v>
          </cell>
        </row>
        <row r="15">
          <cell r="A15" t="str">
            <v>NonQM NOO 5yr PP</v>
          </cell>
          <cell r="B15">
            <v>104</v>
          </cell>
          <cell r="D15" t="str">
            <v>APOR ARM 10yr</v>
          </cell>
          <cell r="E15">
            <v>6.07</v>
          </cell>
          <cell r="F15">
            <v>6.56</v>
          </cell>
          <cell r="I15">
            <v>2</v>
          </cell>
          <cell r="J15">
            <v>12.25</v>
          </cell>
          <cell r="L15">
            <v>113.125</v>
          </cell>
          <cell r="O15">
            <v>2</v>
          </cell>
          <cell r="P15">
            <v>13</v>
          </cell>
          <cell r="R15">
            <v>112.25</v>
          </cell>
          <cell r="V15">
            <v>12.125</v>
          </cell>
          <cell r="W15">
            <v>4.625</v>
          </cell>
          <cell r="X15">
            <v>107.5625</v>
          </cell>
          <cell r="AB15">
            <v>12.125</v>
          </cell>
          <cell r="AC15">
            <v>4.625</v>
          </cell>
          <cell r="AD15">
            <v>107.5625</v>
          </cell>
          <cell r="AH15">
            <v>8.875</v>
          </cell>
          <cell r="AI15">
            <v>108.5</v>
          </cell>
          <cell r="AJ15">
            <v>108.25</v>
          </cell>
          <cell r="AN15">
            <v>9</v>
          </cell>
          <cell r="AO15">
            <v>109.875</v>
          </cell>
          <cell r="AP15">
            <v>109.625</v>
          </cell>
          <cell r="AT15">
            <v>8.625</v>
          </cell>
          <cell r="AU15">
            <v>104.125</v>
          </cell>
          <cell r="AV15">
            <v>104.125</v>
          </cell>
          <cell r="AZ15">
            <v>8.625</v>
          </cell>
          <cell r="BA15">
            <v>104.125</v>
          </cell>
          <cell r="BB15">
            <v>104.125</v>
          </cell>
          <cell r="BF15">
            <v>8.375</v>
          </cell>
          <cell r="BG15">
            <v>104.4375</v>
          </cell>
          <cell r="BH15">
            <v>104.4375</v>
          </cell>
          <cell r="BJ15">
            <v>8.875</v>
          </cell>
          <cell r="BK15">
            <v>104.931</v>
          </cell>
          <cell r="BL15">
            <v>105.081</v>
          </cell>
          <cell r="BN15">
            <v>8.875</v>
          </cell>
          <cell r="BO15">
            <v>104.931</v>
          </cell>
          <cell r="BP15">
            <v>105.081</v>
          </cell>
          <cell r="BR15">
            <v>8.875</v>
          </cell>
          <cell r="BS15">
            <v>104.931</v>
          </cell>
          <cell r="BT15">
            <v>105.081</v>
          </cell>
          <cell r="BV15">
            <v>8.875</v>
          </cell>
          <cell r="BW15">
            <v>104.931</v>
          </cell>
          <cell r="BX15">
            <v>105.081</v>
          </cell>
          <cell r="BZ15">
            <v>9.375</v>
          </cell>
          <cell r="CA15">
            <v>108.425</v>
          </cell>
          <cell r="CB15">
            <v>108.27500000000001</v>
          </cell>
          <cell r="CD15">
            <v>10.375</v>
          </cell>
          <cell r="CE15">
            <v>108.175</v>
          </cell>
          <cell r="CF15">
            <v>107.02500000000001</v>
          </cell>
          <cell r="CH15">
            <v>9.625</v>
          </cell>
          <cell r="CI15">
            <v>108.425</v>
          </cell>
          <cell r="CJ15">
            <v>108.27500000000001</v>
          </cell>
        </row>
        <row r="16">
          <cell r="A16" t="str">
            <v>Second OO No PP</v>
          </cell>
          <cell r="B16">
            <v>104.5</v>
          </cell>
          <cell r="D16" t="str">
            <v>APOR ARM 7yr</v>
          </cell>
          <cell r="E16" t="e">
            <v>#N/A</v>
          </cell>
          <cell r="F16">
            <v>6.62</v>
          </cell>
          <cell r="I16">
            <v>2</v>
          </cell>
          <cell r="J16">
            <v>12.125</v>
          </cell>
          <cell r="L16">
            <v>112.875</v>
          </cell>
          <cell r="O16">
            <v>2</v>
          </cell>
          <cell r="P16">
            <v>12.875</v>
          </cell>
          <cell r="R16">
            <v>112</v>
          </cell>
          <cell r="V16">
            <v>12</v>
          </cell>
          <cell r="W16">
            <v>4.5</v>
          </cell>
          <cell r="X16">
            <v>107.54375</v>
          </cell>
          <cell r="AB16">
            <v>12</v>
          </cell>
          <cell r="AC16">
            <v>4.5</v>
          </cell>
          <cell r="AD16">
            <v>107.54375</v>
          </cell>
          <cell r="AH16">
            <v>8.75</v>
          </cell>
          <cell r="AI16">
            <v>108.25</v>
          </cell>
          <cell r="AJ16">
            <v>108</v>
          </cell>
          <cell r="AN16">
            <v>8.875</v>
          </cell>
          <cell r="AO16">
            <v>109.5</v>
          </cell>
          <cell r="AP16">
            <v>109.25</v>
          </cell>
          <cell r="AT16">
            <v>8.5</v>
          </cell>
          <cell r="AU16">
            <v>103.875</v>
          </cell>
          <cell r="AV16">
            <v>103.875</v>
          </cell>
          <cell r="AZ16">
            <v>8.5</v>
          </cell>
          <cell r="BA16">
            <v>103.875</v>
          </cell>
          <cell r="BB16">
            <v>103.875</v>
          </cell>
          <cell r="BF16">
            <v>8.25</v>
          </cell>
          <cell r="BG16">
            <v>104.1875</v>
          </cell>
          <cell r="BH16">
            <v>104.1875</v>
          </cell>
          <cell r="BJ16">
            <v>8.75</v>
          </cell>
          <cell r="BK16">
            <v>104.681</v>
          </cell>
          <cell r="BL16">
            <v>104.831</v>
          </cell>
          <cell r="BN16">
            <v>8.75</v>
          </cell>
          <cell r="BO16">
            <v>104.681</v>
          </cell>
          <cell r="BP16">
            <v>104.831</v>
          </cell>
          <cell r="BR16">
            <v>8.75</v>
          </cell>
          <cell r="BS16">
            <v>104.681</v>
          </cell>
          <cell r="BT16">
            <v>104.831</v>
          </cell>
          <cell r="BV16">
            <v>8.75</v>
          </cell>
          <cell r="BW16">
            <v>104.681</v>
          </cell>
          <cell r="BX16">
            <v>104.831</v>
          </cell>
          <cell r="BZ16">
            <v>9.25</v>
          </cell>
          <cell r="CA16">
            <v>108.113</v>
          </cell>
          <cell r="CB16">
            <v>107.96299999999999</v>
          </cell>
          <cell r="CD16">
            <v>10.25</v>
          </cell>
          <cell r="CE16">
            <v>107.71299999999999</v>
          </cell>
          <cell r="CF16">
            <v>106.563</v>
          </cell>
          <cell r="CH16">
            <v>9.5</v>
          </cell>
          <cell r="CI16">
            <v>108.175</v>
          </cell>
          <cell r="CJ16">
            <v>108.02500000000001</v>
          </cell>
        </row>
        <row r="17">
          <cell r="A17" t="str">
            <v>Second NOO No PP</v>
          </cell>
          <cell r="B17">
            <v>104</v>
          </cell>
          <cell r="D17" t="str">
            <v>APOR ARM 5yr</v>
          </cell>
          <cell r="E17" t="e">
            <v>#N/A</v>
          </cell>
          <cell r="F17">
            <v>6.79</v>
          </cell>
          <cell r="I17">
            <v>2</v>
          </cell>
          <cell r="J17">
            <v>12</v>
          </cell>
          <cell r="L17">
            <v>112.625</v>
          </cell>
          <cell r="O17">
            <v>2</v>
          </cell>
          <cell r="P17">
            <v>12.75</v>
          </cell>
          <cell r="R17">
            <v>111.75</v>
          </cell>
          <cell r="V17">
            <v>11.875</v>
          </cell>
          <cell r="W17">
            <v>4.375</v>
          </cell>
          <cell r="X17">
            <v>107.49375000000001</v>
          </cell>
          <cell r="AB17">
            <v>11.875</v>
          </cell>
          <cell r="AC17">
            <v>4.375</v>
          </cell>
          <cell r="AD17">
            <v>107.49375000000001</v>
          </cell>
          <cell r="AH17">
            <v>8.625</v>
          </cell>
          <cell r="AI17">
            <v>108</v>
          </cell>
          <cell r="AJ17">
            <v>107.75</v>
          </cell>
          <cell r="AN17">
            <v>8.75</v>
          </cell>
          <cell r="AO17">
            <v>109.125</v>
          </cell>
          <cell r="AP17">
            <v>108.875</v>
          </cell>
          <cell r="AT17">
            <v>8.375</v>
          </cell>
          <cell r="AU17">
            <v>103.625</v>
          </cell>
          <cell r="AV17">
            <v>103.625</v>
          </cell>
          <cell r="AZ17">
            <v>8.375</v>
          </cell>
          <cell r="BA17">
            <v>103.625</v>
          </cell>
          <cell r="BB17">
            <v>103.625</v>
          </cell>
          <cell r="BF17">
            <v>8.125</v>
          </cell>
          <cell r="BG17">
            <v>103.875</v>
          </cell>
          <cell r="BH17">
            <v>103.875</v>
          </cell>
          <cell r="BJ17">
            <v>8.625</v>
          </cell>
          <cell r="BK17">
            <v>104.431</v>
          </cell>
          <cell r="BL17">
            <v>104.581</v>
          </cell>
          <cell r="BN17">
            <v>8.625</v>
          </cell>
          <cell r="BO17">
            <v>104.431</v>
          </cell>
          <cell r="BP17">
            <v>104.581</v>
          </cell>
          <cell r="BR17">
            <v>8.625</v>
          </cell>
          <cell r="BS17">
            <v>104.431</v>
          </cell>
          <cell r="BT17">
            <v>104.581</v>
          </cell>
          <cell r="BV17">
            <v>8.625</v>
          </cell>
          <cell r="BW17">
            <v>104.431</v>
          </cell>
          <cell r="BX17">
            <v>104.581</v>
          </cell>
          <cell r="BZ17">
            <v>9.125</v>
          </cell>
          <cell r="CA17">
            <v>107.738</v>
          </cell>
          <cell r="CB17">
            <v>107.58799999999999</v>
          </cell>
          <cell r="CD17">
            <v>10.125</v>
          </cell>
          <cell r="CE17">
            <v>107.188</v>
          </cell>
          <cell r="CF17">
            <v>106.038</v>
          </cell>
          <cell r="CH17">
            <v>9.375</v>
          </cell>
          <cell r="CI17">
            <v>107.925</v>
          </cell>
          <cell r="CJ17">
            <v>107.77500000000001</v>
          </cell>
        </row>
        <row r="18">
          <cell r="A18" t="str">
            <v>Second NOO 1yr PP</v>
          </cell>
          <cell r="B18">
            <v>104</v>
          </cell>
          <cell r="D18" t="str">
            <v>APOR ARM 3yr</v>
          </cell>
          <cell r="E18" t="e">
            <v>#N/A</v>
          </cell>
          <cell r="F18">
            <v>7.13</v>
          </cell>
          <cell r="I18">
            <v>2</v>
          </cell>
          <cell r="J18">
            <v>11.875</v>
          </cell>
          <cell r="L18">
            <v>112.375</v>
          </cell>
          <cell r="O18">
            <v>2</v>
          </cell>
          <cell r="P18">
            <v>12.625</v>
          </cell>
          <cell r="R18">
            <v>111.5</v>
          </cell>
          <cell r="V18">
            <v>11.75</v>
          </cell>
          <cell r="W18">
            <v>4.25</v>
          </cell>
          <cell r="X18">
            <v>107.41249999999999</v>
          </cell>
          <cell r="AB18">
            <v>11.75</v>
          </cell>
          <cell r="AC18">
            <v>4.25</v>
          </cell>
          <cell r="AD18">
            <v>107.41249999999999</v>
          </cell>
          <cell r="AH18">
            <v>8.5</v>
          </cell>
          <cell r="AI18">
            <v>107.75</v>
          </cell>
          <cell r="AJ18">
            <v>107.5</v>
          </cell>
          <cell r="AN18">
            <v>8.625</v>
          </cell>
          <cell r="AO18">
            <v>108.75</v>
          </cell>
          <cell r="AP18">
            <v>108.5</v>
          </cell>
          <cell r="AT18">
            <v>8.25</v>
          </cell>
          <cell r="AU18">
            <v>103.375</v>
          </cell>
          <cell r="AV18">
            <v>103.375</v>
          </cell>
          <cell r="AZ18">
            <v>8.25</v>
          </cell>
          <cell r="BA18">
            <v>103.375</v>
          </cell>
          <cell r="BB18">
            <v>103.375</v>
          </cell>
          <cell r="BF18">
            <v>8</v>
          </cell>
          <cell r="BG18">
            <v>103.5625</v>
          </cell>
          <cell r="BH18">
            <v>103.5625</v>
          </cell>
          <cell r="BJ18">
            <v>8.5</v>
          </cell>
          <cell r="BK18">
            <v>104.181</v>
          </cell>
          <cell r="BL18">
            <v>104.331</v>
          </cell>
          <cell r="BN18">
            <v>8.5</v>
          </cell>
          <cell r="BO18">
            <v>104.181</v>
          </cell>
          <cell r="BP18">
            <v>104.331</v>
          </cell>
          <cell r="BR18">
            <v>8.5</v>
          </cell>
          <cell r="BS18">
            <v>104.181</v>
          </cell>
          <cell r="BT18">
            <v>104.331</v>
          </cell>
          <cell r="BV18">
            <v>8.5</v>
          </cell>
          <cell r="BW18">
            <v>104.181</v>
          </cell>
          <cell r="BX18">
            <v>104.331</v>
          </cell>
          <cell r="BZ18">
            <v>9</v>
          </cell>
          <cell r="CA18">
            <v>107.363</v>
          </cell>
          <cell r="CB18">
            <v>107.21299999999999</v>
          </cell>
          <cell r="CD18">
            <v>10</v>
          </cell>
          <cell r="CE18">
            <v>106.663</v>
          </cell>
          <cell r="CF18">
            <v>105.51300000000001</v>
          </cell>
          <cell r="CH18">
            <v>9.25</v>
          </cell>
          <cell r="CI18">
            <v>107.613</v>
          </cell>
          <cell r="CJ18">
            <v>107.46299999999999</v>
          </cell>
        </row>
        <row r="19">
          <cell r="A19" t="str">
            <v>Second NOO 2yr PP</v>
          </cell>
          <cell r="B19">
            <v>104</v>
          </cell>
          <cell r="D19" t="str">
            <v>APOR ARM 2yr</v>
          </cell>
          <cell r="E19" t="e">
            <v>#N/A</v>
          </cell>
          <cell r="F19">
            <v>7.2</v>
          </cell>
          <cell r="I19">
            <v>2</v>
          </cell>
          <cell r="J19">
            <v>11.75</v>
          </cell>
          <cell r="L19">
            <v>112.125</v>
          </cell>
          <cell r="O19">
            <v>2</v>
          </cell>
          <cell r="P19">
            <v>12.5</v>
          </cell>
          <cell r="R19">
            <v>111.25</v>
          </cell>
          <cell r="V19">
            <v>11.625</v>
          </cell>
          <cell r="W19">
            <v>4.125</v>
          </cell>
          <cell r="X19">
            <v>107.3</v>
          </cell>
          <cell r="AB19">
            <v>11.625</v>
          </cell>
          <cell r="AC19">
            <v>4.125</v>
          </cell>
          <cell r="AD19">
            <v>107.3</v>
          </cell>
          <cell r="AH19">
            <v>8.375</v>
          </cell>
          <cell r="AI19">
            <v>107.375</v>
          </cell>
          <cell r="AJ19">
            <v>107.125</v>
          </cell>
          <cell r="AN19">
            <v>8.5</v>
          </cell>
          <cell r="AO19">
            <v>108.375</v>
          </cell>
          <cell r="AP19">
            <v>108.125</v>
          </cell>
          <cell r="AT19">
            <v>8.125</v>
          </cell>
          <cell r="AU19">
            <v>103.125</v>
          </cell>
          <cell r="AV19">
            <v>103.125</v>
          </cell>
          <cell r="AZ19">
            <v>8.125</v>
          </cell>
          <cell r="BA19">
            <v>103.125</v>
          </cell>
          <cell r="BB19">
            <v>103.125</v>
          </cell>
          <cell r="BF19">
            <v>7.875</v>
          </cell>
          <cell r="BG19">
            <v>103.25</v>
          </cell>
          <cell r="BH19">
            <v>103.25</v>
          </cell>
          <cell r="BJ19">
            <v>8.375</v>
          </cell>
          <cell r="BK19">
            <v>103.931</v>
          </cell>
          <cell r="BL19">
            <v>104.081</v>
          </cell>
          <cell r="BN19">
            <v>8.375</v>
          </cell>
          <cell r="BO19">
            <v>103.931</v>
          </cell>
          <cell r="BP19">
            <v>104.081</v>
          </cell>
          <cell r="BR19">
            <v>8.375</v>
          </cell>
          <cell r="BS19">
            <v>103.931</v>
          </cell>
          <cell r="BT19">
            <v>104.081</v>
          </cell>
          <cell r="BV19">
            <v>8.375</v>
          </cell>
          <cell r="BW19">
            <v>103.931</v>
          </cell>
          <cell r="BX19">
            <v>104.081</v>
          </cell>
          <cell r="BZ19">
            <v>8.875</v>
          </cell>
          <cell r="CA19">
            <v>106.988</v>
          </cell>
          <cell r="CB19">
            <v>106.83799999999999</v>
          </cell>
          <cell r="CD19">
            <v>9.875</v>
          </cell>
          <cell r="CE19">
            <v>106.13800000000001</v>
          </cell>
          <cell r="CF19">
            <v>104.988</v>
          </cell>
          <cell r="CH19">
            <v>9.125</v>
          </cell>
          <cell r="CI19">
            <v>107.238</v>
          </cell>
          <cell r="CJ19">
            <v>107.08799999999999</v>
          </cell>
        </row>
        <row r="20">
          <cell r="A20" t="str">
            <v>Second NOO 3yr PP</v>
          </cell>
          <cell r="B20">
            <v>104.5</v>
          </cell>
          <cell r="D20" t="str">
            <v>APOR ARM 1yr</v>
          </cell>
          <cell r="E20" t="e">
            <v>#N/A</v>
          </cell>
          <cell r="F20">
            <v>7.29</v>
          </cell>
          <cell r="I20">
            <v>2</v>
          </cell>
          <cell r="J20">
            <v>11.625</v>
          </cell>
          <cell r="L20">
            <v>111.875</v>
          </cell>
          <cell r="O20">
            <v>2</v>
          </cell>
          <cell r="P20">
            <v>12.375</v>
          </cell>
          <cell r="R20">
            <v>111</v>
          </cell>
          <cell r="V20">
            <v>11.5</v>
          </cell>
          <cell r="W20">
            <v>4</v>
          </cell>
          <cell r="X20">
            <v>107.15625</v>
          </cell>
          <cell r="AB20">
            <v>11.5</v>
          </cell>
          <cell r="AC20">
            <v>4</v>
          </cell>
          <cell r="AD20">
            <v>107.15625</v>
          </cell>
          <cell r="AH20">
            <v>8.25</v>
          </cell>
          <cell r="AI20">
            <v>107</v>
          </cell>
          <cell r="AJ20">
            <v>106.75</v>
          </cell>
          <cell r="AN20">
            <v>8.375</v>
          </cell>
          <cell r="AO20">
            <v>108</v>
          </cell>
          <cell r="AP20">
            <v>107.75</v>
          </cell>
          <cell r="AT20">
            <v>8</v>
          </cell>
          <cell r="AU20">
            <v>102.875</v>
          </cell>
          <cell r="AV20">
            <v>102.875</v>
          </cell>
          <cell r="AZ20">
            <v>8</v>
          </cell>
          <cell r="BA20">
            <v>102.875</v>
          </cell>
          <cell r="BB20">
            <v>102.875</v>
          </cell>
          <cell r="BF20">
            <v>7.75</v>
          </cell>
          <cell r="BG20">
            <v>102.9375</v>
          </cell>
          <cell r="BH20">
            <v>102.9375</v>
          </cell>
          <cell r="BJ20">
            <v>8.25</v>
          </cell>
          <cell r="BK20">
            <v>103.681</v>
          </cell>
          <cell r="BL20">
            <v>103.831</v>
          </cell>
          <cell r="BN20">
            <v>8.25</v>
          </cell>
          <cell r="BO20">
            <v>103.681</v>
          </cell>
          <cell r="BP20">
            <v>103.831</v>
          </cell>
          <cell r="BR20">
            <v>8.25</v>
          </cell>
          <cell r="BS20">
            <v>103.681</v>
          </cell>
          <cell r="BT20">
            <v>103.831</v>
          </cell>
          <cell r="BV20">
            <v>8.25</v>
          </cell>
          <cell r="BW20">
            <v>103.681</v>
          </cell>
          <cell r="BX20">
            <v>103.831</v>
          </cell>
          <cell r="BZ20">
            <v>8.75</v>
          </cell>
          <cell r="CA20">
            <v>106.613</v>
          </cell>
          <cell r="CB20">
            <v>106.46299999999999</v>
          </cell>
          <cell r="CD20">
            <v>9.75</v>
          </cell>
          <cell r="CE20">
            <v>105.613</v>
          </cell>
          <cell r="CF20">
            <v>104.46299999999999</v>
          </cell>
          <cell r="CH20">
            <v>9</v>
          </cell>
          <cell r="CI20">
            <v>106.863</v>
          </cell>
          <cell r="CJ20">
            <v>106.71299999999999</v>
          </cell>
        </row>
        <row r="21">
          <cell r="A21" t="str">
            <v>Second NOO 4yr PP</v>
          </cell>
          <cell r="B21">
            <v>104.5</v>
          </cell>
          <cell r="D21" t="str">
            <v>https://ffiec.cfpb.gov/tools/rate-spread</v>
          </cell>
          <cell r="I21">
            <v>2</v>
          </cell>
          <cell r="J21">
            <v>11.5</v>
          </cell>
          <cell r="L21">
            <v>111.625</v>
          </cell>
          <cell r="O21">
            <v>2</v>
          </cell>
          <cell r="P21">
            <v>12.25</v>
          </cell>
          <cell r="R21">
            <v>110.75</v>
          </cell>
          <cell r="V21">
            <v>11.375</v>
          </cell>
          <cell r="W21">
            <v>3.875</v>
          </cell>
          <cell r="X21">
            <v>106.98125</v>
          </cell>
          <cell r="AB21">
            <v>11.375</v>
          </cell>
          <cell r="AC21">
            <v>3.875</v>
          </cell>
          <cell r="AD21">
            <v>106.98125</v>
          </cell>
          <cell r="AH21">
            <v>8.125</v>
          </cell>
          <cell r="AI21">
            <v>106.625</v>
          </cell>
          <cell r="AJ21">
            <v>106.375</v>
          </cell>
          <cell r="AN21">
            <v>8.25</v>
          </cell>
          <cell r="AO21">
            <v>107.625</v>
          </cell>
          <cell r="AP21">
            <v>107.375</v>
          </cell>
          <cell r="AT21">
            <v>7.875</v>
          </cell>
          <cell r="AU21">
            <v>102.625</v>
          </cell>
          <cell r="AV21">
            <v>102.625</v>
          </cell>
          <cell r="AZ21">
            <v>7.875</v>
          </cell>
          <cell r="BA21">
            <v>102.625</v>
          </cell>
          <cell r="BB21">
            <v>102.625</v>
          </cell>
          <cell r="BF21">
            <v>7.625</v>
          </cell>
          <cell r="BG21">
            <v>102.625</v>
          </cell>
          <cell r="BH21">
            <v>102.625</v>
          </cell>
          <cell r="BJ21">
            <v>8.125</v>
          </cell>
          <cell r="BK21">
            <v>103.431</v>
          </cell>
          <cell r="BL21">
            <v>103.581</v>
          </cell>
          <cell r="BN21">
            <v>8.125</v>
          </cell>
          <cell r="BO21">
            <v>103.431</v>
          </cell>
          <cell r="BP21">
            <v>103.581</v>
          </cell>
          <cell r="BR21">
            <v>8.125</v>
          </cell>
          <cell r="BS21">
            <v>103.431</v>
          </cell>
          <cell r="BT21">
            <v>103.581</v>
          </cell>
          <cell r="BV21">
            <v>8.125</v>
          </cell>
          <cell r="BW21">
            <v>103.431</v>
          </cell>
          <cell r="BX21">
            <v>103.581</v>
          </cell>
          <cell r="BZ21">
            <v>8.625</v>
          </cell>
          <cell r="CA21">
            <v>106.238</v>
          </cell>
          <cell r="CB21">
            <v>106.08799999999999</v>
          </cell>
          <cell r="CD21">
            <v>9.625</v>
          </cell>
          <cell r="CE21">
            <v>105.08799999999999</v>
          </cell>
          <cell r="CF21">
            <v>103.938</v>
          </cell>
          <cell r="CH21">
            <v>8.875</v>
          </cell>
          <cell r="CI21">
            <v>106.488</v>
          </cell>
          <cell r="CJ21">
            <v>106.33799999999999</v>
          </cell>
        </row>
        <row r="22">
          <cell r="A22" t="str">
            <v>Second NOO 5yr PP</v>
          </cell>
          <cell r="B22">
            <v>104.5</v>
          </cell>
          <cell r="I22">
            <v>2</v>
          </cell>
          <cell r="J22">
            <v>11.375</v>
          </cell>
          <cell r="L22">
            <v>111.375</v>
          </cell>
          <cell r="O22">
            <v>2</v>
          </cell>
          <cell r="P22">
            <v>12.125</v>
          </cell>
          <cell r="R22">
            <v>110.5</v>
          </cell>
          <cell r="V22">
            <v>11.25</v>
          </cell>
          <cell r="W22">
            <v>3.75</v>
          </cell>
          <cell r="X22">
            <v>106.77500000000001</v>
          </cell>
          <cell r="AB22">
            <v>11.25</v>
          </cell>
          <cell r="AC22">
            <v>3.75</v>
          </cell>
          <cell r="AD22">
            <v>106.77500000000001</v>
          </cell>
          <cell r="AH22">
            <v>8</v>
          </cell>
          <cell r="AI22">
            <v>106.25</v>
          </cell>
          <cell r="AJ22">
            <v>106</v>
          </cell>
          <cell r="AN22">
            <v>8.125</v>
          </cell>
          <cell r="AO22">
            <v>107.25</v>
          </cell>
          <cell r="AP22">
            <v>107</v>
          </cell>
          <cell r="AT22">
            <v>7.75</v>
          </cell>
          <cell r="AU22">
            <v>102.375</v>
          </cell>
          <cell r="AV22">
            <v>102.375</v>
          </cell>
          <cell r="AZ22">
            <v>7.75</v>
          </cell>
          <cell r="BA22">
            <v>102.375</v>
          </cell>
          <cell r="BB22">
            <v>102.375</v>
          </cell>
          <cell r="BF22">
            <v>7.49</v>
          </cell>
          <cell r="BG22">
            <v>102.25</v>
          </cell>
          <cell r="BH22">
            <v>102.25</v>
          </cell>
          <cell r="BJ22">
            <v>8</v>
          </cell>
          <cell r="BK22">
            <v>103.181</v>
          </cell>
          <cell r="BL22">
            <v>103.331</v>
          </cell>
          <cell r="BN22">
            <v>8</v>
          </cell>
          <cell r="BO22">
            <v>103.181</v>
          </cell>
          <cell r="BP22">
            <v>103.331</v>
          </cell>
          <cell r="BR22">
            <v>8</v>
          </cell>
          <cell r="BS22">
            <v>103.181</v>
          </cell>
          <cell r="BT22">
            <v>103.331</v>
          </cell>
          <cell r="BV22">
            <v>8</v>
          </cell>
          <cell r="BW22">
            <v>103.181</v>
          </cell>
          <cell r="BX22">
            <v>103.331</v>
          </cell>
          <cell r="BZ22">
            <v>8.5</v>
          </cell>
          <cell r="CA22">
            <v>105.863</v>
          </cell>
          <cell r="CB22">
            <v>105.71299999999999</v>
          </cell>
          <cell r="CD22">
            <v>9.5</v>
          </cell>
          <cell r="CE22">
            <v>104.563</v>
          </cell>
          <cell r="CF22">
            <v>103.413</v>
          </cell>
          <cell r="CH22">
            <v>8.75</v>
          </cell>
          <cell r="CI22">
            <v>106.113</v>
          </cell>
          <cell r="CJ22">
            <v>105.96299999999999</v>
          </cell>
        </row>
        <row r="23">
          <cell r="A23" t="str">
            <v>HELOC OO No PP</v>
          </cell>
          <cell r="B23">
            <v>104</v>
          </cell>
          <cell r="I23">
            <v>2</v>
          </cell>
          <cell r="J23">
            <v>11.25</v>
          </cell>
          <cell r="L23">
            <v>111.125</v>
          </cell>
          <cell r="O23">
            <v>2</v>
          </cell>
          <cell r="P23">
            <v>12</v>
          </cell>
          <cell r="R23">
            <v>110.25</v>
          </cell>
          <cell r="V23">
            <v>11.125</v>
          </cell>
          <cell r="W23">
            <v>3.625</v>
          </cell>
          <cell r="X23">
            <v>106.53749999999999</v>
          </cell>
          <cell r="AB23">
            <v>11.125</v>
          </cell>
          <cell r="AC23">
            <v>3.625</v>
          </cell>
          <cell r="AD23">
            <v>106.53749999999999</v>
          </cell>
          <cell r="AH23">
            <v>7.875</v>
          </cell>
          <cell r="AI23">
            <v>105.875</v>
          </cell>
          <cell r="AJ23">
            <v>105.625</v>
          </cell>
          <cell r="AN23">
            <v>8</v>
          </cell>
          <cell r="AO23">
            <v>106.75</v>
          </cell>
          <cell r="AP23">
            <v>106.5</v>
          </cell>
          <cell r="AT23">
            <v>7.625</v>
          </cell>
          <cell r="AU23">
            <v>102.125</v>
          </cell>
          <cell r="AV23">
            <v>102.125</v>
          </cell>
          <cell r="AZ23">
            <v>7.625</v>
          </cell>
          <cell r="BA23">
            <v>102.125</v>
          </cell>
          <cell r="BB23">
            <v>102.125</v>
          </cell>
          <cell r="BF23">
            <v>7.375</v>
          </cell>
          <cell r="BG23">
            <v>101.875</v>
          </cell>
          <cell r="BH23">
            <v>101.875</v>
          </cell>
          <cell r="BJ23">
            <v>7.875</v>
          </cell>
          <cell r="BK23">
            <v>102.86799999999999</v>
          </cell>
          <cell r="BL23">
            <v>103.018</v>
          </cell>
          <cell r="BN23">
            <v>7.875</v>
          </cell>
          <cell r="BO23">
            <v>102.86799999999999</v>
          </cell>
          <cell r="BP23">
            <v>103.018</v>
          </cell>
          <cell r="BR23">
            <v>7.875</v>
          </cell>
          <cell r="BS23">
            <v>102.86799999999999</v>
          </cell>
          <cell r="BT23">
            <v>103.018</v>
          </cell>
          <cell r="BV23">
            <v>7.875</v>
          </cell>
          <cell r="BW23">
            <v>102.86799999999999</v>
          </cell>
          <cell r="BX23">
            <v>103.018</v>
          </cell>
          <cell r="BZ23">
            <v>8.375</v>
          </cell>
          <cell r="CA23">
            <v>105.488</v>
          </cell>
          <cell r="CB23">
            <v>105.33799999999999</v>
          </cell>
          <cell r="CD23">
            <v>9.375</v>
          </cell>
          <cell r="CE23">
            <v>104.038</v>
          </cell>
          <cell r="CF23">
            <v>102.88800000000001</v>
          </cell>
          <cell r="CH23">
            <v>8.625</v>
          </cell>
          <cell r="CI23">
            <v>105.738</v>
          </cell>
          <cell r="CJ23">
            <v>105.58799999999999</v>
          </cell>
        </row>
        <row r="24">
          <cell r="A24" t="str">
            <v>HELOC NOO No PP</v>
          </cell>
          <cell r="B24">
            <v>104</v>
          </cell>
          <cell r="D24" t="str">
            <v>15th Calendar Day of Prior Mo</v>
          </cell>
          <cell r="I24">
            <v>2</v>
          </cell>
          <cell r="J24">
            <v>11.125</v>
          </cell>
          <cell r="L24">
            <v>110.875</v>
          </cell>
          <cell r="O24">
            <v>2</v>
          </cell>
          <cell r="P24">
            <v>11.875</v>
          </cell>
          <cell r="R24">
            <v>110</v>
          </cell>
          <cell r="V24">
            <v>11</v>
          </cell>
          <cell r="W24">
            <v>3.5</v>
          </cell>
          <cell r="X24">
            <v>106.26875</v>
          </cell>
          <cell r="AB24">
            <v>11</v>
          </cell>
          <cell r="AC24">
            <v>3.5</v>
          </cell>
          <cell r="AD24">
            <v>106.26875</v>
          </cell>
          <cell r="AH24">
            <v>7.75</v>
          </cell>
          <cell r="AI24">
            <v>105.5</v>
          </cell>
          <cell r="AJ24">
            <v>105.25</v>
          </cell>
          <cell r="AN24">
            <v>7.875</v>
          </cell>
          <cell r="AO24">
            <v>106.25</v>
          </cell>
          <cell r="AP24">
            <v>106</v>
          </cell>
          <cell r="AT24">
            <v>7.49</v>
          </cell>
          <cell r="AU24">
            <v>101.875</v>
          </cell>
          <cell r="AV24">
            <v>101.875</v>
          </cell>
          <cell r="AZ24">
            <v>7.49</v>
          </cell>
          <cell r="BA24">
            <v>101.875</v>
          </cell>
          <cell r="BB24">
            <v>101.875</v>
          </cell>
          <cell r="BF24">
            <v>7.25</v>
          </cell>
          <cell r="BG24">
            <v>101.4375</v>
          </cell>
          <cell r="BH24">
            <v>101.4375</v>
          </cell>
          <cell r="BJ24">
            <v>7.75</v>
          </cell>
          <cell r="BK24">
            <v>102.524</v>
          </cell>
          <cell r="BL24">
            <v>102.67400000000001</v>
          </cell>
          <cell r="BN24">
            <v>7.75</v>
          </cell>
          <cell r="BO24">
            <v>102.524</v>
          </cell>
          <cell r="BP24">
            <v>102.67400000000001</v>
          </cell>
          <cell r="BR24">
            <v>7.75</v>
          </cell>
          <cell r="BS24">
            <v>102.524</v>
          </cell>
          <cell r="BT24">
            <v>102.67400000000001</v>
          </cell>
          <cell r="BV24">
            <v>7.75</v>
          </cell>
          <cell r="BW24">
            <v>102.524</v>
          </cell>
          <cell r="BX24">
            <v>102.67400000000001</v>
          </cell>
          <cell r="BZ24">
            <v>8.25</v>
          </cell>
          <cell r="CA24">
            <v>105.113</v>
          </cell>
          <cell r="CB24">
            <v>104.96299999999999</v>
          </cell>
          <cell r="CD24">
            <v>9.25</v>
          </cell>
          <cell r="CE24">
            <v>103.51300000000001</v>
          </cell>
          <cell r="CF24">
            <v>102.363</v>
          </cell>
          <cell r="CH24">
            <v>8.5</v>
          </cell>
          <cell r="CI24">
            <v>105.363</v>
          </cell>
          <cell r="CJ24">
            <v>105.21299999999999</v>
          </cell>
        </row>
        <row r="25">
          <cell r="A25" t="str">
            <v>Edge OO No PP</v>
          </cell>
          <cell r="B25">
            <v>103</v>
          </cell>
          <cell r="C25" t="str">
            <v>Edge OO</v>
          </cell>
          <cell r="D25" t="str">
            <v>Treasury Date</v>
          </cell>
          <cell r="E25">
            <v>45733</v>
          </cell>
          <cell r="I25">
            <v>2</v>
          </cell>
          <cell r="J25">
            <v>11</v>
          </cell>
          <cell r="L25">
            <v>110.625</v>
          </cell>
          <cell r="O25">
            <v>2</v>
          </cell>
          <cell r="P25">
            <v>11.75</v>
          </cell>
          <cell r="R25">
            <v>109.75</v>
          </cell>
          <cell r="V25">
            <v>10.875</v>
          </cell>
          <cell r="W25">
            <v>3.375</v>
          </cell>
          <cell r="X25">
            <v>105.96875</v>
          </cell>
          <cell r="AB25">
            <v>10.875</v>
          </cell>
          <cell r="AC25">
            <v>3.375</v>
          </cell>
          <cell r="AD25">
            <v>105.96875</v>
          </cell>
          <cell r="AH25">
            <v>7.625</v>
          </cell>
          <cell r="AI25">
            <v>105.125</v>
          </cell>
          <cell r="AJ25">
            <v>104.875</v>
          </cell>
          <cell r="AN25">
            <v>7.75</v>
          </cell>
          <cell r="AO25">
            <v>105.75</v>
          </cell>
          <cell r="AP25">
            <v>105.5</v>
          </cell>
          <cell r="AT25">
            <v>7.375</v>
          </cell>
          <cell r="AU25">
            <v>101.5625</v>
          </cell>
          <cell r="AV25">
            <v>101.5625</v>
          </cell>
          <cell r="AZ25">
            <v>7.375</v>
          </cell>
          <cell r="BA25">
            <v>101.5625</v>
          </cell>
          <cell r="BB25">
            <v>101.5625</v>
          </cell>
          <cell r="BF25">
            <v>7.125</v>
          </cell>
          <cell r="BG25">
            <v>100.9375</v>
          </cell>
          <cell r="BH25">
            <v>100.9375</v>
          </cell>
          <cell r="BJ25">
            <v>7.625</v>
          </cell>
          <cell r="BK25">
            <v>102.181</v>
          </cell>
          <cell r="BL25">
            <v>102.331</v>
          </cell>
          <cell r="BN25">
            <v>7.625</v>
          </cell>
          <cell r="BO25">
            <v>102.181</v>
          </cell>
          <cell r="BP25">
            <v>102.331</v>
          </cell>
          <cell r="BR25">
            <v>7.625</v>
          </cell>
          <cell r="BS25">
            <v>102.181</v>
          </cell>
          <cell r="BT25">
            <v>102.331</v>
          </cell>
          <cell r="BV25">
            <v>7.625</v>
          </cell>
          <cell r="BW25">
            <v>102.181</v>
          </cell>
          <cell r="BX25">
            <v>102.331</v>
          </cell>
          <cell r="BZ25">
            <v>8.125</v>
          </cell>
          <cell r="CA25">
            <v>104.738</v>
          </cell>
          <cell r="CB25">
            <v>104.58799999999999</v>
          </cell>
          <cell r="CD25">
            <v>9.125</v>
          </cell>
          <cell r="CE25">
            <v>102.988</v>
          </cell>
          <cell r="CF25">
            <v>101.83799999999999</v>
          </cell>
          <cell r="CH25">
            <v>8.375</v>
          </cell>
          <cell r="CI25">
            <v>104.988</v>
          </cell>
          <cell r="CJ25">
            <v>104.83799999999999</v>
          </cell>
        </row>
        <row r="26">
          <cell r="A26" t="str">
            <v>Edge NOO No PP</v>
          </cell>
          <cell r="B26">
            <v>101.5</v>
          </cell>
          <cell r="C26" t="str">
            <v>Edge NOO</v>
          </cell>
          <cell r="D26" t="str">
            <v>Treasury 30yr</v>
          </cell>
          <cell r="E26">
            <v>4.5999999999999996</v>
          </cell>
          <cell r="I26">
            <v>2</v>
          </cell>
          <cell r="J26">
            <v>10.875</v>
          </cell>
          <cell r="L26">
            <v>110.375</v>
          </cell>
          <cell r="O26">
            <v>2</v>
          </cell>
          <cell r="P26">
            <v>11.625</v>
          </cell>
          <cell r="R26">
            <v>109.5</v>
          </cell>
          <cell r="V26">
            <v>10.75</v>
          </cell>
          <cell r="W26">
            <v>3.25</v>
          </cell>
          <cell r="X26">
            <v>105.6375</v>
          </cell>
          <cell r="AB26">
            <v>10.75</v>
          </cell>
          <cell r="AC26">
            <v>3.25</v>
          </cell>
          <cell r="AD26">
            <v>105.6375</v>
          </cell>
          <cell r="AH26">
            <v>7.5</v>
          </cell>
          <cell r="AI26">
            <v>104.625</v>
          </cell>
          <cell r="AJ26">
            <v>104.375</v>
          </cell>
          <cell r="AN26">
            <v>7.625</v>
          </cell>
          <cell r="AO26">
            <v>105.25</v>
          </cell>
          <cell r="AP26">
            <v>105</v>
          </cell>
          <cell r="AT26">
            <v>7.25</v>
          </cell>
          <cell r="AU26">
            <v>101.21875</v>
          </cell>
          <cell r="AV26">
            <v>101.21875</v>
          </cell>
          <cell r="AZ26">
            <v>7.25</v>
          </cell>
          <cell r="BA26">
            <v>101.21875</v>
          </cell>
          <cell r="BB26">
            <v>101.21875</v>
          </cell>
          <cell r="BF26">
            <v>6.99</v>
          </cell>
          <cell r="BG26">
            <v>100.4375</v>
          </cell>
          <cell r="BH26">
            <v>100.4375</v>
          </cell>
          <cell r="BJ26">
            <v>7.5</v>
          </cell>
          <cell r="BK26">
            <v>101.83799999999999</v>
          </cell>
          <cell r="BL26">
            <v>101.988</v>
          </cell>
          <cell r="BN26">
            <v>7.5</v>
          </cell>
          <cell r="BO26">
            <v>101.83799999999999</v>
          </cell>
          <cell r="BP26">
            <v>101.988</v>
          </cell>
          <cell r="BR26">
            <v>7.5</v>
          </cell>
          <cell r="BS26">
            <v>101.83799999999999</v>
          </cell>
          <cell r="BT26">
            <v>101.988</v>
          </cell>
          <cell r="BV26">
            <v>7.5</v>
          </cell>
          <cell r="BW26">
            <v>101.83799999999999</v>
          </cell>
          <cell r="BX26">
            <v>101.988</v>
          </cell>
          <cell r="BZ26">
            <v>8</v>
          </cell>
          <cell r="CA26">
            <v>104.363</v>
          </cell>
          <cell r="CB26">
            <v>104.21299999999999</v>
          </cell>
          <cell r="CD26">
            <v>9</v>
          </cell>
          <cell r="CE26">
            <v>102.46299999999999</v>
          </cell>
          <cell r="CF26">
            <v>101.313</v>
          </cell>
          <cell r="CH26">
            <v>8.25</v>
          </cell>
          <cell r="CI26">
            <v>104.613</v>
          </cell>
          <cell r="CJ26">
            <v>104.46299999999999</v>
          </cell>
        </row>
        <row r="27">
          <cell r="A27" t="str">
            <v>Edge NOO 1yr PP</v>
          </cell>
          <cell r="B27">
            <v>102.5</v>
          </cell>
          <cell r="D27" t="str">
            <v>Treasury 20yr</v>
          </cell>
          <cell r="E27">
            <v>4.6399999999999997</v>
          </cell>
          <cell r="I27">
            <v>2</v>
          </cell>
          <cell r="J27">
            <v>10.75</v>
          </cell>
          <cell r="L27">
            <v>110.125</v>
          </cell>
          <cell r="O27">
            <v>2</v>
          </cell>
          <cell r="P27">
            <v>11.5</v>
          </cell>
          <cell r="R27">
            <v>109.25</v>
          </cell>
          <cell r="V27">
            <v>10.625</v>
          </cell>
          <cell r="W27">
            <v>3.125</v>
          </cell>
          <cell r="X27">
            <v>105.52500000000001</v>
          </cell>
          <cell r="AB27">
            <v>10.625</v>
          </cell>
          <cell r="AC27">
            <v>3.125</v>
          </cell>
          <cell r="AD27">
            <v>105.52500000000001</v>
          </cell>
          <cell r="AH27">
            <v>7.375</v>
          </cell>
          <cell r="AI27">
            <v>104.125</v>
          </cell>
          <cell r="AJ27">
            <v>103.875</v>
          </cell>
          <cell r="AN27">
            <v>7.5</v>
          </cell>
          <cell r="AO27">
            <v>104.75</v>
          </cell>
          <cell r="AP27">
            <v>104.5</v>
          </cell>
          <cell r="AT27">
            <v>7.125</v>
          </cell>
          <cell r="AU27">
            <v>100.8125</v>
          </cell>
          <cell r="AV27">
            <v>100.8125</v>
          </cell>
          <cell r="AZ27">
            <v>7.125</v>
          </cell>
          <cell r="BA27">
            <v>100.8125</v>
          </cell>
          <cell r="BB27">
            <v>100.8125</v>
          </cell>
          <cell r="BF27">
            <v>6.875</v>
          </cell>
          <cell r="BG27">
            <v>99.875</v>
          </cell>
          <cell r="BH27">
            <v>99.875</v>
          </cell>
          <cell r="BJ27">
            <v>7.375</v>
          </cell>
          <cell r="BK27">
            <v>101.46299999999999</v>
          </cell>
          <cell r="BL27">
            <v>101.613</v>
          </cell>
          <cell r="BN27">
            <v>7.375</v>
          </cell>
          <cell r="BO27">
            <v>101.46299999999999</v>
          </cell>
          <cell r="BP27">
            <v>101.613</v>
          </cell>
          <cell r="BR27">
            <v>7.375</v>
          </cell>
          <cell r="BS27">
            <v>101.46299999999999</v>
          </cell>
          <cell r="BT27">
            <v>101.613</v>
          </cell>
          <cell r="BV27">
            <v>7.375</v>
          </cell>
          <cell r="BW27">
            <v>101.46299999999999</v>
          </cell>
          <cell r="BX27">
            <v>101.613</v>
          </cell>
          <cell r="BZ27">
            <v>7.875</v>
          </cell>
          <cell r="CA27">
            <v>103.988</v>
          </cell>
          <cell r="CB27">
            <v>103.83799999999999</v>
          </cell>
          <cell r="CD27">
            <v>8.875</v>
          </cell>
          <cell r="CE27">
            <v>101.938</v>
          </cell>
          <cell r="CF27">
            <v>100.788</v>
          </cell>
          <cell r="CH27">
            <v>8.125</v>
          </cell>
          <cell r="CI27">
            <v>104.238</v>
          </cell>
          <cell r="CJ27">
            <v>104.08799999999999</v>
          </cell>
        </row>
        <row r="28">
          <cell r="A28" t="str">
            <v>Edge NOO 2yr PP</v>
          </cell>
          <cell r="B28">
            <v>102.75</v>
          </cell>
          <cell r="D28" t="str">
            <v>Treasury 10yr</v>
          </cell>
          <cell r="E28">
            <v>4.3099999999999996</v>
          </cell>
          <cell r="I28">
            <v>2</v>
          </cell>
          <cell r="J28">
            <v>10.625</v>
          </cell>
          <cell r="L28">
            <v>109.875</v>
          </cell>
          <cell r="O28">
            <v>2</v>
          </cell>
          <cell r="P28">
            <v>11.375</v>
          </cell>
          <cell r="R28">
            <v>109</v>
          </cell>
          <cell r="V28">
            <v>10.5</v>
          </cell>
          <cell r="W28">
            <v>3</v>
          </cell>
          <cell r="X28">
            <v>105.15625</v>
          </cell>
          <cell r="AB28">
            <v>10.5</v>
          </cell>
          <cell r="AC28">
            <v>3</v>
          </cell>
          <cell r="AD28">
            <v>105.15625</v>
          </cell>
          <cell r="AH28">
            <v>7.25</v>
          </cell>
          <cell r="AI28">
            <v>103.625</v>
          </cell>
          <cell r="AJ28">
            <v>103.375</v>
          </cell>
          <cell r="AN28">
            <v>7.375</v>
          </cell>
          <cell r="AO28">
            <v>104.25</v>
          </cell>
          <cell r="AP28">
            <v>104</v>
          </cell>
          <cell r="AT28">
            <v>6.99</v>
          </cell>
          <cell r="AU28">
            <v>100.375</v>
          </cell>
          <cell r="AV28">
            <v>100.375</v>
          </cell>
          <cell r="AZ28">
            <v>6.99</v>
          </cell>
          <cell r="BA28">
            <v>100.375</v>
          </cell>
          <cell r="BB28">
            <v>100.375</v>
          </cell>
          <cell r="BF28">
            <v>6.75</v>
          </cell>
          <cell r="BG28">
            <v>99.3125</v>
          </cell>
          <cell r="BH28">
            <v>99.3125</v>
          </cell>
          <cell r="BJ28">
            <v>7.25</v>
          </cell>
          <cell r="BK28">
            <v>101.057</v>
          </cell>
          <cell r="BL28">
            <v>101.20699999999999</v>
          </cell>
          <cell r="BN28">
            <v>7.25</v>
          </cell>
          <cell r="BO28">
            <v>101.057</v>
          </cell>
          <cell r="BP28">
            <v>101.20699999999999</v>
          </cell>
          <cell r="BR28">
            <v>7.25</v>
          </cell>
          <cell r="BS28">
            <v>101.057</v>
          </cell>
          <cell r="BT28">
            <v>101.20699999999999</v>
          </cell>
          <cell r="BV28">
            <v>7.25</v>
          </cell>
          <cell r="BW28">
            <v>101.057</v>
          </cell>
          <cell r="BX28">
            <v>101.20699999999999</v>
          </cell>
          <cell r="BZ28">
            <v>7.75</v>
          </cell>
          <cell r="CA28">
            <v>103.55</v>
          </cell>
          <cell r="CB28">
            <v>103.4</v>
          </cell>
          <cell r="CD28">
            <v>8.75</v>
          </cell>
          <cell r="CE28">
            <v>101.35</v>
          </cell>
          <cell r="CF28">
            <v>100.2</v>
          </cell>
          <cell r="CH28">
            <v>8</v>
          </cell>
          <cell r="CI28">
            <v>103.863</v>
          </cell>
          <cell r="CJ28">
            <v>103.71299999999999</v>
          </cell>
        </row>
        <row r="29">
          <cell r="A29" t="str">
            <v>Edge NOO 3yr PP</v>
          </cell>
          <cell r="B29">
            <v>103.25</v>
          </cell>
          <cell r="D29" t="str">
            <v>Treasury 7yr</v>
          </cell>
          <cell r="E29">
            <v>4.21</v>
          </cell>
          <cell r="I29">
            <v>2</v>
          </cell>
          <cell r="J29">
            <v>10.5</v>
          </cell>
          <cell r="L29">
            <v>109.625</v>
          </cell>
          <cell r="O29">
            <v>2</v>
          </cell>
          <cell r="P29">
            <v>11.25</v>
          </cell>
          <cell r="R29">
            <v>108.75</v>
          </cell>
          <cell r="V29">
            <v>10.375</v>
          </cell>
          <cell r="W29">
            <v>2.875</v>
          </cell>
          <cell r="X29">
            <v>104.78125</v>
          </cell>
          <cell r="AB29">
            <v>10.375</v>
          </cell>
          <cell r="AC29">
            <v>2.875</v>
          </cell>
          <cell r="AD29">
            <v>104.78125</v>
          </cell>
          <cell r="AH29">
            <v>7.125</v>
          </cell>
          <cell r="AI29">
            <v>103.125</v>
          </cell>
          <cell r="AJ29">
            <v>102.875</v>
          </cell>
          <cell r="AN29">
            <v>7.25</v>
          </cell>
          <cell r="AO29">
            <v>103.75</v>
          </cell>
          <cell r="AP29">
            <v>103.5</v>
          </cell>
          <cell r="AT29">
            <v>6.875</v>
          </cell>
          <cell r="AU29">
            <v>99.875</v>
          </cell>
          <cell r="AV29">
            <v>99.875</v>
          </cell>
          <cell r="AZ29">
            <v>6.875</v>
          </cell>
          <cell r="BA29">
            <v>99.875</v>
          </cell>
          <cell r="BB29">
            <v>99.875</v>
          </cell>
          <cell r="BF29">
            <v>6.625</v>
          </cell>
          <cell r="BG29">
            <v>98.6875</v>
          </cell>
          <cell r="BH29">
            <v>98.6875</v>
          </cell>
          <cell r="BJ29">
            <v>7.125</v>
          </cell>
          <cell r="BK29">
            <v>100.619</v>
          </cell>
          <cell r="BL29">
            <v>100.76900000000001</v>
          </cell>
          <cell r="BN29">
            <v>7.125</v>
          </cell>
          <cell r="BO29">
            <v>100.619</v>
          </cell>
          <cell r="BP29">
            <v>100.76900000000001</v>
          </cell>
          <cell r="BR29">
            <v>7.125</v>
          </cell>
          <cell r="BS29">
            <v>100.619</v>
          </cell>
          <cell r="BT29">
            <v>100.76900000000001</v>
          </cell>
          <cell r="BV29">
            <v>7.125</v>
          </cell>
          <cell r="BW29">
            <v>100.619</v>
          </cell>
          <cell r="BX29">
            <v>100.76900000000001</v>
          </cell>
          <cell r="BZ29">
            <v>7.625</v>
          </cell>
          <cell r="CA29">
            <v>103.113</v>
          </cell>
          <cell r="CB29">
            <v>102.96299999999999</v>
          </cell>
          <cell r="CD29">
            <v>8.625</v>
          </cell>
          <cell r="CE29">
            <v>100.76300000000001</v>
          </cell>
          <cell r="CF29">
            <v>99.613</v>
          </cell>
          <cell r="CH29">
            <v>7.875</v>
          </cell>
          <cell r="CI29">
            <v>103.488</v>
          </cell>
          <cell r="CJ29">
            <v>103.33799999999999</v>
          </cell>
        </row>
        <row r="30">
          <cell r="A30" t="str">
            <v>Edge NOO 4yr PP</v>
          </cell>
          <cell r="B30">
            <v>103.5</v>
          </cell>
          <cell r="D30" t="str">
            <v>Treasury 5yr</v>
          </cell>
          <cell r="E30">
            <v>4.1100000000000003</v>
          </cell>
          <cell r="I30">
            <v>2</v>
          </cell>
          <cell r="J30">
            <v>10.375</v>
          </cell>
          <cell r="L30">
            <v>109.375</v>
          </cell>
          <cell r="O30">
            <v>2</v>
          </cell>
          <cell r="P30">
            <v>11.125</v>
          </cell>
          <cell r="R30">
            <v>108.5</v>
          </cell>
          <cell r="V30">
            <v>10.25</v>
          </cell>
          <cell r="W30">
            <v>2.75</v>
          </cell>
          <cell r="X30">
            <v>104.4</v>
          </cell>
          <cell r="AB30">
            <v>10.25</v>
          </cell>
          <cell r="AC30">
            <v>2.75</v>
          </cell>
          <cell r="AD30">
            <v>104.4</v>
          </cell>
          <cell r="AH30">
            <v>7</v>
          </cell>
          <cell r="AI30">
            <v>102.625</v>
          </cell>
          <cell r="AJ30">
            <v>102.375</v>
          </cell>
          <cell r="AN30">
            <v>7.125</v>
          </cell>
          <cell r="AO30">
            <v>103.25</v>
          </cell>
          <cell r="AP30">
            <v>103</v>
          </cell>
          <cell r="AT30">
            <v>6.75</v>
          </cell>
          <cell r="AU30">
            <v>99.3125</v>
          </cell>
          <cell r="AV30">
            <v>99.3125</v>
          </cell>
          <cell r="AZ30">
            <v>6.75</v>
          </cell>
          <cell r="BA30">
            <v>99.3125</v>
          </cell>
          <cell r="BB30">
            <v>99.3125</v>
          </cell>
          <cell r="BF30">
            <v>6.49</v>
          </cell>
          <cell r="BG30">
            <v>98.0625</v>
          </cell>
          <cell r="BH30">
            <v>98.0625</v>
          </cell>
          <cell r="BJ30">
            <v>7</v>
          </cell>
          <cell r="BK30">
            <v>100.151</v>
          </cell>
          <cell r="BL30">
            <v>100.301</v>
          </cell>
          <cell r="BN30">
            <v>7</v>
          </cell>
          <cell r="BO30">
            <v>100.151</v>
          </cell>
          <cell r="BP30">
            <v>100.301</v>
          </cell>
          <cell r="BR30">
            <v>7</v>
          </cell>
          <cell r="BS30">
            <v>100.151</v>
          </cell>
          <cell r="BT30">
            <v>100.301</v>
          </cell>
          <cell r="BV30">
            <v>7</v>
          </cell>
          <cell r="BW30">
            <v>100.151</v>
          </cell>
          <cell r="BX30">
            <v>100.301</v>
          </cell>
          <cell r="BZ30">
            <v>7.5</v>
          </cell>
          <cell r="CA30">
            <v>102.675</v>
          </cell>
          <cell r="CB30">
            <v>102.52500000000001</v>
          </cell>
          <cell r="CD30">
            <v>8.5</v>
          </cell>
          <cell r="CE30">
            <v>100.47499999999999</v>
          </cell>
          <cell r="CF30">
            <v>99.325000000000003</v>
          </cell>
          <cell r="CH30">
            <v>7.75</v>
          </cell>
          <cell r="CI30">
            <v>103.05</v>
          </cell>
          <cell r="CJ30">
            <v>102.9</v>
          </cell>
        </row>
        <row r="31">
          <cell r="A31" t="str">
            <v>Edge NOO 5yr PP</v>
          </cell>
          <cell r="B31">
            <v>104</v>
          </cell>
          <cell r="D31" t="str">
            <v>Treasury 3yr</v>
          </cell>
          <cell r="E31">
            <v>4.03</v>
          </cell>
          <cell r="I31">
            <v>2</v>
          </cell>
          <cell r="J31">
            <v>10.25</v>
          </cell>
          <cell r="L31">
            <v>109.125</v>
          </cell>
          <cell r="O31">
            <v>2</v>
          </cell>
          <cell r="P31">
            <v>11</v>
          </cell>
          <cell r="R31">
            <v>108.25</v>
          </cell>
          <cell r="V31">
            <v>10.125</v>
          </cell>
          <cell r="W31">
            <v>2.625</v>
          </cell>
          <cell r="X31">
            <v>104.0125</v>
          </cell>
          <cell r="AB31">
            <v>10.125</v>
          </cell>
          <cell r="AC31">
            <v>2.625</v>
          </cell>
          <cell r="AD31">
            <v>104.0125</v>
          </cell>
          <cell r="AH31">
            <v>6.875</v>
          </cell>
          <cell r="AI31">
            <v>102</v>
          </cell>
          <cell r="AJ31">
            <v>101.75</v>
          </cell>
          <cell r="AN31">
            <v>7</v>
          </cell>
          <cell r="AO31">
            <v>102.625</v>
          </cell>
          <cell r="AP31">
            <v>102.375</v>
          </cell>
          <cell r="AT31">
            <v>6.625</v>
          </cell>
          <cell r="AU31">
            <v>98.6875</v>
          </cell>
          <cell r="AV31">
            <v>98.6875</v>
          </cell>
          <cell r="AZ31">
            <v>6.625</v>
          </cell>
          <cell r="BA31">
            <v>98.6875</v>
          </cell>
          <cell r="BB31">
            <v>98.6875</v>
          </cell>
          <cell r="BJ31">
            <v>6.875</v>
          </cell>
          <cell r="BK31">
            <v>99.587999999999994</v>
          </cell>
          <cell r="BL31">
            <v>99.738</v>
          </cell>
          <cell r="BN31">
            <v>6.875</v>
          </cell>
          <cell r="BO31">
            <v>99.587999999999994</v>
          </cell>
          <cell r="BP31">
            <v>99.738</v>
          </cell>
          <cell r="BR31">
            <v>6.875</v>
          </cell>
          <cell r="BS31">
            <v>99.587999999999994</v>
          </cell>
          <cell r="BT31">
            <v>99.738</v>
          </cell>
          <cell r="BV31">
            <v>6.875</v>
          </cell>
          <cell r="BW31">
            <v>99.587999999999994</v>
          </cell>
          <cell r="BX31">
            <v>99.738</v>
          </cell>
          <cell r="BZ31">
            <v>7.375</v>
          </cell>
          <cell r="CA31">
            <v>102.175</v>
          </cell>
          <cell r="CB31">
            <v>102.02500000000001</v>
          </cell>
          <cell r="CD31">
            <v>8.375</v>
          </cell>
          <cell r="CE31">
            <v>100.188</v>
          </cell>
          <cell r="CF31">
            <v>99.037999999999997</v>
          </cell>
          <cell r="CH31">
            <v>7.625</v>
          </cell>
          <cell r="CI31">
            <v>102.613</v>
          </cell>
          <cell r="CJ31">
            <v>102.46299999999999</v>
          </cell>
        </row>
        <row r="32">
          <cell r="A32" t="str">
            <v>Edge NOO DSCR No PP</v>
          </cell>
          <cell r="B32">
            <v>101.5</v>
          </cell>
          <cell r="C32" t="str">
            <v>Edge NOO DSCR</v>
          </cell>
          <cell r="D32" t="str">
            <v>Treasury 2yr</v>
          </cell>
          <cell r="E32">
            <v>4.0599999999999996</v>
          </cell>
          <cell r="I32">
            <v>3</v>
          </cell>
          <cell r="J32">
            <v>10.125</v>
          </cell>
          <cell r="L32">
            <v>108.875</v>
          </cell>
          <cell r="O32">
            <v>2</v>
          </cell>
          <cell r="P32">
            <v>10.875</v>
          </cell>
          <cell r="R32">
            <v>108</v>
          </cell>
          <cell r="V32">
            <v>10</v>
          </cell>
          <cell r="W32">
            <v>2.5</v>
          </cell>
          <cell r="X32">
            <v>103.61875000000001</v>
          </cell>
          <cell r="AB32">
            <v>10</v>
          </cell>
          <cell r="AC32">
            <v>2.5</v>
          </cell>
          <cell r="AD32">
            <v>103.61875000000001</v>
          </cell>
          <cell r="AH32">
            <v>6.75</v>
          </cell>
          <cell r="AI32">
            <v>101.375</v>
          </cell>
          <cell r="AJ32">
            <v>101.125</v>
          </cell>
          <cell r="AN32">
            <v>6.875</v>
          </cell>
          <cell r="AO32">
            <v>102</v>
          </cell>
          <cell r="AP32">
            <v>101.75</v>
          </cell>
          <cell r="AT32">
            <v>6.49</v>
          </cell>
          <cell r="AU32">
            <v>98.0625</v>
          </cell>
          <cell r="AV32">
            <v>98.0625</v>
          </cell>
          <cell r="AZ32">
            <v>6.49</v>
          </cell>
          <cell r="BA32">
            <v>98.0625</v>
          </cell>
          <cell r="BB32">
            <v>98.0625</v>
          </cell>
          <cell r="BJ32">
            <v>6.75</v>
          </cell>
          <cell r="BK32">
            <v>99.025999999999996</v>
          </cell>
          <cell r="BL32">
            <v>99.176000000000002</v>
          </cell>
          <cell r="BN32">
            <v>6.75</v>
          </cell>
          <cell r="BO32">
            <v>99.025999999999996</v>
          </cell>
          <cell r="BP32">
            <v>99.176000000000002</v>
          </cell>
          <cell r="BR32">
            <v>6.75</v>
          </cell>
          <cell r="BS32">
            <v>99.025999999999996</v>
          </cell>
          <cell r="BT32">
            <v>99.176000000000002</v>
          </cell>
          <cell r="BV32">
            <v>6.75</v>
          </cell>
          <cell r="BW32">
            <v>99.025999999999996</v>
          </cell>
          <cell r="BX32">
            <v>99.176000000000002</v>
          </cell>
          <cell r="BZ32">
            <v>7.25</v>
          </cell>
          <cell r="CA32">
            <v>101.51300000000001</v>
          </cell>
          <cell r="CB32">
            <v>101.363</v>
          </cell>
          <cell r="CD32">
            <v>8.25</v>
          </cell>
          <cell r="CE32">
            <v>99.287999999999997</v>
          </cell>
          <cell r="CF32">
            <v>98.138000000000005</v>
          </cell>
          <cell r="CH32">
            <v>7.5</v>
          </cell>
          <cell r="CI32">
            <v>102.175</v>
          </cell>
          <cell r="CJ32">
            <v>102.02500000000001</v>
          </cell>
        </row>
        <row r="33">
          <cell r="A33" t="str">
            <v>Edge NOO DSCR 1yr PP</v>
          </cell>
          <cell r="B33">
            <v>102.5</v>
          </cell>
          <cell r="D33" t="str">
            <v>Treasury 1yr</v>
          </cell>
          <cell r="E33">
            <v>4.1100000000000003</v>
          </cell>
          <cell r="I33">
            <v>3</v>
          </cell>
          <cell r="J33">
            <v>10</v>
          </cell>
          <cell r="L33">
            <v>108.5</v>
          </cell>
          <cell r="O33">
            <v>2</v>
          </cell>
          <cell r="P33">
            <v>10.75</v>
          </cell>
          <cell r="R33">
            <v>107.75</v>
          </cell>
          <cell r="V33">
            <v>9.875</v>
          </cell>
          <cell r="W33">
            <v>2.375</v>
          </cell>
          <cell r="X33">
            <v>103.09375</v>
          </cell>
          <cell r="AB33">
            <v>9.875</v>
          </cell>
          <cell r="AC33">
            <v>2.375</v>
          </cell>
          <cell r="AD33">
            <v>103.09375</v>
          </cell>
          <cell r="AH33">
            <v>6.625</v>
          </cell>
          <cell r="AI33">
            <v>100.625</v>
          </cell>
          <cell r="AJ33">
            <v>100.375</v>
          </cell>
          <cell r="AN33">
            <v>6.75</v>
          </cell>
          <cell r="AO33">
            <v>101.375</v>
          </cell>
          <cell r="AP33">
            <v>101.125</v>
          </cell>
          <cell r="AT33">
            <v>6.375</v>
          </cell>
          <cell r="AU33">
            <v>97.4375</v>
          </cell>
          <cell r="AV33">
            <v>97.4375</v>
          </cell>
          <cell r="AZ33">
            <v>6.375</v>
          </cell>
          <cell r="BA33">
            <v>97.4375</v>
          </cell>
          <cell r="BB33">
            <v>97.4375</v>
          </cell>
          <cell r="BJ33">
            <v>6.625</v>
          </cell>
          <cell r="BK33">
            <v>98.432000000000002</v>
          </cell>
          <cell r="BL33">
            <v>98.581999999999994</v>
          </cell>
          <cell r="BN33">
            <v>6.625</v>
          </cell>
          <cell r="BO33">
            <v>98.432000000000002</v>
          </cell>
          <cell r="BP33">
            <v>98.581999999999994</v>
          </cell>
          <cell r="BR33">
            <v>6.625</v>
          </cell>
          <cell r="BS33">
            <v>98.432000000000002</v>
          </cell>
          <cell r="BT33">
            <v>98.581999999999994</v>
          </cell>
          <cell r="BV33">
            <v>6.625</v>
          </cell>
          <cell r="BW33">
            <v>98.432000000000002</v>
          </cell>
          <cell r="BX33">
            <v>98.581999999999994</v>
          </cell>
          <cell r="BZ33">
            <v>7.125</v>
          </cell>
          <cell r="CA33">
            <v>100.85</v>
          </cell>
          <cell r="CB33">
            <v>100.7</v>
          </cell>
          <cell r="CD33">
            <v>8.125</v>
          </cell>
          <cell r="CE33">
            <v>98.625</v>
          </cell>
          <cell r="CF33">
            <v>97.474999999999994</v>
          </cell>
          <cell r="CH33">
            <v>7.375</v>
          </cell>
          <cell r="CI33">
            <v>101.675</v>
          </cell>
          <cell r="CJ33">
            <v>101.52500000000001</v>
          </cell>
        </row>
        <row r="34">
          <cell r="A34" t="str">
            <v>Edge NOO DSCR 2yr PP</v>
          </cell>
          <cell r="B34">
            <v>102.75</v>
          </cell>
          <cell r="D34" t="str">
            <v>Treasury 1mo</v>
          </cell>
          <cell r="E34">
            <v>4.37</v>
          </cell>
          <cell r="I34">
            <v>3</v>
          </cell>
          <cell r="J34">
            <v>9.875</v>
          </cell>
          <cell r="L34">
            <v>108.125</v>
          </cell>
          <cell r="O34">
            <v>2</v>
          </cell>
          <cell r="P34">
            <v>10.625</v>
          </cell>
          <cell r="R34">
            <v>107.5</v>
          </cell>
          <cell r="V34">
            <v>9.75</v>
          </cell>
          <cell r="W34">
            <v>2.25</v>
          </cell>
          <cell r="X34">
            <v>102.6875</v>
          </cell>
          <cell r="AB34">
            <v>9.75</v>
          </cell>
          <cell r="AC34">
            <v>2.25</v>
          </cell>
          <cell r="AD34">
            <v>102.6875</v>
          </cell>
          <cell r="AT34">
            <v>6.25</v>
          </cell>
          <cell r="AU34">
            <v>96.8125</v>
          </cell>
          <cell r="AV34">
            <v>96.8125</v>
          </cell>
          <cell r="AZ34">
            <v>6.25</v>
          </cell>
          <cell r="BA34">
            <v>96.8125</v>
          </cell>
          <cell r="BB34">
            <v>96.8125</v>
          </cell>
          <cell r="BZ34">
            <v>7</v>
          </cell>
          <cell r="CA34">
            <v>100.08799999999999</v>
          </cell>
          <cell r="CB34">
            <v>99.938000000000002</v>
          </cell>
          <cell r="CD34">
            <v>8</v>
          </cell>
          <cell r="CE34">
            <v>97.863</v>
          </cell>
          <cell r="CF34">
            <v>96.712999999999994</v>
          </cell>
          <cell r="CH34">
            <v>7.25</v>
          </cell>
          <cell r="CI34">
            <v>101.01300000000001</v>
          </cell>
          <cell r="CJ34">
            <v>100.863</v>
          </cell>
        </row>
        <row r="35">
          <cell r="A35" t="str">
            <v>Edge NOO DSCR 3yr PP</v>
          </cell>
          <cell r="B35">
            <v>103.25</v>
          </cell>
          <cell r="D35" t="str">
            <v>https://home.treasury.gov/resource-center/data-chart-center/interest-rates/TextView?type=daily_treasury_yield_curve&amp;field_tdr_date_value_month=202310</v>
          </cell>
          <cell r="I35">
            <v>3</v>
          </cell>
          <cell r="J35">
            <v>9.75</v>
          </cell>
          <cell r="L35">
            <v>107.75</v>
          </cell>
          <cell r="O35">
            <v>2</v>
          </cell>
          <cell r="P35">
            <v>10.5</v>
          </cell>
          <cell r="R35">
            <v>107.25</v>
          </cell>
          <cell r="V35">
            <v>9.625</v>
          </cell>
          <cell r="W35">
            <v>2.125</v>
          </cell>
          <cell r="X35">
            <v>102.15625</v>
          </cell>
          <cell r="AB35">
            <v>9.625</v>
          </cell>
          <cell r="AC35">
            <v>2.125</v>
          </cell>
          <cell r="AD35">
            <v>102.15625</v>
          </cell>
          <cell r="BZ35">
            <v>6.875</v>
          </cell>
          <cell r="CA35">
            <v>99.424999999999997</v>
          </cell>
          <cell r="CB35">
            <v>99.275000000000006</v>
          </cell>
          <cell r="CD35">
            <v>7.875</v>
          </cell>
          <cell r="CE35">
            <v>97.2</v>
          </cell>
          <cell r="CF35">
            <v>96.05</v>
          </cell>
          <cell r="CH35">
            <v>7.125</v>
          </cell>
          <cell r="CI35">
            <v>100.35</v>
          </cell>
          <cell r="CJ35">
            <v>100.2</v>
          </cell>
        </row>
        <row r="36">
          <cell r="A36" t="str">
            <v>Edge NOO DSCR 4yr PP</v>
          </cell>
          <cell r="B36">
            <v>103.5</v>
          </cell>
          <cell r="I36">
            <v>3</v>
          </cell>
          <cell r="J36">
            <v>9.625</v>
          </cell>
          <cell r="L36">
            <v>107.375</v>
          </cell>
          <cell r="O36">
            <v>2</v>
          </cell>
          <cell r="P36">
            <v>10.375</v>
          </cell>
          <cell r="R36">
            <v>107</v>
          </cell>
          <cell r="V36">
            <v>9.5</v>
          </cell>
          <cell r="W36">
            <v>2</v>
          </cell>
          <cell r="X36">
            <v>101.75</v>
          </cell>
          <cell r="AB36">
            <v>9.5</v>
          </cell>
          <cell r="AC36">
            <v>2</v>
          </cell>
          <cell r="AD36">
            <v>101.75</v>
          </cell>
          <cell r="BZ36">
            <v>6.75</v>
          </cell>
          <cell r="CA36">
            <v>98.763000000000005</v>
          </cell>
          <cell r="CB36">
            <v>98.613</v>
          </cell>
          <cell r="CD36">
            <v>7.75</v>
          </cell>
          <cell r="CE36">
            <v>96.537999999999997</v>
          </cell>
          <cell r="CF36">
            <v>95.388000000000005</v>
          </cell>
          <cell r="CH36">
            <v>7</v>
          </cell>
          <cell r="CI36">
            <v>99.587999999999994</v>
          </cell>
          <cell r="CJ36">
            <v>99.438000000000002</v>
          </cell>
        </row>
        <row r="37">
          <cell r="A37" t="str">
            <v>Edge NOO DSCR 5yr PP</v>
          </cell>
          <cell r="B37">
            <v>104</v>
          </cell>
          <cell r="I37">
            <v>3</v>
          </cell>
          <cell r="J37">
            <v>9.5</v>
          </cell>
          <cell r="L37">
            <v>107</v>
          </cell>
          <cell r="O37">
            <v>2</v>
          </cell>
          <cell r="P37">
            <v>10.25</v>
          </cell>
          <cell r="R37">
            <v>106.75</v>
          </cell>
          <cell r="V37">
            <v>9.375</v>
          </cell>
          <cell r="W37">
            <v>1.875</v>
          </cell>
          <cell r="X37">
            <v>101.21250000000001</v>
          </cell>
          <cell r="AB37">
            <v>9.375</v>
          </cell>
          <cell r="AC37">
            <v>1.875</v>
          </cell>
          <cell r="AD37">
            <v>101.21250000000001</v>
          </cell>
          <cell r="CH37">
            <v>6.875</v>
          </cell>
          <cell r="CI37">
            <v>98.924999999999997</v>
          </cell>
          <cell r="CJ37">
            <v>98.775000000000006</v>
          </cell>
        </row>
        <row r="38">
          <cell r="A38" t="str">
            <v>XP_No Prepay</v>
          </cell>
          <cell r="B38">
            <v>103</v>
          </cell>
          <cell r="C38" t="str">
            <v>Core Prime</v>
          </cell>
          <cell r="I38">
            <v>3</v>
          </cell>
          <cell r="J38">
            <v>9.375</v>
          </cell>
          <cell r="L38">
            <v>106.625</v>
          </cell>
          <cell r="O38">
            <v>3</v>
          </cell>
          <cell r="P38">
            <v>10.125</v>
          </cell>
          <cell r="R38">
            <v>106.5</v>
          </cell>
          <cell r="V38">
            <v>9.25</v>
          </cell>
          <cell r="W38">
            <v>1.75</v>
          </cell>
          <cell r="X38">
            <v>100.53749999999999</v>
          </cell>
          <cell r="AB38">
            <v>9.25</v>
          </cell>
          <cell r="AC38">
            <v>1.75</v>
          </cell>
          <cell r="AD38">
            <v>100.53749999999999</v>
          </cell>
          <cell r="CH38">
            <v>6.75</v>
          </cell>
          <cell r="CI38">
            <v>98.263000000000005</v>
          </cell>
          <cell r="CJ38">
            <v>98.113</v>
          </cell>
        </row>
        <row r="39">
          <cell r="A39" t="str">
            <v>YP_No Prepay</v>
          </cell>
          <cell r="B39">
            <v>101</v>
          </cell>
          <cell r="I39">
            <v>4</v>
          </cell>
          <cell r="J39">
            <v>9.25</v>
          </cell>
          <cell r="L39">
            <v>106.25</v>
          </cell>
          <cell r="O39">
            <v>3</v>
          </cell>
          <cell r="P39">
            <v>10</v>
          </cell>
          <cell r="R39">
            <v>106.125</v>
          </cell>
          <cell r="V39">
            <v>9.125</v>
          </cell>
          <cell r="W39">
            <v>1.625</v>
          </cell>
          <cell r="X39">
            <v>100.1</v>
          </cell>
          <cell r="AB39">
            <v>9.125</v>
          </cell>
          <cell r="AC39">
            <v>1.625</v>
          </cell>
          <cell r="AD39">
            <v>100.1</v>
          </cell>
        </row>
        <row r="40">
          <cell r="A40" t="str">
            <v>YP_1yr Prepay_Standard</v>
          </cell>
          <cell r="B40">
            <v>102</v>
          </cell>
          <cell r="I40">
            <v>4</v>
          </cell>
          <cell r="J40">
            <v>9.125</v>
          </cell>
          <cell r="L40">
            <v>105.75</v>
          </cell>
          <cell r="O40">
            <v>3</v>
          </cell>
          <cell r="P40">
            <v>9.875</v>
          </cell>
          <cell r="R40">
            <v>105.75</v>
          </cell>
          <cell r="V40">
            <v>9</v>
          </cell>
          <cell r="W40">
            <v>1.5</v>
          </cell>
          <cell r="X40">
            <v>99.65</v>
          </cell>
          <cell r="AB40">
            <v>9</v>
          </cell>
          <cell r="AC40">
            <v>1.5</v>
          </cell>
          <cell r="AD40">
            <v>99.65</v>
          </cell>
        </row>
        <row r="41">
          <cell r="A41" t="str">
            <v>YP_2yr Prepay_Standard</v>
          </cell>
          <cell r="B41">
            <v>102.75</v>
          </cell>
          <cell r="I41">
            <v>4</v>
          </cell>
          <cell r="J41">
            <v>9</v>
          </cell>
          <cell r="L41">
            <v>105.25</v>
          </cell>
          <cell r="O41">
            <v>3</v>
          </cell>
          <cell r="P41">
            <v>9.75</v>
          </cell>
          <cell r="R41">
            <v>105.375</v>
          </cell>
          <cell r="V41">
            <v>8.875</v>
          </cell>
          <cell r="W41">
            <v>1.375</v>
          </cell>
          <cell r="X41">
            <v>99.3125</v>
          </cell>
          <cell r="AB41">
            <v>8.875</v>
          </cell>
          <cell r="AC41">
            <v>1.375</v>
          </cell>
          <cell r="AD41">
            <v>99.3125</v>
          </cell>
        </row>
        <row r="42">
          <cell r="A42" t="str">
            <v>YP_3yr Prepay_Standard</v>
          </cell>
          <cell r="B42">
            <v>103.25</v>
          </cell>
          <cell r="I42">
            <v>4</v>
          </cell>
          <cell r="J42">
            <v>8.875</v>
          </cell>
          <cell r="L42">
            <v>104.75</v>
          </cell>
          <cell r="O42">
            <v>3</v>
          </cell>
          <cell r="P42">
            <v>9.625</v>
          </cell>
          <cell r="R42">
            <v>105</v>
          </cell>
          <cell r="V42">
            <v>8.75</v>
          </cell>
          <cell r="W42">
            <v>1.25</v>
          </cell>
          <cell r="X42">
            <v>98.837500000000006</v>
          </cell>
          <cell r="AB42">
            <v>8.75</v>
          </cell>
          <cell r="AC42">
            <v>1.25</v>
          </cell>
          <cell r="AD42">
            <v>98.837500000000006</v>
          </cell>
        </row>
        <row r="43">
          <cell r="A43" t="str">
            <v>YP_4yr Prepay_Standard</v>
          </cell>
          <cell r="B43">
            <v>103.5</v>
          </cell>
          <cell r="I43">
            <v>4</v>
          </cell>
          <cell r="J43">
            <v>8.75</v>
          </cell>
          <cell r="L43">
            <v>104.25</v>
          </cell>
          <cell r="O43">
            <v>3</v>
          </cell>
          <cell r="P43">
            <v>9.5</v>
          </cell>
          <cell r="R43">
            <v>104.625</v>
          </cell>
          <cell r="V43">
            <v>8.625</v>
          </cell>
          <cell r="W43">
            <v>1.125</v>
          </cell>
          <cell r="X43">
            <v>98.35</v>
          </cell>
          <cell r="AB43">
            <v>8.625</v>
          </cell>
          <cell r="AC43">
            <v>1.125</v>
          </cell>
          <cell r="AD43">
            <v>98.35</v>
          </cell>
        </row>
        <row r="44">
          <cell r="A44" t="str">
            <v>YP_5yr Prepay_Standard</v>
          </cell>
          <cell r="B44">
            <v>104</v>
          </cell>
          <cell r="I44">
            <v>4</v>
          </cell>
          <cell r="J44">
            <v>8.625</v>
          </cell>
          <cell r="L44">
            <v>103.75</v>
          </cell>
          <cell r="O44">
            <v>3</v>
          </cell>
          <cell r="P44">
            <v>9.375</v>
          </cell>
          <cell r="R44">
            <v>104.25</v>
          </cell>
          <cell r="V44">
            <v>8.5</v>
          </cell>
          <cell r="W44">
            <v>1</v>
          </cell>
          <cell r="X44">
            <v>97.85</v>
          </cell>
          <cell r="AB44">
            <v>8.5</v>
          </cell>
          <cell r="AC44">
            <v>1</v>
          </cell>
          <cell r="AD44">
            <v>97.85</v>
          </cell>
        </row>
        <row r="45">
          <cell r="A45" t="str">
            <v>XX_No Prepay</v>
          </cell>
          <cell r="B45">
            <v>103</v>
          </cell>
          <cell r="C45" t="str">
            <v>Core Flex</v>
          </cell>
          <cell r="I45">
            <v>4</v>
          </cell>
          <cell r="J45">
            <v>8.5</v>
          </cell>
          <cell r="L45">
            <v>103.25</v>
          </cell>
          <cell r="O45">
            <v>4</v>
          </cell>
          <cell r="P45">
            <v>9.25</v>
          </cell>
          <cell r="R45">
            <v>103.875</v>
          </cell>
          <cell r="V45">
            <v>8.375</v>
          </cell>
          <cell r="W45">
            <v>0.875</v>
          </cell>
          <cell r="X45">
            <v>97.337500000000006</v>
          </cell>
          <cell r="AB45">
            <v>8.375</v>
          </cell>
          <cell r="AC45">
            <v>0.875</v>
          </cell>
          <cell r="AD45">
            <v>97.337500000000006</v>
          </cell>
        </row>
        <row r="46">
          <cell r="A46" t="str">
            <v>YX_No Prepay</v>
          </cell>
          <cell r="B46">
            <v>101</v>
          </cell>
          <cell r="I46">
            <v>4</v>
          </cell>
          <cell r="J46">
            <v>8.375</v>
          </cell>
          <cell r="L46">
            <v>102.75</v>
          </cell>
          <cell r="O46">
            <v>4</v>
          </cell>
          <cell r="P46">
            <v>9.125</v>
          </cell>
          <cell r="R46">
            <v>103.375</v>
          </cell>
          <cell r="V46">
            <v>8.25</v>
          </cell>
          <cell r="W46">
            <v>0.75</v>
          </cell>
          <cell r="X46">
            <v>96.8125</v>
          </cell>
          <cell r="AB46">
            <v>8.25</v>
          </cell>
          <cell r="AC46">
            <v>0.75</v>
          </cell>
          <cell r="AD46">
            <v>96.8125</v>
          </cell>
        </row>
        <row r="47">
          <cell r="A47" t="str">
            <v>YX_1yr Prepay_Standard</v>
          </cell>
          <cell r="B47">
            <v>102</v>
          </cell>
          <cell r="I47">
            <v>4</v>
          </cell>
          <cell r="J47">
            <v>8.25</v>
          </cell>
          <cell r="L47">
            <v>102.25</v>
          </cell>
          <cell r="O47">
            <v>4</v>
          </cell>
          <cell r="P47">
            <v>9</v>
          </cell>
          <cell r="R47">
            <v>102.875</v>
          </cell>
          <cell r="V47">
            <v>8.125</v>
          </cell>
          <cell r="W47">
            <v>0.625</v>
          </cell>
          <cell r="X47">
            <v>96.275000000000006</v>
          </cell>
          <cell r="AB47">
            <v>8.125</v>
          </cell>
          <cell r="AC47">
            <v>0.625</v>
          </cell>
          <cell r="AD47">
            <v>96.275000000000006</v>
          </cell>
        </row>
        <row r="48">
          <cell r="A48" t="str">
            <v>YX_2yr Prepay_Standard</v>
          </cell>
          <cell r="B48">
            <v>102.75</v>
          </cell>
          <cell r="I48">
            <v>4</v>
          </cell>
          <cell r="J48">
            <v>8.125</v>
          </cell>
          <cell r="L48">
            <v>101.75</v>
          </cell>
          <cell r="O48">
            <v>4</v>
          </cell>
          <cell r="P48">
            <v>8.875</v>
          </cell>
          <cell r="R48">
            <v>102.375</v>
          </cell>
          <cell r="V48">
            <v>8</v>
          </cell>
          <cell r="W48">
            <v>0.5</v>
          </cell>
          <cell r="X48">
            <v>95.724999999999994</v>
          </cell>
          <cell r="AB48">
            <v>8</v>
          </cell>
          <cell r="AC48">
            <v>0.5</v>
          </cell>
          <cell r="AD48">
            <v>95.724999999999994</v>
          </cell>
        </row>
        <row r="49">
          <cell r="A49" t="str">
            <v>YX_3yr Prepay_Standard</v>
          </cell>
          <cell r="B49">
            <v>103.25</v>
          </cell>
        </row>
        <row r="50">
          <cell r="A50" t="str">
            <v>YX_4yr Prepay_Standard</v>
          </cell>
          <cell r="B50">
            <v>103.5</v>
          </cell>
          <cell r="H50" t="str">
            <v>Previous Pricing (Paste Special Values from above [red border] if you want to measure a change)</v>
          </cell>
        </row>
        <row r="51">
          <cell r="A51" t="str">
            <v>YX_5yr Prepay_Standard</v>
          </cell>
          <cell r="B51">
            <v>104</v>
          </cell>
          <cell r="I51">
            <v>1</v>
          </cell>
          <cell r="J51">
            <v>13.125</v>
          </cell>
          <cell r="L51">
            <v>114</v>
          </cell>
          <cell r="O51">
            <v>1</v>
          </cell>
          <cell r="P51">
            <v>13.875</v>
          </cell>
          <cell r="R51">
            <v>113</v>
          </cell>
          <cell r="V51">
            <v>13</v>
          </cell>
          <cell r="W51">
            <v>5.5</v>
          </cell>
          <cell r="X51">
            <v>107.94374999999999</v>
          </cell>
        </row>
        <row r="52">
          <cell r="A52" t="str">
            <v>YF_No Prepay</v>
          </cell>
          <cell r="B52">
            <v>100.75</v>
          </cell>
          <cell r="C52" t="str">
            <v>Core CashFlow</v>
          </cell>
          <cell r="I52">
            <v>1</v>
          </cell>
          <cell r="J52">
            <v>13</v>
          </cell>
          <cell r="L52">
            <v>113.875</v>
          </cell>
          <cell r="O52">
            <v>1</v>
          </cell>
          <cell r="P52">
            <v>13.75</v>
          </cell>
          <cell r="R52">
            <v>112.875</v>
          </cell>
          <cell r="V52">
            <v>12.875</v>
          </cell>
          <cell r="W52">
            <v>5.375</v>
          </cell>
          <cell r="X52">
            <v>107.925</v>
          </cell>
        </row>
        <row r="53">
          <cell r="A53" t="str">
            <v>YF_1yr Prepay_Standard</v>
          </cell>
          <cell r="B53">
            <v>102.25</v>
          </cell>
          <cell r="I53">
            <v>1</v>
          </cell>
          <cell r="J53">
            <v>12.875</v>
          </cell>
          <cell r="L53">
            <v>113.75</v>
          </cell>
          <cell r="O53">
            <v>1</v>
          </cell>
          <cell r="P53">
            <v>13.625</v>
          </cell>
          <cell r="R53">
            <v>112.75</v>
          </cell>
          <cell r="V53">
            <v>12.75</v>
          </cell>
          <cell r="W53">
            <v>5.25</v>
          </cell>
          <cell r="X53">
            <v>107.90625</v>
          </cell>
        </row>
        <row r="54">
          <cell r="B54">
            <v>102.75</v>
          </cell>
        </row>
        <row r="55">
          <cell r="B55">
            <v>103.25</v>
          </cell>
        </row>
        <row r="56">
          <cell r="B56">
            <v>103.5</v>
          </cell>
        </row>
        <row r="57">
          <cell r="B57">
            <v>104</v>
          </cell>
        </row>
        <row r="58">
          <cell r="B58">
            <v>100.75</v>
          </cell>
          <cell r="C58" t="str">
            <v>Core Multi</v>
          </cell>
        </row>
        <row r="59">
          <cell r="B59">
            <v>102.25</v>
          </cell>
        </row>
        <row r="60">
          <cell r="B60">
            <v>102.75</v>
          </cell>
        </row>
        <row r="61">
          <cell r="B61">
            <v>103.25</v>
          </cell>
        </row>
        <row r="62">
          <cell r="B62">
            <v>103.5</v>
          </cell>
        </row>
        <row r="63">
          <cell r="B63">
            <v>104</v>
          </cell>
        </row>
        <row r="64">
          <cell r="B64">
            <v>100.75</v>
          </cell>
        </row>
        <row r="65">
          <cell r="B65">
            <v>102.25</v>
          </cell>
        </row>
        <row r="66">
          <cell r="B66">
            <v>102.75</v>
          </cell>
        </row>
        <row r="67">
          <cell r="B67">
            <v>103.25</v>
          </cell>
        </row>
        <row r="68">
          <cell r="B68">
            <v>103.5</v>
          </cell>
        </row>
        <row r="69">
          <cell r="B69">
            <v>104</v>
          </cell>
        </row>
      </sheetData>
      <sheetData sheetId="1">
        <row r="2">
          <cell r="B2" t="str">
            <v>Test</v>
          </cell>
        </row>
        <row r="3">
          <cell r="B3" t="str">
            <v>Detail</v>
          </cell>
          <cell r="C3" t="str">
            <v>Type</v>
          </cell>
          <cell r="D3" t="str">
            <v>Type</v>
          </cell>
          <cell r="E3" t="str">
            <v>Value</v>
          </cell>
        </row>
        <row r="4">
          <cell r="B4" t="str">
            <v>HC_Fed_APR_1st_1</v>
          </cell>
          <cell r="C4" t="str">
            <v>High Cost APR Federal</v>
          </cell>
          <cell r="F4">
            <v>6.5</v>
          </cell>
          <cell r="I4">
            <v>50000</v>
          </cell>
          <cell r="J4">
            <v>9999999</v>
          </cell>
        </row>
        <row r="5">
          <cell r="B5" t="str">
            <v>HC_Fed_APR_1st_2</v>
          </cell>
          <cell r="C5" t="str">
            <v>High Cost APR Federal</v>
          </cell>
          <cell r="F5">
            <v>8.5</v>
          </cell>
          <cell r="I5">
            <v>0</v>
          </cell>
          <cell r="J5">
            <v>50000</v>
          </cell>
        </row>
        <row r="6">
          <cell r="B6" t="str">
            <v>HC_Fed_APR_2nd</v>
          </cell>
          <cell r="C6" t="str">
            <v>High Cost APR Federal</v>
          </cell>
          <cell r="F6">
            <v>8.5</v>
          </cell>
          <cell r="I6">
            <v>0</v>
          </cell>
          <cell r="J6">
            <v>9999999</v>
          </cell>
        </row>
        <row r="7">
          <cell r="B7" t="str">
            <v>HC_Fed_PtsFees_1</v>
          </cell>
          <cell r="C7" t="str">
            <v>High Cost Pts Fees Federal</v>
          </cell>
          <cell r="G7">
            <v>8</v>
          </cell>
          <cell r="H7">
            <v>1348</v>
          </cell>
          <cell r="I7">
            <v>0</v>
          </cell>
          <cell r="J7">
            <v>26968</v>
          </cell>
        </row>
        <row r="8">
          <cell r="B8" t="str">
            <v>HC_Fed_PtsFees_2</v>
          </cell>
          <cell r="C8" t="str">
            <v>High Cost Pts Fees Federal</v>
          </cell>
          <cell r="G8">
            <v>5</v>
          </cell>
          <cell r="I8">
            <v>26968</v>
          </cell>
          <cell r="J8">
            <v>9999999</v>
          </cell>
        </row>
        <row r="10">
          <cell r="B10" t="str">
            <v>HC_State_APR_1st</v>
          </cell>
          <cell r="C10" t="str">
            <v>High Cost APR State</v>
          </cell>
        </row>
        <row r="11">
          <cell r="B11" t="str">
            <v>HC_State_APR_2nd</v>
          </cell>
          <cell r="C11" t="str">
            <v>High Cost APR State</v>
          </cell>
        </row>
        <row r="12">
          <cell r="B12" t="str">
            <v>HC_State_PtsFees</v>
          </cell>
          <cell r="C12" t="str">
            <v>High Cost Pts Fees State</v>
          </cell>
        </row>
        <row r="16">
          <cell r="B16" t="str">
            <v>QM_PtsFees_1</v>
          </cell>
          <cell r="C16" t="str">
            <v>QM_PtsFees_1</v>
          </cell>
          <cell r="G16">
            <v>3</v>
          </cell>
          <cell r="I16">
            <v>134841</v>
          </cell>
          <cell r="J16">
            <v>9999999</v>
          </cell>
        </row>
        <row r="17">
          <cell r="B17" t="str">
            <v>QM_PtsFees_2</v>
          </cell>
          <cell r="C17" t="str">
            <v>QM_PtsFees_2</v>
          </cell>
          <cell r="H17">
            <v>4045</v>
          </cell>
          <cell r="I17">
            <v>80905</v>
          </cell>
          <cell r="J17">
            <v>134841</v>
          </cell>
        </row>
        <row r="18">
          <cell r="B18" t="str">
            <v>QM_PtsFees_3</v>
          </cell>
          <cell r="C18" t="str">
            <v>QM_PtsFees_3</v>
          </cell>
          <cell r="G18">
            <v>5</v>
          </cell>
          <cell r="I18">
            <v>26898</v>
          </cell>
          <cell r="J18">
            <v>80905</v>
          </cell>
        </row>
        <row r="19">
          <cell r="B19" t="str">
            <v>QM_APR_1st_1</v>
          </cell>
          <cell r="C19" t="str">
            <v>QM_APR_1st_1</v>
          </cell>
          <cell r="F19">
            <v>2.25</v>
          </cell>
          <cell r="I19">
            <v>134841</v>
          </cell>
          <cell r="J19">
            <v>9999999</v>
          </cell>
        </row>
        <row r="20">
          <cell r="B20" t="str">
            <v>QM_APR_1st_2</v>
          </cell>
          <cell r="C20" t="str">
            <v>QM_APR_1st_2</v>
          </cell>
          <cell r="F20">
            <v>3.5</v>
          </cell>
          <cell r="I20">
            <v>80905</v>
          </cell>
          <cell r="J20">
            <v>134841</v>
          </cell>
        </row>
        <row r="21">
          <cell r="B21" t="str">
            <v>QM_APR_1st_3</v>
          </cell>
          <cell r="C21" t="str">
            <v>QM_APR_1st_3</v>
          </cell>
          <cell r="F21">
            <v>6.5</v>
          </cell>
          <cell r="I21">
            <v>0</v>
          </cell>
          <cell r="J21">
            <v>80905</v>
          </cell>
        </row>
        <row r="22">
          <cell r="B22" t="str">
            <v>QM_APR_2nd_1</v>
          </cell>
          <cell r="C22" t="str">
            <v>QM_APR_2nd_1</v>
          </cell>
          <cell r="F22">
            <v>3.5</v>
          </cell>
          <cell r="I22">
            <v>80905</v>
          </cell>
          <cell r="J22">
            <v>9999999</v>
          </cell>
        </row>
        <row r="23">
          <cell r="B23" t="str">
            <v>QM_APR_2nd_2</v>
          </cell>
          <cell r="C23" t="str">
            <v>QM_APR_2nd_2</v>
          </cell>
          <cell r="F23">
            <v>6.5</v>
          </cell>
          <cell r="I23">
            <v>0</v>
          </cell>
          <cell r="J23">
            <v>80905</v>
          </cell>
        </row>
        <row r="25">
          <cell r="B25" t="str">
            <v>HP_Fed_APR_1st</v>
          </cell>
          <cell r="C25" t="str">
            <v>High Price APR Federal</v>
          </cell>
          <cell r="F25">
            <v>1.5</v>
          </cell>
        </row>
        <row r="26">
          <cell r="B26" t="str">
            <v>HP_Fed_APR_2nd</v>
          </cell>
          <cell r="C26" t="str">
            <v>High Price APR Federal</v>
          </cell>
          <cell r="F26">
            <v>3.5</v>
          </cell>
        </row>
        <row r="28">
          <cell r="B28" t="str">
            <v>VPM Loan Limit AVM</v>
          </cell>
          <cell r="I28">
            <v>400000</v>
          </cell>
        </row>
      </sheetData>
      <sheetData sheetId="2">
        <row r="3">
          <cell r="C3" t="str">
            <v>Corr1</v>
          </cell>
          <cell r="D3" t="str">
            <v>Corr2</v>
          </cell>
          <cell r="E3" t="str">
            <v>Corr3</v>
          </cell>
          <cell r="F3" t="str">
            <v>CorrND</v>
          </cell>
          <cell r="G3" t="str">
            <v>Whol</v>
          </cell>
          <cell r="H3" t="str">
            <v>Retail</v>
          </cell>
          <cell r="I3" t="str">
            <v>Model</v>
          </cell>
          <cell r="J3" t="str">
            <v>Corr1</v>
          </cell>
          <cell r="K3" t="str">
            <v>Corr2</v>
          </cell>
          <cell r="L3" t="str">
            <v>Corr3</v>
          </cell>
          <cell r="M3" t="str">
            <v>CorrND</v>
          </cell>
          <cell r="N3" t="str">
            <v>Whol</v>
          </cell>
          <cell r="O3" t="str">
            <v>Retail</v>
          </cell>
          <cell r="Q3" t="str">
            <v>Corr1</v>
          </cell>
          <cell r="R3" t="str">
            <v>Corr2</v>
          </cell>
          <cell r="S3" t="str">
            <v>Corr3</v>
          </cell>
          <cell r="T3" t="str">
            <v>CorrND</v>
          </cell>
          <cell r="U3" t="str">
            <v>Whol</v>
          </cell>
          <cell r="V3" t="str">
            <v>Retail</v>
          </cell>
        </row>
        <row r="4">
          <cell r="I4" t="str">
            <v>Spread</v>
          </cell>
          <cell r="J4" t="str">
            <v>Spread</v>
          </cell>
          <cell r="P4" t="str">
            <v>Lock Term Adjust (30to45)</v>
          </cell>
          <cell r="Q4" t="str">
            <v>Max Price Adjust</v>
          </cell>
        </row>
        <row r="5">
          <cell r="A5" t="str">
            <v>PN</v>
          </cell>
          <cell r="B5" t="str">
            <v>Product Names</v>
          </cell>
          <cell r="C5" t="str">
            <v>NonQM OO</v>
          </cell>
          <cell r="D5" t="str">
            <v>NonQM OO</v>
          </cell>
          <cell r="E5" t="str">
            <v>NonQM OO</v>
          </cell>
          <cell r="F5" t="str">
            <v>NonQM OO</v>
          </cell>
          <cell r="G5" t="str">
            <v>Portfolio 1st TD OO</v>
          </cell>
          <cell r="H5" t="str">
            <v>NonQM OO</v>
          </cell>
          <cell r="I5">
            <v>-0.5</v>
          </cell>
          <cell r="J5">
            <v>0.125</v>
          </cell>
          <cell r="K5">
            <v>0</v>
          </cell>
          <cell r="L5">
            <v>0</v>
          </cell>
          <cell r="M5">
            <v>-0.5</v>
          </cell>
          <cell r="N5">
            <v>-0.875</v>
          </cell>
          <cell r="O5">
            <v>-0.875</v>
          </cell>
          <cell r="P5">
            <v>-0.15</v>
          </cell>
          <cell r="Q5">
            <v>0</v>
          </cell>
          <cell r="R5">
            <v>0</v>
          </cell>
          <cell r="S5">
            <v>0</v>
          </cell>
          <cell r="T5">
            <v>0</v>
          </cell>
          <cell r="U5">
            <v>-1.125</v>
          </cell>
          <cell r="V5">
            <v>0</v>
          </cell>
        </row>
        <row r="6">
          <cell r="A6" t="str">
            <v>IN</v>
          </cell>
          <cell r="C6" t="str">
            <v>NonQM NOO</v>
          </cell>
          <cell r="D6" t="str">
            <v>NonQM NOO</v>
          </cell>
          <cell r="E6" t="str">
            <v>NonQM NOO</v>
          </cell>
          <cell r="F6" t="str">
            <v>NonQM NOO</v>
          </cell>
          <cell r="G6" t="str">
            <v>Portfolio 1st TD NOO</v>
          </cell>
          <cell r="H6" t="str">
            <v>NonQM NOO</v>
          </cell>
          <cell r="I6">
            <v>-0.5</v>
          </cell>
          <cell r="J6">
            <v>0.375</v>
          </cell>
          <cell r="K6">
            <v>0</v>
          </cell>
          <cell r="L6">
            <v>0</v>
          </cell>
          <cell r="M6">
            <v>-0.5</v>
          </cell>
          <cell r="N6">
            <v>-0.875</v>
          </cell>
          <cell r="O6">
            <v>-0.875</v>
          </cell>
          <cell r="P6">
            <v>-0.15</v>
          </cell>
          <cell r="Q6">
            <v>0</v>
          </cell>
          <cell r="R6">
            <v>0</v>
          </cell>
          <cell r="S6">
            <v>0</v>
          </cell>
          <cell r="T6">
            <v>0</v>
          </cell>
          <cell r="U6">
            <v>-0.625</v>
          </cell>
          <cell r="V6">
            <v>0</v>
          </cell>
        </row>
        <row r="7">
          <cell r="A7" t="str">
            <v>PE</v>
          </cell>
          <cell r="C7" t="str">
            <v xml:space="preserve"> </v>
          </cell>
          <cell r="D7" t="str">
            <v xml:space="preserve"> </v>
          </cell>
          <cell r="E7" t="str">
            <v xml:space="preserve">  </v>
          </cell>
          <cell r="F7" t="str">
            <v xml:space="preserve"> </v>
          </cell>
          <cell r="G7" t="str">
            <v>Edge OO</v>
          </cell>
          <cell r="H7" t="str">
            <v>Edge OO</v>
          </cell>
          <cell r="J7">
            <v>0</v>
          </cell>
          <cell r="K7">
            <v>0</v>
          </cell>
          <cell r="L7">
            <v>0</v>
          </cell>
          <cell r="M7">
            <v>-0.5</v>
          </cell>
          <cell r="N7">
            <v>-0.5</v>
          </cell>
          <cell r="O7">
            <v>-0.5</v>
          </cell>
          <cell r="P7">
            <v>-0.15</v>
          </cell>
          <cell r="Q7">
            <v>0</v>
          </cell>
          <cell r="R7">
            <v>0</v>
          </cell>
          <cell r="S7">
            <v>0</v>
          </cell>
          <cell r="T7">
            <v>0</v>
          </cell>
          <cell r="U7">
            <v>-1.5</v>
          </cell>
          <cell r="V7">
            <v>0</v>
          </cell>
        </row>
        <row r="8">
          <cell r="A8" t="str">
            <v>IE</v>
          </cell>
          <cell r="C8" t="str">
            <v xml:space="preserve"> </v>
          </cell>
          <cell r="D8" t="str">
            <v xml:space="preserve"> </v>
          </cell>
          <cell r="E8" t="str">
            <v xml:space="preserve"> </v>
          </cell>
          <cell r="F8" t="str">
            <v xml:space="preserve"> </v>
          </cell>
          <cell r="G8" t="str">
            <v>Edge NOO</v>
          </cell>
          <cell r="H8" t="str">
            <v>Edge NOO</v>
          </cell>
          <cell r="J8">
            <v>0</v>
          </cell>
          <cell r="K8">
            <v>0</v>
          </cell>
          <cell r="L8">
            <v>0</v>
          </cell>
          <cell r="M8">
            <v>-0.5</v>
          </cell>
          <cell r="N8">
            <v>-0.5</v>
          </cell>
          <cell r="O8">
            <v>-0.5</v>
          </cell>
          <cell r="P8">
            <v>-0.15</v>
          </cell>
          <cell r="Q8">
            <v>0</v>
          </cell>
          <cell r="R8">
            <v>0</v>
          </cell>
          <cell r="S8">
            <v>0</v>
          </cell>
          <cell r="T8">
            <v>0</v>
          </cell>
          <cell r="U8">
            <v>-1.5</v>
          </cell>
          <cell r="V8">
            <v>0</v>
          </cell>
        </row>
        <row r="9">
          <cell r="A9" t="str">
            <v>DE</v>
          </cell>
          <cell r="C9" t="str">
            <v xml:space="preserve"> </v>
          </cell>
          <cell r="D9" t="str">
            <v xml:space="preserve"> </v>
          </cell>
          <cell r="E9" t="str">
            <v xml:space="preserve"> </v>
          </cell>
          <cell r="F9" t="str">
            <v xml:space="preserve"> </v>
          </cell>
          <cell r="G9" t="str">
            <v>Edge NOO DSCR</v>
          </cell>
          <cell r="H9" t="str">
            <v>Edge NOO DSCR</v>
          </cell>
          <cell r="J9">
            <v>0</v>
          </cell>
          <cell r="K9">
            <v>0</v>
          </cell>
          <cell r="L9">
            <v>0</v>
          </cell>
          <cell r="M9">
            <v>-0.5</v>
          </cell>
          <cell r="N9">
            <v>-0.5</v>
          </cell>
          <cell r="O9">
            <v>-0.5</v>
          </cell>
          <cell r="P9">
            <v>-0.15</v>
          </cell>
          <cell r="Q9">
            <v>0</v>
          </cell>
          <cell r="R9">
            <v>0</v>
          </cell>
          <cell r="S9">
            <v>0</v>
          </cell>
          <cell r="T9">
            <v>0</v>
          </cell>
          <cell r="U9">
            <v>-1.5</v>
          </cell>
          <cell r="V9">
            <v>0</v>
          </cell>
        </row>
        <row r="10">
          <cell r="A10" t="str">
            <v>XP</v>
          </cell>
          <cell r="C10" t="str">
            <v xml:space="preserve"> </v>
          </cell>
          <cell r="D10" t="str">
            <v xml:space="preserve"> </v>
          </cell>
          <cell r="E10" t="str">
            <v xml:space="preserve"> </v>
          </cell>
          <cell r="F10" t="str">
            <v xml:space="preserve"> </v>
          </cell>
          <cell r="G10" t="str">
            <v>Core Prime</v>
          </cell>
          <cell r="H10" t="str">
            <v>Core Prime</v>
          </cell>
          <cell r="J10">
            <v>0</v>
          </cell>
          <cell r="K10">
            <v>0</v>
          </cell>
          <cell r="L10">
            <v>0</v>
          </cell>
          <cell r="M10">
            <v>-0.5</v>
          </cell>
          <cell r="N10">
            <v>-0.625</v>
          </cell>
          <cell r="O10">
            <v>-0.625</v>
          </cell>
          <cell r="P10">
            <v>-0.15</v>
          </cell>
          <cell r="Q10">
            <v>0</v>
          </cell>
          <cell r="R10">
            <v>0</v>
          </cell>
          <cell r="S10">
            <v>0</v>
          </cell>
          <cell r="T10">
            <v>0</v>
          </cell>
          <cell r="U10">
            <v>-1.375</v>
          </cell>
          <cell r="V10">
            <v>0</v>
          </cell>
        </row>
        <row r="11">
          <cell r="A11" t="str">
            <v>XX</v>
          </cell>
          <cell r="C11" t="str">
            <v xml:space="preserve"> </v>
          </cell>
          <cell r="D11" t="str">
            <v xml:space="preserve"> </v>
          </cell>
          <cell r="E11" t="str">
            <v xml:space="preserve"> </v>
          </cell>
          <cell r="F11" t="str">
            <v xml:space="preserve"> </v>
          </cell>
          <cell r="G11" t="str">
            <v>Core Flex</v>
          </cell>
          <cell r="H11" t="str">
            <v>Core Flex</v>
          </cell>
          <cell r="J11">
            <v>0</v>
          </cell>
          <cell r="K11">
            <v>0</v>
          </cell>
          <cell r="L11">
            <v>0</v>
          </cell>
          <cell r="M11">
            <v>-0.5</v>
          </cell>
          <cell r="N11">
            <v>-0.625</v>
          </cell>
          <cell r="O11">
            <v>-0.625</v>
          </cell>
          <cell r="P11">
            <v>-0.15</v>
          </cell>
          <cell r="Q11">
            <v>0</v>
          </cell>
          <cell r="R11">
            <v>0</v>
          </cell>
          <cell r="S11">
            <v>0</v>
          </cell>
          <cell r="T11">
            <v>0</v>
          </cell>
          <cell r="U11">
            <v>-1.375</v>
          </cell>
          <cell r="V11">
            <v>0</v>
          </cell>
        </row>
        <row r="12">
          <cell r="A12" t="str">
            <v>XF</v>
          </cell>
          <cell r="C12" t="str">
            <v xml:space="preserve"> </v>
          </cell>
          <cell r="D12" t="str">
            <v xml:space="preserve"> </v>
          </cell>
          <cell r="E12" t="str">
            <v xml:space="preserve"> </v>
          </cell>
          <cell r="F12" t="str">
            <v xml:space="preserve"> </v>
          </cell>
          <cell r="G12" t="str">
            <v>Core CashFlow</v>
          </cell>
          <cell r="H12" t="str">
            <v>Core CashFlow</v>
          </cell>
          <cell r="J12">
            <v>0</v>
          </cell>
          <cell r="K12">
            <v>0</v>
          </cell>
          <cell r="L12">
            <v>0</v>
          </cell>
          <cell r="M12">
            <v>-0.5</v>
          </cell>
          <cell r="N12">
            <v>-0.625</v>
          </cell>
          <cell r="O12">
            <v>-0.625</v>
          </cell>
          <cell r="P12">
            <v>-0.15</v>
          </cell>
          <cell r="Q12">
            <v>0</v>
          </cell>
          <cell r="R12">
            <v>0</v>
          </cell>
          <cell r="S12">
            <v>0</v>
          </cell>
          <cell r="T12">
            <v>0</v>
          </cell>
          <cell r="U12">
            <v>-0.875</v>
          </cell>
          <cell r="V12">
            <v>0</v>
          </cell>
        </row>
        <row r="13">
          <cell r="A13" t="str">
            <v>XM</v>
          </cell>
          <cell r="C13" t="str">
            <v xml:space="preserve"> </v>
          </cell>
          <cell r="D13" t="str">
            <v xml:space="preserve"> </v>
          </cell>
          <cell r="E13" t="str">
            <v xml:space="preserve"> </v>
          </cell>
          <cell r="F13" t="str">
            <v xml:space="preserve"> </v>
          </cell>
          <cell r="G13" t="str">
            <v>Core Multi</v>
          </cell>
          <cell r="H13" t="str">
            <v>Core Multi</v>
          </cell>
          <cell r="J13">
            <v>0</v>
          </cell>
          <cell r="K13">
            <v>0</v>
          </cell>
          <cell r="L13">
            <v>0</v>
          </cell>
          <cell r="M13">
            <v>-0.5</v>
          </cell>
          <cell r="N13">
            <v>-0.625</v>
          </cell>
          <cell r="O13">
            <v>-0.625</v>
          </cell>
          <cell r="P13">
            <v>-0.15</v>
          </cell>
          <cell r="Q13">
            <v>0</v>
          </cell>
          <cell r="R13">
            <v>0</v>
          </cell>
          <cell r="S13">
            <v>0</v>
          </cell>
          <cell r="T13">
            <v>0</v>
          </cell>
          <cell r="U13">
            <v>-0.875</v>
          </cell>
          <cell r="V13">
            <v>0</v>
          </cell>
        </row>
        <row r="14">
          <cell r="A14" t="str">
            <v>XN</v>
          </cell>
          <cell r="C14" t="str">
            <v xml:space="preserve"> </v>
          </cell>
          <cell r="D14" t="str">
            <v xml:space="preserve"> </v>
          </cell>
          <cell r="E14" t="str">
            <v xml:space="preserve"> </v>
          </cell>
          <cell r="F14" t="str">
            <v xml:space="preserve"> </v>
          </cell>
          <cell r="G14" t="str">
            <v>Core ForeignNat</v>
          </cell>
          <cell r="H14" t="str">
            <v>Core ForeignNat</v>
          </cell>
          <cell r="J14">
            <v>0</v>
          </cell>
          <cell r="K14">
            <v>0</v>
          </cell>
          <cell r="L14">
            <v>0</v>
          </cell>
          <cell r="M14">
            <v>-0.5</v>
          </cell>
          <cell r="N14">
            <v>-0.625</v>
          </cell>
          <cell r="O14">
            <v>-0.625</v>
          </cell>
          <cell r="P14">
            <v>-0.15</v>
          </cell>
          <cell r="Q14">
            <v>0</v>
          </cell>
          <cell r="R14">
            <v>0</v>
          </cell>
          <cell r="S14">
            <v>0</v>
          </cell>
          <cell r="T14">
            <v>0</v>
          </cell>
          <cell r="U14">
            <v>-0.875</v>
          </cell>
          <cell r="V14">
            <v>0</v>
          </cell>
        </row>
        <row r="15">
          <cell r="A15" t="str">
            <v>MN</v>
          </cell>
          <cell r="C15" t="str">
            <v>Multi NOO</v>
          </cell>
          <cell r="D15" t="str">
            <v>Multi NOO</v>
          </cell>
          <cell r="E15" t="str">
            <v>Multi NOO</v>
          </cell>
          <cell r="F15" t="str">
            <v>Multi NOO</v>
          </cell>
          <cell r="G15" t="str">
            <v>Next Multi NOO</v>
          </cell>
          <cell r="H15" t="str">
            <v>NextR Multi NOO</v>
          </cell>
          <cell r="I15" t="e">
            <v>#N/A</v>
          </cell>
          <cell r="J15" t="e">
            <v>#N/A</v>
          </cell>
          <cell r="K15" t="e">
            <v>#N/A</v>
          </cell>
          <cell r="L15" t="e">
            <v>#N/A</v>
          </cell>
          <cell r="M15" t="e">
            <v>#N/A</v>
          </cell>
          <cell r="N15" t="e">
            <v>#N/A</v>
          </cell>
          <cell r="O15" t="e">
            <v>#N/A</v>
          </cell>
          <cell r="P15" t="e">
            <v>#N/A</v>
          </cell>
          <cell r="Q15">
            <v>0</v>
          </cell>
          <cell r="R15">
            <v>0</v>
          </cell>
          <cell r="S15">
            <v>0</v>
          </cell>
          <cell r="T15">
            <v>0</v>
          </cell>
          <cell r="U15">
            <v>-1.75</v>
          </cell>
          <cell r="V15">
            <v>0</v>
          </cell>
        </row>
        <row r="16">
          <cell r="A16" t="str">
            <v>PR</v>
          </cell>
          <cell r="C16" t="str">
            <v>Second OO</v>
          </cell>
          <cell r="D16" t="str">
            <v>Second OO</v>
          </cell>
          <cell r="E16" t="str">
            <v>Second OO</v>
          </cell>
          <cell r="F16" t="str">
            <v>Second OO</v>
          </cell>
          <cell r="G16" t="str">
            <v>Closed End 2nd TD OO</v>
          </cell>
          <cell r="H16" t="str">
            <v>Second OO</v>
          </cell>
          <cell r="I16">
            <v>-2</v>
          </cell>
          <cell r="J16">
            <v>0</v>
          </cell>
          <cell r="K16">
            <v>0</v>
          </cell>
          <cell r="L16">
            <v>0</v>
          </cell>
          <cell r="M16">
            <v>-0.5</v>
          </cell>
          <cell r="N16">
            <v>-1.25</v>
          </cell>
          <cell r="O16">
            <v>-1.25</v>
          </cell>
          <cell r="P16">
            <v>-0.15</v>
          </cell>
          <cell r="Q16">
            <v>0</v>
          </cell>
          <cell r="R16">
            <v>0</v>
          </cell>
          <cell r="S16">
            <v>0</v>
          </cell>
          <cell r="T16">
            <v>0</v>
          </cell>
          <cell r="U16">
            <v>-1.75</v>
          </cell>
          <cell r="V16">
            <v>0</v>
          </cell>
        </row>
        <row r="17">
          <cell r="A17" t="str">
            <v>IR</v>
          </cell>
          <cell r="C17" t="str">
            <v>Second NOO</v>
          </cell>
          <cell r="D17" t="str">
            <v>Second NOO</v>
          </cell>
          <cell r="E17" t="str">
            <v>Second NOO</v>
          </cell>
          <cell r="F17" t="str">
            <v>Second NOO</v>
          </cell>
          <cell r="G17" t="str">
            <v>Closed End 2nd TD NOO</v>
          </cell>
          <cell r="H17" t="str">
            <v>Second NOO</v>
          </cell>
          <cell r="I17">
            <v>-2</v>
          </cell>
          <cell r="J17">
            <v>0</v>
          </cell>
          <cell r="K17">
            <v>0</v>
          </cell>
          <cell r="L17">
            <v>0</v>
          </cell>
          <cell r="M17">
            <v>-0.5</v>
          </cell>
          <cell r="N17">
            <v>-1.25</v>
          </cell>
          <cell r="O17">
            <v>-1.25</v>
          </cell>
          <cell r="P17">
            <v>-0.15</v>
          </cell>
          <cell r="Q17">
            <v>0</v>
          </cell>
          <cell r="R17">
            <v>0</v>
          </cell>
          <cell r="S17">
            <v>0</v>
          </cell>
          <cell r="T17">
            <v>0</v>
          </cell>
          <cell r="U17">
            <v>-1.25</v>
          </cell>
          <cell r="V17">
            <v>0</v>
          </cell>
        </row>
        <row r="18">
          <cell r="A18" t="str">
            <v>PH</v>
          </cell>
          <cell r="C18" t="str">
            <v>HELOC OO</v>
          </cell>
          <cell r="D18" t="str">
            <v>HELOC OO</v>
          </cell>
          <cell r="E18" t="str">
            <v>HELOC OO</v>
          </cell>
          <cell r="F18" t="str">
            <v>HELOC OO</v>
          </cell>
          <cell r="G18" t="str">
            <v>HELOC OO</v>
          </cell>
          <cell r="H18" t="str">
            <v>HELOC OO</v>
          </cell>
          <cell r="I18">
            <v>-2</v>
          </cell>
          <cell r="J18">
            <v>0</v>
          </cell>
          <cell r="K18">
            <v>0</v>
          </cell>
          <cell r="L18">
            <v>0</v>
          </cell>
          <cell r="M18">
            <v>-0.5</v>
          </cell>
          <cell r="N18">
            <v>-0.25</v>
          </cell>
          <cell r="O18">
            <v>-0.25</v>
          </cell>
          <cell r="P18">
            <v>-0.15</v>
          </cell>
          <cell r="Q18">
            <v>0</v>
          </cell>
          <cell r="R18">
            <v>0</v>
          </cell>
          <cell r="S18">
            <v>0</v>
          </cell>
          <cell r="T18">
            <v>0</v>
          </cell>
          <cell r="U18">
            <v>-2.25</v>
          </cell>
          <cell r="V18">
            <v>0</v>
          </cell>
        </row>
        <row r="19">
          <cell r="A19" t="str">
            <v>IH</v>
          </cell>
          <cell r="C19" t="str">
            <v>HELOC NOO</v>
          </cell>
          <cell r="D19" t="str">
            <v>HELOC NOO</v>
          </cell>
          <cell r="E19" t="str">
            <v>HELOC NOO</v>
          </cell>
          <cell r="F19" t="str">
            <v>HELOC NOO</v>
          </cell>
          <cell r="G19" t="str">
            <v>HELOC NOO</v>
          </cell>
          <cell r="H19" t="str">
            <v>HELOC NOO</v>
          </cell>
          <cell r="I19">
            <v>-2</v>
          </cell>
          <cell r="J19">
            <v>0</v>
          </cell>
          <cell r="K19">
            <v>0</v>
          </cell>
          <cell r="L19">
            <v>0</v>
          </cell>
          <cell r="M19">
            <v>-0.5</v>
          </cell>
          <cell r="N19">
            <v>-0.25</v>
          </cell>
          <cell r="O19">
            <v>-0.25</v>
          </cell>
          <cell r="P19">
            <v>-0.15</v>
          </cell>
          <cell r="Q19">
            <v>0</v>
          </cell>
          <cell r="R19">
            <v>0</v>
          </cell>
          <cell r="S19">
            <v>0</v>
          </cell>
          <cell r="T19">
            <v>0</v>
          </cell>
          <cell r="U19">
            <v>-2.25</v>
          </cell>
          <cell r="V19">
            <v>0</v>
          </cell>
        </row>
        <row r="20">
          <cell r="B20" t="str">
            <v>Product Class</v>
          </cell>
          <cell r="C20" t="str">
            <v>NonQM</v>
          </cell>
          <cell r="D20" t="str">
            <v>NonQM</v>
          </cell>
          <cell r="E20" t="str">
            <v>NonQM</v>
          </cell>
          <cell r="F20" t="str">
            <v>NonQM</v>
          </cell>
          <cell r="G20" t="str">
            <v>Portfolio 1st TD</v>
          </cell>
          <cell r="H20" t="str">
            <v>NonQM</v>
          </cell>
        </row>
        <row r="21">
          <cell r="C21" t="str">
            <v xml:space="preserve"> </v>
          </cell>
          <cell r="D21" t="str">
            <v xml:space="preserve"> </v>
          </cell>
          <cell r="E21" t="str">
            <v xml:space="preserve"> </v>
          </cell>
          <cell r="F21" t="str">
            <v xml:space="preserve"> </v>
          </cell>
          <cell r="G21" t="str">
            <v>Edge</v>
          </cell>
          <cell r="H21" t="str">
            <v>Edge</v>
          </cell>
        </row>
        <row r="22">
          <cell r="C22" t="str">
            <v>Multi</v>
          </cell>
          <cell r="D22" t="str">
            <v>Multi</v>
          </cell>
          <cell r="E22" t="str">
            <v>Multi</v>
          </cell>
          <cell r="F22" t="str">
            <v>Multi</v>
          </cell>
          <cell r="G22" t="str">
            <v>Multi</v>
          </cell>
          <cell r="H22" t="str">
            <v>Multi</v>
          </cell>
        </row>
        <row r="23">
          <cell r="C23" t="str">
            <v>Second</v>
          </cell>
          <cell r="D23" t="str">
            <v>Second</v>
          </cell>
          <cell r="E23" t="str">
            <v>Second</v>
          </cell>
          <cell r="F23" t="str">
            <v>Second</v>
          </cell>
          <cell r="G23" t="str">
            <v>Closed End 2nd TD</v>
          </cell>
          <cell r="H23" t="str">
            <v>Second</v>
          </cell>
          <cell r="J23" t="str">
            <v xml:space="preserve"> </v>
          </cell>
        </row>
        <row r="24">
          <cell r="C24" t="str">
            <v>HELOC</v>
          </cell>
          <cell r="D24" t="str">
            <v>HELOC</v>
          </cell>
          <cell r="E24" t="str">
            <v>HELOC</v>
          </cell>
          <cell r="F24" t="str">
            <v>HELOC</v>
          </cell>
          <cell r="G24" t="str">
            <v>HELOC</v>
          </cell>
          <cell r="H24" t="str">
            <v>HELOC</v>
          </cell>
          <cell r="J24" t="str">
            <v xml:space="preserve"> </v>
          </cell>
        </row>
        <row r="25">
          <cell r="C25" t="str">
            <v xml:space="preserve"> </v>
          </cell>
          <cell r="D25" t="str">
            <v xml:space="preserve"> </v>
          </cell>
          <cell r="E25" t="str">
            <v xml:space="preserve"> </v>
          </cell>
          <cell r="F25" t="str">
            <v xml:space="preserve"> </v>
          </cell>
          <cell r="G25" t="str">
            <v>Core</v>
          </cell>
          <cell r="H25" t="str">
            <v>Core</v>
          </cell>
        </row>
        <row r="26">
          <cell r="B26" t="str">
            <v>PricerName</v>
          </cell>
          <cell r="C26" t="str">
            <v>PricePoint</v>
          </cell>
          <cell r="D26" t="str">
            <v>PricePoint</v>
          </cell>
          <cell r="E26" t="str">
            <v>PricePoint</v>
          </cell>
          <cell r="F26" t="str">
            <v>PricePoint</v>
          </cell>
          <cell r="G26" t="str">
            <v>BrokersAdvantage-Pricer</v>
          </cell>
          <cell r="H26" t="str">
            <v>NextR-Pricer</v>
          </cell>
          <cell r="I26" t="str">
            <v xml:space="preserve"> </v>
          </cell>
          <cell r="J26" t="str">
            <v xml:space="preserve"> </v>
          </cell>
          <cell r="N26" t="str">
            <v xml:space="preserve"> </v>
          </cell>
        </row>
        <row r="27">
          <cell r="B27" t="str">
            <v>CalculatorName</v>
          </cell>
          <cell r="C27" t="str">
            <v>VPM-Qual</v>
          </cell>
          <cell r="D27" t="str">
            <v>VPM-Qual</v>
          </cell>
          <cell r="E27" t="str">
            <v>VPM-Qual</v>
          </cell>
          <cell r="F27" t="str">
            <v>VPM-Qual</v>
          </cell>
          <cell r="G27" t="str">
            <v>BrokersAdvantage-Qual</v>
          </cell>
          <cell r="H27" t="str">
            <v>NextR-Qual</v>
          </cell>
          <cell r="I27" t="str">
            <v xml:space="preserve"> </v>
          </cell>
          <cell r="J27" t="str">
            <v xml:space="preserve"> </v>
          </cell>
          <cell r="N27" t="str">
            <v xml:space="preserve"> </v>
          </cell>
        </row>
        <row r="28">
          <cell r="B28" t="str">
            <v>Disclaimer1</v>
          </cell>
          <cell r="C28"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D28"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E28"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F28"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G28" t="str">
            <v>Copyright Brokers Advantage Mortgage. All rights reserved. NMLS #1826528.  NMLS Consumer Access.  Rates, terms, and programs are subject to change without notice and are not available in all states.  Other restrictions may apply.  This is not a commitment to lend or purchase loans.  Meant for distribution to wholesale network only – not for distribution to the public or any consumer.</v>
          </cell>
          <cell r="H28" t="str">
            <v>Copyright Brokers Advantage Mortgage. All rights reserved. NMLS #1826528.  NMLS Consumer Access.  Rates, terms, and programs are subject to change without notice and are not available in all states.  Other restrictions may apply.  This is not a commitment to lend or purchase loans.  Meant for distribution to wholesale network only – not for distribution to the public or any consumer.</v>
          </cell>
          <cell r="I28" t="str">
            <v xml:space="preserve"> </v>
          </cell>
          <cell r="J28" t="str">
            <v xml:space="preserve"> </v>
          </cell>
          <cell r="N28" t="str">
            <v xml:space="preserve"> </v>
          </cell>
        </row>
        <row r="29">
          <cell r="B29" t="str">
            <v>DisclaimerPricer1</v>
          </cell>
          <cell r="C29" t="str">
            <v>PricePoint will generate pricing scenarios outside of guideline restrictions.  Please confirm pricing scenarios meet VPM guidelines.</v>
          </cell>
          <cell r="D29" t="str">
            <v>PricePoint will generate pricing scenarios outside of guideline restrictions.  Please confirm pricing scenarios meet VPM guidelines.</v>
          </cell>
          <cell r="E29" t="str">
            <v>PricePoint will generate pricing scenarios outside of guideline restrictions.  Please confirm pricing scenarios meet VPM guidelines.</v>
          </cell>
          <cell r="F29" t="str">
            <v>PricePoint will generate pricing scenarios outside of guideline restrictions.  Please confirm pricing scenarios meet VPM guidelines.</v>
          </cell>
          <cell r="G29" t="str">
            <v>BrokersAdvantage-Pricer will generate pricing scenarios outside of guideline restrictions.  Please confirm that pricing scenarios meet Brokers Advantage guidelines.</v>
          </cell>
          <cell r="H29" t="str">
            <v>NextR-Pricer will generate pricing scenarios outside of guideline restrictions.  Please confirm that pricing scenarios meet EQA guidelines.</v>
          </cell>
          <cell r="I29" t="str">
            <v xml:space="preserve"> </v>
          </cell>
          <cell r="J29" t="str">
            <v xml:space="preserve"> </v>
          </cell>
        </row>
        <row r="30">
          <cell r="B30" t="str">
            <v>DisclaimerPricer2</v>
          </cell>
          <cell r="C30" t="str">
            <v xml:space="preserve">The Loan Estimator is for informational purposes only, should not be construed as legal advice, and should not be relied upon for any purpose in determining regulatory or legal compliance. </v>
          </cell>
          <cell r="D30" t="str">
            <v xml:space="preserve">The Loan Estimator is for informational purposes only, should not be construed as legal advice, and should not be relied upon for any purpose in determining regulatory or legal compliance. </v>
          </cell>
          <cell r="E30" t="str">
            <v xml:space="preserve">The Loan Estimator is for informational purposes only, should not be construed as legal advice, and should not be relied upon for any purpose in determining regulatory or legal compliance. </v>
          </cell>
          <cell r="F30" t="str">
            <v xml:space="preserve">The Loan Estimator is for informational purposes only, should not be construed as legal advice, and should not be relied upon for any purpose in determining regulatory or legal compliance. </v>
          </cell>
          <cell r="G30" t="str">
            <v xml:space="preserve">The Loan Estimator is for informational purposes only, should not be construed as legal advice, and should not be relied upon for any purpose in determining regulatory or legal compliance. </v>
          </cell>
          <cell r="H30" t="str">
            <v xml:space="preserve">The Loan Estimator is for informational purposes only, should not be construed as legal advice, and should not be relied upon for any purpose in determining regulatory or legal compliance. </v>
          </cell>
          <cell r="I30" t="str">
            <v xml:space="preserve"> </v>
          </cell>
          <cell r="J30" t="str">
            <v xml:space="preserve"> </v>
          </cell>
        </row>
        <row r="31">
          <cell r="B31" t="str">
            <v>Lock Term Desc</v>
          </cell>
          <cell r="C31" t="str">
            <v>30 Day Pricing</v>
          </cell>
          <cell r="D31" t="str">
            <v>30 Day Pricing</v>
          </cell>
          <cell r="E31" t="str">
            <v>30 Day Pricing</v>
          </cell>
          <cell r="F31" t="str">
            <v>30 Day Pricing</v>
          </cell>
          <cell r="G31" t="str">
            <v>45 Day Pricing</v>
          </cell>
          <cell r="H31" t="str">
            <v>45 Day Pricing</v>
          </cell>
          <cell r="I31" t="str">
            <v xml:space="preserve"> </v>
          </cell>
          <cell r="J31" t="str">
            <v xml:space="preserve"> </v>
          </cell>
        </row>
        <row r="32">
          <cell r="I32" t="str">
            <v xml:space="preserve"> </v>
          </cell>
        </row>
        <row r="33">
          <cell r="B33" t="str">
            <v>LLPAs on Ratesheets</v>
          </cell>
          <cell r="C33" t="str">
            <v>New</v>
          </cell>
        </row>
        <row r="34">
          <cell r="B34" t="str">
            <v>No Prepay</v>
          </cell>
          <cell r="C34">
            <v>-2</v>
          </cell>
        </row>
        <row r="35">
          <cell r="B35" t="str">
            <v>1yr Prepay</v>
          </cell>
          <cell r="C35">
            <v>-1.5</v>
          </cell>
        </row>
        <row r="36">
          <cell r="B36" t="str">
            <v>2yr Prepay</v>
          </cell>
          <cell r="C36">
            <v>-0.5</v>
          </cell>
        </row>
        <row r="37">
          <cell r="B37" t="str">
            <v>3yr Prepay</v>
          </cell>
          <cell r="C37">
            <v>0</v>
          </cell>
        </row>
        <row r="38">
          <cell r="B38" t="str">
            <v>4yr Prepay</v>
          </cell>
          <cell r="C38">
            <v>0.25</v>
          </cell>
        </row>
        <row r="39">
          <cell r="B39" t="str">
            <v>5yr Prepay</v>
          </cell>
          <cell r="C39">
            <v>0.5</v>
          </cell>
        </row>
        <row r="40">
          <cell r="B40" t="str">
            <v>1yr Prepay_5Pct</v>
          </cell>
          <cell r="C40">
            <v>-1.5</v>
          </cell>
        </row>
        <row r="41">
          <cell r="B41" t="str">
            <v>2yr Prepay_5Pct</v>
          </cell>
          <cell r="C41">
            <v>-0.5</v>
          </cell>
        </row>
        <row r="42">
          <cell r="B42" t="str">
            <v>3yr Prepay_5Pct</v>
          </cell>
          <cell r="C42">
            <v>0.25</v>
          </cell>
        </row>
        <row r="43">
          <cell r="B43" t="str">
            <v>4yr Prepay_5Pct</v>
          </cell>
          <cell r="C43">
            <v>0.625</v>
          </cell>
        </row>
        <row r="44">
          <cell r="B44" t="str">
            <v>5yr Prepay_5Pct</v>
          </cell>
          <cell r="C44">
            <v>0.875</v>
          </cell>
        </row>
        <row r="45">
          <cell r="B45" t="str">
            <v>1yr Prepay_1</v>
          </cell>
          <cell r="C45">
            <v>-1.5</v>
          </cell>
        </row>
        <row r="46">
          <cell r="B46" t="str">
            <v>2yr Prepay_21</v>
          </cell>
          <cell r="C46">
            <v>-0.5</v>
          </cell>
        </row>
        <row r="47">
          <cell r="B47" t="str">
            <v>3yr Prepay_321</v>
          </cell>
          <cell r="C47">
            <v>-0.25</v>
          </cell>
        </row>
        <row r="48">
          <cell r="B48" t="str">
            <v>4yr Prepay_4321</v>
          </cell>
          <cell r="C48">
            <v>0.125</v>
          </cell>
        </row>
        <row r="49">
          <cell r="B49" t="str">
            <v>5yr Prepay_54321</v>
          </cell>
          <cell r="C49">
            <v>0.375</v>
          </cell>
        </row>
        <row r="50">
          <cell r="B50" t="str">
            <v>15 Day</v>
          </cell>
          <cell r="C50">
            <v>0</v>
          </cell>
        </row>
        <row r="51">
          <cell r="B51" t="str">
            <v>30 Day</v>
          </cell>
          <cell r="C51">
            <v>0</v>
          </cell>
        </row>
        <row r="52">
          <cell r="B52" t="str">
            <v>45 Day</v>
          </cell>
          <cell r="C52">
            <v>-0.25</v>
          </cell>
        </row>
        <row r="53">
          <cell r="B53" t="str">
            <v>60 Day</v>
          </cell>
          <cell r="C53">
            <v>-0.5</v>
          </cell>
        </row>
        <row r="54">
          <cell r="B54" t="str">
            <v>Mandatory</v>
          </cell>
          <cell r="C54">
            <v>0</v>
          </cell>
        </row>
        <row r="55">
          <cell r="B55" t="str">
            <v>Best Efforts</v>
          </cell>
          <cell r="C55">
            <v>0</v>
          </cell>
        </row>
        <row r="56">
          <cell r="B56" t="str">
            <v>Relock Fee:</v>
          </cell>
        </row>
        <row r="57">
          <cell r="B57" t="str">
            <v>Extension Fee Per Diem:</v>
          </cell>
          <cell r="C57">
            <v>1.4999999999999999E-2</v>
          </cell>
        </row>
        <row r="58">
          <cell r="B58" t="str">
            <v>Extension Max:</v>
          </cell>
          <cell r="C58" t="str">
            <v>15 Days</v>
          </cell>
        </row>
        <row r="59">
          <cell r="B59" t="str">
            <v>Funding Fee</v>
          </cell>
          <cell r="C59" t="str">
            <v>Delegated Per File Funding Fee:  $395</v>
          </cell>
        </row>
        <row r="60">
          <cell r="B60" t="str">
            <v>Non Del Funding Fee</v>
          </cell>
          <cell r="C60" t="str">
            <v>Non-Delegated Per File UW and Funding Fee:  $1095</v>
          </cell>
        </row>
      </sheetData>
      <sheetData sheetId="3">
        <row r="2">
          <cell r="B2" t="str">
            <v>Group</v>
          </cell>
        </row>
        <row r="3">
          <cell r="A3" t="str">
            <v>AK</v>
          </cell>
          <cell r="B3" t="str">
            <v>Non-CA</v>
          </cell>
          <cell r="C3" t="str">
            <v>Y</v>
          </cell>
          <cell r="D3" t="str">
            <v>Y</v>
          </cell>
          <cell r="E3" t="str">
            <v xml:space="preserve"> </v>
          </cell>
          <cell r="F3" t="str">
            <v>No Prepay</v>
          </cell>
          <cell r="G3" t="str">
            <v>No Prepay Allowed</v>
          </cell>
          <cell r="H3" t="str">
            <v>Alaska</v>
          </cell>
          <cell r="I3" t="str">
            <v>Y</v>
          </cell>
          <cell r="J3" t="str">
            <v>Y</v>
          </cell>
          <cell r="K3" t="str">
            <v>N</v>
          </cell>
          <cell r="L3" t="str">
            <v>Y</v>
          </cell>
          <cell r="M3" t="str">
            <v xml:space="preserve"> </v>
          </cell>
          <cell r="N3" t="str">
            <v>Dry</v>
          </cell>
          <cell r="O3">
            <v>2</v>
          </cell>
          <cell r="P3" t="str">
            <v>APOR</v>
          </cell>
          <cell r="Q3">
            <v>6.5</v>
          </cell>
          <cell r="R3">
            <v>8.5</v>
          </cell>
          <cell r="S3">
            <v>5</v>
          </cell>
          <cell r="U3" t="str">
            <v>Owner Occupied</v>
          </cell>
          <cell r="V3" t="str">
            <v>Purchase, Rate-Term, Cash-Out</v>
          </cell>
          <cell r="X3" t="str">
            <v>Y</v>
          </cell>
        </row>
        <row r="4">
          <cell r="A4" t="str">
            <v>AL</v>
          </cell>
          <cell r="B4" t="str">
            <v>AL</v>
          </cell>
          <cell r="C4" t="str">
            <v>Y</v>
          </cell>
          <cell r="D4" t="str">
            <v>Y</v>
          </cell>
          <cell r="E4" t="str">
            <v xml:space="preserve"> </v>
          </cell>
          <cell r="F4"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 t="str">
            <v xml:space="preserve"> </v>
          </cell>
          <cell r="H4" t="str">
            <v>Alabama</v>
          </cell>
          <cell r="I4" t="str">
            <v>Y</v>
          </cell>
          <cell r="J4" t="str">
            <v>Y</v>
          </cell>
          <cell r="K4" t="str">
            <v>N</v>
          </cell>
          <cell r="L4" t="str">
            <v>N</v>
          </cell>
          <cell r="M4" t="str">
            <v xml:space="preserve"> </v>
          </cell>
          <cell r="N4" t="str">
            <v>Wet</v>
          </cell>
          <cell r="O4">
            <v>1</v>
          </cell>
          <cell r="P4" t="str">
            <v>APOR</v>
          </cell>
          <cell r="Q4">
            <v>6.5</v>
          </cell>
          <cell r="R4">
            <v>8.5</v>
          </cell>
          <cell r="S4">
            <v>5</v>
          </cell>
          <cell r="U4" t="str">
            <v>Owner Occupied</v>
          </cell>
          <cell r="V4" t="str">
            <v>Purchase, Rate-Term, Cash-Out</v>
          </cell>
          <cell r="X4" t="str">
            <v>Y</v>
          </cell>
        </row>
        <row r="5">
          <cell r="A5" t="str">
            <v>AR</v>
          </cell>
          <cell r="B5" t="str">
            <v>Non-CA</v>
          </cell>
          <cell r="C5" t="str">
            <v>Y</v>
          </cell>
          <cell r="D5" t="str">
            <v>Y</v>
          </cell>
          <cell r="E5" t="str">
            <v xml:space="preserve"> </v>
          </cell>
          <cell r="F5"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5" t="str">
            <v xml:space="preserve"> </v>
          </cell>
          <cell r="H5" t="str">
            <v>Arkansas</v>
          </cell>
          <cell r="I5" t="str">
            <v>Y</v>
          </cell>
          <cell r="J5" t="str">
            <v>Y</v>
          </cell>
          <cell r="K5" t="str">
            <v>N</v>
          </cell>
          <cell r="L5" t="str">
            <v>Y</v>
          </cell>
          <cell r="M5" t="str">
            <v xml:space="preserve"> </v>
          </cell>
          <cell r="N5" t="str">
            <v>Wet</v>
          </cell>
          <cell r="O5">
            <v>1</v>
          </cell>
          <cell r="P5" t="str">
            <v>APOR</v>
          </cell>
          <cell r="Q5">
            <v>6.5</v>
          </cell>
          <cell r="R5">
            <v>8.5</v>
          </cell>
          <cell r="S5">
            <v>5</v>
          </cell>
          <cell r="T5">
            <v>150000</v>
          </cell>
          <cell r="U5" t="str">
            <v>Owner Occupied</v>
          </cell>
          <cell r="V5" t="str">
            <v>Purchase, Rate-Term, Cash-Out</v>
          </cell>
          <cell r="X5" t="str">
            <v>N</v>
          </cell>
        </row>
        <row r="6">
          <cell r="A6" t="str">
            <v>AZ</v>
          </cell>
          <cell r="B6" t="str">
            <v>Non-CA</v>
          </cell>
          <cell r="C6" t="str">
            <v>Y</v>
          </cell>
          <cell r="D6" t="str">
            <v>Y</v>
          </cell>
          <cell r="E6" t="str">
            <v xml:space="preserve"> </v>
          </cell>
          <cell r="F6"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6" t="str">
            <v xml:space="preserve"> </v>
          </cell>
          <cell r="H6" t="str">
            <v>Arizona</v>
          </cell>
          <cell r="I6" t="str">
            <v>Y</v>
          </cell>
          <cell r="J6" t="str">
            <v>Y</v>
          </cell>
          <cell r="K6" t="str">
            <v>Y</v>
          </cell>
          <cell r="L6" t="str">
            <v>Y</v>
          </cell>
          <cell r="M6" t="str">
            <v xml:space="preserve"> </v>
          </cell>
          <cell r="N6" t="str">
            <v>Dry</v>
          </cell>
          <cell r="O6">
            <v>1</v>
          </cell>
          <cell r="P6" t="str">
            <v>APOR</v>
          </cell>
          <cell r="Q6">
            <v>6.5</v>
          </cell>
          <cell r="R6">
            <v>8.5</v>
          </cell>
          <cell r="S6">
            <v>5</v>
          </cell>
          <cell r="U6" t="str">
            <v>Owner Occupied</v>
          </cell>
          <cell r="V6" t="str">
            <v>Purchase, Rate-Term, Cash-Out</v>
          </cell>
          <cell r="X6" t="str">
            <v>Y</v>
          </cell>
        </row>
        <row r="7">
          <cell r="A7" t="str">
            <v>CA</v>
          </cell>
          <cell r="B7" t="str">
            <v>CA</v>
          </cell>
          <cell r="C7" t="str">
            <v>Y</v>
          </cell>
          <cell r="D7" t="str">
            <v>Y</v>
          </cell>
          <cell r="E7" t="str">
            <v xml:space="preserve"> </v>
          </cell>
          <cell r="F7"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7" t="str">
            <v xml:space="preserve"> </v>
          </cell>
          <cell r="H7" t="str">
            <v>California</v>
          </cell>
          <cell r="I7" t="str">
            <v>Y</v>
          </cell>
          <cell r="J7" t="str">
            <v>Y</v>
          </cell>
          <cell r="K7" t="str">
            <v>Y</v>
          </cell>
          <cell r="L7" t="str">
            <v>Y</v>
          </cell>
          <cell r="M7" t="str">
            <v xml:space="preserve"> </v>
          </cell>
          <cell r="N7" t="str">
            <v>Dry</v>
          </cell>
          <cell r="O7">
            <v>1</v>
          </cell>
          <cell r="P7" t="str">
            <v>Treasury</v>
          </cell>
          <cell r="Q7">
            <v>8</v>
          </cell>
          <cell r="R7">
            <v>8</v>
          </cell>
          <cell r="S7">
            <v>6</v>
          </cell>
          <cell r="T7" t="str">
            <v>Agency</v>
          </cell>
          <cell r="U7" t="str">
            <v>Owner Occupied</v>
          </cell>
          <cell r="V7" t="str">
            <v>Purchase, Rate-Term, Cash-Out</v>
          </cell>
          <cell r="X7" t="str">
            <v>Y</v>
          </cell>
        </row>
        <row r="8">
          <cell r="A8" t="str">
            <v>CO</v>
          </cell>
          <cell r="B8" t="str">
            <v>Non-CA</v>
          </cell>
          <cell r="C8" t="str">
            <v>Y</v>
          </cell>
          <cell r="D8" t="str">
            <v>Y</v>
          </cell>
          <cell r="E8" t="str">
            <v xml:space="preserve"> </v>
          </cell>
          <cell r="F8"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8" t="str">
            <v xml:space="preserve"> </v>
          </cell>
          <cell r="H8" t="str">
            <v>Colorado</v>
          </cell>
          <cell r="I8" t="str">
            <v>Y</v>
          </cell>
          <cell r="J8" t="str">
            <v>Y</v>
          </cell>
          <cell r="K8" t="str">
            <v>Y</v>
          </cell>
          <cell r="L8" t="str">
            <v>Y</v>
          </cell>
          <cell r="M8" t="str">
            <v xml:space="preserve"> </v>
          </cell>
          <cell r="N8" t="str">
            <v>Wet</v>
          </cell>
          <cell r="O8">
            <v>1</v>
          </cell>
          <cell r="P8" t="str">
            <v>APOR</v>
          </cell>
          <cell r="Q8">
            <v>6.5</v>
          </cell>
          <cell r="R8">
            <v>8.5</v>
          </cell>
          <cell r="S8">
            <v>6</v>
          </cell>
          <cell r="U8" t="str">
            <v>Owner Occupied, Second Home</v>
          </cell>
          <cell r="V8" t="str">
            <v>Purchase, Rate-Term, Cash-Out</v>
          </cell>
          <cell r="X8" t="str">
            <v>N</v>
          </cell>
          <cell r="AH8" t="str">
            <v>None</v>
          </cell>
          <cell r="AI8" t="str">
            <v>Refinance or sale</v>
          </cell>
        </row>
        <row r="9">
          <cell r="A9" t="str">
            <v>CT</v>
          </cell>
          <cell r="B9" t="str">
            <v>Non-CA</v>
          </cell>
          <cell r="C9" t="str">
            <v>Y</v>
          </cell>
          <cell r="D9" t="str">
            <v>Y</v>
          </cell>
          <cell r="E9" t="str">
            <v xml:space="preserve"> </v>
          </cell>
          <cell r="F9"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9" t="str">
            <v xml:space="preserve"> </v>
          </cell>
          <cell r="H9" t="str">
            <v>Connecticut</v>
          </cell>
          <cell r="I9" t="str">
            <v>Y</v>
          </cell>
          <cell r="J9" t="str">
            <v>Y</v>
          </cell>
          <cell r="K9" t="str">
            <v>N</v>
          </cell>
          <cell r="L9" t="str">
            <v>Y</v>
          </cell>
          <cell r="M9" t="str">
            <v xml:space="preserve"> </v>
          </cell>
          <cell r="N9" t="str">
            <v>Wet</v>
          </cell>
          <cell r="O9">
            <v>1</v>
          </cell>
          <cell r="P9" t="str">
            <v>APOR</v>
          </cell>
          <cell r="Q9">
            <v>6.5</v>
          </cell>
          <cell r="R9">
            <v>8.5</v>
          </cell>
          <cell r="S9">
            <v>5</v>
          </cell>
          <cell r="U9" t="str">
            <v>Owner Occupied</v>
          </cell>
          <cell r="V9" t="str">
            <v>Purchase, Rate-Term, Cash-Out</v>
          </cell>
          <cell r="X9" t="str">
            <v>N</v>
          </cell>
          <cell r="AH9" t="str">
            <v>None</v>
          </cell>
          <cell r="AI9" t="str">
            <v>Refinance or sale</v>
          </cell>
        </row>
        <row r="10">
          <cell r="A10" t="str">
            <v>DC</v>
          </cell>
          <cell r="B10" t="str">
            <v>Non-CA</v>
          </cell>
          <cell r="C10" t="str">
            <v>Y</v>
          </cell>
          <cell r="D10" t="str">
            <v>Y</v>
          </cell>
          <cell r="E10" t="str">
            <v xml:space="preserve"> </v>
          </cell>
          <cell r="F10" t="str">
            <v>No Prepay, 1yr Prepay_Standard, 2yr Prepay_Standard, 3yr Prepay_Standard, 1yr Prepay_Soft, 2yr Prepay_Soft, 3yr Prepay_Soft</v>
          </cell>
          <cell r="G10" t="str">
            <v>Prepay Restriction May Apply</v>
          </cell>
          <cell r="H10" t="str">
            <v>DistrictofColumbia</v>
          </cell>
          <cell r="I10" t="str">
            <v>Y</v>
          </cell>
          <cell r="J10" t="str">
            <v>Y</v>
          </cell>
          <cell r="K10" t="str">
            <v>N</v>
          </cell>
          <cell r="L10" t="str">
            <v>Y</v>
          </cell>
          <cell r="M10" t="str">
            <v xml:space="preserve"> </v>
          </cell>
          <cell r="N10" t="str">
            <v>Wet</v>
          </cell>
          <cell r="O10">
            <v>1</v>
          </cell>
          <cell r="P10" t="str">
            <v>Treasury</v>
          </cell>
          <cell r="Q10">
            <v>6</v>
          </cell>
          <cell r="R10">
            <v>7</v>
          </cell>
          <cell r="S10">
            <v>5</v>
          </cell>
          <cell r="U10" t="str">
            <v>Owner Occupied</v>
          </cell>
          <cell r="V10" t="str">
            <v>Purchase, Rate-Term, Cash-Out</v>
          </cell>
          <cell r="X10" t="str">
            <v>N</v>
          </cell>
          <cell r="AH10" t="str">
            <v>36 Months</v>
          </cell>
          <cell r="AI10" t="str">
            <v>Refinance or sale</v>
          </cell>
        </row>
        <row r="11">
          <cell r="A11" t="str">
            <v>DE</v>
          </cell>
          <cell r="B11" t="str">
            <v>Non-CA</v>
          </cell>
          <cell r="C11" t="str">
            <v>Y</v>
          </cell>
          <cell r="D11" t="str">
            <v>Y</v>
          </cell>
          <cell r="E11" t="str">
            <v xml:space="preserve"> </v>
          </cell>
          <cell r="F11"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1" t="str">
            <v xml:space="preserve"> </v>
          </cell>
          <cell r="H11" t="str">
            <v>Delaware</v>
          </cell>
          <cell r="I11" t="str">
            <v>Y</v>
          </cell>
          <cell r="J11" t="str">
            <v>Y</v>
          </cell>
          <cell r="K11" t="str">
            <v>N</v>
          </cell>
          <cell r="L11" t="str">
            <v>Y</v>
          </cell>
          <cell r="M11" t="str">
            <v xml:space="preserve"> </v>
          </cell>
          <cell r="N11" t="str">
            <v>Wet</v>
          </cell>
          <cell r="O11">
            <v>1</v>
          </cell>
          <cell r="P11" t="str">
            <v>APOR</v>
          </cell>
          <cell r="Q11">
            <v>6.5</v>
          </cell>
          <cell r="R11">
            <v>8.5</v>
          </cell>
          <cell r="S11">
            <v>5</v>
          </cell>
          <cell r="U11" t="str">
            <v>Owner Occupied</v>
          </cell>
          <cell r="V11" t="str">
            <v>Purchase, Rate-Term, Cash-Out</v>
          </cell>
          <cell r="X11" t="str">
            <v>Y</v>
          </cell>
          <cell r="AH11" t="str">
            <v>None</v>
          </cell>
          <cell r="AI11" t="str">
            <v>Refinance or sale</v>
          </cell>
        </row>
        <row r="12">
          <cell r="A12" t="str">
            <v>FL</v>
          </cell>
          <cell r="B12" t="str">
            <v>Non-CA</v>
          </cell>
          <cell r="C12" t="str">
            <v>Y</v>
          </cell>
          <cell r="D12" t="str">
            <v>Y</v>
          </cell>
          <cell r="E12" t="str">
            <v xml:space="preserve"> </v>
          </cell>
          <cell r="F12"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2" t="str">
            <v xml:space="preserve"> </v>
          </cell>
          <cell r="H12" t="str">
            <v>Florida</v>
          </cell>
          <cell r="I12" t="str">
            <v>Y</v>
          </cell>
          <cell r="J12" t="str">
            <v>Y</v>
          </cell>
          <cell r="K12" t="str">
            <v>N</v>
          </cell>
          <cell r="L12" t="str">
            <v>Y</v>
          </cell>
          <cell r="M12" t="str">
            <v>Multi</v>
          </cell>
          <cell r="N12" t="str">
            <v>Wet</v>
          </cell>
          <cell r="O12">
            <v>1</v>
          </cell>
          <cell r="P12" t="str">
            <v>APOR</v>
          </cell>
          <cell r="Q12">
            <v>6.5</v>
          </cell>
          <cell r="R12">
            <v>8.5</v>
          </cell>
          <cell r="S12">
            <v>5</v>
          </cell>
          <cell r="U12" t="str">
            <v>Owner Occupied</v>
          </cell>
          <cell r="V12" t="str">
            <v>Purchase, Rate-Term, Cash-Out</v>
          </cell>
          <cell r="X12" t="str">
            <v>Y</v>
          </cell>
          <cell r="AH12" t="str">
            <v>None</v>
          </cell>
          <cell r="AI12" t="str">
            <v>Refinance or sale</v>
          </cell>
        </row>
        <row r="13">
          <cell r="A13" t="str">
            <v>GA</v>
          </cell>
          <cell r="B13" t="str">
            <v>GA</v>
          </cell>
          <cell r="C13" t="str">
            <v>Y</v>
          </cell>
          <cell r="D13" t="str">
            <v>Y</v>
          </cell>
          <cell r="E13" t="str">
            <v xml:space="preserve"> </v>
          </cell>
          <cell r="F13"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3" t="str">
            <v xml:space="preserve"> </v>
          </cell>
          <cell r="H13" t="str">
            <v>Georgia</v>
          </cell>
          <cell r="I13" t="str">
            <v>Y</v>
          </cell>
          <cell r="J13" t="str">
            <v>Y</v>
          </cell>
          <cell r="K13" t="str">
            <v>N</v>
          </cell>
          <cell r="L13" t="str">
            <v>Y</v>
          </cell>
          <cell r="M13" t="str">
            <v xml:space="preserve"> </v>
          </cell>
          <cell r="N13" t="str">
            <v>Wet</v>
          </cell>
          <cell r="O13">
            <v>1</v>
          </cell>
          <cell r="P13" t="str">
            <v>APOR</v>
          </cell>
          <cell r="Q13">
            <v>6.5</v>
          </cell>
          <cell r="R13">
            <v>8.5</v>
          </cell>
          <cell r="S13">
            <v>5</v>
          </cell>
          <cell r="T13" t="str">
            <v>Agency</v>
          </cell>
          <cell r="U13" t="str">
            <v>Owner Occupied</v>
          </cell>
          <cell r="V13" t="str">
            <v>Purchase, Rate-Term, Cash-Out</v>
          </cell>
          <cell r="X13" t="str">
            <v>N</v>
          </cell>
          <cell r="AH13" t="str">
            <v>None</v>
          </cell>
          <cell r="AI13" t="str">
            <v>Refinance or sale</v>
          </cell>
        </row>
        <row r="14">
          <cell r="A14" t="str">
            <v>HI</v>
          </cell>
          <cell r="B14" t="str">
            <v>Non-CA</v>
          </cell>
          <cell r="C14" t="str">
            <v>Y</v>
          </cell>
          <cell r="D14" t="str">
            <v>Y</v>
          </cell>
          <cell r="E14" t="str">
            <v xml:space="preserve"> </v>
          </cell>
          <cell r="F14"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4" t="str">
            <v xml:space="preserve"> </v>
          </cell>
          <cell r="H14" t="str">
            <v>Hawaii</v>
          </cell>
          <cell r="I14" t="str">
            <v>N</v>
          </cell>
          <cell r="J14" t="str">
            <v>Y</v>
          </cell>
          <cell r="K14" t="str">
            <v>N</v>
          </cell>
          <cell r="L14" t="str">
            <v>Y</v>
          </cell>
          <cell r="M14" t="str">
            <v xml:space="preserve"> </v>
          </cell>
          <cell r="N14" t="str">
            <v>Dry</v>
          </cell>
          <cell r="O14">
            <v>2</v>
          </cell>
          <cell r="P14" t="str">
            <v>APOR</v>
          </cell>
          <cell r="Q14">
            <v>6.5</v>
          </cell>
          <cell r="R14">
            <v>8.5</v>
          </cell>
          <cell r="S14">
            <v>5</v>
          </cell>
          <cell r="U14" t="str">
            <v>Owner Occupied</v>
          </cell>
          <cell r="V14" t="str">
            <v>Purchase, Rate-Term, Cash-Out</v>
          </cell>
          <cell r="X14" t="str">
            <v>Y</v>
          </cell>
          <cell r="AH14" t="str">
            <v>None</v>
          </cell>
          <cell r="AI14" t="str">
            <v>Refinance or sale</v>
          </cell>
        </row>
        <row r="15">
          <cell r="A15" t="str">
            <v>IA</v>
          </cell>
          <cell r="B15" t="str">
            <v>Non-CA</v>
          </cell>
          <cell r="C15" t="str">
            <v>Y</v>
          </cell>
          <cell r="D15" t="str">
            <v>Y</v>
          </cell>
          <cell r="E15" t="str">
            <v xml:space="preserve"> </v>
          </cell>
          <cell r="F15"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5" t="str">
            <v xml:space="preserve"> </v>
          </cell>
          <cell r="H15" t="str">
            <v>Iowa</v>
          </cell>
          <cell r="I15" t="str">
            <v>Y</v>
          </cell>
          <cell r="J15" t="str">
            <v>Y</v>
          </cell>
          <cell r="K15" t="str">
            <v>N</v>
          </cell>
          <cell r="L15" t="str">
            <v>Y</v>
          </cell>
          <cell r="M15" t="str">
            <v xml:space="preserve"> </v>
          </cell>
          <cell r="N15" t="str">
            <v>Wet</v>
          </cell>
          <cell r="O15">
            <v>1</v>
          </cell>
          <cell r="P15" t="str">
            <v>APOR</v>
          </cell>
          <cell r="Q15">
            <v>6.5</v>
          </cell>
          <cell r="R15">
            <v>8.5</v>
          </cell>
          <cell r="S15">
            <v>5</v>
          </cell>
          <cell r="U15" t="str">
            <v>Owner Occupied</v>
          </cell>
          <cell r="V15" t="str">
            <v>Purchase, Rate-Term, Cash-Out</v>
          </cell>
          <cell r="X15" t="str">
            <v>Y</v>
          </cell>
          <cell r="AH15" t="str">
            <v>None</v>
          </cell>
          <cell r="AI15" t="str">
            <v>Refinance or sale</v>
          </cell>
        </row>
        <row r="16">
          <cell r="A16" t="str">
            <v>ID</v>
          </cell>
          <cell r="B16" t="str">
            <v>Non-CA</v>
          </cell>
          <cell r="C16" t="str">
            <v>Y</v>
          </cell>
          <cell r="D16" t="str">
            <v>Y</v>
          </cell>
          <cell r="E16" t="str">
            <v xml:space="preserve"> </v>
          </cell>
          <cell r="F16"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6" t="str">
            <v xml:space="preserve"> </v>
          </cell>
          <cell r="H16" t="str">
            <v>Idaho</v>
          </cell>
          <cell r="I16" t="str">
            <v>Y</v>
          </cell>
          <cell r="J16" t="str">
            <v>Y</v>
          </cell>
          <cell r="K16" t="str">
            <v>N</v>
          </cell>
          <cell r="L16" t="str">
            <v>Y</v>
          </cell>
          <cell r="M16" t="str">
            <v xml:space="preserve"> </v>
          </cell>
          <cell r="N16" t="str">
            <v>Dry</v>
          </cell>
          <cell r="O16">
            <v>1</v>
          </cell>
          <cell r="P16" t="str">
            <v>APOR</v>
          </cell>
          <cell r="Q16">
            <v>6.5</v>
          </cell>
          <cell r="R16">
            <v>8.5</v>
          </cell>
          <cell r="S16">
            <v>5</v>
          </cell>
          <cell r="U16" t="str">
            <v>Owner Occupied</v>
          </cell>
          <cell r="V16" t="str">
            <v>Purchase, Rate-Term, Cash-Out</v>
          </cell>
          <cell r="X16" t="str">
            <v>Y</v>
          </cell>
          <cell r="AH16" t="str">
            <v>None</v>
          </cell>
          <cell r="AI16" t="str">
            <v>Refinance or sale</v>
          </cell>
        </row>
        <row r="17">
          <cell r="A17" t="str">
            <v>IL</v>
          </cell>
          <cell r="B17" t="str">
            <v>Non-CA</v>
          </cell>
          <cell r="C17" t="str">
            <v>Y</v>
          </cell>
          <cell r="D17" t="str">
            <v>Y</v>
          </cell>
          <cell r="E17" t="str">
            <v xml:space="preserve"> </v>
          </cell>
          <cell r="F17"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7" t="str">
            <v>Prepay Restriction May Apply: Borrower must be corporation if APR is &gt; 8%</v>
          </cell>
          <cell r="H17" t="str">
            <v>Illinois</v>
          </cell>
          <cell r="I17" t="str">
            <v>Y</v>
          </cell>
          <cell r="J17" t="str">
            <v>Y</v>
          </cell>
          <cell r="K17" t="str">
            <v>N</v>
          </cell>
          <cell r="L17" t="str">
            <v>Y</v>
          </cell>
          <cell r="M17" t="str">
            <v xml:space="preserve"> </v>
          </cell>
          <cell r="N17" t="str">
            <v>Wet</v>
          </cell>
          <cell r="O17">
            <v>1</v>
          </cell>
          <cell r="P17" t="str">
            <v>APOR</v>
          </cell>
          <cell r="Q17">
            <v>6</v>
          </cell>
          <cell r="R17">
            <v>8</v>
          </cell>
          <cell r="S17">
            <v>5</v>
          </cell>
          <cell r="U17" t="str">
            <v>Owner Occupied</v>
          </cell>
          <cell r="V17" t="str">
            <v>Purchase, Rate-Term, Cash-Out</v>
          </cell>
          <cell r="W17" t="str">
            <v>Additional Local High Cost Ordinances</v>
          </cell>
          <cell r="X17" t="str">
            <v>N</v>
          </cell>
          <cell r="AH17" t="str">
            <v>None</v>
          </cell>
          <cell r="AI17" t="str">
            <v>Refinance or sale</v>
          </cell>
          <cell r="AJ17" t="str">
            <v>Borrower must be corporation if interest rate is &gt; 8%</v>
          </cell>
        </row>
        <row r="18">
          <cell r="A18" t="str">
            <v>IN</v>
          </cell>
          <cell r="B18" t="str">
            <v>Non-CA</v>
          </cell>
          <cell r="C18" t="str">
            <v>Y</v>
          </cell>
          <cell r="D18" t="str">
            <v>Y</v>
          </cell>
          <cell r="E18" t="str">
            <v xml:space="preserve"> </v>
          </cell>
          <cell r="F18"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18" t="str">
            <v xml:space="preserve"> </v>
          </cell>
          <cell r="H18" t="str">
            <v>Indiana</v>
          </cell>
          <cell r="I18" t="str">
            <v>Y</v>
          </cell>
          <cell r="J18" t="str">
            <v>Y</v>
          </cell>
          <cell r="K18" t="str">
            <v>N</v>
          </cell>
          <cell r="L18" t="str">
            <v>Y</v>
          </cell>
          <cell r="M18" t="str">
            <v xml:space="preserve"> </v>
          </cell>
          <cell r="N18" t="str">
            <v>Wet</v>
          </cell>
          <cell r="O18">
            <v>1</v>
          </cell>
          <cell r="P18" t="str">
            <v>APOR</v>
          </cell>
          <cell r="Q18">
            <v>6.5</v>
          </cell>
          <cell r="R18">
            <v>8.5</v>
          </cell>
          <cell r="S18">
            <v>5</v>
          </cell>
          <cell r="U18" t="str">
            <v>Owner Occupied</v>
          </cell>
          <cell r="V18" t="str">
            <v>Purchase, Rate-Term, Cash-Out</v>
          </cell>
          <cell r="X18" t="str">
            <v>Y</v>
          </cell>
          <cell r="AH18" t="str">
            <v>None</v>
          </cell>
          <cell r="AI18" t="str">
            <v>Refinance or sale</v>
          </cell>
        </row>
        <row r="19">
          <cell r="A19" t="str">
            <v>KS</v>
          </cell>
          <cell r="B19" t="str">
            <v>Non-CA</v>
          </cell>
          <cell r="C19" t="str">
            <v>Y</v>
          </cell>
          <cell r="D19" t="str">
            <v>Y</v>
          </cell>
          <cell r="E19" t="str">
            <v xml:space="preserve"> </v>
          </cell>
          <cell r="F19" t="str">
            <v>No Prepay</v>
          </cell>
          <cell r="G19" t="str">
            <v>Prepay Restriction May Apply</v>
          </cell>
          <cell r="H19" t="str">
            <v>Kansas</v>
          </cell>
          <cell r="I19" t="str">
            <v>Y</v>
          </cell>
          <cell r="J19" t="str">
            <v>Y</v>
          </cell>
          <cell r="K19" t="str">
            <v>N</v>
          </cell>
          <cell r="L19" t="str">
            <v>Y</v>
          </cell>
          <cell r="M19" t="str">
            <v xml:space="preserve"> </v>
          </cell>
          <cell r="N19" t="str">
            <v>Wet</v>
          </cell>
          <cell r="O19">
            <v>1</v>
          </cell>
          <cell r="P19" t="str">
            <v>APOR</v>
          </cell>
          <cell r="Q19">
            <v>6.5</v>
          </cell>
          <cell r="R19">
            <v>8.5</v>
          </cell>
          <cell r="S19">
            <v>5</v>
          </cell>
          <cell r="U19" t="str">
            <v>Owner Occupied</v>
          </cell>
          <cell r="V19" t="str">
            <v>Purchase, Rate-Term, Cash-Out</v>
          </cell>
          <cell r="X19" t="str">
            <v>Y</v>
          </cell>
          <cell r="AH19" t="str">
            <v>6 months</v>
          </cell>
          <cell r="AI19" t="str">
            <v>Refinance or sale</v>
          </cell>
        </row>
        <row r="20">
          <cell r="A20" t="str">
            <v>KY</v>
          </cell>
          <cell r="B20" t="str">
            <v>Non-CA</v>
          </cell>
          <cell r="C20" t="str">
            <v>Y</v>
          </cell>
          <cell r="D20" t="str">
            <v>Y</v>
          </cell>
          <cell r="E20" t="str">
            <v xml:space="preserve"> </v>
          </cell>
          <cell r="F20"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0" t="str">
            <v xml:space="preserve"> </v>
          </cell>
          <cell r="H20" t="str">
            <v>Kentucky</v>
          </cell>
          <cell r="I20" t="str">
            <v>Y</v>
          </cell>
          <cell r="J20" t="str">
            <v>Y</v>
          </cell>
          <cell r="K20" t="str">
            <v>N</v>
          </cell>
          <cell r="L20" t="str">
            <v>Y</v>
          </cell>
          <cell r="M20" t="str">
            <v xml:space="preserve"> </v>
          </cell>
          <cell r="N20" t="str">
            <v>Wet</v>
          </cell>
          <cell r="O20">
            <v>1</v>
          </cell>
          <cell r="P20" t="str">
            <v>APOR</v>
          </cell>
          <cell r="Q20">
            <v>6.5</v>
          </cell>
          <cell r="R20">
            <v>8.5</v>
          </cell>
          <cell r="S20">
            <v>6</v>
          </cell>
          <cell r="T20">
            <v>200001</v>
          </cell>
          <cell r="U20" t="str">
            <v>Owner Occupied</v>
          </cell>
          <cell r="V20" t="str">
            <v>Purchase, Rate-Term, Cash-Out</v>
          </cell>
          <cell r="X20" t="str">
            <v>Y</v>
          </cell>
          <cell r="AH20" t="str">
            <v>None</v>
          </cell>
          <cell r="AI20" t="str">
            <v>Refinance or sale</v>
          </cell>
        </row>
        <row r="21">
          <cell r="A21" t="str">
            <v>LA</v>
          </cell>
          <cell r="B21" t="str">
            <v>Non-CA</v>
          </cell>
          <cell r="C21" t="str">
            <v>Y</v>
          </cell>
          <cell r="D21" t="str">
            <v>Y</v>
          </cell>
          <cell r="E21" t="str">
            <v xml:space="preserve"> </v>
          </cell>
          <cell r="F21"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1" t="str">
            <v xml:space="preserve"> </v>
          </cell>
          <cell r="H21" t="str">
            <v>Louisiana</v>
          </cell>
          <cell r="I21" t="str">
            <v>Y</v>
          </cell>
          <cell r="J21" t="str">
            <v>Y</v>
          </cell>
          <cell r="K21" t="str">
            <v>N</v>
          </cell>
          <cell r="L21" t="str">
            <v>Y</v>
          </cell>
          <cell r="M21" t="str">
            <v xml:space="preserve"> </v>
          </cell>
          <cell r="N21" t="str">
            <v>Wet</v>
          </cell>
          <cell r="O21">
            <v>1</v>
          </cell>
          <cell r="P21" t="str">
            <v>APOR</v>
          </cell>
          <cell r="Q21">
            <v>6.5</v>
          </cell>
          <cell r="R21">
            <v>8.5</v>
          </cell>
          <cell r="S21">
            <v>5</v>
          </cell>
          <cell r="U21" t="str">
            <v>Owner Occupied</v>
          </cell>
          <cell r="V21" t="str">
            <v>Purchase, Rate-Term, Cash-Out</v>
          </cell>
          <cell r="X21" t="str">
            <v>Y</v>
          </cell>
          <cell r="AH21" t="str">
            <v>None</v>
          </cell>
          <cell r="AI21" t="str">
            <v>Refinance or sale</v>
          </cell>
        </row>
        <row r="22">
          <cell r="A22" t="str">
            <v>MA</v>
          </cell>
          <cell r="B22" t="str">
            <v>Non-CA</v>
          </cell>
          <cell r="C22" t="str">
            <v>Y</v>
          </cell>
          <cell r="D22" t="str">
            <v>Y</v>
          </cell>
          <cell r="E22" t="str">
            <v xml:space="preserve"> </v>
          </cell>
          <cell r="F22"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2" t="str">
            <v xml:space="preserve"> </v>
          </cell>
          <cell r="H22" t="str">
            <v>Massachusetts</v>
          </cell>
          <cell r="I22" t="str">
            <v>N</v>
          </cell>
          <cell r="J22" t="str">
            <v>Y</v>
          </cell>
          <cell r="K22" t="str">
            <v>N</v>
          </cell>
          <cell r="L22" t="str">
            <v>Y</v>
          </cell>
          <cell r="M22" t="str">
            <v xml:space="preserve"> </v>
          </cell>
          <cell r="N22" t="str">
            <v>Wet</v>
          </cell>
          <cell r="O22">
            <v>1</v>
          </cell>
          <cell r="P22" t="str">
            <v>Treasury</v>
          </cell>
          <cell r="Q22">
            <v>8</v>
          </cell>
          <cell r="R22">
            <v>9</v>
          </cell>
          <cell r="S22">
            <v>5</v>
          </cell>
          <cell r="U22" t="str">
            <v>Owner Occupied</v>
          </cell>
          <cell r="V22" t="str">
            <v>Purchase, Rate-Term, Cash-Out</v>
          </cell>
          <cell r="X22" t="str">
            <v>N</v>
          </cell>
          <cell r="AH22" t="str">
            <v>36 Months</v>
          </cell>
          <cell r="AI22" t="str">
            <v>Refinance or sale</v>
          </cell>
        </row>
        <row r="23">
          <cell r="A23" t="str">
            <v>MD</v>
          </cell>
          <cell r="B23" t="str">
            <v>Non-CA</v>
          </cell>
          <cell r="C23" t="str">
            <v>N</v>
          </cell>
          <cell r="D23" t="str">
            <v>Y</v>
          </cell>
          <cell r="E23" t="str">
            <v xml:space="preserve"> </v>
          </cell>
          <cell r="F23" t="str">
            <v>No Prepay, 1yr Prepay_Standard, 2yr Prepay_Standard, 3yr Prepay_Standard, 1yr Prepay_5Pct, 2yr Prepay_5Pct, 3yr Prepay_5Pct, 1yr Prepay_1, 2yr Prepay_21, 3yr Prepay_321, 1yr Prepay_Soft, 2yr Prepay_Soft, 3yr Prepay_Soft</v>
          </cell>
          <cell r="G23" t="str">
            <v>Prepay Restriction May Apply</v>
          </cell>
          <cell r="H23" t="str">
            <v>Maryland</v>
          </cell>
          <cell r="I23" t="str">
            <v>N</v>
          </cell>
          <cell r="J23" t="str">
            <v>Y</v>
          </cell>
          <cell r="K23" t="str">
            <v>N</v>
          </cell>
          <cell r="L23" t="str">
            <v>Y</v>
          </cell>
          <cell r="M23" t="str">
            <v xml:space="preserve"> </v>
          </cell>
          <cell r="N23" t="str">
            <v>Wet</v>
          </cell>
          <cell r="O23">
            <v>1</v>
          </cell>
          <cell r="P23" t="str">
            <v>APOR</v>
          </cell>
          <cell r="Q23">
            <v>6.5</v>
          </cell>
          <cell r="R23">
            <v>7.5</v>
          </cell>
          <cell r="S23">
            <v>4</v>
          </cell>
          <cell r="U23" t="str">
            <v>Owner Occupied, Second Home</v>
          </cell>
          <cell r="V23" t="str">
            <v>Purchase, Rate-Term, Cash-Out</v>
          </cell>
          <cell r="X23" t="str">
            <v>N</v>
          </cell>
          <cell r="AH23" t="str">
            <v>36 Months</v>
          </cell>
          <cell r="AI23" t="str">
            <v>Refinance or sale</v>
          </cell>
        </row>
        <row r="24">
          <cell r="A24" t="str">
            <v>ME</v>
          </cell>
          <cell r="B24" t="str">
            <v>Non-CA</v>
          </cell>
          <cell r="C24" t="str">
            <v>Y</v>
          </cell>
          <cell r="D24" t="str">
            <v>Y</v>
          </cell>
          <cell r="E24" t="str">
            <v xml:space="preserve"> </v>
          </cell>
          <cell r="F24"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4" t="str">
            <v xml:space="preserve"> </v>
          </cell>
          <cell r="H24" t="str">
            <v>Maine</v>
          </cell>
          <cell r="I24" t="str">
            <v>Y</v>
          </cell>
          <cell r="J24" t="str">
            <v>Y</v>
          </cell>
          <cell r="K24" t="str">
            <v>N</v>
          </cell>
          <cell r="L24" t="str">
            <v>Y</v>
          </cell>
          <cell r="M24" t="str">
            <v xml:space="preserve"> </v>
          </cell>
          <cell r="N24" t="str">
            <v>Wet</v>
          </cell>
          <cell r="O24">
            <v>1</v>
          </cell>
          <cell r="P24" t="str">
            <v>APOR</v>
          </cell>
          <cell r="Q24">
            <v>6.5</v>
          </cell>
          <cell r="R24">
            <v>8.5</v>
          </cell>
          <cell r="S24">
            <v>5</v>
          </cell>
          <cell r="T24" t="str">
            <v>Agency</v>
          </cell>
          <cell r="U24" t="str">
            <v>Owner Occupied</v>
          </cell>
          <cell r="V24" t="str">
            <v>Purchase, Rate-Term, Cash-Out</v>
          </cell>
          <cell r="X24" t="str">
            <v>N</v>
          </cell>
          <cell r="AH24" t="str">
            <v>None</v>
          </cell>
          <cell r="AI24" t="str">
            <v>Refinance or sale</v>
          </cell>
        </row>
        <row r="25">
          <cell r="A25" t="str">
            <v>MI</v>
          </cell>
          <cell r="B25" t="str">
            <v>Non-CA</v>
          </cell>
          <cell r="C25" t="str">
            <v>Y</v>
          </cell>
          <cell r="D25" t="str">
            <v>Y</v>
          </cell>
          <cell r="E25" t="str">
            <v xml:space="preserve"> </v>
          </cell>
          <cell r="F25" t="str">
            <v>No Prepay, 1yr Prepay_Standard, 2yr Prepay_Standard, 3yr Prepay_Standard, 1yr Prepay_1, 1yr Prepay_Soft, 2yr Prepay_Soft, 3yr Prepay_Soft</v>
          </cell>
          <cell r="G25" t="str">
            <v>Prepay Restriction May Apply</v>
          </cell>
          <cell r="H25" t="str">
            <v>Michigan</v>
          </cell>
          <cell r="I25" t="str">
            <v>Y</v>
          </cell>
          <cell r="J25" t="str">
            <v>Y</v>
          </cell>
          <cell r="K25" t="str">
            <v>N</v>
          </cell>
          <cell r="L25" t="str">
            <v>Y</v>
          </cell>
          <cell r="M25" t="str">
            <v xml:space="preserve"> </v>
          </cell>
          <cell r="N25" t="str">
            <v>Wet</v>
          </cell>
          <cell r="O25">
            <v>1</v>
          </cell>
          <cell r="P25" t="str">
            <v>APOR</v>
          </cell>
          <cell r="Q25">
            <v>6.5</v>
          </cell>
          <cell r="R25">
            <v>8.5</v>
          </cell>
          <cell r="S25">
            <v>5</v>
          </cell>
          <cell r="U25" t="str">
            <v>Owner Occupied</v>
          </cell>
          <cell r="V25" t="str">
            <v>Purchase, Rate-Term, Cash-Out</v>
          </cell>
          <cell r="X25" t="str">
            <v>Y</v>
          </cell>
          <cell r="AH25" t="str">
            <v>36 Months</v>
          </cell>
          <cell r="AI25" t="str">
            <v>Refinance or sale</v>
          </cell>
        </row>
        <row r="26">
          <cell r="A26" t="str">
            <v>MN</v>
          </cell>
          <cell r="B26" t="str">
            <v>Non-CA</v>
          </cell>
          <cell r="C26" t="str">
            <v>Y</v>
          </cell>
          <cell r="D26" t="str">
            <v>Y</v>
          </cell>
          <cell r="E26" t="str">
            <v xml:space="preserve"> </v>
          </cell>
          <cell r="F26" t="str">
            <v>No Prepay, 1yr Prepay_Standard, 2yr Prepay_Standard, 3yr Prepay_Standard, 1yr Prepay_1, 2yr Prepay_21, 3yr Prepay_321, 1yr Prepay_Soft, 2yr Prepay_Soft, 3yr Prepay_Soft</v>
          </cell>
          <cell r="G26" t="str">
            <v>Prepay Restriction May Apply: PPP restrictions only apply to loans within conforming limits</v>
          </cell>
          <cell r="H26" t="str">
            <v>Minnesota</v>
          </cell>
          <cell r="I26" t="str">
            <v>Y</v>
          </cell>
          <cell r="J26" t="str">
            <v>Y</v>
          </cell>
          <cell r="K26" t="str">
            <v>N</v>
          </cell>
          <cell r="L26" t="str">
            <v>N</v>
          </cell>
          <cell r="M26" t="str">
            <v xml:space="preserve"> </v>
          </cell>
          <cell r="N26" t="str">
            <v>Wet</v>
          </cell>
          <cell r="O26">
            <v>1</v>
          </cell>
          <cell r="P26" t="str">
            <v>APOR</v>
          </cell>
          <cell r="Q26">
            <v>6.5</v>
          </cell>
          <cell r="R26">
            <v>8.5</v>
          </cell>
          <cell r="S26">
            <v>5</v>
          </cell>
          <cell r="U26" t="str">
            <v>Owner Occupied</v>
          </cell>
          <cell r="V26" t="str">
            <v>Purchase, Rate-Term, Cash-Out</v>
          </cell>
          <cell r="X26" t="str">
            <v>Y</v>
          </cell>
          <cell r="AH26" t="str">
            <v>42 Months</v>
          </cell>
          <cell r="AI26" t="str">
            <v>Refinance only</v>
          </cell>
          <cell r="AJ26" t="str">
            <v xml:space="preserve">PPP restrictions only apply to loans within conforming limits </v>
          </cell>
        </row>
        <row r="27">
          <cell r="A27" t="str">
            <v>MO</v>
          </cell>
          <cell r="B27" t="str">
            <v>Non-CA</v>
          </cell>
          <cell r="C27" t="str">
            <v>Y</v>
          </cell>
          <cell r="D27" t="str">
            <v>Y</v>
          </cell>
          <cell r="E27" t="str">
            <v xml:space="preserve"> </v>
          </cell>
          <cell r="F27"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7" t="str">
            <v xml:space="preserve"> </v>
          </cell>
          <cell r="H27" t="str">
            <v>Missouri</v>
          </cell>
          <cell r="I27" t="str">
            <v>N</v>
          </cell>
          <cell r="J27" t="str">
            <v>Y</v>
          </cell>
          <cell r="K27" t="str">
            <v>N</v>
          </cell>
          <cell r="L27" t="str">
            <v>Y</v>
          </cell>
          <cell r="M27" t="str">
            <v xml:space="preserve"> </v>
          </cell>
          <cell r="N27" t="str">
            <v>Wet</v>
          </cell>
          <cell r="O27">
            <v>1</v>
          </cell>
          <cell r="P27" t="str">
            <v>APOR</v>
          </cell>
          <cell r="Q27">
            <v>6.5</v>
          </cell>
          <cell r="R27">
            <v>8.5</v>
          </cell>
          <cell r="S27">
            <v>5</v>
          </cell>
          <cell r="U27" t="str">
            <v>Owner Occupied</v>
          </cell>
          <cell r="V27" t="str">
            <v>Purchase, Rate-Term, Cash-Out</v>
          </cell>
          <cell r="X27" t="str">
            <v>Y</v>
          </cell>
          <cell r="AH27" t="str">
            <v>None</v>
          </cell>
          <cell r="AI27" t="str">
            <v>Refinance or sale</v>
          </cell>
        </row>
        <row r="28">
          <cell r="A28" t="str">
            <v>MS</v>
          </cell>
          <cell r="B28" t="str">
            <v>Non-CA</v>
          </cell>
          <cell r="C28" t="str">
            <v>Y</v>
          </cell>
          <cell r="D28" t="str">
            <v>Y</v>
          </cell>
          <cell r="E28" t="str">
            <v xml:space="preserve"> </v>
          </cell>
          <cell r="F28" t="str">
            <v>No Prepay, 1yr Prepay_Standard, 2yr Prepay_Standard, 3yr Prepay_Standard, 4yr Prepay_Standard, 5yr Prepay_Standard, 1yr Prepay_1, 2yr Prepay_21, 3yr Prepay_321, 4yr Prepay_4321, 5yr Prepay_54321, 1yr Prepay_Soft, 2yr Prepay_Soft, 3yr Prepay_Soft, 4yr Prepay_Soft, 5yr Prepay_Soft</v>
          </cell>
          <cell r="G28" t="str">
            <v>Prepay Restriction May Apply</v>
          </cell>
          <cell r="H28" t="str">
            <v>Mississippi</v>
          </cell>
          <cell r="I28" t="str">
            <v>Y</v>
          </cell>
          <cell r="J28" t="str">
            <v>Y</v>
          </cell>
          <cell r="K28" t="str">
            <v>N</v>
          </cell>
          <cell r="L28" t="str">
            <v>Y</v>
          </cell>
          <cell r="M28" t="str">
            <v xml:space="preserve"> </v>
          </cell>
          <cell r="N28" t="str">
            <v>Wet</v>
          </cell>
          <cell r="O28">
            <v>1</v>
          </cell>
          <cell r="P28" t="str">
            <v>APOR</v>
          </cell>
          <cell r="Q28">
            <v>6.5</v>
          </cell>
          <cell r="R28">
            <v>8.5</v>
          </cell>
          <cell r="S28">
            <v>5</v>
          </cell>
          <cell r="U28" t="str">
            <v>Owner Occupied</v>
          </cell>
          <cell r="V28" t="str">
            <v>Purchase, Rate-Term, Cash-Out</v>
          </cell>
          <cell r="X28" t="str">
            <v>Y</v>
          </cell>
          <cell r="AH28" t="str">
            <v>60 Months</v>
          </cell>
          <cell r="AI28" t="str">
            <v>Refinance or sale</v>
          </cell>
        </row>
        <row r="29">
          <cell r="A29" t="str">
            <v>MT</v>
          </cell>
          <cell r="B29" t="str">
            <v>Non-CA</v>
          </cell>
          <cell r="C29" t="str">
            <v>Y</v>
          </cell>
          <cell r="D29" t="str">
            <v>Y</v>
          </cell>
          <cell r="E29" t="str">
            <v xml:space="preserve"> </v>
          </cell>
          <cell r="F29"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29" t="str">
            <v xml:space="preserve"> </v>
          </cell>
          <cell r="H29" t="str">
            <v>Montana</v>
          </cell>
          <cell r="I29" t="str">
            <v>Y</v>
          </cell>
          <cell r="J29" t="str">
            <v>Y</v>
          </cell>
          <cell r="K29" t="str">
            <v>N</v>
          </cell>
          <cell r="L29" t="str">
            <v>Y</v>
          </cell>
          <cell r="M29" t="str">
            <v xml:space="preserve"> </v>
          </cell>
          <cell r="N29" t="str">
            <v>Wet</v>
          </cell>
          <cell r="O29">
            <v>1</v>
          </cell>
          <cell r="P29" t="str">
            <v>APOR</v>
          </cell>
          <cell r="Q29">
            <v>6.5</v>
          </cell>
          <cell r="R29">
            <v>8.5</v>
          </cell>
          <cell r="S29">
            <v>5</v>
          </cell>
          <cell r="U29" t="str">
            <v>Owner Occupied</v>
          </cell>
          <cell r="V29" t="str">
            <v>Purchase, Rate-Term, Cash-Out</v>
          </cell>
          <cell r="X29" t="str">
            <v>Y</v>
          </cell>
          <cell r="AH29" t="str">
            <v>None</v>
          </cell>
          <cell r="AI29" t="str">
            <v>Refinance or sale</v>
          </cell>
        </row>
        <row r="30">
          <cell r="A30" t="str">
            <v>NC</v>
          </cell>
          <cell r="B30" t="str">
            <v>Non-CA</v>
          </cell>
          <cell r="C30" t="str">
            <v>Y</v>
          </cell>
          <cell r="D30" t="str">
            <v>Y</v>
          </cell>
          <cell r="E30" t="str">
            <v xml:space="preserve"> </v>
          </cell>
          <cell r="F30"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0" t="str">
            <v xml:space="preserve"> </v>
          </cell>
          <cell r="H30" t="str">
            <v>NorthCarolina</v>
          </cell>
          <cell r="I30" t="str">
            <v>Y</v>
          </cell>
          <cell r="J30" t="str">
            <v>Y</v>
          </cell>
          <cell r="K30" t="str">
            <v>Y</v>
          </cell>
          <cell r="L30" t="str">
            <v>Y</v>
          </cell>
          <cell r="M30" t="str">
            <v xml:space="preserve"> </v>
          </cell>
          <cell r="N30" t="str">
            <v>Wet</v>
          </cell>
          <cell r="O30">
            <v>1</v>
          </cell>
          <cell r="P30" t="str">
            <v>APOR</v>
          </cell>
          <cell r="Q30">
            <v>6.5</v>
          </cell>
          <cell r="R30">
            <v>8.5</v>
          </cell>
          <cell r="S30">
            <v>5</v>
          </cell>
          <cell r="T30">
            <v>300000</v>
          </cell>
          <cell r="U30" t="str">
            <v>Owner Occupied</v>
          </cell>
          <cell r="V30" t="str">
            <v>Purchase, Rate-Term, Cash-Out</v>
          </cell>
          <cell r="X30" t="str">
            <v>N</v>
          </cell>
          <cell r="AH30" t="str">
            <v>None</v>
          </cell>
          <cell r="AI30" t="str">
            <v>Refinance or sale</v>
          </cell>
        </row>
        <row r="31">
          <cell r="A31" t="str">
            <v>ND</v>
          </cell>
          <cell r="B31" t="str">
            <v>Non-CA</v>
          </cell>
          <cell r="C31" t="str">
            <v>Y</v>
          </cell>
          <cell r="D31" t="str">
            <v>Y</v>
          </cell>
          <cell r="E31" t="str">
            <v xml:space="preserve"> </v>
          </cell>
          <cell r="F31"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1" t="str">
            <v xml:space="preserve"> </v>
          </cell>
          <cell r="H31" t="str">
            <v>NorthDakota</v>
          </cell>
          <cell r="I31" t="str">
            <v>Y</v>
          </cell>
          <cell r="J31" t="str">
            <v>Y</v>
          </cell>
          <cell r="K31" t="str">
            <v>N</v>
          </cell>
          <cell r="L31" t="str">
            <v>N</v>
          </cell>
          <cell r="M31" t="str">
            <v xml:space="preserve"> </v>
          </cell>
          <cell r="N31" t="str">
            <v>Wet</v>
          </cell>
          <cell r="O31">
            <v>1</v>
          </cell>
          <cell r="P31" t="str">
            <v>APOR</v>
          </cell>
          <cell r="Q31">
            <v>6.5</v>
          </cell>
          <cell r="R31">
            <v>8.5</v>
          </cell>
          <cell r="S31">
            <v>5</v>
          </cell>
          <cell r="U31" t="str">
            <v>Owner Occupied</v>
          </cell>
          <cell r="V31" t="str">
            <v>Purchase, Rate-Term, Cash-Out</v>
          </cell>
          <cell r="X31" t="str">
            <v>Y</v>
          </cell>
          <cell r="AH31" t="str">
            <v>None</v>
          </cell>
          <cell r="AI31" t="str">
            <v>Refinance or sale</v>
          </cell>
        </row>
        <row r="32">
          <cell r="A32" t="str">
            <v>NE</v>
          </cell>
          <cell r="B32" t="str">
            <v>Non-CA</v>
          </cell>
          <cell r="C32" t="str">
            <v>Y</v>
          </cell>
          <cell r="D32" t="str">
            <v>Y</v>
          </cell>
          <cell r="E32" t="str">
            <v xml:space="preserve"> </v>
          </cell>
          <cell r="F32"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2" t="str">
            <v xml:space="preserve"> </v>
          </cell>
          <cell r="H32" t="str">
            <v>Nebraska</v>
          </cell>
          <cell r="I32" t="str">
            <v>Y</v>
          </cell>
          <cell r="J32" t="str">
            <v>Y</v>
          </cell>
          <cell r="K32" t="str">
            <v>N</v>
          </cell>
          <cell r="L32" t="str">
            <v>Y</v>
          </cell>
          <cell r="M32" t="str">
            <v xml:space="preserve"> </v>
          </cell>
          <cell r="N32" t="str">
            <v>Wet</v>
          </cell>
          <cell r="O32">
            <v>1</v>
          </cell>
          <cell r="P32" t="str">
            <v>APOR</v>
          </cell>
          <cell r="Q32">
            <v>6.5</v>
          </cell>
          <cell r="R32">
            <v>8.5</v>
          </cell>
          <cell r="S32">
            <v>5</v>
          </cell>
          <cell r="U32" t="str">
            <v>Owner Occupied</v>
          </cell>
          <cell r="V32" t="str">
            <v>Purchase, Rate-Term, Cash-Out</v>
          </cell>
          <cell r="X32" t="str">
            <v>Y</v>
          </cell>
          <cell r="AH32" t="str">
            <v>None</v>
          </cell>
          <cell r="AI32" t="str">
            <v>Refinance or sale</v>
          </cell>
        </row>
        <row r="33">
          <cell r="A33" t="str">
            <v>NH</v>
          </cell>
          <cell r="B33" t="str">
            <v>Non-CA</v>
          </cell>
          <cell r="C33" t="str">
            <v>Y</v>
          </cell>
          <cell r="D33" t="str">
            <v>Y</v>
          </cell>
          <cell r="E33" t="str">
            <v xml:space="preserve"> </v>
          </cell>
          <cell r="F33"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3" t="str">
            <v xml:space="preserve"> </v>
          </cell>
          <cell r="H33" t="str">
            <v>NewHampshire</v>
          </cell>
          <cell r="I33" t="str">
            <v>Y</v>
          </cell>
          <cell r="J33" t="str">
            <v>Y</v>
          </cell>
          <cell r="K33" t="str">
            <v>N</v>
          </cell>
          <cell r="L33" t="str">
            <v>Y</v>
          </cell>
          <cell r="M33" t="str">
            <v xml:space="preserve"> </v>
          </cell>
          <cell r="N33" t="str">
            <v>Wet</v>
          </cell>
          <cell r="O33">
            <v>1</v>
          </cell>
          <cell r="P33" t="str">
            <v>APOR</v>
          </cell>
          <cell r="Q33">
            <v>6.5</v>
          </cell>
          <cell r="R33">
            <v>8.5</v>
          </cell>
          <cell r="S33">
            <v>5</v>
          </cell>
          <cell r="U33" t="str">
            <v>Owner Occupied</v>
          </cell>
          <cell r="V33" t="str">
            <v>Purchase, Rate-Term, Cash-Out</v>
          </cell>
          <cell r="X33" t="str">
            <v>Y</v>
          </cell>
          <cell r="AI33" t="str">
            <v>Refinance or sale</v>
          </cell>
        </row>
        <row r="34">
          <cell r="A34" t="str">
            <v>NJ</v>
          </cell>
          <cell r="B34" t="str">
            <v>Non-CA</v>
          </cell>
          <cell r="C34" t="str">
            <v>Y</v>
          </cell>
          <cell r="D34" t="str">
            <v>Y</v>
          </cell>
          <cell r="E34" t="str">
            <v xml:space="preserve"> </v>
          </cell>
          <cell r="F34"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4" t="str">
            <v>Prepay Restriction May Apply: Borrower must be corporation if interest rate is &gt; 6%</v>
          </cell>
          <cell r="H34" t="str">
            <v>NewJersey</v>
          </cell>
          <cell r="I34" t="str">
            <v>Y</v>
          </cell>
          <cell r="J34" t="str">
            <v>Y</v>
          </cell>
          <cell r="K34" t="str">
            <v>N</v>
          </cell>
          <cell r="L34" t="str">
            <v>Y</v>
          </cell>
          <cell r="M34" t="str">
            <v xml:space="preserve"> </v>
          </cell>
          <cell r="N34" t="str">
            <v>Wet</v>
          </cell>
          <cell r="O34">
            <v>1</v>
          </cell>
          <cell r="P34" t="str">
            <v>APOR</v>
          </cell>
          <cell r="Q34">
            <v>6.5</v>
          </cell>
          <cell r="R34">
            <v>8.5</v>
          </cell>
          <cell r="S34">
            <v>4.5</v>
          </cell>
          <cell r="T34">
            <v>513000</v>
          </cell>
          <cell r="U34" t="str">
            <v>Owner Occupied</v>
          </cell>
          <cell r="V34" t="str">
            <v>Purchase, Rate-Term, Cash-Out</v>
          </cell>
          <cell r="X34" t="str">
            <v>N</v>
          </cell>
        </row>
        <row r="35">
          <cell r="A35" t="str">
            <v>NM</v>
          </cell>
          <cell r="B35" t="str">
            <v>Non-CA</v>
          </cell>
          <cell r="C35" t="str">
            <v>Y</v>
          </cell>
          <cell r="D35" t="str">
            <v>Y</v>
          </cell>
          <cell r="E35" t="str">
            <v xml:space="preserve"> </v>
          </cell>
          <cell r="F35" t="str">
            <v>No Prepay</v>
          </cell>
          <cell r="G35" t="str">
            <v>No Prepay Allowed</v>
          </cell>
          <cell r="H35" t="str">
            <v>NewMexico</v>
          </cell>
          <cell r="I35" t="str">
            <v>Y</v>
          </cell>
          <cell r="J35" t="str">
            <v>Y</v>
          </cell>
          <cell r="K35" t="str">
            <v>N</v>
          </cell>
          <cell r="L35" t="str">
            <v>Y</v>
          </cell>
          <cell r="M35" t="str">
            <v xml:space="preserve"> </v>
          </cell>
          <cell r="N35" t="str">
            <v>Dry</v>
          </cell>
          <cell r="O35">
            <v>1</v>
          </cell>
          <cell r="P35" t="str">
            <v>Treasury</v>
          </cell>
          <cell r="Q35">
            <v>7</v>
          </cell>
          <cell r="R35">
            <v>9</v>
          </cell>
          <cell r="S35">
            <v>5</v>
          </cell>
          <cell r="T35" t="str">
            <v>Agency</v>
          </cell>
          <cell r="U35" t="str">
            <v>Owner Occupied</v>
          </cell>
          <cell r="V35" t="str">
            <v>Purchase, Rate-Term, Cash-Out</v>
          </cell>
          <cell r="X35" t="str">
            <v>N</v>
          </cell>
        </row>
        <row r="36">
          <cell r="A36" t="str">
            <v>NV</v>
          </cell>
          <cell r="B36" t="str">
            <v>Non-CA</v>
          </cell>
          <cell r="C36" t="str">
            <v>Y</v>
          </cell>
          <cell r="D36" t="str">
            <v>Y</v>
          </cell>
          <cell r="E36" t="str">
            <v xml:space="preserve"> </v>
          </cell>
          <cell r="F36"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6" t="str">
            <v xml:space="preserve"> </v>
          </cell>
          <cell r="H36" t="str">
            <v>Nevada</v>
          </cell>
          <cell r="I36" t="str">
            <v>Y</v>
          </cell>
          <cell r="J36" t="str">
            <v>Y</v>
          </cell>
          <cell r="K36" t="str">
            <v>N</v>
          </cell>
          <cell r="L36" t="str">
            <v>N</v>
          </cell>
          <cell r="M36" t="str">
            <v xml:space="preserve"> </v>
          </cell>
          <cell r="N36" t="str">
            <v>Dry</v>
          </cell>
          <cell r="O36">
            <v>1</v>
          </cell>
          <cell r="P36" t="str">
            <v>APOR</v>
          </cell>
          <cell r="Q36">
            <v>6.5</v>
          </cell>
          <cell r="R36">
            <v>8.5</v>
          </cell>
          <cell r="S36">
            <v>5</v>
          </cell>
          <cell r="U36" t="str">
            <v>Owner Occupied</v>
          </cell>
          <cell r="V36" t="str">
            <v>Purchase, Rate-Term, Cash-Out</v>
          </cell>
          <cell r="X36" t="str">
            <v>N</v>
          </cell>
        </row>
        <row r="37">
          <cell r="A37" t="str">
            <v>NY</v>
          </cell>
          <cell r="B37" t="str">
            <v>Non-CA</v>
          </cell>
          <cell r="C37" t="str">
            <v>Y</v>
          </cell>
          <cell r="D37" t="str">
            <v>Y</v>
          </cell>
          <cell r="E37" t="str">
            <v>No IO when using CEMA</v>
          </cell>
          <cell r="F37"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7" t="str">
            <v xml:space="preserve"> </v>
          </cell>
          <cell r="H37" t="str">
            <v>NewYork</v>
          </cell>
          <cell r="I37" t="str">
            <v>N</v>
          </cell>
          <cell r="J37" t="str">
            <v>N</v>
          </cell>
          <cell r="K37" t="str">
            <v>N</v>
          </cell>
          <cell r="L37" t="str">
            <v>N</v>
          </cell>
          <cell r="M37" t="str">
            <v xml:space="preserve"> </v>
          </cell>
          <cell r="N37" t="str">
            <v>Wet</v>
          </cell>
          <cell r="O37">
            <v>1</v>
          </cell>
          <cell r="P37" t="str">
            <v>Treasury</v>
          </cell>
          <cell r="Q37">
            <v>8</v>
          </cell>
          <cell r="R37">
            <v>9</v>
          </cell>
          <cell r="S37">
            <v>5</v>
          </cell>
          <cell r="T37" t="str">
            <v>Agency</v>
          </cell>
          <cell r="U37" t="str">
            <v>Owner Occupied</v>
          </cell>
          <cell r="V37" t="str">
            <v>Purchase, Rate-Term, Cash-Out</v>
          </cell>
          <cell r="W37" t="str">
            <v>New York City (Treas + 6, 8) 4% Pts/Fees</v>
          </cell>
          <cell r="X37" t="str">
            <v>N</v>
          </cell>
        </row>
        <row r="38">
          <cell r="A38" t="str">
            <v>OH</v>
          </cell>
          <cell r="B38" t="str">
            <v>Non-CA</v>
          </cell>
          <cell r="C38" t="str">
            <v>Y</v>
          </cell>
          <cell r="D38" t="str">
            <v>Y</v>
          </cell>
          <cell r="E38" t="str">
            <v xml:space="preserve"> </v>
          </cell>
          <cell r="F38" t="str">
            <v>No Prepay, 1yr Prepay_Standard, 2yr Prepay_Standard, 3yr Prepay_Standard, 4yr Prepay_Standard, 5yr Prepay_Standard, 1yr Prepay_1, 1yr Prepay_Soft, 2yr Prepay_Soft, 3yr Prepay_Soft, 4yr Prepay_Soft, 5yr Prepay_Soft</v>
          </cell>
          <cell r="G38" t="str">
            <v>Prepay Restriction May Apply: Max prepay of 1%; Prepay not permitted for loans less than $110,223 in 2024</v>
          </cell>
          <cell r="H38" t="str">
            <v>Ohio</v>
          </cell>
          <cell r="I38" t="str">
            <v>Y</v>
          </cell>
          <cell r="J38" t="str">
            <v>Y</v>
          </cell>
          <cell r="K38" t="str">
            <v>N</v>
          </cell>
          <cell r="L38" t="str">
            <v>Y</v>
          </cell>
          <cell r="M38" t="str">
            <v xml:space="preserve"> </v>
          </cell>
          <cell r="N38" t="str">
            <v>Wet</v>
          </cell>
          <cell r="O38">
            <v>1</v>
          </cell>
          <cell r="P38" t="str">
            <v>APOR</v>
          </cell>
          <cell r="Q38">
            <v>6.5</v>
          </cell>
          <cell r="R38">
            <v>8.5</v>
          </cell>
          <cell r="S38">
            <v>5</v>
          </cell>
          <cell r="U38" t="str">
            <v>Owner Occupied</v>
          </cell>
          <cell r="V38" t="str">
            <v>Refi</v>
          </cell>
          <cell r="X38" t="str">
            <v>N</v>
          </cell>
        </row>
        <row r="39">
          <cell r="A39" t="str">
            <v>OK</v>
          </cell>
          <cell r="B39" t="str">
            <v>Non-CA</v>
          </cell>
          <cell r="C39" t="str">
            <v>Y</v>
          </cell>
          <cell r="D39" t="str">
            <v>Y</v>
          </cell>
          <cell r="E39" t="str">
            <v xml:space="preserve"> </v>
          </cell>
          <cell r="F39"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39" t="str">
            <v xml:space="preserve"> </v>
          </cell>
          <cell r="H39" t="str">
            <v>Oklahoma</v>
          </cell>
          <cell r="I39" t="str">
            <v>Y</v>
          </cell>
          <cell r="J39" t="str">
            <v>Y</v>
          </cell>
          <cell r="K39" t="str">
            <v>N</v>
          </cell>
          <cell r="L39" t="str">
            <v>Y</v>
          </cell>
          <cell r="M39" t="str">
            <v xml:space="preserve"> </v>
          </cell>
          <cell r="N39" t="str">
            <v>Wet</v>
          </cell>
          <cell r="O39">
            <v>1</v>
          </cell>
          <cell r="P39" t="str">
            <v>Treasury</v>
          </cell>
          <cell r="Q39">
            <v>9</v>
          </cell>
          <cell r="R39">
            <v>10</v>
          </cell>
          <cell r="S39">
            <v>8</v>
          </cell>
          <cell r="U39" t="str">
            <v>Owner Occupied</v>
          </cell>
          <cell r="V39" t="str">
            <v>Refi</v>
          </cell>
          <cell r="X39" t="str">
            <v>Y</v>
          </cell>
        </row>
        <row r="40">
          <cell r="A40" t="str">
            <v>OR</v>
          </cell>
          <cell r="B40" t="str">
            <v>Non-CA</v>
          </cell>
          <cell r="C40" t="str">
            <v>Y</v>
          </cell>
          <cell r="D40" t="str">
            <v>Y</v>
          </cell>
          <cell r="E40" t="str">
            <v xml:space="preserve"> </v>
          </cell>
          <cell r="F40"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0" t="str">
            <v xml:space="preserve"> </v>
          </cell>
          <cell r="H40" t="str">
            <v>Oregon</v>
          </cell>
          <cell r="I40" t="str">
            <v>Y</v>
          </cell>
          <cell r="J40" t="str">
            <v>Y</v>
          </cell>
          <cell r="K40" t="str">
            <v>N</v>
          </cell>
          <cell r="L40" t="str">
            <v>Y</v>
          </cell>
          <cell r="M40" t="str">
            <v>NonQM OO, NonQM NOO, Second OO, Second NOO</v>
          </cell>
          <cell r="N40" t="str">
            <v>Dry</v>
          </cell>
          <cell r="O40">
            <v>1</v>
          </cell>
          <cell r="P40" t="str">
            <v>APOR</v>
          </cell>
          <cell r="Q40">
            <v>6.5</v>
          </cell>
          <cell r="R40">
            <v>8.5</v>
          </cell>
          <cell r="S40">
            <v>5</v>
          </cell>
          <cell r="U40" t="str">
            <v>Owner Occupied</v>
          </cell>
          <cell r="V40" t="str">
            <v>Purchase, Rate-Term, Cash-Out</v>
          </cell>
          <cell r="X40" t="str">
            <v>Y</v>
          </cell>
        </row>
        <row r="41">
          <cell r="A41" t="str">
            <v>PA</v>
          </cell>
          <cell r="B41" t="str">
            <v>Non-CA</v>
          </cell>
          <cell r="C41" t="str">
            <v>Y</v>
          </cell>
          <cell r="D41" t="str">
            <v>Y</v>
          </cell>
          <cell r="E41" t="str">
            <v xml:space="preserve"> </v>
          </cell>
          <cell r="F41"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1" t="str">
            <v>Prepay Restriction May Apply: Prepay not permitted for loans less than $312,159 in 2024</v>
          </cell>
          <cell r="H41" t="str">
            <v>Pennsylvania</v>
          </cell>
          <cell r="I41" t="str">
            <v>Y</v>
          </cell>
          <cell r="J41" t="str">
            <v>Y</v>
          </cell>
          <cell r="K41" t="str">
            <v>N</v>
          </cell>
          <cell r="L41" t="str">
            <v>Y</v>
          </cell>
          <cell r="M41" t="str">
            <v xml:space="preserve"> </v>
          </cell>
          <cell r="N41" t="str">
            <v>Wet</v>
          </cell>
          <cell r="O41">
            <v>1</v>
          </cell>
          <cell r="P41" t="str">
            <v>APOR</v>
          </cell>
          <cell r="Q41">
            <v>6.5</v>
          </cell>
          <cell r="R41">
            <v>8.5</v>
          </cell>
          <cell r="S41">
            <v>5</v>
          </cell>
          <cell r="T41">
            <v>100000</v>
          </cell>
          <cell r="U41" t="str">
            <v>Owner Occupied</v>
          </cell>
          <cell r="V41" t="str">
            <v>Purchase, Rate-Term, Cash-Out</v>
          </cell>
          <cell r="X41" t="str">
            <v>N</v>
          </cell>
        </row>
        <row r="42">
          <cell r="A42" t="str">
            <v>RI</v>
          </cell>
          <cell r="B42" t="str">
            <v>Non-CA</v>
          </cell>
          <cell r="C42" t="str">
            <v>Y</v>
          </cell>
          <cell r="D42" t="str">
            <v>Y</v>
          </cell>
          <cell r="E42" t="str">
            <v xml:space="preserve"> </v>
          </cell>
          <cell r="F42"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2" t="str">
            <v>Prepay Restriction May Apply</v>
          </cell>
          <cell r="H42" t="str">
            <v>RhodeIsland</v>
          </cell>
          <cell r="I42" t="str">
            <v>Y</v>
          </cell>
          <cell r="J42" t="str">
            <v>Y</v>
          </cell>
          <cell r="K42" t="str">
            <v>N</v>
          </cell>
          <cell r="L42" t="str">
            <v>Y</v>
          </cell>
          <cell r="M42" t="str">
            <v xml:space="preserve"> </v>
          </cell>
          <cell r="N42" t="str">
            <v>Wet</v>
          </cell>
          <cell r="O42">
            <v>1</v>
          </cell>
          <cell r="P42" t="str">
            <v>Treasury</v>
          </cell>
          <cell r="Q42">
            <v>8</v>
          </cell>
          <cell r="R42">
            <v>9</v>
          </cell>
          <cell r="S42">
            <v>5</v>
          </cell>
          <cell r="U42" t="str">
            <v>Owner Occupied</v>
          </cell>
          <cell r="V42" t="str">
            <v>Purchase, Rate-Term, Cash-Out</v>
          </cell>
          <cell r="W42" t="str">
            <v>Additional Local High Cost Ordinances</v>
          </cell>
          <cell r="X42" t="str">
            <v>N</v>
          </cell>
        </row>
        <row r="43">
          <cell r="A43" t="str">
            <v>SC</v>
          </cell>
          <cell r="B43" t="str">
            <v>Non-CA</v>
          </cell>
          <cell r="C43" t="str">
            <v>Y</v>
          </cell>
          <cell r="D43" t="str">
            <v>Y</v>
          </cell>
          <cell r="E43" t="str">
            <v xml:space="preserve"> </v>
          </cell>
          <cell r="F43"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3" t="str">
            <v xml:space="preserve"> </v>
          </cell>
          <cell r="H43" t="str">
            <v>SouthCarolina</v>
          </cell>
          <cell r="I43" t="str">
            <v>Y</v>
          </cell>
          <cell r="J43" t="str">
            <v>Y</v>
          </cell>
          <cell r="K43" t="str">
            <v>N</v>
          </cell>
          <cell r="L43" t="str">
            <v>Y</v>
          </cell>
          <cell r="M43" t="str">
            <v xml:space="preserve"> </v>
          </cell>
          <cell r="N43" t="str">
            <v>Wet</v>
          </cell>
          <cell r="O43">
            <v>1</v>
          </cell>
          <cell r="P43" t="str">
            <v>APOR</v>
          </cell>
          <cell r="Q43">
            <v>6.5</v>
          </cell>
          <cell r="R43">
            <v>8.5</v>
          </cell>
          <cell r="S43">
            <v>5</v>
          </cell>
          <cell r="T43" t="str">
            <v>Agency</v>
          </cell>
          <cell r="U43" t="str">
            <v>Owner Occupied</v>
          </cell>
          <cell r="V43" t="str">
            <v>Purchase, Rate-Term, Cash-Out</v>
          </cell>
          <cell r="X43" t="str">
            <v>Y</v>
          </cell>
        </row>
        <row r="44">
          <cell r="A44" t="str">
            <v>SD</v>
          </cell>
          <cell r="B44" t="str">
            <v>Non-CA</v>
          </cell>
          <cell r="C44" t="str">
            <v>Y</v>
          </cell>
          <cell r="D44" t="str">
            <v>Y</v>
          </cell>
          <cell r="E44" t="str">
            <v xml:space="preserve"> </v>
          </cell>
          <cell r="F44"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4" t="str">
            <v xml:space="preserve"> </v>
          </cell>
          <cell r="H44" t="str">
            <v>SouthDakota</v>
          </cell>
          <cell r="I44" t="str">
            <v>Y</v>
          </cell>
          <cell r="J44" t="str">
            <v>Y</v>
          </cell>
          <cell r="K44" t="str">
            <v>N</v>
          </cell>
          <cell r="L44" t="str">
            <v>N</v>
          </cell>
          <cell r="M44" t="str">
            <v xml:space="preserve"> </v>
          </cell>
          <cell r="N44" t="str">
            <v>Wet</v>
          </cell>
          <cell r="O44">
            <v>1</v>
          </cell>
          <cell r="P44" t="str">
            <v>APOR</v>
          </cell>
          <cell r="Q44">
            <v>6.5</v>
          </cell>
          <cell r="R44">
            <v>8.5</v>
          </cell>
          <cell r="S44">
            <v>5</v>
          </cell>
          <cell r="U44" t="str">
            <v>Owner Occupied</v>
          </cell>
          <cell r="V44" t="str">
            <v>Purchase, Rate-Term, Cash-Out</v>
          </cell>
          <cell r="X44" t="str">
            <v>Y</v>
          </cell>
        </row>
        <row r="45">
          <cell r="A45" t="str">
            <v>TN</v>
          </cell>
          <cell r="B45" t="str">
            <v>Non-CA</v>
          </cell>
          <cell r="C45" t="str">
            <v>Y</v>
          </cell>
          <cell r="D45" t="str">
            <v>Y</v>
          </cell>
          <cell r="E45" t="str">
            <v xml:space="preserve"> </v>
          </cell>
          <cell r="F45"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5" t="str">
            <v xml:space="preserve"> </v>
          </cell>
          <cell r="H45" t="str">
            <v>Tennessee</v>
          </cell>
          <cell r="I45" t="str">
            <v>Y</v>
          </cell>
          <cell r="J45" t="str">
            <v>Y</v>
          </cell>
          <cell r="K45" t="str">
            <v>N</v>
          </cell>
          <cell r="L45" t="str">
            <v>N</v>
          </cell>
          <cell r="M45" t="str">
            <v xml:space="preserve"> </v>
          </cell>
          <cell r="N45" t="str">
            <v>Wet</v>
          </cell>
          <cell r="O45">
            <v>1</v>
          </cell>
          <cell r="P45" t="str">
            <v>APOR</v>
          </cell>
          <cell r="Q45">
            <v>6.5</v>
          </cell>
          <cell r="R45">
            <v>8.5</v>
          </cell>
          <cell r="S45">
            <v>5</v>
          </cell>
          <cell r="T45" t="str">
            <v>lesser of FNMA limit and $350k</v>
          </cell>
          <cell r="U45" t="str">
            <v>Owner Occupied</v>
          </cell>
          <cell r="V45" t="str">
            <v>Purchase, Rate-Term, Cash-Out</v>
          </cell>
          <cell r="X45" t="str">
            <v>Y</v>
          </cell>
        </row>
        <row r="46">
          <cell r="A46" t="str">
            <v>TX</v>
          </cell>
          <cell r="B46" t="str">
            <v>Non-CA</v>
          </cell>
          <cell r="C46" t="str">
            <v>Y</v>
          </cell>
          <cell r="D46" t="str">
            <v>Y</v>
          </cell>
          <cell r="E46" t="str">
            <v>No IO when using TX 50(a)(6) Cashout</v>
          </cell>
          <cell r="F46"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6" t="str">
            <v xml:space="preserve"> </v>
          </cell>
          <cell r="H46" t="str">
            <v>Texas</v>
          </cell>
          <cell r="I46" t="str">
            <v>Y</v>
          </cell>
          <cell r="J46" t="str">
            <v>Y</v>
          </cell>
          <cell r="K46" t="str">
            <v>Y</v>
          </cell>
          <cell r="L46" t="str">
            <v>Y</v>
          </cell>
          <cell r="M46" t="str">
            <v xml:space="preserve"> </v>
          </cell>
          <cell r="N46" t="str">
            <v>Wet</v>
          </cell>
          <cell r="O46">
            <v>1</v>
          </cell>
          <cell r="P46" t="str">
            <v>Treasury</v>
          </cell>
          <cell r="Q46">
            <v>8</v>
          </cell>
          <cell r="R46">
            <v>10</v>
          </cell>
          <cell r="S46">
            <v>8</v>
          </cell>
          <cell r="T46" t="str">
            <v>Agency / 2</v>
          </cell>
          <cell r="U46" t="str">
            <v>Owner Occupied</v>
          </cell>
          <cell r="V46" t="str">
            <v>Purchase, Rate-Term, Cash-Out</v>
          </cell>
          <cell r="X46" t="str">
            <v>Y</v>
          </cell>
        </row>
        <row r="47">
          <cell r="A47" t="str">
            <v>UT</v>
          </cell>
          <cell r="B47" t="str">
            <v>Non-CA</v>
          </cell>
          <cell r="C47" t="str">
            <v>Y</v>
          </cell>
          <cell r="D47" t="str">
            <v>Y</v>
          </cell>
          <cell r="E47" t="str">
            <v xml:space="preserve"> </v>
          </cell>
          <cell r="F47"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7" t="str">
            <v xml:space="preserve"> </v>
          </cell>
          <cell r="H47" t="str">
            <v>Utah</v>
          </cell>
          <cell r="I47" t="str">
            <v>Y</v>
          </cell>
          <cell r="J47" t="str">
            <v>Y</v>
          </cell>
          <cell r="K47" t="str">
            <v>N</v>
          </cell>
          <cell r="L47" t="str">
            <v>Y</v>
          </cell>
          <cell r="M47" t="str">
            <v>NonQM OO, NonQM NOO, Second OO, Second NOO</v>
          </cell>
          <cell r="N47" t="str">
            <v>Wet</v>
          </cell>
          <cell r="O47">
            <v>1</v>
          </cell>
          <cell r="P47" t="str">
            <v>Treasury</v>
          </cell>
          <cell r="Q47">
            <v>8</v>
          </cell>
          <cell r="R47">
            <v>10</v>
          </cell>
          <cell r="S47">
            <v>8</v>
          </cell>
          <cell r="U47" t="str">
            <v>Owner Occupied</v>
          </cell>
          <cell r="V47" t="str">
            <v>Purchase, Rate-Term, Cash-Out</v>
          </cell>
          <cell r="X47" t="str">
            <v>N</v>
          </cell>
        </row>
        <row r="48">
          <cell r="A48" t="str">
            <v>VA</v>
          </cell>
          <cell r="B48" t="str">
            <v>Non-CA</v>
          </cell>
          <cell r="C48" t="str">
            <v>Y</v>
          </cell>
          <cell r="D48" t="str">
            <v>Y</v>
          </cell>
          <cell r="E48" t="str">
            <v xml:space="preserve"> </v>
          </cell>
          <cell r="F48"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48" t="str">
            <v xml:space="preserve"> </v>
          </cell>
          <cell r="H48" t="str">
            <v>Virginia</v>
          </cell>
          <cell r="I48" t="str">
            <v>N</v>
          </cell>
          <cell r="J48" t="str">
            <v>Y</v>
          </cell>
          <cell r="K48" t="str">
            <v>N</v>
          </cell>
          <cell r="L48" t="str">
            <v>Y</v>
          </cell>
          <cell r="M48" t="str">
            <v xml:space="preserve"> </v>
          </cell>
          <cell r="N48" t="str">
            <v>Wet</v>
          </cell>
          <cell r="O48">
            <v>1</v>
          </cell>
          <cell r="P48" t="str">
            <v>APOR</v>
          </cell>
          <cell r="Q48">
            <v>6.5</v>
          </cell>
          <cell r="R48">
            <v>8.5</v>
          </cell>
          <cell r="S48">
            <v>5</v>
          </cell>
          <cell r="U48" t="str">
            <v>Owner Occupied</v>
          </cell>
          <cell r="V48" t="str">
            <v>Purchase, Rate-Term, Cash-Out</v>
          </cell>
          <cell r="X48" t="str">
            <v>Y</v>
          </cell>
        </row>
        <row r="49">
          <cell r="A49" t="str">
            <v>VT</v>
          </cell>
          <cell r="B49" t="str">
            <v>Non-CA</v>
          </cell>
          <cell r="C49" t="str">
            <v>Y</v>
          </cell>
          <cell r="D49" t="str">
            <v>Y</v>
          </cell>
          <cell r="E49" t="str">
            <v xml:space="preserve"> </v>
          </cell>
          <cell r="F49" t="str">
            <v>No Prepay</v>
          </cell>
          <cell r="G49" t="str">
            <v>No Prepay Allowed</v>
          </cell>
          <cell r="H49" t="str">
            <v>Vermont</v>
          </cell>
          <cell r="I49" t="str">
            <v>Y</v>
          </cell>
          <cell r="J49" t="str">
            <v>Y</v>
          </cell>
          <cell r="K49" t="str">
            <v>N</v>
          </cell>
          <cell r="L49" t="str">
            <v>N</v>
          </cell>
          <cell r="M49" t="str">
            <v xml:space="preserve"> </v>
          </cell>
          <cell r="N49" t="str">
            <v>Wet</v>
          </cell>
          <cell r="O49">
            <v>1</v>
          </cell>
          <cell r="P49" t="str">
            <v>Rate</v>
          </cell>
          <cell r="Q49">
            <v>6.25</v>
          </cell>
          <cell r="R49">
            <v>8.5</v>
          </cell>
          <cell r="S49">
            <v>4</v>
          </cell>
          <cell r="U49" t="str">
            <v>Owner Occupied, Second Home, Non Owner Occupied</v>
          </cell>
          <cell r="V49" t="str">
            <v>Purchase, Rate-Term, Cash-Out</v>
          </cell>
          <cell r="X49" t="str">
            <v>Y</v>
          </cell>
        </row>
        <row r="50">
          <cell r="A50" t="str">
            <v>WA</v>
          </cell>
          <cell r="B50" t="str">
            <v>Non-CA</v>
          </cell>
          <cell r="C50" t="str">
            <v>Y</v>
          </cell>
          <cell r="D50" t="str">
            <v>Y</v>
          </cell>
          <cell r="E50" t="str">
            <v xml:space="preserve"> </v>
          </cell>
          <cell r="F50"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50" t="str">
            <v>Prepay Restriction May Apply</v>
          </cell>
          <cell r="H50" t="str">
            <v>Washington</v>
          </cell>
          <cell r="I50" t="str">
            <v>Y</v>
          </cell>
          <cell r="J50" t="str">
            <v>Y</v>
          </cell>
          <cell r="K50" t="str">
            <v>N</v>
          </cell>
          <cell r="L50" t="str">
            <v>Y</v>
          </cell>
          <cell r="M50" t="str">
            <v xml:space="preserve"> </v>
          </cell>
          <cell r="N50" t="str">
            <v>Dry</v>
          </cell>
          <cell r="O50">
            <v>1</v>
          </cell>
          <cell r="P50" t="str">
            <v>APOR</v>
          </cell>
          <cell r="Q50">
            <v>6.5</v>
          </cell>
          <cell r="R50">
            <v>8.5</v>
          </cell>
          <cell r="S50">
            <v>5</v>
          </cell>
          <cell r="U50" t="str">
            <v>Owner Occupied</v>
          </cell>
          <cell r="V50" t="str">
            <v>Purchase, Rate-Term, Cash-Out</v>
          </cell>
          <cell r="X50" t="str">
            <v>Y</v>
          </cell>
        </row>
        <row r="51">
          <cell r="A51" t="str">
            <v>WI</v>
          </cell>
          <cell r="B51" t="str">
            <v>Non-CA</v>
          </cell>
          <cell r="C51" t="str">
            <v>Y</v>
          </cell>
          <cell r="D51" t="str">
            <v>Y</v>
          </cell>
          <cell r="E51" t="str">
            <v xml:space="preserve"> </v>
          </cell>
          <cell r="F51"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51" t="str">
            <v>Prepay Restriction May Apply: No PPP permitted on ARMS</v>
          </cell>
          <cell r="H51" t="str">
            <v>Wisconsin</v>
          </cell>
          <cell r="I51" t="str">
            <v>Y</v>
          </cell>
          <cell r="J51" t="str">
            <v>Y</v>
          </cell>
          <cell r="K51" t="str">
            <v>N</v>
          </cell>
          <cell r="L51" t="str">
            <v>Y</v>
          </cell>
          <cell r="M51" t="str">
            <v xml:space="preserve"> </v>
          </cell>
          <cell r="N51" t="str">
            <v>Wet</v>
          </cell>
          <cell r="O51">
            <v>1</v>
          </cell>
          <cell r="P51" t="str">
            <v>APOR</v>
          </cell>
          <cell r="Q51">
            <v>6.5</v>
          </cell>
          <cell r="R51">
            <v>8.5</v>
          </cell>
          <cell r="S51">
            <v>6</v>
          </cell>
          <cell r="U51" t="str">
            <v>Owner Occupied</v>
          </cell>
          <cell r="V51" t="str">
            <v>Purchase, Rate-Term, Cash-Out</v>
          </cell>
          <cell r="X51" t="str">
            <v>Y</v>
          </cell>
        </row>
        <row r="52">
          <cell r="A52" t="str">
            <v>WV</v>
          </cell>
          <cell r="B52" t="str">
            <v>Non-CA</v>
          </cell>
          <cell r="C52" t="str">
            <v>Y</v>
          </cell>
          <cell r="D52" t="str">
            <v>Y</v>
          </cell>
          <cell r="E52" t="str">
            <v xml:space="preserve"> </v>
          </cell>
          <cell r="F52"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52" t="str">
            <v xml:space="preserve"> </v>
          </cell>
          <cell r="H52" t="str">
            <v>WestVirginia</v>
          </cell>
          <cell r="I52" t="str">
            <v>Y</v>
          </cell>
          <cell r="J52" t="str">
            <v>Y</v>
          </cell>
          <cell r="K52" t="str">
            <v>N</v>
          </cell>
          <cell r="L52" t="str">
            <v>Y</v>
          </cell>
          <cell r="M52" t="str">
            <v xml:space="preserve"> </v>
          </cell>
          <cell r="N52" t="str">
            <v>Wet</v>
          </cell>
          <cell r="O52">
            <v>1</v>
          </cell>
          <cell r="P52" t="str">
            <v>APOR</v>
          </cell>
          <cell r="Q52">
            <v>6.5</v>
          </cell>
          <cell r="R52">
            <v>8.5</v>
          </cell>
          <cell r="S52">
            <v>5</v>
          </cell>
          <cell r="U52" t="str">
            <v>Owner Occupied</v>
          </cell>
          <cell r="V52" t="str">
            <v>Purchase, Rate-Term, Cash-Out</v>
          </cell>
          <cell r="X52" t="str">
            <v>Y</v>
          </cell>
        </row>
        <row r="53">
          <cell r="A53" t="str">
            <v>WY</v>
          </cell>
          <cell r="B53" t="str">
            <v>Non-CA</v>
          </cell>
          <cell r="C53" t="str">
            <v>Y</v>
          </cell>
          <cell r="D53" t="str">
            <v>Y</v>
          </cell>
          <cell r="E53" t="str">
            <v xml:space="preserve"> </v>
          </cell>
          <cell r="F53" t="str">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ell>
          <cell r="G53" t="str">
            <v xml:space="preserve"> </v>
          </cell>
          <cell r="H53" t="str">
            <v>Wyoming</v>
          </cell>
          <cell r="I53" t="str">
            <v>Y</v>
          </cell>
          <cell r="J53" t="str">
            <v>Y</v>
          </cell>
          <cell r="K53" t="str">
            <v>N</v>
          </cell>
          <cell r="L53" t="str">
            <v>Y</v>
          </cell>
          <cell r="M53" t="str">
            <v xml:space="preserve"> </v>
          </cell>
          <cell r="N53" t="str">
            <v>Dry</v>
          </cell>
          <cell r="O53">
            <v>1</v>
          </cell>
          <cell r="P53" t="str">
            <v>APOR</v>
          </cell>
          <cell r="Q53">
            <v>6.5</v>
          </cell>
          <cell r="R53">
            <v>8.5</v>
          </cell>
          <cell r="S53">
            <v>5</v>
          </cell>
          <cell r="U53" t="str">
            <v>Owner Occupied</v>
          </cell>
          <cell r="V53" t="str">
            <v>Purchase, Rate-Term, Cash-Out</v>
          </cell>
          <cell r="X53" t="str">
            <v>Y</v>
          </cell>
        </row>
        <row r="56">
          <cell r="B56" t="str">
            <v>US, DC</v>
          </cell>
        </row>
        <row r="57">
          <cell r="B57">
            <v>806500</v>
          </cell>
          <cell r="C57">
            <v>1209750</v>
          </cell>
        </row>
        <row r="58">
          <cell r="B58">
            <v>1032650</v>
          </cell>
          <cell r="C58">
            <v>1548975</v>
          </cell>
        </row>
        <row r="59">
          <cell r="B59">
            <v>1248150</v>
          </cell>
          <cell r="C59">
            <v>1872225</v>
          </cell>
        </row>
        <row r="60">
          <cell r="B60">
            <v>1551250</v>
          </cell>
          <cell r="C60">
            <v>2326875</v>
          </cell>
        </row>
      </sheetData>
      <sheetData sheetId="4">
        <row r="3">
          <cell r="B3" t="str">
            <v>Rate</v>
          </cell>
          <cell r="C3" t="str">
            <v>Price + Base LLPA + Adj</v>
          </cell>
        </row>
        <row r="4">
          <cell r="B4">
            <v>6.625</v>
          </cell>
          <cell r="C4">
            <v>99.375</v>
          </cell>
        </row>
      </sheetData>
      <sheetData sheetId="5">
        <row r="2">
          <cell r="B2">
            <v>0.09</v>
          </cell>
        </row>
        <row r="3">
          <cell r="A3">
            <v>44201</v>
          </cell>
          <cell r="B3">
            <v>0.08</v>
          </cell>
          <cell r="C3">
            <v>0.09</v>
          </cell>
          <cell r="D3">
            <v>0.09</v>
          </cell>
          <cell r="E3">
            <v>0.09</v>
          </cell>
          <cell r="F3">
            <v>0.1</v>
          </cell>
          <cell r="G3">
            <v>0.13</v>
          </cell>
          <cell r="H3">
            <v>0.17</v>
          </cell>
          <cell r="I3">
            <v>0.38</v>
          </cell>
          <cell r="J3">
            <v>0.66</v>
          </cell>
          <cell r="K3">
            <v>0.96</v>
          </cell>
          <cell r="L3">
            <v>1.49</v>
          </cell>
          <cell r="M3">
            <v>1.7</v>
          </cell>
        </row>
        <row r="4">
          <cell r="A4">
            <v>44202</v>
          </cell>
          <cell r="B4">
            <v>0.09</v>
          </cell>
          <cell r="C4">
            <v>0.09</v>
          </cell>
          <cell r="D4">
            <v>0.09</v>
          </cell>
          <cell r="E4">
            <v>0.09</v>
          </cell>
          <cell r="F4">
            <v>0.11</v>
          </cell>
          <cell r="G4">
            <v>0.14000000000000001</v>
          </cell>
          <cell r="H4">
            <v>0.2</v>
          </cell>
          <cell r="I4">
            <v>0.43</v>
          </cell>
          <cell r="J4">
            <v>0.74</v>
          </cell>
          <cell r="K4">
            <v>1.04</v>
          </cell>
          <cell r="L4">
            <v>1.6</v>
          </cell>
          <cell r="M4">
            <v>1.81</v>
          </cell>
        </row>
        <row r="5">
          <cell r="A5">
            <v>44203</v>
          </cell>
          <cell r="B5">
            <v>0.09</v>
          </cell>
          <cell r="C5">
            <v>0.09</v>
          </cell>
          <cell r="D5">
            <v>0.09</v>
          </cell>
          <cell r="E5">
            <v>0.09</v>
          </cell>
          <cell r="F5">
            <v>0.11</v>
          </cell>
          <cell r="G5">
            <v>0.14000000000000001</v>
          </cell>
          <cell r="H5">
            <v>0.22</v>
          </cell>
          <cell r="I5">
            <v>0.46</v>
          </cell>
          <cell r="J5">
            <v>0.78</v>
          </cell>
          <cell r="K5">
            <v>1.08</v>
          </cell>
          <cell r="L5">
            <v>1.64</v>
          </cell>
          <cell r="M5">
            <v>1.85</v>
          </cell>
        </row>
        <row r="6">
          <cell r="A6">
            <v>44204</v>
          </cell>
          <cell r="B6">
            <v>0.08</v>
          </cell>
          <cell r="C6">
            <v>0.08</v>
          </cell>
          <cell r="D6">
            <v>0.08</v>
          </cell>
          <cell r="E6">
            <v>0.09</v>
          </cell>
          <cell r="F6">
            <v>0.1</v>
          </cell>
          <cell r="G6">
            <v>0.14000000000000001</v>
          </cell>
          <cell r="H6">
            <v>0.24</v>
          </cell>
          <cell r="I6">
            <v>0.49</v>
          </cell>
          <cell r="J6">
            <v>0.81</v>
          </cell>
          <cell r="K6">
            <v>1.1299999999999999</v>
          </cell>
          <cell r="L6">
            <v>1.67</v>
          </cell>
          <cell r="M6">
            <v>1.87</v>
          </cell>
        </row>
        <row r="7">
          <cell r="A7">
            <v>44207</v>
          </cell>
          <cell r="B7">
            <v>0.09</v>
          </cell>
          <cell r="C7">
            <v>0.08</v>
          </cell>
          <cell r="D7">
            <v>0.08</v>
          </cell>
          <cell r="E7">
            <v>0.1</v>
          </cell>
          <cell r="F7">
            <v>0.1</v>
          </cell>
          <cell r="G7">
            <v>0.14000000000000001</v>
          </cell>
          <cell r="H7">
            <v>0.22</v>
          </cell>
          <cell r="I7">
            <v>0.5</v>
          </cell>
          <cell r="J7">
            <v>0.84</v>
          </cell>
          <cell r="K7">
            <v>1.1499999999999999</v>
          </cell>
          <cell r="L7">
            <v>1.68</v>
          </cell>
          <cell r="M7">
            <v>1.88</v>
          </cell>
        </row>
        <row r="8">
          <cell r="A8">
            <v>44208</v>
          </cell>
          <cell r="B8">
            <v>0.09</v>
          </cell>
          <cell r="C8">
            <v>0.08</v>
          </cell>
          <cell r="D8">
            <v>0.09</v>
          </cell>
          <cell r="E8">
            <v>0.09</v>
          </cell>
          <cell r="F8">
            <v>0.11</v>
          </cell>
          <cell r="G8">
            <v>0.14000000000000001</v>
          </cell>
          <cell r="H8">
            <v>0.23</v>
          </cell>
          <cell r="I8">
            <v>0.5</v>
          </cell>
          <cell r="J8">
            <v>0.83</v>
          </cell>
          <cell r="K8">
            <v>1.1499999999999999</v>
          </cell>
          <cell r="L8">
            <v>1.68</v>
          </cell>
          <cell r="M8">
            <v>1.88</v>
          </cell>
        </row>
        <row r="9">
          <cell r="A9">
            <v>44209</v>
          </cell>
          <cell r="B9">
            <v>0.09</v>
          </cell>
          <cell r="C9">
            <v>0.08</v>
          </cell>
          <cell r="D9">
            <v>0.09</v>
          </cell>
          <cell r="E9">
            <v>0.1</v>
          </cell>
          <cell r="F9">
            <v>0.12</v>
          </cell>
          <cell r="G9">
            <v>0.14000000000000001</v>
          </cell>
          <cell r="H9">
            <v>0.22</v>
          </cell>
          <cell r="I9">
            <v>0.48</v>
          </cell>
          <cell r="J9">
            <v>0.8</v>
          </cell>
          <cell r="K9">
            <v>1.1000000000000001</v>
          </cell>
          <cell r="L9">
            <v>1.63</v>
          </cell>
          <cell r="M9">
            <v>1.82</v>
          </cell>
        </row>
        <row r="10">
          <cell r="A10">
            <v>44210</v>
          </cell>
          <cell r="B10">
            <v>0.09</v>
          </cell>
          <cell r="C10">
            <v>0.09</v>
          </cell>
          <cell r="D10">
            <v>0.09</v>
          </cell>
          <cell r="E10">
            <v>0.09</v>
          </cell>
          <cell r="F10">
            <v>0.1</v>
          </cell>
          <cell r="G10">
            <v>0.16</v>
          </cell>
          <cell r="H10">
            <v>0.23</v>
          </cell>
          <cell r="I10">
            <v>0.49</v>
          </cell>
          <cell r="J10">
            <v>0.82</v>
          </cell>
          <cell r="K10">
            <v>1.1499999999999999</v>
          </cell>
          <cell r="L10">
            <v>1.69</v>
          </cell>
          <cell r="M10">
            <v>1.88</v>
          </cell>
        </row>
        <row r="11">
          <cell r="A11">
            <v>44211</v>
          </cell>
          <cell r="B11">
            <v>0.08</v>
          </cell>
          <cell r="C11">
            <v>0.09</v>
          </cell>
          <cell r="D11">
            <v>0.09</v>
          </cell>
          <cell r="E11">
            <v>0.1</v>
          </cell>
          <cell r="F11">
            <v>0.1</v>
          </cell>
          <cell r="G11">
            <v>0.13</v>
          </cell>
          <cell r="H11">
            <v>0.2</v>
          </cell>
          <cell r="I11">
            <v>0.46</v>
          </cell>
          <cell r="J11">
            <v>0.78</v>
          </cell>
          <cell r="K11">
            <v>1.1100000000000001</v>
          </cell>
          <cell r="L11">
            <v>1.66</v>
          </cell>
          <cell r="M11">
            <v>1.85</v>
          </cell>
        </row>
        <row r="12">
          <cell r="A12">
            <v>44215</v>
          </cell>
          <cell r="B12">
            <v>7.0000000000000007E-2</v>
          </cell>
          <cell r="C12">
            <v>0.09</v>
          </cell>
          <cell r="D12">
            <v>0.09</v>
          </cell>
          <cell r="E12">
            <v>0.11</v>
          </cell>
          <cell r="F12">
            <v>0.1</v>
          </cell>
          <cell r="G12">
            <v>0.14000000000000001</v>
          </cell>
          <cell r="H12">
            <v>0.21</v>
          </cell>
          <cell r="I12">
            <v>0.45</v>
          </cell>
          <cell r="J12">
            <v>0.78</v>
          </cell>
          <cell r="K12">
            <v>1.1000000000000001</v>
          </cell>
          <cell r="L12">
            <v>1.65</v>
          </cell>
          <cell r="M12">
            <v>1.84</v>
          </cell>
        </row>
        <row r="13">
          <cell r="A13">
            <v>44216</v>
          </cell>
          <cell r="B13">
            <v>0.08</v>
          </cell>
          <cell r="C13">
            <v>0.08</v>
          </cell>
          <cell r="D13">
            <v>0.08</v>
          </cell>
          <cell r="E13">
            <v>0.1</v>
          </cell>
          <cell r="F13">
            <v>0.1</v>
          </cell>
          <cell r="G13">
            <v>0.13</v>
          </cell>
          <cell r="H13">
            <v>0.19</v>
          </cell>
          <cell r="I13">
            <v>0.45</v>
          </cell>
          <cell r="J13">
            <v>0.78</v>
          </cell>
          <cell r="K13">
            <v>1.1000000000000001</v>
          </cell>
          <cell r="L13">
            <v>1.65</v>
          </cell>
          <cell r="M13">
            <v>1.84</v>
          </cell>
        </row>
        <row r="14">
          <cell r="A14">
            <v>44217</v>
          </cell>
          <cell r="B14">
            <v>7.0000000000000007E-2</v>
          </cell>
          <cell r="C14">
            <v>0.09</v>
          </cell>
          <cell r="D14">
            <v>0.09</v>
          </cell>
          <cell r="E14">
            <v>0.09</v>
          </cell>
          <cell r="F14">
            <v>0.1</v>
          </cell>
          <cell r="G14">
            <v>0.13</v>
          </cell>
          <cell r="H14">
            <v>0.19</v>
          </cell>
          <cell r="I14">
            <v>0.45</v>
          </cell>
          <cell r="J14">
            <v>0.79</v>
          </cell>
          <cell r="K14">
            <v>1.1200000000000001</v>
          </cell>
          <cell r="L14">
            <v>1.68</v>
          </cell>
          <cell r="M14">
            <v>1.87</v>
          </cell>
        </row>
        <row r="15">
          <cell r="A15">
            <v>44218</v>
          </cell>
          <cell r="B15">
            <v>7.0000000000000007E-2</v>
          </cell>
          <cell r="C15">
            <v>0.08</v>
          </cell>
          <cell r="D15">
            <v>0.08</v>
          </cell>
          <cell r="E15">
            <v>0.1</v>
          </cell>
          <cell r="F15">
            <v>0.1</v>
          </cell>
          <cell r="G15">
            <v>0.13</v>
          </cell>
          <cell r="H15">
            <v>0.19</v>
          </cell>
          <cell r="I15">
            <v>0.44</v>
          </cell>
          <cell r="J15">
            <v>0.77</v>
          </cell>
          <cell r="K15">
            <v>1.1000000000000001</v>
          </cell>
          <cell r="L15">
            <v>1.66</v>
          </cell>
          <cell r="M15">
            <v>1.85</v>
          </cell>
        </row>
        <row r="16">
          <cell r="A16">
            <v>44221</v>
          </cell>
          <cell r="B16">
            <v>7.0000000000000007E-2</v>
          </cell>
          <cell r="C16">
            <v>0.08</v>
          </cell>
          <cell r="D16">
            <v>0.09</v>
          </cell>
          <cell r="E16">
            <v>0.09</v>
          </cell>
          <cell r="F16">
            <v>0.1</v>
          </cell>
          <cell r="G16">
            <v>0.13</v>
          </cell>
          <cell r="H16">
            <v>0.17</v>
          </cell>
          <cell r="I16">
            <v>0.42</v>
          </cell>
          <cell r="J16">
            <v>0.73</v>
          </cell>
          <cell r="K16">
            <v>1.05</v>
          </cell>
          <cell r="L16">
            <v>1.61</v>
          </cell>
          <cell r="M16">
            <v>1.8</v>
          </cell>
        </row>
        <row r="17">
          <cell r="A17">
            <v>44222</v>
          </cell>
          <cell r="B17">
            <v>0.05</v>
          </cell>
          <cell r="C17">
            <v>7.0000000000000007E-2</v>
          </cell>
          <cell r="D17">
            <v>7.0000000000000007E-2</v>
          </cell>
          <cell r="E17">
            <v>0.09</v>
          </cell>
          <cell r="F17">
            <v>0.09</v>
          </cell>
          <cell r="G17">
            <v>0.11</v>
          </cell>
          <cell r="H17">
            <v>0.18</v>
          </cell>
          <cell r="I17">
            <v>0.42</v>
          </cell>
          <cell r="J17">
            <v>0.74</v>
          </cell>
          <cell r="K17">
            <v>1.05</v>
          </cell>
          <cell r="L17">
            <v>1.61</v>
          </cell>
          <cell r="M17">
            <v>1.8</v>
          </cell>
        </row>
        <row r="18">
          <cell r="A18">
            <v>44223</v>
          </cell>
          <cell r="B18">
            <v>0.05</v>
          </cell>
          <cell r="C18">
            <v>0.06</v>
          </cell>
          <cell r="D18">
            <v>0.08</v>
          </cell>
          <cell r="E18">
            <v>0.09</v>
          </cell>
          <cell r="F18">
            <v>0.09</v>
          </cell>
          <cell r="G18">
            <v>0.12</v>
          </cell>
          <cell r="H18">
            <v>0.18</v>
          </cell>
          <cell r="I18">
            <v>0.41</v>
          </cell>
          <cell r="J18">
            <v>0.72</v>
          </cell>
          <cell r="K18">
            <v>1.04</v>
          </cell>
          <cell r="L18">
            <v>1.6</v>
          </cell>
          <cell r="M18">
            <v>1.79</v>
          </cell>
        </row>
        <row r="19">
          <cell r="A19">
            <v>44224</v>
          </cell>
          <cell r="B19">
            <v>0.05</v>
          </cell>
          <cell r="C19">
            <v>0.06</v>
          </cell>
          <cell r="D19">
            <v>7.0000000000000007E-2</v>
          </cell>
          <cell r="E19">
            <v>0.08</v>
          </cell>
          <cell r="F19">
            <v>0.08</v>
          </cell>
          <cell r="G19">
            <v>0.12</v>
          </cell>
          <cell r="H19">
            <v>0.18</v>
          </cell>
          <cell r="I19">
            <v>0.42</v>
          </cell>
          <cell r="J19">
            <v>0.75</v>
          </cell>
          <cell r="K19">
            <v>1.07</v>
          </cell>
          <cell r="L19">
            <v>1.63</v>
          </cell>
          <cell r="M19">
            <v>1.81</v>
          </cell>
        </row>
        <row r="20">
          <cell r="A20">
            <v>44225</v>
          </cell>
          <cell r="B20">
            <v>7.0000000000000007E-2</v>
          </cell>
          <cell r="C20">
            <v>7.0000000000000007E-2</v>
          </cell>
          <cell r="D20">
            <v>0.06</v>
          </cell>
          <cell r="E20">
            <v>7.0000000000000007E-2</v>
          </cell>
          <cell r="F20">
            <v>0.1</v>
          </cell>
          <cell r="G20">
            <v>0.11</v>
          </cell>
          <cell r="H20">
            <v>0.19</v>
          </cell>
          <cell r="I20">
            <v>0.45</v>
          </cell>
          <cell r="J20">
            <v>0.79</v>
          </cell>
          <cell r="K20">
            <v>1.1100000000000001</v>
          </cell>
          <cell r="L20">
            <v>1.68</v>
          </cell>
          <cell r="M20">
            <v>1.87</v>
          </cell>
        </row>
        <row r="21">
          <cell r="A21">
            <v>44228</v>
          </cell>
          <cell r="B21">
            <v>0.06</v>
          </cell>
          <cell r="C21">
            <v>7.0000000000000007E-2</v>
          </cell>
          <cell r="D21">
            <v>7.0000000000000007E-2</v>
          </cell>
          <cell r="E21">
            <v>0.08</v>
          </cell>
          <cell r="F21">
            <v>0.08</v>
          </cell>
          <cell r="G21">
            <v>0.11</v>
          </cell>
          <cell r="H21">
            <v>0.17</v>
          </cell>
          <cell r="I21">
            <v>0.42</v>
          </cell>
          <cell r="J21">
            <v>0.76</v>
          </cell>
          <cell r="K21">
            <v>1.0900000000000001</v>
          </cell>
          <cell r="L21">
            <v>1.66</v>
          </cell>
          <cell r="M21">
            <v>1.84</v>
          </cell>
        </row>
        <row r="22">
          <cell r="A22">
            <v>44229</v>
          </cell>
          <cell r="B22">
            <v>0.04</v>
          </cell>
          <cell r="C22">
            <v>0.05</v>
          </cell>
          <cell r="D22">
            <v>7.0000000000000007E-2</v>
          </cell>
          <cell r="E22">
            <v>0.08</v>
          </cell>
          <cell r="F22">
            <v>0.08</v>
          </cell>
          <cell r="G22">
            <v>0.11</v>
          </cell>
          <cell r="H22">
            <v>0.18</v>
          </cell>
          <cell r="I22">
            <v>0.45</v>
          </cell>
          <cell r="J22">
            <v>0.79</v>
          </cell>
          <cell r="K22">
            <v>1.1200000000000001</v>
          </cell>
          <cell r="L22">
            <v>1.69</v>
          </cell>
          <cell r="M22">
            <v>1.87</v>
          </cell>
        </row>
        <row r="23">
          <cell r="A23">
            <v>44230</v>
          </cell>
          <cell r="B23">
            <v>0.03</v>
          </cell>
          <cell r="C23">
            <v>0.04</v>
          </cell>
          <cell r="D23">
            <v>0.04</v>
          </cell>
          <cell r="E23">
            <v>0.06</v>
          </cell>
          <cell r="F23">
            <v>0.08</v>
          </cell>
          <cell r="G23">
            <v>0.11</v>
          </cell>
          <cell r="H23">
            <v>0.19</v>
          </cell>
          <cell r="I23">
            <v>0.46</v>
          </cell>
          <cell r="J23">
            <v>0.81</v>
          </cell>
          <cell r="K23">
            <v>1.1499999999999999</v>
          </cell>
          <cell r="L23">
            <v>1.73</v>
          </cell>
          <cell r="M23">
            <v>1.92</v>
          </cell>
        </row>
        <row r="24">
          <cell r="A24">
            <v>44231</v>
          </cell>
          <cell r="B24">
            <v>0.03</v>
          </cell>
          <cell r="C24">
            <v>0.04</v>
          </cell>
          <cell r="D24">
            <v>0.04</v>
          </cell>
          <cell r="E24">
            <v>0.06</v>
          </cell>
          <cell r="F24">
            <v>7.0000000000000007E-2</v>
          </cell>
          <cell r="G24">
            <v>0.11</v>
          </cell>
          <cell r="H24">
            <v>0.18</v>
          </cell>
          <cell r="I24">
            <v>0.46</v>
          </cell>
          <cell r="J24">
            <v>0.81</v>
          </cell>
          <cell r="K24">
            <v>1.1499999999999999</v>
          </cell>
          <cell r="L24">
            <v>1.75</v>
          </cell>
          <cell r="M24">
            <v>1.93</v>
          </cell>
        </row>
        <row r="25">
          <cell r="A25">
            <v>44232</v>
          </cell>
          <cell r="B25">
            <v>0.02</v>
          </cell>
          <cell r="C25">
            <v>0.03</v>
          </cell>
          <cell r="D25">
            <v>0.03</v>
          </cell>
          <cell r="E25">
            <v>0.05</v>
          </cell>
          <cell r="F25">
            <v>0.06</v>
          </cell>
          <cell r="G25">
            <v>0.09</v>
          </cell>
          <cell r="H25">
            <v>0.19</v>
          </cell>
          <cell r="I25">
            <v>0.47</v>
          </cell>
          <cell r="J25">
            <v>0.83</v>
          </cell>
          <cell r="K25">
            <v>1.19</v>
          </cell>
          <cell r="L25">
            <v>1.79</v>
          </cell>
          <cell r="M25">
            <v>1.97</v>
          </cell>
        </row>
        <row r="26">
          <cell r="A26">
            <v>44235</v>
          </cell>
          <cell r="B26">
            <v>0.04</v>
          </cell>
          <cell r="C26">
            <v>0.03</v>
          </cell>
          <cell r="D26">
            <v>0.05</v>
          </cell>
          <cell r="E26">
            <v>0.05</v>
          </cell>
          <cell r="F26">
            <v>7.0000000000000007E-2</v>
          </cell>
          <cell r="G26">
            <v>0.11</v>
          </cell>
          <cell r="H26">
            <v>0.2</v>
          </cell>
          <cell r="I26">
            <v>0.48</v>
          </cell>
          <cell r="J26">
            <v>0.83</v>
          </cell>
          <cell r="K26">
            <v>1.19</v>
          </cell>
          <cell r="L26">
            <v>1.78</v>
          </cell>
          <cell r="M26">
            <v>1.96</v>
          </cell>
        </row>
        <row r="27">
          <cell r="A27">
            <v>44236</v>
          </cell>
          <cell r="B27">
            <v>0.04</v>
          </cell>
          <cell r="C27">
            <v>0.04</v>
          </cell>
          <cell r="D27">
            <v>0.04</v>
          </cell>
          <cell r="E27">
            <v>0.06</v>
          </cell>
          <cell r="F27">
            <v>7.0000000000000007E-2</v>
          </cell>
          <cell r="G27">
            <v>0.11</v>
          </cell>
          <cell r="H27">
            <v>0.19</v>
          </cell>
          <cell r="I27">
            <v>0.48</v>
          </cell>
          <cell r="J27">
            <v>0.83</v>
          </cell>
          <cell r="K27">
            <v>1.18</v>
          </cell>
          <cell r="L27">
            <v>1.78</v>
          </cell>
          <cell r="M27">
            <v>1.95</v>
          </cell>
        </row>
        <row r="28">
          <cell r="A28">
            <v>44237</v>
          </cell>
          <cell r="B28">
            <v>0.05</v>
          </cell>
          <cell r="C28">
            <v>0.04</v>
          </cell>
          <cell r="D28">
            <v>0.05</v>
          </cell>
          <cell r="E28">
            <v>0.06</v>
          </cell>
          <cell r="F28">
            <v>7.0000000000000007E-2</v>
          </cell>
          <cell r="G28">
            <v>0.11</v>
          </cell>
          <cell r="H28">
            <v>0.19</v>
          </cell>
          <cell r="I28">
            <v>0.46</v>
          </cell>
          <cell r="J28">
            <v>0.8</v>
          </cell>
          <cell r="K28">
            <v>1.1499999999999999</v>
          </cell>
          <cell r="L28">
            <v>1.75</v>
          </cell>
          <cell r="M28">
            <v>1.92</v>
          </cell>
        </row>
        <row r="29">
          <cell r="A29">
            <v>44238</v>
          </cell>
          <cell r="B29">
            <v>0.05</v>
          </cell>
          <cell r="C29">
            <v>0.05</v>
          </cell>
          <cell r="D29">
            <v>0.05</v>
          </cell>
          <cell r="E29">
            <v>0.06</v>
          </cell>
          <cell r="F29">
            <v>7.0000000000000007E-2</v>
          </cell>
          <cell r="G29">
            <v>0.11</v>
          </cell>
          <cell r="H29">
            <v>0.19</v>
          </cell>
          <cell r="I29">
            <v>0.46</v>
          </cell>
          <cell r="J29">
            <v>0.81</v>
          </cell>
          <cell r="K29">
            <v>1.1599999999999999</v>
          </cell>
          <cell r="L29">
            <v>1.77</v>
          </cell>
          <cell r="M29">
            <v>1.94</v>
          </cell>
        </row>
        <row r="30">
          <cell r="A30">
            <v>44239</v>
          </cell>
          <cell r="B30">
            <v>0.03</v>
          </cell>
          <cell r="C30">
            <v>0.04</v>
          </cell>
          <cell r="D30">
            <v>0.04</v>
          </cell>
          <cell r="E30">
            <v>0.05</v>
          </cell>
          <cell r="F30">
            <v>0.06</v>
          </cell>
          <cell r="G30">
            <v>0.11</v>
          </cell>
          <cell r="H30">
            <v>0.2</v>
          </cell>
          <cell r="I30">
            <v>0.5</v>
          </cell>
          <cell r="J30">
            <v>0.85</v>
          </cell>
          <cell r="K30">
            <v>1.2</v>
          </cell>
          <cell r="L30">
            <v>1.83</v>
          </cell>
          <cell r="M30">
            <v>2.0099999999999998</v>
          </cell>
        </row>
        <row r="31">
          <cell r="A31">
            <v>44243</v>
          </cell>
          <cell r="B31">
            <v>0.03</v>
          </cell>
          <cell r="C31">
            <v>0.04</v>
          </cell>
          <cell r="D31">
            <v>0.04</v>
          </cell>
          <cell r="E31">
            <v>0.06</v>
          </cell>
          <cell r="F31">
            <v>0.08</v>
          </cell>
          <cell r="G31">
            <v>0.13</v>
          </cell>
          <cell r="H31">
            <v>0.23</v>
          </cell>
          <cell r="I31">
            <v>0.56999999999999995</v>
          </cell>
          <cell r="J31">
            <v>0.94</v>
          </cell>
          <cell r="K31">
            <v>1.3</v>
          </cell>
          <cell r="L31">
            <v>1.92</v>
          </cell>
          <cell r="M31">
            <v>2.08</v>
          </cell>
        </row>
        <row r="32">
          <cell r="A32">
            <v>44244</v>
          </cell>
          <cell r="B32">
            <v>0.03</v>
          </cell>
          <cell r="C32">
            <v>0.04</v>
          </cell>
          <cell r="D32">
            <v>0.04</v>
          </cell>
          <cell r="E32">
            <v>0.06</v>
          </cell>
          <cell r="F32">
            <v>7.0000000000000007E-2</v>
          </cell>
          <cell r="G32">
            <v>0.11</v>
          </cell>
          <cell r="H32">
            <v>0.21</v>
          </cell>
          <cell r="I32">
            <v>0.56999999999999995</v>
          </cell>
          <cell r="J32">
            <v>0.94</v>
          </cell>
          <cell r="K32">
            <v>1.29</v>
          </cell>
          <cell r="L32">
            <v>1.92</v>
          </cell>
          <cell r="M32">
            <v>2.06</v>
          </cell>
        </row>
        <row r="33">
          <cell r="A33">
            <v>44245</v>
          </cell>
          <cell r="B33">
            <v>0.03</v>
          </cell>
          <cell r="C33">
            <v>0.03</v>
          </cell>
          <cell r="D33">
            <v>0.03</v>
          </cell>
          <cell r="E33">
            <v>0.04</v>
          </cell>
          <cell r="F33">
            <v>0.06</v>
          </cell>
          <cell r="G33">
            <v>0.11</v>
          </cell>
          <cell r="H33">
            <v>0.21</v>
          </cell>
          <cell r="I33">
            <v>0.56000000000000005</v>
          </cell>
          <cell r="J33">
            <v>0.94</v>
          </cell>
          <cell r="K33">
            <v>1.29</v>
          </cell>
          <cell r="L33">
            <v>1.91</v>
          </cell>
          <cell r="M33">
            <v>2.08</v>
          </cell>
        </row>
        <row r="34">
          <cell r="A34">
            <v>44246</v>
          </cell>
          <cell r="B34">
            <v>0.03</v>
          </cell>
          <cell r="C34">
            <v>0.03</v>
          </cell>
          <cell r="D34">
            <v>0.04</v>
          </cell>
          <cell r="E34">
            <v>0.06</v>
          </cell>
          <cell r="F34">
            <v>7.0000000000000007E-2</v>
          </cell>
          <cell r="G34">
            <v>0.11</v>
          </cell>
          <cell r="H34">
            <v>0.22</v>
          </cell>
          <cell r="I34">
            <v>0.59</v>
          </cell>
          <cell r="J34">
            <v>0.98</v>
          </cell>
          <cell r="K34">
            <v>1.34</v>
          </cell>
          <cell r="L34">
            <v>1.98</v>
          </cell>
          <cell r="M34">
            <v>2.14</v>
          </cell>
        </row>
        <row r="35">
          <cell r="A35">
            <v>44249</v>
          </cell>
          <cell r="B35">
            <v>0.03</v>
          </cell>
          <cell r="C35">
            <v>0.02</v>
          </cell>
          <cell r="D35">
            <v>0.03</v>
          </cell>
          <cell r="E35">
            <v>0.04</v>
          </cell>
          <cell r="F35">
            <v>0.06</v>
          </cell>
          <cell r="G35">
            <v>0.11</v>
          </cell>
          <cell r="H35">
            <v>0.22</v>
          </cell>
          <cell r="I35">
            <v>0.61</v>
          </cell>
          <cell r="J35">
            <v>1</v>
          </cell>
          <cell r="K35">
            <v>1.37</v>
          </cell>
          <cell r="L35">
            <v>2.02</v>
          </cell>
          <cell r="M35">
            <v>2.19</v>
          </cell>
        </row>
        <row r="36">
          <cell r="A36">
            <v>44250</v>
          </cell>
          <cell r="B36">
            <v>0.03</v>
          </cell>
          <cell r="C36">
            <v>0.02</v>
          </cell>
          <cell r="D36">
            <v>0.04</v>
          </cell>
          <cell r="E36">
            <v>0.05</v>
          </cell>
          <cell r="F36">
            <v>0.08</v>
          </cell>
          <cell r="G36">
            <v>0.11</v>
          </cell>
          <cell r="H36">
            <v>0.22</v>
          </cell>
          <cell r="I36">
            <v>0.59</v>
          </cell>
          <cell r="J36">
            <v>1</v>
          </cell>
          <cell r="K36">
            <v>1.37</v>
          </cell>
          <cell r="L36">
            <v>2.0299999999999998</v>
          </cell>
          <cell r="M36">
            <v>2.21</v>
          </cell>
        </row>
        <row r="37">
          <cell r="A37">
            <v>44251</v>
          </cell>
          <cell r="B37">
            <v>0.03</v>
          </cell>
          <cell r="C37">
            <v>0.03</v>
          </cell>
          <cell r="D37">
            <v>0.03</v>
          </cell>
          <cell r="E37">
            <v>0.05</v>
          </cell>
          <cell r="F37">
            <v>0.08</v>
          </cell>
          <cell r="G37">
            <v>0.12</v>
          </cell>
          <cell r="H37">
            <v>0.24</v>
          </cell>
          <cell r="I37">
            <v>0.62</v>
          </cell>
          <cell r="J37">
            <v>1.02</v>
          </cell>
          <cell r="K37">
            <v>1.38</v>
          </cell>
          <cell r="L37">
            <v>2.0699999999999998</v>
          </cell>
          <cell r="M37">
            <v>2.2400000000000002</v>
          </cell>
        </row>
        <row r="38">
          <cell r="A38">
            <v>44252</v>
          </cell>
          <cell r="B38">
            <v>0.04</v>
          </cell>
          <cell r="C38">
            <v>0.03</v>
          </cell>
          <cell r="D38">
            <v>0.04</v>
          </cell>
          <cell r="E38">
            <v>0.06</v>
          </cell>
          <cell r="F38">
            <v>0.09</v>
          </cell>
          <cell r="G38">
            <v>0.17</v>
          </cell>
          <cell r="H38">
            <v>0.34</v>
          </cell>
          <cell r="I38">
            <v>0.81</v>
          </cell>
          <cell r="J38">
            <v>1.23</v>
          </cell>
          <cell r="K38">
            <v>1.54</v>
          </cell>
          <cell r="L38">
            <v>2.25</v>
          </cell>
          <cell r="M38">
            <v>2.33</v>
          </cell>
        </row>
        <row r="39">
          <cell r="A39">
            <v>44253</v>
          </cell>
          <cell r="B39">
            <v>0.04</v>
          </cell>
          <cell r="C39">
            <v>0.04</v>
          </cell>
          <cell r="D39">
            <v>0.04</v>
          </cell>
          <cell r="E39">
            <v>0.05</v>
          </cell>
          <cell r="F39">
            <v>0.08</v>
          </cell>
          <cell r="G39">
            <v>0.14000000000000001</v>
          </cell>
          <cell r="H39">
            <v>0.3</v>
          </cell>
          <cell r="I39">
            <v>0.75</v>
          </cell>
          <cell r="J39">
            <v>1.1499999999999999</v>
          </cell>
          <cell r="K39">
            <v>1.44</v>
          </cell>
          <cell r="L39">
            <v>2.08</v>
          </cell>
          <cell r="M39">
            <v>2.17</v>
          </cell>
        </row>
        <row r="40">
          <cell r="A40">
            <v>44256</v>
          </cell>
          <cell r="B40">
            <v>0.03</v>
          </cell>
          <cell r="C40">
            <v>0.03</v>
          </cell>
          <cell r="D40">
            <v>0.05</v>
          </cell>
          <cell r="E40">
            <v>7.0000000000000007E-2</v>
          </cell>
          <cell r="F40">
            <v>0.08</v>
          </cell>
          <cell r="G40">
            <v>0.13</v>
          </cell>
          <cell r="H40">
            <v>0.27</v>
          </cell>
          <cell r="I40">
            <v>0.71</v>
          </cell>
          <cell r="J40">
            <v>1.1200000000000001</v>
          </cell>
          <cell r="K40">
            <v>1.45</v>
          </cell>
          <cell r="L40">
            <v>2.11</v>
          </cell>
          <cell r="M40">
            <v>2.23</v>
          </cell>
        </row>
        <row r="41">
          <cell r="A41">
            <v>44257</v>
          </cell>
          <cell r="B41">
            <v>0.04</v>
          </cell>
          <cell r="C41">
            <v>0.04</v>
          </cell>
          <cell r="D41">
            <v>0.04</v>
          </cell>
          <cell r="E41">
            <v>0.06</v>
          </cell>
          <cell r="F41">
            <v>0.08</v>
          </cell>
          <cell r="G41">
            <v>0.13</v>
          </cell>
          <cell r="H41">
            <v>0.26</v>
          </cell>
          <cell r="I41">
            <v>0.67</v>
          </cell>
          <cell r="J41">
            <v>1.08</v>
          </cell>
          <cell r="K41">
            <v>1.42</v>
          </cell>
          <cell r="L41">
            <v>2.09</v>
          </cell>
          <cell r="M41">
            <v>2.21</v>
          </cell>
        </row>
        <row r="42">
          <cell r="A42">
            <v>44258</v>
          </cell>
          <cell r="B42">
            <v>0.04</v>
          </cell>
          <cell r="C42">
            <v>0.04</v>
          </cell>
          <cell r="D42">
            <v>0.05</v>
          </cell>
          <cell r="E42">
            <v>7.0000000000000007E-2</v>
          </cell>
          <cell r="F42">
            <v>0.08</v>
          </cell>
          <cell r="G42">
            <v>0.14000000000000001</v>
          </cell>
          <cell r="H42">
            <v>0.28999999999999998</v>
          </cell>
          <cell r="I42">
            <v>0.73</v>
          </cell>
          <cell r="J42">
            <v>1.1399999999999999</v>
          </cell>
          <cell r="K42">
            <v>1.47</v>
          </cell>
          <cell r="L42">
            <v>2.12</v>
          </cell>
          <cell r="M42">
            <v>2.25</v>
          </cell>
        </row>
        <row r="43">
          <cell r="A43">
            <v>44259</v>
          </cell>
          <cell r="B43">
            <v>0.03</v>
          </cell>
          <cell r="C43">
            <v>0.05</v>
          </cell>
          <cell r="D43">
            <v>0.04</v>
          </cell>
          <cell r="E43">
            <v>7.0000000000000007E-2</v>
          </cell>
          <cell r="F43">
            <v>0.08</v>
          </cell>
          <cell r="G43">
            <v>0.14000000000000001</v>
          </cell>
          <cell r="H43">
            <v>0.32</v>
          </cell>
          <cell r="I43">
            <v>0.77</v>
          </cell>
          <cell r="J43">
            <v>1.21</v>
          </cell>
          <cell r="K43">
            <v>1.54</v>
          </cell>
          <cell r="L43">
            <v>2.1800000000000002</v>
          </cell>
          <cell r="M43">
            <v>2.2999999999999998</v>
          </cell>
        </row>
        <row r="44">
          <cell r="A44">
            <v>44260</v>
          </cell>
          <cell r="B44">
            <v>0.04</v>
          </cell>
          <cell r="C44">
            <v>0.04</v>
          </cell>
          <cell r="D44">
            <v>0.04</v>
          </cell>
          <cell r="E44">
            <v>7.0000000000000007E-2</v>
          </cell>
          <cell r="F44">
            <v>0.08</v>
          </cell>
          <cell r="G44">
            <v>0.14000000000000001</v>
          </cell>
          <cell r="H44">
            <v>0.32</v>
          </cell>
          <cell r="I44">
            <v>0.79</v>
          </cell>
          <cell r="J44">
            <v>1.23</v>
          </cell>
          <cell r="K44">
            <v>1.56</v>
          </cell>
          <cell r="L44">
            <v>2.1800000000000002</v>
          </cell>
          <cell r="M44">
            <v>2.2799999999999998</v>
          </cell>
        </row>
        <row r="45">
          <cell r="A45">
            <v>44263</v>
          </cell>
          <cell r="B45">
            <v>0.04</v>
          </cell>
          <cell r="C45">
            <v>0.04</v>
          </cell>
          <cell r="D45">
            <v>0.05</v>
          </cell>
          <cell r="E45">
            <v>0.06</v>
          </cell>
          <cell r="F45">
            <v>0.09</v>
          </cell>
          <cell r="G45">
            <v>0.17</v>
          </cell>
          <cell r="H45">
            <v>0.34</v>
          </cell>
          <cell r="I45">
            <v>0.86</v>
          </cell>
          <cell r="J45">
            <v>1.28</v>
          </cell>
          <cell r="K45">
            <v>1.59</v>
          </cell>
          <cell r="L45">
            <v>2.2000000000000002</v>
          </cell>
          <cell r="M45">
            <v>2.31</v>
          </cell>
        </row>
        <row r="46">
          <cell r="A46">
            <v>44264</v>
          </cell>
          <cell r="B46">
            <v>0.04</v>
          </cell>
          <cell r="C46">
            <v>0.04</v>
          </cell>
          <cell r="D46">
            <v>0.05</v>
          </cell>
          <cell r="E46">
            <v>7.0000000000000007E-2</v>
          </cell>
          <cell r="F46">
            <v>0.1</v>
          </cell>
          <cell r="G46">
            <v>0.17</v>
          </cell>
          <cell r="H46">
            <v>0.35</v>
          </cell>
          <cell r="I46">
            <v>0.83</v>
          </cell>
          <cell r="J46">
            <v>1.23</v>
          </cell>
          <cell r="K46">
            <v>1.55</v>
          </cell>
          <cell r="L46">
            <v>2.16</v>
          </cell>
          <cell r="M46">
            <v>2.2599999999999998</v>
          </cell>
        </row>
        <row r="47">
          <cell r="A47">
            <v>44265</v>
          </cell>
          <cell r="B47">
            <v>0.03</v>
          </cell>
          <cell r="C47">
            <v>0.03</v>
          </cell>
          <cell r="D47">
            <v>0.04</v>
          </cell>
          <cell r="E47">
            <v>0.06</v>
          </cell>
          <cell r="F47">
            <v>0.08</v>
          </cell>
          <cell r="G47">
            <v>0.16</v>
          </cell>
          <cell r="H47">
            <v>0.32</v>
          </cell>
          <cell r="I47">
            <v>0.8</v>
          </cell>
          <cell r="J47">
            <v>1.2</v>
          </cell>
          <cell r="K47">
            <v>1.53</v>
          </cell>
          <cell r="L47">
            <v>2.15</v>
          </cell>
          <cell r="M47">
            <v>2.2400000000000002</v>
          </cell>
        </row>
        <row r="48">
          <cell r="A48">
            <v>44266</v>
          </cell>
          <cell r="B48">
            <v>0.04</v>
          </cell>
          <cell r="C48">
            <v>0.04</v>
          </cell>
          <cell r="D48">
            <v>0.04</v>
          </cell>
          <cell r="E48">
            <v>0.05</v>
          </cell>
          <cell r="F48">
            <v>0.08</v>
          </cell>
          <cell r="G48">
            <v>0.14000000000000001</v>
          </cell>
          <cell r="H48">
            <v>0.31</v>
          </cell>
          <cell r="I48">
            <v>0.78</v>
          </cell>
          <cell r="J48">
            <v>1.2</v>
          </cell>
          <cell r="K48">
            <v>1.54</v>
          </cell>
          <cell r="L48">
            <v>2.1800000000000002</v>
          </cell>
          <cell r="M48">
            <v>2.29</v>
          </cell>
        </row>
        <row r="49">
          <cell r="A49">
            <v>44267</v>
          </cell>
          <cell r="B49">
            <v>0.03</v>
          </cell>
          <cell r="C49">
            <v>0.03</v>
          </cell>
          <cell r="D49">
            <v>0.04</v>
          </cell>
          <cell r="E49">
            <v>0.06</v>
          </cell>
          <cell r="F49">
            <v>0.09</v>
          </cell>
          <cell r="G49">
            <v>0.14000000000000001</v>
          </cell>
          <cell r="H49">
            <v>0.34</v>
          </cell>
          <cell r="I49">
            <v>0.85</v>
          </cell>
          <cell r="J49">
            <v>1.3</v>
          </cell>
          <cell r="K49">
            <v>1.64</v>
          </cell>
          <cell r="L49">
            <v>2.31</v>
          </cell>
          <cell r="M49">
            <v>2.4</v>
          </cell>
        </row>
        <row r="50">
          <cell r="A50">
            <v>44270</v>
          </cell>
          <cell r="B50">
            <v>0.02</v>
          </cell>
          <cell r="C50">
            <v>0.02</v>
          </cell>
          <cell r="D50">
            <v>0.04</v>
          </cell>
          <cell r="E50">
            <v>0.06</v>
          </cell>
          <cell r="F50">
            <v>0.08</v>
          </cell>
          <cell r="G50">
            <v>0.14000000000000001</v>
          </cell>
          <cell r="H50">
            <v>0.33</v>
          </cell>
          <cell r="I50">
            <v>0.84</v>
          </cell>
          <cell r="J50">
            <v>1.28</v>
          </cell>
          <cell r="K50">
            <v>1.62</v>
          </cell>
          <cell r="L50">
            <v>2.27</v>
          </cell>
          <cell r="M50">
            <v>2.37</v>
          </cell>
        </row>
        <row r="51">
          <cell r="A51">
            <v>44271</v>
          </cell>
          <cell r="B51">
            <v>0.01</v>
          </cell>
          <cell r="C51">
            <v>0.02</v>
          </cell>
          <cell r="D51">
            <v>0.02</v>
          </cell>
          <cell r="E51">
            <v>0.06</v>
          </cell>
          <cell r="F51">
            <v>7.0000000000000007E-2</v>
          </cell>
          <cell r="G51">
            <v>0.15</v>
          </cell>
          <cell r="H51">
            <v>0.33</v>
          </cell>
          <cell r="I51">
            <v>0.83</v>
          </cell>
          <cell r="J51">
            <v>1.28</v>
          </cell>
          <cell r="K51">
            <v>1.62</v>
          </cell>
          <cell r="L51">
            <v>2.2999999999999998</v>
          </cell>
          <cell r="M51">
            <v>2.38</v>
          </cell>
        </row>
        <row r="52">
          <cell r="A52">
            <v>44272</v>
          </cell>
          <cell r="B52">
            <v>0.01</v>
          </cell>
          <cell r="C52">
            <v>0.02</v>
          </cell>
          <cell r="D52">
            <v>0.02</v>
          </cell>
          <cell r="E52">
            <v>0.05</v>
          </cell>
          <cell r="F52">
            <v>7.0000000000000007E-2</v>
          </cell>
          <cell r="G52">
            <v>0.13</v>
          </cell>
          <cell r="H52">
            <v>0.28999999999999998</v>
          </cell>
          <cell r="I52">
            <v>0.8</v>
          </cell>
          <cell r="J52">
            <v>1.27</v>
          </cell>
          <cell r="K52">
            <v>1.63</v>
          </cell>
          <cell r="L52">
            <v>2.3199999999999998</v>
          </cell>
          <cell r="M52">
            <v>2.42</v>
          </cell>
        </row>
        <row r="53">
          <cell r="A53">
            <v>44273</v>
          </cell>
          <cell r="B53">
            <v>0.01</v>
          </cell>
          <cell r="C53">
            <v>0.01</v>
          </cell>
          <cell r="D53">
            <v>0.01</v>
          </cell>
          <cell r="E53">
            <v>0.03</v>
          </cell>
          <cell r="F53">
            <v>0.08</v>
          </cell>
          <cell r="G53">
            <v>0.16</v>
          </cell>
          <cell r="H53">
            <v>0.33</v>
          </cell>
          <cell r="I53">
            <v>0.86</v>
          </cell>
          <cell r="J53">
            <v>1.35</v>
          </cell>
          <cell r="K53">
            <v>1.71</v>
          </cell>
          <cell r="L53">
            <v>2.36</v>
          </cell>
          <cell r="M53">
            <v>2.4500000000000002</v>
          </cell>
        </row>
        <row r="54">
          <cell r="B54">
            <v>0.01</v>
          </cell>
          <cell r="C54">
            <v>0.01</v>
          </cell>
        </row>
        <row r="55">
          <cell r="B55">
            <v>0.02</v>
          </cell>
          <cell r="C55">
            <v>0.02</v>
          </cell>
        </row>
        <row r="56">
          <cell r="B56">
            <v>0.02</v>
          </cell>
        </row>
        <row r="57">
          <cell r="B57">
            <v>0.02</v>
          </cell>
          <cell r="C57">
            <v>0.02</v>
          </cell>
        </row>
        <row r="58">
          <cell r="B58">
            <v>0.02</v>
          </cell>
          <cell r="C58">
            <v>0.03</v>
          </cell>
        </row>
        <row r="59">
          <cell r="B59">
            <v>0.02</v>
          </cell>
          <cell r="C59">
            <v>0.02</v>
          </cell>
        </row>
        <row r="60">
          <cell r="B60">
            <v>0.02</v>
          </cell>
          <cell r="C60">
            <v>0.03</v>
          </cell>
        </row>
        <row r="61">
          <cell r="B61">
            <v>0.01</v>
          </cell>
        </row>
        <row r="62">
          <cell r="B62">
            <v>0.01</v>
          </cell>
        </row>
        <row r="63">
          <cell r="B63">
            <v>0.02</v>
          </cell>
        </row>
        <row r="64">
          <cell r="B64">
            <v>0.02</v>
          </cell>
        </row>
        <row r="65">
          <cell r="B65">
            <v>0.03</v>
          </cell>
        </row>
        <row r="66">
          <cell r="B66">
            <v>0.02</v>
          </cell>
        </row>
        <row r="67">
          <cell r="B67">
            <v>0.01</v>
          </cell>
        </row>
        <row r="68">
          <cell r="B68">
            <v>0.02</v>
          </cell>
        </row>
        <row r="69">
          <cell r="B69">
            <v>0.02</v>
          </cell>
        </row>
      </sheetData>
      <sheetData sheetId="6">
        <row r="3">
          <cell r="I3" t="str">
            <v>Spread</v>
          </cell>
          <cell r="J3" t="str">
            <v>Spread</v>
          </cell>
          <cell r="K3" t="str">
            <v>Spread</v>
          </cell>
          <cell r="L3" t="str">
            <v>Lock Term Adjust (30to45)</v>
          </cell>
          <cell r="M3" t="str">
            <v>Max Price Adjust</v>
          </cell>
          <cell r="Q3" t="str">
            <v>Spread</v>
          </cell>
          <cell r="R3" t="str">
            <v>Spread</v>
          </cell>
          <cell r="S3" t="str">
            <v>Spread</v>
          </cell>
          <cell r="T3" t="str">
            <v>Lock Term Adjust (30to45)</v>
          </cell>
          <cell r="U3" t="str">
            <v>Max Price Adjust</v>
          </cell>
        </row>
        <row r="4">
          <cell r="F4" t="str">
            <v>NonQM OO</v>
          </cell>
          <cell r="I4">
            <v>0</v>
          </cell>
          <cell r="J4">
            <v>-1</v>
          </cell>
          <cell r="K4">
            <v>-1</v>
          </cell>
          <cell r="L4">
            <v>-0.15</v>
          </cell>
          <cell r="M4">
            <v>0</v>
          </cell>
          <cell r="N4">
            <v>-1</v>
          </cell>
          <cell r="O4">
            <v>0</v>
          </cell>
          <cell r="Q4">
            <v>0</v>
          </cell>
          <cell r="R4">
            <v>-0.875</v>
          </cell>
          <cell r="S4">
            <v>-0.875</v>
          </cell>
          <cell r="T4">
            <v>-0.15</v>
          </cell>
          <cell r="U4">
            <v>0</v>
          </cell>
          <cell r="V4">
            <v>-1.125</v>
          </cell>
          <cell r="W4">
            <v>0</v>
          </cell>
        </row>
        <row r="5">
          <cell r="F5" t="str">
            <v>NonQM NOO</v>
          </cell>
          <cell r="I5">
            <v>0</v>
          </cell>
          <cell r="J5">
            <v>-1</v>
          </cell>
          <cell r="K5">
            <v>-1</v>
          </cell>
          <cell r="L5">
            <v>-0.15</v>
          </cell>
          <cell r="M5">
            <v>0</v>
          </cell>
          <cell r="N5">
            <v>-1.5</v>
          </cell>
          <cell r="O5">
            <v>0</v>
          </cell>
          <cell r="Q5">
            <v>0</v>
          </cell>
          <cell r="R5">
            <v>-0.875</v>
          </cell>
          <cell r="S5">
            <v>-0.875</v>
          </cell>
          <cell r="T5">
            <v>-0.15</v>
          </cell>
          <cell r="U5">
            <v>0</v>
          </cell>
          <cell r="V5">
            <v>-1.625</v>
          </cell>
          <cell r="W5">
            <v>0</v>
          </cell>
        </row>
        <row r="6">
          <cell r="F6" t="str">
            <v>Edge OO</v>
          </cell>
          <cell r="I6">
            <v>0</v>
          </cell>
          <cell r="J6">
            <v>-0.75</v>
          </cell>
          <cell r="K6">
            <v>-0.75</v>
          </cell>
          <cell r="L6">
            <v>-0.15</v>
          </cell>
          <cell r="M6">
            <v>0</v>
          </cell>
          <cell r="N6">
            <v>-1.25</v>
          </cell>
          <cell r="O6">
            <v>0</v>
          </cell>
          <cell r="Q6">
            <v>0</v>
          </cell>
          <cell r="R6">
            <v>-0.75</v>
          </cell>
          <cell r="S6">
            <v>-0.75</v>
          </cell>
          <cell r="T6">
            <v>-0.15</v>
          </cell>
          <cell r="U6">
            <v>0</v>
          </cell>
          <cell r="V6">
            <v>-1.25</v>
          </cell>
          <cell r="W6">
            <v>0</v>
          </cell>
        </row>
        <row r="7">
          <cell r="F7" t="str">
            <v>Edge NOO</v>
          </cell>
          <cell r="I7">
            <v>0</v>
          </cell>
          <cell r="J7">
            <v>-0.75</v>
          </cell>
          <cell r="K7">
            <v>-0.75</v>
          </cell>
          <cell r="L7">
            <v>-0.15</v>
          </cell>
          <cell r="M7">
            <v>0</v>
          </cell>
          <cell r="N7">
            <v>-1.75</v>
          </cell>
          <cell r="O7">
            <v>0</v>
          </cell>
          <cell r="Q7">
            <v>0</v>
          </cell>
          <cell r="R7">
            <v>-0.75</v>
          </cell>
          <cell r="S7">
            <v>-0.75</v>
          </cell>
          <cell r="T7">
            <v>-0.15</v>
          </cell>
          <cell r="U7">
            <v>0</v>
          </cell>
          <cell r="V7">
            <v>-1.75</v>
          </cell>
          <cell r="W7">
            <v>0</v>
          </cell>
        </row>
        <row r="8">
          <cell r="F8" t="str">
            <v>Edge NOO DSCR</v>
          </cell>
          <cell r="I8">
            <v>0</v>
          </cell>
          <cell r="J8">
            <v>-0.75</v>
          </cell>
          <cell r="K8">
            <v>-0.75</v>
          </cell>
          <cell r="L8">
            <v>-0.15</v>
          </cell>
          <cell r="M8">
            <v>0</v>
          </cell>
          <cell r="N8">
            <v>-1.75</v>
          </cell>
          <cell r="O8">
            <v>0</v>
          </cell>
          <cell r="Q8">
            <v>0</v>
          </cell>
          <cell r="R8">
            <v>-0.75</v>
          </cell>
          <cell r="S8">
            <v>-0.75</v>
          </cell>
          <cell r="T8">
            <v>-0.15</v>
          </cell>
          <cell r="U8">
            <v>0</v>
          </cell>
          <cell r="V8">
            <v>-1.75</v>
          </cell>
          <cell r="W8">
            <v>0</v>
          </cell>
          <cell r="AB8">
            <v>-0.15</v>
          </cell>
          <cell r="AC8">
            <v>0</v>
          </cell>
          <cell r="AD8">
            <v>-1.75</v>
          </cell>
        </row>
        <row r="9">
          <cell r="F9" t="str">
            <v>Core Prime</v>
          </cell>
          <cell r="I9">
            <v>0</v>
          </cell>
          <cell r="J9">
            <v>-0.75</v>
          </cell>
          <cell r="K9">
            <v>-0.75</v>
          </cell>
          <cell r="L9">
            <v>-0.15</v>
          </cell>
          <cell r="M9">
            <v>0</v>
          </cell>
          <cell r="N9">
            <v>-1.75</v>
          </cell>
          <cell r="O9">
            <v>0</v>
          </cell>
          <cell r="Q9">
            <v>0</v>
          </cell>
          <cell r="R9">
            <v>-0.75</v>
          </cell>
          <cell r="S9">
            <v>-0.75</v>
          </cell>
          <cell r="T9">
            <v>-0.15</v>
          </cell>
          <cell r="U9">
            <v>0</v>
          </cell>
          <cell r="V9">
            <v>-1.25</v>
          </cell>
          <cell r="W9">
            <v>0</v>
          </cell>
        </row>
        <row r="10">
          <cell r="F10" t="str">
            <v>Core Flex</v>
          </cell>
          <cell r="I10">
            <v>0</v>
          </cell>
          <cell r="J10">
            <v>-0.75</v>
          </cell>
          <cell r="K10">
            <v>-0.75</v>
          </cell>
          <cell r="L10">
            <v>-0.15</v>
          </cell>
          <cell r="M10">
            <v>0</v>
          </cell>
          <cell r="N10">
            <v>-1.75</v>
          </cell>
          <cell r="O10">
            <v>0</v>
          </cell>
          <cell r="Q10">
            <v>0</v>
          </cell>
          <cell r="R10">
            <v>-0.75</v>
          </cell>
          <cell r="S10">
            <v>-0.75</v>
          </cell>
          <cell r="T10">
            <v>-0.15</v>
          </cell>
          <cell r="U10">
            <v>0</v>
          </cell>
          <cell r="V10">
            <v>-1.25</v>
          </cell>
          <cell r="W10">
            <v>0</v>
          </cell>
        </row>
        <row r="11">
          <cell r="F11" t="str">
            <v>Core CashFlow</v>
          </cell>
          <cell r="I11">
            <v>0</v>
          </cell>
          <cell r="J11">
            <v>-0.75</v>
          </cell>
          <cell r="K11">
            <v>-0.75</v>
          </cell>
          <cell r="L11">
            <v>-0.15</v>
          </cell>
          <cell r="M11">
            <v>0</v>
          </cell>
          <cell r="N11">
            <v>-1.75</v>
          </cell>
          <cell r="O11">
            <v>0</v>
          </cell>
          <cell r="Q11">
            <v>0</v>
          </cell>
          <cell r="R11">
            <v>-0.75</v>
          </cell>
          <cell r="S11">
            <v>-0.75</v>
          </cell>
          <cell r="T11">
            <v>-0.15</v>
          </cell>
          <cell r="U11">
            <v>0</v>
          </cell>
          <cell r="V11">
            <v>-1.25</v>
          </cell>
          <cell r="W11">
            <v>0</v>
          </cell>
        </row>
        <row r="12">
          <cell r="F12" t="str">
            <v>Core Multi</v>
          </cell>
          <cell r="I12">
            <v>0</v>
          </cell>
          <cell r="J12">
            <v>-0.75</v>
          </cell>
          <cell r="K12">
            <v>-0.75</v>
          </cell>
          <cell r="L12">
            <v>-0.15</v>
          </cell>
          <cell r="M12">
            <v>0</v>
          </cell>
          <cell r="N12">
            <v>-1.75</v>
          </cell>
          <cell r="O12">
            <v>0</v>
          </cell>
          <cell r="Q12">
            <v>0</v>
          </cell>
          <cell r="R12">
            <v>-0.75</v>
          </cell>
          <cell r="S12">
            <v>-0.75</v>
          </cell>
          <cell r="T12">
            <v>-0.15</v>
          </cell>
          <cell r="U12">
            <v>0</v>
          </cell>
          <cell r="V12">
            <v>-1.25</v>
          </cell>
          <cell r="W12">
            <v>0</v>
          </cell>
        </row>
        <row r="13">
          <cell r="F13" t="str">
            <v>Core ForeignNat</v>
          </cell>
          <cell r="I13">
            <v>0</v>
          </cell>
          <cell r="J13">
            <v>-0.75</v>
          </cell>
          <cell r="K13">
            <v>-0.75</v>
          </cell>
          <cell r="L13">
            <v>-0.15</v>
          </cell>
          <cell r="M13">
            <v>0</v>
          </cell>
          <cell r="N13">
            <v>-1.75</v>
          </cell>
          <cell r="O13">
            <v>0</v>
          </cell>
          <cell r="Q13">
            <v>0</v>
          </cell>
          <cell r="R13">
            <v>-0.75</v>
          </cell>
          <cell r="S13">
            <v>-0.75</v>
          </cell>
          <cell r="T13">
            <v>-0.15</v>
          </cell>
          <cell r="U13">
            <v>0</v>
          </cell>
          <cell r="V13">
            <v>-1.25</v>
          </cell>
          <cell r="W13">
            <v>0</v>
          </cell>
        </row>
        <row r="14">
          <cell r="F14" t="str">
            <v>NextR Multi NOO</v>
          </cell>
          <cell r="I14" t="e">
            <v>#N/A</v>
          </cell>
          <cell r="J14" t="e">
            <v>#N/A</v>
          </cell>
          <cell r="K14" t="e">
            <v>#N/A</v>
          </cell>
          <cell r="L14" t="e">
            <v>#N/A</v>
          </cell>
          <cell r="M14">
            <v>0</v>
          </cell>
          <cell r="N14">
            <v>-1.75</v>
          </cell>
          <cell r="O14">
            <v>0</v>
          </cell>
          <cell r="Q14" t="e">
            <v>#N/A</v>
          </cell>
          <cell r="R14" t="e">
            <v>#N/A</v>
          </cell>
          <cell r="S14" t="e">
            <v>#N/A</v>
          </cell>
          <cell r="T14" t="e">
            <v>#N/A</v>
          </cell>
          <cell r="U14">
            <v>0</v>
          </cell>
          <cell r="V14">
            <v>-1.75</v>
          </cell>
          <cell r="W14">
            <v>0</v>
          </cell>
          <cell r="AB14" t="e">
            <v>#N/A</v>
          </cell>
          <cell r="AC14">
            <v>0</v>
          </cell>
          <cell r="AD14">
            <v>-1.75</v>
          </cell>
          <cell r="AH14" t="e">
            <v>#N/A</v>
          </cell>
          <cell r="AI14" t="e">
            <v>#N/A</v>
          </cell>
          <cell r="AJ14" t="e">
            <v>#N/A</v>
          </cell>
          <cell r="AO14" t="e">
            <v>#N/A</v>
          </cell>
          <cell r="AP14" t="e">
            <v>#N/A</v>
          </cell>
          <cell r="AT14" t="e">
            <v>#N/A</v>
          </cell>
          <cell r="AU14" t="e">
            <v>#N/A</v>
          </cell>
          <cell r="AV14" t="e">
            <v>#N/A</v>
          </cell>
          <cell r="AZ14" t="e">
            <v>#N/A</v>
          </cell>
          <cell r="BA14" t="e">
            <v>#N/A</v>
          </cell>
          <cell r="BB14" t="e">
            <v>#N/A</v>
          </cell>
          <cell r="BF14" t="e">
            <v>#N/A</v>
          </cell>
          <cell r="BG14" t="e">
            <v>#N/A</v>
          </cell>
          <cell r="BJ14" t="e">
            <v>#N/A</v>
          </cell>
          <cell r="BK14" t="e">
            <v>#N/A</v>
          </cell>
          <cell r="BL14" t="e">
            <v>#N/A</v>
          </cell>
          <cell r="BN14" t="e">
            <v>#N/A</v>
          </cell>
          <cell r="BO14" t="e">
            <v>#N/A</v>
          </cell>
          <cell r="BP14" t="e">
            <v>#N/A</v>
          </cell>
          <cell r="BS14" t="e">
            <v>#N/A</v>
          </cell>
          <cell r="BT14" t="e">
            <v>#N/A</v>
          </cell>
          <cell r="BV14" t="e">
            <v>#N/A</v>
          </cell>
          <cell r="BX14" t="e">
            <v>#N/A</v>
          </cell>
          <cell r="BZ14" t="e">
            <v>#N/A</v>
          </cell>
          <cell r="CA14" t="e">
            <v>#N/A</v>
          </cell>
          <cell r="CD14" t="e">
            <v>#N/A</v>
          </cell>
          <cell r="CE14" t="e">
            <v>#N/A</v>
          </cell>
          <cell r="CF14" t="e">
            <v>#N/A</v>
          </cell>
          <cell r="CH14" t="e">
            <v>#N/A</v>
          </cell>
          <cell r="CI14" t="e">
            <v>#N/A</v>
          </cell>
          <cell r="CJ14" t="e">
            <v>#N/A</v>
          </cell>
        </row>
        <row r="15">
          <cell r="F15" t="str">
            <v>Second OO</v>
          </cell>
          <cell r="I15">
            <v>0</v>
          </cell>
          <cell r="J15">
            <v>-0.625</v>
          </cell>
          <cell r="K15">
            <v>-0.625</v>
          </cell>
          <cell r="L15">
            <v>-0.15</v>
          </cell>
          <cell r="M15">
            <v>0</v>
          </cell>
          <cell r="N15">
            <v>-1.875</v>
          </cell>
          <cell r="O15">
            <v>0</v>
          </cell>
          <cell r="Q15">
            <v>0</v>
          </cell>
          <cell r="R15">
            <v>-0.625</v>
          </cell>
          <cell r="S15">
            <v>-0.625</v>
          </cell>
          <cell r="T15">
            <v>-0.15</v>
          </cell>
          <cell r="U15">
            <v>0</v>
          </cell>
          <cell r="V15">
            <v>-1.875</v>
          </cell>
          <cell r="W15">
            <v>0</v>
          </cell>
          <cell r="AB15">
            <v>-0.15</v>
          </cell>
          <cell r="AC15">
            <v>0</v>
          </cell>
          <cell r="AD15">
            <v>-1.75</v>
          </cell>
          <cell r="AH15">
            <v>-0.75</v>
          </cell>
          <cell r="AI15">
            <v>-0.75</v>
          </cell>
          <cell r="AJ15">
            <v>-0.15</v>
          </cell>
          <cell r="AO15">
            <v>0</v>
          </cell>
          <cell r="AP15">
            <v>-0.75</v>
          </cell>
          <cell r="AT15">
            <v>0</v>
          </cell>
          <cell r="AU15">
            <v>-0.75</v>
          </cell>
          <cell r="AV15" t="e">
            <v>#NAME?</v>
          </cell>
          <cell r="AZ15">
            <v>-0.875</v>
          </cell>
          <cell r="BA15" t="e">
            <v>#NAME?</v>
          </cell>
          <cell r="BB15">
            <v>-0.15</v>
          </cell>
          <cell r="BF15" t="e">
            <v>#NAME?</v>
          </cell>
          <cell r="BG15">
            <v>-0.15</v>
          </cell>
          <cell r="BJ15">
            <v>-1.125</v>
          </cell>
          <cell r="BK15" t="e">
            <v>#NAME?</v>
          </cell>
          <cell r="BL15">
            <v>-0.15</v>
          </cell>
          <cell r="BN15">
            <v>0</v>
          </cell>
          <cell r="BO15">
            <v>-1</v>
          </cell>
          <cell r="BP15" t="e">
            <v>#NAME?</v>
          </cell>
          <cell r="BS15">
            <v>0</v>
          </cell>
          <cell r="BT15">
            <v>-1.25</v>
          </cell>
          <cell r="BV15">
            <v>-0.15</v>
          </cell>
          <cell r="BX15">
            <v>0</v>
          </cell>
          <cell r="BZ15">
            <v>-2.625</v>
          </cell>
          <cell r="CA15">
            <v>-0.15</v>
          </cell>
          <cell r="CD15">
            <v>-1</v>
          </cell>
          <cell r="CE15">
            <v>-2.375</v>
          </cell>
          <cell r="CF15">
            <v>-0.15</v>
          </cell>
          <cell r="CH15">
            <v>0</v>
          </cell>
          <cell r="CI15">
            <v>-1</v>
          </cell>
          <cell r="CJ15" t="e">
            <v>#NAME?</v>
          </cell>
        </row>
        <row r="16">
          <cell r="F16" t="str">
            <v>Second NOO</v>
          </cell>
          <cell r="I16">
            <v>0</v>
          </cell>
          <cell r="J16">
            <v>-0.625</v>
          </cell>
          <cell r="K16">
            <v>-0.625</v>
          </cell>
          <cell r="L16">
            <v>-0.15</v>
          </cell>
          <cell r="M16">
            <v>0</v>
          </cell>
          <cell r="N16">
            <v>-1.875</v>
          </cell>
          <cell r="O16">
            <v>0</v>
          </cell>
          <cell r="Q16">
            <v>0</v>
          </cell>
          <cell r="R16">
            <v>-0.625</v>
          </cell>
          <cell r="S16">
            <v>-0.625</v>
          </cell>
          <cell r="T16">
            <v>-0.15</v>
          </cell>
          <cell r="U16">
            <v>0</v>
          </cell>
          <cell r="V16">
            <v>-1.875</v>
          </cell>
          <cell r="W16">
            <v>0</v>
          </cell>
          <cell r="AB16">
            <v>-0.15</v>
          </cell>
          <cell r="AC16">
            <v>0</v>
          </cell>
          <cell r="AD16">
            <v>-1.75</v>
          </cell>
          <cell r="AH16">
            <v>-0.75</v>
          </cell>
          <cell r="AI16">
            <v>-0.75</v>
          </cell>
          <cell r="AJ16">
            <v>-0.15</v>
          </cell>
          <cell r="AO16">
            <v>0</v>
          </cell>
          <cell r="AP16">
            <v>-0.75</v>
          </cell>
          <cell r="AT16">
            <v>0</v>
          </cell>
          <cell r="AU16">
            <v>-0.75</v>
          </cell>
          <cell r="AV16" t="e">
            <v>#NAME?</v>
          </cell>
          <cell r="AZ16">
            <v>-0.875</v>
          </cell>
          <cell r="BA16" t="e">
            <v>#NAME?</v>
          </cell>
          <cell r="BB16">
            <v>-0.15</v>
          </cell>
          <cell r="BF16" t="e">
            <v>#NAME?</v>
          </cell>
          <cell r="BG16">
            <v>-0.15</v>
          </cell>
          <cell r="BJ16">
            <v>-1.125</v>
          </cell>
          <cell r="BK16" t="e">
            <v>#NAME?</v>
          </cell>
          <cell r="BL16">
            <v>-0.15</v>
          </cell>
          <cell r="BN16">
            <v>0</v>
          </cell>
          <cell r="BO16">
            <v>-1</v>
          </cell>
          <cell r="BP16" t="e">
            <v>#NAME?</v>
          </cell>
          <cell r="BS16">
            <v>0</v>
          </cell>
          <cell r="BT16">
            <v>-1.25</v>
          </cell>
          <cell r="BV16">
            <v>-0.15</v>
          </cell>
          <cell r="BX16">
            <v>0</v>
          </cell>
          <cell r="BZ16">
            <v>-2.625</v>
          </cell>
          <cell r="CA16">
            <v>-0.15</v>
          </cell>
          <cell r="CD16">
            <v>-1</v>
          </cell>
          <cell r="CE16">
            <v>-2.375</v>
          </cell>
          <cell r="CF16">
            <v>-0.15</v>
          </cell>
          <cell r="CH16">
            <v>0</v>
          </cell>
          <cell r="CI16">
            <v>-1</v>
          </cell>
          <cell r="CJ16" t="e">
            <v>#NAME?</v>
          </cell>
        </row>
        <row r="17">
          <cell r="F17" t="str">
            <v>N/A</v>
          </cell>
          <cell r="I17">
            <v>0</v>
          </cell>
          <cell r="J17" t="e">
            <v>#N/A</v>
          </cell>
          <cell r="K17" t="e">
            <v>#N/A</v>
          </cell>
          <cell r="L17">
            <v>-0.15</v>
          </cell>
          <cell r="M17">
            <v>0</v>
          </cell>
          <cell r="N17">
            <v>-1.75</v>
          </cell>
          <cell r="O17">
            <v>0</v>
          </cell>
          <cell r="Q17">
            <v>0</v>
          </cell>
          <cell r="R17" t="e">
            <v>#N/A</v>
          </cell>
          <cell r="S17" t="e">
            <v>#N/A</v>
          </cell>
          <cell r="T17">
            <v>-0.15</v>
          </cell>
          <cell r="U17">
            <v>0</v>
          </cell>
          <cell r="V17">
            <v>-1.75</v>
          </cell>
          <cell r="W17">
            <v>0</v>
          </cell>
          <cell r="AB17">
            <v>-0.15</v>
          </cell>
          <cell r="AC17">
            <v>0</v>
          </cell>
          <cell r="AD17">
            <v>-1.75</v>
          </cell>
          <cell r="AH17" t="e">
            <v>#N/A</v>
          </cell>
          <cell r="AI17" t="e">
            <v>#N/A</v>
          </cell>
          <cell r="AJ17">
            <v>-0.15</v>
          </cell>
        </row>
        <row r="18">
          <cell r="F18" t="str">
            <v>HELOC OO</v>
          </cell>
          <cell r="I18">
            <v>0</v>
          </cell>
          <cell r="J18">
            <v>-0.75</v>
          </cell>
          <cell r="K18">
            <v>-0.75</v>
          </cell>
          <cell r="L18">
            <v>-0.15</v>
          </cell>
          <cell r="M18">
            <v>0</v>
          </cell>
          <cell r="N18">
            <v>-1.75</v>
          </cell>
          <cell r="O18">
            <v>0</v>
          </cell>
          <cell r="Q18">
            <v>0</v>
          </cell>
          <cell r="R18">
            <v>-0.75</v>
          </cell>
          <cell r="S18">
            <v>-0.75</v>
          </cell>
          <cell r="T18">
            <v>-0.15</v>
          </cell>
          <cell r="U18">
            <v>0</v>
          </cell>
          <cell r="V18">
            <v>-1.75</v>
          </cell>
          <cell r="W18">
            <v>0</v>
          </cell>
          <cell r="AB18">
            <v>-0.15</v>
          </cell>
          <cell r="AC18">
            <v>0</v>
          </cell>
          <cell r="AD18">
            <v>-1.75</v>
          </cell>
          <cell r="AH18">
            <v>-0.75</v>
          </cell>
          <cell r="AI18">
            <v>-0.75</v>
          </cell>
          <cell r="AJ18">
            <v>-0.15</v>
          </cell>
          <cell r="AO18">
            <v>0</v>
          </cell>
          <cell r="AP18">
            <v>-0.75</v>
          </cell>
          <cell r="AT18">
            <v>0</v>
          </cell>
          <cell r="AU18">
            <v>-0.75</v>
          </cell>
          <cell r="AV18" t="e">
            <v>#NAME?</v>
          </cell>
          <cell r="AZ18">
            <v>-0.875</v>
          </cell>
          <cell r="BA18" t="e">
            <v>#NAME?</v>
          </cell>
          <cell r="BB18">
            <v>-0.15</v>
          </cell>
          <cell r="BF18" t="e">
            <v>#NAME?</v>
          </cell>
          <cell r="BG18">
            <v>-0.15</v>
          </cell>
          <cell r="BJ18">
            <v>-1.125</v>
          </cell>
          <cell r="BK18" t="e">
            <v>#NAME?</v>
          </cell>
          <cell r="BL18">
            <v>-0.15</v>
          </cell>
          <cell r="BN18">
            <v>0</v>
          </cell>
          <cell r="BO18">
            <v>-1</v>
          </cell>
          <cell r="BP18" t="e">
            <v>#NAME?</v>
          </cell>
          <cell r="BS18">
            <v>0</v>
          </cell>
          <cell r="BT18">
            <v>-1.25</v>
          </cell>
          <cell r="BV18">
            <v>-0.15</v>
          </cell>
          <cell r="BX18">
            <v>0</v>
          </cell>
          <cell r="BZ18">
            <v>-2.625</v>
          </cell>
          <cell r="CA18">
            <v>-0.15</v>
          </cell>
          <cell r="CD18">
            <v>-1</v>
          </cell>
          <cell r="CE18">
            <v>-2.375</v>
          </cell>
          <cell r="CF18">
            <v>-0.15</v>
          </cell>
          <cell r="CH18">
            <v>0</v>
          </cell>
          <cell r="CI18">
            <v>-1</v>
          </cell>
          <cell r="CJ18" t="e">
            <v>#NAME?</v>
          </cell>
        </row>
        <row r="19">
          <cell r="F19" t="str">
            <v>HELOC NOO</v>
          </cell>
          <cell r="I19">
            <v>0</v>
          </cell>
          <cell r="J19">
            <v>-0.75</v>
          </cell>
          <cell r="K19">
            <v>-0.75</v>
          </cell>
          <cell r="L19">
            <v>-0.15</v>
          </cell>
          <cell r="M19">
            <v>0</v>
          </cell>
          <cell r="N19">
            <v>-1.75</v>
          </cell>
          <cell r="O19">
            <v>0</v>
          </cell>
          <cell r="Q19">
            <v>0</v>
          </cell>
          <cell r="R19">
            <v>-0.75</v>
          </cell>
          <cell r="S19">
            <v>-0.75</v>
          </cell>
          <cell r="T19">
            <v>-0.15</v>
          </cell>
          <cell r="U19">
            <v>0</v>
          </cell>
          <cell r="V19">
            <v>-1.75</v>
          </cell>
          <cell r="W19">
            <v>0</v>
          </cell>
          <cell r="AB19">
            <v>-0.15</v>
          </cell>
          <cell r="AC19">
            <v>0</v>
          </cell>
          <cell r="AD19">
            <v>-1.75</v>
          </cell>
          <cell r="AH19">
            <v>-0.75</v>
          </cell>
          <cell r="AI19">
            <v>-0.75</v>
          </cell>
          <cell r="AJ19">
            <v>-0.15</v>
          </cell>
        </row>
        <row r="20">
          <cell r="F20" t="str">
            <v>Conv Fannie</v>
          </cell>
          <cell r="I20">
            <v>0</v>
          </cell>
          <cell r="J20">
            <v>0</v>
          </cell>
          <cell r="K20">
            <v>-1</v>
          </cell>
          <cell r="L20">
            <v>-0.15</v>
          </cell>
          <cell r="M20">
            <v>0</v>
          </cell>
          <cell r="N20">
            <v>-1.75</v>
          </cell>
          <cell r="O20">
            <v>0</v>
          </cell>
          <cell r="Q20">
            <v>0</v>
          </cell>
          <cell r="R20">
            <v>0</v>
          </cell>
          <cell r="S20">
            <v>-1</v>
          </cell>
          <cell r="T20">
            <v>-0.15</v>
          </cell>
          <cell r="U20">
            <v>0</v>
          </cell>
          <cell r="V20">
            <v>-1.75</v>
          </cell>
          <cell r="W20">
            <v>0</v>
          </cell>
          <cell r="AB20">
            <v>-0.15</v>
          </cell>
          <cell r="AC20">
            <v>0</v>
          </cell>
          <cell r="AD20">
            <v>-1.75</v>
          </cell>
          <cell r="AH20">
            <v>0</v>
          </cell>
          <cell r="AI20">
            <v>-1</v>
          </cell>
          <cell r="AJ20">
            <v>-0.15</v>
          </cell>
          <cell r="AO20">
            <v>0</v>
          </cell>
          <cell r="AP20">
            <v>0</v>
          </cell>
          <cell r="AT20">
            <v>0</v>
          </cell>
          <cell r="AU20">
            <v>0</v>
          </cell>
          <cell r="AV20" t="e">
            <v>#NAME?</v>
          </cell>
          <cell r="AZ20">
            <v>0</v>
          </cell>
          <cell r="BA20" t="e">
            <v>#NAME?</v>
          </cell>
          <cell r="BB20">
            <v>-0.15</v>
          </cell>
          <cell r="BF20" t="e">
            <v>#NAME?</v>
          </cell>
          <cell r="BG20">
            <v>-0.15</v>
          </cell>
          <cell r="BJ20">
            <v>0</v>
          </cell>
          <cell r="BK20" t="e">
            <v>#NAME?</v>
          </cell>
          <cell r="BL20">
            <v>-0.15</v>
          </cell>
          <cell r="BN20">
            <v>0</v>
          </cell>
          <cell r="BO20">
            <v>0</v>
          </cell>
          <cell r="BP20" t="e">
            <v>#NAME?</v>
          </cell>
          <cell r="BS20">
            <v>0</v>
          </cell>
          <cell r="BT20">
            <v>0</v>
          </cell>
          <cell r="BV20">
            <v>-0.15</v>
          </cell>
          <cell r="BX20">
            <v>0</v>
          </cell>
          <cell r="BZ20">
            <v>-2.5249999999999999</v>
          </cell>
          <cell r="CA20">
            <v>-0.15</v>
          </cell>
          <cell r="CD20">
            <v>0</v>
          </cell>
          <cell r="CE20">
            <v>-2.2749999999999999</v>
          </cell>
          <cell r="CF20">
            <v>-0.15</v>
          </cell>
          <cell r="CH20">
            <v>0</v>
          </cell>
          <cell r="CI20">
            <v>0</v>
          </cell>
          <cell r="CJ20" t="e">
            <v>#NAME?</v>
          </cell>
        </row>
        <row r="21">
          <cell r="F21" t="str">
            <v>Conv Freddie</v>
          </cell>
          <cell r="I21">
            <v>0</v>
          </cell>
          <cell r="J21">
            <v>0</v>
          </cell>
          <cell r="K21">
            <v>-1</v>
          </cell>
          <cell r="L21">
            <v>-0.15</v>
          </cell>
          <cell r="M21">
            <v>0</v>
          </cell>
          <cell r="N21">
            <v>-1.75</v>
          </cell>
          <cell r="O21">
            <v>0</v>
          </cell>
          <cell r="Q21">
            <v>0</v>
          </cell>
          <cell r="R21">
            <v>0</v>
          </cell>
          <cell r="S21">
            <v>-1</v>
          </cell>
          <cell r="T21">
            <v>-0.15</v>
          </cell>
          <cell r="U21">
            <v>0</v>
          </cell>
          <cell r="V21">
            <v>-1.75</v>
          </cell>
          <cell r="W21">
            <v>0</v>
          </cell>
          <cell r="AB21">
            <v>-0.15</v>
          </cell>
          <cell r="AC21">
            <v>0</v>
          </cell>
          <cell r="AD21">
            <v>-1.75</v>
          </cell>
          <cell r="AH21">
            <v>0</v>
          </cell>
          <cell r="AI21">
            <v>-1</v>
          </cell>
          <cell r="AJ21">
            <v>-0.15</v>
          </cell>
          <cell r="AO21">
            <v>0</v>
          </cell>
          <cell r="AP21">
            <v>0</v>
          </cell>
          <cell r="AT21">
            <v>0</v>
          </cell>
          <cell r="AU21">
            <v>0</v>
          </cell>
          <cell r="AV21" t="e">
            <v>#NAME?</v>
          </cell>
          <cell r="AZ21">
            <v>0</v>
          </cell>
          <cell r="BA21" t="e">
            <v>#NAME?</v>
          </cell>
          <cell r="BB21">
            <v>-0.15</v>
          </cell>
          <cell r="BF21" t="e">
            <v>#NAME?</v>
          </cell>
          <cell r="BG21">
            <v>-0.15</v>
          </cell>
          <cell r="BJ21">
            <v>0</v>
          </cell>
          <cell r="BK21" t="e">
            <v>#NAME?</v>
          </cell>
          <cell r="BL21">
            <v>-0.15</v>
          </cell>
          <cell r="BN21">
            <v>0</v>
          </cell>
          <cell r="BO21">
            <v>0</v>
          </cell>
          <cell r="BP21" t="e">
            <v>#NAME?</v>
          </cell>
          <cell r="BS21">
            <v>0</v>
          </cell>
          <cell r="BT21">
            <v>0</v>
          </cell>
          <cell r="BV21">
            <v>-0.15</v>
          </cell>
          <cell r="BX21">
            <v>0</v>
          </cell>
          <cell r="BZ21">
            <v>-2.5249999999999999</v>
          </cell>
          <cell r="CA21">
            <v>-0.15</v>
          </cell>
          <cell r="CD21">
            <v>0</v>
          </cell>
          <cell r="CE21">
            <v>-2.2749999999999999</v>
          </cell>
          <cell r="CF21">
            <v>-0.15</v>
          </cell>
          <cell r="CH21">
            <v>0</v>
          </cell>
          <cell r="CI21">
            <v>0</v>
          </cell>
          <cell r="CJ21" t="e">
            <v>#NAME?</v>
          </cell>
        </row>
        <row r="22">
          <cell r="B22" t="str">
            <v>Pricing Change Log</v>
          </cell>
          <cell r="F22" t="str">
            <v>Govt FHA</v>
          </cell>
          <cell r="I22">
            <v>0</v>
          </cell>
          <cell r="J22">
            <v>0</v>
          </cell>
          <cell r="K22">
            <v>-1</v>
          </cell>
          <cell r="L22">
            <v>-0.15</v>
          </cell>
          <cell r="M22">
            <v>0</v>
          </cell>
          <cell r="N22">
            <v>-1.75</v>
          </cell>
          <cell r="O22">
            <v>0</v>
          </cell>
          <cell r="Q22">
            <v>0</v>
          </cell>
          <cell r="R22">
            <v>0</v>
          </cell>
          <cell r="S22">
            <v>-1</v>
          </cell>
          <cell r="T22">
            <v>-0.15</v>
          </cell>
          <cell r="U22">
            <v>0</v>
          </cell>
          <cell r="V22">
            <v>-1.75</v>
          </cell>
          <cell r="W22">
            <v>0</v>
          </cell>
          <cell r="AB22">
            <v>-0.15</v>
          </cell>
          <cell r="AC22">
            <v>0</v>
          </cell>
          <cell r="AD22">
            <v>-1.75</v>
          </cell>
          <cell r="AH22">
            <v>0</v>
          </cell>
          <cell r="AI22">
            <v>-1</v>
          </cell>
          <cell r="AJ22">
            <v>-0.15</v>
          </cell>
          <cell r="AO22">
            <v>0</v>
          </cell>
          <cell r="AP22">
            <v>0</v>
          </cell>
          <cell r="AT22">
            <v>0</v>
          </cell>
          <cell r="AU22">
            <v>0</v>
          </cell>
          <cell r="AV22" t="e">
            <v>#NAME?</v>
          </cell>
          <cell r="AZ22">
            <v>0</v>
          </cell>
          <cell r="BA22" t="e">
            <v>#NAME?</v>
          </cell>
          <cell r="BB22">
            <v>-0.15</v>
          </cell>
          <cell r="BF22" t="e">
            <v>#NAME?</v>
          </cell>
          <cell r="BG22">
            <v>-0.15</v>
          </cell>
          <cell r="BJ22">
            <v>0</v>
          </cell>
          <cell r="BK22" t="e">
            <v>#NAME?</v>
          </cell>
          <cell r="BL22">
            <v>-0.15</v>
          </cell>
          <cell r="BN22">
            <v>0</v>
          </cell>
          <cell r="BO22">
            <v>0</v>
          </cell>
          <cell r="BP22" t="e">
            <v>#NAME?</v>
          </cell>
          <cell r="BS22">
            <v>0</v>
          </cell>
          <cell r="BT22">
            <v>0</v>
          </cell>
          <cell r="BV22">
            <v>-0.15</v>
          </cell>
          <cell r="BX22">
            <v>0</v>
          </cell>
          <cell r="BZ22">
            <v>-2.625</v>
          </cell>
          <cell r="CA22">
            <v>-0.15</v>
          </cell>
          <cell r="CD22">
            <v>0</v>
          </cell>
          <cell r="CE22">
            <v>-2.375</v>
          </cell>
          <cell r="CF22">
            <v>-0.15</v>
          </cell>
          <cell r="CH22">
            <v>0</v>
          </cell>
          <cell r="CI22">
            <v>0</v>
          </cell>
          <cell r="CJ22" t="e">
            <v>#NAME?</v>
          </cell>
        </row>
        <row r="23">
          <cell r="B23" t="str">
            <v>Effective Date</v>
          </cell>
          <cell r="C23" t="str">
            <v>Change</v>
          </cell>
          <cell r="F23" t="str">
            <v>Govt VA</v>
          </cell>
          <cell r="I23">
            <v>0</v>
          </cell>
          <cell r="J23">
            <v>0</v>
          </cell>
          <cell r="K23">
            <v>-1</v>
          </cell>
          <cell r="L23">
            <v>-0.15</v>
          </cell>
          <cell r="M23">
            <v>0</v>
          </cell>
          <cell r="N23">
            <v>-1.75</v>
          </cell>
          <cell r="O23">
            <v>0</v>
          </cell>
          <cell r="Q23">
            <v>0</v>
          </cell>
          <cell r="R23">
            <v>0</v>
          </cell>
          <cell r="S23">
            <v>-1</v>
          </cell>
          <cell r="T23">
            <v>-0.15</v>
          </cell>
          <cell r="U23">
            <v>0</v>
          </cell>
          <cell r="V23">
            <v>-1.75</v>
          </cell>
          <cell r="W23">
            <v>0</v>
          </cell>
          <cell r="AB23">
            <v>-0.15</v>
          </cell>
          <cell r="AC23">
            <v>0</v>
          </cell>
          <cell r="AD23">
            <v>-1.75</v>
          </cell>
          <cell r="AH23">
            <v>0</v>
          </cell>
          <cell r="AI23">
            <v>-1</v>
          </cell>
          <cell r="AJ23">
            <v>-0.15</v>
          </cell>
          <cell r="AO23">
            <v>0</v>
          </cell>
          <cell r="AP23">
            <v>0</v>
          </cell>
          <cell r="AT23">
            <v>0</v>
          </cell>
          <cell r="AU23">
            <v>0</v>
          </cell>
          <cell r="AV23" t="e">
            <v>#NAME?</v>
          </cell>
          <cell r="AZ23">
            <v>0</v>
          </cell>
          <cell r="BA23" t="e">
            <v>#NAME?</v>
          </cell>
          <cell r="BB23">
            <v>-0.15</v>
          </cell>
          <cell r="BF23" t="e">
            <v>#NAME?</v>
          </cell>
          <cell r="BG23">
            <v>-0.15</v>
          </cell>
          <cell r="BJ23">
            <v>0</v>
          </cell>
          <cell r="BK23" t="e">
            <v>#NAME?</v>
          </cell>
          <cell r="BL23">
            <v>-0.15</v>
          </cell>
          <cell r="BN23">
            <v>0</v>
          </cell>
          <cell r="BO23">
            <v>0</v>
          </cell>
          <cell r="BP23" t="e">
            <v>#NAME?</v>
          </cell>
          <cell r="BS23">
            <v>0</v>
          </cell>
          <cell r="BT23">
            <v>0</v>
          </cell>
          <cell r="BV23">
            <v>-0.15</v>
          </cell>
          <cell r="BX23">
            <v>0</v>
          </cell>
          <cell r="BZ23">
            <v>-2.625</v>
          </cell>
          <cell r="CA23">
            <v>-0.15</v>
          </cell>
          <cell r="CD23">
            <v>0</v>
          </cell>
          <cell r="CE23">
            <v>-2.375</v>
          </cell>
          <cell r="CF23">
            <v>-0.15</v>
          </cell>
          <cell r="CH23">
            <v>0</v>
          </cell>
          <cell r="CI23">
            <v>0</v>
          </cell>
          <cell r="CJ23" t="e">
            <v>#NAME?</v>
          </cell>
        </row>
        <row r="24">
          <cell r="B24">
            <v>44596</v>
          </cell>
          <cell r="C24" t="str">
            <v>.250 Price Worse</v>
          </cell>
        </row>
        <row r="25">
          <cell r="B25">
            <v>44600</v>
          </cell>
          <cell r="C25" t="str">
            <v>.125 Price Worse</v>
          </cell>
        </row>
        <row r="26">
          <cell r="B26">
            <v>44601</v>
          </cell>
          <cell r="C26" t="str">
            <v>.125 Price Worse</v>
          </cell>
        </row>
        <row r="27">
          <cell r="B27">
            <v>44601</v>
          </cell>
          <cell r="C27" t="str">
            <v>.250 Price Worse (Additional)</v>
          </cell>
        </row>
        <row r="28">
          <cell r="B28">
            <v>44602</v>
          </cell>
          <cell r="C28" t="str">
            <v>Max Pricing reduced by .500</v>
          </cell>
        </row>
        <row r="29">
          <cell r="B29">
            <v>44602</v>
          </cell>
          <cell r="C29" t="str">
            <v>Buydowns Steepened below 5.00 NQMOO</v>
          </cell>
        </row>
        <row r="30">
          <cell r="B30">
            <v>44609</v>
          </cell>
          <cell r="C30" t="str">
            <v>Move Min Rates to 4.50/4.75/5.50</v>
          </cell>
        </row>
        <row r="31">
          <cell r="B31">
            <v>44609</v>
          </cell>
          <cell r="C31" t="str">
            <v>Change Buydowns</v>
          </cell>
        </row>
        <row r="32">
          <cell r="B32">
            <v>44615</v>
          </cell>
          <cell r="C32" t="str">
            <v>.250 Price Worse</v>
          </cell>
        </row>
        <row r="33">
          <cell r="B33">
            <v>44616</v>
          </cell>
          <cell r="C33" t="str">
            <v>Min Rates: Increase .375</v>
          </cell>
        </row>
        <row r="34">
          <cell r="B34">
            <v>44616</v>
          </cell>
          <cell r="C34" t="str">
            <v>Max Pricing: Reduce .750</v>
          </cell>
        </row>
        <row r="35">
          <cell r="B35">
            <v>44616</v>
          </cell>
          <cell r="C35" t="str">
            <v>Base Pricing: Reduce .250</v>
          </cell>
        </row>
        <row r="36">
          <cell r="B36">
            <v>44616</v>
          </cell>
          <cell r="C36" t="str">
            <v>Whsl Spread: Reduce .250</v>
          </cell>
        </row>
        <row r="37">
          <cell r="B37">
            <v>44617</v>
          </cell>
          <cell r="C37" t="str">
            <v>Base Pricing: Reduce .250</v>
          </cell>
        </row>
        <row r="38">
          <cell r="B38">
            <v>44621</v>
          </cell>
          <cell r="C38" t="str">
            <v>Base Pricing: Reduce .125</v>
          </cell>
        </row>
        <row r="39">
          <cell r="B39">
            <v>44623</v>
          </cell>
          <cell r="C39" t="str">
            <v>Base Pricing: Reduce .250</v>
          </cell>
        </row>
        <row r="40">
          <cell r="B40">
            <v>44623</v>
          </cell>
          <cell r="C40" t="str">
            <v>Min Rates: Increase .125/.250/.375 (OO 5.000 / NOO 5.375 / Multi 6.250)</v>
          </cell>
        </row>
        <row r="41">
          <cell r="B41">
            <v>44629</v>
          </cell>
          <cell r="C41" t="str">
            <v>Max Pricing: Increase .375</v>
          </cell>
        </row>
        <row r="42">
          <cell r="B42">
            <v>44629</v>
          </cell>
          <cell r="C42" t="str">
            <v>Buyups changed 2:1 (3 on OO, 6 on NOO)</v>
          </cell>
        </row>
        <row r="43">
          <cell r="B43">
            <v>44631</v>
          </cell>
          <cell r="C43" t="str">
            <v>Base Pricing: Reduce .125</v>
          </cell>
        </row>
        <row r="44">
          <cell r="B44">
            <v>44631</v>
          </cell>
          <cell r="C44" t="str">
            <v>Rate Spread Multi - Add .25 Rate</v>
          </cell>
        </row>
        <row r="45">
          <cell r="B45">
            <v>44634</v>
          </cell>
          <cell r="C45" t="str">
            <v>Remove FNat, 3mo, MFamLLPA .50-1.0</v>
          </cell>
        </row>
        <row r="46">
          <cell r="B46">
            <v>44635</v>
          </cell>
          <cell r="C46" t="str">
            <v>Change Buydowns</v>
          </cell>
        </row>
        <row r="47">
          <cell r="B47">
            <v>44635</v>
          </cell>
          <cell r="C47" t="str">
            <v>Reduce Price .250</v>
          </cell>
        </row>
        <row r="48">
          <cell r="B48">
            <v>44638</v>
          </cell>
          <cell r="C48" t="str">
            <v>Reduce Price .250</v>
          </cell>
        </row>
        <row r="49">
          <cell r="B49">
            <v>44639</v>
          </cell>
          <cell r="C49" t="str">
            <v>Move .5:1 buyups to 1:1</v>
          </cell>
        </row>
        <row r="50">
          <cell r="B50">
            <v>44641</v>
          </cell>
          <cell r="C50" t="str">
            <v>Reduce Price .125</v>
          </cell>
        </row>
        <row r="51">
          <cell r="B51">
            <v>44641</v>
          </cell>
          <cell r="C51" t="str">
            <v>Reduce Price .250 (Midday)</v>
          </cell>
        </row>
        <row r="52">
          <cell r="B52">
            <v>44642</v>
          </cell>
          <cell r="C52" t="str">
            <v>Reduce Price .125</v>
          </cell>
        </row>
        <row r="53">
          <cell r="B53">
            <v>44642</v>
          </cell>
          <cell r="C53" t="str">
            <v>Increase BD 1 mult on lowest 2 rates</v>
          </cell>
        </row>
        <row r="54">
          <cell r="B54">
            <v>44644</v>
          </cell>
          <cell r="C54" t="str">
            <v>Reduce Price .250</v>
          </cell>
        </row>
        <row r="55">
          <cell r="B55">
            <v>44645</v>
          </cell>
          <cell r="C55" t="str">
            <v>Rate Spread Multi - Add .25 Rate</v>
          </cell>
        </row>
        <row r="56">
          <cell r="B56">
            <v>44645</v>
          </cell>
        </row>
        <row r="57">
          <cell r="B57">
            <v>44645</v>
          </cell>
          <cell r="C57" t="str">
            <v>Rate Shift up .250</v>
          </cell>
        </row>
        <row r="58">
          <cell r="B58">
            <v>44649</v>
          </cell>
          <cell r="C58" t="str">
            <v>Increase BD 1 mult on 4 rates</v>
          </cell>
        </row>
        <row r="59">
          <cell r="B59">
            <v>44651</v>
          </cell>
          <cell r="C59" t="str">
            <v>Remove Lowest 2 Note Rates</v>
          </cell>
        </row>
        <row r="60">
          <cell r="B60">
            <v>44652</v>
          </cell>
          <cell r="C60" t="str">
            <v>Increase BD 1 mult on 2 of 4 lowest rates</v>
          </cell>
        </row>
        <row r="61">
          <cell r="B61">
            <v>44672</v>
          </cell>
        </row>
        <row r="62">
          <cell r="B62">
            <v>44673</v>
          </cell>
        </row>
        <row r="63">
          <cell r="B63">
            <v>44686</v>
          </cell>
        </row>
        <row r="64">
          <cell r="B64">
            <v>44692</v>
          </cell>
        </row>
        <row r="65">
          <cell r="B65">
            <v>44693</v>
          </cell>
        </row>
        <row r="66">
          <cell r="B66">
            <v>44694</v>
          </cell>
        </row>
        <row r="67">
          <cell r="B67">
            <v>44697</v>
          </cell>
        </row>
        <row r="68">
          <cell r="B68">
            <v>44707</v>
          </cell>
        </row>
        <row r="69">
          <cell r="B69">
            <v>44708</v>
          </cell>
        </row>
      </sheetData>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1</v>
    <v>8</v>
    <v>6</v>
    <v>6</v>
  </rv>
  <rv s="0">
    <v>29</v>
    <v>8</v>
    <v>1626</v>
    <v>6</v>
  </rv>
  <rv s="0">
    <v>0</v>
    <v>8</v>
    <v>1627</v>
    <v>1</v>
  </rv>
  <rv s="0">
    <v>51</v>
    <v>8</v>
    <v>1626</v>
    <v>1</v>
  </rv>
  <rv s="0">
    <v>0</v>
    <v>8</v>
    <v>1626</v>
    <v>1</v>
  </rv>
  <rv s="0">
    <v>0</v>
    <v>8</v>
    <v>1626</v>
    <v>6</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Lockdesk@BrokersAdvantageMtg.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ACAF3-67A7-4219-A847-8A56D62D7B73}">
  <sheetPr codeName="Sheet1">
    <pageSetUpPr fitToPage="1"/>
  </sheetPr>
  <dimension ref="A1:AQ906"/>
  <sheetViews>
    <sheetView showGridLines="0" showRowColHeaders="0" tabSelected="1" zoomScale="110" zoomScaleNormal="110" workbookViewId="0">
      <pane xSplit="1" ySplit="7" topLeftCell="B8" activePane="bottomRight" state="frozen"/>
      <selection pane="topRight" activeCell="B1" sqref="B1"/>
      <selection pane="bottomLeft" activeCell="A8" sqref="A8"/>
      <selection pane="bottomRight" activeCell="I15" sqref="I15:L15"/>
    </sheetView>
  </sheetViews>
  <sheetFormatPr defaultColWidth="8.5703125" defaultRowHeight="10.15" customHeight="1" x14ac:dyDescent="0.25"/>
  <cols>
    <col min="1" max="1" width="3.85546875" style="10" hidden="1" customWidth="1"/>
    <col min="2" max="2" width="3.85546875" style="10" customWidth="1"/>
    <col min="3" max="3" width="1.140625" style="10" customWidth="1"/>
    <col min="4" max="4" width="6.7109375" style="10" customWidth="1"/>
    <col min="5" max="7" width="8.7109375" style="10" customWidth="1"/>
    <col min="8" max="8" width="8.28515625" style="10" customWidth="1"/>
    <col min="9" max="9" width="2.140625" style="10" customWidth="1"/>
    <col min="10" max="10" width="2.7109375" style="10" customWidth="1"/>
    <col min="11" max="11" width="10.5703125" style="10" customWidth="1"/>
    <col min="12" max="12" width="23.42578125" style="10" customWidth="1"/>
    <col min="13" max="13" width="2.28515625" style="10" customWidth="1"/>
    <col min="14" max="17" width="6.85546875" style="10" customWidth="1"/>
    <col min="18" max="18" width="2.7109375" style="10" customWidth="1"/>
    <col min="19" max="19" width="22.140625" style="10" hidden="1" customWidth="1"/>
    <col min="20" max="28" width="7.140625" style="10" customWidth="1"/>
    <col min="29" max="29" width="1.140625" style="10" customWidth="1"/>
    <col min="30" max="30" width="0.85546875" style="10" customWidth="1"/>
    <col min="31" max="31" width="15.28515625" style="10" bestFit="1" customWidth="1"/>
    <col min="32" max="33" width="1.7109375" style="10" customWidth="1"/>
    <col min="34" max="34" width="10.28515625" style="10" customWidth="1"/>
    <col min="35" max="36" width="10.28515625" customWidth="1"/>
    <col min="37" max="16384" width="8.5703125" style="10"/>
  </cols>
  <sheetData>
    <row r="1" spans="1:36" ht="3" customHeight="1" x14ac:dyDescent="0.25">
      <c r="A1" s="10" t="s">
        <v>462</v>
      </c>
    </row>
    <row r="2" spans="1:36" ht="10.15" customHeight="1" x14ac:dyDescent="0.2">
      <c r="A2" s="10" t="s">
        <v>461</v>
      </c>
      <c r="C2" s="2491"/>
      <c r="D2" s="2492"/>
      <c r="E2" s="2492"/>
      <c r="F2" s="2492"/>
      <c r="G2" s="2492"/>
      <c r="H2" s="2492"/>
      <c r="I2" s="2492"/>
      <c r="J2" s="2747" t="str">
        <f>Input_Name_Pricer</f>
        <v>LEAD PLUS Seconds Calculator</v>
      </c>
      <c r="K2" s="2747"/>
      <c r="L2" s="2747"/>
      <c r="M2" s="2747"/>
      <c r="N2" s="2747"/>
      <c r="O2" s="2747"/>
      <c r="P2" s="2747"/>
      <c r="Q2" s="2747"/>
      <c r="R2" s="2747"/>
      <c r="S2" s="2747"/>
      <c r="T2" s="2493"/>
      <c r="U2" s="2493"/>
      <c r="V2" s="2493"/>
      <c r="W2" s="2494" t="s">
        <v>76</v>
      </c>
      <c r="X2" s="2495"/>
      <c r="Y2" s="2495"/>
      <c r="Z2" s="2495"/>
      <c r="AA2" s="2734" t="s">
        <v>76</v>
      </c>
      <c r="AB2" s="2734"/>
      <c r="AC2" s="2496"/>
      <c r="AH2" s="2733" t="s">
        <v>1657</v>
      </c>
      <c r="AI2" s="2733"/>
      <c r="AJ2" s="2733"/>
    </row>
    <row r="3" spans="1:36" ht="10.15" customHeight="1" x14ac:dyDescent="0.2">
      <c r="A3" s="10" t="s">
        <v>461</v>
      </c>
      <c r="C3" s="2497"/>
      <c r="D3" s="1900"/>
      <c r="E3" s="1900"/>
      <c r="F3" s="1900"/>
      <c r="G3" s="1900"/>
      <c r="H3" s="1900"/>
      <c r="I3" s="1900"/>
      <c r="J3" s="2748"/>
      <c r="K3" s="2748"/>
      <c r="L3" s="2748"/>
      <c r="M3" s="2748"/>
      <c r="N3" s="2748"/>
      <c r="O3" s="2748"/>
      <c r="P3" s="2748"/>
      <c r="Q3" s="2748"/>
      <c r="R3" s="2748"/>
      <c r="S3" s="2748"/>
      <c r="T3" s="2498"/>
      <c r="U3" s="2498"/>
      <c r="V3" s="2498"/>
      <c r="W3" s="2499" t="s">
        <v>76</v>
      </c>
      <c r="X3" s="2500"/>
      <c r="Y3" s="2500"/>
      <c r="Z3" s="2500"/>
      <c r="AA3" s="2735" t="s">
        <v>76</v>
      </c>
      <c r="AB3" s="2735"/>
      <c r="AC3" s="2502"/>
      <c r="AH3" s="335" t="s">
        <v>1658</v>
      </c>
      <c r="AI3" s="335" t="s">
        <v>1659</v>
      </c>
      <c r="AJ3" s="335" t="s">
        <v>258</v>
      </c>
    </row>
    <row r="4" spans="1:36" ht="10.15" customHeight="1" x14ac:dyDescent="0.25">
      <c r="A4" s="10" t="s">
        <v>461</v>
      </c>
      <c r="C4" s="2497"/>
      <c r="D4" s="1900"/>
      <c r="E4" s="1900"/>
      <c r="F4" s="1900"/>
      <c r="G4" s="1900"/>
      <c r="H4" s="1900"/>
      <c r="I4" s="1900"/>
      <c r="J4" s="2748"/>
      <c r="K4" s="2748"/>
      <c r="L4" s="2748"/>
      <c r="M4" s="2748"/>
      <c r="N4" s="2748"/>
      <c r="O4" s="2748"/>
      <c r="P4" s="2748"/>
      <c r="Q4" s="2748"/>
      <c r="R4" s="2748"/>
      <c r="S4" s="2748"/>
      <c r="T4" s="2498"/>
      <c r="U4" s="2498"/>
      <c r="V4" s="2498"/>
      <c r="W4" s="2503" t="s">
        <v>76</v>
      </c>
      <c r="X4" s="2500"/>
      <c r="Y4" s="2500"/>
      <c r="Z4" s="2500"/>
      <c r="AA4" s="2501"/>
      <c r="AB4" s="2501" t="s">
        <v>76</v>
      </c>
      <c r="AC4" s="2502"/>
      <c r="AE4"/>
      <c r="AH4" s="336"/>
      <c r="AI4" s="336"/>
      <c r="AJ4" s="337"/>
    </row>
    <row r="5" spans="1:36" ht="10.15" customHeight="1" x14ac:dyDescent="0.25">
      <c r="A5" s="10" t="s">
        <v>461</v>
      </c>
      <c r="C5" s="2497"/>
      <c r="D5" s="1900"/>
      <c r="E5" s="1900"/>
      <c r="F5" s="1900"/>
      <c r="G5" s="1900"/>
      <c r="H5" s="1900"/>
      <c r="I5" s="1900"/>
      <c r="J5" s="2748"/>
      <c r="K5" s="2748"/>
      <c r="L5" s="2748"/>
      <c r="M5" s="2748"/>
      <c r="N5" s="2748"/>
      <c r="O5" s="2748"/>
      <c r="P5" s="2748"/>
      <c r="Q5" s="2748"/>
      <c r="R5" s="2748"/>
      <c r="S5" s="2748"/>
      <c r="T5" s="2498"/>
      <c r="U5" s="2498"/>
      <c r="V5" s="2498"/>
      <c r="W5" s="2504" t="s">
        <v>76</v>
      </c>
      <c r="X5" s="2505" t="s">
        <v>76</v>
      </c>
      <c r="Y5" s="2500"/>
      <c r="Z5" s="2500"/>
      <c r="AA5" s="2501"/>
      <c r="AB5" s="2506" t="str" cm="1">
        <f t="array" ref="AB5">[1]!Input_RS_ID</f>
        <v>#01</v>
      </c>
      <c r="AC5" s="2502"/>
      <c r="AE5"/>
      <c r="AH5" s="336"/>
      <c r="AI5" s="336"/>
      <c r="AJ5" s="337"/>
    </row>
    <row r="6" spans="1:36" ht="10.15" customHeight="1" x14ac:dyDescent="0.25">
      <c r="A6" s="10" t="s">
        <v>461</v>
      </c>
      <c r="C6" s="2507"/>
      <c r="D6" s="2508"/>
      <c r="E6" s="2508"/>
      <c r="F6" s="2508"/>
      <c r="G6" s="2508"/>
      <c r="H6" s="2508"/>
      <c r="I6" s="2508"/>
      <c r="J6" s="2749"/>
      <c r="K6" s="2749"/>
      <c r="L6" s="2749"/>
      <c r="M6" s="2749"/>
      <c r="N6" s="2749"/>
      <c r="O6" s="2749"/>
      <c r="P6" s="2749"/>
      <c r="Q6" s="2749"/>
      <c r="R6" s="2749"/>
      <c r="S6" s="2749"/>
      <c r="T6" s="2509"/>
      <c r="U6" s="2509"/>
      <c r="V6" s="2509"/>
      <c r="W6" s="2510" t="s">
        <v>76</v>
      </c>
      <c r="X6" s="2511"/>
      <c r="Y6" s="2511"/>
      <c r="Z6" s="2511"/>
      <c r="AA6" s="2744" cm="1">
        <f t="array" aca="1" ref="AA6" ca="1">[1]!Input_RS_Dt</f>
        <v>45743</v>
      </c>
      <c r="AB6" s="2744"/>
      <c r="AC6" s="2512"/>
      <c r="AE6"/>
      <c r="AH6" s="336"/>
      <c r="AI6" s="336"/>
      <c r="AJ6" s="337"/>
    </row>
    <row r="7" spans="1:36" ht="10.15" customHeight="1" x14ac:dyDescent="0.25">
      <c r="A7" s="10" t="s">
        <v>461</v>
      </c>
      <c r="B7" s="5"/>
      <c r="C7" s="254"/>
      <c r="D7" s="255"/>
      <c r="E7" s="255"/>
      <c r="F7" s="255"/>
      <c r="G7" s="255"/>
      <c r="H7" s="255"/>
      <c r="I7" s="255"/>
      <c r="J7" s="255"/>
      <c r="K7" s="255"/>
      <c r="L7" s="255"/>
      <c r="M7" s="255"/>
      <c r="N7" s="255"/>
      <c r="O7" s="255"/>
      <c r="P7" s="255"/>
      <c r="Q7" s="255"/>
      <c r="R7" s="255"/>
      <c r="S7" s="255"/>
      <c r="T7" s="2476" t="s">
        <v>249</v>
      </c>
      <c r="U7" s="2477" t="s">
        <v>15</v>
      </c>
      <c r="V7" s="2478" t="s">
        <v>84</v>
      </c>
      <c r="W7" s="2478" t="s">
        <v>31</v>
      </c>
      <c r="X7" s="2478" t="s">
        <v>30</v>
      </c>
      <c r="Y7" s="2478" t="s">
        <v>29</v>
      </c>
      <c r="Z7" s="2478" t="s">
        <v>28</v>
      </c>
      <c r="AA7" s="2478" t="s">
        <v>27</v>
      </c>
      <c r="AB7" s="2478" t="s">
        <v>26</v>
      </c>
      <c r="AC7" s="2479"/>
      <c r="AE7" s="2481" t="s">
        <v>4208</v>
      </c>
      <c r="AF7" s="248"/>
    </row>
    <row r="8" spans="1:36" ht="3" customHeight="1" x14ac:dyDescent="0.25">
      <c r="A8" s="10" t="s">
        <v>462</v>
      </c>
      <c r="M8" s="2480"/>
      <c r="N8" s="2480"/>
      <c r="O8" s="2480"/>
      <c r="P8" s="2480"/>
      <c r="Q8" s="2480"/>
      <c r="R8" s="2480"/>
      <c r="S8" s="2480"/>
      <c r="T8" s="2480"/>
      <c r="U8" s="2480"/>
      <c r="V8" s="2480"/>
      <c r="W8" s="2480"/>
      <c r="X8" s="2480"/>
      <c r="Y8" s="2480"/>
      <c r="Z8" s="2480"/>
      <c r="AA8" s="2480"/>
      <c r="AB8" s="2480"/>
      <c r="AC8" s="2480"/>
      <c r="AE8"/>
      <c r="AF8"/>
      <c r="AG8"/>
      <c r="AH8"/>
    </row>
    <row r="9" spans="1:36" ht="10.15" customHeight="1" x14ac:dyDescent="0.25">
      <c r="A9" s="10" t="s">
        <v>461</v>
      </c>
      <c r="B9" s="5"/>
      <c r="C9" s="222"/>
      <c r="D9" s="224" t="s">
        <v>2</v>
      </c>
      <c r="E9" s="225" t="str">
        <f>Elig_FindMatrixMatch_All</f>
        <v>NSO0001</v>
      </c>
      <c r="F9" s="2634" t="s">
        <v>4241</v>
      </c>
      <c r="G9" s="2635"/>
      <c r="H9" s="482" t="str">
        <f>Output_ProductCode</f>
        <v>PT30F</v>
      </c>
      <c r="I9" s="2736" t="str">
        <f>Output_Msg_Eligibility</f>
        <v/>
      </c>
      <c r="J9" s="2737"/>
      <c r="K9" s="2737"/>
      <c r="L9" s="2738"/>
      <c r="M9" s="249"/>
      <c r="N9" s="2638" t="s">
        <v>2039</v>
      </c>
      <c r="O9" s="2639"/>
      <c r="P9" s="2639"/>
      <c r="Q9" s="2640"/>
      <c r="R9" s="280"/>
      <c r="S9" s="250"/>
      <c r="T9" s="250"/>
      <c r="U9" s="128"/>
      <c r="V9" s="128"/>
      <c r="W9" s="128"/>
      <c r="X9" s="128"/>
      <c r="Y9" s="128"/>
      <c r="Z9" s="128"/>
      <c r="AA9" s="128"/>
      <c r="AB9" s="319" t="s">
        <v>76</v>
      </c>
      <c r="AC9" s="129"/>
      <c r="AE9" s="1899" t="str">
        <f>J57</f>
        <v>Second OO</v>
      </c>
      <c r="AG9"/>
      <c r="AH9"/>
    </row>
    <row r="10" spans="1:36" ht="10.15" customHeight="1" x14ac:dyDescent="0.25">
      <c r="A10" s="10" t="s">
        <v>461</v>
      </c>
      <c r="B10" s="5"/>
      <c r="C10" s="40"/>
      <c r="D10" s="27" t="s">
        <v>92</v>
      </c>
      <c r="E10" s="19"/>
      <c r="F10" s="1497">
        <v>10</v>
      </c>
      <c r="G10" s="461"/>
      <c r="H10" s="1470">
        <f>IF(Input_Pricing_Type="Points",100-Output_PriceNoteRate,Output_PriceNoteRate)</f>
        <v>106.5</v>
      </c>
      <c r="I10" s="2658" t="str">
        <f>Output_Msg_PriceNoteRate</f>
        <v/>
      </c>
      <c r="J10" s="2659"/>
      <c r="K10" s="2659"/>
      <c r="L10" s="2660"/>
      <c r="M10" s="251"/>
      <c r="N10" s="1167" t="s">
        <v>126</v>
      </c>
      <c r="O10" s="1167" t="s">
        <v>258</v>
      </c>
      <c r="P10" s="1167" t="s">
        <v>101</v>
      </c>
      <c r="Q10" s="1167" t="s">
        <v>480</v>
      </c>
      <c r="R10" s="279"/>
      <c r="S10" s="252"/>
      <c r="T10" s="947" t="s">
        <v>1331</v>
      </c>
      <c r="U10" s="948"/>
      <c r="V10" s="948"/>
      <c r="W10" s="948"/>
      <c r="X10" s="948"/>
      <c r="Y10" s="948"/>
      <c r="Z10" s="948"/>
      <c r="AA10" s="948"/>
      <c r="AB10" s="949"/>
      <c r="AC10" s="42"/>
      <c r="AE10" s="1899" t="str">
        <f>J190</f>
        <v>Second NOO</v>
      </c>
      <c r="AG10"/>
      <c r="AH10"/>
    </row>
    <row r="11" spans="1:36" ht="10.15" customHeight="1" x14ac:dyDescent="0.25">
      <c r="A11" s="10" t="s">
        <v>461</v>
      </c>
      <c r="B11" s="5"/>
      <c r="C11" s="40"/>
      <c r="D11" s="27" t="s">
        <v>39</v>
      </c>
      <c r="E11" s="19"/>
      <c r="F11" s="2661" t="s">
        <v>37</v>
      </c>
      <c r="G11" s="2662"/>
      <c r="H11" s="1471">
        <f>Input_Pricing_TypeMult*Output_LLPA_Occupancy</f>
        <v>0</v>
      </c>
      <c r="I11" s="2658" t="str">
        <f>Output_Msg_LLPA_Occupancy</f>
        <v/>
      </c>
      <c r="J11" s="2659"/>
      <c r="K11" s="2659"/>
      <c r="L11" s="2660"/>
      <c r="M11" s="251"/>
      <c r="N11" s="1154">
        <f>IF(Structure!E52="na","",Structure!E52)</f>
        <v>13.125</v>
      </c>
      <c r="O11" s="1469">
        <f>IF(Structure!F52="na","",Structure!F52)</f>
        <v>112.375</v>
      </c>
      <c r="P11" s="1469">
        <f>IF(Structure!G52="na","",Structure!G52)</f>
        <v>-0.125</v>
      </c>
      <c r="Q11" s="1469">
        <f>IF(Structure!H52="na","",Structure!H52)</f>
        <v>101</v>
      </c>
      <c r="R11" s="481"/>
      <c r="S11" s="252"/>
      <c r="T11" s="954"/>
      <c r="U11" s="955"/>
      <c r="V11" s="956" t="s">
        <v>1328</v>
      </c>
      <c r="W11" s="957" t="s">
        <v>1329</v>
      </c>
      <c r="X11" s="987" t="s">
        <v>1764</v>
      </c>
      <c r="Y11" s="955"/>
      <c r="Z11" s="955"/>
      <c r="AA11" s="955"/>
      <c r="AB11" s="958"/>
      <c r="AC11" s="42"/>
      <c r="AE11" s="1899" t="str">
        <f>J353</f>
        <v>HELOC OO</v>
      </c>
      <c r="AG11"/>
      <c r="AH11"/>
    </row>
    <row r="12" spans="1:36" ht="10.15" customHeight="1" x14ac:dyDescent="0.25">
      <c r="A12" s="10" t="s">
        <v>461</v>
      </c>
      <c r="B12" s="5"/>
      <c r="C12" s="40"/>
      <c r="D12" s="27" t="s">
        <v>25</v>
      </c>
      <c r="E12" s="19"/>
      <c r="F12" s="462">
        <v>740</v>
      </c>
      <c r="G12" s="463"/>
      <c r="H12" s="483"/>
      <c r="I12" s="2739" t="str">
        <f>Output_Msg_LLPA_CreditScore</f>
        <v/>
      </c>
      <c r="J12" s="2739"/>
      <c r="K12" s="2739"/>
      <c r="L12" s="2740"/>
      <c r="M12" s="251"/>
      <c r="N12" s="1154">
        <f>IF(Structure!E53="na","",Structure!E53)</f>
        <v>13</v>
      </c>
      <c r="O12" s="1469">
        <f>IF(Structure!F53="na","",Structure!F53)</f>
        <v>112.25</v>
      </c>
      <c r="P12" s="1469">
        <f>IF(Structure!G53="na","",Structure!G53)</f>
        <v>-0.125</v>
      </c>
      <c r="Q12" s="1469">
        <f>IF(Structure!H53="na","",Structure!H53)</f>
        <v>101</v>
      </c>
      <c r="R12" s="279"/>
      <c r="S12" s="252"/>
      <c r="T12" s="486" t="s">
        <v>1330</v>
      </c>
      <c r="U12" s="477"/>
      <c r="V12" s="959">
        <v>500000</v>
      </c>
      <c r="W12" s="981">
        <f>Input_LoanAmt</f>
        <v>250000</v>
      </c>
      <c r="X12" s="5"/>
      <c r="Y12" s="5"/>
      <c r="Z12" s="5"/>
      <c r="AA12" s="5"/>
      <c r="AB12" s="304"/>
      <c r="AC12" s="42"/>
      <c r="AE12" s="1899" t="str">
        <f>J475</f>
        <v>HELOC NOO</v>
      </c>
      <c r="AG12"/>
    </row>
    <row r="13" spans="1:36" ht="10.15" customHeight="1" x14ac:dyDescent="0.25">
      <c r="A13" s="10" t="s">
        <v>461</v>
      </c>
      <c r="B13" s="5"/>
      <c r="C13" s="40"/>
      <c r="D13" s="27" t="s">
        <v>1301</v>
      </c>
      <c r="E13" s="19"/>
      <c r="F13" s="464">
        <v>65</v>
      </c>
      <c r="G13" s="463"/>
      <c r="H13" s="484"/>
      <c r="I13" s="2631" t="str">
        <f>Output_Msg_LLPA_LTV</f>
        <v/>
      </c>
      <c r="J13" s="2631"/>
      <c r="K13" s="2631"/>
      <c r="L13" s="2632"/>
      <c r="M13" s="251"/>
      <c r="N13" s="1154">
        <f>IF(Structure!E54="na","",Structure!E54)</f>
        <v>12.875</v>
      </c>
      <c r="O13" s="1469">
        <f>IF(Structure!F54="na","",Structure!F54)</f>
        <v>112.125</v>
      </c>
      <c r="P13" s="1469">
        <f>IF(Structure!G54="na","",Structure!G54)</f>
        <v>-0.125</v>
      </c>
      <c r="Q13" s="1469">
        <f>IF(Structure!H54="na","",Structure!H54)</f>
        <v>101</v>
      </c>
      <c r="S13" s="252"/>
      <c r="T13" s="982" t="s">
        <v>126</v>
      </c>
      <c r="U13" s="983"/>
      <c r="V13" s="984">
        <v>4</v>
      </c>
      <c r="W13" s="985">
        <f>Input_NoteRate</f>
        <v>10</v>
      </c>
      <c r="X13" s="986">
        <f>SUMPRODUCT($V$12:$W$12,$V$13:$W$13)/SUM($V$12:$W$12)</f>
        <v>6</v>
      </c>
      <c r="Y13" s="5"/>
      <c r="Z13" s="5"/>
      <c r="AA13" s="5"/>
      <c r="AB13" s="304"/>
      <c r="AC13" s="42"/>
      <c r="AE13" s="1899" t="str">
        <f>J596</f>
        <v>NonQM OO</v>
      </c>
      <c r="AF13"/>
      <c r="AG13"/>
    </row>
    <row r="14" spans="1:36" ht="10.15" customHeight="1" x14ac:dyDescent="0.25">
      <c r="A14" s="10" t="s">
        <v>461</v>
      </c>
      <c r="B14" s="5"/>
      <c r="C14" s="40"/>
      <c r="D14" s="28" t="s">
        <v>8</v>
      </c>
      <c r="E14" s="19"/>
      <c r="F14" s="465">
        <v>250000</v>
      </c>
      <c r="G14" s="463"/>
      <c r="H14" s="1472">
        <f>Input_Pricing_TypeMult*Output_LLPA_LoanAmt</f>
        <v>0</v>
      </c>
      <c r="I14" s="2633" t="str">
        <f>Output_Msg_LLPA_LoanAmt</f>
        <v xml:space="preserve"> </v>
      </c>
      <c r="J14" s="2631"/>
      <c r="K14" s="2631"/>
      <c r="L14" s="2632"/>
      <c r="M14" s="251"/>
      <c r="N14" s="1154">
        <f>IF(Structure!E55="na","",Structure!E55)</f>
        <v>12.75</v>
      </c>
      <c r="O14" s="1469">
        <f>IF(Structure!F55="na","",Structure!F55)</f>
        <v>112</v>
      </c>
      <c r="P14" s="1469">
        <f>IF(Structure!G55="na","",Structure!G55)</f>
        <v>-0.125</v>
      </c>
      <c r="Q14" s="1469">
        <f>IF(Structure!H55="na","",Structure!H55)</f>
        <v>101</v>
      </c>
      <c r="S14" s="252"/>
      <c r="T14" s="308"/>
      <c r="U14" s="307"/>
      <c r="V14" s="307"/>
      <c r="W14" s="307"/>
      <c r="X14" s="307"/>
      <c r="Y14" s="307"/>
      <c r="Z14" s="307"/>
      <c r="AA14" s="307"/>
      <c r="AB14" s="309"/>
      <c r="AC14" s="42"/>
      <c r="AE14" s="1899" t="str">
        <f>J739</f>
        <v>NonQM NOO</v>
      </c>
      <c r="AF14"/>
    </row>
    <row r="15" spans="1:36" ht="10.15" customHeight="1" x14ac:dyDescent="0.25">
      <c r="A15" s="10" t="s">
        <v>461</v>
      </c>
      <c r="B15" s="5"/>
      <c r="C15" s="40"/>
      <c r="D15" s="29" t="s">
        <v>42</v>
      </c>
      <c r="E15" s="19"/>
      <c r="F15" s="2636" t="s">
        <v>1</v>
      </c>
      <c r="G15" s="2637"/>
      <c r="H15" s="1473">
        <f>Input_Pricing_TypeMult*Output_LLPA_AmortTerm</f>
        <v>0</v>
      </c>
      <c r="I15" s="2658" t="str">
        <f>Output_Msg_LLPA_AmortTerm</f>
        <v/>
      </c>
      <c r="J15" s="2659"/>
      <c r="K15" s="2659"/>
      <c r="L15" s="2660"/>
      <c r="M15" s="251"/>
      <c r="N15" s="1154">
        <f>IF(Structure!E56="na","",Structure!E56)</f>
        <v>12.625</v>
      </c>
      <c r="O15" s="1469">
        <f>IF(Structure!F56="na","",Structure!F56)</f>
        <v>111.875</v>
      </c>
      <c r="P15" s="1469">
        <f>IF(Structure!G56="na","",Structure!G56)</f>
        <v>-0.125</v>
      </c>
      <c r="Q15" s="1469">
        <f>IF(Structure!H56="na","",Structure!H56)</f>
        <v>101</v>
      </c>
      <c r="S15" s="252"/>
      <c r="T15" s="5"/>
      <c r="U15" s="5"/>
      <c r="V15" s="5"/>
      <c r="W15" s="5"/>
      <c r="X15" s="5"/>
      <c r="Y15" s="5"/>
      <c r="Z15" s="5"/>
      <c r="AA15" s="5"/>
      <c r="AB15" s="5"/>
      <c r="AC15" s="42"/>
      <c r="AE15" s="1900" t="s">
        <v>76</v>
      </c>
      <c r="AF15"/>
    </row>
    <row r="16" spans="1:36" ht="10.15" customHeight="1" x14ac:dyDescent="0.25">
      <c r="A16" s="10" t="s">
        <v>461</v>
      </c>
      <c r="B16" s="5"/>
      <c r="C16" s="40"/>
      <c r="D16" s="29" t="s">
        <v>168</v>
      </c>
      <c r="E16" s="19"/>
      <c r="F16" s="2663" t="s">
        <v>98</v>
      </c>
      <c r="G16" s="2664"/>
      <c r="H16" s="1471">
        <f>Input_Pricing_TypeMult*Output_LLPA_AmortType</f>
        <v>0</v>
      </c>
      <c r="I16" s="2741" t="str">
        <f>Output_Msg_LLPA_AmortType</f>
        <v/>
      </c>
      <c r="J16" s="2742"/>
      <c r="K16" s="2742"/>
      <c r="L16" s="2743"/>
      <c r="M16" s="251"/>
      <c r="N16" s="1154">
        <f>IF(Structure!E57="na","",Structure!E57)</f>
        <v>12.5</v>
      </c>
      <c r="O16" s="1469">
        <f>IF(Structure!F57="na","",Structure!F57)</f>
        <v>111.625</v>
      </c>
      <c r="P16" s="1469">
        <f>IF(Structure!G57="na","",Structure!G57)</f>
        <v>-0.125</v>
      </c>
      <c r="Q16" s="1469">
        <f>IF(Structure!H57="na","",Structure!H57)</f>
        <v>101</v>
      </c>
      <c r="S16" s="252"/>
      <c r="T16" s="950" t="s">
        <v>2686</v>
      </c>
      <c r="U16" s="951"/>
      <c r="V16" s="951"/>
      <c r="W16" s="951"/>
      <c r="X16" s="951"/>
      <c r="Y16" s="951"/>
      <c r="Z16" s="951"/>
      <c r="AA16" s="951"/>
      <c r="AB16" s="952"/>
      <c r="AC16" s="42"/>
      <c r="AE16" s="1900" t="s">
        <v>76</v>
      </c>
      <c r="AF16"/>
      <c r="AG16"/>
    </row>
    <row r="17" spans="1:34" ht="10.15" customHeight="1" x14ac:dyDescent="0.25">
      <c r="A17" s="10" t="s">
        <v>461</v>
      </c>
      <c r="B17" s="5"/>
      <c r="C17" s="40"/>
      <c r="D17" s="27" t="s">
        <v>72</v>
      </c>
      <c r="E17" s="30" t="str">
        <f>LEFT(Input_DocType,2)</f>
        <v>01</v>
      </c>
      <c r="F17" s="2655" t="s">
        <v>1640</v>
      </c>
      <c r="G17" s="2637"/>
      <c r="H17" s="1473">
        <f>Input_Pricing_TypeMult*Output_LLPA_DocType</f>
        <v>-0.125</v>
      </c>
      <c r="I17" s="2652" t="str">
        <f>Output_Msg_LLPA_DocType</f>
        <v>Standard FNMA Documentation</v>
      </c>
      <c r="J17" s="2653"/>
      <c r="K17" s="2653"/>
      <c r="L17" s="2654"/>
      <c r="M17" s="251"/>
      <c r="N17" s="1154">
        <f>IF(Structure!E58="na","",Structure!E58)</f>
        <v>12.375</v>
      </c>
      <c r="O17" s="1469">
        <f>IF(Structure!F58="na","",Structure!F58)</f>
        <v>111.375</v>
      </c>
      <c r="P17" s="1469">
        <f>IF(Structure!G58="na","",Structure!G58)</f>
        <v>-0.125</v>
      </c>
      <c r="Q17" s="1469">
        <f>IF(Structure!H58="na","",Structure!H58)</f>
        <v>101</v>
      </c>
      <c r="S17" s="252"/>
      <c r="T17" s="2641" t="s">
        <v>1786</v>
      </c>
      <c r="U17" s="2642"/>
      <c r="V17" s="2642"/>
      <c r="W17" s="2643"/>
      <c r="X17" s="2641" t="s">
        <v>1787</v>
      </c>
      <c r="Y17" s="2642"/>
      <c r="Z17" s="2642"/>
      <c r="AA17" s="2642"/>
      <c r="AB17" s="2643"/>
      <c r="AC17" s="42"/>
      <c r="AE17" s="1899" t="s">
        <v>76</v>
      </c>
      <c r="AF17"/>
      <c r="AG17"/>
      <c r="AH17"/>
    </row>
    <row r="18" spans="1:34" ht="10.15" customHeight="1" x14ac:dyDescent="0.25">
      <c r="A18" s="10" t="s">
        <v>461</v>
      </c>
      <c r="B18" s="5"/>
      <c r="C18" s="40"/>
      <c r="D18" s="27" t="s">
        <v>81</v>
      </c>
      <c r="E18" s="19"/>
      <c r="F18" s="2663" t="s">
        <v>136</v>
      </c>
      <c r="G18" s="2664"/>
      <c r="H18" s="1474">
        <f>Input_Pricing_TypeMult*Output_LLPA_BankStmt</f>
        <v>0</v>
      </c>
      <c r="I18" s="2652"/>
      <c r="J18" s="2653"/>
      <c r="K18" s="2653"/>
      <c r="L18" s="2654"/>
      <c r="M18" s="251"/>
      <c r="N18" s="1154">
        <f>IF(Structure!E59="na","",Structure!E59)</f>
        <v>12.25</v>
      </c>
      <c r="O18" s="1469">
        <f>IF(Structure!F59="na","",Structure!F59)</f>
        <v>111.125</v>
      </c>
      <c r="P18" s="1469">
        <f>IF(Structure!G59="na","",Structure!G59)</f>
        <v>-0.125</v>
      </c>
      <c r="Q18" s="1469">
        <f>IF(Structure!H59="na","",Structure!H59)</f>
        <v>101</v>
      </c>
      <c r="S18" s="252"/>
      <c r="T18" s="2644"/>
      <c r="U18" s="2645"/>
      <c r="V18" s="1022" t="s">
        <v>1788</v>
      </c>
      <c r="W18" s="1023" t="s">
        <v>1565</v>
      </c>
      <c r="X18" s="2745" t="s">
        <v>1793</v>
      </c>
      <c r="Y18" s="2746"/>
      <c r="Z18" s="1025" t="s">
        <v>1675</v>
      </c>
      <c r="AA18" s="1025" t="s">
        <v>1753</v>
      </c>
      <c r="AB18" s="1025" t="s">
        <v>1731</v>
      </c>
      <c r="AC18" s="42"/>
      <c r="AE18" s="2176" t="s">
        <v>76</v>
      </c>
      <c r="AF18"/>
      <c r="AG18"/>
      <c r="AH18"/>
    </row>
    <row r="19" spans="1:34" ht="10.15" customHeight="1" x14ac:dyDescent="0.25">
      <c r="A19" s="10" t="s">
        <v>461</v>
      </c>
      <c r="B19" s="5"/>
      <c r="C19" s="40"/>
      <c r="D19" s="27" t="s">
        <v>250</v>
      </c>
      <c r="E19" s="19"/>
      <c r="F19" s="466">
        <v>12</v>
      </c>
      <c r="G19" s="467"/>
      <c r="H19" s="1471">
        <f>Input_Pricing_TypeMult*Output_LLPA_ReservesMonths</f>
        <v>0</v>
      </c>
      <c r="I19" s="2658" t="str">
        <f>Output_Msg_LLPA_ReservesMonths</f>
        <v/>
      </c>
      <c r="J19" s="2659"/>
      <c r="K19" s="2659"/>
      <c r="L19" s="2660"/>
      <c r="M19" s="251"/>
      <c r="N19" s="1154">
        <f>IF(Structure!E60="na","",Structure!E60)</f>
        <v>12.125</v>
      </c>
      <c r="O19" s="1469">
        <f>IF(Structure!F60="na","",Structure!F60)</f>
        <v>110.875</v>
      </c>
      <c r="P19" s="1469">
        <f>IF(Structure!G60="na","",Structure!G60)</f>
        <v>-0.125</v>
      </c>
      <c r="Q19" s="1469">
        <f>IF(Structure!H60="na","",Structure!H60)</f>
        <v>101</v>
      </c>
      <c r="S19" s="252"/>
      <c r="T19" s="961" t="s">
        <v>1738</v>
      </c>
      <c r="U19" s="1015"/>
      <c r="V19" s="1498">
        <f>Input_Fees_Points*Input_LoanAmt</f>
        <v>-3750</v>
      </c>
      <c r="W19" s="980">
        <v>-1.4999999999999999E-2</v>
      </c>
      <c r="X19" s="1032" t="s">
        <v>1789</v>
      </c>
      <c r="Y19" s="1033"/>
      <c r="Z19" s="1034">
        <f>Lookup_APR_Federal</f>
        <v>10.242899330226988</v>
      </c>
      <c r="AA19" s="1035">
        <f>Input_Calc_APRTotalFeesPct</f>
        <v>2.0513333333333335E-2</v>
      </c>
      <c r="AB19" s="1024"/>
      <c r="AC19" s="42"/>
      <c r="AE19" s="1900" t="s">
        <v>76</v>
      </c>
      <c r="AF19"/>
      <c r="AG19"/>
      <c r="AH19"/>
    </row>
    <row r="20" spans="1:34" ht="10.15" customHeight="1" x14ac:dyDescent="0.25">
      <c r="A20" s="10" t="s">
        <v>461</v>
      </c>
      <c r="B20" s="5"/>
      <c r="C20" s="40"/>
      <c r="D20" s="27" t="s">
        <v>14</v>
      </c>
      <c r="E20" s="19"/>
      <c r="F20" s="468">
        <v>43</v>
      </c>
      <c r="G20" s="467"/>
      <c r="H20" s="1475">
        <f>Input_Pricing_TypeMult*Output_LLPA_DTI</f>
        <v>0</v>
      </c>
      <c r="I20" s="2633" t="str">
        <f>Output_Msg_LLPA_DTI</f>
        <v/>
      </c>
      <c r="J20" s="2631"/>
      <c r="K20" s="2631"/>
      <c r="L20" s="2632"/>
      <c r="M20" s="251"/>
      <c r="N20" s="1154">
        <f>IF(Structure!E61="na","",Structure!E61)</f>
        <v>12</v>
      </c>
      <c r="O20" s="1469">
        <f>IF(Structure!F61="na","",Structure!F61)</f>
        <v>110.625</v>
      </c>
      <c r="P20" s="1469">
        <f>IF(Structure!G61="na","",Structure!G61)</f>
        <v>-0.125</v>
      </c>
      <c r="Q20" s="1469">
        <f>IF(Structure!H61="na","",Structure!H61)</f>
        <v>101</v>
      </c>
      <c r="S20" s="252"/>
      <c r="T20" s="962" t="s">
        <v>1739</v>
      </c>
      <c r="U20" s="478"/>
      <c r="V20" s="2574">
        <f>Output_Display_Required_UWFee</f>
        <v>1195</v>
      </c>
      <c r="W20" s="1014">
        <f>Input_Fees_UpfrontLender/Input_LoanAmt</f>
        <v>4.7800000000000004E-3</v>
      </c>
      <c r="X20" s="961" t="s">
        <v>1785</v>
      </c>
      <c r="Y20" s="1019"/>
      <c r="Z20" s="1011">
        <f>HC_Fed_APR_Threshold</f>
        <v>15.15</v>
      </c>
      <c r="AA20" s="1008">
        <f>IFERROR(HC_Fed_PtsFees_Threshold/100,HC_Fed_PtsFees_Threshold)</f>
        <v>0.05</v>
      </c>
      <c r="AB20" s="1037" t="str">
        <f>Test_HighCost_Federal_Msg3</f>
        <v>Pass</v>
      </c>
      <c r="AC20" s="42"/>
      <c r="AE20" s="2176" t="s">
        <v>76</v>
      </c>
      <c r="AF20"/>
      <c r="AG20"/>
      <c r="AH20"/>
    </row>
    <row r="21" spans="1:34" ht="10.15" customHeight="1" x14ac:dyDescent="0.25">
      <c r="A21" s="10" t="s">
        <v>461</v>
      </c>
      <c r="B21" s="5"/>
      <c r="C21" s="40"/>
      <c r="D21" s="27" t="s">
        <v>62</v>
      </c>
      <c r="E21" s="19"/>
      <c r="F21" s="469">
        <v>0</v>
      </c>
      <c r="G21" s="467"/>
      <c r="H21" s="1476">
        <f>Input_Pricing_TypeMult*Output_LLPA_DSCR</f>
        <v>0</v>
      </c>
      <c r="I21" s="2633" t="str">
        <f>Output_Msg_LLPA_DSCR</f>
        <v/>
      </c>
      <c r="J21" s="2631"/>
      <c r="K21" s="2631"/>
      <c r="L21" s="2632"/>
      <c r="M21" s="251"/>
      <c r="N21" s="1154">
        <f>IF(Structure!E62="na","",Structure!E62)</f>
        <v>11.875</v>
      </c>
      <c r="O21" s="1469">
        <f>IF(Structure!F62="na","",Structure!F62)</f>
        <v>110.375</v>
      </c>
      <c r="P21" s="1469">
        <f>IF(Structure!G62="na","",Structure!G62)</f>
        <v>-0.125</v>
      </c>
      <c r="Q21" s="1469">
        <f>IF(Structure!H62="na","",Structure!H62)</f>
        <v>101</v>
      </c>
      <c r="S21" s="252"/>
      <c r="T21" s="962" t="s">
        <v>1740</v>
      </c>
      <c r="U21" s="478"/>
      <c r="V21" s="479">
        <v>1000</v>
      </c>
      <c r="W21" s="1004">
        <f>Input_Fees_UpfrontBroker/Input_LoanAmt</f>
        <v>4.0000000000000001E-3</v>
      </c>
      <c r="X21" s="965" t="s">
        <v>1721</v>
      </c>
      <c r="Y21" s="1020"/>
      <c r="Z21" s="1012">
        <f>HC_State_APR_Threshold</f>
        <v>12.6</v>
      </c>
      <c r="AA21" s="1009">
        <f>HC_State_PtsFees_Threshold/100</f>
        <v>0.06</v>
      </c>
      <c r="AB21" s="1038" t="str">
        <f>Test_HighCost_State_Msg3</f>
        <v>Pass</v>
      </c>
      <c r="AC21" s="42"/>
      <c r="AE21" s="1900" t="s">
        <v>76</v>
      </c>
      <c r="AF21"/>
      <c r="AG21"/>
      <c r="AH21"/>
    </row>
    <row r="22" spans="1:34" ht="10.15" customHeight="1" x14ac:dyDescent="0.25">
      <c r="A22" s="10" t="s">
        <v>461</v>
      </c>
      <c r="B22" s="5"/>
      <c r="C22" s="40"/>
      <c r="D22" s="27" t="s">
        <v>33</v>
      </c>
      <c r="E22" s="19"/>
      <c r="F22" s="2634" t="s">
        <v>16</v>
      </c>
      <c r="G22" s="2635"/>
      <c r="H22" s="1473">
        <f>Input_Pricing_TypeMult*Output_LLPA_Purpose</f>
        <v>0</v>
      </c>
      <c r="I22" s="2658" t="str">
        <f>Output_Msg_LLPA_Purpose</f>
        <v xml:space="preserve"> </v>
      </c>
      <c r="J22" s="2659"/>
      <c r="K22" s="2659"/>
      <c r="L22" s="2660"/>
      <c r="M22" s="251"/>
      <c r="N22" s="1154">
        <f>IF(Structure!E63="na","",Structure!E63)</f>
        <v>11.75</v>
      </c>
      <c r="O22" s="1469">
        <f>IF(Structure!F63="na","",Structure!F63)</f>
        <v>110.125</v>
      </c>
      <c r="P22" s="1469">
        <f>IF(Structure!G63="na","",Structure!G63)</f>
        <v>-0.125</v>
      </c>
      <c r="Q22" s="1469">
        <f>IF(Structure!H63="na","",Structure!H63)</f>
        <v>101</v>
      </c>
      <c r="S22" s="252"/>
      <c r="T22" s="962" t="s">
        <v>1742</v>
      </c>
      <c r="U22" s="478"/>
      <c r="V22" s="479">
        <v>0</v>
      </c>
      <c r="W22" s="1004">
        <f>Input_Fees_Upfront3rdParty/Input_LoanAmt</f>
        <v>0</v>
      </c>
      <c r="X22" s="965" t="s">
        <v>1722</v>
      </c>
      <c r="Y22" s="1020"/>
      <c r="Z22" s="1012">
        <f>QM_APR_Threshold</f>
        <v>8.9</v>
      </c>
      <c r="AA22" s="1010">
        <f>QM_PtsFees_Threshold/100</f>
        <v>0.03</v>
      </c>
      <c r="AB22" s="1038" t="str">
        <f>Test_QM_Msg3</f>
        <v>Non QM</v>
      </c>
      <c r="AC22" s="42"/>
      <c r="AE22" s="2176" t="s">
        <v>76</v>
      </c>
      <c r="AF22"/>
      <c r="AG22"/>
      <c r="AH22"/>
    </row>
    <row r="23" spans="1:34" ht="10.15" customHeight="1" x14ac:dyDescent="0.25">
      <c r="A23" s="10" t="s">
        <v>461</v>
      </c>
      <c r="B23" s="5"/>
      <c r="C23" s="40"/>
      <c r="D23" s="28" t="s">
        <v>256</v>
      </c>
      <c r="E23" s="19"/>
      <c r="F23" s="470">
        <v>200000</v>
      </c>
      <c r="G23" s="467"/>
      <c r="H23" s="1477">
        <f>Input_Pricing_TypeMult*Output_LLPA_CashoutAmt</f>
        <v>0</v>
      </c>
      <c r="I23" s="2633" t="str">
        <f>Output_Msg_LLPA_CashoutAmt</f>
        <v/>
      </c>
      <c r="J23" s="2631"/>
      <c r="K23" s="2631"/>
      <c r="L23" s="2632"/>
      <c r="M23" s="251"/>
      <c r="N23" s="1154">
        <f>IF(Structure!E64="na","",Structure!E64)</f>
        <v>11.625</v>
      </c>
      <c r="O23" s="1469">
        <f>IF(Structure!F64="na","",Structure!F64)</f>
        <v>109.875</v>
      </c>
      <c r="P23" s="1469">
        <f>IF(Structure!G64="na","",Structure!G64)</f>
        <v>-0.125</v>
      </c>
      <c r="Q23" s="1469">
        <f>IF(Structure!H64="na","",Structure!H64)</f>
        <v>101</v>
      </c>
      <c r="S23" s="252"/>
      <c r="T23" s="962" t="s">
        <v>1741</v>
      </c>
      <c r="U23" s="960"/>
      <c r="V23" s="479">
        <v>850</v>
      </c>
      <c r="W23" s="1004">
        <f>Input_Fees_UpfrontOther/Input_LoanAmt</f>
        <v>3.3999999999999998E-3</v>
      </c>
      <c r="X23" s="963" t="s">
        <v>1734</v>
      </c>
      <c r="Y23" s="1021"/>
      <c r="Z23" s="1013">
        <f>HP_Fed_APR_Threshold</f>
        <v>10.15</v>
      </c>
      <c r="AA23" s="966"/>
      <c r="AB23" s="1039" t="str">
        <f>Test_HPML_Msg3</f>
        <v>Fail</v>
      </c>
      <c r="AC23" s="42"/>
      <c r="AE23" s="2176" t="s">
        <v>76</v>
      </c>
      <c r="AF23"/>
      <c r="AG23"/>
      <c r="AH23"/>
    </row>
    <row r="24" spans="1:34" ht="10.15" customHeight="1" x14ac:dyDescent="0.25">
      <c r="A24" s="10" t="s">
        <v>461</v>
      </c>
      <c r="B24" s="5"/>
      <c r="C24" s="40"/>
      <c r="D24" s="27" t="s">
        <v>36</v>
      </c>
      <c r="E24" s="19"/>
      <c r="F24" s="2656" t="s">
        <v>83</v>
      </c>
      <c r="G24" s="2657"/>
      <c r="H24" s="1475">
        <f>Input_Pricing_TypeMult*Output_LLPA_PropertyType</f>
        <v>0</v>
      </c>
      <c r="I24" s="2658" t="str">
        <f>Output_Msg_LLPA_PropertyType</f>
        <v xml:space="preserve"> </v>
      </c>
      <c r="J24" s="2659"/>
      <c r="K24" s="2659"/>
      <c r="L24" s="2660"/>
      <c r="M24" s="251"/>
      <c r="N24" s="1154">
        <f>IF(Structure!E65="na","",Structure!E65)</f>
        <v>11.5</v>
      </c>
      <c r="O24" s="1469">
        <f>IF(Structure!F65="na","",Structure!F65)</f>
        <v>109.625</v>
      </c>
      <c r="P24" s="1469">
        <f>IF(Structure!G65="na","",Structure!G65)</f>
        <v>-0.125</v>
      </c>
      <c r="Q24" s="1469">
        <f>IF(Structure!H65="na","",Structure!H65)</f>
        <v>101</v>
      </c>
      <c r="S24" s="252"/>
      <c r="T24" s="963" t="s">
        <v>1758</v>
      </c>
      <c r="U24" s="964">
        <v>30</v>
      </c>
      <c r="V24" s="1031">
        <f>(Input_NoteRate/36000)*Input_Fees_UpfrontPrepaidInterestDays*Input_LoanAmt</f>
        <v>2083.3333333333335</v>
      </c>
      <c r="W24" s="1005">
        <f>Input_Fees_UpfrontPrepaidInterest/Input_LoanAmt</f>
        <v>8.3333333333333332E-3</v>
      </c>
      <c r="X24" s="1006" t="s">
        <v>1698</v>
      </c>
      <c r="Y24" s="1007"/>
      <c r="Z24" s="2646" t="str">
        <f>Test_Results_LoanType</f>
        <v>NonQM HPML</v>
      </c>
      <c r="AA24" s="2647"/>
      <c r="AB24" s="2648"/>
      <c r="AC24" s="42"/>
      <c r="AE24" s="2176" t="s">
        <v>76</v>
      </c>
      <c r="AF24"/>
      <c r="AG24"/>
      <c r="AH24"/>
    </row>
    <row r="25" spans="1:34" ht="10.15" customHeight="1" x14ac:dyDescent="0.25">
      <c r="A25" s="10" t="s">
        <v>461</v>
      </c>
      <c r="B25" s="5"/>
      <c r="C25" s="40"/>
      <c r="D25" s="27" t="s">
        <v>429</v>
      </c>
      <c r="E25" s="19"/>
      <c r="F25" s="2722" t="s">
        <v>427</v>
      </c>
      <c r="G25" s="2723"/>
      <c r="H25" s="1474" cm="1">
        <f t="array" ref="H25">Input_Pricing_TypeMult*Output_LLPA_ValuationType</f>
        <v>0</v>
      </c>
      <c r="I25" s="2658" t="str">
        <f>Output_Msg_LLPA_ValuationType</f>
        <v xml:space="preserve"> </v>
      </c>
      <c r="J25" s="2659"/>
      <c r="K25" s="2659"/>
      <c r="L25" s="2660"/>
      <c r="M25" s="251"/>
      <c r="N25" s="1154">
        <f>IF(Structure!E66="na","",Structure!E66)</f>
        <v>11.375</v>
      </c>
      <c r="O25" s="1469">
        <f>IF(Structure!F66="na","",Structure!F66)</f>
        <v>109.375</v>
      </c>
      <c r="P25" s="1469">
        <f>IF(Structure!G66="na","",Structure!G66)</f>
        <v>-0.125</v>
      </c>
      <c r="Q25" s="1469">
        <f>IF(Structure!H66="na","",Structure!H66)</f>
        <v>101</v>
      </c>
      <c r="S25" s="252"/>
      <c r="T25" s="1016"/>
      <c r="U25" s="1018"/>
      <c r="V25" s="1018"/>
      <c r="W25" s="1017"/>
      <c r="X25" s="967" t="s">
        <v>429</v>
      </c>
      <c r="Y25" s="968"/>
      <c r="Z25" s="2649" t="str">
        <f>Test_Results_Valuation</f>
        <v>Appraisal</v>
      </c>
      <c r="AA25" s="2650"/>
      <c r="AB25" s="2651"/>
      <c r="AC25" s="42"/>
      <c r="AE25"/>
      <c r="AF25"/>
      <c r="AG25"/>
      <c r="AH25"/>
    </row>
    <row r="26" spans="1:34" ht="10.15" customHeight="1" x14ac:dyDescent="0.25">
      <c r="A26" s="10" t="s">
        <v>461</v>
      </c>
      <c r="B26" s="5"/>
      <c r="C26" s="40"/>
      <c r="D26" s="27" t="s">
        <v>40</v>
      </c>
      <c r="E26" s="19"/>
      <c r="F26" s="2669" t="s">
        <v>41</v>
      </c>
      <c r="G26" s="2670"/>
      <c r="H26" s="1476">
        <f>Input_Pricing_TypeMult*Output_LLPA_State</f>
        <v>0</v>
      </c>
      <c r="I26" s="2658" t="str">
        <f>Output_Msg_LLPA_State</f>
        <v xml:space="preserve"> </v>
      </c>
      <c r="J26" s="2659"/>
      <c r="K26" s="2659"/>
      <c r="L26" s="2660"/>
      <c r="M26" s="251"/>
      <c r="N26" s="1154">
        <f>IF(Structure!E67="na","",Structure!E67)</f>
        <v>11.25</v>
      </c>
      <c r="O26" s="1469">
        <f>IF(Structure!F67="na","",Structure!F67)</f>
        <v>109.125</v>
      </c>
      <c r="P26" s="1469">
        <f>IF(Structure!G67="na","",Structure!G67)</f>
        <v>-0.125</v>
      </c>
      <c r="Q26" s="1469">
        <f>IF(Structure!H67="na","",Structure!H67)</f>
        <v>101</v>
      </c>
      <c r="S26" s="252"/>
      <c r="T26" s="5"/>
      <c r="U26" s="5"/>
      <c r="V26" s="5"/>
      <c r="W26" s="5"/>
      <c r="X26" s="5"/>
      <c r="Y26" s="5"/>
      <c r="Z26" s="5"/>
      <c r="AA26" s="5"/>
      <c r="AB26" s="5"/>
      <c r="AC26" s="42"/>
      <c r="AE26"/>
      <c r="AF26"/>
      <c r="AG26"/>
      <c r="AH26"/>
    </row>
    <row r="27" spans="1:34" ht="10.15" customHeight="1" x14ac:dyDescent="0.25">
      <c r="A27" s="10" t="s">
        <v>461</v>
      </c>
      <c r="B27" s="5"/>
      <c r="C27" s="40"/>
      <c r="D27" s="27" t="s">
        <v>43</v>
      </c>
      <c r="E27" s="19"/>
      <c r="F27" s="2669" t="s">
        <v>125</v>
      </c>
      <c r="G27" s="2670"/>
      <c r="H27" s="1473">
        <f>Input_Pricing_TypeMult*Output_LLPA_CreditHistory</f>
        <v>0</v>
      </c>
      <c r="I27" s="2652" t="str">
        <f>Output_Msg_LLPA_CreditHistory</f>
        <v xml:space="preserve"> </v>
      </c>
      <c r="J27" s="2653"/>
      <c r="K27" s="2653"/>
      <c r="L27" s="2654"/>
      <c r="M27" s="251"/>
      <c r="N27" s="1154">
        <f>IF(Structure!E68="na","",Structure!E68)</f>
        <v>11.125</v>
      </c>
      <c r="O27" s="1469">
        <f>IF(Structure!F68="na","",Structure!F68)</f>
        <v>108.875</v>
      </c>
      <c r="P27" s="1469">
        <f>IF(Structure!G68="na","",Structure!G68)</f>
        <v>-0.125</v>
      </c>
      <c r="Q27" s="1469">
        <f>IF(Structure!H68="na","",Structure!H68)</f>
        <v>101</v>
      </c>
      <c r="S27" s="252"/>
      <c r="T27" s="950" t="s">
        <v>151</v>
      </c>
      <c r="U27" s="951"/>
      <c r="V27" s="951"/>
      <c r="W27" s="951"/>
      <c r="X27" s="951"/>
      <c r="Y27" s="951"/>
      <c r="Z27" s="951"/>
      <c r="AA27" s="951"/>
      <c r="AB27" s="952"/>
      <c r="AC27" s="42"/>
      <c r="AE27"/>
      <c r="AF27"/>
      <c r="AG27"/>
      <c r="AH27"/>
    </row>
    <row r="28" spans="1:34" ht="10.15" customHeight="1" x14ac:dyDescent="0.25">
      <c r="A28" s="10" t="s">
        <v>461</v>
      </c>
      <c r="B28" s="5"/>
      <c r="C28" s="40"/>
      <c r="D28" s="27" t="s">
        <v>44</v>
      </c>
      <c r="E28" s="19"/>
      <c r="F28" s="2669" t="s">
        <v>2677</v>
      </c>
      <c r="G28" s="2670"/>
      <c r="H28" s="1471">
        <f>Input_Pricing_TypeMult*Output_LLPA_HousingHistory</f>
        <v>0</v>
      </c>
      <c r="I28" s="2652" t="str">
        <f>Output_Msg_LLPA_HousingHistory</f>
        <v xml:space="preserve"> </v>
      </c>
      <c r="J28" s="2653"/>
      <c r="K28" s="2653"/>
      <c r="L28" s="2654"/>
      <c r="M28" s="251"/>
      <c r="N28" s="1154">
        <f>IF(Structure!E69="na","",Structure!E69)</f>
        <v>11</v>
      </c>
      <c r="O28" s="1469">
        <f>IF(Structure!F69="na","",Structure!F69)</f>
        <v>108.625</v>
      </c>
      <c r="P28" s="1469">
        <f>IF(Structure!G69="na","",Structure!G69)</f>
        <v>-0.125</v>
      </c>
      <c r="Q28" s="1469">
        <f>IF(Structure!H69="na","",Structure!H69)</f>
        <v>101</v>
      </c>
      <c r="S28" s="252"/>
      <c r="T28" s="932" t="s">
        <v>365</v>
      </c>
      <c r="U28" s="933"/>
      <c r="V28" s="934" t="s">
        <v>76</v>
      </c>
      <c r="W28" s="935"/>
      <c r="X28" s="935"/>
      <c r="Y28" s="935"/>
      <c r="Z28" s="935"/>
      <c r="AA28" s="935"/>
      <c r="AB28" s="936"/>
      <c r="AC28" s="42"/>
      <c r="AE28"/>
      <c r="AF28"/>
      <c r="AG28"/>
      <c r="AH28"/>
    </row>
    <row r="29" spans="1:34" ht="10.15" customHeight="1" x14ac:dyDescent="0.25">
      <c r="A29" s="10" t="s">
        <v>461</v>
      </c>
      <c r="B29" s="5"/>
      <c r="C29" s="40"/>
      <c r="D29" s="28" t="s">
        <v>46</v>
      </c>
      <c r="E29" s="19"/>
      <c r="F29" s="2729" t="s">
        <v>217</v>
      </c>
      <c r="G29" s="2730"/>
      <c r="H29" s="1475">
        <f>Input_Pricing_TypeMult*Output_LLPA_Citizenship</f>
        <v>0</v>
      </c>
      <c r="I29" s="2652" t="str">
        <f>Output_Msg_LLPA_Citizenship</f>
        <v/>
      </c>
      <c r="J29" s="2653"/>
      <c r="K29" s="2653"/>
      <c r="L29" s="2654"/>
      <c r="M29" s="251"/>
      <c r="N29" s="1154">
        <f>IF(Structure!E70="na","",Structure!E70)</f>
        <v>10.875</v>
      </c>
      <c r="O29" s="1469">
        <f>IF(Structure!F70="na","",Structure!F70)</f>
        <v>108.375</v>
      </c>
      <c r="P29" s="1469">
        <f>IF(Structure!G70="na","",Structure!G70)</f>
        <v>-0.125</v>
      </c>
      <c r="Q29" s="1469">
        <f>IF(Structure!H70="na","",Structure!H70)</f>
        <v>101</v>
      </c>
      <c r="S29" s="252"/>
      <c r="T29" s="937" t="s">
        <v>366</v>
      </c>
      <c r="U29" s="930"/>
      <c r="V29" s="931" t="s">
        <v>76</v>
      </c>
      <c r="W29" s="480"/>
      <c r="X29" s="480"/>
      <c r="Y29" s="480"/>
      <c r="Z29" s="480"/>
      <c r="AA29" s="480"/>
      <c r="AB29" s="938"/>
      <c r="AC29" s="42"/>
      <c r="AE29"/>
      <c r="AF29"/>
      <c r="AG29"/>
      <c r="AH29"/>
    </row>
    <row r="30" spans="1:34" ht="10.15" customHeight="1" x14ac:dyDescent="0.25">
      <c r="A30" s="10" t="s">
        <v>461</v>
      </c>
      <c r="B30" s="5"/>
      <c r="C30" s="40"/>
      <c r="D30" s="28" t="s">
        <v>1669</v>
      </c>
      <c r="E30" s="19"/>
      <c r="F30" s="2731" t="s">
        <v>2636</v>
      </c>
      <c r="G30" s="2732"/>
      <c r="H30" s="1475" cm="1">
        <f t="array" ref="H30">Input_Pricing_TypeMult*Output_LLPA_Employment</f>
        <v>0</v>
      </c>
      <c r="I30" s="338"/>
      <c r="J30" s="339"/>
      <c r="K30" s="339"/>
      <c r="L30" s="340"/>
      <c r="M30" s="251"/>
      <c r="N30" s="1154">
        <f>IF(Structure!E71="na","",Structure!E71)</f>
        <v>10.75</v>
      </c>
      <c r="O30" s="1469">
        <f>IF(Structure!F71="na","",Structure!F71)</f>
        <v>108.125</v>
      </c>
      <c r="P30" s="1469">
        <f>IF(Structure!G71="na","",Structure!G71)</f>
        <v>-0.125</v>
      </c>
      <c r="Q30" s="1469">
        <f>IF(Structure!H71="na","",Structure!H71)</f>
        <v>101</v>
      </c>
      <c r="S30" s="252"/>
      <c r="T30" s="937" t="s">
        <v>161</v>
      </c>
      <c r="U30" s="930"/>
      <c r="V30" s="931" t="s">
        <v>76</v>
      </c>
      <c r="W30" s="480"/>
      <c r="X30" s="480"/>
      <c r="Y30" s="480"/>
      <c r="Z30" s="480"/>
      <c r="AA30" s="480"/>
      <c r="AB30" s="938"/>
      <c r="AC30" s="42"/>
      <c r="AE30"/>
      <c r="AF30"/>
      <c r="AG30"/>
      <c r="AH30"/>
    </row>
    <row r="31" spans="1:34" ht="10.15" customHeight="1" x14ac:dyDescent="0.25">
      <c r="A31" s="10" t="s">
        <v>461</v>
      </c>
      <c r="B31" s="5"/>
      <c r="C31" s="40"/>
      <c r="D31" s="28" t="s">
        <v>1201</v>
      </c>
      <c r="E31" s="19"/>
      <c r="F31" s="471" t="s">
        <v>108</v>
      </c>
      <c r="G31" s="467"/>
      <c r="H31" s="1475">
        <f>Input_Pricing_TypeMult*Output_LLPA_FirstTimeHomeBuyer</f>
        <v>0</v>
      </c>
      <c r="I31" s="2652" t="str">
        <f>Output_Msg_LLPA_FirstTimeHomeBuyer</f>
        <v xml:space="preserve"> </v>
      </c>
      <c r="J31" s="2653"/>
      <c r="K31" s="2653"/>
      <c r="L31" s="2654"/>
      <c r="M31" s="251"/>
      <c r="N31" s="1154">
        <f>IF(Structure!E72="na","",Structure!E72)</f>
        <v>10.625</v>
      </c>
      <c r="O31" s="1469">
        <f>IF(Structure!F72="na","",Structure!F72)</f>
        <v>107.875</v>
      </c>
      <c r="P31" s="1469">
        <f>IF(Structure!G72="na","",Structure!G72)</f>
        <v>-0.125</v>
      </c>
      <c r="Q31" s="1469">
        <f>IF(Structure!H72="na","",Structure!H72)</f>
        <v>101</v>
      </c>
      <c r="S31" s="252"/>
      <c r="T31" s="937" t="s">
        <v>162</v>
      </c>
      <c r="U31" s="930"/>
      <c r="V31" s="931" t="s">
        <v>76</v>
      </c>
      <c r="W31" s="480"/>
      <c r="X31" s="480"/>
      <c r="Y31" s="480"/>
      <c r="Z31" s="480"/>
      <c r="AA31" s="480"/>
      <c r="AB31" s="938"/>
      <c r="AC31" s="42"/>
      <c r="AE31"/>
      <c r="AF31"/>
      <c r="AG31"/>
      <c r="AH31"/>
    </row>
    <row r="32" spans="1:34" ht="10.15" customHeight="1" x14ac:dyDescent="0.25">
      <c r="A32" s="10" t="s">
        <v>461</v>
      </c>
      <c r="B32" s="5"/>
      <c r="C32" s="40"/>
      <c r="D32" s="27" t="s">
        <v>51</v>
      </c>
      <c r="E32" s="19"/>
      <c r="F32" s="472" t="s">
        <v>50</v>
      </c>
      <c r="G32" s="467"/>
      <c r="H32" s="1474">
        <f>Input_Pricing_TypeMult*Output_LLPA_Payment</f>
        <v>0</v>
      </c>
      <c r="I32" s="2652" t="str">
        <f>Output_Msg_LLPA_Payment</f>
        <v xml:space="preserve"> </v>
      </c>
      <c r="J32" s="2653"/>
      <c r="K32" s="2653"/>
      <c r="L32" s="2654"/>
      <c r="M32" s="251"/>
      <c r="N32" s="1154">
        <f>IF(Structure!E73="na","",Structure!E73)</f>
        <v>10.5</v>
      </c>
      <c r="O32" s="1469">
        <f>IF(Structure!F73="na","",Structure!F73)</f>
        <v>107.625</v>
      </c>
      <c r="P32" s="1469">
        <f>IF(Structure!G73="na","",Structure!G73)</f>
        <v>-0.125</v>
      </c>
      <c r="Q32" s="1469">
        <f>IF(Structure!H73="na","",Structure!H73)</f>
        <v>101</v>
      </c>
      <c r="S32" s="252"/>
      <c r="T32" s="939" t="s">
        <v>163</v>
      </c>
      <c r="U32" s="940"/>
      <c r="V32" s="941" t="s">
        <v>76</v>
      </c>
      <c r="W32" s="953"/>
      <c r="X32" s="942"/>
      <c r="Y32" s="943" t="s">
        <v>40</v>
      </c>
      <c r="Z32" s="944" t="str">
        <f>Input_State</f>
        <v>CA</v>
      </c>
      <c r="AA32" s="945" t="s">
        <v>1757</v>
      </c>
      <c r="AB32" s="946" t="s">
        <v>76</v>
      </c>
      <c r="AC32" s="42"/>
      <c r="AE32"/>
      <c r="AF32"/>
      <c r="AG32"/>
      <c r="AH32"/>
    </row>
    <row r="33" spans="1:34" ht="10.15" customHeight="1" x14ac:dyDescent="0.25">
      <c r="A33" s="10" t="s">
        <v>461</v>
      </c>
      <c r="B33" s="5"/>
      <c r="C33" s="40"/>
      <c r="D33" s="27" t="s">
        <v>48</v>
      </c>
      <c r="E33" s="19"/>
      <c r="F33" s="473" t="s">
        <v>47</v>
      </c>
      <c r="G33" s="467"/>
      <c r="H33" s="1474">
        <f>Input_Pricing_TypeMult*Output_LLPA_Servicing</f>
        <v>0</v>
      </c>
      <c r="I33" s="2652" t="str">
        <f>Output_Msg_LLPA_Servicing</f>
        <v xml:space="preserve"> </v>
      </c>
      <c r="J33" s="2653"/>
      <c r="K33" s="2653"/>
      <c r="L33" s="2654"/>
      <c r="M33" s="251"/>
      <c r="N33" s="1154">
        <f>IF(Structure!E74="na","",Structure!E74)</f>
        <v>10.375</v>
      </c>
      <c r="O33" s="1469">
        <f>IF(Structure!F74="na","",Structure!F74)</f>
        <v>107.375</v>
      </c>
      <c r="P33" s="1469">
        <f>IF(Structure!G74="na","",Structure!G74)</f>
        <v>-0.125</v>
      </c>
      <c r="Q33" s="1469">
        <f>IF(Structure!H74="na","",Structure!H74)</f>
        <v>101</v>
      </c>
      <c r="S33" s="252"/>
      <c r="T33" s="5"/>
      <c r="U33" s="5"/>
      <c r="V33" s="5"/>
      <c r="W33" s="5"/>
      <c r="X33" s="5"/>
      <c r="Y33" s="5"/>
      <c r="Z33" s="5"/>
      <c r="AA33" s="5"/>
      <c r="AB33" s="5"/>
      <c r="AC33" s="42"/>
      <c r="AF33"/>
      <c r="AG33"/>
      <c r="AH33"/>
    </row>
    <row r="34" spans="1:34" ht="10.15" customHeight="1" x14ac:dyDescent="0.25">
      <c r="A34" s="10" t="s">
        <v>461</v>
      </c>
      <c r="B34" s="5"/>
      <c r="C34" s="40"/>
      <c r="D34" s="27" t="s">
        <v>65</v>
      </c>
      <c r="E34" s="19"/>
      <c r="F34" s="2634" t="s">
        <v>82</v>
      </c>
      <c r="G34" s="2635"/>
      <c r="H34" s="1474">
        <f>Input_Pricing_TypeMult*Output_LLPA_PrepayPenalty</f>
        <v>0</v>
      </c>
      <c r="I34" s="2652" t="str">
        <f>Output_Msg_LLPA_PrepayPenalty</f>
        <v xml:space="preserve"> </v>
      </c>
      <c r="J34" s="2653"/>
      <c r="K34" s="2653"/>
      <c r="L34" s="2654"/>
      <c r="M34" s="251"/>
      <c r="N34" s="1154">
        <f>IF(Structure!E75="na","",Structure!E75)</f>
        <v>10.25</v>
      </c>
      <c r="O34" s="1469">
        <f>IF(Structure!F75="na","",Structure!F75)</f>
        <v>107.125</v>
      </c>
      <c r="P34" s="1469">
        <f>IF(Structure!G75="na","",Structure!G75)</f>
        <v>-0.125</v>
      </c>
      <c r="Q34" s="1469">
        <f>IF(Structure!H75="na","",Structure!H75)</f>
        <v>101</v>
      </c>
      <c r="S34" s="252"/>
      <c r="T34" s="947" t="s">
        <v>367</v>
      </c>
      <c r="U34" s="948"/>
      <c r="V34" s="948"/>
      <c r="W34" s="948"/>
      <c r="X34" s="948"/>
      <c r="Y34" s="948"/>
      <c r="Z34" s="948"/>
      <c r="AA34" s="948"/>
      <c r="AB34" s="949"/>
      <c r="AC34" s="42"/>
      <c r="AE34"/>
      <c r="AF34"/>
      <c r="AG34"/>
      <c r="AH34"/>
    </row>
    <row r="35" spans="1:34" ht="10.9" customHeight="1" x14ac:dyDescent="0.25">
      <c r="A35" s="10" t="s">
        <v>461</v>
      </c>
      <c r="B35" s="5"/>
      <c r="C35" s="40"/>
      <c r="D35" s="27" t="s">
        <v>23</v>
      </c>
      <c r="E35" s="19"/>
      <c r="F35" s="474" t="s">
        <v>73</v>
      </c>
      <c r="G35" s="467"/>
      <c r="H35" s="1474">
        <f>Input_Pricing_TypeMult*Output_LLPA_LockTerm</f>
        <v>0</v>
      </c>
      <c r="I35" s="2726" t="str">
        <f>Output_Msg_LLPA_LockTerm</f>
        <v/>
      </c>
      <c r="J35" s="2727"/>
      <c r="K35" s="2727"/>
      <c r="L35" s="2728"/>
      <c r="M35" s="251"/>
      <c r="N35" s="1154">
        <f>IF(Structure!E76="na","",Structure!E76)</f>
        <v>10.125</v>
      </c>
      <c r="O35" s="1469">
        <f>IF(Structure!F76="na","",Structure!F76)</f>
        <v>106.875</v>
      </c>
      <c r="P35" s="1469">
        <f>IF(Structure!G76="na","",Structure!G76)</f>
        <v>-0.125</v>
      </c>
      <c r="Q35" s="1469">
        <f>IF(Structure!H76="na","",Structure!H76)</f>
        <v>101</v>
      </c>
      <c r="S35" s="252"/>
      <c r="T35" s="2712"/>
      <c r="U35" s="2713"/>
      <c r="V35" s="2713"/>
      <c r="W35" s="2713"/>
      <c r="X35" s="2713"/>
      <c r="Y35" s="2713"/>
      <c r="Z35" s="2713"/>
      <c r="AA35" s="2713"/>
      <c r="AB35" s="2714"/>
      <c r="AC35" s="42"/>
      <c r="AE35"/>
      <c r="AF35"/>
      <c r="AG35"/>
      <c r="AH35"/>
    </row>
    <row r="36" spans="1:34" ht="9" customHeight="1" x14ac:dyDescent="0.25">
      <c r="A36" s="10" t="s">
        <v>461</v>
      </c>
      <c r="B36" s="5"/>
      <c r="C36" s="40"/>
      <c r="D36" s="27" t="s">
        <v>361</v>
      </c>
      <c r="E36" s="19"/>
      <c r="F36" s="2634" t="s">
        <v>363</v>
      </c>
      <c r="G36" s="2635"/>
      <c r="H36" s="1471" cm="1">
        <f t="array" ref="H36">Input_Pricing_TypeMult*Output_LLPA_LockType</f>
        <v>0</v>
      </c>
      <c r="I36" s="2726" t="str">
        <f>Output_Msg_LLPA_LockType</f>
        <v>P&amp;I Pmt:  2,193.93</v>
      </c>
      <c r="J36" s="2727"/>
      <c r="K36" s="2727"/>
      <c r="L36" s="2728"/>
      <c r="M36" s="251"/>
      <c r="N36" s="1154">
        <f>IF(Structure!E77="na","",Structure!E77)</f>
        <v>10</v>
      </c>
      <c r="O36" s="1469">
        <f>IF(Structure!F77="na","",Structure!F77)</f>
        <v>106.5</v>
      </c>
      <c r="P36" s="1469">
        <f>IF(Structure!G77="na","",Structure!G77)</f>
        <v>-0.125</v>
      </c>
      <c r="Q36" s="1469">
        <f>IF(Structure!H77="na","",Structure!H77)</f>
        <v>101</v>
      </c>
      <c r="S36" s="252"/>
      <c r="T36" s="2715"/>
      <c r="U36" s="2716"/>
      <c r="V36" s="2716"/>
      <c r="W36" s="2716"/>
      <c r="X36" s="2716"/>
      <c r="Y36" s="2716"/>
      <c r="Z36" s="2716"/>
      <c r="AA36" s="2716"/>
      <c r="AB36" s="2717"/>
      <c r="AC36" s="42"/>
      <c r="AE36"/>
      <c r="AF36"/>
      <c r="AG36"/>
      <c r="AH36"/>
    </row>
    <row r="37" spans="1:34" ht="9" customHeight="1" x14ac:dyDescent="0.25">
      <c r="A37" s="10" t="s">
        <v>461</v>
      </c>
      <c r="B37" s="5"/>
      <c r="C37" s="40"/>
      <c r="D37" s="27" t="s">
        <v>1760</v>
      </c>
      <c r="E37" s="19"/>
      <c r="F37" s="2683" t="s">
        <v>1763</v>
      </c>
      <c r="G37" s="2684"/>
      <c r="H37" s="1478">
        <v>0</v>
      </c>
      <c r="I37" s="2726" t="str" cm="1">
        <f t="array" ref="I37">Output_Msg_LLPA_CompensationType</f>
        <v/>
      </c>
      <c r="J37" s="2727"/>
      <c r="K37" s="2727"/>
      <c r="L37" s="2728"/>
      <c r="M37" s="251"/>
      <c r="N37" s="1154">
        <f>IF(Structure!E78="na","",Structure!E78)</f>
        <v>9.875</v>
      </c>
      <c r="O37" s="1469">
        <f>IF(Structure!F78="na","",Structure!F78)</f>
        <v>106.125</v>
      </c>
      <c r="P37" s="1469">
        <f>IF(Structure!G78="na","",Structure!G78)</f>
        <v>-0.125</v>
      </c>
      <c r="Q37" s="1469">
        <f>IF(Structure!H78="na","",Structure!H78)</f>
        <v>101</v>
      </c>
      <c r="S37" s="252"/>
      <c r="T37" s="2715"/>
      <c r="U37" s="2716"/>
      <c r="V37" s="2716"/>
      <c r="W37" s="2716"/>
      <c r="X37" s="2716"/>
      <c r="Y37" s="2716"/>
      <c r="Z37" s="2716"/>
      <c r="AA37" s="2716"/>
      <c r="AB37" s="2717"/>
      <c r="AC37" s="42"/>
      <c r="AE37"/>
      <c r="AF37"/>
      <c r="AG37"/>
      <c r="AH37"/>
    </row>
    <row r="38" spans="1:34" ht="9" customHeight="1" x14ac:dyDescent="0.25">
      <c r="A38" s="10" t="s">
        <v>461</v>
      </c>
      <c r="B38" s="5"/>
      <c r="C38" s="40"/>
      <c r="D38" s="27" t="s">
        <v>192</v>
      </c>
      <c r="E38" s="19"/>
      <c r="F38" s="43"/>
      <c r="G38" s="467"/>
      <c r="H38" s="1479">
        <f>Input_Pricing_TypeMult*Output_LLPA_Total</f>
        <v>-0.125</v>
      </c>
      <c r="I38" s="2658" t="str">
        <f>Output_Msg_LLPA_Total</f>
        <v xml:space="preserve"> </v>
      </c>
      <c r="J38" s="2659"/>
      <c r="K38" s="2659"/>
      <c r="L38" s="2660"/>
      <c r="M38" s="251"/>
      <c r="N38" s="1154">
        <f>IF(Structure!E79="na","",Structure!E79)</f>
        <v>9.75</v>
      </c>
      <c r="O38" s="1469">
        <f>IF(Structure!F79="na","",Structure!F79)</f>
        <v>105.75</v>
      </c>
      <c r="P38" s="1469">
        <f>IF(Structure!G79="na","",Structure!G79)</f>
        <v>-0.125</v>
      </c>
      <c r="Q38" s="1469">
        <f>IF(Structure!H79="na","",Structure!H79)</f>
        <v>101</v>
      </c>
      <c r="S38" s="252"/>
      <c r="T38" s="2715"/>
      <c r="U38" s="2716"/>
      <c r="V38" s="2716"/>
      <c r="W38" s="2716"/>
      <c r="X38" s="2716"/>
      <c r="Y38" s="2716"/>
      <c r="Z38" s="2716"/>
      <c r="AA38" s="2716"/>
      <c r="AB38" s="2717"/>
      <c r="AC38" s="42"/>
      <c r="AE38"/>
      <c r="AF38"/>
      <c r="AG38"/>
      <c r="AH38"/>
    </row>
    <row r="39" spans="1:34" ht="10.15" customHeight="1" x14ac:dyDescent="0.25">
      <c r="A39" s="10" t="s">
        <v>461</v>
      </c>
      <c r="B39" s="5"/>
      <c r="C39" s="40"/>
      <c r="D39" s="27"/>
      <c r="E39" s="19"/>
      <c r="F39" s="2724" t="s">
        <v>76</v>
      </c>
      <c r="G39" s="2725"/>
      <c r="H39" s="1478">
        <v>0</v>
      </c>
      <c r="I39" s="2704" t="str">
        <f>Output_Msg_PriceNegotiated</f>
        <v xml:space="preserve"> </v>
      </c>
      <c r="J39" s="2705"/>
      <c r="K39" s="2705"/>
      <c r="L39" s="2706"/>
      <c r="M39" s="251"/>
      <c r="N39" s="1154">
        <f>IF(Structure!E80="na","",Structure!E80)</f>
        <v>9.625</v>
      </c>
      <c r="O39" s="1469">
        <f>IF(Structure!F80="na","",Structure!F80)</f>
        <v>105.375</v>
      </c>
      <c r="P39" s="1469">
        <f>IF(Structure!G80="na","",Structure!G80)</f>
        <v>-0.125</v>
      </c>
      <c r="Q39" s="1469">
        <f>IF(Structure!H80="na","",Structure!H80)</f>
        <v>101</v>
      </c>
      <c r="S39" s="252"/>
      <c r="T39" s="2718"/>
      <c r="U39" s="2719"/>
      <c r="V39" s="2719"/>
      <c r="W39" s="2719"/>
      <c r="X39" s="2719"/>
      <c r="Y39" s="2719"/>
      <c r="Z39" s="2719"/>
      <c r="AA39" s="2719"/>
      <c r="AB39" s="2720"/>
      <c r="AC39" s="42"/>
      <c r="AE39"/>
      <c r="AF39"/>
      <c r="AG39"/>
      <c r="AH39"/>
    </row>
    <row r="40" spans="1:34" ht="10.15" customHeight="1" x14ac:dyDescent="0.25">
      <c r="A40" s="10" t="s">
        <v>461</v>
      </c>
      <c r="B40" s="5"/>
      <c r="C40" s="40"/>
      <c r="D40" s="27" t="s">
        <v>105</v>
      </c>
      <c r="E40" s="19"/>
      <c r="F40" s="227"/>
      <c r="G40" s="3"/>
      <c r="H40" s="1473">
        <f>IF(Input_Pricing_Type="Points",100-Output_PriceNet,Output_PriceNet)</f>
        <v>106.375</v>
      </c>
      <c r="I40" s="2704" t="str">
        <f>Output_Msg_PriceNet</f>
        <v xml:space="preserve"> </v>
      </c>
      <c r="J40" s="2705"/>
      <c r="K40" s="2705"/>
      <c r="L40" s="2706"/>
      <c r="M40" s="251"/>
      <c r="N40" s="1154">
        <f>IF(Structure!E81="na","",Structure!E81)</f>
        <v>9.5</v>
      </c>
      <c r="O40" s="1469">
        <f>IF(Structure!F81="na","",Structure!F81)</f>
        <v>105</v>
      </c>
      <c r="P40" s="1469">
        <f>IF(Structure!G81="na","",Structure!G81)</f>
        <v>-0.125</v>
      </c>
      <c r="Q40" s="1469">
        <f>IF(Structure!H81="na","",Structure!H81)</f>
        <v>101</v>
      </c>
      <c r="S40" s="252"/>
      <c r="AC40" s="42"/>
    </row>
    <row r="41" spans="1:34" ht="10.15" customHeight="1" x14ac:dyDescent="0.25">
      <c r="A41" s="10" t="s">
        <v>461</v>
      </c>
      <c r="B41" s="5"/>
      <c r="C41" s="40"/>
      <c r="D41" s="27" t="s">
        <v>104</v>
      </c>
      <c r="E41" s="19"/>
      <c r="F41" s="227"/>
      <c r="G41" s="3"/>
      <c r="H41" s="1480">
        <f>IF(Input_Pricing_Type="Points",100-Output_PriceMax,Output_PriceMax)</f>
        <v>101</v>
      </c>
      <c r="I41" s="2704" t="str">
        <f>Output_Msg_PriceMax</f>
        <v xml:space="preserve"> </v>
      </c>
      <c r="J41" s="2705"/>
      <c r="K41" s="2705"/>
      <c r="L41" s="2706"/>
      <c r="M41" s="251"/>
      <c r="N41" s="1154">
        <f>IF(Structure!E82="na","",Structure!E82)</f>
        <v>9.375</v>
      </c>
      <c r="O41" s="1469">
        <f>IF(Structure!F82="na","",Structure!F82)</f>
        <v>104.625</v>
      </c>
      <c r="P41" s="1469">
        <f>IF(Structure!G82="na","",Structure!G82)</f>
        <v>-0.125</v>
      </c>
      <c r="Q41" s="1469">
        <f>IF(Structure!H82="na","",Structure!H82)</f>
        <v>101</v>
      </c>
      <c r="S41" s="252"/>
      <c r="T41" s="2685" t="s">
        <v>2687</v>
      </c>
      <c r="U41" s="2686"/>
      <c r="V41" s="2686"/>
      <c r="W41" s="2686"/>
      <c r="X41" s="2686"/>
      <c r="Y41" s="2686"/>
      <c r="Z41" s="2686"/>
      <c r="AA41" s="2686"/>
      <c r="AB41" s="2687"/>
      <c r="AC41" s="42"/>
    </row>
    <row r="42" spans="1:34" ht="10.15" customHeight="1" x14ac:dyDescent="0.25">
      <c r="A42" s="10" t="s">
        <v>461</v>
      </c>
      <c r="B42" s="5"/>
      <c r="C42" s="40"/>
      <c r="D42" s="29" t="s">
        <v>184</v>
      </c>
      <c r="E42" s="19"/>
      <c r="F42" s="227"/>
      <c r="G42" s="3"/>
      <c r="H42" s="1481">
        <f>IF(Input_Pricing_Type="Points",100-Output_PriceFinal,Output_PriceFinal)</f>
        <v>101</v>
      </c>
      <c r="I42" s="2658" t="str">
        <f>Output_Msg_PriceFinal</f>
        <v/>
      </c>
      <c r="J42" s="2659"/>
      <c r="K42" s="2659"/>
      <c r="L42" s="2660"/>
      <c r="M42" s="251"/>
      <c r="N42" s="1154">
        <f>IF(Structure!E83="na","",Structure!E83)</f>
        <v>9.25</v>
      </c>
      <c r="O42" s="1469">
        <f>IF(Structure!F83="na","",Structure!F83)</f>
        <v>104.25</v>
      </c>
      <c r="P42" s="1469">
        <f>IF(Structure!G83="na","",Structure!G83)</f>
        <v>-0.125</v>
      </c>
      <c r="Q42" s="1469">
        <f>IF(Structure!H83="na","",Structure!H83)</f>
        <v>101</v>
      </c>
      <c r="S42" s="252"/>
      <c r="T42" s="2688"/>
      <c r="U42" s="2689"/>
      <c r="V42" s="2689"/>
      <c r="W42" s="2689"/>
      <c r="X42" s="2689"/>
      <c r="Y42" s="2689"/>
      <c r="Z42" s="2689"/>
      <c r="AA42" s="2689"/>
      <c r="AB42" s="2690"/>
      <c r="AC42" s="42"/>
    </row>
    <row r="43" spans="1:34" ht="10.15" customHeight="1" x14ac:dyDescent="0.25">
      <c r="A43" s="10" t="s">
        <v>461</v>
      </c>
      <c r="B43" s="5"/>
      <c r="C43" s="40"/>
      <c r="D43" s="1347"/>
      <c r="E43" s="1348"/>
      <c r="F43" s="1349"/>
      <c r="G43" s="1348"/>
      <c r="H43" s="1349"/>
      <c r="I43" s="1350"/>
      <c r="J43" s="1351"/>
      <c r="K43" s="1351"/>
      <c r="L43" s="1352"/>
      <c r="M43" s="251"/>
      <c r="N43" s="1154">
        <f>IF(Structure!E84="na","",Structure!E84)</f>
        <v>9.125</v>
      </c>
      <c r="O43" s="1469">
        <f>IF(Structure!F84="na","",Structure!F84)</f>
        <v>103.75</v>
      </c>
      <c r="P43" s="1469">
        <f>IF(Structure!G84="na","",Structure!G84)</f>
        <v>-0.125</v>
      </c>
      <c r="Q43" s="1469">
        <f>IF(Structure!H84="na","",Structure!H84)</f>
        <v>101</v>
      </c>
      <c r="R43" s="253"/>
      <c r="S43" s="253"/>
      <c r="T43" s="2688"/>
      <c r="U43" s="2689"/>
      <c r="V43" s="2689"/>
      <c r="W43" s="2689"/>
      <c r="X43" s="2689"/>
      <c r="Y43" s="2689"/>
      <c r="Z43" s="2689"/>
      <c r="AA43" s="2689"/>
      <c r="AB43" s="2690"/>
      <c r="AC43" s="42"/>
    </row>
    <row r="44" spans="1:34" ht="10.15" customHeight="1" x14ac:dyDescent="0.25">
      <c r="A44" s="10" t="s">
        <v>461</v>
      </c>
      <c r="B44" s="5"/>
      <c r="C44" s="40"/>
      <c r="D44" s="253"/>
      <c r="E44" s="253"/>
      <c r="F44" s="253"/>
      <c r="G44" s="253"/>
      <c r="H44" s="253"/>
      <c r="I44" s="253"/>
      <c r="J44" s="253"/>
      <c r="K44" s="253"/>
      <c r="L44" s="253"/>
      <c r="M44" s="253"/>
      <c r="N44" s="1154">
        <f>IF(Structure!E85="na","",Structure!E85)</f>
        <v>9</v>
      </c>
      <c r="O44" s="1469">
        <f>IF(Structure!F85="na","",Structure!F85)</f>
        <v>103.25</v>
      </c>
      <c r="P44" s="1469">
        <f>IF(Structure!G85="na","",Structure!G85)</f>
        <v>-0.125</v>
      </c>
      <c r="Q44" s="1469">
        <f>IF(Structure!H85="na","",Structure!H85)</f>
        <v>101</v>
      </c>
      <c r="R44" s="253"/>
      <c r="S44" s="253"/>
      <c r="T44" s="2688"/>
      <c r="U44" s="2689"/>
      <c r="V44" s="2689"/>
      <c r="W44" s="2689"/>
      <c r="X44" s="2689"/>
      <c r="Y44" s="2689"/>
      <c r="Z44" s="2689"/>
      <c r="AA44" s="2689"/>
      <c r="AB44" s="2690"/>
      <c r="AC44" s="42"/>
    </row>
    <row r="45" spans="1:34" ht="10.15" customHeight="1" x14ac:dyDescent="0.25">
      <c r="A45" s="10" t="s">
        <v>461</v>
      </c>
      <c r="B45" s="5"/>
      <c r="C45" s="40"/>
      <c r="E45" s="2593" t="s">
        <v>76</v>
      </c>
      <c r="F45" s="2593"/>
      <c r="G45" s="2593"/>
      <c r="H45" s="2593"/>
      <c r="I45" s="2593"/>
      <c r="J45" s="253"/>
      <c r="K45" s="253"/>
      <c r="L45" s="253"/>
      <c r="M45" s="253"/>
      <c r="N45" s="1154">
        <f>IF(Structure!E86="na","",Structure!E86)</f>
        <v>8.875</v>
      </c>
      <c r="O45" s="1469">
        <f>IF(Structure!F86="na","",Structure!F86)</f>
        <v>102.75</v>
      </c>
      <c r="P45" s="1469">
        <f>IF(Structure!G86="na","",Structure!G86)</f>
        <v>-0.125</v>
      </c>
      <c r="Q45" s="1469">
        <f>IF(Structure!H86="na","",Structure!H86)</f>
        <v>101</v>
      </c>
      <c r="R45" s="253"/>
      <c r="S45" s="253"/>
      <c r="T45" s="2688"/>
      <c r="U45" s="2689"/>
      <c r="V45" s="2689"/>
      <c r="W45" s="2689"/>
      <c r="X45" s="2689"/>
      <c r="Y45" s="2689"/>
      <c r="Z45" s="2689"/>
      <c r="AA45" s="2689"/>
      <c r="AB45" s="2690"/>
      <c r="AC45" s="42"/>
    </row>
    <row r="46" spans="1:34" ht="10.15" customHeight="1" x14ac:dyDescent="0.25">
      <c r="A46" s="10" t="s">
        <v>461</v>
      </c>
      <c r="B46" s="5"/>
      <c r="C46" s="40"/>
      <c r="E46" s="17" t="s">
        <v>76</v>
      </c>
      <c r="G46" s="1486" t="s">
        <v>76</v>
      </c>
      <c r="J46" s="253"/>
      <c r="K46" s="253"/>
      <c r="L46" s="253"/>
      <c r="M46" s="253"/>
      <c r="N46" s="1154">
        <f>IF(Structure!E87="na","",Structure!E87)</f>
        <v>8.75</v>
      </c>
      <c r="O46" s="1469">
        <f>IF(Structure!F87="na","",Structure!F87)</f>
        <v>102.25</v>
      </c>
      <c r="P46" s="1469">
        <f>IF(Structure!G87="na","",Structure!G87)</f>
        <v>-0.125</v>
      </c>
      <c r="Q46" s="1469">
        <f>IF(Structure!H87="na","",Structure!H87)</f>
        <v>101</v>
      </c>
      <c r="R46" s="253"/>
      <c r="S46" s="253"/>
      <c r="T46" s="2688"/>
      <c r="U46" s="2689"/>
      <c r="V46" s="2689"/>
      <c r="W46" s="2689"/>
      <c r="X46" s="2689"/>
      <c r="Y46" s="2689"/>
      <c r="Z46" s="2689"/>
      <c r="AA46" s="2689"/>
      <c r="AB46" s="2690"/>
      <c r="AC46" s="42"/>
    </row>
    <row r="47" spans="1:34" ht="10.15" customHeight="1" x14ac:dyDescent="0.25">
      <c r="A47" s="10" t="s">
        <v>461</v>
      </c>
      <c r="B47" s="5"/>
      <c r="C47" s="40"/>
      <c r="E47" s="17" t="s">
        <v>76</v>
      </c>
      <c r="G47" s="1486" t="s">
        <v>76</v>
      </c>
      <c r="M47" s="253"/>
      <c r="N47" s="1154">
        <f>IF(Structure!E88="na","",Structure!E88)</f>
        <v>8.625</v>
      </c>
      <c r="O47" s="1469">
        <f>IF(Structure!F88="na","",Structure!F88)</f>
        <v>101.75</v>
      </c>
      <c r="P47" s="1469">
        <f>IF(Structure!G88="na","",Structure!G88)</f>
        <v>-0.125</v>
      </c>
      <c r="Q47" s="1469">
        <f>IF(Structure!H88="na","",Structure!H88)</f>
        <v>101</v>
      </c>
      <c r="R47" s="253"/>
      <c r="S47" s="253"/>
      <c r="T47" s="2688"/>
      <c r="U47" s="2689"/>
      <c r="V47" s="2689"/>
      <c r="W47" s="2689"/>
      <c r="X47" s="2689"/>
      <c r="Y47" s="2689"/>
      <c r="Z47" s="2689"/>
      <c r="AA47" s="2689"/>
      <c r="AB47" s="2690"/>
      <c r="AC47" s="42"/>
    </row>
    <row r="48" spans="1:34" ht="10.15" customHeight="1" x14ac:dyDescent="0.25">
      <c r="A48" s="10" t="s">
        <v>461</v>
      </c>
      <c r="B48" s="5"/>
      <c r="C48" s="40"/>
      <c r="D48" s="253"/>
      <c r="E48" s="253"/>
      <c r="F48" s="253"/>
      <c r="G48" s="253" t="s">
        <v>76</v>
      </c>
      <c r="M48" s="253"/>
      <c r="N48" s="1154">
        <f>IF(Structure!E89="na","",Structure!E89)</f>
        <v>8.5</v>
      </c>
      <c r="O48" s="1469">
        <f>IF(Structure!F89="na","",Structure!F89)</f>
        <v>101.25</v>
      </c>
      <c r="P48" s="1469">
        <f>IF(Structure!G89="na","",Structure!G89)</f>
        <v>-0.125</v>
      </c>
      <c r="Q48" s="1469">
        <f>IF(Structure!H89="na","",Structure!H89)</f>
        <v>101</v>
      </c>
      <c r="R48" s="253"/>
      <c r="S48" s="253"/>
      <c r="T48" s="2688"/>
      <c r="U48" s="2689"/>
      <c r="V48" s="2689"/>
      <c r="W48" s="2689"/>
      <c r="X48" s="2689"/>
      <c r="Y48" s="2689"/>
      <c r="Z48" s="2689"/>
      <c r="AA48" s="2689"/>
      <c r="AB48" s="2690"/>
      <c r="AC48" s="42"/>
    </row>
    <row r="49" spans="1:34" ht="10.15" customHeight="1" x14ac:dyDescent="0.25">
      <c r="A49" s="10" t="s">
        <v>461</v>
      </c>
      <c r="B49" s="5"/>
      <c r="C49" s="40"/>
      <c r="E49" s="2594" t="s">
        <v>76</v>
      </c>
      <c r="F49" s="2593"/>
      <c r="G49" s="2593"/>
      <c r="H49" s="2593"/>
      <c r="I49" s="2593"/>
      <c r="J49" s="253"/>
      <c r="K49" s="253"/>
      <c r="L49" s="253"/>
      <c r="M49" s="253"/>
      <c r="N49" s="1154">
        <f>IF(Structure!E90="na","",Structure!E90)</f>
        <v>8.375</v>
      </c>
      <c r="O49" s="1469">
        <f>IF(Structure!F90="na","",Structure!F90)</f>
        <v>100.75</v>
      </c>
      <c r="P49" s="1469">
        <f>IF(Structure!G90="na","",Structure!G90)</f>
        <v>-0.125</v>
      </c>
      <c r="Q49" s="1469">
        <f>IF(Structure!H90="na","",Structure!H90)</f>
        <v>100.625</v>
      </c>
      <c r="R49" s="253"/>
      <c r="S49" s="253"/>
      <c r="T49" s="2688"/>
      <c r="U49" s="2689"/>
      <c r="V49" s="2689"/>
      <c r="W49" s="2689"/>
      <c r="X49" s="2689"/>
      <c r="Y49" s="2689"/>
      <c r="Z49" s="2689"/>
      <c r="AA49" s="2689"/>
      <c r="AB49" s="2690"/>
      <c r="AC49" s="42"/>
    </row>
    <row r="50" spans="1:34" ht="10.15" customHeight="1" x14ac:dyDescent="0.25">
      <c r="A50" s="10" t="s">
        <v>461</v>
      </c>
      <c r="B50" s="5"/>
      <c r="C50" s="40"/>
      <c r="K50" s="253"/>
      <c r="L50" s="253"/>
      <c r="M50" s="253"/>
      <c r="N50" s="1154">
        <f>IF(Structure!E91="na","",Structure!E91)</f>
        <v>8.25</v>
      </c>
      <c r="O50" s="1469">
        <f>IF(Structure!F91="na","",Structure!F91)</f>
        <v>100.25</v>
      </c>
      <c r="P50" s="1469">
        <f>IF(Structure!G91="na","",Structure!G91)</f>
        <v>-0.125</v>
      </c>
      <c r="Q50" s="1469">
        <f>IF(Structure!H91="na","",Structure!H91)</f>
        <v>100.125</v>
      </c>
      <c r="R50" s="253"/>
      <c r="S50" s="253"/>
      <c r="T50" s="2688"/>
      <c r="U50" s="2689"/>
      <c r="V50" s="2689"/>
      <c r="W50" s="2689"/>
      <c r="X50" s="2689"/>
      <c r="Y50" s="2689"/>
      <c r="Z50" s="2689"/>
      <c r="AA50" s="2689"/>
      <c r="AB50" s="2690"/>
      <c r="AC50" s="42"/>
      <c r="AE50"/>
      <c r="AF50"/>
      <c r="AG50"/>
    </row>
    <row r="51" spans="1:34" ht="10.15" customHeight="1" x14ac:dyDescent="0.25">
      <c r="A51" s="10" t="s">
        <v>461</v>
      </c>
      <c r="B51" s="5"/>
      <c r="C51" s="40"/>
      <c r="D51" s="253"/>
      <c r="J51" s="253"/>
      <c r="K51" s="253"/>
      <c r="L51" s="253"/>
      <c r="M51" s="253"/>
      <c r="N51" s="1154">
        <f>IF(Structure!E92="na","",Structure!E92)</f>
        <v>8.125</v>
      </c>
      <c r="O51" s="1469">
        <f>IF(Structure!F92="na","",Structure!F92)</f>
        <v>99.75</v>
      </c>
      <c r="P51" s="1469">
        <f>IF(Structure!G92="na","",Structure!G92)</f>
        <v>-0.125</v>
      </c>
      <c r="Q51" s="1469">
        <f>IF(Structure!H92="na","",Structure!H92)</f>
        <v>99.625</v>
      </c>
      <c r="R51" s="253"/>
      <c r="S51" s="253"/>
      <c r="T51" s="2688"/>
      <c r="U51" s="2689"/>
      <c r="V51" s="2689"/>
      <c r="W51" s="2689"/>
      <c r="X51" s="2689"/>
      <c r="Y51" s="2689"/>
      <c r="Z51" s="2689"/>
      <c r="AA51" s="2689"/>
      <c r="AB51" s="2690"/>
      <c r="AC51" s="42"/>
      <c r="AE51"/>
      <c r="AF51"/>
      <c r="AG51"/>
    </row>
    <row r="52" spans="1:34" ht="10.15" customHeight="1" x14ac:dyDescent="0.25">
      <c r="A52" s="10" t="s">
        <v>461</v>
      </c>
      <c r="B52" s="5"/>
      <c r="C52" s="40"/>
      <c r="D52" s="253"/>
      <c r="E52" s="253"/>
      <c r="F52" s="253"/>
      <c r="G52" s="253"/>
      <c r="H52" s="253"/>
      <c r="I52" s="253"/>
      <c r="J52" s="253"/>
      <c r="K52" s="253"/>
      <c r="L52" s="253"/>
      <c r="M52" s="253"/>
      <c r="N52" s="253"/>
      <c r="O52" s="253"/>
      <c r="P52" s="253"/>
      <c r="Q52" s="253"/>
      <c r="R52" s="253"/>
      <c r="S52" s="253"/>
      <c r="T52" s="2691"/>
      <c r="U52" s="2692"/>
      <c r="V52" s="2692"/>
      <c r="W52" s="2692"/>
      <c r="X52" s="2692"/>
      <c r="Y52" s="2692"/>
      <c r="Z52" s="2692"/>
      <c r="AA52" s="2692"/>
      <c r="AB52" s="2693"/>
      <c r="AC52" s="42"/>
      <c r="AE52"/>
      <c r="AF52"/>
      <c r="AG52"/>
      <c r="AH52"/>
    </row>
    <row r="53" spans="1:34" ht="3" customHeight="1" x14ac:dyDescent="0.25">
      <c r="A53" s="10" t="s">
        <v>462</v>
      </c>
      <c r="B53" s="5"/>
      <c r="C53" s="1485"/>
      <c r="D53" s="253"/>
      <c r="E53" s="253"/>
      <c r="F53" s="253"/>
      <c r="G53" s="253"/>
      <c r="H53" s="253"/>
      <c r="I53" s="253"/>
      <c r="J53" s="253"/>
      <c r="K53" s="253"/>
      <c r="L53" s="253"/>
      <c r="M53" s="253"/>
      <c r="N53" s="253"/>
      <c r="O53" s="253"/>
      <c r="P53" s="253"/>
      <c r="Q53" s="253"/>
      <c r="R53" s="253"/>
      <c r="S53" s="253"/>
      <c r="T53" s="253"/>
      <c r="AC53" s="42"/>
      <c r="AE53"/>
      <c r="AF53"/>
      <c r="AG53"/>
      <c r="AH53"/>
    </row>
    <row r="54" spans="1:34" ht="10.15" customHeight="1" x14ac:dyDescent="0.25">
      <c r="A54" s="10" t="s">
        <v>461</v>
      </c>
      <c r="B54" s="5"/>
      <c r="C54" s="222"/>
      <c r="D54" s="2612" t="str">
        <f>Input_Disclaimer_Pricer_01</f>
        <v>LEAD PLUS Seconds Calculator will generate pricing scenarios outside of guideline restrictions. Compliance is a general guideline, and must be verified with Lead Plus</v>
      </c>
      <c r="E54" s="2612"/>
      <c r="F54" s="2612"/>
      <c r="G54" s="2612"/>
      <c r="H54" s="2612"/>
      <c r="I54" s="2612"/>
      <c r="J54" s="2612"/>
      <c r="K54" s="2612"/>
      <c r="L54" s="2612"/>
      <c r="M54" s="2612"/>
      <c r="N54" s="2612"/>
      <c r="O54" s="2612"/>
      <c r="P54" s="2612"/>
      <c r="Q54" s="2612"/>
      <c r="R54" s="2612"/>
      <c r="S54" s="2612"/>
      <c r="T54" s="2612"/>
      <c r="U54" s="2612"/>
      <c r="V54" s="2612"/>
      <c r="W54" s="2612"/>
      <c r="X54" s="2612"/>
      <c r="Y54" s="2612"/>
      <c r="Z54" s="2612"/>
      <c r="AA54" s="2612"/>
      <c r="AB54" s="2612"/>
      <c r="AC54" s="129"/>
      <c r="AE54"/>
      <c r="AF54"/>
      <c r="AG54"/>
      <c r="AH54"/>
    </row>
    <row r="55" spans="1:34" ht="10.15" customHeight="1" x14ac:dyDescent="0.25">
      <c r="A55" s="10" t="s">
        <v>461</v>
      </c>
      <c r="B55" s="5"/>
      <c r="C55" s="223"/>
      <c r="D55" s="2613" t="str">
        <f>Input_Disclaimer_Pricer_02</f>
        <v>Please confirm pricing scenarios meet Lead Plus Wholesale guidelines.</v>
      </c>
      <c r="E55" s="2613"/>
      <c r="F55" s="2613"/>
      <c r="G55" s="2613"/>
      <c r="H55" s="2613"/>
      <c r="I55" s="2613"/>
      <c r="J55" s="2613"/>
      <c r="K55" s="2613"/>
      <c r="L55" s="2613"/>
      <c r="M55" s="2613"/>
      <c r="N55" s="2613"/>
      <c r="O55" s="2613"/>
      <c r="P55" s="2613"/>
      <c r="Q55" s="2613"/>
      <c r="R55" s="2613"/>
      <c r="S55" s="2613"/>
      <c r="T55" s="2613"/>
      <c r="U55" s="2613"/>
      <c r="V55" s="2613"/>
      <c r="W55" s="2613"/>
      <c r="X55" s="2613"/>
      <c r="Y55" s="2613"/>
      <c r="Z55" s="2613"/>
      <c r="AA55" s="2613"/>
      <c r="AB55" s="2613"/>
      <c r="AC55" s="44"/>
      <c r="AE55"/>
      <c r="AF55"/>
      <c r="AG55"/>
      <c r="AH55"/>
    </row>
    <row r="56" spans="1:34" ht="3" customHeight="1" x14ac:dyDescent="0.25">
      <c r="A56" s="10" t="s">
        <v>462</v>
      </c>
      <c r="B56" s="5"/>
      <c r="AE56"/>
      <c r="AF56"/>
      <c r="AG56"/>
      <c r="AH56"/>
    </row>
    <row r="57" spans="1:34" ht="10.15" hidden="1" customHeight="1" x14ac:dyDescent="0.25">
      <c r="A57" s="10" t="s">
        <v>461</v>
      </c>
      <c r="C57" s="2145"/>
      <c r="D57" s="2146"/>
      <c r="E57" s="2146"/>
      <c r="F57" s="2146"/>
      <c r="G57" s="2139"/>
      <c r="H57" s="2139"/>
      <c r="I57" s="2139"/>
      <c r="J57" s="2625" t="str">
        <f>Input_Name_Product4</f>
        <v>Second OO</v>
      </c>
      <c r="K57" s="2625"/>
      <c r="L57" s="2625"/>
      <c r="M57" s="2625"/>
      <c r="N57" s="2625"/>
      <c r="O57" s="2625"/>
      <c r="P57" s="2625"/>
      <c r="Q57" s="2625"/>
      <c r="R57" s="2625"/>
      <c r="S57" s="2625"/>
      <c r="T57" s="2139"/>
      <c r="U57" s="2139"/>
      <c r="V57" s="2139"/>
      <c r="W57" s="2471" t="str">
        <f>Input_Header01</f>
        <v xml:space="preserve"> </v>
      </c>
      <c r="X57" s="2472"/>
      <c r="Y57" s="2472"/>
      <c r="Z57" s="2472"/>
      <c r="AA57" s="2614" t="str">
        <f>Input_Header06</f>
        <v xml:space="preserve"> </v>
      </c>
      <c r="AB57" s="2614" t="str">
        <f>Input_Header01</f>
        <v xml:space="preserve"> </v>
      </c>
      <c r="AC57" s="2140"/>
      <c r="AF57" s="248"/>
    </row>
    <row r="58" spans="1:34" ht="10.15" hidden="1" customHeight="1" x14ac:dyDescent="0.25">
      <c r="A58" s="10" t="s">
        <v>461</v>
      </c>
      <c r="C58" s="2147"/>
      <c r="D58" s="2141"/>
      <c r="E58" s="2141"/>
      <c r="F58" s="2141"/>
      <c r="G58" s="2141"/>
      <c r="H58" s="2141"/>
      <c r="I58" s="2141"/>
      <c r="J58" s="2626"/>
      <c r="K58" s="2626"/>
      <c r="L58" s="2626"/>
      <c r="M58" s="2626"/>
      <c r="N58" s="2626"/>
      <c r="O58" s="2626"/>
      <c r="P58" s="2626"/>
      <c r="Q58" s="2626"/>
      <c r="R58" s="2626"/>
      <c r="S58" s="2626"/>
      <c r="T58" s="2141"/>
      <c r="U58" s="2141"/>
      <c r="V58" s="2141"/>
      <c r="W58" s="2466" t="str">
        <f>Input_Header02</f>
        <v xml:space="preserve"> </v>
      </c>
      <c r="X58" s="2467"/>
      <c r="Y58" s="2467"/>
      <c r="Z58" s="2467"/>
      <c r="AA58" s="2624" t="str">
        <f>Input_Header07</f>
        <v xml:space="preserve"> </v>
      </c>
      <c r="AB58" s="2624" t="str">
        <f>Input_Header01</f>
        <v xml:space="preserve"> </v>
      </c>
      <c r="AC58" s="2142"/>
      <c r="AF58" s="248"/>
    </row>
    <row r="59" spans="1:34" ht="10.15" hidden="1" customHeight="1" x14ac:dyDescent="0.25">
      <c r="A59" s="10" t="s">
        <v>461</v>
      </c>
      <c r="C59" s="2147"/>
      <c r="D59" s="2141"/>
      <c r="E59" s="2141"/>
      <c r="F59" s="2141"/>
      <c r="G59" s="2141"/>
      <c r="H59" s="2141"/>
      <c r="I59" s="2141"/>
      <c r="J59" s="2626"/>
      <c r="K59" s="2626"/>
      <c r="L59" s="2626"/>
      <c r="M59" s="2626"/>
      <c r="N59" s="2626"/>
      <c r="O59" s="2626"/>
      <c r="P59" s="2626"/>
      <c r="Q59" s="2626"/>
      <c r="R59" s="2626"/>
      <c r="S59" s="2626"/>
      <c r="T59" s="2141"/>
      <c r="U59" s="2141"/>
      <c r="V59" s="2141"/>
      <c r="W59" s="2469" t="str">
        <f>Input_Header03</f>
        <v xml:space="preserve"> </v>
      </c>
      <c r="X59" s="2467"/>
      <c r="Y59" s="2467"/>
      <c r="Z59" s="2467"/>
      <c r="AA59" s="2468"/>
      <c r="AB59" s="2468"/>
      <c r="AC59" s="2142"/>
      <c r="AF59" s="248"/>
    </row>
    <row r="60" spans="1:34" ht="10.15" hidden="1" customHeight="1" x14ac:dyDescent="0.25">
      <c r="A60" s="10" t="s">
        <v>461</v>
      </c>
      <c r="C60" s="2147"/>
      <c r="D60" s="2141"/>
      <c r="E60" s="2141"/>
      <c r="F60" s="2141"/>
      <c r="G60" s="2141"/>
      <c r="H60" s="2141"/>
      <c r="I60" s="2141"/>
      <c r="J60" s="2626"/>
      <c r="K60" s="2626"/>
      <c r="L60" s="2626"/>
      <c r="M60" s="2626"/>
      <c r="N60" s="2626"/>
      <c r="O60" s="2626"/>
      <c r="P60" s="2626"/>
      <c r="Q60" s="2626"/>
      <c r="R60" s="2626"/>
      <c r="S60" s="2626"/>
      <c r="T60" s="2141"/>
      <c r="U60" s="2141"/>
      <c r="V60" s="2141"/>
      <c r="W60" s="2470" t="str">
        <f>Input_Header04</f>
        <v xml:space="preserve"> </v>
      </c>
      <c r="X60" s="2473"/>
      <c r="Y60" s="2467"/>
      <c r="Z60" s="2467"/>
      <c r="AA60" s="2468"/>
      <c r="AB60" s="2468" t="str">
        <f>Input_Version</f>
        <v>#01</v>
      </c>
      <c r="AC60" s="2142"/>
      <c r="AF60" s="248"/>
    </row>
    <row r="61" spans="1:34" ht="10.15" hidden="1" customHeight="1" x14ac:dyDescent="0.25">
      <c r="A61" s="10" t="s">
        <v>461</v>
      </c>
      <c r="C61" s="2148"/>
      <c r="D61" s="2149"/>
      <c r="E61" s="2149"/>
      <c r="F61" s="2149"/>
      <c r="G61" s="2143"/>
      <c r="H61" s="2143"/>
      <c r="I61" s="2143"/>
      <c r="J61" s="2627"/>
      <c r="K61" s="2627"/>
      <c r="L61" s="2627"/>
      <c r="M61" s="2627"/>
      <c r="N61" s="2627"/>
      <c r="O61" s="2627"/>
      <c r="P61" s="2627"/>
      <c r="Q61" s="2627"/>
      <c r="R61" s="2627"/>
      <c r="S61" s="2627"/>
      <c r="T61" s="2143"/>
      <c r="U61" s="2143"/>
      <c r="V61" s="2143"/>
      <c r="W61" s="2474" t="str">
        <f>Input_Header05</f>
        <v xml:space="preserve"> </v>
      </c>
      <c r="X61" s="2475"/>
      <c r="Y61" s="2475"/>
      <c r="Z61" s="2475"/>
      <c r="AA61" s="2611">
        <f ca="1">Input_Date</f>
        <v>45743</v>
      </c>
      <c r="AB61" s="2611"/>
      <c r="AC61" s="2144"/>
      <c r="AF61" s="248"/>
    </row>
    <row r="62" spans="1:34" s="5" customFormat="1" ht="3" hidden="1" customHeight="1" x14ac:dyDescent="0.2">
      <c r="A62" s="10" t="s">
        <v>462</v>
      </c>
      <c r="B62" s="10"/>
      <c r="C62" s="40"/>
      <c r="T62" s="45"/>
      <c r="U62" s="45"/>
      <c r="V62" s="45"/>
      <c r="W62" s="45"/>
      <c r="X62" s="45"/>
      <c r="Y62" s="45"/>
      <c r="Z62" s="45"/>
      <c r="AA62" s="45"/>
      <c r="AC62" s="46"/>
      <c r="AE62" s="10"/>
      <c r="AF62" s="248"/>
      <c r="AG62" s="10"/>
    </row>
    <row r="63" spans="1:34" s="5" customFormat="1" ht="10.15" hidden="1" customHeight="1" x14ac:dyDescent="0.2">
      <c r="A63" s="10" t="s">
        <v>461</v>
      </c>
      <c r="B63" s="10"/>
      <c r="C63" s="40"/>
      <c r="D63" s="2628" t="s">
        <v>0</v>
      </c>
      <c r="E63" s="2629"/>
      <c r="F63" s="2630"/>
      <c r="G63" s="47"/>
      <c r="H63" s="47"/>
      <c r="I63" s="48"/>
      <c r="J63" s="2602" t="s">
        <v>103</v>
      </c>
      <c r="K63" s="2603"/>
      <c r="L63" s="2603"/>
      <c r="M63" s="2603"/>
      <c r="N63" s="2603"/>
      <c r="O63" s="2603"/>
      <c r="P63" s="2603"/>
      <c r="Q63" s="2603"/>
      <c r="R63" s="2603"/>
      <c r="S63" s="2603"/>
      <c r="T63" s="2603"/>
      <c r="U63" s="2603"/>
      <c r="V63" s="2603"/>
      <c r="W63" s="2603"/>
      <c r="X63" s="2603"/>
      <c r="Y63" s="2603"/>
      <c r="Z63" s="2603"/>
      <c r="AA63" s="2603"/>
      <c r="AB63" s="2604"/>
      <c r="AC63" s="49"/>
      <c r="AE63" s="10"/>
      <c r="AF63" s="248"/>
      <c r="AG63" s="10"/>
    </row>
    <row r="64" spans="1:34" s="5" customFormat="1" ht="10.15" hidden="1" customHeight="1" x14ac:dyDescent="0.2">
      <c r="A64" s="10" t="s">
        <v>461</v>
      </c>
      <c r="B64" s="10"/>
      <c r="C64" s="40"/>
      <c r="D64" s="18" t="s">
        <v>126</v>
      </c>
      <c r="E64" s="9"/>
      <c r="F64" s="9" t="s">
        <v>1564</v>
      </c>
      <c r="G64" s="47"/>
      <c r="H64" s="47"/>
      <c r="J64" s="50"/>
      <c r="K64" s="51"/>
      <c r="L64" s="51"/>
      <c r="M64" s="51"/>
      <c r="N64" s="1144"/>
      <c r="O64" s="1144"/>
      <c r="P64" s="1144"/>
      <c r="Q64" s="1144"/>
      <c r="R64" s="1144"/>
      <c r="S64" s="1818" t="s">
        <v>88</v>
      </c>
      <c r="T64" s="2605" t="s">
        <v>1301</v>
      </c>
      <c r="U64" s="2606"/>
      <c r="V64" s="2606"/>
      <c r="W64" s="2606"/>
      <c r="X64" s="2606"/>
      <c r="Y64" s="2606"/>
      <c r="Z64" s="2606"/>
      <c r="AA64" s="2606"/>
      <c r="AB64" s="2607"/>
      <c r="AC64" s="49"/>
      <c r="AE64" s="10"/>
      <c r="AF64" s="248"/>
      <c r="AG64" s="10"/>
    </row>
    <row r="65" spans="1:34" s="5" customFormat="1" ht="10.15" hidden="1" customHeight="1" x14ac:dyDescent="0.2">
      <c r="A65" s="10" t="s">
        <v>461</v>
      </c>
      <c r="B65" s="10"/>
      <c r="C65" s="40"/>
      <c r="D65" s="52">
        <f>Structure!AY5</f>
        <v>13.125</v>
      </c>
      <c r="E65" s="53"/>
      <c r="F65" s="54">
        <f t="shared" ref="F65:F73" si="0">INDEX(Lookup_NoteRateAll,MATCH("PT_"&amp;RIGHT("000"&amp;TRUNC(D65),3)&amp;TEXT(D65-TRUNC(D65),".0000000000"),Lookup_NoteRateText,0),4)</f>
        <v>112.375</v>
      </c>
      <c r="G65" s="47"/>
      <c r="H65" s="47"/>
      <c r="J65" s="256"/>
      <c r="K65" s="257" t="s">
        <v>211</v>
      </c>
      <c r="L65" s="258"/>
      <c r="M65" s="259" t="s">
        <v>71</v>
      </c>
      <c r="N65" s="1165" t="s">
        <v>25</v>
      </c>
      <c r="O65" s="1146"/>
      <c r="P65" s="1146"/>
      <c r="Q65" s="1146"/>
      <c r="R65" s="1127"/>
      <c r="S65" s="260"/>
      <c r="T65" s="1493" t="s">
        <v>249</v>
      </c>
      <c r="U65" s="1494" t="s">
        <v>15</v>
      </c>
      <c r="V65" s="1495" t="s">
        <v>84</v>
      </c>
      <c r="W65" s="1495" t="s">
        <v>31</v>
      </c>
      <c r="X65" s="1495" t="s">
        <v>30</v>
      </c>
      <c r="Y65" s="1495" t="s">
        <v>29</v>
      </c>
      <c r="Z65" s="1495" t="s">
        <v>28</v>
      </c>
      <c r="AA65" s="1495" t="s">
        <v>27</v>
      </c>
      <c r="AB65" s="1496" t="s">
        <v>26</v>
      </c>
      <c r="AC65" s="46"/>
      <c r="AE65" s="10"/>
      <c r="AF65" s="248"/>
      <c r="AG65" s="10"/>
    </row>
    <row r="66" spans="1:34" s="5" customFormat="1" ht="10.15" hidden="1" customHeight="1" x14ac:dyDescent="0.2">
      <c r="A66" s="10" t="s">
        <v>461</v>
      </c>
      <c r="B66" s="10"/>
      <c r="C66" s="40"/>
      <c r="D66" s="52">
        <f>Structure!AY6</f>
        <v>13</v>
      </c>
      <c r="E66" s="53"/>
      <c r="F66" s="54">
        <f t="shared" si="0"/>
        <v>112.25</v>
      </c>
      <c r="G66" s="47"/>
      <c r="H66" s="47"/>
      <c r="J66" s="2608" t="s">
        <v>206</v>
      </c>
      <c r="K66" s="57"/>
      <c r="L66" s="58"/>
      <c r="M66" s="59"/>
      <c r="N66" s="1103" t="s">
        <v>1282</v>
      </c>
      <c r="O66" s="1147"/>
      <c r="P66" s="1147"/>
      <c r="Q66" s="1147"/>
      <c r="R66" s="1147"/>
      <c r="S66" s="1851" t="s">
        <v>1336</v>
      </c>
      <c r="T66" s="2178">
        <v>1.625</v>
      </c>
      <c r="U66" s="2179">
        <v>1.625</v>
      </c>
      <c r="V66" s="2179">
        <v>1.25</v>
      </c>
      <c r="W66" s="2179">
        <v>1</v>
      </c>
      <c r="X66" s="2179">
        <v>0.75</v>
      </c>
      <c r="Y66" s="2179">
        <v>-0.375</v>
      </c>
      <c r="Z66" s="2179">
        <v>-1.125</v>
      </c>
      <c r="AA66" s="2179">
        <v>-4.625</v>
      </c>
      <c r="AB66" s="2180">
        <v>-6.25</v>
      </c>
      <c r="AC66" s="46"/>
      <c r="AE66" s="10"/>
      <c r="AF66" s="248"/>
      <c r="AG66" s="10"/>
    </row>
    <row r="67" spans="1:34" s="5" customFormat="1" ht="10.15" hidden="1" customHeight="1" x14ac:dyDescent="0.2">
      <c r="A67" s="10" t="s">
        <v>461</v>
      </c>
      <c r="B67" s="10"/>
      <c r="C67" s="40"/>
      <c r="D67" s="52">
        <f>Structure!AY7</f>
        <v>12.875</v>
      </c>
      <c r="E67" s="53"/>
      <c r="F67" s="54">
        <f t="shared" si="0"/>
        <v>112.125</v>
      </c>
      <c r="G67" s="47"/>
      <c r="H67" s="47"/>
      <c r="J67" s="2609"/>
      <c r="K67" s="235"/>
      <c r="L67" s="236"/>
      <c r="M67" s="237"/>
      <c r="N67" s="1104" t="s">
        <v>1281</v>
      </c>
      <c r="O67" s="1082"/>
      <c r="P67" s="1082"/>
      <c r="Q67" s="1082"/>
      <c r="R67" s="1082"/>
      <c r="S67" s="1852" t="s">
        <v>1337</v>
      </c>
      <c r="T67" s="2181">
        <v>1.625</v>
      </c>
      <c r="U67" s="2182">
        <v>1.625</v>
      </c>
      <c r="V67" s="2182">
        <v>1.125</v>
      </c>
      <c r="W67" s="2182">
        <v>0.875</v>
      </c>
      <c r="X67" s="2182">
        <v>0.625</v>
      </c>
      <c r="Y67" s="2182">
        <v>-0.5</v>
      </c>
      <c r="Z67" s="2182">
        <v>-1.25</v>
      </c>
      <c r="AA67" s="2182">
        <v>-4.875</v>
      </c>
      <c r="AB67" s="2183">
        <v>-6.5</v>
      </c>
      <c r="AC67" s="46"/>
      <c r="AE67" s="10"/>
      <c r="AF67" s="248"/>
      <c r="AG67" s="10"/>
    </row>
    <row r="68" spans="1:34" s="5" customFormat="1" ht="10.15" hidden="1" customHeight="1" x14ac:dyDescent="0.2">
      <c r="A68" s="10" t="s">
        <v>461</v>
      </c>
      <c r="B68" s="10"/>
      <c r="C68" s="40"/>
      <c r="D68" s="52">
        <f>Structure!AY8</f>
        <v>12.75</v>
      </c>
      <c r="E68" s="53"/>
      <c r="F68" s="54">
        <f t="shared" si="0"/>
        <v>112</v>
      </c>
      <c r="G68" s="47"/>
      <c r="H68" s="47"/>
      <c r="J68" s="2610"/>
      <c r="K68" s="60" t="s">
        <v>1643</v>
      </c>
      <c r="L68" s="61"/>
      <c r="M68" s="62">
        <v>1</v>
      </c>
      <c r="N68" s="1104" t="s">
        <v>255</v>
      </c>
      <c r="O68" s="1082"/>
      <c r="P68" s="1082"/>
      <c r="Q68" s="1082"/>
      <c r="R68" s="1082"/>
      <c r="S68" s="1852" t="s">
        <v>1338</v>
      </c>
      <c r="T68" s="2181">
        <v>1.125</v>
      </c>
      <c r="U68" s="2182">
        <v>1.125</v>
      </c>
      <c r="V68" s="2182">
        <v>0.625</v>
      </c>
      <c r="W68" s="2182">
        <v>0.25</v>
      </c>
      <c r="X68" s="2182">
        <v>0.125</v>
      </c>
      <c r="Y68" s="2182">
        <v>-1</v>
      </c>
      <c r="Z68" s="2182">
        <v>-1.875</v>
      </c>
      <c r="AA68" s="2182">
        <v>-5.5</v>
      </c>
      <c r="AB68" s="2183">
        <v>-7.5</v>
      </c>
      <c r="AC68" s="46"/>
      <c r="AE68" s="10"/>
      <c r="AF68" s="248"/>
      <c r="AG68" s="10"/>
    </row>
    <row r="69" spans="1:34" s="5" customFormat="1" ht="10.15" hidden="1" customHeight="1" x14ac:dyDescent="0.2">
      <c r="A69" s="10" t="s">
        <v>461</v>
      </c>
      <c r="B69" s="10"/>
      <c r="C69" s="40"/>
      <c r="D69" s="52">
        <f>Structure!AY9</f>
        <v>12.625</v>
      </c>
      <c r="E69" s="53"/>
      <c r="F69" s="54">
        <f t="shared" si="0"/>
        <v>111.875</v>
      </c>
      <c r="G69" s="47"/>
      <c r="H69" s="47"/>
      <c r="J69" s="2610"/>
      <c r="K69" s="60" t="s">
        <v>1642</v>
      </c>
      <c r="L69" s="64"/>
      <c r="M69" s="62">
        <v>2</v>
      </c>
      <c r="N69" s="1104" t="s">
        <v>254</v>
      </c>
      <c r="O69" s="1082"/>
      <c r="P69" s="1082"/>
      <c r="Q69" s="1082"/>
      <c r="R69" s="1082"/>
      <c r="S69" s="1852" t="s">
        <v>1339</v>
      </c>
      <c r="T69" s="2181">
        <v>0.625</v>
      </c>
      <c r="U69" s="2182">
        <v>0.625</v>
      </c>
      <c r="V69" s="2182">
        <v>0.125</v>
      </c>
      <c r="W69" s="2182">
        <v>-0.125</v>
      </c>
      <c r="X69" s="2182">
        <v>-0.25</v>
      </c>
      <c r="Y69" s="2182">
        <v>-1.625</v>
      </c>
      <c r="Z69" s="2182">
        <v>-3.125</v>
      </c>
      <c r="AA69" s="2182">
        <v>-6.75</v>
      </c>
      <c r="AB69" s="2183">
        <v>-9</v>
      </c>
      <c r="AC69" s="46"/>
      <c r="AE69" s="10"/>
      <c r="AF69" s="248"/>
      <c r="AG69" s="10"/>
    </row>
    <row r="70" spans="1:34" s="5" customFormat="1" ht="10.15" hidden="1" customHeight="1" x14ac:dyDescent="0.2">
      <c r="A70" s="10" t="s">
        <v>461</v>
      </c>
      <c r="B70" s="10"/>
      <c r="C70" s="40"/>
      <c r="D70" s="52">
        <f>Structure!AY10</f>
        <v>12.5</v>
      </c>
      <c r="E70" s="53"/>
      <c r="F70" s="54">
        <f t="shared" si="0"/>
        <v>111.625</v>
      </c>
      <c r="G70" s="47"/>
      <c r="H70" s="47"/>
      <c r="J70" s="2610"/>
      <c r="K70" s="65"/>
      <c r="L70" s="43"/>
      <c r="M70" s="62"/>
      <c r="N70" s="1104" t="s">
        <v>3</v>
      </c>
      <c r="O70" s="1082"/>
      <c r="P70" s="1082"/>
      <c r="Q70" s="1082"/>
      <c r="R70" s="1082"/>
      <c r="S70" s="1853" t="s">
        <v>1340</v>
      </c>
      <c r="T70" s="2181">
        <v>0</v>
      </c>
      <c r="U70" s="2182">
        <v>0</v>
      </c>
      <c r="V70" s="2182">
        <v>-0.5</v>
      </c>
      <c r="W70" s="2182">
        <v>-0.75</v>
      </c>
      <c r="X70" s="2182">
        <v>-1</v>
      </c>
      <c r="Y70" s="2182">
        <v>-2</v>
      </c>
      <c r="Z70" s="2182">
        <v>-4</v>
      </c>
      <c r="AA70" s="2182">
        <v>-8.125</v>
      </c>
      <c r="AB70" s="2183">
        <v>-10</v>
      </c>
      <c r="AC70" s="46"/>
      <c r="AE70" s="10"/>
      <c r="AF70" s="248"/>
      <c r="AG70" s="10"/>
      <c r="AH70" s="10"/>
    </row>
    <row r="71" spans="1:34" s="5" customFormat="1" ht="10.15" hidden="1" customHeight="1" x14ac:dyDescent="0.2">
      <c r="A71" s="10" t="s">
        <v>461</v>
      </c>
      <c r="B71" s="10"/>
      <c r="C71" s="40"/>
      <c r="D71" s="52">
        <f>Structure!AY11</f>
        <v>12.375</v>
      </c>
      <c r="E71" s="53"/>
      <c r="F71" s="54">
        <f t="shared" si="0"/>
        <v>111.375</v>
      </c>
      <c r="G71" s="47"/>
      <c r="H71" s="47"/>
      <c r="J71" s="2610"/>
      <c r="K71" s="65"/>
      <c r="L71" s="43"/>
      <c r="M71" s="62"/>
      <c r="N71" s="1104" t="s">
        <v>5</v>
      </c>
      <c r="O71" s="1082"/>
      <c r="P71" s="1082"/>
      <c r="Q71" s="1082"/>
      <c r="R71" s="1082"/>
      <c r="S71" s="1853" t="s">
        <v>1341</v>
      </c>
      <c r="T71" s="2181">
        <v>-1.125</v>
      </c>
      <c r="U71" s="2182">
        <v>-1.125</v>
      </c>
      <c r="V71" s="2182">
        <v>-1.75</v>
      </c>
      <c r="W71" s="2182">
        <v>-2.125</v>
      </c>
      <c r="X71" s="2182">
        <v>-2.5</v>
      </c>
      <c r="Y71" s="2182">
        <v>-3</v>
      </c>
      <c r="Z71" s="2182">
        <v>-5.5</v>
      </c>
      <c r="AA71" s="2182">
        <v>-9.375</v>
      </c>
      <c r="AB71" s="2183">
        <v>-11.5</v>
      </c>
      <c r="AC71" s="46"/>
      <c r="AE71" s="10"/>
      <c r="AF71" s="248"/>
      <c r="AG71" s="10"/>
      <c r="AH71" s="10"/>
    </row>
    <row r="72" spans="1:34" s="5" customFormat="1" ht="10.15" hidden="1" customHeight="1" x14ac:dyDescent="0.2">
      <c r="A72" s="10" t="s">
        <v>461</v>
      </c>
      <c r="B72" s="10"/>
      <c r="C72" s="40"/>
      <c r="D72" s="52">
        <f>Structure!AY12</f>
        <v>12.25</v>
      </c>
      <c r="E72" s="53"/>
      <c r="F72" s="54">
        <f t="shared" si="0"/>
        <v>111.125</v>
      </c>
      <c r="G72" s="47"/>
      <c r="H72" s="47"/>
      <c r="J72" s="2610"/>
      <c r="K72" s="65"/>
      <c r="L72" s="43"/>
      <c r="M72" s="62"/>
      <c r="N72" s="1105" t="s">
        <v>6</v>
      </c>
      <c r="O72" s="1083"/>
      <c r="P72" s="1083"/>
      <c r="Q72" s="1083"/>
      <c r="R72" s="1083"/>
      <c r="S72" s="1853" t="s">
        <v>1342</v>
      </c>
      <c r="T72" s="2181">
        <v>-3</v>
      </c>
      <c r="U72" s="2182">
        <v>-3</v>
      </c>
      <c r="V72" s="2182">
        <v>-3.625</v>
      </c>
      <c r="W72" s="2182">
        <v>-4</v>
      </c>
      <c r="X72" s="2182">
        <v>-4.5</v>
      </c>
      <c r="Y72" s="2182">
        <v>-5.5</v>
      </c>
      <c r="Z72" s="2182">
        <v>-8.125</v>
      </c>
      <c r="AA72" s="2182">
        <v>-11.125</v>
      </c>
      <c r="AB72" s="2399" t="e">
        <v>#N/A</v>
      </c>
      <c r="AC72" s="46"/>
      <c r="AE72" s="10"/>
      <c r="AF72" s="248"/>
      <c r="AG72" s="10"/>
      <c r="AH72" s="10"/>
    </row>
    <row r="73" spans="1:34" s="5" customFormat="1" ht="10.15" hidden="1" customHeight="1" x14ac:dyDescent="0.2">
      <c r="A73" s="10" t="s">
        <v>461</v>
      </c>
      <c r="B73" s="10"/>
      <c r="C73" s="40"/>
      <c r="D73" s="52">
        <f>Structure!AY13</f>
        <v>12.125</v>
      </c>
      <c r="E73" s="53"/>
      <c r="F73" s="54">
        <f t="shared" si="0"/>
        <v>110.875</v>
      </c>
      <c r="G73" s="47"/>
      <c r="H73" s="47"/>
      <c r="J73" s="2610"/>
      <c r="K73" s="65"/>
      <c r="L73" s="43"/>
      <c r="M73" s="62"/>
      <c r="N73" s="1105" t="s">
        <v>7</v>
      </c>
      <c r="O73" s="1083"/>
      <c r="P73" s="1083"/>
      <c r="Q73" s="1083"/>
      <c r="R73" s="1083"/>
      <c r="S73" s="1853" t="s">
        <v>1343</v>
      </c>
      <c r="T73" s="2184">
        <v>-4.25</v>
      </c>
      <c r="U73" s="2185">
        <v>-4.375</v>
      </c>
      <c r="V73" s="2185">
        <v>-4.75</v>
      </c>
      <c r="W73" s="2185">
        <v>-5.375</v>
      </c>
      <c r="X73" s="2185">
        <v>-5.75</v>
      </c>
      <c r="Y73" s="2185">
        <v>-7</v>
      </c>
      <c r="Z73" s="2185">
        <v>-10</v>
      </c>
      <c r="AA73" s="2400" t="e">
        <v>#N/A</v>
      </c>
      <c r="AB73" s="2401" t="e">
        <v>#N/A</v>
      </c>
      <c r="AC73" s="46"/>
      <c r="AE73" s="10"/>
      <c r="AF73" s="248"/>
      <c r="AG73" s="10"/>
      <c r="AH73" s="10"/>
    </row>
    <row r="74" spans="1:34" s="5" customFormat="1" ht="10.15" hidden="1" customHeight="1" x14ac:dyDescent="0.2">
      <c r="A74" s="10" t="s">
        <v>463</v>
      </c>
      <c r="B74" s="10"/>
      <c r="C74" s="40"/>
      <c r="G74" s="47"/>
      <c r="H74" s="47"/>
      <c r="J74" s="2610"/>
      <c r="K74" s="65"/>
      <c r="L74" s="43"/>
      <c r="M74" s="62"/>
      <c r="N74" s="1105" t="s">
        <v>9</v>
      </c>
      <c r="O74" s="1083"/>
      <c r="P74" s="1083"/>
      <c r="Q74" s="1083"/>
      <c r="R74" s="1083"/>
      <c r="S74" s="1853" t="s">
        <v>1344</v>
      </c>
      <c r="T74" s="2051" t="e">
        <v>#N/A</v>
      </c>
      <c r="U74" s="1467" t="e">
        <v>#N/A</v>
      </c>
      <c r="V74" s="1467" t="e">
        <v>#N/A</v>
      </c>
      <c r="W74" s="1467" t="e">
        <v>#N/A</v>
      </c>
      <c r="X74" s="1467" t="e">
        <v>#N/A</v>
      </c>
      <c r="Y74" s="1467" t="e">
        <v>#N/A</v>
      </c>
      <c r="Z74" s="1467" t="e">
        <v>#N/A</v>
      </c>
      <c r="AA74" s="1467" t="e">
        <v>#N/A</v>
      </c>
      <c r="AB74" s="2050" t="e">
        <v>#N/A</v>
      </c>
      <c r="AC74" s="46"/>
      <c r="AE74" s="10"/>
      <c r="AF74" s="248"/>
      <c r="AG74" s="10"/>
      <c r="AH74" s="10"/>
    </row>
    <row r="75" spans="1:34" s="5" customFormat="1" ht="10.15" hidden="1" customHeight="1" x14ac:dyDescent="0.2">
      <c r="A75" s="10" t="s">
        <v>463</v>
      </c>
      <c r="B75" s="10"/>
      <c r="C75" s="40"/>
      <c r="G75" s="47"/>
      <c r="H75" s="47"/>
      <c r="J75" s="2610"/>
      <c r="K75" s="65"/>
      <c r="L75" s="43"/>
      <c r="M75" s="62"/>
      <c r="N75" s="1104" t="s">
        <v>10</v>
      </c>
      <c r="O75" s="1082"/>
      <c r="P75" s="1082"/>
      <c r="Q75" s="1082"/>
      <c r="R75" s="1082"/>
      <c r="S75" s="1852" t="s">
        <v>1345</v>
      </c>
      <c r="T75" s="2051" t="e">
        <v>#N/A</v>
      </c>
      <c r="U75" s="1467" t="e">
        <v>#N/A</v>
      </c>
      <c r="V75" s="1467" t="e">
        <v>#N/A</v>
      </c>
      <c r="W75" s="1467" t="e">
        <v>#N/A</v>
      </c>
      <c r="X75" s="1467" t="e">
        <v>#N/A</v>
      </c>
      <c r="Y75" s="1467" t="e">
        <v>#N/A</v>
      </c>
      <c r="Z75" s="1467" t="e">
        <v>#N/A</v>
      </c>
      <c r="AA75" s="1467" t="e">
        <v>#N/A</v>
      </c>
      <c r="AB75" s="2050" t="e">
        <v>#N/A</v>
      </c>
      <c r="AC75" s="46"/>
      <c r="AE75" s="10"/>
      <c r="AF75" s="248"/>
      <c r="AG75" s="10"/>
      <c r="AH75" s="10"/>
    </row>
    <row r="76" spans="1:34" s="5" customFormat="1" ht="10.15" hidden="1" customHeight="1" x14ac:dyDescent="0.2">
      <c r="A76" s="10" t="s">
        <v>461</v>
      </c>
      <c r="B76" s="10"/>
      <c r="C76" s="40"/>
      <c r="D76" s="52">
        <f>Structure!AY14</f>
        <v>12</v>
      </c>
      <c r="E76" s="53"/>
      <c r="F76" s="54">
        <f t="shared" ref="F76:F83" si="1">INDEX(Lookup_NoteRateAll,MATCH("PT_"&amp;RIGHT("000"&amp;TRUNC(D76),3)&amp;TEXT(D76-TRUNC(D76),".0000000000"),Lookup_NoteRateText,0),4)</f>
        <v>110.625</v>
      </c>
      <c r="G76" s="47"/>
      <c r="H76" s="47"/>
      <c r="J76" s="2608" t="s">
        <v>207</v>
      </c>
      <c r="K76" s="57"/>
      <c r="L76" s="58"/>
      <c r="M76" s="66"/>
      <c r="N76" s="1103" t="s">
        <v>1282</v>
      </c>
      <c r="O76" s="1147"/>
      <c r="P76" s="1147"/>
      <c r="Q76" s="1147"/>
      <c r="R76" s="1147"/>
      <c r="S76" s="1883" t="s">
        <v>1346</v>
      </c>
      <c r="T76" s="2178">
        <v>0.875</v>
      </c>
      <c r="U76" s="2179">
        <v>0.875</v>
      </c>
      <c r="V76" s="2179">
        <v>0.5</v>
      </c>
      <c r="W76" s="2179">
        <v>0.125</v>
      </c>
      <c r="X76" s="2179">
        <v>-0.125</v>
      </c>
      <c r="Y76" s="2179">
        <v>-1.375</v>
      </c>
      <c r="Z76" s="2179">
        <v>-2.25</v>
      </c>
      <c r="AA76" s="2179">
        <v>-6</v>
      </c>
      <c r="AB76" s="2180">
        <v>-7.75</v>
      </c>
      <c r="AC76" s="46"/>
      <c r="AE76" s="10"/>
      <c r="AF76" s="248"/>
      <c r="AG76" s="10"/>
      <c r="AH76" s="10"/>
    </row>
    <row r="77" spans="1:34" s="5" customFormat="1" ht="10.15" hidden="1" customHeight="1" x14ac:dyDescent="0.2">
      <c r="A77" s="10" t="s">
        <v>461</v>
      </c>
      <c r="B77" s="10"/>
      <c r="C77" s="40"/>
      <c r="D77" s="52">
        <f>Structure!AY15</f>
        <v>11.875</v>
      </c>
      <c r="E77" s="53"/>
      <c r="F77" s="54">
        <f t="shared" si="1"/>
        <v>110.375</v>
      </c>
      <c r="G77" s="47"/>
      <c r="H77" s="47"/>
      <c r="J77" s="2609"/>
      <c r="K77" s="235"/>
      <c r="L77" s="236"/>
      <c r="M77" s="238"/>
      <c r="N77" s="1104" t="s">
        <v>1281</v>
      </c>
      <c r="O77" s="1082"/>
      <c r="P77" s="1082"/>
      <c r="Q77" s="1082"/>
      <c r="R77" s="1082"/>
      <c r="S77" s="1852" t="s">
        <v>1347</v>
      </c>
      <c r="T77" s="2181">
        <v>0.875</v>
      </c>
      <c r="U77" s="2182">
        <v>0.875</v>
      </c>
      <c r="V77" s="2182">
        <v>0.375</v>
      </c>
      <c r="W77" s="2182">
        <v>0</v>
      </c>
      <c r="X77" s="2182">
        <v>-0.25</v>
      </c>
      <c r="Y77" s="2182">
        <v>-1.5</v>
      </c>
      <c r="Z77" s="2182">
        <v>-2.375</v>
      </c>
      <c r="AA77" s="2182">
        <v>-6.25</v>
      </c>
      <c r="AB77" s="2183">
        <v>-8</v>
      </c>
      <c r="AC77" s="46"/>
      <c r="AE77" s="10"/>
      <c r="AF77" s="248"/>
      <c r="AG77" s="10"/>
      <c r="AH77" s="10"/>
    </row>
    <row r="78" spans="1:34" s="5" customFormat="1" ht="10.15" hidden="1" customHeight="1" x14ac:dyDescent="0.2">
      <c r="A78" s="10" t="s">
        <v>461</v>
      </c>
      <c r="B78" s="10"/>
      <c r="C78" s="40"/>
      <c r="D78" s="52">
        <f>Structure!AY16</f>
        <v>11.75</v>
      </c>
      <c r="E78" s="53"/>
      <c r="F78" s="54">
        <f t="shared" si="1"/>
        <v>110.125</v>
      </c>
      <c r="G78" s="47"/>
      <c r="H78" s="47"/>
      <c r="J78" s="2610"/>
      <c r="K78" s="63" t="s">
        <v>80</v>
      </c>
      <c r="L78" s="67" t="s">
        <v>426</v>
      </c>
      <c r="M78" s="62">
        <v>3</v>
      </c>
      <c r="N78" s="1104" t="s">
        <v>255</v>
      </c>
      <c r="O78" s="1082"/>
      <c r="P78" s="1082"/>
      <c r="Q78" s="1082"/>
      <c r="R78" s="1082"/>
      <c r="S78" s="1852" t="s">
        <v>1348</v>
      </c>
      <c r="T78" s="2181">
        <v>0.375</v>
      </c>
      <c r="U78" s="2182">
        <v>0.375</v>
      </c>
      <c r="V78" s="2182">
        <v>-0.125</v>
      </c>
      <c r="W78" s="2182">
        <v>-0.625</v>
      </c>
      <c r="X78" s="2182">
        <v>-0.75</v>
      </c>
      <c r="Y78" s="2182">
        <v>-2</v>
      </c>
      <c r="Z78" s="2182">
        <v>-3</v>
      </c>
      <c r="AA78" s="2182">
        <v>-6.875</v>
      </c>
      <c r="AB78" s="2183">
        <v>-9</v>
      </c>
      <c r="AC78" s="46"/>
      <c r="AE78" s="10"/>
      <c r="AF78" s="248"/>
      <c r="AG78" s="10"/>
      <c r="AH78" s="10"/>
    </row>
    <row r="79" spans="1:34" s="5" customFormat="1" ht="10.15" hidden="1" customHeight="1" x14ac:dyDescent="0.2">
      <c r="A79" s="10" t="s">
        <v>461</v>
      </c>
      <c r="B79" s="10"/>
      <c r="C79" s="40"/>
      <c r="D79" s="52">
        <f>Structure!AY17</f>
        <v>11.625</v>
      </c>
      <c r="E79" s="53"/>
      <c r="F79" s="54">
        <f t="shared" si="1"/>
        <v>109.875</v>
      </c>
      <c r="G79" s="47"/>
      <c r="H79" s="47"/>
      <c r="J79" s="2610"/>
      <c r="K79" s="60">
        <v>1099</v>
      </c>
      <c r="L79" s="61"/>
      <c r="M79" s="62">
        <v>14</v>
      </c>
      <c r="N79" s="1104" t="s">
        <v>254</v>
      </c>
      <c r="O79" s="1082"/>
      <c r="P79" s="1082"/>
      <c r="Q79" s="1082"/>
      <c r="R79" s="1082"/>
      <c r="S79" s="1853" t="s">
        <v>1349</v>
      </c>
      <c r="T79" s="2181">
        <v>-0.125</v>
      </c>
      <c r="U79" s="2182">
        <v>-0.125</v>
      </c>
      <c r="V79" s="2182">
        <v>-0.625</v>
      </c>
      <c r="W79" s="2182">
        <v>-1</v>
      </c>
      <c r="X79" s="2182">
        <v>-1.125</v>
      </c>
      <c r="Y79" s="2182">
        <v>-2.625</v>
      </c>
      <c r="Z79" s="2182">
        <v>-4.25</v>
      </c>
      <c r="AA79" s="2182">
        <v>-8.25</v>
      </c>
      <c r="AB79" s="2183">
        <v>-10.75</v>
      </c>
      <c r="AC79" s="46"/>
      <c r="AE79" s="10"/>
      <c r="AF79" s="248"/>
      <c r="AG79" s="10"/>
      <c r="AH79" s="10"/>
    </row>
    <row r="80" spans="1:34" s="5" customFormat="1" ht="10.15" hidden="1" customHeight="1" x14ac:dyDescent="0.2">
      <c r="A80" s="10" t="s">
        <v>461</v>
      </c>
      <c r="C80" s="40"/>
      <c r="D80" s="52">
        <f>Structure!AY18</f>
        <v>11.5</v>
      </c>
      <c r="E80" s="53"/>
      <c r="F80" s="54">
        <f t="shared" si="1"/>
        <v>109.625</v>
      </c>
      <c r="G80" s="47"/>
      <c r="H80" s="47"/>
      <c r="J80" s="2610"/>
      <c r="K80" s="63"/>
      <c r="L80" s="64"/>
      <c r="M80" s="62"/>
      <c r="N80" s="1104" t="s">
        <v>3</v>
      </c>
      <c r="O80" s="1082"/>
      <c r="P80" s="1082"/>
      <c r="Q80" s="1082"/>
      <c r="R80" s="1082"/>
      <c r="S80" s="1853" t="s">
        <v>1350</v>
      </c>
      <c r="T80" s="2181">
        <v>-0.75</v>
      </c>
      <c r="U80" s="2182">
        <v>-0.75</v>
      </c>
      <c r="V80" s="2182">
        <v>-1.25</v>
      </c>
      <c r="W80" s="2182">
        <v>-1.625</v>
      </c>
      <c r="X80" s="2182">
        <v>-1.875</v>
      </c>
      <c r="Y80" s="2182">
        <v>-3</v>
      </c>
      <c r="Z80" s="2182">
        <v>-5.125</v>
      </c>
      <c r="AA80" s="2182">
        <v>-9.625</v>
      </c>
      <c r="AB80" s="2183">
        <v>-11.75</v>
      </c>
      <c r="AC80" s="46"/>
      <c r="AE80" s="10"/>
      <c r="AF80" s="248"/>
      <c r="AG80" s="10"/>
      <c r="AH80" s="10"/>
    </row>
    <row r="81" spans="1:34" s="5" customFormat="1" ht="10.15" hidden="1" customHeight="1" x14ac:dyDescent="0.2">
      <c r="A81" s="10" t="s">
        <v>461</v>
      </c>
      <c r="C81" s="40"/>
      <c r="D81" s="52">
        <f>Structure!AY19</f>
        <v>11.375</v>
      </c>
      <c r="E81" s="53"/>
      <c r="F81" s="54">
        <f t="shared" si="1"/>
        <v>109.375</v>
      </c>
      <c r="G81" s="47"/>
      <c r="H81" s="47"/>
      <c r="J81" s="2610"/>
      <c r="K81" s="63"/>
      <c r="L81" s="64"/>
      <c r="M81" s="62"/>
      <c r="N81" s="1104" t="s">
        <v>5</v>
      </c>
      <c r="O81" s="1082"/>
      <c r="P81" s="1082"/>
      <c r="Q81" s="1082"/>
      <c r="R81" s="1082"/>
      <c r="S81" s="1853" t="s">
        <v>1351</v>
      </c>
      <c r="T81" s="2181">
        <v>-2</v>
      </c>
      <c r="U81" s="2182">
        <v>-2</v>
      </c>
      <c r="V81" s="2182">
        <v>-2.625</v>
      </c>
      <c r="W81" s="2182">
        <v>-3.125</v>
      </c>
      <c r="X81" s="2182">
        <v>-3.5</v>
      </c>
      <c r="Y81" s="2182">
        <v>-4.125</v>
      </c>
      <c r="Z81" s="2182">
        <v>-6.75</v>
      </c>
      <c r="AA81" s="2182">
        <v>-11.25</v>
      </c>
      <c r="AB81" s="2399" t="e">
        <v>#N/A</v>
      </c>
      <c r="AC81" s="46"/>
      <c r="AE81" s="10"/>
      <c r="AF81" s="248"/>
      <c r="AG81" s="10"/>
      <c r="AH81" s="10"/>
    </row>
    <row r="82" spans="1:34" s="5" customFormat="1" ht="10.15" hidden="1" customHeight="1" x14ac:dyDescent="0.2">
      <c r="A82" s="10" t="s">
        <v>461</v>
      </c>
      <c r="C82" s="40"/>
      <c r="D82" s="52">
        <f>Structure!AY20</f>
        <v>11.25</v>
      </c>
      <c r="E82" s="53"/>
      <c r="F82" s="54">
        <f t="shared" si="1"/>
        <v>109.125</v>
      </c>
      <c r="G82" s="47"/>
      <c r="H82" s="47"/>
      <c r="J82" s="2610"/>
      <c r="K82" s="63"/>
      <c r="L82" s="64"/>
      <c r="M82" s="62"/>
      <c r="N82" s="1105" t="s">
        <v>6</v>
      </c>
      <c r="O82" s="1083"/>
      <c r="P82" s="1083"/>
      <c r="Q82" s="1083"/>
      <c r="R82" s="1083"/>
      <c r="S82" s="1853" t="s">
        <v>1352</v>
      </c>
      <c r="T82" s="2181">
        <v>-4</v>
      </c>
      <c r="U82" s="2182">
        <v>-4</v>
      </c>
      <c r="V82" s="2182">
        <v>-4.625</v>
      </c>
      <c r="W82" s="2182">
        <v>-5.125</v>
      </c>
      <c r="X82" s="2182">
        <v>-5.625</v>
      </c>
      <c r="Y82" s="2182">
        <v>-6.75</v>
      </c>
      <c r="Z82" s="2182">
        <v>-9.5</v>
      </c>
      <c r="AA82" s="2402" t="e">
        <v>#N/A</v>
      </c>
      <c r="AB82" s="2399" t="e">
        <v>#N/A</v>
      </c>
      <c r="AC82" s="46"/>
      <c r="AE82" s="10"/>
      <c r="AF82" s="248"/>
      <c r="AG82" s="10"/>
      <c r="AH82" s="10"/>
    </row>
    <row r="83" spans="1:34" s="5" customFormat="1" ht="10.15" hidden="1" customHeight="1" x14ac:dyDescent="0.2">
      <c r="A83" s="10" t="s">
        <v>461</v>
      </c>
      <c r="C83" s="40"/>
      <c r="D83" s="52">
        <f>Structure!AY21</f>
        <v>11.125</v>
      </c>
      <c r="E83" s="53"/>
      <c r="F83" s="54">
        <f t="shared" si="1"/>
        <v>108.875</v>
      </c>
      <c r="G83" s="47"/>
      <c r="H83" s="47"/>
      <c r="J83" s="2610"/>
      <c r="K83" s="63"/>
      <c r="L83" s="64"/>
      <c r="M83" s="62"/>
      <c r="N83" s="1105" t="s">
        <v>7</v>
      </c>
      <c r="O83" s="1083"/>
      <c r="P83" s="1083"/>
      <c r="Q83" s="1083"/>
      <c r="R83" s="1083"/>
      <c r="S83" s="1853" t="s">
        <v>1353</v>
      </c>
      <c r="T83" s="2184">
        <v>-5.75</v>
      </c>
      <c r="U83" s="2185">
        <v>-5.875</v>
      </c>
      <c r="V83" s="2185">
        <v>-6.25</v>
      </c>
      <c r="W83" s="2185">
        <v>-7</v>
      </c>
      <c r="X83" s="2185">
        <v>-7.375</v>
      </c>
      <c r="Y83" s="2185">
        <v>-8.75</v>
      </c>
      <c r="Z83" s="2400" t="e">
        <v>#N/A</v>
      </c>
      <c r="AA83" s="2400" t="e">
        <v>#N/A</v>
      </c>
      <c r="AB83" s="2401" t="e">
        <v>#N/A</v>
      </c>
      <c r="AC83" s="46"/>
      <c r="AE83" s="10"/>
      <c r="AF83" s="248"/>
      <c r="AG83" s="10"/>
      <c r="AH83" s="10"/>
    </row>
    <row r="84" spans="1:34" s="5" customFormat="1" ht="10.15" hidden="1" customHeight="1" x14ac:dyDescent="0.2">
      <c r="A84" s="10" t="s">
        <v>463</v>
      </c>
      <c r="C84" s="40"/>
      <c r="G84" s="47"/>
      <c r="H84" s="47"/>
      <c r="J84" s="2610"/>
      <c r="K84" s="63"/>
      <c r="L84" s="64"/>
      <c r="M84" s="62"/>
      <c r="N84" s="1105" t="s">
        <v>9</v>
      </c>
      <c r="O84" s="1083"/>
      <c r="P84" s="1083"/>
      <c r="Q84" s="1083"/>
      <c r="R84" s="1083"/>
      <c r="S84" s="1853" t="s">
        <v>1354</v>
      </c>
      <c r="T84" s="2051" t="e">
        <v>#N/A</v>
      </c>
      <c r="U84" s="1467" t="e">
        <v>#N/A</v>
      </c>
      <c r="V84" s="1467" t="e">
        <v>#N/A</v>
      </c>
      <c r="W84" s="1467" t="e">
        <v>#N/A</v>
      </c>
      <c r="X84" s="1467" t="e">
        <v>#N/A</v>
      </c>
      <c r="Y84" s="1467" t="e">
        <v>#N/A</v>
      </c>
      <c r="Z84" s="1467" t="e">
        <v>#N/A</v>
      </c>
      <c r="AA84" s="1467" t="e">
        <v>#N/A</v>
      </c>
      <c r="AB84" s="2050" t="e">
        <v>#N/A</v>
      </c>
      <c r="AC84" s="46"/>
      <c r="AE84" s="10"/>
      <c r="AF84" s="248"/>
      <c r="AG84" s="10"/>
      <c r="AH84" s="10"/>
    </row>
    <row r="85" spans="1:34" s="5" customFormat="1" ht="10.15" hidden="1" customHeight="1" x14ac:dyDescent="0.2">
      <c r="A85" s="10" t="s">
        <v>463</v>
      </c>
      <c r="C85" s="40"/>
      <c r="G85" s="47"/>
      <c r="H85" s="47"/>
      <c r="J85" s="2721"/>
      <c r="K85" s="63"/>
      <c r="L85" s="64"/>
      <c r="M85" s="62"/>
      <c r="N85" s="2010" t="s">
        <v>10</v>
      </c>
      <c r="O85" s="2011"/>
      <c r="P85" s="2011"/>
      <c r="Q85" s="2011"/>
      <c r="R85" s="2011"/>
      <c r="S85" s="1884" t="s">
        <v>1355</v>
      </c>
      <c r="T85" s="2052" t="e">
        <v>#N/A</v>
      </c>
      <c r="U85" s="2053" t="e">
        <v>#N/A</v>
      </c>
      <c r="V85" s="2053" t="e">
        <v>#N/A</v>
      </c>
      <c r="W85" s="2053" t="e">
        <v>#N/A</v>
      </c>
      <c r="X85" s="2053" t="e">
        <v>#N/A</v>
      </c>
      <c r="Y85" s="2053" t="e">
        <v>#N/A</v>
      </c>
      <c r="Z85" s="2053" t="e">
        <v>#N/A</v>
      </c>
      <c r="AA85" s="2053" t="e">
        <v>#N/A</v>
      </c>
      <c r="AB85" s="2054" t="e">
        <v>#N/A</v>
      </c>
      <c r="AC85" s="46"/>
      <c r="AE85" s="10"/>
      <c r="AF85" s="248"/>
      <c r="AG85" s="10"/>
      <c r="AH85" s="10"/>
    </row>
    <row r="86" spans="1:34" s="5" customFormat="1" ht="10.15" hidden="1" customHeight="1" x14ac:dyDescent="0.2">
      <c r="A86" s="10" t="s">
        <v>461</v>
      </c>
      <c r="C86" s="40"/>
      <c r="D86" s="52">
        <f>Structure!AY22</f>
        <v>11</v>
      </c>
      <c r="E86" s="53"/>
      <c r="F86" s="54">
        <f t="shared" ref="F86:F93" si="2">INDEX(Lookup_NoteRateAll,MATCH("PT_"&amp;RIGHT("000"&amp;TRUNC(D86),3)&amp;TEXT(D86-TRUNC(D86),".0000000000"),Lookup_NoteRateText,0),4)</f>
        <v>108.625</v>
      </c>
      <c r="G86" s="47"/>
      <c r="H86" s="47"/>
      <c r="J86" s="2671" t="s">
        <v>350</v>
      </c>
      <c r="K86" s="58"/>
      <c r="L86" s="58"/>
      <c r="M86" s="66"/>
      <c r="N86" s="1103" t="s">
        <v>1282</v>
      </c>
      <c r="O86" s="1147"/>
      <c r="P86" s="1147"/>
      <c r="Q86" s="1147"/>
      <c r="R86" s="1147"/>
      <c r="S86" s="2012" t="s">
        <v>3798</v>
      </c>
      <c r="T86" s="2178">
        <v>-0.5</v>
      </c>
      <c r="U86" s="2179">
        <v>-0.5</v>
      </c>
      <c r="V86" s="2179">
        <v>-0.875</v>
      </c>
      <c r="W86" s="2179">
        <v>-1.5</v>
      </c>
      <c r="X86" s="2179">
        <v>-1.75</v>
      </c>
      <c r="Y86" s="2179">
        <v>-3.125</v>
      </c>
      <c r="Z86" s="2179">
        <v>-4.125</v>
      </c>
      <c r="AA86" s="2179">
        <v>-8</v>
      </c>
      <c r="AB86" s="2403" t="e">
        <v>#N/A</v>
      </c>
      <c r="AC86" s="46"/>
      <c r="AE86" s="10"/>
      <c r="AF86" s="248"/>
      <c r="AG86" s="10"/>
      <c r="AH86" s="10"/>
    </row>
    <row r="87" spans="1:34" s="5" customFormat="1" ht="10.15" hidden="1" customHeight="1" x14ac:dyDescent="0.2">
      <c r="A87" s="10" t="s">
        <v>461</v>
      </c>
      <c r="C87" s="40"/>
      <c r="D87" s="52">
        <f>Structure!AY23</f>
        <v>10.875</v>
      </c>
      <c r="E87" s="53"/>
      <c r="F87" s="54">
        <f t="shared" si="2"/>
        <v>108.375</v>
      </c>
      <c r="G87" s="47"/>
      <c r="H87" s="47"/>
      <c r="J87" s="2672"/>
      <c r="K87" s="236"/>
      <c r="L87" s="236"/>
      <c r="M87" s="238"/>
      <c r="N87" s="1104" t="s">
        <v>1281</v>
      </c>
      <c r="O87" s="1082"/>
      <c r="P87" s="1082"/>
      <c r="Q87" s="1082"/>
      <c r="R87" s="1082"/>
      <c r="S87" s="1852" t="s">
        <v>3799</v>
      </c>
      <c r="T87" s="2181">
        <v>-0.5</v>
      </c>
      <c r="U87" s="2182">
        <v>-0.5</v>
      </c>
      <c r="V87" s="2182">
        <v>-1</v>
      </c>
      <c r="W87" s="2182">
        <v>-1.625</v>
      </c>
      <c r="X87" s="2182">
        <v>-1.875</v>
      </c>
      <c r="Y87" s="2182">
        <v>-3.25</v>
      </c>
      <c r="Z87" s="2182">
        <v>-4.375</v>
      </c>
      <c r="AA87" s="2182">
        <v>-8.25</v>
      </c>
      <c r="AB87" s="2399" t="e">
        <v>#N/A</v>
      </c>
      <c r="AC87" s="46"/>
      <c r="AE87" s="10"/>
      <c r="AF87" s="248"/>
      <c r="AG87" s="10"/>
      <c r="AH87" s="10"/>
    </row>
    <row r="88" spans="1:34" s="5" customFormat="1" ht="10.15" hidden="1" customHeight="1" x14ac:dyDescent="0.2">
      <c r="A88" s="10" t="s">
        <v>461</v>
      </c>
      <c r="C88" s="40"/>
      <c r="D88" s="52">
        <f>Structure!AY24</f>
        <v>10.75</v>
      </c>
      <c r="E88" s="53"/>
      <c r="F88" s="54">
        <f t="shared" si="2"/>
        <v>108.125</v>
      </c>
      <c r="G88" s="47"/>
      <c r="H88" s="47"/>
      <c r="J88" s="2672"/>
      <c r="K88" s="64" t="s">
        <v>349</v>
      </c>
      <c r="L88" s="61"/>
      <c r="M88" s="62">
        <v>7</v>
      </c>
      <c r="N88" s="1104" t="s">
        <v>255</v>
      </c>
      <c r="O88" s="1082"/>
      <c r="P88" s="1082"/>
      <c r="Q88" s="1082"/>
      <c r="R88" s="1082"/>
      <c r="S88" s="1853" t="s">
        <v>3800</v>
      </c>
      <c r="T88" s="2181">
        <v>-1</v>
      </c>
      <c r="U88" s="2182">
        <v>-1</v>
      </c>
      <c r="V88" s="2182">
        <v>-1.5</v>
      </c>
      <c r="W88" s="2182">
        <v>-2.25</v>
      </c>
      <c r="X88" s="2182">
        <v>-2.375</v>
      </c>
      <c r="Y88" s="2182">
        <v>-3.75</v>
      </c>
      <c r="Z88" s="2182">
        <v>-5</v>
      </c>
      <c r="AA88" s="2182">
        <v>-8.875</v>
      </c>
      <c r="AB88" s="2399" t="e">
        <v>#N/A</v>
      </c>
      <c r="AC88" s="46"/>
      <c r="AE88" s="10"/>
      <c r="AF88" s="248"/>
      <c r="AG88" s="10"/>
      <c r="AH88" s="10"/>
    </row>
    <row r="89" spans="1:34" s="5" customFormat="1" ht="10.15" hidden="1" customHeight="1" x14ac:dyDescent="0.2">
      <c r="A89" s="10" t="s">
        <v>461</v>
      </c>
      <c r="C89" s="40"/>
      <c r="D89" s="52">
        <f>Structure!AY25</f>
        <v>10.625</v>
      </c>
      <c r="E89" s="53"/>
      <c r="F89" s="54">
        <f t="shared" si="2"/>
        <v>107.875</v>
      </c>
      <c r="G89" s="47"/>
      <c r="H89" s="47"/>
      <c r="J89" s="2672"/>
      <c r="K89" s="61" t="s">
        <v>471</v>
      </c>
      <c r="L89" s="93"/>
      <c r="M89" s="62">
        <v>15</v>
      </c>
      <c r="N89" s="1104" t="s">
        <v>254</v>
      </c>
      <c r="O89" s="1082"/>
      <c r="P89" s="1082"/>
      <c r="Q89" s="1082"/>
      <c r="R89" s="1082"/>
      <c r="S89" s="1853" t="s">
        <v>3801</v>
      </c>
      <c r="T89" s="2181">
        <v>-1.5</v>
      </c>
      <c r="U89" s="2182">
        <v>-1.5</v>
      </c>
      <c r="V89" s="2182">
        <v>-2</v>
      </c>
      <c r="W89" s="2182">
        <v>-2.625</v>
      </c>
      <c r="X89" s="2182">
        <v>-2.75</v>
      </c>
      <c r="Y89" s="2182">
        <v>-4.375</v>
      </c>
      <c r="Z89" s="2182">
        <v>-6.25</v>
      </c>
      <c r="AA89" s="2182">
        <v>-10.25</v>
      </c>
      <c r="AB89" s="2399" t="e">
        <v>#N/A</v>
      </c>
      <c r="AC89" s="46"/>
      <c r="AE89" s="10"/>
      <c r="AF89" s="248"/>
      <c r="AG89" s="10"/>
      <c r="AH89" s="10"/>
    </row>
    <row r="90" spans="1:34" s="5" customFormat="1" ht="10.15" hidden="1" customHeight="1" x14ac:dyDescent="0.2">
      <c r="A90" s="10" t="s">
        <v>461</v>
      </c>
      <c r="C90" s="40"/>
      <c r="D90" s="52">
        <f>Structure!AY26</f>
        <v>10.5</v>
      </c>
      <c r="E90" s="53"/>
      <c r="F90" s="54">
        <f t="shared" si="2"/>
        <v>107.625</v>
      </c>
      <c r="G90" s="47"/>
      <c r="H90" s="47"/>
      <c r="J90" s="2672"/>
      <c r="K90" s="93"/>
      <c r="L90" s="93"/>
      <c r="M90" s="62"/>
      <c r="N90" s="1104" t="s">
        <v>3</v>
      </c>
      <c r="O90" s="1082"/>
      <c r="P90" s="1082"/>
      <c r="Q90" s="1082"/>
      <c r="R90" s="1082"/>
      <c r="S90" s="1853" t="s">
        <v>3802</v>
      </c>
      <c r="T90" s="2181">
        <v>-2.25</v>
      </c>
      <c r="U90" s="2182">
        <v>-2.25</v>
      </c>
      <c r="V90" s="2182">
        <v>-2.75</v>
      </c>
      <c r="W90" s="2182">
        <v>-3.375</v>
      </c>
      <c r="X90" s="2182">
        <v>-3.625</v>
      </c>
      <c r="Y90" s="2182">
        <v>-4.875</v>
      </c>
      <c r="Z90" s="2182">
        <v>-7.25</v>
      </c>
      <c r="AA90" s="2182">
        <v>-11.875</v>
      </c>
      <c r="AB90" s="2399" t="e">
        <v>#N/A</v>
      </c>
      <c r="AC90" s="46"/>
      <c r="AE90" s="10"/>
      <c r="AF90" s="248"/>
      <c r="AG90" s="10"/>
      <c r="AH90" s="10"/>
    </row>
    <row r="91" spans="1:34" s="5" customFormat="1" ht="10.15" hidden="1" customHeight="1" x14ac:dyDescent="0.2">
      <c r="A91" s="10" t="s">
        <v>461</v>
      </c>
      <c r="C91" s="40"/>
      <c r="D91" s="52">
        <f>Structure!AY27</f>
        <v>10.375</v>
      </c>
      <c r="E91" s="53"/>
      <c r="F91" s="54">
        <f t="shared" si="2"/>
        <v>107.375</v>
      </c>
      <c r="G91" s="47"/>
      <c r="H91" s="47"/>
      <c r="J91" s="2672"/>
      <c r="K91" s="93"/>
      <c r="L91" s="93"/>
      <c r="M91" s="62"/>
      <c r="N91" s="1104" t="s">
        <v>5</v>
      </c>
      <c r="O91" s="1082"/>
      <c r="P91" s="1082"/>
      <c r="Q91" s="1082"/>
      <c r="R91" s="1082"/>
      <c r="S91" s="1853" t="s">
        <v>3803</v>
      </c>
      <c r="T91" s="2181">
        <v>-3.75</v>
      </c>
      <c r="U91" s="2182">
        <v>-3.75</v>
      </c>
      <c r="V91" s="2182">
        <v>-4.375</v>
      </c>
      <c r="W91" s="2182">
        <v>-5</v>
      </c>
      <c r="X91" s="2182">
        <v>-5.375</v>
      </c>
      <c r="Y91" s="2182">
        <v>-6.125</v>
      </c>
      <c r="Z91" s="2182">
        <v>-9</v>
      </c>
      <c r="AA91" s="2402" t="e">
        <v>#N/A</v>
      </c>
      <c r="AB91" s="2399" t="e">
        <v>#N/A</v>
      </c>
      <c r="AC91" s="46"/>
      <c r="AE91" s="10"/>
      <c r="AF91" s="248"/>
      <c r="AG91" s="10"/>
      <c r="AH91" s="10"/>
    </row>
    <row r="92" spans="1:34" s="5" customFormat="1" ht="10.15" hidden="1" customHeight="1" x14ac:dyDescent="0.2">
      <c r="A92" s="10" t="s">
        <v>461</v>
      </c>
      <c r="C92" s="40"/>
      <c r="D92" s="52">
        <f>Structure!AY28</f>
        <v>10.25</v>
      </c>
      <c r="E92" s="53"/>
      <c r="F92" s="54">
        <f t="shared" si="2"/>
        <v>107.125</v>
      </c>
      <c r="G92" s="47"/>
      <c r="H92" s="47"/>
      <c r="J92" s="2672"/>
      <c r="K92" s="43"/>
      <c r="L92" s="43"/>
      <c r="M92" s="62"/>
      <c r="N92" s="1105" t="s">
        <v>6</v>
      </c>
      <c r="O92" s="1083"/>
      <c r="P92" s="1083"/>
      <c r="Q92" s="1083"/>
      <c r="R92" s="1083"/>
      <c r="S92" s="1853" t="s">
        <v>3804</v>
      </c>
      <c r="T92" s="2181">
        <v>-5.75</v>
      </c>
      <c r="U92" s="2182">
        <v>-5.75</v>
      </c>
      <c r="V92" s="2182">
        <v>-6.375</v>
      </c>
      <c r="W92" s="2182">
        <v>-7</v>
      </c>
      <c r="X92" s="2182">
        <v>-7.5</v>
      </c>
      <c r="Y92" s="2182">
        <v>-8.75</v>
      </c>
      <c r="Z92" s="2402" t="e">
        <v>#N/A</v>
      </c>
      <c r="AA92" s="2402" t="e">
        <v>#N/A</v>
      </c>
      <c r="AB92" s="2399" t="e">
        <v>#N/A</v>
      </c>
      <c r="AC92" s="46"/>
      <c r="AE92" s="10"/>
      <c r="AF92" s="248"/>
      <c r="AG92" s="10"/>
      <c r="AH92" s="10"/>
    </row>
    <row r="93" spans="1:34" s="5" customFormat="1" ht="10.15" hidden="1" customHeight="1" x14ac:dyDescent="0.2">
      <c r="A93" s="10" t="s">
        <v>461</v>
      </c>
      <c r="C93" s="40"/>
      <c r="D93" s="52">
        <f>Structure!AY29</f>
        <v>10.125</v>
      </c>
      <c r="E93" s="53"/>
      <c r="F93" s="54">
        <f t="shared" si="2"/>
        <v>106.875</v>
      </c>
      <c r="G93" s="47"/>
      <c r="H93" s="47"/>
      <c r="J93" s="2672"/>
      <c r="K93" s="93"/>
      <c r="L93" s="93"/>
      <c r="M93" s="62"/>
      <c r="N93" s="1105" t="s">
        <v>7</v>
      </c>
      <c r="O93" s="1083"/>
      <c r="P93" s="1083"/>
      <c r="Q93" s="1083"/>
      <c r="R93" s="1083"/>
      <c r="S93" s="1853" t="s">
        <v>3805</v>
      </c>
      <c r="T93" s="2184">
        <v>-7.75</v>
      </c>
      <c r="U93" s="2185">
        <v>-7.875</v>
      </c>
      <c r="V93" s="2185">
        <v>-8.25</v>
      </c>
      <c r="W93" s="2185">
        <v>-9.25</v>
      </c>
      <c r="X93" s="2185">
        <v>-9.625</v>
      </c>
      <c r="Y93" s="2400" t="e">
        <v>#N/A</v>
      </c>
      <c r="Z93" s="2400" t="e">
        <v>#N/A</v>
      </c>
      <c r="AA93" s="2400" t="e">
        <v>#N/A</v>
      </c>
      <c r="AB93" s="2401" t="e">
        <v>#N/A</v>
      </c>
      <c r="AC93" s="46"/>
      <c r="AE93" s="10"/>
      <c r="AF93" s="248"/>
      <c r="AG93" s="10"/>
      <c r="AH93" s="10"/>
    </row>
    <row r="94" spans="1:34" s="5" customFormat="1" ht="10.15" hidden="1" customHeight="1" x14ac:dyDescent="0.2">
      <c r="A94" s="10" t="s">
        <v>463</v>
      </c>
      <c r="C94" s="40"/>
      <c r="G94" s="47"/>
      <c r="H94" s="47"/>
      <c r="J94" s="2672"/>
      <c r="K94" s="43"/>
      <c r="L94" s="43"/>
      <c r="M94" s="62"/>
      <c r="N94" s="1105" t="s">
        <v>9</v>
      </c>
      <c r="O94" s="1083"/>
      <c r="P94" s="1083"/>
      <c r="Q94" s="1083"/>
      <c r="R94" s="1083"/>
      <c r="S94" s="1853" t="s">
        <v>3814</v>
      </c>
      <c r="T94" s="2051" t="e">
        <v>#N/A</v>
      </c>
      <c r="U94" s="1467" t="e">
        <v>#N/A</v>
      </c>
      <c r="V94" s="1467" t="e">
        <v>#N/A</v>
      </c>
      <c r="W94" s="1467" t="e">
        <v>#N/A</v>
      </c>
      <c r="X94" s="1467" t="e">
        <v>#N/A</v>
      </c>
      <c r="Y94" s="1467" t="e">
        <v>#N/A</v>
      </c>
      <c r="Z94" s="1467" t="e">
        <v>#N/A</v>
      </c>
      <c r="AA94" s="1467" t="e">
        <v>#N/A</v>
      </c>
      <c r="AB94" s="2055" t="e">
        <v>#N/A</v>
      </c>
      <c r="AC94" s="46"/>
      <c r="AE94" s="10"/>
      <c r="AF94" s="248"/>
      <c r="AG94" s="10"/>
      <c r="AH94" s="10"/>
    </row>
    <row r="95" spans="1:34" s="5" customFormat="1" ht="10.15" hidden="1" customHeight="1" x14ac:dyDescent="0.2">
      <c r="A95" s="10" t="s">
        <v>463</v>
      </c>
      <c r="C95" s="40"/>
      <c r="G95" s="47"/>
      <c r="H95" s="47"/>
      <c r="J95" s="2673"/>
      <c r="K95" s="306"/>
      <c r="L95" s="306"/>
      <c r="M95" s="91"/>
      <c r="N95" s="2010" t="s">
        <v>10</v>
      </c>
      <c r="O95" s="2011"/>
      <c r="P95" s="2011"/>
      <c r="Q95" s="2011"/>
      <c r="R95" s="2009"/>
      <c r="S95" s="1884" t="s">
        <v>3815</v>
      </c>
      <c r="T95" s="2052" t="e">
        <v>#N/A</v>
      </c>
      <c r="U95" s="2053" t="e">
        <v>#N/A</v>
      </c>
      <c r="V95" s="2053" t="e">
        <v>#N/A</v>
      </c>
      <c r="W95" s="2053" t="e">
        <v>#N/A</v>
      </c>
      <c r="X95" s="2053" t="e">
        <v>#N/A</v>
      </c>
      <c r="Y95" s="2053" t="e">
        <v>#N/A</v>
      </c>
      <c r="Z95" s="2053" t="e">
        <v>#N/A</v>
      </c>
      <c r="AA95" s="2053" t="e">
        <v>#N/A</v>
      </c>
      <c r="AB95" s="2054" t="e">
        <v>#N/A</v>
      </c>
      <c r="AC95" s="46"/>
      <c r="AE95" s="10"/>
      <c r="AF95" s="248"/>
      <c r="AG95" s="10"/>
      <c r="AH95" s="10"/>
    </row>
    <row r="96" spans="1:34" s="5" customFormat="1" ht="10.15" hidden="1" customHeight="1" x14ac:dyDescent="0.2">
      <c r="A96" s="10" t="s">
        <v>461</v>
      </c>
      <c r="C96" s="40"/>
      <c r="D96" s="52">
        <f>Structure!AY30</f>
        <v>10</v>
      </c>
      <c r="E96" s="53"/>
      <c r="F96" s="54">
        <f t="shared" ref="F96" si="3">INDEX(Lookup_NoteRateAll,MATCH("PT_"&amp;RIGHT("000"&amp;TRUNC(D96),3)&amp;TEXT(D96-TRUNC(D96),".0000000000"),Lookup_NoteRateText,0),4)</f>
        <v>106.5</v>
      </c>
      <c r="J96" s="2615" t="s">
        <v>210</v>
      </c>
      <c r="K96" s="2616"/>
      <c r="L96" s="2616"/>
      <c r="M96" s="2617"/>
      <c r="N96" s="1084" t="s">
        <v>136</v>
      </c>
      <c r="O96" s="1130"/>
      <c r="P96" s="1130"/>
      <c r="Q96" s="1130"/>
      <c r="R96" s="1130"/>
      <c r="S96" s="1854" t="s">
        <v>1356</v>
      </c>
      <c r="T96" s="2275">
        <v>0</v>
      </c>
      <c r="U96" s="2276">
        <v>0</v>
      </c>
      <c r="V96" s="2276">
        <v>0</v>
      </c>
      <c r="W96" s="2276">
        <v>0</v>
      </c>
      <c r="X96" s="2276">
        <v>0</v>
      </c>
      <c r="Y96" s="2276">
        <v>0</v>
      </c>
      <c r="Z96" s="2276">
        <v>0</v>
      </c>
      <c r="AA96" s="2276">
        <v>0</v>
      </c>
      <c r="AB96" s="2277">
        <v>0</v>
      </c>
      <c r="AC96" s="46"/>
      <c r="AE96" s="10"/>
      <c r="AF96" s="248"/>
      <c r="AG96" s="10"/>
      <c r="AH96" s="10"/>
    </row>
    <row r="97" spans="1:34" s="5" customFormat="1" ht="10.15" hidden="1" customHeight="1" x14ac:dyDescent="0.2">
      <c r="A97" s="10" t="s">
        <v>461</v>
      </c>
      <c r="C97" s="40"/>
      <c r="D97" s="52">
        <f>Structure!AY31</f>
        <v>9.875</v>
      </c>
      <c r="E97" s="53"/>
      <c r="F97" s="54">
        <f t="shared" ref="F97:F104" si="4">INDEX(Lookup_NoteRateAll,MATCH("PT_"&amp;RIGHT("000"&amp;TRUNC(D97),3)&amp;TEXT(D97-TRUNC(D97),".0000000000"),Lookup_NoteRateText,0),4)</f>
        <v>106.125</v>
      </c>
      <c r="J97" s="2618"/>
      <c r="K97" s="2619"/>
      <c r="L97" s="2619"/>
      <c r="M97" s="2620"/>
      <c r="N97" s="1106" t="s">
        <v>78</v>
      </c>
      <c r="O97" s="1085"/>
      <c r="P97" s="1085"/>
      <c r="Q97" s="1085"/>
      <c r="R97" s="1085"/>
      <c r="S97" s="1857" t="s">
        <v>1357</v>
      </c>
      <c r="T97" s="2281">
        <v>0</v>
      </c>
      <c r="U97" s="2282">
        <v>0</v>
      </c>
      <c r="V97" s="2282">
        <v>0</v>
      </c>
      <c r="W97" s="2282">
        <v>0</v>
      </c>
      <c r="X97" s="2282">
        <v>0</v>
      </c>
      <c r="Y97" s="2282">
        <v>0</v>
      </c>
      <c r="Z97" s="2282">
        <v>0</v>
      </c>
      <c r="AA97" s="2282">
        <v>0</v>
      </c>
      <c r="AB97" s="2283">
        <v>0</v>
      </c>
      <c r="AC97" s="46"/>
      <c r="AE97" s="10"/>
      <c r="AF97" s="248"/>
      <c r="AG97" s="10"/>
      <c r="AH97" s="10"/>
    </row>
    <row r="98" spans="1:34" s="5" customFormat="1" ht="10.15" hidden="1" customHeight="1" x14ac:dyDescent="0.2">
      <c r="A98" s="10" t="s">
        <v>461</v>
      </c>
      <c r="C98" s="40"/>
      <c r="D98" s="52">
        <f>Structure!AY32</f>
        <v>9.75</v>
      </c>
      <c r="E98" s="53"/>
      <c r="F98" s="54">
        <f t="shared" si="4"/>
        <v>105.75</v>
      </c>
      <c r="J98" s="2621"/>
      <c r="K98" s="2622"/>
      <c r="L98" s="2622"/>
      <c r="M98" s="2623"/>
      <c r="N98" s="1107" t="s">
        <v>77</v>
      </c>
      <c r="O98" s="1131"/>
      <c r="P98" s="1131"/>
      <c r="Q98" s="1131"/>
      <c r="R98" s="1131"/>
      <c r="S98" s="1885" t="s">
        <v>1358</v>
      </c>
      <c r="T98" s="2284">
        <v>0</v>
      </c>
      <c r="U98" s="2285">
        <v>0</v>
      </c>
      <c r="V98" s="2285">
        <v>0</v>
      </c>
      <c r="W98" s="2285">
        <v>0</v>
      </c>
      <c r="X98" s="2285">
        <v>0</v>
      </c>
      <c r="Y98" s="2285">
        <v>0</v>
      </c>
      <c r="Z98" s="2285">
        <v>0</v>
      </c>
      <c r="AA98" s="2285">
        <v>0</v>
      </c>
      <c r="AB98" s="2286">
        <v>0</v>
      </c>
      <c r="AC98" s="46"/>
      <c r="AE98" s="10"/>
      <c r="AF98" s="248"/>
      <c r="AG98" s="10"/>
      <c r="AH98" s="10"/>
    </row>
    <row r="99" spans="1:34" s="5" customFormat="1" ht="10.15" hidden="1" customHeight="1" x14ac:dyDescent="0.2">
      <c r="A99" s="10" t="s">
        <v>461</v>
      </c>
      <c r="C99" s="40"/>
      <c r="D99" s="52">
        <f>Structure!AY33</f>
        <v>9.625</v>
      </c>
      <c r="E99" s="53"/>
      <c r="F99" s="54">
        <f t="shared" si="4"/>
        <v>105.375</v>
      </c>
      <c r="J99" s="2578" t="s">
        <v>2</v>
      </c>
      <c r="K99" s="2579"/>
      <c r="L99" s="2579"/>
      <c r="M99" s="2580"/>
      <c r="N99" s="1086" t="s">
        <v>1255</v>
      </c>
      <c r="O99" s="1148"/>
      <c r="P99" s="1148"/>
      <c r="Q99" s="1148"/>
      <c r="R99" s="1148"/>
      <c r="S99" s="1855" t="s">
        <v>1359</v>
      </c>
      <c r="T99" s="2178">
        <v>0.5</v>
      </c>
      <c r="U99" s="2179">
        <v>0.5</v>
      </c>
      <c r="V99" s="2179">
        <v>0.5</v>
      </c>
      <c r="W99" s="2179">
        <v>0.5</v>
      </c>
      <c r="X99" s="2179">
        <v>0.5</v>
      </c>
      <c r="Y99" s="2179">
        <v>0.5</v>
      </c>
      <c r="Z99" s="2179">
        <v>0.5</v>
      </c>
      <c r="AA99" s="2179">
        <v>0.5</v>
      </c>
      <c r="AB99" s="2180">
        <v>0.5</v>
      </c>
      <c r="AC99" s="46"/>
      <c r="AE99" s="10"/>
      <c r="AF99" s="248"/>
      <c r="AG99" s="10"/>
      <c r="AH99" s="10"/>
    </row>
    <row r="100" spans="1:34" s="5" customFormat="1" ht="10.15" hidden="1" customHeight="1" x14ac:dyDescent="0.2">
      <c r="A100" s="10" t="s">
        <v>461</v>
      </c>
      <c r="C100" s="40"/>
      <c r="D100" s="52">
        <f>Structure!AY34</f>
        <v>9.5</v>
      </c>
      <c r="E100" s="53"/>
      <c r="F100" s="54">
        <f t="shared" si="4"/>
        <v>105</v>
      </c>
      <c r="J100" s="2581"/>
      <c r="K100" s="2582"/>
      <c r="L100" s="2582"/>
      <c r="M100" s="2583"/>
      <c r="N100" s="1087" t="s">
        <v>457</v>
      </c>
      <c r="O100" s="1149"/>
      <c r="P100" s="1149"/>
      <c r="Q100" s="1149"/>
      <c r="R100" s="1149"/>
      <c r="S100" s="1856" t="s">
        <v>1360</v>
      </c>
      <c r="T100" s="2181">
        <v>0.5</v>
      </c>
      <c r="U100" s="2182">
        <v>0.5</v>
      </c>
      <c r="V100" s="2182">
        <v>0.5</v>
      </c>
      <c r="W100" s="2182">
        <v>0.5</v>
      </c>
      <c r="X100" s="2182">
        <v>0.5</v>
      </c>
      <c r="Y100" s="2182">
        <v>0.5</v>
      </c>
      <c r="Z100" s="2182">
        <v>0.5</v>
      </c>
      <c r="AA100" s="2182">
        <v>0.5</v>
      </c>
      <c r="AB100" s="2183">
        <v>0.5</v>
      </c>
      <c r="AC100" s="46"/>
      <c r="AE100" s="10"/>
      <c r="AF100" s="248"/>
      <c r="AG100" s="10"/>
      <c r="AH100" s="10"/>
    </row>
    <row r="101" spans="1:34" s="5" customFormat="1" ht="10.15" hidden="1" customHeight="1" x14ac:dyDescent="0.2">
      <c r="A101" s="10" t="s">
        <v>461</v>
      </c>
      <c r="C101" s="40"/>
      <c r="D101" s="52">
        <f>Structure!AY35</f>
        <v>9.375</v>
      </c>
      <c r="E101" s="53"/>
      <c r="F101" s="54">
        <f t="shared" si="4"/>
        <v>104.625</v>
      </c>
      <c r="J101" s="2581"/>
      <c r="K101" s="2582"/>
      <c r="L101" s="2582"/>
      <c r="M101" s="2583"/>
      <c r="N101" s="1087" t="s">
        <v>460</v>
      </c>
      <c r="O101" s="1149"/>
      <c r="P101" s="1149"/>
      <c r="Q101" s="1149"/>
      <c r="R101" s="1149"/>
      <c r="S101" s="1856" t="s">
        <v>1361</v>
      </c>
      <c r="T101" s="2181">
        <v>0.5</v>
      </c>
      <c r="U101" s="2182">
        <v>0.5</v>
      </c>
      <c r="V101" s="2182">
        <v>0.5</v>
      </c>
      <c r="W101" s="2182">
        <v>0.5</v>
      </c>
      <c r="X101" s="2182">
        <v>0.5</v>
      </c>
      <c r="Y101" s="2182">
        <v>0.5</v>
      </c>
      <c r="Z101" s="2182">
        <v>0.5</v>
      </c>
      <c r="AA101" s="2182">
        <v>0.5</v>
      </c>
      <c r="AB101" s="2183">
        <v>0.5</v>
      </c>
      <c r="AC101" s="46"/>
      <c r="AE101" s="10"/>
      <c r="AF101" s="248"/>
      <c r="AG101" s="10"/>
      <c r="AH101" s="10"/>
    </row>
    <row r="102" spans="1:34" s="5" customFormat="1" ht="10.15" hidden="1" customHeight="1" x14ac:dyDescent="0.2">
      <c r="A102" s="10" t="s">
        <v>461</v>
      </c>
      <c r="C102" s="40"/>
      <c r="D102" s="52">
        <f>Structure!AY36</f>
        <v>9.25</v>
      </c>
      <c r="E102" s="53"/>
      <c r="F102" s="54">
        <f t="shared" si="4"/>
        <v>104.25</v>
      </c>
      <c r="J102" s="2581"/>
      <c r="K102" s="2582"/>
      <c r="L102" s="2582"/>
      <c r="M102" s="2583"/>
      <c r="N102" s="1088" t="s">
        <v>1</v>
      </c>
      <c r="O102" s="1090"/>
      <c r="P102" s="1090"/>
      <c r="Q102" s="1090"/>
      <c r="R102" s="1090"/>
      <c r="S102" s="1857" t="s">
        <v>1559</v>
      </c>
      <c r="T102" s="2181">
        <v>0</v>
      </c>
      <c r="U102" s="2182">
        <v>0</v>
      </c>
      <c r="V102" s="2182">
        <v>0</v>
      </c>
      <c r="W102" s="2182">
        <v>0</v>
      </c>
      <c r="X102" s="2182">
        <v>0</v>
      </c>
      <c r="Y102" s="2182">
        <v>0</v>
      </c>
      <c r="Z102" s="2182">
        <v>0</v>
      </c>
      <c r="AA102" s="2182">
        <v>0</v>
      </c>
      <c r="AB102" s="2183">
        <v>0</v>
      </c>
      <c r="AC102" s="46"/>
      <c r="AE102" s="10"/>
      <c r="AF102" s="248"/>
      <c r="AG102" s="10"/>
      <c r="AH102" s="10"/>
    </row>
    <row r="103" spans="1:34" s="5" customFormat="1" ht="10.15" hidden="1" customHeight="1" x14ac:dyDescent="0.2">
      <c r="A103" s="10" t="s">
        <v>461</v>
      </c>
      <c r="C103" s="40"/>
      <c r="D103" s="52">
        <f>Structure!AY37</f>
        <v>9.125</v>
      </c>
      <c r="E103" s="53"/>
      <c r="F103" s="54">
        <f t="shared" si="4"/>
        <v>103.75</v>
      </c>
      <c r="J103" s="2581"/>
      <c r="K103" s="2582"/>
      <c r="L103" s="2582"/>
      <c r="M103" s="2583"/>
      <c r="N103" s="1088" t="s">
        <v>1251</v>
      </c>
      <c r="O103" s="1090"/>
      <c r="P103" s="1090"/>
      <c r="Q103" s="1090"/>
      <c r="R103" s="1090"/>
      <c r="S103" s="1857" t="s">
        <v>1362</v>
      </c>
      <c r="T103" s="2181">
        <v>-0.375</v>
      </c>
      <c r="U103" s="2182">
        <v>-0.375</v>
      </c>
      <c r="V103" s="2182">
        <v>-0.375</v>
      </c>
      <c r="W103" s="2182">
        <v>-0.375</v>
      </c>
      <c r="X103" s="2182">
        <v>-0.375</v>
      </c>
      <c r="Y103" s="2182">
        <v>-0.375</v>
      </c>
      <c r="Z103" s="2182">
        <v>-0.375</v>
      </c>
      <c r="AA103" s="2182">
        <v>-0.375</v>
      </c>
      <c r="AB103" s="2183">
        <v>-0.375</v>
      </c>
      <c r="AC103" s="46"/>
      <c r="AE103" s="10"/>
      <c r="AF103" s="248"/>
      <c r="AG103" s="10"/>
      <c r="AH103" s="10"/>
    </row>
    <row r="104" spans="1:34" s="5" customFormat="1" ht="10.15" hidden="1" customHeight="1" x14ac:dyDescent="0.2">
      <c r="A104" s="10" t="s">
        <v>461</v>
      </c>
      <c r="C104" s="40"/>
      <c r="D104" s="52">
        <f>Structure!AY38</f>
        <v>9</v>
      </c>
      <c r="E104" s="53"/>
      <c r="F104" s="54">
        <f t="shared" si="4"/>
        <v>103.25</v>
      </c>
      <c r="J104" s="2581"/>
      <c r="K104" s="2582"/>
      <c r="L104" s="2582"/>
      <c r="M104" s="2583"/>
      <c r="N104" s="1128" t="s">
        <v>1253</v>
      </c>
      <c r="O104" s="1153"/>
      <c r="P104" s="1153"/>
      <c r="Q104" s="1153"/>
      <c r="R104" s="1153"/>
      <c r="S104" s="1858" t="s">
        <v>1363</v>
      </c>
      <c r="T104" s="2184">
        <v>-0.75</v>
      </c>
      <c r="U104" s="2185">
        <v>-0.75</v>
      </c>
      <c r="V104" s="2185">
        <v>-0.75</v>
      </c>
      <c r="W104" s="2185">
        <v>-0.75</v>
      </c>
      <c r="X104" s="2185">
        <v>-0.75</v>
      </c>
      <c r="Y104" s="2185">
        <v>-0.75</v>
      </c>
      <c r="Z104" s="2185">
        <v>-0.75</v>
      </c>
      <c r="AA104" s="2185">
        <v>-0.75</v>
      </c>
      <c r="AB104" s="2186">
        <v>-0.75</v>
      </c>
      <c r="AC104" s="46"/>
      <c r="AE104" s="10"/>
      <c r="AF104" s="248"/>
      <c r="AG104" s="10"/>
      <c r="AH104" s="10"/>
    </row>
    <row r="105" spans="1:34" s="5" customFormat="1" ht="10.15" hidden="1" customHeight="1" x14ac:dyDescent="0.2">
      <c r="A105" s="10" t="s">
        <v>461</v>
      </c>
      <c r="C105" s="40"/>
      <c r="D105" s="52">
        <f>Structure!AY39</f>
        <v>8.875</v>
      </c>
      <c r="E105" s="53"/>
      <c r="F105" s="54">
        <f t="shared" ref="F105" si="5">INDEX(Lookup_NoteRateAll,MATCH("PT_"&amp;RIGHT("000"&amp;TRUNC(D105),3)&amp;TEXT(D105-TRUNC(D105),".0000000000"),Lookup_NoteRateText,0),4)</f>
        <v>102.75</v>
      </c>
      <c r="J105" s="2581"/>
      <c r="K105" s="2582"/>
      <c r="L105" s="2582"/>
      <c r="M105" s="2583"/>
      <c r="N105" s="1108" t="s">
        <v>98</v>
      </c>
      <c r="O105" s="1100"/>
      <c r="P105" s="1100"/>
      <c r="Q105" s="1100"/>
      <c r="R105" s="1100"/>
      <c r="S105" s="1859" t="s">
        <v>1364</v>
      </c>
      <c r="T105" s="2275">
        <v>0</v>
      </c>
      <c r="U105" s="2276">
        <v>0</v>
      </c>
      <c r="V105" s="2276">
        <v>0</v>
      </c>
      <c r="W105" s="2276">
        <v>0</v>
      </c>
      <c r="X105" s="2276">
        <v>0</v>
      </c>
      <c r="Y105" s="2276">
        <v>0</v>
      </c>
      <c r="Z105" s="2276">
        <v>0</v>
      </c>
      <c r="AA105" s="2276">
        <v>0</v>
      </c>
      <c r="AB105" s="2277">
        <v>0</v>
      </c>
      <c r="AC105" s="46"/>
      <c r="AE105" s="10"/>
      <c r="AF105" s="248"/>
      <c r="AG105" s="10"/>
      <c r="AH105" s="10"/>
    </row>
    <row r="106" spans="1:34" s="5" customFormat="1" ht="10.15" hidden="1" customHeight="1" x14ac:dyDescent="0.2">
      <c r="A106" s="10" t="s">
        <v>463</v>
      </c>
      <c r="C106" s="40"/>
      <c r="J106" s="2584"/>
      <c r="K106" s="2585"/>
      <c r="L106" s="2585"/>
      <c r="M106" s="2586"/>
      <c r="N106" s="1109" t="s">
        <v>4</v>
      </c>
      <c r="O106" s="1102"/>
      <c r="P106" s="1102"/>
      <c r="Q106" s="1102"/>
      <c r="R106" s="1102"/>
      <c r="S106" s="1860" t="s">
        <v>1365</v>
      </c>
      <c r="T106" s="2059" t="e">
        <v>#N/A</v>
      </c>
      <c r="U106" s="2060" t="e">
        <v>#N/A</v>
      </c>
      <c r="V106" s="2060" t="e">
        <v>#N/A</v>
      </c>
      <c r="W106" s="2060" t="e">
        <v>#N/A</v>
      </c>
      <c r="X106" s="2060" t="e">
        <v>#N/A</v>
      </c>
      <c r="Y106" s="2060" t="e">
        <v>#N/A</v>
      </c>
      <c r="Z106" s="2060" t="e">
        <v>#N/A</v>
      </c>
      <c r="AA106" s="2060" t="e">
        <v>#N/A</v>
      </c>
      <c r="AB106" s="2061" t="e">
        <v>#N/A</v>
      </c>
      <c r="AC106" s="46"/>
      <c r="AE106" s="10"/>
      <c r="AF106" s="248"/>
      <c r="AG106" s="10"/>
      <c r="AH106" s="10"/>
    </row>
    <row r="107" spans="1:34" s="5" customFormat="1" ht="10.15" hidden="1" customHeight="1" x14ac:dyDescent="0.2">
      <c r="A107" s="10" t="s">
        <v>463</v>
      </c>
      <c r="C107" s="40"/>
      <c r="J107" s="2578" t="s">
        <v>8</v>
      </c>
      <c r="K107" s="2579"/>
      <c r="L107" s="2579"/>
      <c r="M107" s="2580"/>
      <c r="N107" s="1110" t="s">
        <v>2119</v>
      </c>
      <c r="O107" s="1110"/>
      <c r="P107" s="1110"/>
      <c r="Q107" s="1110"/>
      <c r="R107" s="1110"/>
      <c r="S107" s="1859" t="s">
        <v>2122</v>
      </c>
      <c r="T107" s="2062" t="e">
        <v>#N/A</v>
      </c>
      <c r="U107" s="2063" t="e">
        <v>#N/A</v>
      </c>
      <c r="V107" s="2063" t="e">
        <v>#N/A</v>
      </c>
      <c r="W107" s="2063" t="e">
        <v>#N/A</v>
      </c>
      <c r="X107" s="2063" t="e">
        <v>#N/A</v>
      </c>
      <c r="Y107" s="2063" t="e">
        <v>#N/A</v>
      </c>
      <c r="Z107" s="2063" t="e">
        <v>#N/A</v>
      </c>
      <c r="AA107" s="2063" t="e">
        <v>#N/A</v>
      </c>
      <c r="AB107" s="2064" t="e">
        <v>#N/A</v>
      </c>
      <c r="AC107" s="46"/>
      <c r="AE107" s="10"/>
      <c r="AF107" s="248"/>
      <c r="AG107" s="10"/>
      <c r="AH107" s="10"/>
    </row>
    <row r="108" spans="1:34" s="5" customFormat="1" ht="10.15" hidden="1" customHeight="1" x14ac:dyDescent="0.2">
      <c r="A108" s="10" t="s">
        <v>461</v>
      </c>
      <c r="C108" s="40"/>
      <c r="D108" s="52">
        <f>Structure!AY40</f>
        <v>8.75</v>
      </c>
      <c r="E108" s="53"/>
      <c r="F108" s="54">
        <f t="shared" ref="F108:F113" si="6">INDEX(Lookup_NoteRateAll,MATCH("PT_"&amp;RIGHT("000"&amp;TRUNC(D108),3)&amp;TEXT(D108-TRUNC(D108),".0000000000"),Lookup_NoteRateText,0),4)</f>
        <v>102.25</v>
      </c>
      <c r="J108" s="2581"/>
      <c r="K108" s="2582"/>
      <c r="L108" s="2582"/>
      <c r="M108" s="2583"/>
      <c r="N108" s="1089" t="s">
        <v>2120</v>
      </c>
      <c r="O108" s="1089"/>
      <c r="P108" s="1089"/>
      <c r="Q108" s="1089"/>
      <c r="R108" s="1089"/>
      <c r="S108" s="1861" t="s">
        <v>2123</v>
      </c>
      <c r="T108" s="2181">
        <v>-0.25</v>
      </c>
      <c r="U108" s="2182">
        <v>-0.25</v>
      </c>
      <c r="V108" s="2182">
        <v>-0.25</v>
      </c>
      <c r="W108" s="2182">
        <v>-0.25</v>
      </c>
      <c r="X108" s="2182">
        <v>-0.25</v>
      </c>
      <c r="Y108" s="2182">
        <v>-0.25</v>
      </c>
      <c r="Z108" s="2182">
        <v>-0.25</v>
      </c>
      <c r="AA108" s="2182">
        <v>-0.25</v>
      </c>
      <c r="AB108" s="2183">
        <v>-0.25</v>
      </c>
      <c r="AC108" s="46"/>
      <c r="AE108" s="10"/>
      <c r="AF108" s="248"/>
      <c r="AG108" s="10"/>
      <c r="AH108" s="10"/>
    </row>
    <row r="109" spans="1:34" s="5" customFormat="1" ht="10.15" hidden="1" customHeight="1" x14ac:dyDescent="0.2">
      <c r="A109" s="10" t="s">
        <v>461</v>
      </c>
      <c r="C109" s="40"/>
      <c r="D109" s="52">
        <f>Structure!AY41</f>
        <v>8.625</v>
      </c>
      <c r="E109" s="53"/>
      <c r="F109" s="54">
        <f t="shared" si="6"/>
        <v>101.75</v>
      </c>
      <c r="J109" s="2581"/>
      <c r="K109" s="2582"/>
      <c r="L109" s="2582"/>
      <c r="M109" s="2583"/>
      <c r="N109" s="1089" t="s">
        <v>1335</v>
      </c>
      <c r="O109" s="1089"/>
      <c r="P109" s="1089"/>
      <c r="Q109" s="1089"/>
      <c r="R109" s="1089"/>
      <c r="S109" s="1861" t="s">
        <v>1366</v>
      </c>
      <c r="T109" s="2181">
        <v>-0.25</v>
      </c>
      <c r="U109" s="2182">
        <v>-0.25</v>
      </c>
      <c r="V109" s="2182">
        <v>-0.25</v>
      </c>
      <c r="W109" s="2182">
        <v>-0.25</v>
      </c>
      <c r="X109" s="2182">
        <v>-0.25</v>
      </c>
      <c r="Y109" s="2182">
        <v>-0.25</v>
      </c>
      <c r="Z109" s="2182">
        <v>-0.25</v>
      </c>
      <c r="AA109" s="2182">
        <v>-0.25</v>
      </c>
      <c r="AB109" s="2183">
        <v>-0.25</v>
      </c>
      <c r="AC109" s="46"/>
      <c r="AE109" s="10"/>
      <c r="AF109" s="248"/>
      <c r="AG109" s="10"/>
      <c r="AH109" s="10"/>
    </row>
    <row r="110" spans="1:34" s="5" customFormat="1" ht="10.15" hidden="1" customHeight="1" x14ac:dyDescent="0.2">
      <c r="A110" s="10" t="s">
        <v>461</v>
      </c>
      <c r="C110" s="40"/>
      <c r="D110" s="52">
        <f>Structure!AY42</f>
        <v>8.5</v>
      </c>
      <c r="E110" s="53"/>
      <c r="F110" s="54">
        <f t="shared" si="6"/>
        <v>101.25</v>
      </c>
      <c r="J110" s="2581"/>
      <c r="K110" s="2582"/>
      <c r="L110" s="2582"/>
      <c r="M110" s="2583"/>
      <c r="N110" s="1089" t="s">
        <v>1314</v>
      </c>
      <c r="O110" s="1089"/>
      <c r="P110" s="1089"/>
      <c r="Q110" s="1089"/>
      <c r="R110" s="1089"/>
      <c r="S110" s="1861" t="s">
        <v>1367</v>
      </c>
      <c r="T110" s="2181">
        <v>-0.125</v>
      </c>
      <c r="U110" s="2182">
        <v>-0.125</v>
      </c>
      <c r="V110" s="2182">
        <v>-0.125</v>
      </c>
      <c r="W110" s="2182">
        <v>-0.125</v>
      </c>
      <c r="X110" s="2182">
        <v>-0.125</v>
      </c>
      <c r="Y110" s="2182">
        <v>-0.125</v>
      </c>
      <c r="Z110" s="2182">
        <v>-0.125</v>
      </c>
      <c r="AA110" s="2182">
        <v>-0.125</v>
      </c>
      <c r="AB110" s="2183">
        <v>-0.125</v>
      </c>
      <c r="AC110" s="46"/>
      <c r="AE110" s="10"/>
      <c r="AF110" s="248"/>
      <c r="AG110" s="10"/>
      <c r="AH110" s="10"/>
    </row>
    <row r="111" spans="1:34" s="5" customFormat="1" ht="10.15" hidden="1" customHeight="1" x14ac:dyDescent="0.2">
      <c r="A111" s="10" t="s">
        <v>461</v>
      </c>
      <c r="C111" s="40"/>
      <c r="D111" s="52">
        <f>Structure!AY43</f>
        <v>8.375</v>
      </c>
      <c r="E111" s="53"/>
      <c r="F111" s="54">
        <f t="shared" si="6"/>
        <v>100.75</v>
      </c>
      <c r="J111" s="2581"/>
      <c r="K111" s="2582"/>
      <c r="L111" s="2582"/>
      <c r="M111" s="2583"/>
      <c r="N111" s="1089" t="s">
        <v>1315</v>
      </c>
      <c r="O111" s="1089"/>
      <c r="P111" s="1089"/>
      <c r="Q111" s="1089"/>
      <c r="R111" s="1089"/>
      <c r="S111" s="1861" t="s">
        <v>1368</v>
      </c>
      <c r="T111" s="2181">
        <v>0</v>
      </c>
      <c r="U111" s="2182">
        <v>0</v>
      </c>
      <c r="V111" s="2182">
        <v>0</v>
      </c>
      <c r="W111" s="2182">
        <v>0</v>
      </c>
      <c r="X111" s="2182">
        <v>0</v>
      </c>
      <c r="Y111" s="2182">
        <v>0</v>
      </c>
      <c r="Z111" s="2182">
        <v>0</v>
      </c>
      <c r="AA111" s="2182">
        <v>0</v>
      </c>
      <c r="AB111" s="2183">
        <v>0</v>
      </c>
      <c r="AC111" s="46"/>
      <c r="AE111" s="10"/>
      <c r="AF111" s="248"/>
      <c r="AG111" s="10"/>
      <c r="AH111" s="10"/>
    </row>
    <row r="112" spans="1:34" s="5" customFormat="1" ht="10.15" hidden="1" customHeight="1" x14ac:dyDescent="0.2">
      <c r="A112" s="10" t="s">
        <v>461</v>
      </c>
      <c r="C112" s="40"/>
      <c r="D112" s="52">
        <f>Structure!AY44</f>
        <v>8.25</v>
      </c>
      <c r="E112" s="53"/>
      <c r="F112" s="54">
        <f t="shared" si="6"/>
        <v>100.25</v>
      </c>
      <c r="J112" s="2581"/>
      <c r="K112" s="2582"/>
      <c r="L112" s="2582"/>
      <c r="M112" s="2583"/>
      <c r="N112" s="1089" t="s">
        <v>1316</v>
      </c>
      <c r="O112" s="1089"/>
      <c r="P112" s="1089"/>
      <c r="Q112" s="1089"/>
      <c r="R112" s="1089"/>
      <c r="S112" s="1861" t="s">
        <v>1369</v>
      </c>
      <c r="T112" s="2181">
        <v>0</v>
      </c>
      <c r="U112" s="2182">
        <v>0</v>
      </c>
      <c r="V112" s="2182">
        <v>0</v>
      </c>
      <c r="W112" s="2182">
        <v>0</v>
      </c>
      <c r="X112" s="2182">
        <v>0</v>
      </c>
      <c r="Y112" s="2182">
        <v>0</v>
      </c>
      <c r="Z112" s="2182">
        <v>0</v>
      </c>
      <c r="AA112" s="2182">
        <v>0</v>
      </c>
      <c r="AB112" s="2183">
        <v>0</v>
      </c>
      <c r="AC112" s="46"/>
      <c r="AE112" s="10"/>
      <c r="AF112" s="248"/>
      <c r="AG112" s="10"/>
      <c r="AH112" s="10"/>
    </row>
    <row r="113" spans="1:34" s="5" customFormat="1" ht="10.15" hidden="1" customHeight="1" x14ac:dyDescent="0.2">
      <c r="A113" s="10" t="s">
        <v>461</v>
      </c>
      <c r="C113" s="40"/>
      <c r="D113" s="52">
        <f>Structure!AY45</f>
        <v>8.125</v>
      </c>
      <c r="E113" s="53"/>
      <c r="F113" s="54">
        <f t="shared" si="6"/>
        <v>99.75</v>
      </c>
      <c r="J113" s="2581"/>
      <c r="K113" s="2582"/>
      <c r="L113" s="2582"/>
      <c r="M113" s="2583"/>
      <c r="N113" s="1088" t="s">
        <v>1317</v>
      </c>
      <c r="O113" s="1090"/>
      <c r="P113" s="1090"/>
      <c r="Q113" s="1090"/>
      <c r="R113" s="1090"/>
      <c r="S113" s="1861" t="s">
        <v>1370</v>
      </c>
      <c r="T113" s="2181">
        <v>0</v>
      </c>
      <c r="U113" s="2182">
        <v>0</v>
      </c>
      <c r="V113" s="2182">
        <v>0</v>
      </c>
      <c r="W113" s="2182">
        <v>0</v>
      </c>
      <c r="X113" s="2182">
        <v>0</v>
      </c>
      <c r="Y113" s="2182">
        <v>0</v>
      </c>
      <c r="Z113" s="2182">
        <v>0</v>
      </c>
      <c r="AA113" s="2182">
        <v>0</v>
      </c>
      <c r="AB113" s="2183">
        <v>0</v>
      </c>
      <c r="AC113" s="46"/>
      <c r="AE113" s="10"/>
      <c r="AF113" s="248"/>
      <c r="AG113" s="10"/>
      <c r="AH113" s="10"/>
    </row>
    <row r="114" spans="1:34" s="5" customFormat="1" ht="10.15" hidden="1" customHeight="1" x14ac:dyDescent="0.2">
      <c r="A114" s="10" t="s">
        <v>461</v>
      </c>
      <c r="C114" s="40"/>
      <c r="J114" s="2581"/>
      <c r="K114" s="2582"/>
      <c r="L114" s="2582"/>
      <c r="M114" s="2583"/>
      <c r="N114" s="1088" t="s">
        <v>311</v>
      </c>
      <c r="O114" s="1090"/>
      <c r="P114" s="1090"/>
      <c r="Q114" s="1090"/>
      <c r="R114" s="1090"/>
      <c r="S114" s="1857" t="s">
        <v>1371</v>
      </c>
      <c r="T114" s="2181">
        <v>0</v>
      </c>
      <c r="U114" s="2182">
        <v>0</v>
      </c>
      <c r="V114" s="2182">
        <v>0</v>
      </c>
      <c r="W114" s="2182">
        <v>0</v>
      </c>
      <c r="X114" s="2182">
        <v>0</v>
      </c>
      <c r="Y114" s="2182">
        <v>0</v>
      </c>
      <c r="Z114" s="2182">
        <v>0</v>
      </c>
      <c r="AA114" s="2182">
        <v>0</v>
      </c>
      <c r="AB114" s="2183">
        <v>0</v>
      </c>
      <c r="AC114" s="46"/>
      <c r="AE114" s="10"/>
      <c r="AF114" s="248"/>
      <c r="AG114" s="10"/>
      <c r="AH114" s="10"/>
    </row>
    <row r="115" spans="1:34" s="5" customFormat="1" ht="10.15" hidden="1" customHeight="1" x14ac:dyDescent="0.2">
      <c r="A115" s="10" t="s">
        <v>461</v>
      </c>
      <c r="C115" s="40"/>
      <c r="J115" s="2581"/>
      <c r="K115" s="2582"/>
      <c r="L115" s="2582"/>
      <c r="M115" s="2583"/>
      <c r="N115" s="1088" t="s">
        <v>251</v>
      </c>
      <c r="O115" s="1090"/>
      <c r="P115" s="1090"/>
      <c r="Q115" s="1090"/>
      <c r="R115" s="1090"/>
      <c r="S115" s="1857" t="s">
        <v>1372</v>
      </c>
      <c r="T115" s="2181">
        <v>0</v>
      </c>
      <c r="U115" s="2182">
        <v>0</v>
      </c>
      <c r="V115" s="2182">
        <v>0</v>
      </c>
      <c r="W115" s="2182">
        <v>0</v>
      </c>
      <c r="X115" s="2182">
        <v>0</v>
      </c>
      <c r="Y115" s="2182">
        <v>0</v>
      </c>
      <c r="Z115" s="2182">
        <v>0</v>
      </c>
      <c r="AA115" s="2182">
        <v>0</v>
      </c>
      <c r="AB115" s="2183">
        <v>0</v>
      </c>
      <c r="AC115" s="46"/>
      <c r="AE115" s="10"/>
      <c r="AF115" s="248"/>
      <c r="AG115" s="10"/>
      <c r="AH115" s="10"/>
    </row>
    <row r="116" spans="1:34" ht="10.15" hidden="1" customHeight="1" x14ac:dyDescent="0.25">
      <c r="A116" s="10" t="s">
        <v>461</v>
      </c>
      <c r="C116" s="40"/>
      <c r="G116" s="5"/>
      <c r="H116" s="5"/>
      <c r="I116" s="5"/>
      <c r="J116" s="2581"/>
      <c r="K116" s="2582"/>
      <c r="L116" s="2582"/>
      <c r="M116" s="2583"/>
      <c r="N116" s="1088" t="s">
        <v>12</v>
      </c>
      <c r="O116" s="1090"/>
      <c r="P116" s="1090"/>
      <c r="Q116" s="1090"/>
      <c r="R116" s="1090"/>
      <c r="S116" s="1857" t="s">
        <v>1373</v>
      </c>
      <c r="T116" s="2181">
        <v>0</v>
      </c>
      <c r="U116" s="2182">
        <v>0</v>
      </c>
      <c r="V116" s="2182">
        <v>0</v>
      </c>
      <c r="W116" s="2182">
        <v>0</v>
      </c>
      <c r="X116" s="2182">
        <v>0</v>
      </c>
      <c r="Y116" s="2182">
        <v>0</v>
      </c>
      <c r="Z116" s="2182">
        <v>0</v>
      </c>
      <c r="AA116" s="2182">
        <v>0</v>
      </c>
      <c r="AB116" s="2183">
        <v>0</v>
      </c>
      <c r="AC116" s="46"/>
      <c r="AF116" s="248"/>
    </row>
    <row r="117" spans="1:34" ht="10.15" hidden="1" customHeight="1" x14ac:dyDescent="0.25">
      <c r="A117" s="10" t="s">
        <v>461</v>
      </c>
      <c r="C117" s="40"/>
      <c r="G117" s="5"/>
      <c r="H117" s="5"/>
      <c r="I117" s="5"/>
      <c r="J117" s="2581"/>
      <c r="K117" s="2582"/>
      <c r="L117" s="2582"/>
      <c r="M117" s="2583"/>
      <c r="N117" s="1088" t="s">
        <v>13</v>
      </c>
      <c r="O117" s="1090"/>
      <c r="P117" s="1090"/>
      <c r="Q117" s="1090"/>
      <c r="R117" s="1090"/>
      <c r="S117" s="1857" t="s">
        <v>1374</v>
      </c>
      <c r="T117" s="2184">
        <v>0</v>
      </c>
      <c r="U117" s="2185">
        <v>0</v>
      </c>
      <c r="V117" s="2185">
        <v>0</v>
      </c>
      <c r="W117" s="2185">
        <v>0</v>
      </c>
      <c r="X117" s="2185">
        <v>0</v>
      </c>
      <c r="Y117" s="2185">
        <v>0</v>
      </c>
      <c r="Z117" s="2185">
        <v>0</v>
      </c>
      <c r="AA117" s="2185">
        <v>0</v>
      </c>
      <c r="AB117" s="2186">
        <v>0</v>
      </c>
      <c r="AC117" s="46"/>
      <c r="AF117" s="248"/>
    </row>
    <row r="118" spans="1:34" s="5" customFormat="1" ht="10.15" hidden="1" customHeight="1" x14ac:dyDescent="0.2">
      <c r="A118" s="10" t="s">
        <v>463</v>
      </c>
      <c r="C118" s="40"/>
      <c r="J118" s="2581"/>
      <c r="K118" s="2582"/>
      <c r="L118" s="2582"/>
      <c r="M118" s="2583"/>
      <c r="N118" s="1088" t="s">
        <v>89</v>
      </c>
      <c r="O118" s="1090"/>
      <c r="P118" s="1090"/>
      <c r="Q118" s="1090"/>
      <c r="R118" s="1090"/>
      <c r="S118" s="1857" t="s">
        <v>1375</v>
      </c>
      <c r="T118" s="2056" t="e">
        <v>#N/A</v>
      </c>
      <c r="U118" s="2057" t="e">
        <v>#N/A</v>
      </c>
      <c r="V118" s="2057" t="e">
        <v>#N/A</v>
      </c>
      <c r="W118" s="2057" t="e">
        <v>#N/A</v>
      </c>
      <c r="X118" s="2057" t="e">
        <v>#N/A</v>
      </c>
      <c r="Y118" s="2057" t="e">
        <v>#N/A</v>
      </c>
      <c r="Z118" s="2057" t="e">
        <v>#N/A</v>
      </c>
      <c r="AA118" s="2057" t="e">
        <v>#N/A</v>
      </c>
      <c r="AB118" s="2058" t="e">
        <v>#N/A</v>
      </c>
      <c r="AC118" s="46"/>
      <c r="AE118" s="10"/>
      <c r="AF118" s="248"/>
      <c r="AG118" s="10"/>
      <c r="AH118" s="10"/>
    </row>
    <row r="119" spans="1:34" s="5" customFormat="1" ht="10.15" hidden="1" customHeight="1" x14ac:dyDescent="0.2">
      <c r="A119" s="10" t="s">
        <v>463</v>
      </c>
      <c r="C119" s="40"/>
      <c r="J119" s="2581"/>
      <c r="K119" s="2582"/>
      <c r="L119" s="2582"/>
      <c r="M119" s="2583"/>
      <c r="N119" s="1088" t="s">
        <v>86</v>
      </c>
      <c r="O119" s="1090"/>
      <c r="P119" s="1090"/>
      <c r="Q119" s="1090"/>
      <c r="R119" s="1090"/>
      <c r="S119" s="1857" t="s">
        <v>1376</v>
      </c>
      <c r="T119" s="2056" t="e">
        <v>#N/A</v>
      </c>
      <c r="U119" s="2057" t="e">
        <v>#N/A</v>
      </c>
      <c r="V119" s="2057" t="e">
        <v>#N/A</v>
      </c>
      <c r="W119" s="2057" t="e">
        <v>#N/A</v>
      </c>
      <c r="X119" s="2057" t="e">
        <v>#N/A</v>
      </c>
      <c r="Y119" s="2057" t="e">
        <v>#N/A</v>
      </c>
      <c r="Z119" s="2057" t="e">
        <v>#N/A</v>
      </c>
      <c r="AA119" s="2057" t="e">
        <v>#N/A</v>
      </c>
      <c r="AB119" s="2058" t="e">
        <v>#N/A</v>
      </c>
      <c r="AC119" s="46"/>
      <c r="AE119" s="10"/>
      <c r="AF119" s="248"/>
      <c r="AG119" s="10"/>
      <c r="AH119" s="10"/>
    </row>
    <row r="120" spans="1:34" s="5" customFormat="1" ht="10.15" hidden="1" customHeight="1" x14ac:dyDescent="0.2">
      <c r="A120" s="10" t="s">
        <v>463</v>
      </c>
      <c r="C120" s="40"/>
      <c r="J120" s="2581"/>
      <c r="K120" s="2582"/>
      <c r="L120" s="2582"/>
      <c r="M120" s="2583"/>
      <c r="N120" s="1088" t="s">
        <v>87</v>
      </c>
      <c r="O120" s="1090"/>
      <c r="P120" s="1090"/>
      <c r="Q120" s="1090"/>
      <c r="R120" s="1090"/>
      <c r="S120" s="1857" t="s">
        <v>1377</v>
      </c>
      <c r="T120" s="2056" t="e">
        <v>#N/A</v>
      </c>
      <c r="U120" s="2057" t="e">
        <v>#N/A</v>
      </c>
      <c r="V120" s="2057" t="e">
        <v>#N/A</v>
      </c>
      <c r="W120" s="2057" t="e">
        <v>#N/A</v>
      </c>
      <c r="X120" s="2057" t="e">
        <v>#N/A</v>
      </c>
      <c r="Y120" s="2057" t="e">
        <v>#N/A</v>
      </c>
      <c r="Z120" s="2057" t="e">
        <v>#N/A</v>
      </c>
      <c r="AA120" s="2057" t="e">
        <v>#N/A</v>
      </c>
      <c r="AB120" s="2058" t="e">
        <v>#N/A</v>
      </c>
      <c r="AC120" s="46"/>
      <c r="AE120" s="10"/>
      <c r="AF120" s="248"/>
      <c r="AG120" s="10"/>
      <c r="AH120" s="10"/>
    </row>
    <row r="121" spans="1:34" s="5" customFormat="1" ht="10.15" hidden="1" customHeight="1" x14ac:dyDescent="0.2">
      <c r="A121" s="10" t="s">
        <v>463</v>
      </c>
      <c r="C121" s="40"/>
      <c r="J121" s="2581"/>
      <c r="K121" s="2582"/>
      <c r="L121" s="2582"/>
      <c r="M121" s="2583"/>
      <c r="N121" s="1088" t="s">
        <v>145</v>
      </c>
      <c r="O121" s="1090"/>
      <c r="P121" s="1090"/>
      <c r="Q121" s="1090"/>
      <c r="R121" s="1090"/>
      <c r="S121" s="1857" t="s">
        <v>1378</v>
      </c>
      <c r="T121" s="2056" t="e">
        <v>#N/A</v>
      </c>
      <c r="U121" s="2057" t="e">
        <v>#N/A</v>
      </c>
      <c r="V121" s="2057" t="e">
        <v>#N/A</v>
      </c>
      <c r="W121" s="2057" t="e">
        <v>#N/A</v>
      </c>
      <c r="X121" s="2057" t="e">
        <v>#N/A</v>
      </c>
      <c r="Y121" s="2057" t="e">
        <v>#N/A</v>
      </c>
      <c r="Z121" s="2057" t="e">
        <v>#N/A</v>
      </c>
      <c r="AA121" s="2057" t="e">
        <v>#N/A</v>
      </c>
      <c r="AB121" s="2058" t="e">
        <v>#N/A</v>
      </c>
      <c r="AC121" s="46"/>
      <c r="AE121" s="10"/>
      <c r="AF121" s="248"/>
      <c r="AG121" s="10"/>
      <c r="AH121" s="10"/>
    </row>
    <row r="122" spans="1:34" s="5" customFormat="1" ht="10.15" hidden="1" customHeight="1" x14ac:dyDescent="0.2">
      <c r="A122" s="10" t="s">
        <v>463</v>
      </c>
      <c r="C122" s="40"/>
      <c r="J122" s="2581"/>
      <c r="K122" s="2582"/>
      <c r="L122" s="2582"/>
      <c r="M122" s="2583"/>
      <c r="N122" s="1088" t="s">
        <v>146</v>
      </c>
      <c r="O122" s="1090"/>
      <c r="P122" s="1090"/>
      <c r="Q122" s="1090"/>
      <c r="R122" s="1090"/>
      <c r="S122" s="1857" t="s">
        <v>1379</v>
      </c>
      <c r="T122" s="2056" t="e">
        <v>#N/A</v>
      </c>
      <c r="U122" s="2057" t="e">
        <v>#N/A</v>
      </c>
      <c r="V122" s="2057" t="e">
        <v>#N/A</v>
      </c>
      <c r="W122" s="2057" t="e">
        <v>#N/A</v>
      </c>
      <c r="X122" s="2057" t="e">
        <v>#N/A</v>
      </c>
      <c r="Y122" s="2057" t="e">
        <v>#N/A</v>
      </c>
      <c r="Z122" s="2057" t="e">
        <v>#N/A</v>
      </c>
      <c r="AA122" s="2057" t="e">
        <v>#N/A</v>
      </c>
      <c r="AB122" s="2058" t="e">
        <v>#N/A</v>
      </c>
      <c r="AC122" s="46"/>
      <c r="AE122" s="10"/>
      <c r="AF122" s="248"/>
      <c r="AG122" s="10"/>
      <c r="AH122" s="10"/>
    </row>
    <row r="123" spans="1:34" s="5" customFormat="1" ht="10.15" hidden="1" customHeight="1" x14ac:dyDescent="0.2">
      <c r="A123" s="10" t="s">
        <v>463</v>
      </c>
      <c r="C123" s="40"/>
      <c r="J123" s="2581"/>
      <c r="K123" s="2582"/>
      <c r="L123" s="2582"/>
      <c r="M123" s="2583"/>
      <c r="N123" s="1088" t="s">
        <v>124</v>
      </c>
      <c r="O123" s="1090"/>
      <c r="P123" s="1090"/>
      <c r="Q123" s="1090"/>
      <c r="R123" s="1090"/>
      <c r="S123" s="1857" t="s">
        <v>1380</v>
      </c>
      <c r="T123" s="2056" t="e">
        <v>#N/A</v>
      </c>
      <c r="U123" s="2057" t="e">
        <v>#N/A</v>
      </c>
      <c r="V123" s="2057" t="e">
        <v>#N/A</v>
      </c>
      <c r="W123" s="2057" t="e">
        <v>#N/A</v>
      </c>
      <c r="X123" s="2057" t="e">
        <v>#N/A</v>
      </c>
      <c r="Y123" s="2057" t="e">
        <v>#N/A</v>
      </c>
      <c r="Z123" s="2057" t="e">
        <v>#N/A</v>
      </c>
      <c r="AA123" s="2057" t="e">
        <v>#N/A</v>
      </c>
      <c r="AB123" s="2058" t="e">
        <v>#N/A</v>
      </c>
      <c r="AC123" s="46"/>
      <c r="AE123" s="10"/>
      <c r="AF123" s="248"/>
      <c r="AG123" s="10"/>
      <c r="AH123" s="10"/>
    </row>
    <row r="124" spans="1:34" s="5" customFormat="1" ht="10.15" hidden="1" customHeight="1" x14ac:dyDescent="0.2">
      <c r="A124" s="10" t="s">
        <v>463</v>
      </c>
      <c r="C124" s="40"/>
      <c r="J124" s="2581"/>
      <c r="K124" s="2582"/>
      <c r="L124" s="2582"/>
      <c r="M124" s="2583"/>
      <c r="N124" s="1088" t="s">
        <v>230</v>
      </c>
      <c r="O124" s="1090"/>
      <c r="P124" s="1090"/>
      <c r="Q124" s="1090"/>
      <c r="R124" s="1090"/>
      <c r="S124" s="1857" t="s">
        <v>1381</v>
      </c>
      <c r="T124" s="2056" t="e">
        <v>#N/A</v>
      </c>
      <c r="U124" s="2057" t="e">
        <v>#N/A</v>
      </c>
      <c r="V124" s="2057" t="e">
        <v>#N/A</v>
      </c>
      <c r="W124" s="2057" t="e">
        <v>#N/A</v>
      </c>
      <c r="X124" s="2057" t="e">
        <v>#N/A</v>
      </c>
      <c r="Y124" s="2057" t="e">
        <v>#N/A</v>
      </c>
      <c r="Z124" s="2057" t="e">
        <v>#N/A</v>
      </c>
      <c r="AA124" s="2057" t="e">
        <v>#N/A</v>
      </c>
      <c r="AB124" s="2058" t="e">
        <v>#N/A</v>
      </c>
      <c r="AC124" s="46"/>
      <c r="AE124" s="10"/>
      <c r="AF124" s="248"/>
      <c r="AG124" s="10"/>
      <c r="AH124" s="10"/>
    </row>
    <row r="125" spans="1:34" s="5" customFormat="1" ht="10.15" hidden="1" customHeight="1" x14ac:dyDescent="0.2">
      <c r="A125" s="10" t="s">
        <v>463</v>
      </c>
      <c r="C125" s="40"/>
      <c r="J125" s="2581"/>
      <c r="K125" s="2582"/>
      <c r="L125" s="2582"/>
      <c r="M125" s="2583"/>
      <c r="N125" s="1088" t="s">
        <v>231</v>
      </c>
      <c r="O125" s="1090"/>
      <c r="P125" s="1090"/>
      <c r="Q125" s="1090"/>
      <c r="R125" s="1090"/>
      <c r="S125" s="1885" t="s">
        <v>1382</v>
      </c>
      <c r="T125" s="2056" t="e">
        <v>#N/A</v>
      </c>
      <c r="U125" s="2057" t="e">
        <v>#N/A</v>
      </c>
      <c r="V125" s="2057" t="e">
        <v>#N/A</v>
      </c>
      <c r="W125" s="2057" t="e">
        <v>#N/A</v>
      </c>
      <c r="X125" s="2057" t="e">
        <v>#N/A</v>
      </c>
      <c r="Y125" s="2057" t="e">
        <v>#N/A</v>
      </c>
      <c r="Z125" s="2057" t="e">
        <v>#N/A</v>
      </c>
      <c r="AA125" s="2057" t="e">
        <v>#N/A</v>
      </c>
      <c r="AB125" s="2058" t="e">
        <v>#N/A</v>
      </c>
      <c r="AC125" s="46"/>
      <c r="AE125" s="10"/>
      <c r="AF125" s="248"/>
      <c r="AG125" s="10"/>
      <c r="AH125" s="10"/>
    </row>
    <row r="126" spans="1:34" s="5" customFormat="1" ht="10.15" hidden="1" customHeight="1" x14ac:dyDescent="0.2">
      <c r="A126" s="10" t="s">
        <v>463</v>
      </c>
      <c r="C126" s="40"/>
      <c r="J126" s="2581"/>
      <c r="K126" s="2582"/>
      <c r="L126" s="2582"/>
      <c r="M126" s="2583"/>
      <c r="N126" s="1088" t="s">
        <v>232</v>
      </c>
      <c r="O126" s="1090"/>
      <c r="P126" s="1090"/>
      <c r="Q126" s="1090"/>
      <c r="R126" s="1090"/>
      <c r="S126" s="1885" t="s">
        <v>1383</v>
      </c>
      <c r="T126" s="2056" t="e">
        <v>#N/A</v>
      </c>
      <c r="U126" s="2057" t="e">
        <v>#N/A</v>
      </c>
      <c r="V126" s="2057" t="e">
        <v>#N/A</v>
      </c>
      <c r="W126" s="2057" t="e">
        <v>#N/A</v>
      </c>
      <c r="X126" s="2057" t="e">
        <v>#N/A</v>
      </c>
      <c r="Y126" s="2057" t="e">
        <v>#N/A</v>
      </c>
      <c r="Z126" s="2057" t="e">
        <v>#N/A</v>
      </c>
      <c r="AA126" s="2057" t="e">
        <v>#N/A</v>
      </c>
      <c r="AB126" s="2058" t="e">
        <v>#N/A</v>
      </c>
      <c r="AC126" s="46"/>
      <c r="AE126" s="10"/>
      <c r="AF126" s="248"/>
      <c r="AG126" s="10"/>
      <c r="AH126" s="10"/>
    </row>
    <row r="127" spans="1:34" s="5" customFormat="1" ht="10.15" hidden="1" customHeight="1" x14ac:dyDescent="0.2">
      <c r="A127" s="10" t="s">
        <v>463</v>
      </c>
      <c r="C127" s="40"/>
      <c r="J127" s="2584"/>
      <c r="K127" s="2585"/>
      <c r="L127" s="2585"/>
      <c r="M127" s="2586"/>
      <c r="N127" s="1111" t="s">
        <v>229</v>
      </c>
      <c r="O127" s="1132"/>
      <c r="P127" s="1132"/>
      <c r="Q127" s="1132"/>
      <c r="R127" s="1132"/>
      <c r="S127" s="1863" t="s">
        <v>1384</v>
      </c>
      <c r="T127" s="2059" t="e">
        <v>#N/A</v>
      </c>
      <c r="U127" s="2060" t="e">
        <v>#N/A</v>
      </c>
      <c r="V127" s="2060" t="e">
        <v>#N/A</v>
      </c>
      <c r="W127" s="2060" t="e">
        <v>#N/A</v>
      </c>
      <c r="X127" s="2060" t="e">
        <v>#N/A</v>
      </c>
      <c r="Y127" s="2060" t="e">
        <v>#N/A</v>
      </c>
      <c r="Z127" s="2060" t="e">
        <v>#N/A</v>
      </c>
      <c r="AA127" s="2060" t="e">
        <v>#N/A</v>
      </c>
      <c r="AB127" s="2061" t="e">
        <v>#N/A</v>
      </c>
      <c r="AC127" s="46"/>
      <c r="AE127" s="10"/>
      <c r="AF127" s="248"/>
      <c r="AG127" s="10"/>
      <c r="AH127" s="10"/>
    </row>
    <row r="128" spans="1:34" s="5" customFormat="1" ht="10.15" hidden="1" customHeight="1" x14ac:dyDescent="0.2">
      <c r="A128" s="10" t="s">
        <v>463</v>
      </c>
      <c r="C128" s="40"/>
      <c r="J128" s="2578" t="s">
        <v>14</v>
      </c>
      <c r="K128" s="2579"/>
      <c r="L128" s="2579"/>
      <c r="M128" s="2580"/>
      <c r="N128" s="1112" t="s">
        <v>112</v>
      </c>
      <c r="O128" s="1150"/>
      <c r="P128" s="1150"/>
      <c r="Q128" s="1150"/>
      <c r="R128" s="1150"/>
      <c r="S128" s="1862" t="s">
        <v>1385</v>
      </c>
      <c r="T128" s="2293">
        <v>0</v>
      </c>
      <c r="U128" s="2294">
        <v>0</v>
      </c>
      <c r="V128" s="2294">
        <v>0</v>
      </c>
      <c r="W128" s="2294">
        <v>0</v>
      </c>
      <c r="X128" s="2294">
        <v>0</v>
      </c>
      <c r="Y128" s="2294">
        <v>0</v>
      </c>
      <c r="Z128" s="2294">
        <v>0</v>
      </c>
      <c r="AA128" s="2294">
        <v>0</v>
      </c>
      <c r="AB128" s="2295">
        <v>0</v>
      </c>
      <c r="AC128" s="46"/>
      <c r="AE128" s="10"/>
      <c r="AF128" s="248"/>
      <c r="AG128" s="10"/>
      <c r="AH128" s="10"/>
    </row>
    <row r="129" spans="1:34" s="5" customFormat="1" ht="10.15" hidden="1" customHeight="1" x14ac:dyDescent="0.2">
      <c r="A129" s="10" t="s">
        <v>461</v>
      </c>
      <c r="C129" s="40"/>
      <c r="D129" s="4" t="s">
        <v>289</v>
      </c>
      <c r="J129" s="2581"/>
      <c r="K129" s="2582"/>
      <c r="L129" s="2582"/>
      <c r="M129" s="2583"/>
      <c r="N129" s="1113" t="s">
        <v>32</v>
      </c>
      <c r="O129" s="1110"/>
      <c r="P129" s="1110"/>
      <c r="Q129" s="1110"/>
      <c r="R129" s="1110"/>
      <c r="S129" s="1862" t="s">
        <v>1386</v>
      </c>
      <c r="T129" s="2178">
        <v>0</v>
      </c>
      <c r="U129" s="2179">
        <v>0</v>
      </c>
      <c r="V129" s="2179">
        <v>0</v>
      </c>
      <c r="W129" s="2179">
        <v>0</v>
      </c>
      <c r="X129" s="2179">
        <v>0</v>
      </c>
      <c r="Y129" s="2179">
        <v>0</v>
      </c>
      <c r="Z129" s="2179">
        <v>0</v>
      </c>
      <c r="AA129" s="2179">
        <v>0</v>
      </c>
      <c r="AB129" s="2180">
        <v>0</v>
      </c>
      <c r="AC129" s="46"/>
      <c r="AE129" s="10"/>
      <c r="AF129" s="248"/>
      <c r="AG129" s="10"/>
      <c r="AH129" s="10"/>
    </row>
    <row r="130" spans="1:34" s="5" customFormat="1" ht="10.15" hidden="1" customHeight="1" x14ac:dyDescent="0.2">
      <c r="A130" s="10" t="s">
        <v>461</v>
      </c>
      <c r="C130" s="40"/>
      <c r="D130" s="6" t="s">
        <v>258</v>
      </c>
      <c r="E130" s="7"/>
      <c r="F130" s="68">
        <f>Input_PL_MaxPriceFinal_PR_NoPP</f>
        <v>101</v>
      </c>
      <c r="J130" s="2581"/>
      <c r="K130" s="2582"/>
      <c r="L130" s="2582"/>
      <c r="M130" s="2583"/>
      <c r="N130" s="1088" t="s">
        <v>1549</v>
      </c>
      <c r="O130" s="1090"/>
      <c r="P130" s="1090"/>
      <c r="Q130" s="1090"/>
      <c r="R130" s="1090"/>
      <c r="S130" s="1857" t="s">
        <v>1552</v>
      </c>
      <c r="T130" s="2181">
        <v>-0.25</v>
      </c>
      <c r="U130" s="2182">
        <v>-0.25</v>
      </c>
      <c r="V130" s="2182">
        <v>-0.25</v>
      </c>
      <c r="W130" s="2182">
        <v>-0.375</v>
      </c>
      <c r="X130" s="2182">
        <v>-0.375</v>
      </c>
      <c r="Y130" s="2182">
        <v>-0.375</v>
      </c>
      <c r="Z130" s="2182">
        <v>-0.5</v>
      </c>
      <c r="AA130" s="2182">
        <v>-0.75</v>
      </c>
      <c r="AB130" s="2183">
        <v>-0.75</v>
      </c>
      <c r="AC130" s="46"/>
      <c r="AE130" s="10"/>
      <c r="AF130" s="248"/>
      <c r="AG130" s="10"/>
      <c r="AH130" s="10"/>
    </row>
    <row r="131" spans="1:34" s="5" customFormat="1" ht="10.15" hidden="1" customHeight="1" x14ac:dyDescent="0.2">
      <c r="A131" s="10" t="s">
        <v>461</v>
      </c>
      <c r="C131" s="40"/>
      <c r="J131" s="2581"/>
      <c r="K131" s="2582"/>
      <c r="L131" s="2582"/>
      <c r="M131" s="2583"/>
      <c r="N131" s="1088" t="s">
        <v>1550</v>
      </c>
      <c r="O131" s="1090"/>
      <c r="P131" s="1090"/>
      <c r="Q131" s="1090"/>
      <c r="R131" s="1090"/>
      <c r="S131" s="1857" t="s">
        <v>1551</v>
      </c>
      <c r="T131" s="2184">
        <v>-0.75</v>
      </c>
      <c r="U131" s="2185">
        <v>-0.75</v>
      </c>
      <c r="V131" s="2185">
        <v>-0.75</v>
      </c>
      <c r="W131" s="2185">
        <v>-0.75</v>
      </c>
      <c r="X131" s="2185">
        <v>-0.75</v>
      </c>
      <c r="Y131" s="2185">
        <v>-0.75</v>
      </c>
      <c r="Z131" s="2185">
        <v>-1</v>
      </c>
      <c r="AA131" s="2185">
        <v>-1.25</v>
      </c>
      <c r="AB131" s="2186">
        <v>-1.25</v>
      </c>
      <c r="AC131" s="46"/>
      <c r="AE131" s="10"/>
      <c r="AF131" s="248"/>
      <c r="AG131" s="10"/>
      <c r="AH131" s="10"/>
    </row>
    <row r="132" spans="1:34" s="5" customFormat="1" ht="10.15" hidden="1" customHeight="1" x14ac:dyDescent="0.2">
      <c r="A132" s="10" t="s">
        <v>463</v>
      </c>
      <c r="C132" s="40"/>
      <c r="J132" s="2584"/>
      <c r="K132" s="2585"/>
      <c r="L132" s="2585"/>
      <c r="M132" s="2586"/>
      <c r="N132" s="1111" t="s">
        <v>15</v>
      </c>
      <c r="O132" s="1132"/>
      <c r="P132" s="1132"/>
      <c r="Q132" s="1132"/>
      <c r="R132" s="1132"/>
      <c r="S132" s="1863" t="s">
        <v>1387</v>
      </c>
      <c r="T132" s="2059" t="e">
        <v>#N/A</v>
      </c>
      <c r="U132" s="2060" t="e">
        <v>#N/A</v>
      </c>
      <c r="V132" s="2060" t="e">
        <v>#N/A</v>
      </c>
      <c r="W132" s="2060" t="e">
        <v>#N/A</v>
      </c>
      <c r="X132" s="2060" t="e">
        <v>#N/A</v>
      </c>
      <c r="Y132" s="2060" t="e">
        <v>#N/A</v>
      </c>
      <c r="Z132" s="2060" t="e">
        <v>#N/A</v>
      </c>
      <c r="AA132" s="2060" t="e">
        <v>#N/A</v>
      </c>
      <c r="AB132" s="2061" t="e">
        <v>#N/A</v>
      </c>
      <c r="AC132" s="46"/>
      <c r="AE132" s="10"/>
      <c r="AF132" s="248"/>
      <c r="AG132" s="10"/>
      <c r="AH132" s="10"/>
    </row>
    <row r="133" spans="1:34" s="5" customFormat="1" ht="10.15" hidden="1" customHeight="1" x14ac:dyDescent="0.2">
      <c r="A133" s="10" t="s">
        <v>463</v>
      </c>
      <c r="C133" s="40"/>
      <c r="J133" s="2575" t="s">
        <v>62</v>
      </c>
      <c r="K133" s="2576"/>
      <c r="L133" s="2576"/>
      <c r="M133" s="2577"/>
      <c r="N133" s="1114" t="s">
        <v>99</v>
      </c>
      <c r="O133" s="1151"/>
      <c r="P133" s="1151"/>
      <c r="Q133" s="1151"/>
      <c r="R133" s="1151"/>
      <c r="S133" s="1864" t="s">
        <v>1388</v>
      </c>
      <c r="T133" s="2293">
        <v>0</v>
      </c>
      <c r="U133" s="2294">
        <v>0</v>
      </c>
      <c r="V133" s="2294">
        <v>0</v>
      </c>
      <c r="W133" s="2294">
        <v>0</v>
      </c>
      <c r="X133" s="2294">
        <v>0</v>
      </c>
      <c r="Y133" s="2296">
        <v>0</v>
      </c>
      <c r="Z133" s="2296">
        <v>0</v>
      </c>
      <c r="AA133" s="2296">
        <v>0</v>
      </c>
      <c r="AB133" s="2297">
        <v>0</v>
      </c>
      <c r="AC133" s="46"/>
      <c r="AE133" s="10"/>
      <c r="AF133" s="248"/>
      <c r="AG133" s="10"/>
      <c r="AH133" s="10"/>
    </row>
    <row r="134" spans="1:34" s="5" customFormat="1" ht="10.15" hidden="1" customHeight="1" x14ac:dyDescent="0.2">
      <c r="A134" s="10" t="s">
        <v>463</v>
      </c>
      <c r="C134" s="40"/>
      <c r="J134" s="2578" t="s">
        <v>33</v>
      </c>
      <c r="K134" s="2579"/>
      <c r="L134" s="2579"/>
      <c r="M134" s="2580"/>
      <c r="N134" s="1115" t="s">
        <v>34</v>
      </c>
      <c r="O134" s="1133"/>
      <c r="P134" s="1133"/>
      <c r="Q134" s="1133"/>
      <c r="R134" s="1133"/>
      <c r="S134" s="1865" t="s">
        <v>1389</v>
      </c>
      <c r="T134" s="2290">
        <v>0</v>
      </c>
      <c r="U134" s="2291">
        <v>0</v>
      </c>
      <c r="V134" s="2291">
        <v>0</v>
      </c>
      <c r="W134" s="2291">
        <v>0</v>
      </c>
      <c r="X134" s="2291">
        <v>0</v>
      </c>
      <c r="Y134" s="2291">
        <v>0</v>
      </c>
      <c r="Z134" s="2291">
        <v>0</v>
      </c>
      <c r="AA134" s="2291">
        <v>0</v>
      </c>
      <c r="AB134" s="2292">
        <v>0</v>
      </c>
      <c r="AC134" s="46"/>
      <c r="AE134" s="10"/>
      <c r="AF134" s="248"/>
      <c r="AG134" s="10"/>
      <c r="AH134" s="10"/>
    </row>
    <row r="135" spans="1:34" s="5" customFormat="1" ht="10.15" hidden="1" customHeight="1" x14ac:dyDescent="0.2">
      <c r="A135" s="10" t="s">
        <v>463</v>
      </c>
      <c r="C135" s="40"/>
      <c r="J135" s="2581"/>
      <c r="K135" s="2582"/>
      <c r="L135" s="2582"/>
      <c r="M135" s="2583"/>
      <c r="N135" s="1095" t="s">
        <v>35</v>
      </c>
      <c r="O135" s="1091"/>
      <c r="P135" s="1091"/>
      <c r="Q135" s="1091"/>
      <c r="R135" s="1091"/>
      <c r="S135" s="1866" t="s">
        <v>1390</v>
      </c>
      <c r="T135" s="2278">
        <v>0</v>
      </c>
      <c r="U135" s="2279">
        <v>0</v>
      </c>
      <c r="V135" s="2279">
        <v>0</v>
      </c>
      <c r="W135" s="2279">
        <v>0</v>
      </c>
      <c r="X135" s="2279">
        <v>0</v>
      </c>
      <c r="Y135" s="2279">
        <v>0</v>
      </c>
      <c r="Z135" s="2279">
        <v>0</v>
      </c>
      <c r="AA135" s="2279">
        <v>0</v>
      </c>
      <c r="AB135" s="2280">
        <v>0</v>
      </c>
      <c r="AC135" s="46"/>
      <c r="AE135" s="10"/>
      <c r="AF135" s="248"/>
      <c r="AG135" s="10"/>
      <c r="AH135" s="10"/>
    </row>
    <row r="136" spans="1:34" s="5" customFormat="1" ht="10.15" hidden="1" customHeight="1" x14ac:dyDescent="0.2">
      <c r="A136" s="10" t="s">
        <v>463</v>
      </c>
      <c r="C136" s="40"/>
      <c r="J136" s="2584"/>
      <c r="K136" s="2585"/>
      <c r="L136" s="2585"/>
      <c r="M136" s="2586"/>
      <c r="N136" s="1116" t="s">
        <v>16</v>
      </c>
      <c r="O136" s="1096"/>
      <c r="P136" s="1096"/>
      <c r="Q136" s="1096"/>
      <c r="R136" s="1096"/>
      <c r="S136" s="1867" t="s">
        <v>1391</v>
      </c>
      <c r="T136" s="2287">
        <v>0</v>
      </c>
      <c r="U136" s="2288">
        <v>0</v>
      </c>
      <c r="V136" s="2288">
        <v>0</v>
      </c>
      <c r="W136" s="2288">
        <v>0</v>
      </c>
      <c r="X136" s="2288">
        <v>0</v>
      </c>
      <c r="Y136" s="2288">
        <v>0</v>
      </c>
      <c r="Z136" s="2288">
        <v>0</v>
      </c>
      <c r="AA136" s="2288">
        <v>0</v>
      </c>
      <c r="AB136" s="2289">
        <v>0</v>
      </c>
      <c r="AC136" s="46"/>
      <c r="AE136" s="10"/>
      <c r="AF136" s="248"/>
      <c r="AG136" s="10"/>
      <c r="AH136" s="10"/>
    </row>
    <row r="137" spans="1:34" s="5" customFormat="1" ht="10.15" hidden="1" customHeight="1" x14ac:dyDescent="0.2">
      <c r="A137" s="10" t="s">
        <v>461</v>
      </c>
      <c r="C137" s="40"/>
      <c r="J137" s="2578" t="s">
        <v>39</v>
      </c>
      <c r="K137" s="2579"/>
      <c r="L137" s="2579"/>
      <c r="M137" s="2580"/>
      <c r="N137" s="1115" t="s">
        <v>37</v>
      </c>
      <c r="O137" s="1133"/>
      <c r="P137" s="1133"/>
      <c r="Q137" s="1133"/>
      <c r="R137" s="1133"/>
      <c r="S137" s="1868" t="s">
        <v>1392</v>
      </c>
      <c r="T137" s="2275">
        <v>0</v>
      </c>
      <c r="U137" s="2276">
        <v>0</v>
      </c>
      <c r="V137" s="2276">
        <v>0</v>
      </c>
      <c r="W137" s="2276">
        <v>0</v>
      </c>
      <c r="X137" s="2276">
        <v>0</v>
      </c>
      <c r="Y137" s="2276">
        <v>0</v>
      </c>
      <c r="Z137" s="2276">
        <v>0</v>
      </c>
      <c r="AA137" s="2276">
        <v>0</v>
      </c>
      <c r="AB137" s="2277">
        <v>0</v>
      </c>
      <c r="AC137" s="46"/>
      <c r="AE137" s="10"/>
      <c r="AF137" s="248"/>
      <c r="AG137" s="10"/>
      <c r="AH137" s="10"/>
    </row>
    <row r="138" spans="1:34" s="5" customFormat="1" ht="10.15" hidden="1" customHeight="1" x14ac:dyDescent="0.2">
      <c r="A138" s="10" t="s">
        <v>461</v>
      </c>
      <c r="C138" s="40"/>
      <c r="J138" s="2584"/>
      <c r="K138" s="2585"/>
      <c r="L138" s="2585"/>
      <c r="M138" s="2586"/>
      <c r="N138" s="1116" t="s">
        <v>17</v>
      </c>
      <c r="O138" s="1096"/>
      <c r="P138" s="1096"/>
      <c r="Q138" s="1096"/>
      <c r="R138" s="1096"/>
      <c r="S138" s="1867" t="s">
        <v>1393</v>
      </c>
      <c r="T138" s="2284">
        <v>-1</v>
      </c>
      <c r="U138" s="2285">
        <v>-1</v>
      </c>
      <c r="V138" s="2285">
        <v>-1</v>
      </c>
      <c r="W138" s="2285">
        <v>-1</v>
      </c>
      <c r="X138" s="2340">
        <v>-1</v>
      </c>
      <c r="Y138" s="2285">
        <v>-1</v>
      </c>
      <c r="Z138" s="2285">
        <v>-1</v>
      </c>
      <c r="AA138" s="2203" t="e">
        <v>#N/A</v>
      </c>
      <c r="AB138" s="2424" t="e">
        <v>#N/A</v>
      </c>
      <c r="AC138" s="46"/>
      <c r="AE138" s="10"/>
      <c r="AF138" s="248"/>
      <c r="AG138" s="10"/>
      <c r="AH138" s="10"/>
    </row>
    <row r="139" spans="1:34" s="5" customFormat="1" ht="10.15" hidden="1" customHeight="1" x14ac:dyDescent="0.2">
      <c r="A139" s="10" t="s">
        <v>461</v>
      </c>
      <c r="C139" s="40"/>
      <c r="J139" s="2587" t="s">
        <v>428</v>
      </c>
      <c r="K139" s="2588"/>
      <c r="L139" s="2588"/>
      <c r="M139" s="2589"/>
      <c r="N139" s="1115" t="s">
        <v>427</v>
      </c>
      <c r="O139" s="1133"/>
      <c r="P139" s="1133"/>
      <c r="Q139" s="1133"/>
      <c r="R139" s="1133"/>
      <c r="S139" s="1869" t="s">
        <v>1394</v>
      </c>
      <c r="T139" s="2275">
        <v>0</v>
      </c>
      <c r="U139" s="2276">
        <v>0</v>
      </c>
      <c r="V139" s="2276">
        <v>0</v>
      </c>
      <c r="W139" s="2276">
        <v>0</v>
      </c>
      <c r="X139" s="2276">
        <v>0</v>
      </c>
      <c r="Y139" s="2276">
        <v>0</v>
      </c>
      <c r="Z139" s="2276">
        <v>0</v>
      </c>
      <c r="AA139" s="2276">
        <v>0</v>
      </c>
      <c r="AB139" s="2277">
        <v>0</v>
      </c>
      <c r="AC139" s="46"/>
      <c r="AE139" s="10"/>
      <c r="AF139" s="248"/>
      <c r="AG139" s="10"/>
      <c r="AH139" s="10"/>
    </row>
    <row r="140" spans="1:34" s="5" customFormat="1" ht="10.15" hidden="1" customHeight="1" x14ac:dyDescent="0.2">
      <c r="A140" s="10" t="s">
        <v>461</v>
      </c>
      <c r="C140" s="40"/>
      <c r="F140" s="69"/>
      <c r="J140" s="2590"/>
      <c r="K140" s="2591"/>
      <c r="L140" s="2591"/>
      <c r="M140" s="2592"/>
      <c r="N140" s="1116" t="s">
        <v>424</v>
      </c>
      <c r="O140" s="1096"/>
      <c r="P140" s="1096"/>
      <c r="Q140" s="1096"/>
      <c r="R140" s="1096"/>
      <c r="S140" s="1870" t="s">
        <v>1395</v>
      </c>
      <c r="T140" s="2284">
        <v>0</v>
      </c>
      <c r="U140" s="2285">
        <v>0</v>
      </c>
      <c r="V140" s="2285">
        <v>0</v>
      </c>
      <c r="W140" s="2285">
        <v>0</v>
      </c>
      <c r="X140" s="2285">
        <v>0</v>
      </c>
      <c r="Y140" s="2285">
        <v>0</v>
      </c>
      <c r="Z140" s="2285">
        <v>0</v>
      </c>
      <c r="AA140" s="2285">
        <v>0</v>
      </c>
      <c r="AB140" s="2286">
        <v>0</v>
      </c>
      <c r="AC140" s="46"/>
      <c r="AE140" s="10"/>
      <c r="AF140" s="248"/>
      <c r="AG140" s="10"/>
      <c r="AH140" s="10"/>
    </row>
    <row r="141" spans="1:34" s="5" customFormat="1" ht="10.15" hidden="1" customHeight="1" x14ac:dyDescent="0.2">
      <c r="A141" s="10" t="s">
        <v>461</v>
      </c>
      <c r="C141" s="40"/>
      <c r="J141" s="2578" t="s">
        <v>40</v>
      </c>
      <c r="K141" s="2579"/>
      <c r="L141" s="2579"/>
      <c r="M141" s="2580"/>
      <c r="N141" s="1117" t="s">
        <v>41</v>
      </c>
      <c r="O141" s="1135"/>
      <c r="P141" s="1135"/>
      <c r="Q141" s="1135"/>
      <c r="R141" s="1135"/>
      <c r="S141" s="1871" t="s">
        <v>1396</v>
      </c>
      <c r="T141" s="2275">
        <v>0</v>
      </c>
      <c r="U141" s="2276">
        <v>0</v>
      </c>
      <c r="V141" s="2276">
        <v>0</v>
      </c>
      <c r="W141" s="2276">
        <v>0</v>
      </c>
      <c r="X141" s="2276">
        <v>0</v>
      </c>
      <c r="Y141" s="2276">
        <v>0</v>
      </c>
      <c r="Z141" s="2276">
        <v>0</v>
      </c>
      <c r="AA141" s="2276">
        <v>0</v>
      </c>
      <c r="AB141" s="2277">
        <v>0</v>
      </c>
      <c r="AC141" s="46"/>
      <c r="AE141" s="10"/>
      <c r="AF141" s="248"/>
      <c r="AG141" s="10"/>
      <c r="AH141" s="10"/>
    </row>
    <row r="142" spans="1:34" s="5" customFormat="1" ht="10.15" hidden="1" customHeight="1" x14ac:dyDescent="0.2">
      <c r="A142" s="10" t="s">
        <v>461</v>
      </c>
      <c r="C142" s="40"/>
      <c r="J142" s="2581"/>
      <c r="K142" s="2582"/>
      <c r="L142" s="2582"/>
      <c r="M142" s="2583"/>
      <c r="N142" s="1118" t="s">
        <v>376</v>
      </c>
      <c r="O142" s="360"/>
      <c r="P142" s="360"/>
      <c r="Q142" s="360"/>
      <c r="R142" s="360"/>
      <c r="S142" s="1872" t="s">
        <v>1660</v>
      </c>
      <c r="T142" s="2281">
        <v>0</v>
      </c>
      <c r="U142" s="2282">
        <v>0</v>
      </c>
      <c r="V142" s="2282">
        <v>0</v>
      </c>
      <c r="W142" s="2282">
        <v>0</v>
      </c>
      <c r="X142" s="2282">
        <v>0</v>
      </c>
      <c r="Y142" s="2282">
        <v>0</v>
      </c>
      <c r="Z142" s="2282">
        <v>0</v>
      </c>
      <c r="AA142" s="2282">
        <v>0</v>
      </c>
      <c r="AB142" s="2283">
        <v>0</v>
      </c>
      <c r="AC142" s="46"/>
      <c r="AE142" s="10"/>
      <c r="AF142" s="248"/>
      <c r="AG142" s="10"/>
      <c r="AH142" s="10"/>
    </row>
    <row r="143" spans="1:34" s="5" customFormat="1" ht="10.15" hidden="1" customHeight="1" x14ac:dyDescent="0.2">
      <c r="A143" s="10" t="s">
        <v>461</v>
      </c>
      <c r="C143" s="40"/>
      <c r="J143" s="2581"/>
      <c r="K143" s="2582"/>
      <c r="L143" s="2582"/>
      <c r="M143" s="2583"/>
      <c r="N143" s="1119" t="s">
        <v>369</v>
      </c>
      <c r="O143" s="1092"/>
      <c r="P143" s="1092"/>
      <c r="Q143" s="1092"/>
      <c r="R143" s="1092"/>
      <c r="S143" s="1872" t="s">
        <v>1664</v>
      </c>
      <c r="T143" s="2281">
        <v>0</v>
      </c>
      <c r="U143" s="2282">
        <v>0</v>
      </c>
      <c r="V143" s="2282">
        <v>0</v>
      </c>
      <c r="W143" s="2282">
        <v>0</v>
      </c>
      <c r="X143" s="2282">
        <v>0</v>
      </c>
      <c r="Y143" s="2282">
        <v>0</v>
      </c>
      <c r="Z143" s="2282">
        <v>0</v>
      </c>
      <c r="AA143" s="2282">
        <v>0</v>
      </c>
      <c r="AB143" s="2283">
        <v>0</v>
      </c>
      <c r="AC143" s="46"/>
      <c r="AE143" s="10"/>
      <c r="AF143" s="248"/>
      <c r="AG143" s="10"/>
      <c r="AH143" s="10"/>
    </row>
    <row r="144" spans="1:34" s="5" customFormat="1" ht="10.15" hidden="1" customHeight="1" x14ac:dyDescent="0.2">
      <c r="A144" s="10" t="s">
        <v>461</v>
      </c>
      <c r="C144" s="40"/>
      <c r="J144" s="2584"/>
      <c r="K144" s="2585"/>
      <c r="L144" s="2585"/>
      <c r="M144" s="2586"/>
      <c r="N144" s="1116" t="s">
        <v>321</v>
      </c>
      <c r="O144" s="1096"/>
      <c r="P144" s="1096"/>
      <c r="Q144" s="1096"/>
      <c r="R144" s="1096"/>
      <c r="S144" s="1867" t="s">
        <v>1397</v>
      </c>
      <c r="T144" s="2284">
        <v>0</v>
      </c>
      <c r="U144" s="2285">
        <v>0</v>
      </c>
      <c r="V144" s="2285">
        <v>0</v>
      </c>
      <c r="W144" s="2285">
        <v>0</v>
      </c>
      <c r="X144" s="2285">
        <v>0</v>
      </c>
      <c r="Y144" s="2285">
        <v>0</v>
      </c>
      <c r="Z144" s="2285">
        <v>0</v>
      </c>
      <c r="AA144" s="2285">
        <v>0</v>
      </c>
      <c r="AB144" s="2286">
        <v>0</v>
      </c>
      <c r="AC144" s="46"/>
      <c r="AE144" s="10"/>
      <c r="AF144" s="248"/>
      <c r="AG144" s="10"/>
      <c r="AH144" s="10"/>
    </row>
    <row r="145" spans="1:34" s="5" customFormat="1" ht="10.15" hidden="1" customHeight="1" x14ac:dyDescent="0.2">
      <c r="A145" s="10" t="s">
        <v>461</v>
      </c>
      <c r="C145" s="40"/>
      <c r="J145" s="325" t="s">
        <v>91</v>
      </c>
      <c r="K145" s="326"/>
      <c r="L145" s="326"/>
      <c r="M145" s="327"/>
      <c r="N145" s="1120" t="s">
        <v>83</v>
      </c>
      <c r="O145" s="1136"/>
      <c r="P145" s="1136"/>
      <c r="Q145" s="1136"/>
      <c r="R145" s="1136"/>
      <c r="S145" s="1869" t="s">
        <v>1398</v>
      </c>
      <c r="T145" s="2178">
        <v>0</v>
      </c>
      <c r="U145" s="2179">
        <v>0</v>
      </c>
      <c r="V145" s="2179">
        <v>0</v>
      </c>
      <c r="W145" s="2179">
        <v>0</v>
      </c>
      <c r="X145" s="2179">
        <v>0</v>
      </c>
      <c r="Y145" s="2179">
        <v>0</v>
      </c>
      <c r="Z145" s="2179">
        <v>0</v>
      </c>
      <c r="AA145" s="2179">
        <v>0</v>
      </c>
      <c r="AB145" s="2180">
        <v>0</v>
      </c>
      <c r="AC145" s="46"/>
      <c r="AE145" s="10"/>
      <c r="AF145" s="248"/>
      <c r="AG145" s="10"/>
      <c r="AH145" s="10"/>
    </row>
    <row r="146" spans="1:34" s="5" customFormat="1" ht="10.15" hidden="1" customHeight="1" x14ac:dyDescent="0.2">
      <c r="A146" s="10" t="s">
        <v>461</v>
      </c>
      <c r="B146" s="10"/>
      <c r="C146" s="40"/>
      <c r="J146" s="328"/>
      <c r="K146" s="334"/>
      <c r="L146" s="334"/>
      <c r="M146" s="329"/>
      <c r="N146" s="1121" t="s">
        <v>1635</v>
      </c>
      <c r="O146" s="1093"/>
      <c r="P146" s="1093"/>
      <c r="Q146" s="1093"/>
      <c r="R146" s="1093"/>
      <c r="S146" s="1866" t="s">
        <v>1636</v>
      </c>
      <c r="T146" s="2181">
        <v>-1</v>
      </c>
      <c r="U146" s="2182">
        <v>-1</v>
      </c>
      <c r="V146" s="2182">
        <v>-1</v>
      </c>
      <c r="W146" s="2182">
        <v>-1</v>
      </c>
      <c r="X146" s="2182">
        <v>-1</v>
      </c>
      <c r="Y146" s="2182">
        <v>-1</v>
      </c>
      <c r="Z146" s="2182">
        <v>-1</v>
      </c>
      <c r="AA146" s="2182">
        <v>-1</v>
      </c>
      <c r="AB146" s="2183">
        <v>-1</v>
      </c>
      <c r="AC146" s="46"/>
      <c r="AE146" s="10"/>
      <c r="AF146" s="248"/>
      <c r="AG146" s="10"/>
      <c r="AH146" s="10"/>
    </row>
    <row r="147" spans="1:34" s="5" customFormat="1" ht="10.15" hidden="1" customHeight="1" x14ac:dyDescent="0.2">
      <c r="A147" s="10" t="s">
        <v>461</v>
      </c>
      <c r="C147" s="40"/>
      <c r="J147" s="328"/>
      <c r="K147" s="334"/>
      <c r="L147" s="334"/>
      <c r="M147" s="329"/>
      <c r="N147" s="1118" t="s">
        <v>155</v>
      </c>
      <c r="O147" s="360"/>
      <c r="P147" s="360"/>
      <c r="Q147" s="360"/>
      <c r="R147" s="360"/>
      <c r="S147" s="1872" t="s">
        <v>1399</v>
      </c>
      <c r="T147" s="2181">
        <v>0</v>
      </c>
      <c r="U147" s="2182">
        <v>0</v>
      </c>
      <c r="V147" s="2182">
        <v>0</v>
      </c>
      <c r="W147" s="2182">
        <v>0</v>
      </c>
      <c r="X147" s="2182">
        <v>0</v>
      </c>
      <c r="Y147" s="2182">
        <v>0</v>
      </c>
      <c r="Z147" s="2182">
        <v>0</v>
      </c>
      <c r="AA147" s="2182">
        <v>0</v>
      </c>
      <c r="AB147" s="2183">
        <v>0</v>
      </c>
      <c r="AC147" s="46"/>
      <c r="AE147" s="10"/>
      <c r="AF147" s="248"/>
      <c r="AG147" s="10"/>
      <c r="AH147" s="10"/>
    </row>
    <row r="148" spans="1:34" s="5" customFormat="1" ht="10.15" hidden="1" customHeight="1" x14ac:dyDescent="0.2">
      <c r="A148" s="10" t="s">
        <v>461</v>
      </c>
      <c r="C148" s="40"/>
      <c r="J148" s="328"/>
      <c r="K148" s="334"/>
      <c r="L148" s="334"/>
      <c r="M148" s="329"/>
      <c r="N148" s="1095" t="s">
        <v>128</v>
      </c>
      <c r="O148" s="1091"/>
      <c r="P148" s="1091"/>
      <c r="Q148" s="1091"/>
      <c r="R148" s="1091"/>
      <c r="S148" s="1872" t="s">
        <v>1400</v>
      </c>
      <c r="T148" s="2181">
        <v>0</v>
      </c>
      <c r="U148" s="2182">
        <v>0</v>
      </c>
      <c r="V148" s="2182">
        <v>0</v>
      </c>
      <c r="W148" s="2182">
        <v>0</v>
      </c>
      <c r="X148" s="2182">
        <v>0</v>
      </c>
      <c r="Y148" s="2182">
        <v>0</v>
      </c>
      <c r="Z148" s="2182">
        <v>0</v>
      </c>
      <c r="AA148" s="2182">
        <v>0</v>
      </c>
      <c r="AB148" s="2183">
        <v>0</v>
      </c>
      <c r="AC148" s="46"/>
      <c r="AE148" s="10"/>
      <c r="AF148" s="248"/>
      <c r="AG148" s="10"/>
      <c r="AH148" s="10"/>
    </row>
    <row r="149" spans="1:34" s="5" customFormat="1" ht="10.15" hidden="1" customHeight="1" x14ac:dyDescent="0.2">
      <c r="A149" s="10" t="s">
        <v>461</v>
      </c>
      <c r="C149" s="40"/>
      <c r="J149" s="328"/>
      <c r="K149" s="334"/>
      <c r="L149" s="334"/>
      <c r="M149" s="329"/>
      <c r="N149" s="1118" t="s">
        <v>153</v>
      </c>
      <c r="O149" s="360"/>
      <c r="P149" s="360"/>
      <c r="Q149" s="360"/>
      <c r="R149" s="360"/>
      <c r="S149" s="1872" t="s">
        <v>1401</v>
      </c>
      <c r="T149" s="2181">
        <v>0</v>
      </c>
      <c r="U149" s="2182">
        <v>0</v>
      </c>
      <c r="V149" s="2182">
        <v>0</v>
      </c>
      <c r="W149" s="2182">
        <v>0</v>
      </c>
      <c r="X149" s="2182">
        <v>0</v>
      </c>
      <c r="Y149" s="2182">
        <v>0</v>
      </c>
      <c r="Z149" s="2182">
        <v>0</v>
      </c>
      <c r="AA149" s="2182">
        <v>0</v>
      </c>
      <c r="AB149" s="2183">
        <v>0</v>
      </c>
      <c r="AC149" s="46"/>
      <c r="AE149" s="10"/>
      <c r="AF149" s="248"/>
      <c r="AG149" s="10"/>
      <c r="AH149" s="10"/>
    </row>
    <row r="150" spans="1:34" s="5" customFormat="1" ht="10.15" hidden="1" customHeight="1" x14ac:dyDescent="0.2">
      <c r="A150" s="10" t="s">
        <v>461</v>
      </c>
      <c r="C150" s="40"/>
      <c r="J150" s="328"/>
      <c r="K150" s="334"/>
      <c r="L150" s="334"/>
      <c r="M150" s="329"/>
      <c r="N150" s="1118" t="s">
        <v>154</v>
      </c>
      <c r="O150" s="360"/>
      <c r="P150" s="360"/>
      <c r="Q150" s="360"/>
      <c r="R150" s="360"/>
      <c r="S150" s="1872" t="s">
        <v>1402</v>
      </c>
      <c r="T150" s="2181">
        <v>0</v>
      </c>
      <c r="U150" s="2182">
        <v>0</v>
      </c>
      <c r="V150" s="2182">
        <v>0</v>
      </c>
      <c r="W150" s="2182">
        <v>0</v>
      </c>
      <c r="X150" s="2182">
        <v>0</v>
      </c>
      <c r="Y150" s="2182">
        <v>0</v>
      </c>
      <c r="Z150" s="2182">
        <v>0</v>
      </c>
      <c r="AA150" s="2182">
        <v>0</v>
      </c>
      <c r="AB150" s="2183">
        <v>0</v>
      </c>
      <c r="AC150" s="46"/>
      <c r="AE150" s="10"/>
      <c r="AF150" s="248"/>
      <c r="AG150" s="10"/>
      <c r="AH150" s="10"/>
    </row>
    <row r="151" spans="1:34" s="5" customFormat="1" ht="10.15" hidden="1" customHeight="1" x14ac:dyDescent="0.2">
      <c r="A151" s="10" t="s">
        <v>461</v>
      </c>
      <c r="C151" s="40"/>
      <c r="J151" s="328"/>
      <c r="K151" s="334"/>
      <c r="L151" s="334"/>
      <c r="M151" s="329"/>
      <c r="N151" s="1095" t="s">
        <v>222</v>
      </c>
      <c r="O151" s="1091"/>
      <c r="P151" s="1091"/>
      <c r="Q151" s="1091"/>
      <c r="R151" s="1091"/>
      <c r="S151" s="1872" t="s">
        <v>1403</v>
      </c>
      <c r="T151" s="2181">
        <v>0</v>
      </c>
      <c r="U151" s="2182">
        <v>0</v>
      </c>
      <c r="V151" s="2182">
        <v>0</v>
      </c>
      <c r="W151" s="2182">
        <v>0</v>
      </c>
      <c r="X151" s="2182">
        <v>0</v>
      </c>
      <c r="Y151" s="2182">
        <v>0</v>
      </c>
      <c r="Z151" s="2182">
        <v>0</v>
      </c>
      <c r="AA151" s="2182">
        <v>0</v>
      </c>
      <c r="AB151" s="2183">
        <v>0</v>
      </c>
      <c r="AC151" s="46"/>
      <c r="AE151" s="10"/>
      <c r="AF151" s="248"/>
      <c r="AG151" s="10"/>
      <c r="AH151" s="10"/>
    </row>
    <row r="152" spans="1:34" s="5" customFormat="1" ht="10.15" hidden="1" customHeight="1" x14ac:dyDescent="0.2">
      <c r="A152" s="10" t="s">
        <v>461</v>
      </c>
      <c r="C152" s="40"/>
      <c r="J152" s="328"/>
      <c r="K152" s="334"/>
      <c r="L152" s="334"/>
      <c r="M152" s="329"/>
      <c r="N152" s="1118" t="s">
        <v>131</v>
      </c>
      <c r="O152" s="360"/>
      <c r="P152" s="360"/>
      <c r="Q152" s="360"/>
      <c r="R152" s="360"/>
      <c r="S152" s="1872" t="s">
        <v>1404</v>
      </c>
      <c r="T152" s="2181">
        <v>-0.25</v>
      </c>
      <c r="U152" s="2182">
        <v>-0.25</v>
      </c>
      <c r="V152" s="2182">
        <v>-0.25</v>
      </c>
      <c r="W152" s="2182">
        <v>-0.375</v>
      </c>
      <c r="X152" s="2182">
        <v>-0.375</v>
      </c>
      <c r="Y152" s="2182">
        <v>-0.5</v>
      </c>
      <c r="Z152" s="2402" t="e">
        <v>#N/A</v>
      </c>
      <c r="AA152" s="2402" t="e">
        <v>#N/A</v>
      </c>
      <c r="AB152" s="2399" t="e">
        <v>#N/A</v>
      </c>
      <c r="AC152" s="46"/>
      <c r="AE152" s="10"/>
      <c r="AF152" s="248"/>
      <c r="AG152" s="10"/>
      <c r="AH152" s="10"/>
    </row>
    <row r="153" spans="1:34" s="5" customFormat="1" ht="10.15" hidden="1" customHeight="1" x14ac:dyDescent="0.2">
      <c r="A153" s="10" t="s">
        <v>463</v>
      </c>
      <c r="C153" s="40"/>
      <c r="J153" s="328"/>
      <c r="K153" s="334"/>
      <c r="L153" s="334"/>
      <c r="M153" s="329"/>
      <c r="N153" s="1118" t="s">
        <v>132</v>
      </c>
      <c r="O153" s="360"/>
      <c r="P153" s="360"/>
      <c r="Q153" s="360"/>
      <c r="R153" s="360"/>
      <c r="S153" s="1872" t="s">
        <v>1405</v>
      </c>
      <c r="T153" s="2425" t="e">
        <v>#N/A</v>
      </c>
      <c r="U153" s="2402" t="e">
        <v>#N/A</v>
      </c>
      <c r="V153" s="2402" t="e">
        <v>#N/A</v>
      </c>
      <c r="W153" s="2402" t="e">
        <v>#N/A</v>
      </c>
      <c r="X153" s="2402" t="e">
        <v>#N/A</v>
      </c>
      <c r="Y153" s="2402" t="e">
        <v>#N/A</v>
      </c>
      <c r="Z153" s="2402" t="e">
        <v>#N/A</v>
      </c>
      <c r="AA153" s="2402" t="e">
        <v>#N/A</v>
      </c>
      <c r="AB153" s="2399" t="e">
        <v>#N/A</v>
      </c>
      <c r="AC153" s="46"/>
      <c r="AE153" s="10"/>
      <c r="AF153" s="248"/>
      <c r="AG153" s="10"/>
      <c r="AH153" s="10"/>
    </row>
    <row r="154" spans="1:34" s="5" customFormat="1" ht="10.15" hidden="1" customHeight="1" x14ac:dyDescent="0.2">
      <c r="A154" s="10" t="s">
        <v>461</v>
      </c>
      <c r="C154" s="40"/>
      <c r="J154" s="328"/>
      <c r="K154" s="334"/>
      <c r="L154" s="334"/>
      <c r="M154" s="329"/>
      <c r="N154" s="1095" t="s">
        <v>133</v>
      </c>
      <c r="O154" s="1091"/>
      <c r="P154" s="1091"/>
      <c r="Q154" s="1091"/>
      <c r="R154" s="1091"/>
      <c r="S154" s="1866" t="s">
        <v>1406</v>
      </c>
      <c r="T154" s="2181">
        <v>-0.375</v>
      </c>
      <c r="U154" s="2182">
        <v>-0.375</v>
      </c>
      <c r="V154" s="2182">
        <v>-0.375</v>
      </c>
      <c r="W154" s="2182">
        <v>-0.5</v>
      </c>
      <c r="X154" s="2182">
        <v>-0.5</v>
      </c>
      <c r="Y154" s="2182">
        <v>-0.5</v>
      </c>
      <c r="Z154" s="2402" t="e">
        <v>#N/A</v>
      </c>
      <c r="AA154" s="2402" t="e">
        <v>#N/A</v>
      </c>
      <c r="AB154" s="2399" t="e">
        <v>#N/A</v>
      </c>
      <c r="AC154" s="46"/>
      <c r="AE154" s="10"/>
      <c r="AF154" s="248"/>
      <c r="AG154" s="10"/>
      <c r="AH154" s="10"/>
    </row>
    <row r="155" spans="1:34" s="5" customFormat="1" ht="10.15" hidden="1" customHeight="1" x14ac:dyDescent="0.2">
      <c r="A155" s="10" t="s">
        <v>461</v>
      </c>
      <c r="B155" s="10"/>
      <c r="C155" s="40"/>
      <c r="J155" s="328"/>
      <c r="K155" s="334"/>
      <c r="L155" s="334"/>
      <c r="M155" s="329"/>
      <c r="N155" s="1095" t="s">
        <v>134</v>
      </c>
      <c r="O155" s="1091"/>
      <c r="P155" s="1091"/>
      <c r="Q155" s="1091"/>
      <c r="R155" s="1091"/>
      <c r="S155" s="1866" t="s">
        <v>1407</v>
      </c>
      <c r="T155" s="2181">
        <v>-0.375</v>
      </c>
      <c r="U155" s="2182">
        <v>-0.375</v>
      </c>
      <c r="V155" s="2182">
        <v>-0.375</v>
      </c>
      <c r="W155" s="2182">
        <v>-0.5</v>
      </c>
      <c r="X155" s="2182">
        <v>-0.5</v>
      </c>
      <c r="Y155" s="2182">
        <v>-0.5</v>
      </c>
      <c r="Z155" s="2402" t="e">
        <v>#N/A</v>
      </c>
      <c r="AA155" s="2402" t="e">
        <v>#N/A</v>
      </c>
      <c r="AB155" s="2399" t="e">
        <v>#N/A</v>
      </c>
      <c r="AC155" s="46"/>
      <c r="AE155" s="10"/>
      <c r="AF155" s="248"/>
      <c r="AG155" s="10"/>
      <c r="AH155" s="10"/>
    </row>
    <row r="156" spans="1:34" s="5" customFormat="1" ht="10.15" hidden="1" customHeight="1" x14ac:dyDescent="0.2">
      <c r="A156" s="10" t="s">
        <v>461</v>
      </c>
      <c r="B156" s="10"/>
      <c r="C156" s="40"/>
      <c r="J156" s="328"/>
      <c r="K156" s="334"/>
      <c r="L156" s="334"/>
      <c r="M156" s="329"/>
      <c r="N156" s="1095" t="s">
        <v>135</v>
      </c>
      <c r="O156" s="1091"/>
      <c r="P156" s="1091"/>
      <c r="Q156" s="1091"/>
      <c r="R156" s="1091"/>
      <c r="S156" s="1866" t="s">
        <v>1408</v>
      </c>
      <c r="T156" s="2181">
        <v>-0.375</v>
      </c>
      <c r="U156" s="2182">
        <v>-0.375</v>
      </c>
      <c r="V156" s="2182">
        <v>-0.375</v>
      </c>
      <c r="W156" s="2182">
        <v>-0.5</v>
      </c>
      <c r="X156" s="2182">
        <v>-0.5</v>
      </c>
      <c r="Y156" s="2182">
        <v>-0.5</v>
      </c>
      <c r="Z156" s="2402" t="e">
        <v>#N/A</v>
      </c>
      <c r="AA156" s="2402" t="e">
        <v>#N/A</v>
      </c>
      <c r="AB156" s="2399" t="e">
        <v>#N/A</v>
      </c>
      <c r="AC156" s="46"/>
      <c r="AE156" s="10"/>
      <c r="AF156" s="248"/>
      <c r="AG156" s="10"/>
      <c r="AH156" s="10"/>
    </row>
    <row r="157" spans="1:34" s="5" customFormat="1" ht="10.15" hidden="1" customHeight="1" x14ac:dyDescent="0.2">
      <c r="A157" s="10" t="s">
        <v>461</v>
      </c>
      <c r="B157" s="10"/>
      <c r="C157" s="40"/>
      <c r="J157" s="328"/>
      <c r="K157" s="334"/>
      <c r="L157" s="334"/>
      <c r="M157" s="329"/>
      <c r="N157" s="1095" t="s">
        <v>19</v>
      </c>
      <c r="O157" s="1091"/>
      <c r="P157" s="1091"/>
      <c r="Q157" s="1091"/>
      <c r="R157" s="1091"/>
      <c r="S157" s="1866" t="s">
        <v>1409</v>
      </c>
      <c r="T157" s="2181">
        <v>-2</v>
      </c>
      <c r="U157" s="2182">
        <v>-2</v>
      </c>
      <c r="V157" s="2182">
        <v>-2</v>
      </c>
      <c r="W157" s="2182">
        <v>-2</v>
      </c>
      <c r="X157" s="2182">
        <v>-2</v>
      </c>
      <c r="Y157" s="2182">
        <v>-2</v>
      </c>
      <c r="Z157" s="2182">
        <v>-2</v>
      </c>
      <c r="AA157" s="2182">
        <v>-2</v>
      </c>
      <c r="AB157" s="2183">
        <v>-2</v>
      </c>
      <c r="AC157" s="46"/>
      <c r="AE157" s="10"/>
      <c r="AF157" s="248"/>
      <c r="AG157" s="10"/>
      <c r="AH157" s="10"/>
    </row>
    <row r="158" spans="1:34" s="5" customFormat="1" ht="10.15" hidden="1" customHeight="1" x14ac:dyDescent="0.2">
      <c r="A158" s="10" t="s">
        <v>463</v>
      </c>
      <c r="B158" s="10"/>
      <c r="C158" s="40"/>
      <c r="J158" s="330"/>
      <c r="K158" s="331"/>
      <c r="L158" s="331"/>
      <c r="M158" s="332"/>
      <c r="N158" s="1122" t="s">
        <v>130</v>
      </c>
      <c r="O158" s="1152"/>
      <c r="P158" s="1152"/>
      <c r="Q158" s="1152"/>
      <c r="R158" s="1152"/>
      <c r="S158" s="1870" t="s">
        <v>1410</v>
      </c>
      <c r="T158" s="2059" t="e">
        <v>#N/A</v>
      </c>
      <c r="U158" s="2060" t="e">
        <v>#N/A</v>
      </c>
      <c r="V158" s="2060" t="e">
        <v>#N/A</v>
      </c>
      <c r="W158" s="2060" t="e">
        <v>#N/A</v>
      </c>
      <c r="X158" s="2065" t="e">
        <v>#N/A</v>
      </c>
      <c r="Y158" s="2060" t="e">
        <v>#N/A</v>
      </c>
      <c r="Z158" s="2060" t="e">
        <v>#N/A</v>
      </c>
      <c r="AA158" s="2060" t="e">
        <v>#N/A</v>
      </c>
      <c r="AB158" s="2061" t="e">
        <v>#N/A</v>
      </c>
      <c r="AC158" s="46"/>
      <c r="AE158" s="10"/>
      <c r="AF158" s="248"/>
      <c r="AG158" s="10"/>
      <c r="AH158" s="10"/>
    </row>
    <row r="159" spans="1:34" s="5" customFormat="1" ht="10.15" hidden="1" customHeight="1" x14ac:dyDescent="0.2">
      <c r="A159" s="10" t="s">
        <v>463</v>
      </c>
      <c r="B159" s="10"/>
      <c r="C159" s="40"/>
      <c r="J159" s="2587" t="s">
        <v>46</v>
      </c>
      <c r="K159" s="2588"/>
      <c r="L159" s="2588"/>
      <c r="M159" s="2589"/>
      <c r="N159" s="1120" t="s">
        <v>217</v>
      </c>
      <c r="O159" s="1136"/>
      <c r="P159" s="1136"/>
      <c r="Q159" s="1136"/>
      <c r="R159" s="1136"/>
      <c r="S159" s="1869" t="s">
        <v>1411</v>
      </c>
      <c r="T159" s="2426">
        <v>0</v>
      </c>
      <c r="U159" s="2310">
        <v>0</v>
      </c>
      <c r="V159" s="2310">
        <v>0</v>
      </c>
      <c r="W159" s="2310">
        <v>0</v>
      </c>
      <c r="X159" s="2310">
        <v>0</v>
      </c>
      <c r="Y159" s="2310">
        <v>0</v>
      </c>
      <c r="Z159" s="2310">
        <v>0</v>
      </c>
      <c r="AA159" s="2310">
        <v>0</v>
      </c>
      <c r="AB159" s="2427">
        <v>0</v>
      </c>
      <c r="AC159" s="46"/>
      <c r="AE159" s="10"/>
      <c r="AF159" s="248"/>
      <c r="AG159" s="10"/>
      <c r="AH159" s="10"/>
    </row>
    <row r="160" spans="1:34" s="5" customFormat="1" ht="10.15" hidden="1" customHeight="1" x14ac:dyDescent="0.2">
      <c r="A160" s="10" t="s">
        <v>463</v>
      </c>
      <c r="B160" s="10"/>
      <c r="C160" s="40"/>
      <c r="J160" s="2595"/>
      <c r="K160" s="2596"/>
      <c r="L160" s="2596"/>
      <c r="M160" s="2597"/>
      <c r="N160" s="1123" t="s">
        <v>215</v>
      </c>
      <c r="O160" s="1094"/>
      <c r="P160" s="1094"/>
      <c r="Q160" s="1094"/>
      <c r="R160" s="1094"/>
      <c r="S160" s="1873" t="s">
        <v>1412</v>
      </c>
      <c r="T160" s="2428">
        <v>0</v>
      </c>
      <c r="U160" s="2209">
        <v>0</v>
      </c>
      <c r="V160" s="2209">
        <v>0</v>
      </c>
      <c r="W160" s="2209">
        <v>0</v>
      </c>
      <c r="X160" s="2209">
        <v>0</v>
      </c>
      <c r="Y160" s="2209">
        <v>0</v>
      </c>
      <c r="Z160" s="2209">
        <v>0</v>
      </c>
      <c r="AA160" s="2209">
        <v>0</v>
      </c>
      <c r="AB160" s="2429">
        <v>0</v>
      </c>
      <c r="AC160" s="46"/>
      <c r="AE160" s="10"/>
      <c r="AF160" s="248"/>
      <c r="AG160" s="10"/>
      <c r="AH160" s="10"/>
    </row>
    <row r="161" spans="1:34" s="5" customFormat="1" ht="10.15" hidden="1" customHeight="1" x14ac:dyDescent="0.2">
      <c r="A161" s="10" t="s">
        <v>463</v>
      </c>
      <c r="B161" s="10"/>
      <c r="C161" s="40"/>
      <c r="J161" s="2595"/>
      <c r="K161" s="2596"/>
      <c r="L161" s="2596"/>
      <c r="M161" s="2597"/>
      <c r="N161" s="1123" t="s">
        <v>237</v>
      </c>
      <c r="O161" s="1094"/>
      <c r="P161" s="1094"/>
      <c r="Q161" s="1094"/>
      <c r="R161" s="1094"/>
      <c r="S161" s="1873" t="s">
        <v>1413</v>
      </c>
      <c r="T161" s="2428">
        <v>0</v>
      </c>
      <c r="U161" s="2209">
        <v>0</v>
      </c>
      <c r="V161" s="2209">
        <v>0</v>
      </c>
      <c r="W161" s="2209">
        <v>0</v>
      </c>
      <c r="X161" s="2209">
        <v>0</v>
      </c>
      <c r="Y161" s="2209">
        <v>0</v>
      </c>
      <c r="Z161" s="2209">
        <v>0</v>
      </c>
      <c r="AA161" s="2209">
        <v>0</v>
      </c>
      <c r="AB161" s="2429">
        <v>0</v>
      </c>
      <c r="AC161" s="46"/>
      <c r="AE161" s="10"/>
      <c r="AF161" s="248"/>
      <c r="AG161" s="10"/>
      <c r="AH161" s="10"/>
    </row>
    <row r="162" spans="1:34" s="5" customFormat="1" ht="10.15" hidden="1" customHeight="1" x14ac:dyDescent="0.2">
      <c r="A162" s="10" t="s">
        <v>463</v>
      </c>
      <c r="B162" s="10"/>
      <c r="C162" s="40"/>
      <c r="J162" s="2590"/>
      <c r="K162" s="2591"/>
      <c r="L162" s="2591"/>
      <c r="M162" s="2592"/>
      <c r="N162" s="1124" t="s">
        <v>45</v>
      </c>
      <c r="O162" s="1137"/>
      <c r="P162" s="1137"/>
      <c r="Q162" s="1137"/>
      <c r="R162" s="1137"/>
      <c r="S162" s="1874" t="s">
        <v>1414</v>
      </c>
      <c r="T162" s="2066" t="e">
        <v>#N/A</v>
      </c>
      <c r="U162" s="2065" t="e">
        <v>#N/A</v>
      </c>
      <c r="V162" s="2065" t="e">
        <v>#N/A</v>
      </c>
      <c r="W162" s="2065" t="e">
        <v>#N/A</v>
      </c>
      <c r="X162" s="2065" t="e">
        <v>#N/A</v>
      </c>
      <c r="Y162" s="2065" t="e">
        <v>#N/A</v>
      </c>
      <c r="Z162" s="2065" t="e">
        <v>#N/A</v>
      </c>
      <c r="AA162" s="2065" t="e">
        <v>#N/A</v>
      </c>
      <c r="AB162" s="2439" t="e">
        <v>#N/A</v>
      </c>
      <c r="AC162" s="46"/>
      <c r="AE162" s="10"/>
      <c r="AF162" s="248"/>
      <c r="AG162" s="10"/>
      <c r="AH162" s="10"/>
    </row>
    <row r="163" spans="1:34" s="5" customFormat="1" ht="10.15" hidden="1" customHeight="1" x14ac:dyDescent="0.2">
      <c r="A163" s="10" t="s">
        <v>463</v>
      </c>
      <c r="B163" s="10"/>
      <c r="C163" s="40"/>
      <c r="J163" s="242" t="s">
        <v>44</v>
      </c>
      <c r="K163" s="243"/>
      <c r="L163" s="243"/>
      <c r="M163" s="244"/>
      <c r="N163" s="1120" t="s">
        <v>283</v>
      </c>
      <c r="O163" s="1136"/>
      <c r="P163" s="1136"/>
      <c r="Q163" s="1136"/>
      <c r="R163" s="1136"/>
      <c r="S163" s="1869" t="s">
        <v>1415</v>
      </c>
      <c r="T163" s="2426">
        <v>0</v>
      </c>
      <c r="U163" s="2310">
        <v>0</v>
      </c>
      <c r="V163" s="2310">
        <v>0</v>
      </c>
      <c r="W163" s="2310">
        <v>0</v>
      </c>
      <c r="X163" s="2310">
        <v>0</v>
      </c>
      <c r="Y163" s="2310">
        <v>0</v>
      </c>
      <c r="Z163" s="2310">
        <v>0</v>
      </c>
      <c r="AA163" s="2310">
        <v>0</v>
      </c>
      <c r="AB163" s="2427">
        <v>0</v>
      </c>
      <c r="AC163" s="46"/>
      <c r="AE163" s="10"/>
      <c r="AF163" s="248"/>
      <c r="AG163" s="10"/>
      <c r="AH163" s="10"/>
    </row>
    <row r="164" spans="1:34" s="5" customFormat="1" ht="10.15" hidden="1" customHeight="1" x14ac:dyDescent="0.2">
      <c r="A164" s="10" t="s">
        <v>463</v>
      </c>
      <c r="B164" s="10"/>
      <c r="C164" s="40"/>
      <c r="J164" s="245"/>
      <c r="K164" s="246"/>
      <c r="L164" s="246"/>
      <c r="M164" s="247"/>
      <c r="N164" s="1123" t="s">
        <v>125</v>
      </c>
      <c r="O164" s="1094"/>
      <c r="P164" s="1094"/>
      <c r="Q164" s="1094"/>
      <c r="R164" s="1094"/>
      <c r="S164" s="1875" t="s">
        <v>1416</v>
      </c>
      <c r="T164" s="2428">
        <v>0</v>
      </c>
      <c r="U164" s="2209">
        <v>0</v>
      </c>
      <c r="V164" s="2209">
        <v>0</v>
      </c>
      <c r="W164" s="2209">
        <v>0</v>
      </c>
      <c r="X164" s="2209">
        <v>0</v>
      </c>
      <c r="Y164" s="2209">
        <v>0</v>
      </c>
      <c r="Z164" s="2209">
        <v>0</v>
      </c>
      <c r="AA164" s="2209">
        <v>0</v>
      </c>
      <c r="AB164" s="2429">
        <v>0</v>
      </c>
      <c r="AC164" s="46"/>
      <c r="AE164" s="10"/>
      <c r="AF164" s="248"/>
      <c r="AG164" s="10"/>
      <c r="AH164" s="10"/>
    </row>
    <row r="165" spans="1:34" s="5" customFormat="1" ht="10.15" hidden="1" customHeight="1" x14ac:dyDescent="0.2">
      <c r="A165" s="10" t="s">
        <v>463</v>
      </c>
      <c r="B165" s="10"/>
      <c r="C165" s="40"/>
      <c r="J165" s="245"/>
      <c r="K165" s="246"/>
      <c r="L165" s="246"/>
      <c r="M165" s="247"/>
      <c r="N165" s="1123" t="s">
        <v>18</v>
      </c>
      <c r="O165" s="1094"/>
      <c r="P165" s="1094"/>
      <c r="Q165" s="1094"/>
      <c r="R165" s="1094"/>
      <c r="S165" s="1875" t="s">
        <v>1417</v>
      </c>
      <c r="T165" s="2440" t="e">
        <v>#N/A</v>
      </c>
      <c r="U165" s="2067" t="e">
        <v>#N/A</v>
      </c>
      <c r="V165" s="2067" t="e">
        <v>#N/A</v>
      </c>
      <c r="W165" s="2067" t="e">
        <v>#N/A</v>
      </c>
      <c r="X165" s="2067" t="e">
        <v>#N/A</v>
      </c>
      <c r="Y165" s="2067" t="e">
        <v>#N/A</v>
      </c>
      <c r="Z165" s="2067" t="e">
        <v>#N/A</v>
      </c>
      <c r="AA165" s="2067" t="e">
        <v>#N/A</v>
      </c>
      <c r="AB165" s="2441" t="e">
        <v>#N/A</v>
      </c>
      <c r="AC165" s="46"/>
      <c r="AE165" s="10"/>
      <c r="AF165" s="248"/>
      <c r="AG165" s="10"/>
      <c r="AH165" s="10"/>
    </row>
    <row r="166" spans="1:34" s="5" customFormat="1" ht="10.15" hidden="1" customHeight="1" x14ac:dyDescent="0.2">
      <c r="A166" s="10" t="s">
        <v>463</v>
      </c>
      <c r="B166" s="10"/>
      <c r="C166" s="40"/>
      <c r="J166" s="245"/>
      <c r="K166" s="246"/>
      <c r="L166" s="246"/>
      <c r="M166" s="247"/>
      <c r="N166" s="1123" t="s">
        <v>238</v>
      </c>
      <c r="O166" s="1094"/>
      <c r="P166" s="1094"/>
      <c r="Q166" s="1094"/>
      <c r="R166" s="1094"/>
      <c r="S166" s="1875" t="s">
        <v>1418</v>
      </c>
      <c r="T166" s="2440" t="e">
        <v>#N/A</v>
      </c>
      <c r="U166" s="2067" t="e">
        <v>#N/A</v>
      </c>
      <c r="V166" s="2067" t="e">
        <v>#N/A</v>
      </c>
      <c r="W166" s="2067" t="e">
        <v>#N/A</v>
      </c>
      <c r="X166" s="2067" t="e">
        <v>#N/A</v>
      </c>
      <c r="Y166" s="2067" t="e">
        <v>#N/A</v>
      </c>
      <c r="Z166" s="2067" t="e">
        <v>#N/A</v>
      </c>
      <c r="AA166" s="2067" t="e">
        <v>#N/A</v>
      </c>
      <c r="AB166" s="2441" t="e">
        <v>#N/A</v>
      </c>
      <c r="AC166" s="46"/>
      <c r="AE166" s="10"/>
      <c r="AF166" s="248"/>
      <c r="AG166" s="10"/>
      <c r="AH166" s="10"/>
    </row>
    <row r="167" spans="1:34" s="5" customFormat="1" ht="10.15" hidden="1" customHeight="1" x14ac:dyDescent="0.2">
      <c r="A167" s="10" t="s">
        <v>463</v>
      </c>
      <c r="B167" s="10"/>
      <c r="C167" s="40"/>
      <c r="J167" s="245"/>
      <c r="K167" s="246"/>
      <c r="L167" s="246"/>
      <c r="M167" s="247"/>
      <c r="N167" s="1123" t="s">
        <v>152</v>
      </c>
      <c r="O167" s="1094"/>
      <c r="P167" s="1094"/>
      <c r="Q167" s="1094"/>
      <c r="R167" s="1094"/>
      <c r="S167" s="1875" t="s">
        <v>1419</v>
      </c>
      <c r="T167" s="2440" t="e">
        <v>#N/A</v>
      </c>
      <c r="U167" s="2067" t="e">
        <v>#N/A</v>
      </c>
      <c r="V167" s="2067" t="e">
        <v>#N/A</v>
      </c>
      <c r="W167" s="2067" t="e">
        <v>#N/A</v>
      </c>
      <c r="X167" s="2067" t="e">
        <v>#N/A</v>
      </c>
      <c r="Y167" s="2067" t="e">
        <v>#N/A</v>
      </c>
      <c r="Z167" s="2067" t="e">
        <v>#N/A</v>
      </c>
      <c r="AA167" s="2067" t="e">
        <v>#N/A</v>
      </c>
      <c r="AB167" s="2441" t="e">
        <v>#N/A</v>
      </c>
      <c r="AC167" s="46"/>
      <c r="AE167" s="10"/>
      <c r="AF167" s="248"/>
      <c r="AG167" s="10"/>
      <c r="AH167" s="10"/>
    </row>
    <row r="168" spans="1:34" s="5" customFormat="1" ht="10.15" hidden="1" customHeight="1" x14ac:dyDescent="0.2">
      <c r="A168" s="10" t="s">
        <v>463</v>
      </c>
      <c r="B168" s="10"/>
      <c r="C168" s="40"/>
      <c r="J168" s="301"/>
      <c r="K168" s="302"/>
      <c r="L168" s="302"/>
      <c r="M168" s="303"/>
      <c r="N168" s="1123" t="s">
        <v>3914</v>
      </c>
      <c r="O168" s="1094"/>
      <c r="P168" s="1094"/>
      <c r="Q168" s="1094"/>
      <c r="R168" s="1094"/>
      <c r="S168" s="1876" t="s">
        <v>3913</v>
      </c>
      <c r="T168" s="2442" t="e">
        <v>#N/A</v>
      </c>
      <c r="U168" s="1468" t="e">
        <v>#N/A</v>
      </c>
      <c r="V168" s="1468" t="e">
        <v>#N/A</v>
      </c>
      <c r="W168" s="1468" t="e">
        <v>#N/A</v>
      </c>
      <c r="X168" s="1468" t="e">
        <v>#N/A</v>
      </c>
      <c r="Y168" s="1468" t="e">
        <v>#N/A</v>
      </c>
      <c r="Z168" s="1468" t="e">
        <v>#N/A</v>
      </c>
      <c r="AA168" s="1468" t="e">
        <v>#N/A</v>
      </c>
      <c r="AB168" s="2443" t="e">
        <v>#N/A</v>
      </c>
      <c r="AC168" s="46"/>
      <c r="AE168" s="10"/>
      <c r="AF168" s="248"/>
      <c r="AG168" s="10"/>
      <c r="AH168" s="10"/>
    </row>
    <row r="169" spans="1:34" s="5" customFormat="1" ht="10.15" hidden="1" customHeight="1" x14ac:dyDescent="0.2">
      <c r="A169" s="10" t="s">
        <v>463</v>
      </c>
      <c r="B169" s="10"/>
      <c r="C169" s="40"/>
      <c r="J169" s="245" t="s">
        <v>43</v>
      </c>
      <c r="K169" s="246"/>
      <c r="L169" s="1461"/>
      <c r="M169" s="247"/>
      <c r="N169" s="1120" t="s">
        <v>2669</v>
      </c>
      <c r="O169" s="1136"/>
      <c r="P169" s="1136"/>
      <c r="Q169" s="1136"/>
      <c r="R169" s="1136"/>
      <c r="S169" s="1877" t="s">
        <v>2673</v>
      </c>
      <c r="T169" s="2275">
        <v>0</v>
      </c>
      <c r="U169" s="2276">
        <v>0</v>
      </c>
      <c r="V169" s="2276">
        <v>0</v>
      </c>
      <c r="W169" s="2276">
        <v>0</v>
      </c>
      <c r="X169" s="2276">
        <v>0</v>
      </c>
      <c r="Y169" s="2276">
        <v>0</v>
      </c>
      <c r="Z169" s="2276">
        <v>0</v>
      </c>
      <c r="AA169" s="2276">
        <v>0</v>
      </c>
      <c r="AB169" s="2277">
        <v>0</v>
      </c>
      <c r="AC169" s="46"/>
      <c r="AE169" s="10"/>
      <c r="AF169" s="248"/>
      <c r="AG169" s="10"/>
      <c r="AH169" s="10"/>
    </row>
    <row r="170" spans="1:34" s="5" customFormat="1" ht="10.15" hidden="1" customHeight="1" x14ac:dyDescent="0.2">
      <c r="A170" s="10" t="s">
        <v>463</v>
      </c>
      <c r="C170" s="40"/>
      <c r="J170" s="245"/>
      <c r="K170" s="246"/>
      <c r="L170" s="1461"/>
      <c r="M170" s="247"/>
      <c r="N170" s="1118" t="s">
        <v>4162</v>
      </c>
      <c r="O170" s="360"/>
      <c r="P170" s="360"/>
      <c r="Q170" s="360"/>
      <c r="R170" s="360"/>
      <c r="S170" s="1877" t="s">
        <v>4167</v>
      </c>
      <c r="T170" s="2056" t="e">
        <v>#N/A</v>
      </c>
      <c r="U170" s="2057" t="e">
        <v>#N/A</v>
      </c>
      <c r="V170" s="2057" t="e">
        <v>#N/A</v>
      </c>
      <c r="W170" s="2057" t="e">
        <v>#N/A</v>
      </c>
      <c r="X170" s="2057" t="e">
        <v>#N/A</v>
      </c>
      <c r="Y170" s="2057" t="e">
        <v>#N/A</v>
      </c>
      <c r="Z170" s="2057" t="e">
        <v>#N/A</v>
      </c>
      <c r="AA170" s="2057" t="e">
        <v>#N/A</v>
      </c>
      <c r="AB170" s="2058" t="e">
        <v>#N/A</v>
      </c>
      <c r="AC170" s="46"/>
      <c r="AE170" s="10"/>
      <c r="AF170" s="248"/>
      <c r="AG170" s="10"/>
      <c r="AH170" s="10"/>
    </row>
    <row r="171" spans="1:34" s="5" customFormat="1" ht="10.15" hidden="1" customHeight="1" x14ac:dyDescent="0.2">
      <c r="A171" s="10" t="s">
        <v>463</v>
      </c>
      <c r="C171" s="40"/>
      <c r="J171" s="245"/>
      <c r="K171" s="246"/>
      <c r="L171" s="1461"/>
      <c r="M171" s="247"/>
      <c r="N171" s="1118" t="s">
        <v>4161</v>
      </c>
      <c r="O171" s="360"/>
      <c r="P171" s="360"/>
      <c r="Q171" s="360"/>
      <c r="R171" s="360"/>
      <c r="S171" s="1878" t="s">
        <v>4168</v>
      </c>
      <c r="T171" s="2056" t="e">
        <v>#N/A</v>
      </c>
      <c r="U171" s="2057" t="e">
        <v>#N/A</v>
      </c>
      <c r="V171" s="2057" t="e">
        <v>#N/A</v>
      </c>
      <c r="W171" s="2057" t="e">
        <v>#N/A</v>
      </c>
      <c r="X171" s="2057" t="e">
        <v>#N/A</v>
      </c>
      <c r="Y171" s="2057" t="e">
        <v>#N/A</v>
      </c>
      <c r="Z171" s="2057" t="e">
        <v>#N/A</v>
      </c>
      <c r="AA171" s="2057" t="e">
        <v>#N/A</v>
      </c>
      <c r="AB171" s="2058" t="e">
        <v>#N/A</v>
      </c>
      <c r="AC171" s="46"/>
      <c r="AE171" s="10"/>
      <c r="AF171" s="248"/>
      <c r="AG171" s="10"/>
      <c r="AH171" s="10"/>
    </row>
    <row r="172" spans="1:34" s="5" customFormat="1" ht="10.15" hidden="1" customHeight="1" x14ac:dyDescent="0.2">
      <c r="A172" s="10" t="s">
        <v>463</v>
      </c>
      <c r="C172" s="40"/>
      <c r="J172" s="245"/>
      <c r="K172" s="246"/>
      <c r="L172" s="1461"/>
      <c r="M172" s="247"/>
      <c r="N172" s="1119" t="s">
        <v>4163</v>
      </c>
      <c r="O172" s="1092"/>
      <c r="P172" s="1092"/>
      <c r="Q172" s="1092"/>
      <c r="R172" s="1092"/>
      <c r="S172" s="1878" t="s">
        <v>4169</v>
      </c>
      <c r="T172" s="2056" t="e">
        <v>#N/A</v>
      </c>
      <c r="U172" s="2057" t="e">
        <v>#N/A</v>
      </c>
      <c r="V172" s="2057" t="e">
        <v>#N/A</v>
      </c>
      <c r="W172" s="2057" t="e">
        <v>#N/A</v>
      </c>
      <c r="X172" s="2057" t="e">
        <v>#N/A</v>
      </c>
      <c r="Y172" s="2057" t="e">
        <v>#N/A</v>
      </c>
      <c r="Z172" s="2057" t="e">
        <v>#N/A</v>
      </c>
      <c r="AA172" s="2057" t="e">
        <v>#N/A</v>
      </c>
      <c r="AB172" s="2058" t="e">
        <v>#N/A</v>
      </c>
      <c r="AC172" s="46"/>
      <c r="AE172" s="10"/>
      <c r="AF172" s="248"/>
      <c r="AG172" s="10"/>
      <c r="AH172" s="10"/>
    </row>
    <row r="173" spans="1:34" s="5" customFormat="1" ht="10.15" hidden="1" customHeight="1" x14ac:dyDescent="0.2">
      <c r="A173" s="10" t="s">
        <v>463</v>
      </c>
      <c r="C173" s="40"/>
      <c r="J173" s="245"/>
      <c r="K173" s="246"/>
      <c r="L173" s="1461"/>
      <c r="M173" s="247"/>
      <c r="N173" s="1118" t="s">
        <v>4164</v>
      </c>
      <c r="O173" s="360"/>
      <c r="P173" s="360"/>
      <c r="Q173" s="360"/>
      <c r="R173" s="360"/>
      <c r="S173" s="1877" t="s">
        <v>4170</v>
      </c>
      <c r="T173" s="2056" t="e">
        <v>#N/A</v>
      </c>
      <c r="U173" s="2057" t="e">
        <v>#N/A</v>
      </c>
      <c r="V173" s="2057" t="e">
        <v>#N/A</v>
      </c>
      <c r="W173" s="2057" t="e">
        <v>#N/A</v>
      </c>
      <c r="X173" s="2057" t="e">
        <v>#N/A</v>
      </c>
      <c r="Y173" s="2057" t="e">
        <v>#N/A</v>
      </c>
      <c r="Z173" s="2057" t="e">
        <v>#N/A</v>
      </c>
      <c r="AA173" s="2057" t="e">
        <v>#N/A</v>
      </c>
      <c r="AB173" s="2058" t="e">
        <v>#N/A</v>
      </c>
      <c r="AC173" s="46"/>
      <c r="AE173" s="10"/>
      <c r="AF173" s="248"/>
      <c r="AG173" s="10"/>
      <c r="AH173" s="10"/>
    </row>
    <row r="174" spans="1:34" s="5" customFormat="1" ht="10.15" hidden="1" customHeight="1" x14ac:dyDescent="0.2">
      <c r="A174" s="10" t="s">
        <v>463</v>
      </c>
      <c r="C174" s="40"/>
      <c r="J174" s="245"/>
      <c r="K174" s="246"/>
      <c r="L174" s="1461"/>
      <c r="M174" s="247"/>
      <c r="N174" s="1118" t="s">
        <v>4165</v>
      </c>
      <c r="O174" s="360"/>
      <c r="P174" s="360"/>
      <c r="Q174" s="360"/>
      <c r="R174" s="360"/>
      <c r="S174" s="1878" t="s">
        <v>4171</v>
      </c>
      <c r="T174" s="2056" t="e">
        <v>#N/A</v>
      </c>
      <c r="U174" s="2057" t="e">
        <v>#N/A</v>
      </c>
      <c r="V174" s="2057" t="e">
        <v>#N/A</v>
      </c>
      <c r="W174" s="2057" t="e">
        <v>#N/A</v>
      </c>
      <c r="X174" s="2057" t="e">
        <v>#N/A</v>
      </c>
      <c r="Y174" s="2057" t="e">
        <v>#N/A</v>
      </c>
      <c r="Z174" s="2057" t="e">
        <v>#N/A</v>
      </c>
      <c r="AA174" s="2057" t="e">
        <v>#N/A</v>
      </c>
      <c r="AB174" s="2058" t="e">
        <v>#N/A</v>
      </c>
      <c r="AC174" s="46"/>
      <c r="AE174" s="10"/>
      <c r="AF174" s="248"/>
      <c r="AG174" s="10"/>
      <c r="AH174" s="10"/>
    </row>
    <row r="175" spans="1:34" s="5" customFormat="1" ht="10.15" hidden="1" customHeight="1" x14ac:dyDescent="0.2">
      <c r="A175" s="10" t="s">
        <v>463</v>
      </c>
      <c r="C175" s="40"/>
      <c r="J175" s="245"/>
      <c r="K175" s="246"/>
      <c r="L175" s="1461"/>
      <c r="M175" s="247"/>
      <c r="N175" s="1119" t="s">
        <v>4166</v>
      </c>
      <c r="O175" s="1092"/>
      <c r="P175" s="1092"/>
      <c r="Q175" s="1092"/>
      <c r="R175" s="1092"/>
      <c r="S175" s="1878" t="s">
        <v>4172</v>
      </c>
      <c r="T175" s="2056" t="e">
        <v>#N/A</v>
      </c>
      <c r="U175" s="2057" t="e">
        <v>#N/A</v>
      </c>
      <c r="V175" s="2057" t="e">
        <v>#N/A</v>
      </c>
      <c r="W175" s="2057" t="e">
        <v>#N/A</v>
      </c>
      <c r="X175" s="2057" t="e">
        <v>#N/A</v>
      </c>
      <c r="Y175" s="2057" t="e">
        <v>#N/A</v>
      </c>
      <c r="Z175" s="2057" t="e">
        <v>#N/A</v>
      </c>
      <c r="AA175" s="2057" t="e">
        <v>#N/A</v>
      </c>
      <c r="AB175" s="2058" t="e">
        <v>#N/A</v>
      </c>
      <c r="AC175" s="46"/>
      <c r="AE175" s="10"/>
      <c r="AF175" s="248"/>
      <c r="AG175" s="10"/>
      <c r="AH175" s="10"/>
    </row>
    <row r="176" spans="1:34" s="5" customFormat="1" ht="10.15" hidden="1" customHeight="1" x14ac:dyDescent="0.2">
      <c r="A176" s="10" t="s">
        <v>461</v>
      </c>
      <c r="C176" s="40"/>
      <c r="J176" s="2578" t="s">
        <v>90</v>
      </c>
      <c r="K176" s="2579"/>
      <c r="L176" s="2579"/>
      <c r="M176" s="2580"/>
      <c r="N176" s="1117" t="s">
        <v>50</v>
      </c>
      <c r="O176" s="1135"/>
      <c r="P176" s="1135"/>
      <c r="Q176" s="1135"/>
      <c r="R176" s="1135"/>
      <c r="S176" s="1868" t="s">
        <v>1420</v>
      </c>
      <c r="T176" s="2275">
        <v>0</v>
      </c>
      <c r="U176" s="2276">
        <v>0</v>
      </c>
      <c r="V176" s="2276">
        <v>0</v>
      </c>
      <c r="W176" s="2276">
        <v>0</v>
      </c>
      <c r="X176" s="2276">
        <v>0</v>
      </c>
      <c r="Y176" s="2276">
        <v>0</v>
      </c>
      <c r="Z176" s="2276">
        <v>0</v>
      </c>
      <c r="AA176" s="2276">
        <v>0</v>
      </c>
      <c r="AB176" s="2277">
        <v>0</v>
      </c>
      <c r="AC176" s="46"/>
      <c r="AE176" s="10"/>
      <c r="AF176" s="248"/>
      <c r="AG176" s="10"/>
      <c r="AH176" s="10"/>
    </row>
    <row r="177" spans="1:34" s="5" customFormat="1" ht="10.15" hidden="1" customHeight="1" x14ac:dyDescent="0.2">
      <c r="A177" s="10" t="s">
        <v>461</v>
      </c>
      <c r="C177" s="40"/>
      <c r="J177" s="2581"/>
      <c r="K177" s="2582"/>
      <c r="L177" s="2582"/>
      <c r="M177" s="2583"/>
      <c r="N177" s="1116" t="s">
        <v>20</v>
      </c>
      <c r="O177" s="1096"/>
      <c r="P177" s="1096"/>
      <c r="Q177" s="1096"/>
      <c r="R177" s="1096"/>
      <c r="S177" s="1867" t="s">
        <v>1421</v>
      </c>
      <c r="T177" s="2284">
        <v>0.125</v>
      </c>
      <c r="U177" s="2285">
        <v>0.125</v>
      </c>
      <c r="V177" s="2285">
        <v>0.125</v>
      </c>
      <c r="W177" s="2285">
        <v>0.125</v>
      </c>
      <c r="X177" s="2285">
        <v>0.125</v>
      </c>
      <c r="Y177" s="2285">
        <v>0.125</v>
      </c>
      <c r="Z177" s="2285">
        <v>0.125</v>
      </c>
      <c r="AA177" s="2285">
        <v>0.125</v>
      </c>
      <c r="AB177" s="2286">
        <v>0.125</v>
      </c>
      <c r="AC177" s="46"/>
      <c r="AE177" s="10"/>
      <c r="AF177" s="248"/>
      <c r="AG177" s="10"/>
      <c r="AH177" s="10"/>
    </row>
    <row r="178" spans="1:34" s="5" customFormat="1" ht="10.15" hidden="1" customHeight="1" x14ac:dyDescent="0.2">
      <c r="A178" s="10" t="s">
        <v>463</v>
      </c>
      <c r="C178" s="40"/>
      <c r="J178" s="2581"/>
      <c r="K178" s="2582"/>
      <c r="L178" s="2582"/>
      <c r="M178" s="2583"/>
      <c r="N178" s="1117" t="s">
        <v>49</v>
      </c>
      <c r="O178" s="1135"/>
      <c r="P178" s="1135"/>
      <c r="Q178" s="1135"/>
      <c r="R178" s="1135"/>
      <c r="S178" s="1865" t="s">
        <v>1422</v>
      </c>
      <c r="T178" s="2430" t="e">
        <v>#N/A</v>
      </c>
      <c r="U178" s="2431" t="e">
        <v>#N/A</v>
      </c>
      <c r="V178" s="2431" t="e">
        <v>#N/A</v>
      </c>
      <c r="W178" s="2431" t="e">
        <v>#N/A</v>
      </c>
      <c r="X178" s="2431" t="e">
        <v>#N/A</v>
      </c>
      <c r="Y178" s="2431" t="e">
        <v>#N/A</v>
      </c>
      <c r="Z178" s="2431" t="e">
        <v>#N/A</v>
      </c>
      <c r="AA178" s="2431" t="e">
        <v>#N/A</v>
      </c>
      <c r="AB178" s="2432" t="e">
        <v>#N/A</v>
      </c>
      <c r="AC178" s="46"/>
      <c r="AE178" s="10"/>
      <c r="AF178" s="248"/>
      <c r="AG178" s="10"/>
      <c r="AH178" s="10"/>
    </row>
    <row r="179" spans="1:34" s="5" customFormat="1" ht="10.15" hidden="1" customHeight="1" x14ac:dyDescent="0.2">
      <c r="A179" s="10" t="s">
        <v>463</v>
      </c>
      <c r="C179" s="40"/>
      <c r="J179" s="2581"/>
      <c r="K179" s="2582"/>
      <c r="L179" s="2582"/>
      <c r="M179" s="2583"/>
      <c r="N179" s="1116" t="s">
        <v>22</v>
      </c>
      <c r="O179" s="1096"/>
      <c r="P179" s="1096"/>
      <c r="Q179" s="1096"/>
      <c r="R179" s="1096"/>
      <c r="S179" s="1879" t="s">
        <v>1423</v>
      </c>
      <c r="T179" s="2433">
        <v>0</v>
      </c>
      <c r="U179" s="2340">
        <v>0</v>
      </c>
      <c r="V179" s="2340">
        <v>0</v>
      </c>
      <c r="W179" s="2340">
        <v>0</v>
      </c>
      <c r="X179" s="2340">
        <v>0</v>
      </c>
      <c r="Y179" s="2340">
        <v>0</v>
      </c>
      <c r="Z179" s="2340">
        <v>0</v>
      </c>
      <c r="AA179" s="2340">
        <v>0</v>
      </c>
      <c r="AB179" s="2434">
        <v>0</v>
      </c>
      <c r="AC179" s="46"/>
      <c r="AE179" s="10"/>
      <c r="AF179" s="248"/>
      <c r="AG179" s="10"/>
      <c r="AH179" s="10"/>
    </row>
    <row r="180" spans="1:34" s="5" customFormat="1" ht="10.15" hidden="1" customHeight="1" x14ac:dyDescent="0.2">
      <c r="A180" s="10" t="s">
        <v>463</v>
      </c>
      <c r="C180" s="40"/>
      <c r="J180" s="2584"/>
      <c r="K180" s="2585"/>
      <c r="L180" s="2585"/>
      <c r="M180" s="2586"/>
      <c r="N180" s="1125" t="s">
        <v>82</v>
      </c>
      <c r="O180" s="1134"/>
      <c r="P180" s="1134"/>
      <c r="Q180" s="1134"/>
      <c r="R180" s="1134"/>
      <c r="S180" s="1880" t="s">
        <v>1424</v>
      </c>
      <c r="T180" s="2435">
        <v>0</v>
      </c>
      <c r="U180" s="2345">
        <v>0</v>
      </c>
      <c r="V180" s="2345">
        <v>0</v>
      </c>
      <c r="W180" s="2345">
        <v>0</v>
      </c>
      <c r="X180" s="2345">
        <v>0</v>
      </c>
      <c r="Y180" s="2345">
        <v>0</v>
      </c>
      <c r="Z180" s="2345">
        <v>0</v>
      </c>
      <c r="AA180" s="2345">
        <v>0</v>
      </c>
      <c r="AB180" s="2436">
        <v>0</v>
      </c>
      <c r="AC180" s="46"/>
      <c r="AE180" s="10"/>
      <c r="AF180" s="248"/>
      <c r="AG180" s="10"/>
      <c r="AH180" s="10"/>
    </row>
    <row r="181" spans="1:34" s="5" customFormat="1" ht="10.15" hidden="1" customHeight="1" x14ac:dyDescent="0.2">
      <c r="A181" s="10" t="s">
        <v>461</v>
      </c>
      <c r="C181" s="40"/>
      <c r="J181" s="2578" t="s">
        <v>23</v>
      </c>
      <c r="K181" s="2579"/>
      <c r="L181" s="2579"/>
      <c r="M181" s="2580"/>
      <c r="N181" s="1115" t="s">
        <v>73</v>
      </c>
      <c r="O181" s="1133"/>
      <c r="P181" s="1133"/>
      <c r="Q181" s="1133"/>
      <c r="R181" s="1133"/>
      <c r="S181" s="1868" t="s">
        <v>1425</v>
      </c>
      <c r="T181" s="2275" cm="1">
        <f t="array" ref="T181">[1]!LLPA_PN_000050_30_Day</f>
        <v>0</v>
      </c>
      <c r="U181" s="2276" cm="1">
        <f t="array" ref="U181">[1]!LLPA_PN_000050_30_Day</f>
        <v>0</v>
      </c>
      <c r="V181" s="2276" cm="1">
        <f t="array" ref="V181">[1]!LLPA_PN_000050_30_Day</f>
        <v>0</v>
      </c>
      <c r="W181" s="2276" cm="1">
        <f t="array" ref="W181">[1]!LLPA_PN_000050_30_Day</f>
        <v>0</v>
      </c>
      <c r="X181" s="2276" cm="1">
        <f t="array" ref="X181">[1]!LLPA_PN_000050_30_Day</f>
        <v>0</v>
      </c>
      <c r="Y181" s="2276" cm="1">
        <f t="array" ref="Y181">[1]!LLPA_PN_000050_30_Day</f>
        <v>0</v>
      </c>
      <c r="Z181" s="2276" cm="1">
        <f t="array" ref="Z181">[1]!LLPA_PN_000050_30_Day</f>
        <v>0</v>
      </c>
      <c r="AA181" s="2276" cm="1">
        <f t="array" ref="AA181">[1]!LLPA_PN_000050_30_Day</f>
        <v>0</v>
      </c>
      <c r="AB181" s="2277" cm="1">
        <f t="array" ref="AB181">[1]!LLPA_PN_000050_30_Day</f>
        <v>0</v>
      </c>
      <c r="AC181" s="46"/>
      <c r="AE181" s="10"/>
      <c r="AF181" s="248"/>
      <c r="AG181" s="10"/>
      <c r="AH181" s="10"/>
    </row>
    <row r="182" spans="1:34" s="5" customFormat="1" ht="10.15" hidden="1" customHeight="1" x14ac:dyDescent="0.2">
      <c r="A182" s="10" t="s">
        <v>461</v>
      </c>
      <c r="C182" s="40"/>
      <c r="J182" s="2581"/>
      <c r="K182" s="2582"/>
      <c r="L182" s="2582"/>
      <c r="M182" s="2583"/>
      <c r="N182" s="1095" t="s">
        <v>74</v>
      </c>
      <c r="O182" s="1091"/>
      <c r="P182" s="1091"/>
      <c r="Q182" s="1091"/>
      <c r="R182" s="1091"/>
      <c r="S182" s="1866" t="s">
        <v>1426</v>
      </c>
      <c r="T182" s="2281" cm="1">
        <f t="array" ref="T182">[1]!LLPA_PN_000050_45_Day</f>
        <v>-0.25</v>
      </c>
      <c r="U182" s="2282" cm="1">
        <f t="array" ref="U182">[1]!LLPA_PN_000050_45_Day</f>
        <v>-0.25</v>
      </c>
      <c r="V182" s="2282" cm="1">
        <f t="array" ref="V182">[1]!LLPA_PN_000050_45_Day</f>
        <v>-0.25</v>
      </c>
      <c r="W182" s="2282" cm="1">
        <f t="array" ref="W182">[1]!LLPA_PN_000050_45_Day</f>
        <v>-0.25</v>
      </c>
      <c r="X182" s="2282" cm="1">
        <f t="array" ref="X182">[1]!LLPA_PN_000050_45_Day</f>
        <v>-0.25</v>
      </c>
      <c r="Y182" s="2282" cm="1">
        <f t="array" ref="Y182">[1]!LLPA_PN_000050_45_Day</f>
        <v>-0.25</v>
      </c>
      <c r="Z182" s="2282" cm="1">
        <f t="array" ref="Z182">[1]!LLPA_PN_000050_45_Day</f>
        <v>-0.25</v>
      </c>
      <c r="AA182" s="2282" cm="1">
        <f t="array" ref="AA182">[1]!LLPA_PN_000050_45_Day</f>
        <v>-0.25</v>
      </c>
      <c r="AB182" s="2283" cm="1">
        <f t="array" ref="AB182">[1]!LLPA_PN_000050_45_Day</f>
        <v>-0.25</v>
      </c>
      <c r="AC182" s="46"/>
      <c r="AE182" s="10"/>
      <c r="AF182" s="248"/>
      <c r="AG182" s="10"/>
      <c r="AH182" s="10"/>
    </row>
    <row r="183" spans="1:34" s="5" customFormat="1" ht="10.15" hidden="1" customHeight="1" x14ac:dyDescent="0.2">
      <c r="A183" s="10" t="s">
        <v>461</v>
      </c>
      <c r="C183" s="40"/>
      <c r="J183" s="2581"/>
      <c r="K183" s="2582"/>
      <c r="L183" s="2582"/>
      <c r="M183" s="2583"/>
      <c r="N183" s="1126" t="s">
        <v>75</v>
      </c>
      <c r="O183" s="1142"/>
      <c r="P183" s="1142"/>
      <c r="Q183" s="1142"/>
      <c r="R183" s="1142"/>
      <c r="S183" s="1881" t="s">
        <v>1427</v>
      </c>
      <c r="T183" s="2437" cm="1">
        <f t="array" ref="T183">[1]!LLPA_PN_000050_60_Day</f>
        <v>-0.5</v>
      </c>
      <c r="U183" s="2398" cm="1">
        <f t="array" ref="U183">[1]!LLPA_PN_000050_60_Day</f>
        <v>-0.5</v>
      </c>
      <c r="V183" s="2398" cm="1">
        <f t="array" ref="V183">[1]!LLPA_PN_000050_60_Day</f>
        <v>-0.5</v>
      </c>
      <c r="W183" s="2398" cm="1">
        <f t="array" ref="W183">[1]!LLPA_PN_000050_60_Day</f>
        <v>-0.5</v>
      </c>
      <c r="X183" s="2398" cm="1">
        <f t="array" ref="X183">[1]!LLPA_PN_000050_60_Day</f>
        <v>-0.5</v>
      </c>
      <c r="Y183" s="2398" cm="1">
        <f t="array" ref="Y183">[1]!LLPA_PN_000050_60_Day</f>
        <v>-0.5</v>
      </c>
      <c r="Z183" s="2398" cm="1">
        <f t="array" ref="Z183">[1]!LLPA_PN_000050_60_Day</f>
        <v>-0.5</v>
      </c>
      <c r="AA183" s="2398" cm="1">
        <f t="array" ref="AA183">[1]!LLPA_PN_000050_60_Day</f>
        <v>-0.5</v>
      </c>
      <c r="AB183" s="2438" cm="1">
        <f t="array" ref="AB183">[1]!LLPA_PN_000050_60_Day</f>
        <v>-0.5</v>
      </c>
      <c r="AC183" s="46"/>
      <c r="AE183" s="10"/>
      <c r="AF183" s="248"/>
      <c r="AG183" s="10"/>
      <c r="AH183" s="10"/>
    </row>
    <row r="184" spans="1:34" s="5" customFormat="1" ht="10.15" hidden="1" customHeight="1" x14ac:dyDescent="0.2">
      <c r="A184" s="10" t="s">
        <v>463</v>
      </c>
      <c r="C184" s="40"/>
      <c r="J184" s="2587" t="s">
        <v>361</v>
      </c>
      <c r="K184" s="2588"/>
      <c r="L184" s="2588"/>
      <c r="M184" s="2589"/>
      <c r="N184" s="1115" t="s">
        <v>362</v>
      </c>
      <c r="O184" s="1133"/>
      <c r="P184" s="1133"/>
      <c r="Q184" s="1133"/>
      <c r="R184" s="1133"/>
      <c r="S184" s="1869" t="s">
        <v>1428</v>
      </c>
      <c r="T184" s="2290" cm="1">
        <f t="array" ref="T184">[1]!LLPA_PN_000050_Mandatory</f>
        <v>0</v>
      </c>
      <c r="U184" s="2291" cm="1">
        <f t="array" ref="U184">[1]!LLPA_PN_000050_Mandatory</f>
        <v>0</v>
      </c>
      <c r="V184" s="2291" cm="1">
        <f t="array" ref="V184">[1]!LLPA_PN_000050_Mandatory</f>
        <v>0</v>
      </c>
      <c r="W184" s="2291" cm="1">
        <f t="array" ref="W184">[1]!LLPA_PN_000050_Mandatory</f>
        <v>0</v>
      </c>
      <c r="X184" s="2291" cm="1">
        <f t="array" ref="X184">[1]!LLPA_PN_000050_Mandatory</f>
        <v>0</v>
      </c>
      <c r="Y184" s="2291" cm="1">
        <f t="array" ref="Y184">[1]!LLPA_PN_000050_Mandatory</f>
        <v>0</v>
      </c>
      <c r="Z184" s="2291" cm="1">
        <f t="array" ref="Z184">[1]!LLPA_PN_000050_Mandatory</f>
        <v>0</v>
      </c>
      <c r="AA184" s="2291" cm="1">
        <f t="array" ref="AA184">[1]!LLPA_PN_000050_Mandatory</f>
        <v>0</v>
      </c>
      <c r="AB184" s="2292" cm="1">
        <f t="array" ref="AB184">[1]!LLPA_PN_000050_Mandatory</f>
        <v>0</v>
      </c>
      <c r="AC184" s="46"/>
      <c r="AE184" s="10"/>
      <c r="AF184" s="248"/>
      <c r="AG184" s="10"/>
      <c r="AH184" s="10"/>
    </row>
    <row r="185" spans="1:34" s="5" customFormat="1" ht="10.15" hidden="1" customHeight="1" x14ac:dyDescent="0.2">
      <c r="A185" s="10" t="s">
        <v>463</v>
      </c>
      <c r="C185" s="40"/>
      <c r="J185" s="2590"/>
      <c r="K185" s="2591"/>
      <c r="L185" s="2591"/>
      <c r="M185" s="2592"/>
      <c r="N185" s="1116" t="s">
        <v>363</v>
      </c>
      <c r="O185" s="1096"/>
      <c r="P185" s="1096"/>
      <c r="Q185" s="1096"/>
      <c r="R185" s="1096"/>
      <c r="S185" s="1882" t="s">
        <v>1429</v>
      </c>
      <c r="T185" s="2298" cm="1">
        <f t="array" ref="T185">[1]!LLPA_PN_000050_Best_Efforts</f>
        <v>0</v>
      </c>
      <c r="U185" s="2299" cm="1">
        <f t="array" ref="U185">[1]!LLPA_PN_000050_Best_Efforts</f>
        <v>0</v>
      </c>
      <c r="V185" s="2299" cm="1">
        <f t="array" ref="V185">[1]!LLPA_PN_000050_Best_Efforts</f>
        <v>0</v>
      </c>
      <c r="W185" s="2299" cm="1">
        <f t="array" ref="W185">[1]!LLPA_PN_000050_Best_Efforts</f>
        <v>0</v>
      </c>
      <c r="X185" s="2299" cm="1">
        <f t="array" ref="X185">[1]!LLPA_PN_000050_Best_Efforts</f>
        <v>0</v>
      </c>
      <c r="Y185" s="2299" cm="1">
        <f t="array" ref="Y185">[1]!LLPA_PN_000050_Best_Efforts</f>
        <v>0</v>
      </c>
      <c r="Z185" s="2299" cm="1">
        <f t="array" ref="Z185">[1]!LLPA_PN_000050_Best_Efforts</f>
        <v>0</v>
      </c>
      <c r="AA185" s="2299" cm="1">
        <f t="array" ref="AA185">[1]!LLPA_PN_000050_Best_Efforts</f>
        <v>0</v>
      </c>
      <c r="AB185" s="2300" cm="1">
        <f t="array" ref="AB185">[1]!LLPA_PN_000050_Best_Efforts</f>
        <v>0</v>
      </c>
      <c r="AC185" s="46"/>
      <c r="AE185" s="10"/>
      <c r="AF185" s="248"/>
      <c r="AG185" s="10"/>
      <c r="AH185" s="10"/>
    </row>
    <row r="186" spans="1:34" s="5" customFormat="1" ht="3" hidden="1" customHeight="1" x14ac:dyDescent="0.2">
      <c r="A186" s="10" t="s">
        <v>462</v>
      </c>
      <c r="C186" s="40"/>
      <c r="J186" s="74"/>
      <c r="K186" s="74"/>
      <c r="L186" s="74"/>
      <c r="M186" s="74"/>
      <c r="N186" s="74"/>
      <c r="O186" s="74"/>
      <c r="P186" s="74"/>
      <c r="Q186" s="74"/>
      <c r="R186" s="74"/>
      <c r="S186" s="78"/>
      <c r="T186" s="79"/>
      <c r="U186" s="79"/>
      <c r="V186" s="79"/>
      <c r="W186" s="79"/>
      <c r="X186" s="79"/>
      <c r="Y186" s="79"/>
      <c r="Z186" s="79"/>
      <c r="AA186" s="79"/>
      <c r="AB186" s="80"/>
      <c r="AC186" s="46"/>
      <c r="AE186" s="10"/>
      <c r="AF186" s="248"/>
      <c r="AG186" s="10"/>
      <c r="AH186" s="10"/>
    </row>
    <row r="187" spans="1:34" s="5" customFormat="1" ht="10.15" hidden="1" customHeight="1" x14ac:dyDescent="0.2">
      <c r="A187" s="10" t="s">
        <v>461</v>
      </c>
      <c r="C187" s="277"/>
      <c r="D187" s="2697"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187" s="2697"/>
      <c r="F187" s="2697"/>
      <c r="G187" s="2697"/>
      <c r="H187" s="2697"/>
      <c r="I187" s="2697"/>
      <c r="J187" s="2697"/>
      <c r="K187" s="2697"/>
      <c r="L187" s="2697"/>
      <c r="M187" s="2697"/>
      <c r="N187" s="2697"/>
      <c r="O187" s="2697"/>
      <c r="P187" s="2697"/>
      <c r="Q187" s="2697"/>
      <c r="R187" s="2697"/>
      <c r="S187" s="2697"/>
      <c r="T187" s="2697"/>
      <c r="U187" s="2697"/>
      <c r="V187" s="2697"/>
      <c r="W187" s="2697"/>
      <c r="X187" s="2697"/>
      <c r="Y187" s="2697"/>
      <c r="Z187" s="2697"/>
      <c r="AA187" s="2697"/>
      <c r="AB187" s="2697"/>
      <c r="AC187" s="2698"/>
      <c r="AE187" s="10"/>
      <c r="AF187" s="248"/>
      <c r="AG187" s="10"/>
      <c r="AH187" s="10"/>
    </row>
    <row r="188" spans="1:34" s="5" customFormat="1" ht="10.15" hidden="1" customHeight="1" x14ac:dyDescent="0.2">
      <c r="A188" s="10" t="s">
        <v>461</v>
      </c>
      <c r="C188" s="278"/>
      <c r="D188" s="2699"/>
      <c r="E188" s="2699"/>
      <c r="F188" s="2699"/>
      <c r="G188" s="2699"/>
      <c r="H188" s="2699"/>
      <c r="I188" s="2699"/>
      <c r="J188" s="2699"/>
      <c r="K188" s="2699"/>
      <c r="L188" s="2699"/>
      <c r="M188" s="2699"/>
      <c r="N188" s="2699"/>
      <c r="O188" s="2699"/>
      <c r="P188" s="2699"/>
      <c r="Q188" s="2699"/>
      <c r="R188" s="2699"/>
      <c r="S188" s="2699"/>
      <c r="T188" s="2699"/>
      <c r="U188" s="2699"/>
      <c r="V188" s="2699"/>
      <c r="W188" s="2699"/>
      <c r="X188" s="2699"/>
      <c r="Y188" s="2699"/>
      <c r="Z188" s="2699"/>
      <c r="AA188" s="2699"/>
      <c r="AB188" s="2699"/>
      <c r="AC188" s="2700"/>
      <c r="AE188" s="10"/>
      <c r="AF188" s="248"/>
      <c r="AG188" s="10"/>
      <c r="AH188" s="10"/>
    </row>
    <row r="189" spans="1:34" ht="3" hidden="1" customHeight="1" x14ac:dyDescent="0.25">
      <c r="A189" s="10" t="s">
        <v>462</v>
      </c>
      <c r="B189" s="5"/>
      <c r="AF189" s="248"/>
    </row>
    <row r="190" spans="1:34" ht="10.15" hidden="1" customHeight="1" x14ac:dyDescent="0.25">
      <c r="A190" s="10" t="s">
        <v>461</v>
      </c>
      <c r="C190" s="2145"/>
      <c r="D190" s="2146"/>
      <c r="E190" s="2146"/>
      <c r="F190" s="2146"/>
      <c r="G190" s="2139"/>
      <c r="H190" s="2139"/>
      <c r="I190" s="2139"/>
      <c r="J190" s="2694" t="str">
        <f>Input_Name_Product5</f>
        <v>Second NOO</v>
      </c>
      <c r="K190" s="2694"/>
      <c r="L190" s="2694"/>
      <c r="M190" s="2694"/>
      <c r="N190" s="2694"/>
      <c r="O190" s="2694"/>
      <c r="P190" s="2694"/>
      <c r="Q190" s="2694"/>
      <c r="R190" s="2694"/>
      <c r="S190" s="2694"/>
      <c r="T190" s="2139"/>
      <c r="U190" s="2139"/>
      <c r="V190" s="2139"/>
      <c r="W190" s="2471" t="str">
        <f>Input_Header01</f>
        <v xml:space="preserve"> </v>
      </c>
      <c r="X190" s="2472"/>
      <c r="Y190" s="2472"/>
      <c r="Z190" s="2472"/>
      <c r="AA190" s="2614" t="str">
        <f>Input_Header06</f>
        <v xml:space="preserve"> </v>
      </c>
      <c r="AB190" s="2614" t="str">
        <f>Input_Header01</f>
        <v xml:space="preserve"> </v>
      </c>
      <c r="AC190" s="2140"/>
      <c r="AF190" s="248"/>
    </row>
    <row r="191" spans="1:34" ht="10.15" hidden="1" customHeight="1" x14ac:dyDescent="0.25">
      <c r="A191" s="10" t="s">
        <v>461</v>
      </c>
      <c r="C191" s="2147"/>
      <c r="D191" s="2141"/>
      <c r="E191" s="2141"/>
      <c r="F191" s="2141"/>
      <c r="G191" s="2141"/>
      <c r="H191" s="2141"/>
      <c r="I191" s="2141"/>
      <c r="J191" s="2695"/>
      <c r="K191" s="2695"/>
      <c r="L191" s="2695"/>
      <c r="M191" s="2695"/>
      <c r="N191" s="2695"/>
      <c r="O191" s="2695"/>
      <c r="P191" s="2695"/>
      <c r="Q191" s="2695"/>
      <c r="R191" s="2695"/>
      <c r="S191" s="2695"/>
      <c r="T191" s="2141"/>
      <c r="U191" s="2141"/>
      <c r="V191" s="2141"/>
      <c r="W191" s="2466" t="str">
        <f>Input_Header02</f>
        <v xml:space="preserve"> </v>
      </c>
      <c r="X191" s="2467"/>
      <c r="Y191" s="2467"/>
      <c r="Z191" s="2467"/>
      <c r="AA191" s="2624" t="str">
        <f>Input_Header07</f>
        <v xml:space="preserve"> </v>
      </c>
      <c r="AB191" s="2624" t="str">
        <f>Input_Header01</f>
        <v xml:space="preserve"> </v>
      </c>
      <c r="AC191" s="2142"/>
      <c r="AF191" s="248"/>
    </row>
    <row r="192" spans="1:34" ht="10.15" hidden="1" customHeight="1" x14ac:dyDescent="0.25">
      <c r="A192" s="10" t="s">
        <v>461</v>
      </c>
      <c r="C192" s="2147"/>
      <c r="D192" s="2141"/>
      <c r="E192" s="2141"/>
      <c r="F192" s="2141"/>
      <c r="G192" s="2141"/>
      <c r="H192" s="2141"/>
      <c r="I192" s="2141"/>
      <c r="J192" s="2695"/>
      <c r="K192" s="2695"/>
      <c r="L192" s="2695"/>
      <c r="M192" s="2695"/>
      <c r="N192" s="2695"/>
      <c r="O192" s="2695"/>
      <c r="P192" s="2695"/>
      <c r="Q192" s="2695"/>
      <c r="R192" s="2695"/>
      <c r="S192" s="2695"/>
      <c r="T192" s="2141"/>
      <c r="U192" s="2141"/>
      <c r="V192" s="2141"/>
      <c r="W192" s="2469" t="str">
        <f>Input_Header03</f>
        <v xml:space="preserve"> </v>
      </c>
      <c r="X192" s="2467"/>
      <c r="Y192" s="2467"/>
      <c r="Z192" s="2467"/>
      <c r="AA192" s="2468"/>
      <c r="AB192" s="2468"/>
      <c r="AC192" s="2142"/>
      <c r="AF192" s="248"/>
    </row>
    <row r="193" spans="1:32" ht="10.15" hidden="1" customHeight="1" x14ac:dyDescent="0.25">
      <c r="A193" s="10" t="s">
        <v>461</v>
      </c>
      <c r="C193" s="2147"/>
      <c r="D193" s="2141"/>
      <c r="E193" s="2141"/>
      <c r="F193" s="2141"/>
      <c r="G193" s="2141"/>
      <c r="H193" s="2141"/>
      <c r="I193" s="2141"/>
      <c r="J193" s="2695"/>
      <c r="K193" s="2695"/>
      <c r="L193" s="2695"/>
      <c r="M193" s="2695"/>
      <c r="N193" s="2695"/>
      <c r="O193" s="2695"/>
      <c r="P193" s="2695"/>
      <c r="Q193" s="2695"/>
      <c r="R193" s="2695"/>
      <c r="S193" s="2695"/>
      <c r="T193" s="2141"/>
      <c r="U193" s="2141"/>
      <c r="V193" s="2141"/>
      <c r="W193" s="2470" t="str">
        <f>Input_Header04</f>
        <v xml:space="preserve"> </v>
      </c>
      <c r="X193" s="2473"/>
      <c r="Y193" s="2467"/>
      <c r="Z193" s="2467"/>
      <c r="AA193" s="2468"/>
      <c r="AB193" s="2468" t="str">
        <f>Input_Version</f>
        <v>#01</v>
      </c>
      <c r="AC193" s="2142"/>
      <c r="AF193" s="248"/>
    </row>
    <row r="194" spans="1:32" ht="10.15" hidden="1" customHeight="1" x14ac:dyDescent="0.25">
      <c r="A194" s="10" t="s">
        <v>461</v>
      </c>
      <c r="C194" s="2148"/>
      <c r="D194" s="2149"/>
      <c r="E194" s="2149"/>
      <c r="F194" s="2149"/>
      <c r="G194" s="2143"/>
      <c r="H194" s="2143"/>
      <c r="I194" s="2143"/>
      <c r="J194" s="2696"/>
      <c r="K194" s="2696"/>
      <c r="L194" s="2696"/>
      <c r="M194" s="2696"/>
      <c r="N194" s="2696"/>
      <c r="O194" s="2696"/>
      <c r="P194" s="2696"/>
      <c r="Q194" s="2696"/>
      <c r="R194" s="2696"/>
      <c r="S194" s="2696"/>
      <c r="T194" s="2143"/>
      <c r="U194" s="2143"/>
      <c r="V194" s="2143"/>
      <c r="W194" s="2474" t="str">
        <f>Input_Header05</f>
        <v xml:space="preserve"> </v>
      </c>
      <c r="X194" s="2475"/>
      <c r="Y194" s="2475"/>
      <c r="Z194" s="2475"/>
      <c r="AA194" s="2611">
        <f ca="1">Input_Date</f>
        <v>45743</v>
      </c>
      <c r="AB194" s="2611"/>
      <c r="AC194" s="2144"/>
      <c r="AF194" s="248"/>
    </row>
    <row r="195" spans="1:32" ht="3" hidden="1" customHeight="1" x14ac:dyDescent="0.25">
      <c r="A195" s="10" t="s">
        <v>462</v>
      </c>
      <c r="B195" s="5"/>
      <c r="C195" s="40"/>
      <c r="I195" s="5"/>
      <c r="J195" s="81"/>
      <c r="K195" s="82"/>
      <c r="L195" s="81"/>
      <c r="M195" s="81"/>
      <c r="N195" s="81"/>
      <c r="O195" s="81"/>
      <c r="P195" s="81"/>
      <c r="Q195" s="81"/>
      <c r="R195" s="81"/>
      <c r="S195" s="81"/>
      <c r="T195" s="81"/>
      <c r="U195" s="81"/>
      <c r="V195" s="81"/>
      <c r="W195" s="81"/>
      <c r="X195" s="81"/>
      <c r="Y195" s="81"/>
      <c r="Z195" s="81"/>
      <c r="AA195" s="81"/>
      <c r="AB195" s="83"/>
      <c r="AC195" s="46"/>
      <c r="AF195" s="248"/>
    </row>
    <row r="196" spans="1:32" ht="10.15" hidden="1" customHeight="1" x14ac:dyDescent="0.25">
      <c r="A196" s="10" t="s">
        <v>461</v>
      </c>
      <c r="B196" s="5"/>
      <c r="C196" s="40"/>
      <c r="D196" s="2628" t="s">
        <v>0</v>
      </c>
      <c r="E196" s="2629"/>
      <c r="F196" s="2630"/>
      <c r="G196" s="47"/>
      <c r="H196" s="47"/>
      <c r="I196" s="48"/>
      <c r="J196" s="2602" t="s">
        <v>103</v>
      </c>
      <c r="K196" s="2603"/>
      <c r="L196" s="2603"/>
      <c r="M196" s="2603"/>
      <c r="N196" s="2603"/>
      <c r="O196" s="2603"/>
      <c r="P196" s="2603"/>
      <c r="Q196" s="2603"/>
      <c r="R196" s="2603"/>
      <c r="S196" s="2603"/>
      <c r="T196" s="2603"/>
      <c r="U196" s="2603"/>
      <c r="V196" s="2603"/>
      <c r="W196" s="2603"/>
      <c r="X196" s="2603"/>
      <c r="Y196" s="2603"/>
      <c r="Z196" s="2603"/>
      <c r="AA196" s="2603"/>
      <c r="AB196" s="2604"/>
      <c r="AC196" s="46"/>
      <c r="AF196" s="248"/>
    </row>
    <row r="197" spans="1:32" ht="10.15" hidden="1" customHeight="1" x14ac:dyDescent="0.25">
      <c r="A197" s="10" t="s">
        <v>461</v>
      </c>
      <c r="B197" s="5"/>
      <c r="C197" s="40"/>
      <c r="D197" s="8" t="s">
        <v>126</v>
      </c>
      <c r="E197" s="9"/>
      <c r="F197" s="9" t="s">
        <v>1564</v>
      </c>
      <c r="G197" s="47"/>
      <c r="H197" s="47"/>
      <c r="I197" s="48"/>
      <c r="J197" s="84"/>
      <c r="K197" s="82"/>
      <c r="L197" s="82"/>
      <c r="M197" s="82"/>
      <c r="N197" s="333"/>
      <c r="O197" s="333"/>
      <c r="P197" s="333"/>
      <c r="Q197" s="333"/>
      <c r="R197" s="1144"/>
      <c r="S197" s="1818" t="s">
        <v>88</v>
      </c>
      <c r="T197" s="2750" t="s">
        <v>1301</v>
      </c>
      <c r="U197" s="2750"/>
      <c r="V197" s="2750"/>
      <c r="W197" s="2750"/>
      <c r="X197" s="2750"/>
      <c r="Y197" s="2750"/>
      <c r="Z197" s="2751"/>
      <c r="AA197" s="55"/>
      <c r="AB197" s="85"/>
      <c r="AC197" s="86"/>
      <c r="AF197" s="248"/>
    </row>
    <row r="198" spans="1:32" ht="10.15" hidden="1" customHeight="1" x14ac:dyDescent="0.25">
      <c r="A198" s="10" t="s">
        <v>461</v>
      </c>
      <c r="B198" s="5"/>
      <c r="C198" s="40"/>
      <c r="D198" s="52">
        <f>Structure!AY181</f>
        <v>13.875</v>
      </c>
      <c r="E198" s="53"/>
      <c r="F198" s="54">
        <f t="shared" ref="F198" si="7">INDEX(Lookup_NoteRateAll,MATCH("IT_"&amp;RIGHT("000"&amp;TRUNC(D198),3)&amp;TEXT(D198-TRUNC(D198),".0000000000"),Lookup_NoteRateText,0),4)</f>
        <v>111.375</v>
      </c>
      <c r="G198" s="47"/>
      <c r="H198" s="47"/>
      <c r="I198" s="5"/>
      <c r="J198" s="265"/>
      <c r="K198" s="266" t="s">
        <v>212</v>
      </c>
      <c r="L198" s="267"/>
      <c r="M198" s="268" t="s">
        <v>71</v>
      </c>
      <c r="N198" s="1166" t="s">
        <v>25</v>
      </c>
      <c r="O198" s="1129"/>
      <c r="P198" s="1129"/>
      <c r="Q198" s="1129"/>
      <c r="R198" s="269"/>
      <c r="S198" s="260"/>
      <c r="T198" s="1493" t="s">
        <v>249</v>
      </c>
      <c r="U198" s="1494" t="s">
        <v>15</v>
      </c>
      <c r="V198" s="1495" t="s">
        <v>84</v>
      </c>
      <c r="W198" s="1495" t="s">
        <v>31</v>
      </c>
      <c r="X198" s="1495" t="s">
        <v>30</v>
      </c>
      <c r="Y198" s="1495" t="s">
        <v>29</v>
      </c>
      <c r="Z198" s="2080" t="s">
        <v>28</v>
      </c>
      <c r="AA198" s="2079"/>
      <c r="AB198" s="85"/>
      <c r="AC198" s="46"/>
      <c r="AF198" s="248"/>
    </row>
    <row r="199" spans="1:32" ht="10.15" hidden="1" customHeight="1" x14ac:dyDescent="0.25">
      <c r="A199" s="10" t="s">
        <v>461</v>
      </c>
      <c r="B199" s="5"/>
      <c r="C199" s="40"/>
      <c r="D199" s="52">
        <f>Structure!AY182</f>
        <v>13.75</v>
      </c>
      <c r="E199" s="53"/>
      <c r="F199" s="54">
        <f t="shared" ref="F199:F206" si="8">INDEX(Lookup_NoteRateAll,MATCH("IT_"&amp;RIGHT("000"&amp;TRUNC(D199),3)&amp;TEXT(D199-TRUNC(D199),".0000000000"),Lookup_NoteRateText,0),4)</f>
        <v>111.25</v>
      </c>
      <c r="G199" s="47"/>
      <c r="H199" s="47"/>
      <c r="I199" s="5"/>
      <c r="J199" s="2671" t="s">
        <v>206</v>
      </c>
      <c r="K199" s="57"/>
      <c r="L199" s="58"/>
      <c r="M199" s="59"/>
      <c r="N199" s="1103" t="s">
        <v>1282</v>
      </c>
      <c r="O199" s="1147"/>
      <c r="P199" s="1147"/>
      <c r="Q199" s="1147"/>
      <c r="R199" s="1147"/>
      <c r="S199" s="1851" t="s">
        <v>1430</v>
      </c>
      <c r="T199" s="2178">
        <v>1.625</v>
      </c>
      <c r="U199" s="2179">
        <v>1.625</v>
      </c>
      <c r="V199" s="2179">
        <v>1.25</v>
      </c>
      <c r="W199" s="2179">
        <v>1</v>
      </c>
      <c r="X199" s="2179">
        <v>0.75</v>
      </c>
      <c r="Y199" s="2179">
        <v>-0.375</v>
      </c>
      <c r="Z199" s="2179">
        <v>-1.125</v>
      </c>
      <c r="AA199" s="2081" t="e">
        <v>#N/A</v>
      </c>
      <c r="AB199" s="2082" t="e">
        <v>#N/A</v>
      </c>
      <c r="AC199" s="46"/>
      <c r="AF199" s="248"/>
    </row>
    <row r="200" spans="1:32" ht="10.15" hidden="1" customHeight="1" x14ac:dyDescent="0.25">
      <c r="A200" s="10" t="s">
        <v>461</v>
      </c>
      <c r="B200" s="5"/>
      <c r="C200" s="40"/>
      <c r="D200" s="52">
        <f>Structure!AY183</f>
        <v>13.625</v>
      </c>
      <c r="E200" s="53"/>
      <c r="F200" s="54">
        <f t="shared" si="8"/>
        <v>111.125</v>
      </c>
      <c r="G200" s="47"/>
      <c r="H200" s="47"/>
      <c r="I200" s="5"/>
      <c r="J200" s="2672"/>
      <c r="K200" s="235"/>
      <c r="L200" s="236"/>
      <c r="M200" s="237"/>
      <c r="N200" s="1104" t="s">
        <v>1281</v>
      </c>
      <c r="O200" s="1082"/>
      <c r="P200" s="1082"/>
      <c r="Q200" s="1082"/>
      <c r="R200" s="1082"/>
      <c r="S200" s="1852" t="s">
        <v>1431</v>
      </c>
      <c r="T200" s="2181">
        <v>1.625</v>
      </c>
      <c r="U200" s="2182">
        <v>1.625</v>
      </c>
      <c r="V200" s="2182">
        <v>1.125</v>
      </c>
      <c r="W200" s="2182">
        <v>0.875</v>
      </c>
      <c r="X200" s="2182">
        <v>0.625</v>
      </c>
      <c r="Y200" s="2182">
        <v>-0.5</v>
      </c>
      <c r="Z200" s="2182">
        <v>-1.25</v>
      </c>
      <c r="AA200" s="2085" t="e">
        <v>#N/A</v>
      </c>
      <c r="AB200" s="2086" t="e">
        <v>#N/A</v>
      </c>
      <c r="AC200" s="46"/>
      <c r="AF200" s="248"/>
    </row>
    <row r="201" spans="1:32" ht="10.15" hidden="1" customHeight="1" x14ac:dyDescent="0.25">
      <c r="A201" s="10" t="s">
        <v>461</v>
      </c>
      <c r="B201" s="5"/>
      <c r="C201" s="40"/>
      <c r="D201" s="52">
        <f>Structure!AY184</f>
        <v>13.5</v>
      </c>
      <c r="E201" s="53"/>
      <c r="F201" s="54">
        <f t="shared" si="8"/>
        <v>111</v>
      </c>
      <c r="G201" s="47"/>
      <c r="H201" s="47"/>
      <c r="I201" s="5"/>
      <c r="J201" s="2672"/>
      <c r="K201" s="60" t="s">
        <v>1643</v>
      </c>
      <c r="L201" s="61"/>
      <c r="M201" s="62">
        <v>1</v>
      </c>
      <c r="N201" s="1083" t="s">
        <v>255</v>
      </c>
      <c r="O201" s="1083"/>
      <c r="P201" s="1083"/>
      <c r="Q201" s="1083"/>
      <c r="R201" s="1083"/>
      <c r="S201" s="1853" t="s">
        <v>1432</v>
      </c>
      <c r="T201" s="2181">
        <v>1.125</v>
      </c>
      <c r="U201" s="2182">
        <v>1.125</v>
      </c>
      <c r="V201" s="2182">
        <v>0.625</v>
      </c>
      <c r="W201" s="2182">
        <v>0.25</v>
      </c>
      <c r="X201" s="2182">
        <v>0.125</v>
      </c>
      <c r="Y201" s="2182">
        <v>-1</v>
      </c>
      <c r="Z201" s="2182">
        <v>-1.875</v>
      </c>
      <c r="AA201" s="2085" t="e">
        <v>#N/A</v>
      </c>
      <c r="AB201" s="2086" t="e">
        <v>#N/A</v>
      </c>
      <c r="AC201" s="46"/>
      <c r="AF201" s="248"/>
    </row>
    <row r="202" spans="1:32" ht="10.15" hidden="1" customHeight="1" x14ac:dyDescent="0.25">
      <c r="A202" s="10" t="s">
        <v>461</v>
      </c>
      <c r="B202" s="5"/>
      <c r="C202" s="40"/>
      <c r="D202" s="52">
        <f>Structure!AY185</f>
        <v>13.375</v>
      </c>
      <c r="E202" s="53"/>
      <c r="F202" s="54">
        <f t="shared" si="8"/>
        <v>110.875</v>
      </c>
      <c r="G202" s="47"/>
      <c r="H202" s="47"/>
      <c r="I202" s="5"/>
      <c r="J202" s="2672"/>
      <c r="K202" s="60" t="s">
        <v>1642</v>
      </c>
      <c r="L202" s="64"/>
      <c r="M202" s="62">
        <v>2</v>
      </c>
      <c r="N202" s="1083" t="s">
        <v>254</v>
      </c>
      <c r="O202" s="1083"/>
      <c r="P202" s="1083"/>
      <c r="Q202" s="1083"/>
      <c r="R202" s="1083"/>
      <c r="S202" s="1853" t="s">
        <v>1433</v>
      </c>
      <c r="T202" s="2181">
        <v>0.625</v>
      </c>
      <c r="U202" s="2182">
        <v>0.625</v>
      </c>
      <c r="V202" s="2182">
        <v>0.125</v>
      </c>
      <c r="W202" s="2182">
        <v>-0.125</v>
      </c>
      <c r="X202" s="2182">
        <v>-0.25</v>
      </c>
      <c r="Y202" s="2182">
        <v>-1.625</v>
      </c>
      <c r="Z202" s="2182">
        <v>-3.125</v>
      </c>
      <c r="AA202" s="2085" t="e">
        <v>#N/A</v>
      </c>
      <c r="AB202" s="2086" t="e">
        <v>#N/A</v>
      </c>
      <c r="AC202" s="46"/>
      <c r="AF202" s="248"/>
    </row>
    <row r="203" spans="1:32" ht="10.15" hidden="1" customHeight="1" x14ac:dyDescent="0.25">
      <c r="A203" s="10" t="s">
        <v>461</v>
      </c>
      <c r="B203" s="5"/>
      <c r="C203" s="40"/>
      <c r="D203" s="52">
        <f>Structure!AY186</f>
        <v>13.25</v>
      </c>
      <c r="E203" s="53"/>
      <c r="F203" s="54">
        <f t="shared" si="8"/>
        <v>110.75</v>
      </c>
      <c r="G203" s="47"/>
      <c r="H203" s="47"/>
      <c r="I203" s="5"/>
      <c r="J203" s="2672"/>
      <c r="K203" s="88"/>
      <c r="L203" s="19"/>
      <c r="M203" s="62"/>
      <c r="N203" s="1083" t="s">
        <v>3</v>
      </c>
      <c r="O203" s="1083"/>
      <c r="P203" s="1083"/>
      <c r="Q203" s="1083"/>
      <c r="R203" s="1083"/>
      <c r="S203" s="1853" t="s">
        <v>1434</v>
      </c>
      <c r="T203" s="2181">
        <v>0</v>
      </c>
      <c r="U203" s="2182">
        <v>0</v>
      </c>
      <c r="V203" s="2182">
        <v>-0.5</v>
      </c>
      <c r="W203" s="2182">
        <v>-0.75</v>
      </c>
      <c r="X203" s="2182">
        <v>-1</v>
      </c>
      <c r="Y203" s="2182">
        <v>-2</v>
      </c>
      <c r="Z203" s="2182">
        <v>-4</v>
      </c>
      <c r="AA203" s="2085" t="e">
        <v>#N/A</v>
      </c>
      <c r="AB203" s="2086" t="e">
        <v>#N/A</v>
      </c>
      <c r="AC203" s="46"/>
      <c r="AF203" s="248"/>
    </row>
    <row r="204" spans="1:32" ht="10.15" hidden="1" customHeight="1" x14ac:dyDescent="0.25">
      <c r="A204" s="10" t="s">
        <v>461</v>
      </c>
      <c r="B204" s="5"/>
      <c r="C204" s="40"/>
      <c r="D204" s="52">
        <f>Structure!AY187</f>
        <v>13.125</v>
      </c>
      <c r="E204" s="53"/>
      <c r="F204" s="54">
        <f t="shared" si="8"/>
        <v>110.5</v>
      </c>
      <c r="G204" s="47"/>
      <c r="H204" s="47"/>
      <c r="I204" s="5"/>
      <c r="J204" s="2672"/>
      <c r="K204" s="65"/>
      <c r="L204" s="43"/>
      <c r="M204" s="62"/>
      <c r="N204" s="1083" t="s">
        <v>5</v>
      </c>
      <c r="O204" s="1083"/>
      <c r="P204" s="1083"/>
      <c r="Q204" s="1083"/>
      <c r="R204" s="1083"/>
      <c r="S204" s="1853" t="s">
        <v>1435</v>
      </c>
      <c r="T204" s="2181">
        <v>-1.125</v>
      </c>
      <c r="U204" s="2182">
        <v>-1.125</v>
      </c>
      <c r="V204" s="2182">
        <v>-1.75</v>
      </c>
      <c r="W204" s="2182">
        <v>-2.125</v>
      </c>
      <c r="X204" s="2182">
        <v>-2.5</v>
      </c>
      <c r="Y204" s="2182">
        <v>-3</v>
      </c>
      <c r="Z204" s="2182">
        <v>-5.5</v>
      </c>
      <c r="AA204" s="2085" t="e">
        <v>#N/A</v>
      </c>
      <c r="AB204" s="2086" t="e">
        <v>#N/A</v>
      </c>
      <c r="AC204" s="46"/>
      <c r="AF204" s="248"/>
    </row>
    <row r="205" spans="1:32" ht="10.15" hidden="1" customHeight="1" x14ac:dyDescent="0.25">
      <c r="A205" s="10" t="s">
        <v>461</v>
      </c>
      <c r="B205" s="5"/>
      <c r="C205" s="40"/>
      <c r="D205" s="52">
        <f>Structure!AY188</f>
        <v>13</v>
      </c>
      <c r="E205" s="53"/>
      <c r="F205" s="54">
        <f t="shared" si="8"/>
        <v>110.25</v>
      </c>
      <c r="G205" s="47"/>
      <c r="H205" s="47"/>
      <c r="I205" s="5"/>
      <c r="J205" s="2672"/>
      <c r="K205" s="65"/>
      <c r="L205" s="43"/>
      <c r="M205" s="62"/>
      <c r="N205" s="1083" t="s">
        <v>6</v>
      </c>
      <c r="O205" s="1083"/>
      <c r="P205" s="1083"/>
      <c r="Q205" s="1083"/>
      <c r="R205" s="1083"/>
      <c r="S205" s="1853" t="s">
        <v>1436</v>
      </c>
      <c r="T205" s="2181">
        <v>-3</v>
      </c>
      <c r="U205" s="2182">
        <v>-3</v>
      </c>
      <c r="V205" s="2182">
        <v>-3.625</v>
      </c>
      <c r="W205" s="2182">
        <v>-4</v>
      </c>
      <c r="X205" s="2182">
        <v>-4.5</v>
      </c>
      <c r="Y205" s="2182">
        <v>-5.5</v>
      </c>
      <c r="Z205" s="2402" t="e">
        <v>#N/A</v>
      </c>
      <c r="AA205" s="2085" t="e">
        <v>#N/A</v>
      </c>
      <c r="AB205" s="2086" t="e">
        <v>#N/A</v>
      </c>
      <c r="AC205" s="46"/>
      <c r="AF205" s="248"/>
    </row>
    <row r="206" spans="1:32" ht="10.15" hidden="1" customHeight="1" x14ac:dyDescent="0.25">
      <c r="A206" s="10" t="s">
        <v>461</v>
      </c>
      <c r="B206" s="5"/>
      <c r="C206" s="40"/>
      <c r="D206" s="52">
        <f>Structure!AY189</f>
        <v>12.875</v>
      </c>
      <c r="E206" s="53"/>
      <c r="F206" s="54">
        <f t="shared" si="8"/>
        <v>110</v>
      </c>
      <c r="G206" s="47"/>
      <c r="H206" s="47"/>
      <c r="I206" s="5"/>
      <c r="J206" s="2672"/>
      <c r="K206" s="65"/>
      <c r="L206" s="43"/>
      <c r="M206" s="62"/>
      <c r="N206" s="1083" t="s">
        <v>7</v>
      </c>
      <c r="O206" s="1083"/>
      <c r="P206" s="1083"/>
      <c r="Q206" s="1083"/>
      <c r="R206" s="1083"/>
      <c r="S206" s="1853" t="s">
        <v>1437</v>
      </c>
      <c r="T206" s="2184">
        <v>-4.25</v>
      </c>
      <c r="U206" s="2185">
        <v>-4.375</v>
      </c>
      <c r="V206" s="2185">
        <v>-4.75</v>
      </c>
      <c r="W206" s="2185">
        <v>-5.375</v>
      </c>
      <c r="X206" s="2185">
        <v>-5.75</v>
      </c>
      <c r="Y206" s="2400" t="e">
        <v>#N/A</v>
      </c>
      <c r="Z206" s="2400" t="e">
        <v>#N/A</v>
      </c>
      <c r="AA206" s="2085" t="e">
        <v>#N/A</v>
      </c>
      <c r="AB206" s="2086" t="e">
        <v>#N/A</v>
      </c>
      <c r="AC206" s="46"/>
      <c r="AF206" s="248"/>
    </row>
    <row r="207" spans="1:32" ht="10.15" hidden="1" customHeight="1" x14ac:dyDescent="0.25">
      <c r="A207" s="10" t="s">
        <v>463</v>
      </c>
      <c r="B207" s="5"/>
      <c r="C207" s="40"/>
      <c r="G207" s="47"/>
      <c r="H207" s="47"/>
      <c r="I207" s="5"/>
      <c r="J207" s="2672"/>
      <c r="K207" s="65"/>
      <c r="L207" s="43"/>
      <c r="M207" s="62"/>
      <c r="N207" s="1097" t="s">
        <v>9</v>
      </c>
      <c r="O207" s="1097"/>
      <c r="P207" s="1097"/>
      <c r="Q207" s="1097"/>
      <c r="R207" s="1097"/>
      <c r="S207" s="1886" t="s">
        <v>1438</v>
      </c>
      <c r="T207" s="2069" t="e">
        <v>#N/A</v>
      </c>
      <c r="U207" s="1804" t="e">
        <v>#N/A</v>
      </c>
      <c r="V207" s="1804" t="e">
        <v>#N/A</v>
      </c>
      <c r="W207" s="1804" t="e">
        <v>#N/A</v>
      </c>
      <c r="X207" s="1804" t="e">
        <v>#N/A</v>
      </c>
      <c r="Y207" s="1804" t="e">
        <v>#N/A</v>
      </c>
      <c r="Z207" s="2070" t="e">
        <v>#N/A</v>
      </c>
      <c r="AA207" s="2085" t="e">
        <v>#N/A</v>
      </c>
      <c r="AB207" s="2086" t="e">
        <v>#N/A</v>
      </c>
      <c r="AC207" s="46"/>
      <c r="AF207" s="248"/>
    </row>
    <row r="208" spans="1:32" ht="10.15" hidden="1" customHeight="1" x14ac:dyDescent="0.25">
      <c r="A208" s="10" t="s">
        <v>463</v>
      </c>
      <c r="B208" s="5"/>
      <c r="C208" s="40"/>
      <c r="G208" s="47"/>
      <c r="H208" s="47"/>
      <c r="I208" s="5"/>
      <c r="J208" s="2673"/>
      <c r="K208" s="89"/>
      <c r="L208" s="90"/>
      <c r="M208" s="91"/>
      <c r="N208" s="1104" t="s">
        <v>10</v>
      </c>
      <c r="O208" s="1082"/>
      <c r="P208" s="1082"/>
      <c r="Q208" s="1082"/>
      <c r="R208" s="1082"/>
      <c r="S208" s="1887" t="s">
        <v>1439</v>
      </c>
      <c r="T208" s="2069" t="e">
        <v>#N/A</v>
      </c>
      <c r="U208" s="1804" t="e">
        <v>#N/A</v>
      </c>
      <c r="V208" s="1804" t="e">
        <v>#N/A</v>
      </c>
      <c r="W208" s="1804" t="e">
        <v>#N/A</v>
      </c>
      <c r="X208" s="1804" t="e">
        <v>#N/A</v>
      </c>
      <c r="Y208" s="1804" t="e">
        <v>#N/A</v>
      </c>
      <c r="Z208" s="2070" t="e">
        <v>#N/A</v>
      </c>
      <c r="AA208" s="2085" t="e">
        <v>#N/A</v>
      </c>
      <c r="AB208" s="2086" t="e">
        <v>#N/A</v>
      </c>
      <c r="AC208" s="46"/>
      <c r="AF208" s="248"/>
    </row>
    <row r="209" spans="1:32" ht="10.15" hidden="1" customHeight="1" x14ac:dyDescent="0.25">
      <c r="A209" s="10" t="s">
        <v>461</v>
      </c>
      <c r="B209" s="5"/>
      <c r="C209" s="40"/>
      <c r="D209" s="52">
        <f>Structure!AY190</f>
        <v>12.75</v>
      </c>
      <c r="E209" s="53"/>
      <c r="F209" s="54">
        <f t="shared" ref="F209:F216" si="9">INDEX(Lookup_NoteRateAll,MATCH("IT_"&amp;RIGHT("000"&amp;TRUNC(D209),3)&amp;TEXT(D209-TRUNC(D209),".0000000000"),Lookup_NoteRateText,0),4)</f>
        <v>109.75</v>
      </c>
      <c r="G209" s="47"/>
      <c r="H209" s="47"/>
      <c r="I209" s="5"/>
      <c r="J209" s="2671" t="s">
        <v>207</v>
      </c>
      <c r="K209" s="57"/>
      <c r="L209" s="58"/>
      <c r="M209" s="66"/>
      <c r="N209" s="1103" t="s">
        <v>1282</v>
      </c>
      <c r="O209" s="1147"/>
      <c r="P209" s="1147"/>
      <c r="Q209" s="1147"/>
      <c r="R209" s="1147"/>
      <c r="S209" s="1883" t="s">
        <v>1440</v>
      </c>
      <c r="T209" s="2178">
        <v>0.875</v>
      </c>
      <c r="U209" s="2179">
        <v>0.875</v>
      </c>
      <c r="V209" s="2179">
        <v>0.5</v>
      </c>
      <c r="W209" s="2179">
        <v>0.125</v>
      </c>
      <c r="X209" s="2179">
        <v>-0.125</v>
      </c>
      <c r="Y209" s="2179">
        <v>-1.375</v>
      </c>
      <c r="Z209" s="2179">
        <v>-2.25</v>
      </c>
      <c r="AA209" s="2085" t="e">
        <v>#N/A</v>
      </c>
      <c r="AB209" s="2086" t="e">
        <v>#N/A</v>
      </c>
      <c r="AC209" s="46"/>
      <c r="AF209" s="248"/>
    </row>
    <row r="210" spans="1:32" ht="10.15" hidden="1" customHeight="1" x14ac:dyDescent="0.25">
      <c r="A210" s="10" t="s">
        <v>461</v>
      </c>
      <c r="B210" s="5"/>
      <c r="C210" s="40"/>
      <c r="D210" s="52">
        <f>Structure!AY191</f>
        <v>12.625</v>
      </c>
      <c r="E210" s="53"/>
      <c r="F210" s="54">
        <f t="shared" si="9"/>
        <v>109.5</v>
      </c>
      <c r="G210" s="47"/>
      <c r="H210" s="47"/>
      <c r="I210" s="5"/>
      <c r="J210" s="2672"/>
      <c r="K210" s="235"/>
      <c r="L210" s="236"/>
      <c r="M210" s="238"/>
      <c r="N210" s="1104" t="s">
        <v>1281</v>
      </c>
      <c r="O210" s="1082"/>
      <c r="P210" s="1082"/>
      <c r="Q210" s="1082"/>
      <c r="R210" s="1082"/>
      <c r="S210" s="1852" t="s">
        <v>1441</v>
      </c>
      <c r="T210" s="2181">
        <v>0.875</v>
      </c>
      <c r="U210" s="2182">
        <v>0.875</v>
      </c>
      <c r="V210" s="2182">
        <v>0.375</v>
      </c>
      <c r="W210" s="2182">
        <v>0</v>
      </c>
      <c r="X210" s="2182">
        <v>-0.25</v>
      </c>
      <c r="Y210" s="2182">
        <v>-1.5</v>
      </c>
      <c r="Z210" s="2182">
        <v>-2.375</v>
      </c>
      <c r="AA210" s="2085" t="e">
        <v>#N/A</v>
      </c>
      <c r="AB210" s="2086" t="e">
        <v>#N/A</v>
      </c>
      <c r="AC210" s="46"/>
      <c r="AF210" s="248"/>
    </row>
    <row r="211" spans="1:32" ht="10.15" hidden="1" customHeight="1" x14ac:dyDescent="0.25">
      <c r="A211" s="10" t="s">
        <v>461</v>
      </c>
      <c r="B211" s="5"/>
      <c r="C211" s="40"/>
      <c r="D211" s="52">
        <f>Structure!AY192</f>
        <v>12.5</v>
      </c>
      <c r="E211" s="53"/>
      <c r="F211" s="54">
        <f t="shared" si="9"/>
        <v>109.25</v>
      </c>
      <c r="G211" s="47"/>
      <c r="H211" s="47"/>
      <c r="I211" s="5"/>
      <c r="J211" s="2672"/>
      <c r="K211" s="63" t="s">
        <v>80</v>
      </c>
      <c r="L211" s="67" t="s">
        <v>426</v>
      </c>
      <c r="M211" s="62">
        <v>3</v>
      </c>
      <c r="N211" s="1083" t="s">
        <v>255</v>
      </c>
      <c r="O211" s="1083"/>
      <c r="P211" s="1083"/>
      <c r="Q211" s="1083"/>
      <c r="R211" s="1083"/>
      <c r="S211" s="1853" t="s">
        <v>1442</v>
      </c>
      <c r="T211" s="2181">
        <v>0.375</v>
      </c>
      <c r="U211" s="2182">
        <v>0.375</v>
      </c>
      <c r="V211" s="2182">
        <v>-0.125</v>
      </c>
      <c r="W211" s="2182">
        <v>-0.625</v>
      </c>
      <c r="X211" s="2182">
        <v>-0.75</v>
      </c>
      <c r="Y211" s="2182">
        <v>-2</v>
      </c>
      <c r="Z211" s="2182">
        <v>-3</v>
      </c>
      <c r="AA211" s="2085" t="e">
        <v>#N/A</v>
      </c>
      <c r="AB211" s="2086" t="e">
        <v>#N/A</v>
      </c>
      <c r="AC211" s="46"/>
      <c r="AF211" s="248"/>
    </row>
    <row r="212" spans="1:32" ht="10.15" hidden="1" customHeight="1" x14ac:dyDescent="0.25">
      <c r="A212" s="10" t="s">
        <v>461</v>
      </c>
      <c r="B212" s="5"/>
      <c r="C212" s="40"/>
      <c r="D212" s="52">
        <f>Structure!AY193</f>
        <v>12.375</v>
      </c>
      <c r="E212" s="53"/>
      <c r="F212" s="54">
        <f t="shared" si="9"/>
        <v>109</v>
      </c>
      <c r="G212" s="47"/>
      <c r="H212" s="47"/>
      <c r="I212" s="5"/>
      <c r="J212" s="2672"/>
      <c r="K212" s="60">
        <v>1099</v>
      </c>
      <c r="L212" s="61"/>
      <c r="M212" s="62">
        <v>14</v>
      </c>
      <c r="N212" s="1083" t="s">
        <v>254</v>
      </c>
      <c r="O212" s="1083"/>
      <c r="P212" s="1083"/>
      <c r="Q212" s="1083"/>
      <c r="R212" s="1083"/>
      <c r="S212" s="1853" t="s">
        <v>1443</v>
      </c>
      <c r="T212" s="2181">
        <v>-0.125</v>
      </c>
      <c r="U212" s="2182">
        <v>-0.125</v>
      </c>
      <c r="V212" s="2182">
        <v>-0.625</v>
      </c>
      <c r="W212" s="2182">
        <v>-1</v>
      </c>
      <c r="X212" s="2182">
        <v>-1.125</v>
      </c>
      <c r="Y212" s="2182">
        <v>-2.625</v>
      </c>
      <c r="Z212" s="2182">
        <v>-4.25</v>
      </c>
      <c r="AA212" s="2085" t="e">
        <v>#N/A</v>
      </c>
      <c r="AB212" s="2086" t="e">
        <v>#N/A</v>
      </c>
      <c r="AC212" s="46"/>
      <c r="AF212" s="248"/>
    </row>
    <row r="213" spans="1:32" ht="10.15" hidden="1" customHeight="1" x14ac:dyDescent="0.25">
      <c r="A213" s="10" t="s">
        <v>461</v>
      </c>
      <c r="B213" s="5"/>
      <c r="C213" s="40"/>
      <c r="D213" s="52">
        <f>Structure!AY194</f>
        <v>12.25</v>
      </c>
      <c r="E213" s="53"/>
      <c r="F213" s="54">
        <f t="shared" si="9"/>
        <v>108.75</v>
      </c>
      <c r="G213" s="47"/>
      <c r="H213" s="47"/>
      <c r="I213" s="5"/>
      <c r="J213" s="2672"/>
      <c r="K213" s="63"/>
      <c r="L213" s="64"/>
      <c r="M213" s="62"/>
      <c r="N213" s="1083" t="s">
        <v>3</v>
      </c>
      <c r="O213" s="1083"/>
      <c r="P213" s="1083"/>
      <c r="Q213" s="1083"/>
      <c r="R213" s="1083"/>
      <c r="S213" s="1853" t="s">
        <v>1444</v>
      </c>
      <c r="T213" s="2181">
        <v>-0.75</v>
      </c>
      <c r="U213" s="2182">
        <v>-0.75</v>
      </c>
      <c r="V213" s="2182">
        <v>-1.25</v>
      </c>
      <c r="W213" s="2182">
        <v>-1.625</v>
      </c>
      <c r="X213" s="2182">
        <v>-1.875</v>
      </c>
      <c r="Y213" s="2182">
        <v>-3</v>
      </c>
      <c r="Z213" s="2182">
        <v>-5.125</v>
      </c>
      <c r="AA213" s="2085" t="e">
        <v>#N/A</v>
      </c>
      <c r="AB213" s="2086" t="e">
        <v>#N/A</v>
      </c>
      <c r="AC213" s="46"/>
      <c r="AF213" s="248"/>
    </row>
    <row r="214" spans="1:32" ht="10.15" hidden="1" customHeight="1" x14ac:dyDescent="0.25">
      <c r="A214" s="10" t="s">
        <v>461</v>
      </c>
      <c r="B214" s="5"/>
      <c r="C214" s="40"/>
      <c r="D214" s="52">
        <f>Structure!AY195</f>
        <v>12.125</v>
      </c>
      <c r="E214" s="53"/>
      <c r="F214" s="54">
        <f t="shared" si="9"/>
        <v>108.5</v>
      </c>
      <c r="G214" s="47"/>
      <c r="H214" s="47"/>
      <c r="I214" s="5"/>
      <c r="J214" s="2672"/>
      <c r="K214" s="63"/>
      <c r="L214" s="64"/>
      <c r="M214" s="62"/>
      <c r="N214" s="1083" t="s">
        <v>5</v>
      </c>
      <c r="O214" s="1083"/>
      <c r="P214" s="1083"/>
      <c r="Q214" s="1083"/>
      <c r="R214" s="1083"/>
      <c r="S214" s="1853" t="s">
        <v>1445</v>
      </c>
      <c r="T214" s="2181">
        <v>-2</v>
      </c>
      <c r="U214" s="2182">
        <v>-2</v>
      </c>
      <c r="V214" s="2182">
        <v>-2.625</v>
      </c>
      <c r="W214" s="2182">
        <v>-3.125</v>
      </c>
      <c r="X214" s="2182">
        <v>-3.5</v>
      </c>
      <c r="Y214" s="2182">
        <v>-4.125</v>
      </c>
      <c r="Z214" s="2402" t="e">
        <v>#N/A</v>
      </c>
      <c r="AA214" s="2085" t="e">
        <v>#N/A</v>
      </c>
      <c r="AB214" s="2086" t="e">
        <v>#N/A</v>
      </c>
      <c r="AC214" s="46"/>
      <c r="AF214" s="248"/>
    </row>
    <row r="215" spans="1:32" ht="10.15" hidden="1" customHeight="1" x14ac:dyDescent="0.25">
      <c r="A215" s="10" t="s">
        <v>461</v>
      </c>
      <c r="B215" s="5"/>
      <c r="C215" s="40"/>
      <c r="D215" s="52">
        <f>Structure!AY196</f>
        <v>12</v>
      </c>
      <c r="E215" s="53"/>
      <c r="F215" s="54">
        <f t="shared" si="9"/>
        <v>108.25</v>
      </c>
      <c r="G215" s="47"/>
      <c r="H215" s="47"/>
      <c r="I215" s="5"/>
      <c r="J215" s="2672"/>
      <c r="K215" s="92"/>
      <c r="L215" s="93"/>
      <c r="M215" s="62"/>
      <c r="N215" s="1083" t="s">
        <v>6</v>
      </c>
      <c r="O215" s="1083"/>
      <c r="P215" s="1083"/>
      <c r="Q215" s="1083"/>
      <c r="R215" s="1083"/>
      <c r="S215" s="1853" t="s">
        <v>1446</v>
      </c>
      <c r="T215" s="2181">
        <v>-4</v>
      </c>
      <c r="U215" s="2182">
        <v>-4</v>
      </c>
      <c r="V215" s="2182">
        <v>-4.625</v>
      </c>
      <c r="W215" s="2182">
        <v>-5.125</v>
      </c>
      <c r="X215" s="2182">
        <v>-5.625</v>
      </c>
      <c r="Y215" s="2402" t="e">
        <v>#N/A</v>
      </c>
      <c r="Z215" s="2402" t="e">
        <v>#N/A</v>
      </c>
      <c r="AA215" s="2085" t="e">
        <v>#N/A</v>
      </c>
      <c r="AB215" s="2086" t="e">
        <v>#N/A</v>
      </c>
      <c r="AC215" s="46"/>
      <c r="AF215" s="248"/>
    </row>
    <row r="216" spans="1:32" ht="10.15" hidden="1" customHeight="1" x14ac:dyDescent="0.25">
      <c r="A216" s="10" t="s">
        <v>461</v>
      </c>
      <c r="B216" s="5"/>
      <c r="C216" s="40"/>
      <c r="D216" s="52">
        <f>Structure!AY197</f>
        <v>11.875</v>
      </c>
      <c r="E216" s="53"/>
      <c r="F216" s="54">
        <f t="shared" si="9"/>
        <v>108</v>
      </c>
      <c r="G216" s="47"/>
      <c r="H216" s="47"/>
      <c r="I216" s="5"/>
      <c r="J216" s="2672"/>
      <c r="K216" s="92"/>
      <c r="L216" s="93"/>
      <c r="M216" s="62"/>
      <c r="N216" s="1083" t="s">
        <v>7</v>
      </c>
      <c r="O216" s="1083"/>
      <c r="P216" s="1083"/>
      <c r="Q216" s="1083"/>
      <c r="R216" s="1083"/>
      <c r="S216" s="1853" t="s">
        <v>1447</v>
      </c>
      <c r="T216" s="2184">
        <v>-5.75</v>
      </c>
      <c r="U216" s="2185">
        <v>-5.875</v>
      </c>
      <c r="V216" s="2185">
        <v>-6.25</v>
      </c>
      <c r="W216" s="2400" t="e">
        <v>#N/A</v>
      </c>
      <c r="X216" s="2400" t="e">
        <v>#N/A</v>
      </c>
      <c r="Y216" s="2400" t="e">
        <v>#N/A</v>
      </c>
      <c r="Z216" s="2400" t="e">
        <v>#N/A</v>
      </c>
      <c r="AA216" s="2085" t="e">
        <v>#N/A</v>
      </c>
      <c r="AB216" s="2086" t="e">
        <v>#N/A</v>
      </c>
      <c r="AC216" s="46"/>
      <c r="AF216" s="248"/>
    </row>
    <row r="217" spans="1:32" ht="10.15" hidden="1" customHeight="1" x14ac:dyDescent="0.25">
      <c r="A217" s="10" t="s">
        <v>463</v>
      </c>
      <c r="B217" s="5"/>
      <c r="C217" s="40"/>
      <c r="G217" s="47"/>
      <c r="H217" s="47"/>
      <c r="I217" s="5"/>
      <c r="J217" s="2672"/>
      <c r="K217" s="92"/>
      <c r="L217" s="93"/>
      <c r="M217" s="62"/>
      <c r="N217" s="1097" t="s">
        <v>9</v>
      </c>
      <c r="O217" s="1097"/>
      <c r="P217" s="1097"/>
      <c r="Q217" s="1097"/>
      <c r="R217" s="1097"/>
      <c r="S217" s="1886" t="s">
        <v>1448</v>
      </c>
      <c r="T217" s="2069" t="e">
        <v>#N/A</v>
      </c>
      <c r="U217" s="1804" t="e">
        <v>#N/A</v>
      </c>
      <c r="V217" s="1804" t="e">
        <v>#N/A</v>
      </c>
      <c r="W217" s="1804" t="e">
        <v>#N/A</v>
      </c>
      <c r="X217" s="1804" t="e">
        <v>#N/A</v>
      </c>
      <c r="Y217" s="1804" t="e">
        <v>#N/A</v>
      </c>
      <c r="Z217" s="2070" t="e">
        <v>#N/A</v>
      </c>
      <c r="AA217" s="2085" t="e">
        <v>#N/A</v>
      </c>
      <c r="AB217" s="2086" t="e">
        <v>#N/A</v>
      </c>
      <c r="AC217" s="46"/>
      <c r="AF217" s="248"/>
    </row>
    <row r="218" spans="1:32" ht="10.15" hidden="1" customHeight="1" x14ac:dyDescent="0.25">
      <c r="A218" s="10" t="s">
        <v>463</v>
      </c>
      <c r="B218" s="5"/>
      <c r="C218" s="40"/>
      <c r="G218" s="47"/>
      <c r="H218" s="47"/>
      <c r="I218" s="5"/>
      <c r="J218" s="2673"/>
      <c r="K218" s="94"/>
      <c r="L218" s="95"/>
      <c r="M218" s="91"/>
      <c r="N218" s="1104" t="s">
        <v>10</v>
      </c>
      <c r="O218" s="1082"/>
      <c r="P218" s="1082"/>
      <c r="Q218" s="1082"/>
      <c r="R218" s="1082"/>
      <c r="S218" s="1887" t="s">
        <v>1449</v>
      </c>
      <c r="T218" s="2069" t="e">
        <v>#N/A</v>
      </c>
      <c r="U218" s="1804" t="e">
        <v>#N/A</v>
      </c>
      <c r="V218" s="1804" t="e">
        <v>#N/A</v>
      </c>
      <c r="W218" s="1804" t="e">
        <v>#N/A</v>
      </c>
      <c r="X218" s="1804" t="e">
        <v>#N/A</v>
      </c>
      <c r="Y218" s="1804" t="e">
        <v>#N/A</v>
      </c>
      <c r="Z218" s="2070" t="e">
        <v>#N/A</v>
      </c>
      <c r="AA218" s="2085" t="e">
        <v>#N/A</v>
      </c>
      <c r="AB218" s="2086" t="e">
        <v>#N/A</v>
      </c>
      <c r="AC218" s="46"/>
      <c r="AF218" s="248"/>
    </row>
    <row r="219" spans="1:32" ht="10.15" hidden="1" customHeight="1" x14ac:dyDescent="0.25">
      <c r="A219" s="10" t="s">
        <v>461</v>
      </c>
      <c r="B219" s="5"/>
      <c r="C219" s="40"/>
      <c r="D219" s="52">
        <f>Structure!AY198</f>
        <v>11.75</v>
      </c>
      <c r="E219" s="53"/>
      <c r="F219" s="54">
        <f t="shared" ref="F219:F226" si="10">INDEX(Lookup_NoteRateAll,MATCH("IT_"&amp;RIGHT("000"&amp;TRUNC(D219),3)&amp;TEXT(D219-TRUNC(D219),".0000000000"),Lookup_NoteRateText,0),4)</f>
        <v>107.75</v>
      </c>
      <c r="G219" s="47"/>
      <c r="H219" s="47"/>
      <c r="I219" s="5"/>
      <c r="J219" s="2671" t="s">
        <v>350</v>
      </c>
      <c r="K219" s="58"/>
      <c r="L219" s="58"/>
      <c r="M219" s="66"/>
      <c r="N219" s="1103" t="s">
        <v>1282</v>
      </c>
      <c r="O219" s="1147"/>
      <c r="P219" s="1147"/>
      <c r="Q219" s="1147"/>
      <c r="R219" s="1147"/>
      <c r="S219" s="1883" t="s">
        <v>3806</v>
      </c>
      <c r="T219" s="2178">
        <v>-0.5</v>
      </c>
      <c r="U219" s="2179">
        <v>-0.5</v>
      </c>
      <c r="V219" s="2179">
        <v>-0.875</v>
      </c>
      <c r="W219" s="2179">
        <v>-1.5</v>
      </c>
      <c r="X219" s="2179">
        <v>-1.75</v>
      </c>
      <c r="Y219" s="2179">
        <v>-3.125</v>
      </c>
      <c r="Z219" s="2179">
        <v>-4.125</v>
      </c>
      <c r="AA219" s="2085" t="e">
        <v>#N/A</v>
      </c>
      <c r="AB219" s="2086" t="e">
        <v>#N/A</v>
      </c>
      <c r="AC219" s="46"/>
      <c r="AF219" s="248"/>
    </row>
    <row r="220" spans="1:32" ht="10.15" hidden="1" customHeight="1" x14ac:dyDescent="0.25">
      <c r="A220" s="10" t="s">
        <v>461</v>
      </c>
      <c r="B220" s="5"/>
      <c r="C220" s="40"/>
      <c r="D220" s="52">
        <f>Structure!AY199</f>
        <v>11.625</v>
      </c>
      <c r="E220" s="53"/>
      <c r="F220" s="54">
        <f t="shared" si="10"/>
        <v>107.5</v>
      </c>
      <c r="G220" s="47"/>
      <c r="H220" s="47"/>
      <c r="I220" s="5"/>
      <c r="J220" s="2672"/>
      <c r="K220" s="236"/>
      <c r="L220" s="236"/>
      <c r="M220" s="238"/>
      <c r="N220" s="1104" t="s">
        <v>1281</v>
      </c>
      <c r="O220" s="1082"/>
      <c r="P220" s="1082"/>
      <c r="Q220" s="1082"/>
      <c r="R220" s="1082"/>
      <c r="S220" s="1852" t="s">
        <v>3807</v>
      </c>
      <c r="T220" s="2181">
        <v>-0.5</v>
      </c>
      <c r="U220" s="2182">
        <v>-0.5</v>
      </c>
      <c r="V220" s="2182">
        <v>-1</v>
      </c>
      <c r="W220" s="2182">
        <v>-1.625</v>
      </c>
      <c r="X220" s="2182">
        <v>-1.875</v>
      </c>
      <c r="Y220" s="2182">
        <v>-3.25</v>
      </c>
      <c r="Z220" s="2182">
        <v>-4.375</v>
      </c>
      <c r="AA220" s="2085" t="e">
        <v>#N/A</v>
      </c>
      <c r="AB220" s="2086" t="e">
        <v>#N/A</v>
      </c>
      <c r="AC220" s="46"/>
      <c r="AF220" s="248"/>
    </row>
    <row r="221" spans="1:32" ht="10.15" hidden="1" customHeight="1" x14ac:dyDescent="0.25">
      <c r="A221" s="10" t="s">
        <v>461</v>
      </c>
      <c r="B221" s="5"/>
      <c r="C221" s="40"/>
      <c r="D221" s="52">
        <f>Structure!AY200</f>
        <v>11.5</v>
      </c>
      <c r="E221" s="53"/>
      <c r="F221" s="54">
        <f t="shared" si="10"/>
        <v>107.25</v>
      </c>
      <c r="G221" s="47"/>
      <c r="H221" s="47"/>
      <c r="I221" s="5"/>
      <c r="J221" s="2672"/>
      <c r="K221" s="64" t="s">
        <v>349</v>
      </c>
      <c r="L221" s="61"/>
      <c r="M221" s="62">
        <v>7</v>
      </c>
      <c r="N221" s="1083" t="s">
        <v>255</v>
      </c>
      <c r="O221" s="1083"/>
      <c r="P221" s="1083"/>
      <c r="Q221" s="1083"/>
      <c r="R221" s="1083"/>
      <c r="S221" s="1853" t="s">
        <v>3808</v>
      </c>
      <c r="T221" s="2181">
        <v>-1</v>
      </c>
      <c r="U221" s="2182">
        <v>-1</v>
      </c>
      <c r="V221" s="2182">
        <v>-1.5</v>
      </c>
      <c r="W221" s="2182">
        <v>-2.25</v>
      </c>
      <c r="X221" s="2182">
        <v>-2.375</v>
      </c>
      <c r="Y221" s="2182">
        <v>-3.75</v>
      </c>
      <c r="Z221" s="2182">
        <v>-5</v>
      </c>
      <c r="AA221" s="2085" t="e">
        <v>#N/A</v>
      </c>
      <c r="AB221" s="2086" t="e">
        <v>#N/A</v>
      </c>
      <c r="AC221" s="46"/>
      <c r="AF221" s="248"/>
    </row>
    <row r="222" spans="1:32" ht="10.15" hidden="1" customHeight="1" x14ac:dyDescent="0.25">
      <c r="A222" s="10" t="s">
        <v>461</v>
      </c>
      <c r="B222" s="5"/>
      <c r="C222" s="40"/>
      <c r="D222" s="52">
        <f>Structure!AY201</f>
        <v>11.375</v>
      </c>
      <c r="E222" s="53"/>
      <c r="F222" s="54">
        <f t="shared" si="10"/>
        <v>107</v>
      </c>
      <c r="G222" s="47"/>
      <c r="H222" s="47"/>
      <c r="I222" s="5"/>
      <c r="J222" s="2672"/>
      <c r="K222" s="61" t="s">
        <v>471</v>
      </c>
      <c r="L222" s="93"/>
      <c r="M222" s="62">
        <v>15</v>
      </c>
      <c r="N222" s="1083" t="s">
        <v>254</v>
      </c>
      <c r="O222" s="1083"/>
      <c r="P222" s="1083"/>
      <c r="Q222" s="1083"/>
      <c r="R222" s="1083"/>
      <c r="S222" s="1853" t="s">
        <v>3809</v>
      </c>
      <c r="T222" s="2181">
        <v>-1.5</v>
      </c>
      <c r="U222" s="2182">
        <v>-1.5</v>
      </c>
      <c r="V222" s="2182">
        <v>-2</v>
      </c>
      <c r="W222" s="2182">
        <v>-2.625</v>
      </c>
      <c r="X222" s="2182">
        <v>-2.75</v>
      </c>
      <c r="Y222" s="2182">
        <v>-4.375</v>
      </c>
      <c r="Z222" s="2182">
        <v>-6.25</v>
      </c>
      <c r="AA222" s="2085" t="e">
        <v>#N/A</v>
      </c>
      <c r="AB222" s="2086" t="e">
        <v>#N/A</v>
      </c>
      <c r="AC222" s="46"/>
      <c r="AF222" s="248"/>
    </row>
    <row r="223" spans="1:32" ht="10.15" hidden="1" customHeight="1" x14ac:dyDescent="0.25">
      <c r="A223" s="10" t="s">
        <v>461</v>
      </c>
      <c r="B223" s="5"/>
      <c r="C223" s="40"/>
      <c r="D223" s="52">
        <f>Structure!AY202</f>
        <v>11.25</v>
      </c>
      <c r="E223" s="53"/>
      <c r="F223" s="54">
        <f t="shared" si="10"/>
        <v>106.75</v>
      </c>
      <c r="G223" s="47"/>
      <c r="H223" s="47"/>
      <c r="I223" s="5"/>
      <c r="J223" s="2672"/>
      <c r="K223" s="93"/>
      <c r="L223" s="93"/>
      <c r="M223" s="62"/>
      <c r="N223" s="1083" t="s">
        <v>3</v>
      </c>
      <c r="O223" s="1083"/>
      <c r="P223" s="1083"/>
      <c r="Q223" s="1083"/>
      <c r="R223" s="1083"/>
      <c r="S223" s="1853" t="s">
        <v>3810</v>
      </c>
      <c r="T223" s="2181">
        <v>-2.25</v>
      </c>
      <c r="U223" s="2182">
        <v>-2.25</v>
      </c>
      <c r="V223" s="2182">
        <v>-2.75</v>
      </c>
      <c r="W223" s="2182">
        <v>-3.375</v>
      </c>
      <c r="X223" s="2182">
        <v>-3.625</v>
      </c>
      <c r="Y223" s="2182">
        <v>-4.875</v>
      </c>
      <c r="Z223" s="2182">
        <v>-7.25</v>
      </c>
      <c r="AA223" s="2085" t="e">
        <v>#N/A</v>
      </c>
      <c r="AB223" s="2086" t="e">
        <v>#N/A</v>
      </c>
      <c r="AC223" s="46"/>
      <c r="AF223" s="248"/>
    </row>
    <row r="224" spans="1:32" ht="10.15" hidden="1" customHeight="1" x14ac:dyDescent="0.25">
      <c r="A224" s="10" t="s">
        <v>461</v>
      </c>
      <c r="B224" s="5"/>
      <c r="C224" s="40"/>
      <c r="D224" s="52">
        <f>Structure!AY203</f>
        <v>11.125</v>
      </c>
      <c r="E224" s="53"/>
      <c r="F224" s="54">
        <f t="shared" si="10"/>
        <v>106.5</v>
      </c>
      <c r="G224" s="47"/>
      <c r="H224" s="47"/>
      <c r="I224" s="5"/>
      <c r="J224" s="2672"/>
      <c r="K224" s="93"/>
      <c r="L224" s="93"/>
      <c r="M224" s="62"/>
      <c r="N224" s="1083" t="s">
        <v>5</v>
      </c>
      <c r="O224" s="1083"/>
      <c r="P224" s="1083"/>
      <c r="Q224" s="1083"/>
      <c r="R224" s="1083"/>
      <c r="S224" s="1853" t="s">
        <v>3811</v>
      </c>
      <c r="T224" s="2181">
        <v>-3.75</v>
      </c>
      <c r="U224" s="2182">
        <v>-3.75</v>
      </c>
      <c r="V224" s="2182">
        <v>-4.375</v>
      </c>
      <c r="W224" s="2182">
        <v>-5</v>
      </c>
      <c r="X224" s="2182">
        <v>-5.375</v>
      </c>
      <c r="Y224" s="2402" t="e">
        <v>#N/A</v>
      </c>
      <c r="Z224" s="2402" t="e">
        <v>#N/A</v>
      </c>
      <c r="AA224" s="2085" t="e">
        <v>#N/A</v>
      </c>
      <c r="AB224" s="2086" t="e">
        <v>#N/A</v>
      </c>
      <c r="AC224" s="46"/>
      <c r="AF224" s="248"/>
    </row>
    <row r="225" spans="1:32" ht="10.15" hidden="1" customHeight="1" x14ac:dyDescent="0.25">
      <c r="A225" s="10" t="s">
        <v>461</v>
      </c>
      <c r="B225" s="5"/>
      <c r="C225" s="40"/>
      <c r="D225" s="52">
        <f>Structure!AY204</f>
        <v>11</v>
      </c>
      <c r="E225" s="53"/>
      <c r="F225" s="54">
        <f t="shared" si="10"/>
        <v>106.25</v>
      </c>
      <c r="G225" s="47"/>
      <c r="H225" s="47"/>
      <c r="I225" s="5"/>
      <c r="J225" s="2672"/>
      <c r="K225" s="43"/>
      <c r="L225" s="43"/>
      <c r="M225" s="62"/>
      <c r="N225" s="1083" t="s">
        <v>6</v>
      </c>
      <c r="O225" s="1083"/>
      <c r="P225" s="1083"/>
      <c r="Q225" s="1083"/>
      <c r="R225" s="1083"/>
      <c r="S225" s="1853" t="s">
        <v>3812</v>
      </c>
      <c r="T225" s="2181">
        <v>-5.75</v>
      </c>
      <c r="U225" s="2182">
        <v>-5.75</v>
      </c>
      <c r="V225" s="2182">
        <v>-6.375</v>
      </c>
      <c r="W225" s="2182">
        <v>-7</v>
      </c>
      <c r="X225" s="2402" t="e">
        <v>#N/A</v>
      </c>
      <c r="Y225" s="2402" t="e">
        <v>#N/A</v>
      </c>
      <c r="Z225" s="2402" t="e">
        <v>#N/A</v>
      </c>
      <c r="AA225" s="2085" t="e">
        <v>#N/A</v>
      </c>
      <c r="AB225" s="2086" t="e">
        <v>#N/A</v>
      </c>
      <c r="AC225" s="46"/>
      <c r="AF225" s="248"/>
    </row>
    <row r="226" spans="1:32" ht="10.15" hidden="1" customHeight="1" x14ac:dyDescent="0.25">
      <c r="A226" s="10" t="s">
        <v>461</v>
      </c>
      <c r="B226" s="5"/>
      <c r="C226" s="40"/>
      <c r="D226" s="52">
        <f>Structure!AY205</f>
        <v>10.875</v>
      </c>
      <c r="E226" s="53"/>
      <c r="F226" s="54">
        <f t="shared" si="10"/>
        <v>106</v>
      </c>
      <c r="G226" s="47"/>
      <c r="H226" s="47"/>
      <c r="I226" s="5"/>
      <c r="J226" s="2672"/>
      <c r="K226" s="93"/>
      <c r="L226" s="93"/>
      <c r="M226" s="62"/>
      <c r="N226" s="1083" t="s">
        <v>7</v>
      </c>
      <c r="O226" s="1083"/>
      <c r="P226" s="1083"/>
      <c r="Q226" s="1083"/>
      <c r="R226" s="1083"/>
      <c r="S226" s="1853" t="s">
        <v>3813</v>
      </c>
      <c r="T226" s="2184">
        <v>-7.75</v>
      </c>
      <c r="U226" s="2185">
        <v>-7.875</v>
      </c>
      <c r="V226" s="2185">
        <v>-8.25</v>
      </c>
      <c r="W226" s="2400" t="e">
        <v>#N/A</v>
      </c>
      <c r="X226" s="2400" t="e">
        <v>#N/A</v>
      </c>
      <c r="Y226" s="2400" t="e">
        <v>#N/A</v>
      </c>
      <c r="Z226" s="2400" t="e">
        <v>#N/A</v>
      </c>
      <c r="AA226" s="2085" t="e">
        <v>#N/A</v>
      </c>
      <c r="AB226" s="2086" t="e">
        <v>#N/A</v>
      </c>
      <c r="AC226" s="46"/>
      <c r="AF226" s="248"/>
    </row>
    <row r="227" spans="1:32" ht="10.15" hidden="1" customHeight="1" x14ac:dyDescent="0.25">
      <c r="A227" s="10" t="s">
        <v>463</v>
      </c>
      <c r="B227" s="5"/>
      <c r="C227" s="40"/>
      <c r="G227" s="47"/>
      <c r="H227" s="47"/>
      <c r="I227" s="5"/>
      <c r="J227" s="2672"/>
      <c r="K227" s="43"/>
      <c r="L227" s="43"/>
      <c r="M227" s="62"/>
      <c r="N227" s="1097" t="s">
        <v>9</v>
      </c>
      <c r="O227" s="1097"/>
      <c r="P227" s="1097"/>
      <c r="Q227" s="1097"/>
      <c r="R227" s="1097"/>
      <c r="S227" s="1886" t="s">
        <v>3816</v>
      </c>
      <c r="T227" s="2069" t="e">
        <v>#N/A</v>
      </c>
      <c r="U227" s="1804" t="e">
        <v>#N/A</v>
      </c>
      <c r="V227" s="1804" t="e">
        <v>#N/A</v>
      </c>
      <c r="W227" s="1804" t="e">
        <v>#N/A</v>
      </c>
      <c r="X227" s="1804" t="e">
        <v>#N/A</v>
      </c>
      <c r="Y227" s="1804" t="e">
        <v>#N/A</v>
      </c>
      <c r="Z227" s="2070" t="e">
        <v>#N/A</v>
      </c>
      <c r="AA227" s="2085" t="e">
        <v>#N/A</v>
      </c>
      <c r="AB227" s="2086" t="e">
        <v>#N/A</v>
      </c>
      <c r="AC227" s="46"/>
      <c r="AF227" s="248"/>
    </row>
    <row r="228" spans="1:32" ht="10.15" hidden="1" customHeight="1" x14ac:dyDescent="0.25">
      <c r="A228" s="10" t="s">
        <v>463</v>
      </c>
      <c r="B228" s="5"/>
      <c r="C228" s="40"/>
      <c r="G228" s="47"/>
      <c r="H228" s="47"/>
      <c r="I228" s="5"/>
      <c r="J228" s="2673"/>
      <c r="K228" s="306"/>
      <c r="L228" s="306"/>
      <c r="M228" s="91"/>
      <c r="N228" s="1104" t="s">
        <v>10</v>
      </c>
      <c r="O228" s="1082"/>
      <c r="P228" s="1082"/>
      <c r="Q228" s="1082"/>
      <c r="R228" s="1082"/>
      <c r="S228" s="1887" t="s">
        <v>3817</v>
      </c>
      <c r="T228" s="2069" t="e">
        <v>#N/A</v>
      </c>
      <c r="U228" s="1804" t="e">
        <v>#N/A</v>
      </c>
      <c r="V228" s="1804" t="e">
        <v>#N/A</v>
      </c>
      <c r="W228" s="1804" t="e">
        <v>#N/A</v>
      </c>
      <c r="X228" s="1804" t="e">
        <v>#N/A</v>
      </c>
      <c r="Y228" s="1804" t="e">
        <v>#N/A</v>
      </c>
      <c r="Z228" s="2070" t="e">
        <v>#N/A</v>
      </c>
      <c r="AA228" s="2085" t="e">
        <v>#N/A</v>
      </c>
      <c r="AB228" s="2086" t="e">
        <v>#N/A</v>
      </c>
      <c r="AC228" s="46"/>
      <c r="AF228" s="248"/>
    </row>
    <row r="229" spans="1:32" ht="10.15" hidden="1" customHeight="1" x14ac:dyDescent="0.25">
      <c r="A229" s="10" t="s">
        <v>461</v>
      </c>
      <c r="B229" s="5"/>
      <c r="C229" s="40"/>
      <c r="D229" s="52">
        <f>Structure!AY206</f>
        <v>10.75</v>
      </c>
      <c r="E229" s="53"/>
      <c r="F229" s="54">
        <f t="shared" ref="F229" si="11">INDEX(Lookup_NoteRateAll,MATCH("IT_"&amp;RIGHT("000"&amp;TRUNC(D229),3)&amp;TEXT(D229-TRUNC(D229),".0000000000"),Lookup_NoteRateText,0),4)</f>
        <v>105.75</v>
      </c>
      <c r="G229" s="47"/>
      <c r="H229" s="47"/>
      <c r="I229" s="5"/>
      <c r="J229" s="2671" t="s">
        <v>208</v>
      </c>
      <c r="K229" s="57"/>
      <c r="L229" s="58"/>
      <c r="M229" s="66"/>
      <c r="N229" s="1103" t="s">
        <v>1282</v>
      </c>
      <c r="O229" s="1147"/>
      <c r="P229" s="1147"/>
      <c r="Q229" s="1147"/>
      <c r="R229" s="1147"/>
      <c r="S229" s="1883" t="s">
        <v>3889</v>
      </c>
      <c r="T229" s="2178">
        <v>-1</v>
      </c>
      <c r="U229" s="2179">
        <v>-1</v>
      </c>
      <c r="V229" s="2179">
        <v>-1.375</v>
      </c>
      <c r="W229" s="2179">
        <v>-2</v>
      </c>
      <c r="X229" s="2179">
        <v>-2.25</v>
      </c>
      <c r="Y229" s="2179">
        <v>-3.625</v>
      </c>
      <c r="Z229" s="2179">
        <v>-4.625</v>
      </c>
      <c r="AA229" s="2085" t="e">
        <v>#N/A</v>
      </c>
      <c r="AB229" s="2086" t="e">
        <v>#N/A</v>
      </c>
      <c r="AC229" s="46"/>
      <c r="AF229" s="248"/>
    </row>
    <row r="230" spans="1:32" ht="10.15" hidden="1" customHeight="1" x14ac:dyDescent="0.25">
      <c r="A230" s="10" t="s">
        <v>461</v>
      </c>
      <c r="B230" s="5"/>
      <c r="C230" s="40"/>
      <c r="D230" s="52">
        <f>Structure!AY207</f>
        <v>10.625</v>
      </c>
      <c r="E230" s="53"/>
      <c r="F230" s="54">
        <f t="shared" ref="F230:F235" si="12">INDEX(Lookup_NoteRateAll,MATCH("IT_"&amp;RIGHT("000"&amp;TRUNC(D230),3)&amp;TEXT(D230-TRUNC(D230),".0000000000"),Lookup_NoteRateText,0),4)</f>
        <v>105.5</v>
      </c>
      <c r="G230" s="47"/>
      <c r="H230" s="47"/>
      <c r="I230" s="5"/>
      <c r="J230" s="2672"/>
      <c r="K230" s="235"/>
      <c r="L230" s="236"/>
      <c r="M230" s="238"/>
      <c r="N230" s="1104" t="s">
        <v>1281</v>
      </c>
      <c r="O230" s="1082"/>
      <c r="P230" s="1082"/>
      <c r="Q230" s="1082"/>
      <c r="R230" s="1082"/>
      <c r="S230" s="1852" t="s">
        <v>3890</v>
      </c>
      <c r="T230" s="2181">
        <v>-1</v>
      </c>
      <c r="U230" s="2182">
        <v>-1</v>
      </c>
      <c r="V230" s="2182">
        <v>-1.5</v>
      </c>
      <c r="W230" s="2182">
        <v>-2.125</v>
      </c>
      <c r="X230" s="2182">
        <v>-2.375</v>
      </c>
      <c r="Y230" s="2182">
        <v>-3.75</v>
      </c>
      <c r="Z230" s="2182">
        <v>-4.875</v>
      </c>
      <c r="AA230" s="2085" t="e">
        <v>#N/A</v>
      </c>
      <c r="AB230" s="2086" t="e">
        <v>#N/A</v>
      </c>
      <c r="AC230" s="46"/>
      <c r="AF230" s="248"/>
    </row>
    <row r="231" spans="1:32" ht="10.15" hidden="1" customHeight="1" x14ac:dyDescent="0.25">
      <c r="A231" s="10" t="s">
        <v>461</v>
      </c>
      <c r="B231" s="5"/>
      <c r="C231" s="40"/>
      <c r="D231" s="52">
        <f>Structure!AY208</f>
        <v>10.5</v>
      </c>
      <c r="E231" s="53"/>
      <c r="F231" s="54">
        <f t="shared" si="12"/>
        <v>105.25</v>
      </c>
      <c r="G231" s="47"/>
      <c r="H231" s="47"/>
      <c r="I231" s="5"/>
      <c r="J231" s="2672"/>
      <c r="K231" s="235"/>
      <c r="L231" s="61"/>
      <c r="M231" s="62">
        <v>9</v>
      </c>
      <c r="N231" s="1083" t="s">
        <v>255</v>
      </c>
      <c r="O231" s="1083"/>
      <c r="P231" s="1083"/>
      <c r="Q231" s="1083"/>
      <c r="R231" s="1083"/>
      <c r="S231" s="1853" t="s">
        <v>3891</v>
      </c>
      <c r="T231" s="2181">
        <v>-1.5</v>
      </c>
      <c r="U231" s="2182">
        <v>-1.5</v>
      </c>
      <c r="V231" s="2182">
        <v>-2</v>
      </c>
      <c r="W231" s="2182">
        <v>-2.75</v>
      </c>
      <c r="X231" s="2182">
        <v>-2.875</v>
      </c>
      <c r="Y231" s="2182">
        <v>-4.25</v>
      </c>
      <c r="Z231" s="2182">
        <v>-5.5</v>
      </c>
      <c r="AA231" s="2085" t="e">
        <v>#N/A</v>
      </c>
      <c r="AB231" s="2086" t="e">
        <v>#N/A</v>
      </c>
      <c r="AC231" s="46"/>
      <c r="AF231" s="248"/>
    </row>
    <row r="232" spans="1:32" ht="10.15" hidden="1" customHeight="1" x14ac:dyDescent="0.25">
      <c r="A232" s="10" t="s">
        <v>461</v>
      </c>
      <c r="B232" s="5"/>
      <c r="C232" s="40"/>
      <c r="D232" s="52">
        <f>Structure!AY209</f>
        <v>10.375</v>
      </c>
      <c r="E232" s="53"/>
      <c r="F232" s="54">
        <f t="shared" si="12"/>
        <v>105</v>
      </c>
      <c r="G232" s="47"/>
      <c r="H232" s="47"/>
      <c r="I232" s="5"/>
      <c r="J232" s="2672"/>
      <c r="K232" s="96"/>
      <c r="L232" s="97"/>
      <c r="M232" s="62"/>
      <c r="N232" s="1083" t="s">
        <v>254</v>
      </c>
      <c r="O232" s="1083"/>
      <c r="P232" s="1083"/>
      <c r="Q232" s="1083"/>
      <c r="R232" s="1083"/>
      <c r="S232" s="1853" t="s">
        <v>3892</v>
      </c>
      <c r="T232" s="2181">
        <v>-2</v>
      </c>
      <c r="U232" s="2182">
        <v>-2</v>
      </c>
      <c r="V232" s="2182">
        <v>-2.5</v>
      </c>
      <c r="W232" s="2182">
        <v>-3.125</v>
      </c>
      <c r="X232" s="2182">
        <v>-3.25</v>
      </c>
      <c r="Y232" s="2182">
        <v>-4.875</v>
      </c>
      <c r="Z232" s="2182">
        <v>-6.75</v>
      </c>
      <c r="AA232" s="2085" t="e">
        <v>#N/A</v>
      </c>
      <c r="AB232" s="2086" t="e">
        <v>#N/A</v>
      </c>
      <c r="AC232" s="46"/>
      <c r="AF232" s="248"/>
    </row>
    <row r="233" spans="1:32" ht="10.15" hidden="1" customHeight="1" x14ac:dyDescent="0.25">
      <c r="A233" s="10" t="s">
        <v>461</v>
      </c>
      <c r="B233" s="5"/>
      <c r="C233" s="40"/>
      <c r="D233" s="52">
        <f>Structure!AY210</f>
        <v>10.25</v>
      </c>
      <c r="E233" s="53"/>
      <c r="F233" s="54">
        <f t="shared" si="12"/>
        <v>104.75</v>
      </c>
      <c r="G233" s="47"/>
      <c r="H233" s="47"/>
      <c r="I233" s="5"/>
      <c r="J233" s="2672"/>
      <c r="K233" s="60" t="s">
        <v>62</v>
      </c>
      <c r="L233" s="19"/>
      <c r="M233" s="98"/>
      <c r="N233" s="1083" t="s">
        <v>3</v>
      </c>
      <c r="O233" s="1083"/>
      <c r="P233" s="1083"/>
      <c r="Q233" s="1083"/>
      <c r="R233" s="1083"/>
      <c r="S233" s="1853" t="s">
        <v>3893</v>
      </c>
      <c r="T233" s="2181">
        <v>-2.75</v>
      </c>
      <c r="U233" s="2182">
        <v>-2.75</v>
      </c>
      <c r="V233" s="2182">
        <v>-3.25</v>
      </c>
      <c r="W233" s="2182">
        <v>-3.875</v>
      </c>
      <c r="X233" s="2182">
        <v>-4.125</v>
      </c>
      <c r="Y233" s="2182">
        <v>-5.375</v>
      </c>
      <c r="Z233" s="2182">
        <v>-7.75</v>
      </c>
      <c r="AA233" s="2085" t="e">
        <v>#N/A</v>
      </c>
      <c r="AB233" s="2086" t="e">
        <v>#N/A</v>
      </c>
      <c r="AC233" s="46"/>
      <c r="AF233" s="248"/>
    </row>
    <row r="234" spans="1:32" ht="10.15" hidden="1" customHeight="1" x14ac:dyDescent="0.25">
      <c r="A234" s="10" t="s">
        <v>461</v>
      </c>
      <c r="B234" s="5"/>
      <c r="C234" s="40"/>
      <c r="D234" s="52">
        <f>Structure!AY211</f>
        <v>10.125</v>
      </c>
      <c r="E234" s="53"/>
      <c r="F234" s="54">
        <f t="shared" si="12"/>
        <v>104.5</v>
      </c>
      <c r="G234" s="47"/>
      <c r="H234" s="47"/>
      <c r="I234" s="5"/>
      <c r="J234" s="2672"/>
      <c r="K234" s="88"/>
      <c r="L234" s="19"/>
      <c r="M234" s="98"/>
      <c r="N234" s="1083" t="s">
        <v>5</v>
      </c>
      <c r="O234" s="1083"/>
      <c r="P234" s="1083"/>
      <c r="Q234" s="1083"/>
      <c r="R234" s="1083"/>
      <c r="S234" s="1853" t="s">
        <v>3894</v>
      </c>
      <c r="T234" s="2181">
        <v>-4.25</v>
      </c>
      <c r="U234" s="2182">
        <v>-4.25</v>
      </c>
      <c r="V234" s="2182">
        <v>-4.875</v>
      </c>
      <c r="W234" s="2182">
        <v>-5.5</v>
      </c>
      <c r="X234" s="2182">
        <v>-5.875</v>
      </c>
      <c r="Y234" s="2182">
        <v>-6.625</v>
      </c>
      <c r="Z234" s="2402" t="e">
        <v>#N/A</v>
      </c>
      <c r="AA234" s="2085" t="e">
        <v>#N/A</v>
      </c>
      <c r="AB234" s="2086" t="e">
        <v>#N/A</v>
      </c>
      <c r="AC234" s="46"/>
      <c r="AF234" s="248"/>
    </row>
    <row r="235" spans="1:32" ht="10.15" hidden="1" customHeight="1" x14ac:dyDescent="0.25">
      <c r="A235" s="10" t="s">
        <v>461</v>
      </c>
      <c r="B235" s="5"/>
      <c r="C235" s="40"/>
      <c r="D235" s="52">
        <f>Structure!AY212</f>
        <v>10</v>
      </c>
      <c r="E235" s="53"/>
      <c r="F235" s="54">
        <f t="shared" si="12"/>
        <v>104.125</v>
      </c>
      <c r="G235" s="47"/>
      <c r="H235" s="47"/>
      <c r="I235" s="5"/>
      <c r="J235" s="2672"/>
      <c r="K235" s="99"/>
      <c r="L235" s="100"/>
      <c r="M235" s="98"/>
      <c r="N235" s="1083" t="s">
        <v>6</v>
      </c>
      <c r="O235" s="1083"/>
      <c r="P235" s="1083"/>
      <c r="Q235" s="1083"/>
      <c r="R235" s="1083"/>
      <c r="S235" s="1853" t="s">
        <v>3895</v>
      </c>
      <c r="T235" s="2181">
        <v>-6.25</v>
      </c>
      <c r="U235" s="2182">
        <v>-6.25</v>
      </c>
      <c r="V235" s="2182">
        <v>-6.875</v>
      </c>
      <c r="W235" s="2182">
        <v>-7.5</v>
      </c>
      <c r="X235" s="2182">
        <v>-8</v>
      </c>
      <c r="Y235" s="2402" t="e">
        <v>#N/A</v>
      </c>
      <c r="Z235" s="2402" t="e">
        <v>#N/A</v>
      </c>
      <c r="AA235" s="2085" t="e">
        <v>#N/A</v>
      </c>
      <c r="AB235" s="2086" t="e">
        <v>#N/A</v>
      </c>
      <c r="AC235" s="46"/>
      <c r="AF235" s="248"/>
    </row>
    <row r="236" spans="1:32" ht="10.15" hidden="1" customHeight="1" x14ac:dyDescent="0.25">
      <c r="A236" s="10" t="s">
        <v>463</v>
      </c>
      <c r="B236" s="5"/>
      <c r="C236" s="40"/>
      <c r="G236" s="47"/>
      <c r="H236" s="47"/>
      <c r="I236" s="5"/>
      <c r="J236" s="2672"/>
      <c r="K236" s="99"/>
      <c r="L236" s="100"/>
      <c r="M236" s="98"/>
      <c r="N236" s="1097" t="s">
        <v>7</v>
      </c>
      <c r="O236" s="1097"/>
      <c r="P236" s="1097"/>
      <c r="Q236" s="1097"/>
      <c r="R236" s="1097"/>
      <c r="S236" s="1886" t="s">
        <v>3896</v>
      </c>
      <c r="T236" s="2404" t="e">
        <v>#N/A</v>
      </c>
      <c r="U236" s="2405" t="e">
        <v>#N/A</v>
      </c>
      <c r="V236" s="2405" t="e">
        <v>#N/A</v>
      </c>
      <c r="W236" s="2405" t="e">
        <v>#N/A</v>
      </c>
      <c r="X236" s="2405" t="e">
        <v>#N/A</v>
      </c>
      <c r="Y236" s="2405" t="e">
        <v>#N/A</v>
      </c>
      <c r="Z236" s="2405" t="e">
        <v>#N/A</v>
      </c>
      <c r="AA236" s="2085" t="e">
        <v>#N/A</v>
      </c>
      <c r="AB236" s="2086" t="e">
        <v>#N/A</v>
      </c>
      <c r="AC236" s="46"/>
      <c r="AF236" s="248"/>
    </row>
    <row r="237" spans="1:32" ht="10.15" hidden="1" customHeight="1" x14ac:dyDescent="0.25">
      <c r="A237" s="10" t="s">
        <v>463</v>
      </c>
      <c r="B237" s="5"/>
      <c r="C237" s="40"/>
      <c r="G237" s="47"/>
      <c r="H237" s="47"/>
      <c r="I237" s="5"/>
      <c r="J237" s="2672"/>
      <c r="K237" s="43"/>
      <c r="L237" s="43"/>
      <c r="M237" s="62"/>
      <c r="N237" s="1097" t="s">
        <v>9</v>
      </c>
      <c r="O237" s="1097"/>
      <c r="P237" s="1097"/>
      <c r="Q237" s="1097"/>
      <c r="R237" s="1097"/>
      <c r="S237" s="1886" t="s">
        <v>3897</v>
      </c>
      <c r="T237" s="2150" t="e">
        <v>#N/A</v>
      </c>
      <c r="U237" s="2151" t="e">
        <v>#N/A</v>
      </c>
      <c r="V237" s="2151" t="e">
        <v>#N/A</v>
      </c>
      <c r="W237" s="2151" t="e">
        <v>#N/A</v>
      </c>
      <c r="X237" s="2151" t="e">
        <v>#N/A</v>
      </c>
      <c r="Y237" s="2151" t="e">
        <v>#N/A</v>
      </c>
      <c r="Z237" s="2071" t="e">
        <v>#N/A</v>
      </c>
      <c r="AA237" s="2085" t="e">
        <v>#N/A</v>
      </c>
      <c r="AB237" s="2086" t="e">
        <v>#N/A</v>
      </c>
      <c r="AC237" s="46"/>
      <c r="AF237" s="248"/>
    </row>
    <row r="238" spans="1:32" ht="10.15" hidden="1" customHeight="1" x14ac:dyDescent="0.25">
      <c r="A238" s="10" t="s">
        <v>463</v>
      </c>
      <c r="B238" s="5"/>
      <c r="C238" s="40"/>
      <c r="G238" s="47"/>
      <c r="H238" s="47"/>
      <c r="I238" s="5"/>
      <c r="J238" s="2673"/>
      <c r="K238" s="306"/>
      <c r="L238" s="306"/>
      <c r="M238" s="91"/>
      <c r="N238" s="1104" t="s">
        <v>10</v>
      </c>
      <c r="O238" s="1082"/>
      <c r="P238" s="1082"/>
      <c r="Q238" s="1082"/>
      <c r="R238" s="1082"/>
      <c r="S238" s="1887" t="s">
        <v>3898</v>
      </c>
      <c r="T238" s="2069" t="e">
        <v>#N/A</v>
      </c>
      <c r="U238" s="1804" t="e">
        <v>#N/A</v>
      </c>
      <c r="V238" s="1804" t="e">
        <v>#N/A</v>
      </c>
      <c r="W238" s="1804" t="e">
        <v>#N/A</v>
      </c>
      <c r="X238" s="1804" t="e">
        <v>#N/A</v>
      </c>
      <c r="Y238" s="1804" t="e">
        <v>#N/A</v>
      </c>
      <c r="Z238" s="2070" t="e">
        <v>#N/A</v>
      </c>
      <c r="AA238" s="2085" t="e">
        <v>#N/A</v>
      </c>
      <c r="AB238" s="2086" t="e">
        <v>#N/A</v>
      </c>
      <c r="AC238" s="46"/>
      <c r="AF238" s="248"/>
    </row>
    <row r="239" spans="1:32" ht="10.15" hidden="1" customHeight="1" x14ac:dyDescent="0.25">
      <c r="A239" s="10" t="s">
        <v>461</v>
      </c>
      <c r="B239" s="5"/>
      <c r="C239" s="40"/>
      <c r="D239" s="52">
        <f>Structure!AY213</f>
        <v>9.875</v>
      </c>
      <c r="E239" s="53"/>
      <c r="F239" s="54">
        <f t="shared" ref="F239:F246" si="13">INDEX(Lookup_NoteRateAll,MATCH("IT_"&amp;RIGHT("000"&amp;TRUNC(D239),3)&amp;TEXT(D239-TRUNC(D239),".0000000000"),Lookup_NoteRateText,0),4)</f>
        <v>103.75</v>
      </c>
      <c r="G239" s="47"/>
      <c r="I239" s="5"/>
      <c r="J239" s="2615" t="s">
        <v>210</v>
      </c>
      <c r="K239" s="2616"/>
      <c r="L239" s="2616"/>
      <c r="M239" s="2617"/>
      <c r="N239" s="1130" t="s">
        <v>136</v>
      </c>
      <c r="O239" s="1130"/>
      <c r="P239" s="1130"/>
      <c r="Q239" s="1130"/>
      <c r="R239" s="1130"/>
      <c r="S239" s="1888" t="s">
        <v>1450</v>
      </c>
      <c r="T239" s="2275">
        <v>0</v>
      </c>
      <c r="U239" s="2276">
        <v>0</v>
      </c>
      <c r="V239" s="2276">
        <v>0</v>
      </c>
      <c r="W239" s="2276">
        <v>0</v>
      </c>
      <c r="X239" s="2276">
        <v>0</v>
      </c>
      <c r="Y239" s="2276">
        <v>0</v>
      </c>
      <c r="Z239" s="2301">
        <v>0</v>
      </c>
      <c r="AA239" s="2087" t="e">
        <v>#N/A</v>
      </c>
      <c r="AB239" s="2088" t="e">
        <v>#N/A</v>
      </c>
      <c r="AC239" s="46"/>
      <c r="AF239" s="248"/>
    </row>
    <row r="240" spans="1:32" ht="10.15" hidden="1" customHeight="1" x14ac:dyDescent="0.25">
      <c r="A240" s="10" t="s">
        <v>461</v>
      </c>
      <c r="B240" s="5"/>
      <c r="C240" s="40"/>
      <c r="D240" s="52">
        <f>Structure!AY214</f>
        <v>9.75</v>
      </c>
      <c r="E240" s="53"/>
      <c r="F240" s="54">
        <f t="shared" si="13"/>
        <v>103.375</v>
      </c>
      <c r="G240" s="47"/>
      <c r="I240" s="5"/>
      <c r="J240" s="2618"/>
      <c r="K240" s="2619"/>
      <c r="L240" s="2619"/>
      <c r="M240" s="2620"/>
      <c r="N240" s="1085" t="s">
        <v>78</v>
      </c>
      <c r="O240" s="1085"/>
      <c r="P240" s="1085"/>
      <c r="Q240" s="1085"/>
      <c r="R240" s="1085"/>
      <c r="S240" s="1857" t="s">
        <v>1451</v>
      </c>
      <c r="T240" s="2281">
        <v>0</v>
      </c>
      <c r="U240" s="2282">
        <v>0</v>
      </c>
      <c r="V240" s="2282">
        <v>0</v>
      </c>
      <c r="W240" s="2282">
        <v>0</v>
      </c>
      <c r="X240" s="2282">
        <v>0</v>
      </c>
      <c r="Y240" s="2282">
        <v>0</v>
      </c>
      <c r="Z240" s="2303">
        <v>0</v>
      </c>
      <c r="AA240" s="2087" t="e">
        <v>#N/A</v>
      </c>
      <c r="AB240" s="2088" t="e">
        <v>#N/A</v>
      </c>
      <c r="AC240" s="46"/>
      <c r="AF240" s="248"/>
    </row>
    <row r="241" spans="1:32" ht="10.15" hidden="1" customHeight="1" x14ac:dyDescent="0.25">
      <c r="A241" s="10" t="s">
        <v>461</v>
      </c>
      <c r="B241" s="5"/>
      <c r="C241" s="40"/>
      <c r="D241" s="52">
        <f>Structure!AY215</f>
        <v>9.625</v>
      </c>
      <c r="E241" s="53"/>
      <c r="F241" s="54">
        <f t="shared" si="13"/>
        <v>103</v>
      </c>
      <c r="G241" s="47"/>
      <c r="H241" s="47"/>
      <c r="J241" s="2621"/>
      <c r="K241" s="2622"/>
      <c r="L241" s="2622"/>
      <c r="M241" s="2623"/>
      <c r="N241" s="1131" t="s">
        <v>77</v>
      </c>
      <c r="O241" s="1131"/>
      <c r="P241" s="1131"/>
      <c r="Q241" s="1131"/>
      <c r="R241" s="1131"/>
      <c r="S241" s="1863" t="s">
        <v>1452</v>
      </c>
      <c r="T241" s="2284">
        <v>0</v>
      </c>
      <c r="U241" s="2285">
        <v>0</v>
      </c>
      <c r="V241" s="2285">
        <v>0</v>
      </c>
      <c r="W241" s="2285">
        <v>0</v>
      </c>
      <c r="X241" s="2285">
        <v>0</v>
      </c>
      <c r="Y241" s="2285">
        <v>0</v>
      </c>
      <c r="Z241" s="2304">
        <v>0</v>
      </c>
      <c r="AA241" s="2087" t="e">
        <v>#N/A</v>
      </c>
      <c r="AB241" s="2088" t="e">
        <v>#N/A</v>
      </c>
      <c r="AC241" s="46"/>
      <c r="AF241" s="248"/>
    </row>
    <row r="242" spans="1:32" ht="10.15" hidden="1" customHeight="1" x14ac:dyDescent="0.25">
      <c r="A242" s="10" t="s">
        <v>461</v>
      </c>
      <c r="B242" s="5"/>
      <c r="C242" s="40"/>
      <c r="D242" s="52">
        <f>Structure!AY216</f>
        <v>9.5</v>
      </c>
      <c r="E242" s="53"/>
      <c r="F242" s="54">
        <f t="shared" si="13"/>
        <v>102.625</v>
      </c>
      <c r="J242" s="2578" t="s">
        <v>2</v>
      </c>
      <c r="K242" s="2579"/>
      <c r="L242" s="2579"/>
      <c r="M242" s="2580"/>
      <c r="N242" s="1086" t="s">
        <v>1255</v>
      </c>
      <c r="O242" s="1148"/>
      <c r="P242" s="1148"/>
      <c r="Q242" s="1148"/>
      <c r="R242" s="1148"/>
      <c r="S242" s="1855" t="s">
        <v>1453</v>
      </c>
      <c r="T242" s="2178">
        <v>0.5</v>
      </c>
      <c r="U242" s="2179">
        <v>0.5</v>
      </c>
      <c r="V242" s="2179">
        <v>0.5</v>
      </c>
      <c r="W242" s="2179">
        <v>0.5</v>
      </c>
      <c r="X242" s="2179">
        <v>0.5</v>
      </c>
      <c r="Y242" s="2179">
        <v>0.5</v>
      </c>
      <c r="Z242" s="2179">
        <v>0.5</v>
      </c>
      <c r="AA242" s="2089" t="e">
        <v>#N/A</v>
      </c>
      <c r="AB242" s="2090" t="e">
        <v>#N/A</v>
      </c>
      <c r="AC242" s="46"/>
      <c r="AF242" s="248"/>
    </row>
    <row r="243" spans="1:32" ht="10.15" hidden="1" customHeight="1" x14ac:dyDescent="0.25">
      <c r="A243" s="10" t="s">
        <v>461</v>
      </c>
      <c r="B243" s="5"/>
      <c r="C243" s="40"/>
      <c r="D243" s="52">
        <f>Structure!AY217</f>
        <v>9.375</v>
      </c>
      <c r="E243" s="53"/>
      <c r="F243" s="54">
        <f t="shared" si="13"/>
        <v>102.25</v>
      </c>
      <c r="J243" s="2581"/>
      <c r="K243" s="2582"/>
      <c r="L243" s="2582"/>
      <c r="M243" s="2583"/>
      <c r="N243" s="1087" t="s">
        <v>457</v>
      </c>
      <c r="O243" s="1149"/>
      <c r="P243" s="1149"/>
      <c r="Q243" s="1149"/>
      <c r="R243" s="1149"/>
      <c r="S243" s="1856" t="s">
        <v>1454</v>
      </c>
      <c r="T243" s="2181">
        <v>0.5</v>
      </c>
      <c r="U243" s="2182">
        <v>0.5</v>
      </c>
      <c r="V243" s="2182">
        <v>0.5</v>
      </c>
      <c r="W243" s="2182">
        <v>0.5</v>
      </c>
      <c r="X243" s="2182">
        <v>0.5</v>
      </c>
      <c r="Y243" s="2182">
        <v>0.5</v>
      </c>
      <c r="Z243" s="2182">
        <v>0.5</v>
      </c>
      <c r="AA243" s="2089" t="e">
        <v>#N/A</v>
      </c>
      <c r="AB243" s="2090" t="e">
        <v>#N/A</v>
      </c>
      <c r="AC243" s="46"/>
      <c r="AF243" s="248"/>
    </row>
    <row r="244" spans="1:32" ht="10.15" hidden="1" customHeight="1" x14ac:dyDescent="0.25">
      <c r="A244" s="10" t="s">
        <v>461</v>
      </c>
      <c r="B244" s="5"/>
      <c r="C244" s="40"/>
      <c r="D244" s="52">
        <f>Structure!AY218</f>
        <v>9.25</v>
      </c>
      <c r="E244" s="53"/>
      <c r="F244" s="54">
        <f t="shared" si="13"/>
        <v>101.875</v>
      </c>
      <c r="J244" s="2581"/>
      <c r="K244" s="2582"/>
      <c r="L244" s="2582"/>
      <c r="M244" s="2583"/>
      <c r="N244" s="1087" t="s">
        <v>460</v>
      </c>
      <c r="O244" s="1149"/>
      <c r="P244" s="1149"/>
      <c r="Q244" s="1149"/>
      <c r="R244" s="1149"/>
      <c r="S244" s="1856" t="s">
        <v>1455</v>
      </c>
      <c r="T244" s="2181">
        <v>0.375</v>
      </c>
      <c r="U244" s="2182">
        <v>0.375</v>
      </c>
      <c r="V244" s="2182">
        <v>0.375</v>
      </c>
      <c r="W244" s="2182">
        <v>0.375</v>
      </c>
      <c r="X244" s="2182">
        <v>0.375</v>
      </c>
      <c r="Y244" s="2182">
        <v>0.375</v>
      </c>
      <c r="Z244" s="2182">
        <v>0.375</v>
      </c>
      <c r="AA244" s="2089" t="e">
        <v>#N/A</v>
      </c>
      <c r="AB244" s="2090" t="e">
        <v>#N/A</v>
      </c>
      <c r="AC244" s="46"/>
      <c r="AF244" s="248"/>
    </row>
    <row r="245" spans="1:32" ht="10.15" hidden="1" customHeight="1" x14ac:dyDescent="0.25">
      <c r="A245" s="10" t="s">
        <v>461</v>
      </c>
      <c r="B245" s="5"/>
      <c r="C245" s="40"/>
      <c r="D245" s="52">
        <f>Structure!AY219</f>
        <v>9.125</v>
      </c>
      <c r="E245" s="53"/>
      <c r="F245" s="54">
        <f t="shared" si="13"/>
        <v>101.375</v>
      </c>
      <c r="J245" s="2581"/>
      <c r="K245" s="2582"/>
      <c r="L245" s="2582"/>
      <c r="M245" s="2583"/>
      <c r="N245" s="1088" t="s">
        <v>1</v>
      </c>
      <c r="O245" s="1090"/>
      <c r="P245" s="1090"/>
      <c r="Q245" s="1090"/>
      <c r="R245" s="1090"/>
      <c r="S245" s="1857" t="s">
        <v>1560</v>
      </c>
      <c r="T245" s="2181">
        <v>0</v>
      </c>
      <c r="U245" s="2182">
        <v>0</v>
      </c>
      <c r="V245" s="2182">
        <v>0</v>
      </c>
      <c r="W245" s="2182">
        <v>0</v>
      </c>
      <c r="X245" s="2182">
        <v>0</v>
      </c>
      <c r="Y245" s="2182">
        <v>0</v>
      </c>
      <c r="Z245" s="2182">
        <v>0</v>
      </c>
      <c r="AA245" s="2089" t="e">
        <v>#N/A</v>
      </c>
      <c r="AB245" s="2090" t="e">
        <v>#N/A</v>
      </c>
      <c r="AC245" s="46"/>
      <c r="AF245" s="248"/>
    </row>
    <row r="246" spans="1:32" ht="10.15" hidden="1" customHeight="1" x14ac:dyDescent="0.25">
      <c r="A246" s="10" t="s">
        <v>461</v>
      </c>
      <c r="B246" s="5"/>
      <c r="C246" s="40"/>
      <c r="D246" s="52">
        <f>Structure!AY220</f>
        <v>9</v>
      </c>
      <c r="E246" s="53"/>
      <c r="F246" s="54">
        <f t="shared" si="13"/>
        <v>100.875</v>
      </c>
      <c r="J246" s="2581"/>
      <c r="K246" s="2582"/>
      <c r="L246" s="2582"/>
      <c r="M246" s="2583"/>
      <c r="N246" s="1088" t="s">
        <v>1251</v>
      </c>
      <c r="O246" s="1090"/>
      <c r="P246" s="1090"/>
      <c r="Q246" s="1090"/>
      <c r="R246" s="1090"/>
      <c r="S246" s="1857" t="s">
        <v>1456</v>
      </c>
      <c r="T246" s="2181">
        <v>-0.375</v>
      </c>
      <c r="U246" s="2182">
        <v>-0.375</v>
      </c>
      <c r="V246" s="2182">
        <v>-0.375</v>
      </c>
      <c r="W246" s="2182">
        <v>-0.375</v>
      </c>
      <c r="X246" s="2182">
        <v>-0.375</v>
      </c>
      <c r="Y246" s="2182">
        <v>-0.375</v>
      </c>
      <c r="Z246" s="2182">
        <v>-0.375</v>
      </c>
      <c r="AA246" s="2089" t="e">
        <v>#N/A</v>
      </c>
      <c r="AB246" s="2090" t="e">
        <v>#N/A</v>
      </c>
      <c r="AC246" s="46"/>
      <c r="AF246" s="248"/>
    </row>
    <row r="247" spans="1:32" ht="10.15" hidden="1" customHeight="1" x14ac:dyDescent="0.25">
      <c r="A247" s="10" t="s">
        <v>461</v>
      </c>
      <c r="B247" s="5"/>
      <c r="C247" s="40"/>
      <c r="J247" s="2581"/>
      <c r="K247" s="2582"/>
      <c r="L247" s="2582"/>
      <c r="M247" s="2583"/>
      <c r="N247" s="1128" t="s">
        <v>1253</v>
      </c>
      <c r="O247" s="1153"/>
      <c r="P247" s="1153"/>
      <c r="Q247" s="1153"/>
      <c r="R247" s="1153"/>
      <c r="S247" s="1858" t="s">
        <v>1457</v>
      </c>
      <c r="T247" s="2184">
        <v>-0.75</v>
      </c>
      <c r="U247" s="2185">
        <v>-0.75</v>
      </c>
      <c r="V247" s="2185">
        <v>-0.75</v>
      </c>
      <c r="W247" s="2185">
        <v>-0.75</v>
      </c>
      <c r="X247" s="2185">
        <v>-0.75</v>
      </c>
      <c r="Y247" s="2185">
        <v>-0.75</v>
      </c>
      <c r="Z247" s="2185">
        <v>-0.75</v>
      </c>
      <c r="AA247" s="2089" t="e">
        <v>#N/A</v>
      </c>
      <c r="AB247" s="2090" t="e">
        <v>#N/A</v>
      </c>
      <c r="AC247" s="46"/>
      <c r="AF247" s="248"/>
    </row>
    <row r="248" spans="1:32" ht="10.15" hidden="1" customHeight="1" x14ac:dyDescent="0.25">
      <c r="A248" s="10" t="s">
        <v>461</v>
      </c>
      <c r="B248" s="5"/>
      <c r="C248" s="40"/>
      <c r="J248" s="2581"/>
      <c r="K248" s="2582"/>
      <c r="L248" s="2582"/>
      <c r="M248" s="2583"/>
      <c r="N248" s="1100" t="s">
        <v>98</v>
      </c>
      <c r="O248" s="1100"/>
      <c r="P248" s="1100"/>
      <c r="Q248" s="1100"/>
      <c r="R248" s="1100"/>
      <c r="S248" s="1859" t="s">
        <v>1458</v>
      </c>
      <c r="T248" s="2275">
        <v>0</v>
      </c>
      <c r="U248" s="2276">
        <v>0</v>
      </c>
      <c r="V248" s="2276">
        <v>0</v>
      </c>
      <c r="W248" s="2276">
        <v>0</v>
      </c>
      <c r="X248" s="2276">
        <v>0</v>
      </c>
      <c r="Y248" s="2276">
        <v>0</v>
      </c>
      <c r="Z248" s="2301">
        <v>0</v>
      </c>
      <c r="AA248" s="2087" t="e">
        <v>#N/A</v>
      </c>
      <c r="AB248" s="2088" t="e">
        <v>#N/A</v>
      </c>
      <c r="AC248" s="46"/>
      <c r="AF248" s="248"/>
    </row>
    <row r="249" spans="1:32" ht="10.15" hidden="1" customHeight="1" x14ac:dyDescent="0.25">
      <c r="A249" s="10" t="s">
        <v>463</v>
      </c>
      <c r="B249" s="5"/>
      <c r="C249" s="40"/>
      <c r="D249" s="52">
        <f>Structure!AY221</f>
        <v>8.875</v>
      </c>
      <c r="E249" s="53"/>
      <c r="F249" s="54">
        <f t="shared" ref="F249" si="14">INDEX(Lookup_NoteRateAll,MATCH("IT_"&amp;RIGHT("000"&amp;TRUNC(D249),3)&amp;TEXT(D249-TRUNC(D249),".0000000000"),Lookup_NoteRateText,0),4)</f>
        <v>100.375</v>
      </c>
      <c r="J249" s="2584"/>
      <c r="K249" s="2585"/>
      <c r="L249" s="2585"/>
      <c r="M249" s="2586"/>
      <c r="N249" s="1102" t="s">
        <v>4</v>
      </c>
      <c r="O249" s="1102"/>
      <c r="P249" s="1102"/>
      <c r="Q249" s="1102"/>
      <c r="R249" s="1102"/>
      <c r="S249" s="1860" t="s">
        <v>1459</v>
      </c>
      <c r="T249" s="2059" t="e">
        <v>#N/A</v>
      </c>
      <c r="U249" s="2060" t="e">
        <v>#N/A</v>
      </c>
      <c r="V249" s="2060" t="e">
        <v>#N/A</v>
      </c>
      <c r="W249" s="2060" t="e">
        <v>#N/A</v>
      </c>
      <c r="X249" s="2060" t="e">
        <v>#N/A</v>
      </c>
      <c r="Y249" s="2060" t="e">
        <v>#N/A</v>
      </c>
      <c r="Z249" s="2073" t="e">
        <v>#N/A</v>
      </c>
      <c r="AA249" s="2087" t="e">
        <v>#N/A</v>
      </c>
      <c r="AB249" s="2088" t="e">
        <v>#N/A</v>
      </c>
      <c r="AC249" s="46"/>
      <c r="AF249" s="248"/>
    </row>
    <row r="250" spans="1:32" ht="10.15" hidden="1" customHeight="1" x14ac:dyDescent="0.25">
      <c r="A250" s="10" t="s">
        <v>463</v>
      </c>
      <c r="B250" s="5"/>
      <c r="C250" s="40"/>
      <c r="J250" s="2578" t="s">
        <v>8</v>
      </c>
      <c r="K250" s="2579"/>
      <c r="L250" s="2579"/>
      <c r="M250" s="2580"/>
      <c r="N250" s="1110" t="s">
        <v>2119</v>
      </c>
      <c r="O250" s="1110"/>
      <c r="P250" s="1110"/>
      <c r="Q250" s="1110"/>
      <c r="R250" s="1110"/>
      <c r="S250" s="1859" t="s">
        <v>2124</v>
      </c>
      <c r="T250" s="2062" t="e">
        <v>#N/A</v>
      </c>
      <c r="U250" s="2063" t="e">
        <v>#N/A</v>
      </c>
      <c r="V250" s="2063" t="e">
        <v>#N/A</v>
      </c>
      <c r="W250" s="2063" t="e">
        <v>#N/A</v>
      </c>
      <c r="X250" s="2063" t="e">
        <v>#N/A</v>
      </c>
      <c r="Y250" s="2063" t="e">
        <v>#N/A</v>
      </c>
      <c r="Z250" s="2074" t="e">
        <v>#N/A</v>
      </c>
      <c r="AA250" s="2087" t="e">
        <v>#N/A</v>
      </c>
      <c r="AB250" s="2088" t="e">
        <v>#N/A</v>
      </c>
      <c r="AC250" s="46"/>
      <c r="AF250" s="248"/>
    </row>
    <row r="251" spans="1:32" ht="10.15" hidden="1" customHeight="1" x14ac:dyDescent="0.25">
      <c r="A251" s="10" t="s">
        <v>461</v>
      </c>
      <c r="B251" s="5"/>
      <c r="C251" s="40"/>
      <c r="J251" s="2581"/>
      <c r="K251" s="2582"/>
      <c r="L251" s="2582"/>
      <c r="M251" s="2583"/>
      <c r="N251" s="1089" t="s">
        <v>2120</v>
      </c>
      <c r="O251" s="1089"/>
      <c r="P251" s="1089"/>
      <c r="Q251" s="1089"/>
      <c r="R251" s="1089"/>
      <c r="S251" s="1861" t="s">
        <v>2125</v>
      </c>
      <c r="T251" s="2181">
        <v>-0.25</v>
      </c>
      <c r="U251" s="2182">
        <v>-0.25</v>
      </c>
      <c r="V251" s="2182">
        <v>-0.25</v>
      </c>
      <c r="W251" s="2182">
        <v>-0.25</v>
      </c>
      <c r="X251" s="2182">
        <v>-0.25</v>
      </c>
      <c r="Y251" s="2182">
        <v>-0.25</v>
      </c>
      <c r="Z251" s="2182">
        <v>-0.25</v>
      </c>
      <c r="AA251" s="2087" t="e">
        <v>#N/A</v>
      </c>
      <c r="AB251" s="2088" t="e">
        <v>#N/A</v>
      </c>
      <c r="AC251" s="46"/>
      <c r="AF251" s="248"/>
    </row>
    <row r="252" spans="1:32" ht="10.15" hidden="1" customHeight="1" x14ac:dyDescent="0.25">
      <c r="A252" s="10" t="s">
        <v>461</v>
      </c>
      <c r="B252" s="5"/>
      <c r="C252" s="40"/>
      <c r="J252" s="2581"/>
      <c r="K252" s="2582"/>
      <c r="L252" s="2582"/>
      <c r="M252" s="2583"/>
      <c r="N252" s="1089" t="s">
        <v>1335</v>
      </c>
      <c r="O252" s="1089"/>
      <c r="P252" s="1089"/>
      <c r="Q252" s="1089"/>
      <c r="R252" s="1089"/>
      <c r="S252" s="1861" t="s">
        <v>1460</v>
      </c>
      <c r="T252" s="2181">
        <v>-0.25</v>
      </c>
      <c r="U252" s="2182">
        <v>-0.25</v>
      </c>
      <c r="V252" s="2182">
        <v>-0.25</v>
      </c>
      <c r="W252" s="2182">
        <v>-0.25</v>
      </c>
      <c r="X252" s="2182">
        <v>-0.25</v>
      </c>
      <c r="Y252" s="2182">
        <v>-0.25</v>
      </c>
      <c r="Z252" s="2182">
        <v>-0.25</v>
      </c>
      <c r="AA252" s="2087" t="e">
        <v>#N/A</v>
      </c>
      <c r="AB252" s="2088" t="e">
        <v>#N/A</v>
      </c>
      <c r="AC252" s="46"/>
      <c r="AF252" s="248"/>
    </row>
    <row r="253" spans="1:32" ht="10.15" hidden="1" customHeight="1" x14ac:dyDescent="0.25">
      <c r="A253" s="10" t="s">
        <v>461</v>
      </c>
      <c r="B253" s="5"/>
      <c r="C253" s="40"/>
      <c r="J253" s="2581"/>
      <c r="K253" s="2582"/>
      <c r="L253" s="2582"/>
      <c r="M253" s="2583"/>
      <c r="N253" s="1089" t="s">
        <v>1314</v>
      </c>
      <c r="O253" s="1089"/>
      <c r="P253" s="1089"/>
      <c r="Q253" s="1089"/>
      <c r="R253" s="1089"/>
      <c r="S253" s="1861" t="s">
        <v>1461</v>
      </c>
      <c r="T253" s="2181">
        <v>-0.125</v>
      </c>
      <c r="U253" s="2182">
        <v>-0.125</v>
      </c>
      <c r="V253" s="2182">
        <v>-0.125</v>
      </c>
      <c r="W253" s="2182">
        <v>-0.125</v>
      </c>
      <c r="X253" s="2182">
        <v>-0.125</v>
      </c>
      <c r="Y253" s="2182">
        <v>-0.125</v>
      </c>
      <c r="Z253" s="2182">
        <v>-0.125</v>
      </c>
      <c r="AA253" s="2087" t="e">
        <v>#N/A</v>
      </c>
      <c r="AB253" s="2088" t="e">
        <v>#N/A</v>
      </c>
      <c r="AC253" s="46"/>
      <c r="AF253" s="248"/>
    </row>
    <row r="254" spans="1:32" ht="10.15" hidden="1" customHeight="1" x14ac:dyDescent="0.25">
      <c r="A254" s="10" t="s">
        <v>461</v>
      </c>
      <c r="B254" s="5"/>
      <c r="C254" s="40"/>
      <c r="J254" s="2581"/>
      <c r="K254" s="2582"/>
      <c r="L254" s="2582"/>
      <c r="M254" s="2583"/>
      <c r="N254" s="1089" t="s">
        <v>1315</v>
      </c>
      <c r="O254" s="1089"/>
      <c r="P254" s="1089"/>
      <c r="Q254" s="1089"/>
      <c r="R254" s="1089"/>
      <c r="S254" s="1861" t="s">
        <v>1462</v>
      </c>
      <c r="T254" s="2181">
        <v>0</v>
      </c>
      <c r="U254" s="2182">
        <v>0</v>
      </c>
      <c r="V254" s="2182">
        <v>0</v>
      </c>
      <c r="W254" s="2182">
        <v>0</v>
      </c>
      <c r="X254" s="2182">
        <v>0</v>
      </c>
      <c r="Y254" s="2182">
        <v>0</v>
      </c>
      <c r="Z254" s="2182">
        <v>0</v>
      </c>
      <c r="AA254" s="2087" t="e">
        <v>#N/A</v>
      </c>
      <c r="AB254" s="2088" t="e">
        <v>#N/A</v>
      </c>
      <c r="AC254" s="46"/>
      <c r="AF254" s="248"/>
    </row>
    <row r="255" spans="1:32" ht="10.15" hidden="1" customHeight="1" x14ac:dyDescent="0.25">
      <c r="A255" s="10" t="s">
        <v>461</v>
      </c>
      <c r="B255" s="5"/>
      <c r="C255" s="40"/>
      <c r="J255" s="2581"/>
      <c r="K255" s="2582"/>
      <c r="L255" s="2582"/>
      <c r="M255" s="2583"/>
      <c r="N255" s="1089" t="s">
        <v>1316</v>
      </c>
      <c r="O255" s="1089"/>
      <c r="P255" s="1089"/>
      <c r="Q255" s="1089"/>
      <c r="R255" s="1089"/>
      <c r="S255" s="1861" t="s">
        <v>1463</v>
      </c>
      <c r="T255" s="2181">
        <v>0</v>
      </c>
      <c r="U255" s="2182">
        <v>0</v>
      </c>
      <c r="V255" s="2182">
        <v>0</v>
      </c>
      <c r="W255" s="2182">
        <v>0</v>
      </c>
      <c r="X255" s="2182">
        <v>0</v>
      </c>
      <c r="Y255" s="2182">
        <v>0</v>
      </c>
      <c r="Z255" s="2182">
        <v>0</v>
      </c>
      <c r="AA255" s="2087" t="e">
        <v>#N/A</v>
      </c>
      <c r="AB255" s="2088" t="e">
        <v>#N/A</v>
      </c>
      <c r="AC255" s="46"/>
      <c r="AF255" s="248"/>
    </row>
    <row r="256" spans="1:32" ht="10.15" hidden="1" customHeight="1" x14ac:dyDescent="0.25">
      <c r="A256" s="10" t="s">
        <v>461</v>
      </c>
      <c r="B256" s="5"/>
      <c r="C256" s="40"/>
      <c r="J256" s="2581"/>
      <c r="K256" s="2582"/>
      <c r="L256" s="2582"/>
      <c r="M256" s="2583"/>
      <c r="N256" s="1088" t="s">
        <v>1317</v>
      </c>
      <c r="O256" s="1090"/>
      <c r="P256" s="1090"/>
      <c r="Q256" s="1090"/>
      <c r="R256" s="1090"/>
      <c r="S256" s="1861" t="s">
        <v>1464</v>
      </c>
      <c r="T256" s="2181">
        <v>0</v>
      </c>
      <c r="U256" s="2182">
        <v>0</v>
      </c>
      <c r="V256" s="2182">
        <v>0</v>
      </c>
      <c r="W256" s="2182">
        <v>0</v>
      </c>
      <c r="X256" s="2182">
        <v>0</v>
      </c>
      <c r="Y256" s="2182">
        <v>0</v>
      </c>
      <c r="Z256" s="2182">
        <v>0</v>
      </c>
      <c r="AA256" s="2087" t="e">
        <v>#N/A</v>
      </c>
      <c r="AB256" s="2088" t="e">
        <v>#N/A</v>
      </c>
      <c r="AC256" s="46"/>
      <c r="AF256" s="248"/>
    </row>
    <row r="257" spans="1:32" ht="10.15" hidden="1" customHeight="1" x14ac:dyDescent="0.25">
      <c r="A257" s="10" t="s">
        <v>461</v>
      </c>
      <c r="B257" s="5"/>
      <c r="C257" s="40"/>
      <c r="I257" s="5"/>
      <c r="J257" s="2581"/>
      <c r="K257" s="2582"/>
      <c r="L257" s="2582"/>
      <c r="M257" s="2583"/>
      <c r="N257" s="1088" t="s">
        <v>311</v>
      </c>
      <c r="O257" s="1090"/>
      <c r="P257" s="1090"/>
      <c r="Q257" s="1090"/>
      <c r="R257" s="1090"/>
      <c r="S257" s="1857" t="s">
        <v>1465</v>
      </c>
      <c r="T257" s="2181">
        <v>0</v>
      </c>
      <c r="U257" s="2182">
        <v>0</v>
      </c>
      <c r="V257" s="2182">
        <v>0</v>
      </c>
      <c r="W257" s="2182">
        <v>0</v>
      </c>
      <c r="X257" s="2182">
        <v>0</v>
      </c>
      <c r="Y257" s="2182">
        <v>0</v>
      </c>
      <c r="Z257" s="2182">
        <v>0</v>
      </c>
      <c r="AA257" s="2087" t="e">
        <v>#N/A</v>
      </c>
      <c r="AB257" s="2088" t="e">
        <v>#N/A</v>
      </c>
      <c r="AC257" s="46"/>
      <c r="AF257" s="248"/>
    </row>
    <row r="258" spans="1:32" ht="10.15" hidden="1" customHeight="1" x14ac:dyDescent="0.25">
      <c r="A258" s="10" t="s">
        <v>461</v>
      </c>
      <c r="B258" s="5"/>
      <c r="C258" s="40"/>
      <c r="I258" s="5"/>
      <c r="J258" s="2581"/>
      <c r="K258" s="2582"/>
      <c r="L258" s="2582"/>
      <c r="M258" s="2583"/>
      <c r="N258" s="1088" t="s">
        <v>251</v>
      </c>
      <c r="O258" s="1090"/>
      <c r="P258" s="1090"/>
      <c r="Q258" s="1090"/>
      <c r="R258" s="1090"/>
      <c r="S258" s="1857" t="s">
        <v>1466</v>
      </c>
      <c r="T258" s="2181">
        <v>0</v>
      </c>
      <c r="U258" s="2182">
        <v>0</v>
      </c>
      <c r="V258" s="2182">
        <v>0</v>
      </c>
      <c r="W258" s="2182">
        <v>0</v>
      </c>
      <c r="X258" s="2182">
        <v>0</v>
      </c>
      <c r="Y258" s="2182">
        <v>0</v>
      </c>
      <c r="Z258" s="2182">
        <v>0</v>
      </c>
      <c r="AA258" s="2087" t="e">
        <v>#N/A</v>
      </c>
      <c r="AB258" s="2088" t="e">
        <v>#N/A</v>
      </c>
      <c r="AC258" s="46"/>
      <c r="AF258" s="248"/>
    </row>
    <row r="259" spans="1:32" ht="10.15" hidden="1" customHeight="1" x14ac:dyDescent="0.25">
      <c r="A259" s="10" t="s">
        <v>461</v>
      </c>
      <c r="B259" s="5"/>
      <c r="C259" s="40"/>
      <c r="I259" s="5"/>
      <c r="J259" s="2581"/>
      <c r="K259" s="2582"/>
      <c r="L259" s="2582"/>
      <c r="M259" s="2583"/>
      <c r="N259" s="1088" t="s">
        <v>12</v>
      </c>
      <c r="O259" s="1090"/>
      <c r="P259" s="1090"/>
      <c r="Q259" s="1090"/>
      <c r="R259" s="1090"/>
      <c r="S259" s="1857" t="s">
        <v>1467</v>
      </c>
      <c r="T259" s="2181">
        <v>0</v>
      </c>
      <c r="U259" s="2182">
        <v>0</v>
      </c>
      <c r="V259" s="2182">
        <v>0</v>
      </c>
      <c r="W259" s="2182">
        <v>0</v>
      </c>
      <c r="X259" s="2182">
        <v>0</v>
      </c>
      <c r="Y259" s="2182">
        <v>0</v>
      </c>
      <c r="Z259" s="2182">
        <v>0</v>
      </c>
      <c r="AA259" s="2087" t="e">
        <v>#N/A</v>
      </c>
      <c r="AB259" s="2088" t="e">
        <v>#N/A</v>
      </c>
      <c r="AC259" s="46"/>
      <c r="AF259" s="248"/>
    </row>
    <row r="260" spans="1:32" ht="10.15" hidden="1" customHeight="1" x14ac:dyDescent="0.25">
      <c r="A260" s="10" t="s">
        <v>461</v>
      </c>
      <c r="C260" s="41"/>
      <c r="I260" s="5"/>
      <c r="J260" s="2581"/>
      <c r="K260" s="2582"/>
      <c r="L260" s="2582"/>
      <c r="M260" s="2583"/>
      <c r="N260" s="1111" t="s">
        <v>13</v>
      </c>
      <c r="O260" s="1132"/>
      <c r="P260" s="1132"/>
      <c r="Q260" s="1132"/>
      <c r="R260" s="2465"/>
      <c r="S260" s="1857" t="s">
        <v>1468</v>
      </c>
      <c r="T260" s="2184">
        <v>0</v>
      </c>
      <c r="U260" s="2185">
        <v>0</v>
      </c>
      <c r="V260" s="2185">
        <v>0</v>
      </c>
      <c r="W260" s="2185">
        <v>0</v>
      </c>
      <c r="X260" s="2185">
        <v>0</v>
      </c>
      <c r="Y260" s="2185">
        <v>0</v>
      </c>
      <c r="Z260" s="2185">
        <v>0</v>
      </c>
      <c r="AA260" s="2087" t="e">
        <v>#N/A</v>
      </c>
      <c r="AB260" s="2088" t="e">
        <v>#N/A</v>
      </c>
      <c r="AC260" s="46"/>
      <c r="AF260" s="248"/>
    </row>
    <row r="261" spans="1:32" ht="10.15" hidden="1" customHeight="1" x14ac:dyDescent="0.25">
      <c r="A261" s="10" t="s">
        <v>463</v>
      </c>
      <c r="C261" s="41"/>
      <c r="J261" s="2581"/>
      <c r="K261" s="2582"/>
      <c r="L261" s="2582"/>
      <c r="M261" s="2583"/>
      <c r="N261" s="1089" t="s">
        <v>89</v>
      </c>
      <c r="O261" s="1089"/>
      <c r="P261" s="1089"/>
      <c r="Q261" s="1089"/>
      <c r="R261" s="1089"/>
      <c r="S261" s="1857" t="s">
        <v>1469</v>
      </c>
      <c r="T261" s="2056" t="e">
        <v>#N/A</v>
      </c>
      <c r="U261" s="2057" t="e">
        <v>#N/A</v>
      </c>
      <c r="V261" s="2057" t="e">
        <v>#N/A</v>
      </c>
      <c r="W261" s="2057" t="e">
        <v>#N/A</v>
      </c>
      <c r="X261" s="2057" t="e">
        <v>#N/A</v>
      </c>
      <c r="Y261" s="2057" t="e">
        <v>#N/A</v>
      </c>
      <c r="Z261" s="2072" t="e">
        <v>#N/A</v>
      </c>
      <c r="AA261" s="2087" t="e">
        <v>#N/A</v>
      </c>
      <c r="AB261" s="2088" t="e">
        <v>#N/A</v>
      </c>
      <c r="AC261" s="42"/>
      <c r="AF261" s="248"/>
    </row>
    <row r="262" spans="1:32" ht="10.15" hidden="1" customHeight="1" x14ac:dyDescent="0.25">
      <c r="A262" s="10" t="s">
        <v>463</v>
      </c>
      <c r="C262" s="41"/>
      <c r="J262" s="2581"/>
      <c r="K262" s="2582"/>
      <c r="L262" s="2582"/>
      <c r="M262" s="2583"/>
      <c r="N262" s="1090" t="s">
        <v>86</v>
      </c>
      <c r="O262" s="1090"/>
      <c r="P262" s="1090"/>
      <c r="Q262" s="1090"/>
      <c r="R262" s="1090"/>
      <c r="S262" s="1857" t="s">
        <v>1470</v>
      </c>
      <c r="T262" s="2056" t="e">
        <v>#N/A</v>
      </c>
      <c r="U262" s="2057" t="e">
        <v>#N/A</v>
      </c>
      <c r="V262" s="2057" t="e">
        <v>#N/A</v>
      </c>
      <c r="W262" s="2057" t="e">
        <v>#N/A</v>
      </c>
      <c r="X262" s="2057" t="e">
        <v>#N/A</v>
      </c>
      <c r="Y262" s="2057" t="e">
        <v>#N/A</v>
      </c>
      <c r="Z262" s="2072" t="e">
        <v>#N/A</v>
      </c>
      <c r="AA262" s="2087" t="e">
        <v>#N/A</v>
      </c>
      <c r="AB262" s="2088" t="e">
        <v>#N/A</v>
      </c>
      <c r="AC262" s="42"/>
      <c r="AF262" s="248"/>
    </row>
    <row r="263" spans="1:32" ht="10.15" hidden="1" customHeight="1" x14ac:dyDescent="0.25">
      <c r="A263" s="10" t="s">
        <v>463</v>
      </c>
      <c r="C263" s="41"/>
      <c r="J263" s="2581"/>
      <c r="K263" s="2582"/>
      <c r="L263" s="2582"/>
      <c r="M263" s="2583"/>
      <c r="N263" s="1090" t="s">
        <v>87</v>
      </c>
      <c r="O263" s="1090"/>
      <c r="P263" s="1090"/>
      <c r="Q263" s="1090"/>
      <c r="R263" s="1090"/>
      <c r="S263" s="1857" t="s">
        <v>1471</v>
      </c>
      <c r="T263" s="2056" t="e">
        <v>#N/A</v>
      </c>
      <c r="U263" s="2057" t="e">
        <v>#N/A</v>
      </c>
      <c r="V263" s="2057" t="e">
        <v>#N/A</v>
      </c>
      <c r="W263" s="2057" t="e">
        <v>#N/A</v>
      </c>
      <c r="X263" s="2057" t="e">
        <v>#N/A</v>
      </c>
      <c r="Y263" s="2057" t="e">
        <v>#N/A</v>
      </c>
      <c r="Z263" s="2072" t="e">
        <v>#N/A</v>
      </c>
      <c r="AA263" s="2087" t="e">
        <v>#N/A</v>
      </c>
      <c r="AB263" s="2088" t="e">
        <v>#N/A</v>
      </c>
      <c r="AC263" s="42"/>
      <c r="AF263" s="248"/>
    </row>
    <row r="264" spans="1:32" ht="10.15" hidden="1" customHeight="1" x14ac:dyDescent="0.25">
      <c r="A264" s="10" t="s">
        <v>463</v>
      </c>
      <c r="C264" s="41"/>
      <c r="J264" s="2581"/>
      <c r="K264" s="2582"/>
      <c r="L264" s="2582"/>
      <c r="M264" s="2583"/>
      <c r="N264" s="1090" t="s">
        <v>145</v>
      </c>
      <c r="O264" s="1090"/>
      <c r="P264" s="1090"/>
      <c r="Q264" s="1090"/>
      <c r="R264" s="1090"/>
      <c r="S264" s="1857" t="s">
        <v>1472</v>
      </c>
      <c r="T264" s="2056" t="e">
        <v>#N/A</v>
      </c>
      <c r="U264" s="2057" t="e">
        <v>#N/A</v>
      </c>
      <c r="V264" s="2057" t="e">
        <v>#N/A</v>
      </c>
      <c r="W264" s="2057" t="e">
        <v>#N/A</v>
      </c>
      <c r="X264" s="2057" t="e">
        <v>#N/A</v>
      </c>
      <c r="Y264" s="2057" t="e">
        <v>#N/A</v>
      </c>
      <c r="Z264" s="2072" t="e">
        <v>#N/A</v>
      </c>
      <c r="AA264" s="2087" t="e">
        <v>#N/A</v>
      </c>
      <c r="AB264" s="2088" t="e">
        <v>#N/A</v>
      </c>
      <c r="AC264" s="42"/>
      <c r="AF264" s="248"/>
    </row>
    <row r="265" spans="1:32" ht="10.15" hidden="1" customHeight="1" x14ac:dyDescent="0.25">
      <c r="A265" s="10" t="s">
        <v>463</v>
      </c>
      <c r="C265" s="41"/>
      <c r="J265" s="2581"/>
      <c r="K265" s="2582"/>
      <c r="L265" s="2582"/>
      <c r="M265" s="2583"/>
      <c r="N265" s="1090" t="s">
        <v>146</v>
      </c>
      <c r="O265" s="1090"/>
      <c r="P265" s="1090"/>
      <c r="Q265" s="1090"/>
      <c r="R265" s="1090"/>
      <c r="S265" s="1857" t="s">
        <v>1473</v>
      </c>
      <c r="T265" s="2056" t="e">
        <v>#N/A</v>
      </c>
      <c r="U265" s="2057" t="e">
        <v>#N/A</v>
      </c>
      <c r="V265" s="2057" t="e">
        <v>#N/A</v>
      </c>
      <c r="W265" s="2057" t="e">
        <v>#N/A</v>
      </c>
      <c r="X265" s="2057" t="e">
        <v>#N/A</v>
      </c>
      <c r="Y265" s="2057" t="e">
        <v>#N/A</v>
      </c>
      <c r="Z265" s="2072" t="e">
        <v>#N/A</v>
      </c>
      <c r="AA265" s="2087" t="e">
        <v>#N/A</v>
      </c>
      <c r="AB265" s="2088" t="e">
        <v>#N/A</v>
      </c>
      <c r="AC265" s="42"/>
      <c r="AF265" s="248"/>
    </row>
    <row r="266" spans="1:32" ht="10.15" hidden="1" customHeight="1" x14ac:dyDescent="0.25">
      <c r="A266" s="10" t="s">
        <v>463</v>
      </c>
      <c r="C266" s="41"/>
      <c r="J266" s="2581"/>
      <c r="K266" s="2582"/>
      <c r="L266" s="2582"/>
      <c r="M266" s="2583"/>
      <c r="N266" s="1090" t="s">
        <v>124</v>
      </c>
      <c r="O266" s="1090"/>
      <c r="P266" s="1090"/>
      <c r="Q266" s="1090"/>
      <c r="R266" s="1090"/>
      <c r="S266" s="1857" t="s">
        <v>1474</v>
      </c>
      <c r="T266" s="2056" t="e">
        <v>#N/A</v>
      </c>
      <c r="U266" s="2057" t="e">
        <v>#N/A</v>
      </c>
      <c r="V266" s="2057" t="e">
        <v>#N/A</v>
      </c>
      <c r="W266" s="2057" t="e">
        <v>#N/A</v>
      </c>
      <c r="X266" s="2057" t="e">
        <v>#N/A</v>
      </c>
      <c r="Y266" s="2057" t="e">
        <v>#N/A</v>
      </c>
      <c r="Z266" s="2072" t="e">
        <v>#N/A</v>
      </c>
      <c r="AA266" s="2087" t="e">
        <v>#N/A</v>
      </c>
      <c r="AB266" s="2088" t="e">
        <v>#N/A</v>
      </c>
      <c r="AC266" s="42"/>
      <c r="AF266" s="248"/>
    </row>
    <row r="267" spans="1:32" ht="10.15" hidden="1" customHeight="1" x14ac:dyDescent="0.25">
      <c r="A267" s="10" t="s">
        <v>463</v>
      </c>
      <c r="C267" s="41"/>
      <c r="J267" s="2581"/>
      <c r="K267" s="2582"/>
      <c r="L267" s="2582"/>
      <c r="M267" s="2583"/>
      <c r="N267" s="1090" t="s">
        <v>230</v>
      </c>
      <c r="O267" s="1090"/>
      <c r="P267" s="1090"/>
      <c r="Q267" s="1090"/>
      <c r="R267" s="1090"/>
      <c r="S267" s="1857" t="s">
        <v>1475</v>
      </c>
      <c r="T267" s="2056" t="e">
        <v>#N/A</v>
      </c>
      <c r="U267" s="2057" t="e">
        <v>#N/A</v>
      </c>
      <c r="V267" s="2057" t="e">
        <v>#N/A</v>
      </c>
      <c r="W267" s="2057" t="e">
        <v>#N/A</v>
      </c>
      <c r="X267" s="2057" t="e">
        <v>#N/A</v>
      </c>
      <c r="Y267" s="2057" t="e">
        <v>#N/A</v>
      </c>
      <c r="Z267" s="2072" t="e">
        <v>#N/A</v>
      </c>
      <c r="AA267" s="2087" t="e">
        <v>#N/A</v>
      </c>
      <c r="AB267" s="2088" t="e">
        <v>#N/A</v>
      </c>
      <c r="AC267" s="42"/>
      <c r="AF267" s="248"/>
    </row>
    <row r="268" spans="1:32" ht="10.15" hidden="1" customHeight="1" x14ac:dyDescent="0.25">
      <c r="A268" s="10" t="s">
        <v>463</v>
      </c>
      <c r="C268" s="41"/>
      <c r="J268" s="2581"/>
      <c r="K268" s="2582"/>
      <c r="L268" s="2582"/>
      <c r="M268" s="2583"/>
      <c r="N268" s="1090" t="s">
        <v>231</v>
      </c>
      <c r="O268" s="1090"/>
      <c r="P268" s="1090"/>
      <c r="Q268" s="1090"/>
      <c r="R268" s="1090"/>
      <c r="S268" s="1885" t="s">
        <v>1476</v>
      </c>
      <c r="T268" s="2056" t="e">
        <v>#N/A</v>
      </c>
      <c r="U268" s="2057" t="e">
        <v>#N/A</v>
      </c>
      <c r="V268" s="2057" t="e">
        <v>#N/A</v>
      </c>
      <c r="W268" s="2057" t="e">
        <v>#N/A</v>
      </c>
      <c r="X268" s="2057" t="e">
        <v>#N/A</v>
      </c>
      <c r="Y268" s="2057" t="e">
        <v>#N/A</v>
      </c>
      <c r="Z268" s="2072" t="e">
        <v>#N/A</v>
      </c>
      <c r="AA268" s="2087" t="e">
        <v>#N/A</v>
      </c>
      <c r="AB268" s="2088" t="e">
        <v>#N/A</v>
      </c>
      <c r="AC268" s="42"/>
      <c r="AF268" s="248"/>
    </row>
    <row r="269" spans="1:32" ht="10.15" hidden="1" customHeight="1" x14ac:dyDescent="0.25">
      <c r="A269" s="10" t="s">
        <v>463</v>
      </c>
      <c r="C269" s="41"/>
      <c r="J269" s="2581"/>
      <c r="K269" s="2582"/>
      <c r="L269" s="2582"/>
      <c r="M269" s="2583"/>
      <c r="N269" s="1090" t="s">
        <v>232</v>
      </c>
      <c r="O269" s="1090"/>
      <c r="P269" s="1090"/>
      <c r="Q269" s="1090"/>
      <c r="R269" s="1090"/>
      <c r="S269" s="1885" t="s">
        <v>1477</v>
      </c>
      <c r="T269" s="2056" t="e">
        <v>#N/A</v>
      </c>
      <c r="U269" s="2057" t="e">
        <v>#N/A</v>
      </c>
      <c r="V269" s="2057" t="e">
        <v>#N/A</v>
      </c>
      <c r="W269" s="2057" t="e">
        <v>#N/A</v>
      </c>
      <c r="X269" s="2057" t="e">
        <v>#N/A</v>
      </c>
      <c r="Y269" s="2057" t="e">
        <v>#N/A</v>
      </c>
      <c r="Z269" s="2072" t="e">
        <v>#N/A</v>
      </c>
      <c r="AA269" s="2087" t="e">
        <v>#N/A</v>
      </c>
      <c r="AB269" s="2088" t="e">
        <v>#N/A</v>
      </c>
      <c r="AC269" s="42"/>
      <c r="AF269" s="248"/>
    </row>
    <row r="270" spans="1:32" ht="10.15" hidden="1" customHeight="1" x14ac:dyDescent="0.25">
      <c r="A270" s="10" t="s">
        <v>463</v>
      </c>
      <c r="C270" s="41"/>
      <c r="J270" s="2584"/>
      <c r="K270" s="2585"/>
      <c r="L270" s="2585"/>
      <c r="M270" s="2586"/>
      <c r="N270" s="1132" t="s">
        <v>229</v>
      </c>
      <c r="O270" s="1132"/>
      <c r="P270" s="1132"/>
      <c r="Q270" s="1132"/>
      <c r="R270" s="1132"/>
      <c r="S270" s="1863" t="s">
        <v>1478</v>
      </c>
      <c r="T270" s="2059" t="e">
        <v>#N/A</v>
      </c>
      <c r="U270" s="2060" t="e">
        <v>#N/A</v>
      </c>
      <c r="V270" s="2060" t="e">
        <v>#N/A</v>
      </c>
      <c r="W270" s="2060" t="e">
        <v>#N/A</v>
      </c>
      <c r="X270" s="2060" t="e">
        <v>#N/A</v>
      </c>
      <c r="Y270" s="2060" t="e">
        <v>#N/A</v>
      </c>
      <c r="Z270" s="2073" t="e">
        <v>#N/A</v>
      </c>
      <c r="AA270" s="2087" t="e">
        <v>#N/A</v>
      </c>
      <c r="AB270" s="2088" t="e">
        <v>#N/A</v>
      </c>
      <c r="AC270" s="42"/>
      <c r="AF270" s="248"/>
    </row>
    <row r="271" spans="1:32" ht="10.15" hidden="1" customHeight="1" x14ac:dyDescent="0.25">
      <c r="A271" s="10" t="s">
        <v>463</v>
      </c>
      <c r="C271" s="41"/>
      <c r="J271" s="2578" t="s">
        <v>14</v>
      </c>
      <c r="K271" s="2579"/>
      <c r="L271" s="2579"/>
      <c r="M271" s="2580"/>
      <c r="N271" s="1110" t="s">
        <v>112</v>
      </c>
      <c r="O271" s="1110"/>
      <c r="P271" s="1110"/>
      <c r="Q271" s="1110"/>
      <c r="R271" s="1110"/>
      <c r="S271" s="1859" t="s">
        <v>1479</v>
      </c>
      <c r="T271" s="2293">
        <v>0</v>
      </c>
      <c r="U271" s="2294">
        <v>0</v>
      </c>
      <c r="V271" s="2294">
        <v>0</v>
      </c>
      <c r="W271" s="2294">
        <v>0</v>
      </c>
      <c r="X271" s="2294">
        <v>0</v>
      </c>
      <c r="Y271" s="2294">
        <v>0</v>
      </c>
      <c r="Z271" s="2307">
        <v>0</v>
      </c>
      <c r="AA271" s="2087" t="e">
        <v>#N/A</v>
      </c>
      <c r="AB271" s="2088" t="e">
        <v>#N/A</v>
      </c>
      <c r="AC271" s="42"/>
      <c r="AF271" s="248"/>
    </row>
    <row r="272" spans="1:32" ht="10.15" hidden="1" customHeight="1" x14ac:dyDescent="0.25">
      <c r="A272" s="10" t="s">
        <v>461</v>
      </c>
      <c r="C272" s="41"/>
      <c r="D272" s="4" t="s">
        <v>289</v>
      </c>
      <c r="J272" s="2581"/>
      <c r="K272" s="2582"/>
      <c r="L272" s="2582"/>
      <c r="M272" s="2583"/>
      <c r="N272" s="1090" t="s">
        <v>32</v>
      </c>
      <c r="O272" s="1090"/>
      <c r="P272" s="1090"/>
      <c r="Q272" s="1090"/>
      <c r="R272" s="1090"/>
      <c r="S272" s="1857" t="s">
        <v>1480</v>
      </c>
      <c r="T272" s="2178">
        <v>0</v>
      </c>
      <c r="U272" s="2179">
        <v>0</v>
      </c>
      <c r="V272" s="2179">
        <v>0</v>
      </c>
      <c r="W272" s="2179">
        <v>0</v>
      </c>
      <c r="X272" s="2179">
        <v>0</v>
      </c>
      <c r="Y272" s="2179">
        <v>0</v>
      </c>
      <c r="Z272" s="2179">
        <v>0</v>
      </c>
      <c r="AA272" s="2087" t="e">
        <v>#N/A</v>
      </c>
      <c r="AB272" s="2088" t="e">
        <v>#N/A</v>
      </c>
      <c r="AC272" s="42"/>
      <c r="AF272" s="248"/>
    </row>
    <row r="273" spans="1:32" ht="10.15" hidden="1" customHeight="1" x14ac:dyDescent="0.25">
      <c r="A273" s="10" t="s">
        <v>461</v>
      </c>
      <c r="C273" s="41"/>
      <c r="D273" s="11" t="s">
        <v>218</v>
      </c>
      <c r="E273" s="12"/>
      <c r="F273" s="106">
        <f>Input_PL_MaxPriceFinal_IR_NoPP</f>
        <v>101</v>
      </c>
      <c r="J273" s="2581"/>
      <c r="K273" s="2582"/>
      <c r="L273" s="2582"/>
      <c r="M273" s="2583"/>
      <c r="N273" s="1088" t="s">
        <v>1549</v>
      </c>
      <c r="O273" s="1090"/>
      <c r="P273" s="1090"/>
      <c r="Q273" s="1090"/>
      <c r="R273" s="1090"/>
      <c r="S273" s="1857" t="s">
        <v>1553</v>
      </c>
      <c r="T273" s="2181">
        <v>-0.25</v>
      </c>
      <c r="U273" s="2182">
        <v>-0.25</v>
      </c>
      <c r="V273" s="2182">
        <v>-0.25</v>
      </c>
      <c r="W273" s="2182">
        <v>-0.375</v>
      </c>
      <c r="X273" s="2182">
        <v>-0.375</v>
      </c>
      <c r="Y273" s="2182">
        <v>-0.375</v>
      </c>
      <c r="Z273" s="2182">
        <v>-0.5</v>
      </c>
      <c r="AA273" s="2087" t="e">
        <v>#N/A</v>
      </c>
      <c r="AB273" s="2090" t="e">
        <v>#N/A</v>
      </c>
      <c r="AC273" s="42"/>
      <c r="AF273" s="248"/>
    </row>
    <row r="274" spans="1:32" ht="10.15" hidden="1" customHeight="1" x14ac:dyDescent="0.25">
      <c r="A274" s="10" t="s">
        <v>461</v>
      </c>
      <c r="C274" s="41"/>
      <c r="D274" s="13" t="s">
        <v>219</v>
      </c>
      <c r="E274" s="14"/>
      <c r="F274" s="107">
        <f>_xlfn.SINGLE(Input_PL_MaxPriceFinal_IR_01PP)</f>
        <v>101</v>
      </c>
      <c r="J274" s="2581"/>
      <c r="K274" s="2582"/>
      <c r="L274" s="2582"/>
      <c r="M274" s="2583"/>
      <c r="N274" s="1111" t="s">
        <v>1550</v>
      </c>
      <c r="O274" s="1132"/>
      <c r="P274" s="1132"/>
      <c r="Q274" s="1132"/>
      <c r="R274" s="2465"/>
      <c r="S274" s="1857" t="s">
        <v>1554</v>
      </c>
      <c r="T274" s="2184">
        <v>-0.75</v>
      </c>
      <c r="U274" s="2185">
        <v>-0.75</v>
      </c>
      <c r="V274" s="2185">
        <v>-0.75</v>
      </c>
      <c r="W274" s="2185">
        <v>-0.75</v>
      </c>
      <c r="X274" s="2185">
        <v>-0.75</v>
      </c>
      <c r="Y274" s="2185">
        <v>-0.75</v>
      </c>
      <c r="Z274" s="2185">
        <v>-1</v>
      </c>
      <c r="AA274" s="2087" t="e">
        <v>#N/A</v>
      </c>
      <c r="AB274" s="2090" t="e">
        <v>#N/A</v>
      </c>
      <c r="AC274" s="42"/>
      <c r="AF274" s="248"/>
    </row>
    <row r="275" spans="1:32" ht="10.15" hidden="1" customHeight="1" x14ac:dyDescent="0.25">
      <c r="A275" s="10" t="s">
        <v>463</v>
      </c>
      <c r="C275" s="41"/>
      <c r="J275" s="2584"/>
      <c r="K275" s="2585"/>
      <c r="L275" s="2585"/>
      <c r="M275" s="2586"/>
      <c r="N275" s="1153" t="s">
        <v>15</v>
      </c>
      <c r="O275" s="1153"/>
      <c r="P275" s="1153"/>
      <c r="Q275" s="1153"/>
      <c r="R275" s="1153"/>
      <c r="S275" s="1863" t="s">
        <v>1481</v>
      </c>
      <c r="T275" s="2059" t="e">
        <v>#N/A</v>
      </c>
      <c r="U275" s="2060" t="e">
        <v>#N/A</v>
      </c>
      <c r="V275" s="2060" t="e">
        <v>#N/A</v>
      </c>
      <c r="W275" s="2060" t="e">
        <v>#N/A</v>
      </c>
      <c r="X275" s="2060" t="e">
        <v>#N/A</v>
      </c>
      <c r="Y275" s="2060" t="e">
        <v>#N/A</v>
      </c>
      <c r="Z275" s="2073" t="e">
        <v>#N/A</v>
      </c>
      <c r="AA275" s="2087" t="e">
        <v>#N/A</v>
      </c>
      <c r="AB275" s="2088" t="e">
        <v>#N/A</v>
      </c>
      <c r="AC275" s="42"/>
      <c r="AF275" s="248"/>
    </row>
    <row r="276" spans="1:32" ht="10.15" hidden="1" customHeight="1" x14ac:dyDescent="0.25">
      <c r="A276" s="10" t="s">
        <v>463</v>
      </c>
      <c r="C276" s="41"/>
      <c r="J276" s="2578" t="s">
        <v>62</v>
      </c>
      <c r="K276" s="2579"/>
      <c r="L276" s="2579"/>
      <c r="M276" s="2580"/>
      <c r="N276" s="1110" t="s">
        <v>99</v>
      </c>
      <c r="O276" s="1110"/>
      <c r="P276" s="1110"/>
      <c r="Q276" s="1110"/>
      <c r="R276" s="1110"/>
      <c r="S276" s="1859" t="s">
        <v>1482</v>
      </c>
      <c r="T276" s="2187">
        <v>0</v>
      </c>
      <c r="U276" s="2188">
        <v>0</v>
      </c>
      <c r="V276" s="2188">
        <v>0</v>
      </c>
      <c r="W276" s="2188">
        <v>0</v>
      </c>
      <c r="X276" s="2188">
        <v>0</v>
      </c>
      <c r="Y276" s="2188">
        <v>0</v>
      </c>
      <c r="Z276" s="2188">
        <v>0</v>
      </c>
      <c r="AA276" s="2087" t="e">
        <v>#N/A</v>
      </c>
      <c r="AB276" s="1465" t="e">
        <v>#N/A</v>
      </c>
      <c r="AC276" s="42"/>
      <c r="AF276" s="248"/>
    </row>
    <row r="277" spans="1:32" ht="10.15" hidden="1" customHeight="1" x14ac:dyDescent="0.25">
      <c r="A277" s="10" t="s">
        <v>461</v>
      </c>
      <c r="C277" s="41"/>
      <c r="D277" s="20" t="s">
        <v>220</v>
      </c>
      <c r="E277" s="21"/>
      <c r="F277" s="108">
        <f>_xlfn.SINGLE(Input_PL_MaxPriceFinal_IR_02PP)</f>
        <v>101</v>
      </c>
      <c r="J277" s="2581"/>
      <c r="K277" s="2582"/>
      <c r="L277" s="2582"/>
      <c r="M277" s="2583"/>
      <c r="N277" s="359" t="s">
        <v>1334</v>
      </c>
      <c r="O277" s="359"/>
      <c r="P277" s="359"/>
      <c r="Q277" s="359"/>
      <c r="R277" s="359"/>
      <c r="S277" s="1873" t="s">
        <v>3904</v>
      </c>
      <c r="T277" s="2181">
        <v>0.25</v>
      </c>
      <c r="U277" s="2182">
        <v>0.25</v>
      </c>
      <c r="V277" s="2182">
        <v>0.25</v>
      </c>
      <c r="W277" s="2182">
        <v>0.25</v>
      </c>
      <c r="X277" s="2182">
        <v>0.25</v>
      </c>
      <c r="Y277" s="2182">
        <v>0.25</v>
      </c>
      <c r="Z277" s="2182">
        <v>0.25</v>
      </c>
      <c r="AA277" s="2087" t="e">
        <v>#N/A</v>
      </c>
      <c r="AB277" s="1465" t="e">
        <v>#N/A</v>
      </c>
      <c r="AC277" s="42"/>
      <c r="AF277" s="248"/>
    </row>
    <row r="278" spans="1:32" ht="10.15" hidden="1" customHeight="1" x14ac:dyDescent="0.25">
      <c r="A278" s="10" t="s">
        <v>461</v>
      </c>
      <c r="C278" s="41"/>
      <c r="D278" s="20" t="s">
        <v>221</v>
      </c>
      <c r="E278" s="21"/>
      <c r="F278" s="108">
        <f>_xlfn.SINGLE(Input_PL_MaxPriceFinal_IR_03PP)</f>
        <v>101.5</v>
      </c>
      <c r="J278" s="2581"/>
      <c r="K278" s="2582"/>
      <c r="L278" s="2582"/>
      <c r="M278" s="2583"/>
      <c r="N278" s="359" t="s">
        <v>300</v>
      </c>
      <c r="O278" s="359"/>
      <c r="P278" s="359"/>
      <c r="Q278" s="359"/>
      <c r="R278" s="359"/>
      <c r="S278" s="1873" t="s">
        <v>3905</v>
      </c>
      <c r="T278" s="2181">
        <v>0</v>
      </c>
      <c r="U278" s="2182">
        <v>0</v>
      </c>
      <c r="V278" s="2182">
        <v>0</v>
      </c>
      <c r="W278" s="2182">
        <v>0</v>
      </c>
      <c r="X278" s="2182">
        <v>0</v>
      </c>
      <c r="Y278" s="2182">
        <v>0</v>
      </c>
      <c r="Z278" s="2182">
        <v>0</v>
      </c>
      <c r="AA278" s="2087" t="e">
        <v>#N/A</v>
      </c>
      <c r="AB278" s="1465" t="e">
        <v>#N/A</v>
      </c>
      <c r="AC278" s="42"/>
      <c r="AF278" s="248"/>
    </row>
    <row r="279" spans="1:32" ht="10.15" hidden="1" customHeight="1" x14ac:dyDescent="0.25">
      <c r="A279" s="10" t="s">
        <v>461</v>
      </c>
      <c r="C279" s="41"/>
      <c r="D279" s="20" t="s">
        <v>442</v>
      </c>
      <c r="E279" s="21"/>
      <c r="F279" s="108">
        <f>_xlfn.SINGLE(Input_PL_MaxPriceFinal_IR_04PP)</f>
        <v>101.5</v>
      </c>
      <c r="J279" s="2581"/>
      <c r="K279" s="2582"/>
      <c r="L279" s="2582"/>
      <c r="M279" s="2583"/>
      <c r="N279" s="359" t="s">
        <v>299</v>
      </c>
      <c r="O279" s="359"/>
      <c r="P279" s="359"/>
      <c r="Q279" s="359"/>
      <c r="R279" s="359"/>
      <c r="S279" s="1873" t="s">
        <v>3906</v>
      </c>
      <c r="T279" s="2181">
        <v>-0.25</v>
      </c>
      <c r="U279" s="2182">
        <v>-0.25</v>
      </c>
      <c r="V279" s="2182">
        <v>-0.25</v>
      </c>
      <c r="W279" s="2182">
        <v>-0.375</v>
      </c>
      <c r="X279" s="2182">
        <v>-0.375</v>
      </c>
      <c r="Y279" s="2182">
        <v>-0.375</v>
      </c>
      <c r="Z279" s="2182">
        <v>-0.5</v>
      </c>
      <c r="AA279" s="2087" t="e">
        <v>#N/A</v>
      </c>
      <c r="AB279" s="1465" t="e">
        <v>#N/A</v>
      </c>
      <c r="AC279" s="42"/>
      <c r="AF279" s="248"/>
    </row>
    <row r="280" spans="1:32" ht="10.15" hidden="1" customHeight="1" x14ac:dyDescent="0.25">
      <c r="A280" s="10" t="s">
        <v>461</v>
      </c>
      <c r="C280" s="41"/>
      <c r="D280" s="15" t="s">
        <v>443</v>
      </c>
      <c r="E280" s="16"/>
      <c r="F280" s="109">
        <f>_xlfn.SINGLE(Input_PL_MaxPriceFinal_IR_05PP)</f>
        <v>101.5</v>
      </c>
      <c r="J280" s="2581"/>
      <c r="K280" s="2582"/>
      <c r="L280" s="2582"/>
      <c r="M280" s="2583"/>
      <c r="N280" s="359" t="s">
        <v>351</v>
      </c>
      <c r="O280" s="359"/>
      <c r="P280" s="359"/>
      <c r="Q280" s="359"/>
      <c r="R280" s="359"/>
      <c r="S280" s="1873" t="s">
        <v>3907</v>
      </c>
      <c r="T280" s="2181">
        <v>-0.75</v>
      </c>
      <c r="U280" s="2182">
        <v>-0.75</v>
      </c>
      <c r="V280" s="2182">
        <v>-0.75</v>
      </c>
      <c r="W280" s="2182">
        <v>-0.75</v>
      </c>
      <c r="X280" s="2182">
        <v>-0.75</v>
      </c>
      <c r="Y280" s="2182">
        <v>-0.75</v>
      </c>
      <c r="Z280" s="2182">
        <v>-1</v>
      </c>
      <c r="AA280" s="2087" t="e">
        <v>#N/A</v>
      </c>
      <c r="AB280" s="1465" t="e">
        <v>#N/A</v>
      </c>
      <c r="AC280" s="42"/>
      <c r="AF280" s="248"/>
    </row>
    <row r="281" spans="1:32" ht="10.15" hidden="1" customHeight="1" x14ac:dyDescent="0.25">
      <c r="A281" s="10" t="s">
        <v>463</v>
      </c>
      <c r="C281" s="41"/>
      <c r="J281" s="2581"/>
      <c r="K281" s="2582"/>
      <c r="L281" s="2582"/>
      <c r="M281" s="2583"/>
      <c r="N281" s="359" t="s">
        <v>352</v>
      </c>
      <c r="O281" s="359"/>
      <c r="P281" s="359"/>
      <c r="Q281" s="359"/>
      <c r="R281" s="359"/>
      <c r="S281" s="1873" t="s">
        <v>3908</v>
      </c>
      <c r="T281" s="2404" t="e">
        <v>#N/A</v>
      </c>
      <c r="U281" s="2405" t="e">
        <v>#N/A</v>
      </c>
      <c r="V281" s="2405" t="e">
        <v>#N/A</v>
      </c>
      <c r="W281" s="2405" t="e">
        <v>#N/A</v>
      </c>
      <c r="X281" s="2405" t="e">
        <v>#N/A</v>
      </c>
      <c r="Y281" s="2405" t="e">
        <v>#N/A</v>
      </c>
      <c r="Z281" s="2405" t="e">
        <v>#N/A</v>
      </c>
      <c r="AA281" s="2087" t="e">
        <v>#N/A</v>
      </c>
      <c r="AB281" s="1465" t="e">
        <v>#N/A</v>
      </c>
      <c r="AC281" s="42"/>
      <c r="AF281" s="248"/>
    </row>
    <row r="282" spans="1:32" ht="10.15" hidden="1" customHeight="1" x14ac:dyDescent="0.25">
      <c r="A282" s="10" t="s">
        <v>463</v>
      </c>
      <c r="C282" s="41"/>
      <c r="J282" s="2584"/>
      <c r="K282" s="2585"/>
      <c r="L282" s="2585"/>
      <c r="M282" s="2586"/>
      <c r="N282" s="359" t="s">
        <v>353</v>
      </c>
      <c r="O282" s="359"/>
      <c r="P282" s="359"/>
      <c r="Q282" s="359"/>
      <c r="R282" s="359"/>
      <c r="S282" s="1863" t="s">
        <v>3909</v>
      </c>
      <c r="T282" s="1794" t="e">
        <v>#N/A</v>
      </c>
      <c r="U282" s="1462" t="e">
        <v>#N/A</v>
      </c>
      <c r="V282" s="1462" t="e">
        <v>#N/A</v>
      </c>
      <c r="W282" s="1462" t="e">
        <v>#N/A</v>
      </c>
      <c r="X282" s="1462" t="e">
        <v>#N/A</v>
      </c>
      <c r="Y282" s="1462" t="e">
        <v>#N/A</v>
      </c>
      <c r="Z282" s="1795" t="e">
        <v>#N/A</v>
      </c>
      <c r="AA282" s="2087" t="e">
        <v>#N/A</v>
      </c>
      <c r="AB282" s="1465" t="e">
        <v>#N/A</v>
      </c>
      <c r="AC282" s="42"/>
      <c r="AF282" s="248"/>
    </row>
    <row r="283" spans="1:32" ht="10.15" hidden="1" customHeight="1" x14ac:dyDescent="0.25">
      <c r="A283" s="10" t="s">
        <v>463</v>
      </c>
      <c r="C283" s="41"/>
      <c r="J283" s="2578" t="s">
        <v>33</v>
      </c>
      <c r="K283" s="2579"/>
      <c r="L283" s="2579"/>
      <c r="M283" s="2580"/>
      <c r="N283" s="1133" t="s">
        <v>34</v>
      </c>
      <c r="O283" s="1133"/>
      <c r="P283" s="1133"/>
      <c r="Q283" s="1133"/>
      <c r="R283" s="1133"/>
      <c r="S283" s="1865" t="s">
        <v>1483</v>
      </c>
      <c r="T283" s="2290">
        <v>0</v>
      </c>
      <c r="U283" s="2291">
        <v>0</v>
      </c>
      <c r="V283" s="2291">
        <v>0</v>
      </c>
      <c r="W283" s="2291">
        <v>0</v>
      </c>
      <c r="X283" s="2291">
        <v>0</v>
      </c>
      <c r="Y283" s="2291">
        <v>0</v>
      </c>
      <c r="Z283" s="2306">
        <v>0</v>
      </c>
      <c r="AA283" s="2087" t="e">
        <v>#N/A</v>
      </c>
      <c r="AB283" s="2088" t="e">
        <v>#N/A</v>
      </c>
      <c r="AC283" s="42"/>
      <c r="AF283" s="248"/>
    </row>
    <row r="284" spans="1:32" ht="10.15" hidden="1" customHeight="1" x14ac:dyDescent="0.25">
      <c r="A284" s="10" t="s">
        <v>463</v>
      </c>
      <c r="C284" s="41"/>
      <c r="J284" s="2581"/>
      <c r="K284" s="2582"/>
      <c r="L284" s="2582"/>
      <c r="M284" s="2583"/>
      <c r="N284" s="1091" t="s">
        <v>35</v>
      </c>
      <c r="O284" s="1091"/>
      <c r="P284" s="1091"/>
      <c r="Q284" s="1091"/>
      <c r="R284" s="1091"/>
      <c r="S284" s="1866" t="s">
        <v>1484</v>
      </c>
      <c r="T284" s="2278">
        <v>0</v>
      </c>
      <c r="U284" s="2279">
        <v>0</v>
      </c>
      <c r="V284" s="2279">
        <v>0</v>
      </c>
      <c r="W284" s="2279">
        <v>0</v>
      </c>
      <c r="X284" s="2279">
        <v>0</v>
      </c>
      <c r="Y284" s="2279">
        <v>0</v>
      </c>
      <c r="Z284" s="2302">
        <v>0</v>
      </c>
      <c r="AA284" s="2087" t="e">
        <v>#N/A</v>
      </c>
      <c r="AB284" s="2088" t="e">
        <v>#N/A</v>
      </c>
      <c r="AC284" s="42"/>
      <c r="AF284" s="248"/>
    </row>
    <row r="285" spans="1:32" ht="10.15" hidden="1" customHeight="1" x14ac:dyDescent="0.25">
      <c r="A285" s="10" t="s">
        <v>463</v>
      </c>
      <c r="C285" s="41"/>
      <c r="J285" s="2584"/>
      <c r="K285" s="2585"/>
      <c r="L285" s="2585"/>
      <c r="M285" s="2586"/>
      <c r="N285" s="1096" t="s">
        <v>16</v>
      </c>
      <c r="O285" s="1096"/>
      <c r="P285" s="1096"/>
      <c r="Q285" s="1096"/>
      <c r="R285" s="1096"/>
      <c r="S285" s="1867" t="s">
        <v>1485</v>
      </c>
      <c r="T285" s="2287">
        <v>0</v>
      </c>
      <c r="U285" s="2288">
        <v>0</v>
      </c>
      <c r="V285" s="2288">
        <v>0</v>
      </c>
      <c r="W285" s="2288">
        <v>0</v>
      </c>
      <c r="X285" s="2288">
        <v>0</v>
      </c>
      <c r="Y285" s="2288">
        <v>0</v>
      </c>
      <c r="Z285" s="2305">
        <v>0</v>
      </c>
      <c r="AA285" s="2087" t="e">
        <v>#N/A</v>
      </c>
      <c r="AB285" s="2088" t="e">
        <v>#N/A</v>
      </c>
      <c r="AC285" s="42"/>
      <c r="AF285" s="248"/>
    </row>
    <row r="286" spans="1:32" ht="10.15" hidden="1" customHeight="1" x14ac:dyDescent="0.25">
      <c r="A286" s="10" t="s">
        <v>463</v>
      </c>
      <c r="C286" s="41"/>
      <c r="J286" s="2701" t="s">
        <v>39</v>
      </c>
      <c r="K286" s="2702"/>
      <c r="L286" s="2702"/>
      <c r="M286" s="2703"/>
      <c r="N286" s="1134" t="s">
        <v>38</v>
      </c>
      <c r="O286" s="1134"/>
      <c r="P286" s="1134"/>
      <c r="Q286" s="1134"/>
      <c r="R286" s="1134"/>
      <c r="S286" s="1867" t="s">
        <v>1486</v>
      </c>
      <c r="T286" s="2293">
        <v>0</v>
      </c>
      <c r="U286" s="2294">
        <v>0</v>
      </c>
      <c r="V286" s="2294">
        <v>0</v>
      </c>
      <c r="W286" s="2294">
        <v>0</v>
      </c>
      <c r="X286" s="2294">
        <v>0</v>
      </c>
      <c r="Y286" s="2294">
        <v>0</v>
      </c>
      <c r="Z286" s="2307">
        <v>0</v>
      </c>
      <c r="AA286" s="2087" t="e">
        <v>#N/A</v>
      </c>
      <c r="AB286" s="2088" t="e">
        <v>#N/A</v>
      </c>
      <c r="AC286" s="42"/>
      <c r="AF286" s="248"/>
    </row>
    <row r="287" spans="1:32" ht="10.15" hidden="1" customHeight="1" x14ac:dyDescent="0.25">
      <c r="A287" s="10" t="s">
        <v>463</v>
      </c>
      <c r="C287" s="41"/>
      <c r="J287" s="2587" t="s">
        <v>428</v>
      </c>
      <c r="K287" s="2588"/>
      <c r="L287" s="2588"/>
      <c r="M287" s="2589"/>
      <c r="N287" s="1115" t="s">
        <v>427</v>
      </c>
      <c r="O287" s="1133"/>
      <c r="P287" s="1133"/>
      <c r="Q287" s="1133"/>
      <c r="R287" s="1133"/>
      <c r="S287" s="1869" t="s">
        <v>1487</v>
      </c>
      <c r="T287" s="2290">
        <v>0</v>
      </c>
      <c r="U287" s="2291">
        <v>0</v>
      </c>
      <c r="V287" s="2291">
        <v>0</v>
      </c>
      <c r="W287" s="2291">
        <v>0</v>
      </c>
      <c r="X287" s="2291">
        <v>0</v>
      </c>
      <c r="Y287" s="2291">
        <v>0</v>
      </c>
      <c r="Z287" s="2306">
        <v>0</v>
      </c>
      <c r="AA287" s="2087" t="e">
        <v>#N/A</v>
      </c>
      <c r="AB287" s="2088" t="e">
        <v>#N/A</v>
      </c>
      <c r="AC287" s="42"/>
      <c r="AF287" s="248"/>
    </row>
    <row r="288" spans="1:32" ht="10.15" hidden="1" customHeight="1" x14ac:dyDescent="0.25">
      <c r="A288" s="10" t="s">
        <v>463</v>
      </c>
      <c r="C288" s="41"/>
      <c r="J288" s="2590"/>
      <c r="K288" s="2591"/>
      <c r="L288" s="2591"/>
      <c r="M288" s="2592"/>
      <c r="N288" s="1116" t="s">
        <v>424</v>
      </c>
      <c r="O288" s="1096"/>
      <c r="P288" s="1096"/>
      <c r="Q288" s="1096"/>
      <c r="R288" s="1096"/>
      <c r="S288" s="1870" t="s">
        <v>1488</v>
      </c>
      <c r="T288" s="2287">
        <v>0</v>
      </c>
      <c r="U288" s="2288">
        <v>0</v>
      </c>
      <c r="V288" s="2288">
        <v>0</v>
      </c>
      <c r="W288" s="2288">
        <v>0</v>
      </c>
      <c r="X288" s="2288">
        <v>0</v>
      </c>
      <c r="Y288" s="2288">
        <v>0</v>
      </c>
      <c r="Z288" s="2305">
        <v>0</v>
      </c>
      <c r="AA288" s="2087" t="e">
        <v>#N/A</v>
      </c>
      <c r="AB288" s="2088" t="e">
        <v>#N/A</v>
      </c>
      <c r="AC288" s="42"/>
      <c r="AF288" s="248"/>
    </row>
    <row r="289" spans="1:32" ht="10.15" hidden="1" customHeight="1" x14ac:dyDescent="0.25">
      <c r="A289" s="10" t="s">
        <v>463</v>
      </c>
      <c r="C289" s="41"/>
      <c r="J289" s="2578" t="s">
        <v>40</v>
      </c>
      <c r="K289" s="2579"/>
      <c r="L289" s="2579"/>
      <c r="M289" s="2580"/>
      <c r="N289" s="1135" t="s">
        <v>41</v>
      </c>
      <c r="O289" s="1135"/>
      <c r="P289" s="1135"/>
      <c r="Q289" s="1135"/>
      <c r="R289" s="1135"/>
      <c r="S289" s="1871" t="s">
        <v>1489</v>
      </c>
      <c r="T289" s="2290">
        <v>0</v>
      </c>
      <c r="U289" s="2291">
        <v>0</v>
      </c>
      <c r="V289" s="2291">
        <v>0</v>
      </c>
      <c r="W289" s="2291">
        <v>0</v>
      </c>
      <c r="X289" s="2291">
        <v>0</v>
      </c>
      <c r="Y289" s="2291">
        <v>0</v>
      </c>
      <c r="Z289" s="2306">
        <v>0</v>
      </c>
      <c r="AA289" s="2087" t="e">
        <v>#N/A</v>
      </c>
      <c r="AB289" s="2088" t="e">
        <v>#N/A</v>
      </c>
      <c r="AC289" s="42"/>
      <c r="AF289" s="248"/>
    </row>
    <row r="290" spans="1:32" ht="10.15" hidden="1" customHeight="1" x14ac:dyDescent="0.25">
      <c r="A290" s="10" t="s">
        <v>463</v>
      </c>
      <c r="C290" s="41"/>
      <c r="J290" s="2581"/>
      <c r="K290" s="2582"/>
      <c r="L290" s="2582"/>
      <c r="M290" s="2583"/>
      <c r="N290" s="1091" t="s">
        <v>376</v>
      </c>
      <c r="O290" s="1091"/>
      <c r="P290" s="1091"/>
      <c r="Q290" s="1091"/>
      <c r="R290" s="1091"/>
      <c r="S290" s="1872" t="s">
        <v>1661</v>
      </c>
      <c r="T290" s="2278">
        <v>0</v>
      </c>
      <c r="U290" s="2279">
        <v>0</v>
      </c>
      <c r="V290" s="2279">
        <v>0</v>
      </c>
      <c r="W290" s="2279">
        <v>0</v>
      </c>
      <c r="X290" s="2279">
        <v>0</v>
      </c>
      <c r="Y290" s="2279">
        <v>0</v>
      </c>
      <c r="Z290" s="2302">
        <v>0</v>
      </c>
      <c r="AA290" s="2087" t="e">
        <v>#N/A</v>
      </c>
      <c r="AB290" s="2088" t="e">
        <v>#N/A</v>
      </c>
      <c r="AC290" s="42"/>
      <c r="AF290" s="248"/>
    </row>
    <row r="291" spans="1:32" ht="10.15" hidden="1" customHeight="1" x14ac:dyDescent="0.25">
      <c r="A291" s="10" t="s">
        <v>463</v>
      </c>
      <c r="C291" s="41"/>
      <c r="J291" s="2581"/>
      <c r="K291" s="2582"/>
      <c r="L291" s="2582"/>
      <c r="M291" s="2583"/>
      <c r="N291" s="1091" t="s">
        <v>369</v>
      </c>
      <c r="O291" s="1091"/>
      <c r="P291" s="1091"/>
      <c r="Q291" s="1091"/>
      <c r="R291" s="1091"/>
      <c r="S291" s="1872" t="s">
        <v>1665</v>
      </c>
      <c r="T291" s="2278">
        <v>0</v>
      </c>
      <c r="U291" s="2279">
        <v>0</v>
      </c>
      <c r="V291" s="2279">
        <v>0</v>
      </c>
      <c r="W291" s="2279">
        <v>0</v>
      </c>
      <c r="X291" s="2279">
        <v>0</v>
      </c>
      <c r="Y291" s="2279">
        <v>0</v>
      </c>
      <c r="Z291" s="2302">
        <v>0</v>
      </c>
      <c r="AA291" s="2087" t="e">
        <v>#N/A</v>
      </c>
      <c r="AB291" s="2088" t="e">
        <v>#N/A</v>
      </c>
      <c r="AC291" s="42"/>
      <c r="AF291" s="248"/>
    </row>
    <row r="292" spans="1:32" ht="10.15" hidden="1" customHeight="1" x14ac:dyDescent="0.25">
      <c r="A292" s="10" t="s">
        <v>463</v>
      </c>
      <c r="C292" s="41"/>
      <c r="J292" s="2584"/>
      <c r="K292" s="2585"/>
      <c r="L292" s="2585"/>
      <c r="M292" s="2586"/>
      <c r="N292" s="1096" t="s">
        <v>321</v>
      </c>
      <c r="O292" s="1096"/>
      <c r="P292" s="1096"/>
      <c r="Q292" s="1096"/>
      <c r="R292" s="1096"/>
      <c r="S292" s="1879" t="s">
        <v>1490</v>
      </c>
      <c r="T292" s="2287">
        <v>0</v>
      </c>
      <c r="U292" s="2288">
        <v>0</v>
      </c>
      <c r="V292" s="2288">
        <v>0</v>
      </c>
      <c r="W292" s="2288">
        <v>0</v>
      </c>
      <c r="X292" s="2288">
        <v>0</v>
      </c>
      <c r="Y292" s="2288">
        <v>0</v>
      </c>
      <c r="Z292" s="2305">
        <v>0</v>
      </c>
      <c r="AA292" s="2087" t="e">
        <v>#N/A</v>
      </c>
      <c r="AB292" s="2088" t="e">
        <v>#N/A</v>
      </c>
      <c r="AC292" s="42"/>
      <c r="AF292" s="248"/>
    </row>
    <row r="293" spans="1:32" ht="10.15" hidden="1" customHeight="1" x14ac:dyDescent="0.25">
      <c r="A293" s="10" t="s">
        <v>461</v>
      </c>
      <c r="C293" s="41"/>
      <c r="J293" s="325" t="s">
        <v>91</v>
      </c>
      <c r="K293" s="326"/>
      <c r="L293" s="326"/>
      <c r="M293" s="327"/>
      <c r="N293" s="1136" t="s">
        <v>83</v>
      </c>
      <c r="O293" s="1136"/>
      <c r="P293" s="1136"/>
      <c r="Q293" s="1136"/>
      <c r="R293" s="1136"/>
      <c r="S293" s="1869" t="s">
        <v>1491</v>
      </c>
      <c r="T293" s="2189">
        <v>0</v>
      </c>
      <c r="U293" s="2190">
        <v>0</v>
      </c>
      <c r="V293" s="2190">
        <v>0</v>
      </c>
      <c r="W293" s="2190">
        <v>0</v>
      </c>
      <c r="X293" s="2190">
        <v>0</v>
      </c>
      <c r="Y293" s="2190">
        <v>0</v>
      </c>
      <c r="Z293" s="2190">
        <v>0</v>
      </c>
      <c r="AA293" s="2087" t="e">
        <v>#N/A</v>
      </c>
      <c r="AB293" s="2088" t="e">
        <v>#N/A</v>
      </c>
      <c r="AC293" s="42"/>
      <c r="AF293" s="248"/>
    </row>
    <row r="294" spans="1:32" ht="10.15" hidden="1" customHeight="1" x14ac:dyDescent="0.25">
      <c r="A294" s="10" t="s">
        <v>461</v>
      </c>
      <c r="C294" s="41"/>
      <c r="J294" s="328"/>
      <c r="K294" s="334"/>
      <c r="L294" s="334"/>
      <c r="M294" s="329"/>
      <c r="N294" s="1093" t="s">
        <v>1635</v>
      </c>
      <c r="O294" s="1093"/>
      <c r="P294" s="1093"/>
      <c r="Q294" s="1093"/>
      <c r="R294" s="1093"/>
      <c r="S294" s="1866" t="s">
        <v>1637</v>
      </c>
      <c r="T294" s="2255">
        <v>-1</v>
      </c>
      <c r="U294" s="2256">
        <v>-1</v>
      </c>
      <c r="V294" s="2256">
        <v>-1</v>
      </c>
      <c r="W294" s="2256">
        <v>-1</v>
      </c>
      <c r="X294" s="2256">
        <v>-1</v>
      </c>
      <c r="Y294" s="2256">
        <v>-1</v>
      </c>
      <c r="Z294" s="2256">
        <v>-1</v>
      </c>
      <c r="AA294" s="2087" t="e">
        <v>#N/A</v>
      </c>
      <c r="AB294" s="2088" t="e">
        <v>#N/A</v>
      </c>
      <c r="AC294" s="42"/>
      <c r="AF294" s="248"/>
    </row>
    <row r="295" spans="1:32" ht="10.15" hidden="1" customHeight="1" x14ac:dyDescent="0.25">
      <c r="A295" s="10" t="s">
        <v>461</v>
      </c>
      <c r="C295" s="41"/>
      <c r="D295" s="5"/>
      <c r="E295" s="5"/>
      <c r="F295" s="5"/>
      <c r="G295" s="5"/>
      <c r="H295" s="5"/>
      <c r="J295" s="328"/>
      <c r="K295" s="334"/>
      <c r="L295" s="334"/>
      <c r="M295" s="329"/>
      <c r="N295" s="360" t="s">
        <v>155</v>
      </c>
      <c r="O295" s="360"/>
      <c r="P295" s="360"/>
      <c r="Q295" s="360"/>
      <c r="R295" s="360"/>
      <c r="S295" s="1872" t="s">
        <v>1492</v>
      </c>
      <c r="T295" s="2255">
        <v>0</v>
      </c>
      <c r="U295" s="2256">
        <v>0</v>
      </c>
      <c r="V295" s="2256">
        <v>0</v>
      </c>
      <c r="W295" s="2256">
        <v>0</v>
      </c>
      <c r="X295" s="2256">
        <v>0</v>
      </c>
      <c r="Y295" s="2256">
        <v>0</v>
      </c>
      <c r="Z295" s="2256">
        <v>0</v>
      </c>
      <c r="AA295" s="2087" t="e">
        <v>#N/A</v>
      </c>
      <c r="AB295" s="2088" t="e">
        <v>#N/A</v>
      </c>
      <c r="AC295" s="42"/>
      <c r="AF295" s="248"/>
    </row>
    <row r="296" spans="1:32" ht="10.15" hidden="1" customHeight="1" x14ac:dyDescent="0.25">
      <c r="A296" s="10" t="s">
        <v>461</v>
      </c>
      <c r="C296" s="41"/>
      <c r="D296" s="5"/>
      <c r="E296" s="5"/>
      <c r="F296" s="5"/>
      <c r="G296" s="5"/>
      <c r="H296" s="5"/>
      <c r="J296" s="328"/>
      <c r="K296" s="334"/>
      <c r="L296" s="334"/>
      <c r="M296" s="329"/>
      <c r="N296" s="1091" t="s">
        <v>128</v>
      </c>
      <c r="O296" s="1091"/>
      <c r="P296" s="1091"/>
      <c r="Q296" s="1091"/>
      <c r="R296" s="1091"/>
      <c r="S296" s="1872" t="s">
        <v>1493</v>
      </c>
      <c r="T296" s="2191">
        <v>0</v>
      </c>
      <c r="U296" s="2192">
        <v>0</v>
      </c>
      <c r="V296" s="2192">
        <v>0</v>
      </c>
      <c r="W296" s="2192">
        <v>0</v>
      </c>
      <c r="X296" s="2192">
        <v>0</v>
      </c>
      <c r="Y296" s="2192">
        <v>0</v>
      </c>
      <c r="Z296" s="2192">
        <v>0</v>
      </c>
      <c r="AA296" s="2087" t="e">
        <v>#N/A</v>
      </c>
      <c r="AB296" s="2088" t="e">
        <v>#N/A</v>
      </c>
      <c r="AC296" s="42"/>
      <c r="AF296" s="248"/>
    </row>
    <row r="297" spans="1:32" ht="10.15" hidden="1" customHeight="1" x14ac:dyDescent="0.25">
      <c r="A297" s="10" t="s">
        <v>461</v>
      </c>
      <c r="C297" s="41"/>
      <c r="D297" s="5"/>
      <c r="E297" s="5"/>
      <c r="F297" s="5"/>
      <c r="G297" s="5"/>
      <c r="H297" s="5"/>
      <c r="J297" s="328"/>
      <c r="K297" s="334"/>
      <c r="L297" s="334"/>
      <c r="M297" s="329"/>
      <c r="N297" s="360" t="s">
        <v>153</v>
      </c>
      <c r="O297" s="360"/>
      <c r="P297" s="360"/>
      <c r="Q297" s="360"/>
      <c r="R297" s="360"/>
      <c r="S297" s="1872" t="s">
        <v>1494</v>
      </c>
      <c r="T297" s="2191">
        <v>0</v>
      </c>
      <c r="U297" s="2192">
        <v>0</v>
      </c>
      <c r="V297" s="2192">
        <v>0</v>
      </c>
      <c r="W297" s="2192">
        <v>0</v>
      </c>
      <c r="X297" s="2192">
        <v>0</v>
      </c>
      <c r="Y297" s="2192">
        <v>0</v>
      </c>
      <c r="Z297" s="2192">
        <v>0</v>
      </c>
      <c r="AA297" s="2087" t="e">
        <v>#N/A</v>
      </c>
      <c r="AB297" s="2088" t="e">
        <v>#N/A</v>
      </c>
      <c r="AC297" s="42"/>
      <c r="AF297" s="248"/>
    </row>
    <row r="298" spans="1:32" ht="10.15" hidden="1" customHeight="1" x14ac:dyDescent="0.25">
      <c r="A298" s="10" t="s">
        <v>461</v>
      </c>
      <c r="C298" s="41"/>
      <c r="D298" s="5"/>
      <c r="E298" s="5"/>
      <c r="F298" s="5"/>
      <c r="G298" s="5"/>
      <c r="H298" s="5"/>
      <c r="J298" s="328"/>
      <c r="K298" s="334"/>
      <c r="L298" s="334"/>
      <c r="M298" s="329"/>
      <c r="N298" s="360" t="s">
        <v>154</v>
      </c>
      <c r="O298" s="360"/>
      <c r="P298" s="360"/>
      <c r="Q298" s="360"/>
      <c r="R298" s="360"/>
      <c r="S298" s="1872" t="s">
        <v>1495</v>
      </c>
      <c r="T298" s="2191">
        <v>0</v>
      </c>
      <c r="U298" s="2192">
        <v>0</v>
      </c>
      <c r="V298" s="2192">
        <v>0</v>
      </c>
      <c r="W298" s="2192">
        <v>0</v>
      </c>
      <c r="X298" s="2192">
        <v>0</v>
      </c>
      <c r="Y298" s="2192">
        <v>0</v>
      </c>
      <c r="Z298" s="2192">
        <v>0</v>
      </c>
      <c r="AA298" s="2087" t="e">
        <v>#N/A</v>
      </c>
      <c r="AB298" s="2088" t="e">
        <v>#N/A</v>
      </c>
      <c r="AC298" s="42"/>
      <c r="AF298" s="248"/>
    </row>
    <row r="299" spans="1:32" ht="10.15" hidden="1" customHeight="1" x14ac:dyDescent="0.25">
      <c r="A299" s="10" t="s">
        <v>461</v>
      </c>
      <c r="C299" s="41"/>
      <c r="D299" s="5"/>
      <c r="E299" s="5"/>
      <c r="F299" s="5"/>
      <c r="G299" s="5"/>
      <c r="H299" s="5"/>
      <c r="J299" s="328"/>
      <c r="K299" s="334"/>
      <c r="L299" s="334"/>
      <c r="M299" s="329"/>
      <c r="N299" s="1091" t="s">
        <v>222</v>
      </c>
      <c r="O299" s="1091"/>
      <c r="P299" s="1091"/>
      <c r="Q299" s="1091"/>
      <c r="R299" s="1091"/>
      <c r="S299" s="1872" t="s">
        <v>1496</v>
      </c>
      <c r="T299" s="2191">
        <v>0</v>
      </c>
      <c r="U299" s="2192">
        <v>0</v>
      </c>
      <c r="V299" s="2192">
        <v>0</v>
      </c>
      <c r="W299" s="2192">
        <v>0</v>
      </c>
      <c r="X299" s="2192">
        <v>0</v>
      </c>
      <c r="Y299" s="2192">
        <v>0</v>
      </c>
      <c r="Z299" s="2192">
        <v>0</v>
      </c>
      <c r="AA299" s="2087" t="e">
        <v>#N/A</v>
      </c>
      <c r="AB299" s="2088" t="e">
        <v>#N/A</v>
      </c>
      <c r="AC299" s="42"/>
      <c r="AF299" s="248"/>
    </row>
    <row r="300" spans="1:32" ht="10.15" hidden="1" customHeight="1" x14ac:dyDescent="0.25">
      <c r="A300" s="10" t="s">
        <v>461</v>
      </c>
      <c r="C300" s="41"/>
      <c r="D300" s="5"/>
      <c r="E300" s="5"/>
      <c r="F300" s="5"/>
      <c r="G300" s="5"/>
      <c r="H300" s="5"/>
      <c r="J300" s="328"/>
      <c r="K300" s="334"/>
      <c r="L300" s="334"/>
      <c r="M300" s="329"/>
      <c r="N300" s="1091" t="s">
        <v>131</v>
      </c>
      <c r="O300" s="1091"/>
      <c r="P300" s="1091"/>
      <c r="Q300" s="1091"/>
      <c r="R300" s="1091"/>
      <c r="S300" s="1866" t="s">
        <v>1497</v>
      </c>
      <c r="T300" s="2191">
        <v>-0.25</v>
      </c>
      <c r="U300" s="2192">
        <v>-0.25</v>
      </c>
      <c r="V300" s="2192">
        <v>-0.25</v>
      </c>
      <c r="W300" s="2192">
        <v>-0.375</v>
      </c>
      <c r="X300" s="2192">
        <v>-0.375</v>
      </c>
      <c r="Y300" s="2192">
        <v>-0.5</v>
      </c>
      <c r="Z300" s="2406" t="e">
        <v>#N/A</v>
      </c>
      <c r="AA300" s="2087" t="e">
        <v>#N/A</v>
      </c>
      <c r="AB300" s="2088" t="e">
        <v>#N/A</v>
      </c>
      <c r="AC300" s="42"/>
      <c r="AF300" s="248"/>
    </row>
    <row r="301" spans="1:32" ht="10.15" hidden="1" customHeight="1" x14ac:dyDescent="0.25">
      <c r="A301" s="10" t="s">
        <v>463</v>
      </c>
      <c r="C301" s="41"/>
      <c r="D301" s="5"/>
      <c r="E301" s="5"/>
      <c r="F301" s="5"/>
      <c r="G301" s="5"/>
      <c r="H301" s="5"/>
      <c r="J301" s="328"/>
      <c r="K301" s="334"/>
      <c r="L301" s="334"/>
      <c r="M301" s="329"/>
      <c r="N301" s="1091" t="s">
        <v>132</v>
      </c>
      <c r="O301" s="1091"/>
      <c r="P301" s="1091"/>
      <c r="Q301" s="1091"/>
      <c r="R301" s="1091"/>
      <c r="S301" s="1866" t="s">
        <v>1498</v>
      </c>
      <c r="T301" s="2407" t="e">
        <v>#N/A</v>
      </c>
      <c r="U301" s="2408" t="e">
        <v>#N/A</v>
      </c>
      <c r="V301" s="2408" t="e">
        <v>#N/A</v>
      </c>
      <c r="W301" s="2408" t="e">
        <v>#N/A</v>
      </c>
      <c r="X301" s="2408" t="e">
        <v>#N/A</v>
      </c>
      <c r="Y301" s="2408" t="e">
        <v>#N/A</v>
      </c>
      <c r="Z301" s="2408" t="e">
        <v>#N/A</v>
      </c>
      <c r="AA301" s="2087" t="e">
        <v>#N/A</v>
      </c>
      <c r="AB301" s="2088" t="e">
        <v>#N/A</v>
      </c>
      <c r="AC301" s="42"/>
      <c r="AF301" s="248"/>
    </row>
    <row r="302" spans="1:32" ht="10.15" hidden="1" customHeight="1" x14ac:dyDescent="0.25">
      <c r="A302" s="10" t="s">
        <v>461</v>
      </c>
      <c r="C302" s="41"/>
      <c r="J302" s="328"/>
      <c r="K302" s="334"/>
      <c r="L302" s="334"/>
      <c r="M302" s="329"/>
      <c r="N302" s="1091" t="s">
        <v>133</v>
      </c>
      <c r="O302" s="1091"/>
      <c r="P302" s="1091"/>
      <c r="Q302" s="1091"/>
      <c r="R302" s="1091"/>
      <c r="S302" s="1866" t="s">
        <v>1499</v>
      </c>
      <c r="T302" s="2191">
        <v>-0.375</v>
      </c>
      <c r="U302" s="2192">
        <v>-0.375</v>
      </c>
      <c r="V302" s="2192">
        <v>-0.375</v>
      </c>
      <c r="W302" s="2192">
        <v>-0.5</v>
      </c>
      <c r="X302" s="2192">
        <v>-0.5</v>
      </c>
      <c r="Y302" s="2406" t="e">
        <v>#N/A</v>
      </c>
      <c r="Z302" s="2406" t="e">
        <v>#N/A</v>
      </c>
      <c r="AA302" s="2087" t="e">
        <v>#N/A</v>
      </c>
      <c r="AB302" s="2088" t="e">
        <v>#N/A</v>
      </c>
      <c r="AC302" s="42"/>
      <c r="AF302" s="248"/>
    </row>
    <row r="303" spans="1:32" ht="10.15" hidden="1" customHeight="1" x14ac:dyDescent="0.25">
      <c r="A303" s="10" t="s">
        <v>461</v>
      </c>
      <c r="C303" s="41"/>
      <c r="J303" s="328"/>
      <c r="K303" s="334"/>
      <c r="L303" s="334"/>
      <c r="M303" s="329"/>
      <c r="N303" s="1091" t="s">
        <v>134</v>
      </c>
      <c r="O303" s="1091"/>
      <c r="P303" s="1091"/>
      <c r="Q303" s="1091"/>
      <c r="R303" s="1091"/>
      <c r="S303" s="1866" t="s">
        <v>1500</v>
      </c>
      <c r="T303" s="2191">
        <v>-0.375</v>
      </c>
      <c r="U303" s="2192">
        <v>-0.375</v>
      </c>
      <c r="V303" s="2192">
        <v>-0.375</v>
      </c>
      <c r="W303" s="2192">
        <v>-0.5</v>
      </c>
      <c r="X303" s="2192">
        <v>-0.5</v>
      </c>
      <c r="Y303" s="2406" t="e">
        <v>#N/A</v>
      </c>
      <c r="Z303" s="2406" t="e">
        <v>#N/A</v>
      </c>
      <c r="AA303" s="2087" t="e">
        <v>#N/A</v>
      </c>
      <c r="AB303" s="2088" t="e">
        <v>#N/A</v>
      </c>
      <c r="AC303" s="42"/>
      <c r="AF303" s="248"/>
    </row>
    <row r="304" spans="1:32" ht="10.15" hidden="1" customHeight="1" x14ac:dyDescent="0.25">
      <c r="A304" s="10" t="s">
        <v>461</v>
      </c>
      <c r="C304" s="41"/>
      <c r="J304" s="328"/>
      <c r="K304" s="334"/>
      <c r="L304" s="334"/>
      <c r="M304" s="329"/>
      <c r="N304" s="1091" t="s">
        <v>135</v>
      </c>
      <c r="O304" s="1091"/>
      <c r="P304" s="1091"/>
      <c r="Q304" s="1091"/>
      <c r="R304" s="1091"/>
      <c r="S304" s="1866" t="s">
        <v>1501</v>
      </c>
      <c r="T304" s="2191">
        <v>-0.375</v>
      </c>
      <c r="U304" s="2192">
        <v>-0.375</v>
      </c>
      <c r="V304" s="2192">
        <v>-0.375</v>
      </c>
      <c r="W304" s="2192">
        <v>-0.5</v>
      </c>
      <c r="X304" s="2192">
        <v>-0.5</v>
      </c>
      <c r="Y304" s="2406" t="e">
        <v>#N/A</v>
      </c>
      <c r="Z304" s="2406" t="e">
        <v>#N/A</v>
      </c>
      <c r="AA304" s="2087" t="e">
        <v>#N/A</v>
      </c>
      <c r="AB304" s="2088" t="e">
        <v>#N/A</v>
      </c>
      <c r="AC304" s="42"/>
      <c r="AF304" s="248"/>
    </row>
    <row r="305" spans="1:32" ht="10.15" hidden="1" customHeight="1" x14ac:dyDescent="0.25">
      <c r="A305" s="10" t="s">
        <v>461</v>
      </c>
      <c r="C305" s="41"/>
      <c r="J305" s="328"/>
      <c r="K305" s="334"/>
      <c r="L305" s="334"/>
      <c r="M305" s="329"/>
      <c r="N305" s="1091" t="s">
        <v>19</v>
      </c>
      <c r="O305" s="1091"/>
      <c r="P305" s="1091"/>
      <c r="Q305" s="1091"/>
      <c r="R305" s="1091"/>
      <c r="S305" s="1866" t="s">
        <v>1502</v>
      </c>
      <c r="T305" s="2191">
        <v>-2</v>
      </c>
      <c r="U305" s="2192">
        <v>-2</v>
      </c>
      <c r="V305" s="2192">
        <v>-2</v>
      </c>
      <c r="W305" s="2192">
        <v>-2</v>
      </c>
      <c r="X305" s="2192">
        <v>-2</v>
      </c>
      <c r="Y305" s="2192">
        <v>-2</v>
      </c>
      <c r="Z305" s="2192">
        <v>-2</v>
      </c>
      <c r="AA305" s="2087" t="e">
        <v>#N/A</v>
      </c>
      <c r="AB305" s="2088" t="e">
        <v>#N/A</v>
      </c>
      <c r="AC305" s="42"/>
      <c r="AF305" s="248"/>
    </row>
    <row r="306" spans="1:32" ht="10.15" hidden="1" customHeight="1" x14ac:dyDescent="0.25">
      <c r="A306" s="10" t="s">
        <v>463</v>
      </c>
      <c r="C306" s="41"/>
      <c r="J306" s="330"/>
      <c r="K306" s="331"/>
      <c r="L306" s="331"/>
      <c r="M306" s="332"/>
      <c r="N306" s="1096" t="s">
        <v>130</v>
      </c>
      <c r="O306" s="1096"/>
      <c r="P306" s="1096"/>
      <c r="Q306" s="1096"/>
      <c r="R306" s="1096"/>
      <c r="S306" s="1867" t="s">
        <v>1503</v>
      </c>
      <c r="T306" s="2059" t="e">
        <v>#N/A</v>
      </c>
      <c r="U306" s="2060" t="e">
        <v>#N/A</v>
      </c>
      <c r="V306" s="2060" t="e">
        <v>#N/A</v>
      </c>
      <c r="W306" s="2060" t="e">
        <v>#N/A</v>
      </c>
      <c r="X306" s="2065" t="e">
        <v>#N/A</v>
      </c>
      <c r="Y306" s="2065" t="e">
        <v>#N/A</v>
      </c>
      <c r="Z306" s="2075" t="e">
        <v>#N/A</v>
      </c>
      <c r="AA306" s="2089" t="e">
        <v>#N/A</v>
      </c>
      <c r="AB306" s="2090" t="e">
        <v>#N/A</v>
      </c>
      <c r="AC306" s="42"/>
      <c r="AF306" s="248"/>
    </row>
    <row r="307" spans="1:32" ht="10.15" hidden="1" customHeight="1" x14ac:dyDescent="0.25">
      <c r="A307" s="10" t="s">
        <v>461</v>
      </c>
      <c r="C307" s="41"/>
      <c r="J307" s="2587" t="s">
        <v>46</v>
      </c>
      <c r="K307" s="2588"/>
      <c r="L307" s="2588"/>
      <c r="M307" s="2589"/>
      <c r="N307" s="1136" t="s">
        <v>217</v>
      </c>
      <c r="O307" s="1136"/>
      <c r="P307" s="1136"/>
      <c r="Q307" s="1136"/>
      <c r="R307" s="1136"/>
      <c r="S307" s="1869" t="s">
        <v>1504</v>
      </c>
      <c r="T307" s="2275">
        <v>0</v>
      </c>
      <c r="U307" s="2276">
        <v>0</v>
      </c>
      <c r="V307" s="2276">
        <v>0</v>
      </c>
      <c r="W307" s="2276">
        <v>0</v>
      </c>
      <c r="X307" s="2276">
        <v>0</v>
      </c>
      <c r="Y307" s="2276">
        <v>0</v>
      </c>
      <c r="Z307" s="2301">
        <v>0</v>
      </c>
      <c r="AA307" s="2087" t="e">
        <v>#N/A</v>
      </c>
      <c r="AB307" s="2088" t="e">
        <v>#N/A</v>
      </c>
      <c r="AC307" s="42"/>
      <c r="AF307" s="248"/>
    </row>
    <row r="308" spans="1:32" ht="10.15" hidden="1" customHeight="1" x14ac:dyDescent="0.25">
      <c r="A308" s="10" t="s">
        <v>461</v>
      </c>
      <c r="C308" s="41"/>
      <c r="J308" s="2595"/>
      <c r="K308" s="2596"/>
      <c r="L308" s="2596"/>
      <c r="M308" s="2597"/>
      <c r="N308" s="1094" t="s">
        <v>215</v>
      </c>
      <c r="O308" s="1094"/>
      <c r="P308" s="1094"/>
      <c r="Q308" s="1094"/>
      <c r="R308" s="1094"/>
      <c r="S308" s="1873" t="s">
        <v>1505</v>
      </c>
      <c r="T308" s="2281">
        <v>0</v>
      </c>
      <c r="U308" s="2282">
        <v>0</v>
      </c>
      <c r="V308" s="2282">
        <v>0</v>
      </c>
      <c r="W308" s="2282">
        <v>0</v>
      </c>
      <c r="X308" s="2282">
        <v>0</v>
      </c>
      <c r="Y308" s="2282">
        <v>0</v>
      </c>
      <c r="Z308" s="2303">
        <v>0</v>
      </c>
      <c r="AA308" s="2087" t="e">
        <v>#N/A</v>
      </c>
      <c r="AB308" s="2088" t="e">
        <v>#N/A</v>
      </c>
      <c r="AC308" s="42"/>
      <c r="AF308" s="248"/>
    </row>
    <row r="309" spans="1:32" ht="10.15" hidden="1" customHeight="1" x14ac:dyDescent="0.25">
      <c r="A309" s="10" t="s">
        <v>461</v>
      </c>
      <c r="C309" s="41"/>
      <c r="J309" s="2595"/>
      <c r="K309" s="2596"/>
      <c r="L309" s="2596"/>
      <c r="M309" s="2597"/>
      <c r="N309" s="1094" t="s">
        <v>237</v>
      </c>
      <c r="O309" s="1094"/>
      <c r="P309" s="1094"/>
      <c r="Q309" s="1094"/>
      <c r="R309" s="1094"/>
      <c r="S309" s="1873" t="s">
        <v>1506</v>
      </c>
      <c r="T309" s="2281">
        <v>0</v>
      </c>
      <c r="U309" s="2282">
        <v>0</v>
      </c>
      <c r="V309" s="2282">
        <v>0</v>
      </c>
      <c r="W309" s="2282">
        <v>0</v>
      </c>
      <c r="X309" s="2282">
        <v>0</v>
      </c>
      <c r="Y309" s="2282">
        <v>0</v>
      </c>
      <c r="Z309" s="2303">
        <v>0</v>
      </c>
      <c r="AA309" s="2087" t="e">
        <v>#N/A</v>
      </c>
      <c r="AB309" s="2088" t="e">
        <v>#N/A</v>
      </c>
      <c r="AC309" s="42"/>
      <c r="AF309" s="248"/>
    </row>
    <row r="310" spans="1:32" ht="10.15" hidden="1" customHeight="1" x14ac:dyDescent="0.25">
      <c r="A310" s="10" t="s">
        <v>463</v>
      </c>
      <c r="C310" s="41"/>
      <c r="J310" s="2590"/>
      <c r="K310" s="2591"/>
      <c r="L310" s="2591"/>
      <c r="M310" s="2592"/>
      <c r="N310" s="1137" t="s">
        <v>45</v>
      </c>
      <c r="O310" s="1137"/>
      <c r="P310" s="1137"/>
      <c r="Q310" s="1137"/>
      <c r="R310" s="1137"/>
      <c r="S310" s="1874" t="s">
        <v>1507</v>
      </c>
      <c r="T310" s="2059" t="e">
        <v>#N/A</v>
      </c>
      <c r="U310" s="2060" t="e">
        <v>#N/A</v>
      </c>
      <c r="V310" s="2060" t="e">
        <v>#N/A</v>
      </c>
      <c r="W310" s="2060" t="e">
        <v>#N/A</v>
      </c>
      <c r="X310" s="2060" t="e">
        <v>#N/A</v>
      </c>
      <c r="Y310" s="2060" t="e">
        <v>#N/A</v>
      </c>
      <c r="Z310" s="2073" t="e">
        <v>#N/A</v>
      </c>
      <c r="AA310" s="2087" t="e">
        <v>#N/A</v>
      </c>
      <c r="AB310" s="2088" t="e">
        <v>#N/A</v>
      </c>
      <c r="AC310" s="42"/>
      <c r="AF310" s="248"/>
    </row>
    <row r="311" spans="1:32" ht="10.15" hidden="1" customHeight="1" x14ac:dyDescent="0.25">
      <c r="A311" s="10" t="s">
        <v>463</v>
      </c>
      <c r="C311" s="41"/>
      <c r="J311" s="242" t="s">
        <v>44</v>
      </c>
      <c r="K311" s="243"/>
      <c r="L311" s="243"/>
      <c r="M311" s="244"/>
      <c r="N311" s="1136" t="s">
        <v>283</v>
      </c>
      <c r="O311" s="1136"/>
      <c r="P311" s="1136"/>
      <c r="Q311" s="1136"/>
      <c r="R311" s="1136"/>
      <c r="S311" s="1869" t="s">
        <v>1508</v>
      </c>
      <c r="T311" s="2275">
        <v>0</v>
      </c>
      <c r="U311" s="2276">
        <v>0</v>
      </c>
      <c r="V311" s="2276">
        <v>0</v>
      </c>
      <c r="W311" s="2276">
        <v>0</v>
      </c>
      <c r="X311" s="2276">
        <v>0</v>
      </c>
      <c r="Y311" s="2276">
        <v>0</v>
      </c>
      <c r="Z311" s="2301">
        <v>0</v>
      </c>
      <c r="AA311" s="2087" t="e">
        <v>#N/A</v>
      </c>
      <c r="AB311" s="2088" t="e">
        <v>#N/A</v>
      </c>
      <c r="AC311" s="42"/>
      <c r="AF311" s="248"/>
    </row>
    <row r="312" spans="1:32" ht="10.15" hidden="1" customHeight="1" x14ac:dyDescent="0.25">
      <c r="A312" s="10" t="s">
        <v>463</v>
      </c>
      <c r="C312" s="41"/>
      <c r="J312" s="245"/>
      <c r="K312" s="246"/>
      <c r="L312" s="246"/>
      <c r="M312" s="247"/>
      <c r="N312" s="1094" t="s">
        <v>125</v>
      </c>
      <c r="O312" s="1094"/>
      <c r="P312" s="1094"/>
      <c r="Q312" s="1094"/>
      <c r="R312" s="1094"/>
      <c r="S312" s="1875" t="s">
        <v>1509</v>
      </c>
      <c r="T312" s="2281">
        <v>0</v>
      </c>
      <c r="U312" s="2282">
        <v>0</v>
      </c>
      <c r="V312" s="2282">
        <v>0</v>
      </c>
      <c r="W312" s="2282">
        <v>0</v>
      </c>
      <c r="X312" s="2282">
        <v>0</v>
      </c>
      <c r="Y312" s="2282">
        <v>0</v>
      </c>
      <c r="Z312" s="2303">
        <v>0</v>
      </c>
      <c r="AA312" s="2087" t="e">
        <v>#N/A</v>
      </c>
      <c r="AB312" s="2088" t="e">
        <v>#N/A</v>
      </c>
      <c r="AC312" s="42"/>
      <c r="AF312" s="248"/>
    </row>
    <row r="313" spans="1:32" ht="10.15" hidden="1" customHeight="1" x14ac:dyDescent="0.25">
      <c r="A313" s="10" t="s">
        <v>463</v>
      </c>
      <c r="C313" s="41"/>
      <c r="J313" s="245"/>
      <c r="K313" s="246"/>
      <c r="L313" s="246"/>
      <c r="M313" s="247"/>
      <c r="N313" s="1094" t="s">
        <v>18</v>
      </c>
      <c r="O313" s="1094"/>
      <c r="P313" s="1094"/>
      <c r="Q313" s="1094"/>
      <c r="R313" s="1094"/>
      <c r="S313" s="1875" t="s">
        <v>1510</v>
      </c>
      <c r="T313" s="2056" t="e">
        <v>#N/A</v>
      </c>
      <c r="U313" s="2057" t="e">
        <v>#N/A</v>
      </c>
      <c r="V313" s="2057" t="e">
        <v>#N/A</v>
      </c>
      <c r="W313" s="2057" t="e">
        <v>#N/A</v>
      </c>
      <c r="X313" s="2057" t="e">
        <v>#N/A</v>
      </c>
      <c r="Y313" s="2057" t="e">
        <v>#N/A</v>
      </c>
      <c r="Z313" s="2072" t="e">
        <v>#N/A</v>
      </c>
      <c r="AA313" s="2087" t="e">
        <v>#N/A</v>
      </c>
      <c r="AB313" s="2088" t="e">
        <v>#N/A</v>
      </c>
      <c r="AC313" s="42"/>
      <c r="AF313" s="248"/>
    </row>
    <row r="314" spans="1:32" ht="10.15" hidden="1" customHeight="1" x14ac:dyDescent="0.25">
      <c r="A314" s="10" t="s">
        <v>463</v>
      </c>
      <c r="C314" s="41"/>
      <c r="J314" s="245"/>
      <c r="K314" s="246"/>
      <c r="L314" s="246"/>
      <c r="M314" s="247"/>
      <c r="N314" s="1094" t="s">
        <v>238</v>
      </c>
      <c r="O314" s="1094"/>
      <c r="P314" s="1094"/>
      <c r="Q314" s="1094"/>
      <c r="R314" s="1094"/>
      <c r="S314" s="1875" t="s">
        <v>1511</v>
      </c>
      <c r="T314" s="2056" t="e">
        <v>#N/A</v>
      </c>
      <c r="U314" s="2057" t="e">
        <v>#N/A</v>
      </c>
      <c r="V314" s="2057" t="e">
        <v>#N/A</v>
      </c>
      <c r="W314" s="2057" t="e">
        <v>#N/A</v>
      </c>
      <c r="X314" s="2057" t="e">
        <v>#N/A</v>
      </c>
      <c r="Y314" s="2057" t="e">
        <v>#N/A</v>
      </c>
      <c r="Z314" s="2072" t="e">
        <v>#N/A</v>
      </c>
      <c r="AA314" s="2087" t="e">
        <v>#N/A</v>
      </c>
      <c r="AB314" s="2088" t="e">
        <v>#N/A</v>
      </c>
      <c r="AC314" s="42"/>
      <c r="AF314" s="248"/>
    </row>
    <row r="315" spans="1:32" ht="10.15" hidden="1" customHeight="1" x14ac:dyDescent="0.25">
      <c r="A315" s="10" t="s">
        <v>463</v>
      </c>
      <c r="C315" s="41"/>
      <c r="J315" s="245"/>
      <c r="K315" s="246"/>
      <c r="L315" s="246"/>
      <c r="M315" s="247"/>
      <c r="N315" s="1094" t="s">
        <v>152</v>
      </c>
      <c r="O315" s="1094"/>
      <c r="P315" s="1094"/>
      <c r="Q315" s="1094"/>
      <c r="R315" s="1094"/>
      <c r="S315" s="1875" t="s">
        <v>1512</v>
      </c>
      <c r="T315" s="2066" t="e">
        <v>#N/A</v>
      </c>
      <c r="U315" s="2065" t="e">
        <v>#N/A</v>
      </c>
      <c r="V315" s="2065" t="e">
        <v>#N/A</v>
      </c>
      <c r="W315" s="2065" t="e">
        <v>#N/A</v>
      </c>
      <c r="X315" s="2065" t="e">
        <v>#N/A</v>
      </c>
      <c r="Y315" s="2065" t="e">
        <v>#N/A</v>
      </c>
      <c r="Z315" s="2075" t="e">
        <v>#N/A</v>
      </c>
      <c r="AA315" s="2087" t="e">
        <v>#N/A</v>
      </c>
      <c r="AB315" s="2088" t="e">
        <v>#N/A</v>
      </c>
      <c r="AC315" s="42"/>
      <c r="AF315" s="248"/>
    </row>
    <row r="316" spans="1:32" ht="10.15" hidden="1" customHeight="1" x14ac:dyDescent="0.25">
      <c r="A316" s="10" t="s">
        <v>463</v>
      </c>
      <c r="C316" s="41"/>
      <c r="J316" s="301"/>
      <c r="K316" s="302"/>
      <c r="L316" s="302"/>
      <c r="M316" s="303"/>
      <c r="N316" s="1138" t="s">
        <v>3914</v>
      </c>
      <c r="O316" s="1138"/>
      <c r="P316" s="1138"/>
      <c r="Q316" s="1138"/>
      <c r="R316" s="1138"/>
      <c r="S316" s="1874" t="s">
        <v>3915</v>
      </c>
      <c r="T316" s="2059" t="e">
        <v>#N/A</v>
      </c>
      <c r="U316" s="2060" t="e">
        <v>#N/A</v>
      </c>
      <c r="V316" s="2060" t="e">
        <v>#N/A</v>
      </c>
      <c r="W316" s="2060" t="e">
        <v>#N/A</v>
      </c>
      <c r="X316" s="2060" t="e">
        <v>#N/A</v>
      </c>
      <c r="Y316" s="2060" t="e">
        <v>#N/A</v>
      </c>
      <c r="Z316" s="2073" t="e">
        <v>#N/A</v>
      </c>
      <c r="AA316" s="2087" t="e">
        <v>#N/A</v>
      </c>
      <c r="AB316" s="2088" t="e">
        <v>#N/A</v>
      </c>
      <c r="AC316" s="42"/>
      <c r="AF316" s="248"/>
    </row>
    <row r="317" spans="1:32" ht="10.15" hidden="1" customHeight="1" x14ac:dyDescent="0.25">
      <c r="A317" s="10" t="s">
        <v>463</v>
      </c>
      <c r="C317" s="41"/>
      <c r="J317" s="245" t="s">
        <v>43</v>
      </c>
      <c r="K317" s="246"/>
      <c r="L317" s="1461"/>
      <c r="M317" s="247"/>
      <c r="N317" s="1120" t="s">
        <v>2669</v>
      </c>
      <c r="O317" s="1136"/>
      <c r="P317" s="1136"/>
      <c r="Q317" s="1136"/>
      <c r="R317" s="1136"/>
      <c r="S317" s="1877" t="s">
        <v>2674</v>
      </c>
      <c r="T317" s="2275">
        <v>0</v>
      </c>
      <c r="U317" s="2276">
        <v>0</v>
      </c>
      <c r="V317" s="2276">
        <v>0</v>
      </c>
      <c r="W317" s="2276">
        <v>0</v>
      </c>
      <c r="X317" s="2276">
        <v>0</v>
      </c>
      <c r="Y317" s="2276">
        <v>0</v>
      </c>
      <c r="Z317" s="2301">
        <v>0</v>
      </c>
      <c r="AA317" s="2087" t="e">
        <v>#N/A</v>
      </c>
      <c r="AB317" s="2088" t="e">
        <v>#N/A</v>
      </c>
      <c r="AC317" s="42"/>
      <c r="AF317" s="248"/>
    </row>
    <row r="318" spans="1:32" ht="10.15" hidden="1" customHeight="1" x14ac:dyDescent="0.25">
      <c r="A318" s="10" t="s">
        <v>463</v>
      </c>
      <c r="C318" s="41"/>
      <c r="J318" s="245"/>
      <c r="K318" s="246"/>
      <c r="L318" s="1461"/>
      <c r="M318" s="247"/>
      <c r="N318" s="1118" t="s">
        <v>4162</v>
      </c>
      <c r="O318" s="360"/>
      <c r="P318" s="360"/>
      <c r="Q318" s="360"/>
      <c r="R318" s="360"/>
      <c r="S318" s="1877" t="s">
        <v>4173</v>
      </c>
      <c r="T318" s="2056" t="e">
        <v>#N/A</v>
      </c>
      <c r="U318" s="2057" t="e">
        <v>#N/A</v>
      </c>
      <c r="V318" s="2057" t="e">
        <v>#N/A</v>
      </c>
      <c r="W318" s="2057" t="e">
        <v>#N/A</v>
      </c>
      <c r="X318" s="2057" t="e">
        <v>#N/A</v>
      </c>
      <c r="Y318" s="2057" t="e">
        <v>#N/A</v>
      </c>
      <c r="Z318" s="2072" t="e">
        <v>#N/A</v>
      </c>
      <c r="AA318" s="2087" t="e">
        <v>#N/A</v>
      </c>
      <c r="AB318" s="2088" t="e">
        <v>#N/A</v>
      </c>
      <c r="AC318" s="42"/>
      <c r="AF318" s="248"/>
    </row>
    <row r="319" spans="1:32" ht="10.15" hidden="1" customHeight="1" x14ac:dyDescent="0.25">
      <c r="A319" s="10" t="s">
        <v>463</v>
      </c>
      <c r="C319" s="41"/>
      <c r="J319" s="245"/>
      <c r="K319" s="246"/>
      <c r="L319" s="1461"/>
      <c r="M319" s="247"/>
      <c r="N319" s="1118" t="s">
        <v>4161</v>
      </c>
      <c r="O319" s="360"/>
      <c r="P319" s="360"/>
      <c r="Q319" s="360"/>
      <c r="R319" s="360"/>
      <c r="S319" s="1878" t="s">
        <v>4174</v>
      </c>
      <c r="T319" s="2056" t="e">
        <v>#N/A</v>
      </c>
      <c r="U319" s="2057" t="e">
        <v>#N/A</v>
      </c>
      <c r="V319" s="2057" t="e">
        <v>#N/A</v>
      </c>
      <c r="W319" s="2057" t="e">
        <v>#N/A</v>
      </c>
      <c r="X319" s="2057" t="e">
        <v>#N/A</v>
      </c>
      <c r="Y319" s="2057" t="e">
        <v>#N/A</v>
      </c>
      <c r="Z319" s="2072" t="e">
        <v>#N/A</v>
      </c>
      <c r="AA319" s="2087" t="e">
        <v>#N/A</v>
      </c>
      <c r="AB319" s="2088" t="e">
        <v>#N/A</v>
      </c>
      <c r="AC319" s="42"/>
      <c r="AF319" s="248"/>
    </row>
    <row r="320" spans="1:32" ht="10.15" hidden="1" customHeight="1" x14ac:dyDescent="0.25">
      <c r="A320" s="10" t="s">
        <v>463</v>
      </c>
      <c r="C320" s="41"/>
      <c r="J320" s="245"/>
      <c r="K320" s="246"/>
      <c r="L320" s="1461"/>
      <c r="M320" s="247"/>
      <c r="N320" s="1119" t="s">
        <v>4163</v>
      </c>
      <c r="O320" s="1092"/>
      <c r="P320" s="1092"/>
      <c r="Q320" s="1092"/>
      <c r="R320" s="1092"/>
      <c r="S320" s="1878" t="s">
        <v>4175</v>
      </c>
      <c r="T320" s="2056" t="e">
        <v>#N/A</v>
      </c>
      <c r="U320" s="2057" t="e">
        <v>#N/A</v>
      </c>
      <c r="V320" s="2057" t="e">
        <v>#N/A</v>
      </c>
      <c r="W320" s="2057" t="e">
        <v>#N/A</v>
      </c>
      <c r="X320" s="2057" t="e">
        <v>#N/A</v>
      </c>
      <c r="Y320" s="2057" t="e">
        <v>#N/A</v>
      </c>
      <c r="Z320" s="2072" t="e">
        <v>#N/A</v>
      </c>
      <c r="AA320" s="2087" t="e">
        <v>#N/A</v>
      </c>
      <c r="AB320" s="2088" t="e">
        <v>#N/A</v>
      </c>
      <c r="AC320" s="42"/>
      <c r="AF320" s="248"/>
    </row>
    <row r="321" spans="1:32" ht="10.15" hidden="1" customHeight="1" x14ac:dyDescent="0.25">
      <c r="A321" s="10" t="s">
        <v>463</v>
      </c>
      <c r="C321" s="41"/>
      <c r="J321" s="245"/>
      <c r="K321" s="246"/>
      <c r="L321" s="1461"/>
      <c r="M321" s="247"/>
      <c r="N321" s="1118" t="s">
        <v>4164</v>
      </c>
      <c r="O321" s="360"/>
      <c r="P321" s="360"/>
      <c r="Q321" s="360"/>
      <c r="R321" s="360"/>
      <c r="S321" s="1877" t="s">
        <v>4176</v>
      </c>
      <c r="T321" s="2056" t="e">
        <v>#N/A</v>
      </c>
      <c r="U321" s="2057" t="e">
        <v>#N/A</v>
      </c>
      <c r="V321" s="2057" t="e">
        <v>#N/A</v>
      </c>
      <c r="W321" s="2057" t="e">
        <v>#N/A</v>
      </c>
      <c r="X321" s="2057" t="e">
        <v>#N/A</v>
      </c>
      <c r="Y321" s="2057" t="e">
        <v>#N/A</v>
      </c>
      <c r="Z321" s="2072" t="e">
        <v>#N/A</v>
      </c>
      <c r="AA321" s="2087" t="e">
        <v>#N/A</v>
      </c>
      <c r="AB321" s="2088" t="e">
        <v>#N/A</v>
      </c>
      <c r="AC321" s="42"/>
      <c r="AF321" s="248"/>
    </row>
    <row r="322" spans="1:32" ht="10.15" hidden="1" customHeight="1" x14ac:dyDescent="0.25">
      <c r="A322" s="10" t="s">
        <v>463</v>
      </c>
      <c r="C322" s="41"/>
      <c r="J322" s="245"/>
      <c r="K322" s="246"/>
      <c r="L322" s="1461"/>
      <c r="M322" s="247"/>
      <c r="N322" s="1118" t="s">
        <v>4165</v>
      </c>
      <c r="O322" s="360"/>
      <c r="P322" s="360"/>
      <c r="Q322" s="360"/>
      <c r="R322" s="360"/>
      <c r="S322" s="1878" t="s">
        <v>4177</v>
      </c>
      <c r="T322" s="2056" t="e">
        <v>#N/A</v>
      </c>
      <c r="U322" s="2057" t="e">
        <v>#N/A</v>
      </c>
      <c r="V322" s="2057" t="e">
        <v>#N/A</v>
      </c>
      <c r="W322" s="2057" t="e">
        <v>#N/A</v>
      </c>
      <c r="X322" s="2057" t="e">
        <v>#N/A</v>
      </c>
      <c r="Y322" s="2057" t="e">
        <v>#N/A</v>
      </c>
      <c r="Z322" s="2072" t="e">
        <v>#N/A</v>
      </c>
      <c r="AA322" s="2087" t="e">
        <v>#N/A</v>
      </c>
      <c r="AB322" s="2088" t="e">
        <v>#N/A</v>
      </c>
      <c r="AC322" s="42"/>
      <c r="AF322" s="248"/>
    </row>
    <row r="323" spans="1:32" ht="10.15" hidden="1" customHeight="1" x14ac:dyDescent="0.25">
      <c r="A323" s="10" t="s">
        <v>463</v>
      </c>
      <c r="C323" s="41"/>
      <c r="J323" s="245"/>
      <c r="K323" s="246"/>
      <c r="L323" s="1461"/>
      <c r="M323" s="247"/>
      <c r="N323" s="1119" t="s">
        <v>4166</v>
      </c>
      <c r="O323" s="1092"/>
      <c r="P323" s="1092"/>
      <c r="Q323" s="1092"/>
      <c r="R323" s="1092"/>
      <c r="S323" s="1878" t="s">
        <v>4178</v>
      </c>
      <c r="T323" s="2056" t="e">
        <v>#N/A</v>
      </c>
      <c r="U323" s="2057" t="e">
        <v>#N/A</v>
      </c>
      <c r="V323" s="2057" t="e">
        <v>#N/A</v>
      </c>
      <c r="W323" s="2057" t="e">
        <v>#N/A</v>
      </c>
      <c r="X323" s="2057" t="e">
        <v>#N/A</v>
      </c>
      <c r="Y323" s="2057" t="e">
        <v>#N/A</v>
      </c>
      <c r="Z323" s="2072" t="e">
        <v>#N/A</v>
      </c>
      <c r="AA323" s="2087" t="e">
        <v>#N/A</v>
      </c>
      <c r="AB323" s="2088" t="e">
        <v>#N/A</v>
      </c>
      <c r="AC323" s="42"/>
      <c r="AF323" s="248"/>
    </row>
    <row r="324" spans="1:32" ht="10.15" hidden="1" customHeight="1" x14ac:dyDescent="0.25">
      <c r="A324" s="10" t="s">
        <v>461</v>
      </c>
      <c r="C324" s="41"/>
      <c r="J324" s="2674" t="s">
        <v>90</v>
      </c>
      <c r="K324" s="2675"/>
      <c r="L324" s="2675"/>
      <c r="M324" s="2676"/>
      <c r="N324" s="1135" t="s">
        <v>50</v>
      </c>
      <c r="O324" s="1135"/>
      <c r="P324" s="1135"/>
      <c r="Q324" s="1135"/>
      <c r="R324" s="1135"/>
      <c r="S324" s="1868" t="s">
        <v>1513</v>
      </c>
      <c r="T324" s="2275">
        <v>0</v>
      </c>
      <c r="U324" s="2276">
        <v>0</v>
      </c>
      <c r="V324" s="2276">
        <v>0</v>
      </c>
      <c r="W324" s="2276">
        <v>0</v>
      </c>
      <c r="X324" s="2276">
        <v>0</v>
      </c>
      <c r="Y324" s="2276">
        <v>0</v>
      </c>
      <c r="Z324" s="2301">
        <v>0</v>
      </c>
      <c r="AA324" s="2087" t="e">
        <v>#N/A</v>
      </c>
      <c r="AB324" s="2088" t="e">
        <v>#N/A</v>
      </c>
      <c r="AC324" s="42"/>
      <c r="AF324" s="248"/>
    </row>
    <row r="325" spans="1:32" ht="10.15" hidden="1" customHeight="1" x14ac:dyDescent="0.25">
      <c r="A325" s="10" t="s">
        <v>461</v>
      </c>
      <c r="C325" s="41"/>
      <c r="J325" s="2677"/>
      <c r="K325" s="2678"/>
      <c r="L325" s="2678"/>
      <c r="M325" s="2679"/>
      <c r="N325" s="1096" t="s">
        <v>20</v>
      </c>
      <c r="O325" s="1096"/>
      <c r="P325" s="1096"/>
      <c r="Q325" s="1096"/>
      <c r="R325" s="1096"/>
      <c r="S325" s="1867" t="s">
        <v>1514</v>
      </c>
      <c r="T325" s="2284">
        <v>0.125</v>
      </c>
      <c r="U325" s="2285">
        <v>0.125</v>
      </c>
      <c r="V325" s="2285">
        <v>0.125</v>
      </c>
      <c r="W325" s="2285">
        <v>0.125</v>
      </c>
      <c r="X325" s="2285">
        <v>0.125</v>
      </c>
      <c r="Y325" s="2285">
        <v>0.125</v>
      </c>
      <c r="Z325" s="2304">
        <v>0.125</v>
      </c>
      <c r="AA325" s="2087" t="e">
        <v>#N/A</v>
      </c>
      <c r="AB325" s="2088" t="e">
        <v>#N/A</v>
      </c>
      <c r="AC325" s="42"/>
      <c r="AF325" s="248"/>
    </row>
    <row r="326" spans="1:32" ht="10.15" hidden="1" customHeight="1" x14ac:dyDescent="0.25">
      <c r="A326" s="10" t="s">
        <v>463</v>
      </c>
      <c r="C326" s="41"/>
      <c r="J326" s="2677"/>
      <c r="K326" s="2678"/>
      <c r="L326" s="2678"/>
      <c r="M326" s="2679"/>
      <c r="N326" s="1135" t="s">
        <v>49</v>
      </c>
      <c r="O326" s="1135"/>
      <c r="P326" s="1135"/>
      <c r="Q326" s="1135"/>
      <c r="R326" s="1135"/>
      <c r="S326" s="1865" t="s">
        <v>1515</v>
      </c>
      <c r="T326" s="2062" t="e">
        <v>#N/A</v>
      </c>
      <c r="U326" s="2063" t="e">
        <v>#N/A</v>
      </c>
      <c r="V326" s="2063" t="e">
        <v>#N/A</v>
      </c>
      <c r="W326" s="2063" t="e">
        <v>#N/A</v>
      </c>
      <c r="X326" s="2063" t="e">
        <v>#N/A</v>
      </c>
      <c r="Y326" s="2063" t="e">
        <v>#N/A</v>
      </c>
      <c r="Z326" s="2074" t="e">
        <v>#N/A</v>
      </c>
      <c r="AA326" s="2087" t="e">
        <v>#N/A</v>
      </c>
      <c r="AB326" s="2088" t="e">
        <v>#N/A</v>
      </c>
      <c r="AC326" s="42"/>
      <c r="AF326" s="248"/>
    </row>
    <row r="327" spans="1:32" ht="10.15" hidden="1" customHeight="1" x14ac:dyDescent="0.25">
      <c r="A327" s="10" t="s">
        <v>463</v>
      </c>
      <c r="C327" s="41"/>
      <c r="J327" s="2680"/>
      <c r="K327" s="2681"/>
      <c r="L327" s="2681"/>
      <c r="M327" s="2682"/>
      <c r="N327" s="1096" t="s">
        <v>22</v>
      </c>
      <c r="O327" s="1096"/>
      <c r="P327" s="1096"/>
      <c r="Q327" s="1096"/>
      <c r="R327" s="1096"/>
      <c r="S327" s="1879" t="s">
        <v>1516</v>
      </c>
      <c r="T327" s="2287">
        <v>0</v>
      </c>
      <c r="U327" s="2288">
        <v>0</v>
      </c>
      <c r="V327" s="2288">
        <v>0</v>
      </c>
      <c r="W327" s="2288">
        <v>0</v>
      </c>
      <c r="X327" s="2288">
        <v>0</v>
      </c>
      <c r="Y327" s="2288">
        <v>0</v>
      </c>
      <c r="Z327" s="2305">
        <v>0</v>
      </c>
      <c r="AA327" s="2087" t="e">
        <v>#N/A</v>
      </c>
      <c r="AB327" s="2088" t="e">
        <v>#N/A</v>
      </c>
      <c r="AC327" s="42"/>
      <c r="AF327" s="248"/>
    </row>
    <row r="328" spans="1:32" ht="10.15" hidden="1" customHeight="1" x14ac:dyDescent="0.25">
      <c r="A328" s="10" t="s">
        <v>461</v>
      </c>
      <c r="C328" s="41"/>
      <c r="J328" s="2578" t="s">
        <v>64</v>
      </c>
      <c r="K328" s="2579"/>
      <c r="L328" s="2579"/>
      <c r="M328" s="2580"/>
      <c r="N328" s="1135" t="s">
        <v>82</v>
      </c>
      <c r="O328" s="1135"/>
      <c r="P328" s="1135"/>
      <c r="Q328" s="1135"/>
      <c r="R328" s="1135"/>
      <c r="S328" s="1869" t="s">
        <v>1517</v>
      </c>
      <c r="T328" s="2275">
        <v>0</v>
      </c>
      <c r="U328" s="2276">
        <v>0</v>
      </c>
      <c r="V328" s="2276">
        <v>0</v>
      </c>
      <c r="W328" s="2276">
        <v>0</v>
      </c>
      <c r="X328" s="2276">
        <v>0</v>
      </c>
      <c r="Y328" s="2276">
        <v>0</v>
      </c>
      <c r="Z328" s="2301">
        <v>0</v>
      </c>
      <c r="AA328" s="2087" t="e">
        <v>#N/A</v>
      </c>
      <c r="AB328" s="2088" t="e">
        <v>#N/A</v>
      </c>
      <c r="AC328" s="42"/>
      <c r="AF328" s="248"/>
    </row>
    <row r="329" spans="1:32" ht="10.15" hidden="1" customHeight="1" x14ac:dyDescent="0.25">
      <c r="A329" s="10" t="s">
        <v>461</v>
      </c>
      <c r="C329" s="41"/>
      <c r="J329" s="2581"/>
      <c r="K329" s="2582"/>
      <c r="L329" s="2582"/>
      <c r="M329" s="2583"/>
      <c r="N329" s="1139" t="s">
        <v>2654</v>
      </c>
      <c r="O329" s="1098"/>
      <c r="P329" s="1098"/>
      <c r="Q329" s="1098"/>
      <c r="R329" s="1098"/>
      <c r="S329" s="1889" t="s">
        <v>2639</v>
      </c>
      <c r="T329" s="2181">
        <v>0.25</v>
      </c>
      <c r="U329" s="2182">
        <v>0.25</v>
      </c>
      <c r="V329" s="2182">
        <v>0.25</v>
      </c>
      <c r="W329" s="2182">
        <v>0.25</v>
      </c>
      <c r="X329" s="2182">
        <v>0.25</v>
      </c>
      <c r="Y329" s="2182">
        <v>0.25</v>
      </c>
      <c r="Z329" s="2182">
        <v>0.25</v>
      </c>
      <c r="AA329" s="2087" t="e">
        <v>#N/A</v>
      </c>
      <c r="AB329" s="2088" t="e">
        <v>#N/A</v>
      </c>
      <c r="AC329" s="42"/>
      <c r="AF329" s="248"/>
    </row>
    <row r="330" spans="1:32" ht="10.15" hidden="1" customHeight="1" x14ac:dyDescent="0.25">
      <c r="A330" s="10" t="s">
        <v>461</v>
      </c>
      <c r="C330" s="41"/>
      <c r="J330" s="2581"/>
      <c r="K330" s="2582"/>
      <c r="L330" s="2582"/>
      <c r="M330" s="2583"/>
      <c r="N330" s="1139" t="s">
        <v>2655</v>
      </c>
      <c r="O330" s="1098"/>
      <c r="P330" s="1098"/>
      <c r="Q330" s="1098"/>
      <c r="R330" s="1098"/>
      <c r="S330" s="1889" t="s">
        <v>2640</v>
      </c>
      <c r="T330" s="2181">
        <v>0.5</v>
      </c>
      <c r="U330" s="2182">
        <v>0.5</v>
      </c>
      <c r="V330" s="2182">
        <v>0.5</v>
      </c>
      <c r="W330" s="2182">
        <v>0.5</v>
      </c>
      <c r="X330" s="2182">
        <v>0.5</v>
      </c>
      <c r="Y330" s="2182">
        <v>0.5</v>
      </c>
      <c r="Z330" s="2182">
        <v>0.5</v>
      </c>
      <c r="AA330" s="2087" t="e">
        <v>#N/A</v>
      </c>
      <c r="AB330" s="2088" t="e">
        <v>#N/A</v>
      </c>
      <c r="AC330" s="42"/>
      <c r="AF330" s="248"/>
    </row>
    <row r="331" spans="1:32" ht="10.15" hidden="1" customHeight="1" x14ac:dyDescent="0.25">
      <c r="A331" s="10" t="s">
        <v>461</v>
      </c>
      <c r="C331" s="41"/>
      <c r="J331" s="2581"/>
      <c r="K331" s="2582"/>
      <c r="L331" s="2582"/>
      <c r="M331" s="2583"/>
      <c r="N331" s="1139" t="s">
        <v>2656</v>
      </c>
      <c r="O331" s="1098"/>
      <c r="P331" s="1098"/>
      <c r="Q331" s="1098"/>
      <c r="R331" s="1098"/>
      <c r="S331" s="1890" t="s">
        <v>2641</v>
      </c>
      <c r="T331" s="2181">
        <v>1</v>
      </c>
      <c r="U331" s="2182">
        <v>1</v>
      </c>
      <c r="V331" s="2182">
        <v>1</v>
      </c>
      <c r="W331" s="2182">
        <v>1</v>
      </c>
      <c r="X331" s="2182">
        <v>1</v>
      </c>
      <c r="Y331" s="2182">
        <v>1</v>
      </c>
      <c r="Z331" s="2182">
        <v>1</v>
      </c>
      <c r="AA331" s="2087" t="e">
        <v>#N/A</v>
      </c>
      <c r="AB331" s="2088" t="e">
        <v>#N/A</v>
      </c>
      <c r="AC331" s="42"/>
      <c r="AF331" s="248"/>
    </row>
    <row r="332" spans="1:32" ht="10.15" hidden="1" customHeight="1" x14ac:dyDescent="0.25">
      <c r="A332" s="10" t="s">
        <v>461</v>
      </c>
      <c r="C332" s="41"/>
      <c r="J332" s="2581"/>
      <c r="K332" s="2582"/>
      <c r="L332" s="2582"/>
      <c r="M332" s="2583"/>
      <c r="N332" s="1139" t="s">
        <v>2657</v>
      </c>
      <c r="O332" s="1098"/>
      <c r="P332" s="1098"/>
      <c r="Q332" s="1098"/>
      <c r="R332" s="1098"/>
      <c r="S332" s="1891" t="s">
        <v>2642</v>
      </c>
      <c r="T332" s="2181">
        <v>1.375</v>
      </c>
      <c r="U332" s="2182">
        <v>1.375</v>
      </c>
      <c r="V332" s="2182">
        <v>1.375</v>
      </c>
      <c r="W332" s="2182">
        <v>1.375</v>
      </c>
      <c r="X332" s="2182">
        <v>1.375</v>
      </c>
      <c r="Y332" s="2182">
        <v>1.375</v>
      </c>
      <c r="Z332" s="2182">
        <v>1.375</v>
      </c>
      <c r="AA332" s="2087" t="e">
        <v>#N/A</v>
      </c>
      <c r="AB332" s="2088" t="e">
        <v>#N/A</v>
      </c>
      <c r="AC332" s="42"/>
      <c r="AF332" s="248"/>
    </row>
    <row r="333" spans="1:32" ht="10.15" hidden="1" customHeight="1" x14ac:dyDescent="0.25">
      <c r="A333" s="10" t="s">
        <v>461</v>
      </c>
      <c r="C333" s="41"/>
      <c r="J333" s="2581"/>
      <c r="K333" s="2582"/>
      <c r="L333" s="2582"/>
      <c r="M333" s="2583"/>
      <c r="N333" s="1140" t="s">
        <v>2658</v>
      </c>
      <c r="O333" s="1141"/>
      <c r="P333" s="1141"/>
      <c r="Q333" s="1141"/>
      <c r="R333" s="1141"/>
      <c r="S333" s="1892" t="s">
        <v>2643</v>
      </c>
      <c r="T333" s="2184">
        <v>1.5</v>
      </c>
      <c r="U333" s="2185">
        <v>1.5</v>
      </c>
      <c r="V333" s="2185">
        <v>1.5</v>
      </c>
      <c r="W333" s="2185">
        <v>1.5</v>
      </c>
      <c r="X333" s="2185">
        <v>1.5</v>
      </c>
      <c r="Y333" s="2185">
        <v>1.5</v>
      </c>
      <c r="Z333" s="2185">
        <v>1.5</v>
      </c>
      <c r="AA333" s="2087" t="e">
        <v>#N/A</v>
      </c>
      <c r="AB333" s="2088" t="e">
        <v>#N/A</v>
      </c>
      <c r="AC333" s="42"/>
      <c r="AF333" s="248"/>
    </row>
    <row r="334" spans="1:32" ht="10.15" hidden="1" customHeight="1" x14ac:dyDescent="0.25">
      <c r="A334" s="10" t="s">
        <v>461</v>
      </c>
      <c r="C334" s="41"/>
      <c r="J334" s="2581"/>
      <c r="K334" s="2582"/>
      <c r="L334" s="2582"/>
      <c r="M334" s="2583"/>
      <c r="N334" s="1098" t="s">
        <v>736</v>
      </c>
      <c r="O334" s="1098"/>
      <c r="P334" s="1098"/>
      <c r="Q334" s="1098"/>
      <c r="R334" s="1098"/>
      <c r="S334" s="1893" t="s">
        <v>1518</v>
      </c>
      <c r="T334" s="2193">
        <v>0.25</v>
      </c>
      <c r="U334" s="2194">
        <v>0.25</v>
      </c>
      <c r="V334" s="2194">
        <v>0.25</v>
      </c>
      <c r="W334" s="2194">
        <v>0.25</v>
      </c>
      <c r="X334" s="2194">
        <v>0.25</v>
      </c>
      <c r="Y334" s="2194">
        <v>0.25</v>
      </c>
      <c r="Z334" s="2194">
        <v>0.25</v>
      </c>
      <c r="AA334" s="2087" t="e">
        <v>#N/A</v>
      </c>
      <c r="AB334" s="2091" t="e">
        <v>#N/A</v>
      </c>
      <c r="AC334" s="42"/>
      <c r="AF334" s="248"/>
    </row>
    <row r="335" spans="1:32" ht="10.15" hidden="1" customHeight="1" x14ac:dyDescent="0.25">
      <c r="A335" s="10" t="s">
        <v>461</v>
      </c>
      <c r="C335" s="41"/>
      <c r="J335" s="2581"/>
      <c r="K335" s="2582"/>
      <c r="L335" s="2582"/>
      <c r="M335" s="2583"/>
      <c r="N335" s="1098" t="s">
        <v>735</v>
      </c>
      <c r="O335" s="1098"/>
      <c r="P335" s="1098"/>
      <c r="Q335" s="1098"/>
      <c r="R335" s="1098"/>
      <c r="S335" s="1893" t="s">
        <v>1519</v>
      </c>
      <c r="T335" s="2181">
        <v>0.5</v>
      </c>
      <c r="U335" s="2182">
        <v>0.5</v>
      </c>
      <c r="V335" s="2182">
        <v>0.5</v>
      </c>
      <c r="W335" s="2182">
        <v>0.5</v>
      </c>
      <c r="X335" s="2182">
        <v>0.5</v>
      </c>
      <c r="Y335" s="2182">
        <v>0.5</v>
      </c>
      <c r="Z335" s="2182">
        <v>0.5</v>
      </c>
      <c r="AA335" s="2087" t="e">
        <v>#N/A</v>
      </c>
      <c r="AB335" s="2091" t="e">
        <v>#N/A</v>
      </c>
      <c r="AC335" s="42"/>
      <c r="AF335" s="248"/>
    </row>
    <row r="336" spans="1:32" ht="10.15" hidden="1" customHeight="1" x14ac:dyDescent="0.25">
      <c r="A336" s="10" t="s">
        <v>461</v>
      </c>
      <c r="C336" s="41"/>
      <c r="J336" s="2581"/>
      <c r="K336" s="2582"/>
      <c r="L336" s="2582"/>
      <c r="M336" s="2583"/>
      <c r="N336" s="1098" t="s">
        <v>734</v>
      </c>
      <c r="O336" s="1098"/>
      <c r="P336" s="1098"/>
      <c r="Q336" s="1098"/>
      <c r="R336" s="1098"/>
      <c r="S336" s="1890" t="s">
        <v>1520</v>
      </c>
      <c r="T336" s="2181">
        <v>1.25</v>
      </c>
      <c r="U336" s="2182">
        <v>1.25</v>
      </c>
      <c r="V336" s="2182">
        <v>1.25</v>
      </c>
      <c r="W336" s="2182">
        <v>1.25</v>
      </c>
      <c r="X336" s="2182">
        <v>1.25</v>
      </c>
      <c r="Y336" s="2182">
        <v>1.25</v>
      </c>
      <c r="Z336" s="2182">
        <v>1.25</v>
      </c>
      <c r="AA336" s="2087" t="e">
        <v>#N/A</v>
      </c>
      <c r="AB336" s="2091" t="e">
        <v>#N/A</v>
      </c>
      <c r="AC336" s="42"/>
      <c r="AF336" s="248"/>
    </row>
    <row r="337" spans="1:32" ht="10.15" hidden="1" customHeight="1" x14ac:dyDescent="0.25">
      <c r="A337" s="10" t="s">
        <v>461</v>
      </c>
      <c r="C337" s="41"/>
      <c r="J337" s="2581"/>
      <c r="K337" s="2582"/>
      <c r="L337" s="2582"/>
      <c r="M337" s="2583"/>
      <c r="N337" s="1098" t="s">
        <v>733</v>
      </c>
      <c r="O337" s="1098"/>
      <c r="P337" s="1098"/>
      <c r="Q337" s="1098"/>
      <c r="R337" s="1098"/>
      <c r="S337" s="1890" t="s">
        <v>1521</v>
      </c>
      <c r="T337" s="2181">
        <v>1.625</v>
      </c>
      <c r="U337" s="2182">
        <v>1.625</v>
      </c>
      <c r="V337" s="2182">
        <v>1.625</v>
      </c>
      <c r="W337" s="2182">
        <v>1.625</v>
      </c>
      <c r="X337" s="2182">
        <v>1.625</v>
      </c>
      <c r="Y337" s="2182">
        <v>1.625</v>
      </c>
      <c r="Z337" s="2182">
        <v>1.625</v>
      </c>
      <c r="AA337" s="2087" t="e">
        <v>#N/A</v>
      </c>
      <c r="AB337" s="2091" t="e">
        <v>#N/A</v>
      </c>
      <c r="AC337" s="42"/>
      <c r="AF337" s="248"/>
    </row>
    <row r="338" spans="1:32" ht="10.15" hidden="1" customHeight="1" x14ac:dyDescent="0.25">
      <c r="A338" s="10" t="s">
        <v>461</v>
      </c>
      <c r="C338" s="41"/>
      <c r="J338" s="2581"/>
      <c r="K338" s="2582"/>
      <c r="L338" s="2582"/>
      <c r="M338" s="2583"/>
      <c r="N338" s="1141" t="s">
        <v>732</v>
      </c>
      <c r="O338" s="1141"/>
      <c r="P338" s="1141"/>
      <c r="Q338" s="1141"/>
      <c r="R338" s="1141"/>
      <c r="S338" s="1894" t="s">
        <v>1522</v>
      </c>
      <c r="T338" s="2184">
        <v>1.75</v>
      </c>
      <c r="U338" s="2185">
        <v>1.75</v>
      </c>
      <c r="V338" s="2185">
        <v>1.75</v>
      </c>
      <c r="W338" s="2185">
        <v>1.75</v>
      </c>
      <c r="X338" s="2185">
        <v>1.75</v>
      </c>
      <c r="Y338" s="2185">
        <v>1.75</v>
      </c>
      <c r="Z338" s="2185">
        <v>1.75</v>
      </c>
      <c r="AA338" s="2087" t="e">
        <v>#N/A</v>
      </c>
      <c r="AB338" s="2091" t="e">
        <v>#N/A</v>
      </c>
      <c r="AC338" s="42"/>
      <c r="AF338" s="248"/>
    </row>
    <row r="339" spans="1:32" ht="10.15" hidden="1" customHeight="1" x14ac:dyDescent="0.25">
      <c r="A339" s="10" t="s">
        <v>461</v>
      </c>
      <c r="C339" s="41"/>
      <c r="J339" s="2581"/>
      <c r="K339" s="2582"/>
      <c r="L339" s="2582"/>
      <c r="M339" s="2583"/>
      <c r="N339" s="1098" t="s">
        <v>741</v>
      </c>
      <c r="O339" s="1098"/>
      <c r="P339" s="1098"/>
      <c r="Q339" s="1098"/>
      <c r="R339" s="1098"/>
      <c r="S339" s="1893" t="s">
        <v>1523</v>
      </c>
      <c r="T339" s="2193">
        <v>0.25</v>
      </c>
      <c r="U339" s="2194">
        <v>0.25</v>
      </c>
      <c r="V339" s="2194">
        <v>0.25</v>
      </c>
      <c r="W339" s="2194">
        <v>0.25</v>
      </c>
      <c r="X339" s="2194">
        <v>0.25</v>
      </c>
      <c r="Y339" s="2194">
        <v>0.25</v>
      </c>
      <c r="Z339" s="2194">
        <v>0.25</v>
      </c>
      <c r="AA339" s="2087" t="e">
        <v>#N/A</v>
      </c>
      <c r="AB339" s="2091" t="e">
        <v>#N/A</v>
      </c>
      <c r="AC339" s="42"/>
      <c r="AF339" s="248"/>
    </row>
    <row r="340" spans="1:32" ht="10.15" hidden="1" customHeight="1" x14ac:dyDescent="0.25">
      <c r="A340" s="10" t="s">
        <v>461</v>
      </c>
      <c r="C340" s="41"/>
      <c r="J340" s="2581"/>
      <c r="K340" s="2582"/>
      <c r="L340" s="2582"/>
      <c r="M340" s="2583"/>
      <c r="N340" s="1098" t="s">
        <v>740</v>
      </c>
      <c r="O340" s="1098"/>
      <c r="P340" s="1098"/>
      <c r="Q340" s="1098"/>
      <c r="R340" s="1098"/>
      <c r="S340" s="1893" t="s">
        <v>1524</v>
      </c>
      <c r="T340" s="2181">
        <v>0.5</v>
      </c>
      <c r="U340" s="2182">
        <v>0.5</v>
      </c>
      <c r="V340" s="2182">
        <v>0.5</v>
      </c>
      <c r="W340" s="2182">
        <v>0.5</v>
      </c>
      <c r="X340" s="2182">
        <v>0.5</v>
      </c>
      <c r="Y340" s="2182">
        <v>0.5</v>
      </c>
      <c r="Z340" s="2182">
        <v>0.5</v>
      </c>
      <c r="AA340" s="2087" t="e">
        <v>#N/A</v>
      </c>
      <c r="AB340" s="2091" t="e">
        <v>#N/A</v>
      </c>
      <c r="AC340" s="42"/>
      <c r="AF340" s="248"/>
    </row>
    <row r="341" spans="1:32" ht="10.15" hidden="1" customHeight="1" x14ac:dyDescent="0.25">
      <c r="A341" s="10" t="s">
        <v>461</v>
      </c>
      <c r="C341" s="41"/>
      <c r="J341" s="2581"/>
      <c r="K341" s="2582"/>
      <c r="L341" s="2582"/>
      <c r="M341" s="2583"/>
      <c r="N341" s="1098" t="s">
        <v>739</v>
      </c>
      <c r="O341" s="1098"/>
      <c r="P341" s="1098"/>
      <c r="Q341" s="1098"/>
      <c r="R341" s="1098"/>
      <c r="S341" s="1890" t="s">
        <v>1525</v>
      </c>
      <c r="T341" s="2181">
        <v>0.75</v>
      </c>
      <c r="U341" s="2182">
        <v>0.75</v>
      </c>
      <c r="V341" s="2182">
        <v>0.75</v>
      </c>
      <c r="W341" s="2182">
        <v>0.75</v>
      </c>
      <c r="X341" s="2182">
        <v>0.75</v>
      </c>
      <c r="Y341" s="2182">
        <v>0.75</v>
      </c>
      <c r="Z341" s="2182">
        <v>0.75</v>
      </c>
      <c r="AA341" s="2087" t="e">
        <v>#N/A</v>
      </c>
      <c r="AB341" s="2091" t="e">
        <v>#N/A</v>
      </c>
      <c r="AC341" s="42"/>
      <c r="AF341" s="248"/>
    </row>
    <row r="342" spans="1:32" ht="10.15" hidden="1" customHeight="1" x14ac:dyDescent="0.25">
      <c r="A342" s="10" t="s">
        <v>461</v>
      </c>
      <c r="C342" s="41"/>
      <c r="J342" s="2581"/>
      <c r="K342" s="2582"/>
      <c r="L342" s="2582"/>
      <c r="M342" s="2583"/>
      <c r="N342" s="1098" t="s">
        <v>738</v>
      </c>
      <c r="O342" s="1098"/>
      <c r="P342" s="1098"/>
      <c r="Q342" s="1098"/>
      <c r="R342" s="1098"/>
      <c r="S342" s="1890" t="s">
        <v>1526</v>
      </c>
      <c r="T342" s="2181">
        <v>1.375</v>
      </c>
      <c r="U342" s="2182">
        <v>1.375</v>
      </c>
      <c r="V342" s="2182">
        <v>1.375</v>
      </c>
      <c r="W342" s="2182">
        <v>1.375</v>
      </c>
      <c r="X342" s="2182">
        <v>1.375</v>
      </c>
      <c r="Y342" s="2182">
        <v>1.375</v>
      </c>
      <c r="Z342" s="2182">
        <v>1.375</v>
      </c>
      <c r="AA342" s="2087" t="e">
        <v>#N/A</v>
      </c>
      <c r="AB342" s="2091" t="e">
        <v>#N/A</v>
      </c>
      <c r="AC342" s="42"/>
      <c r="AF342" s="248"/>
    </row>
    <row r="343" spans="1:32" ht="10.15" hidden="1" customHeight="1" x14ac:dyDescent="0.25">
      <c r="A343" s="10" t="s">
        <v>461</v>
      </c>
      <c r="C343" s="41"/>
      <c r="J343" s="2584"/>
      <c r="K343" s="2585"/>
      <c r="L343" s="2585"/>
      <c r="M343" s="2586"/>
      <c r="N343" s="1141" t="s">
        <v>737</v>
      </c>
      <c r="O343" s="1141"/>
      <c r="P343" s="1141"/>
      <c r="Q343" s="1141"/>
      <c r="R343" s="1141"/>
      <c r="S343" s="1894" t="s">
        <v>1527</v>
      </c>
      <c r="T343" s="2184">
        <v>1.5</v>
      </c>
      <c r="U343" s="2185">
        <v>1.5</v>
      </c>
      <c r="V343" s="2185">
        <v>1.5</v>
      </c>
      <c r="W343" s="2185">
        <v>1.5</v>
      </c>
      <c r="X343" s="2185">
        <v>1.5</v>
      </c>
      <c r="Y343" s="2185">
        <v>1.5</v>
      </c>
      <c r="Z343" s="2185">
        <v>1.5</v>
      </c>
      <c r="AA343" s="2087" t="e">
        <v>#N/A</v>
      </c>
      <c r="AB343" s="2091" t="e">
        <v>#N/A</v>
      </c>
      <c r="AC343" s="42"/>
      <c r="AF343" s="248"/>
    </row>
    <row r="344" spans="1:32" ht="10.15" hidden="1" customHeight="1" x14ac:dyDescent="0.25">
      <c r="A344" s="10" t="s">
        <v>461</v>
      </c>
      <c r="C344" s="41"/>
      <c r="J344" s="2578" t="s">
        <v>23</v>
      </c>
      <c r="K344" s="2579"/>
      <c r="L344" s="2579"/>
      <c r="M344" s="2580"/>
      <c r="N344" s="1133" t="s">
        <v>73</v>
      </c>
      <c r="O344" s="1133"/>
      <c r="P344" s="1133"/>
      <c r="Q344" s="1133"/>
      <c r="R344" s="1133"/>
      <c r="S344" s="1868" t="s">
        <v>1528</v>
      </c>
      <c r="T344" s="2275" cm="1">
        <f t="array" ref="T344">[1]!LLPA_PN_000050_30_Day</f>
        <v>0</v>
      </c>
      <c r="U344" s="2276" cm="1">
        <f t="array" ref="U344">[1]!LLPA_PN_000050_30_Day</f>
        <v>0</v>
      </c>
      <c r="V344" s="2276" cm="1">
        <f t="array" ref="V344">[1]!LLPA_PN_000050_30_Day</f>
        <v>0</v>
      </c>
      <c r="W344" s="2276" cm="1">
        <f t="array" ref="W344">[1]!LLPA_PN_000050_30_Day</f>
        <v>0</v>
      </c>
      <c r="X344" s="2276" cm="1">
        <f t="array" ref="X344">[1]!LLPA_PN_000050_30_Day</f>
        <v>0</v>
      </c>
      <c r="Y344" s="2276" cm="1">
        <f t="array" ref="Y344">[1]!LLPA_PN_000050_30_Day</f>
        <v>0</v>
      </c>
      <c r="Z344" s="2301" cm="1">
        <f t="array" ref="Z344">[1]!LLPA_PN_000050_30_Day</f>
        <v>0</v>
      </c>
      <c r="AA344" s="2087" t="e">
        <v>#N/A</v>
      </c>
      <c r="AB344" s="2088" t="e">
        <v>#N/A</v>
      </c>
      <c r="AC344" s="42"/>
      <c r="AF344" s="248"/>
    </row>
    <row r="345" spans="1:32" ht="10.15" hidden="1" customHeight="1" x14ac:dyDescent="0.25">
      <c r="A345" s="10" t="s">
        <v>461</v>
      </c>
      <c r="C345" s="41"/>
      <c r="J345" s="2581"/>
      <c r="K345" s="2582"/>
      <c r="L345" s="2582"/>
      <c r="M345" s="2583"/>
      <c r="N345" s="1095" t="s">
        <v>74</v>
      </c>
      <c r="O345" s="1091"/>
      <c r="P345" s="1091"/>
      <c r="Q345" s="1091"/>
      <c r="R345" s="1091"/>
      <c r="S345" s="1890" t="s">
        <v>1529</v>
      </c>
      <c r="T345" s="2281" cm="1">
        <f t="array" ref="T345">[1]!LLPA_PN_000050_45_Day</f>
        <v>-0.25</v>
      </c>
      <c r="U345" s="2282" cm="1">
        <f t="array" ref="U345">[1]!LLPA_PN_000050_45_Day</f>
        <v>-0.25</v>
      </c>
      <c r="V345" s="2282" cm="1">
        <f t="array" ref="V345">[1]!LLPA_PN_000050_45_Day</f>
        <v>-0.25</v>
      </c>
      <c r="W345" s="2282" cm="1">
        <f t="array" ref="W345">[1]!LLPA_PN_000050_45_Day</f>
        <v>-0.25</v>
      </c>
      <c r="X345" s="2282" cm="1">
        <f t="array" ref="X345">[1]!LLPA_PN_000050_45_Day</f>
        <v>-0.25</v>
      </c>
      <c r="Y345" s="2282" cm="1">
        <f t="array" ref="Y345">[1]!LLPA_PN_000050_45_Day</f>
        <v>-0.25</v>
      </c>
      <c r="Z345" s="2303" cm="1">
        <f t="array" ref="Z345">[1]!LLPA_PN_000050_45_Day</f>
        <v>-0.25</v>
      </c>
      <c r="AA345" s="2087" t="e">
        <v>#N/A</v>
      </c>
      <c r="AB345" s="2088" t="e">
        <v>#N/A</v>
      </c>
      <c r="AC345" s="42"/>
      <c r="AF345" s="248"/>
    </row>
    <row r="346" spans="1:32" ht="10.15" hidden="1" customHeight="1" x14ac:dyDescent="0.25">
      <c r="A346" s="10" t="s">
        <v>461</v>
      </c>
      <c r="C346" s="41"/>
      <c r="J346" s="2584"/>
      <c r="K346" s="2585"/>
      <c r="L346" s="2585"/>
      <c r="M346" s="2586"/>
      <c r="N346" s="1142" t="s">
        <v>75</v>
      </c>
      <c r="O346" s="1142"/>
      <c r="P346" s="1142"/>
      <c r="Q346" s="1142"/>
      <c r="R346" s="1142"/>
      <c r="S346" s="1894" t="s">
        <v>1530</v>
      </c>
      <c r="T346" s="2284" cm="1">
        <f t="array" ref="T346">[1]!LLPA_PN_000050_60_Day</f>
        <v>-0.5</v>
      </c>
      <c r="U346" s="2285" cm="1">
        <f t="array" ref="U346">[1]!LLPA_PN_000050_60_Day</f>
        <v>-0.5</v>
      </c>
      <c r="V346" s="2285" cm="1">
        <f t="array" ref="V346">[1]!LLPA_PN_000050_60_Day</f>
        <v>-0.5</v>
      </c>
      <c r="W346" s="2285" cm="1">
        <f t="array" ref="W346">[1]!LLPA_PN_000050_60_Day</f>
        <v>-0.5</v>
      </c>
      <c r="X346" s="2285" cm="1">
        <f t="array" ref="X346">[1]!LLPA_PN_000050_60_Day</f>
        <v>-0.5</v>
      </c>
      <c r="Y346" s="2285" cm="1">
        <f t="array" ref="Y346">[1]!LLPA_PN_000050_60_Day</f>
        <v>-0.5</v>
      </c>
      <c r="Z346" s="2304" cm="1">
        <f t="array" ref="Z346">[1]!LLPA_PN_000050_60_Day</f>
        <v>-0.5</v>
      </c>
      <c r="AA346" s="2087" t="e">
        <v>#N/A</v>
      </c>
      <c r="AB346" s="2088" t="e">
        <v>#N/A</v>
      </c>
      <c r="AC346" s="42"/>
      <c r="AF346" s="248"/>
    </row>
    <row r="347" spans="1:32" ht="10.15" hidden="1" customHeight="1" x14ac:dyDescent="0.25">
      <c r="A347" s="10" t="s">
        <v>463</v>
      </c>
      <c r="C347" s="41"/>
      <c r="J347" s="2587" t="s">
        <v>361</v>
      </c>
      <c r="K347" s="2588"/>
      <c r="L347" s="2588"/>
      <c r="M347" s="2589"/>
      <c r="N347" s="1115" t="s">
        <v>362</v>
      </c>
      <c r="O347" s="1133"/>
      <c r="P347" s="1133"/>
      <c r="Q347" s="1133"/>
      <c r="R347" s="1133"/>
      <c r="S347" s="1869" t="s">
        <v>1531</v>
      </c>
      <c r="T347" s="2290" cm="1">
        <f t="array" ref="T347">[1]!LLPA_PN_000050_Mandatory</f>
        <v>0</v>
      </c>
      <c r="U347" s="2291" cm="1">
        <f t="array" ref="U347">[1]!LLPA_PN_000050_Mandatory</f>
        <v>0</v>
      </c>
      <c r="V347" s="2291" cm="1">
        <f t="array" ref="V347">[1]!LLPA_PN_000050_Mandatory</f>
        <v>0</v>
      </c>
      <c r="W347" s="2291" cm="1">
        <f t="array" ref="W347">[1]!LLPA_PN_000050_Mandatory</f>
        <v>0</v>
      </c>
      <c r="X347" s="2291" cm="1">
        <f t="array" ref="X347">[1]!LLPA_PN_000050_Mandatory</f>
        <v>0</v>
      </c>
      <c r="Y347" s="2291" cm="1">
        <f t="array" ref="Y347">[1]!LLPA_PN_000050_Mandatory</f>
        <v>0</v>
      </c>
      <c r="Z347" s="2306" cm="1">
        <f t="array" ref="Z347">[1]!LLPA_PN_000050_Mandatory</f>
        <v>0</v>
      </c>
      <c r="AA347" s="2087" t="e">
        <v>#N/A</v>
      </c>
      <c r="AB347" s="2088" t="e">
        <v>#N/A</v>
      </c>
      <c r="AC347" s="42"/>
      <c r="AF347" s="248"/>
    </row>
    <row r="348" spans="1:32" ht="10.15" hidden="1" customHeight="1" x14ac:dyDescent="0.25">
      <c r="A348" s="10" t="s">
        <v>463</v>
      </c>
      <c r="C348" s="41"/>
      <c r="J348" s="2590"/>
      <c r="K348" s="2591"/>
      <c r="L348" s="2591"/>
      <c r="M348" s="2592"/>
      <c r="N348" s="1116" t="s">
        <v>363</v>
      </c>
      <c r="O348" s="1096"/>
      <c r="P348" s="1096"/>
      <c r="Q348" s="1096"/>
      <c r="R348" s="1096"/>
      <c r="S348" s="1882" t="s">
        <v>1532</v>
      </c>
      <c r="T348" s="2298" cm="1">
        <f t="array" ref="T348">[1]!LLPA_PN_000050_Best_Efforts</f>
        <v>0</v>
      </c>
      <c r="U348" s="2299" cm="1">
        <f t="array" ref="U348">[1]!LLPA_PN_000050_Best_Efforts</f>
        <v>0</v>
      </c>
      <c r="V348" s="2299" cm="1">
        <f t="array" ref="V348">[1]!LLPA_PN_000050_Best_Efforts</f>
        <v>0</v>
      </c>
      <c r="W348" s="2299" cm="1">
        <f t="array" ref="W348">[1]!LLPA_PN_000050_Best_Efforts</f>
        <v>0</v>
      </c>
      <c r="X348" s="2299" cm="1">
        <f t="array" ref="X348">[1]!LLPA_PN_000050_Best_Efforts</f>
        <v>0</v>
      </c>
      <c r="Y348" s="2299" cm="1">
        <f t="array" ref="Y348">[1]!LLPA_PN_000050_Best_Efforts</f>
        <v>0</v>
      </c>
      <c r="Z348" s="2308" cm="1">
        <f t="array" ref="Z348">[1]!LLPA_PN_000050_Best_Efforts</f>
        <v>0</v>
      </c>
      <c r="AA348" s="2083" t="e">
        <v>#N/A</v>
      </c>
      <c r="AB348" s="2084" t="e">
        <v>#N/A</v>
      </c>
      <c r="AC348" s="42"/>
      <c r="AF348" s="248"/>
    </row>
    <row r="349" spans="1:32" ht="3" hidden="1" customHeight="1" x14ac:dyDescent="0.25">
      <c r="A349" s="10" t="s">
        <v>462</v>
      </c>
      <c r="C349" s="41"/>
      <c r="J349" s="74"/>
      <c r="K349" s="74"/>
      <c r="L349" s="74"/>
      <c r="M349" s="74"/>
      <c r="N349" s="74"/>
      <c r="O349" s="74"/>
      <c r="P349" s="74"/>
      <c r="Q349" s="74"/>
      <c r="R349" s="74"/>
      <c r="S349" s="121"/>
      <c r="T349" s="79"/>
      <c r="U349" s="79"/>
      <c r="V349" s="79"/>
      <c r="W349" s="79"/>
      <c r="X349" s="79"/>
      <c r="Y349" s="79"/>
      <c r="Z349" s="79"/>
      <c r="AA349" s="79"/>
      <c r="AB349" s="80"/>
      <c r="AC349" s="42"/>
      <c r="AF349" s="248"/>
    </row>
    <row r="350" spans="1:32" ht="10.15" hidden="1" customHeight="1" x14ac:dyDescent="0.25">
      <c r="A350" s="10" t="s">
        <v>461</v>
      </c>
      <c r="C350" s="275"/>
      <c r="D350" s="2697"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350" s="2697"/>
      <c r="F350" s="2697"/>
      <c r="G350" s="2697"/>
      <c r="H350" s="2697"/>
      <c r="I350" s="2697"/>
      <c r="J350" s="2697"/>
      <c r="K350" s="2697"/>
      <c r="L350" s="2697"/>
      <c r="M350" s="2697"/>
      <c r="N350" s="2697"/>
      <c r="O350" s="2697"/>
      <c r="P350" s="2697"/>
      <c r="Q350" s="2697"/>
      <c r="R350" s="2697"/>
      <c r="S350" s="2697"/>
      <c r="T350" s="2697"/>
      <c r="U350" s="2697"/>
      <c r="V350" s="2697"/>
      <c r="W350" s="2697"/>
      <c r="X350" s="2697"/>
      <c r="Y350" s="2697"/>
      <c r="Z350" s="2697"/>
      <c r="AA350" s="2697"/>
      <c r="AB350" s="2697"/>
      <c r="AC350" s="2698"/>
      <c r="AF350" s="248"/>
    </row>
    <row r="351" spans="1:32" ht="10.15" hidden="1" customHeight="1" x14ac:dyDescent="0.25">
      <c r="A351" s="10" t="s">
        <v>461</v>
      </c>
      <c r="C351" s="276"/>
      <c r="D351" s="2699"/>
      <c r="E351" s="2699"/>
      <c r="F351" s="2699"/>
      <c r="G351" s="2699"/>
      <c r="H351" s="2699"/>
      <c r="I351" s="2699"/>
      <c r="J351" s="2699"/>
      <c r="K351" s="2699"/>
      <c r="L351" s="2699"/>
      <c r="M351" s="2699"/>
      <c r="N351" s="2699"/>
      <c r="O351" s="2699"/>
      <c r="P351" s="2699"/>
      <c r="Q351" s="2699"/>
      <c r="R351" s="2699"/>
      <c r="S351" s="2699"/>
      <c r="T351" s="2699"/>
      <c r="U351" s="2699"/>
      <c r="V351" s="2699"/>
      <c r="W351" s="2699"/>
      <c r="X351" s="2699"/>
      <c r="Y351" s="2699"/>
      <c r="Z351" s="2699"/>
      <c r="AA351" s="2699"/>
      <c r="AB351" s="2699"/>
      <c r="AC351" s="2700"/>
      <c r="AF351" s="248"/>
    </row>
    <row r="352" spans="1:32" ht="3" hidden="1" customHeight="1" x14ac:dyDescent="0.25">
      <c r="A352" s="10" t="s">
        <v>462</v>
      </c>
      <c r="B352" s="5"/>
      <c r="AF352" s="248"/>
    </row>
    <row r="353" spans="1:41" ht="10.15" hidden="1" customHeight="1" x14ac:dyDescent="0.25">
      <c r="A353" s="10" t="s">
        <v>461</v>
      </c>
      <c r="C353" s="2145"/>
      <c r="D353" s="2146"/>
      <c r="E353" s="2146"/>
      <c r="F353" s="2146"/>
      <c r="G353" s="2139"/>
      <c r="H353" s="2139"/>
      <c r="I353" s="2139"/>
      <c r="J353" s="2625" t="str">
        <f>Input_Name_Product10</f>
        <v>HELOC OO</v>
      </c>
      <c r="K353" s="2625"/>
      <c r="L353" s="2625"/>
      <c r="M353" s="2625"/>
      <c r="N353" s="2625"/>
      <c r="O353" s="2625"/>
      <c r="P353" s="2625"/>
      <c r="Q353" s="2625"/>
      <c r="R353" s="2139"/>
      <c r="S353" s="2139"/>
      <c r="T353" s="2139"/>
      <c r="U353" s="2139"/>
      <c r="V353" s="2139"/>
      <c r="W353" s="2471" t="str">
        <f>Input_Header01</f>
        <v xml:space="preserve"> </v>
      </c>
      <c r="X353" s="2472"/>
      <c r="Y353" s="2472"/>
      <c r="Z353" s="2472"/>
      <c r="AA353" s="2614" t="str">
        <f>Input_Header06</f>
        <v xml:space="preserve"> </v>
      </c>
      <c r="AB353" s="2614" t="str">
        <f>Input_Header01</f>
        <v xml:space="preserve"> </v>
      </c>
      <c r="AC353" s="2140"/>
      <c r="AD353" s="248"/>
      <c r="AF353" s="248"/>
      <c r="AG353"/>
      <c r="AH353"/>
      <c r="AK353"/>
      <c r="AL353"/>
      <c r="AM353"/>
      <c r="AN353"/>
      <c r="AO353"/>
    </row>
    <row r="354" spans="1:41" ht="10.15" hidden="1" customHeight="1" x14ac:dyDescent="0.25">
      <c r="A354" s="10" t="s">
        <v>461</v>
      </c>
      <c r="C354" s="2147"/>
      <c r="D354" s="2141"/>
      <c r="E354" s="2141"/>
      <c r="F354" s="2141"/>
      <c r="G354" s="2141"/>
      <c r="H354" s="2141"/>
      <c r="I354" s="2141"/>
      <c r="J354" s="2626"/>
      <c r="K354" s="2626"/>
      <c r="L354" s="2626"/>
      <c r="M354" s="2626"/>
      <c r="N354" s="2626"/>
      <c r="O354" s="2626"/>
      <c r="P354" s="2626"/>
      <c r="Q354" s="2626"/>
      <c r="R354" s="2141"/>
      <c r="S354" s="2141"/>
      <c r="T354" s="2141"/>
      <c r="U354" s="2141"/>
      <c r="V354" s="2141"/>
      <c r="W354" s="2466" t="str">
        <f>Input_Header02</f>
        <v xml:space="preserve"> </v>
      </c>
      <c r="X354" s="2467"/>
      <c r="Y354" s="2467"/>
      <c r="Z354" s="2467"/>
      <c r="AA354" s="2624" t="str">
        <f>Input_Header07</f>
        <v xml:space="preserve"> </v>
      </c>
      <c r="AB354" s="2624" t="str">
        <f>Input_Header01</f>
        <v xml:space="preserve"> </v>
      </c>
      <c r="AC354" s="2142"/>
      <c r="AD354" s="248"/>
      <c r="AF354" s="248"/>
      <c r="AG354"/>
      <c r="AH354"/>
      <c r="AK354"/>
      <c r="AL354"/>
      <c r="AM354"/>
      <c r="AN354"/>
      <c r="AO354"/>
    </row>
    <row r="355" spans="1:41" ht="10.15" hidden="1" customHeight="1" x14ac:dyDescent="0.25">
      <c r="A355" s="10" t="s">
        <v>461</v>
      </c>
      <c r="C355" s="2147"/>
      <c r="D355" s="2141"/>
      <c r="E355" s="2141"/>
      <c r="F355" s="2141"/>
      <c r="G355" s="2141"/>
      <c r="H355" s="2141"/>
      <c r="I355" s="2141"/>
      <c r="J355" s="2626"/>
      <c r="K355" s="2626"/>
      <c r="L355" s="2626"/>
      <c r="M355" s="2626"/>
      <c r="N355" s="2626"/>
      <c r="O355" s="2626"/>
      <c r="P355" s="2626"/>
      <c r="Q355" s="2626"/>
      <c r="R355" s="2141"/>
      <c r="S355" s="2141"/>
      <c r="T355" s="2141"/>
      <c r="U355" s="2141"/>
      <c r="V355" s="2141"/>
      <c r="W355" s="2469" t="str">
        <f>Input_Header03</f>
        <v xml:space="preserve"> </v>
      </c>
      <c r="X355" s="2467"/>
      <c r="Y355" s="2467"/>
      <c r="Z355" s="2467"/>
      <c r="AA355" s="2468"/>
      <c r="AB355" s="2468"/>
      <c r="AC355" s="2142"/>
      <c r="AD355" s="248"/>
      <c r="AF355" s="248"/>
      <c r="AG355"/>
      <c r="AH355"/>
      <c r="AK355"/>
      <c r="AL355"/>
      <c r="AM355"/>
      <c r="AN355"/>
      <c r="AO355"/>
    </row>
    <row r="356" spans="1:41" ht="10.15" hidden="1" customHeight="1" x14ac:dyDescent="0.25">
      <c r="A356" s="10" t="s">
        <v>461</v>
      </c>
      <c r="C356" s="2147"/>
      <c r="D356" s="2141"/>
      <c r="E356" s="2141"/>
      <c r="F356" s="2141"/>
      <c r="G356" s="2141"/>
      <c r="H356" s="2141"/>
      <c r="I356" s="2141"/>
      <c r="J356" s="2626"/>
      <c r="K356" s="2626"/>
      <c r="L356" s="2626"/>
      <c r="M356" s="2626"/>
      <c r="N356" s="2626"/>
      <c r="O356" s="2626"/>
      <c r="P356" s="2626"/>
      <c r="Q356" s="2626"/>
      <c r="R356" s="2141"/>
      <c r="S356" s="2141"/>
      <c r="T356" s="2141"/>
      <c r="U356" s="2141"/>
      <c r="V356" s="2141"/>
      <c r="W356" s="2470" t="str">
        <f>Input_Header04</f>
        <v xml:space="preserve"> </v>
      </c>
      <c r="X356" s="2473"/>
      <c r="Y356" s="2467"/>
      <c r="Z356" s="2467"/>
      <c r="AA356" s="2468"/>
      <c r="AB356" s="2468" t="str">
        <f>Input_Version</f>
        <v>#01</v>
      </c>
      <c r="AC356" s="2142"/>
      <c r="AD356" s="248"/>
      <c r="AF356" s="248"/>
      <c r="AG356"/>
      <c r="AH356"/>
      <c r="AK356"/>
      <c r="AL356"/>
      <c r="AM356"/>
      <c r="AN356"/>
      <c r="AO356"/>
    </row>
    <row r="357" spans="1:41" ht="10.15" hidden="1" customHeight="1" x14ac:dyDescent="0.25">
      <c r="A357" s="10" t="s">
        <v>461</v>
      </c>
      <c r="C357" s="2148"/>
      <c r="D357" s="2149"/>
      <c r="E357" s="2149"/>
      <c r="F357" s="2149"/>
      <c r="G357" s="2143"/>
      <c r="H357" s="2143"/>
      <c r="I357" s="2143"/>
      <c r="J357" s="2627"/>
      <c r="K357" s="2627"/>
      <c r="L357" s="2627"/>
      <c r="M357" s="2627"/>
      <c r="N357" s="2627"/>
      <c r="O357" s="2627"/>
      <c r="P357" s="2627"/>
      <c r="Q357" s="2627"/>
      <c r="R357" s="2143"/>
      <c r="S357" s="2143"/>
      <c r="T357" s="2143"/>
      <c r="U357" s="2143"/>
      <c r="V357" s="2143"/>
      <c r="W357" s="2474" t="str">
        <f>Input_Header05</f>
        <v xml:space="preserve"> </v>
      </c>
      <c r="X357" s="2475"/>
      <c r="Y357" s="2475"/>
      <c r="Z357" s="2475"/>
      <c r="AA357" s="2611">
        <f ca="1">Input_Date</f>
        <v>45743</v>
      </c>
      <c r="AB357" s="2611"/>
      <c r="AC357" s="2144"/>
      <c r="AD357" s="248"/>
      <c r="AF357" s="248"/>
      <c r="AG357"/>
      <c r="AH357"/>
      <c r="AK357"/>
      <c r="AL357"/>
      <c r="AM357"/>
      <c r="AN357"/>
      <c r="AO357"/>
    </row>
    <row r="358" spans="1:41" s="5" customFormat="1" ht="10.15" hidden="1" customHeight="1" x14ac:dyDescent="0.2">
      <c r="A358" s="10" t="s">
        <v>461</v>
      </c>
      <c r="B358" s="10"/>
      <c r="C358" s="40"/>
      <c r="R358" s="45"/>
      <c r="S358" s="45"/>
      <c r="T358" s="45"/>
      <c r="U358" s="45"/>
      <c r="V358" s="45"/>
      <c r="W358" s="45"/>
      <c r="X358" s="45"/>
      <c r="Y358" s="45"/>
      <c r="AC358" s="46"/>
      <c r="AD358" s="248"/>
      <c r="AE358" s="10"/>
      <c r="AF358" s="248"/>
    </row>
    <row r="359" spans="1:41" s="5" customFormat="1" ht="10.15" hidden="1" customHeight="1" x14ac:dyDescent="0.2">
      <c r="A359" s="10" t="s">
        <v>461</v>
      </c>
      <c r="B359" s="10"/>
      <c r="C359" s="40"/>
      <c r="D359" s="2628" t="s">
        <v>0</v>
      </c>
      <c r="E359" s="2629"/>
      <c r="F359" s="2630"/>
      <c r="G359" s="47"/>
      <c r="H359" s="47"/>
      <c r="I359" s="48"/>
      <c r="J359" s="2602" t="s">
        <v>103</v>
      </c>
      <c r="K359" s="2603"/>
      <c r="L359" s="2603"/>
      <c r="M359" s="2603"/>
      <c r="N359" s="2603"/>
      <c r="O359" s="2603"/>
      <c r="P359" s="2603"/>
      <c r="Q359" s="2603"/>
      <c r="R359" s="2603"/>
      <c r="S359" s="2603"/>
      <c r="T359" s="2603"/>
      <c r="U359" s="2603"/>
      <c r="V359" s="2603"/>
      <c r="W359" s="2603"/>
      <c r="X359" s="2603"/>
      <c r="Y359" s="2603"/>
      <c r="Z359" s="2603"/>
      <c r="AA359" s="2603"/>
      <c r="AB359" s="2604"/>
      <c r="AC359" s="46"/>
      <c r="AD359" s="248"/>
      <c r="AE359" s="10"/>
      <c r="AF359" s="248"/>
    </row>
    <row r="360" spans="1:41" s="5" customFormat="1" ht="10.15" hidden="1" customHeight="1" x14ac:dyDescent="0.2">
      <c r="A360" s="10" t="s">
        <v>461</v>
      </c>
      <c r="B360" s="10"/>
      <c r="C360" s="40"/>
      <c r="D360" s="18" t="s">
        <v>126</v>
      </c>
      <c r="E360" s="9" t="s">
        <v>1628</v>
      </c>
      <c r="F360" s="9" t="s">
        <v>258</v>
      </c>
      <c r="G360" s="47"/>
      <c r="H360" s="47"/>
      <c r="J360" s="50"/>
      <c r="K360" s="51"/>
      <c r="L360" s="51"/>
      <c r="M360" s="51"/>
      <c r="N360" s="1144"/>
      <c r="O360" s="1144"/>
      <c r="P360" s="1144"/>
      <c r="S360" s="1818" t="s">
        <v>88</v>
      </c>
      <c r="T360" s="2605" t="s">
        <v>1301</v>
      </c>
      <c r="U360" s="2606"/>
      <c r="V360" s="2606"/>
      <c r="W360" s="2606"/>
      <c r="X360" s="2606"/>
      <c r="Y360" s="2606"/>
      <c r="Z360" s="2606"/>
      <c r="AA360" s="2606"/>
      <c r="AB360" s="2607"/>
      <c r="AC360" s="46"/>
      <c r="AD360" s="248"/>
      <c r="AE360" s="10"/>
      <c r="AF360" s="248"/>
    </row>
    <row r="361" spans="1:41" s="5" customFormat="1" ht="10.15" hidden="1" customHeight="1" x14ac:dyDescent="0.2">
      <c r="A361" s="10" t="s">
        <v>461</v>
      </c>
      <c r="B361" s="10"/>
      <c r="C361" s="40"/>
      <c r="D361" s="52">
        <f>Structure!AY46</f>
        <v>13</v>
      </c>
      <c r="E361" s="53">
        <f t="shared" ref="E361:E401" si="15">INDEX(Lookup_NoteRateAll,MATCH("PH_"&amp;RIGHT("000"&amp;TRUNC(D361),3)&amp;TEXT(D361-TRUNC(D361),".0000000000"),Lookup_NoteRateText,0),7)</f>
        <v>5.5</v>
      </c>
      <c r="F361" s="54" t="e">
        <f t="shared" ref="F361:F401" si="16">INDEX(Lookup_NoteRateAll,MATCH("PH_"&amp;RIGHT("000"&amp;TRUNC(D361),3)&amp;TEXT(D361-TRUNC(D361),".0000000000"),Lookup_NoteRateText,0),4)</f>
        <v>#N/A</v>
      </c>
      <c r="G361" s="47" t="s">
        <v>76</v>
      </c>
      <c r="H361" s="47"/>
      <c r="J361" s="256"/>
      <c r="K361" s="257" t="s">
        <v>211</v>
      </c>
      <c r="L361" s="258"/>
      <c r="M361" s="259" t="s">
        <v>71</v>
      </c>
      <c r="N361" s="1806" t="s">
        <v>25</v>
      </c>
      <c r="O361" s="1146"/>
      <c r="P361" s="1146"/>
      <c r="Q361" s="1146"/>
      <c r="R361" s="1127"/>
      <c r="S361" s="260"/>
      <c r="T361" s="261" t="s">
        <v>249</v>
      </c>
      <c r="U361" s="262" t="s">
        <v>15</v>
      </c>
      <c r="V361" s="263" t="s">
        <v>84</v>
      </c>
      <c r="W361" s="263" t="s">
        <v>31</v>
      </c>
      <c r="X361" s="263" t="s">
        <v>30</v>
      </c>
      <c r="Y361" s="263" t="s">
        <v>29</v>
      </c>
      <c r="Z361" s="263" t="s">
        <v>28</v>
      </c>
      <c r="AA361" s="263" t="s">
        <v>27</v>
      </c>
      <c r="AB361" s="264" t="s">
        <v>26</v>
      </c>
      <c r="AC361" s="46"/>
      <c r="AD361" s="248"/>
      <c r="AE361" s="10"/>
      <c r="AF361" s="248"/>
    </row>
    <row r="362" spans="1:41" s="5" customFormat="1" ht="10.15" hidden="1" customHeight="1" x14ac:dyDescent="0.2">
      <c r="A362" s="10" t="s">
        <v>461</v>
      </c>
      <c r="B362" s="10"/>
      <c r="C362" s="40"/>
      <c r="D362" s="52">
        <f>Structure!AY47</f>
        <v>12.875</v>
      </c>
      <c r="E362" s="53">
        <f t="shared" si="15"/>
        <v>5.375</v>
      </c>
      <c r="F362" s="54" t="e">
        <f t="shared" si="16"/>
        <v>#N/A</v>
      </c>
      <c r="G362" s="47"/>
      <c r="H362" s="47"/>
      <c r="J362" s="2608" t="s">
        <v>206</v>
      </c>
      <c r="K362" s="57"/>
      <c r="L362" s="58"/>
      <c r="M362" s="59"/>
      <c r="N362" s="1103" t="s">
        <v>1282</v>
      </c>
      <c r="O362" s="1147"/>
      <c r="P362" s="1147"/>
      <c r="Q362" s="1147"/>
      <c r="R362" s="1807"/>
      <c r="S362" s="1819" t="s">
        <v>3333</v>
      </c>
      <c r="T362" s="2309">
        <v>2</v>
      </c>
      <c r="U362" s="2310">
        <v>2</v>
      </c>
      <c r="V362" s="2311">
        <v>2</v>
      </c>
      <c r="W362" s="2311">
        <v>1.5</v>
      </c>
      <c r="X362" s="2311">
        <v>1</v>
      </c>
      <c r="Y362" s="2311">
        <v>0</v>
      </c>
      <c r="Z362" s="2311">
        <v>0</v>
      </c>
      <c r="AA362" s="2311">
        <v>-2.5</v>
      </c>
      <c r="AB362" s="2312">
        <v>-3.5</v>
      </c>
      <c r="AC362" s="46"/>
      <c r="AE362" s="10"/>
      <c r="AF362" s="248"/>
      <c r="AG362" s="10"/>
    </row>
    <row r="363" spans="1:41" s="5" customFormat="1" ht="10.15" hidden="1" customHeight="1" x14ac:dyDescent="0.2">
      <c r="A363" s="10" t="s">
        <v>461</v>
      </c>
      <c r="B363" s="10"/>
      <c r="C363" s="40"/>
      <c r="D363" s="52">
        <f>Structure!AY48</f>
        <v>12.75</v>
      </c>
      <c r="E363" s="53">
        <f t="shared" si="15"/>
        <v>5.25</v>
      </c>
      <c r="F363" s="54" t="e">
        <f t="shared" si="16"/>
        <v>#N/A</v>
      </c>
      <c r="G363" s="47"/>
      <c r="H363" s="47"/>
      <c r="J363" s="2609"/>
      <c r="K363" s="235"/>
      <c r="L363" s="236"/>
      <c r="M363" s="237"/>
      <c r="N363" s="1104" t="s">
        <v>1281</v>
      </c>
      <c r="O363" s="1082"/>
      <c r="P363" s="1082"/>
      <c r="Q363" s="1082"/>
      <c r="R363" s="1808"/>
      <c r="S363" s="1820" t="s">
        <v>3334</v>
      </c>
      <c r="T363" s="2313">
        <v>2</v>
      </c>
      <c r="U363" s="2314">
        <v>2</v>
      </c>
      <c r="V363" s="2315">
        <v>2</v>
      </c>
      <c r="W363" s="2315">
        <v>1.5</v>
      </c>
      <c r="X363" s="2315">
        <v>1</v>
      </c>
      <c r="Y363" s="2315">
        <v>0</v>
      </c>
      <c r="Z363" s="2315">
        <v>0</v>
      </c>
      <c r="AA363" s="2315">
        <v>-2.5</v>
      </c>
      <c r="AB363" s="2316">
        <v>-3.5</v>
      </c>
      <c r="AC363" s="46"/>
      <c r="AE363" s="10"/>
      <c r="AF363" s="248"/>
      <c r="AG363" s="10"/>
    </row>
    <row r="364" spans="1:41" s="5" customFormat="1" ht="10.15" hidden="1" customHeight="1" x14ac:dyDescent="0.2">
      <c r="A364" s="10" t="s">
        <v>461</v>
      </c>
      <c r="B364" s="10"/>
      <c r="C364" s="40"/>
      <c r="D364" s="52">
        <f>Structure!AY49</f>
        <v>12.625</v>
      </c>
      <c r="E364" s="53">
        <f t="shared" si="15"/>
        <v>5.125</v>
      </c>
      <c r="F364" s="54" t="e">
        <f t="shared" si="16"/>
        <v>#N/A</v>
      </c>
      <c r="G364" s="47"/>
      <c r="H364" s="47"/>
      <c r="J364" s="2610"/>
      <c r="K364" s="60" t="s">
        <v>1643</v>
      </c>
      <c r="L364" s="61"/>
      <c r="M364" s="62">
        <v>1</v>
      </c>
      <c r="N364" s="1104" t="s">
        <v>255</v>
      </c>
      <c r="O364" s="1082"/>
      <c r="P364" s="1082"/>
      <c r="Q364" s="1082"/>
      <c r="R364" s="1808"/>
      <c r="S364" s="1820" t="s">
        <v>3335</v>
      </c>
      <c r="T364" s="2317">
        <v>1.5</v>
      </c>
      <c r="U364" s="2318">
        <v>1.5</v>
      </c>
      <c r="V364" s="2318">
        <v>1.5</v>
      </c>
      <c r="W364" s="2318">
        <v>1.5</v>
      </c>
      <c r="X364" s="2318">
        <v>1</v>
      </c>
      <c r="Y364" s="2318">
        <v>0</v>
      </c>
      <c r="Z364" s="2318">
        <v>-1</v>
      </c>
      <c r="AA364" s="2318">
        <v>-4</v>
      </c>
      <c r="AB364" s="2319">
        <v>-5</v>
      </c>
      <c r="AC364" s="46"/>
      <c r="AE364" s="10"/>
      <c r="AF364" s="248"/>
      <c r="AG364" s="10"/>
    </row>
    <row r="365" spans="1:41" s="5" customFormat="1" ht="10.15" hidden="1" customHeight="1" x14ac:dyDescent="0.2">
      <c r="A365" s="10" t="s">
        <v>461</v>
      </c>
      <c r="B365" s="10"/>
      <c r="C365" s="40"/>
      <c r="D365" s="52">
        <f>Structure!AY50</f>
        <v>12.5</v>
      </c>
      <c r="E365" s="53">
        <f t="shared" si="15"/>
        <v>5</v>
      </c>
      <c r="F365" s="54" t="e">
        <f t="shared" si="16"/>
        <v>#N/A</v>
      </c>
      <c r="G365" s="47"/>
      <c r="H365" s="47"/>
      <c r="J365" s="2610"/>
      <c r="K365" s="60" t="s">
        <v>1642</v>
      </c>
      <c r="L365" s="64"/>
      <c r="M365" s="62">
        <v>2</v>
      </c>
      <c r="N365" s="1104" t="s">
        <v>254</v>
      </c>
      <c r="O365" s="1082"/>
      <c r="P365" s="1082"/>
      <c r="Q365" s="1082"/>
      <c r="R365" s="1808"/>
      <c r="S365" s="1820" t="s">
        <v>3336</v>
      </c>
      <c r="T365" s="2317">
        <v>1</v>
      </c>
      <c r="U365" s="2318">
        <v>1</v>
      </c>
      <c r="V365" s="2318">
        <v>1</v>
      </c>
      <c r="W365" s="2318">
        <v>1</v>
      </c>
      <c r="X365" s="2318">
        <v>0</v>
      </c>
      <c r="Y365" s="2318">
        <v>0</v>
      </c>
      <c r="Z365" s="2318">
        <v>-2</v>
      </c>
      <c r="AA365" s="2318">
        <v>-5</v>
      </c>
      <c r="AB365" s="2319">
        <v>-7</v>
      </c>
      <c r="AC365" s="46"/>
      <c r="AE365" s="10"/>
      <c r="AF365" s="248"/>
      <c r="AG365" s="10"/>
    </row>
    <row r="366" spans="1:41" s="5" customFormat="1" ht="10.15" hidden="1" customHeight="1" x14ac:dyDescent="0.2">
      <c r="A366" s="10" t="s">
        <v>461</v>
      </c>
      <c r="B366" s="10"/>
      <c r="C366" s="40"/>
      <c r="D366" s="52">
        <f>Structure!AY51</f>
        <v>12.375</v>
      </c>
      <c r="E366" s="53">
        <f t="shared" si="15"/>
        <v>4.875</v>
      </c>
      <c r="F366" s="54" t="e">
        <f t="shared" si="16"/>
        <v>#N/A</v>
      </c>
      <c r="G366" s="47"/>
      <c r="H366" s="47"/>
      <c r="J366" s="2610"/>
      <c r="K366" s="65"/>
      <c r="L366" s="43"/>
      <c r="M366" s="62"/>
      <c r="N366" s="1104" t="s">
        <v>3</v>
      </c>
      <c r="O366" s="1082"/>
      <c r="P366" s="1082"/>
      <c r="Q366" s="1082"/>
      <c r="R366" s="1808"/>
      <c r="S366" s="1821" t="s">
        <v>3337</v>
      </c>
      <c r="T366" s="2317">
        <v>0</v>
      </c>
      <c r="U366" s="2318">
        <v>0</v>
      </c>
      <c r="V366" s="2318">
        <v>0</v>
      </c>
      <c r="W366" s="2318">
        <v>0</v>
      </c>
      <c r="X366" s="2318">
        <v>0</v>
      </c>
      <c r="Y366" s="2318">
        <v>-1</v>
      </c>
      <c r="Z366" s="2318">
        <v>-3</v>
      </c>
      <c r="AA366" s="2318">
        <v>-6.5</v>
      </c>
      <c r="AB366" s="2195" t="e">
        <v>#N/A</v>
      </c>
      <c r="AC366" s="46"/>
      <c r="AE366" s="10"/>
      <c r="AF366" s="248"/>
      <c r="AG366" s="10"/>
      <c r="AH366" s="10"/>
    </row>
    <row r="367" spans="1:41" s="5" customFormat="1" ht="10.15" hidden="1" customHeight="1" x14ac:dyDescent="0.2">
      <c r="A367" s="10" t="s">
        <v>461</v>
      </c>
      <c r="B367" s="10"/>
      <c r="C367" s="40"/>
      <c r="D367" s="52">
        <f>Structure!AY52</f>
        <v>12.25</v>
      </c>
      <c r="E367" s="53">
        <f t="shared" si="15"/>
        <v>4.75</v>
      </c>
      <c r="F367" s="54" t="e">
        <f t="shared" si="16"/>
        <v>#N/A</v>
      </c>
      <c r="G367" s="47"/>
      <c r="H367" s="47"/>
      <c r="J367" s="2610"/>
      <c r="K367" s="65"/>
      <c r="L367" s="43"/>
      <c r="M367" s="62"/>
      <c r="N367" s="1104" t="s">
        <v>5</v>
      </c>
      <c r="O367" s="1082"/>
      <c r="P367" s="1082"/>
      <c r="Q367" s="1082"/>
      <c r="R367" s="1808"/>
      <c r="S367" s="1821" t="s">
        <v>3338</v>
      </c>
      <c r="T367" s="2317">
        <v>-0.5</v>
      </c>
      <c r="U367" s="2318">
        <v>-0.5</v>
      </c>
      <c r="V367" s="2318">
        <v>-0.5</v>
      </c>
      <c r="W367" s="2318">
        <v>-1</v>
      </c>
      <c r="X367" s="2318">
        <v>-1.5</v>
      </c>
      <c r="Y367" s="2318">
        <v>-2.5</v>
      </c>
      <c r="Z367" s="2318">
        <v>-5.5</v>
      </c>
      <c r="AA367" s="2318">
        <v>-7.5</v>
      </c>
      <c r="AB367" s="2195" t="e">
        <v>#N/A</v>
      </c>
      <c r="AC367" s="46"/>
      <c r="AE367" s="10"/>
      <c r="AF367" s="248"/>
      <c r="AG367" s="10"/>
      <c r="AH367" s="10"/>
    </row>
    <row r="368" spans="1:41" s="5" customFormat="1" ht="10.15" hidden="1" customHeight="1" x14ac:dyDescent="0.2">
      <c r="A368" s="10" t="s">
        <v>461</v>
      </c>
      <c r="B368" s="10"/>
      <c r="C368" s="40"/>
      <c r="D368" s="52">
        <f>Structure!AY53</f>
        <v>12.125</v>
      </c>
      <c r="E368" s="53">
        <f t="shared" si="15"/>
        <v>4.625</v>
      </c>
      <c r="F368" s="54" t="e">
        <f t="shared" si="16"/>
        <v>#N/A</v>
      </c>
      <c r="G368" s="47"/>
      <c r="H368" s="47"/>
      <c r="J368" s="2610"/>
      <c r="K368" s="65"/>
      <c r="L368" s="43"/>
      <c r="M368" s="62"/>
      <c r="N368" s="1105" t="s">
        <v>6</v>
      </c>
      <c r="O368" s="1083"/>
      <c r="P368" s="1083"/>
      <c r="Q368" s="1083"/>
      <c r="R368" s="87"/>
      <c r="S368" s="1821" t="s">
        <v>3339</v>
      </c>
      <c r="T368" s="2317">
        <v>-1</v>
      </c>
      <c r="U368" s="2318">
        <v>-1</v>
      </c>
      <c r="V368" s="2318">
        <v>-1.5</v>
      </c>
      <c r="W368" s="2318">
        <v>-2.5</v>
      </c>
      <c r="X368" s="2318">
        <v>-3</v>
      </c>
      <c r="Y368" s="2318">
        <v>-4</v>
      </c>
      <c r="Z368" s="2196" t="e">
        <v>#N/A</v>
      </c>
      <c r="AA368" s="2196" t="e">
        <v>#N/A</v>
      </c>
      <c r="AB368" s="2195" t="e">
        <v>#N/A</v>
      </c>
      <c r="AC368" s="46"/>
      <c r="AE368" s="10"/>
      <c r="AF368" s="248"/>
      <c r="AG368" s="10"/>
      <c r="AH368" s="10"/>
    </row>
    <row r="369" spans="1:34" s="5" customFormat="1" ht="10.15" hidden="1" customHeight="1" x14ac:dyDescent="0.2">
      <c r="A369" s="10" t="s">
        <v>463</v>
      </c>
      <c r="B369" s="10"/>
      <c r="C369" s="40"/>
      <c r="D369" s="52">
        <f>Structure!AY54</f>
        <v>12</v>
      </c>
      <c r="E369" s="53">
        <f t="shared" si="15"/>
        <v>4.5</v>
      </c>
      <c r="F369" s="54" t="e">
        <f t="shared" si="16"/>
        <v>#N/A</v>
      </c>
      <c r="G369" s="47"/>
      <c r="H369" s="47"/>
      <c r="J369" s="2610"/>
      <c r="K369" s="65"/>
      <c r="L369" s="43"/>
      <c r="M369" s="62"/>
      <c r="N369" s="1105" t="s">
        <v>7</v>
      </c>
      <c r="O369" s="1083"/>
      <c r="P369" s="1083"/>
      <c r="Q369" s="1083"/>
      <c r="R369" s="87"/>
      <c r="S369" s="1821" t="s">
        <v>3340</v>
      </c>
      <c r="T369" s="2197" t="e">
        <v>#N/A</v>
      </c>
      <c r="U369" s="1467" t="e">
        <v>#N/A</v>
      </c>
      <c r="V369" s="1467" t="e">
        <v>#N/A</v>
      </c>
      <c r="W369" s="1467" t="e">
        <v>#N/A</v>
      </c>
      <c r="X369" s="1467" t="e">
        <v>#N/A</v>
      </c>
      <c r="Y369" s="1467" t="e">
        <v>#N/A</v>
      </c>
      <c r="Z369" s="1467" t="e">
        <v>#N/A</v>
      </c>
      <c r="AA369" s="1467" t="e">
        <v>#N/A</v>
      </c>
      <c r="AB369" s="2198" t="e">
        <v>#N/A</v>
      </c>
      <c r="AC369" s="46"/>
      <c r="AE369" s="10"/>
      <c r="AF369" s="248"/>
      <c r="AG369" s="10"/>
      <c r="AH369" s="10"/>
    </row>
    <row r="370" spans="1:34" s="5" customFormat="1" ht="10.15" hidden="1" customHeight="1" x14ac:dyDescent="0.2">
      <c r="A370" s="10" t="s">
        <v>463</v>
      </c>
      <c r="B370" s="10"/>
      <c r="C370" s="40"/>
      <c r="D370" s="52">
        <f>Structure!AY55</f>
        <v>11.875</v>
      </c>
      <c r="E370" s="53">
        <f t="shared" si="15"/>
        <v>4.375</v>
      </c>
      <c r="F370" s="54" t="e">
        <f t="shared" si="16"/>
        <v>#N/A</v>
      </c>
      <c r="G370" s="47"/>
      <c r="H370" s="47"/>
      <c r="J370" s="2610"/>
      <c r="K370" s="65"/>
      <c r="L370" s="43"/>
      <c r="M370" s="62"/>
      <c r="N370" s="1105" t="s">
        <v>9</v>
      </c>
      <c r="O370" s="1083"/>
      <c r="P370" s="1083"/>
      <c r="Q370" s="1083"/>
      <c r="R370" s="87"/>
      <c r="S370" s="1821" t="s">
        <v>3341</v>
      </c>
      <c r="T370" s="2197" t="e">
        <v>#N/A</v>
      </c>
      <c r="U370" s="1467" t="e">
        <v>#N/A</v>
      </c>
      <c r="V370" s="1467" t="e">
        <v>#N/A</v>
      </c>
      <c r="W370" s="1467" t="e">
        <v>#N/A</v>
      </c>
      <c r="X370" s="1467" t="e">
        <v>#N/A</v>
      </c>
      <c r="Y370" s="1467" t="e">
        <v>#N/A</v>
      </c>
      <c r="Z370" s="1467" t="e">
        <v>#N/A</v>
      </c>
      <c r="AA370" s="1467" t="e">
        <v>#N/A</v>
      </c>
      <c r="AB370" s="2198" t="e">
        <v>#N/A</v>
      </c>
      <c r="AC370" s="46"/>
      <c r="AE370" s="10"/>
      <c r="AF370" s="248"/>
      <c r="AG370" s="10"/>
      <c r="AH370" s="10"/>
    </row>
    <row r="371" spans="1:34" s="5" customFormat="1" ht="10.15" hidden="1" customHeight="1" x14ac:dyDescent="0.2">
      <c r="A371" s="10" t="s">
        <v>463</v>
      </c>
      <c r="B371" s="10"/>
      <c r="C371" s="40"/>
      <c r="D371" s="52">
        <f>Structure!AY56</f>
        <v>11.75</v>
      </c>
      <c r="E371" s="53">
        <f t="shared" si="15"/>
        <v>4.25</v>
      </c>
      <c r="F371" s="54" t="e">
        <f t="shared" si="16"/>
        <v>#N/A</v>
      </c>
      <c r="G371" s="47"/>
      <c r="H371" s="47"/>
      <c r="J371" s="2610"/>
      <c r="K371" s="65"/>
      <c r="L371" s="43"/>
      <c r="M371" s="62"/>
      <c r="N371" s="1104" t="s">
        <v>10</v>
      </c>
      <c r="O371" s="1082"/>
      <c r="P371" s="1082"/>
      <c r="Q371" s="1082"/>
      <c r="R371" s="1808"/>
      <c r="S371" s="1820" t="s">
        <v>3342</v>
      </c>
      <c r="T371" s="2197" t="e">
        <v>#N/A</v>
      </c>
      <c r="U371" s="1467" t="e">
        <v>#N/A</v>
      </c>
      <c r="V371" s="1467" t="e">
        <v>#N/A</v>
      </c>
      <c r="W371" s="1467" t="e">
        <v>#N/A</v>
      </c>
      <c r="X371" s="1467" t="e">
        <v>#N/A</v>
      </c>
      <c r="Y371" s="1467" t="e">
        <v>#N/A</v>
      </c>
      <c r="Z371" s="1467" t="e">
        <v>#N/A</v>
      </c>
      <c r="AA371" s="1467" t="e">
        <v>#N/A</v>
      </c>
      <c r="AB371" s="2198" t="e">
        <v>#N/A</v>
      </c>
      <c r="AC371" s="46"/>
      <c r="AE371" s="10"/>
      <c r="AF371" s="248"/>
      <c r="AG371" s="10"/>
      <c r="AH371" s="10"/>
    </row>
    <row r="372" spans="1:34" s="5" customFormat="1" ht="10.15" hidden="1" customHeight="1" x14ac:dyDescent="0.2">
      <c r="A372" s="10" t="s">
        <v>461</v>
      </c>
      <c r="B372" s="10"/>
      <c r="C372" s="40"/>
      <c r="D372" s="52">
        <f>Structure!AY57</f>
        <v>11.625</v>
      </c>
      <c r="E372" s="53">
        <f t="shared" si="15"/>
        <v>4.125</v>
      </c>
      <c r="F372" s="54" t="e">
        <f t="shared" si="16"/>
        <v>#N/A</v>
      </c>
      <c r="G372" s="47"/>
      <c r="H372" s="47"/>
      <c r="J372" s="2608" t="s">
        <v>207</v>
      </c>
      <c r="K372" s="57"/>
      <c r="L372" s="58"/>
      <c r="M372" s="66"/>
      <c r="N372" s="1103" t="s">
        <v>1282</v>
      </c>
      <c r="O372" s="1147"/>
      <c r="P372" s="1147"/>
      <c r="Q372" s="1147"/>
      <c r="R372" s="1807"/>
      <c r="S372" s="1819" t="s">
        <v>3343</v>
      </c>
      <c r="T372" s="2309">
        <v>2</v>
      </c>
      <c r="U372" s="2310">
        <v>2</v>
      </c>
      <c r="V372" s="2311">
        <v>2</v>
      </c>
      <c r="W372" s="2311">
        <v>1.5</v>
      </c>
      <c r="X372" s="2311">
        <v>1</v>
      </c>
      <c r="Y372" s="2311">
        <v>0</v>
      </c>
      <c r="Z372" s="2311">
        <v>0</v>
      </c>
      <c r="AA372" s="2444" t="e">
        <v>#N/A</v>
      </c>
      <c r="AB372" s="2445" t="e">
        <v>#N/A</v>
      </c>
      <c r="AC372" s="46"/>
      <c r="AE372" s="10"/>
      <c r="AF372" s="248"/>
      <c r="AG372" s="10"/>
      <c r="AH372" s="10"/>
    </row>
    <row r="373" spans="1:34" s="5" customFormat="1" ht="10.15" hidden="1" customHeight="1" x14ac:dyDescent="0.2">
      <c r="A373" s="10" t="s">
        <v>461</v>
      </c>
      <c r="B373" s="10"/>
      <c r="C373" s="40"/>
      <c r="D373" s="52">
        <f>Structure!AY58</f>
        <v>11.5</v>
      </c>
      <c r="E373" s="53">
        <f t="shared" si="15"/>
        <v>4</v>
      </c>
      <c r="F373" s="54" t="e">
        <f t="shared" si="16"/>
        <v>#N/A</v>
      </c>
      <c r="G373" s="47"/>
      <c r="H373" s="47"/>
      <c r="J373" s="2609"/>
      <c r="K373" s="235"/>
      <c r="L373" s="236"/>
      <c r="M373" s="238"/>
      <c r="N373" s="1104" t="s">
        <v>1281</v>
      </c>
      <c r="O373" s="1082"/>
      <c r="P373" s="1082"/>
      <c r="Q373" s="1082"/>
      <c r="R373" s="1808"/>
      <c r="S373" s="1820" t="s">
        <v>3344</v>
      </c>
      <c r="T373" s="2313">
        <v>2</v>
      </c>
      <c r="U373" s="2314">
        <v>2</v>
      </c>
      <c r="V373" s="2315">
        <v>2</v>
      </c>
      <c r="W373" s="2315">
        <v>1.5</v>
      </c>
      <c r="X373" s="2315">
        <v>1</v>
      </c>
      <c r="Y373" s="2315">
        <v>0</v>
      </c>
      <c r="Z373" s="2315">
        <v>0</v>
      </c>
      <c r="AA373" s="2196" t="e">
        <v>#N/A</v>
      </c>
      <c r="AB373" s="2195" t="e">
        <v>#N/A</v>
      </c>
      <c r="AC373" s="46"/>
      <c r="AE373" s="10"/>
      <c r="AF373" s="248"/>
      <c r="AG373" s="10"/>
      <c r="AH373" s="10"/>
    </row>
    <row r="374" spans="1:34" s="5" customFormat="1" ht="10.15" hidden="1" customHeight="1" x14ac:dyDescent="0.2">
      <c r="A374" s="10" t="s">
        <v>461</v>
      </c>
      <c r="B374" s="10"/>
      <c r="C374" s="40"/>
      <c r="D374" s="52">
        <f>Structure!AY59</f>
        <v>11.375</v>
      </c>
      <c r="E374" s="53">
        <f t="shared" si="15"/>
        <v>3.875</v>
      </c>
      <c r="F374" s="54" t="e">
        <f t="shared" si="16"/>
        <v>#N/A</v>
      </c>
      <c r="G374" s="47"/>
      <c r="H374" s="47"/>
      <c r="J374" s="2610"/>
      <c r="K374" s="63" t="s">
        <v>80</v>
      </c>
      <c r="L374" s="67" t="s">
        <v>426</v>
      </c>
      <c r="M374" s="62">
        <v>3</v>
      </c>
      <c r="N374" s="1104" t="s">
        <v>255</v>
      </c>
      <c r="O374" s="1082"/>
      <c r="P374" s="1082"/>
      <c r="Q374" s="1082"/>
      <c r="R374" s="1808"/>
      <c r="S374" s="1820" t="s">
        <v>3345</v>
      </c>
      <c r="T374" s="2317">
        <v>1.5</v>
      </c>
      <c r="U374" s="2318">
        <v>1.5</v>
      </c>
      <c r="V374" s="2318">
        <v>1.5</v>
      </c>
      <c r="W374" s="2318">
        <v>1.5</v>
      </c>
      <c r="X374" s="2318">
        <v>1</v>
      </c>
      <c r="Y374" s="2318">
        <v>0</v>
      </c>
      <c r="Z374" s="2318">
        <v>-1</v>
      </c>
      <c r="AA374" s="2196" t="e">
        <v>#N/A</v>
      </c>
      <c r="AB374" s="2195" t="e">
        <v>#N/A</v>
      </c>
      <c r="AC374" s="46"/>
      <c r="AE374" s="10"/>
      <c r="AF374" s="248"/>
      <c r="AG374" s="10"/>
      <c r="AH374" s="10"/>
    </row>
    <row r="375" spans="1:34" s="5" customFormat="1" ht="10.15" hidden="1" customHeight="1" x14ac:dyDescent="0.2">
      <c r="A375" s="10" t="s">
        <v>461</v>
      </c>
      <c r="B375" s="10"/>
      <c r="C375" s="40"/>
      <c r="D375" s="52">
        <f>Structure!AY60</f>
        <v>11.25</v>
      </c>
      <c r="E375" s="53">
        <f t="shared" si="15"/>
        <v>3.75</v>
      </c>
      <c r="F375" s="54" t="e">
        <f t="shared" si="16"/>
        <v>#N/A</v>
      </c>
      <c r="G375" s="47"/>
      <c r="H375" s="47"/>
      <c r="J375" s="2610"/>
      <c r="K375" s="63" t="s">
        <v>76</v>
      </c>
      <c r="L375" s="67" t="s">
        <v>76</v>
      </c>
      <c r="M375" s="62" t="s">
        <v>76</v>
      </c>
      <c r="N375" s="1104" t="s">
        <v>254</v>
      </c>
      <c r="O375" s="1082"/>
      <c r="P375" s="1082"/>
      <c r="Q375" s="1082"/>
      <c r="R375" s="1808"/>
      <c r="S375" s="1821" t="s">
        <v>3346</v>
      </c>
      <c r="T375" s="2317">
        <v>1</v>
      </c>
      <c r="U375" s="2318">
        <v>1</v>
      </c>
      <c r="V375" s="2318">
        <v>1</v>
      </c>
      <c r="W375" s="2318">
        <v>1</v>
      </c>
      <c r="X375" s="2318">
        <v>0</v>
      </c>
      <c r="Y375" s="2318">
        <v>0</v>
      </c>
      <c r="Z375" s="2318">
        <v>-2</v>
      </c>
      <c r="AA375" s="2196" t="e">
        <v>#N/A</v>
      </c>
      <c r="AB375" s="2195" t="e">
        <v>#N/A</v>
      </c>
      <c r="AC375" s="46"/>
      <c r="AE375" s="10"/>
      <c r="AF375" s="248"/>
      <c r="AG375" s="10"/>
      <c r="AH375" s="10"/>
    </row>
    <row r="376" spans="1:34" s="5" customFormat="1" ht="10.15" hidden="1" customHeight="1" x14ac:dyDescent="0.2">
      <c r="A376" s="10" t="s">
        <v>461</v>
      </c>
      <c r="C376" s="40"/>
      <c r="D376" s="52">
        <f>Structure!AY61</f>
        <v>11.125</v>
      </c>
      <c r="E376" s="53">
        <f t="shared" si="15"/>
        <v>3.625</v>
      </c>
      <c r="F376" s="54" t="e">
        <f t="shared" si="16"/>
        <v>#N/A</v>
      </c>
      <c r="G376" s="47"/>
      <c r="H376" s="47"/>
      <c r="J376" s="2610"/>
      <c r="K376" s="63"/>
      <c r="L376" s="67"/>
      <c r="M376" s="62"/>
      <c r="N376" s="1104" t="s">
        <v>3</v>
      </c>
      <c r="O376" s="1082"/>
      <c r="P376" s="1082"/>
      <c r="Q376" s="1082"/>
      <c r="R376" s="1808"/>
      <c r="S376" s="1821" t="s">
        <v>3347</v>
      </c>
      <c r="T376" s="2317">
        <v>0</v>
      </c>
      <c r="U376" s="2318">
        <v>0</v>
      </c>
      <c r="V376" s="2318">
        <v>0</v>
      </c>
      <c r="W376" s="2318">
        <v>0</v>
      </c>
      <c r="X376" s="2318">
        <v>0</v>
      </c>
      <c r="Y376" s="2318">
        <v>-1</v>
      </c>
      <c r="Z376" s="2318">
        <v>-3</v>
      </c>
      <c r="AA376" s="2196" t="e">
        <v>#N/A</v>
      </c>
      <c r="AB376" s="2195" t="e">
        <v>#N/A</v>
      </c>
      <c r="AC376" s="46"/>
      <c r="AE376" s="10"/>
      <c r="AF376" s="248"/>
      <c r="AG376" s="10"/>
      <c r="AH376" s="10"/>
    </row>
    <row r="377" spans="1:34" s="5" customFormat="1" ht="10.15" hidden="1" customHeight="1" x14ac:dyDescent="0.2">
      <c r="A377" s="10" t="s">
        <v>461</v>
      </c>
      <c r="C377" s="40"/>
      <c r="D377" s="52">
        <f>Structure!AY62</f>
        <v>11</v>
      </c>
      <c r="E377" s="53">
        <f t="shared" si="15"/>
        <v>3.5</v>
      </c>
      <c r="F377" s="54" t="e">
        <f t="shared" si="16"/>
        <v>#N/A</v>
      </c>
      <c r="G377" s="47"/>
      <c r="H377" s="47"/>
      <c r="J377" s="2610"/>
      <c r="K377" s="63"/>
      <c r="L377" s="64"/>
      <c r="M377" s="62"/>
      <c r="N377" s="1104" t="s">
        <v>5</v>
      </c>
      <c r="O377" s="1082"/>
      <c r="P377" s="1082"/>
      <c r="Q377" s="1082"/>
      <c r="R377" s="1808"/>
      <c r="S377" s="1821" t="s">
        <v>3348</v>
      </c>
      <c r="T377" s="2317">
        <v>-0.5</v>
      </c>
      <c r="U377" s="2318">
        <v>-0.5</v>
      </c>
      <c r="V377" s="2318">
        <v>-0.5</v>
      </c>
      <c r="W377" s="2318">
        <v>-1</v>
      </c>
      <c r="X377" s="2318">
        <v>-1.5</v>
      </c>
      <c r="Y377" s="2318">
        <v>-2.5</v>
      </c>
      <c r="Z377" s="2318">
        <v>-5.5</v>
      </c>
      <c r="AA377" s="2196" t="e">
        <v>#N/A</v>
      </c>
      <c r="AB377" s="2195" t="e">
        <v>#N/A</v>
      </c>
      <c r="AC377" s="46"/>
      <c r="AE377" s="10"/>
      <c r="AF377" s="248"/>
      <c r="AG377" s="10"/>
      <c r="AH377" s="10"/>
    </row>
    <row r="378" spans="1:34" s="5" customFormat="1" ht="10.15" hidden="1" customHeight="1" x14ac:dyDescent="0.2">
      <c r="A378" s="10" t="s">
        <v>463</v>
      </c>
      <c r="C378" s="40"/>
      <c r="D378" s="52">
        <f>Structure!AY63</f>
        <v>10.875</v>
      </c>
      <c r="E378" s="53">
        <f t="shared" si="15"/>
        <v>3.375</v>
      </c>
      <c r="F378" s="54" t="e">
        <f t="shared" si="16"/>
        <v>#N/A</v>
      </c>
      <c r="G378" s="47"/>
      <c r="H378" s="47"/>
      <c r="J378" s="2610"/>
      <c r="K378" s="63"/>
      <c r="L378" s="64"/>
      <c r="M378" s="62"/>
      <c r="N378" s="1105" t="s">
        <v>6</v>
      </c>
      <c r="O378" s="1083"/>
      <c r="P378" s="1083"/>
      <c r="Q378" s="1083"/>
      <c r="R378" s="87"/>
      <c r="S378" s="1821" t="s">
        <v>3349</v>
      </c>
      <c r="T378" s="2197" t="e">
        <v>#N/A</v>
      </c>
      <c r="U378" s="1467" t="e">
        <v>#N/A</v>
      </c>
      <c r="V378" s="1467" t="e">
        <v>#N/A</v>
      </c>
      <c r="W378" s="1467" t="e">
        <v>#N/A</v>
      </c>
      <c r="X378" s="1467" t="e">
        <v>#N/A</v>
      </c>
      <c r="Y378" s="1467" t="e">
        <v>#N/A</v>
      </c>
      <c r="Z378" s="1467" t="e">
        <v>#N/A</v>
      </c>
      <c r="AA378" s="1467" t="e">
        <v>#N/A</v>
      </c>
      <c r="AB378" s="2198" t="e">
        <v>#N/A</v>
      </c>
      <c r="AC378" s="46"/>
      <c r="AE378" s="10"/>
      <c r="AF378" s="248"/>
      <c r="AG378" s="10"/>
      <c r="AH378" s="10"/>
    </row>
    <row r="379" spans="1:34" s="5" customFormat="1" ht="10.15" hidden="1" customHeight="1" x14ac:dyDescent="0.2">
      <c r="A379" s="10" t="s">
        <v>463</v>
      </c>
      <c r="C379" s="40"/>
      <c r="D379" s="52">
        <f>Structure!AY64</f>
        <v>10.75</v>
      </c>
      <c r="E379" s="53">
        <f t="shared" si="15"/>
        <v>3.25</v>
      </c>
      <c r="F379" s="54" t="e">
        <f t="shared" si="16"/>
        <v>#N/A</v>
      </c>
      <c r="G379" s="47"/>
      <c r="H379" s="47"/>
      <c r="J379" s="2610"/>
      <c r="K379" s="63"/>
      <c r="L379" s="64"/>
      <c r="M379" s="62"/>
      <c r="N379" s="1105" t="s">
        <v>7</v>
      </c>
      <c r="O379" s="1083"/>
      <c r="P379" s="1083"/>
      <c r="Q379" s="1083"/>
      <c r="R379" s="87"/>
      <c r="S379" s="1821" t="s">
        <v>3350</v>
      </c>
      <c r="T379" s="2197" t="e">
        <v>#N/A</v>
      </c>
      <c r="U379" s="1467" t="e">
        <v>#N/A</v>
      </c>
      <c r="V379" s="1467" t="e">
        <v>#N/A</v>
      </c>
      <c r="W379" s="1467" t="e">
        <v>#N/A</v>
      </c>
      <c r="X379" s="1467" t="e">
        <v>#N/A</v>
      </c>
      <c r="Y379" s="1467" t="e">
        <v>#N/A</v>
      </c>
      <c r="Z379" s="1467" t="e">
        <v>#N/A</v>
      </c>
      <c r="AA379" s="1467" t="e">
        <v>#N/A</v>
      </c>
      <c r="AB379" s="2198" t="e">
        <v>#N/A</v>
      </c>
      <c r="AC379" s="46"/>
      <c r="AE379" s="10"/>
      <c r="AF379" s="248"/>
      <c r="AG379" s="10"/>
      <c r="AH379" s="10"/>
    </row>
    <row r="380" spans="1:34" s="5" customFormat="1" ht="10.15" hidden="1" customHeight="1" x14ac:dyDescent="0.2">
      <c r="A380" s="10" t="s">
        <v>463</v>
      </c>
      <c r="C380" s="40"/>
      <c r="D380" s="52">
        <f>Structure!AY65</f>
        <v>10.625</v>
      </c>
      <c r="E380" s="53">
        <f t="shared" si="15"/>
        <v>3.125</v>
      </c>
      <c r="F380" s="54" t="e">
        <f t="shared" si="16"/>
        <v>#N/A</v>
      </c>
      <c r="G380" s="47"/>
      <c r="H380" s="47"/>
      <c r="J380" s="2610"/>
      <c r="K380" s="63"/>
      <c r="L380" s="64"/>
      <c r="M380" s="62"/>
      <c r="N380" s="1105" t="s">
        <v>9</v>
      </c>
      <c r="O380" s="1083"/>
      <c r="P380" s="1083"/>
      <c r="Q380" s="1083"/>
      <c r="R380" s="87"/>
      <c r="S380" s="1821" t="s">
        <v>3351</v>
      </c>
      <c r="T380" s="2197" t="e">
        <v>#N/A</v>
      </c>
      <c r="U380" s="1467" t="e">
        <v>#N/A</v>
      </c>
      <c r="V380" s="1467" t="e">
        <v>#N/A</v>
      </c>
      <c r="W380" s="1467" t="e">
        <v>#N/A</v>
      </c>
      <c r="X380" s="1467" t="e">
        <v>#N/A</v>
      </c>
      <c r="Y380" s="1467" t="e">
        <v>#N/A</v>
      </c>
      <c r="Z380" s="1467" t="e">
        <v>#N/A</v>
      </c>
      <c r="AA380" s="1467" t="e">
        <v>#N/A</v>
      </c>
      <c r="AB380" s="2198" t="e">
        <v>#N/A</v>
      </c>
      <c r="AC380" s="46"/>
      <c r="AE380" s="10"/>
      <c r="AF380" s="248"/>
      <c r="AG380" s="10"/>
      <c r="AH380" s="10"/>
    </row>
    <row r="381" spans="1:34" s="5" customFormat="1" ht="10.15" hidden="1" customHeight="1" x14ac:dyDescent="0.2">
      <c r="A381" s="10" t="s">
        <v>463</v>
      </c>
      <c r="C381" s="40"/>
      <c r="D381" s="52">
        <f>Structure!AY66</f>
        <v>10.5</v>
      </c>
      <c r="E381" s="53">
        <f t="shared" si="15"/>
        <v>3</v>
      </c>
      <c r="F381" s="54" t="e">
        <f t="shared" si="16"/>
        <v>#N/A</v>
      </c>
      <c r="G381" s="47"/>
      <c r="H381" s="47"/>
      <c r="J381" s="2610"/>
      <c r="K381" s="63"/>
      <c r="L381" s="64"/>
      <c r="M381" s="62"/>
      <c r="N381" s="1104" t="s">
        <v>10</v>
      </c>
      <c r="O381" s="1082"/>
      <c r="P381" s="1082"/>
      <c r="Q381" s="1082"/>
      <c r="R381" s="1808"/>
      <c r="S381" s="1822" t="s">
        <v>3352</v>
      </c>
      <c r="T381" s="2197" t="e">
        <v>#N/A</v>
      </c>
      <c r="U381" s="1467" t="e">
        <v>#N/A</v>
      </c>
      <c r="V381" s="1467" t="e">
        <v>#N/A</v>
      </c>
      <c r="W381" s="1467" t="e">
        <v>#N/A</v>
      </c>
      <c r="X381" s="1467" t="e">
        <v>#N/A</v>
      </c>
      <c r="Y381" s="1467" t="e">
        <v>#N/A</v>
      </c>
      <c r="Z381" s="1467" t="e">
        <v>#N/A</v>
      </c>
      <c r="AA381" s="1467" t="e">
        <v>#N/A</v>
      </c>
      <c r="AB381" s="2198" t="e">
        <v>#N/A</v>
      </c>
      <c r="AC381" s="46"/>
      <c r="AE381" s="10"/>
      <c r="AF381" s="248"/>
      <c r="AG381" s="10"/>
      <c r="AH381" s="10"/>
    </row>
    <row r="382" spans="1:34" s="5" customFormat="1" ht="10.15" hidden="1" customHeight="1" x14ac:dyDescent="0.2">
      <c r="A382" s="10" t="s">
        <v>461</v>
      </c>
      <c r="C382" s="40"/>
      <c r="D382" s="52">
        <f>Structure!AY67</f>
        <v>10.375</v>
      </c>
      <c r="E382" s="53">
        <f t="shared" si="15"/>
        <v>2.875</v>
      </c>
      <c r="F382" s="54" t="e">
        <f t="shared" si="16"/>
        <v>#N/A</v>
      </c>
      <c r="J382" s="2615" t="s">
        <v>210</v>
      </c>
      <c r="K382" s="2616"/>
      <c r="L382" s="2616"/>
      <c r="M382" s="2617"/>
      <c r="N382" s="1084" t="s">
        <v>136</v>
      </c>
      <c r="O382" s="1130"/>
      <c r="P382" s="1130"/>
      <c r="Q382" s="1130"/>
      <c r="R382" s="101"/>
      <c r="S382" s="1823" t="s">
        <v>3353</v>
      </c>
      <c r="T382" s="2320">
        <v>0</v>
      </c>
      <c r="U382" s="2276">
        <v>0</v>
      </c>
      <c r="V382" s="2276">
        <v>0</v>
      </c>
      <c r="W382" s="2276">
        <v>0</v>
      </c>
      <c r="X382" s="2276">
        <v>0</v>
      </c>
      <c r="Y382" s="2276">
        <v>0</v>
      </c>
      <c r="Z382" s="2276">
        <v>0</v>
      </c>
      <c r="AA382" s="2276">
        <v>0</v>
      </c>
      <c r="AB382" s="2321">
        <v>0</v>
      </c>
      <c r="AC382" s="46"/>
      <c r="AE382" s="10"/>
      <c r="AF382" s="248"/>
      <c r="AG382" s="10"/>
      <c r="AH382" s="10"/>
    </row>
    <row r="383" spans="1:34" s="5" customFormat="1" ht="10.15" hidden="1" customHeight="1" x14ac:dyDescent="0.2">
      <c r="A383" s="10" t="s">
        <v>461</v>
      </c>
      <c r="C383" s="40"/>
      <c r="D383" s="52">
        <f>Structure!AY68</f>
        <v>10.25</v>
      </c>
      <c r="E383" s="53">
        <f t="shared" si="15"/>
        <v>2.75</v>
      </c>
      <c r="F383" s="54" t="e">
        <f t="shared" si="16"/>
        <v>#N/A</v>
      </c>
      <c r="J383" s="2618"/>
      <c r="K383" s="2619"/>
      <c r="L383" s="2619"/>
      <c r="M383" s="2620"/>
      <c r="N383" s="1106" t="s">
        <v>78</v>
      </c>
      <c r="O383" s="1085"/>
      <c r="P383" s="1085"/>
      <c r="Q383" s="1085"/>
      <c r="R383" s="102"/>
      <c r="S383" s="1824" t="s">
        <v>3354</v>
      </c>
      <c r="T383" s="2322">
        <v>-1.25</v>
      </c>
      <c r="U383" s="2282">
        <v>-1.25</v>
      </c>
      <c r="V383" s="2282">
        <v>-1.25</v>
      </c>
      <c r="W383" s="2282">
        <v>-1.25</v>
      </c>
      <c r="X383" s="2282">
        <v>-1.25</v>
      </c>
      <c r="Y383" s="2282">
        <v>-1.25</v>
      </c>
      <c r="Z383" s="2282">
        <v>-1.25</v>
      </c>
      <c r="AA383" s="2201" t="e">
        <v>#N/A</v>
      </c>
      <c r="AB383" s="2202" t="e">
        <v>#N/A</v>
      </c>
      <c r="AC383" s="46"/>
      <c r="AE383" s="10"/>
      <c r="AF383" s="248"/>
      <c r="AG383" s="10"/>
      <c r="AH383" s="10"/>
    </row>
    <row r="384" spans="1:34" s="5" customFormat="1" ht="10.15" hidden="1" customHeight="1" x14ac:dyDescent="0.2">
      <c r="A384" s="10" t="s">
        <v>461</v>
      </c>
      <c r="C384" s="40"/>
      <c r="D384" s="52">
        <f>Structure!AY69</f>
        <v>10.125</v>
      </c>
      <c r="E384" s="53">
        <f t="shared" si="15"/>
        <v>2.625</v>
      </c>
      <c r="F384" s="54" t="e">
        <f t="shared" si="16"/>
        <v>#N/A</v>
      </c>
      <c r="J384" s="2621"/>
      <c r="K384" s="2622"/>
      <c r="L384" s="2622"/>
      <c r="M384" s="2623"/>
      <c r="N384" s="1107" t="s">
        <v>77</v>
      </c>
      <c r="O384" s="1131"/>
      <c r="P384" s="1131"/>
      <c r="Q384" s="1131"/>
      <c r="R384" s="103"/>
      <c r="S384" s="1825" t="s">
        <v>3355</v>
      </c>
      <c r="T384" s="2324">
        <v>-0.75</v>
      </c>
      <c r="U384" s="2285">
        <v>-0.75</v>
      </c>
      <c r="V384" s="2285">
        <v>-0.75</v>
      </c>
      <c r="W384" s="2285">
        <v>-0.75</v>
      </c>
      <c r="X384" s="2285">
        <v>-0.75</v>
      </c>
      <c r="Y384" s="2285">
        <v>-0.75</v>
      </c>
      <c r="Z384" s="2285">
        <v>-0.75</v>
      </c>
      <c r="AA384" s="2203" t="e">
        <v>#N/A</v>
      </c>
      <c r="AB384" s="2204" t="e">
        <v>#N/A</v>
      </c>
      <c r="AC384" s="46"/>
      <c r="AE384" s="10"/>
      <c r="AF384" s="248"/>
      <c r="AG384" s="10"/>
      <c r="AH384" s="10"/>
    </row>
    <row r="385" spans="1:43" s="5" customFormat="1" ht="10.15" hidden="1" customHeight="1" x14ac:dyDescent="0.2">
      <c r="A385" s="10" t="s">
        <v>461</v>
      </c>
      <c r="C385" s="40"/>
      <c r="D385" s="52">
        <f>Structure!AY70</f>
        <v>10</v>
      </c>
      <c r="E385" s="53">
        <f t="shared" si="15"/>
        <v>2.5</v>
      </c>
      <c r="F385" s="54" t="e">
        <f t="shared" si="16"/>
        <v>#N/A</v>
      </c>
      <c r="J385" s="2578" t="s">
        <v>2</v>
      </c>
      <c r="K385" s="2579"/>
      <c r="L385" s="2579"/>
      <c r="M385" s="2580"/>
      <c r="N385" s="1086" t="s">
        <v>3356</v>
      </c>
      <c r="O385" s="1148"/>
      <c r="P385" s="1148"/>
      <c r="Q385" s="1148"/>
      <c r="R385" s="1809"/>
      <c r="S385" s="1826" t="s">
        <v>3357</v>
      </c>
      <c r="T385" s="2205">
        <v>1.5</v>
      </c>
      <c r="U385" s="2206">
        <v>1.5</v>
      </c>
      <c r="V385" s="2206">
        <v>1.5</v>
      </c>
      <c r="W385" s="2206">
        <v>1.5</v>
      </c>
      <c r="X385" s="2206">
        <v>1.5</v>
      </c>
      <c r="Y385" s="2206">
        <v>1.5</v>
      </c>
      <c r="Z385" s="2206">
        <v>1.5</v>
      </c>
      <c r="AA385" s="2206">
        <v>0</v>
      </c>
      <c r="AB385" s="2207">
        <v>0</v>
      </c>
      <c r="AC385" s="46"/>
      <c r="AE385" s="10"/>
      <c r="AF385" s="248"/>
      <c r="AG385" s="10"/>
      <c r="AH385" s="10"/>
    </row>
    <row r="386" spans="1:43" s="5" customFormat="1" ht="10.15" hidden="1" customHeight="1" x14ac:dyDescent="0.2">
      <c r="A386" s="10" t="s">
        <v>461</v>
      </c>
      <c r="C386" s="40"/>
      <c r="D386" s="52">
        <f>Structure!AY71</f>
        <v>9.875</v>
      </c>
      <c r="E386" s="53">
        <f t="shared" si="15"/>
        <v>2.375</v>
      </c>
      <c r="F386" s="54" t="e">
        <f t="shared" si="16"/>
        <v>#N/A</v>
      </c>
      <c r="J386" s="2581"/>
      <c r="K386" s="2582"/>
      <c r="L386" s="2582"/>
      <c r="M386" s="2583"/>
      <c r="N386" s="1087" t="s">
        <v>3358</v>
      </c>
      <c r="O386" s="1149"/>
      <c r="P386" s="1149"/>
      <c r="Q386" s="1149"/>
      <c r="R386" s="1810"/>
      <c r="S386" s="1827" t="s">
        <v>3359</v>
      </c>
      <c r="T386" s="2208">
        <v>0</v>
      </c>
      <c r="U386" s="2209">
        <v>0</v>
      </c>
      <c r="V386" s="2209">
        <v>0</v>
      </c>
      <c r="W386" s="2209">
        <v>0</v>
      </c>
      <c r="X386" s="2209">
        <v>0</v>
      </c>
      <c r="Y386" s="2209">
        <v>0</v>
      </c>
      <c r="Z386" s="2209">
        <v>0</v>
      </c>
      <c r="AA386" s="2209">
        <v>0</v>
      </c>
      <c r="AB386" s="2210">
        <v>0</v>
      </c>
      <c r="AC386" s="46"/>
      <c r="AE386" s="10"/>
      <c r="AF386" s="248"/>
      <c r="AG386" s="10"/>
      <c r="AH386" s="10"/>
    </row>
    <row r="387" spans="1:43" s="5" customFormat="1" ht="10.15" hidden="1" customHeight="1" x14ac:dyDescent="0.2">
      <c r="A387" s="10" t="s">
        <v>461</v>
      </c>
      <c r="C387" s="40"/>
      <c r="D387" s="52">
        <f>Structure!AY72</f>
        <v>9.75</v>
      </c>
      <c r="E387" s="53">
        <f t="shared" si="15"/>
        <v>2.25</v>
      </c>
      <c r="F387" s="54" t="e">
        <f t="shared" si="16"/>
        <v>#N/A</v>
      </c>
      <c r="J387" s="2581"/>
      <c r="K387" s="2582"/>
      <c r="L387" s="2582"/>
      <c r="M387" s="2583"/>
      <c r="N387" s="1087" t="s">
        <v>3360</v>
      </c>
      <c r="O387" s="1149"/>
      <c r="P387" s="1149"/>
      <c r="Q387" s="1149"/>
      <c r="R387" s="1810"/>
      <c r="S387" s="1827" t="s">
        <v>3361</v>
      </c>
      <c r="T387" s="2208">
        <v>1.5</v>
      </c>
      <c r="U387" s="2209">
        <v>1.5</v>
      </c>
      <c r="V387" s="2209">
        <v>1.5</v>
      </c>
      <c r="W387" s="2209">
        <v>1.5</v>
      </c>
      <c r="X387" s="2209">
        <v>1.5</v>
      </c>
      <c r="Y387" s="2209">
        <v>1.5</v>
      </c>
      <c r="Z387" s="2209">
        <v>1.5</v>
      </c>
      <c r="AA387" s="2209">
        <v>0</v>
      </c>
      <c r="AB387" s="2210">
        <v>0</v>
      </c>
      <c r="AC387" s="46"/>
      <c r="AE387" s="10"/>
      <c r="AF387" s="248"/>
      <c r="AG387" s="10"/>
      <c r="AH387" s="10"/>
    </row>
    <row r="388" spans="1:43" s="5" customFormat="1" ht="10.15" hidden="1" customHeight="1" x14ac:dyDescent="0.2">
      <c r="A388" s="10" t="s">
        <v>461</v>
      </c>
      <c r="C388" s="40"/>
      <c r="D388" s="52">
        <f>Structure!AY73</f>
        <v>9.625</v>
      </c>
      <c r="E388" s="53">
        <f t="shared" si="15"/>
        <v>2.125</v>
      </c>
      <c r="F388" s="54" t="e">
        <f t="shared" si="16"/>
        <v>#N/A</v>
      </c>
      <c r="J388" s="2581"/>
      <c r="K388" s="2582"/>
      <c r="L388" s="2582"/>
      <c r="M388" s="2583"/>
      <c r="N388" s="1088" t="s">
        <v>3362</v>
      </c>
      <c r="O388" s="1090"/>
      <c r="P388" s="1090"/>
      <c r="Q388" s="1090"/>
      <c r="R388" s="110"/>
      <c r="S388" s="1824" t="s">
        <v>3363</v>
      </c>
      <c r="T388" s="2208">
        <v>0</v>
      </c>
      <c r="U388" s="2209">
        <v>0</v>
      </c>
      <c r="V388" s="2209">
        <v>0</v>
      </c>
      <c r="W388" s="2209">
        <v>0</v>
      </c>
      <c r="X388" s="2209">
        <v>0</v>
      </c>
      <c r="Y388" s="2209">
        <v>0</v>
      </c>
      <c r="Z388" s="2209">
        <v>0</v>
      </c>
      <c r="AA388" s="2209">
        <v>0</v>
      </c>
      <c r="AB388" s="2210">
        <v>0</v>
      </c>
      <c r="AC388" s="46"/>
      <c r="AE388" s="10"/>
      <c r="AF388" s="248"/>
      <c r="AG388" s="10"/>
      <c r="AH388" s="10"/>
    </row>
    <row r="389" spans="1:43" s="5" customFormat="1" ht="10.15" hidden="1" customHeight="1" x14ac:dyDescent="0.2">
      <c r="A389" s="10" t="s">
        <v>463</v>
      </c>
      <c r="C389" s="40"/>
      <c r="D389" s="52">
        <f>Structure!AY74</f>
        <v>9.5</v>
      </c>
      <c r="E389" s="53">
        <f t="shared" si="15"/>
        <v>2</v>
      </c>
      <c r="F389" s="54" t="e">
        <f t="shared" si="16"/>
        <v>#N/A</v>
      </c>
      <c r="J389" s="2581"/>
      <c r="K389" s="2582"/>
      <c r="L389" s="2582"/>
      <c r="M389" s="2583"/>
      <c r="N389" s="1108" t="s">
        <v>98</v>
      </c>
      <c r="O389" s="1100"/>
      <c r="P389" s="1100"/>
      <c r="Q389" s="1100"/>
      <c r="R389" s="104"/>
      <c r="S389" s="1828" t="s">
        <v>3364</v>
      </c>
      <c r="T389" s="2211" t="e">
        <v>#N/A</v>
      </c>
      <c r="U389" s="2063" t="e">
        <v>#N/A</v>
      </c>
      <c r="V389" s="2063" t="e">
        <v>#N/A</v>
      </c>
      <c r="W389" s="2063" t="e">
        <v>#N/A</v>
      </c>
      <c r="X389" s="2063" t="e">
        <v>#N/A</v>
      </c>
      <c r="Y389" s="2063" t="e">
        <v>#N/A</v>
      </c>
      <c r="Z389" s="2063" t="e">
        <v>#N/A</v>
      </c>
      <c r="AA389" s="2063" t="e">
        <v>#N/A</v>
      </c>
      <c r="AB389" s="2212" t="e">
        <v>#N/A</v>
      </c>
      <c r="AC389" s="46"/>
      <c r="AE389" s="10"/>
      <c r="AF389" s="248"/>
      <c r="AG389" s="10"/>
      <c r="AH389" s="10"/>
    </row>
    <row r="390" spans="1:43" s="5" customFormat="1" ht="10.15" hidden="1" customHeight="1" x14ac:dyDescent="0.2">
      <c r="A390" s="10" t="s">
        <v>461</v>
      </c>
      <c r="C390" s="40"/>
      <c r="D390" s="52">
        <f>Structure!AY75</f>
        <v>9.375</v>
      </c>
      <c r="E390" s="53">
        <f t="shared" si="15"/>
        <v>1.875</v>
      </c>
      <c r="F390" s="54" t="e">
        <f t="shared" si="16"/>
        <v>#N/A</v>
      </c>
      <c r="J390" s="2584"/>
      <c r="K390" s="2585"/>
      <c r="L390" s="2585"/>
      <c r="M390" s="2586"/>
      <c r="N390" s="1109" t="s">
        <v>4</v>
      </c>
      <c r="O390" s="1102"/>
      <c r="P390" s="1102"/>
      <c r="Q390" s="1102"/>
      <c r="R390" s="105"/>
      <c r="S390" s="1829" t="s">
        <v>3365</v>
      </c>
      <c r="T390" s="2328">
        <v>0</v>
      </c>
      <c r="U390" s="2329">
        <v>0</v>
      </c>
      <c r="V390" s="2329">
        <v>0</v>
      </c>
      <c r="W390" s="2329">
        <v>0</v>
      </c>
      <c r="X390" s="2329">
        <v>0</v>
      </c>
      <c r="Y390" s="2329">
        <v>0</v>
      </c>
      <c r="Z390" s="2329">
        <v>0</v>
      </c>
      <c r="AA390" s="2329">
        <v>0</v>
      </c>
      <c r="AB390" s="2319">
        <v>0</v>
      </c>
      <c r="AC390" s="46"/>
      <c r="AE390" s="10"/>
      <c r="AF390" s="248"/>
      <c r="AG390" s="10"/>
      <c r="AH390" s="10"/>
    </row>
    <row r="391" spans="1:43" s="5" customFormat="1" ht="10.15" hidden="1" customHeight="1" x14ac:dyDescent="0.2">
      <c r="A391" s="10" t="s">
        <v>463</v>
      </c>
      <c r="C391" s="40"/>
      <c r="J391" s="2578" t="s">
        <v>8</v>
      </c>
      <c r="K391" s="2579"/>
      <c r="L391" s="2579"/>
      <c r="M391" s="2580"/>
      <c r="N391" s="1110" t="s">
        <v>2119</v>
      </c>
      <c r="O391" s="1110"/>
      <c r="P391" s="1110"/>
      <c r="Q391" s="1110"/>
      <c r="R391" s="1811"/>
      <c r="S391" s="1828" t="s">
        <v>3537</v>
      </c>
      <c r="T391" s="2211" t="e">
        <v>#N/A</v>
      </c>
      <c r="U391" s="2063" t="e">
        <v>#N/A</v>
      </c>
      <c r="V391" s="2063" t="e">
        <v>#N/A</v>
      </c>
      <c r="W391" s="2063" t="e">
        <v>#N/A</v>
      </c>
      <c r="X391" s="2063" t="e">
        <v>#N/A</v>
      </c>
      <c r="Y391" s="2063" t="e">
        <v>#N/A</v>
      </c>
      <c r="Z391" s="2063" t="e">
        <v>#N/A</v>
      </c>
      <c r="AA391" s="2063" t="e">
        <v>#N/A</v>
      </c>
      <c r="AB391" s="2212" t="e">
        <v>#N/A</v>
      </c>
      <c r="AC391" s="46"/>
      <c r="AE391" s="10"/>
      <c r="AF391" s="248"/>
      <c r="AG391" s="10"/>
      <c r="AH391" s="10"/>
    </row>
    <row r="392" spans="1:43" s="5" customFormat="1" ht="10.15" hidden="1" customHeight="1" x14ac:dyDescent="0.2">
      <c r="A392" s="10" t="s">
        <v>461</v>
      </c>
      <c r="C392" s="40"/>
      <c r="D392" s="52">
        <f>Structure!AY76</f>
        <v>9.25</v>
      </c>
      <c r="E392" s="53">
        <f t="shared" ref="E392:E400" si="17">INDEX(Lookup_NoteRateAll,MATCH("PH_"&amp;RIGHT("000"&amp;TRUNC(D392),3)&amp;TEXT(D392-TRUNC(D392),".0000000000"),Lookup_NoteRateText,0),7)</f>
        <v>1.75</v>
      </c>
      <c r="F392" s="54" t="e">
        <f t="shared" ref="F392:F400" si="18">INDEX(Lookup_NoteRateAll,MATCH("PH_"&amp;RIGHT("000"&amp;TRUNC(D392),3)&amp;TEXT(D392-TRUNC(D392),".0000000000"),Lookup_NoteRateText,0),4)</f>
        <v>#N/A</v>
      </c>
      <c r="J392" s="2581"/>
      <c r="K392" s="2582"/>
      <c r="L392" s="2582"/>
      <c r="M392" s="2583"/>
      <c r="N392" s="1089" t="s">
        <v>2120</v>
      </c>
      <c r="O392" s="1089"/>
      <c r="P392" s="1089"/>
      <c r="Q392" s="1089"/>
      <c r="R392" s="241"/>
      <c r="S392" s="1830" t="s">
        <v>3536</v>
      </c>
      <c r="T392" s="2330">
        <v>-0.25</v>
      </c>
      <c r="U392" s="2331">
        <v>-0.25</v>
      </c>
      <c r="V392" s="2331">
        <v>-0.25</v>
      </c>
      <c r="W392" s="2331">
        <v>-0.25</v>
      </c>
      <c r="X392" s="2331">
        <v>-0.25</v>
      </c>
      <c r="Y392" s="2331">
        <v>-0.25</v>
      </c>
      <c r="Z392" s="2331">
        <v>-0.25</v>
      </c>
      <c r="AA392" s="2331">
        <v>-0.25</v>
      </c>
      <c r="AB392" s="2332">
        <v>-0.25</v>
      </c>
      <c r="AC392" s="46"/>
      <c r="AE392" s="10"/>
      <c r="AF392" s="248"/>
      <c r="AG392" s="10"/>
      <c r="AH392" s="10"/>
    </row>
    <row r="393" spans="1:43" s="5" customFormat="1" ht="10.15" hidden="1" customHeight="1" x14ac:dyDescent="0.2">
      <c r="A393" s="10" t="s">
        <v>461</v>
      </c>
      <c r="C393" s="40"/>
      <c r="D393" s="52">
        <f>Structure!AY77</f>
        <v>9.125</v>
      </c>
      <c r="E393" s="53">
        <f t="shared" si="17"/>
        <v>1.625</v>
      </c>
      <c r="F393" s="54" t="e">
        <f t="shared" si="18"/>
        <v>#N/A</v>
      </c>
      <c r="J393" s="2581"/>
      <c r="K393" s="2582"/>
      <c r="L393" s="2582"/>
      <c r="M393" s="2583"/>
      <c r="N393" s="1089" t="s">
        <v>1313</v>
      </c>
      <c r="O393" s="1089"/>
      <c r="P393" s="1089"/>
      <c r="Q393" s="1089"/>
      <c r="R393" s="241"/>
      <c r="S393" s="1830" t="s">
        <v>3366</v>
      </c>
      <c r="T393" s="2330">
        <v>-0.25</v>
      </c>
      <c r="U393" s="2331">
        <v>-0.25</v>
      </c>
      <c r="V393" s="2331">
        <v>-0.25</v>
      </c>
      <c r="W393" s="2331">
        <v>-0.25</v>
      </c>
      <c r="X393" s="2331">
        <v>-0.25</v>
      </c>
      <c r="Y393" s="2331">
        <v>-0.25</v>
      </c>
      <c r="Z393" s="2331">
        <v>-0.25</v>
      </c>
      <c r="AA393" s="2331">
        <v>-0.25</v>
      </c>
      <c r="AB393" s="2332">
        <v>-0.25</v>
      </c>
      <c r="AC393" s="46"/>
      <c r="AE393" s="10"/>
      <c r="AF393" s="248"/>
      <c r="AG393" s="10"/>
      <c r="AH393" s="10"/>
    </row>
    <row r="394" spans="1:43" s="5" customFormat="1" ht="10.15" hidden="1" customHeight="1" x14ac:dyDescent="0.2">
      <c r="A394" s="10" t="s">
        <v>461</v>
      </c>
      <c r="C394" s="40"/>
      <c r="D394" s="52">
        <f>Structure!AY78</f>
        <v>9</v>
      </c>
      <c r="E394" s="53">
        <f t="shared" si="17"/>
        <v>1.5</v>
      </c>
      <c r="F394" s="54" t="e">
        <f t="shared" si="18"/>
        <v>#N/A</v>
      </c>
      <c r="J394" s="2581"/>
      <c r="K394" s="2582"/>
      <c r="L394" s="2582"/>
      <c r="M394" s="2583"/>
      <c r="N394" s="1089" t="s">
        <v>1314</v>
      </c>
      <c r="O394" s="1089"/>
      <c r="P394" s="1089"/>
      <c r="Q394" s="1089"/>
      <c r="R394" s="241"/>
      <c r="S394" s="1830" t="s">
        <v>3367</v>
      </c>
      <c r="T394" s="2330">
        <v>-0.125</v>
      </c>
      <c r="U394" s="2331">
        <v>-0.125</v>
      </c>
      <c r="V394" s="2331">
        <v>-0.125</v>
      </c>
      <c r="W394" s="2331">
        <v>-0.125</v>
      </c>
      <c r="X394" s="2331">
        <v>-0.125</v>
      </c>
      <c r="Y394" s="2331">
        <v>-0.125</v>
      </c>
      <c r="Z394" s="2331">
        <v>-0.125</v>
      </c>
      <c r="AA394" s="2331">
        <v>-0.125</v>
      </c>
      <c r="AB394" s="2332">
        <v>-0.125</v>
      </c>
      <c r="AC394" s="46"/>
      <c r="AE394" s="10"/>
      <c r="AF394" s="248"/>
      <c r="AG394" s="10"/>
      <c r="AH394" s="10"/>
    </row>
    <row r="395" spans="1:43" s="5" customFormat="1" ht="10.15" hidden="1" customHeight="1" x14ac:dyDescent="0.2">
      <c r="A395" s="10" t="s">
        <v>461</v>
      </c>
      <c r="C395" s="40"/>
      <c r="D395" s="52">
        <f>Structure!AY79</f>
        <v>8.875</v>
      </c>
      <c r="E395" s="53">
        <f t="shared" si="17"/>
        <v>1.375</v>
      </c>
      <c r="F395" s="54" t="e">
        <f t="shared" si="18"/>
        <v>#N/A</v>
      </c>
      <c r="J395" s="2581"/>
      <c r="K395" s="2582"/>
      <c r="L395" s="2582"/>
      <c r="M395" s="2583"/>
      <c r="N395" s="1089" t="s">
        <v>1315</v>
      </c>
      <c r="O395" s="1089"/>
      <c r="P395" s="1089"/>
      <c r="Q395" s="1089"/>
      <c r="R395" s="241"/>
      <c r="S395" s="1830" t="s">
        <v>3368</v>
      </c>
      <c r="T395" s="2330">
        <v>0</v>
      </c>
      <c r="U395" s="2331">
        <v>0</v>
      </c>
      <c r="V395" s="2331">
        <v>0</v>
      </c>
      <c r="W395" s="2331">
        <v>0</v>
      </c>
      <c r="X395" s="2331">
        <v>0</v>
      </c>
      <c r="Y395" s="2331">
        <v>0</v>
      </c>
      <c r="Z395" s="2331">
        <v>0</v>
      </c>
      <c r="AA395" s="2331">
        <v>0</v>
      </c>
      <c r="AB395" s="2332">
        <v>0</v>
      </c>
      <c r="AC395" s="46"/>
      <c r="AE395" s="10"/>
      <c r="AF395" s="248"/>
      <c r="AG395" s="10"/>
      <c r="AH395" s="10"/>
    </row>
    <row r="396" spans="1:43" s="5" customFormat="1" ht="10.15" hidden="1" customHeight="1" x14ac:dyDescent="0.2">
      <c r="A396" s="10" t="s">
        <v>461</v>
      </c>
      <c r="C396" s="40"/>
      <c r="D396" s="52">
        <f>Structure!AY80</f>
        <v>8.75</v>
      </c>
      <c r="E396" s="53">
        <f t="shared" si="17"/>
        <v>1.25</v>
      </c>
      <c r="F396" s="54" t="e">
        <f t="shared" si="18"/>
        <v>#N/A</v>
      </c>
      <c r="J396" s="2581"/>
      <c r="K396" s="2582"/>
      <c r="L396" s="2582"/>
      <c r="M396" s="2583"/>
      <c r="N396" s="1089" t="s">
        <v>1316</v>
      </c>
      <c r="O396" s="1089"/>
      <c r="P396" s="1089"/>
      <c r="Q396" s="1089"/>
      <c r="R396" s="241"/>
      <c r="S396" s="1830" t="s">
        <v>3369</v>
      </c>
      <c r="T396" s="2330">
        <v>0</v>
      </c>
      <c r="U396" s="2331">
        <v>0</v>
      </c>
      <c r="V396" s="2331">
        <v>0</v>
      </c>
      <c r="W396" s="2331">
        <v>0</v>
      </c>
      <c r="X396" s="2331">
        <v>0</v>
      </c>
      <c r="Y396" s="2331">
        <v>0</v>
      </c>
      <c r="Z396" s="2331">
        <v>0</v>
      </c>
      <c r="AA396" s="2331">
        <v>0</v>
      </c>
      <c r="AB396" s="2332">
        <v>0</v>
      </c>
      <c r="AC396" s="46"/>
      <c r="AE396" s="10"/>
      <c r="AF396" s="248"/>
      <c r="AG396" s="10"/>
      <c r="AH396" s="10"/>
    </row>
    <row r="397" spans="1:43" s="5" customFormat="1" ht="10.15" hidden="1" customHeight="1" x14ac:dyDescent="0.2">
      <c r="A397" s="10" t="s">
        <v>461</v>
      </c>
      <c r="C397" s="40"/>
      <c r="D397" s="52">
        <f>Structure!AY81</f>
        <v>8.625</v>
      </c>
      <c r="E397" s="53">
        <f t="shared" si="17"/>
        <v>1.125</v>
      </c>
      <c r="F397" s="54" t="e">
        <f t="shared" si="18"/>
        <v>#N/A</v>
      </c>
      <c r="J397" s="2581"/>
      <c r="K397" s="2582"/>
      <c r="L397" s="2582"/>
      <c r="M397" s="2583"/>
      <c r="N397" s="1088" t="s">
        <v>1317</v>
      </c>
      <c r="O397" s="1090"/>
      <c r="P397" s="1090"/>
      <c r="Q397" s="1090"/>
      <c r="R397" s="110"/>
      <c r="S397" s="1830" t="s">
        <v>3370</v>
      </c>
      <c r="T397" s="2322">
        <v>0</v>
      </c>
      <c r="U397" s="2282">
        <v>0</v>
      </c>
      <c r="V397" s="2282">
        <v>0</v>
      </c>
      <c r="W397" s="2282">
        <v>0</v>
      </c>
      <c r="X397" s="2282">
        <v>0</v>
      </c>
      <c r="Y397" s="2282">
        <v>0</v>
      </c>
      <c r="Z397" s="2282">
        <v>0</v>
      </c>
      <c r="AA397" s="2282">
        <v>0</v>
      </c>
      <c r="AB397" s="2323">
        <v>0</v>
      </c>
      <c r="AC397" s="46"/>
      <c r="AE397" s="10"/>
      <c r="AF397" s="248"/>
      <c r="AG397" s="10"/>
      <c r="AH397" s="10"/>
    </row>
    <row r="398" spans="1:43" s="5" customFormat="1" ht="10.15" hidden="1" customHeight="1" x14ac:dyDescent="0.2">
      <c r="A398" s="10" t="s">
        <v>461</v>
      </c>
      <c r="C398" s="40"/>
      <c r="D398" s="52">
        <f>Structure!AY82</f>
        <v>8.5</v>
      </c>
      <c r="E398" s="53">
        <f t="shared" si="17"/>
        <v>1</v>
      </c>
      <c r="F398" s="54" t="e">
        <f t="shared" si="18"/>
        <v>#N/A</v>
      </c>
      <c r="J398" s="2581"/>
      <c r="K398" s="2582"/>
      <c r="L398" s="2582"/>
      <c r="M398" s="2583"/>
      <c r="N398" s="1088" t="s">
        <v>311</v>
      </c>
      <c r="O398" s="1090"/>
      <c r="P398" s="1090"/>
      <c r="Q398" s="1090"/>
      <c r="R398" s="110"/>
      <c r="S398" s="1824" t="s">
        <v>3371</v>
      </c>
      <c r="T398" s="2322">
        <v>0</v>
      </c>
      <c r="U398" s="2282">
        <v>0</v>
      </c>
      <c r="V398" s="2282">
        <v>0</v>
      </c>
      <c r="W398" s="2282">
        <v>0</v>
      </c>
      <c r="X398" s="2282">
        <v>0</v>
      </c>
      <c r="Y398" s="2282">
        <v>0</v>
      </c>
      <c r="Z398" s="2282">
        <v>0</v>
      </c>
      <c r="AA398" s="2282">
        <v>0</v>
      </c>
      <c r="AB398" s="2323">
        <v>0</v>
      </c>
      <c r="AC398" s="46"/>
      <c r="AE398" s="10"/>
      <c r="AF398" s="248"/>
      <c r="AG398" s="10"/>
      <c r="AH398" s="10"/>
    </row>
    <row r="399" spans="1:43" s="5" customFormat="1" ht="10.15" hidden="1" customHeight="1" x14ac:dyDescent="0.2">
      <c r="A399" s="10" t="s">
        <v>461</v>
      </c>
      <c r="C399" s="40"/>
      <c r="D399" s="52">
        <f>Structure!AY83</f>
        <v>8.375</v>
      </c>
      <c r="E399" s="53">
        <f t="shared" si="17"/>
        <v>0.875</v>
      </c>
      <c r="F399" s="54" t="e">
        <f t="shared" si="18"/>
        <v>#N/A</v>
      </c>
      <c r="J399" s="2581"/>
      <c r="K399" s="2582"/>
      <c r="L399" s="2582"/>
      <c r="M399" s="2583"/>
      <c r="N399" s="1088" t="s">
        <v>251</v>
      </c>
      <c r="O399" s="1090"/>
      <c r="P399" s="1090"/>
      <c r="Q399" s="1090"/>
      <c r="R399" s="110"/>
      <c r="S399" s="1824" t="s">
        <v>3372</v>
      </c>
      <c r="T399" s="2322">
        <v>0</v>
      </c>
      <c r="U399" s="2282">
        <v>0</v>
      </c>
      <c r="V399" s="2282">
        <v>0</v>
      </c>
      <c r="W399" s="2282">
        <v>0</v>
      </c>
      <c r="X399" s="2282">
        <v>0</v>
      </c>
      <c r="Y399" s="2282">
        <v>0</v>
      </c>
      <c r="Z399" s="2282">
        <v>0</v>
      </c>
      <c r="AA399" s="2282">
        <v>0</v>
      </c>
      <c r="AB399" s="2323">
        <v>0</v>
      </c>
      <c r="AC399" s="46"/>
      <c r="AE399" s="10"/>
      <c r="AF399" s="248"/>
      <c r="AG399" s="10"/>
      <c r="AH399" s="10"/>
    </row>
    <row r="400" spans="1:43" ht="10.15" hidden="1" customHeight="1" x14ac:dyDescent="0.25">
      <c r="A400" s="10" t="s">
        <v>461</v>
      </c>
      <c r="C400" s="40"/>
      <c r="D400" s="52">
        <f>Structure!AY84</f>
        <v>8.25</v>
      </c>
      <c r="E400" s="53">
        <f t="shared" si="17"/>
        <v>0.75</v>
      </c>
      <c r="F400" s="54" t="e">
        <f t="shared" si="18"/>
        <v>#N/A</v>
      </c>
      <c r="G400" s="5"/>
      <c r="H400" s="5"/>
      <c r="I400" s="5"/>
      <c r="J400" s="2581"/>
      <c r="K400" s="2582"/>
      <c r="L400" s="2582"/>
      <c r="M400" s="2583"/>
      <c r="N400" s="1088" t="s">
        <v>12</v>
      </c>
      <c r="O400" s="1090"/>
      <c r="P400" s="1090"/>
      <c r="Q400" s="1090"/>
      <c r="R400" s="110"/>
      <c r="S400" s="1824" t="s">
        <v>3373</v>
      </c>
      <c r="T400" s="2322">
        <v>0</v>
      </c>
      <c r="U400" s="2282">
        <v>0</v>
      </c>
      <c r="V400" s="2282">
        <v>0</v>
      </c>
      <c r="W400" s="2282">
        <v>0</v>
      </c>
      <c r="X400" s="2282">
        <v>0</v>
      </c>
      <c r="Y400" s="2282">
        <v>0</v>
      </c>
      <c r="Z400" s="2282">
        <v>0</v>
      </c>
      <c r="AA400" s="2282">
        <v>0</v>
      </c>
      <c r="AB400" s="2323">
        <v>0</v>
      </c>
      <c r="AC400" s="46"/>
      <c r="AF400" s="248"/>
      <c r="AK400"/>
      <c r="AL400"/>
      <c r="AM400"/>
      <c r="AN400"/>
      <c r="AO400"/>
      <c r="AP400"/>
      <c r="AQ400"/>
    </row>
    <row r="401" spans="1:43" ht="10.15" hidden="1" customHeight="1" x14ac:dyDescent="0.25">
      <c r="A401" s="10" t="s">
        <v>463</v>
      </c>
      <c r="C401" s="40"/>
      <c r="D401" s="52">
        <f>Structure!AY86</f>
        <v>8</v>
      </c>
      <c r="E401" s="53">
        <f t="shared" si="15"/>
        <v>0.5</v>
      </c>
      <c r="F401" s="54" t="e">
        <f t="shared" si="16"/>
        <v>#N/A</v>
      </c>
      <c r="G401" s="5"/>
      <c r="H401" s="5"/>
      <c r="I401" s="5"/>
      <c r="J401" s="2581"/>
      <c r="K401" s="2582"/>
      <c r="L401" s="2582"/>
      <c r="M401" s="2583"/>
      <c r="N401" s="1088" t="s">
        <v>13</v>
      </c>
      <c r="O401" s="1090"/>
      <c r="P401" s="1090"/>
      <c r="Q401" s="1090"/>
      <c r="R401" s="110"/>
      <c r="S401" s="1824" t="s">
        <v>3374</v>
      </c>
      <c r="T401" s="2213" t="e">
        <v>#N/A</v>
      </c>
      <c r="U401" s="2057" t="e">
        <v>#N/A</v>
      </c>
      <c r="V401" s="2057" t="e">
        <v>#N/A</v>
      </c>
      <c r="W401" s="2057" t="e">
        <v>#N/A</v>
      </c>
      <c r="X401" s="2057" t="e">
        <v>#N/A</v>
      </c>
      <c r="Y401" s="2057" t="e">
        <v>#N/A</v>
      </c>
      <c r="Z401" s="2057" t="e">
        <v>#N/A</v>
      </c>
      <c r="AA401" s="2057" t="e">
        <v>#N/A</v>
      </c>
      <c r="AB401" s="2214" t="e">
        <v>#N/A</v>
      </c>
      <c r="AC401" s="46"/>
      <c r="AF401" s="248"/>
      <c r="AK401"/>
      <c r="AL401"/>
      <c r="AM401"/>
      <c r="AN401"/>
      <c r="AO401"/>
      <c r="AP401"/>
      <c r="AQ401"/>
    </row>
    <row r="402" spans="1:43" s="5" customFormat="1" ht="10.15" hidden="1" customHeight="1" x14ac:dyDescent="0.2">
      <c r="A402" s="10" t="s">
        <v>463</v>
      </c>
      <c r="C402" s="40"/>
      <c r="J402" s="2581"/>
      <c r="K402" s="2582"/>
      <c r="L402" s="2582"/>
      <c r="M402" s="2583"/>
      <c r="N402" s="1088" t="s">
        <v>89</v>
      </c>
      <c r="O402" s="1090"/>
      <c r="P402" s="1090"/>
      <c r="Q402" s="1090"/>
      <c r="R402" s="110"/>
      <c r="S402" s="1824" t="s">
        <v>3376</v>
      </c>
      <c r="T402" s="2213" t="e">
        <v>#N/A</v>
      </c>
      <c r="U402" s="2057" t="e">
        <v>#N/A</v>
      </c>
      <c r="V402" s="2057" t="e">
        <v>#N/A</v>
      </c>
      <c r="W402" s="2057" t="e">
        <v>#N/A</v>
      </c>
      <c r="X402" s="2057" t="e">
        <v>#N/A</v>
      </c>
      <c r="Y402" s="2057" t="e">
        <v>#N/A</v>
      </c>
      <c r="Z402" s="2057" t="e">
        <v>#N/A</v>
      </c>
      <c r="AA402" s="2057" t="e">
        <v>#N/A</v>
      </c>
      <c r="AB402" s="2214" t="e">
        <v>#N/A</v>
      </c>
      <c r="AC402" s="46"/>
      <c r="AE402" s="10"/>
      <c r="AF402" s="248"/>
      <c r="AG402" s="10"/>
      <c r="AH402" s="10"/>
    </row>
    <row r="403" spans="1:43" s="5" customFormat="1" ht="10.15" hidden="1" customHeight="1" x14ac:dyDescent="0.2">
      <c r="A403" s="10" t="s">
        <v>463</v>
      </c>
      <c r="C403" s="40"/>
      <c r="J403" s="2581"/>
      <c r="K403" s="2582"/>
      <c r="L403" s="2582"/>
      <c r="M403" s="2583"/>
      <c r="N403" s="1088" t="s">
        <v>86</v>
      </c>
      <c r="O403" s="1090"/>
      <c r="P403" s="1090"/>
      <c r="Q403" s="1090"/>
      <c r="R403" s="110"/>
      <c r="S403" s="1824" t="s">
        <v>3377</v>
      </c>
      <c r="T403" s="2213" t="e">
        <v>#N/A</v>
      </c>
      <c r="U403" s="2057" t="e">
        <v>#N/A</v>
      </c>
      <c r="V403" s="2057" t="e">
        <v>#N/A</v>
      </c>
      <c r="W403" s="2057" t="e">
        <v>#N/A</v>
      </c>
      <c r="X403" s="2057" t="e">
        <v>#N/A</v>
      </c>
      <c r="Y403" s="2057" t="e">
        <v>#N/A</v>
      </c>
      <c r="Z403" s="2057" t="e">
        <v>#N/A</v>
      </c>
      <c r="AA403" s="2057" t="e">
        <v>#N/A</v>
      </c>
      <c r="AB403" s="2214" t="e">
        <v>#N/A</v>
      </c>
      <c r="AC403" s="46"/>
      <c r="AE403" s="10"/>
      <c r="AF403" s="248"/>
      <c r="AG403" s="10"/>
      <c r="AH403" s="10"/>
    </row>
    <row r="404" spans="1:43" s="5" customFormat="1" ht="10.15" hidden="1" customHeight="1" x14ac:dyDescent="0.2">
      <c r="A404" s="10" t="s">
        <v>463</v>
      </c>
      <c r="C404" s="40"/>
      <c r="J404" s="2581"/>
      <c r="K404" s="2582"/>
      <c r="L404" s="2582"/>
      <c r="M404" s="2583"/>
      <c r="N404" s="1088" t="s">
        <v>87</v>
      </c>
      <c r="O404" s="1090"/>
      <c r="P404" s="1090"/>
      <c r="Q404" s="1090"/>
      <c r="R404" s="110"/>
      <c r="S404" s="1824" t="s">
        <v>3378</v>
      </c>
      <c r="T404" s="2213" t="e">
        <v>#N/A</v>
      </c>
      <c r="U404" s="2057" t="e">
        <v>#N/A</v>
      </c>
      <c r="V404" s="2057" t="e">
        <v>#N/A</v>
      </c>
      <c r="W404" s="2057" t="e">
        <v>#N/A</v>
      </c>
      <c r="X404" s="2057" t="e">
        <v>#N/A</v>
      </c>
      <c r="Y404" s="2057" t="e">
        <v>#N/A</v>
      </c>
      <c r="Z404" s="2057" t="e">
        <v>#N/A</v>
      </c>
      <c r="AA404" s="2057" t="e">
        <v>#N/A</v>
      </c>
      <c r="AB404" s="2214" t="e">
        <v>#N/A</v>
      </c>
      <c r="AC404" s="46"/>
      <c r="AE404" s="10"/>
      <c r="AF404" s="248"/>
      <c r="AG404" s="10"/>
      <c r="AH404" s="10"/>
    </row>
    <row r="405" spans="1:43" s="5" customFormat="1" ht="10.15" hidden="1" customHeight="1" x14ac:dyDescent="0.2">
      <c r="A405" s="10" t="s">
        <v>463</v>
      </c>
      <c r="C405" s="40"/>
      <c r="J405" s="2581"/>
      <c r="K405" s="2582"/>
      <c r="L405" s="2582"/>
      <c r="M405" s="2583"/>
      <c r="N405" s="1088" t="s">
        <v>145</v>
      </c>
      <c r="O405" s="1090"/>
      <c r="P405" s="1090"/>
      <c r="Q405" s="1090"/>
      <c r="R405" s="110"/>
      <c r="S405" s="1824" t="s">
        <v>3379</v>
      </c>
      <c r="T405" s="2213" t="e">
        <v>#N/A</v>
      </c>
      <c r="U405" s="2057" t="e">
        <v>#N/A</v>
      </c>
      <c r="V405" s="2057" t="e">
        <v>#N/A</v>
      </c>
      <c r="W405" s="2057" t="e">
        <v>#N/A</v>
      </c>
      <c r="X405" s="2057" t="e">
        <v>#N/A</v>
      </c>
      <c r="Y405" s="2057" t="e">
        <v>#N/A</v>
      </c>
      <c r="Z405" s="2057" t="e">
        <v>#N/A</v>
      </c>
      <c r="AA405" s="2057" t="e">
        <v>#N/A</v>
      </c>
      <c r="AB405" s="2214" t="e">
        <v>#N/A</v>
      </c>
      <c r="AC405" s="46"/>
      <c r="AE405" s="10"/>
      <c r="AF405" s="248"/>
      <c r="AG405" s="10"/>
      <c r="AH405" s="10"/>
    </row>
    <row r="406" spans="1:43" s="5" customFormat="1" ht="10.15" hidden="1" customHeight="1" x14ac:dyDescent="0.2">
      <c r="A406" s="10" t="s">
        <v>463</v>
      </c>
      <c r="C406" s="40"/>
      <c r="J406" s="2581"/>
      <c r="K406" s="2582"/>
      <c r="L406" s="2582"/>
      <c r="M406" s="2583"/>
      <c r="N406" s="1088" t="s">
        <v>146</v>
      </c>
      <c r="O406" s="1090"/>
      <c r="P406" s="1090"/>
      <c r="Q406" s="1090"/>
      <c r="R406" s="110"/>
      <c r="S406" s="1824" t="s">
        <v>3380</v>
      </c>
      <c r="T406" s="2213" t="e">
        <v>#N/A</v>
      </c>
      <c r="U406" s="2057" t="e">
        <v>#N/A</v>
      </c>
      <c r="V406" s="2057" t="e">
        <v>#N/A</v>
      </c>
      <c r="W406" s="2057" t="e">
        <v>#N/A</v>
      </c>
      <c r="X406" s="2057" t="e">
        <v>#N/A</v>
      </c>
      <c r="Y406" s="2057" t="e">
        <v>#N/A</v>
      </c>
      <c r="Z406" s="2057" t="e">
        <v>#N/A</v>
      </c>
      <c r="AA406" s="2057" t="e">
        <v>#N/A</v>
      </c>
      <c r="AB406" s="2214" t="e">
        <v>#N/A</v>
      </c>
      <c r="AC406" s="46"/>
      <c r="AE406" s="10"/>
      <c r="AF406" s="248"/>
      <c r="AG406" s="10"/>
      <c r="AH406" s="10"/>
    </row>
    <row r="407" spans="1:43" s="5" customFormat="1" ht="10.15" hidden="1" customHeight="1" x14ac:dyDescent="0.2">
      <c r="A407" s="10" t="s">
        <v>463</v>
      </c>
      <c r="C407" s="40"/>
      <c r="J407" s="2581"/>
      <c r="K407" s="2582"/>
      <c r="L407" s="2582"/>
      <c r="M407" s="2583"/>
      <c r="N407" s="1088" t="s">
        <v>124</v>
      </c>
      <c r="O407" s="1090"/>
      <c r="P407" s="1090"/>
      <c r="Q407" s="1090"/>
      <c r="R407" s="110"/>
      <c r="S407" s="1824" t="s">
        <v>3381</v>
      </c>
      <c r="T407" s="2213" t="e">
        <v>#N/A</v>
      </c>
      <c r="U407" s="2057" t="e">
        <v>#N/A</v>
      </c>
      <c r="V407" s="2057" t="e">
        <v>#N/A</v>
      </c>
      <c r="W407" s="2057" t="e">
        <v>#N/A</v>
      </c>
      <c r="X407" s="2057" t="e">
        <v>#N/A</v>
      </c>
      <c r="Y407" s="2057" t="e">
        <v>#N/A</v>
      </c>
      <c r="Z407" s="2057" t="e">
        <v>#N/A</v>
      </c>
      <c r="AA407" s="2057" t="e">
        <v>#N/A</v>
      </c>
      <c r="AB407" s="2214" t="e">
        <v>#N/A</v>
      </c>
      <c r="AC407" s="46"/>
      <c r="AE407" s="10"/>
      <c r="AF407" s="248"/>
      <c r="AG407" s="10"/>
      <c r="AH407" s="10"/>
    </row>
    <row r="408" spans="1:43" s="5" customFormat="1" ht="10.15" hidden="1" customHeight="1" x14ac:dyDescent="0.2">
      <c r="A408" s="10" t="s">
        <v>463</v>
      </c>
      <c r="C408" s="40"/>
      <c r="J408" s="2581"/>
      <c r="K408" s="2582"/>
      <c r="L408" s="2582"/>
      <c r="M408" s="2583"/>
      <c r="N408" s="1088" t="s">
        <v>230</v>
      </c>
      <c r="O408" s="1090"/>
      <c r="P408" s="1090"/>
      <c r="Q408" s="1090"/>
      <c r="R408" s="110"/>
      <c r="S408" s="1824" t="s">
        <v>3382</v>
      </c>
      <c r="T408" s="2213" t="e">
        <v>#N/A</v>
      </c>
      <c r="U408" s="2057" t="e">
        <v>#N/A</v>
      </c>
      <c r="V408" s="2057" t="e">
        <v>#N/A</v>
      </c>
      <c r="W408" s="2057" t="e">
        <v>#N/A</v>
      </c>
      <c r="X408" s="2057" t="e">
        <v>#N/A</v>
      </c>
      <c r="Y408" s="2057" t="e">
        <v>#N/A</v>
      </c>
      <c r="Z408" s="2057" t="e">
        <v>#N/A</v>
      </c>
      <c r="AA408" s="2057" t="e">
        <v>#N/A</v>
      </c>
      <c r="AB408" s="2214" t="e">
        <v>#N/A</v>
      </c>
      <c r="AC408" s="46"/>
      <c r="AE408" s="10"/>
      <c r="AF408" s="248"/>
      <c r="AG408" s="10"/>
      <c r="AH408" s="10"/>
    </row>
    <row r="409" spans="1:43" s="5" customFormat="1" ht="10.15" hidden="1" customHeight="1" x14ac:dyDescent="0.2">
      <c r="A409" s="10" t="s">
        <v>463</v>
      </c>
      <c r="C409" s="40"/>
      <c r="J409" s="2581"/>
      <c r="K409" s="2582"/>
      <c r="L409" s="2582"/>
      <c r="M409" s="2583"/>
      <c r="N409" s="1088" t="s">
        <v>231</v>
      </c>
      <c r="O409" s="1090"/>
      <c r="P409" s="1090"/>
      <c r="Q409" s="1090"/>
      <c r="R409" s="110"/>
      <c r="S409" s="1825" t="s">
        <v>3383</v>
      </c>
      <c r="T409" s="2213" t="e">
        <v>#N/A</v>
      </c>
      <c r="U409" s="2057" t="e">
        <v>#N/A</v>
      </c>
      <c r="V409" s="2057" t="e">
        <v>#N/A</v>
      </c>
      <c r="W409" s="2057" t="e">
        <v>#N/A</v>
      </c>
      <c r="X409" s="2057" t="e">
        <v>#N/A</v>
      </c>
      <c r="Y409" s="2057" t="e">
        <v>#N/A</v>
      </c>
      <c r="Z409" s="2057" t="e">
        <v>#N/A</v>
      </c>
      <c r="AA409" s="2057" t="e">
        <v>#N/A</v>
      </c>
      <c r="AB409" s="2214" t="e">
        <v>#N/A</v>
      </c>
      <c r="AC409" s="46"/>
      <c r="AE409" s="10"/>
      <c r="AF409" s="248"/>
      <c r="AG409" s="10"/>
      <c r="AH409" s="10"/>
    </row>
    <row r="410" spans="1:43" s="5" customFormat="1" ht="10.15" hidden="1" customHeight="1" x14ac:dyDescent="0.2">
      <c r="A410" s="10" t="s">
        <v>463</v>
      </c>
      <c r="C410" s="40"/>
      <c r="J410" s="2581"/>
      <c r="K410" s="2582"/>
      <c r="L410" s="2582"/>
      <c r="M410" s="2583"/>
      <c r="N410" s="1088" t="s">
        <v>232</v>
      </c>
      <c r="O410" s="1090"/>
      <c r="P410" s="1090"/>
      <c r="Q410" s="1090"/>
      <c r="R410" s="110"/>
      <c r="S410" s="1825" t="s">
        <v>3384</v>
      </c>
      <c r="T410" s="2213" t="e">
        <v>#N/A</v>
      </c>
      <c r="U410" s="2057" t="e">
        <v>#N/A</v>
      </c>
      <c r="V410" s="2057" t="e">
        <v>#N/A</v>
      </c>
      <c r="W410" s="2057" t="e">
        <v>#N/A</v>
      </c>
      <c r="X410" s="2057" t="e">
        <v>#N/A</v>
      </c>
      <c r="Y410" s="2057" t="e">
        <v>#N/A</v>
      </c>
      <c r="Z410" s="2057" t="e">
        <v>#N/A</v>
      </c>
      <c r="AA410" s="2057" t="e">
        <v>#N/A</v>
      </c>
      <c r="AB410" s="2214" t="e">
        <v>#N/A</v>
      </c>
      <c r="AC410" s="46"/>
      <c r="AE410" s="10"/>
      <c r="AF410" s="248"/>
      <c r="AG410" s="10"/>
      <c r="AH410" s="10"/>
    </row>
    <row r="411" spans="1:43" s="5" customFormat="1" ht="10.15" hidden="1" customHeight="1" x14ac:dyDescent="0.2">
      <c r="A411" s="10" t="s">
        <v>463</v>
      </c>
      <c r="C411" s="40"/>
      <c r="J411" s="2584"/>
      <c r="K411" s="2585"/>
      <c r="L411" s="2585"/>
      <c r="M411" s="2586"/>
      <c r="N411" s="1111" t="s">
        <v>229</v>
      </c>
      <c r="O411" s="1132"/>
      <c r="P411" s="1132"/>
      <c r="Q411" s="1132"/>
      <c r="R411" s="111"/>
      <c r="S411" s="1831" t="s">
        <v>3385</v>
      </c>
      <c r="T411" s="2215" t="e">
        <v>#N/A</v>
      </c>
      <c r="U411" s="2060" t="e">
        <v>#N/A</v>
      </c>
      <c r="V411" s="2060" t="e">
        <v>#N/A</v>
      </c>
      <c r="W411" s="2060" t="e">
        <v>#N/A</v>
      </c>
      <c r="X411" s="2060" t="e">
        <v>#N/A</v>
      </c>
      <c r="Y411" s="2060" t="e">
        <v>#N/A</v>
      </c>
      <c r="Z411" s="2060" t="e">
        <v>#N/A</v>
      </c>
      <c r="AA411" s="2060" t="e">
        <v>#N/A</v>
      </c>
      <c r="AB411" s="2216" t="e">
        <v>#N/A</v>
      </c>
      <c r="AC411" s="46"/>
      <c r="AE411" s="10"/>
      <c r="AF411" s="248"/>
      <c r="AG411" s="10"/>
      <c r="AH411" s="10"/>
    </row>
    <row r="412" spans="1:43" s="5" customFormat="1" ht="10.15" hidden="1" customHeight="1" x14ac:dyDescent="0.2">
      <c r="A412" s="10" t="s">
        <v>463</v>
      </c>
      <c r="C412" s="40"/>
      <c r="J412" s="2578" t="s">
        <v>14</v>
      </c>
      <c r="K412" s="2579"/>
      <c r="L412" s="2579"/>
      <c r="M412" s="2580"/>
      <c r="N412" s="1112" t="s">
        <v>112</v>
      </c>
      <c r="O412" s="1150"/>
      <c r="P412" s="1150"/>
      <c r="Q412" s="1150"/>
      <c r="R412" s="1812"/>
      <c r="S412" s="1832" t="s">
        <v>3386</v>
      </c>
      <c r="T412" s="2337">
        <v>0</v>
      </c>
      <c r="U412" s="2294">
        <v>0</v>
      </c>
      <c r="V412" s="2294">
        <v>0</v>
      </c>
      <c r="W412" s="2294">
        <v>0</v>
      </c>
      <c r="X412" s="2294">
        <v>0</v>
      </c>
      <c r="Y412" s="2294">
        <v>0</v>
      </c>
      <c r="Z412" s="2294">
        <v>0</v>
      </c>
      <c r="AA412" s="2294">
        <v>0</v>
      </c>
      <c r="AB412" s="2338">
        <v>0</v>
      </c>
      <c r="AC412" s="46"/>
      <c r="AE412" s="10"/>
      <c r="AF412" s="248"/>
      <c r="AG412" s="10"/>
      <c r="AH412" s="10"/>
    </row>
    <row r="413" spans="1:43" s="5" customFormat="1" ht="10.15" hidden="1" customHeight="1" x14ac:dyDescent="0.2">
      <c r="A413" s="10" t="s">
        <v>461</v>
      </c>
      <c r="C413" s="40"/>
      <c r="D413" s="52">
        <f>Structure!AY85</f>
        <v>8.125</v>
      </c>
      <c r="E413" s="53">
        <f>INDEX(Lookup_NoteRateAll,MATCH("PH_"&amp;RIGHT("000"&amp;TRUNC(D413),3)&amp;TEXT(D413-TRUNC(D413),".0000000000"),Lookup_NoteRateText,0),7)</f>
        <v>0.625</v>
      </c>
      <c r="F413" s="54" t="e">
        <f>INDEX(Lookup_NoteRateAll,MATCH("PH_"&amp;RIGHT("000"&amp;TRUNC(D413),3)&amp;TEXT(D413-TRUNC(D413),".0000000000"),Lookup_NoteRateText,0),4)</f>
        <v>#N/A</v>
      </c>
      <c r="J413" s="2581"/>
      <c r="K413" s="2582"/>
      <c r="L413" s="2582"/>
      <c r="M413" s="2583"/>
      <c r="N413" s="1113" t="s">
        <v>32</v>
      </c>
      <c r="O413" s="1110"/>
      <c r="P413" s="1110"/>
      <c r="Q413" s="1110"/>
      <c r="R413" s="1811"/>
      <c r="S413" s="1832" t="s">
        <v>3387</v>
      </c>
      <c r="T413" s="2320">
        <v>0</v>
      </c>
      <c r="U413" s="2276">
        <v>0</v>
      </c>
      <c r="V413" s="2276">
        <v>0</v>
      </c>
      <c r="W413" s="2276">
        <v>0</v>
      </c>
      <c r="X413" s="2276">
        <v>0</v>
      </c>
      <c r="Y413" s="2276">
        <v>0</v>
      </c>
      <c r="Z413" s="2276">
        <v>0</v>
      </c>
      <c r="AA413" s="2276">
        <v>0</v>
      </c>
      <c r="AB413" s="2321">
        <v>0</v>
      </c>
      <c r="AC413" s="46"/>
      <c r="AE413" s="10"/>
      <c r="AF413" s="248"/>
      <c r="AG413" s="10"/>
      <c r="AH413" s="10"/>
    </row>
    <row r="414" spans="1:43" s="5" customFormat="1" ht="10.15" hidden="1" customHeight="1" x14ac:dyDescent="0.2">
      <c r="A414" s="10" t="s">
        <v>461</v>
      </c>
      <c r="C414" s="40"/>
      <c r="J414" s="2581"/>
      <c r="K414" s="2582"/>
      <c r="L414" s="2582"/>
      <c r="M414" s="2583"/>
      <c r="N414" s="1088" t="s">
        <v>1549</v>
      </c>
      <c r="O414" s="1090"/>
      <c r="P414" s="1090"/>
      <c r="Q414" s="1090"/>
      <c r="R414" s="110"/>
      <c r="S414" s="1824" t="s">
        <v>3388</v>
      </c>
      <c r="T414" s="2322">
        <v>-0.125</v>
      </c>
      <c r="U414" s="2282">
        <v>-0.125</v>
      </c>
      <c r="V414" s="2282">
        <v>-0.125</v>
      </c>
      <c r="W414" s="2282">
        <v>-0.125</v>
      </c>
      <c r="X414" s="2209">
        <v>-0.125</v>
      </c>
      <c r="Y414" s="2209">
        <v>-0.125</v>
      </c>
      <c r="Z414" s="2209">
        <v>-0.25</v>
      </c>
      <c r="AA414" s="2209">
        <v>-0.25</v>
      </c>
      <c r="AB414" s="2210">
        <v>-0.25</v>
      </c>
      <c r="AC414" s="46"/>
      <c r="AE414" s="10"/>
      <c r="AF414" s="248"/>
      <c r="AG414" s="10"/>
      <c r="AH414" s="10"/>
    </row>
    <row r="415" spans="1:43" s="5" customFormat="1" ht="10.15" hidden="1" customHeight="1" x14ac:dyDescent="0.2">
      <c r="A415" s="10" t="s">
        <v>461</v>
      </c>
      <c r="C415" s="40"/>
      <c r="J415" s="2581"/>
      <c r="K415" s="2582"/>
      <c r="L415" s="2582"/>
      <c r="M415" s="2583"/>
      <c r="N415" s="1088" t="s">
        <v>1550</v>
      </c>
      <c r="O415" s="1090"/>
      <c r="P415" s="1090"/>
      <c r="Q415" s="1090"/>
      <c r="R415" s="110"/>
      <c r="S415" s="1824" t="s">
        <v>3389</v>
      </c>
      <c r="T415" s="2322">
        <v>-0.375</v>
      </c>
      <c r="U415" s="2282">
        <v>-0.375</v>
      </c>
      <c r="V415" s="2282">
        <v>-0.375</v>
      </c>
      <c r="W415" s="2282">
        <v>-0.375</v>
      </c>
      <c r="X415" s="2209">
        <v>-0.375</v>
      </c>
      <c r="Y415" s="2209">
        <v>-0.375</v>
      </c>
      <c r="Z415" s="2209">
        <v>-0.625</v>
      </c>
      <c r="AA415" s="2209">
        <v>-0.625</v>
      </c>
      <c r="AB415" s="2210">
        <v>-0.625</v>
      </c>
      <c r="AC415" s="46"/>
      <c r="AE415" s="10"/>
      <c r="AF415" s="248"/>
      <c r="AG415" s="10"/>
      <c r="AH415" s="10"/>
    </row>
    <row r="416" spans="1:43" s="5" customFormat="1" ht="10.15" hidden="1" customHeight="1" x14ac:dyDescent="0.2">
      <c r="A416" s="10" t="s">
        <v>463</v>
      </c>
      <c r="C416" s="40"/>
      <c r="J416" s="2584"/>
      <c r="K416" s="2585"/>
      <c r="L416" s="2585"/>
      <c r="M416" s="2586"/>
      <c r="N416" s="1111" t="s">
        <v>15</v>
      </c>
      <c r="O416" s="1132"/>
      <c r="P416" s="1132"/>
      <c r="Q416" s="1132"/>
      <c r="R416" s="111"/>
      <c r="S416" s="1831" t="s">
        <v>3390</v>
      </c>
      <c r="T416" s="2215" t="e">
        <v>#N/A</v>
      </c>
      <c r="U416" s="2060" t="e">
        <v>#N/A</v>
      </c>
      <c r="V416" s="2060" t="e">
        <v>#N/A</v>
      </c>
      <c r="W416" s="2060" t="e">
        <v>#N/A</v>
      </c>
      <c r="X416" s="2060" t="e">
        <v>#N/A</v>
      </c>
      <c r="Y416" s="2060" t="e">
        <v>#N/A</v>
      </c>
      <c r="Z416" s="2060" t="e">
        <v>#N/A</v>
      </c>
      <c r="AA416" s="2060" t="e">
        <v>#N/A</v>
      </c>
      <c r="AB416" s="2216" t="e">
        <v>#N/A</v>
      </c>
      <c r="AC416" s="46"/>
      <c r="AE416" s="10"/>
      <c r="AF416" s="248"/>
      <c r="AG416" s="10"/>
      <c r="AH416" s="10"/>
    </row>
    <row r="417" spans="1:34" s="5" customFormat="1" ht="10.15" hidden="1" customHeight="1" x14ac:dyDescent="0.2">
      <c r="A417" s="10" t="s">
        <v>463</v>
      </c>
      <c r="C417" s="40"/>
      <c r="J417" s="2575" t="s">
        <v>62</v>
      </c>
      <c r="K417" s="2576"/>
      <c r="L417" s="2576"/>
      <c r="M417" s="2577"/>
      <c r="N417" s="1114" t="s">
        <v>99</v>
      </c>
      <c r="O417" s="1151"/>
      <c r="P417" s="1151"/>
      <c r="Q417" s="1151"/>
      <c r="R417" s="1813"/>
      <c r="S417" s="1833" t="s">
        <v>3391</v>
      </c>
      <c r="T417" s="2337">
        <v>0</v>
      </c>
      <c r="U417" s="2294">
        <v>0</v>
      </c>
      <c r="V417" s="2294">
        <v>0</v>
      </c>
      <c r="W417" s="2294">
        <v>0</v>
      </c>
      <c r="X417" s="2294">
        <v>0</v>
      </c>
      <c r="Y417" s="2296">
        <v>0</v>
      </c>
      <c r="Z417" s="2296">
        <v>0</v>
      </c>
      <c r="AA417" s="2296">
        <v>0</v>
      </c>
      <c r="AB417" s="2339">
        <v>0</v>
      </c>
      <c r="AC417" s="46"/>
      <c r="AE417" s="10"/>
      <c r="AF417" s="248"/>
      <c r="AG417" s="10"/>
      <c r="AH417" s="10"/>
    </row>
    <row r="418" spans="1:34" s="5" customFormat="1" ht="10.15" hidden="1" customHeight="1" x14ac:dyDescent="0.2">
      <c r="A418" s="10" t="s">
        <v>463</v>
      </c>
      <c r="C418" s="40"/>
      <c r="J418" s="2578" t="s">
        <v>33</v>
      </c>
      <c r="K418" s="2579"/>
      <c r="L418" s="2579"/>
      <c r="M418" s="2580"/>
      <c r="N418" s="1115" t="s">
        <v>34</v>
      </c>
      <c r="O418" s="1133"/>
      <c r="P418" s="1133"/>
      <c r="Q418" s="1133"/>
      <c r="R418" s="112"/>
      <c r="S418" s="1834" t="s">
        <v>3392</v>
      </c>
      <c r="T418" s="2326">
        <v>0</v>
      </c>
      <c r="U418" s="2291">
        <v>0</v>
      </c>
      <c r="V418" s="2291">
        <v>0</v>
      </c>
      <c r="W418" s="2291">
        <v>0</v>
      </c>
      <c r="X418" s="2291">
        <v>0</v>
      </c>
      <c r="Y418" s="2291">
        <v>0</v>
      </c>
      <c r="Z418" s="2291">
        <v>0</v>
      </c>
      <c r="AA418" s="2291">
        <v>0</v>
      </c>
      <c r="AB418" s="2327">
        <v>0</v>
      </c>
      <c r="AC418" s="46"/>
      <c r="AE418" s="10"/>
      <c r="AF418" s="248"/>
      <c r="AG418" s="10"/>
      <c r="AH418" s="10"/>
    </row>
    <row r="419" spans="1:34" s="5" customFormat="1" ht="10.15" hidden="1" customHeight="1" x14ac:dyDescent="0.2">
      <c r="A419" s="10" t="s">
        <v>463</v>
      </c>
      <c r="C419" s="40"/>
      <c r="J419" s="2581"/>
      <c r="K419" s="2582"/>
      <c r="L419" s="2582"/>
      <c r="M419" s="2583"/>
      <c r="N419" s="1095" t="s">
        <v>35</v>
      </c>
      <c r="O419" s="1091"/>
      <c r="P419" s="1091"/>
      <c r="Q419" s="1091"/>
      <c r="R419" s="113"/>
      <c r="S419" s="1835" t="s">
        <v>3393</v>
      </c>
      <c r="T419" s="2333">
        <v>0</v>
      </c>
      <c r="U419" s="2279">
        <v>0</v>
      </c>
      <c r="V419" s="2279">
        <v>0</v>
      </c>
      <c r="W419" s="2279">
        <v>0</v>
      </c>
      <c r="X419" s="2279">
        <v>0</v>
      </c>
      <c r="Y419" s="2279">
        <v>0</v>
      </c>
      <c r="Z419" s="2279">
        <v>0</v>
      </c>
      <c r="AA419" s="2279">
        <v>0</v>
      </c>
      <c r="AB419" s="2334">
        <v>0</v>
      </c>
      <c r="AC419" s="46"/>
      <c r="AE419" s="10"/>
      <c r="AF419" s="248"/>
      <c r="AG419" s="10"/>
      <c r="AH419" s="10"/>
    </row>
    <row r="420" spans="1:34" s="5" customFormat="1" ht="10.15" hidden="1" customHeight="1" x14ac:dyDescent="0.2">
      <c r="A420" s="10" t="s">
        <v>463</v>
      </c>
      <c r="C420" s="40"/>
      <c r="J420" s="2584"/>
      <c r="K420" s="2585"/>
      <c r="L420" s="2585"/>
      <c r="M420" s="2586"/>
      <c r="N420" s="1116" t="s">
        <v>16</v>
      </c>
      <c r="O420" s="1096"/>
      <c r="P420" s="1096"/>
      <c r="Q420" s="1096"/>
      <c r="R420" s="114"/>
      <c r="S420" s="1836" t="s">
        <v>3394</v>
      </c>
      <c r="T420" s="2335">
        <v>0</v>
      </c>
      <c r="U420" s="2288">
        <v>0</v>
      </c>
      <c r="V420" s="2288">
        <v>0</v>
      </c>
      <c r="W420" s="2288">
        <v>0</v>
      </c>
      <c r="X420" s="2288">
        <v>0</v>
      </c>
      <c r="Y420" s="2288">
        <v>0</v>
      </c>
      <c r="Z420" s="2288">
        <v>0</v>
      </c>
      <c r="AA420" s="2288">
        <v>0</v>
      </c>
      <c r="AB420" s="2336">
        <v>0</v>
      </c>
      <c r="AC420" s="46"/>
      <c r="AE420" s="10"/>
      <c r="AF420" s="248"/>
      <c r="AG420" s="10"/>
      <c r="AH420" s="10"/>
    </row>
    <row r="421" spans="1:34" s="5" customFormat="1" ht="10.15" hidden="1" customHeight="1" x14ac:dyDescent="0.2">
      <c r="A421" s="10" t="s">
        <v>461</v>
      </c>
      <c r="C421" s="40"/>
      <c r="D421" s="4" t="s">
        <v>3375</v>
      </c>
      <c r="J421" s="2578" t="s">
        <v>39</v>
      </c>
      <c r="K421" s="2579"/>
      <c r="L421" s="2579"/>
      <c r="M421" s="2580"/>
      <c r="N421" s="1115" t="s">
        <v>37</v>
      </c>
      <c r="O421" s="1133"/>
      <c r="P421" s="1133"/>
      <c r="Q421" s="1133"/>
      <c r="R421" s="112"/>
      <c r="S421" s="1837" t="s">
        <v>3395</v>
      </c>
      <c r="T421" s="2320">
        <v>0</v>
      </c>
      <c r="U421" s="2276">
        <v>0</v>
      </c>
      <c r="V421" s="2276">
        <v>0</v>
      </c>
      <c r="W421" s="2276">
        <v>0</v>
      </c>
      <c r="X421" s="2276">
        <v>0</v>
      </c>
      <c r="Y421" s="2276">
        <v>0</v>
      </c>
      <c r="Z421" s="2276">
        <v>0</v>
      </c>
      <c r="AA421" s="2276">
        <v>0</v>
      </c>
      <c r="AB421" s="2321">
        <v>0</v>
      </c>
      <c r="AC421" s="46"/>
      <c r="AE421" s="10"/>
      <c r="AF421" s="248"/>
      <c r="AG421" s="10"/>
      <c r="AH421" s="10"/>
    </row>
    <row r="422" spans="1:34" s="5" customFormat="1" ht="10.15" hidden="1" customHeight="1" x14ac:dyDescent="0.2">
      <c r="A422" s="10" t="s">
        <v>461</v>
      </c>
      <c r="C422" s="40"/>
      <c r="D422" s="2177" t="s">
        <v>3823</v>
      </c>
      <c r="J422" s="2584"/>
      <c r="K422" s="2585"/>
      <c r="L422" s="2585"/>
      <c r="M422" s="2586"/>
      <c r="N422" s="1116" t="s">
        <v>17</v>
      </c>
      <c r="O422" s="1096"/>
      <c r="P422" s="1096"/>
      <c r="Q422" s="1096"/>
      <c r="R422" s="114"/>
      <c r="S422" s="1836" t="s">
        <v>3396</v>
      </c>
      <c r="T422" s="2324">
        <v>-1</v>
      </c>
      <c r="U422" s="2285">
        <v>-1</v>
      </c>
      <c r="V422" s="2285">
        <v>-1</v>
      </c>
      <c r="W422" s="2285">
        <v>-1</v>
      </c>
      <c r="X422" s="2340">
        <v>-1</v>
      </c>
      <c r="Y422" s="2285">
        <v>-1</v>
      </c>
      <c r="Z422" s="2285">
        <v>-1</v>
      </c>
      <c r="AA422" s="2285">
        <v>-1</v>
      </c>
      <c r="AB422" s="2204" t="e">
        <v>#N/A</v>
      </c>
      <c r="AC422" s="46"/>
      <c r="AE422" s="10"/>
      <c r="AF422" s="248"/>
      <c r="AG422" s="10"/>
      <c r="AH422" s="10"/>
    </row>
    <row r="423" spans="1:34" s="5" customFormat="1" ht="10.15" hidden="1" customHeight="1" x14ac:dyDescent="0.2">
      <c r="A423" s="10" t="s">
        <v>461</v>
      </c>
      <c r="C423" s="40"/>
      <c r="D423" s="2177" t="s">
        <v>3822</v>
      </c>
      <c r="J423" s="2587" t="s">
        <v>428</v>
      </c>
      <c r="K423" s="2588"/>
      <c r="L423" s="2588"/>
      <c r="M423" s="2589"/>
      <c r="N423" s="1115" t="s">
        <v>427</v>
      </c>
      <c r="O423" s="1133"/>
      <c r="P423" s="1133"/>
      <c r="Q423" s="1133"/>
      <c r="R423" s="112"/>
      <c r="S423" s="1838" t="s">
        <v>3397</v>
      </c>
      <c r="T423" s="2320">
        <v>0</v>
      </c>
      <c r="U423" s="2276">
        <v>0</v>
      </c>
      <c r="V423" s="2276">
        <v>0</v>
      </c>
      <c r="W423" s="2276">
        <v>0</v>
      </c>
      <c r="X423" s="2276">
        <v>0</v>
      </c>
      <c r="Y423" s="2276">
        <v>0</v>
      </c>
      <c r="Z423" s="2276">
        <v>0</v>
      </c>
      <c r="AA423" s="2276">
        <v>0</v>
      </c>
      <c r="AB423" s="2321">
        <v>0</v>
      </c>
      <c r="AC423" s="46"/>
      <c r="AE423" s="10"/>
      <c r="AF423" s="248"/>
      <c r="AG423" s="10"/>
      <c r="AH423" s="10"/>
    </row>
    <row r="424" spans="1:34" s="5" customFormat="1" ht="10.15" hidden="1" customHeight="1" x14ac:dyDescent="0.2">
      <c r="A424" s="10" t="s">
        <v>461</v>
      </c>
      <c r="C424" s="40"/>
      <c r="D424" s="2177" t="s">
        <v>76</v>
      </c>
      <c r="J424" s="2590"/>
      <c r="K424" s="2591"/>
      <c r="L424" s="2591"/>
      <c r="M424" s="2592"/>
      <c r="N424" s="1116" t="s">
        <v>424</v>
      </c>
      <c r="O424" s="1096"/>
      <c r="P424" s="1096"/>
      <c r="Q424" s="1096"/>
      <c r="R424" s="114"/>
      <c r="S424" s="1839" t="s">
        <v>3398</v>
      </c>
      <c r="T424" s="2324">
        <v>0</v>
      </c>
      <c r="U424" s="2285">
        <v>0</v>
      </c>
      <c r="V424" s="2285">
        <v>0</v>
      </c>
      <c r="W424" s="2285">
        <v>0</v>
      </c>
      <c r="X424" s="2285">
        <v>0</v>
      </c>
      <c r="Y424" s="2285">
        <v>0</v>
      </c>
      <c r="Z424" s="2285">
        <v>0</v>
      </c>
      <c r="AA424" s="2285">
        <v>0</v>
      </c>
      <c r="AB424" s="2325">
        <v>0</v>
      </c>
      <c r="AC424" s="46"/>
      <c r="AE424" s="10"/>
      <c r="AF424" s="248"/>
      <c r="AG424" s="10"/>
      <c r="AH424" s="10"/>
    </row>
    <row r="425" spans="1:34" s="5" customFormat="1" ht="10.15" hidden="1" customHeight="1" x14ac:dyDescent="0.2">
      <c r="A425" s="10" t="s">
        <v>461</v>
      </c>
      <c r="C425" s="40"/>
      <c r="D425" s="2177" t="s">
        <v>76</v>
      </c>
      <c r="J425" s="2578" t="s">
        <v>40</v>
      </c>
      <c r="K425" s="2579"/>
      <c r="L425" s="2579"/>
      <c r="M425" s="2580"/>
      <c r="N425" s="1117" t="s">
        <v>41</v>
      </c>
      <c r="O425" s="1135"/>
      <c r="P425" s="1135"/>
      <c r="Q425" s="1135"/>
      <c r="R425" s="115"/>
      <c r="S425" s="1840" t="s">
        <v>3399</v>
      </c>
      <c r="T425" s="2320">
        <v>0</v>
      </c>
      <c r="U425" s="2276">
        <v>0</v>
      </c>
      <c r="V425" s="2276">
        <v>0</v>
      </c>
      <c r="W425" s="2276">
        <v>0</v>
      </c>
      <c r="X425" s="2276">
        <v>0</v>
      </c>
      <c r="Y425" s="2276">
        <v>0</v>
      </c>
      <c r="Z425" s="2276">
        <v>0</v>
      </c>
      <c r="AA425" s="2276">
        <v>0</v>
      </c>
      <c r="AB425" s="2321">
        <v>0</v>
      </c>
      <c r="AC425" s="46"/>
      <c r="AE425" s="10"/>
      <c r="AF425" s="248"/>
      <c r="AG425" s="10"/>
      <c r="AH425" s="10"/>
    </row>
    <row r="426" spans="1:34" s="5" customFormat="1" ht="10.15" hidden="1" customHeight="1" x14ac:dyDescent="0.2">
      <c r="A426" s="10" t="s">
        <v>461</v>
      </c>
      <c r="C426" s="40"/>
      <c r="J426" s="2581"/>
      <c r="K426" s="2582"/>
      <c r="L426" s="2582"/>
      <c r="M426" s="2583"/>
      <c r="N426" s="1118" t="s">
        <v>376</v>
      </c>
      <c r="O426" s="360"/>
      <c r="P426" s="360"/>
      <c r="Q426" s="360"/>
      <c r="R426" s="117"/>
      <c r="S426" s="1841" t="s">
        <v>3400</v>
      </c>
      <c r="T426" s="2322">
        <v>0</v>
      </c>
      <c r="U426" s="2282">
        <v>0</v>
      </c>
      <c r="V426" s="2282">
        <v>0</v>
      </c>
      <c r="W426" s="2282">
        <v>0</v>
      </c>
      <c r="X426" s="2282">
        <v>0</v>
      </c>
      <c r="Y426" s="2282">
        <v>0</v>
      </c>
      <c r="Z426" s="2282">
        <v>0</v>
      </c>
      <c r="AA426" s="2282">
        <v>0</v>
      </c>
      <c r="AB426" s="2323">
        <v>0</v>
      </c>
      <c r="AC426" s="46"/>
      <c r="AE426" s="10"/>
      <c r="AF426" s="248"/>
      <c r="AG426" s="10"/>
      <c r="AH426" s="10"/>
    </row>
    <row r="427" spans="1:34" s="5" customFormat="1" ht="10.15" hidden="1" customHeight="1" x14ac:dyDescent="0.2">
      <c r="A427" s="10" t="s">
        <v>461</v>
      </c>
      <c r="C427" s="40"/>
      <c r="D427" s="4" t="s">
        <v>289</v>
      </c>
      <c r="J427" s="2581"/>
      <c r="K427" s="2582"/>
      <c r="L427" s="2582"/>
      <c r="M427" s="2583"/>
      <c r="N427" s="1119" t="s">
        <v>369</v>
      </c>
      <c r="O427" s="1092"/>
      <c r="P427" s="1092"/>
      <c r="Q427" s="1092"/>
      <c r="R427" s="119"/>
      <c r="S427" s="1841" t="s">
        <v>3401</v>
      </c>
      <c r="T427" s="2322">
        <v>0</v>
      </c>
      <c r="U427" s="2282">
        <v>0</v>
      </c>
      <c r="V427" s="2282">
        <v>0</v>
      </c>
      <c r="W427" s="2282">
        <v>0</v>
      </c>
      <c r="X427" s="2282">
        <v>0</v>
      </c>
      <c r="Y427" s="2282">
        <v>0</v>
      </c>
      <c r="Z427" s="2282">
        <v>0</v>
      </c>
      <c r="AA427" s="2282">
        <v>0</v>
      </c>
      <c r="AB427" s="2323">
        <v>0</v>
      </c>
      <c r="AC427" s="46"/>
      <c r="AE427" s="10"/>
      <c r="AF427" s="248"/>
      <c r="AG427" s="10"/>
      <c r="AH427" s="10"/>
    </row>
    <row r="428" spans="1:34" s="5" customFormat="1" ht="10.15" hidden="1" customHeight="1" x14ac:dyDescent="0.2">
      <c r="A428" s="10" t="s">
        <v>461</v>
      </c>
      <c r="C428" s="40"/>
      <c r="D428" s="6" t="s">
        <v>258</v>
      </c>
      <c r="E428" s="7"/>
      <c r="F428" s="68" t="e">
        <f>Input_PL_MaxPriceFinal_PH_NoPP</f>
        <v>#N/A</v>
      </c>
      <c r="J428" s="2584"/>
      <c r="K428" s="2585"/>
      <c r="L428" s="2585"/>
      <c r="M428" s="2586"/>
      <c r="N428" s="1116" t="s">
        <v>321</v>
      </c>
      <c r="O428" s="1096"/>
      <c r="P428" s="1096"/>
      <c r="Q428" s="1096"/>
      <c r="R428" s="114"/>
      <c r="S428" s="1836" t="s">
        <v>3402</v>
      </c>
      <c r="T428" s="2324">
        <v>0</v>
      </c>
      <c r="U428" s="2285">
        <v>0</v>
      </c>
      <c r="V428" s="2285">
        <v>0</v>
      </c>
      <c r="W428" s="2285">
        <v>0</v>
      </c>
      <c r="X428" s="2285">
        <v>0</v>
      </c>
      <c r="Y428" s="2285">
        <v>0</v>
      </c>
      <c r="Z428" s="2285">
        <v>0</v>
      </c>
      <c r="AA428" s="2285">
        <v>0</v>
      </c>
      <c r="AB428" s="2325">
        <v>0</v>
      </c>
      <c r="AC428" s="46"/>
      <c r="AE428" s="10"/>
      <c r="AF428" s="248"/>
      <c r="AG428" s="10"/>
      <c r="AH428" s="10"/>
    </row>
    <row r="429" spans="1:34" s="5" customFormat="1" ht="10.15" hidden="1" customHeight="1" x14ac:dyDescent="0.2">
      <c r="A429" s="10" t="s">
        <v>461</v>
      </c>
      <c r="C429" s="40"/>
      <c r="J429" s="325" t="s">
        <v>91</v>
      </c>
      <c r="K429" s="326"/>
      <c r="L429" s="326"/>
      <c r="M429" s="327"/>
      <c r="N429" s="1120" t="s">
        <v>83</v>
      </c>
      <c r="O429" s="1136"/>
      <c r="P429" s="1136"/>
      <c r="Q429" s="1136"/>
      <c r="R429" s="116"/>
      <c r="S429" s="1838" t="s">
        <v>3403</v>
      </c>
      <c r="T429" s="2320">
        <v>0</v>
      </c>
      <c r="U429" s="2276">
        <v>0</v>
      </c>
      <c r="V429" s="2276">
        <v>0</v>
      </c>
      <c r="W429" s="2276">
        <v>0</v>
      </c>
      <c r="X429" s="2276">
        <v>0</v>
      </c>
      <c r="Y429" s="2276">
        <v>0</v>
      </c>
      <c r="Z429" s="2276">
        <v>0</v>
      </c>
      <c r="AA429" s="2276">
        <v>0</v>
      </c>
      <c r="AB429" s="2321">
        <v>0</v>
      </c>
      <c r="AC429" s="46"/>
      <c r="AE429" s="10"/>
      <c r="AF429" s="248"/>
      <c r="AG429" s="10"/>
      <c r="AH429" s="10"/>
    </row>
    <row r="430" spans="1:34" s="5" customFormat="1" ht="10.15" hidden="1" customHeight="1" x14ac:dyDescent="0.2">
      <c r="A430" s="10" t="s">
        <v>461</v>
      </c>
      <c r="B430" s="10"/>
      <c r="C430" s="40"/>
      <c r="J430" s="328"/>
      <c r="K430" s="334"/>
      <c r="L430" s="334"/>
      <c r="M430" s="329"/>
      <c r="N430" s="1121" t="s">
        <v>1635</v>
      </c>
      <c r="O430" s="1093"/>
      <c r="P430" s="1093"/>
      <c r="Q430" s="1093"/>
      <c r="R430" s="1814"/>
      <c r="S430" s="1835" t="s">
        <v>3415</v>
      </c>
      <c r="T430" s="2322">
        <v>0</v>
      </c>
      <c r="U430" s="2282">
        <v>0</v>
      </c>
      <c r="V430" s="2282">
        <v>0</v>
      </c>
      <c r="W430" s="2282">
        <v>0</v>
      </c>
      <c r="X430" s="2282">
        <v>0</v>
      </c>
      <c r="Y430" s="2282">
        <v>0</v>
      </c>
      <c r="Z430" s="2282">
        <v>0</v>
      </c>
      <c r="AA430" s="2282">
        <v>0</v>
      </c>
      <c r="AB430" s="2323">
        <v>0</v>
      </c>
      <c r="AC430" s="46"/>
      <c r="AE430" s="10"/>
      <c r="AF430" s="248"/>
      <c r="AG430" s="10"/>
      <c r="AH430" s="10"/>
    </row>
    <row r="431" spans="1:34" s="5" customFormat="1" ht="10.15" hidden="1" customHeight="1" x14ac:dyDescent="0.2">
      <c r="A431" s="10" t="s">
        <v>461</v>
      </c>
      <c r="C431" s="40"/>
      <c r="D431" s="2593"/>
      <c r="E431" s="2593"/>
      <c r="F431" s="2593"/>
      <c r="G431" s="2593"/>
      <c r="H431" s="2593"/>
      <c r="J431" s="328"/>
      <c r="K431" s="334"/>
      <c r="L431" s="334"/>
      <c r="M431" s="329"/>
      <c r="N431" s="1118" t="s">
        <v>155</v>
      </c>
      <c r="O431" s="360"/>
      <c r="P431" s="360"/>
      <c r="Q431" s="360"/>
      <c r="R431" s="117"/>
      <c r="S431" s="1841" t="s">
        <v>3404</v>
      </c>
      <c r="T431" s="2322">
        <v>0</v>
      </c>
      <c r="U431" s="2282">
        <v>0</v>
      </c>
      <c r="V431" s="2282">
        <v>0</v>
      </c>
      <c r="W431" s="2282">
        <v>0</v>
      </c>
      <c r="X431" s="2282">
        <v>0</v>
      </c>
      <c r="Y431" s="2282">
        <v>0</v>
      </c>
      <c r="Z431" s="2282">
        <v>0</v>
      </c>
      <c r="AA431" s="2282">
        <v>0</v>
      </c>
      <c r="AB431" s="2323">
        <v>0</v>
      </c>
      <c r="AC431" s="46"/>
      <c r="AE431" s="10"/>
      <c r="AF431" s="248"/>
      <c r="AG431" s="10"/>
      <c r="AH431" s="10"/>
    </row>
    <row r="432" spans="1:34" s="5" customFormat="1" ht="10.15" hidden="1" customHeight="1" x14ac:dyDescent="0.2">
      <c r="A432" s="10" t="s">
        <v>461</v>
      </c>
      <c r="C432" s="40"/>
      <c r="D432" s="10"/>
      <c r="E432" s="17"/>
      <c r="F432" s="10"/>
      <c r="G432" s="76"/>
      <c r="H432" s="10"/>
      <c r="J432" s="328"/>
      <c r="K432" s="334"/>
      <c r="L432" s="334"/>
      <c r="M432" s="329"/>
      <c r="N432" s="1095" t="s">
        <v>128</v>
      </c>
      <c r="O432" s="1091"/>
      <c r="P432" s="1091"/>
      <c r="Q432" s="1091"/>
      <c r="R432" s="113"/>
      <c r="S432" s="1841" t="s">
        <v>3405</v>
      </c>
      <c r="T432" s="2322">
        <v>0</v>
      </c>
      <c r="U432" s="2282">
        <v>0</v>
      </c>
      <c r="V432" s="2282">
        <v>0</v>
      </c>
      <c r="W432" s="2282">
        <v>0</v>
      </c>
      <c r="X432" s="2282">
        <v>0</v>
      </c>
      <c r="Y432" s="2282">
        <v>0</v>
      </c>
      <c r="Z432" s="2282">
        <v>0</v>
      </c>
      <c r="AA432" s="2282">
        <v>0</v>
      </c>
      <c r="AB432" s="2323">
        <v>0</v>
      </c>
      <c r="AC432" s="46"/>
      <c r="AE432" s="10"/>
      <c r="AF432" s="248"/>
      <c r="AG432" s="10"/>
      <c r="AH432" s="10"/>
    </row>
    <row r="433" spans="1:34" s="5" customFormat="1" ht="10.15" hidden="1" customHeight="1" x14ac:dyDescent="0.2">
      <c r="A433" s="10" t="s">
        <v>461</v>
      </c>
      <c r="C433" s="40"/>
      <c r="D433" s="10"/>
      <c r="E433" s="17"/>
      <c r="F433" s="10"/>
      <c r="G433" s="76"/>
      <c r="H433" s="10"/>
      <c r="J433" s="328"/>
      <c r="K433" s="334"/>
      <c r="L433" s="334"/>
      <c r="M433" s="329"/>
      <c r="N433" s="1118" t="s">
        <v>153</v>
      </c>
      <c r="O433" s="360"/>
      <c r="P433" s="360"/>
      <c r="Q433" s="360"/>
      <c r="R433" s="117"/>
      <c r="S433" s="1841" t="s">
        <v>3406</v>
      </c>
      <c r="T433" s="2322">
        <v>0</v>
      </c>
      <c r="U433" s="2282">
        <v>0</v>
      </c>
      <c r="V433" s="2282">
        <v>0</v>
      </c>
      <c r="W433" s="2282">
        <v>0</v>
      </c>
      <c r="X433" s="2282">
        <v>0</v>
      </c>
      <c r="Y433" s="2282">
        <v>0</v>
      </c>
      <c r="Z433" s="2282">
        <v>0</v>
      </c>
      <c r="AA433" s="2282">
        <v>0</v>
      </c>
      <c r="AB433" s="2323">
        <v>0</v>
      </c>
      <c r="AC433" s="46"/>
      <c r="AE433" s="10"/>
      <c r="AF433" s="248"/>
      <c r="AG433" s="10"/>
      <c r="AH433" s="10"/>
    </row>
    <row r="434" spans="1:34" s="5" customFormat="1" ht="10.15" hidden="1" customHeight="1" x14ac:dyDescent="0.2">
      <c r="A434" s="10" t="s">
        <v>461</v>
      </c>
      <c r="C434" s="40"/>
      <c r="D434" s="10"/>
      <c r="E434" s="17"/>
      <c r="F434" s="10"/>
      <c r="G434" s="77"/>
      <c r="H434" s="10"/>
      <c r="J434" s="328"/>
      <c r="K434" s="334"/>
      <c r="L434" s="334"/>
      <c r="M434" s="329"/>
      <c r="N434" s="1118" t="s">
        <v>154</v>
      </c>
      <c r="O434" s="360"/>
      <c r="P434" s="360"/>
      <c r="Q434" s="360"/>
      <c r="R434" s="117"/>
      <c r="S434" s="1841" t="s">
        <v>3407</v>
      </c>
      <c r="T434" s="2322">
        <v>0</v>
      </c>
      <c r="U434" s="2282">
        <v>0</v>
      </c>
      <c r="V434" s="2282">
        <v>0</v>
      </c>
      <c r="W434" s="2282">
        <v>0</v>
      </c>
      <c r="X434" s="2282">
        <v>0</v>
      </c>
      <c r="Y434" s="2282">
        <v>0</v>
      </c>
      <c r="Z434" s="2282">
        <v>0</v>
      </c>
      <c r="AA434" s="2282">
        <v>0</v>
      </c>
      <c r="AB434" s="2323">
        <v>0</v>
      </c>
      <c r="AC434" s="46"/>
      <c r="AE434" s="10"/>
      <c r="AF434" s="248"/>
      <c r="AG434" s="10"/>
      <c r="AH434" s="10"/>
    </row>
    <row r="435" spans="1:34" s="5" customFormat="1" ht="10.15" hidden="1" customHeight="1" x14ac:dyDescent="0.2">
      <c r="A435" s="10" t="s">
        <v>461</v>
      </c>
      <c r="C435" s="40"/>
      <c r="J435" s="328"/>
      <c r="K435" s="334"/>
      <c r="L435" s="334"/>
      <c r="M435" s="329"/>
      <c r="N435" s="1095" t="s">
        <v>222</v>
      </c>
      <c r="O435" s="1091"/>
      <c r="P435" s="1091"/>
      <c r="Q435" s="1091"/>
      <c r="R435" s="113"/>
      <c r="S435" s="1841" t="s">
        <v>3408</v>
      </c>
      <c r="T435" s="2322">
        <v>0</v>
      </c>
      <c r="U435" s="2282">
        <v>0</v>
      </c>
      <c r="V435" s="2282">
        <v>0</v>
      </c>
      <c r="W435" s="2282">
        <v>0</v>
      </c>
      <c r="X435" s="2282">
        <v>0</v>
      </c>
      <c r="Y435" s="2282">
        <v>0</v>
      </c>
      <c r="Z435" s="2282">
        <v>0</v>
      </c>
      <c r="AA435" s="2282">
        <v>0</v>
      </c>
      <c r="AB435" s="2323">
        <v>0</v>
      </c>
      <c r="AC435" s="46"/>
      <c r="AE435" s="10"/>
      <c r="AF435" s="248"/>
      <c r="AG435" s="10"/>
      <c r="AH435" s="10"/>
    </row>
    <row r="436" spans="1:34" s="5" customFormat="1" ht="10.15" hidden="1" customHeight="1" x14ac:dyDescent="0.2">
      <c r="A436" s="10" t="s">
        <v>461</v>
      </c>
      <c r="C436" s="40"/>
      <c r="D436" s="2594"/>
      <c r="E436" s="2593"/>
      <c r="F436" s="2593"/>
      <c r="G436" s="2593"/>
      <c r="H436" s="2593"/>
      <c r="J436" s="328"/>
      <c r="K436" s="334"/>
      <c r="L436" s="334"/>
      <c r="M436" s="329"/>
      <c r="N436" s="1118" t="s">
        <v>131</v>
      </c>
      <c r="O436" s="360"/>
      <c r="P436" s="360"/>
      <c r="Q436" s="360"/>
      <c r="R436" s="117"/>
      <c r="S436" s="1841" t="s">
        <v>3409</v>
      </c>
      <c r="T436" s="2322">
        <v>-0.5</v>
      </c>
      <c r="U436" s="2282">
        <v>-0.5</v>
      </c>
      <c r="V436" s="2282">
        <v>-0.5</v>
      </c>
      <c r="W436" s="2282">
        <v>-0.5</v>
      </c>
      <c r="X436" s="2282">
        <v>-0.5</v>
      </c>
      <c r="Y436" s="2282">
        <v>-0.5</v>
      </c>
      <c r="Z436" s="2282">
        <v>-0.5</v>
      </c>
      <c r="AA436" s="2282">
        <v>-0.5</v>
      </c>
      <c r="AB436" s="2323">
        <v>-0.5</v>
      </c>
      <c r="AC436" s="46"/>
      <c r="AE436" s="10"/>
      <c r="AF436" s="248"/>
      <c r="AG436" s="10"/>
      <c r="AH436" s="10"/>
    </row>
    <row r="437" spans="1:34" s="5" customFormat="1" ht="10.15" hidden="1" customHeight="1" x14ac:dyDescent="0.2">
      <c r="A437" s="10" t="s">
        <v>463</v>
      </c>
      <c r="C437" s="40"/>
      <c r="J437" s="328"/>
      <c r="K437" s="334"/>
      <c r="L437" s="334"/>
      <c r="M437" s="329"/>
      <c r="N437" s="1118" t="s">
        <v>132</v>
      </c>
      <c r="O437" s="360"/>
      <c r="P437" s="360"/>
      <c r="Q437" s="360"/>
      <c r="R437" s="117"/>
      <c r="S437" s="1841" t="s">
        <v>3410</v>
      </c>
      <c r="T437" s="2213" t="e">
        <v>#N/A</v>
      </c>
      <c r="U437" s="2057" t="e">
        <v>#N/A</v>
      </c>
      <c r="V437" s="2057" t="e">
        <v>#N/A</v>
      </c>
      <c r="W437" s="2057" t="e">
        <v>#N/A</v>
      </c>
      <c r="X437" s="2057" t="e">
        <v>#N/A</v>
      </c>
      <c r="Y437" s="2057" t="e">
        <v>#N/A</v>
      </c>
      <c r="Z437" s="2057" t="e">
        <v>#N/A</v>
      </c>
      <c r="AA437" s="2057" t="e">
        <v>#N/A</v>
      </c>
      <c r="AB437" s="2214" t="e">
        <v>#N/A</v>
      </c>
      <c r="AC437" s="46"/>
      <c r="AE437" s="10"/>
      <c r="AF437" s="248"/>
      <c r="AG437" s="10"/>
      <c r="AH437" s="10"/>
    </row>
    <row r="438" spans="1:34" s="5" customFormat="1" ht="10.15" hidden="1" customHeight="1" x14ac:dyDescent="0.2">
      <c r="A438" s="10" t="s">
        <v>463</v>
      </c>
      <c r="C438" s="40"/>
      <c r="J438" s="328"/>
      <c r="K438" s="334"/>
      <c r="L438" s="334"/>
      <c r="M438" s="329"/>
      <c r="N438" s="1095" t="s">
        <v>133</v>
      </c>
      <c r="O438" s="1091"/>
      <c r="P438" s="1091"/>
      <c r="Q438" s="1091"/>
      <c r="R438" s="113"/>
      <c r="S438" s="1835" t="s">
        <v>3411</v>
      </c>
      <c r="T438" s="2213" t="e">
        <v>#N/A</v>
      </c>
      <c r="U438" s="2057" t="e">
        <v>#N/A</v>
      </c>
      <c r="V438" s="2057" t="e">
        <v>#N/A</v>
      </c>
      <c r="W438" s="2057" t="e">
        <v>#N/A</v>
      </c>
      <c r="X438" s="2057" t="e">
        <v>#N/A</v>
      </c>
      <c r="Y438" s="2057" t="e">
        <v>#N/A</v>
      </c>
      <c r="Z438" s="2057" t="e">
        <v>#N/A</v>
      </c>
      <c r="AA438" s="2057" t="e">
        <v>#N/A</v>
      </c>
      <c r="AB438" s="2214" t="e">
        <v>#N/A</v>
      </c>
      <c r="AC438" s="46"/>
      <c r="AE438" s="10"/>
      <c r="AF438" s="248"/>
      <c r="AG438" s="10"/>
      <c r="AH438" s="10"/>
    </row>
    <row r="439" spans="1:34" s="5" customFormat="1" ht="10.15" hidden="1" customHeight="1" x14ac:dyDescent="0.2">
      <c r="A439" s="10" t="s">
        <v>463</v>
      </c>
      <c r="B439" s="10"/>
      <c r="C439" s="40"/>
      <c r="J439" s="328"/>
      <c r="K439" s="334"/>
      <c r="L439" s="334"/>
      <c r="M439" s="329"/>
      <c r="N439" s="1095" t="s">
        <v>134</v>
      </c>
      <c r="O439" s="1091"/>
      <c r="P439" s="1091"/>
      <c r="Q439" s="1091"/>
      <c r="R439" s="113"/>
      <c r="S439" s="1835" t="s">
        <v>3412</v>
      </c>
      <c r="T439" s="2213" t="e">
        <v>#N/A</v>
      </c>
      <c r="U439" s="2057" t="e">
        <v>#N/A</v>
      </c>
      <c r="V439" s="2057" t="e">
        <v>#N/A</v>
      </c>
      <c r="W439" s="2057" t="e">
        <v>#N/A</v>
      </c>
      <c r="X439" s="2057" t="e">
        <v>#N/A</v>
      </c>
      <c r="Y439" s="2057" t="e">
        <v>#N/A</v>
      </c>
      <c r="Z439" s="2057" t="e">
        <v>#N/A</v>
      </c>
      <c r="AA439" s="2057" t="e">
        <v>#N/A</v>
      </c>
      <c r="AB439" s="2214" t="e">
        <v>#N/A</v>
      </c>
      <c r="AC439" s="46"/>
      <c r="AE439" s="10"/>
      <c r="AF439" s="248"/>
      <c r="AG439" s="10"/>
      <c r="AH439" s="10"/>
    </row>
    <row r="440" spans="1:34" s="5" customFormat="1" ht="10.15" hidden="1" customHeight="1" x14ac:dyDescent="0.2">
      <c r="A440" s="10" t="s">
        <v>463</v>
      </c>
      <c r="B440" s="10"/>
      <c r="C440" s="40"/>
      <c r="J440" s="328"/>
      <c r="K440" s="334"/>
      <c r="L440" s="334"/>
      <c r="M440" s="329"/>
      <c r="N440" s="1095" t="s">
        <v>135</v>
      </c>
      <c r="O440" s="1091"/>
      <c r="P440" s="1091"/>
      <c r="Q440" s="1091"/>
      <c r="R440" s="113"/>
      <c r="S440" s="1835" t="s">
        <v>3413</v>
      </c>
      <c r="T440" s="2213" t="e">
        <v>#N/A</v>
      </c>
      <c r="U440" s="2057" t="e">
        <v>#N/A</v>
      </c>
      <c r="V440" s="2057" t="e">
        <v>#N/A</v>
      </c>
      <c r="W440" s="2057" t="e">
        <v>#N/A</v>
      </c>
      <c r="X440" s="2057" t="e">
        <v>#N/A</v>
      </c>
      <c r="Y440" s="2057" t="e">
        <v>#N/A</v>
      </c>
      <c r="Z440" s="2057" t="e">
        <v>#N/A</v>
      </c>
      <c r="AA440" s="2057" t="e">
        <v>#N/A</v>
      </c>
      <c r="AB440" s="2214" t="e">
        <v>#N/A</v>
      </c>
      <c r="AC440" s="46"/>
      <c r="AE440" s="10"/>
      <c r="AF440" s="248"/>
      <c r="AG440" s="10"/>
      <c r="AH440" s="10"/>
    </row>
    <row r="441" spans="1:34" s="5" customFormat="1" ht="10.15" hidden="1" customHeight="1" x14ac:dyDescent="0.2">
      <c r="A441" s="10" t="s">
        <v>461</v>
      </c>
      <c r="B441" s="10"/>
      <c r="C441" s="40"/>
      <c r="J441" s="328"/>
      <c r="K441" s="334"/>
      <c r="L441" s="334"/>
      <c r="M441" s="329"/>
      <c r="N441" s="1095" t="s">
        <v>19</v>
      </c>
      <c r="O441" s="1091"/>
      <c r="P441" s="1091"/>
      <c r="Q441" s="1091"/>
      <c r="R441" s="113"/>
      <c r="S441" s="1835" t="s">
        <v>3414</v>
      </c>
      <c r="T441" s="2322">
        <v>-2</v>
      </c>
      <c r="U441" s="2282">
        <v>-2</v>
      </c>
      <c r="V441" s="2282">
        <v>-2</v>
      </c>
      <c r="W441" s="2282">
        <v>-2</v>
      </c>
      <c r="X441" s="2282">
        <v>-2</v>
      </c>
      <c r="Y441" s="2282">
        <v>-2</v>
      </c>
      <c r="Z441" s="2282">
        <v>-2</v>
      </c>
      <c r="AA441" s="2282">
        <v>-2</v>
      </c>
      <c r="AB441" s="2323">
        <v>-2</v>
      </c>
      <c r="AC441" s="46"/>
      <c r="AE441" s="10"/>
      <c r="AF441" s="248"/>
      <c r="AG441" s="10"/>
      <c r="AH441" s="10"/>
    </row>
    <row r="442" spans="1:34" s="5" customFormat="1" ht="10.15" hidden="1" customHeight="1" x14ac:dyDescent="0.2">
      <c r="A442" s="10" t="s">
        <v>463</v>
      </c>
      <c r="B442" s="10"/>
      <c r="C442" s="40"/>
      <c r="J442" s="330"/>
      <c r="K442" s="331"/>
      <c r="L442" s="331"/>
      <c r="M442" s="332"/>
      <c r="N442" s="1122" t="s">
        <v>130</v>
      </c>
      <c r="O442" s="1152"/>
      <c r="P442" s="1152"/>
      <c r="Q442" s="1152"/>
      <c r="R442" s="120"/>
      <c r="S442" s="1839" t="s">
        <v>3416</v>
      </c>
      <c r="T442" s="2215" t="e">
        <v>#N/A</v>
      </c>
      <c r="U442" s="2060" t="e">
        <v>#N/A</v>
      </c>
      <c r="V442" s="2060" t="e">
        <v>#N/A</v>
      </c>
      <c r="W442" s="2060" t="e">
        <v>#N/A</v>
      </c>
      <c r="X442" s="2065" t="e">
        <v>#N/A</v>
      </c>
      <c r="Y442" s="2060" t="e">
        <v>#N/A</v>
      </c>
      <c r="Z442" s="2060" t="e">
        <v>#N/A</v>
      </c>
      <c r="AA442" s="2060" t="e">
        <v>#N/A</v>
      </c>
      <c r="AB442" s="2216" t="e">
        <v>#N/A</v>
      </c>
      <c r="AC442" s="46"/>
      <c r="AE442" s="10"/>
      <c r="AF442" s="248"/>
      <c r="AG442" s="10"/>
      <c r="AH442" s="10"/>
    </row>
    <row r="443" spans="1:34" s="5" customFormat="1" ht="10.15" hidden="1" customHeight="1" x14ac:dyDescent="0.2">
      <c r="A443" s="10" t="s">
        <v>463</v>
      </c>
      <c r="B443" s="10"/>
      <c r="C443" s="40"/>
      <c r="J443" s="2587" t="s">
        <v>46</v>
      </c>
      <c r="K443" s="2588"/>
      <c r="L443" s="2588"/>
      <c r="M443" s="2589"/>
      <c r="N443" s="1120" t="s">
        <v>217</v>
      </c>
      <c r="O443" s="1136"/>
      <c r="P443" s="1136"/>
      <c r="Q443" s="1136"/>
      <c r="R443" s="116"/>
      <c r="S443" s="1838" t="s">
        <v>3417</v>
      </c>
      <c r="T443" s="2309">
        <v>0</v>
      </c>
      <c r="U443" s="2310">
        <v>0</v>
      </c>
      <c r="V443" s="2310">
        <v>0</v>
      </c>
      <c r="W443" s="2310">
        <v>0</v>
      </c>
      <c r="X443" s="2310">
        <v>0</v>
      </c>
      <c r="Y443" s="2310">
        <v>0</v>
      </c>
      <c r="Z443" s="2310">
        <v>0</v>
      </c>
      <c r="AA443" s="2310">
        <v>0</v>
      </c>
      <c r="AB443" s="2341">
        <v>0</v>
      </c>
      <c r="AC443" s="46"/>
      <c r="AE443" s="10"/>
      <c r="AF443" s="248"/>
      <c r="AG443" s="10"/>
      <c r="AH443" s="10"/>
    </row>
    <row r="444" spans="1:34" s="5" customFormat="1" ht="10.15" hidden="1" customHeight="1" x14ac:dyDescent="0.2">
      <c r="A444" s="10" t="s">
        <v>463</v>
      </c>
      <c r="B444" s="10"/>
      <c r="C444" s="40"/>
      <c r="J444" s="2595"/>
      <c r="K444" s="2596"/>
      <c r="L444" s="2596"/>
      <c r="M444" s="2597"/>
      <c r="N444" s="1123" t="s">
        <v>215</v>
      </c>
      <c r="O444" s="1094"/>
      <c r="P444" s="1094"/>
      <c r="Q444" s="1094"/>
      <c r="R444" s="118"/>
      <c r="S444" s="1842" t="s">
        <v>3418</v>
      </c>
      <c r="T444" s="2208">
        <v>0</v>
      </c>
      <c r="U444" s="2209">
        <v>0</v>
      </c>
      <c r="V444" s="2209">
        <v>0</v>
      </c>
      <c r="W444" s="2209">
        <v>0</v>
      </c>
      <c r="X444" s="2209">
        <v>0</v>
      </c>
      <c r="Y444" s="2209">
        <v>0</v>
      </c>
      <c r="Z444" s="2209">
        <v>0</v>
      </c>
      <c r="AA444" s="2209">
        <v>0</v>
      </c>
      <c r="AB444" s="2210">
        <v>0</v>
      </c>
      <c r="AC444" s="46"/>
      <c r="AE444" s="10"/>
      <c r="AF444" s="248"/>
      <c r="AG444" s="10"/>
      <c r="AH444" s="10"/>
    </row>
    <row r="445" spans="1:34" s="5" customFormat="1" ht="10.15" hidden="1" customHeight="1" x14ac:dyDescent="0.2">
      <c r="A445" s="10" t="s">
        <v>463</v>
      </c>
      <c r="B445" s="10"/>
      <c r="C445" s="40"/>
      <c r="J445" s="2595"/>
      <c r="K445" s="2596"/>
      <c r="L445" s="2596"/>
      <c r="M445" s="2597"/>
      <c r="N445" s="1123" t="s">
        <v>237</v>
      </c>
      <c r="O445" s="1094"/>
      <c r="P445" s="1094"/>
      <c r="Q445" s="1094"/>
      <c r="R445" s="118"/>
      <c r="S445" s="1842" t="s">
        <v>3419</v>
      </c>
      <c r="T445" s="2208">
        <v>0</v>
      </c>
      <c r="U445" s="2209">
        <v>0</v>
      </c>
      <c r="V445" s="2209">
        <v>0</v>
      </c>
      <c r="W445" s="2209">
        <v>0</v>
      </c>
      <c r="X445" s="2209">
        <v>0</v>
      </c>
      <c r="Y445" s="2209">
        <v>0</v>
      </c>
      <c r="Z445" s="2209">
        <v>0</v>
      </c>
      <c r="AA445" s="2209">
        <v>0</v>
      </c>
      <c r="AB445" s="2210">
        <v>0</v>
      </c>
      <c r="AC445" s="46"/>
      <c r="AE445" s="10"/>
      <c r="AF445" s="248"/>
      <c r="AG445" s="10"/>
      <c r="AH445" s="10"/>
    </row>
    <row r="446" spans="1:34" s="5" customFormat="1" ht="10.15" hidden="1" customHeight="1" x14ac:dyDescent="0.2">
      <c r="A446" s="10" t="s">
        <v>463</v>
      </c>
      <c r="B446" s="10"/>
      <c r="C446" s="40"/>
      <c r="J446" s="2590"/>
      <c r="K446" s="2591"/>
      <c r="L446" s="2591"/>
      <c r="M446" s="2592"/>
      <c r="N446" s="1124" t="s">
        <v>45</v>
      </c>
      <c r="O446" s="1137"/>
      <c r="P446" s="1137"/>
      <c r="Q446" s="1137"/>
      <c r="R446" s="1815"/>
      <c r="S446" s="1843" t="s">
        <v>3420</v>
      </c>
      <c r="T446" s="2217" t="e">
        <v>#N/A</v>
      </c>
      <c r="U446" s="2065" t="e">
        <v>#N/A</v>
      </c>
      <c r="V446" s="2065" t="e">
        <v>#N/A</v>
      </c>
      <c r="W446" s="2065" t="e">
        <v>#N/A</v>
      </c>
      <c r="X446" s="2065" t="e">
        <v>#N/A</v>
      </c>
      <c r="Y446" s="2065" t="e">
        <v>#N/A</v>
      </c>
      <c r="Z446" s="2065" t="e">
        <v>#N/A</v>
      </c>
      <c r="AA446" s="2065" t="e">
        <v>#N/A</v>
      </c>
      <c r="AB446" s="2218" t="e">
        <v>#N/A</v>
      </c>
      <c r="AC446" s="46"/>
      <c r="AE446" s="10"/>
      <c r="AF446" s="248"/>
      <c r="AG446" s="10"/>
      <c r="AH446" s="10"/>
    </row>
    <row r="447" spans="1:34" s="5" customFormat="1" ht="10.15" hidden="1" customHeight="1" x14ac:dyDescent="0.2">
      <c r="A447" s="10" t="s">
        <v>463</v>
      </c>
      <c r="B447" s="10"/>
      <c r="C447" s="40"/>
      <c r="J447" s="242" t="s">
        <v>106</v>
      </c>
      <c r="K447" s="243"/>
      <c r="L447" s="243"/>
      <c r="M447" s="244"/>
      <c r="N447" s="1120" t="s">
        <v>283</v>
      </c>
      <c r="O447" s="1136"/>
      <c r="P447" s="1136"/>
      <c r="Q447" s="1136"/>
      <c r="R447" s="116"/>
      <c r="S447" s="1838" t="s">
        <v>3421</v>
      </c>
      <c r="T447" s="2309">
        <v>0</v>
      </c>
      <c r="U447" s="2310">
        <v>0</v>
      </c>
      <c r="V447" s="2310">
        <v>0</v>
      </c>
      <c r="W447" s="2310">
        <v>0</v>
      </c>
      <c r="X447" s="2310">
        <v>0</v>
      </c>
      <c r="Y447" s="2310">
        <v>0</v>
      </c>
      <c r="Z447" s="2310">
        <v>0</v>
      </c>
      <c r="AA447" s="2310">
        <v>0</v>
      </c>
      <c r="AB447" s="2341">
        <v>0</v>
      </c>
      <c r="AC447" s="46"/>
      <c r="AE447" s="10"/>
      <c r="AF447" s="248"/>
      <c r="AG447" s="10"/>
      <c r="AH447" s="10"/>
    </row>
    <row r="448" spans="1:34" s="5" customFormat="1" ht="10.15" hidden="1" customHeight="1" x14ac:dyDescent="0.2">
      <c r="A448" s="10" t="s">
        <v>463</v>
      </c>
      <c r="B448" s="10"/>
      <c r="C448" s="40"/>
      <c r="J448" s="245"/>
      <c r="K448" s="246"/>
      <c r="L448" s="246"/>
      <c r="M448" s="247"/>
      <c r="N448" s="1123" t="s">
        <v>125</v>
      </c>
      <c r="O448" s="1094"/>
      <c r="P448" s="1094"/>
      <c r="Q448" s="1094"/>
      <c r="R448" s="118"/>
      <c r="S448" s="1844" t="s">
        <v>3422</v>
      </c>
      <c r="T448" s="2208">
        <v>0</v>
      </c>
      <c r="U448" s="2209">
        <v>0</v>
      </c>
      <c r="V448" s="2209">
        <v>0</v>
      </c>
      <c r="W448" s="2209">
        <v>0</v>
      </c>
      <c r="X448" s="2209">
        <v>0</v>
      </c>
      <c r="Y448" s="2209">
        <v>0</v>
      </c>
      <c r="Z448" s="2209">
        <v>0</v>
      </c>
      <c r="AA448" s="2209">
        <v>0</v>
      </c>
      <c r="AB448" s="2210">
        <v>0</v>
      </c>
      <c r="AC448" s="46"/>
      <c r="AE448" s="10"/>
      <c r="AF448" s="248"/>
      <c r="AG448" s="10"/>
      <c r="AH448" s="10"/>
    </row>
    <row r="449" spans="1:34" s="5" customFormat="1" ht="10.15" hidden="1" customHeight="1" x14ac:dyDescent="0.2">
      <c r="A449" s="10" t="s">
        <v>463</v>
      </c>
      <c r="B449" s="10"/>
      <c r="C449" s="40"/>
      <c r="J449" s="245"/>
      <c r="K449" s="246"/>
      <c r="L449" s="246"/>
      <c r="M449" s="247"/>
      <c r="N449" s="1123" t="s">
        <v>18</v>
      </c>
      <c r="O449" s="1094"/>
      <c r="P449" s="1094"/>
      <c r="Q449" s="1094"/>
      <c r="R449" s="118"/>
      <c r="S449" s="1844" t="s">
        <v>3423</v>
      </c>
      <c r="T449" s="2219" t="e">
        <v>#N/A</v>
      </c>
      <c r="U449" s="2067" t="e">
        <v>#N/A</v>
      </c>
      <c r="V449" s="2067" t="e">
        <v>#N/A</v>
      </c>
      <c r="W449" s="2067" t="e">
        <v>#N/A</v>
      </c>
      <c r="X449" s="2067" t="e">
        <v>#N/A</v>
      </c>
      <c r="Y449" s="2067" t="e">
        <v>#N/A</v>
      </c>
      <c r="Z449" s="2067" t="e">
        <v>#N/A</v>
      </c>
      <c r="AA449" s="2067" t="e">
        <v>#N/A</v>
      </c>
      <c r="AB449" s="2220" t="e">
        <v>#N/A</v>
      </c>
      <c r="AC449" s="46"/>
      <c r="AE449" s="10"/>
      <c r="AF449" s="248"/>
      <c r="AG449" s="10"/>
      <c r="AH449" s="10"/>
    </row>
    <row r="450" spans="1:34" s="5" customFormat="1" ht="10.15" hidden="1" customHeight="1" x14ac:dyDescent="0.2">
      <c r="A450" s="10" t="s">
        <v>463</v>
      </c>
      <c r="B450" s="10"/>
      <c r="C450" s="40"/>
      <c r="J450" s="245"/>
      <c r="K450" s="246"/>
      <c r="L450" s="246"/>
      <c r="M450" s="247"/>
      <c r="N450" s="1123" t="s">
        <v>238</v>
      </c>
      <c r="O450" s="1094"/>
      <c r="P450" s="1094"/>
      <c r="Q450" s="1094"/>
      <c r="R450" s="118"/>
      <c r="S450" s="1844" t="s">
        <v>3424</v>
      </c>
      <c r="T450" s="2219" t="e">
        <v>#N/A</v>
      </c>
      <c r="U450" s="2067" t="e">
        <v>#N/A</v>
      </c>
      <c r="V450" s="2067" t="e">
        <v>#N/A</v>
      </c>
      <c r="W450" s="2067" t="e">
        <v>#N/A</v>
      </c>
      <c r="X450" s="2067" t="e">
        <v>#N/A</v>
      </c>
      <c r="Y450" s="2067" t="e">
        <v>#N/A</v>
      </c>
      <c r="Z450" s="2067" t="e">
        <v>#N/A</v>
      </c>
      <c r="AA450" s="2067" t="e">
        <v>#N/A</v>
      </c>
      <c r="AB450" s="2220" t="e">
        <v>#N/A</v>
      </c>
      <c r="AC450" s="46"/>
      <c r="AE450" s="10"/>
      <c r="AF450" s="248"/>
      <c r="AG450" s="10"/>
      <c r="AH450" s="10"/>
    </row>
    <row r="451" spans="1:34" s="5" customFormat="1" ht="10.15" hidden="1" customHeight="1" x14ac:dyDescent="0.2">
      <c r="A451" s="10" t="s">
        <v>463</v>
      </c>
      <c r="B451" s="10"/>
      <c r="C451" s="40"/>
      <c r="J451" s="245"/>
      <c r="K451" s="246"/>
      <c r="L451" s="246"/>
      <c r="M451" s="247"/>
      <c r="N451" s="1123" t="s">
        <v>152</v>
      </c>
      <c r="O451" s="1094"/>
      <c r="P451" s="1094"/>
      <c r="Q451" s="1094"/>
      <c r="R451" s="118"/>
      <c r="S451" s="1844" t="s">
        <v>3425</v>
      </c>
      <c r="T451" s="2219" t="e">
        <v>#N/A</v>
      </c>
      <c r="U451" s="2067" t="e">
        <v>#N/A</v>
      </c>
      <c r="V451" s="2067" t="e">
        <v>#N/A</v>
      </c>
      <c r="W451" s="2067" t="e">
        <v>#N/A</v>
      </c>
      <c r="X451" s="2067" t="e">
        <v>#N/A</v>
      </c>
      <c r="Y451" s="2067" t="e">
        <v>#N/A</v>
      </c>
      <c r="Z451" s="2067" t="e">
        <v>#N/A</v>
      </c>
      <c r="AA451" s="2067" t="e">
        <v>#N/A</v>
      </c>
      <c r="AB451" s="2220" t="e">
        <v>#N/A</v>
      </c>
      <c r="AC451" s="46"/>
      <c r="AE451" s="10"/>
      <c r="AF451" s="248"/>
      <c r="AG451" s="10"/>
      <c r="AH451" s="10"/>
    </row>
    <row r="452" spans="1:34" s="5" customFormat="1" ht="10.15" hidden="1" customHeight="1" x14ac:dyDescent="0.2">
      <c r="A452" s="10" t="s">
        <v>463</v>
      </c>
      <c r="B452" s="10"/>
      <c r="C452" s="40"/>
      <c r="J452" s="245"/>
      <c r="K452" s="246"/>
      <c r="L452" s="246"/>
      <c r="M452" s="247"/>
      <c r="N452" s="1124" t="s">
        <v>3914</v>
      </c>
      <c r="O452" s="1137"/>
      <c r="P452" s="1137"/>
      <c r="Q452" s="1137"/>
      <c r="R452" s="1815"/>
      <c r="S452" s="1845" t="s">
        <v>3916</v>
      </c>
      <c r="T452" s="2217" t="e">
        <v>#N/A</v>
      </c>
      <c r="U452" s="2065" t="e">
        <v>#N/A</v>
      </c>
      <c r="V452" s="2065" t="e">
        <v>#N/A</v>
      </c>
      <c r="W452" s="2065" t="e">
        <v>#N/A</v>
      </c>
      <c r="X452" s="2065" t="e">
        <v>#N/A</v>
      </c>
      <c r="Y452" s="2065" t="e">
        <v>#N/A</v>
      </c>
      <c r="Z452" s="2065" t="e">
        <v>#N/A</v>
      </c>
      <c r="AA452" s="2065" t="e">
        <v>#N/A</v>
      </c>
      <c r="AB452" s="2218" t="e">
        <v>#N/A</v>
      </c>
      <c r="AC452" s="46"/>
      <c r="AE452" s="10"/>
      <c r="AF452" s="248"/>
      <c r="AG452" s="10"/>
      <c r="AH452" s="10"/>
    </row>
    <row r="453" spans="1:34" s="5" customFormat="1" ht="10.15" hidden="1" customHeight="1" x14ac:dyDescent="0.2">
      <c r="A453" s="10" t="s">
        <v>463</v>
      </c>
      <c r="B453" s="10"/>
      <c r="C453" s="40"/>
      <c r="J453" s="245"/>
      <c r="K453" s="246"/>
      <c r="L453" s="246"/>
      <c r="M453" s="247"/>
      <c r="N453" s="1120" t="s">
        <v>2669</v>
      </c>
      <c r="O453" s="1136"/>
      <c r="P453" s="1136"/>
      <c r="Q453" s="1136"/>
      <c r="R453" s="116"/>
      <c r="S453" s="1846" t="s">
        <v>3533</v>
      </c>
      <c r="T453" s="2320">
        <v>0</v>
      </c>
      <c r="U453" s="2276">
        <v>0</v>
      </c>
      <c r="V453" s="2276">
        <v>0</v>
      </c>
      <c r="W453" s="2276">
        <v>0</v>
      </c>
      <c r="X453" s="2276">
        <v>0</v>
      </c>
      <c r="Y453" s="2276">
        <v>0</v>
      </c>
      <c r="Z453" s="2276">
        <v>0</v>
      </c>
      <c r="AA453" s="2276">
        <v>0</v>
      </c>
      <c r="AB453" s="2321">
        <v>0</v>
      </c>
      <c r="AC453" s="46"/>
      <c r="AE453" s="10"/>
      <c r="AF453" s="248"/>
      <c r="AG453" s="10"/>
      <c r="AH453" s="10"/>
    </row>
    <row r="454" spans="1:34" s="5" customFormat="1" ht="10.15" hidden="1" customHeight="1" x14ac:dyDescent="0.2">
      <c r="A454" s="10" t="s">
        <v>463</v>
      </c>
      <c r="C454" s="40"/>
      <c r="J454" s="245"/>
      <c r="K454" s="246"/>
      <c r="L454" s="246"/>
      <c r="M454" s="247"/>
      <c r="N454" s="1118" t="s">
        <v>4162</v>
      </c>
      <c r="O454" s="360"/>
      <c r="P454" s="360"/>
      <c r="Q454" s="360"/>
      <c r="R454" s="360"/>
      <c r="S454" s="1877" t="s">
        <v>4179</v>
      </c>
      <c r="T454" s="2213" t="e">
        <v>#N/A</v>
      </c>
      <c r="U454" s="2057" t="e">
        <v>#N/A</v>
      </c>
      <c r="V454" s="2057" t="e">
        <v>#N/A</v>
      </c>
      <c r="W454" s="2057" t="e">
        <v>#N/A</v>
      </c>
      <c r="X454" s="2057" t="e">
        <v>#N/A</v>
      </c>
      <c r="Y454" s="2057" t="e">
        <v>#N/A</v>
      </c>
      <c r="Z454" s="2057" t="e">
        <v>#N/A</v>
      </c>
      <c r="AA454" s="2057" t="e">
        <v>#N/A</v>
      </c>
      <c r="AB454" s="2214" t="e">
        <v>#N/A</v>
      </c>
      <c r="AC454" s="46"/>
      <c r="AE454" s="10"/>
      <c r="AF454" s="248"/>
      <c r="AG454" s="10"/>
      <c r="AH454" s="10"/>
    </row>
    <row r="455" spans="1:34" s="5" customFormat="1" ht="10.15" hidden="1" customHeight="1" x14ac:dyDescent="0.2">
      <c r="A455" s="10" t="s">
        <v>463</v>
      </c>
      <c r="C455" s="40"/>
      <c r="J455" s="245"/>
      <c r="K455" s="246"/>
      <c r="L455" s="246"/>
      <c r="M455" s="247"/>
      <c r="N455" s="1118" t="s">
        <v>4161</v>
      </c>
      <c r="O455" s="360"/>
      <c r="P455" s="360"/>
      <c r="Q455" s="360"/>
      <c r="R455" s="360"/>
      <c r="S455" s="1878" t="s">
        <v>4180</v>
      </c>
      <c r="T455" s="2213" t="e">
        <v>#N/A</v>
      </c>
      <c r="U455" s="2057" t="e">
        <v>#N/A</v>
      </c>
      <c r="V455" s="2057" t="e">
        <v>#N/A</v>
      </c>
      <c r="W455" s="2057" t="e">
        <v>#N/A</v>
      </c>
      <c r="X455" s="2057" t="e">
        <v>#N/A</v>
      </c>
      <c r="Y455" s="2057" t="e">
        <v>#N/A</v>
      </c>
      <c r="Z455" s="2057" t="e">
        <v>#N/A</v>
      </c>
      <c r="AA455" s="2057" t="e">
        <v>#N/A</v>
      </c>
      <c r="AB455" s="2214" t="e">
        <v>#N/A</v>
      </c>
      <c r="AC455" s="46"/>
      <c r="AE455" s="10"/>
      <c r="AF455" s="248"/>
      <c r="AG455" s="10"/>
      <c r="AH455" s="10"/>
    </row>
    <row r="456" spans="1:34" s="5" customFormat="1" ht="10.15" hidden="1" customHeight="1" x14ac:dyDescent="0.2">
      <c r="A456" s="10" t="s">
        <v>463</v>
      </c>
      <c r="C456" s="40"/>
      <c r="J456" s="245"/>
      <c r="K456" s="246"/>
      <c r="L456" s="246"/>
      <c r="M456" s="247"/>
      <c r="N456" s="1119" t="s">
        <v>4163</v>
      </c>
      <c r="O456" s="1092"/>
      <c r="P456" s="1092"/>
      <c r="Q456" s="1092"/>
      <c r="R456" s="1092"/>
      <c r="S456" s="1878" t="s">
        <v>4181</v>
      </c>
      <c r="T456" s="2213" t="e">
        <v>#N/A</v>
      </c>
      <c r="U456" s="2057" t="e">
        <v>#N/A</v>
      </c>
      <c r="V456" s="2057" t="e">
        <v>#N/A</v>
      </c>
      <c r="W456" s="2057" t="e">
        <v>#N/A</v>
      </c>
      <c r="X456" s="2057" t="e">
        <v>#N/A</v>
      </c>
      <c r="Y456" s="2057" t="e">
        <v>#N/A</v>
      </c>
      <c r="Z456" s="2057" t="e">
        <v>#N/A</v>
      </c>
      <c r="AA456" s="2057" t="e">
        <v>#N/A</v>
      </c>
      <c r="AB456" s="2214" t="e">
        <v>#N/A</v>
      </c>
      <c r="AC456" s="46"/>
      <c r="AE456" s="10"/>
      <c r="AF456" s="248"/>
      <c r="AG456" s="10"/>
      <c r="AH456" s="10"/>
    </row>
    <row r="457" spans="1:34" s="5" customFormat="1" ht="10.15" hidden="1" customHeight="1" x14ac:dyDescent="0.2">
      <c r="A457" s="10" t="s">
        <v>463</v>
      </c>
      <c r="C457" s="40"/>
      <c r="J457" s="245"/>
      <c r="K457" s="246"/>
      <c r="L457" s="246"/>
      <c r="M457" s="247"/>
      <c r="N457" s="1118" t="s">
        <v>4164</v>
      </c>
      <c r="O457" s="360"/>
      <c r="P457" s="360"/>
      <c r="Q457" s="360"/>
      <c r="R457" s="360"/>
      <c r="S457" s="1877" t="s">
        <v>4182</v>
      </c>
      <c r="T457" s="2213" t="e">
        <v>#N/A</v>
      </c>
      <c r="U457" s="2057" t="e">
        <v>#N/A</v>
      </c>
      <c r="V457" s="2057" t="e">
        <v>#N/A</v>
      </c>
      <c r="W457" s="2057" t="e">
        <v>#N/A</v>
      </c>
      <c r="X457" s="2057" t="e">
        <v>#N/A</v>
      </c>
      <c r="Y457" s="2057" t="e">
        <v>#N/A</v>
      </c>
      <c r="Z457" s="2057" t="e">
        <v>#N/A</v>
      </c>
      <c r="AA457" s="2057" t="e">
        <v>#N/A</v>
      </c>
      <c r="AB457" s="2214" t="e">
        <v>#N/A</v>
      </c>
      <c r="AC457" s="46"/>
      <c r="AE457" s="10"/>
      <c r="AF457" s="248"/>
      <c r="AG457" s="10"/>
      <c r="AH457" s="10"/>
    </row>
    <row r="458" spans="1:34" s="5" customFormat="1" ht="10.15" hidden="1" customHeight="1" x14ac:dyDescent="0.2">
      <c r="A458" s="10" t="s">
        <v>463</v>
      </c>
      <c r="C458" s="40"/>
      <c r="J458" s="245"/>
      <c r="K458" s="246"/>
      <c r="L458" s="246"/>
      <c r="M458" s="247"/>
      <c r="N458" s="1118" t="s">
        <v>4165</v>
      </c>
      <c r="O458" s="360"/>
      <c r="P458" s="360"/>
      <c r="Q458" s="360"/>
      <c r="R458" s="360"/>
      <c r="S458" s="1878" t="s">
        <v>4183</v>
      </c>
      <c r="T458" s="2213" t="e">
        <v>#N/A</v>
      </c>
      <c r="U458" s="2057" t="e">
        <v>#N/A</v>
      </c>
      <c r="V458" s="2057" t="e">
        <v>#N/A</v>
      </c>
      <c r="W458" s="2057" t="e">
        <v>#N/A</v>
      </c>
      <c r="X458" s="2057" t="e">
        <v>#N/A</v>
      </c>
      <c r="Y458" s="2057" t="e">
        <v>#N/A</v>
      </c>
      <c r="Z458" s="2057" t="e">
        <v>#N/A</v>
      </c>
      <c r="AA458" s="2057" t="e">
        <v>#N/A</v>
      </c>
      <c r="AB458" s="2214" t="e">
        <v>#N/A</v>
      </c>
      <c r="AC458" s="46"/>
      <c r="AE458" s="10"/>
      <c r="AF458" s="248"/>
      <c r="AG458" s="10"/>
      <c r="AH458" s="10"/>
    </row>
    <row r="459" spans="1:34" s="5" customFormat="1" ht="10.15" hidden="1" customHeight="1" x14ac:dyDescent="0.2">
      <c r="A459" s="10" t="s">
        <v>463</v>
      </c>
      <c r="C459" s="40"/>
      <c r="J459" s="245"/>
      <c r="K459" s="246"/>
      <c r="L459" s="246"/>
      <c r="M459" s="247"/>
      <c r="N459" s="1119" t="s">
        <v>4166</v>
      </c>
      <c r="O459" s="1092"/>
      <c r="P459" s="1092"/>
      <c r="Q459" s="1092"/>
      <c r="R459" s="1092"/>
      <c r="S459" s="1878" t="s">
        <v>4184</v>
      </c>
      <c r="T459" s="2217" t="e">
        <v>#N/A</v>
      </c>
      <c r="U459" s="2065" t="e">
        <v>#N/A</v>
      </c>
      <c r="V459" s="2065" t="e">
        <v>#N/A</v>
      </c>
      <c r="W459" s="2065" t="e">
        <v>#N/A</v>
      </c>
      <c r="X459" s="2065" t="e">
        <v>#N/A</v>
      </c>
      <c r="Y459" s="2065" t="e">
        <v>#N/A</v>
      </c>
      <c r="Z459" s="2065" t="e">
        <v>#N/A</v>
      </c>
      <c r="AA459" s="2065" t="e">
        <v>#N/A</v>
      </c>
      <c r="AB459" s="2218" t="e">
        <v>#N/A</v>
      </c>
      <c r="AC459" s="46"/>
      <c r="AE459" s="10"/>
      <c r="AF459" s="248"/>
      <c r="AG459" s="10"/>
      <c r="AH459" s="10"/>
    </row>
    <row r="460" spans="1:34" s="5" customFormat="1" ht="10.15" hidden="1" customHeight="1" x14ac:dyDescent="0.2">
      <c r="A460" s="10" t="s">
        <v>463</v>
      </c>
      <c r="C460" s="40"/>
      <c r="J460" s="2578" t="s">
        <v>90</v>
      </c>
      <c r="K460" s="2579"/>
      <c r="L460" s="2579"/>
      <c r="M460" s="2580"/>
      <c r="N460" s="1117" t="s">
        <v>50</v>
      </c>
      <c r="O460" s="1135"/>
      <c r="P460" s="1135"/>
      <c r="Q460" s="1135"/>
      <c r="R460" s="115"/>
      <c r="S460" s="1837" t="s">
        <v>3426</v>
      </c>
      <c r="T460" s="2320">
        <v>0</v>
      </c>
      <c r="U460" s="2276">
        <v>0</v>
      </c>
      <c r="V460" s="2276">
        <v>0</v>
      </c>
      <c r="W460" s="2276">
        <v>0</v>
      </c>
      <c r="X460" s="2276">
        <v>0</v>
      </c>
      <c r="Y460" s="2276">
        <v>0</v>
      </c>
      <c r="Z460" s="2276">
        <v>0</v>
      </c>
      <c r="AA460" s="2276">
        <v>0</v>
      </c>
      <c r="AB460" s="2321">
        <v>0</v>
      </c>
      <c r="AC460" s="46"/>
      <c r="AE460" s="10"/>
      <c r="AF460" s="248"/>
      <c r="AG460" s="10"/>
      <c r="AH460" s="10"/>
    </row>
    <row r="461" spans="1:34" s="5" customFormat="1" ht="10.15" hidden="1" customHeight="1" x14ac:dyDescent="0.2">
      <c r="A461" s="10" t="s">
        <v>463</v>
      </c>
      <c r="C461" s="40"/>
      <c r="J461" s="2581"/>
      <c r="K461" s="2582"/>
      <c r="L461" s="2582"/>
      <c r="M461" s="2583"/>
      <c r="N461" s="1116" t="s">
        <v>20</v>
      </c>
      <c r="O461" s="1096"/>
      <c r="P461" s="1096"/>
      <c r="Q461" s="1096"/>
      <c r="R461" s="114"/>
      <c r="S461" s="1836" t="s">
        <v>3427</v>
      </c>
      <c r="T461" s="2324">
        <v>0</v>
      </c>
      <c r="U461" s="2285">
        <v>0</v>
      </c>
      <c r="V461" s="2285">
        <v>0</v>
      </c>
      <c r="W461" s="2285">
        <v>0</v>
      </c>
      <c r="X461" s="2285">
        <v>0</v>
      </c>
      <c r="Y461" s="2285">
        <v>0</v>
      </c>
      <c r="Z461" s="2285">
        <v>0</v>
      </c>
      <c r="AA461" s="2285">
        <v>0</v>
      </c>
      <c r="AB461" s="2325">
        <v>0</v>
      </c>
      <c r="AC461" s="46"/>
      <c r="AE461" s="10"/>
      <c r="AF461" s="248"/>
      <c r="AG461" s="10"/>
      <c r="AH461" s="10"/>
    </row>
    <row r="462" spans="1:34" s="5" customFormat="1" ht="10.15" hidden="1" customHeight="1" x14ac:dyDescent="0.2">
      <c r="A462" s="10" t="s">
        <v>463</v>
      </c>
      <c r="C462" s="40"/>
      <c r="J462" s="2581"/>
      <c r="K462" s="2582"/>
      <c r="L462" s="2582"/>
      <c r="M462" s="2583"/>
      <c r="N462" s="1117" t="s">
        <v>49</v>
      </c>
      <c r="O462" s="1135"/>
      <c r="P462" s="1135"/>
      <c r="Q462" s="1135"/>
      <c r="R462" s="115"/>
      <c r="S462" s="1834" t="s">
        <v>3428</v>
      </c>
      <c r="T462" s="2309">
        <v>0</v>
      </c>
      <c r="U462" s="2310">
        <v>0</v>
      </c>
      <c r="V462" s="2310">
        <v>0</v>
      </c>
      <c r="W462" s="2310">
        <v>0</v>
      </c>
      <c r="X462" s="2310">
        <v>0</v>
      </c>
      <c r="Y462" s="2310">
        <v>0</v>
      </c>
      <c r="Z462" s="2310">
        <v>0</v>
      </c>
      <c r="AA462" s="2310">
        <v>0</v>
      </c>
      <c r="AB462" s="2341">
        <v>0</v>
      </c>
      <c r="AC462" s="46"/>
      <c r="AE462" s="10"/>
      <c r="AF462" s="248"/>
      <c r="AG462" s="10"/>
      <c r="AH462" s="10"/>
    </row>
    <row r="463" spans="1:34" s="5" customFormat="1" ht="10.15" hidden="1" customHeight="1" x14ac:dyDescent="0.2">
      <c r="A463" s="10" t="s">
        <v>463</v>
      </c>
      <c r="C463" s="40"/>
      <c r="J463" s="2581"/>
      <c r="K463" s="2582"/>
      <c r="L463" s="2582"/>
      <c r="M463" s="2583"/>
      <c r="N463" s="1116" t="s">
        <v>22</v>
      </c>
      <c r="O463" s="1096"/>
      <c r="P463" s="1096"/>
      <c r="Q463" s="1096"/>
      <c r="R463" s="114"/>
      <c r="S463" s="1847" t="s">
        <v>3429</v>
      </c>
      <c r="T463" s="2342">
        <v>0</v>
      </c>
      <c r="U463" s="2340">
        <v>0</v>
      </c>
      <c r="V463" s="2340">
        <v>0</v>
      </c>
      <c r="W463" s="2340">
        <v>0</v>
      </c>
      <c r="X463" s="2340">
        <v>0</v>
      </c>
      <c r="Y463" s="2340">
        <v>0</v>
      </c>
      <c r="Z463" s="2340">
        <v>0</v>
      </c>
      <c r="AA463" s="2340">
        <v>0</v>
      </c>
      <c r="AB463" s="2343">
        <v>0</v>
      </c>
      <c r="AC463" s="46"/>
      <c r="AE463" s="10"/>
      <c r="AF463" s="248"/>
      <c r="AG463" s="10"/>
      <c r="AH463" s="10"/>
    </row>
    <row r="464" spans="1:34" s="5" customFormat="1" ht="10.15" hidden="1" customHeight="1" x14ac:dyDescent="0.2">
      <c r="A464" s="10" t="s">
        <v>463</v>
      </c>
      <c r="C464" s="40"/>
      <c r="J464" s="2584"/>
      <c r="K464" s="2585"/>
      <c r="L464" s="2585"/>
      <c r="M464" s="2586"/>
      <c r="N464" s="1125" t="s">
        <v>82</v>
      </c>
      <c r="O464" s="1134"/>
      <c r="P464" s="1134"/>
      <c r="Q464" s="1134"/>
      <c r="R464" s="1816"/>
      <c r="S464" s="1848" t="s">
        <v>1784</v>
      </c>
      <c r="T464" s="2344">
        <v>0</v>
      </c>
      <c r="U464" s="2345">
        <v>0</v>
      </c>
      <c r="V464" s="2345">
        <v>0</v>
      </c>
      <c r="W464" s="2345">
        <v>0</v>
      </c>
      <c r="X464" s="2345">
        <v>0</v>
      </c>
      <c r="Y464" s="2345">
        <v>0</v>
      </c>
      <c r="Z464" s="2345">
        <v>0</v>
      </c>
      <c r="AA464" s="2345">
        <v>0</v>
      </c>
      <c r="AB464" s="2346">
        <v>0</v>
      </c>
      <c r="AC464" s="46"/>
      <c r="AE464" s="10"/>
      <c r="AF464" s="248"/>
      <c r="AG464" s="10"/>
      <c r="AH464" s="10"/>
    </row>
    <row r="465" spans="1:41" s="5" customFormat="1" ht="10.15" hidden="1" customHeight="1" x14ac:dyDescent="0.2">
      <c r="A465" s="10" t="s">
        <v>461</v>
      </c>
      <c r="C465" s="40"/>
      <c r="J465" s="2578" t="s">
        <v>23</v>
      </c>
      <c r="K465" s="2579"/>
      <c r="L465" s="2579"/>
      <c r="M465" s="2580"/>
      <c r="N465" s="1115" t="s">
        <v>73</v>
      </c>
      <c r="O465" s="1133"/>
      <c r="P465" s="1133"/>
      <c r="Q465" s="1133"/>
      <c r="R465" s="112"/>
      <c r="S465" s="1837" t="s">
        <v>3430</v>
      </c>
      <c r="T465" s="2320" cm="1">
        <f t="array" ref="T465">[1]!LLPA_PN_000050_30_Day</f>
        <v>0</v>
      </c>
      <c r="U465" s="2276" cm="1">
        <f t="array" ref="U465">[1]!LLPA_PN_000050_30_Day</f>
        <v>0</v>
      </c>
      <c r="V465" s="2276" cm="1">
        <f t="array" ref="V465">[1]!LLPA_PN_000050_30_Day</f>
        <v>0</v>
      </c>
      <c r="W465" s="2276" cm="1">
        <f t="array" ref="W465">[1]!LLPA_PN_000050_30_Day</f>
        <v>0</v>
      </c>
      <c r="X465" s="2276" cm="1">
        <f t="array" ref="X465">[1]!LLPA_PN_000050_30_Day</f>
        <v>0</v>
      </c>
      <c r="Y465" s="2276" cm="1">
        <f t="array" ref="Y465">[1]!LLPA_PN_000050_30_Day</f>
        <v>0</v>
      </c>
      <c r="Z465" s="2276" cm="1">
        <f t="array" ref="Z465">[1]!LLPA_PN_000050_30_Day</f>
        <v>0</v>
      </c>
      <c r="AA465" s="2276" cm="1">
        <f t="array" ref="AA465">[1]!LLPA_PN_000050_30_Day</f>
        <v>0</v>
      </c>
      <c r="AB465" s="2321" cm="1">
        <f t="array" ref="AB465">[1]!LLPA_PN_000050_30_Day</f>
        <v>0</v>
      </c>
      <c r="AC465" s="46"/>
      <c r="AE465" s="10"/>
      <c r="AF465" s="248"/>
      <c r="AG465" s="10"/>
      <c r="AH465" s="10"/>
    </row>
    <row r="466" spans="1:41" s="5" customFormat="1" ht="10.15" hidden="1" customHeight="1" x14ac:dyDescent="0.2">
      <c r="A466" s="10" t="s">
        <v>461</v>
      </c>
      <c r="C466" s="40"/>
      <c r="J466" s="2581"/>
      <c r="K466" s="2582"/>
      <c r="L466" s="2582"/>
      <c r="M466" s="2583"/>
      <c r="N466" s="1095" t="s">
        <v>74</v>
      </c>
      <c r="O466" s="1091"/>
      <c r="P466" s="1091"/>
      <c r="Q466" s="1091"/>
      <c r="R466" s="113"/>
      <c r="S466" s="1835" t="s">
        <v>3431</v>
      </c>
      <c r="T466" s="2322" cm="1">
        <f t="array" ref="T466">[1]!LLPA_PN_000050_45_Day</f>
        <v>-0.25</v>
      </c>
      <c r="U466" s="2282" cm="1">
        <f t="array" ref="U466">[1]!LLPA_PN_000050_45_Day</f>
        <v>-0.25</v>
      </c>
      <c r="V466" s="2282" cm="1">
        <f t="array" ref="V466">[1]!LLPA_PN_000050_45_Day</f>
        <v>-0.25</v>
      </c>
      <c r="W466" s="2282" cm="1">
        <f t="array" ref="W466">[1]!LLPA_PN_000050_45_Day</f>
        <v>-0.25</v>
      </c>
      <c r="X466" s="2282" cm="1">
        <f t="array" ref="X466">[1]!LLPA_PN_000050_45_Day</f>
        <v>-0.25</v>
      </c>
      <c r="Y466" s="2282" cm="1">
        <f t="array" ref="Y466">[1]!LLPA_PN_000050_45_Day</f>
        <v>-0.25</v>
      </c>
      <c r="Z466" s="2282" cm="1">
        <f t="array" ref="Z466">[1]!LLPA_PN_000050_45_Day</f>
        <v>-0.25</v>
      </c>
      <c r="AA466" s="2282" cm="1">
        <f t="array" ref="AA466">[1]!LLPA_PN_000050_45_Day</f>
        <v>-0.25</v>
      </c>
      <c r="AB466" s="2323" cm="1">
        <f t="array" ref="AB466">[1]!LLPA_PN_000050_45_Day</f>
        <v>-0.25</v>
      </c>
      <c r="AC466" s="46"/>
      <c r="AE466" s="10"/>
      <c r="AF466" s="248"/>
      <c r="AG466" s="10"/>
      <c r="AH466" s="10"/>
    </row>
    <row r="467" spans="1:41" s="5" customFormat="1" ht="10.15" hidden="1" customHeight="1" x14ac:dyDescent="0.2">
      <c r="A467" s="10" t="s">
        <v>461</v>
      </c>
      <c r="C467" s="40"/>
      <c r="J467" s="2581"/>
      <c r="K467" s="2582"/>
      <c r="L467" s="2582"/>
      <c r="M467" s="2583"/>
      <c r="N467" s="1095" t="s">
        <v>75</v>
      </c>
      <c r="O467" s="1091"/>
      <c r="P467" s="1091"/>
      <c r="Q467" s="1091"/>
      <c r="R467" s="113"/>
      <c r="S467" s="1835" t="s">
        <v>3432</v>
      </c>
      <c r="T467" s="2322" cm="1">
        <f t="array" ref="T467">[1]!LLPA_PN_000050_60_Day</f>
        <v>-0.5</v>
      </c>
      <c r="U467" s="2282" cm="1">
        <f t="array" ref="U467">[1]!LLPA_PN_000050_60_Day</f>
        <v>-0.5</v>
      </c>
      <c r="V467" s="2282" cm="1">
        <f t="array" ref="V467">[1]!LLPA_PN_000050_60_Day</f>
        <v>-0.5</v>
      </c>
      <c r="W467" s="2282" cm="1">
        <f t="array" ref="W467">[1]!LLPA_PN_000050_60_Day</f>
        <v>-0.5</v>
      </c>
      <c r="X467" s="2282" cm="1">
        <f t="array" ref="X467">[1]!LLPA_PN_000050_60_Day</f>
        <v>-0.5</v>
      </c>
      <c r="Y467" s="2282" cm="1">
        <f t="array" ref="Y467">[1]!LLPA_PN_000050_60_Day</f>
        <v>-0.5</v>
      </c>
      <c r="Z467" s="2282" cm="1">
        <f t="array" ref="Z467">[1]!LLPA_PN_000050_60_Day</f>
        <v>-0.5</v>
      </c>
      <c r="AA467" s="2282" cm="1">
        <f t="array" ref="AA467">[1]!LLPA_PN_000050_60_Day</f>
        <v>-0.5</v>
      </c>
      <c r="AB467" s="2323" cm="1">
        <f t="array" ref="AB467">[1]!LLPA_PN_000050_60_Day</f>
        <v>-0.5</v>
      </c>
      <c r="AC467" s="46"/>
      <c r="AE467" s="10"/>
      <c r="AF467" s="248"/>
      <c r="AG467" s="10"/>
      <c r="AH467" s="10"/>
    </row>
    <row r="468" spans="1:41" s="5" customFormat="1" ht="10.15" hidden="1" customHeight="1" x14ac:dyDescent="0.2">
      <c r="A468" s="10" t="s">
        <v>463</v>
      </c>
      <c r="C468" s="40"/>
      <c r="J468" s="2584"/>
      <c r="K468" s="2585"/>
      <c r="L468" s="2585"/>
      <c r="M468" s="2586"/>
      <c r="N468" s="1126" t="s">
        <v>1648</v>
      </c>
      <c r="O468" s="1142"/>
      <c r="P468" s="1142"/>
      <c r="Q468" s="1142"/>
      <c r="R468" s="1817"/>
      <c r="S468" s="1849" t="s">
        <v>3433</v>
      </c>
      <c r="T468" s="2221" t="e">
        <v>#N/A</v>
      </c>
      <c r="U468" s="2173" t="e">
        <v>#N/A</v>
      </c>
      <c r="V468" s="2173" t="e">
        <v>#N/A</v>
      </c>
      <c r="W468" s="2173" t="e">
        <v>#N/A</v>
      </c>
      <c r="X468" s="2173" t="e">
        <v>#N/A</v>
      </c>
      <c r="Y468" s="2173" t="e">
        <v>#N/A</v>
      </c>
      <c r="Z468" s="2173" t="e">
        <v>#N/A</v>
      </c>
      <c r="AA468" s="2173" t="e">
        <v>#N/A</v>
      </c>
      <c r="AB468" s="2084" t="e">
        <v>#N/A</v>
      </c>
      <c r="AC468" s="46"/>
      <c r="AE468" s="10"/>
      <c r="AF468" s="248"/>
      <c r="AG468" s="10"/>
      <c r="AH468" s="10"/>
    </row>
    <row r="469" spans="1:41" s="5" customFormat="1" ht="10.15" hidden="1" customHeight="1" x14ac:dyDescent="0.2">
      <c r="A469" s="10" t="s">
        <v>463</v>
      </c>
      <c r="C469" s="40"/>
      <c r="J469" s="2587" t="s">
        <v>361</v>
      </c>
      <c r="K469" s="2588"/>
      <c r="L469" s="2588"/>
      <c r="M469" s="2589"/>
      <c r="N469" s="1115" t="s">
        <v>362</v>
      </c>
      <c r="O469" s="1133"/>
      <c r="P469" s="1133"/>
      <c r="Q469" s="1133"/>
      <c r="R469" s="112"/>
      <c r="S469" s="1838" t="s">
        <v>3434</v>
      </c>
      <c r="T469" s="2326" cm="1">
        <f t="array" ref="T469">[1]!LLPA_PN_000050_Mandatory</f>
        <v>0</v>
      </c>
      <c r="U469" s="2291" cm="1">
        <f t="array" ref="U469">[1]!LLPA_PN_000050_Mandatory</f>
        <v>0</v>
      </c>
      <c r="V469" s="2291" cm="1">
        <f t="array" ref="V469">[1]!LLPA_PN_000050_Mandatory</f>
        <v>0</v>
      </c>
      <c r="W469" s="2291" cm="1">
        <f t="array" ref="W469">[1]!LLPA_PN_000050_Mandatory</f>
        <v>0</v>
      </c>
      <c r="X469" s="2291" cm="1">
        <f t="array" ref="X469">[1]!LLPA_PN_000050_Mandatory</f>
        <v>0</v>
      </c>
      <c r="Y469" s="2291" cm="1">
        <f t="array" ref="Y469">[1]!LLPA_PN_000050_Mandatory</f>
        <v>0</v>
      </c>
      <c r="Z469" s="2291" cm="1">
        <f t="array" ref="Z469">[1]!LLPA_PN_000050_Mandatory</f>
        <v>0</v>
      </c>
      <c r="AA469" s="2291" cm="1">
        <f t="array" ref="AA469">[1]!LLPA_PN_000050_Mandatory</f>
        <v>0</v>
      </c>
      <c r="AB469" s="2327" cm="1">
        <f t="array" ref="AB469">[1]!LLPA_PN_000050_Mandatory</f>
        <v>0</v>
      </c>
      <c r="AC469" s="46"/>
      <c r="AE469" s="10"/>
      <c r="AF469" s="248"/>
      <c r="AG469" s="10"/>
      <c r="AH469" s="10"/>
    </row>
    <row r="470" spans="1:41" s="5" customFormat="1" ht="10.15" hidden="1" customHeight="1" x14ac:dyDescent="0.2">
      <c r="A470" s="10" t="s">
        <v>463</v>
      </c>
      <c r="C470" s="40"/>
      <c r="J470" s="2590"/>
      <c r="K470" s="2591"/>
      <c r="L470" s="2591"/>
      <c r="M470" s="2592"/>
      <c r="N470" s="1116" t="s">
        <v>363</v>
      </c>
      <c r="O470" s="1096"/>
      <c r="P470" s="1096"/>
      <c r="Q470" s="1096"/>
      <c r="R470" s="114"/>
      <c r="S470" s="1850" t="s">
        <v>3435</v>
      </c>
      <c r="T470" s="2335" cm="1">
        <f t="array" ref="T470">[1]!LLPA_PN_000050_Best_Efforts</f>
        <v>0</v>
      </c>
      <c r="U470" s="2288" cm="1">
        <f t="array" ref="U470">[1]!LLPA_PN_000050_Best_Efforts</f>
        <v>0</v>
      </c>
      <c r="V470" s="2288" cm="1">
        <f t="array" ref="V470">[1]!LLPA_PN_000050_Best_Efforts</f>
        <v>0</v>
      </c>
      <c r="W470" s="2288" cm="1">
        <f t="array" ref="W470">[1]!LLPA_PN_000050_Best_Efforts</f>
        <v>0</v>
      </c>
      <c r="X470" s="2288" cm="1">
        <f t="array" ref="X470">[1]!LLPA_PN_000050_Best_Efforts</f>
        <v>0</v>
      </c>
      <c r="Y470" s="2288" cm="1">
        <f t="array" ref="Y470">[1]!LLPA_PN_000050_Best_Efforts</f>
        <v>0</v>
      </c>
      <c r="Z470" s="2288" cm="1">
        <f t="array" ref="Z470">[1]!LLPA_PN_000050_Best_Efforts</f>
        <v>0</v>
      </c>
      <c r="AA470" s="2288" cm="1">
        <f t="array" ref="AA470">[1]!LLPA_PN_000050_Best_Efforts</f>
        <v>0</v>
      </c>
      <c r="AB470" s="2336" cm="1">
        <f t="array" ref="AB470">[1]!LLPA_PN_000050_Best_Efforts</f>
        <v>0</v>
      </c>
      <c r="AC470" s="46"/>
      <c r="AE470" s="10"/>
      <c r="AF470" s="248"/>
      <c r="AG470" s="10"/>
      <c r="AH470" s="10"/>
    </row>
    <row r="471" spans="1:41" s="5" customFormat="1" ht="3" hidden="1" customHeight="1" x14ac:dyDescent="0.2">
      <c r="A471" s="10" t="s">
        <v>462</v>
      </c>
      <c r="C471" s="40"/>
      <c r="J471" s="74"/>
      <c r="K471" s="74"/>
      <c r="L471" s="74"/>
      <c r="M471" s="74"/>
      <c r="N471" s="74"/>
      <c r="O471" s="74"/>
      <c r="P471" s="74"/>
      <c r="Q471" s="78"/>
      <c r="R471" s="79"/>
      <c r="S471" s="79"/>
      <c r="T471" s="79"/>
      <c r="U471" s="79"/>
      <c r="V471" s="79"/>
      <c r="W471" s="79"/>
      <c r="X471" s="79"/>
      <c r="Y471" s="79"/>
      <c r="Z471" s="230"/>
      <c r="AA471" s="2078"/>
      <c r="AB471" s="80"/>
      <c r="AC471" s="80"/>
      <c r="AE471" s="10"/>
      <c r="AF471" s="248"/>
    </row>
    <row r="472" spans="1:41" s="5" customFormat="1" ht="10.15" hidden="1" customHeight="1" x14ac:dyDescent="0.2">
      <c r="A472" s="10" t="s">
        <v>461</v>
      </c>
      <c r="C472" s="277"/>
      <c r="D472" s="2598"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472" s="2598"/>
      <c r="F472" s="2598"/>
      <c r="G472" s="2598"/>
      <c r="H472" s="2598"/>
      <c r="I472" s="2598"/>
      <c r="J472" s="2598"/>
      <c r="K472" s="2598"/>
      <c r="L472" s="2598"/>
      <c r="M472" s="2598"/>
      <c r="N472" s="2598"/>
      <c r="O472" s="2598"/>
      <c r="P472" s="2598"/>
      <c r="Q472" s="2598"/>
      <c r="R472" s="2598"/>
      <c r="S472" s="2598"/>
      <c r="T472" s="2598"/>
      <c r="U472" s="2598"/>
      <c r="V472" s="2598"/>
      <c r="W472" s="2598"/>
      <c r="X472" s="2598"/>
      <c r="Y472" s="2598"/>
      <c r="Z472" s="2598"/>
      <c r="AA472" s="2598"/>
      <c r="AB472" s="2598"/>
      <c r="AC472" s="2599"/>
      <c r="AE472" s="10"/>
      <c r="AF472" s="248"/>
    </row>
    <row r="473" spans="1:41" s="5" customFormat="1" ht="10.15" hidden="1" customHeight="1" x14ac:dyDescent="0.2">
      <c r="A473" s="10" t="s">
        <v>461</v>
      </c>
      <c r="C473" s="278"/>
      <c r="D473" s="2600"/>
      <c r="E473" s="2600"/>
      <c r="F473" s="2600"/>
      <c r="G473" s="2600"/>
      <c r="H473" s="2600"/>
      <c r="I473" s="2600"/>
      <c r="J473" s="2600"/>
      <c r="K473" s="2600"/>
      <c r="L473" s="2600"/>
      <c r="M473" s="2600"/>
      <c r="N473" s="2600"/>
      <c r="O473" s="2600"/>
      <c r="P473" s="2600"/>
      <c r="Q473" s="2600"/>
      <c r="R473" s="2600"/>
      <c r="S473" s="2600"/>
      <c r="T473" s="2600"/>
      <c r="U473" s="2600"/>
      <c r="V473" s="2600"/>
      <c r="W473" s="2600"/>
      <c r="X473" s="2600"/>
      <c r="Y473" s="2600"/>
      <c r="Z473" s="2600"/>
      <c r="AA473" s="2600"/>
      <c r="AB473" s="2600"/>
      <c r="AC473" s="2601"/>
      <c r="AE473" s="10"/>
      <c r="AF473" s="248"/>
    </row>
    <row r="474" spans="1:41" ht="3" hidden="1" customHeight="1" x14ac:dyDescent="0.25">
      <c r="A474" s="10" t="s">
        <v>462</v>
      </c>
      <c r="B474" s="5"/>
      <c r="AD474" s="5"/>
      <c r="AF474" s="248"/>
      <c r="AG474"/>
      <c r="AH474"/>
      <c r="AK474"/>
      <c r="AL474"/>
      <c r="AM474"/>
      <c r="AN474"/>
      <c r="AO474"/>
    </row>
    <row r="475" spans="1:41" ht="10.15" hidden="1" customHeight="1" x14ac:dyDescent="0.25">
      <c r="A475" s="10" t="s">
        <v>461</v>
      </c>
      <c r="C475" s="2145"/>
      <c r="D475" s="2146"/>
      <c r="E475" s="2146"/>
      <c r="F475" s="2146"/>
      <c r="G475" s="2139"/>
      <c r="H475" s="2139"/>
      <c r="I475" s="2139"/>
      <c r="J475" s="2625" t="str">
        <f>Input_Name_Product11</f>
        <v>HELOC NOO</v>
      </c>
      <c r="K475" s="2625"/>
      <c r="L475" s="2625"/>
      <c r="M475" s="2625"/>
      <c r="N475" s="2625"/>
      <c r="O475" s="2625"/>
      <c r="P475" s="2625"/>
      <c r="Q475" s="2625"/>
      <c r="R475" s="2139"/>
      <c r="S475" s="2139"/>
      <c r="T475" s="2139"/>
      <c r="U475" s="2139"/>
      <c r="V475" s="2139"/>
      <c r="W475" s="2471" t="str">
        <f>Input_Header01</f>
        <v xml:space="preserve"> </v>
      </c>
      <c r="X475" s="2472"/>
      <c r="Y475" s="2472"/>
      <c r="Z475" s="2472"/>
      <c r="AA475" s="2614" t="str">
        <f>Input_Header06</f>
        <v xml:space="preserve"> </v>
      </c>
      <c r="AB475" s="2614" t="str">
        <f>Input_Header01</f>
        <v xml:space="preserve"> </v>
      </c>
      <c r="AC475" s="2140"/>
      <c r="AD475" s="5"/>
      <c r="AF475" s="248"/>
      <c r="AG475"/>
      <c r="AH475"/>
      <c r="AK475"/>
      <c r="AL475"/>
      <c r="AM475"/>
      <c r="AN475"/>
      <c r="AO475"/>
    </row>
    <row r="476" spans="1:41" ht="10.15" hidden="1" customHeight="1" x14ac:dyDescent="0.25">
      <c r="A476" s="10" t="s">
        <v>461</v>
      </c>
      <c r="C476" s="2147"/>
      <c r="D476" s="2141"/>
      <c r="E476" s="2141"/>
      <c r="F476" s="2141"/>
      <c r="G476" s="2141"/>
      <c r="H476" s="2141"/>
      <c r="I476" s="2141"/>
      <c r="J476" s="2626"/>
      <c r="K476" s="2626"/>
      <c r="L476" s="2626"/>
      <c r="M476" s="2626"/>
      <c r="N476" s="2626"/>
      <c r="O476" s="2626"/>
      <c r="P476" s="2626"/>
      <c r="Q476" s="2626"/>
      <c r="R476" s="2141"/>
      <c r="S476" s="2141"/>
      <c r="T476" s="2141"/>
      <c r="U476" s="2141"/>
      <c r="V476" s="2141"/>
      <c r="W476" s="2466" t="str">
        <f>Input_Header02</f>
        <v xml:space="preserve"> </v>
      </c>
      <c r="X476" s="2467"/>
      <c r="Y476" s="2467"/>
      <c r="Z476" s="2467"/>
      <c r="AA476" s="2624" t="str">
        <f>Input_Header07</f>
        <v xml:space="preserve"> </v>
      </c>
      <c r="AB476" s="2624" t="str">
        <f>Input_Header01</f>
        <v xml:space="preserve"> </v>
      </c>
      <c r="AC476" s="2142"/>
      <c r="AD476" s="5"/>
      <c r="AF476" s="248"/>
      <c r="AG476"/>
      <c r="AH476"/>
      <c r="AK476"/>
      <c r="AL476"/>
      <c r="AM476"/>
      <c r="AN476"/>
      <c r="AO476"/>
    </row>
    <row r="477" spans="1:41" ht="10.15" hidden="1" customHeight="1" x14ac:dyDescent="0.25">
      <c r="A477" s="10" t="s">
        <v>461</v>
      </c>
      <c r="C477" s="2147"/>
      <c r="D477" s="2141"/>
      <c r="E477" s="2141"/>
      <c r="F477" s="2141"/>
      <c r="G477" s="2141"/>
      <c r="H477" s="2141"/>
      <c r="I477" s="2141"/>
      <c r="J477" s="2626"/>
      <c r="K477" s="2626"/>
      <c r="L477" s="2626"/>
      <c r="M477" s="2626"/>
      <c r="N477" s="2626"/>
      <c r="O477" s="2626"/>
      <c r="P477" s="2626"/>
      <c r="Q477" s="2626"/>
      <c r="R477" s="2141"/>
      <c r="S477" s="2141"/>
      <c r="T477" s="2141"/>
      <c r="U477" s="2141"/>
      <c r="V477" s="2141"/>
      <c r="W477" s="2469" t="str">
        <f>Input_Header03</f>
        <v xml:space="preserve"> </v>
      </c>
      <c r="X477" s="2467"/>
      <c r="Y477" s="2467"/>
      <c r="Z477" s="2467"/>
      <c r="AA477" s="2468"/>
      <c r="AB477" s="2468"/>
      <c r="AC477" s="2142"/>
      <c r="AD477" s="5"/>
      <c r="AF477" s="248"/>
      <c r="AG477"/>
      <c r="AH477"/>
      <c r="AK477"/>
      <c r="AL477"/>
      <c r="AM477"/>
      <c r="AN477"/>
      <c r="AO477"/>
    </row>
    <row r="478" spans="1:41" ht="10.15" hidden="1" customHeight="1" x14ac:dyDescent="0.25">
      <c r="A478" s="10" t="s">
        <v>461</v>
      </c>
      <c r="C478" s="2147"/>
      <c r="D478" s="2141"/>
      <c r="E478" s="2141"/>
      <c r="F478" s="2141"/>
      <c r="G478" s="2141"/>
      <c r="H478" s="2141"/>
      <c r="I478" s="2141"/>
      <c r="J478" s="2626"/>
      <c r="K478" s="2626"/>
      <c r="L478" s="2626"/>
      <c r="M478" s="2626"/>
      <c r="N478" s="2626"/>
      <c r="O478" s="2626"/>
      <c r="P478" s="2626"/>
      <c r="Q478" s="2626"/>
      <c r="R478" s="2141"/>
      <c r="S478" s="2141"/>
      <c r="T478" s="2141"/>
      <c r="U478" s="2141"/>
      <c r="V478" s="2141"/>
      <c r="W478" s="2470" t="str">
        <f>Input_Header04</f>
        <v xml:space="preserve"> </v>
      </c>
      <c r="X478" s="2473"/>
      <c r="Y478" s="2467"/>
      <c r="Z478" s="2467"/>
      <c r="AA478" s="2468"/>
      <c r="AB478" s="2468" t="str">
        <f>Input_Version</f>
        <v>#01</v>
      </c>
      <c r="AC478" s="2142"/>
      <c r="AD478" s="5"/>
      <c r="AF478" s="248"/>
      <c r="AG478"/>
      <c r="AH478"/>
      <c r="AK478"/>
      <c r="AL478"/>
      <c r="AM478"/>
      <c r="AN478"/>
      <c r="AO478"/>
    </row>
    <row r="479" spans="1:41" ht="10.15" hidden="1" customHeight="1" x14ac:dyDescent="0.25">
      <c r="A479" s="10" t="s">
        <v>461</v>
      </c>
      <c r="C479" s="2148"/>
      <c r="D479" s="2149"/>
      <c r="E479" s="2149"/>
      <c r="F479" s="2149"/>
      <c r="G479" s="2143"/>
      <c r="H479" s="2143"/>
      <c r="I479" s="2143"/>
      <c r="J479" s="2627"/>
      <c r="K479" s="2627"/>
      <c r="L479" s="2627"/>
      <c r="M479" s="2627"/>
      <c r="N479" s="2627"/>
      <c r="O479" s="2627"/>
      <c r="P479" s="2627"/>
      <c r="Q479" s="2627"/>
      <c r="R479" s="2143"/>
      <c r="S479" s="2143"/>
      <c r="T479" s="2143"/>
      <c r="U479" s="2143"/>
      <c r="V479" s="2143"/>
      <c r="W479" s="2474" t="str">
        <f>Input_Header05</f>
        <v xml:space="preserve"> </v>
      </c>
      <c r="X479" s="2475"/>
      <c r="Y479" s="2475"/>
      <c r="Z479" s="2475"/>
      <c r="AA479" s="2611">
        <f ca="1">Input_Date</f>
        <v>45743</v>
      </c>
      <c r="AB479" s="2611"/>
      <c r="AC479" s="2144"/>
      <c r="AD479" s="5"/>
      <c r="AF479" s="248"/>
      <c r="AG479"/>
      <c r="AI479" s="10"/>
      <c r="AJ479" s="10"/>
    </row>
    <row r="480" spans="1:41" s="5" customFormat="1" ht="10.15" hidden="1" customHeight="1" x14ac:dyDescent="0.2">
      <c r="A480" s="10" t="s">
        <v>461</v>
      </c>
      <c r="B480" s="10"/>
      <c r="C480" s="40"/>
      <c r="R480" s="45"/>
      <c r="S480" s="45"/>
      <c r="T480" s="45"/>
      <c r="U480" s="45"/>
      <c r="V480" s="45"/>
      <c r="W480" s="45"/>
      <c r="X480" s="45"/>
      <c r="Y480" s="45"/>
      <c r="Z480" s="45"/>
      <c r="AA480" s="45"/>
      <c r="AB480" s="45"/>
      <c r="AC480" s="46"/>
      <c r="AE480" s="10"/>
      <c r="AF480" s="248"/>
    </row>
    <row r="481" spans="1:34" s="5" customFormat="1" ht="10.15" hidden="1" customHeight="1" x14ac:dyDescent="0.2">
      <c r="A481" s="10" t="s">
        <v>461</v>
      </c>
      <c r="B481" s="10"/>
      <c r="C481" s="40"/>
      <c r="D481" s="2628" t="s">
        <v>0</v>
      </c>
      <c r="E481" s="2629"/>
      <c r="F481" s="2630"/>
      <c r="G481" s="47"/>
      <c r="H481" s="47"/>
      <c r="I481" s="48"/>
      <c r="J481" s="2602" t="s">
        <v>103</v>
      </c>
      <c r="K481" s="2603"/>
      <c r="L481" s="2603"/>
      <c r="M481" s="2603"/>
      <c r="N481" s="2603"/>
      <c r="O481" s="2603"/>
      <c r="P481" s="2603"/>
      <c r="Q481" s="2603"/>
      <c r="R481" s="2603"/>
      <c r="S481" s="2603"/>
      <c r="T481" s="2603"/>
      <c r="U481" s="2603"/>
      <c r="V481" s="2603"/>
      <c r="W481" s="2603"/>
      <c r="X481" s="2603"/>
      <c r="Y481" s="2603"/>
      <c r="Z481" s="2603"/>
      <c r="AA481" s="2603"/>
      <c r="AB481" s="2604"/>
      <c r="AC481" s="46"/>
      <c r="AE481" s="10"/>
      <c r="AF481" s="248"/>
    </row>
    <row r="482" spans="1:34" s="5" customFormat="1" ht="10.15" hidden="1" customHeight="1" x14ac:dyDescent="0.2">
      <c r="A482" s="10" t="s">
        <v>461</v>
      </c>
      <c r="B482" s="10"/>
      <c r="C482" s="40"/>
      <c r="D482" s="18" t="s">
        <v>126</v>
      </c>
      <c r="E482" s="9" t="s">
        <v>1628</v>
      </c>
      <c r="F482" s="9" t="s">
        <v>258</v>
      </c>
      <c r="G482" s="47"/>
      <c r="H482" s="47"/>
      <c r="J482" s="50"/>
      <c r="K482" s="51"/>
      <c r="L482" s="51"/>
      <c r="M482" s="51"/>
      <c r="N482" s="1144"/>
      <c r="O482" s="1144"/>
      <c r="P482" s="1144"/>
      <c r="S482" s="1818" t="s">
        <v>88</v>
      </c>
      <c r="T482" s="2605" t="s">
        <v>1301</v>
      </c>
      <c r="U482" s="2606"/>
      <c r="V482" s="2606"/>
      <c r="W482" s="2606"/>
      <c r="X482" s="2606"/>
      <c r="Y482" s="2606"/>
      <c r="Z482" s="2606"/>
      <c r="AA482" s="2606"/>
      <c r="AB482" s="2607"/>
      <c r="AC482" s="46"/>
      <c r="AE482" s="10"/>
      <c r="AF482" s="248"/>
    </row>
    <row r="483" spans="1:34" s="5" customFormat="1" ht="10.15" hidden="1" customHeight="1" x14ac:dyDescent="0.2">
      <c r="A483" s="10" t="s">
        <v>461</v>
      </c>
      <c r="B483" s="10"/>
      <c r="C483" s="40"/>
      <c r="D483" s="52">
        <f>Structure!AY87</f>
        <v>13</v>
      </c>
      <c r="E483" s="53">
        <f t="shared" ref="E483:E523" si="19">INDEX(Lookup_NoteRateAll,MATCH("IH_"&amp;RIGHT("000"&amp;TRUNC(D483),3)&amp;TEXT(D483-TRUNC(D483),".0000000000"),Lookup_NoteRateText,0),7)</f>
        <v>5.5</v>
      </c>
      <c r="F483" s="54" t="e">
        <f t="shared" ref="F483:F523" si="20">INDEX(Lookup_NoteRateAll,MATCH("IH_"&amp;RIGHT("000"&amp;TRUNC(D483),3)&amp;TEXT(D483-TRUNC(D483),".0000000000"),Lookup_NoteRateText,0),4)</f>
        <v>#N/A</v>
      </c>
      <c r="G483" s="47" t="s">
        <v>76</v>
      </c>
      <c r="H483" s="47"/>
      <c r="J483" s="256"/>
      <c r="K483" s="257" t="s">
        <v>211</v>
      </c>
      <c r="L483" s="258"/>
      <c r="M483" s="259" t="s">
        <v>71</v>
      </c>
      <c r="N483" s="1165" t="s">
        <v>25</v>
      </c>
      <c r="O483" s="1146"/>
      <c r="P483" s="1146"/>
      <c r="Q483" s="1146"/>
      <c r="R483" s="1127"/>
      <c r="S483" s="260"/>
      <c r="T483" s="261" t="s">
        <v>249</v>
      </c>
      <c r="U483" s="262" t="s">
        <v>15</v>
      </c>
      <c r="V483" s="263" t="s">
        <v>84</v>
      </c>
      <c r="W483" s="263" t="s">
        <v>31</v>
      </c>
      <c r="X483" s="263" t="s">
        <v>30</v>
      </c>
      <c r="Y483" s="263" t="s">
        <v>29</v>
      </c>
      <c r="Z483" s="263" t="s">
        <v>28</v>
      </c>
      <c r="AA483" s="263" t="s">
        <v>27</v>
      </c>
      <c r="AB483" s="264" t="s">
        <v>26</v>
      </c>
      <c r="AC483" s="46"/>
      <c r="AE483" s="10"/>
      <c r="AF483" s="248"/>
      <c r="AG483" s="10"/>
    </row>
    <row r="484" spans="1:34" s="5" customFormat="1" ht="10.15" hidden="1" customHeight="1" x14ac:dyDescent="0.2">
      <c r="A484" s="10" t="s">
        <v>461</v>
      </c>
      <c r="B484" s="10"/>
      <c r="C484" s="40"/>
      <c r="D484" s="52">
        <f>Structure!AY88</f>
        <v>12.875</v>
      </c>
      <c r="E484" s="53">
        <f t="shared" si="19"/>
        <v>5.375</v>
      </c>
      <c r="F484" s="54" t="e">
        <f t="shared" si="20"/>
        <v>#N/A</v>
      </c>
      <c r="G484" s="47"/>
      <c r="H484" s="47"/>
      <c r="J484" s="2608" t="s">
        <v>206</v>
      </c>
      <c r="K484" s="57"/>
      <c r="L484" s="58"/>
      <c r="M484" s="59"/>
      <c r="N484" s="1103" t="s">
        <v>1282</v>
      </c>
      <c r="O484" s="1147"/>
      <c r="P484" s="1147"/>
      <c r="Q484" s="1147"/>
      <c r="R484" s="1807"/>
      <c r="S484" s="1819" t="s">
        <v>3436</v>
      </c>
      <c r="T484" s="2347">
        <v>0</v>
      </c>
      <c r="U484" s="2348">
        <v>0</v>
      </c>
      <c r="V484" s="2348">
        <v>-0.5</v>
      </c>
      <c r="W484" s="2348">
        <v>-1.5</v>
      </c>
      <c r="X484" s="2348">
        <v>-2.5</v>
      </c>
      <c r="Y484" s="2222" t="e">
        <v>#N/A</v>
      </c>
      <c r="Z484" s="2222" t="e">
        <v>#N/A</v>
      </c>
      <c r="AA484" s="2222" t="e">
        <v>#N/A</v>
      </c>
      <c r="AB484" s="2223" t="e">
        <v>#N/A</v>
      </c>
      <c r="AC484" s="46"/>
      <c r="AE484" s="10"/>
      <c r="AF484" s="248"/>
      <c r="AG484" s="10"/>
    </row>
    <row r="485" spans="1:34" s="5" customFormat="1" ht="10.15" hidden="1" customHeight="1" x14ac:dyDescent="0.2">
      <c r="A485" s="10" t="s">
        <v>461</v>
      </c>
      <c r="B485" s="10"/>
      <c r="C485" s="40"/>
      <c r="D485" s="52">
        <f>Structure!AY89</f>
        <v>12.75</v>
      </c>
      <c r="E485" s="53">
        <f t="shared" si="19"/>
        <v>5.25</v>
      </c>
      <c r="F485" s="54" t="e">
        <f t="shared" si="20"/>
        <v>#N/A</v>
      </c>
      <c r="G485" s="47"/>
      <c r="H485" s="47"/>
      <c r="J485" s="2609"/>
      <c r="K485" s="235"/>
      <c r="L485" s="236"/>
      <c r="M485" s="237"/>
      <c r="N485" s="1104" t="s">
        <v>1281</v>
      </c>
      <c r="O485" s="1082"/>
      <c r="P485" s="1082"/>
      <c r="Q485" s="1082"/>
      <c r="R485" s="1808"/>
      <c r="S485" s="1820" t="s">
        <v>3437</v>
      </c>
      <c r="T485" s="2349">
        <v>0</v>
      </c>
      <c r="U485" s="2350">
        <v>0</v>
      </c>
      <c r="V485" s="2350">
        <v>-0.5</v>
      </c>
      <c r="W485" s="2350">
        <v>-1.5</v>
      </c>
      <c r="X485" s="2350">
        <v>-2.5</v>
      </c>
      <c r="Y485" s="2224" t="e">
        <v>#N/A</v>
      </c>
      <c r="Z485" s="2224" t="e">
        <v>#N/A</v>
      </c>
      <c r="AA485" s="2224" t="e">
        <v>#N/A</v>
      </c>
      <c r="AB485" s="2225" t="e">
        <v>#N/A</v>
      </c>
      <c r="AC485" s="46"/>
      <c r="AE485" s="10"/>
      <c r="AF485" s="248"/>
      <c r="AG485" s="10"/>
    </row>
    <row r="486" spans="1:34" s="5" customFormat="1" ht="10.15" hidden="1" customHeight="1" x14ac:dyDescent="0.2">
      <c r="A486" s="10" t="s">
        <v>461</v>
      </c>
      <c r="B486" s="10"/>
      <c r="C486" s="40"/>
      <c r="D486" s="52">
        <f>Structure!AY90</f>
        <v>12.625</v>
      </c>
      <c r="E486" s="53">
        <f t="shared" si="19"/>
        <v>5.125</v>
      </c>
      <c r="F486" s="54" t="e">
        <f t="shared" si="20"/>
        <v>#N/A</v>
      </c>
      <c r="G486" s="47"/>
      <c r="H486" s="47"/>
      <c r="J486" s="2610"/>
      <c r="K486" s="60" t="s">
        <v>1643</v>
      </c>
      <c r="L486" s="61"/>
      <c r="M486" s="62">
        <v>1</v>
      </c>
      <c r="N486" s="1104" t="s">
        <v>255</v>
      </c>
      <c r="O486" s="1082"/>
      <c r="P486" s="1082"/>
      <c r="Q486" s="1082"/>
      <c r="R486" s="1808"/>
      <c r="S486" s="1820" t="s">
        <v>3438</v>
      </c>
      <c r="T486" s="2349">
        <v>-0.5</v>
      </c>
      <c r="U486" s="2350">
        <v>-0.5</v>
      </c>
      <c r="V486" s="2350">
        <v>-1</v>
      </c>
      <c r="W486" s="2350">
        <v>-1.5</v>
      </c>
      <c r="X486" s="2350">
        <v>-2.5</v>
      </c>
      <c r="Y486" s="2224" t="e">
        <v>#N/A</v>
      </c>
      <c r="Z486" s="2224" t="e">
        <v>#N/A</v>
      </c>
      <c r="AA486" s="2224" t="e">
        <v>#N/A</v>
      </c>
      <c r="AB486" s="2225" t="e">
        <v>#N/A</v>
      </c>
      <c r="AC486" s="46"/>
      <c r="AE486" s="10"/>
      <c r="AF486" s="248"/>
      <c r="AG486" s="10"/>
    </row>
    <row r="487" spans="1:34" s="5" customFormat="1" ht="10.15" hidden="1" customHeight="1" x14ac:dyDescent="0.2">
      <c r="A487" s="10" t="s">
        <v>461</v>
      </c>
      <c r="B487" s="10"/>
      <c r="C487" s="40"/>
      <c r="D487" s="52">
        <f>Structure!AY91</f>
        <v>12.5</v>
      </c>
      <c r="E487" s="53">
        <f t="shared" si="19"/>
        <v>5</v>
      </c>
      <c r="F487" s="54" t="e">
        <f t="shared" si="20"/>
        <v>#N/A</v>
      </c>
      <c r="G487" s="47"/>
      <c r="H487" s="47"/>
      <c r="J487" s="2610"/>
      <c r="K487" s="60" t="s">
        <v>1642</v>
      </c>
      <c r="L487" s="64"/>
      <c r="M487" s="62">
        <v>2</v>
      </c>
      <c r="N487" s="1104" t="s">
        <v>254</v>
      </c>
      <c r="O487" s="1082"/>
      <c r="P487" s="1082"/>
      <c r="Q487" s="1082"/>
      <c r="R487" s="1808"/>
      <c r="S487" s="1820" t="s">
        <v>3439</v>
      </c>
      <c r="T487" s="2349">
        <v>-1</v>
      </c>
      <c r="U487" s="2350">
        <v>-1</v>
      </c>
      <c r="V487" s="2350">
        <v>-1.5</v>
      </c>
      <c r="W487" s="2350">
        <v>-2</v>
      </c>
      <c r="X487" s="2350">
        <v>-3.5</v>
      </c>
      <c r="Y487" s="2224" t="e">
        <v>#N/A</v>
      </c>
      <c r="Z487" s="2224" t="e">
        <v>#N/A</v>
      </c>
      <c r="AA487" s="2224" t="e">
        <v>#N/A</v>
      </c>
      <c r="AB487" s="2225" t="e">
        <v>#N/A</v>
      </c>
      <c r="AC487" s="46"/>
      <c r="AE487" s="10"/>
      <c r="AF487" s="248"/>
      <c r="AG487" s="10"/>
    </row>
    <row r="488" spans="1:34" s="5" customFormat="1" ht="10.15" hidden="1" customHeight="1" x14ac:dyDescent="0.2">
      <c r="A488" s="10" t="s">
        <v>461</v>
      </c>
      <c r="B488" s="10"/>
      <c r="C488" s="40"/>
      <c r="D488" s="52">
        <f>Structure!AY92</f>
        <v>12.375</v>
      </c>
      <c r="E488" s="53">
        <f t="shared" si="19"/>
        <v>4.875</v>
      </c>
      <c r="F488" s="54" t="e">
        <f t="shared" si="20"/>
        <v>#N/A</v>
      </c>
      <c r="G488" s="47"/>
      <c r="H488" s="47"/>
      <c r="J488" s="2610"/>
      <c r="K488" s="65"/>
      <c r="L488" s="43"/>
      <c r="M488" s="62"/>
      <c r="N488" s="1104" t="s">
        <v>3</v>
      </c>
      <c r="O488" s="1082"/>
      <c r="P488" s="1082"/>
      <c r="Q488" s="1082"/>
      <c r="R488" s="1808"/>
      <c r="S488" s="1821" t="s">
        <v>3440</v>
      </c>
      <c r="T488" s="2349">
        <v>-2</v>
      </c>
      <c r="U488" s="2350">
        <v>-2</v>
      </c>
      <c r="V488" s="2350">
        <v>-2.5</v>
      </c>
      <c r="W488" s="2350">
        <v>-3</v>
      </c>
      <c r="X488" s="2226" t="e">
        <v>#N/A</v>
      </c>
      <c r="Y488" s="2224" t="e">
        <v>#N/A</v>
      </c>
      <c r="Z488" s="2224" t="e">
        <v>#N/A</v>
      </c>
      <c r="AA488" s="2224" t="e">
        <v>#N/A</v>
      </c>
      <c r="AB488" s="2225" t="e">
        <v>#N/A</v>
      </c>
      <c r="AC488" s="46"/>
      <c r="AE488" s="10"/>
      <c r="AF488" s="248"/>
      <c r="AG488" s="10"/>
      <c r="AH488" s="10"/>
    </row>
    <row r="489" spans="1:34" s="5" customFormat="1" ht="10.15" hidden="1" customHeight="1" x14ac:dyDescent="0.2">
      <c r="A489" s="10" t="s">
        <v>461</v>
      </c>
      <c r="B489" s="10"/>
      <c r="C489" s="40"/>
      <c r="D489" s="52">
        <f>Structure!AY93</f>
        <v>12.25</v>
      </c>
      <c r="E489" s="53">
        <f t="shared" si="19"/>
        <v>4.75</v>
      </c>
      <c r="F489" s="54" t="e">
        <f t="shared" si="20"/>
        <v>#N/A</v>
      </c>
      <c r="G489" s="47"/>
      <c r="H489" s="47"/>
      <c r="J489" s="2610"/>
      <c r="K489" s="65"/>
      <c r="L489" s="43"/>
      <c r="M489" s="62"/>
      <c r="N489" s="1104" t="s">
        <v>5</v>
      </c>
      <c r="O489" s="1082"/>
      <c r="P489" s="1082"/>
      <c r="Q489" s="1082"/>
      <c r="R489" s="1808"/>
      <c r="S489" s="1821" t="s">
        <v>3441</v>
      </c>
      <c r="T489" s="2349">
        <v>-2.5</v>
      </c>
      <c r="U489" s="2350">
        <v>-2.5</v>
      </c>
      <c r="V489" s="2350">
        <v>-3</v>
      </c>
      <c r="W489" s="2350">
        <v>-4</v>
      </c>
      <c r="X489" s="2226" t="e">
        <v>#N/A</v>
      </c>
      <c r="Y489" s="2224" t="e">
        <v>#N/A</v>
      </c>
      <c r="Z489" s="2224" t="e">
        <v>#N/A</v>
      </c>
      <c r="AA489" s="2224" t="e">
        <v>#N/A</v>
      </c>
      <c r="AB489" s="2225" t="e">
        <v>#N/A</v>
      </c>
      <c r="AC489" s="46"/>
      <c r="AE489" s="10"/>
      <c r="AF489" s="248"/>
      <c r="AG489" s="10"/>
      <c r="AH489" s="10"/>
    </row>
    <row r="490" spans="1:34" s="5" customFormat="1" ht="10.15" hidden="1" customHeight="1" x14ac:dyDescent="0.2">
      <c r="A490" s="10" t="s">
        <v>463</v>
      </c>
      <c r="B490" s="10"/>
      <c r="C490" s="40"/>
      <c r="D490" s="52">
        <f>Structure!AY94</f>
        <v>12.125</v>
      </c>
      <c r="E490" s="53">
        <f t="shared" si="19"/>
        <v>4.625</v>
      </c>
      <c r="F490" s="54" t="e">
        <f t="shared" si="20"/>
        <v>#N/A</v>
      </c>
      <c r="G490" s="47"/>
      <c r="H490" s="47"/>
      <c r="J490" s="2610"/>
      <c r="K490" s="65"/>
      <c r="L490" s="43"/>
      <c r="M490" s="62"/>
      <c r="N490" s="1105" t="s">
        <v>6</v>
      </c>
      <c r="O490" s="1083"/>
      <c r="P490" s="1083"/>
      <c r="Q490" s="1083"/>
      <c r="R490" s="87"/>
      <c r="S490" s="1821" t="s">
        <v>3442</v>
      </c>
      <c r="T490" s="2226" t="e">
        <v>#N/A</v>
      </c>
      <c r="U490" s="2226" t="e">
        <v>#N/A</v>
      </c>
      <c r="V490" s="2226" t="e">
        <v>#N/A</v>
      </c>
      <c r="W490" s="2226" t="e">
        <v>#N/A</v>
      </c>
      <c r="X490" s="2226" t="e">
        <v>#N/A</v>
      </c>
      <c r="Y490" s="2224" t="e">
        <v>#N/A</v>
      </c>
      <c r="Z490" s="2224" t="e">
        <v>#N/A</v>
      </c>
      <c r="AA490" s="2224" t="e">
        <v>#N/A</v>
      </c>
      <c r="AB490" s="2225" t="e">
        <v>#N/A</v>
      </c>
      <c r="AC490" s="46"/>
      <c r="AE490" s="10"/>
      <c r="AF490" s="248"/>
      <c r="AG490" s="10"/>
      <c r="AH490" s="10"/>
    </row>
    <row r="491" spans="1:34" s="5" customFormat="1" ht="10.15" hidden="1" customHeight="1" x14ac:dyDescent="0.2">
      <c r="A491" s="10" t="s">
        <v>463</v>
      </c>
      <c r="B491" s="10"/>
      <c r="C491" s="40"/>
      <c r="D491" s="52">
        <f>Structure!AY95</f>
        <v>12</v>
      </c>
      <c r="E491" s="53">
        <f t="shared" si="19"/>
        <v>4.5</v>
      </c>
      <c r="F491" s="54" t="e">
        <f t="shared" si="20"/>
        <v>#N/A</v>
      </c>
      <c r="G491" s="47"/>
      <c r="H491" s="47"/>
      <c r="J491" s="2610"/>
      <c r="K491" s="65"/>
      <c r="L491" s="43"/>
      <c r="M491" s="62"/>
      <c r="N491" s="1105" t="s">
        <v>7</v>
      </c>
      <c r="O491" s="1083"/>
      <c r="P491" s="1083"/>
      <c r="Q491" s="1083"/>
      <c r="R491" s="87"/>
      <c r="S491" s="1821" t="s">
        <v>3443</v>
      </c>
      <c r="T491" s="2446" t="e">
        <v>#N/A</v>
      </c>
      <c r="U491" s="2226" t="e">
        <v>#N/A</v>
      </c>
      <c r="V491" s="2226" t="e">
        <v>#N/A</v>
      </c>
      <c r="W491" s="2226" t="e">
        <v>#N/A</v>
      </c>
      <c r="X491" s="2226" t="e">
        <v>#N/A</v>
      </c>
      <c r="Y491" s="2224" t="e">
        <v>#N/A</v>
      </c>
      <c r="Z491" s="2224" t="e">
        <v>#N/A</v>
      </c>
      <c r="AA491" s="2224" t="e">
        <v>#N/A</v>
      </c>
      <c r="AB491" s="2225" t="e">
        <v>#N/A</v>
      </c>
      <c r="AC491" s="46"/>
      <c r="AE491" s="10"/>
      <c r="AF491" s="248"/>
      <c r="AG491" s="10"/>
      <c r="AH491" s="10"/>
    </row>
    <row r="492" spans="1:34" s="5" customFormat="1" ht="10.15" hidden="1" customHeight="1" x14ac:dyDescent="0.2">
      <c r="A492" s="10" t="s">
        <v>463</v>
      </c>
      <c r="B492" s="10"/>
      <c r="C492" s="40"/>
      <c r="D492" s="52">
        <f>Structure!AY96</f>
        <v>11.875</v>
      </c>
      <c r="E492" s="53">
        <f t="shared" si="19"/>
        <v>4.375</v>
      </c>
      <c r="F492" s="54" t="e">
        <f t="shared" si="20"/>
        <v>#N/A</v>
      </c>
      <c r="G492" s="47"/>
      <c r="H492" s="47"/>
      <c r="J492" s="2610"/>
      <c r="K492" s="65"/>
      <c r="L492" s="43"/>
      <c r="M492" s="62"/>
      <c r="N492" s="1105" t="s">
        <v>9</v>
      </c>
      <c r="O492" s="1083"/>
      <c r="P492" s="1083"/>
      <c r="Q492" s="1083"/>
      <c r="R492" s="87"/>
      <c r="S492" s="1821" t="s">
        <v>3444</v>
      </c>
      <c r="T492" s="2446" t="e">
        <v>#N/A</v>
      </c>
      <c r="U492" s="2226" t="e">
        <v>#N/A</v>
      </c>
      <c r="V492" s="2226" t="e">
        <v>#N/A</v>
      </c>
      <c r="W492" s="2226" t="e">
        <v>#N/A</v>
      </c>
      <c r="X492" s="2226" t="e">
        <v>#N/A</v>
      </c>
      <c r="Y492" s="2224" t="e">
        <v>#N/A</v>
      </c>
      <c r="Z492" s="2224" t="e">
        <v>#N/A</v>
      </c>
      <c r="AA492" s="2224" t="e">
        <v>#N/A</v>
      </c>
      <c r="AB492" s="2225" t="e">
        <v>#N/A</v>
      </c>
      <c r="AC492" s="46"/>
      <c r="AE492" s="10"/>
      <c r="AF492" s="248"/>
      <c r="AG492" s="10"/>
      <c r="AH492" s="10"/>
    </row>
    <row r="493" spans="1:34" s="5" customFormat="1" ht="10.15" hidden="1" customHeight="1" x14ac:dyDescent="0.2">
      <c r="A493" s="10" t="s">
        <v>463</v>
      </c>
      <c r="B493" s="10"/>
      <c r="C493" s="40"/>
      <c r="D493" s="52">
        <f>Structure!AY97</f>
        <v>11.75</v>
      </c>
      <c r="E493" s="53">
        <f t="shared" si="19"/>
        <v>4.25</v>
      </c>
      <c r="F493" s="54" t="e">
        <f t="shared" si="20"/>
        <v>#N/A</v>
      </c>
      <c r="G493" s="47"/>
      <c r="H493" s="47"/>
      <c r="J493" s="2610"/>
      <c r="K493" s="65"/>
      <c r="L493" s="43"/>
      <c r="M493" s="62"/>
      <c r="N493" s="1104" t="s">
        <v>10</v>
      </c>
      <c r="O493" s="1082"/>
      <c r="P493" s="1082"/>
      <c r="Q493" s="1082"/>
      <c r="R493" s="1808"/>
      <c r="S493" s="1820" t="s">
        <v>3445</v>
      </c>
      <c r="T493" s="2447" t="e">
        <v>#N/A</v>
      </c>
      <c r="U493" s="2448" t="e">
        <v>#N/A</v>
      </c>
      <c r="V493" s="2448" t="e">
        <v>#N/A</v>
      </c>
      <c r="W493" s="2448" t="e">
        <v>#N/A</v>
      </c>
      <c r="X493" s="2448" t="e">
        <v>#N/A</v>
      </c>
      <c r="Y493" s="2227" t="e">
        <v>#N/A</v>
      </c>
      <c r="Z493" s="2227" t="e">
        <v>#N/A</v>
      </c>
      <c r="AA493" s="2227" t="e">
        <v>#N/A</v>
      </c>
      <c r="AB493" s="2228" t="e">
        <v>#N/A</v>
      </c>
      <c r="AC493" s="46"/>
      <c r="AE493" s="10"/>
      <c r="AF493" s="248"/>
      <c r="AG493" s="10"/>
      <c r="AH493" s="10"/>
    </row>
    <row r="494" spans="1:34" s="5" customFormat="1" ht="10.15" hidden="1" customHeight="1" x14ac:dyDescent="0.2">
      <c r="A494" s="10" t="s">
        <v>461</v>
      </c>
      <c r="B494" s="10"/>
      <c r="C494" s="40"/>
      <c r="D494" s="52">
        <f>Structure!AY98</f>
        <v>11.625</v>
      </c>
      <c r="E494" s="53">
        <f t="shared" si="19"/>
        <v>4.125</v>
      </c>
      <c r="F494" s="54" t="e">
        <f t="shared" si="20"/>
        <v>#N/A</v>
      </c>
      <c r="G494" s="47"/>
      <c r="H494" s="47"/>
      <c r="J494" s="2608" t="s">
        <v>207</v>
      </c>
      <c r="K494" s="57"/>
      <c r="L494" s="58"/>
      <c r="M494" s="66"/>
      <c r="N494" s="1103" t="s">
        <v>1282</v>
      </c>
      <c r="O494" s="1147"/>
      <c r="P494" s="1147"/>
      <c r="Q494" s="1147"/>
      <c r="R494" s="1807"/>
      <c r="S494" s="1819" t="s">
        <v>3446</v>
      </c>
      <c r="T494" s="2309">
        <v>0</v>
      </c>
      <c r="U494" s="2310">
        <v>0</v>
      </c>
      <c r="V494" s="2311">
        <v>-0.5</v>
      </c>
      <c r="W494" s="2311">
        <v>-1.5</v>
      </c>
      <c r="X494" s="2444" t="e">
        <v>#N/A</v>
      </c>
      <c r="Y494" s="2199" t="e">
        <v>#N/A</v>
      </c>
      <c r="Z494" s="2199" t="e">
        <v>#N/A</v>
      </c>
      <c r="AA494" s="2199" t="e">
        <v>#N/A</v>
      </c>
      <c r="AB494" s="2200" t="e">
        <v>#N/A</v>
      </c>
      <c r="AC494" s="46"/>
      <c r="AE494" s="10"/>
      <c r="AF494" s="248"/>
      <c r="AG494" s="10"/>
      <c r="AH494" s="10"/>
    </row>
    <row r="495" spans="1:34" s="5" customFormat="1" ht="10.15" hidden="1" customHeight="1" x14ac:dyDescent="0.2">
      <c r="A495" s="10" t="s">
        <v>461</v>
      </c>
      <c r="B495" s="10"/>
      <c r="C495" s="40"/>
      <c r="D495" s="52">
        <f>Structure!AY99</f>
        <v>11.5</v>
      </c>
      <c r="E495" s="53">
        <f t="shared" si="19"/>
        <v>4</v>
      </c>
      <c r="F495" s="54" t="e">
        <f t="shared" si="20"/>
        <v>#N/A</v>
      </c>
      <c r="G495" s="47"/>
      <c r="H495" s="47"/>
      <c r="J495" s="2609"/>
      <c r="K495" s="235"/>
      <c r="L495" s="236"/>
      <c r="M495" s="238"/>
      <c r="N495" s="1104" t="s">
        <v>1281</v>
      </c>
      <c r="O495" s="1082"/>
      <c r="P495" s="1082"/>
      <c r="Q495" s="1082"/>
      <c r="R495" s="1808"/>
      <c r="S495" s="1820" t="s">
        <v>3447</v>
      </c>
      <c r="T495" s="2313">
        <v>0</v>
      </c>
      <c r="U495" s="2314">
        <v>0</v>
      </c>
      <c r="V495" s="2315">
        <v>-0.5</v>
      </c>
      <c r="W495" s="2315">
        <v>-1.5</v>
      </c>
      <c r="X495" s="2449" t="e">
        <v>#N/A</v>
      </c>
      <c r="Y495" s="2222" t="e">
        <v>#N/A</v>
      </c>
      <c r="Z495" s="2222" t="e">
        <v>#N/A</v>
      </c>
      <c r="AA495" s="1467" t="e">
        <v>#N/A</v>
      </c>
      <c r="AB495" s="2198" t="e">
        <v>#N/A</v>
      </c>
      <c r="AC495" s="46"/>
      <c r="AE495" s="10"/>
      <c r="AF495" s="248"/>
      <c r="AG495" s="10"/>
      <c r="AH495" s="10"/>
    </row>
    <row r="496" spans="1:34" s="5" customFormat="1" ht="10.15" hidden="1" customHeight="1" x14ac:dyDescent="0.2">
      <c r="A496" s="10" t="s">
        <v>461</v>
      </c>
      <c r="B496" s="10"/>
      <c r="C496" s="40"/>
      <c r="D496" s="52">
        <f>Structure!AY100</f>
        <v>11.375</v>
      </c>
      <c r="E496" s="53">
        <f t="shared" si="19"/>
        <v>3.875</v>
      </c>
      <c r="F496" s="54" t="e">
        <f t="shared" si="20"/>
        <v>#N/A</v>
      </c>
      <c r="G496" s="47"/>
      <c r="H496" s="47"/>
      <c r="J496" s="2610"/>
      <c r="K496" s="63" t="s">
        <v>80</v>
      </c>
      <c r="L496" s="67" t="s">
        <v>426</v>
      </c>
      <c r="M496" s="62">
        <v>3</v>
      </c>
      <c r="N496" s="1104" t="s">
        <v>255</v>
      </c>
      <c r="O496" s="1082"/>
      <c r="P496" s="1082"/>
      <c r="Q496" s="1082"/>
      <c r="R496" s="1808"/>
      <c r="S496" s="1820" t="s">
        <v>3448</v>
      </c>
      <c r="T496" s="2317">
        <v>-0.5</v>
      </c>
      <c r="U496" s="2318">
        <v>-0.5</v>
      </c>
      <c r="V496" s="2318">
        <v>-1</v>
      </c>
      <c r="W496" s="2318">
        <v>-1.5</v>
      </c>
      <c r="X496" s="2196" t="e">
        <v>#N/A</v>
      </c>
      <c r="Y496" s="1467" t="e">
        <v>#N/A</v>
      </c>
      <c r="Z496" s="1467" t="e">
        <v>#N/A</v>
      </c>
      <c r="AA496" s="1467" t="e">
        <v>#N/A</v>
      </c>
      <c r="AB496" s="2198" t="e">
        <v>#N/A</v>
      </c>
      <c r="AC496" s="46"/>
      <c r="AE496" s="10"/>
      <c r="AF496" s="248"/>
      <c r="AG496" s="10"/>
      <c r="AH496" s="10"/>
    </row>
    <row r="497" spans="1:34" s="5" customFormat="1" ht="10.15" hidden="1" customHeight="1" x14ac:dyDescent="0.2">
      <c r="A497" s="10" t="s">
        <v>461</v>
      </c>
      <c r="B497" s="10"/>
      <c r="C497" s="40"/>
      <c r="D497" s="52">
        <f>Structure!AY101</f>
        <v>11.25</v>
      </c>
      <c r="E497" s="53">
        <f t="shared" si="19"/>
        <v>3.75</v>
      </c>
      <c r="F497" s="54" t="e">
        <f t="shared" si="20"/>
        <v>#N/A</v>
      </c>
      <c r="G497" s="47"/>
      <c r="H497" s="47"/>
      <c r="J497" s="2610"/>
      <c r="K497" s="63"/>
      <c r="L497" s="67"/>
      <c r="M497" s="62"/>
      <c r="N497" s="1104" t="s">
        <v>254</v>
      </c>
      <c r="O497" s="1082"/>
      <c r="P497" s="1082"/>
      <c r="Q497" s="1082"/>
      <c r="R497" s="1808"/>
      <c r="S497" s="1821" t="s">
        <v>3449</v>
      </c>
      <c r="T497" s="2317">
        <v>-1</v>
      </c>
      <c r="U497" s="2318">
        <v>-1</v>
      </c>
      <c r="V497" s="2318">
        <v>-1.5</v>
      </c>
      <c r="W497" s="2318">
        <v>-2</v>
      </c>
      <c r="X497" s="2196" t="e">
        <v>#N/A</v>
      </c>
      <c r="Y497" s="1467" t="e">
        <v>#N/A</v>
      </c>
      <c r="Z497" s="1467" t="e">
        <v>#N/A</v>
      </c>
      <c r="AA497" s="1467" t="e">
        <v>#N/A</v>
      </c>
      <c r="AB497" s="2198" t="e">
        <v>#N/A</v>
      </c>
      <c r="AC497" s="46"/>
      <c r="AE497" s="10"/>
      <c r="AF497" s="248"/>
      <c r="AG497" s="10"/>
      <c r="AH497" s="10"/>
    </row>
    <row r="498" spans="1:34" s="5" customFormat="1" ht="10.15" hidden="1" customHeight="1" x14ac:dyDescent="0.2">
      <c r="A498" s="10" t="s">
        <v>461</v>
      </c>
      <c r="C498" s="40"/>
      <c r="D498" s="52">
        <f>Structure!AY102</f>
        <v>11.125</v>
      </c>
      <c r="E498" s="53">
        <f t="shared" si="19"/>
        <v>3.625</v>
      </c>
      <c r="F498" s="54" t="e">
        <f t="shared" si="20"/>
        <v>#N/A</v>
      </c>
      <c r="G498" s="47"/>
      <c r="H498" s="47"/>
      <c r="J498" s="2610"/>
      <c r="K498" s="63"/>
      <c r="L498" s="64"/>
      <c r="M498" s="62"/>
      <c r="N498" s="1104" t="s">
        <v>3</v>
      </c>
      <c r="O498" s="1082"/>
      <c r="P498" s="1082"/>
      <c r="Q498" s="1082"/>
      <c r="R498" s="1808"/>
      <c r="S498" s="1821" t="s">
        <v>3450</v>
      </c>
      <c r="T498" s="2317">
        <v>-2</v>
      </c>
      <c r="U498" s="2318">
        <v>-2</v>
      </c>
      <c r="V498" s="2318">
        <v>-2.5</v>
      </c>
      <c r="W498" s="2350">
        <v>-3</v>
      </c>
      <c r="X498" s="2196" t="e">
        <v>#N/A</v>
      </c>
      <c r="Y498" s="1467" t="e">
        <v>#N/A</v>
      </c>
      <c r="Z498" s="1467" t="e">
        <v>#N/A</v>
      </c>
      <c r="AA498" s="1467" t="e">
        <v>#N/A</v>
      </c>
      <c r="AB498" s="2198" t="e">
        <v>#N/A</v>
      </c>
      <c r="AC498" s="46"/>
      <c r="AE498" s="10"/>
      <c r="AF498" s="248"/>
      <c r="AG498" s="10"/>
      <c r="AH498" s="10"/>
    </row>
    <row r="499" spans="1:34" s="5" customFormat="1" ht="10.15" hidden="1" customHeight="1" x14ac:dyDescent="0.2">
      <c r="A499" s="10" t="s">
        <v>461</v>
      </c>
      <c r="C499" s="40"/>
      <c r="D499" s="52">
        <f>Structure!AY103</f>
        <v>11</v>
      </c>
      <c r="E499" s="53">
        <f t="shared" si="19"/>
        <v>3.5</v>
      </c>
      <c r="F499" s="54" t="e">
        <f t="shared" si="20"/>
        <v>#N/A</v>
      </c>
      <c r="G499" s="47"/>
      <c r="H499" s="47"/>
      <c r="J499" s="2610"/>
      <c r="K499" s="63"/>
      <c r="L499" s="64"/>
      <c r="M499" s="62"/>
      <c r="N499" s="1104" t="s">
        <v>5</v>
      </c>
      <c r="O499" s="1082"/>
      <c r="P499" s="1082"/>
      <c r="Q499" s="1082"/>
      <c r="R499" s="1808"/>
      <c r="S499" s="1821" t="s">
        <v>3451</v>
      </c>
      <c r="T499" s="2317">
        <v>-2.5</v>
      </c>
      <c r="U499" s="2318">
        <v>-2.5</v>
      </c>
      <c r="V499" s="2318">
        <v>-3</v>
      </c>
      <c r="W499" s="2196" t="e">
        <v>#N/A</v>
      </c>
      <c r="X499" s="2196" t="e">
        <v>#N/A</v>
      </c>
      <c r="Y499" s="1467" t="e">
        <v>#N/A</v>
      </c>
      <c r="Z499" s="1467" t="e">
        <v>#N/A</v>
      </c>
      <c r="AA499" s="1467" t="e">
        <v>#N/A</v>
      </c>
      <c r="AB499" s="2198" t="e">
        <v>#N/A</v>
      </c>
      <c r="AC499" s="46"/>
      <c r="AE499" s="10"/>
      <c r="AF499" s="248"/>
      <c r="AG499" s="10"/>
      <c r="AH499" s="10"/>
    </row>
    <row r="500" spans="1:34" s="5" customFormat="1" ht="10.15" hidden="1" customHeight="1" x14ac:dyDescent="0.2">
      <c r="A500" s="10" t="s">
        <v>463</v>
      </c>
      <c r="C500" s="40"/>
      <c r="D500" s="52">
        <f>Structure!AY104</f>
        <v>10.875</v>
      </c>
      <c r="E500" s="53">
        <f t="shared" si="19"/>
        <v>3.375</v>
      </c>
      <c r="F500" s="54" t="e">
        <f t="shared" si="20"/>
        <v>#N/A</v>
      </c>
      <c r="G500" s="47"/>
      <c r="H500" s="47"/>
      <c r="J500" s="2610"/>
      <c r="K500" s="63"/>
      <c r="L500" s="64"/>
      <c r="M500" s="62"/>
      <c r="N500" s="1105" t="s">
        <v>6</v>
      </c>
      <c r="O500" s="1083"/>
      <c r="P500" s="1083"/>
      <c r="Q500" s="1083"/>
      <c r="R500" s="87"/>
      <c r="S500" s="1821" t="s">
        <v>3452</v>
      </c>
      <c r="T500" s="2197" t="e">
        <v>#N/A</v>
      </c>
      <c r="U500" s="1467" t="e">
        <v>#N/A</v>
      </c>
      <c r="V500" s="1467" t="e">
        <v>#N/A</v>
      </c>
      <c r="W500" s="1467" t="e">
        <v>#N/A</v>
      </c>
      <c r="X500" s="1467" t="e">
        <v>#N/A</v>
      </c>
      <c r="Y500" s="1467" t="e">
        <v>#N/A</v>
      </c>
      <c r="Z500" s="1467" t="e">
        <v>#N/A</v>
      </c>
      <c r="AA500" s="1467" t="e">
        <v>#N/A</v>
      </c>
      <c r="AB500" s="2198" t="e">
        <v>#N/A</v>
      </c>
      <c r="AC500" s="46"/>
      <c r="AE500" s="10"/>
      <c r="AF500" s="248"/>
      <c r="AG500" s="10"/>
      <c r="AH500" s="10"/>
    </row>
    <row r="501" spans="1:34" s="5" customFormat="1" ht="10.15" hidden="1" customHeight="1" x14ac:dyDescent="0.2">
      <c r="A501" s="10" t="s">
        <v>463</v>
      </c>
      <c r="C501" s="40"/>
      <c r="D501" s="52">
        <f>Structure!AY105</f>
        <v>10.75</v>
      </c>
      <c r="E501" s="53">
        <f t="shared" si="19"/>
        <v>3.25</v>
      </c>
      <c r="F501" s="54" t="e">
        <f t="shared" si="20"/>
        <v>#N/A</v>
      </c>
      <c r="G501" s="47"/>
      <c r="H501" s="47"/>
      <c r="J501" s="2610"/>
      <c r="K501" s="63"/>
      <c r="L501" s="64"/>
      <c r="M501" s="62"/>
      <c r="N501" s="1105" t="s">
        <v>7</v>
      </c>
      <c r="O501" s="1083"/>
      <c r="P501" s="1083"/>
      <c r="Q501" s="1083"/>
      <c r="R501" s="87"/>
      <c r="S501" s="1821" t="s">
        <v>3453</v>
      </c>
      <c r="T501" s="2197" t="e">
        <v>#N/A</v>
      </c>
      <c r="U501" s="1467" t="e">
        <v>#N/A</v>
      </c>
      <c r="V501" s="1467" t="e">
        <v>#N/A</v>
      </c>
      <c r="W501" s="1467" t="e">
        <v>#N/A</v>
      </c>
      <c r="X501" s="1467" t="e">
        <v>#N/A</v>
      </c>
      <c r="Y501" s="1467" t="e">
        <v>#N/A</v>
      </c>
      <c r="Z501" s="1467" t="e">
        <v>#N/A</v>
      </c>
      <c r="AA501" s="1467" t="e">
        <v>#N/A</v>
      </c>
      <c r="AB501" s="2198" t="e">
        <v>#N/A</v>
      </c>
      <c r="AC501" s="46"/>
      <c r="AE501" s="10"/>
      <c r="AF501" s="248"/>
      <c r="AG501" s="10"/>
      <c r="AH501" s="10"/>
    </row>
    <row r="502" spans="1:34" s="5" customFormat="1" ht="10.15" hidden="1" customHeight="1" x14ac:dyDescent="0.2">
      <c r="A502" s="10" t="s">
        <v>463</v>
      </c>
      <c r="C502" s="40"/>
      <c r="D502" s="52">
        <f>Structure!AY106</f>
        <v>10.625</v>
      </c>
      <c r="E502" s="53">
        <f t="shared" si="19"/>
        <v>3.125</v>
      </c>
      <c r="F502" s="54" t="e">
        <f t="shared" si="20"/>
        <v>#N/A</v>
      </c>
      <c r="G502" s="47"/>
      <c r="H502" s="47"/>
      <c r="J502" s="2610"/>
      <c r="K502" s="63"/>
      <c r="L502" s="64"/>
      <c r="M502" s="62"/>
      <c r="N502" s="1105" t="s">
        <v>9</v>
      </c>
      <c r="O502" s="1083"/>
      <c r="P502" s="1083"/>
      <c r="Q502" s="1083"/>
      <c r="R502" s="87"/>
      <c r="S502" s="1821" t="s">
        <v>3454</v>
      </c>
      <c r="T502" s="2197" t="e">
        <v>#N/A</v>
      </c>
      <c r="U502" s="1467" t="e">
        <v>#N/A</v>
      </c>
      <c r="V502" s="1467" t="e">
        <v>#N/A</v>
      </c>
      <c r="W502" s="1467" t="e">
        <v>#N/A</v>
      </c>
      <c r="X502" s="1467" t="e">
        <v>#N/A</v>
      </c>
      <c r="Y502" s="1467" t="e">
        <v>#N/A</v>
      </c>
      <c r="Z502" s="1467" t="e">
        <v>#N/A</v>
      </c>
      <c r="AA502" s="1467" t="e">
        <v>#N/A</v>
      </c>
      <c r="AB502" s="2198" t="e">
        <v>#N/A</v>
      </c>
      <c r="AC502" s="46"/>
      <c r="AE502" s="10"/>
      <c r="AF502" s="248"/>
      <c r="AG502" s="10"/>
      <c r="AH502" s="10"/>
    </row>
    <row r="503" spans="1:34" s="5" customFormat="1" ht="10.15" hidden="1" customHeight="1" x14ac:dyDescent="0.2">
      <c r="A503" s="10" t="s">
        <v>463</v>
      </c>
      <c r="C503" s="40"/>
      <c r="D503" s="52">
        <f>Structure!AY107</f>
        <v>10.5</v>
      </c>
      <c r="E503" s="53">
        <f t="shared" si="19"/>
        <v>3</v>
      </c>
      <c r="F503" s="54" t="e">
        <f t="shared" si="20"/>
        <v>#N/A</v>
      </c>
      <c r="G503" s="47"/>
      <c r="H503" s="47"/>
      <c r="J503" s="2610"/>
      <c r="K503" s="63"/>
      <c r="L503" s="64"/>
      <c r="M503" s="62"/>
      <c r="N503" s="1104" t="s">
        <v>10</v>
      </c>
      <c r="O503" s="1082"/>
      <c r="P503" s="1082"/>
      <c r="Q503" s="1082"/>
      <c r="R503" s="1808"/>
      <c r="S503" s="1822" t="s">
        <v>3455</v>
      </c>
      <c r="T503" s="2197" t="e">
        <v>#N/A</v>
      </c>
      <c r="U503" s="1467" t="e">
        <v>#N/A</v>
      </c>
      <c r="V503" s="1467" t="e">
        <v>#N/A</v>
      </c>
      <c r="W503" s="1467" t="e">
        <v>#N/A</v>
      </c>
      <c r="X503" s="1467" t="e">
        <v>#N/A</v>
      </c>
      <c r="Y503" s="1467" t="e">
        <v>#N/A</v>
      </c>
      <c r="Z503" s="1467" t="e">
        <v>#N/A</v>
      </c>
      <c r="AA503" s="1467" t="e">
        <v>#N/A</v>
      </c>
      <c r="AB503" s="2198" t="e">
        <v>#N/A</v>
      </c>
      <c r="AC503" s="46"/>
      <c r="AE503" s="10"/>
      <c r="AF503" s="248"/>
      <c r="AG503" s="10"/>
      <c r="AH503" s="10"/>
    </row>
    <row r="504" spans="1:34" s="5" customFormat="1" ht="10.15" hidden="1" customHeight="1" x14ac:dyDescent="0.2">
      <c r="A504" s="10" t="s">
        <v>461</v>
      </c>
      <c r="C504" s="40"/>
      <c r="D504" s="52">
        <f>Structure!AY108</f>
        <v>10.375</v>
      </c>
      <c r="E504" s="53">
        <f t="shared" si="19"/>
        <v>2.875</v>
      </c>
      <c r="F504" s="54" t="e">
        <f t="shared" si="20"/>
        <v>#N/A</v>
      </c>
      <c r="J504" s="2615" t="s">
        <v>210</v>
      </c>
      <c r="K504" s="2616"/>
      <c r="L504" s="2616"/>
      <c r="M504" s="2617"/>
      <c r="N504" s="1084" t="s">
        <v>136</v>
      </c>
      <c r="O504" s="1130"/>
      <c r="P504" s="1130"/>
      <c r="Q504" s="1130"/>
      <c r="R504" s="101"/>
      <c r="S504" s="1823" t="s">
        <v>3456</v>
      </c>
      <c r="T504" s="2320">
        <v>0</v>
      </c>
      <c r="U504" s="2276">
        <v>0</v>
      </c>
      <c r="V504" s="2276">
        <v>0</v>
      </c>
      <c r="W504" s="2276">
        <v>0</v>
      </c>
      <c r="X504" s="2276">
        <v>0</v>
      </c>
      <c r="Y504" s="2063" t="e">
        <v>#N/A</v>
      </c>
      <c r="Z504" s="2063" t="e">
        <v>#N/A</v>
      </c>
      <c r="AA504" s="2063" t="e">
        <v>#N/A</v>
      </c>
      <c r="AB504" s="2212" t="e">
        <v>#N/A</v>
      </c>
      <c r="AC504" s="46"/>
      <c r="AE504" s="10"/>
      <c r="AF504" s="248"/>
      <c r="AG504" s="10"/>
      <c r="AH504" s="10"/>
    </row>
    <row r="505" spans="1:34" s="5" customFormat="1" ht="10.15" hidden="1" customHeight="1" x14ac:dyDescent="0.2">
      <c r="A505" s="10" t="s">
        <v>461</v>
      </c>
      <c r="C505" s="40"/>
      <c r="D505" s="52">
        <f>Structure!AY109</f>
        <v>10.25</v>
      </c>
      <c r="E505" s="53">
        <f t="shared" si="19"/>
        <v>2.75</v>
      </c>
      <c r="F505" s="54" t="e">
        <f t="shared" si="20"/>
        <v>#N/A</v>
      </c>
      <c r="J505" s="2618"/>
      <c r="K505" s="2619"/>
      <c r="L505" s="2619"/>
      <c r="M505" s="2620"/>
      <c r="N505" s="1106" t="s">
        <v>78</v>
      </c>
      <c r="O505" s="1085"/>
      <c r="P505" s="1085"/>
      <c r="Q505" s="1085"/>
      <c r="R505" s="102"/>
      <c r="S505" s="1824" t="s">
        <v>3457</v>
      </c>
      <c r="T505" s="2322">
        <v>-1.25</v>
      </c>
      <c r="U505" s="2282">
        <v>-1.25</v>
      </c>
      <c r="V505" s="2282">
        <v>-1.25</v>
      </c>
      <c r="W505" s="2282">
        <v>-1.25</v>
      </c>
      <c r="X505" s="2282">
        <v>-1.25</v>
      </c>
      <c r="Y505" s="2057" t="e">
        <v>#N/A</v>
      </c>
      <c r="Z505" s="2057" t="e">
        <v>#N/A</v>
      </c>
      <c r="AA505" s="2057" t="e">
        <v>#N/A</v>
      </c>
      <c r="AB505" s="2214" t="e">
        <v>#N/A</v>
      </c>
      <c r="AC505" s="46"/>
      <c r="AE505" s="10"/>
      <c r="AF505" s="248"/>
      <c r="AG505" s="10"/>
      <c r="AH505" s="10"/>
    </row>
    <row r="506" spans="1:34" s="5" customFormat="1" ht="10.15" hidden="1" customHeight="1" x14ac:dyDescent="0.2">
      <c r="A506" s="10" t="s">
        <v>461</v>
      </c>
      <c r="C506" s="40"/>
      <c r="D506" s="52">
        <f>Structure!AY110</f>
        <v>10.125</v>
      </c>
      <c r="E506" s="53">
        <f t="shared" si="19"/>
        <v>2.625</v>
      </c>
      <c r="F506" s="54" t="e">
        <f t="shared" si="20"/>
        <v>#N/A</v>
      </c>
      <c r="J506" s="2621"/>
      <c r="K506" s="2622"/>
      <c r="L506" s="2622"/>
      <c r="M506" s="2623"/>
      <c r="N506" s="1107" t="s">
        <v>77</v>
      </c>
      <c r="O506" s="1131"/>
      <c r="P506" s="1131"/>
      <c r="Q506" s="1131"/>
      <c r="R506" s="103"/>
      <c r="S506" s="1825" t="s">
        <v>3458</v>
      </c>
      <c r="T506" s="2324">
        <v>-0.75</v>
      </c>
      <c r="U506" s="2285">
        <v>-0.75</v>
      </c>
      <c r="V506" s="2285">
        <v>-0.75</v>
      </c>
      <c r="W506" s="2285">
        <v>-0.75</v>
      </c>
      <c r="X506" s="2285">
        <v>-0.75</v>
      </c>
      <c r="Y506" s="2060" t="e">
        <v>#N/A</v>
      </c>
      <c r="Z506" s="2060" t="e">
        <v>#N/A</v>
      </c>
      <c r="AA506" s="2060" t="e">
        <v>#N/A</v>
      </c>
      <c r="AB506" s="2216" t="e">
        <v>#N/A</v>
      </c>
      <c r="AC506" s="46"/>
      <c r="AE506" s="10"/>
      <c r="AF506" s="248"/>
      <c r="AG506" s="10"/>
      <c r="AH506" s="10"/>
    </row>
    <row r="507" spans="1:34" s="5" customFormat="1" ht="10.15" hidden="1" customHeight="1" x14ac:dyDescent="0.2">
      <c r="A507" s="10" t="s">
        <v>461</v>
      </c>
      <c r="C507" s="40"/>
      <c r="D507" s="52">
        <f>Structure!AY111</f>
        <v>10</v>
      </c>
      <c r="E507" s="53">
        <f t="shared" si="19"/>
        <v>2.5</v>
      </c>
      <c r="F507" s="54" t="e">
        <f t="shared" si="20"/>
        <v>#N/A</v>
      </c>
      <c r="J507" s="2578" t="s">
        <v>2</v>
      </c>
      <c r="K507" s="2579"/>
      <c r="L507" s="2579"/>
      <c r="M507" s="2580"/>
      <c r="N507" s="1086" t="s">
        <v>3356</v>
      </c>
      <c r="O507" s="1148"/>
      <c r="P507" s="1148"/>
      <c r="Q507" s="1148"/>
      <c r="R507" s="1809"/>
      <c r="S507" s="1826" t="s">
        <v>3459</v>
      </c>
      <c r="T507" s="2205">
        <v>1.5</v>
      </c>
      <c r="U507" s="2206">
        <v>1.5</v>
      </c>
      <c r="V507" s="2206">
        <v>1.5</v>
      </c>
      <c r="W507" s="2206">
        <v>1.5</v>
      </c>
      <c r="X507" s="2206">
        <v>1.5</v>
      </c>
      <c r="Y507" s="2229" t="e">
        <v>#N/A</v>
      </c>
      <c r="Z507" s="2229" t="e">
        <v>#N/A</v>
      </c>
      <c r="AA507" s="2229" t="e">
        <v>#N/A</v>
      </c>
      <c r="AB507" s="2230" t="e">
        <v>#N/A</v>
      </c>
      <c r="AC507" s="46"/>
      <c r="AE507" s="10"/>
      <c r="AF507" s="248"/>
      <c r="AG507" s="10"/>
      <c r="AH507" s="10"/>
    </row>
    <row r="508" spans="1:34" s="5" customFormat="1" ht="10.15" hidden="1" customHeight="1" x14ac:dyDescent="0.2">
      <c r="A508" s="10" t="s">
        <v>461</v>
      </c>
      <c r="C508" s="40"/>
      <c r="D508" s="52">
        <f>Structure!AY112</f>
        <v>9.875</v>
      </c>
      <c r="E508" s="53">
        <f t="shared" si="19"/>
        <v>2.375</v>
      </c>
      <c r="F508" s="54" t="e">
        <f t="shared" si="20"/>
        <v>#N/A</v>
      </c>
      <c r="J508" s="2581"/>
      <c r="K508" s="2582"/>
      <c r="L508" s="2582"/>
      <c r="M508" s="2583"/>
      <c r="N508" s="1087" t="s">
        <v>3358</v>
      </c>
      <c r="O508" s="1149"/>
      <c r="P508" s="1149"/>
      <c r="Q508" s="1149"/>
      <c r="R508" s="1810"/>
      <c r="S508" s="1827" t="s">
        <v>3460</v>
      </c>
      <c r="T508" s="2208">
        <v>0</v>
      </c>
      <c r="U508" s="2209">
        <v>0</v>
      </c>
      <c r="V508" s="2209">
        <v>0</v>
      </c>
      <c r="W508" s="2209">
        <v>0</v>
      </c>
      <c r="X508" s="2209">
        <v>0</v>
      </c>
      <c r="Y508" s="2067" t="e">
        <v>#N/A</v>
      </c>
      <c r="Z508" s="2067" t="e">
        <v>#N/A</v>
      </c>
      <c r="AA508" s="2067" t="e">
        <v>#N/A</v>
      </c>
      <c r="AB508" s="2220" t="e">
        <v>#N/A</v>
      </c>
      <c r="AC508" s="46"/>
      <c r="AE508" s="10"/>
      <c r="AF508" s="248"/>
      <c r="AG508" s="10"/>
      <c r="AH508" s="10"/>
    </row>
    <row r="509" spans="1:34" s="5" customFormat="1" ht="10.15" hidden="1" customHeight="1" x14ac:dyDescent="0.2">
      <c r="A509" s="10" t="s">
        <v>461</v>
      </c>
      <c r="C509" s="40"/>
      <c r="D509" s="52">
        <f>Structure!AY113</f>
        <v>9.75</v>
      </c>
      <c r="E509" s="53">
        <f t="shared" si="19"/>
        <v>2.25</v>
      </c>
      <c r="F509" s="54" t="e">
        <f t="shared" si="20"/>
        <v>#N/A</v>
      </c>
      <c r="J509" s="2581"/>
      <c r="K509" s="2582"/>
      <c r="L509" s="2582"/>
      <c r="M509" s="2583"/>
      <c r="N509" s="1087" t="s">
        <v>3360</v>
      </c>
      <c r="O509" s="1149"/>
      <c r="P509" s="1149"/>
      <c r="Q509" s="1149"/>
      <c r="R509" s="1810"/>
      <c r="S509" s="1827" t="s">
        <v>3461</v>
      </c>
      <c r="T509" s="2208">
        <v>1.5</v>
      </c>
      <c r="U509" s="2209">
        <v>1.5</v>
      </c>
      <c r="V509" s="2209">
        <v>1.5</v>
      </c>
      <c r="W509" s="2209">
        <v>1.5</v>
      </c>
      <c r="X509" s="2209">
        <v>1.5</v>
      </c>
      <c r="Y509" s="2067" t="e">
        <v>#N/A</v>
      </c>
      <c r="Z509" s="2067" t="e">
        <v>#N/A</v>
      </c>
      <c r="AA509" s="2067" t="e">
        <v>#N/A</v>
      </c>
      <c r="AB509" s="2220" t="e">
        <v>#N/A</v>
      </c>
      <c r="AC509" s="46"/>
      <c r="AE509" s="10"/>
      <c r="AF509" s="248"/>
      <c r="AG509" s="10"/>
      <c r="AH509" s="10"/>
    </row>
    <row r="510" spans="1:34" s="5" customFormat="1" ht="10.15" hidden="1" customHeight="1" x14ac:dyDescent="0.2">
      <c r="A510" s="10" t="s">
        <v>461</v>
      </c>
      <c r="C510" s="40"/>
      <c r="D510" s="52">
        <f>Structure!AY114</f>
        <v>9.625</v>
      </c>
      <c r="E510" s="53">
        <f t="shared" si="19"/>
        <v>2.125</v>
      </c>
      <c r="F510" s="54" t="e">
        <f t="shared" si="20"/>
        <v>#N/A</v>
      </c>
      <c r="J510" s="2581"/>
      <c r="K510" s="2582"/>
      <c r="L510" s="2582"/>
      <c r="M510" s="2583"/>
      <c r="N510" s="1088" t="s">
        <v>3362</v>
      </c>
      <c r="O510" s="1090"/>
      <c r="P510" s="1090"/>
      <c r="Q510" s="1090"/>
      <c r="R510" s="110"/>
      <c r="S510" s="1824" t="s">
        <v>3462</v>
      </c>
      <c r="T510" s="2208">
        <v>0</v>
      </c>
      <c r="U510" s="2209">
        <v>0</v>
      </c>
      <c r="V510" s="2209">
        <v>0</v>
      </c>
      <c r="W510" s="2209">
        <v>0</v>
      </c>
      <c r="X510" s="2209">
        <v>0</v>
      </c>
      <c r="Y510" s="2067" t="e">
        <v>#N/A</v>
      </c>
      <c r="Z510" s="2067" t="e">
        <v>#N/A</v>
      </c>
      <c r="AA510" s="2067" t="e">
        <v>#N/A</v>
      </c>
      <c r="AB510" s="2220" t="e">
        <v>#N/A</v>
      </c>
      <c r="AC510" s="46"/>
      <c r="AE510" s="10"/>
      <c r="AF510" s="248"/>
      <c r="AG510" s="10"/>
      <c r="AH510" s="10"/>
    </row>
    <row r="511" spans="1:34" s="5" customFormat="1" ht="10.15" hidden="1" customHeight="1" x14ac:dyDescent="0.2">
      <c r="A511" s="10" t="s">
        <v>463</v>
      </c>
      <c r="C511" s="40"/>
      <c r="D511" s="52">
        <f>Structure!AY115</f>
        <v>9.5</v>
      </c>
      <c r="E511" s="53">
        <f t="shared" si="19"/>
        <v>2</v>
      </c>
      <c r="F511" s="54" t="e">
        <f t="shared" si="20"/>
        <v>#N/A</v>
      </c>
      <c r="J511" s="2581"/>
      <c r="K511" s="2582"/>
      <c r="L511" s="2582"/>
      <c r="M511" s="2583"/>
      <c r="N511" s="1108" t="s">
        <v>98</v>
      </c>
      <c r="O511" s="1100"/>
      <c r="P511" s="1100"/>
      <c r="Q511" s="1100"/>
      <c r="R511" s="104"/>
      <c r="S511" s="1828" t="s">
        <v>3463</v>
      </c>
      <c r="T511" s="2211" t="e">
        <v>#N/A</v>
      </c>
      <c r="U511" s="2063" t="e">
        <v>#N/A</v>
      </c>
      <c r="V511" s="2063" t="e">
        <v>#N/A</v>
      </c>
      <c r="W511" s="2063" t="e">
        <v>#N/A</v>
      </c>
      <c r="X511" s="2063" t="e">
        <v>#N/A</v>
      </c>
      <c r="Y511" s="2063" t="e">
        <v>#N/A</v>
      </c>
      <c r="Z511" s="2063" t="e">
        <v>#N/A</v>
      </c>
      <c r="AA511" s="2063" t="e">
        <v>#N/A</v>
      </c>
      <c r="AB511" s="2212" t="e">
        <v>#N/A</v>
      </c>
      <c r="AC511" s="46"/>
      <c r="AE511" s="10"/>
      <c r="AF511" s="248"/>
      <c r="AG511" s="10"/>
      <c r="AH511" s="10"/>
    </row>
    <row r="512" spans="1:34" s="5" customFormat="1" ht="10.15" hidden="1" customHeight="1" x14ac:dyDescent="0.2">
      <c r="A512" s="10" t="s">
        <v>461</v>
      </c>
      <c r="C512" s="40"/>
      <c r="D512" s="52">
        <f>Structure!AY116</f>
        <v>9.375</v>
      </c>
      <c r="E512" s="53">
        <f t="shared" si="19"/>
        <v>1.875</v>
      </c>
      <c r="F512" s="54" t="e">
        <f t="shared" si="20"/>
        <v>#N/A</v>
      </c>
      <c r="J512" s="2584"/>
      <c r="K512" s="2585"/>
      <c r="L512" s="2585"/>
      <c r="M512" s="2586"/>
      <c r="N512" s="1109" t="s">
        <v>4</v>
      </c>
      <c r="O512" s="1102"/>
      <c r="P512" s="1102"/>
      <c r="Q512" s="1102"/>
      <c r="R512" s="105"/>
      <c r="S512" s="1829" t="s">
        <v>3464</v>
      </c>
      <c r="T512" s="2328">
        <v>0</v>
      </c>
      <c r="U512" s="2329">
        <v>0</v>
      </c>
      <c r="V512" s="2329">
        <v>0</v>
      </c>
      <c r="W512" s="2329">
        <v>0</v>
      </c>
      <c r="X512" s="2329">
        <v>0</v>
      </c>
      <c r="Y512" s="1462" t="e">
        <v>#N/A</v>
      </c>
      <c r="Z512" s="1462" t="e">
        <v>#N/A</v>
      </c>
      <c r="AA512" s="1462" t="e">
        <v>#N/A</v>
      </c>
      <c r="AB512" s="2198" t="e">
        <v>#N/A</v>
      </c>
      <c r="AC512" s="46"/>
      <c r="AE512" s="10"/>
      <c r="AF512" s="248"/>
      <c r="AG512" s="10"/>
      <c r="AH512" s="10"/>
    </row>
    <row r="513" spans="1:43" s="5" customFormat="1" ht="10.15" hidden="1" customHeight="1" x14ac:dyDescent="0.2">
      <c r="A513" s="10" t="s">
        <v>463</v>
      </c>
      <c r="C513" s="40"/>
      <c r="D513" s="52">
        <f>Structure!AY117</f>
        <v>9.25</v>
      </c>
      <c r="E513" s="53">
        <f t="shared" si="19"/>
        <v>1.75</v>
      </c>
      <c r="F513" s="54" t="e">
        <f t="shared" si="20"/>
        <v>#N/A</v>
      </c>
      <c r="J513" s="2578" t="s">
        <v>8</v>
      </c>
      <c r="K513" s="2579"/>
      <c r="L513" s="2579"/>
      <c r="M513" s="2580"/>
      <c r="N513" s="1110" t="s">
        <v>2119</v>
      </c>
      <c r="O513" s="1110"/>
      <c r="P513" s="1110"/>
      <c r="Q513" s="1110"/>
      <c r="R513" s="1811"/>
      <c r="S513" s="1828" t="s">
        <v>3538</v>
      </c>
      <c r="T513" s="2211" t="e">
        <f t="shared" ref="T513:X513" si="21">IF(Input_RateSheet_Type="Master",-2,#N/A)</f>
        <v>#N/A</v>
      </c>
      <c r="U513" s="2063" t="e">
        <f t="shared" si="21"/>
        <v>#N/A</v>
      </c>
      <c r="V513" s="2063" t="e">
        <f t="shared" si="21"/>
        <v>#N/A</v>
      </c>
      <c r="W513" s="2063" t="e">
        <f t="shared" si="21"/>
        <v>#N/A</v>
      </c>
      <c r="X513" s="2063" t="e">
        <f t="shared" si="21"/>
        <v>#N/A</v>
      </c>
      <c r="Y513" s="2063" t="e">
        <v>#N/A</v>
      </c>
      <c r="Z513" s="2063" t="e">
        <v>#N/A</v>
      </c>
      <c r="AA513" s="2063" t="e">
        <v>#N/A</v>
      </c>
      <c r="AB513" s="2212" t="e">
        <v>#N/A</v>
      </c>
      <c r="AC513" s="46"/>
      <c r="AE513" s="10"/>
      <c r="AF513" s="248"/>
      <c r="AG513" s="10"/>
      <c r="AH513" s="10"/>
    </row>
    <row r="514" spans="1:43" s="5" customFormat="1" ht="10.15" hidden="1" customHeight="1" x14ac:dyDescent="0.2">
      <c r="A514" s="10" t="s">
        <v>461</v>
      </c>
      <c r="C514" s="40"/>
      <c r="D514" s="52">
        <f>Structure!AY118</f>
        <v>9.125</v>
      </c>
      <c r="E514" s="53">
        <f t="shared" si="19"/>
        <v>1.625</v>
      </c>
      <c r="F514" s="54" t="e">
        <f t="shared" si="20"/>
        <v>#N/A</v>
      </c>
      <c r="J514" s="2581"/>
      <c r="K514" s="2582"/>
      <c r="L514" s="2582"/>
      <c r="M514" s="2583"/>
      <c r="N514" s="1089" t="s">
        <v>2121</v>
      </c>
      <c r="O514" s="1089"/>
      <c r="P514" s="1089"/>
      <c r="Q514" s="1089"/>
      <c r="R514" s="241"/>
      <c r="S514" s="1830" t="s">
        <v>3539</v>
      </c>
      <c r="T514" s="2330">
        <v>-0.25</v>
      </c>
      <c r="U514" s="2331">
        <v>-0.25</v>
      </c>
      <c r="V514" s="2331">
        <v>-0.25</v>
      </c>
      <c r="W514" s="2331">
        <v>-0.25</v>
      </c>
      <c r="X514" s="2331">
        <v>-0.25</v>
      </c>
      <c r="Y514" s="2231" t="e">
        <v>#N/A</v>
      </c>
      <c r="Z514" s="2231" t="e">
        <v>#N/A</v>
      </c>
      <c r="AA514" s="2231" t="e">
        <v>#N/A</v>
      </c>
      <c r="AB514" s="2232" t="e">
        <v>#N/A</v>
      </c>
      <c r="AC514" s="46"/>
      <c r="AE514" s="10"/>
      <c r="AF514" s="248"/>
      <c r="AG514" s="10"/>
      <c r="AH514" s="10"/>
    </row>
    <row r="515" spans="1:43" s="5" customFormat="1" ht="10.15" hidden="1" customHeight="1" x14ac:dyDescent="0.2">
      <c r="A515" s="10" t="s">
        <v>461</v>
      </c>
      <c r="C515" s="40"/>
      <c r="D515" s="52">
        <f>Structure!AY119</f>
        <v>9</v>
      </c>
      <c r="E515" s="53">
        <f t="shared" si="19"/>
        <v>1.5</v>
      </c>
      <c r="F515" s="54" t="e">
        <f t="shared" si="20"/>
        <v>#N/A</v>
      </c>
      <c r="J515" s="2581"/>
      <c r="K515" s="2582"/>
      <c r="L515" s="2582"/>
      <c r="M515" s="2583"/>
      <c r="N515" s="1089" t="s">
        <v>1313</v>
      </c>
      <c r="O515" s="1089"/>
      <c r="P515" s="1089"/>
      <c r="Q515" s="1089"/>
      <c r="R515" s="241"/>
      <c r="S515" s="1830" t="s">
        <v>3465</v>
      </c>
      <c r="T515" s="2330">
        <v>-0.25</v>
      </c>
      <c r="U515" s="2331">
        <v>-0.25</v>
      </c>
      <c r="V515" s="2331">
        <v>-0.25</v>
      </c>
      <c r="W515" s="2331">
        <v>-0.25</v>
      </c>
      <c r="X515" s="2331">
        <v>-0.25</v>
      </c>
      <c r="Y515" s="2231" t="e">
        <v>#N/A</v>
      </c>
      <c r="Z515" s="2231" t="e">
        <v>#N/A</v>
      </c>
      <c r="AA515" s="2231" t="e">
        <v>#N/A</v>
      </c>
      <c r="AB515" s="2232" t="e">
        <v>#N/A</v>
      </c>
      <c r="AC515" s="46"/>
      <c r="AE515" s="10"/>
      <c r="AF515" s="248"/>
      <c r="AG515" s="10"/>
      <c r="AH515" s="10"/>
    </row>
    <row r="516" spans="1:43" s="5" customFormat="1" ht="10.15" hidden="1" customHeight="1" x14ac:dyDescent="0.2">
      <c r="A516" s="10" t="s">
        <v>461</v>
      </c>
      <c r="C516" s="40"/>
      <c r="D516" s="52">
        <f>Structure!AY120</f>
        <v>8.875</v>
      </c>
      <c r="E516" s="53">
        <f t="shared" si="19"/>
        <v>1.375</v>
      </c>
      <c r="F516" s="54" t="e">
        <f t="shared" si="20"/>
        <v>#N/A</v>
      </c>
      <c r="J516" s="2581"/>
      <c r="K516" s="2582"/>
      <c r="L516" s="2582"/>
      <c r="M516" s="2583"/>
      <c r="N516" s="1089" t="s">
        <v>1314</v>
      </c>
      <c r="O516" s="1089"/>
      <c r="P516" s="1089"/>
      <c r="Q516" s="1089"/>
      <c r="R516" s="241"/>
      <c r="S516" s="1830" t="s">
        <v>3466</v>
      </c>
      <c r="T516" s="2330">
        <v>-0.125</v>
      </c>
      <c r="U516" s="2331">
        <v>-0.125</v>
      </c>
      <c r="V516" s="2331">
        <v>-0.125</v>
      </c>
      <c r="W516" s="2331">
        <v>-0.125</v>
      </c>
      <c r="X516" s="2331">
        <v>-0.125</v>
      </c>
      <c r="Y516" s="2231" t="e">
        <v>#N/A</v>
      </c>
      <c r="Z516" s="2231" t="e">
        <v>#N/A</v>
      </c>
      <c r="AA516" s="2231" t="e">
        <v>#N/A</v>
      </c>
      <c r="AB516" s="2232" t="e">
        <v>#N/A</v>
      </c>
      <c r="AC516" s="46"/>
      <c r="AE516" s="10"/>
      <c r="AF516" s="248"/>
      <c r="AG516" s="10"/>
      <c r="AH516" s="10"/>
    </row>
    <row r="517" spans="1:43" s="5" customFormat="1" ht="10.15" hidden="1" customHeight="1" x14ac:dyDescent="0.2">
      <c r="A517" s="10" t="s">
        <v>461</v>
      </c>
      <c r="C517" s="40"/>
      <c r="D517" s="52">
        <f>Structure!AY121</f>
        <v>8.75</v>
      </c>
      <c r="E517" s="53">
        <f t="shared" si="19"/>
        <v>1.25</v>
      </c>
      <c r="F517" s="54" t="e">
        <f t="shared" si="20"/>
        <v>#N/A</v>
      </c>
      <c r="J517" s="2581"/>
      <c r="K517" s="2582"/>
      <c r="L517" s="2582"/>
      <c r="M517" s="2583"/>
      <c r="N517" s="1089" t="s">
        <v>1315</v>
      </c>
      <c r="O517" s="1089"/>
      <c r="P517" s="1089"/>
      <c r="Q517" s="1089"/>
      <c r="R517" s="241"/>
      <c r="S517" s="1830" t="s">
        <v>3467</v>
      </c>
      <c r="T517" s="2330">
        <v>0</v>
      </c>
      <c r="U517" s="2331">
        <v>0</v>
      </c>
      <c r="V517" s="2331">
        <v>0</v>
      </c>
      <c r="W517" s="2331">
        <v>0</v>
      </c>
      <c r="X517" s="2331">
        <v>0</v>
      </c>
      <c r="Y517" s="2231" t="e">
        <v>#N/A</v>
      </c>
      <c r="Z517" s="2231" t="e">
        <v>#N/A</v>
      </c>
      <c r="AA517" s="2231" t="e">
        <v>#N/A</v>
      </c>
      <c r="AB517" s="2232" t="e">
        <v>#N/A</v>
      </c>
      <c r="AC517" s="46"/>
      <c r="AE517" s="10"/>
      <c r="AF517" s="248"/>
      <c r="AG517" s="10"/>
      <c r="AH517" s="10"/>
    </row>
    <row r="518" spans="1:43" s="5" customFormat="1" ht="10.15" hidden="1" customHeight="1" x14ac:dyDescent="0.2">
      <c r="A518" s="10" t="s">
        <v>461</v>
      </c>
      <c r="C518" s="40"/>
      <c r="D518" s="52">
        <f>Structure!AY122</f>
        <v>8.625</v>
      </c>
      <c r="E518" s="53">
        <f t="shared" si="19"/>
        <v>1.125</v>
      </c>
      <c r="F518" s="54" t="e">
        <f t="shared" si="20"/>
        <v>#N/A</v>
      </c>
      <c r="J518" s="2581"/>
      <c r="K518" s="2582"/>
      <c r="L518" s="2582"/>
      <c r="M518" s="2583"/>
      <c r="N518" s="1089" t="s">
        <v>1316</v>
      </c>
      <c r="O518" s="1089"/>
      <c r="P518" s="1089"/>
      <c r="Q518" s="1089"/>
      <c r="R518" s="241"/>
      <c r="S518" s="1830" t="s">
        <v>3468</v>
      </c>
      <c r="T518" s="2330">
        <v>0</v>
      </c>
      <c r="U518" s="2331">
        <v>0</v>
      </c>
      <c r="V518" s="2331">
        <v>0</v>
      </c>
      <c r="W518" s="2331">
        <v>0</v>
      </c>
      <c r="X518" s="2331">
        <v>0</v>
      </c>
      <c r="Y518" s="2231" t="e">
        <v>#N/A</v>
      </c>
      <c r="Z518" s="2231" t="e">
        <v>#N/A</v>
      </c>
      <c r="AA518" s="2231" t="e">
        <v>#N/A</v>
      </c>
      <c r="AB518" s="2232" t="e">
        <v>#N/A</v>
      </c>
      <c r="AC518" s="46"/>
      <c r="AE518" s="10"/>
      <c r="AF518" s="248"/>
      <c r="AG518" s="10"/>
      <c r="AH518" s="10"/>
    </row>
    <row r="519" spans="1:43" s="5" customFormat="1" ht="10.15" hidden="1" customHeight="1" x14ac:dyDescent="0.2">
      <c r="A519" s="10" t="s">
        <v>461</v>
      </c>
      <c r="C519" s="40"/>
      <c r="D519" s="52">
        <f>Structure!AY123</f>
        <v>8.5</v>
      </c>
      <c r="E519" s="53">
        <f t="shared" si="19"/>
        <v>1</v>
      </c>
      <c r="F519" s="54" t="e">
        <f t="shared" si="20"/>
        <v>#N/A</v>
      </c>
      <c r="J519" s="2581"/>
      <c r="K519" s="2582"/>
      <c r="L519" s="2582"/>
      <c r="M519" s="2583"/>
      <c r="N519" s="1088" t="s">
        <v>1317</v>
      </c>
      <c r="O519" s="1090"/>
      <c r="P519" s="1090"/>
      <c r="Q519" s="1090"/>
      <c r="R519" s="110"/>
      <c r="S519" s="1830" t="s">
        <v>3469</v>
      </c>
      <c r="T519" s="2322">
        <v>0</v>
      </c>
      <c r="U519" s="2282">
        <v>0</v>
      </c>
      <c r="V519" s="2282">
        <v>0</v>
      </c>
      <c r="W519" s="2282">
        <v>0</v>
      </c>
      <c r="X519" s="2282">
        <v>0</v>
      </c>
      <c r="Y519" s="2057" t="e">
        <v>#N/A</v>
      </c>
      <c r="Z519" s="2057" t="e">
        <v>#N/A</v>
      </c>
      <c r="AA519" s="2057" t="e">
        <v>#N/A</v>
      </c>
      <c r="AB519" s="2214" t="e">
        <v>#N/A</v>
      </c>
      <c r="AC519" s="46"/>
      <c r="AE519" s="10"/>
      <c r="AF519" s="248"/>
      <c r="AG519" s="10"/>
      <c r="AH519" s="10"/>
    </row>
    <row r="520" spans="1:43" s="5" customFormat="1" ht="10.15" hidden="1" customHeight="1" x14ac:dyDescent="0.2">
      <c r="A520" s="10" t="s">
        <v>461</v>
      </c>
      <c r="C520" s="40"/>
      <c r="D520" s="52">
        <f>Structure!AY124</f>
        <v>8.375</v>
      </c>
      <c r="E520" s="53">
        <f t="shared" si="19"/>
        <v>0.875</v>
      </c>
      <c r="F520" s="54" t="e">
        <f t="shared" si="20"/>
        <v>#N/A</v>
      </c>
      <c r="J520" s="2581"/>
      <c r="K520" s="2582"/>
      <c r="L520" s="2582"/>
      <c r="M520" s="2583"/>
      <c r="N520" s="1088" t="s">
        <v>311</v>
      </c>
      <c r="O520" s="1090"/>
      <c r="P520" s="1090"/>
      <c r="Q520" s="1090"/>
      <c r="R520" s="110"/>
      <c r="S520" s="1824" t="s">
        <v>3470</v>
      </c>
      <c r="T520" s="2322">
        <v>0</v>
      </c>
      <c r="U520" s="2282">
        <v>0</v>
      </c>
      <c r="V520" s="2282">
        <v>0</v>
      </c>
      <c r="W520" s="2282">
        <v>0</v>
      </c>
      <c r="X520" s="2282">
        <v>0</v>
      </c>
      <c r="Y520" s="2057" t="e">
        <v>#N/A</v>
      </c>
      <c r="Z520" s="2057" t="e">
        <v>#N/A</v>
      </c>
      <c r="AA520" s="2057" t="e">
        <v>#N/A</v>
      </c>
      <c r="AB520" s="2214" t="e">
        <v>#N/A</v>
      </c>
      <c r="AC520" s="46"/>
      <c r="AE520" s="10"/>
      <c r="AF520" s="248"/>
      <c r="AG520" s="10"/>
      <c r="AH520" s="10"/>
    </row>
    <row r="521" spans="1:43" s="5" customFormat="1" ht="10.15" hidden="1" customHeight="1" x14ac:dyDescent="0.2">
      <c r="A521" s="10" t="s">
        <v>461</v>
      </c>
      <c r="C521" s="40"/>
      <c r="D521" s="52">
        <f>Structure!AY125</f>
        <v>8.25</v>
      </c>
      <c r="E521" s="53">
        <f t="shared" si="19"/>
        <v>0.75</v>
      </c>
      <c r="F521" s="54" t="e">
        <f t="shared" si="20"/>
        <v>#N/A</v>
      </c>
      <c r="J521" s="2581"/>
      <c r="K521" s="2582"/>
      <c r="L521" s="2582"/>
      <c r="M521" s="2583"/>
      <c r="N521" s="1088" t="s">
        <v>3820</v>
      </c>
      <c r="O521" s="1090"/>
      <c r="P521" s="1090"/>
      <c r="Q521" s="1090"/>
      <c r="R521" s="110"/>
      <c r="S521" s="1824" t="s">
        <v>3471</v>
      </c>
      <c r="T521" s="2322">
        <v>0</v>
      </c>
      <c r="U521" s="2282">
        <v>0</v>
      </c>
      <c r="V521" s="2282">
        <v>0</v>
      </c>
      <c r="W521" s="2282">
        <v>0</v>
      </c>
      <c r="X521" s="2282">
        <v>0</v>
      </c>
      <c r="Y521" s="2057" t="e">
        <v>#N/A</v>
      </c>
      <c r="Z521" s="2057" t="e">
        <v>#N/A</v>
      </c>
      <c r="AA521" s="2057" t="e">
        <v>#N/A</v>
      </c>
      <c r="AB521" s="2214" t="e">
        <v>#N/A</v>
      </c>
      <c r="AC521" s="46"/>
      <c r="AE521" s="10"/>
      <c r="AF521" s="248"/>
      <c r="AG521" s="10"/>
      <c r="AH521" s="10"/>
    </row>
    <row r="522" spans="1:43" ht="10.15" hidden="1" customHeight="1" x14ac:dyDescent="0.25">
      <c r="A522" s="10" t="s">
        <v>463</v>
      </c>
      <c r="C522" s="40"/>
      <c r="D522" s="52">
        <f>Structure!AY126</f>
        <v>8.125</v>
      </c>
      <c r="E522" s="53">
        <f t="shared" si="19"/>
        <v>0.625</v>
      </c>
      <c r="F522" s="54" t="e">
        <f t="shared" si="20"/>
        <v>#N/A</v>
      </c>
      <c r="G522" s="5"/>
      <c r="H522" s="5"/>
      <c r="I522" s="5"/>
      <c r="J522" s="2581"/>
      <c r="K522" s="2582"/>
      <c r="L522" s="2582"/>
      <c r="M522" s="2583"/>
      <c r="N522" s="1088" t="s">
        <v>2681</v>
      </c>
      <c r="O522" s="1090"/>
      <c r="P522" s="1090"/>
      <c r="Q522" s="1090"/>
      <c r="R522" s="110"/>
      <c r="S522" s="1824" t="s">
        <v>3472</v>
      </c>
      <c r="T522" s="2213" t="e">
        <v>#N/A</v>
      </c>
      <c r="U522" s="2057" t="e">
        <v>#N/A</v>
      </c>
      <c r="V522" s="2057" t="e">
        <v>#N/A</v>
      </c>
      <c r="W522" s="2057" t="e">
        <v>#N/A</v>
      </c>
      <c r="X522" s="2057" t="e">
        <v>#N/A</v>
      </c>
      <c r="Y522" s="2057" t="e">
        <v>#N/A</v>
      </c>
      <c r="Z522" s="2057" t="e">
        <v>#N/A</v>
      </c>
      <c r="AA522" s="2057" t="e">
        <v>#N/A</v>
      </c>
      <c r="AB522" s="2214" t="e">
        <v>#N/A</v>
      </c>
      <c r="AC522" s="46"/>
      <c r="AF522" s="248"/>
      <c r="AK522"/>
      <c r="AL522"/>
      <c r="AM522"/>
      <c r="AN522"/>
      <c r="AO522"/>
      <c r="AP522"/>
      <c r="AQ522"/>
    </row>
    <row r="523" spans="1:43" ht="10.15" hidden="1" customHeight="1" x14ac:dyDescent="0.25">
      <c r="A523" s="10" t="s">
        <v>463</v>
      </c>
      <c r="C523" s="40"/>
      <c r="D523" s="52">
        <f>Structure!AY127</f>
        <v>8</v>
      </c>
      <c r="E523" s="53">
        <f t="shared" si="19"/>
        <v>0.5</v>
      </c>
      <c r="F523" s="54" t="e">
        <f t="shared" si="20"/>
        <v>#N/A</v>
      </c>
      <c r="G523" s="5"/>
      <c r="H523" s="5"/>
      <c r="I523" s="5"/>
      <c r="J523" s="2581"/>
      <c r="K523" s="2582"/>
      <c r="L523" s="2582"/>
      <c r="M523" s="2583"/>
      <c r="N523" s="1088" t="s">
        <v>13</v>
      </c>
      <c r="O523" s="1090"/>
      <c r="P523" s="1090"/>
      <c r="Q523" s="1090"/>
      <c r="R523" s="110"/>
      <c r="S523" s="1824" t="s">
        <v>3473</v>
      </c>
      <c r="T523" s="2213" t="e">
        <v>#N/A</v>
      </c>
      <c r="U523" s="2057" t="e">
        <v>#N/A</v>
      </c>
      <c r="V523" s="2057" t="e">
        <v>#N/A</v>
      </c>
      <c r="W523" s="2057" t="e">
        <v>#N/A</v>
      </c>
      <c r="X523" s="2057" t="e">
        <v>#N/A</v>
      </c>
      <c r="Y523" s="2057" t="e">
        <v>#N/A</v>
      </c>
      <c r="Z523" s="2057" t="e">
        <v>#N/A</v>
      </c>
      <c r="AA523" s="2057" t="e">
        <v>#N/A</v>
      </c>
      <c r="AB523" s="2214" t="e">
        <v>#N/A</v>
      </c>
      <c r="AC523" s="46"/>
      <c r="AF523" s="248"/>
      <c r="AK523"/>
      <c r="AL523"/>
      <c r="AM523"/>
      <c r="AN523"/>
      <c r="AO523"/>
      <c r="AP523"/>
      <c r="AQ523"/>
    </row>
    <row r="524" spans="1:43" s="5" customFormat="1" ht="10.15" hidden="1" customHeight="1" x14ac:dyDescent="0.2">
      <c r="A524" s="10" t="s">
        <v>463</v>
      </c>
      <c r="C524" s="40"/>
      <c r="J524" s="2581"/>
      <c r="K524" s="2582"/>
      <c r="L524" s="2582"/>
      <c r="M524" s="2583"/>
      <c r="N524" s="1088" t="s">
        <v>89</v>
      </c>
      <c r="O524" s="1090"/>
      <c r="P524" s="1090"/>
      <c r="Q524" s="1090"/>
      <c r="R524" s="110"/>
      <c r="S524" s="1824" t="s">
        <v>3474</v>
      </c>
      <c r="T524" s="2213" t="e">
        <v>#N/A</v>
      </c>
      <c r="U524" s="2057" t="e">
        <v>#N/A</v>
      </c>
      <c r="V524" s="2057" t="e">
        <v>#N/A</v>
      </c>
      <c r="W524" s="2057" t="e">
        <v>#N/A</v>
      </c>
      <c r="X524" s="2057" t="e">
        <v>#N/A</v>
      </c>
      <c r="Y524" s="2057" t="e">
        <v>#N/A</v>
      </c>
      <c r="Z524" s="2057" t="e">
        <v>#N/A</v>
      </c>
      <c r="AA524" s="2057" t="e">
        <v>#N/A</v>
      </c>
      <c r="AB524" s="2214" t="e">
        <v>#N/A</v>
      </c>
      <c r="AC524" s="46"/>
      <c r="AE524" s="10"/>
      <c r="AF524" s="248"/>
      <c r="AG524" s="10"/>
      <c r="AH524" s="10"/>
    </row>
    <row r="525" spans="1:43" s="5" customFormat="1" ht="10.15" hidden="1" customHeight="1" x14ac:dyDescent="0.2">
      <c r="A525" s="10" t="s">
        <v>463</v>
      </c>
      <c r="C525" s="40"/>
      <c r="J525" s="2581"/>
      <c r="K525" s="2582"/>
      <c r="L525" s="2582"/>
      <c r="M525" s="2583"/>
      <c r="N525" s="1088" t="s">
        <v>86</v>
      </c>
      <c r="O525" s="1090"/>
      <c r="P525" s="1090"/>
      <c r="Q525" s="1090"/>
      <c r="R525" s="110"/>
      <c r="S525" s="1824" t="s">
        <v>3475</v>
      </c>
      <c r="T525" s="2213" t="e">
        <v>#N/A</v>
      </c>
      <c r="U525" s="2057" t="e">
        <v>#N/A</v>
      </c>
      <c r="V525" s="2057" t="e">
        <v>#N/A</v>
      </c>
      <c r="W525" s="2057" t="e">
        <v>#N/A</v>
      </c>
      <c r="X525" s="2057" t="e">
        <v>#N/A</v>
      </c>
      <c r="Y525" s="2057" t="e">
        <v>#N/A</v>
      </c>
      <c r="Z525" s="2057" t="e">
        <v>#N/A</v>
      </c>
      <c r="AA525" s="2057" t="e">
        <v>#N/A</v>
      </c>
      <c r="AB525" s="2214" t="e">
        <v>#N/A</v>
      </c>
      <c r="AC525" s="46"/>
      <c r="AE525" s="10"/>
      <c r="AF525" s="248"/>
      <c r="AG525" s="10"/>
      <c r="AH525" s="10"/>
    </row>
    <row r="526" spans="1:43" s="5" customFormat="1" ht="10.15" hidden="1" customHeight="1" x14ac:dyDescent="0.2">
      <c r="A526" s="10" t="s">
        <v>463</v>
      </c>
      <c r="C526" s="40"/>
      <c r="J526" s="2581"/>
      <c r="K526" s="2582"/>
      <c r="L526" s="2582"/>
      <c r="M526" s="2583"/>
      <c r="N526" s="1088" t="s">
        <v>87</v>
      </c>
      <c r="O526" s="1090"/>
      <c r="P526" s="1090"/>
      <c r="Q526" s="1090"/>
      <c r="R526" s="110"/>
      <c r="S526" s="1824" t="s">
        <v>3476</v>
      </c>
      <c r="T526" s="2213" t="e">
        <v>#N/A</v>
      </c>
      <c r="U526" s="2057" t="e">
        <v>#N/A</v>
      </c>
      <c r="V526" s="2057" t="e">
        <v>#N/A</v>
      </c>
      <c r="W526" s="2057" t="e">
        <v>#N/A</v>
      </c>
      <c r="X526" s="2057" t="e">
        <v>#N/A</v>
      </c>
      <c r="Y526" s="2057" t="e">
        <v>#N/A</v>
      </c>
      <c r="Z526" s="2057" t="e">
        <v>#N/A</v>
      </c>
      <c r="AA526" s="2057" t="e">
        <v>#N/A</v>
      </c>
      <c r="AB526" s="2214" t="e">
        <v>#N/A</v>
      </c>
      <c r="AC526" s="46"/>
      <c r="AE526" s="10"/>
      <c r="AF526" s="248"/>
      <c r="AG526" s="10"/>
      <c r="AH526" s="10"/>
    </row>
    <row r="527" spans="1:43" s="5" customFormat="1" ht="10.15" hidden="1" customHeight="1" x14ac:dyDescent="0.2">
      <c r="A527" s="10" t="s">
        <v>463</v>
      </c>
      <c r="C527" s="40"/>
      <c r="J527" s="2581"/>
      <c r="K527" s="2582"/>
      <c r="L527" s="2582"/>
      <c r="M527" s="2583"/>
      <c r="N527" s="1088" t="s">
        <v>145</v>
      </c>
      <c r="O527" s="1090"/>
      <c r="P527" s="1090"/>
      <c r="Q527" s="1090"/>
      <c r="R527" s="110"/>
      <c r="S527" s="1824" t="s">
        <v>3477</v>
      </c>
      <c r="T527" s="2213" t="e">
        <v>#N/A</v>
      </c>
      <c r="U527" s="2057" t="e">
        <v>#N/A</v>
      </c>
      <c r="V527" s="2057" t="e">
        <v>#N/A</v>
      </c>
      <c r="W527" s="2057" t="e">
        <v>#N/A</v>
      </c>
      <c r="X527" s="2057" t="e">
        <v>#N/A</v>
      </c>
      <c r="Y527" s="2057" t="e">
        <v>#N/A</v>
      </c>
      <c r="Z527" s="2057" t="e">
        <v>#N/A</v>
      </c>
      <c r="AA527" s="2057" t="e">
        <v>#N/A</v>
      </c>
      <c r="AB527" s="2214" t="e">
        <v>#N/A</v>
      </c>
      <c r="AC527" s="46"/>
      <c r="AE527" s="10"/>
      <c r="AF527" s="248"/>
      <c r="AG527" s="10"/>
      <c r="AH527" s="10"/>
    </row>
    <row r="528" spans="1:43" s="5" customFormat="1" ht="10.15" hidden="1" customHeight="1" x14ac:dyDescent="0.2">
      <c r="A528" s="10" t="s">
        <v>463</v>
      </c>
      <c r="C528" s="40"/>
      <c r="J528" s="2581"/>
      <c r="K528" s="2582"/>
      <c r="L528" s="2582"/>
      <c r="M528" s="2583"/>
      <c r="N528" s="1088" t="s">
        <v>146</v>
      </c>
      <c r="O528" s="1090"/>
      <c r="P528" s="1090"/>
      <c r="Q528" s="1090"/>
      <c r="R528" s="110"/>
      <c r="S528" s="1824" t="s">
        <v>3478</v>
      </c>
      <c r="T528" s="2213" t="e">
        <v>#N/A</v>
      </c>
      <c r="U528" s="2057" t="e">
        <v>#N/A</v>
      </c>
      <c r="V528" s="2057" t="e">
        <v>#N/A</v>
      </c>
      <c r="W528" s="2057" t="e">
        <v>#N/A</v>
      </c>
      <c r="X528" s="2057" t="e">
        <v>#N/A</v>
      </c>
      <c r="Y528" s="2057" t="e">
        <v>#N/A</v>
      </c>
      <c r="Z528" s="2057" t="e">
        <v>#N/A</v>
      </c>
      <c r="AA528" s="2057" t="e">
        <v>#N/A</v>
      </c>
      <c r="AB528" s="2214" t="e">
        <v>#N/A</v>
      </c>
      <c r="AC528" s="46"/>
      <c r="AE528" s="10"/>
      <c r="AF528" s="248"/>
      <c r="AG528" s="10"/>
      <c r="AH528" s="10"/>
    </row>
    <row r="529" spans="1:34" s="5" customFormat="1" ht="10.15" hidden="1" customHeight="1" x14ac:dyDescent="0.2">
      <c r="A529" s="10" t="s">
        <v>463</v>
      </c>
      <c r="C529" s="40"/>
      <c r="J529" s="2581"/>
      <c r="K529" s="2582"/>
      <c r="L529" s="2582"/>
      <c r="M529" s="2583"/>
      <c r="N529" s="1088" t="s">
        <v>124</v>
      </c>
      <c r="O529" s="1090"/>
      <c r="P529" s="1090"/>
      <c r="Q529" s="1090"/>
      <c r="R529" s="110"/>
      <c r="S529" s="1824" t="s">
        <v>3479</v>
      </c>
      <c r="T529" s="2213" t="e">
        <v>#N/A</v>
      </c>
      <c r="U529" s="2057" t="e">
        <v>#N/A</v>
      </c>
      <c r="V529" s="2057" t="e">
        <v>#N/A</v>
      </c>
      <c r="W529" s="2057" t="e">
        <v>#N/A</v>
      </c>
      <c r="X529" s="2057" t="e">
        <v>#N/A</v>
      </c>
      <c r="Y529" s="2057" t="e">
        <v>#N/A</v>
      </c>
      <c r="Z529" s="2057" t="e">
        <v>#N/A</v>
      </c>
      <c r="AA529" s="2057" t="e">
        <v>#N/A</v>
      </c>
      <c r="AB529" s="2214" t="e">
        <v>#N/A</v>
      </c>
      <c r="AC529" s="46"/>
      <c r="AE529" s="10"/>
      <c r="AF529" s="248"/>
      <c r="AG529" s="10"/>
      <c r="AH529" s="10"/>
    </row>
    <row r="530" spans="1:34" s="5" customFormat="1" ht="10.15" hidden="1" customHeight="1" x14ac:dyDescent="0.2">
      <c r="A530" s="10" t="s">
        <v>463</v>
      </c>
      <c r="C530" s="40"/>
      <c r="J530" s="2581"/>
      <c r="K530" s="2582"/>
      <c r="L530" s="2582"/>
      <c r="M530" s="2583"/>
      <c r="N530" s="1088" t="s">
        <v>230</v>
      </c>
      <c r="O530" s="1090"/>
      <c r="P530" s="1090"/>
      <c r="Q530" s="1090"/>
      <c r="R530" s="110"/>
      <c r="S530" s="1824" t="s">
        <v>3480</v>
      </c>
      <c r="T530" s="2213" t="e">
        <v>#N/A</v>
      </c>
      <c r="U530" s="2057" t="e">
        <v>#N/A</v>
      </c>
      <c r="V530" s="2057" t="e">
        <v>#N/A</v>
      </c>
      <c r="W530" s="2057" t="e">
        <v>#N/A</v>
      </c>
      <c r="X530" s="2057" t="e">
        <v>#N/A</v>
      </c>
      <c r="Y530" s="2057" t="e">
        <v>#N/A</v>
      </c>
      <c r="Z530" s="2057" t="e">
        <v>#N/A</v>
      </c>
      <c r="AA530" s="2057" t="e">
        <v>#N/A</v>
      </c>
      <c r="AB530" s="2214" t="e">
        <v>#N/A</v>
      </c>
      <c r="AC530" s="46"/>
      <c r="AE530" s="10"/>
      <c r="AF530" s="248"/>
      <c r="AG530" s="10"/>
      <c r="AH530" s="10"/>
    </row>
    <row r="531" spans="1:34" s="5" customFormat="1" ht="10.15" hidden="1" customHeight="1" x14ac:dyDescent="0.2">
      <c r="A531" s="10" t="s">
        <v>463</v>
      </c>
      <c r="C531" s="40"/>
      <c r="J531" s="2581"/>
      <c r="K531" s="2582"/>
      <c r="L531" s="2582"/>
      <c r="M531" s="2583"/>
      <c r="N531" s="1088" t="s">
        <v>231</v>
      </c>
      <c r="O531" s="1090"/>
      <c r="P531" s="1090"/>
      <c r="Q531" s="1090"/>
      <c r="R531" s="110"/>
      <c r="S531" s="1825" t="s">
        <v>3481</v>
      </c>
      <c r="T531" s="2213" t="e">
        <v>#N/A</v>
      </c>
      <c r="U531" s="2057" t="e">
        <v>#N/A</v>
      </c>
      <c r="V531" s="2057" t="e">
        <v>#N/A</v>
      </c>
      <c r="W531" s="2057" t="e">
        <v>#N/A</v>
      </c>
      <c r="X531" s="2057" t="e">
        <v>#N/A</v>
      </c>
      <c r="Y531" s="2057" t="e">
        <v>#N/A</v>
      </c>
      <c r="Z531" s="2057" t="e">
        <v>#N/A</v>
      </c>
      <c r="AA531" s="2057" t="e">
        <v>#N/A</v>
      </c>
      <c r="AB531" s="2214" t="e">
        <v>#N/A</v>
      </c>
      <c r="AC531" s="46"/>
      <c r="AE531" s="10"/>
      <c r="AF531" s="248"/>
      <c r="AG531" s="10"/>
      <c r="AH531" s="10"/>
    </row>
    <row r="532" spans="1:34" s="5" customFormat="1" ht="10.15" hidden="1" customHeight="1" x14ac:dyDescent="0.2">
      <c r="A532" s="10" t="s">
        <v>463</v>
      </c>
      <c r="C532" s="40"/>
      <c r="J532" s="2581"/>
      <c r="K532" s="2582"/>
      <c r="L532" s="2582"/>
      <c r="M532" s="2583"/>
      <c r="N532" s="1088" t="s">
        <v>232</v>
      </c>
      <c r="O532" s="1090"/>
      <c r="P532" s="1090"/>
      <c r="Q532" s="1090"/>
      <c r="R532" s="110"/>
      <c r="S532" s="1825" t="s">
        <v>3482</v>
      </c>
      <c r="T532" s="2213" t="e">
        <v>#N/A</v>
      </c>
      <c r="U532" s="2057" t="e">
        <v>#N/A</v>
      </c>
      <c r="V532" s="2057" t="e">
        <v>#N/A</v>
      </c>
      <c r="W532" s="2057" t="e">
        <v>#N/A</v>
      </c>
      <c r="X532" s="2057" t="e">
        <v>#N/A</v>
      </c>
      <c r="Y532" s="2057" t="e">
        <v>#N/A</v>
      </c>
      <c r="Z532" s="2057" t="e">
        <v>#N/A</v>
      </c>
      <c r="AA532" s="2057" t="e">
        <v>#N/A</v>
      </c>
      <c r="AB532" s="2214" t="e">
        <v>#N/A</v>
      </c>
      <c r="AC532" s="46"/>
      <c r="AE532" s="10"/>
      <c r="AF532" s="248"/>
      <c r="AG532" s="10"/>
      <c r="AH532" s="10"/>
    </row>
    <row r="533" spans="1:34" s="5" customFormat="1" ht="10.15" hidden="1" customHeight="1" x14ac:dyDescent="0.2">
      <c r="A533" s="10" t="s">
        <v>463</v>
      </c>
      <c r="C533" s="40"/>
      <c r="J533" s="2584"/>
      <c r="K533" s="2585"/>
      <c r="L533" s="2585"/>
      <c r="M533" s="2586"/>
      <c r="N533" s="1111" t="s">
        <v>229</v>
      </c>
      <c r="O533" s="1132"/>
      <c r="P533" s="1132"/>
      <c r="Q533" s="1132"/>
      <c r="R533" s="111"/>
      <c r="S533" s="1831" t="s">
        <v>3483</v>
      </c>
      <c r="T533" s="2215" t="e">
        <v>#N/A</v>
      </c>
      <c r="U533" s="2060" t="e">
        <v>#N/A</v>
      </c>
      <c r="V533" s="2060" t="e">
        <v>#N/A</v>
      </c>
      <c r="W533" s="2060" t="e">
        <v>#N/A</v>
      </c>
      <c r="X533" s="2060" t="e">
        <v>#N/A</v>
      </c>
      <c r="Y533" s="2060" t="e">
        <v>#N/A</v>
      </c>
      <c r="Z533" s="2060" t="e">
        <v>#N/A</v>
      </c>
      <c r="AA533" s="2060" t="e">
        <v>#N/A</v>
      </c>
      <c r="AB533" s="2216" t="e">
        <v>#N/A</v>
      </c>
      <c r="AC533" s="46"/>
      <c r="AE533" s="10"/>
      <c r="AF533" s="248"/>
      <c r="AG533" s="10"/>
      <c r="AH533" s="10"/>
    </row>
    <row r="534" spans="1:34" s="5" customFormat="1" ht="10.15" hidden="1" customHeight="1" x14ac:dyDescent="0.2">
      <c r="A534" s="10" t="s">
        <v>463</v>
      </c>
      <c r="C534" s="40"/>
      <c r="J534" s="2578" t="s">
        <v>14</v>
      </c>
      <c r="K534" s="2579"/>
      <c r="L534" s="2579"/>
      <c r="M534" s="2580"/>
      <c r="N534" s="1112" t="s">
        <v>112</v>
      </c>
      <c r="O534" s="1150"/>
      <c r="P534" s="1150"/>
      <c r="Q534" s="1150"/>
      <c r="R534" s="1812"/>
      <c r="S534" s="1832" t="s">
        <v>3484</v>
      </c>
      <c r="T534" s="2351">
        <v>0</v>
      </c>
      <c r="U534" s="2352">
        <v>0</v>
      </c>
      <c r="V534" s="2352">
        <v>0</v>
      </c>
      <c r="W534" s="2352">
        <v>0</v>
      </c>
      <c r="X534" s="2352">
        <v>0</v>
      </c>
      <c r="Y534" s="1790" t="e">
        <v>#N/A</v>
      </c>
      <c r="Z534" s="1790" t="e">
        <v>#N/A</v>
      </c>
      <c r="AA534" s="1790" t="e">
        <v>#N/A</v>
      </c>
      <c r="AB534" s="2233" t="e">
        <v>#N/A</v>
      </c>
      <c r="AC534" s="46"/>
      <c r="AE534" s="10"/>
      <c r="AF534" s="248"/>
      <c r="AG534" s="10"/>
      <c r="AH534" s="10"/>
    </row>
    <row r="535" spans="1:34" s="5" customFormat="1" ht="10.15" hidden="1" customHeight="1" x14ac:dyDescent="0.2">
      <c r="A535" s="10" t="s">
        <v>461</v>
      </c>
      <c r="C535" s="40"/>
      <c r="J535" s="2581"/>
      <c r="K535" s="2582"/>
      <c r="L535" s="2582"/>
      <c r="M535" s="2583"/>
      <c r="N535" s="1113" t="s">
        <v>32</v>
      </c>
      <c r="O535" s="1110"/>
      <c r="P535" s="1110"/>
      <c r="Q535" s="1110"/>
      <c r="R535" s="1811"/>
      <c r="S535" s="1832" t="s">
        <v>3485</v>
      </c>
      <c r="T535" s="2320">
        <v>0</v>
      </c>
      <c r="U535" s="2276">
        <v>0</v>
      </c>
      <c r="V535" s="2276">
        <v>0</v>
      </c>
      <c r="W535" s="2276">
        <v>0</v>
      </c>
      <c r="X535" s="2276">
        <v>0</v>
      </c>
      <c r="Y535" s="2063" t="e">
        <v>#N/A</v>
      </c>
      <c r="Z535" s="2063" t="e">
        <v>#N/A</v>
      </c>
      <c r="AA535" s="2063" t="e">
        <v>#N/A</v>
      </c>
      <c r="AB535" s="2212" t="e">
        <v>#N/A</v>
      </c>
      <c r="AC535" s="46"/>
      <c r="AE535" s="10"/>
      <c r="AF535" s="248"/>
      <c r="AG535" s="10"/>
      <c r="AH535" s="10"/>
    </row>
    <row r="536" spans="1:34" s="5" customFormat="1" ht="10.15" hidden="1" customHeight="1" x14ac:dyDescent="0.2">
      <c r="A536" s="10" t="s">
        <v>461</v>
      </c>
      <c r="C536" s="40"/>
      <c r="J536" s="2581"/>
      <c r="K536" s="2582"/>
      <c r="L536" s="2582"/>
      <c r="M536" s="2583"/>
      <c r="N536" s="1088" t="s">
        <v>1549</v>
      </c>
      <c r="O536" s="1090"/>
      <c r="P536" s="1090"/>
      <c r="Q536" s="1090"/>
      <c r="R536" s="110"/>
      <c r="S536" s="1824" t="s">
        <v>3486</v>
      </c>
      <c r="T536" s="2322">
        <v>-0.125</v>
      </c>
      <c r="U536" s="2282">
        <v>-0.125</v>
      </c>
      <c r="V536" s="2282">
        <v>-0.125</v>
      </c>
      <c r="W536" s="2282">
        <v>-0.125</v>
      </c>
      <c r="X536" s="2209">
        <v>-0.125</v>
      </c>
      <c r="Y536" s="2067" t="e">
        <v>#N/A</v>
      </c>
      <c r="Z536" s="2067" t="e">
        <v>#N/A</v>
      </c>
      <c r="AA536" s="2067" t="e">
        <v>#N/A</v>
      </c>
      <c r="AB536" s="2220" t="e">
        <v>#N/A</v>
      </c>
      <c r="AC536" s="46"/>
      <c r="AE536" s="10"/>
      <c r="AF536" s="248"/>
      <c r="AG536" s="10"/>
      <c r="AH536" s="10"/>
    </row>
    <row r="537" spans="1:34" s="5" customFormat="1" ht="10.15" hidden="1" customHeight="1" x14ac:dyDescent="0.2">
      <c r="A537" s="10" t="s">
        <v>461</v>
      </c>
      <c r="C537" s="40"/>
      <c r="J537" s="2581"/>
      <c r="K537" s="2582"/>
      <c r="L537" s="2582"/>
      <c r="M537" s="2583"/>
      <c r="N537" s="1088" t="s">
        <v>1550</v>
      </c>
      <c r="O537" s="1090"/>
      <c r="P537" s="1090"/>
      <c r="Q537" s="1090"/>
      <c r="R537" s="110"/>
      <c r="S537" s="1824" t="s">
        <v>3487</v>
      </c>
      <c r="T537" s="2322">
        <v>-0.375</v>
      </c>
      <c r="U537" s="2282">
        <v>-0.375</v>
      </c>
      <c r="V537" s="2282">
        <v>-0.375</v>
      </c>
      <c r="W537" s="2282">
        <v>-0.375</v>
      </c>
      <c r="X537" s="2209">
        <v>-0.375</v>
      </c>
      <c r="Y537" s="2067" t="e">
        <v>#N/A</v>
      </c>
      <c r="Z537" s="2067" t="e">
        <v>#N/A</v>
      </c>
      <c r="AA537" s="2067" t="e">
        <v>#N/A</v>
      </c>
      <c r="AB537" s="2220" t="e">
        <v>#N/A</v>
      </c>
      <c r="AC537" s="46"/>
      <c r="AE537" s="10"/>
      <c r="AF537" s="248"/>
      <c r="AG537" s="10"/>
      <c r="AH537" s="10"/>
    </row>
    <row r="538" spans="1:34" s="5" customFormat="1" ht="10.15" hidden="1" customHeight="1" x14ac:dyDescent="0.2">
      <c r="A538" s="10" t="s">
        <v>463</v>
      </c>
      <c r="C538" s="40"/>
      <c r="J538" s="2584"/>
      <c r="K538" s="2585"/>
      <c r="L538" s="2585"/>
      <c r="M538" s="2586"/>
      <c r="N538" s="1111" t="s">
        <v>15</v>
      </c>
      <c r="O538" s="1132"/>
      <c r="P538" s="1132"/>
      <c r="Q538" s="1132"/>
      <c r="R538" s="111"/>
      <c r="S538" s="1831" t="s">
        <v>3488</v>
      </c>
      <c r="T538" s="2215" t="e">
        <v>#N/A</v>
      </c>
      <c r="U538" s="2060" t="e">
        <v>#N/A</v>
      </c>
      <c r="V538" s="2060" t="e">
        <v>#N/A</v>
      </c>
      <c r="W538" s="2060" t="e">
        <v>#N/A</v>
      </c>
      <c r="X538" s="2060" t="e">
        <v>#N/A</v>
      </c>
      <c r="Y538" s="2060" t="e">
        <v>#N/A</v>
      </c>
      <c r="Z538" s="2060" t="e">
        <v>#N/A</v>
      </c>
      <c r="AA538" s="2060" t="e">
        <v>#N/A</v>
      </c>
      <c r="AB538" s="2216" t="e">
        <v>#N/A</v>
      </c>
      <c r="AC538" s="46"/>
      <c r="AE538" s="10"/>
      <c r="AF538" s="248"/>
      <c r="AG538" s="10"/>
      <c r="AH538" s="10"/>
    </row>
    <row r="539" spans="1:34" s="5" customFormat="1" ht="10.15" hidden="1" customHeight="1" x14ac:dyDescent="0.2">
      <c r="A539" s="10" t="s">
        <v>463</v>
      </c>
      <c r="C539" s="40"/>
      <c r="J539" s="2575" t="s">
        <v>62</v>
      </c>
      <c r="K539" s="2576"/>
      <c r="L539" s="2576"/>
      <c r="M539" s="2577"/>
      <c r="N539" s="1114" t="s">
        <v>99</v>
      </c>
      <c r="O539" s="1151"/>
      <c r="P539" s="1151"/>
      <c r="Q539" s="1151"/>
      <c r="R539" s="1813"/>
      <c r="S539" s="1833" t="s">
        <v>3489</v>
      </c>
      <c r="T539" s="2351">
        <v>0</v>
      </c>
      <c r="U539" s="2352">
        <v>0</v>
      </c>
      <c r="V539" s="2352">
        <v>0</v>
      </c>
      <c r="W539" s="2352">
        <v>0</v>
      </c>
      <c r="X539" s="2352">
        <v>0</v>
      </c>
      <c r="Y539" s="1803" t="e">
        <v>#N/A</v>
      </c>
      <c r="Z539" s="1803" t="e">
        <v>#N/A</v>
      </c>
      <c r="AA539" s="1803" t="e">
        <v>#N/A</v>
      </c>
      <c r="AB539" s="2234" t="e">
        <v>#N/A</v>
      </c>
      <c r="AC539" s="46"/>
      <c r="AE539" s="10"/>
      <c r="AF539" s="248"/>
      <c r="AG539" s="10"/>
      <c r="AH539" s="10"/>
    </row>
    <row r="540" spans="1:34" s="5" customFormat="1" ht="10.15" hidden="1" customHeight="1" x14ac:dyDescent="0.2">
      <c r="A540" s="10" t="s">
        <v>461</v>
      </c>
      <c r="C540" s="40"/>
      <c r="D540" s="4" t="s">
        <v>289</v>
      </c>
      <c r="J540" s="2578" t="s">
        <v>33</v>
      </c>
      <c r="K540" s="2579"/>
      <c r="L540" s="2579"/>
      <c r="M540" s="2580"/>
      <c r="N540" s="1115" t="s">
        <v>34</v>
      </c>
      <c r="O540" s="1133"/>
      <c r="P540" s="1133"/>
      <c r="Q540" s="1133"/>
      <c r="R540" s="112"/>
      <c r="S540" s="1834" t="s">
        <v>3490</v>
      </c>
      <c r="T540" s="2320">
        <v>0</v>
      </c>
      <c r="U540" s="2276">
        <v>0</v>
      </c>
      <c r="V540" s="2276">
        <v>0</v>
      </c>
      <c r="W540" s="2276">
        <v>0</v>
      </c>
      <c r="X540" s="2276">
        <v>0</v>
      </c>
      <c r="Y540" s="2063" t="e">
        <v>#N/A</v>
      </c>
      <c r="Z540" s="2063" t="e">
        <v>#N/A</v>
      </c>
      <c r="AA540" s="2063" t="e">
        <v>#N/A</v>
      </c>
      <c r="AB540" s="2212" t="e">
        <v>#N/A</v>
      </c>
      <c r="AC540" s="46"/>
      <c r="AE540" s="10"/>
      <c r="AF540" s="248"/>
      <c r="AG540" s="10"/>
      <c r="AH540" s="10"/>
    </row>
    <row r="541" spans="1:34" s="5" customFormat="1" ht="10.15" hidden="1" customHeight="1" x14ac:dyDescent="0.2">
      <c r="A541" s="10" t="s">
        <v>461</v>
      </c>
      <c r="C541" s="40"/>
      <c r="D541" s="6" t="s">
        <v>258</v>
      </c>
      <c r="E541" s="7"/>
      <c r="F541" s="68" t="e">
        <f>Input_PL_MaxPriceFinal_IH_NoPP</f>
        <v>#N/A</v>
      </c>
      <c r="J541" s="2581"/>
      <c r="K541" s="2582"/>
      <c r="L541" s="2582"/>
      <c r="M541" s="2583"/>
      <c r="N541" s="1095" t="s">
        <v>35</v>
      </c>
      <c r="O541" s="1091"/>
      <c r="P541" s="1091"/>
      <c r="Q541" s="1091"/>
      <c r="R541" s="113"/>
      <c r="S541" s="1835" t="s">
        <v>3491</v>
      </c>
      <c r="T541" s="2322">
        <v>0</v>
      </c>
      <c r="U541" s="2282">
        <v>0</v>
      </c>
      <c r="V541" s="2282">
        <v>0</v>
      </c>
      <c r="W541" s="2282">
        <v>0</v>
      </c>
      <c r="X541" s="2282">
        <v>0</v>
      </c>
      <c r="Y541" s="2057" t="e">
        <v>#N/A</v>
      </c>
      <c r="Z541" s="2057" t="e">
        <v>#N/A</v>
      </c>
      <c r="AA541" s="2057" t="e">
        <v>#N/A</v>
      </c>
      <c r="AB541" s="2214" t="e">
        <v>#N/A</v>
      </c>
      <c r="AC541" s="46"/>
      <c r="AE541" s="10"/>
      <c r="AF541" s="248"/>
      <c r="AG541" s="10"/>
      <c r="AH541" s="10"/>
    </row>
    <row r="542" spans="1:34" s="5" customFormat="1" ht="10.15" hidden="1" customHeight="1" x14ac:dyDescent="0.2">
      <c r="A542" s="10" t="s">
        <v>461</v>
      </c>
      <c r="C542" s="40"/>
      <c r="J542" s="2584"/>
      <c r="K542" s="2585"/>
      <c r="L542" s="2585"/>
      <c r="M542" s="2586"/>
      <c r="N542" s="1116" t="s">
        <v>16</v>
      </c>
      <c r="O542" s="1096"/>
      <c r="P542" s="1096"/>
      <c r="Q542" s="1096"/>
      <c r="R542" s="114"/>
      <c r="S542" s="1836" t="s">
        <v>3492</v>
      </c>
      <c r="T542" s="2324">
        <v>0</v>
      </c>
      <c r="U542" s="2285">
        <v>0</v>
      </c>
      <c r="V542" s="2285">
        <v>0</v>
      </c>
      <c r="W542" s="2285">
        <v>0</v>
      </c>
      <c r="X542" s="2285">
        <v>0</v>
      </c>
      <c r="Y542" s="2060" t="e">
        <v>#N/A</v>
      </c>
      <c r="Z542" s="2060" t="e">
        <v>#N/A</v>
      </c>
      <c r="AA542" s="2060" t="e">
        <v>#N/A</v>
      </c>
      <c r="AB542" s="2216" t="e">
        <v>#N/A</v>
      </c>
      <c r="AC542" s="46"/>
      <c r="AE542" s="10"/>
      <c r="AF542" s="248"/>
      <c r="AG542" s="10"/>
      <c r="AH542" s="10"/>
    </row>
    <row r="543" spans="1:34" s="5" customFormat="1" ht="10.15" hidden="1" customHeight="1" x14ac:dyDescent="0.2">
      <c r="A543" s="10" t="s">
        <v>463</v>
      </c>
      <c r="C543" s="40"/>
      <c r="J543" s="2578" t="s">
        <v>39</v>
      </c>
      <c r="K543" s="2579"/>
      <c r="L543" s="2579"/>
      <c r="M543" s="2580"/>
      <c r="N543" s="1115" t="s">
        <v>38</v>
      </c>
      <c r="O543" s="1133"/>
      <c r="P543" s="1133"/>
      <c r="Q543" s="1133"/>
      <c r="R543" s="112"/>
      <c r="S543" s="1837" t="s">
        <v>3493</v>
      </c>
      <c r="T543" s="2320">
        <v>0</v>
      </c>
      <c r="U543" s="2276">
        <v>0</v>
      </c>
      <c r="V543" s="2276">
        <v>0</v>
      </c>
      <c r="W543" s="2276">
        <v>0</v>
      </c>
      <c r="X543" s="2276">
        <v>0</v>
      </c>
      <c r="Y543" s="2063" t="e">
        <v>#N/A</v>
      </c>
      <c r="Z543" s="2063" t="e">
        <v>#N/A</v>
      </c>
      <c r="AA543" s="2063" t="e">
        <v>#N/A</v>
      </c>
      <c r="AB543" s="2212" t="e">
        <v>#N/A</v>
      </c>
      <c r="AC543" s="46"/>
      <c r="AE543" s="10"/>
      <c r="AF543" s="248"/>
      <c r="AG543" s="10"/>
      <c r="AH543" s="10"/>
    </row>
    <row r="544" spans="1:34" s="5" customFormat="1" ht="10.15" hidden="1" customHeight="1" x14ac:dyDescent="0.2">
      <c r="A544" s="10" t="s">
        <v>461</v>
      </c>
      <c r="C544" s="40"/>
      <c r="J544" s="2587" t="s">
        <v>428</v>
      </c>
      <c r="K544" s="2588"/>
      <c r="L544" s="2588"/>
      <c r="M544" s="2589"/>
      <c r="N544" s="1115" t="s">
        <v>427</v>
      </c>
      <c r="O544" s="1133"/>
      <c r="P544" s="1133"/>
      <c r="Q544" s="1133"/>
      <c r="R544" s="112"/>
      <c r="S544" s="1838" t="s">
        <v>3494</v>
      </c>
      <c r="T544" s="2320">
        <v>0</v>
      </c>
      <c r="U544" s="2276">
        <v>0</v>
      </c>
      <c r="V544" s="2276">
        <v>0</v>
      </c>
      <c r="W544" s="2276">
        <v>0</v>
      </c>
      <c r="X544" s="2276">
        <v>0</v>
      </c>
      <c r="Y544" s="2063" t="e">
        <v>#N/A</v>
      </c>
      <c r="Z544" s="2063" t="e">
        <v>#N/A</v>
      </c>
      <c r="AA544" s="2063" t="e">
        <v>#N/A</v>
      </c>
      <c r="AB544" s="2212" t="e">
        <v>#N/A</v>
      </c>
      <c r="AC544" s="46"/>
      <c r="AE544" s="10"/>
      <c r="AF544" s="248"/>
      <c r="AG544" s="10"/>
      <c r="AH544" s="10"/>
    </row>
    <row r="545" spans="1:34" s="5" customFormat="1" ht="10.15" hidden="1" customHeight="1" x14ac:dyDescent="0.2">
      <c r="A545" s="10" t="s">
        <v>461</v>
      </c>
      <c r="C545" s="40"/>
      <c r="J545" s="2590"/>
      <c r="K545" s="2591"/>
      <c r="L545" s="2591"/>
      <c r="M545" s="2592"/>
      <c r="N545" s="1116" t="s">
        <v>424</v>
      </c>
      <c r="O545" s="1096"/>
      <c r="P545" s="1096"/>
      <c r="Q545" s="1096"/>
      <c r="R545" s="114"/>
      <c r="S545" s="1839" t="s">
        <v>3495</v>
      </c>
      <c r="T545" s="2324">
        <v>0</v>
      </c>
      <c r="U545" s="2285">
        <v>0</v>
      </c>
      <c r="V545" s="2285">
        <v>0</v>
      </c>
      <c r="W545" s="2285">
        <v>0</v>
      </c>
      <c r="X545" s="2285">
        <v>0</v>
      </c>
      <c r="Y545" s="2060" t="e">
        <v>#N/A</v>
      </c>
      <c r="Z545" s="2060" t="e">
        <v>#N/A</v>
      </c>
      <c r="AA545" s="2060" t="e">
        <v>#N/A</v>
      </c>
      <c r="AB545" s="2216" t="e">
        <v>#N/A</v>
      </c>
      <c r="AC545" s="46"/>
      <c r="AE545" s="10"/>
      <c r="AF545" s="248"/>
      <c r="AG545" s="10"/>
      <c r="AH545" s="10"/>
    </row>
    <row r="546" spans="1:34" s="5" customFormat="1" ht="10.15" hidden="1" customHeight="1" x14ac:dyDescent="0.2">
      <c r="A546" s="10" t="s">
        <v>461</v>
      </c>
      <c r="C546" s="40"/>
      <c r="D546" s="4" t="s">
        <v>3375</v>
      </c>
      <c r="J546" s="2578" t="s">
        <v>40</v>
      </c>
      <c r="K546" s="2579"/>
      <c r="L546" s="2579"/>
      <c r="M546" s="2580"/>
      <c r="N546" s="1117" t="s">
        <v>41</v>
      </c>
      <c r="O546" s="1135"/>
      <c r="P546" s="1135"/>
      <c r="Q546" s="1135"/>
      <c r="R546" s="115"/>
      <c r="S546" s="1840" t="s">
        <v>3496</v>
      </c>
      <c r="T546" s="2320">
        <v>0</v>
      </c>
      <c r="U546" s="2276">
        <v>0</v>
      </c>
      <c r="V546" s="2276">
        <v>0</v>
      </c>
      <c r="W546" s="2276">
        <v>0</v>
      </c>
      <c r="X546" s="2276">
        <v>0</v>
      </c>
      <c r="Y546" s="2063" t="e">
        <v>#N/A</v>
      </c>
      <c r="Z546" s="2063" t="e">
        <v>#N/A</v>
      </c>
      <c r="AA546" s="2063" t="e">
        <v>#N/A</v>
      </c>
      <c r="AB546" s="2212" t="e">
        <v>#N/A</v>
      </c>
      <c r="AC546" s="46"/>
      <c r="AE546" s="10"/>
      <c r="AF546" s="248"/>
      <c r="AG546" s="10"/>
      <c r="AH546" s="10"/>
    </row>
    <row r="547" spans="1:34" s="5" customFormat="1" ht="10.15" hidden="1" customHeight="1" x14ac:dyDescent="0.2">
      <c r="A547" s="10" t="s">
        <v>461</v>
      </c>
      <c r="C547" s="40"/>
      <c r="D547" s="2177" t="s">
        <v>3823</v>
      </c>
      <c r="J547" s="2581"/>
      <c r="K547" s="2582"/>
      <c r="L547" s="2582"/>
      <c r="M547" s="2583"/>
      <c r="N547" s="1118" t="s">
        <v>376</v>
      </c>
      <c r="O547" s="360"/>
      <c r="P547" s="360"/>
      <c r="Q547" s="360"/>
      <c r="R547" s="117"/>
      <c r="S547" s="1841" t="s">
        <v>3497</v>
      </c>
      <c r="T547" s="2322">
        <v>0</v>
      </c>
      <c r="U547" s="2282">
        <v>0</v>
      </c>
      <c r="V547" s="2282">
        <v>0</v>
      </c>
      <c r="W547" s="2282">
        <v>0</v>
      </c>
      <c r="X547" s="2282">
        <v>0</v>
      </c>
      <c r="Y547" s="2057" t="e">
        <v>#N/A</v>
      </c>
      <c r="Z547" s="2057" t="e">
        <v>#N/A</v>
      </c>
      <c r="AA547" s="2057" t="e">
        <v>#N/A</v>
      </c>
      <c r="AB547" s="2214" t="e">
        <v>#N/A</v>
      </c>
      <c r="AC547" s="46"/>
      <c r="AE547" s="10"/>
      <c r="AF547" s="248"/>
      <c r="AG547" s="10"/>
      <c r="AH547" s="10"/>
    </row>
    <row r="548" spans="1:34" s="5" customFormat="1" ht="10.15" hidden="1" customHeight="1" x14ac:dyDescent="0.2">
      <c r="A548" s="10" t="s">
        <v>461</v>
      </c>
      <c r="C548" s="40"/>
      <c r="D548" s="2177" t="s">
        <v>3822</v>
      </c>
      <c r="J548" s="2581"/>
      <c r="K548" s="2582"/>
      <c r="L548" s="2582"/>
      <c r="M548" s="2583"/>
      <c r="N548" s="1119" t="s">
        <v>369</v>
      </c>
      <c r="O548" s="1092"/>
      <c r="P548" s="1092"/>
      <c r="Q548" s="1092"/>
      <c r="R548" s="119"/>
      <c r="S548" s="1841" t="s">
        <v>3498</v>
      </c>
      <c r="T548" s="2322">
        <v>0</v>
      </c>
      <c r="U548" s="2282">
        <v>0</v>
      </c>
      <c r="V548" s="2282">
        <v>0</v>
      </c>
      <c r="W548" s="2282">
        <v>0</v>
      </c>
      <c r="X548" s="2282">
        <v>0</v>
      </c>
      <c r="Y548" s="2057" t="e">
        <v>#N/A</v>
      </c>
      <c r="Z548" s="2057" t="e">
        <v>#N/A</v>
      </c>
      <c r="AA548" s="2057" t="e">
        <v>#N/A</v>
      </c>
      <c r="AB548" s="2214" t="e">
        <v>#N/A</v>
      </c>
      <c r="AC548" s="46"/>
      <c r="AE548" s="10"/>
      <c r="AF548" s="248"/>
      <c r="AG548" s="10"/>
      <c r="AH548" s="10"/>
    </row>
    <row r="549" spans="1:34" s="5" customFormat="1" ht="10.15" hidden="1" customHeight="1" x14ac:dyDescent="0.2">
      <c r="A549" s="10" t="s">
        <v>461</v>
      </c>
      <c r="C549" s="40"/>
      <c r="D549" s="2177" t="s">
        <v>76</v>
      </c>
      <c r="J549" s="2584"/>
      <c r="K549" s="2585"/>
      <c r="L549" s="2585"/>
      <c r="M549" s="2586"/>
      <c r="N549" s="1116" t="s">
        <v>321</v>
      </c>
      <c r="O549" s="1096"/>
      <c r="P549" s="1096"/>
      <c r="Q549" s="1096"/>
      <c r="R549" s="114"/>
      <c r="S549" s="1836" t="s">
        <v>3499</v>
      </c>
      <c r="T549" s="2324">
        <v>0</v>
      </c>
      <c r="U549" s="2285">
        <v>0</v>
      </c>
      <c r="V549" s="2285">
        <v>0</v>
      </c>
      <c r="W549" s="2285">
        <v>0</v>
      </c>
      <c r="X549" s="2285">
        <v>0</v>
      </c>
      <c r="Y549" s="2060" t="e">
        <v>#N/A</v>
      </c>
      <c r="Z549" s="2060" t="e">
        <v>#N/A</v>
      </c>
      <c r="AA549" s="2060" t="e">
        <v>#N/A</v>
      </c>
      <c r="AB549" s="2216" t="e">
        <v>#N/A</v>
      </c>
      <c r="AC549" s="46"/>
      <c r="AE549" s="10"/>
      <c r="AF549" s="248"/>
      <c r="AG549" s="10"/>
      <c r="AH549" s="10"/>
    </row>
    <row r="550" spans="1:34" s="5" customFormat="1" ht="10.15" hidden="1" customHeight="1" x14ac:dyDescent="0.2">
      <c r="A550" s="10" t="s">
        <v>461</v>
      </c>
      <c r="C550" s="40"/>
      <c r="D550" s="2177" t="s">
        <v>76</v>
      </c>
      <c r="J550" s="325" t="s">
        <v>91</v>
      </c>
      <c r="K550" s="326"/>
      <c r="L550" s="326"/>
      <c r="M550" s="327"/>
      <c r="N550" s="1120" t="s">
        <v>83</v>
      </c>
      <c r="O550" s="1136"/>
      <c r="P550" s="1136"/>
      <c r="Q550" s="1136"/>
      <c r="R550" s="116"/>
      <c r="S550" s="1838" t="s">
        <v>3500</v>
      </c>
      <c r="T550" s="2320">
        <v>0</v>
      </c>
      <c r="U550" s="2276">
        <v>0</v>
      </c>
      <c r="V550" s="2276">
        <v>0</v>
      </c>
      <c r="W550" s="2276">
        <v>0</v>
      </c>
      <c r="X550" s="2276">
        <v>0</v>
      </c>
      <c r="Y550" s="2063" t="e">
        <v>#N/A</v>
      </c>
      <c r="Z550" s="2063" t="e">
        <v>#N/A</v>
      </c>
      <c r="AA550" s="2063" t="e">
        <v>#N/A</v>
      </c>
      <c r="AB550" s="2212" t="e">
        <v>#N/A</v>
      </c>
      <c r="AC550" s="46"/>
      <c r="AE550" s="10"/>
      <c r="AF550" s="248"/>
      <c r="AG550" s="10"/>
      <c r="AH550" s="10"/>
    </row>
    <row r="551" spans="1:34" s="5" customFormat="1" ht="10.15" hidden="1" customHeight="1" x14ac:dyDescent="0.2">
      <c r="A551" s="10" t="s">
        <v>463</v>
      </c>
      <c r="B551" s="10"/>
      <c r="C551" s="40"/>
      <c r="J551" s="328"/>
      <c r="K551" s="334"/>
      <c r="L551" s="334"/>
      <c r="M551" s="329"/>
      <c r="N551" s="1121" t="s">
        <v>1635</v>
      </c>
      <c r="O551" s="1093"/>
      <c r="P551" s="1093"/>
      <c r="Q551" s="1093"/>
      <c r="R551" s="1814"/>
      <c r="S551" s="1835" t="s">
        <v>3512</v>
      </c>
      <c r="T551" s="2213" t="e">
        <v>#N/A</v>
      </c>
      <c r="U551" s="2057" t="e">
        <v>#N/A</v>
      </c>
      <c r="V551" s="2057" t="e">
        <v>#N/A</v>
      </c>
      <c r="W551" s="2057" t="e">
        <v>#N/A</v>
      </c>
      <c r="X551" s="2057" t="e">
        <v>#N/A</v>
      </c>
      <c r="Y551" s="2057" t="e">
        <v>#N/A</v>
      </c>
      <c r="Z551" s="2057" t="e">
        <v>#N/A</v>
      </c>
      <c r="AA551" s="2057" t="e">
        <v>#N/A</v>
      </c>
      <c r="AB551" s="2214" t="e">
        <v>#N/A</v>
      </c>
      <c r="AC551" s="46"/>
      <c r="AE551" s="10"/>
      <c r="AF551" s="248"/>
      <c r="AG551" s="10"/>
      <c r="AH551" s="10"/>
    </row>
    <row r="552" spans="1:34" s="5" customFormat="1" ht="10.15" hidden="1" customHeight="1" x14ac:dyDescent="0.2">
      <c r="A552" s="10" t="s">
        <v>461</v>
      </c>
      <c r="C552" s="40"/>
      <c r="J552" s="328"/>
      <c r="K552" s="334"/>
      <c r="L552" s="334"/>
      <c r="M552" s="329"/>
      <c r="N552" s="1118" t="s">
        <v>155</v>
      </c>
      <c r="O552" s="360"/>
      <c r="P552" s="360"/>
      <c r="Q552" s="360"/>
      <c r="R552" s="117"/>
      <c r="S552" s="1841" t="s">
        <v>3501</v>
      </c>
      <c r="T552" s="2322">
        <v>0</v>
      </c>
      <c r="U552" s="2282">
        <v>0</v>
      </c>
      <c r="V552" s="2282">
        <v>0</v>
      </c>
      <c r="W552" s="2282">
        <v>0</v>
      </c>
      <c r="X552" s="2282">
        <v>0</v>
      </c>
      <c r="Y552" s="2057" t="e">
        <v>#N/A</v>
      </c>
      <c r="Z552" s="2057" t="e">
        <v>#N/A</v>
      </c>
      <c r="AA552" s="2057" t="e">
        <v>#N/A</v>
      </c>
      <c r="AB552" s="2214" t="e">
        <v>#N/A</v>
      </c>
      <c r="AC552" s="46"/>
      <c r="AE552" s="10"/>
      <c r="AF552" s="248"/>
      <c r="AG552" s="10"/>
      <c r="AH552" s="10"/>
    </row>
    <row r="553" spans="1:34" s="5" customFormat="1" ht="10.15" hidden="1" customHeight="1" x14ac:dyDescent="0.2">
      <c r="A553" s="10" t="s">
        <v>461</v>
      </c>
      <c r="C553" s="40"/>
      <c r="J553" s="328"/>
      <c r="K553" s="334"/>
      <c r="L553" s="334"/>
      <c r="M553" s="329"/>
      <c r="N553" s="1095" t="s">
        <v>128</v>
      </c>
      <c r="O553" s="1091"/>
      <c r="P553" s="1091"/>
      <c r="Q553" s="1091"/>
      <c r="R553" s="113"/>
      <c r="S553" s="1841" t="s">
        <v>3502</v>
      </c>
      <c r="T553" s="2322">
        <v>0</v>
      </c>
      <c r="U553" s="2282">
        <v>0</v>
      </c>
      <c r="V553" s="2282">
        <v>0</v>
      </c>
      <c r="W553" s="2282">
        <v>0</v>
      </c>
      <c r="X553" s="2282">
        <v>0</v>
      </c>
      <c r="Y553" s="2057" t="e">
        <v>#N/A</v>
      </c>
      <c r="Z553" s="2057" t="e">
        <v>#N/A</v>
      </c>
      <c r="AA553" s="2057" t="e">
        <v>#N/A</v>
      </c>
      <c r="AB553" s="2214" t="e">
        <v>#N/A</v>
      </c>
      <c r="AC553" s="46"/>
      <c r="AE553" s="10"/>
      <c r="AF553" s="248"/>
      <c r="AG553" s="10"/>
      <c r="AH553" s="10"/>
    </row>
    <row r="554" spans="1:34" s="5" customFormat="1" ht="10.15" hidden="1" customHeight="1" x14ac:dyDescent="0.2">
      <c r="A554" s="10" t="s">
        <v>461</v>
      </c>
      <c r="C554" s="40"/>
      <c r="D554" s="2593"/>
      <c r="E554" s="2593"/>
      <c r="F554" s="2593"/>
      <c r="G554" s="2593"/>
      <c r="H554" s="2593"/>
      <c r="J554" s="328"/>
      <c r="K554" s="334"/>
      <c r="L554" s="334"/>
      <c r="M554" s="329"/>
      <c r="N554" s="1118" t="s">
        <v>153</v>
      </c>
      <c r="O554" s="360"/>
      <c r="P554" s="360"/>
      <c r="Q554" s="360"/>
      <c r="R554" s="117"/>
      <c r="S554" s="1841" t="s">
        <v>3503</v>
      </c>
      <c r="T554" s="2322">
        <v>0</v>
      </c>
      <c r="U554" s="2282">
        <v>0</v>
      </c>
      <c r="V554" s="2282">
        <v>0</v>
      </c>
      <c r="W554" s="2282">
        <v>0</v>
      </c>
      <c r="X554" s="2282">
        <v>0</v>
      </c>
      <c r="Y554" s="2057" t="e">
        <v>#N/A</v>
      </c>
      <c r="Z554" s="2057" t="e">
        <v>#N/A</v>
      </c>
      <c r="AA554" s="2057" t="e">
        <v>#N/A</v>
      </c>
      <c r="AB554" s="2214" t="e">
        <v>#N/A</v>
      </c>
      <c r="AC554" s="46"/>
      <c r="AE554" s="10"/>
      <c r="AF554" s="248"/>
      <c r="AG554" s="10"/>
      <c r="AH554" s="10"/>
    </row>
    <row r="555" spans="1:34" s="5" customFormat="1" ht="10.15" hidden="1" customHeight="1" x14ac:dyDescent="0.2">
      <c r="A555" s="10" t="s">
        <v>461</v>
      </c>
      <c r="C555" s="40"/>
      <c r="D555" s="10"/>
      <c r="E555" s="17"/>
      <c r="F555" s="10"/>
      <c r="G555" s="76"/>
      <c r="H555" s="10"/>
      <c r="J555" s="328"/>
      <c r="K555" s="334"/>
      <c r="L555" s="334"/>
      <c r="M555" s="329"/>
      <c r="N555" s="1118" t="s">
        <v>154</v>
      </c>
      <c r="O555" s="360"/>
      <c r="P555" s="360"/>
      <c r="Q555" s="360"/>
      <c r="R555" s="117"/>
      <c r="S555" s="1841" t="s">
        <v>3504</v>
      </c>
      <c r="T555" s="2322">
        <v>0</v>
      </c>
      <c r="U555" s="2282">
        <v>0</v>
      </c>
      <c r="V555" s="2282">
        <v>0</v>
      </c>
      <c r="W555" s="2282">
        <v>0</v>
      </c>
      <c r="X555" s="2282">
        <v>0</v>
      </c>
      <c r="Y555" s="2057" t="e">
        <v>#N/A</v>
      </c>
      <c r="Z555" s="2057" t="e">
        <v>#N/A</v>
      </c>
      <c r="AA555" s="2057" t="e">
        <v>#N/A</v>
      </c>
      <c r="AB555" s="2214" t="e">
        <v>#N/A</v>
      </c>
      <c r="AC555" s="46"/>
      <c r="AE555" s="10"/>
      <c r="AF555" s="248"/>
      <c r="AG555" s="10"/>
      <c r="AH555" s="10"/>
    </row>
    <row r="556" spans="1:34" s="5" customFormat="1" ht="10.15" hidden="1" customHeight="1" x14ac:dyDescent="0.2">
      <c r="A556" s="10" t="s">
        <v>461</v>
      </c>
      <c r="C556" s="40"/>
      <c r="D556" s="10"/>
      <c r="E556" s="17"/>
      <c r="F556" s="10"/>
      <c r="G556" s="76"/>
      <c r="H556" s="10"/>
      <c r="J556" s="328"/>
      <c r="K556" s="334"/>
      <c r="L556" s="334"/>
      <c r="M556" s="329"/>
      <c r="N556" s="1095" t="s">
        <v>222</v>
      </c>
      <c r="O556" s="1091"/>
      <c r="P556" s="1091"/>
      <c r="Q556" s="1091"/>
      <c r="R556" s="113"/>
      <c r="S556" s="1841" t="s">
        <v>3505</v>
      </c>
      <c r="T556" s="2322">
        <v>0</v>
      </c>
      <c r="U556" s="2282">
        <v>0</v>
      </c>
      <c r="V556" s="2282">
        <v>0</v>
      </c>
      <c r="W556" s="2282">
        <v>0</v>
      </c>
      <c r="X556" s="2282">
        <v>0</v>
      </c>
      <c r="Y556" s="2057" t="e">
        <v>#N/A</v>
      </c>
      <c r="Z556" s="2057" t="e">
        <v>#N/A</v>
      </c>
      <c r="AA556" s="2057" t="e">
        <v>#N/A</v>
      </c>
      <c r="AB556" s="2214" t="e">
        <v>#N/A</v>
      </c>
      <c r="AC556" s="46"/>
      <c r="AE556" s="10"/>
      <c r="AF556" s="248"/>
      <c r="AG556" s="10"/>
      <c r="AH556" s="10"/>
    </row>
    <row r="557" spans="1:34" s="5" customFormat="1" ht="10.15" hidden="1" customHeight="1" x14ac:dyDescent="0.2">
      <c r="A557" s="10" t="s">
        <v>461</v>
      </c>
      <c r="C557" s="40"/>
      <c r="D557" s="10"/>
      <c r="E557" s="17"/>
      <c r="F557" s="10"/>
      <c r="G557" s="77"/>
      <c r="H557" s="10"/>
      <c r="J557" s="328"/>
      <c r="K557" s="334"/>
      <c r="L557" s="334"/>
      <c r="M557" s="329"/>
      <c r="N557" s="1118" t="s">
        <v>131</v>
      </c>
      <c r="O557" s="360"/>
      <c r="P557" s="360"/>
      <c r="Q557" s="360"/>
      <c r="R557" s="117"/>
      <c r="S557" s="1841" t="s">
        <v>3506</v>
      </c>
      <c r="T557" s="2322">
        <v>-0.5</v>
      </c>
      <c r="U557" s="2282">
        <v>-0.5</v>
      </c>
      <c r="V557" s="2282">
        <v>-0.5</v>
      </c>
      <c r="W557" s="2282">
        <v>-0.5</v>
      </c>
      <c r="X557" s="2282">
        <v>-0.5</v>
      </c>
      <c r="Y557" s="2057" t="e">
        <v>#N/A</v>
      </c>
      <c r="Z557" s="2057" t="e">
        <v>#N/A</v>
      </c>
      <c r="AA557" s="2057" t="e">
        <v>#N/A</v>
      </c>
      <c r="AB557" s="2214" t="e">
        <v>#N/A</v>
      </c>
      <c r="AC557" s="46"/>
      <c r="AE557" s="10"/>
      <c r="AF557" s="248"/>
      <c r="AG557" s="10"/>
      <c r="AH557" s="10"/>
    </row>
    <row r="558" spans="1:34" s="5" customFormat="1" ht="10.15" hidden="1" customHeight="1" x14ac:dyDescent="0.2">
      <c r="A558" s="10" t="s">
        <v>463</v>
      </c>
      <c r="C558" s="40"/>
      <c r="J558" s="328"/>
      <c r="K558" s="334"/>
      <c r="L558" s="334"/>
      <c r="M558" s="329"/>
      <c r="N558" s="1118" t="s">
        <v>132</v>
      </c>
      <c r="O558" s="360"/>
      <c r="P558" s="360"/>
      <c r="Q558" s="360"/>
      <c r="R558" s="117"/>
      <c r="S558" s="1841" t="s">
        <v>3507</v>
      </c>
      <c r="T558" s="2213" t="e">
        <v>#N/A</v>
      </c>
      <c r="U558" s="2057" t="e">
        <v>#N/A</v>
      </c>
      <c r="V558" s="2057" t="e">
        <v>#N/A</v>
      </c>
      <c r="W558" s="2057" t="e">
        <v>#N/A</v>
      </c>
      <c r="X558" s="2057" t="e">
        <v>#N/A</v>
      </c>
      <c r="Y558" s="2057" t="e">
        <v>#N/A</v>
      </c>
      <c r="Z558" s="2057" t="e">
        <v>#N/A</v>
      </c>
      <c r="AA558" s="2057" t="e">
        <v>#N/A</v>
      </c>
      <c r="AB558" s="2214" t="e">
        <v>#N/A</v>
      </c>
      <c r="AC558" s="46"/>
      <c r="AE558" s="10"/>
      <c r="AF558" s="248"/>
      <c r="AG558" s="10"/>
      <c r="AH558" s="10"/>
    </row>
    <row r="559" spans="1:34" s="5" customFormat="1" ht="10.15" hidden="1" customHeight="1" x14ac:dyDescent="0.2">
      <c r="A559" s="10" t="s">
        <v>463</v>
      </c>
      <c r="C559" s="40"/>
      <c r="J559" s="328"/>
      <c r="K559" s="334"/>
      <c r="L559" s="334"/>
      <c r="M559" s="329"/>
      <c r="N559" s="1095" t="s">
        <v>133</v>
      </c>
      <c r="O559" s="1091"/>
      <c r="P559" s="1091"/>
      <c r="Q559" s="1091"/>
      <c r="R559" s="113"/>
      <c r="S559" s="1835" t="s">
        <v>3508</v>
      </c>
      <c r="T559" s="2213" t="e">
        <v>#N/A</v>
      </c>
      <c r="U559" s="2057" t="e">
        <v>#N/A</v>
      </c>
      <c r="V559" s="2057" t="e">
        <v>#N/A</v>
      </c>
      <c r="W559" s="2057" t="e">
        <v>#N/A</v>
      </c>
      <c r="X559" s="2057" t="e">
        <v>#N/A</v>
      </c>
      <c r="Y559" s="2057" t="e">
        <v>#N/A</v>
      </c>
      <c r="Z559" s="2057" t="e">
        <v>#N/A</v>
      </c>
      <c r="AA559" s="2057" t="e">
        <v>#N/A</v>
      </c>
      <c r="AB559" s="2214" t="e">
        <v>#N/A</v>
      </c>
      <c r="AC559" s="46"/>
      <c r="AE559" s="10"/>
      <c r="AF559" s="248"/>
      <c r="AG559" s="10"/>
      <c r="AH559" s="10"/>
    </row>
    <row r="560" spans="1:34" s="5" customFormat="1" ht="10.15" hidden="1" customHeight="1" x14ac:dyDescent="0.2">
      <c r="A560" s="10" t="s">
        <v>463</v>
      </c>
      <c r="B560" s="10"/>
      <c r="C560" s="40"/>
      <c r="J560" s="328"/>
      <c r="K560" s="334"/>
      <c r="L560" s="334"/>
      <c r="M560" s="329"/>
      <c r="N560" s="1095" t="s">
        <v>134</v>
      </c>
      <c r="O560" s="1091"/>
      <c r="P560" s="1091"/>
      <c r="Q560" s="1091"/>
      <c r="R560" s="113"/>
      <c r="S560" s="1835" t="s">
        <v>3509</v>
      </c>
      <c r="T560" s="2213" t="e">
        <v>#N/A</v>
      </c>
      <c r="U560" s="2057" t="e">
        <v>#N/A</v>
      </c>
      <c r="V560" s="2057" t="e">
        <v>#N/A</v>
      </c>
      <c r="W560" s="2057" t="e">
        <v>#N/A</v>
      </c>
      <c r="X560" s="2057" t="e">
        <v>#N/A</v>
      </c>
      <c r="Y560" s="2057" t="e">
        <v>#N/A</v>
      </c>
      <c r="Z560" s="2057" t="e">
        <v>#N/A</v>
      </c>
      <c r="AA560" s="2057" t="e">
        <v>#N/A</v>
      </c>
      <c r="AB560" s="2214" t="e">
        <v>#N/A</v>
      </c>
      <c r="AC560" s="46"/>
      <c r="AE560" s="10"/>
      <c r="AF560" s="248"/>
      <c r="AG560" s="10"/>
      <c r="AH560" s="10"/>
    </row>
    <row r="561" spans="1:34" s="5" customFormat="1" ht="10.15" hidden="1" customHeight="1" x14ac:dyDescent="0.2">
      <c r="A561" s="10" t="s">
        <v>463</v>
      </c>
      <c r="B561" s="10"/>
      <c r="C561" s="40"/>
      <c r="J561" s="328"/>
      <c r="K561" s="334"/>
      <c r="L561" s="334"/>
      <c r="M561" s="329"/>
      <c r="N561" s="1095" t="s">
        <v>135</v>
      </c>
      <c r="O561" s="1091"/>
      <c r="P561" s="1091"/>
      <c r="Q561" s="1091"/>
      <c r="R561" s="113"/>
      <c r="S561" s="1835" t="s">
        <v>3510</v>
      </c>
      <c r="T561" s="2213" t="e">
        <v>#N/A</v>
      </c>
      <c r="U561" s="2057" t="e">
        <v>#N/A</v>
      </c>
      <c r="V561" s="2057" t="e">
        <v>#N/A</v>
      </c>
      <c r="W561" s="2057" t="e">
        <v>#N/A</v>
      </c>
      <c r="X561" s="2057" t="e">
        <v>#N/A</v>
      </c>
      <c r="Y561" s="2057" t="e">
        <v>#N/A</v>
      </c>
      <c r="Z561" s="2057" t="e">
        <v>#N/A</v>
      </c>
      <c r="AA561" s="2057" t="e">
        <v>#N/A</v>
      </c>
      <c r="AB561" s="2214" t="e">
        <v>#N/A</v>
      </c>
      <c r="AC561" s="46"/>
      <c r="AE561" s="10"/>
      <c r="AF561" s="248"/>
      <c r="AG561" s="10"/>
      <c r="AH561" s="10"/>
    </row>
    <row r="562" spans="1:34" s="5" customFormat="1" ht="10.15" hidden="1" customHeight="1" x14ac:dyDescent="0.2">
      <c r="A562" s="10" t="s">
        <v>461</v>
      </c>
      <c r="B562" s="10"/>
      <c r="C562" s="40"/>
      <c r="J562" s="328"/>
      <c r="K562" s="334"/>
      <c r="L562" s="334"/>
      <c r="M562" s="329"/>
      <c r="N562" s="1095" t="s">
        <v>19</v>
      </c>
      <c r="O562" s="1091"/>
      <c r="P562" s="1091"/>
      <c r="Q562" s="1091"/>
      <c r="R562" s="113"/>
      <c r="S562" s="1835" t="s">
        <v>3511</v>
      </c>
      <c r="T562" s="2322">
        <v>-2</v>
      </c>
      <c r="U562" s="2282">
        <v>-2</v>
      </c>
      <c r="V562" s="2282">
        <v>-2</v>
      </c>
      <c r="W562" s="2282">
        <v>-2</v>
      </c>
      <c r="X562" s="2282">
        <v>-2</v>
      </c>
      <c r="Y562" s="2057" t="e">
        <v>#N/A</v>
      </c>
      <c r="Z562" s="2057" t="e">
        <v>#N/A</v>
      </c>
      <c r="AA562" s="2057" t="e">
        <v>#N/A</v>
      </c>
      <c r="AB562" s="2214" t="e">
        <v>#N/A</v>
      </c>
      <c r="AC562" s="46"/>
      <c r="AE562" s="10"/>
      <c r="AF562" s="248"/>
      <c r="AG562" s="10"/>
      <c r="AH562" s="10"/>
    </row>
    <row r="563" spans="1:34" s="5" customFormat="1" ht="10.15" hidden="1" customHeight="1" x14ac:dyDescent="0.2">
      <c r="A563" s="10" t="s">
        <v>463</v>
      </c>
      <c r="B563" s="10"/>
      <c r="C563" s="40"/>
      <c r="J563" s="330"/>
      <c r="K563" s="331"/>
      <c r="L563" s="331"/>
      <c r="M563" s="332"/>
      <c r="N563" s="1122" t="s">
        <v>130</v>
      </c>
      <c r="O563" s="1152"/>
      <c r="P563" s="1152"/>
      <c r="Q563" s="1152"/>
      <c r="R563" s="120"/>
      <c r="S563" s="1839" t="s">
        <v>3513</v>
      </c>
      <c r="T563" s="2215" t="e">
        <v>#N/A</v>
      </c>
      <c r="U563" s="2060" t="e">
        <v>#N/A</v>
      </c>
      <c r="V563" s="2060" t="e">
        <v>#N/A</v>
      </c>
      <c r="W563" s="2060" t="e">
        <v>#N/A</v>
      </c>
      <c r="X563" s="2065" t="e">
        <v>#N/A</v>
      </c>
      <c r="Y563" s="2060" t="e">
        <v>#N/A</v>
      </c>
      <c r="Z563" s="2060" t="e">
        <v>#N/A</v>
      </c>
      <c r="AA563" s="2060" t="e">
        <v>#N/A</v>
      </c>
      <c r="AB563" s="2216" t="e">
        <v>#N/A</v>
      </c>
      <c r="AC563" s="46"/>
      <c r="AE563" s="10"/>
      <c r="AF563" s="248"/>
      <c r="AG563" s="10"/>
      <c r="AH563" s="10"/>
    </row>
    <row r="564" spans="1:34" s="5" customFormat="1" ht="10.15" hidden="1" customHeight="1" x14ac:dyDescent="0.2">
      <c r="A564" s="10" t="s">
        <v>463</v>
      </c>
      <c r="B564" s="10"/>
      <c r="C564" s="40"/>
      <c r="J564" s="2587" t="s">
        <v>46</v>
      </c>
      <c r="K564" s="2588"/>
      <c r="L564" s="2588"/>
      <c r="M564" s="2589"/>
      <c r="N564" s="1120" t="s">
        <v>217</v>
      </c>
      <c r="O564" s="1136"/>
      <c r="P564" s="1136"/>
      <c r="Q564" s="1136"/>
      <c r="R564" s="116"/>
      <c r="S564" s="1838" t="s">
        <v>3514</v>
      </c>
      <c r="T564" s="2309">
        <v>0</v>
      </c>
      <c r="U564" s="2310">
        <v>0</v>
      </c>
      <c r="V564" s="2310">
        <v>0</v>
      </c>
      <c r="W564" s="2310">
        <v>0</v>
      </c>
      <c r="X564" s="2310">
        <v>0</v>
      </c>
      <c r="Y564" s="2068" t="e">
        <v>#N/A</v>
      </c>
      <c r="Z564" s="2068" t="e">
        <v>#N/A</v>
      </c>
      <c r="AA564" s="2068" t="e">
        <v>#N/A</v>
      </c>
      <c r="AB564" s="2235" t="e">
        <v>#N/A</v>
      </c>
      <c r="AC564" s="46"/>
      <c r="AE564" s="10"/>
      <c r="AF564" s="248"/>
      <c r="AG564" s="10"/>
      <c r="AH564" s="10"/>
    </row>
    <row r="565" spans="1:34" s="5" customFormat="1" ht="10.15" hidden="1" customHeight="1" x14ac:dyDescent="0.2">
      <c r="A565" s="10" t="s">
        <v>463</v>
      </c>
      <c r="B565" s="10"/>
      <c r="C565" s="40"/>
      <c r="J565" s="2595"/>
      <c r="K565" s="2596"/>
      <c r="L565" s="2596"/>
      <c r="M565" s="2597"/>
      <c r="N565" s="1123" t="s">
        <v>215</v>
      </c>
      <c r="O565" s="1094"/>
      <c r="P565" s="1094"/>
      <c r="Q565" s="1094"/>
      <c r="R565" s="118"/>
      <c r="S565" s="1842" t="s">
        <v>3515</v>
      </c>
      <c r="T565" s="2208">
        <v>0</v>
      </c>
      <c r="U565" s="2209">
        <v>0</v>
      </c>
      <c r="V565" s="2209">
        <v>0</v>
      </c>
      <c r="W565" s="2209">
        <v>0</v>
      </c>
      <c r="X565" s="2209">
        <v>0</v>
      </c>
      <c r="Y565" s="2067" t="e">
        <v>#N/A</v>
      </c>
      <c r="Z565" s="2067" t="e">
        <v>#N/A</v>
      </c>
      <c r="AA565" s="2067" t="e">
        <v>#N/A</v>
      </c>
      <c r="AB565" s="2220" t="e">
        <v>#N/A</v>
      </c>
      <c r="AC565" s="46"/>
      <c r="AE565" s="10"/>
      <c r="AF565" s="248"/>
      <c r="AG565" s="10"/>
      <c r="AH565" s="10"/>
    </row>
    <row r="566" spans="1:34" s="5" customFormat="1" ht="10.15" hidden="1" customHeight="1" x14ac:dyDescent="0.2">
      <c r="A566" s="10" t="s">
        <v>463</v>
      </c>
      <c r="B566" s="10"/>
      <c r="C566" s="40"/>
      <c r="J566" s="2595"/>
      <c r="K566" s="2596"/>
      <c r="L566" s="2596"/>
      <c r="M566" s="2597"/>
      <c r="N566" s="1123" t="s">
        <v>237</v>
      </c>
      <c r="O566" s="1094"/>
      <c r="P566" s="1094"/>
      <c r="Q566" s="1094"/>
      <c r="R566" s="118"/>
      <c r="S566" s="1842" t="s">
        <v>3516</v>
      </c>
      <c r="T566" s="2208">
        <v>0</v>
      </c>
      <c r="U566" s="2209">
        <v>0</v>
      </c>
      <c r="V566" s="2209">
        <v>0</v>
      </c>
      <c r="W566" s="2209">
        <v>0</v>
      </c>
      <c r="X566" s="2209">
        <v>0</v>
      </c>
      <c r="Y566" s="2067" t="e">
        <v>#N/A</v>
      </c>
      <c r="Z566" s="2067" t="e">
        <v>#N/A</v>
      </c>
      <c r="AA566" s="2067" t="e">
        <v>#N/A</v>
      </c>
      <c r="AB566" s="2220" t="e">
        <v>#N/A</v>
      </c>
      <c r="AC566" s="46"/>
      <c r="AE566" s="10"/>
      <c r="AF566" s="248"/>
      <c r="AG566" s="10"/>
      <c r="AH566" s="10"/>
    </row>
    <row r="567" spans="1:34" s="5" customFormat="1" ht="10.15" hidden="1" customHeight="1" x14ac:dyDescent="0.2">
      <c r="A567" s="10" t="s">
        <v>463</v>
      </c>
      <c r="B567" s="10"/>
      <c r="C567" s="40"/>
      <c r="J567" s="2590"/>
      <c r="K567" s="2591"/>
      <c r="L567" s="2591"/>
      <c r="M567" s="2592"/>
      <c r="N567" s="1124" t="s">
        <v>45</v>
      </c>
      <c r="O567" s="1137"/>
      <c r="P567" s="1137"/>
      <c r="Q567" s="1137"/>
      <c r="R567" s="1815"/>
      <c r="S567" s="1843" t="s">
        <v>3517</v>
      </c>
      <c r="T567" s="2217" t="e">
        <v>#N/A</v>
      </c>
      <c r="U567" s="2065" t="e">
        <v>#N/A</v>
      </c>
      <c r="V567" s="2065" t="e">
        <v>#N/A</v>
      </c>
      <c r="W567" s="2065" t="e">
        <v>#N/A</v>
      </c>
      <c r="X567" s="2065" t="e">
        <v>#N/A</v>
      </c>
      <c r="Y567" s="2065" t="e">
        <v>#N/A</v>
      </c>
      <c r="Z567" s="2065" t="e">
        <v>#N/A</v>
      </c>
      <c r="AA567" s="2065" t="e">
        <v>#N/A</v>
      </c>
      <c r="AB567" s="2218" t="e">
        <v>#N/A</v>
      </c>
      <c r="AC567" s="46"/>
      <c r="AE567" s="10"/>
      <c r="AF567" s="248"/>
      <c r="AG567" s="10"/>
      <c r="AH567" s="10"/>
    </row>
    <row r="568" spans="1:34" s="5" customFormat="1" ht="10.15" hidden="1" customHeight="1" x14ac:dyDescent="0.2">
      <c r="A568" s="10" t="s">
        <v>463</v>
      </c>
      <c r="B568" s="10"/>
      <c r="C568" s="40"/>
      <c r="J568" s="242" t="s">
        <v>106</v>
      </c>
      <c r="K568" s="243"/>
      <c r="L568" s="243"/>
      <c r="M568" s="244"/>
      <c r="N568" s="1120" t="s">
        <v>283</v>
      </c>
      <c r="O568" s="1136"/>
      <c r="P568" s="1136"/>
      <c r="Q568" s="1136"/>
      <c r="R568" s="116"/>
      <c r="S568" s="1838" t="s">
        <v>3518</v>
      </c>
      <c r="T568" s="2309">
        <v>0</v>
      </c>
      <c r="U568" s="2310">
        <v>0</v>
      </c>
      <c r="V568" s="2310">
        <v>0</v>
      </c>
      <c r="W568" s="2310">
        <v>0</v>
      </c>
      <c r="X568" s="2310">
        <v>0</v>
      </c>
      <c r="Y568" s="2068" t="e">
        <v>#N/A</v>
      </c>
      <c r="Z568" s="2068" t="e">
        <v>#N/A</v>
      </c>
      <c r="AA568" s="2068" t="e">
        <v>#N/A</v>
      </c>
      <c r="AB568" s="2235" t="e">
        <v>#N/A</v>
      </c>
      <c r="AC568" s="46"/>
      <c r="AE568" s="10"/>
      <c r="AF568" s="248"/>
      <c r="AG568" s="10"/>
      <c r="AH568" s="10"/>
    </row>
    <row r="569" spans="1:34" s="5" customFormat="1" ht="10.15" hidden="1" customHeight="1" x14ac:dyDescent="0.2">
      <c r="A569" s="10" t="s">
        <v>463</v>
      </c>
      <c r="B569" s="10"/>
      <c r="C569" s="40"/>
      <c r="J569" s="245"/>
      <c r="K569" s="246"/>
      <c r="L569" s="246"/>
      <c r="M569" s="247"/>
      <c r="N569" s="1123" t="s">
        <v>125</v>
      </c>
      <c r="O569" s="1094"/>
      <c r="P569" s="1094"/>
      <c r="Q569" s="1094"/>
      <c r="R569" s="118"/>
      <c r="S569" s="1844" t="s">
        <v>3519</v>
      </c>
      <c r="T569" s="2208">
        <v>0</v>
      </c>
      <c r="U569" s="2209">
        <v>0</v>
      </c>
      <c r="V569" s="2209">
        <v>0</v>
      </c>
      <c r="W569" s="2209">
        <v>0</v>
      </c>
      <c r="X569" s="2209">
        <v>0</v>
      </c>
      <c r="Y569" s="2067" t="e">
        <v>#N/A</v>
      </c>
      <c r="Z569" s="2067" t="e">
        <v>#N/A</v>
      </c>
      <c r="AA569" s="2067" t="e">
        <v>#N/A</v>
      </c>
      <c r="AB569" s="2220" t="e">
        <v>#N/A</v>
      </c>
      <c r="AC569" s="46"/>
      <c r="AE569" s="10"/>
      <c r="AF569" s="248"/>
      <c r="AG569" s="10"/>
      <c r="AH569" s="10"/>
    </row>
    <row r="570" spans="1:34" s="5" customFormat="1" ht="10.15" hidden="1" customHeight="1" x14ac:dyDescent="0.2">
      <c r="A570" s="10" t="s">
        <v>463</v>
      </c>
      <c r="B570" s="10"/>
      <c r="C570" s="40"/>
      <c r="J570" s="245"/>
      <c r="K570" s="246"/>
      <c r="L570" s="246"/>
      <c r="M570" s="247"/>
      <c r="N570" s="1123" t="s">
        <v>18</v>
      </c>
      <c r="O570" s="1094"/>
      <c r="P570" s="1094"/>
      <c r="Q570" s="1094"/>
      <c r="R570" s="118"/>
      <c r="S570" s="1844" t="s">
        <v>3520</v>
      </c>
      <c r="T570" s="2219" t="e">
        <v>#N/A</v>
      </c>
      <c r="U570" s="2067" t="e">
        <v>#N/A</v>
      </c>
      <c r="V570" s="2067" t="e">
        <v>#N/A</v>
      </c>
      <c r="W570" s="2067" t="e">
        <v>#N/A</v>
      </c>
      <c r="X570" s="2067" t="e">
        <v>#N/A</v>
      </c>
      <c r="Y570" s="2067" t="e">
        <v>#N/A</v>
      </c>
      <c r="Z570" s="2067" t="e">
        <v>#N/A</v>
      </c>
      <c r="AA570" s="2067" t="e">
        <v>#N/A</v>
      </c>
      <c r="AB570" s="2220" t="e">
        <v>#N/A</v>
      </c>
      <c r="AC570" s="46"/>
      <c r="AE570" s="10"/>
      <c r="AF570" s="248"/>
      <c r="AG570" s="10"/>
      <c r="AH570" s="10"/>
    </row>
    <row r="571" spans="1:34" s="5" customFormat="1" ht="10.15" hidden="1" customHeight="1" x14ac:dyDescent="0.2">
      <c r="A571" s="10" t="s">
        <v>463</v>
      </c>
      <c r="B571" s="10"/>
      <c r="C571" s="40"/>
      <c r="J571" s="245"/>
      <c r="K571" s="246"/>
      <c r="L571" s="246"/>
      <c r="M571" s="247"/>
      <c r="N571" s="1123" t="s">
        <v>238</v>
      </c>
      <c r="O571" s="1094"/>
      <c r="P571" s="1094"/>
      <c r="Q571" s="1094"/>
      <c r="R571" s="118"/>
      <c r="S571" s="1844" t="s">
        <v>3521</v>
      </c>
      <c r="T571" s="2219" t="e">
        <v>#N/A</v>
      </c>
      <c r="U571" s="2067" t="e">
        <v>#N/A</v>
      </c>
      <c r="V571" s="2067" t="e">
        <v>#N/A</v>
      </c>
      <c r="W571" s="2067" t="e">
        <v>#N/A</v>
      </c>
      <c r="X571" s="2067" t="e">
        <v>#N/A</v>
      </c>
      <c r="Y571" s="2067" t="e">
        <v>#N/A</v>
      </c>
      <c r="Z571" s="2067" t="e">
        <v>#N/A</v>
      </c>
      <c r="AA571" s="2067" t="e">
        <v>#N/A</v>
      </c>
      <c r="AB571" s="2220" t="e">
        <v>#N/A</v>
      </c>
      <c r="AC571" s="46"/>
      <c r="AE571" s="10"/>
      <c r="AF571" s="248"/>
      <c r="AG571" s="10"/>
      <c r="AH571" s="10"/>
    </row>
    <row r="572" spans="1:34" s="5" customFormat="1" ht="10.15" hidden="1" customHeight="1" x14ac:dyDescent="0.2">
      <c r="A572" s="10" t="s">
        <v>463</v>
      </c>
      <c r="B572" s="10"/>
      <c r="C572" s="40"/>
      <c r="J572" s="245"/>
      <c r="K572" s="246"/>
      <c r="L572" s="246"/>
      <c r="M572" s="247"/>
      <c r="N572" s="1123" t="s">
        <v>152</v>
      </c>
      <c r="O572" s="1094"/>
      <c r="P572" s="1094"/>
      <c r="Q572" s="1094"/>
      <c r="R572" s="118"/>
      <c r="S572" s="1844" t="s">
        <v>3522</v>
      </c>
      <c r="T572" s="2219" t="e">
        <v>#N/A</v>
      </c>
      <c r="U572" s="2067" t="e">
        <v>#N/A</v>
      </c>
      <c r="V572" s="2067" t="e">
        <v>#N/A</v>
      </c>
      <c r="W572" s="2067" t="e">
        <v>#N/A</v>
      </c>
      <c r="X572" s="2067" t="e">
        <v>#N/A</v>
      </c>
      <c r="Y572" s="2067" t="e">
        <v>#N/A</v>
      </c>
      <c r="Z572" s="2067" t="e">
        <v>#N/A</v>
      </c>
      <c r="AA572" s="2067" t="e">
        <v>#N/A</v>
      </c>
      <c r="AB572" s="2220" t="e">
        <v>#N/A</v>
      </c>
      <c r="AC572" s="46"/>
      <c r="AE572" s="10"/>
      <c r="AF572" s="248"/>
      <c r="AG572" s="10"/>
      <c r="AH572" s="10"/>
    </row>
    <row r="573" spans="1:34" s="5" customFormat="1" ht="10.15" hidden="1" customHeight="1" x14ac:dyDescent="0.2">
      <c r="A573" s="10" t="s">
        <v>463</v>
      </c>
      <c r="B573" s="10"/>
      <c r="C573" s="40"/>
      <c r="J573" s="245"/>
      <c r="K573" s="246"/>
      <c r="L573" s="246"/>
      <c r="M573" s="247"/>
      <c r="N573" s="1124" t="s">
        <v>3914</v>
      </c>
      <c r="O573" s="1137"/>
      <c r="P573" s="1137"/>
      <c r="Q573" s="1137"/>
      <c r="R573" s="1815"/>
      <c r="S573" s="1845" t="s">
        <v>3917</v>
      </c>
      <c r="T573" s="2217" t="e">
        <v>#N/A</v>
      </c>
      <c r="U573" s="2065" t="e">
        <v>#N/A</v>
      </c>
      <c r="V573" s="2065" t="e">
        <v>#N/A</v>
      </c>
      <c r="W573" s="2065" t="e">
        <v>#N/A</v>
      </c>
      <c r="X573" s="2065" t="e">
        <v>#N/A</v>
      </c>
      <c r="Y573" s="2065" t="e">
        <v>#N/A</v>
      </c>
      <c r="Z573" s="2065" t="e">
        <v>#N/A</v>
      </c>
      <c r="AA573" s="2065" t="e">
        <v>#N/A</v>
      </c>
      <c r="AB573" s="2218" t="e">
        <v>#N/A</v>
      </c>
      <c r="AC573" s="46"/>
      <c r="AE573" s="10"/>
      <c r="AF573" s="248"/>
      <c r="AG573" s="10"/>
      <c r="AH573" s="10"/>
    </row>
    <row r="574" spans="1:34" s="5" customFormat="1" ht="10.15" hidden="1" customHeight="1" x14ac:dyDescent="0.2">
      <c r="A574" s="10" t="s">
        <v>463</v>
      </c>
      <c r="B574" s="10"/>
      <c r="C574" s="40"/>
      <c r="J574" s="245"/>
      <c r="K574" s="246"/>
      <c r="L574" s="246"/>
      <c r="M574" s="247"/>
      <c r="N574" s="1120" t="s">
        <v>2669</v>
      </c>
      <c r="O574" s="1136"/>
      <c r="P574" s="1136"/>
      <c r="Q574" s="1136"/>
      <c r="R574" s="116"/>
      <c r="S574" s="1846" t="s">
        <v>3534</v>
      </c>
      <c r="T574" s="2320">
        <v>0</v>
      </c>
      <c r="U574" s="2276">
        <v>0</v>
      </c>
      <c r="V574" s="2276">
        <v>0</v>
      </c>
      <c r="W574" s="2276">
        <v>0</v>
      </c>
      <c r="X574" s="2276">
        <v>0</v>
      </c>
      <c r="Y574" s="2063" t="e">
        <v>#N/A</v>
      </c>
      <c r="Z574" s="2063" t="e">
        <v>#N/A</v>
      </c>
      <c r="AA574" s="2063" t="e">
        <v>#N/A</v>
      </c>
      <c r="AB574" s="2212" t="e">
        <v>#N/A</v>
      </c>
      <c r="AC574" s="46"/>
      <c r="AE574" s="10"/>
      <c r="AF574" s="248"/>
      <c r="AG574" s="10"/>
      <c r="AH574" s="10"/>
    </row>
    <row r="575" spans="1:34" s="5" customFormat="1" ht="10.15" hidden="1" customHeight="1" x14ac:dyDescent="0.2">
      <c r="A575" s="10" t="s">
        <v>463</v>
      </c>
      <c r="C575" s="40"/>
      <c r="J575" s="245"/>
      <c r="K575" s="246"/>
      <c r="L575" s="246"/>
      <c r="M575" s="247"/>
      <c r="N575" s="1118" t="s">
        <v>4162</v>
      </c>
      <c r="O575" s="360"/>
      <c r="P575" s="360"/>
      <c r="Q575" s="360"/>
      <c r="R575" s="117"/>
      <c r="S575" s="1877" t="s">
        <v>4185</v>
      </c>
      <c r="T575" s="2213" t="e">
        <v>#N/A</v>
      </c>
      <c r="U575" s="2057" t="e">
        <v>#N/A</v>
      </c>
      <c r="V575" s="2057" t="e">
        <v>#N/A</v>
      </c>
      <c r="W575" s="2057" t="e">
        <v>#N/A</v>
      </c>
      <c r="X575" s="2057" t="e">
        <v>#N/A</v>
      </c>
      <c r="Y575" s="2057" t="e">
        <v>#N/A</v>
      </c>
      <c r="Z575" s="2057" t="e">
        <v>#N/A</v>
      </c>
      <c r="AA575" s="2057" t="e">
        <v>#N/A</v>
      </c>
      <c r="AB575" s="2214" t="e">
        <v>#N/A</v>
      </c>
      <c r="AC575" s="46"/>
      <c r="AE575" s="10"/>
      <c r="AF575" s="248"/>
      <c r="AG575" s="10"/>
      <c r="AH575" s="10"/>
    </row>
    <row r="576" spans="1:34" s="5" customFormat="1" ht="10.15" hidden="1" customHeight="1" x14ac:dyDescent="0.2">
      <c r="A576" s="10" t="s">
        <v>463</v>
      </c>
      <c r="C576" s="40"/>
      <c r="J576" s="245"/>
      <c r="K576" s="246"/>
      <c r="L576" s="246"/>
      <c r="M576" s="247"/>
      <c r="N576" s="1118" t="s">
        <v>4161</v>
      </c>
      <c r="O576" s="360"/>
      <c r="P576" s="360"/>
      <c r="Q576" s="360"/>
      <c r="R576" s="117"/>
      <c r="S576" s="1878" t="s">
        <v>4186</v>
      </c>
      <c r="T576" s="2213" t="e">
        <v>#N/A</v>
      </c>
      <c r="U576" s="2057" t="e">
        <v>#N/A</v>
      </c>
      <c r="V576" s="2057" t="e">
        <v>#N/A</v>
      </c>
      <c r="W576" s="2057" t="e">
        <v>#N/A</v>
      </c>
      <c r="X576" s="2057" t="e">
        <v>#N/A</v>
      </c>
      <c r="Y576" s="2057" t="e">
        <v>#N/A</v>
      </c>
      <c r="Z576" s="2057" t="e">
        <v>#N/A</v>
      </c>
      <c r="AA576" s="2057" t="e">
        <v>#N/A</v>
      </c>
      <c r="AB576" s="2214" t="e">
        <v>#N/A</v>
      </c>
      <c r="AC576" s="46"/>
      <c r="AE576" s="10"/>
      <c r="AF576" s="248"/>
      <c r="AG576" s="10"/>
      <c r="AH576" s="10"/>
    </row>
    <row r="577" spans="1:34" s="5" customFormat="1" ht="10.15" hidden="1" customHeight="1" x14ac:dyDescent="0.2">
      <c r="A577" s="10" t="s">
        <v>463</v>
      </c>
      <c r="C577" s="40"/>
      <c r="J577" s="245"/>
      <c r="K577" s="246"/>
      <c r="L577" s="246"/>
      <c r="M577" s="247"/>
      <c r="N577" s="1119" t="s">
        <v>4163</v>
      </c>
      <c r="O577" s="360"/>
      <c r="P577" s="360"/>
      <c r="Q577" s="360"/>
      <c r="R577" s="117"/>
      <c r="S577" s="1878" t="s">
        <v>4187</v>
      </c>
      <c r="T577" s="2213" t="e">
        <v>#N/A</v>
      </c>
      <c r="U577" s="2057" t="e">
        <v>#N/A</v>
      </c>
      <c r="V577" s="2057" t="e">
        <v>#N/A</v>
      </c>
      <c r="W577" s="2057" t="e">
        <v>#N/A</v>
      </c>
      <c r="X577" s="2057" t="e">
        <v>#N/A</v>
      </c>
      <c r="Y577" s="2057" t="e">
        <v>#N/A</v>
      </c>
      <c r="Z577" s="2057" t="e">
        <v>#N/A</v>
      </c>
      <c r="AA577" s="2057" t="e">
        <v>#N/A</v>
      </c>
      <c r="AB577" s="2214" t="e">
        <v>#N/A</v>
      </c>
      <c r="AC577" s="46"/>
      <c r="AE577" s="10"/>
      <c r="AF577" s="248"/>
      <c r="AG577" s="10"/>
      <c r="AH577" s="10"/>
    </row>
    <row r="578" spans="1:34" s="5" customFormat="1" ht="10.15" hidden="1" customHeight="1" x14ac:dyDescent="0.2">
      <c r="A578" s="10" t="s">
        <v>463</v>
      </c>
      <c r="C578" s="40"/>
      <c r="J578" s="245"/>
      <c r="K578" s="246"/>
      <c r="L578" s="246"/>
      <c r="M578" s="247"/>
      <c r="N578" s="1118" t="s">
        <v>4164</v>
      </c>
      <c r="O578" s="360"/>
      <c r="P578" s="360"/>
      <c r="Q578" s="360"/>
      <c r="R578" s="117"/>
      <c r="S578" s="1877" t="s">
        <v>4188</v>
      </c>
      <c r="T578" s="2213" t="e">
        <v>#N/A</v>
      </c>
      <c r="U578" s="2057" t="e">
        <v>#N/A</v>
      </c>
      <c r="V578" s="2057" t="e">
        <v>#N/A</v>
      </c>
      <c r="W578" s="2057" t="e">
        <v>#N/A</v>
      </c>
      <c r="X578" s="2057" t="e">
        <v>#N/A</v>
      </c>
      <c r="Y578" s="2057" t="e">
        <v>#N/A</v>
      </c>
      <c r="Z578" s="2057" t="e">
        <v>#N/A</v>
      </c>
      <c r="AA578" s="2057" t="e">
        <v>#N/A</v>
      </c>
      <c r="AB578" s="2214" t="e">
        <v>#N/A</v>
      </c>
      <c r="AC578" s="46"/>
      <c r="AE578" s="10"/>
      <c r="AF578" s="248"/>
      <c r="AG578" s="10"/>
      <c r="AH578" s="10"/>
    </row>
    <row r="579" spans="1:34" s="5" customFormat="1" ht="10.15" hidden="1" customHeight="1" x14ac:dyDescent="0.2">
      <c r="A579" s="10" t="s">
        <v>463</v>
      </c>
      <c r="C579" s="40"/>
      <c r="J579" s="245"/>
      <c r="K579" s="246"/>
      <c r="L579" s="246"/>
      <c r="M579" s="247"/>
      <c r="N579" s="1118" t="s">
        <v>4165</v>
      </c>
      <c r="O579" s="360"/>
      <c r="P579" s="360"/>
      <c r="Q579" s="360"/>
      <c r="R579" s="117"/>
      <c r="S579" s="1878" t="s">
        <v>4189</v>
      </c>
      <c r="T579" s="2213" t="e">
        <v>#N/A</v>
      </c>
      <c r="U579" s="2057" t="e">
        <v>#N/A</v>
      </c>
      <c r="V579" s="2057" t="e">
        <v>#N/A</v>
      </c>
      <c r="W579" s="2057" t="e">
        <v>#N/A</v>
      </c>
      <c r="X579" s="2057" t="e">
        <v>#N/A</v>
      </c>
      <c r="Y579" s="2057" t="e">
        <v>#N/A</v>
      </c>
      <c r="Z579" s="2057" t="e">
        <v>#N/A</v>
      </c>
      <c r="AA579" s="2057" t="e">
        <v>#N/A</v>
      </c>
      <c r="AB579" s="2214" t="e">
        <v>#N/A</v>
      </c>
      <c r="AC579" s="46"/>
      <c r="AE579" s="10"/>
      <c r="AF579" s="248"/>
      <c r="AG579" s="10"/>
      <c r="AH579" s="10"/>
    </row>
    <row r="580" spans="1:34" s="5" customFormat="1" ht="10.15" hidden="1" customHeight="1" x14ac:dyDescent="0.2">
      <c r="A580" s="10" t="s">
        <v>463</v>
      </c>
      <c r="C580" s="40"/>
      <c r="J580" s="301"/>
      <c r="K580" s="302"/>
      <c r="L580" s="302"/>
      <c r="M580" s="303"/>
      <c r="N580" s="1119" t="s">
        <v>4166</v>
      </c>
      <c r="O580" s="1152"/>
      <c r="P580" s="1152"/>
      <c r="Q580" s="1152"/>
      <c r="R580" s="120"/>
      <c r="S580" s="1878" t="s">
        <v>4190</v>
      </c>
      <c r="T580" s="2217" t="e">
        <v>#N/A</v>
      </c>
      <c r="U580" s="2065" t="e">
        <v>#N/A</v>
      </c>
      <c r="V580" s="2065" t="e">
        <v>#N/A</v>
      </c>
      <c r="W580" s="2065" t="e">
        <v>#N/A</v>
      </c>
      <c r="X580" s="2065" t="e">
        <v>#N/A</v>
      </c>
      <c r="Y580" s="2065" t="e">
        <v>#N/A</v>
      </c>
      <c r="Z580" s="2065" t="e">
        <v>#N/A</v>
      </c>
      <c r="AA580" s="2065" t="e">
        <v>#N/A</v>
      </c>
      <c r="AB580" s="2218" t="e">
        <v>#N/A</v>
      </c>
      <c r="AC580" s="46"/>
      <c r="AE580" s="10"/>
      <c r="AF580" s="248"/>
      <c r="AG580" s="10"/>
      <c r="AH580" s="10"/>
    </row>
    <row r="581" spans="1:34" s="5" customFormat="1" ht="10.15" hidden="1" customHeight="1" x14ac:dyDescent="0.2">
      <c r="A581" s="10" t="s">
        <v>463</v>
      </c>
      <c r="C581" s="40"/>
      <c r="J581" s="2578" t="s">
        <v>90</v>
      </c>
      <c r="K581" s="2579"/>
      <c r="L581" s="2579"/>
      <c r="M581" s="2580"/>
      <c r="N581" s="1117" t="s">
        <v>50</v>
      </c>
      <c r="O581" s="1135"/>
      <c r="P581" s="1135"/>
      <c r="Q581" s="1135"/>
      <c r="R581" s="115"/>
      <c r="S581" s="1837" t="s">
        <v>3523</v>
      </c>
      <c r="T581" s="2320">
        <v>0</v>
      </c>
      <c r="U581" s="2276">
        <v>0</v>
      </c>
      <c r="V581" s="2276">
        <v>0</v>
      </c>
      <c r="W581" s="2276">
        <v>0</v>
      </c>
      <c r="X581" s="2276">
        <v>0</v>
      </c>
      <c r="Y581" s="2063" t="e">
        <v>#N/A</v>
      </c>
      <c r="Z581" s="2063" t="e">
        <v>#N/A</v>
      </c>
      <c r="AA581" s="2063" t="e">
        <v>#N/A</v>
      </c>
      <c r="AB581" s="2212" t="e">
        <v>#N/A</v>
      </c>
      <c r="AC581" s="46"/>
      <c r="AE581" s="10"/>
      <c r="AF581" s="248"/>
      <c r="AG581" s="10"/>
      <c r="AH581" s="10"/>
    </row>
    <row r="582" spans="1:34" s="5" customFormat="1" ht="10.15" hidden="1" customHeight="1" x14ac:dyDescent="0.2">
      <c r="A582" s="10" t="s">
        <v>463</v>
      </c>
      <c r="C582" s="40"/>
      <c r="J582" s="2581"/>
      <c r="K582" s="2582"/>
      <c r="L582" s="2582"/>
      <c r="M582" s="2583"/>
      <c r="N582" s="1116" t="s">
        <v>20</v>
      </c>
      <c r="O582" s="1096"/>
      <c r="P582" s="1096"/>
      <c r="Q582" s="1096"/>
      <c r="R582" s="114"/>
      <c r="S582" s="1836" t="s">
        <v>3524</v>
      </c>
      <c r="T582" s="2324">
        <v>0</v>
      </c>
      <c r="U582" s="2285">
        <v>0</v>
      </c>
      <c r="V582" s="2285">
        <v>0</v>
      </c>
      <c r="W582" s="2285">
        <v>0</v>
      </c>
      <c r="X582" s="2285">
        <v>0</v>
      </c>
      <c r="Y582" s="2060" t="e">
        <v>#N/A</v>
      </c>
      <c r="Z582" s="2060" t="e">
        <v>#N/A</v>
      </c>
      <c r="AA582" s="2060" t="e">
        <v>#N/A</v>
      </c>
      <c r="AB582" s="2216" t="e">
        <v>#N/A</v>
      </c>
      <c r="AC582" s="46"/>
      <c r="AE582" s="10"/>
      <c r="AF582" s="248"/>
      <c r="AG582" s="10"/>
      <c r="AH582" s="10"/>
    </row>
    <row r="583" spans="1:34" s="5" customFormat="1" ht="10.15" hidden="1" customHeight="1" x14ac:dyDescent="0.2">
      <c r="A583" s="10" t="s">
        <v>463</v>
      </c>
      <c r="C583" s="40"/>
      <c r="J583" s="2581"/>
      <c r="K583" s="2582"/>
      <c r="L583" s="2582"/>
      <c r="M583" s="2583"/>
      <c r="N583" s="1117" t="s">
        <v>49</v>
      </c>
      <c r="O583" s="1135"/>
      <c r="P583" s="1135"/>
      <c r="Q583" s="1135"/>
      <c r="R583" s="115"/>
      <c r="S583" s="1834" t="s">
        <v>3525</v>
      </c>
      <c r="T583" s="2309">
        <v>0</v>
      </c>
      <c r="U583" s="2310">
        <v>0</v>
      </c>
      <c r="V583" s="2310">
        <v>0</v>
      </c>
      <c r="W583" s="2310">
        <v>0</v>
      </c>
      <c r="X583" s="2310">
        <v>0</v>
      </c>
      <c r="Y583" s="2068" t="e">
        <v>#N/A</v>
      </c>
      <c r="Z583" s="2068" t="e">
        <v>#N/A</v>
      </c>
      <c r="AA583" s="2068" t="e">
        <v>#N/A</v>
      </c>
      <c r="AB583" s="2235" t="e">
        <v>#N/A</v>
      </c>
      <c r="AC583" s="46"/>
      <c r="AE583" s="10"/>
      <c r="AF583" s="248"/>
      <c r="AG583" s="10"/>
      <c r="AH583" s="10"/>
    </row>
    <row r="584" spans="1:34" s="5" customFormat="1" ht="10.15" hidden="1" customHeight="1" x14ac:dyDescent="0.2">
      <c r="A584" s="10" t="s">
        <v>463</v>
      </c>
      <c r="C584" s="40"/>
      <c r="J584" s="2581"/>
      <c r="K584" s="2582"/>
      <c r="L584" s="2582"/>
      <c r="M584" s="2583"/>
      <c r="N584" s="1116" t="s">
        <v>22</v>
      </c>
      <c r="O584" s="1096"/>
      <c r="P584" s="1096"/>
      <c r="Q584" s="1096"/>
      <c r="R584" s="114"/>
      <c r="S584" s="1847" t="s">
        <v>3526</v>
      </c>
      <c r="T584" s="2342">
        <v>0</v>
      </c>
      <c r="U584" s="2340">
        <v>0</v>
      </c>
      <c r="V584" s="2340">
        <v>0</v>
      </c>
      <c r="W584" s="2340">
        <v>0</v>
      </c>
      <c r="X584" s="2340">
        <v>0</v>
      </c>
      <c r="Y584" s="2065" t="e">
        <v>#N/A</v>
      </c>
      <c r="Z584" s="2065" t="e">
        <v>#N/A</v>
      </c>
      <c r="AA584" s="2065" t="e">
        <v>#N/A</v>
      </c>
      <c r="AB584" s="2218" t="e">
        <v>#N/A</v>
      </c>
      <c r="AC584" s="46"/>
      <c r="AE584" s="10"/>
      <c r="AF584" s="248"/>
      <c r="AG584" s="10"/>
      <c r="AH584" s="10"/>
    </row>
    <row r="585" spans="1:34" s="5" customFormat="1" ht="10.15" hidden="1" customHeight="1" x14ac:dyDescent="0.2">
      <c r="A585" s="10" t="s">
        <v>463</v>
      </c>
      <c r="C585" s="40"/>
      <c r="J585" s="2584"/>
      <c r="K585" s="2585"/>
      <c r="L585" s="2585"/>
      <c r="M585" s="2586"/>
      <c r="N585" s="1125" t="s">
        <v>82</v>
      </c>
      <c r="O585" s="1134"/>
      <c r="P585" s="1134"/>
      <c r="Q585" s="1134"/>
      <c r="R585" s="1816"/>
      <c r="S585" s="1848" t="s">
        <v>2033</v>
      </c>
      <c r="T585" s="2344">
        <v>0</v>
      </c>
      <c r="U585" s="2345">
        <v>0</v>
      </c>
      <c r="V585" s="2345">
        <v>0</v>
      </c>
      <c r="W585" s="2345">
        <v>0</v>
      </c>
      <c r="X585" s="2345">
        <v>0</v>
      </c>
      <c r="Y585" s="1803" t="e">
        <v>#N/A</v>
      </c>
      <c r="Z585" s="1803" t="e">
        <v>#N/A</v>
      </c>
      <c r="AA585" s="1803" t="e">
        <v>#N/A</v>
      </c>
      <c r="AB585" s="2234" t="e">
        <v>#N/A</v>
      </c>
      <c r="AC585" s="46"/>
      <c r="AE585" s="10"/>
      <c r="AF585" s="248"/>
      <c r="AG585" s="10"/>
      <c r="AH585" s="10"/>
    </row>
    <row r="586" spans="1:34" s="5" customFormat="1" ht="10.15" hidden="1" customHeight="1" x14ac:dyDescent="0.2">
      <c r="A586" s="10" t="s">
        <v>461</v>
      </c>
      <c r="C586" s="40"/>
      <c r="J586" s="2578" t="s">
        <v>23</v>
      </c>
      <c r="K586" s="2579"/>
      <c r="L586" s="2579"/>
      <c r="M586" s="2580"/>
      <c r="N586" s="1115" t="s">
        <v>73</v>
      </c>
      <c r="O586" s="1133"/>
      <c r="P586" s="1133"/>
      <c r="Q586" s="1133"/>
      <c r="R586" s="112"/>
      <c r="S586" s="1837" t="s">
        <v>3527</v>
      </c>
      <c r="T586" s="2320">
        <v>0</v>
      </c>
      <c r="U586" s="2276">
        <v>0</v>
      </c>
      <c r="V586" s="2276">
        <v>0</v>
      </c>
      <c r="W586" s="2276">
        <v>0</v>
      </c>
      <c r="X586" s="2276">
        <v>0</v>
      </c>
      <c r="Y586" s="2063" t="e">
        <v>#N/A</v>
      </c>
      <c r="Z586" s="2063" t="e">
        <v>#N/A</v>
      </c>
      <c r="AA586" s="2063" t="e">
        <v>#N/A</v>
      </c>
      <c r="AB586" s="2212" t="e">
        <v>#N/A</v>
      </c>
      <c r="AC586" s="46"/>
      <c r="AE586" s="10"/>
      <c r="AF586" s="248"/>
      <c r="AG586" s="10"/>
      <c r="AH586" s="10"/>
    </row>
    <row r="587" spans="1:34" s="5" customFormat="1" ht="10.15" hidden="1" customHeight="1" x14ac:dyDescent="0.2">
      <c r="A587" s="10" t="s">
        <v>461</v>
      </c>
      <c r="C587" s="40"/>
      <c r="J587" s="2581"/>
      <c r="K587" s="2582"/>
      <c r="L587" s="2582"/>
      <c r="M587" s="2583"/>
      <c r="N587" s="1095" t="s">
        <v>74</v>
      </c>
      <c r="O587" s="1091"/>
      <c r="P587" s="1091"/>
      <c r="Q587" s="1091"/>
      <c r="R587" s="113"/>
      <c r="S587" s="1835" t="s">
        <v>3528</v>
      </c>
      <c r="T587" s="2322" cm="1">
        <f t="array" ref="T587">[1]!LLPA_PN_000050_45_Day</f>
        <v>-0.25</v>
      </c>
      <c r="U587" s="2282" cm="1">
        <f t="array" ref="U587">[1]!LLPA_PN_000050_45_Day</f>
        <v>-0.25</v>
      </c>
      <c r="V587" s="2282" cm="1">
        <f t="array" ref="V587">[1]!LLPA_PN_000050_45_Day</f>
        <v>-0.25</v>
      </c>
      <c r="W587" s="2282" cm="1">
        <f t="array" ref="W587">[1]!LLPA_PN_000050_45_Day</f>
        <v>-0.25</v>
      </c>
      <c r="X587" s="2282" cm="1">
        <f t="array" ref="X587">[1]!LLPA_PN_000050_45_Day</f>
        <v>-0.25</v>
      </c>
      <c r="Y587" s="2057" t="e">
        <v>#N/A</v>
      </c>
      <c r="Z587" s="2057" t="e">
        <v>#N/A</v>
      </c>
      <c r="AA587" s="2057" t="e">
        <v>#N/A</v>
      </c>
      <c r="AB587" s="2214" t="e">
        <v>#N/A</v>
      </c>
      <c r="AC587" s="46"/>
      <c r="AE587" s="10"/>
      <c r="AF587" s="248"/>
      <c r="AG587" s="10"/>
      <c r="AH587" s="10"/>
    </row>
    <row r="588" spans="1:34" s="5" customFormat="1" ht="10.15" hidden="1" customHeight="1" x14ac:dyDescent="0.2">
      <c r="A588" s="10" t="s">
        <v>461</v>
      </c>
      <c r="C588" s="40"/>
      <c r="J588" s="2581"/>
      <c r="K588" s="2582"/>
      <c r="L588" s="2582"/>
      <c r="M588" s="2583"/>
      <c r="N588" s="1095" t="s">
        <v>75</v>
      </c>
      <c r="O588" s="1091"/>
      <c r="P588" s="1091"/>
      <c r="Q588" s="1091"/>
      <c r="R588" s="113"/>
      <c r="S588" s="1835" t="s">
        <v>3529</v>
      </c>
      <c r="T588" s="2322" cm="1">
        <f t="array" ref="T588">[1]!LLPA_PN_000050_60_Day</f>
        <v>-0.5</v>
      </c>
      <c r="U588" s="2282" cm="1">
        <f t="array" ref="U588">[1]!LLPA_PN_000050_60_Day</f>
        <v>-0.5</v>
      </c>
      <c r="V588" s="2282" cm="1">
        <f t="array" ref="V588">[1]!LLPA_PN_000050_60_Day</f>
        <v>-0.5</v>
      </c>
      <c r="W588" s="2282" cm="1">
        <f t="array" ref="W588">[1]!LLPA_PN_000050_60_Day</f>
        <v>-0.5</v>
      </c>
      <c r="X588" s="2282" cm="1">
        <f t="array" ref="X588">[1]!LLPA_PN_000050_60_Day</f>
        <v>-0.5</v>
      </c>
      <c r="Y588" s="2057" t="e">
        <v>#N/A</v>
      </c>
      <c r="Z588" s="2057" t="e">
        <v>#N/A</v>
      </c>
      <c r="AA588" s="2057" t="e">
        <v>#N/A</v>
      </c>
      <c r="AB588" s="2214" t="e">
        <v>#N/A</v>
      </c>
      <c r="AC588" s="46"/>
      <c r="AE588" s="10"/>
      <c r="AF588" s="248"/>
      <c r="AG588" s="10"/>
      <c r="AH588" s="10"/>
    </row>
    <row r="589" spans="1:34" s="5" customFormat="1" ht="10.15" hidden="1" customHeight="1" x14ac:dyDescent="0.2">
      <c r="A589" s="10" t="s">
        <v>463</v>
      </c>
      <c r="C589" s="40"/>
      <c r="J589" s="2584"/>
      <c r="K589" s="2585"/>
      <c r="L589" s="2585"/>
      <c r="M589" s="2586"/>
      <c r="N589" s="1126" t="s">
        <v>1648</v>
      </c>
      <c r="O589" s="1142"/>
      <c r="P589" s="1142"/>
      <c r="Q589" s="1142"/>
      <c r="R589" s="1817"/>
      <c r="S589" s="1849" t="s">
        <v>3530</v>
      </c>
      <c r="T589" s="2221" t="e">
        <v>#N/A</v>
      </c>
      <c r="U589" s="2173" t="e">
        <v>#N/A</v>
      </c>
      <c r="V589" s="2173" t="e">
        <v>#N/A</v>
      </c>
      <c r="W589" s="2173" t="e">
        <v>#N/A</v>
      </c>
      <c r="X589" s="2173" t="e">
        <v>#N/A</v>
      </c>
      <c r="Y589" s="2173" t="e">
        <v>#N/A</v>
      </c>
      <c r="Z589" s="2173" t="e">
        <v>#N/A</v>
      </c>
      <c r="AA589" s="2173" t="e">
        <v>#N/A</v>
      </c>
      <c r="AB589" s="2084" t="e">
        <v>#N/A</v>
      </c>
      <c r="AC589" s="46"/>
      <c r="AE589" s="10"/>
      <c r="AF589" s="248"/>
      <c r="AG589" s="10"/>
      <c r="AH589" s="10"/>
    </row>
    <row r="590" spans="1:34" s="5" customFormat="1" ht="10.15" hidden="1" customHeight="1" x14ac:dyDescent="0.2">
      <c r="A590" s="10" t="s">
        <v>463</v>
      </c>
      <c r="C590" s="40"/>
      <c r="J590" s="2587" t="s">
        <v>361</v>
      </c>
      <c r="K590" s="2588"/>
      <c r="L590" s="2588"/>
      <c r="M590" s="2589"/>
      <c r="N590" s="1115" t="s">
        <v>362</v>
      </c>
      <c r="O590" s="1133"/>
      <c r="P590" s="1133"/>
      <c r="Q590" s="1133"/>
      <c r="R590" s="112"/>
      <c r="S590" s="1838" t="s">
        <v>3531</v>
      </c>
      <c r="T590" s="2320" cm="1">
        <f t="array" ref="T590">[1]!LLPA_PN_000050_Mandatory</f>
        <v>0</v>
      </c>
      <c r="U590" s="2276" cm="1">
        <f t="array" ref="U590">[1]!LLPA_PN_000050_Mandatory</f>
        <v>0</v>
      </c>
      <c r="V590" s="2276" cm="1">
        <f t="array" ref="V590">[1]!LLPA_PN_000050_Mandatory</f>
        <v>0</v>
      </c>
      <c r="W590" s="2276" cm="1">
        <f t="array" ref="W590">[1]!LLPA_PN_000050_Mandatory</f>
        <v>0</v>
      </c>
      <c r="X590" s="2276" cm="1">
        <f t="array" ref="X590">[1]!LLPA_PN_000050_Mandatory</f>
        <v>0</v>
      </c>
      <c r="Y590" s="2063" t="e">
        <v>#N/A</v>
      </c>
      <c r="Z590" s="2063" t="e">
        <v>#N/A</v>
      </c>
      <c r="AA590" s="2063" t="e">
        <v>#N/A</v>
      </c>
      <c r="AB590" s="2212" t="e">
        <v>#N/A</v>
      </c>
      <c r="AC590" s="46"/>
      <c r="AE590" s="10"/>
      <c r="AF590" s="248"/>
      <c r="AG590" s="10"/>
      <c r="AH590" s="10"/>
    </row>
    <row r="591" spans="1:34" s="5" customFormat="1" ht="10.15" hidden="1" customHeight="1" x14ac:dyDescent="0.2">
      <c r="A591" s="10" t="s">
        <v>463</v>
      </c>
      <c r="C591" s="40"/>
      <c r="J591" s="2590"/>
      <c r="K591" s="2591"/>
      <c r="L591" s="2591"/>
      <c r="M591" s="2592"/>
      <c r="N591" s="1116" t="s">
        <v>363</v>
      </c>
      <c r="O591" s="1096"/>
      <c r="P591" s="1096"/>
      <c r="Q591" s="1096"/>
      <c r="R591" s="114"/>
      <c r="S591" s="1850" t="s">
        <v>3532</v>
      </c>
      <c r="T591" s="2324" cm="1">
        <f t="array" ref="T591">[1]!LLPA_PN_000050_Best_Efforts</f>
        <v>0</v>
      </c>
      <c r="U591" s="2285" cm="1">
        <f t="array" ref="U591">[1]!LLPA_PN_000050_Best_Efforts</f>
        <v>0</v>
      </c>
      <c r="V591" s="2285" cm="1">
        <f t="array" ref="V591">[1]!LLPA_PN_000050_Best_Efforts</f>
        <v>0</v>
      </c>
      <c r="W591" s="2285" cm="1">
        <f t="array" ref="W591">[1]!LLPA_PN_000050_Best_Efforts</f>
        <v>0</v>
      </c>
      <c r="X591" s="2285" cm="1">
        <f t="array" ref="X591">[1]!LLPA_PN_000050_Best_Efforts</f>
        <v>0</v>
      </c>
      <c r="Y591" s="2060" t="e">
        <v>#N/A</v>
      </c>
      <c r="Z591" s="2060" t="e">
        <v>#N/A</v>
      </c>
      <c r="AA591" s="2060" t="e">
        <v>#N/A</v>
      </c>
      <c r="AB591" s="2216" t="e">
        <v>#N/A</v>
      </c>
      <c r="AC591" s="46"/>
      <c r="AE591" s="10"/>
      <c r="AF591" s="248"/>
      <c r="AG591" s="10"/>
      <c r="AH591" s="10"/>
    </row>
    <row r="592" spans="1:34" s="5" customFormat="1" ht="3" hidden="1" customHeight="1" x14ac:dyDescent="0.2">
      <c r="A592" s="10" t="s">
        <v>462</v>
      </c>
      <c r="C592" s="40"/>
      <c r="J592" s="74"/>
      <c r="K592" s="74"/>
      <c r="L592" s="74"/>
      <c r="M592" s="74"/>
      <c r="N592" s="74"/>
      <c r="O592" s="74"/>
      <c r="P592" s="74"/>
      <c r="Q592" s="78"/>
      <c r="R592" s="79"/>
      <c r="S592" s="79"/>
      <c r="T592" s="79"/>
      <c r="U592" s="79"/>
      <c r="V592" s="79"/>
      <c r="W592" s="79"/>
      <c r="X592" s="79"/>
      <c r="Y592" s="79"/>
      <c r="Z592" s="79"/>
      <c r="AA592" s="79"/>
      <c r="AB592" s="79"/>
      <c r="AC592" s="46"/>
      <c r="AE592" s="10"/>
      <c r="AF592" s="248"/>
    </row>
    <row r="593" spans="1:36" s="5" customFormat="1" ht="10.15" hidden="1" customHeight="1" x14ac:dyDescent="0.2">
      <c r="A593" s="10" t="s">
        <v>461</v>
      </c>
      <c r="C593" s="277"/>
      <c r="D593" s="2665"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593" s="2665"/>
      <c r="F593" s="2665"/>
      <c r="G593" s="2665"/>
      <c r="H593" s="2665"/>
      <c r="I593" s="2665"/>
      <c r="J593" s="2665"/>
      <c r="K593" s="2665"/>
      <c r="L593" s="2665"/>
      <c r="M593" s="2665"/>
      <c r="N593" s="2665"/>
      <c r="O593" s="2665"/>
      <c r="P593" s="2665"/>
      <c r="Q593" s="2665"/>
      <c r="R593" s="2665"/>
      <c r="S593" s="2665"/>
      <c r="T593" s="2665"/>
      <c r="U593" s="2665"/>
      <c r="V593" s="2665"/>
      <c r="W593" s="2665"/>
      <c r="X593" s="2665"/>
      <c r="Y593" s="2665"/>
      <c r="Z593" s="2665"/>
      <c r="AA593" s="2665"/>
      <c r="AB593" s="2665"/>
      <c r="AC593" s="2666"/>
      <c r="AD593" s="248"/>
      <c r="AE593" s="10"/>
      <c r="AF593" s="248"/>
    </row>
    <row r="594" spans="1:36" s="5" customFormat="1" ht="10.15" hidden="1" customHeight="1" x14ac:dyDescent="0.2">
      <c r="A594" s="10" t="s">
        <v>461</v>
      </c>
      <c r="C594" s="278"/>
      <c r="D594" s="2667"/>
      <c r="E594" s="2667"/>
      <c r="F594" s="2667"/>
      <c r="G594" s="2667"/>
      <c r="H594" s="2667"/>
      <c r="I594" s="2667"/>
      <c r="J594" s="2667"/>
      <c r="K594" s="2667"/>
      <c r="L594" s="2667"/>
      <c r="M594" s="2667"/>
      <c r="N594" s="2667"/>
      <c r="O594" s="2667"/>
      <c r="P594" s="2667"/>
      <c r="Q594" s="2667"/>
      <c r="R594" s="2667"/>
      <c r="S594" s="2667"/>
      <c r="T594" s="2667"/>
      <c r="U594" s="2667"/>
      <c r="V594" s="2667"/>
      <c r="W594" s="2667"/>
      <c r="X594" s="2667"/>
      <c r="Y594" s="2667"/>
      <c r="Z594" s="2667"/>
      <c r="AA594" s="2667"/>
      <c r="AB594" s="2667"/>
      <c r="AC594" s="2668"/>
      <c r="AD594" s="248"/>
      <c r="AE594" s="10"/>
      <c r="AF594" s="248"/>
    </row>
    <row r="595" spans="1:36" s="5" customFormat="1" ht="3" hidden="1" customHeight="1" x14ac:dyDescent="0.25">
      <c r="A595" s="10" t="s">
        <v>462</v>
      </c>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E595" s="10"/>
      <c r="AF595" s="248"/>
      <c r="AG595"/>
      <c r="AH595"/>
      <c r="AI595"/>
      <c r="AJ595"/>
    </row>
    <row r="596" spans="1:36" ht="10.15" hidden="1" customHeight="1" x14ac:dyDescent="0.25">
      <c r="A596" s="10" t="s">
        <v>461</v>
      </c>
      <c r="C596" s="2145"/>
      <c r="D596" s="2146"/>
      <c r="E596" s="2146"/>
      <c r="F596" s="2146"/>
      <c r="G596" s="2139"/>
      <c r="H596" s="2139"/>
      <c r="I596" s="2139"/>
      <c r="J596" s="2694" t="str">
        <f>Input_Name_Product1</f>
        <v>NonQM OO</v>
      </c>
      <c r="K596" s="2694"/>
      <c r="L596" s="2694"/>
      <c r="M596" s="2694"/>
      <c r="N596" s="2694"/>
      <c r="O596" s="2694"/>
      <c r="P596" s="2694"/>
      <c r="Q596" s="2694"/>
      <c r="R596" s="2694"/>
      <c r="S596" s="2694"/>
      <c r="T596" s="2139"/>
      <c r="U596" s="2139"/>
      <c r="V596" s="2139"/>
      <c r="W596" s="2471" t="str">
        <f>Input_Header01</f>
        <v xml:space="preserve"> </v>
      </c>
      <c r="X596" s="2472"/>
      <c r="Y596" s="2472"/>
      <c r="Z596" s="2472"/>
      <c r="AA596" s="2614" t="str">
        <f>Input_Header06</f>
        <v xml:space="preserve"> </v>
      </c>
      <c r="AB596" s="2614" t="str">
        <f>Input_Header01</f>
        <v xml:space="preserve"> </v>
      </c>
      <c r="AC596" s="2140"/>
      <c r="AF596" s="248"/>
    </row>
    <row r="597" spans="1:36" ht="10.15" hidden="1" customHeight="1" x14ac:dyDescent="0.25">
      <c r="A597" s="10" t="s">
        <v>461</v>
      </c>
      <c r="C597" s="2147"/>
      <c r="D597" s="2141"/>
      <c r="E597" s="2141"/>
      <c r="F597" s="2141"/>
      <c r="G597" s="2141"/>
      <c r="H597" s="2141"/>
      <c r="I597" s="2141"/>
      <c r="J597" s="2695"/>
      <c r="K597" s="2695"/>
      <c r="L597" s="2695"/>
      <c r="M597" s="2695"/>
      <c r="N597" s="2695"/>
      <c r="O597" s="2695"/>
      <c r="P597" s="2695"/>
      <c r="Q597" s="2695"/>
      <c r="R597" s="2695"/>
      <c r="S597" s="2695"/>
      <c r="T597" s="2141"/>
      <c r="U597" s="2141"/>
      <c r="V597" s="2141"/>
      <c r="W597" s="2466" t="str">
        <f>Input_Header02</f>
        <v xml:space="preserve"> </v>
      </c>
      <c r="X597" s="2467"/>
      <c r="Y597" s="2467"/>
      <c r="Z597" s="2467"/>
      <c r="AA597" s="2624" t="str">
        <f>Input_Header07</f>
        <v xml:space="preserve"> </v>
      </c>
      <c r="AB597" s="2624" t="str">
        <f>Input_Header01</f>
        <v xml:space="preserve"> </v>
      </c>
      <c r="AC597" s="2142"/>
      <c r="AF597" s="248"/>
    </row>
    <row r="598" spans="1:36" ht="10.15" hidden="1" customHeight="1" x14ac:dyDescent="0.25">
      <c r="A598" s="10" t="s">
        <v>461</v>
      </c>
      <c r="C598" s="2147"/>
      <c r="D598" s="2141"/>
      <c r="E598" s="2141"/>
      <c r="F598" s="2141"/>
      <c r="G598" s="2141"/>
      <c r="H598" s="2141"/>
      <c r="I598" s="2141"/>
      <c r="J598" s="2695"/>
      <c r="K598" s="2695"/>
      <c r="L598" s="2695"/>
      <c r="M598" s="2695"/>
      <c r="N598" s="2695"/>
      <c r="O598" s="2695"/>
      <c r="P598" s="2695"/>
      <c r="Q598" s="2695"/>
      <c r="R598" s="2695"/>
      <c r="S598" s="2695"/>
      <c r="T598" s="2141"/>
      <c r="U598" s="2141"/>
      <c r="V598" s="2141"/>
      <c r="W598" s="2469" t="str">
        <f>Input_Header03</f>
        <v xml:space="preserve"> </v>
      </c>
      <c r="X598" s="2467"/>
      <c r="Y598" s="2467"/>
      <c r="Z598" s="2467"/>
      <c r="AA598" s="2468"/>
      <c r="AB598" s="2468"/>
      <c r="AC598" s="2142"/>
      <c r="AF598" s="248"/>
    </row>
    <row r="599" spans="1:36" ht="10.15" hidden="1" customHeight="1" x14ac:dyDescent="0.25">
      <c r="A599" s="10" t="s">
        <v>461</v>
      </c>
      <c r="C599" s="2147"/>
      <c r="D599" s="2141"/>
      <c r="E599" s="2141"/>
      <c r="F599" s="2141"/>
      <c r="G599" s="2141"/>
      <c r="H599" s="2141"/>
      <c r="I599" s="2141"/>
      <c r="J599" s="2695"/>
      <c r="K599" s="2695"/>
      <c r="L599" s="2695"/>
      <c r="M599" s="2695"/>
      <c r="N599" s="2695"/>
      <c r="O599" s="2695"/>
      <c r="P599" s="2695"/>
      <c r="Q599" s="2695"/>
      <c r="R599" s="2695"/>
      <c r="S599" s="2695"/>
      <c r="T599" s="2141"/>
      <c r="U599" s="2141"/>
      <c r="V599" s="2141"/>
      <c r="W599" s="2470" t="str">
        <f>Input_Header04</f>
        <v xml:space="preserve"> </v>
      </c>
      <c r="X599" s="2473"/>
      <c r="Y599" s="2467"/>
      <c r="Z599" s="2467"/>
      <c r="AA599" s="2468"/>
      <c r="AB599" s="2468" t="str">
        <f>Input_Version</f>
        <v>#01</v>
      </c>
      <c r="AC599" s="2142"/>
      <c r="AF599" s="248"/>
    </row>
    <row r="600" spans="1:36" ht="10.15" hidden="1" customHeight="1" x14ac:dyDescent="0.25">
      <c r="A600" s="10" t="s">
        <v>461</v>
      </c>
      <c r="C600" s="2148"/>
      <c r="D600" s="2149"/>
      <c r="E600" s="2149"/>
      <c r="F600" s="2149"/>
      <c r="G600" s="2143"/>
      <c r="H600" s="2143"/>
      <c r="I600" s="2143"/>
      <c r="J600" s="2696"/>
      <c r="K600" s="2696"/>
      <c r="L600" s="2696"/>
      <c r="M600" s="2696"/>
      <c r="N600" s="2696"/>
      <c r="O600" s="2696"/>
      <c r="P600" s="2696"/>
      <c r="Q600" s="2696"/>
      <c r="R600" s="2696"/>
      <c r="S600" s="2696"/>
      <c r="T600" s="2143"/>
      <c r="U600" s="2143"/>
      <c r="V600" s="2143"/>
      <c r="W600" s="2474" t="str">
        <f>Input_Header05</f>
        <v xml:space="preserve"> </v>
      </c>
      <c r="X600" s="2475"/>
      <c r="Y600" s="2475"/>
      <c r="Z600" s="2475"/>
      <c r="AA600" s="2611">
        <f ca="1">Input_Date</f>
        <v>45743</v>
      </c>
      <c r="AB600" s="2611"/>
      <c r="AC600" s="2144"/>
      <c r="AF600" s="248"/>
    </row>
    <row r="601" spans="1:36" s="5" customFormat="1" ht="3" hidden="1" customHeight="1" x14ac:dyDescent="0.2">
      <c r="A601" s="10" t="s">
        <v>462</v>
      </c>
      <c r="B601" s="10"/>
      <c r="C601" s="40"/>
      <c r="T601" s="45"/>
      <c r="U601" s="45"/>
      <c r="V601" s="45"/>
      <c r="W601" s="45"/>
      <c r="X601" s="45"/>
      <c r="Y601" s="45"/>
      <c r="Z601" s="45"/>
      <c r="AA601" s="45"/>
      <c r="AC601" s="46"/>
      <c r="AE601" s="10"/>
      <c r="AF601" s="248"/>
      <c r="AG601" s="10"/>
      <c r="AH601" s="10"/>
    </row>
    <row r="602" spans="1:36" s="5" customFormat="1" ht="10.15" hidden="1" customHeight="1" x14ac:dyDescent="0.2">
      <c r="A602" s="10" t="s">
        <v>461</v>
      </c>
      <c r="B602" s="10"/>
      <c r="C602" s="40"/>
      <c r="D602" s="2628" t="s">
        <v>0</v>
      </c>
      <c r="E602" s="2629"/>
      <c r="F602" s="2630"/>
      <c r="G602" s="47"/>
      <c r="H602" s="47"/>
      <c r="I602" s="48"/>
      <c r="J602" s="2602" t="s">
        <v>103</v>
      </c>
      <c r="K602" s="2603"/>
      <c r="L602" s="2603"/>
      <c r="M602" s="2603"/>
      <c r="N602" s="2603"/>
      <c r="O602" s="2603"/>
      <c r="P602" s="2603"/>
      <c r="Q602" s="2603"/>
      <c r="R602" s="2603"/>
      <c r="S602" s="2603"/>
      <c r="T602" s="2603"/>
      <c r="U602" s="2603"/>
      <c r="V602" s="2603"/>
      <c r="W602" s="2603"/>
      <c r="X602" s="2603"/>
      <c r="Y602" s="2603"/>
      <c r="Z602" s="2603"/>
      <c r="AA602" s="2603"/>
      <c r="AB602" s="2604"/>
      <c r="AC602" s="46"/>
      <c r="AE602" s="10"/>
      <c r="AF602" s="248"/>
      <c r="AG602" s="10"/>
      <c r="AH602" s="10"/>
    </row>
    <row r="603" spans="1:36" s="5" customFormat="1" ht="10.15" hidden="1" customHeight="1" x14ac:dyDescent="0.2">
      <c r="A603" s="10" t="s">
        <v>461</v>
      </c>
      <c r="B603" s="10"/>
      <c r="C603" s="40"/>
      <c r="D603" s="18" t="s">
        <v>126</v>
      </c>
      <c r="E603" s="9" t="s">
        <v>1620</v>
      </c>
      <c r="F603" s="9" t="s">
        <v>127</v>
      </c>
      <c r="G603" s="47"/>
      <c r="H603" s="47"/>
      <c r="J603" s="232"/>
      <c r="K603" s="233"/>
      <c r="L603" s="233"/>
      <c r="M603" s="233"/>
      <c r="N603" s="1145"/>
      <c r="O603" s="1145"/>
      <c r="P603" s="1145"/>
      <c r="Q603" s="1145"/>
      <c r="R603" s="1144"/>
      <c r="S603" s="1818" t="s">
        <v>88</v>
      </c>
      <c r="T603" s="2707" t="s">
        <v>1301</v>
      </c>
      <c r="U603" s="2707"/>
      <c r="V603" s="2707"/>
      <c r="W603" s="2707"/>
      <c r="X603" s="2707"/>
      <c r="Y603" s="2707"/>
      <c r="Z603" s="2707"/>
      <c r="AA603" s="2707"/>
      <c r="AB603" s="2708"/>
      <c r="AC603" s="46"/>
      <c r="AE603" s="10"/>
      <c r="AF603" s="248"/>
      <c r="AG603" s="10"/>
      <c r="AH603" s="10"/>
    </row>
    <row r="604" spans="1:36" s="5" customFormat="1" ht="10.15" hidden="1" customHeight="1" x14ac:dyDescent="0.2">
      <c r="A604" s="10" t="s">
        <v>461</v>
      </c>
      <c r="B604" s="10"/>
      <c r="C604" s="40"/>
      <c r="D604" s="52">
        <f>Structure!AY128</f>
        <v>9.75</v>
      </c>
      <c r="E604" s="53" t="e">
        <f t="shared" ref="E604" si="22">INDEX(Lookup_NoteRateAll,MATCH("PN_"&amp;RIGHT("000"&amp;TRUNC(D604),3)&amp;TEXT(D604-TRUNC(D604),".0000000000"),Lookup_NoteRateText,0),3)</f>
        <v>#N/A</v>
      </c>
      <c r="F604" s="54" t="e">
        <f t="shared" ref="F604" si="23">INDEX(Lookup_NoteRateAll,MATCH("PN_"&amp;RIGHT("000"&amp;TRUNC(D604),3)&amp;TEXT(D604-TRUNC(D604),".0000000000"),Lookup_NoteRateText,0),4)</f>
        <v>#N/A</v>
      </c>
      <c r="G604" s="47"/>
      <c r="H604" s="47"/>
      <c r="J604" s="256"/>
      <c r="K604" s="257" t="s">
        <v>211</v>
      </c>
      <c r="L604" s="258"/>
      <c r="M604" s="259" t="s">
        <v>71</v>
      </c>
      <c r="N604" s="1165" t="s">
        <v>25</v>
      </c>
      <c r="O604" s="1146"/>
      <c r="P604" s="1146"/>
      <c r="Q604" s="1146"/>
      <c r="R604" s="1127"/>
      <c r="S604" s="260"/>
      <c r="T604" s="270" t="s">
        <v>249</v>
      </c>
      <c r="U604" s="271" t="s">
        <v>15</v>
      </c>
      <c r="V604" s="272" t="s">
        <v>84</v>
      </c>
      <c r="W604" s="272" t="s">
        <v>31</v>
      </c>
      <c r="X604" s="272" t="s">
        <v>30</v>
      </c>
      <c r="Y604" s="272" t="s">
        <v>29</v>
      </c>
      <c r="Z604" s="272" t="s">
        <v>28</v>
      </c>
      <c r="AA604" s="272" t="s">
        <v>27</v>
      </c>
      <c r="AB604" s="273" t="s">
        <v>26</v>
      </c>
      <c r="AC604" s="46"/>
      <c r="AE604" s="10"/>
      <c r="AF604" s="248"/>
      <c r="AG604" s="10"/>
      <c r="AH604" s="10"/>
    </row>
    <row r="605" spans="1:36" s="5" customFormat="1" ht="10.15" hidden="1" customHeight="1" x14ac:dyDescent="0.2">
      <c r="A605" s="10" t="s">
        <v>461</v>
      </c>
      <c r="B605" s="10"/>
      <c r="C605" s="40"/>
      <c r="D605" s="52">
        <f>Structure!AY129</f>
        <v>9.625</v>
      </c>
      <c r="E605" s="53" t="e">
        <f t="shared" ref="E605:E612" si="24">INDEX(Lookup_NoteRateAll,MATCH("PN_"&amp;RIGHT("000"&amp;TRUNC(D605),3)&amp;TEXT(D605-TRUNC(D605),".0000000000"),Lookup_NoteRateText,0),3)</f>
        <v>#N/A</v>
      </c>
      <c r="F605" s="54" t="e">
        <f t="shared" ref="F605:F612" si="25">INDEX(Lookup_NoteRateAll,MATCH("PN_"&amp;RIGHT("000"&amp;TRUNC(D605),3)&amp;TEXT(D605-TRUNC(D605),".0000000000"),Lookup_NoteRateText,0),4)</f>
        <v>#N/A</v>
      </c>
      <c r="G605" s="47"/>
      <c r="H605" s="47"/>
      <c r="J605" s="2671" t="s">
        <v>206</v>
      </c>
      <c r="K605" s="57"/>
      <c r="L605" s="58"/>
      <c r="M605" s="59"/>
      <c r="N605" s="1103" t="s">
        <v>1282</v>
      </c>
      <c r="O605" s="1147"/>
      <c r="P605" s="1147"/>
      <c r="Q605" s="1147"/>
      <c r="R605" s="1147"/>
      <c r="S605" s="1851" t="s">
        <v>1283</v>
      </c>
      <c r="T605" s="2178">
        <v>0.25</v>
      </c>
      <c r="U605" s="2179">
        <v>0.25</v>
      </c>
      <c r="V605" s="2179">
        <v>0</v>
      </c>
      <c r="W605" s="2179">
        <v>-0.125</v>
      </c>
      <c r="X605" s="2179">
        <v>-0.25</v>
      </c>
      <c r="Y605" s="2179">
        <v>-0.375</v>
      </c>
      <c r="Z605" s="2179">
        <v>-0.5</v>
      </c>
      <c r="AA605" s="2179">
        <v>-2.5</v>
      </c>
      <c r="AB605" s="2180">
        <v>-4.375</v>
      </c>
      <c r="AC605" s="46"/>
      <c r="AE605" s="10"/>
      <c r="AF605" s="248"/>
      <c r="AG605" s="10"/>
      <c r="AH605" s="10"/>
    </row>
    <row r="606" spans="1:36" s="5" customFormat="1" ht="10.15" hidden="1" customHeight="1" x14ac:dyDescent="0.2">
      <c r="A606" s="10" t="s">
        <v>461</v>
      </c>
      <c r="B606" s="10"/>
      <c r="C606" s="40"/>
      <c r="D606" s="52">
        <f>Structure!AY130</f>
        <v>9.5</v>
      </c>
      <c r="E606" s="53" t="e">
        <f t="shared" si="24"/>
        <v>#N/A</v>
      </c>
      <c r="F606" s="54" t="e">
        <f t="shared" si="25"/>
        <v>#N/A</v>
      </c>
      <c r="G606" s="47"/>
      <c r="H606" s="47"/>
      <c r="J606" s="2672"/>
      <c r="K606" s="235"/>
      <c r="L606" s="236"/>
      <c r="M606" s="237"/>
      <c r="N606" s="1104" t="s">
        <v>1281</v>
      </c>
      <c r="O606" s="1082"/>
      <c r="P606" s="1082"/>
      <c r="Q606" s="1082"/>
      <c r="R606" s="1082"/>
      <c r="S606" s="1852" t="s">
        <v>1284</v>
      </c>
      <c r="T606" s="2181">
        <v>0.25</v>
      </c>
      <c r="U606" s="2182">
        <v>0.25</v>
      </c>
      <c r="V606" s="2182">
        <v>0</v>
      </c>
      <c r="W606" s="2182">
        <v>-0.125</v>
      </c>
      <c r="X606" s="2182">
        <v>-0.25</v>
      </c>
      <c r="Y606" s="2182">
        <v>-0.375</v>
      </c>
      <c r="Z606" s="2182">
        <v>-0.5</v>
      </c>
      <c r="AA606" s="2182">
        <v>-2.625</v>
      </c>
      <c r="AB606" s="2183">
        <v>-4.5</v>
      </c>
      <c r="AC606" s="46"/>
      <c r="AE606" s="10"/>
      <c r="AF606" s="248"/>
      <c r="AG606" s="10"/>
      <c r="AH606" s="10"/>
    </row>
    <row r="607" spans="1:36" s="5" customFormat="1" ht="10.15" hidden="1" customHeight="1" x14ac:dyDescent="0.2">
      <c r="A607" s="10" t="s">
        <v>461</v>
      </c>
      <c r="B607" s="10"/>
      <c r="C607" s="40"/>
      <c r="D607" s="52">
        <f>Structure!AY131</f>
        <v>9.375</v>
      </c>
      <c r="E607" s="53" t="e">
        <f t="shared" si="24"/>
        <v>#N/A</v>
      </c>
      <c r="F607" s="54" t="e">
        <f t="shared" si="25"/>
        <v>#N/A</v>
      </c>
      <c r="G607" s="47"/>
      <c r="H607" s="47"/>
      <c r="J607" s="2672"/>
      <c r="K607" s="60" t="s">
        <v>1643</v>
      </c>
      <c r="L607" s="61"/>
      <c r="M607" s="62">
        <v>1</v>
      </c>
      <c r="N607" s="1104" t="s">
        <v>255</v>
      </c>
      <c r="O607" s="1082"/>
      <c r="P607" s="1082"/>
      <c r="Q607" s="1082"/>
      <c r="R607" s="1082"/>
      <c r="S607" s="1852" t="s">
        <v>529</v>
      </c>
      <c r="T607" s="2181">
        <v>0.25</v>
      </c>
      <c r="U607" s="2182">
        <v>0.25</v>
      </c>
      <c r="V607" s="2182">
        <v>0</v>
      </c>
      <c r="W607" s="2182">
        <v>-0.125</v>
      </c>
      <c r="X607" s="2182">
        <v>-0.25</v>
      </c>
      <c r="Y607" s="2182">
        <v>-0.375</v>
      </c>
      <c r="Z607" s="2182">
        <v>-0.625</v>
      </c>
      <c r="AA607" s="2182">
        <v>-3</v>
      </c>
      <c r="AB607" s="2183">
        <v>-5</v>
      </c>
      <c r="AC607" s="46"/>
      <c r="AE607" s="10"/>
      <c r="AF607" s="248"/>
      <c r="AG607" s="10"/>
      <c r="AH607" s="10"/>
    </row>
    <row r="608" spans="1:36" s="5" customFormat="1" ht="10.15" hidden="1" customHeight="1" x14ac:dyDescent="0.2">
      <c r="A608" s="10" t="s">
        <v>461</v>
      </c>
      <c r="B608" s="10"/>
      <c r="C608" s="40"/>
      <c r="D608" s="52">
        <f>Structure!AY132</f>
        <v>9.25</v>
      </c>
      <c r="E608" s="53" t="e">
        <f t="shared" si="24"/>
        <v>#N/A</v>
      </c>
      <c r="F608" s="54" t="e">
        <f t="shared" si="25"/>
        <v>#N/A</v>
      </c>
      <c r="G608" s="47"/>
      <c r="H608" s="47"/>
      <c r="J608" s="2672"/>
      <c r="K608" s="60" t="s">
        <v>1642</v>
      </c>
      <c r="L608" s="64"/>
      <c r="M608" s="62">
        <v>2</v>
      </c>
      <c r="N608" s="1104" t="s">
        <v>254</v>
      </c>
      <c r="O608" s="1082"/>
      <c r="P608" s="1082"/>
      <c r="Q608" s="1082"/>
      <c r="R608" s="1082"/>
      <c r="S608" s="1852" t="s">
        <v>530</v>
      </c>
      <c r="T608" s="2181">
        <v>0.125</v>
      </c>
      <c r="U608" s="2182">
        <v>0.125</v>
      </c>
      <c r="V608" s="2182">
        <v>0</v>
      </c>
      <c r="W608" s="2182">
        <v>-0.125</v>
      </c>
      <c r="X608" s="2182">
        <v>-0.375</v>
      </c>
      <c r="Y608" s="2182">
        <v>-0.5</v>
      </c>
      <c r="Z608" s="2182">
        <v>-0.75</v>
      </c>
      <c r="AA608" s="2182">
        <v>-3.5</v>
      </c>
      <c r="AB608" s="2183">
        <v>-5.5</v>
      </c>
      <c r="AC608" s="46"/>
      <c r="AE608" s="10"/>
      <c r="AF608" s="248"/>
      <c r="AG608" s="10"/>
      <c r="AH608" s="10"/>
    </row>
    <row r="609" spans="1:34" s="5" customFormat="1" ht="10.15" hidden="1" customHeight="1" x14ac:dyDescent="0.2">
      <c r="A609" s="10" t="s">
        <v>461</v>
      </c>
      <c r="B609" s="10"/>
      <c r="C609" s="40"/>
      <c r="D609" s="52">
        <f>Structure!AY133</f>
        <v>9.125</v>
      </c>
      <c r="E609" s="53" t="e">
        <f t="shared" si="24"/>
        <v>#N/A</v>
      </c>
      <c r="F609" s="54" t="e">
        <f t="shared" si="25"/>
        <v>#N/A</v>
      </c>
      <c r="G609" s="47"/>
      <c r="H609" s="47"/>
      <c r="J609" s="2672"/>
      <c r="K609" s="65"/>
      <c r="L609" s="43"/>
      <c r="M609" s="62"/>
      <c r="N609" s="1104" t="s">
        <v>3</v>
      </c>
      <c r="O609" s="1082"/>
      <c r="P609" s="1082"/>
      <c r="Q609" s="1082"/>
      <c r="R609" s="1082"/>
      <c r="S609" s="1853" t="s">
        <v>531</v>
      </c>
      <c r="T609" s="2181">
        <v>0</v>
      </c>
      <c r="U609" s="2182">
        <v>0</v>
      </c>
      <c r="V609" s="2182">
        <v>-0.125</v>
      </c>
      <c r="W609" s="2182">
        <v>-0.25</v>
      </c>
      <c r="X609" s="2182">
        <v>-0.5</v>
      </c>
      <c r="Y609" s="2182">
        <v>-0.75</v>
      </c>
      <c r="Z609" s="2182">
        <v>-1.25</v>
      </c>
      <c r="AA609" s="2182">
        <v>-4.125</v>
      </c>
      <c r="AB609" s="2183">
        <v>-6.5</v>
      </c>
      <c r="AC609" s="46"/>
      <c r="AE609" s="10"/>
      <c r="AF609" s="248"/>
      <c r="AG609" s="10"/>
      <c r="AH609" s="10"/>
    </row>
    <row r="610" spans="1:34" s="5" customFormat="1" ht="10.15" hidden="1" customHeight="1" x14ac:dyDescent="0.2">
      <c r="A610" s="10" t="s">
        <v>461</v>
      </c>
      <c r="B610" s="10"/>
      <c r="C610" s="40"/>
      <c r="D610" s="52">
        <f>Structure!AY134</f>
        <v>9</v>
      </c>
      <c r="E610" s="53" t="e">
        <f t="shared" si="24"/>
        <v>#N/A</v>
      </c>
      <c r="F610" s="54" t="e">
        <f t="shared" si="25"/>
        <v>#N/A</v>
      </c>
      <c r="G610" s="47"/>
      <c r="H610" s="47"/>
      <c r="J610" s="2672"/>
      <c r="K610" s="65"/>
      <c r="L610" s="43"/>
      <c r="M610" s="62"/>
      <c r="N610" s="1104" t="s">
        <v>5</v>
      </c>
      <c r="O610" s="1082"/>
      <c r="P610" s="1082"/>
      <c r="Q610" s="1082"/>
      <c r="R610" s="1082"/>
      <c r="S610" s="1853" t="s">
        <v>532</v>
      </c>
      <c r="T610" s="2181">
        <v>-0.125</v>
      </c>
      <c r="U610" s="2182">
        <v>-0.125</v>
      </c>
      <c r="V610" s="2182">
        <v>-0.25</v>
      </c>
      <c r="W610" s="2182">
        <v>-0.375</v>
      </c>
      <c r="X610" s="2182">
        <v>-0.875</v>
      </c>
      <c r="Y610" s="2182">
        <v>-1.375</v>
      </c>
      <c r="Z610" s="2182">
        <v>-1.75</v>
      </c>
      <c r="AA610" s="2182">
        <v>-4.75</v>
      </c>
      <c r="AB610" s="2183">
        <v>-7.25</v>
      </c>
      <c r="AC610" s="46"/>
      <c r="AE610" s="10"/>
      <c r="AF610" s="248"/>
      <c r="AG610" s="10"/>
      <c r="AH610" s="10"/>
    </row>
    <row r="611" spans="1:34" s="5" customFormat="1" ht="10.15" hidden="1" customHeight="1" x14ac:dyDescent="0.2">
      <c r="A611" s="10" t="s">
        <v>461</v>
      </c>
      <c r="B611" s="10"/>
      <c r="C611" s="40"/>
      <c r="D611" s="52">
        <f>Structure!AY135</f>
        <v>8.875</v>
      </c>
      <c r="E611" s="53" t="e">
        <f t="shared" si="24"/>
        <v>#N/A</v>
      </c>
      <c r="F611" s="54" t="e">
        <f t="shared" si="25"/>
        <v>#N/A</v>
      </c>
      <c r="G611" s="47"/>
      <c r="H611" s="47"/>
      <c r="J611" s="2672"/>
      <c r="K611" s="65"/>
      <c r="L611" s="43"/>
      <c r="M611" s="62"/>
      <c r="N611" s="1105" t="s">
        <v>6</v>
      </c>
      <c r="O611" s="1083"/>
      <c r="P611" s="1083"/>
      <c r="Q611" s="1083"/>
      <c r="R611" s="1083"/>
      <c r="S611" s="1853" t="s">
        <v>533</v>
      </c>
      <c r="T611" s="2181">
        <v>-0.25</v>
      </c>
      <c r="U611" s="2182">
        <v>-0.25</v>
      </c>
      <c r="V611" s="2182">
        <v>-0.625</v>
      </c>
      <c r="W611" s="2182">
        <v>-0.875</v>
      </c>
      <c r="X611" s="2182">
        <v>-1.25</v>
      </c>
      <c r="Y611" s="2182">
        <v>-2.125</v>
      </c>
      <c r="Z611" s="2182">
        <v>-2.625</v>
      </c>
      <c r="AA611" s="2182">
        <v>-5.625</v>
      </c>
      <c r="AB611" s="2183">
        <v>-8.125</v>
      </c>
      <c r="AC611" s="46"/>
      <c r="AE611" s="10"/>
      <c r="AF611" s="248"/>
      <c r="AG611" s="10"/>
      <c r="AH611" s="10"/>
    </row>
    <row r="612" spans="1:34" s="5" customFormat="1" ht="10.15" hidden="1" customHeight="1" x14ac:dyDescent="0.2">
      <c r="A612" s="10" t="s">
        <v>461</v>
      </c>
      <c r="B612" s="10"/>
      <c r="C612" s="40"/>
      <c r="D612" s="52">
        <f>Structure!AY136</f>
        <v>8.75</v>
      </c>
      <c r="E612" s="53" t="e">
        <f t="shared" si="24"/>
        <v>#N/A</v>
      </c>
      <c r="F612" s="54" t="e">
        <f t="shared" si="25"/>
        <v>#N/A</v>
      </c>
      <c r="G612" s="47"/>
      <c r="H612" s="47"/>
      <c r="J612" s="2672"/>
      <c r="K612" s="65"/>
      <c r="L612" s="43"/>
      <c r="M612" s="62"/>
      <c r="N612" s="1105" t="s">
        <v>7</v>
      </c>
      <c r="O612" s="1083"/>
      <c r="P612" s="1083"/>
      <c r="Q612" s="1083"/>
      <c r="R612" s="1083"/>
      <c r="S612" s="1853" t="s">
        <v>534</v>
      </c>
      <c r="T612" s="2181">
        <v>-0.75</v>
      </c>
      <c r="U612" s="2182">
        <v>-1.125</v>
      </c>
      <c r="V612" s="2182">
        <v>-1.25</v>
      </c>
      <c r="W612" s="2182">
        <v>-2</v>
      </c>
      <c r="X612" s="2182">
        <v>-2.5</v>
      </c>
      <c r="Y612" s="2182">
        <v>-3.25</v>
      </c>
      <c r="Z612" s="2182">
        <v>-4</v>
      </c>
      <c r="AA612" s="2402" t="e">
        <v>#N/A</v>
      </c>
      <c r="AB612" s="2399" t="e">
        <v>#N/A</v>
      </c>
      <c r="AC612" s="46"/>
      <c r="AE612" s="10"/>
      <c r="AF612" s="248"/>
      <c r="AG612" s="10"/>
      <c r="AH612" s="10"/>
    </row>
    <row r="613" spans="1:34" s="5" customFormat="1" ht="10.15" hidden="1" customHeight="1" x14ac:dyDescent="0.2">
      <c r="A613" s="10" t="s">
        <v>461</v>
      </c>
      <c r="B613" s="10"/>
      <c r="C613" s="40"/>
      <c r="D613" s="52">
        <f>Structure!AY137</f>
        <v>8.625</v>
      </c>
      <c r="E613" s="53" t="e">
        <f t="shared" ref="E613:E626" si="26">INDEX(Lookup_NoteRateAll,MATCH("PN_"&amp;RIGHT("000"&amp;TRUNC(D613),3)&amp;TEXT(D613-TRUNC(D613),".0000000000"),Lookup_NoteRateText,0),3)</f>
        <v>#N/A</v>
      </c>
      <c r="F613" s="54" t="e">
        <f t="shared" ref="F613:F621" si="27">INDEX(Lookup_NoteRateAll,MATCH("PN_"&amp;RIGHT("000"&amp;TRUNC(D613),3)&amp;TEXT(D613-TRUNC(D613),".0000000000"),Lookup_NoteRateText,0),4)</f>
        <v>#N/A</v>
      </c>
      <c r="G613" s="47"/>
      <c r="H613" s="47"/>
      <c r="J613" s="2672"/>
      <c r="K613" s="65"/>
      <c r="L613" s="43"/>
      <c r="M613" s="62"/>
      <c r="N613" s="1143" t="s">
        <v>9</v>
      </c>
      <c r="O613" s="1099"/>
      <c r="P613" s="1099"/>
      <c r="Q613" s="1099"/>
      <c r="R613" s="1099"/>
      <c r="S613" s="1895" t="s">
        <v>1614</v>
      </c>
      <c r="T613" s="2181">
        <v>-3.375</v>
      </c>
      <c r="U613" s="2182">
        <v>-3.5</v>
      </c>
      <c r="V613" s="2182">
        <v>-3.75</v>
      </c>
      <c r="W613" s="2182">
        <v>-4.25</v>
      </c>
      <c r="X613" s="2182">
        <v>-4.75</v>
      </c>
      <c r="Y613" s="2182">
        <v>-5.75</v>
      </c>
      <c r="Z613" s="2182">
        <v>-6.5</v>
      </c>
      <c r="AA613" s="2402" t="e">
        <v>#N/A</v>
      </c>
      <c r="AB613" s="2399" t="e">
        <v>#N/A</v>
      </c>
      <c r="AC613" s="46"/>
      <c r="AE613" s="10"/>
      <c r="AF613" s="248"/>
      <c r="AG613" s="10"/>
      <c r="AH613" s="10"/>
    </row>
    <row r="614" spans="1:34" s="5" customFormat="1" ht="10.15" hidden="1" customHeight="1" x14ac:dyDescent="0.2">
      <c r="A614" s="10" t="s">
        <v>461</v>
      </c>
      <c r="B614" s="10"/>
      <c r="C614" s="40"/>
      <c r="D614" s="52">
        <f>Structure!AY138</f>
        <v>8.5</v>
      </c>
      <c r="E614" s="53" t="e">
        <f t="shared" si="26"/>
        <v>#N/A</v>
      </c>
      <c r="F614" s="54" t="e">
        <f t="shared" si="27"/>
        <v>#N/A</v>
      </c>
      <c r="G614" s="47"/>
      <c r="H614" s="47"/>
      <c r="J614" s="2673"/>
      <c r="K614" s="65"/>
      <c r="L614" s="43"/>
      <c r="M614" s="62"/>
      <c r="N614" s="1143" t="s">
        <v>10</v>
      </c>
      <c r="O614" s="1099"/>
      <c r="P614" s="1099"/>
      <c r="Q614" s="1099"/>
      <c r="R614" s="1099"/>
      <c r="S614" s="1853" t="s">
        <v>1644</v>
      </c>
      <c r="T614" s="2184">
        <v>-4.75</v>
      </c>
      <c r="U614" s="2185">
        <v>-4.875</v>
      </c>
      <c r="V614" s="2185">
        <v>-5.25</v>
      </c>
      <c r="W614" s="2185">
        <v>-6.25</v>
      </c>
      <c r="X614" s="2185">
        <v>-7.125</v>
      </c>
      <c r="Y614" s="2185">
        <v>-8.125</v>
      </c>
      <c r="Z614" s="2185">
        <v>-9</v>
      </c>
      <c r="AA614" s="2400" t="e">
        <v>#N/A</v>
      </c>
      <c r="AB614" s="2401" t="e">
        <v>#N/A</v>
      </c>
      <c r="AC614" s="46"/>
      <c r="AE614" s="10"/>
      <c r="AF614" s="248"/>
      <c r="AG614" s="10"/>
      <c r="AH614" s="10"/>
    </row>
    <row r="615" spans="1:34" s="5" customFormat="1" ht="10.15" hidden="1" customHeight="1" x14ac:dyDescent="0.2">
      <c r="A615" s="10" t="s">
        <v>461</v>
      </c>
      <c r="B615" s="10"/>
      <c r="C615" s="40"/>
      <c r="D615" s="52">
        <f>Structure!AY139</f>
        <v>8.375</v>
      </c>
      <c r="E615" s="53" t="e">
        <f t="shared" si="26"/>
        <v>#N/A</v>
      </c>
      <c r="F615" s="54" t="e">
        <f t="shared" si="27"/>
        <v>#N/A</v>
      </c>
      <c r="G615" s="47"/>
      <c r="H615" s="47"/>
      <c r="J615" s="2671" t="s">
        <v>207</v>
      </c>
      <c r="K615" s="57"/>
      <c r="L615" s="58"/>
      <c r="M615" s="66"/>
      <c r="N615" s="1103" t="s">
        <v>1282</v>
      </c>
      <c r="O615" s="1147"/>
      <c r="P615" s="1147"/>
      <c r="Q615" s="1147"/>
      <c r="R615" s="1147"/>
      <c r="S615" s="1883" t="s">
        <v>1290</v>
      </c>
      <c r="T615" s="2178">
        <v>0.25</v>
      </c>
      <c r="U615" s="2179">
        <v>0.25</v>
      </c>
      <c r="V615" s="2179">
        <v>0</v>
      </c>
      <c r="W615" s="2179">
        <v>-0.125</v>
      </c>
      <c r="X615" s="2179">
        <v>-0.25</v>
      </c>
      <c r="Y615" s="2179">
        <v>-0.5</v>
      </c>
      <c r="Z615" s="2179">
        <v>-0.75</v>
      </c>
      <c r="AA615" s="2179">
        <v>-3.125</v>
      </c>
      <c r="AB615" s="2180">
        <v>-5</v>
      </c>
      <c r="AC615" s="46"/>
      <c r="AE615" s="10"/>
      <c r="AF615" s="248"/>
      <c r="AG615" s="10"/>
      <c r="AH615" s="10"/>
    </row>
    <row r="616" spans="1:34" s="5" customFormat="1" ht="10.15" hidden="1" customHeight="1" x14ac:dyDescent="0.2">
      <c r="A616" s="10" t="s">
        <v>461</v>
      </c>
      <c r="B616" s="10"/>
      <c r="C616" s="40"/>
      <c r="D616" s="52">
        <f>Structure!AY140</f>
        <v>8.25</v>
      </c>
      <c r="E616" s="53" t="e">
        <f t="shared" si="26"/>
        <v>#N/A</v>
      </c>
      <c r="F616" s="54" t="e">
        <f t="shared" si="27"/>
        <v>#N/A</v>
      </c>
      <c r="G616" s="47"/>
      <c r="H616" s="47"/>
      <c r="J616" s="2672"/>
      <c r="K616" s="235"/>
      <c r="L616" s="236"/>
      <c r="M616" s="238"/>
      <c r="N616" s="1104" t="s">
        <v>1281</v>
      </c>
      <c r="O616" s="1082"/>
      <c r="P616" s="1082"/>
      <c r="Q616" s="1082"/>
      <c r="R616" s="1082"/>
      <c r="S616" s="1852" t="s">
        <v>1289</v>
      </c>
      <c r="T616" s="2181">
        <v>0.25</v>
      </c>
      <c r="U616" s="2182">
        <v>0.25</v>
      </c>
      <c r="V616" s="2182">
        <v>0</v>
      </c>
      <c r="W616" s="2182">
        <v>-0.125</v>
      </c>
      <c r="X616" s="2182">
        <v>-0.25</v>
      </c>
      <c r="Y616" s="2182">
        <v>-0.5</v>
      </c>
      <c r="Z616" s="2182">
        <v>-0.75</v>
      </c>
      <c r="AA616" s="2182">
        <v>-3.25</v>
      </c>
      <c r="AB616" s="2183">
        <v>-5.125</v>
      </c>
      <c r="AC616" s="46"/>
      <c r="AE616" s="10"/>
      <c r="AF616" s="248"/>
      <c r="AG616" s="10"/>
      <c r="AH616" s="10"/>
    </row>
    <row r="617" spans="1:34" s="5" customFormat="1" ht="10.15" hidden="1" customHeight="1" x14ac:dyDescent="0.2">
      <c r="A617" s="10" t="s">
        <v>461</v>
      </c>
      <c r="B617" s="10"/>
      <c r="C617" s="40"/>
      <c r="D617" s="52">
        <f>Structure!AY141</f>
        <v>8.125</v>
      </c>
      <c r="E617" s="53" t="e">
        <f t="shared" si="26"/>
        <v>#N/A</v>
      </c>
      <c r="F617" s="54" t="e">
        <f t="shared" si="27"/>
        <v>#N/A</v>
      </c>
      <c r="G617" s="47"/>
      <c r="H617" s="47"/>
      <c r="J617" s="2672"/>
      <c r="K617" s="63" t="s">
        <v>80</v>
      </c>
      <c r="L617" s="67" t="s">
        <v>205</v>
      </c>
      <c r="M617" s="62">
        <v>3</v>
      </c>
      <c r="N617" s="1104" t="s">
        <v>255</v>
      </c>
      <c r="O617" s="1082"/>
      <c r="P617" s="1082"/>
      <c r="Q617" s="1082"/>
      <c r="R617" s="1082"/>
      <c r="S617" s="1852" t="s">
        <v>535</v>
      </c>
      <c r="T617" s="2181">
        <v>0.25</v>
      </c>
      <c r="U617" s="2182">
        <v>0.25</v>
      </c>
      <c r="V617" s="2182">
        <v>0</v>
      </c>
      <c r="W617" s="2182">
        <v>-0.125</v>
      </c>
      <c r="X617" s="2182">
        <v>-0.25</v>
      </c>
      <c r="Y617" s="2182">
        <v>-0.5</v>
      </c>
      <c r="Z617" s="2182">
        <v>-0.875</v>
      </c>
      <c r="AA617" s="2182">
        <v>-3.625</v>
      </c>
      <c r="AB617" s="2183">
        <v>-5.625</v>
      </c>
      <c r="AC617" s="46"/>
      <c r="AE617" s="10"/>
      <c r="AF617" s="248"/>
      <c r="AG617" s="10"/>
      <c r="AH617" s="10"/>
    </row>
    <row r="618" spans="1:34" s="5" customFormat="1" ht="10.15" hidden="1" customHeight="1" x14ac:dyDescent="0.2">
      <c r="A618" s="10" t="s">
        <v>461</v>
      </c>
      <c r="B618" s="10"/>
      <c r="C618" s="40"/>
      <c r="D618" s="52">
        <f>Structure!AY142</f>
        <v>8</v>
      </c>
      <c r="E618" s="53" t="e">
        <f t="shared" si="26"/>
        <v>#N/A</v>
      </c>
      <c r="F618" s="54" t="e">
        <f t="shared" si="27"/>
        <v>#N/A</v>
      </c>
      <c r="G618" s="47"/>
      <c r="H618" s="47"/>
      <c r="J618" s="2672"/>
      <c r="K618" s="60">
        <v>1099</v>
      </c>
      <c r="L618" s="61"/>
      <c r="M618" s="62">
        <v>14</v>
      </c>
      <c r="N618" s="1104" t="s">
        <v>254</v>
      </c>
      <c r="O618" s="1082"/>
      <c r="P618" s="1082"/>
      <c r="Q618" s="1082"/>
      <c r="R618" s="1082"/>
      <c r="S618" s="1853" t="s">
        <v>536</v>
      </c>
      <c r="T618" s="2181">
        <v>0.125</v>
      </c>
      <c r="U618" s="2182">
        <v>0.125</v>
      </c>
      <c r="V618" s="2182">
        <v>0</v>
      </c>
      <c r="W618" s="2182">
        <v>-0.125</v>
      </c>
      <c r="X618" s="2182">
        <v>-0.375</v>
      </c>
      <c r="Y618" s="2182">
        <v>-0.625</v>
      </c>
      <c r="Z618" s="2182">
        <v>-1</v>
      </c>
      <c r="AA618" s="2182">
        <v>-4.125</v>
      </c>
      <c r="AB618" s="2183">
        <v>-6.125</v>
      </c>
      <c r="AC618" s="46"/>
      <c r="AE618" s="10"/>
      <c r="AF618" s="248"/>
      <c r="AG618" s="10"/>
      <c r="AH618" s="10"/>
    </row>
    <row r="619" spans="1:34" s="5" customFormat="1" ht="10.15" hidden="1" customHeight="1" x14ac:dyDescent="0.2">
      <c r="A619" s="10" t="s">
        <v>461</v>
      </c>
      <c r="C619" s="40"/>
      <c r="D619" s="52">
        <f>Structure!AY143</f>
        <v>7.875</v>
      </c>
      <c r="E619" s="53" t="e">
        <f t="shared" si="26"/>
        <v>#N/A</v>
      </c>
      <c r="F619" s="54" t="e">
        <f t="shared" si="27"/>
        <v>#N/A</v>
      </c>
      <c r="G619" s="47"/>
      <c r="H619" s="47"/>
      <c r="J619" s="2672"/>
      <c r="K619" s="63"/>
      <c r="L619" s="64"/>
      <c r="M619" s="62"/>
      <c r="N619" s="1104" t="s">
        <v>3</v>
      </c>
      <c r="O619" s="1082"/>
      <c r="P619" s="1082"/>
      <c r="Q619" s="1082"/>
      <c r="R619" s="1082"/>
      <c r="S619" s="1853" t="s">
        <v>537</v>
      </c>
      <c r="T619" s="2181">
        <v>0</v>
      </c>
      <c r="U619" s="2182">
        <v>0</v>
      </c>
      <c r="V619" s="2182">
        <v>-0.125</v>
      </c>
      <c r="W619" s="2182">
        <v>-0.25</v>
      </c>
      <c r="X619" s="2182">
        <v>-0.5</v>
      </c>
      <c r="Y619" s="2182">
        <v>-1</v>
      </c>
      <c r="Z619" s="2182">
        <v>-1.625</v>
      </c>
      <c r="AA619" s="2182">
        <v>-5.125</v>
      </c>
      <c r="AB619" s="2183">
        <v>-7.5</v>
      </c>
      <c r="AC619" s="46"/>
      <c r="AE619" s="10"/>
      <c r="AF619" s="248"/>
      <c r="AG619" s="10"/>
      <c r="AH619" s="10"/>
    </row>
    <row r="620" spans="1:34" s="5" customFormat="1" ht="10.15" hidden="1" customHeight="1" x14ac:dyDescent="0.2">
      <c r="A620" s="10" t="s">
        <v>461</v>
      </c>
      <c r="C620" s="40"/>
      <c r="D620" s="52">
        <f>Structure!AY144</f>
        <v>7.75</v>
      </c>
      <c r="E620" s="53" t="e">
        <f t="shared" si="26"/>
        <v>#N/A</v>
      </c>
      <c r="F620" s="54" t="e">
        <f t="shared" si="27"/>
        <v>#N/A</v>
      </c>
      <c r="G620" s="47"/>
      <c r="H620" s="47"/>
      <c r="J620" s="2672"/>
      <c r="K620" s="63"/>
      <c r="L620" s="64"/>
      <c r="M620" s="62"/>
      <c r="N620" s="1104" t="s">
        <v>5</v>
      </c>
      <c r="O620" s="1082"/>
      <c r="P620" s="1082"/>
      <c r="Q620" s="1082"/>
      <c r="R620" s="1082"/>
      <c r="S620" s="1853" t="s">
        <v>538</v>
      </c>
      <c r="T620" s="2181">
        <v>-0.125</v>
      </c>
      <c r="U620" s="2182">
        <v>-0.125</v>
      </c>
      <c r="V620" s="2182">
        <v>-0.25</v>
      </c>
      <c r="W620" s="2182">
        <v>-0.375</v>
      </c>
      <c r="X620" s="2182">
        <v>-0.875</v>
      </c>
      <c r="Y620" s="2182">
        <v>-1.625</v>
      </c>
      <c r="Z620" s="2182">
        <v>-2.125</v>
      </c>
      <c r="AA620" s="2182">
        <v>-5.75</v>
      </c>
      <c r="AB620" s="2183">
        <v>-8.25</v>
      </c>
      <c r="AC620" s="46"/>
      <c r="AE620" s="10"/>
      <c r="AF620" s="248"/>
      <c r="AG620" s="10"/>
      <c r="AH620" s="10"/>
    </row>
    <row r="621" spans="1:34" s="5" customFormat="1" ht="10.15" hidden="1" customHeight="1" x14ac:dyDescent="0.2">
      <c r="A621" s="10" t="s">
        <v>461</v>
      </c>
      <c r="C621" s="40"/>
      <c r="D621" s="52">
        <f>Structure!AY145</f>
        <v>7.625</v>
      </c>
      <c r="E621" s="53" t="e">
        <f t="shared" si="26"/>
        <v>#N/A</v>
      </c>
      <c r="F621" s="54" t="e">
        <f t="shared" si="27"/>
        <v>#N/A</v>
      </c>
      <c r="G621" s="47"/>
      <c r="H621" s="47"/>
      <c r="J621" s="2672"/>
      <c r="K621" s="63"/>
      <c r="L621" s="64"/>
      <c r="M621" s="62"/>
      <c r="N621" s="1105" t="s">
        <v>6</v>
      </c>
      <c r="O621" s="1083"/>
      <c r="P621" s="1083"/>
      <c r="Q621" s="1083"/>
      <c r="R621" s="1083"/>
      <c r="S621" s="1853" t="s">
        <v>539</v>
      </c>
      <c r="T621" s="2181">
        <v>-0.5</v>
      </c>
      <c r="U621" s="2182">
        <v>-0.5</v>
      </c>
      <c r="V621" s="2182">
        <v>-0.875</v>
      </c>
      <c r="W621" s="2182">
        <v>-1.125</v>
      </c>
      <c r="X621" s="2182">
        <v>-1.625</v>
      </c>
      <c r="Y621" s="2182">
        <v>-2.625</v>
      </c>
      <c r="Z621" s="2182">
        <v>-3.375</v>
      </c>
      <c r="AA621" s="2182">
        <v>-6.875</v>
      </c>
      <c r="AB621" s="2183">
        <v>-9.375</v>
      </c>
      <c r="AC621" s="46"/>
      <c r="AE621" s="10"/>
      <c r="AF621" s="248"/>
      <c r="AG621" s="10"/>
      <c r="AH621" s="10"/>
    </row>
    <row r="622" spans="1:34" s="5" customFormat="1" ht="10.15" hidden="1" customHeight="1" x14ac:dyDescent="0.2">
      <c r="A622" s="10" t="s">
        <v>461</v>
      </c>
      <c r="C622" s="40"/>
      <c r="D622" s="52">
        <f>Structure!AY146</f>
        <v>7.5</v>
      </c>
      <c r="E622" s="53" t="e">
        <f t="shared" si="26"/>
        <v>#N/A</v>
      </c>
      <c r="F622" s="54" t="e">
        <f t="shared" ref="F622:F626" si="28">INDEX(Lookup_NoteRateAll,MATCH("PN_"&amp;RIGHT("000"&amp;TRUNC(D622),3)&amp;TEXT(D622-TRUNC(D622),".0000000000"),Lookup_NoteRateText,0),4)</f>
        <v>#N/A</v>
      </c>
      <c r="G622" s="47"/>
      <c r="H622" s="47"/>
      <c r="J622" s="2672"/>
      <c r="K622" s="63"/>
      <c r="L622" s="64"/>
      <c r="M622" s="62"/>
      <c r="N622" s="1105" t="s">
        <v>7</v>
      </c>
      <c r="O622" s="1083"/>
      <c r="P622" s="1083"/>
      <c r="Q622" s="1083"/>
      <c r="R622" s="1083"/>
      <c r="S622" s="1853" t="s">
        <v>540</v>
      </c>
      <c r="T622" s="2181">
        <v>-1</v>
      </c>
      <c r="U622" s="2182">
        <v>-1.375</v>
      </c>
      <c r="V622" s="2182">
        <v>-1.5</v>
      </c>
      <c r="W622" s="2182">
        <v>-2.25</v>
      </c>
      <c r="X622" s="2182">
        <v>-2.875</v>
      </c>
      <c r="Y622" s="2182">
        <v>-3.75</v>
      </c>
      <c r="Z622" s="2182">
        <v>-4.75</v>
      </c>
      <c r="AA622" s="2402" t="e">
        <v>#N/A</v>
      </c>
      <c r="AB622" s="2399" t="e">
        <v>#N/A</v>
      </c>
      <c r="AC622" s="46"/>
      <c r="AE622" s="10"/>
      <c r="AF622" s="248"/>
      <c r="AG622" s="10"/>
      <c r="AH622" s="10"/>
    </row>
    <row r="623" spans="1:34" s="5" customFormat="1" ht="10.15" hidden="1" customHeight="1" x14ac:dyDescent="0.2">
      <c r="A623" s="10" t="s">
        <v>461</v>
      </c>
      <c r="C623" s="40"/>
      <c r="D623" s="52">
        <f>Structure!AY147</f>
        <v>7.375</v>
      </c>
      <c r="E623" s="53" t="e">
        <f t="shared" si="26"/>
        <v>#N/A</v>
      </c>
      <c r="F623" s="54" t="e">
        <f t="shared" si="28"/>
        <v>#N/A</v>
      </c>
      <c r="G623" s="47"/>
      <c r="H623" s="47"/>
      <c r="J623" s="2672"/>
      <c r="K623" s="63"/>
      <c r="L623" s="64"/>
      <c r="M623" s="62"/>
      <c r="N623" s="1143" t="s">
        <v>9</v>
      </c>
      <c r="O623" s="1099"/>
      <c r="P623" s="1099"/>
      <c r="Q623" s="1099"/>
      <c r="R623" s="1099"/>
      <c r="S623" s="1895" t="s">
        <v>1615</v>
      </c>
      <c r="T623" s="2181">
        <v>-3.75</v>
      </c>
      <c r="U623" s="2182">
        <v>-3.875</v>
      </c>
      <c r="V623" s="2182">
        <v>-4.125</v>
      </c>
      <c r="W623" s="2182">
        <v>-4.625</v>
      </c>
      <c r="X623" s="2182">
        <v>-5.25</v>
      </c>
      <c r="Y623" s="2182">
        <v>-6.5</v>
      </c>
      <c r="Z623" s="2182">
        <v>-7.5</v>
      </c>
      <c r="AA623" s="2402" t="e">
        <v>#N/A</v>
      </c>
      <c r="AB623" s="2399" t="e">
        <v>#N/A</v>
      </c>
      <c r="AC623" s="46"/>
      <c r="AE623" s="10"/>
      <c r="AF623" s="248"/>
      <c r="AG623" s="10"/>
      <c r="AH623" s="10"/>
    </row>
    <row r="624" spans="1:34" s="5" customFormat="1" ht="10.15" hidden="1" customHeight="1" x14ac:dyDescent="0.2">
      <c r="A624" s="10" t="s">
        <v>461</v>
      </c>
      <c r="C624" s="40"/>
      <c r="D624" s="52">
        <f>Structure!AY148</f>
        <v>7.25</v>
      </c>
      <c r="E624" s="53" t="e">
        <f t="shared" si="26"/>
        <v>#N/A</v>
      </c>
      <c r="F624" s="54" t="e">
        <f t="shared" si="28"/>
        <v>#N/A</v>
      </c>
      <c r="G624" s="47"/>
      <c r="H624" s="47"/>
      <c r="J624" s="2673"/>
      <c r="K624" s="63"/>
      <c r="L624" s="64"/>
      <c r="M624" s="62"/>
      <c r="N624" s="1143" t="s">
        <v>10</v>
      </c>
      <c r="O624" s="1099"/>
      <c r="P624" s="1099"/>
      <c r="Q624" s="1099"/>
      <c r="R624" s="1099"/>
      <c r="S624" s="1853" t="s">
        <v>1645</v>
      </c>
      <c r="T624" s="2184">
        <v>-5.125</v>
      </c>
      <c r="U624" s="2185">
        <v>-5.25</v>
      </c>
      <c r="V624" s="2185">
        <v>-5.625</v>
      </c>
      <c r="W624" s="2185">
        <v>-6.625</v>
      </c>
      <c r="X624" s="2185">
        <v>-7.625</v>
      </c>
      <c r="Y624" s="2185">
        <v>-8.875</v>
      </c>
      <c r="Z624" s="2185">
        <v>-10</v>
      </c>
      <c r="AA624" s="2400" t="e">
        <v>#N/A</v>
      </c>
      <c r="AB624" s="2401" t="e">
        <v>#N/A</v>
      </c>
      <c r="AC624" s="46"/>
      <c r="AE624" s="10"/>
      <c r="AF624" s="248"/>
      <c r="AG624" s="10"/>
      <c r="AH624" s="10"/>
    </row>
    <row r="625" spans="1:34" s="5" customFormat="1" ht="10.15" hidden="1" customHeight="1" x14ac:dyDescent="0.2">
      <c r="A625" s="10" t="s">
        <v>461</v>
      </c>
      <c r="C625" s="40"/>
      <c r="D625" s="52">
        <f>Structure!AY149</f>
        <v>7.125</v>
      </c>
      <c r="E625" s="53" t="e">
        <f t="shared" si="26"/>
        <v>#N/A</v>
      </c>
      <c r="F625" s="54" t="e">
        <f t="shared" si="28"/>
        <v>#N/A</v>
      </c>
      <c r="G625" s="47"/>
      <c r="H625" s="47"/>
      <c r="J625" s="2608" t="s">
        <v>209</v>
      </c>
      <c r="K625" s="57"/>
      <c r="L625" s="58"/>
      <c r="M625" s="66"/>
      <c r="N625" s="1103" t="s">
        <v>1282</v>
      </c>
      <c r="O625" s="1147"/>
      <c r="P625" s="1147"/>
      <c r="Q625" s="1147"/>
      <c r="R625" s="1147"/>
      <c r="S625" s="1883" t="s">
        <v>1288</v>
      </c>
      <c r="T625" s="2178">
        <v>0</v>
      </c>
      <c r="U625" s="2179">
        <v>0</v>
      </c>
      <c r="V625" s="2179">
        <v>-0.25</v>
      </c>
      <c r="W625" s="2179">
        <v>-0.375</v>
      </c>
      <c r="X625" s="2179">
        <v>-0.5</v>
      </c>
      <c r="Y625" s="2179">
        <v>-1</v>
      </c>
      <c r="Z625" s="2179">
        <v>-1.625</v>
      </c>
      <c r="AA625" s="2409" t="e">
        <v>#N/A</v>
      </c>
      <c r="AB625" s="2403" t="e">
        <v>#N/A</v>
      </c>
      <c r="AC625" s="46"/>
      <c r="AE625" s="10"/>
      <c r="AF625" s="248"/>
      <c r="AG625" s="10"/>
      <c r="AH625" s="10"/>
    </row>
    <row r="626" spans="1:34" s="5" customFormat="1" ht="10.15" hidden="1" customHeight="1" x14ac:dyDescent="0.2">
      <c r="A626" s="10" t="s">
        <v>461</v>
      </c>
      <c r="C626" s="40"/>
      <c r="D626" s="52">
        <f>Structure!AY150</f>
        <v>7</v>
      </c>
      <c r="E626" s="53" t="e">
        <f t="shared" si="26"/>
        <v>#N/A</v>
      </c>
      <c r="F626" s="54" t="e">
        <f t="shared" si="28"/>
        <v>#N/A</v>
      </c>
      <c r="G626" s="47"/>
      <c r="H626" s="47"/>
      <c r="J626" s="2609"/>
      <c r="K626" s="235"/>
      <c r="L626" s="236"/>
      <c r="M626" s="238"/>
      <c r="N626" s="1104" t="s">
        <v>1281</v>
      </c>
      <c r="O626" s="1082"/>
      <c r="P626" s="1082"/>
      <c r="Q626" s="1082"/>
      <c r="R626" s="1082"/>
      <c r="S626" s="1852" t="s">
        <v>1287</v>
      </c>
      <c r="T626" s="2181">
        <v>0</v>
      </c>
      <c r="U626" s="2182">
        <v>0</v>
      </c>
      <c r="V626" s="2182">
        <v>-0.25</v>
      </c>
      <c r="W626" s="2182">
        <v>-0.375</v>
      </c>
      <c r="X626" s="2182">
        <v>-0.5</v>
      </c>
      <c r="Y626" s="2182">
        <v>-1</v>
      </c>
      <c r="Z626" s="2182">
        <v>-1.625</v>
      </c>
      <c r="AA626" s="2402" t="e">
        <v>#N/A</v>
      </c>
      <c r="AB626" s="2399" t="e">
        <v>#N/A</v>
      </c>
      <c r="AC626" s="46"/>
      <c r="AE626" s="10"/>
      <c r="AF626" s="248"/>
      <c r="AG626" s="10"/>
      <c r="AH626" s="10"/>
    </row>
    <row r="627" spans="1:34" s="5" customFormat="1" ht="10.15" hidden="1" customHeight="1" x14ac:dyDescent="0.2">
      <c r="A627" s="10" t="s">
        <v>461</v>
      </c>
      <c r="C627" s="40"/>
      <c r="D627" s="52">
        <f>Structure!AY151</f>
        <v>6.875</v>
      </c>
      <c r="E627" s="53" t="e">
        <f t="shared" ref="E627:E629" si="29">INDEX(Lookup_NoteRateAll,MATCH("PN_"&amp;RIGHT("000"&amp;TRUNC(D627),3)&amp;TEXT(D627-TRUNC(D627),".0000000000"),Lookup_NoteRateText,0),3)</f>
        <v>#N/A</v>
      </c>
      <c r="F627" s="54" t="e">
        <f t="shared" ref="F627:F629" si="30">INDEX(Lookup_NoteRateAll,MATCH("PN_"&amp;RIGHT("000"&amp;TRUNC(D627),3)&amp;TEXT(D627-TRUNC(D627),".0000000000"),Lookup_NoteRateText,0),4)</f>
        <v>#N/A</v>
      </c>
      <c r="G627" s="47"/>
      <c r="H627" s="47"/>
      <c r="J627" s="2610"/>
      <c r="K627" s="63" t="s">
        <v>252</v>
      </c>
      <c r="L627" s="61"/>
      <c r="M627" s="62">
        <v>13</v>
      </c>
      <c r="N627" s="1104" t="s">
        <v>255</v>
      </c>
      <c r="O627" s="1082"/>
      <c r="P627" s="1082"/>
      <c r="Q627" s="1082"/>
      <c r="R627" s="1082"/>
      <c r="S627" s="1853" t="s">
        <v>541</v>
      </c>
      <c r="T627" s="2181">
        <v>0</v>
      </c>
      <c r="U627" s="2182">
        <v>0</v>
      </c>
      <c r="V627" s="2182">
        <v>-0.25</v>
      </c>
      <c r="W627" s="2182">
        <v>-0.375</v>
      </c>
      <c r="X627" s="2182">
        <v>-0.5</v>
      </c>
      <c r="Y627" s="2182">
        <v>-1</v>
      </c>
      <c r="Z627" s="2182">
        <v>-1.75</v>
      </c>
      <c r="AA627" s="2402" t="e">
        <v>#N/A</v>
      </c>
      <c r="AB627" s="2399" t="e">
        <v>#N/A</v>
      </c>
      <c r="AC627" s="46"/>
      <c r="AE627" s="10"/>
      <c r="AF627" s="248"/>
      <c r="AG627" s="10"/>
      <c r="AH627" s="10"/>
    </row>
    <row r="628" spans="1:34" s="5" customFormat="1" ht="10.15" hidden="1" customHeight="1" x14ac:dyDescent="0.2">
      <c r="A628" s="10" t="s">
        <v>461</v>
      </c>
      <c r="C628" s="40"/>
      <c r="D628" s="52">
        <f>Structure!AY152</f>
        <v>6.75</v>
      </c>
      <c r="E628" s="53" t="e">
        <f t="shared" si="29"/>
        <v>#N/A</v>
      </c>
      <c r="F628" s="54" t="e">
        <f t="shared" si="30"/>
        <v>#N/A</v>
      </c>
      <c r="H628" s="47"/>
      <c r="J628" s="2610"/>
      <c r="K628" s="60"/>
      <c r="L628" s="61"/>
      <c r="M628" s="62"/>
      <c r="N628" s="1104" t="s">
        <v>254</v>
      </c>
      <c r="O628" s="1082"/>
      <c r="P628" s="1082"/>
      <c r="Q628" s="1082"/>
      <c r="R628" s="1082"/>
      <c r="S628" s="1853" t="s">
        <v>542</v>
      </c>
      <c r="T628" s="2181">
        <v>-0.125</v>
      </c>
      <c r="U628" s="2182">
        <v>-0.125</v>
      </c>
      <c r="V628" s="2182">
        <v>-0.25</v>
      </c>
      <c r="W628" s="2182">
        <v>-0.375</v>
      </c>
      <c r="X628" s="2182">
        <v>-0.625</v>
      </c>
      <c r="Y628" s="2182">
        <v>-1.125</v>
      </c>
      <c r="Z628" s="2182">
        <v>-1.875</v>
      </c>
      <c r="AA628" s="2402" t="e">
        <v>#N/A</v>
      </c>
      <c r="AB628" s="2399" t="e">
        <v>#N/A</v>
      </c>
      <c r="AC628" s="46"/>
      <c r="AE628" s="10"/>
      <c r="AF628" s="248"/>
      <c r="AG628" s="10"/>
      <c r="AH628" s="10"/>
    </row>
    <row r="629" spans="1:34" s="5" customFormat="1" ht="10.15" hidden="1" customHeight="1" x14ac:dyDescent="0.2">
      <c r="A629" s="10" t="s">
        <v>461</v>
      </c>
      <c r="C629" s="40"/>
      <c r="D629" s="52">
        <f>Structure!AY153</f>
        <v>6.625</v>
      </c>
      <c r="E629" s="53" t="e">
        <f t="shared" si="29"/>
        <v>#N/A</v>
      </c>
      <c r="F629" s="54" t="e">
        <f t="shared" si="30"/>
        <v>#N/A</v>
      </c>
      <c r="G629" s="47"/>
      <c r="H629" s="47"/>
      <c r="J629" s="2610"/>
      <c r="K629" s="92"/>
      <c r="L629" s="93"/>
      <c r="M629" s="62"/>
      <c r="N629" s="1104" t="s">
        <v>3</v>
      </c>
      <c r="O629" s="1082"/>
      <c r="P629" s="1082"/>
      <c r="Q629" s="1082"/>
      <c r="R629" s="1082"/>
      <c r="S629" s="1853" t="s">
        <v>543</v>
      </c>
      <c r="T629" s="2181">
        <v>-0.25</v>
      </c>
      <c r="U629" s="2182">
        <v>-0.25</v>
      </c>
      <c r="V629" s="2182">
        <v>-0.375</v>
      </c>
      <c r="W629" s="2182">
        <v>-0.5</v>
      </c>
      <c r="X629" s="2182">
        <v>-0.75</v>
      </c>
      <c r="Y629" s="2182">
        <v>-1.5</v>
      </c>
      <c r="Z629" s="2182">
        <v>-2.5</v>
      </c>
      <c r="AA629" s="2402" t="e">
        <v>#N/A</v>
      </c>
      <c r="AB629" s="2399" t="e">
        <v>#N/A</v>
      </c>
      <c r="AC629" s="46"/>
      <c r="AE629" s="10"/>
      <c r="AF629" s="248"/>
      <c r="AG629" s="10"/>
      <c r="AH629" s="10"/>
    </row>
    <row r="630" spans="1:34" s="5" customFormat="1" ht="10.15" hidden="1" customHeight="1" x14ac:dyDescent="0.2">
      <c r="A630" s="10" t="s">
        <v>461</v>
      </c>
      <c r="C630" s="40"/>
      <c r="H630" s="47"/>
      <c r="J630" s="2610"/>
      <c r="K630" s="92"/>
      <c r="L630" s="93"/>
      <c r="M630" s="62"/>
      <c r="N630" s="1104" t="s">
        <v>5</v>
      </c>
      <c r="O630" s="1082"/>
      <c r="P630" s="1082"/>
      <c r="Q630" s="1082"/>
      <c r="R630" s="1082"/>
      <c r="S630" s="1853" t="s">
        <v>544</v>
      </c>
      <c r="T630" s="2181">
        <v>-0.375</v>
      </c>
      <c r="U630" s="2182">
        <v>-0.375</v>
      </c>
      <c r="V630" s="2182">
        <v>-0.5</v>
      </c>
      <c r="W630" s="2182">
        <v>-0.625</v>
      </c>
      <c r="X630" s="2182">
        <v>-1.125</v>
      </c>
      <c r="Y630" s="2182">
        <v>-2.125</v>
      </c>
      <c r="Z630" s="2182">
        <v>-3</v>
      </c>
      <c r="AA630" s="2402" t="e">
        <v>#N/A</v>
      </c>
      <c r="AB630" s="2399" t="e">
        <v>#N/A</v>
      </c>
      <c r="AC630" s="46"/>
      <c r="AE630" s="10"/>
      <c r="AF630" s="248"/>
      <c r="AG630" s="10"/>
      <c r="AH630" s="10"/>
    </row>
    <row r="631" spans="1:34" s="5" customFormat="1" ht="10.15" hidden="1" customHeight="1" x14ac:dyDescent="0.2">
      <c r="A631" s="10" t="s">
        <v>461</v>
      </c>
      <c r="C631" s="40"/>
      <c r="G631" s="47"/>
      <c r="H631" s="47"/>
      <c r="J631" s="2610"/>
      <c r="K631" s="65"/>
      <c r="L631" s="43"/>
      <c r="M631" s="62"/>
      <c r="N631" s="1105" t="s">
        <v>6</v>
      </c>
      <c r="O631" s="1083"/>
      <c r="P631" s="1083"/>
      <c r="Q631" s="1083"/>
      <c r="R631" s="1083"/>
      <c r="S631" s="1853" t="s">
        <v>545</v>
      </c>
      <c r="T631" s="2181">
        <v>-0.875</v>
      </c>
      <c r="U631" s="2182">
        <v>-0.875</v>
      </c>
      <c r="V631" s="2182">
        <v>-1.25</v>
      </c>
      <c r="W631" s="2182">
        <v>-1.5</v>
      </c>
      <c r="X631" s="2182">
        <v>-2.125</v>
      </c>
      <c r="Y631" s="2182">
        <v>-3.25</v>
      </c>
      <c r="Z631" s="2402" t="e">
        <v>#N/A</v>
      </c>
      <c r="AA631" s="2402" t="e">
        <v>#N/A</v>
      </c>
      <c r="AB631" s="2399" t="e">
        <v>#N/A</v>
      </c>
      <c r="AC631" s="46"/>
      <c r="AE631" s="10"/>
      <c r="AF631" s="248"/>
      <c r="AG631" s="10"/>
      <c r="AH631" s="10"/>
    </row>
    <row r="632" spans="1:34" s="5" customFormat="1" ht="10.15" hidden="1" customHeight="1" x14ac:dyDescent="0.2">
      <c r="A632" s="10" t="s">
        <v>461</v>
      </c>
      <c r="C632" s="40"/>
      <c r="D632" s="47"/>
      <c r="E632" s="47"/>
      <c r="F632" s="47"/>
      <c r="G632" s="47"/>
      <c r="H632" s="47"/>
      <c r="J632" s="2610"/>
      <c r="K632" s="60"/>
      <c r="L632" s="61"/>
      <c r="M632" s="62"/>
      <c r="N632" s="1105" t="s">
        <v>7</v>
      </c>
      <c r="O632" s="1083"/>
      <c r="P632" s="1083"/>
      <c r="Q632" s="1083"/>
      <c r="R632" s="1083"/>
      <c r="S632" s="1853" t="s">
        <v>546</v>
      </c>
      <c r="T632" s="2181">
        <v>-1.375</v>
      </c>
      <c r="U632" s="2182">
        <v>-1.75</v>
      </c>
      <c r="V632" s="2182">
        <v>-1.875</v>
      </c>
      <c r="W632" s="2182">
        <v>-2.625</v>
      </c>
      <c r="X632" s="2182">
        <v>-3.375</v>
      </c>
      <c r="Y632" s="2182">
        <v>-4.375</v>
      </c>
      <c r="Z632" s="2402" t="e">
        <v>#N/A</v>
      </c>
      <c r="AA632" s="2402" t="e">
        <v>#N/A</v>
      </c>
      <c r="AB632" s="2399" t="e">
        <v>#N/A</v>
      </c>
      <c r="AC632" s="46"/>
      <c r="AE632" s="10"/>
      <c r="AF632" s="248"/>
      <c r="AG632" s="10"/>
      <c r="AH632" s="10"/>
    </row>
    <row r="633" spans="1:34" s="5" customFormat="1" ht="10.15" hidden="1" customHeight="1" x14ac:dyDescent="0.2">
      <c r="A633" s="10" t="s">
        <v>461</v>
      </c>
      <c r="C633" s="40"/>
      <c r="G633" s="47"/>
      <c r="H633" s="47"/>
      <c r="J633" s="2608" t="s">
        <v>350</v>
      </c>
      <c r="K633" s="57"/>
      <c r="L633" s="58"/>
      <c r="M633" s="66"/>
      <c r="N633" s="1103" t="s">
        <v>1282</v>
      </c>
      <c r="O633" s="1147"/>
      <c r="P633" s="1147"/>
      <c r="Q633" s="1147"/>
      <c r="R633" s="1147"/>
      <c r="S633" s="1883" t="s">
        <v>1285</v>
      </c>
      <c r="T633" s="2178">
        <v>-0.25</v>
      </c>
      <c r="U633" s="2179">
        <v>-0.25</v>
      </c>
      <c r="V633" s="2179">
        <v>-0.5</v>
      </c>
      <c r="W633" s="2179">
        <v>-0.625</v>
      </c>
      <c r="X633" s="2179">
        <v>-0.75</v>
      </c>
      <c r="Y633" s="2179">
        <v>-1.25</v>
      </c>
      <c r="Z633" s="2179">
        <v>-1.875</v>
      </c>
      <c r="AA633" s="2409" t="e">
        <v>#N/A</v>
      </c>
      <c r="AB633" s="2403" t="e">
        <v>#N/A</v>
      </c>
      <c r="AC633" s="46"/>
      <c r="AE633" s="10"/>
      <c r="AF633" s="248"/>
      <c r="AG633" s="10"/>
      <c r="AH633" s="10"/>
    </row>
    <row r="634" spans="1:34" s="5" customFormat="1" ht="10.15" hidden="1" customHeight="1" x14ac:dyDescent="0.2">
      <c r="A634" s="10" t="s">
        <v>461</v>
      </c>
      <c r="C634" s="40"/>
      <c r="G634" s="47"/>
      <c r="H634" s="47"/>
      <c r="J634" s="2609"/>
      <c r="K634" s="235"/>
      <c r="L634" s="236"/>
      <c r="M634" s="238"/>
      <c r="N634" s="1104" t="s">
        <v>1281</v>
      </c>
      <c r="O634" s="1082"/>
      <c r="P634" s="1082"/>
      <c r="Q634" s="1082"/>
      <c r="R634" s="1082"/>
      <c r="S634" s="1852" t="s">
        <v>1286</v>
      </c>
      <c r="T634" s="2181">
        <v>-0.25</v>
      </c>
      <c r="U634" s="2182">
        <v>-0.25</v>
      </c>
      <c r="V634" s="2182">
        <v>-0.5</v>
      </c>
      <c r="W634" s="2182">
        <v>-0.625</v>
      </c>
      <c r="X634" s="2182">
        <v>-0.75</v>
      </c>
      <c r="Y634" s="2182">
        <v>-1.25</v>
      </c>
      <c r="Z634" s="2182">
        <v>-1.875</v>
      </c>
      <c r="AA634" s="2402" t="e">
        <v>#N/A</v>
      </c>
      <c r="AB634" s="2399" t="e">
        <v>#N/A</v>
      </c>
      <c r="AC634" s="46"/>
      <c r="AE634" s="10"/>
      <c r="AF634" s="248"/>
      <c r="AG634" s="10"/>
      <c r="AH634" s="10"/>
    </row>
    <row r="635" spans="1:34" s="5" customFormat="1" ht="10.15" hidden="1" customHeight="1" x14ac:dyDescent="0.2">
      <c r="A635" s="10" t="s">
        <v>461</v>
      </c>
      <c r="C635" s="40"/>
      <c r="D635" s="47"/>
      <c r="E635" s="47"/>
      <c r="F635" s="47"/>
      <c r="G635" s="47"/>
      <c r="H635" s="47"/>
      <c r="J635" s="2610"/>
      <c r="K635" s="63" t="s">
        <v>349</v>
      </c>
      <c r="L635" s="61"/>
      <c r="M635" s="62">
        <v>7</v>
      </c>
      <c r="N635" s="1104" t="s">
        <v>255</v>
      </c>
      <c r="O635" s="1082"/>
      <c r="P635" s="1082"/>
      <c r="Q635" s="1082"/>
      <c r="R635" s="1082"/>
      <c r="S635" s="1853" t="s">
        <v>547</v>
      </c>
      <c r="T635" s="2181">
        <v>-0.25</v>
      </c>
      <c r="U635" s="2182">
        <v>-0.25</v>
      </c>
      <c r="V635" s="2182">
        <v>-0.5</v>
      </c>
      <c r="W635" s="2182">
        <v>-0.625</v>
      </c>
      <c r="X635" s="2182">
        <v>-0.75</v>
      </c>
      <c r="Y635" s="2182">
        <v>-1.25</v>
      </c>
      <c r="Z635" s="2182">
        <v>-2</v>
      </c>
      <c r="AA635" s="2402" t="e">
        <v>#N/A</v>
      </c>
      <c r="AB635" s="2399" t="e">
        <v>#N/A</v>
      </c>
      <c r="AC635" s="46"/>
      <c r="AE635" s="10"/>
      <c r="AF635" s="248"/>
      <c r="AG635" s="10"/>
      <c r="AH635" s="10"/>
    </row>
    <row r="636" spans="1:34" s="5" customFormat="1" ht="10.15" hidden="1" customHeight="1" x14ac:dyDescent="0.2">
      <c r="A636" s="10" t="s">
        <v>461</v>
      </c>
      <c r="C636" s="40"/>
      <c r="D636" s="47"/>
      <c r="E636" s="47"/>
      <c r="F636" s="47"/>
      <c r="G636" s="47"/>
      <c r="H636" s="47"/>
      <c r="J636" s="2610"/>
      <c r="K636" s="60" t="s">
        <v>471</v>
      </c>
      <c r="L636" s="93"/>
      <c r="M636" s="62">
        <v>15</v>
      </c>
      <c r="N636" s="1104" t="s">
        <v>254</v>
      </c>
      <c r="O636" s="1082"/>
      <c r="P636" s="1082"/>
      <c r="Q636" s="1082"/>
      <c r="R636" s="1082"/>
      <c r="S636" s="1853" t="s">
        <v>548</v>
      </c>
      <c r="T636" s="2181">
        <v>-0.375</v>
      </c>
      <c r="U636" s="2182">
        <v>-0.375</v>
      </c>
      <c r="V636" s="2182">
        <v>-0.5</v>
      </c>
      <c r="W636" s="2182">
        <v>-0.625</v>
      </c>
      <c r="X636" s="2182">
        <v>-0.875</v>
      </c>
      <c r="Y636" s="2182">
        <v>-1.375</v>
      </c>
      <c r="Z636" s="2182">
        <v>-2.125</v>
      </c>
      <c r="AA636" s="2402" t="e">
        <v>#N/A</v>
      </c>
      <c r="AB636" s="2399" t="e">
        <v>#N/A</v>
      </c>
      <c r="AC636" s="46"/>
      <c r="AE636" s="10"/>
      <c r="AF636" s="248"/>
      <c r="AG636" s="10"/>
      <c r="AH636" s="10"/>
    </row>
    <row r="637" spans="1:34" s="5" customFormat="1" ht="10.15" hidden="1" customHeight="1" x14ac:dyDescent="0.2">
      <c r="A637" s="10" t="s">
        <v>461</v>
      </c>
      <c r="C637" s="40"/>
      <c r="D637" s="47"/>
      <c r="E637" s="47"/>
      <c r="F637" s="47"/>
      <c r="G637" s="47"/>
      <c r="H637" s="47"/>
      <c r="J637" s="2610"/>
      <c r="K637" s="92"/>
      <c r="L637" s="93"/>
      <c r="M637" s="62"/>
      <c r="N637" s="1104" t="s">
        <v>3</v>
      </c>
      <c r="O637" s="1082"/>
      <c r="P637" s="1082"/>
      <c r="Q637" s="1082"/>
      <c r="R637" s="1082"/>
      <c r="S637" s="1853" t="s">
        <v>549</v>
      </c>
      <c r="T637" s="2181">
        <v>-0.5</v>
      </c>
      <c r="U637" s="2182">
        <v>-0.5</v>
      </c>
      <c r="V637" s="2182">
        <v>-0.625</v>
      </c>
      <c r="W637" s="2182">
        <v>-0.75</v>
      </c>
      <c r="X637" s="2182">
        <v>-1</v>
      </c>
      <c r="Y637" s="2182">
        <v>-1.75</v>
      </c>
      <c r="Z637" s="2182">
        <v>-2.75</v>
      </c>
      <c r="AA637" s="2402" t="e">
        <v>#N/A</v>
      </c>
      <c r="AB637" s="2399" t="e">
        <v>#N/A</v>
      </c>
      <c r="AC637" s="46"/>
      <c r="AE637" s="10"/>
      <c r="AF637" s="248"/>
      <c r="AG637" s="10"/>
      <c r="AH637" s="10"/>
    </row>
    <row r="638" spans="1:34" s="5" customFormat="1" ht="10.15" hidden="1" customHeight="1" x14ac:dyDescent="0.2">
      <c r="A638" s="10" t="s">
        <v>461</v>
      </c>
      <c r="C638" s="40"/>
      <c r="D638" s="47"/>
      <c r="E638" s="47"/>
      <c r="F638" s="47"/>
      <c r="G638" s="47"/>
      <c r="H638" s="47"/>
      <c r="J638" s="2610"/>
      <c r="K638" s="92"/>
      <c r="L638" s="93"/>
      <c r="M638" s="62"/>
      <c r="N638" s="1104" t="s">
        <v>5</v>
      </c>
      <c r="O638" s="1082"/>
      <c r="P638" s="1082"/>
      <c r="Q638" s="1082"/>
      <c r="R638" s="1082"/>
      <c r="S638" s="1853" t="s">
        <v>550</v>
      </c>
      <c r="T638" s="2181">
        <v>-0.625</v>
      </c>
      <c r="U638" s="2182">
        <v>-0.625</v>
      </c>
      <c r="V638" s="2182">
        <v>-0.75</v>
      </c>
      <c r="W638" s="2182">
        <v>-0.875</v>
      </c>
      <c r="X638" s="2182">
        <v>-1.375</v>
      </c>
      <c r="Y638" s="2182">
        <v>-2.375</v>
      </c>
      <c r="Z638" s="2182">
        <v>-3.25</v>
      </c>
      <c r="AA638" s="2402" t="e">
        <v>#N/A</v>
      </c>
      <c r="AB638" s="2399" t="e">
        <v>#N/A</v>
      </c>
      <c r="AC638" s="46"/>
      <c r="AE638" s="10"/>
      <c r="AF638" s="248"/>
      <c r="AG638" s="10"/>
      <c r="AH638" s="10"/>
    </row>
    <row r="639" spans="1:34" s="5" customFormat="1" ht="10.15" hidden="1" customHeight="1" x14ac:dyDescent="0.2">
      <c r="A639" s="10" t="s">
        <v>461</v>
      </c>
      <c r="C639" s="40"/>
      <c r="D639" s="47"/>
      <c r="E639" s="47"/>
      <c r="F639" s="47"/>
      <c r="G639" s="47"/>
      <c r="H639" s="47"/>
      <c r="J639" s="2610"/>
      <c r="K639" s="65"/>
      <c r="L639" s="43"/>
      <c r="M639" s="62"/>
      <c r="N639" s="1105" t="s">
        <v>6</v>
      </c>
      <c r="O639" s="1083"/>
      <c r="P639" s="1083"/>
      <c r="Q639" s="1083"/>
      <c r="R639" s="1083"/>
      <c r="S639" s="1853" t="s">
        <v>551</v>
      </c>
      <c r="T639" s="2181">
        <v>-1.125</v>
      </c>
      <c r="U639" s="2182">
        <v>-1.125</v>
      </c>
      <c r="V639" s="2182">
        <v>-1.5</v>
      </c>
      <c r="W639" s="2182">
        <v>-1.75</v>
      </c>
      <c r="X639" s="2182">
        <v>-2.375</v>
      </c>
      <c r="Y639" s="2182">
        <v>-3.5</v>
      </c>
      <c r="Z639" s="2182">
        <v>-4.5</v>
      </c>
      <c r="AA639" s="2402" t="e">
        <v>#N/A</v>
      </c>
      <c r="AB639" s="2399" t="e">
        <v>#N/A</v>
      </c>
      <c r="AC639" s="46"/>
      <c r="AE639" s="10"/>
      <c r="AF639" s="248"/>
      <c r="AG639" s="10"/>
      <c r="AH639" s="10"/>
    </row>
    <row r="640" spans="1:34" s="5" customFormat="1" ht="10.15" hidden="1" customHeight="1" x14ac:dyDescent="0.2">
      <c r="A640" s="10" t="s">
        <v>461</v>
      </c>
      <c r="C640" s="40"/>
      <c r="D640" s="4" t="s">
        <v>289</v>
      </c>
      <c r="G640" s="47"/>
      <c r="H640" s="47"/>
      <c r="J640" s="2610"/>
      <c r="K640" s="60"/>
      <c r="L640" s="61"/>
      <c r="M640" s="62"/>
      <c r="N640" s="1105" t="s">
        <v>7</v>
      </c>
      <c r="O640" s="1083"/>
      <c r="P640" s="1083"/>
      <c r="Q640" s="1083"/>
      <c r="R640" s="1083"/>
      <c r="S640" s="1857" t="s">
        <v>552</v>
      </c>
      <c r="T640" s="2181">
        <v>-1.625</v>
      </c>
      <c r="U640" s="2182">
        <v>-2</v>
      </c>
      <c r="V640" s="2182">
        <v>-2.125</v>
      </c>
      <c r="W640" s="2182">
        <v>-2.875</v>
      </c>
      <c r="X640" s="2182">
        <v>-3.625</v>
      </c>
      <c r="Y640" s="2182">
        <v>-4.625</v>
      </c>
      <c r="Z640" s="2402" t="e">
        <v>#N/A</v>
      </c>
      <c r="AA640" s="2402" t="e">
        <v>#N/A</v>
      </c>
      <c r="AB640" s="2399" t="e">
        <v>#N/A</v>
      </c>
      <c r="AC640" s="46"/>
      <c r="AE640" s="10"/>
      <c r="AF640" s="248"/>
      <c r="AG640" s="10"/>
      <c r="AH640" s="10"/>
    </row>
    <row r="641" spans="1:34" s="5" customFormat="1" ht="10.15" hidden="1" customHeight="1" x14ac:dyDescent="0.2">
      <c r="A641" s="10" t="s">
        <v>461</v>
      </c>
      <c r="C641" s="40"/>
      <c r="D641" s="6" t="s">
        <v>258</v>
      </c>
      <c r="E641" s="7"/>
      <c r="F641" s="68" t="e" cm="1">
        <f t="array" ref="F641">Input_PL_MaxPriceFinal_PN_NoPP</f>
        <v>#N/A</v>
      </c>
      <c r="J641" s="2615" t="s">
        <v>210</v>
      </c>
      <c r="K641" s="2616"/>
      <c r="L641" s="2616"/>
      <c r="M641" s="2617"/>
      <c r="N641" s="1084" t="s">
        <v>136</v>
      </c>
      <c r="O641" s="1130"/>
      <c r="P641" s="1130"/>
      <c r="Q641" s="1130"/>
      <c r="R641" s="1130"/>
      <c r="S641" s="1859" t="s">
        <v>553</v>
      </c>
      <c r="T641" s="2353">
        <v>0</v>
      </c>
      <c r="U641" s="2354">
        <v>0</v>
      </c>
      <c r="V641" s="2354">
        <v>0</v>
      </c>
      <c r="W641" s="2354">
        <v>0</v>
      </c>
      <c r="X641" s="2354">
        <v>0</v>
      </c>
      <c r="Y641" s="2354">
        <v>0</v>
      </c>
      <c r="Z641" s="2354">
        <v>0</v>
      </c>
      <c r="AA641" s="2354">
        <v>0</v>
      </c>
      <c r="AB641" s="2355">
        <v>0</v>
      </c>
      <c r="AC641" s="46"/>
      <c r="AE641" s="10"/>
      <c r="AF641" s="248"/>
      <c r="AG641" s="10"/>
      <c r="AH641" s="10"/>
    </row>
    <row r="642" spans="1:34" s="5" customFormat="1" ht="10.15" hidden="1" customHeight="1" x14ac:dyDescent="0.2">
      <c r="A642" s="10" t="s">
        <v>461</v>
      </c>
      <c r="C642" s="40"/>
      <c r="J642" s="2618"/>
      <c r="K642" s="2619"/>
      <c r="L642" s="2619"/>
      <c r="M642" s="2620"/>
      <c r="N642" s="1106" t="s">
        <v>78</v>
      </c>
      <c r="O642" s="1085"/>
      <c r="P642" s="1085"/>
      <c r="Q642" s="1085"/>
      <c r="R642" s="1085"/>
      <c r="S642" s="1857" t="s">
        <v>554</v>
      </c>
      <c r="T642" s="2356">
        <v>0</v>
      </c>
      <c r="U642" s="2357">
        <v>0</v>
      </c>
      <c r="V642" s="2357">
        <v>0</v>
      </c>
      <c r="W642" s="2357">
        <v>0</v>
      </c>
      <c r="X642" s="2357">
        <v>0</v>
      </c>
      <c r="Y642" s="2357">
        <v>-0.125</v>
      </c>
      <c r="Z642" s="2357">
        <v>-0.125</v>
      </c>
      <c r="AA642" s="2357">
        <v>-0.25</v>
      </c>
      <c r="AB642" s="2358">
        <v>-0.375</v>
      </c>
      <c r="AC642" s="46"/>
      <c r="AE642" s="10"/>
      <c r="AF642" s="248"/>
      <c r="AG642" s="10"/>
      <c r="AH642" s="10"/>
    </row>
    <row r="643" spans="1:34" s="5" customFormat="1" ht="10.15" hidden="1" customHeight="1" x14ac:dyDescent="0.2">
      <c r="A643" s="10" t="s">
        <v>461</v>
      </c>
      <c r="C643" s="40"/>
      <c r="J643" s="2621"/>
      <c r="K643" s="2622"/>
      <c r="L643" s="2622"/>
      <c r="M643" s="2623"/>
      <c r="N643" s="1107" t="s">
        <v>77</v>
      </c>
      <c r="O643" s="1131"/>
      <c r="P643" s="1131"/>
      <c r="Q643" s="1131"/>
      <c r="R643" s="1131"/>
      <c r="S643" s="1857" t="s">
        <v>555</v>
      </c>
      <c r="T643" s="2359">
        <v>0</v>
      </c>
      <c r="U643" s="2329">
        <v>0</v>
      </c>
      <c r="V643" s="2329">
        <v>0</v>
      </c>
      <c r="W643" s="2329">
        <v>0</v>
      </c>
      <c r="X643" s="2329">
        <v>0</v>
      </c>
      <c r="Y643" s="2329">
        <v>0</v>
      </c>
      <c r="Z643" s="2329">
        <v>0</v>
      </c>
      <c r="AA643" s="2329">
        <v>0</v>
      </c>
      <c r="AB643" s="2360">
        <v>0</v>
      </c>
      <c r="AC643" s="46"/>
      <c r="AE643" s="10"/>
      <c r="AF643" s="248"/>
      <c r="AG643" s="10"/>
      <c r="AH643" s="10"/>
    </row>
    <row r="644" spans="1:34" s="5" customFormat="1" ht="10.15" hidden="1" customHeight="1" x14ac:dyDescent="0.2">
      <c r="A644" s="10" t="s">
        <v>461</v>
      </c>
      <c r="C644" s="40"/>
      <c r="D644" s="22" t="s">
        <v>309</v>
      </c>
      <c r="J644" s="2578" t="s">
        <v>2</v>
      </c>
      <c r="K644" s="2579"/>
      <c r="L644" s="2579"/>
      <c r="M644" s="2580"/>
      <c r="N644" s="1108" t="s">
        <v>438</v>
      </c>
      <c r="O644" s="1100"/>
      <c r="P644" s="1100"/>
      <c r="Q644" s="1100"/>
      <c r="R644" s="1100"/>
      <c r="S644" s="1859" t="s">
        <v>556</v>
      </c>
      <c r="T644" s="2361">
        <v>0</v>
      </c>
      <c r="U644" s="2362">
        <v>0</v>
      </c>
      <c r="V644" s="2362">
        <v>0</v>
      </c>
      <c r="W644" s="2362">
        <v>0</v>
      </c>
      <c r="X644" s="2362">
        <v>0</v>
      </c>
      <c r="Y644" s="2362">
        <v>0</v>
      </c>
      <c r="Z644" s="2362">
        <v>0</v>
      </c>
      <c r="AA644" s="2362">
        <v>0</v>
      </c>
      <c r="AB644" s="2363">
        <v>0</v>
      </c>
      <c r="AC644" s="46"/>
      <c r="AE644" s="10"/>
      <c r="AF644" s="248"/>
      <c r="AG644" s="10"/>
      <c r="AH644" s="10"/>
    </row>
    <row r="645" spans="1:34" s="5" customFormat="1" ht="10.15" hidden="1" customHeight="1" x14ac:dyDescent="0.2">
      <c r="A645" s="10" t="s">
        <v>461</v>
      </c>
      <c r="C645" s="40"/>
      <c r="D645" s="69">
        <v>4</v>
      </c>
      <c r="E645" s="70" t="s">
        <v>445</v>
      </c>
      <c r="J645" s="2581"/>
      <c r="K645" s="2582"/>
      <c r="L645" s="2582"/>
      <c r="M645" s="2583"/>
      <c r="N645" s="1088" t="s">
        <v>440</v>
      </c>
      <c r="O645" s="1090"/>
      <c r="P645" s="1090"/>
      <c r="Q645" s="1090"/>
      <c r="R645" s="1090"/>
      <c r="S645" s="1857" t="s">
        <v>557</v>
      </c>
      <c r="T645" s="2364">
        <v>-0.125</v>
      </c>
      <c r="U645" s="2350">
        <v>-0.125</v>
      </c>
      <c r="V645" s="2350">
        <v>-0.125</v>
      </c>
      <c r="W645" s="2350">
        <v>-0.125</v>
      </c>
      <c r="X645" s="2350">
        <v>-0.125</v>
      </c>
      <c r="Y645" s="2350">
        <v>-0.125</v>
      </c>
      <c r="Z645" s="2350">
        <v>-0.125</v>
      </c>
      <c r="AA645" s="2350">
        <v>-0.125</v>
      </c>
      <c r="AB645" s="2365">
        <v>-0.125</v>
      </c>
      <c r="AC645" s="46"/>
      <c r="AE645" s="10"/>
      <c r="AF645" s="248"/>
      <c r="AG645" s="10"/>
      <c r="AH645" s="10"/>
    </row>
    <row r="646" spans="1:34" s="5" customFormat="1" ht="10.15" hidden="1" customHeight="1" x14ac:dyDescent="0.2">
      <c r="A646" s="10" t="s">
        <v>463</v>
      </c>
      <c r="C646" s="40"/>
      <c r="J646" s="2581"/>
      <c r="K646" s="2582"/>
      <c r="L646" s="2582"/>
      <c r="M646" s="2583"/>
      <c r="N646" s="1088" t="s">
        <v>455</v>
      </c>
      <c r="O646" s="1090"/>
      <c r="P646" s="1090"/>
      <c r="Q646" s="1090"/>
      <c r="R646" s="1090"/>
      <c r="S646" s="1857" t="s">
        <v>558</v>
      </c>
      <c r="T646" s="1794" t="e">
        <v>#N/A</v>
      </c>
      <c r="U646" s="1462" t="e">
        <v>#N/A</v>
      </c>
      <c r="V646" s="1462" t="e">
        <v>#N/A</v>
      </c>
      <c r="W646" s="1462" t="e">
        <v>#N/A</v>
      </c>
      <c r="X646" s="1462" t="e">
        <v>#N/A</v>
      </c>
      <c r="Y646" s="1462" t="e">
        <v>#N/A</v>
      </c>
      <c r="Z646" s="1462" t="e">
        <v>#N/A</v>
      </c>
      <c r="AA646" s="1462" t="e">
        <v>#N/A</v>
      </c>
      <c r="AB646" s="1795" t="e">
        <v>#N/A</v>
      </c>
      <c r="AC646" s="46"/>
      <c r="AE646" s="10"/>
      <c r="AF646" s="248"/>
      <c r="AG646" s="10"/>
      <c r="AH646" s="10"/>
    </row>
    <row r="647" spans="1:34" s="5" customFormat="1" ht="10.15" hidden="1" customHeight="1" x14ac:dyDescent="0.2">
      <c r="A647" s="10" t="s">
        <v>461</v>
      </c>
      <c r="C647" s="40"/>
      <c r="J647" s="2581"/>
      <c r="K647" s="2582"/>
      <c r="L647" s="2582"/>
      <c r="M647" s="2583"/>
      <c r="N647" s="1108" t="s">
        <v>439</v>
      </c>
      <c r="O647" s="1100"/>
      <c r="P647" s="1100"/>
      <c r="Q647" s="1100"/>
      <c r="R647" s="1100"/>
      <c r="S647" s="1859" t="s">
        <v>559</v>
      </c>
      <c r="T647" s="2361">
        <v>-0.25</v>
      </c>
      <c r="U647" s="2362">
        <v>-0.25</v>
      </c>
      <c r="V647" s="2362">
        <v>-0.25</v>
      </c>
      <c r="W647" s="2362">
        <v>-0.25</v>
      </c>
      <c r="X647" s="2362">
        <v>-0.25</v>
      </c>
      <c r="Y647" s="2362">
        <v>-0.25</v>
      </c>
      <c r="Z647" s="2362">
        <v>-0.25</v>
      </c>
      <c r="AA647" s="2362">
        <v>-0.25</v>
      </c>
      <c r="AB647" s="2363">
        <v>-0.25</v>
      </c>
      <c r="AC647" s="46"/>
      <c r="AE647" s="10"/>
      <c r="AF647" s="248"/>
      <c r="AG647" s="10"/>
      <c r="AH647" s="10"/>
    </row>
    <row r="648" spans="1:34" s="5" customFormat="1" ht="10.15" hidden="1" customHeight="1" x14ac:dyDescent="0.2">
      <c r="A648" s="10" t="s">
        <v>461</v>
      </c>
      <c r="C648" s="40"/>
      <c r="E648" s="122"/>
      <c r="J648" s="2581"/>
      <c r="K648" s="2582"/>
      <c r="L648" s="2582"/>
      <c r="M648" s="2583"/>
      <c r="N648" s="1088" t="s">
        <v>441</v>
      </c>
      <c r="O648" s="1090"/>
      <c r="P648" s="1090"/>
      <c r="Q648" s="1090"/>
      <c r="R648" s="1090"/>
      <c r="S648" s="1857" t="s">
        <v>560</v>
      </c>
      <c r="T648" s="2364">
        <v>-0.375</v>
      </c>
      <c r="U648" s="2350">
        <v>-0.375</v>
      </c>
      <c r="V648" s="2350">
        <v>-0.375</v>
      </c>
      <c r="W648" s="2350">
        <v>-0.375</v>
      </c>
      <c r="X648" s="2350">
        <v>-0.375</v>
      </c>
      <c r="Y648" s="2350">
        <v>-0.375</v>
      </c>
      <c r="Z648" s="2350">
        <v>-0.375</v>
      </c>
      <c r="AA648" s="2350">
        <v>-0.375</v>
      </c>
      <c r="AB648" s="2365">
        <v>-0.375</v>
      </c>
      <c r="AC648" s="46"/>
      <c r="AE648" s="10"/>
      <c r="AF648" s="248"/>
      <c r="AG648" s="10"/>
      <c r="AH648" s="10"/>
    </row>
    <row r="649" spans="1:34" s="5" customFormat="1" ht="10.15" hidden="1" customHeight="1" x14ac:dyDescent="0.2">
      <c r="A649" s="10" t="s">
        <v>463</v>
      </c>
      <c r="C649" s="40"/>
      <c r="J649" s="2581"/>
      <c r="K649" s="2582"/>
      <c r="L649" s="2582"/>
      <c r="M649" s="2583"/>
      <c r="N649" s="1088" t="s">
        <v>456</v>
      </c>
      <c r="O649" s="1090"/>
      <c r="P649" s="1090"/>
      <c r="Q649" s="1090"/>
      <c r="R649" s="1090"/>
      <c r="S649" s="1857" t="s">
        <v>561</v>
      </c>
      <c r="T649" s="1794" t="e">
        <v>#N/A</v>
      </c>
      <c r="U649" s="1462" t="e">
        <v>#N/A</v>
      </c>
      <c r="V649" s="1462" t="e">
        <v>#N/A</v>
      </c>
      <c r="W649" s="1462" t="e">
        <v>#N/A</v>
      </c>
      <c r="X649" s="1462" t="e">
        <v>#N/A</v>
      </c>
      <c r="Y649" s="1462" t="e">
        <v>#N/A</v>
      </c>
      <c r="Z649" s="1462" t="e">
        <v>#N/A</v>
      </c>
      <c r="AA649" s="1462" t="e">
        <v>#N/A</v>
      </c>
      <c r="AB649" s="1795" t="e">
        <v>#N/A</v>
      </c>
      <c r="AC649" s="46"/>
      <c r="AE649" s="10"/>
      <c r="AF649" s="248"/>
      <c r="AG649" s="10"/>
      <c r="AH649" s="10"/>
    </row>
    <row r="650" spans="1:34" s="5" customFormat="1" ht="10.15" hidden="1" customHeight="1" x14ac:dyDescent="0.2">
      <c r="A650" s="10" t="s">
        <v>461</v>
      </c>
      <c r="C650" s="40"/>
      <c r="J650" s="2581"/>
      <c r="K650" s="2582"/>
      <c r="L650" s="2582"/>
      <c r="M650" s="2583"/>
      <c r="N650" s="1108" t="s">
        <v>457</v>
      </c>
      <c r="O650" s="1100"/>
      <c r="P650" s="1100"/>
      <c r="Q650" s="1100"/>
      <c r="R650" s="1100"/>
      <c r="S650" s="1859" t="s">
        <v>562</v>
      </c>
      <c r="T650" s="2353">
        <v>0</v>
      </c>
      <c r="U650" s="2354">
        <v>0</v>
      </c>
      <c r="V650" s="2354">
        <v>0</v>
      </c>
      <c r="W650" s="2354">
        <v>0</v>
      </c>
      <c r="X650" s="2354">
        <v>0</v>
      </c>
      <c r="Y650" s="2354">
        <v>0</v>
      </c>
      <c r="Z650" s="2354">
        <v>0</v>
      </c>
      <c r="AA650" s="2354">
        <v>0</v>
      </c>
      <c r="AB650" s="2355">
        <v>0</v>
      </c>
      <c r="AC650" s="46"/>
      <c r="AE650" s="10"/>
      <c r="AF650" s="248"/>
      <c r="AG650" s="10"/>
      <c r="AH650" s="10"/>
    </row>
    <row r="651" spans="1:34" s="5" customFormat="1" ht="10.15" hidden="1" customHeight="1" x14ac:dyDescent="0.2">
      <c r="A651" s="10" t="s">
        <v>463</v>
      </c>
      <c r="C651" s="40"/>
      <c r="J651" s="2581"/>
      <c r="K651" s="2582"/>
      <c r="L651" s="2582"/>
      <c r="M651" s="2583"/>
      <c r="N651" s="1111" t="s">
        <v>460</v>
      </c>
      <c r="O651" s="1132"/>
      <c r="P651" s="1132"/>
      <c r="Q651" s="1132"/>
      <c r="R651" s="1132"/>
      <c r="S651" s="1863" t="s">
        <v>563</v>
      </c>
      <c r="T651" s="2359">
        <v>0</v>
      </c>
      <c r="U651" s="2329">
        <v>0</v>
      </c>
      <c r="V651" s="2329">
        <v>0</v>
      </c>
      <c r="W651" s="2329">
        <v>0</v>
      </c>
      <c r="X651" s="2329">
        <v>0</v>
      </c>
      <c r="Y651" s="2329">
        <v>0</v>
      </c>
      <c r="Z651" s="2329">
        <v>0</v>
      </c>
      <c r="AA651" s="2329">
        <v>0</v>
      </c>
      <c r="AB651" s="2360">
        <v>0</v>
      </c>
      <c r="AC651" s="46"/>
      <c r="AE651" s="10"/>
      <c r="AF651" s="248"/>
      <c r="AG651" s="10"/>
      <c r="AH651" s="10"/>
    </row>
    <row r="652" spans="1:34" s="5" customFormat="1" ht="10.15" hidden="1" customHeight="1" x14ac:dyDescent="0.2">
      <c r="A652" s="10" t="s">
        <v>461</v>
      </c>
      <c r="C652" s="40"/>
      <c r="J652" s="2581"/>
      <c r="K652" s="2582"/>
      <c r="L652" s="2582"/>
      <c r="M652" s="2583"/>
      <c r="N652" s="1108" t="s">
        <v>1</v>
      </c>
      <c r="O652" s="1100"/>
      <c r="P652" s="1100"/>
      <c r="Q652" s="1100"/>
      <c r="R652" s="1100"/>
      <c r="S652" s="1859" t="s">
        <v>564</v>
      </c>
      <c r="T652" s="2361">
        <v>0</v>
      </c>
      <c r="U652" s="2362">
        <v>0</v>
      </c>
      <c r="V652" s="2362">
        <v>0</v>
      </c>
      <c r="W652" s="2362">
        <v>0</v>
      </c>
      <c r="X652" s="2362">
        <v>0</v>
      </c>
      <c r="Y652" s="2362">
        <v>0</v>
      </c>
      <c r="Z652" s="2362">
        <v>0</v>
      </c>
      <c r="AA652" s="2362">
        <v>0</v>
      </c>
      <c r="AB652" s="2363">
        <v>0</v>
      </c>
      <c r="AC652" s="46"/>
      <c r="AE652" s="10"/>
      <c r="AF652" s="248"/>
      <c r="AG652" s="10"/>
      <c r="AH652" s="10"/>
    </row>
    <row r="653" spans="1:34" s="5" customFormat="1" ht="10.15" hidden="1" customHeight="1" x14ac:dyDescent="0.2">
      <c r="A653" s="10" t="s">
        <v>461</v>
      </c>
      <c r="C653" s="40"/>
      <c r="J653" s="2581"/>
      <c r="K653" s="2582"/>
      <c r="L653" s="2582"/>
      <c r="M653" s="2583"/>
      <c r="N653" s="1111" t="s">
        <v>164</v>
      </c>
      <c r="O653" s="1132"/>
      <c r="P653" s="1132"/>
      <c r="Q653" s="1132"/>
      <c r="R653" s="1132"/>
      <c r="S653" s="1863" t="s">
        <v>565</v>
      </c>
      <c r="T653" s="2366">
        <v>-0.25</v>
      </c>
      <c r="U653" s="2367">
        <v>-0.25</v>
      </c>
      <c r="V653" s="2367">
        <v>-0.25</v>
      </c>
      <c r="W653" s="2367">
        <v>-0.25</v>
      </c>
      <c r="X653" s="2367">
        <v>-0.25</v>
      </c>
      <c r="Y653" s="2367">
        <v>-0.25</v>
      </c>
      <c r="Z653" s="2367">
        <v>-0.25</v>
      </c>
      <c r="AA653" s="2367">
        <v>-0.25</v>
      </c>
      <c r="AB653" s="2368">
        <v>-0.25</v>
      </c>
      <c r="AC653" s="46"/>
      <c r="AE653" s="10"/>
      <c r="AF653" s="248"/>
      <c r="AG653" s="10"/>
      <c r="AH653" s="10"/>
    </row>
    <row r="654" spans="1:34" s="5" customFormat="1" ht="10.15" hidden="1" customHeight="1" x14ac:dyDescent="0.2">
      <c r="A654" s="10" t="s">
        <v>461</v>
      </c>
      <c r="C654" s="40"/>
      <c r="J654" s="2581"/>
      <c r="K654" s="2582"/>
      <c r="L654" s="2582"/>
      <c r="M654" s="2583"/>
      <c r="N654" s="1108" t="s">
        <v>98</v>
      </c>
      <c r="O654" s="1100"/>
      <c r="P654" s="1100"/>
      <c r="Q654" s="1100"/>
      <c r="R654" s="1100"/>
      <c r="S654" s="1859" t="s">
        <v>566</v>
      </c>
      <c r="T654" s="2193">
        <v>0</v>
      </c>
      <c r="U654" s="2194">
        <v>0</v>
      </c>
      <c r="V654" s="2194">
        <v>0</v>
      </c>
      <c r="W654" s="2194">
        <v>0</v>
      </c>
      <c r="X654" s="2194">
        <v>0</v>
      </c>
      <c r="Y654" s="2194">
        <v>0</v>
      </c>
      <c r="Z654" s="2194">
        <v>0</v>
      </c>
      <c r="AA654" s="2194">
        <v>0</v>
      </c>
      <c r="AB654" s="2236">
        <v>0</v>
      </c>
      <c r="AC654" s="46"/>
      <c r="AE654" s="10"/>
      <c r="AF654" s="248"/>
      <c r="AG654" s="10"/>
      <c r="AH654" s="10"/>
    </row>
    <row r="655" spans="1:34" s="5" customFormat="1" ht="10.15" hidden="1" customHeight="1" x14ac:dyDescent="0.2">
      <c r="A655" s="10" t="s">
        <v>461</v>
      </c>
      <c r="C655" s="40"/>
      <c r="J655" s="2584"/>
      <c r="K655" s="2585"/>
      <c r="L655" s="2585"/>
      <c r="M655" s="2586"/>
      <c r="N655" s="1109" t="s">
        <v>4</v>
      </c>
      <c r="O655" s="1102"/>
      <c r="P655" s="1102"/>
      <c r="Q655" s="1102"/>
      <c r="R655" s="1102"/>
      <c r="S655" s="1860" t="s">
        <v>567</v>
      </c>
      <c r="T655" s="2184">
        <v>-0.25</v>
      </c>
      <c r="U655" s="2185">
        <v>-0.25</v>
      </c>
      <c r="V655" s="2185">
        <v>-0.25</v>
      </c>
      <c r="W655" s="2185">
        <v>-0.375</v>
      </c>
      <c r="X655" s="2185">
        <v>-0.5</v>
      </c>
      <c r="Y655" s="2185">
        <v>-0.75</v>
      </c>
      <c r="Z655" s="2185">
        <v>-0.875</v>
      </c>
      <c r="AA655" s="2185">
        <v>-1.25</v>
      </c>
      <c r="AB655" s="2186">
        <v>-2.25</v>
      </c>
      <c r="AC655" s="46"/>
      <c r="AE655" s="10"/>
      <c r="AF655" s="248"/>
      <c r="AG655" s="10"/>
      <c r="AH655" s="10"/>
    </row>
    <row r="656" spans="1:34" s="5" customFormat="1" ht="10.15" hidden="1" customHeight="1" x14ac:dyDescent="0.2">
      <c r="A656" s="10" t="s">
        <v>463</v>
      </c>
      <c r="C656" s="40"/>
      <c r="J656" s="2578" t="s">
        <v>8</v>
      </c>
      <c r="K656" s="2579"/>
      <c r="L656" s="2579"/>
      <c r="M656" s="2580"/>
      <c r="N656" s="1110" t="s">
        <v>2119</v>
      </c>
      <c r="O656" s="1110"/>
      <c r="P656" s="1110"/>
      <c r="Q656" s="1110"/>
      <c r="R656" s="1110"/>
      <c r="S656" s="1859" t="s">
        <v>2126</v>
      </c>
      <c r="T656" s="1791" t="e">
        <v>#N/A</v>
      </c>
      <c r="U656" s="1792" t="e">
        <v>#N/A</v>
      </c>
      <c r="V656" s="1792" t="e">
        <v>#N/A</v>
      </c>
      <c r="W656" s="1792" t="e">
        <v>#N/A</v>
      </c>
      <c r="X656" s="1792" t="e">
        <v>#N/A</v>
      </c>
      <c r="Y656" s="1792" t="e">
        <v>#N/A</v>
      </c>
      <c r="Z656" s="1792" t="e">
        <v>#N/A</v>
      </c>
      <c r="AA656" s="1792" t="e">
        <v>#N/A</v>
      </c>
      <c r="AB656" s="1793" t="e">
        <v>#N/A</v>
      </c>
      <c r="AC656" s="46"/>
      <c r="AE656" s="10"/>
      <c r="AF656" s="248"/>
      <c r="AG656" s="10"/>
      <c r="AH656" s="10"/>
    </row>
    <row r="657" spans="1:34" s="5" customFormat="1" ht="10.15" hidden="1" customHeight="1" x14ac:dyDescent="0.2">
      <c r="A657" s="10" t="s">
        <v>463</v>
      </c>
      <c r="C657" s="40"/>
      <c r="J657" s="2581"/>
      <c r="K657" s="2582"/>
      <c r="L657" s="2582"/>
      <c r="M657" s="2583"/>
      <c r="N657" s="1089" t="s">
        <v>2120</v>
      </c>
      <c r="O657" s="1089"/>
      <c r="P657" s="1089"/>
      <c r="Q657" s="1089"/>
      <c r="R657" s="1089"/>
      <c r="S657" s="1861" t="s">
        <v>2127</v>
      </c>
      <c r="T657" s="1796" t="e">
        <v>#N/A</v>
      </c>
      <c r="U657" s="1797" t="e">
        <v>#N/A</v>
      </c>
      <c r="V657" s="1797" t="e">
        <v>#N/A</v>
      </c>
      <c r="W657" s="1797" t="e">
        <v>#N/A</v>
      </c>
      <c r="X657" s="1797" t="e">
        <v>#N/A</v>
      </c>
      <c r="Y657" s="1797" t="e">
        <v>#N/A</v>
      </c>
      <c r="Z657" s="1797" t="e">
        <v>#N/A</v>
      </c>
      <c r="AA657" s="1797" t="e">
        <v>#N/A</v>
      </c>
      <c r="AB657" s="1798" t="e">
        <v>#N/A</v>
      </c>
      <c r="AC657" s="46"/>
      <c r="AE657" s="10"/>
      <c r="AF657" s="248"/>
      <c r="AG657" s="10"/>
      <c r="AH657" s="10"/>
    </row>
    <row r="658" spans="1:34" s="5" customFormat="1" ht="10.15" hidden="1" customHeight="1" x14ac:dyDescent="0.2">
      <c r="A658" s="10" t="s">
        <v>463</v>
      </c>
      <c r="C658" s="40"/>
      <c r="J658" s="2581"/>
      <c r="K658" s="2582"/>
      <c r="L658" s="2582"/>
      <c r="M658" s="2583"/>
      <c r="N658" s="1089" t="s">
        <v>1335</v>
      </c>
      <c r="O658" s="1089"/>
      <c r="P658" s="1089"/>
      <c r="Q658" s="1089"/>
      <c r="R658" s="1089"/>
      <c r="S658" s="1861" t="s">
        <v>1318</v>
      </c>
      <c r="T658" s="2419">
        <v>-0.5</v>
      </c>
      <c r="U658" s="2420">
        <v>-0.5</v>
      </c>
      <c r="V658" s="2420">
        <v>-0.5</v>
      </c>
      <c r="W658" s="2420">
        <v>-0.5</v>
      </c>
      <c r="X658" s="2420">
        <v>-0.5</v>
      </c>
      <c r="Y658" s="2420">
        <v>-0.75</v>
      </c>
      <c r="Z658" s="2420">
        <v>-0.75</v>
      </c>
      <c r="AA658" s="2420">
        <v>-0.875</v>
      </c>
      <c r="AB658" s="2421">
        <v>-1</v>
      </c>
      <c r="AC658" s="46"/>
      <c r="AE658" s="10"/>
      <c r="AF658" s="248"/>
      <c r="AG658" s="10"/>
      <c r="AH658" s="10"/>
    </row>
    <row r="659" spans="1:34" s="5" customFormat="1" ht="10.15" hidden="1" customHeight="1" x14ac:dyDescent="0.2">
      <c r="A659" s="10" t="s">
        <v>461</v>
      </c>
      <c r="C659" s="40"/>
      <c r="J659" s="2581"/>
      <c r="K659" s="2582"/>
      <c r="L659" s="2582"/>
      <c r="M659" s="2583"/>
      <c r="N659" s="1089" t="s">
        <v>1314</v>
      </c>
      <c r="O659" s="1089"/>
      <c r="P659" s="1089"/>
      <c r="Q659" s="1089"/>
      <c r="R659" s="1089"/>
      <c r="S659" s="1861" t="s">
        <v>1319</v>
      </c>
      <c r="T659" s="2178">
        <v>-0.5</v>
      </c>
      <c r="U659" s="2179">
        <v>-0.5</v>
      </c>
      <c r="V659" s="2179">
        <v>-0.5</v>
      </c>
      <c r="W659" s="2179">
        <v>-0.5</v>
      </c>
      <c r="X659" s="2179">
        <v>-0.5</v>
      </c>
      <c r="Y659" s="2179">
        <v>-0.75</v>
      </c>
      <c r="Z659" s="2179">
        <v>-0.75</v>
      </c>
      <c r="AA659" s="2179">
        <v>-0.875</v>
      </c>
      <c r="AB659" s="2180">
        <v>-1</v>
      </c>
      <c r="AC659" s="46"/>
      <c r="AE659" s="10"/>
      <c r="AF659" s="248"/>
      <c r="AG659" s="10"/>
      <c r="AH659" s="10"/>
    </row>
    <row r="660" spans="1:34" s="5" customFormat="1" ht="10.15" hidden="1" customHeight="1" x14ac:dyDescent="0.2">
      <c r="A660" s="10" t="s">
        <v>461</v>
      </c>
      <c r="C660" s="40"/>
      <c r="J660" s="2581"/>
      <c r="K660" s="2582"/>
      <c r="L660" s="2582"/>
      <c r="M660" s="2583"/>
      <c r="N660" s="1089" t="s">
        <v>1315</v>
      </c>
      <c r="O660" s="1089"/>
      <c r="P660" s="1089"/>
      <c r="Q660" s="1089"/>
      <c r="R660" s="1089"/>
      <c r="S660" s="1861" t="s">
        <v>1320</v>
      </c>
      <c r="T660" s="2181">
        <v>-0.375</v>
      </c>
      <c r="U660" s="2182">
        <v>-0.375</v>
      </c>
      <c r="V660" s="2182">
        <v>-0.375</v>
      </c>
      <c r="W660" s="2182">
        <v>-0.375</v>
      </c>
      <c r="X660" s="2182">
        <v>-0.375</v>
      </c>
      <c r="Y660" s="2182">
        <v>-0.625</v>
      </c>
      <c r="Z660" s="2182">
        <v>-0.625</v>
      </c>
      <c r="AA660" s="2182">
        <v>-0.75</v>
      </c>
      <c r="AB660" s="2183">
        <v>-0.875</v>
      </c>
      <c r="AC660" s="46"/>
      <c r="AE660" s="10"/>
      <c r="AF660" s="248"/>
      <c r="AG660" s="10"/>
      <c r="AH660" s="10"/>
    </row>
    <row r="661" spans="1:34" s="5" customFormat="1" ht="10.15" hidden="1" customHeight="1" x14ac:dyDescent="0.2">
      <c r="A661" s="10" t="s">
        <v>461</v>
      </c>
      <c r="C661" s="40"/>
      <c r="J661" s="2581"/>
      <c r="K661" s="2582"/>
      <c r="L661" s="2582"/>
      <c r="M661" s="2583"/>
      <c r="N661" s="1089" t="s">
        <v>1316</v>
      </c>
      <c r="O661" s="1089"/>
      <c r="P661" s="1089"/>
      <c r="Q661" s="1089"/>
      <c r="R661" s="1089"/>
      <c r="S661" s="1861" t="s">
        <v>1321</v>
      </c>
      <c r="T661" s="2181">
        <v>-0.125</v>
      </c>
      <c r="U661" s="2182">
        <v>-0.125</v>
      </c>
      <c r="V661" s="2182">
        <v>-0.125</v>
      </c>
      <c r="W661" s="2182">
        <v>-0.125</v>
      </c>
      <c r="X661" s="2182">
        <v>-0.25</v>
      </c>
      <c r="Y661" s="2182">
        <v>-0.375</v>
      </c>
      <c r="Z661" s="2182">
        <v>-0.375</v>
      </c>
      <c r="AA661" s="2182">
        <v>-0.625</v>
      </c>
      <c r="AB661" s="2183">
        <v>-0.75</v>
      </c>
      <c r="AC661" s="46"/>
      <c r="AE661" s="10"/>
      <c r="AF661" s="248"/>
      <c r="AG661" s="10"/>
      <c r="AH661" s="10"/>
    </row>
    <row r="662" spans="1:34" s="5" customFormat="1" ht="10.15" hidden="1" customHeight="1" x14ac:dyDescent="0.2">
      <c r="A662" s="10" t="s">
        <v>461</v>
      </c>
      <c r="C662" s="40"/>
      <c r="J662" s="2581"/>
      <c r="K662" s="2582"/>
      <c r="L662" s="2582"/>
      <c r="M662" s="2583"/>
      <c r="N662" s="1088" t="s">
        <v>1317</v>
      </c>
      <c r="O662" s="1090"/>
      <c r="P662" s="1090"/>
      <c r="Q662" s="1090"/>
      <c r="R662" s="1090"/>
      <c r="S662" s="1861" t="s">
        <v>1322</v>
      </c>
      <c r="T662" s="2181">
        <v>-0.125</v>
      </c>
      <c r="U662" s="2182">
        <v>-0.125</v>
      </c>
      <c r="V662" s="2182">
        <v>-0.125</v>
      </c>
      <c r="W662" s="2182">
        <v>-0.125</v>
      </c>
      <c r="X662" s="2182">
        <v>-0.25</v>
      </c>
      <c r="Y662" s="2182">
        <v>-0.375</v>
      </c>
      <c r="Z662" s="2182">
        <v>-0.375</v>
      </c>
      <c r="AA662" s="2182">
        <v>-0.625</v>
      </c>
      <c r="AB662" s="2183">
        <v>-0.75</v>
      </c>
      <c r="AC662" s="46"/>
      <c r="AE662" s="10"/>
      <c r="AF662" s="248"/>
      <c r="AG662" s="10"/>
      <c r="AH662" s="10"/>
    </row>
    <row r="663" spans="1:34" s="5" customFormat="1" ht="10.15" hidden="1" customHeight="1" x14ac:dyDescent="0.2">
      <c r="A663" s="10" t="s">
        <v>461</v>
      </c>
      <c r="C663" s="40"/>
      <c r="J663" s="2581"/>
      <c r="K663" s="2582"/>
      <c r="L663" s="2582"/>
      <c r="M663" s="2583"/>
      <c r="N663" s="1088" t="s">
        <v>311</v>
      </c>
      <c r="O663" s="1090"/>
      <c r="P663" s="1090"/>
      <c r="Q663" s="1090"/>
      <c r="R663" s="1090"/>
      <c r="S663" s="1857" t="s">
        <v>568</v>
      </c>
      <c r="T663" s="2181">
        <v>0</v>
      </c>
      <c r="U663" s="2182">
        <v>0</v>
      </c>
      <c r="V663" s="2182">
        <v>0</v>
      </c>
      <c r="W663" s="2182">
        <v>0</v>
      </c>
      <c r="X663" s="2182">
        <v>0</v>
      </c>
      <c r="Y663" s="2182">
        <v>0</v>
      </c>
      <c r="Z663" s="2182">
        <v>0</v>
      </c>
      <c r="AA663" s="2182">
        <v>-0.25</v>
      </c>
      <c r="AB663" s="2183">
        <v>-0.25</v>
      </c>
      <c r="AC663" s="46"/>
      <c r="AE663" s="10"/>
      <c r="AF663" s="248"/>
      <c r="AG663" s="10"/>
      <c r="AH663" s="10"/>
    </row>
    <row r="664" spans="1:34" s="5" customFormat="1" ht="10.15" hidden="1" customHeight="1" x14ac:dyDescent="0.2">
      <c r="A664" s="10" t="s">
        <v>461</v>
      </c>
      <c r="C664" s="40"/>
      <c r="J664" s="2581"/>
      <c r="K664" s="2582"/>
      <c r="L664" s="2582"/>
      <c r="M664" s="2583"/>
      <c r="N664" s="1088" t="s">
        <v>251</v>
      </c>
      <c r="O664" s="1090"/>
      <c r="P664" s="1090"/>
      <c r="Q664" s="1090"/>
      <c r="R664" s="1090"/>
      <c r="S664" s="1857" t="s">
        <v>569</v>
      </c>
      <c r="T664" s="2181">
        <v>0</v>
      </c>
      <c r="U664" s="2182">
        <v>0</v>
      </c>
      <c r="V664" s="2182">
        <v>0</v>
      </c>
      <c r="W664" s="2182">
        <v>0</v>
      </c>
      <c r="X664" s="2182">
        <v>0</v>
      </c>
      <c r="Y664" s="2182">
        <v>0</v>
      </c>
      <c r="Z664" s="2182">
        <v>0</v>
      </c>
      <c r="AA664" s="2182">
        <v>0</v>
      </c>
      <c r="AB664" s="2183">
        <v>0</v>
      </c>
      <c r="AC664" s="46"/>
      <c r="AE664" s="10"/>
      <c r="AF664" s="248"/>
      <c r="AG664" s="10"/>
      <c r="AH664" s="10"/>
    </row>
    <row r="665" spans="1:34" ht="10.15" hidden="1" customHeight="1" x14ac:dyDescent="0.25">
      <c r="A665" s="10" t="s">
        <v>461</v>
      </c>
      <c r="C665" s="40"/>
      <c r="D665" s="5"/>
      <c r="E665" s="5"/>
      <c r="F665" s="5"/>
      <c r="G665" s="5"/>
      <c r="H665" s="5"/>
      <c r="I665" s="5"/>
      <c r="J665" s="2581"/>
      <c r="K665" s="2582"/>
      <c r="L665" s="2582"/>
      <c r="M665" s="2583"/>
      <c r="N665" s="1088" t="s">
        <v>12</v>
      </c>
      <c r="O665" s="1090"/>
      <c r="P665" s="1090"/>
      <c r="Q665" s="1090"/>
      <c r="R665" s="1090"/>
      <c r="S665" s="1857" t="s">
        <v>570</v>
      </c>
      <c r="T665" s="2181">
        <v>0</v>
      </c>
      <c r="U665" s="2182">
        <v>0</v>
      </c>
      <c r="V665" s="2182">
        <v>0</v>
      </c>
      <c r="W665" s="2182">
        <v>0</v>
      </c>
      <c r="X665" s="2182">
        <v>0</v>
      </c>
      <c r="Y665" s="2182">
        <v>0</v>
      </c>
      <c r="Z665" s="2182">
        <v>0</v>
      </c>
      <c r="AA665" s="2182">
        <v>0</v>
      </c>
      <c r="AB665" s="2183">
        <v>0</v>
      </c>
      <c r="AC665" s="46"/>
      <c r="AF665" s="248"/>
    </row>
    <row r="666" spans="1:34" ht="10.15" hidden="1" customHeight="1" x14ac:dyDescent="0.25">
      <c r="A666" s="10" t="s">
        <v>461</v>
      </c>
      <c r="C666" s="40"/>
      <c r="D666" s="5"/>
      <c r="E666" s="5"/>
      <c r="F666" s="5"/>
      <c r="G666" s="5"/>
      <c r="H666" s="5"/>
      <c r="I666" s="5"/>
      <c r="J666" s="2581"/>
      <c r="K666" s="2582"/>
      <c r="L666" s="2582"/>
      <c r="M666" s="2583"/>
      <c r="N666" s="1088" t="s">
        <v>13</v>
      </c>
      <c r="O666" s="1090"/>
      <c r="P666" s="1090"/>
      <c r="Q666" s="1090"/>
      <c r="R666" s="1090"/>
      <c r="S666" s="1857" t="s">
        <v>571</v>
      </c>
      <c r="T666" s="2181">
        <v>0</v>
      </c>
      <c r="U666" s="2182">
        <v>0</v>
      </c>
      <c r="V666" s="2182">
        <v>0</v>
      </c>
      <c r="W666" s="2182">
        <v>0</v>
      </c>
      <c r="X666" s="2182">
        <v>0</v>
      </c>
      <c r="Y666" s="2182">
        <v>0</v>
      </c>
      <c r="Z666" s="2182">
        <v>0</v>
      </c>
      <c r="AA666" s="2182">
        <v>0</v>
      </c>
      <c r="AB666" s="2183">
        <v>0</v>
      </c>
      <c r="AC666" s="46"/>
      <c r="AF666" s="248"/>
    </row>
    <row r="667" spans="1:34" s="5" customFormat="1" ht="10.15" hidden="1" customHeight="1" x14ac:dyDescent="0.2">
      <c r="A667" s="10" t="s">
        <v>461</v>
      </c>
      <c r="C667" s="40"/>
      <c r="J667" s="2581"/>
      <c r="K667" s="2582"/>
      <c r="L667" s="2582"/>
      <c r="M667" s="2583"/>
      <c r="N667" s="1088" t="s">
        <v>89</v>
      </c>
      <c r="O667" s="1090"/>
      <c r="P667" s="1090"/>
      <c r="Q667" s="1090"/>
      <c r="R667" s="1090"/>
      <c r="S667" s="1857" t="s">
        <v>572</v>
      </c>
      <c r="T667" s="2181">
        <v>0</v>
      </c>
      <c r="U667" s="2182">
        <v>0</v>
      </c>
      <c r="V667" s="2182">
        <v>0</v>
      </c>
      <c r="W667" s="2182">
        <v>0</v>
      </c>
      <c r="X667" s="2182">
        <v>0</v>
      </c>
      <c r="Y667" s="2182">
        <v>0</v>
      </c>
      <c r="Z667" s="2182">
        <v>0</v>
      </c>
      <c r="AA667" s="2182">
        <v>0</v>
      </c>
      <c r="AB667" s="2183">
        <v>0</v>
      </c>
      <c r="AC667" s="46"/>
      <c r="AE667" s="10"/>
      <c r="AF667" s="248"/>
      <c r="AG667" s="10"/>
      <c r="AH667" s="10"/>
    </row>
    <row r="668" spans="1:34" s="5" customFormat="1" ht="10.15" hidden="1" customHeight="1" x14ac:dyDescent="0.2">
      <c r="A668" s="10" t="s">
        <v>461</v>
      </c>
      <c r="C668" s="40"/>
      <c r="J668" s="2581"/>
      <c r="K668" s="2582"/>
      <c r="L668" s="2582"/>
      <c r="M668" s="2583"/>
      <c r="N668" s="1088" t="s">
        <v>86</v>
      </c>
      <c r="O668" s="1090"/>
      <c r="P668" s="1090"/>
      <c r="Q668" s="1090"/>
      <c r="R668" s="1090"/>
      <c r="S668" s="1857" t="s">
        <v>573</v>
      </c>
      <c r="T668" s="2181">
        <v>0</v>
      </c>
      <c r="U668" s="2182">
        <v>0</v>
      </c>
      <c r="V668" s="2182">
        <v>0</v>
      </c>
      <c r="W668" s="2182">
        <v>0</v>
      </c>
      <c r="X668" s="2182">
        <v>0</v>
      </c>
      <c r="Y668" s="2182">
        <v>0</v>
      </c>
      <c r="Z668" s="2182">
        <v>0</v>
      </c>
      <c r="AA668" s="2182">
        <v>0</v>
      </c>
      <c r="AB668" s="2183">
        <v>0</v>
      </c>
      <c r="AC668" s="46"/>
      <c r="AE668" s="10"/>
      <c r="AF668" s="248"/>
      <c r="AG668" s="10"/>
      <c r="AH668" s="10"/>
    </row>
    <row r="669" spans="1:34" s="5" customFormat="1" ht="10.15" hidden="1" customHeight="1" x14ac:dyDescent="0.2">
      <c r="A669" s="10" t="s">
        <v>461</v>
      </c>
      <c r="C669" s="40"/>
      <c r="J669" s="2581"/>
      <c r="K669" s="2582"/>
      <c r="L669" s="2582"/>
      <c r="M669" s="2583"/>
      <c r="N669" s="1088" t="s">
        <v>87</v>
      </c>
      <c r="O669" s="1090"/>
      <c r="P669" s="1090"/>
      <c r="Q669" s="1090"/>
      <c r="R669" s="1090"/>
      <c r="S669" s="1857" t="s">
        <v>574</v>
      </c>
      <c r="T669" s="2181">
        <v>0</v>
      </c>
      <c r="U669" s="2182">
        <v>0</v>
      </c>
      <c r="V669" s="2182">
        <v>0</v>
      </c>
      <c r="W669" s="2182">
        <v>0</v>
      </c>
      <c r="X669" s="2182">
        <v>0</v>
      </c>
      <c r="Y669" s="2182">
        <v>0</v>
      </c>
      <c r="Z669" s="2182">
        <v>0</v>
      </c>
      <c r="AA669" s="2182">
        <v>-0.375</v>
      </c>
      <c r="AB669" s="2183">
        <v>-0.5</v>
      </c>
      <c r="AC669" s="46"/>
      <c r="AE669" s="10"/>
      <c r="AF669" s="248"/>
      <c r="AG669" s="10"/>
      <c r="AH669" s="10"/>
    </row>
    <row r="670" spans="1:34" s="5" customFormat="1" ht="10.15" hidden="1" customHeight="1" x14ac:dyDescent="0.2">
      <c r="A670" s="10" t="s">
        <v>461</v>
      </c>
      <c r="C670" s="40"/>
      <c r="J670" s="2581"/>
      <c r="K670" s="2582"/>
      <c r="L670" s="2582"/>
      <c r="M670" s="2583"/>
      <c r="N670" s="1088" t="s">
        <v>145</v>
      </c>
      <c r="O670" s="1090"/>
      <c r="P670" s="1090"/>
      <c r="Q670" s="1090"/>
      <c r="R670" s="1090"/>
      <c r="S670" s="1857" t="s">
        <v>575</v>
      </c>
      <c r="T670" s="2181">
        <v>-0.25</v>
      </c>
      <c r="U670" s="2182">
        <v>-0.25</v>
      </c>
      <c r="V670" s="2182">
        <v>-0.25</v>
      </c>
      <c r="W670" s="2182">
        <v>-0.25</v>
      </c>
      <c r="X670" s="2182">
        <v>-0.375</v>
      </c>
      <c r="Y670" s="2182">
        <v>-0.375</v>
      </c>
      <c r="Z670" s="2182">
        <v>-0.625</v>
      </c>
      <c r="AA670" s="2402" t="e">
        <v>#N/A</v>
      </c>
      <c r="AB670" s="2399" t="e">
        <v>#N/A</v>
      </c>
      <c r="AC670" s="46"/>
      <c r="AE670" s="10"/>
      <c r="AF670" s="248"/>
      <c r="AG670" s="10"/>
      <c r="AH670" s="10"/>
    </row>
    <row r="671" spans="1:34" s="5" customFormat="1" ht="10.15" hidden="1" customHeight="1" x14ac:dyDescent="0.2">
      <c r="A671" s="10" t="s">
        <v>461</v>
      </c>
      <c r="C671" s="40"/>
      <c r="J671" s="2581"/>
      <c r="K671" s="2582"/>
      <c r="L671" s="2582"/>
      <c r="M671" s="2583"/>
      <c r="N671" s="1088" t="s">
        <v>146</v>
      </c>
      <c r="O671" s="1090"/>
      <c r="P671" s="1090"/>
      <c r="Q671" s="1090"/>
      <c r="R671" s="1090"/>
      <c r="S671" s="1857" t="s">
        <v>576</v>
      </c>
      <c r="T671" s="2181">
        <v>-0.5</v>
      </c>
      <c r="U671" s="2182">
        <v>-0.5</v>
      </c>
      <c r="V671" s="2182">
        <v>-0.5</v>
      </c>
      <c r="W671" s="2182">
        <v>-0.5</v>
      </c>
      <c r="X671" s="2182">
        <v>-0.625</v>
      </c>
      <c r="Y671" s="2182">
        <v>-0.625</v>
      </c>
      <c r="Z671" s="2402" t="e">
        <v>#N/A</v>
      </c>
      <c r="AA671" s="2402" t="e">
        <v>#N/A</v>
      </c>
      <c r="AB671" s="2399" t="e">
        <v>#N/A</v>
      </c>
      <c r="AC671" s="46"/>
      <c r="AE671" s="10"/>
      <c r="AF671" s="248"/>
      <c r="AG671" s="10"/>
      <c r="AH671" s="10"/>
    </row>
    <row r="672" spans="1:34" s="5" customFormat="1" ht="10.15" hidden="1" customHeight="1" x14ac:dyDescent="0.2">
      <c r="A672" s="10" t="s">
        <v>461</v>
      </c>
      <c r="C672" s="40"/>
      <c r="J672" s="2581"/>
      <c r="K672" s="2582"/>
      <c r="L672" s="2582"/>
      <c r="M672" s="2583"/>
      <c r="N672" s="1088" t="s">
        <v>124</v>
      </c>
      <c r="O672" s="1090"/>
      <c r="P672" s="1090"/>
      <c r="Q672" s="1090"/>
      <c r="R672" s="1090"/>
      <c r="S672" s="1857" t="s">
        <v>577</v>
      </c>
      <c r="T672" s="2181">
        <v>-0.875</v>
      </c>
      <c r="U672" s="2182">
        <v>-0.875</v>
      </c>
      <c r="V672" s="2182">
        <v>-0.875</v>
      </c>
      <c r="W672" s="2182">
        <v>-0.875</v>
      </c>
      <c r="X672" s="2182">
        <v>-1.125</v>
      </c>
      <c r="Y672" s="2182">
        <v>-1.5</v>
      </c>
      <c r="Z672" s="2402" t="e">
        <v>#N/A</v>
      </c>
      <c r="AA672" s="2402" t="e">
        <v>#N/A</v>
      </c>
      <c r="AB672" s="2399" t="e">
        <v>#N/A</v>
      </c>
      <c r="AC672" s="46"/>
      <c r="AE672" s="10"/>
      <c r="AF672" s="248"/>
      <c r="AG672" s="10"/>
      <c r="AH672" s="10"/>
    </row>
    <row r="673" spans="1:34" s="5" customFormat="1" ht="10.15" hidden="1" customHeight="1" x14ac:dyDescent="0.2">
      <c r="A673" s="10" t="s">
        <v>461</v>
      </c>
      <c r="C673" s="40"/>
      <c r="J673" s="2581"/>
      <c r="K673" s="2582"/>
      <c r="L673" s="2582"/>
      <c r="M673" s="2583"/>
      <c r="N673" s="1088" t="s">
        <v>230</v>
      </c>
      <c r="O673" s="1090"/>
      <c r="P673" s="1090"/>
      <c r="Q673" s="1090"/>
      <c r="R673" s="1090"/>
      <c r="S673" s="1857" t="s">
        <v>578</v>
      </c>
      <c r="T673" s="2184">
        <v>-1.5</v>
      </c>
      <c r="U673" s="2185">
        <v>-1.5</v>
      </c>
      <c r="V673" s="2185">
        <v>-1.5</v>
      </c>
      <c r="W673" s="2185">
        <v>-1.5</v>
      </c>
      <c r="X673" s="2185">
        <v>-1.75</v>
      </c>
      <c r="Y673" s="2185">
        <v>-2.125</v>
      </c>
      <c r="Z673" s="2400" t="e">
        <v>#N/A</v>
      </c>
      <c r="AA673" s="2400" t="e">
        <v>#N/A</v>
      </c>
      <c r="AB673" s="2401" t="e">
        <v>#N/A</v>
      </c>
      <c r="AC673" s="46"/>
      <c r="AE673" s="10"/>
      <c r="AF673" s="248"/>
      <c r="AG673" s="10"/>
      <c r="AH673" s="10"/>
    </row>
    <row r="674" spans="1:34" s="5" customFormat="1" ht="10.15" hidden="1" customHeight="1" x14ac:dyDescent="0.2">
      <c r="A674" s="10" t="s">
        <v>463</v>
      </c>
      <c r="C674" s="40"/>
      <c r="J674" s="2581"/>
      <c r="K674" s="2582"/>
      <c r="L674" s="2582"/>
      <c r="M674" s="2583"/>
      <c r="N674" s="1088" t="s">
        <v>231</v>
      </c>
      <c r="O674" s="1090"/>
      <c r="P674" s="1090"/>
      <c r="Q674" s="1090"/>
      <c r="R674" s="1090"/>
      <c r="S674" s="1885" t="s">
        <v>579</v>
      </c>
      <c r="T674" s="1800" t="e">
        <v>#N/A</v>
      </c>
      <c r="U674" s="1463" t="e">
        <v>#N/A</v>
      </c>
      <c r="V674" s="1463" t="e">
        <v>#N/A</v>
      </c>
      <c r="W674" s="1463" t="e">
        <v>#N/A</v>
      </c>
      <c r="X674" s="1463" t="e">
        <v>#N/A</v>
      </c>
      <c r="Y674" s="1463" t="e">
        <v>#N/A</v>
      </c>
      <c r="Z674" s="1463" t="e">
        <v>#N/A</v>
      </c>
      <c r="AA674" s="1463" t="e">
        <v>#N/A</v>
      </c>
      <c r="AB674" s="1799" t="e">
        <v>#N/A</v>
      </c>
      <c r="AC674" s="46"/>
      <c r="AE674" s="10"/>
      <c r="AF674" s="248"/>
      <c r="AG674" s="10"/>
      <c r="AH674" s="10"/>
    </row>
    <row r="675" spans="1:34" s="5" customFormat="1" ht="10.15" hidden="1" customHeight="1" x14ac:dyDescent="0.2">
      <c r="A675" s="10" t="s">
        <v>463</v>
      </c>
      <c r="C675" s="40"/>
      <c r="J675" s="2581"/>
      <c r="K675" s="2582"/>
      <c r="L675" s="2582"/>
      <c r="M675" s="2583"/>
      <c r="N675" s="1088" t="s">
        <v>232</v>
      </c>
      <c r="O675" s="1090"/>
      <c r="P675" s="1090"/>
      <c r="Q675" s="1090"/>
      <c r="R675" s="1090"/>
      <c r="S675" s="1885" t="s">
        <v>580</v>
      </c>
      <c r="T675" s="1800" t="e">
        <v>#N/A</v>
      </c>
      <c r="U675" s="1463" t="e">
        <v>#N/A</v>
      </c>
      <c r="V675" s="1463" t="e">
        <v>#N/A</v>
      </c>
      <c r="W675" s="1463" t="e">
        <v>#N/A</v>
      </c>
      <c r="X675" s="1463" t="e">
        <v>#N/A</v>
      </c>
      <c r="Y675" s="1463" t="e">
        <v>#N/A</v>
      </c>
      <c r="Z675" s="1463" t="e">
        <v>#N/A</v>
      </c>
      <c r="AA675" s="1463" t="e">
        <v>#N/A</v>
      </c>
      <c r="AB675" s="1799" t="e">
        <v>#N/A</v>
      </c>
      <c r="AC675" s="46"/>
      <c r="AE675" s="10"/>
      <c r="AF675" s="248"/>
      <c r="AG675" s="10"/>
      <c r="AH675" s="10"/>
    </row>
    <row r="676" spans="1:34" s="5" customFormat="1" ht="10.15" hidden="1" customHeight="1" x14ac:dyDescent="0.2">
      <c r="A676" s="10" t="s">
        <v>463</v>
      </c>
      <c r="C676" s="40"/>
      <c r="J676" s="2584"/>
      <c r="K676" s="2585"/>
      <c r="L676" s="2585"/>
      <c r="M676" s="2586"/>
      <c r="N676" s="1111" t="s">
        <v>229</v>
      </c>
      <c r="O676" s="1132"/>
      <c r="P676" s="1132"/>
      <c r="Q676" s="1132"/>
      <c r="R676" s="1132"/>
      <c r="S676" s="1863" t="s">
        <v>581</v>
      </c>
      <c r="T676" s="1794" t="e">
        <v>#N/A</v>
      </c>
      <c r="U676" s="1462" t="e">
        <v>#N/A</v>
      </c>
      <c r="V676" s="1462" t="e">
        <v>#N/A</v>
      </c>
      <c r="W676" s="1462" t="e">
        <v>#N/A</v>
      </c>
      <c r="X676" s="1462" t="e">
        <v>#N/A</v>
      </c>
      <c r="Y676" s="1462" t="e">
        <v>#N/A</v>
      </c>
      <c r="Z676" s="1462" t="e">
        <v>#N/A</v>
      </c>
      <c r="AA676" s="1462" t="e">
        <v>#N/A</v>
      </c>
      <c r="AB676" s="1795" t="e">
        <v>#N/A</v>
      </c>
      <c r="AC676" s="46"/>
      <c r="AE676" s="10"/>
      <c r="AF676" s="248"/>
      <c r="AG676" s="10"/>
      <c r="AH676" s="10"/>
    </row>
    <row r="677" spans="1:34" s="5" customFormat="1" ht="10.15" hidden="1" customHeight="1" x14ac:dyDescent="0.2">
      <c r="A677" s="10" t="s">
        <v>463</v>
      </c>
      <c r="C677" s="40"/>
      <c r="J677" s="2578" t="s">
        <v>14</v>
      </c>
      <c r="K677" s="2579"/>
      <c r="L677" s="2579"/>
      <c r="M677" s="2580"/>
      <c r="N677" s="1112" t="s">
        <v>112</v>
      </c>
      <c r="O677" s="1150"/>
      <c r="P677" s="1150"/>
      <c r="Q677" s="1150"/>
      <c r="R677" s="1150"/>
      <c r="S677" s="1862" t="s">
        <v>582</v>
      </c>
      <c r="T677" s="2369">
        <v>0</v>
      </c>
      <c r="U677" s="2352">
        <v>0</v>
      </c>
      <c r="V677" s="2352">
        <v>0</v>
      </c>
      <c r="W677" s="2352">
        <v>0</v>
      </c>
      <c r="X677" s="2352">
        <v>0</v>
      </c>
      <c r="Y677" s="2352">
        <v>0</v>
      </c>
      <c r="Z677" s="2352">
        <v>0</v>
      </c>
      <c r="AA677" s="2352">
        <v>0</v>
      </c>
      <c r="AB677" s="2370">
        <v>0</v>
      </c>
      <c r="AC677" s="46"/>
      <c r="AE677" s="10"/>
      <c r="AF677" s="248"/>
      <c r="AG677" s="10"/>
      <c r="AH677" s="10"/>
    </row>
    <row r="678" spans="1:34" s="5" customFormat="1" ht="10.15" hidden="1" customHeight="1" x14ac:dyDescent="0.2">
      <c r="A678" s="10" t="s">
        <v>461</v>
      </c>
      <c r="C678" s="40"/>
      <c r="J678" s="2581"/>
      <c r="K678" s="2582"/>
      <c r="L678" s="2582"/>
      <c r="M678" s="2583"/>
      <c r="N678" s="1113" t="s">
        <v>32</v>
      </c>
      <c r="O678" s="1110"/>
      <c r="P678" s="1110"/>
      <c r="Q678" s="1110"/>
      <c r="R678" s="1110"/>
      <c r="S678" s="1862" t="s">
        <v>583</v>
      </c>
      <c r="T678" s="2178">
        <v>0</v>
      </c>
      <c r="U678" s="2179">
        <v>0</v>
      </c>
      <c r="V678" s="2179">
        <v>0</v>
      </c>
      <c r="W678" s="2179">
        <v>0</v>
      </c>
      <c r="X678" s="2179">
        <v>0</v>
      </c>
      <c r="Y678" s="2179">
        <v>0</v>
      </c>
      <c r="Z678" s="2179">
        <v>0</v>
      </c>
      <c r="AA678" s="2179">
        <v>0</v>
      </c>
      <c r="AB678" s="2180">
        <v>0</v>
      </c>
      <c r="AC678" s="46"/>
      <c r="AE678" s="10"/>
      <c r="AF678" s="248"/>
      <c r="AG678" s="10"/>
      <c r="AH678" s="10"/>
    </row>
    <row r="679" spans="1:34" s="5" customFormat="1" ht="10.15" hidden="1" customHeight="1" x14ac:dyDescent="0.2">
      <c r="A679" s="10" t="s">
        <v>461</v>
      </c>
      <c r="C679" s="40"/>
      <c r="J679" s="2581"/>
      <c r="K679" s="2582"/>
      <c r="L679" s="2582"/>
      <c r="M679" s="2583"/>
      <c r="N679" s="1088" t="s">
        <v>1549</v>
      </c>
      <c r="O679" s="1090"/>
      <c r="P679" s="1090"/>
      <c r="Q679" s="1090"/>
      <c r="R679" s="1090"/>
      <c r="S679" s="1857" t="s">
        <v>1555</v>
      </c>
      <c r="T679" s="2181">
        <v>0</v>
      </c>
      <c r="U679" s="2182">
        <v>0</v>
      </c>
      <c r="V679" s="2182">
        <v>0</v>
      </c>
      <c r="W679" s="2182">
        <v>0</v>
      </c>
      <c r="X679" s="2182">
        <v>0</v>
      </c>
      <c r="Y679" s="2182">
        <v>-0.125</v>
      </c>
      <c r="Z679" s="2182">
        <v>-0.125</v>
      </c>
      <c r="AA679" s="2182">
        <v>-0.125</v>
      </c>
      <c r="AB679" s="2183">
        <v>-0.125</v>
      </c>
      <c r="AC679" s="46"/>
      <c r="AE679" s="10"/>
      <c r="AF679" s="248"/>
      <c r="AG679" s="10"/>
      <c r="AH679" s="10"/>
    </row>
    <row r="680" spans="1:34" s="5" customFormat="1" ht="10.15" hidden="1" customHeight="1" x14ac:dyDescent="0.2">
      <c r="A680" s="10" t="s">
        <v>461</v>
      </c>
      <c r="C680" s="40"/>
      <c r="J680" s="2581"/>
      <c r="K680" s="2582"/>
      <c r="L680" s="2582"/>
      <c r="M680" s="2583"/>
      <c r="N680" s="1088" t="s">
        <v>1550</v>
      </c>
      <c r="O680" s="1090"/>
      <c r="P680" s="1090"/>
      <c r="Q680" s="1090"/>
      <c r="R680" s="1090"/>
      <c r="S680" s="1857" t="s">
        <v>1556</v>
      </c>
      <c r="T680" s="2181">
        <v>0</v>
      </c>
      <c r="U680" s="2182">
        <v>0</v>
      </c>
      <c r="V680" s="2182">
        <v>0</v>
      </c>
      <c r="W680" s="2182">
        <v>0</v>
      </c>
      <c r="X680" s="2182">
        <v>0</v>
      </c>
      <c r="Y680" s="2182">
        <v>-0.125</v>
      </c>
      <c r="Z680" s="2182">
        <v>-0.125</v>
      </c>
      <c r="AA680" s="2182">
        <v>-0.25</v>
      </c>
      <c r="AB680" s="2183">
        <v>-0.25</v>
      </c>
      <c r="AC680" s="46"/>
      <c r="AE680" s="10"/>
      <c r="AF680" s="248"/>
      <c r="AG680" s="10"/>
      <c r="AH680" s="10"/>
    </row>
    <row r="681" spans="1:34" s="5" customFormat="1" ht="10.15" hidden="1" customHeight="1" x14ac:dyDescent="0.2">
      <c r="A681" s="10" t="s">
        <v>461</v>
      </c>
      <c r="C681" s="40"/>
      <c r="J681" s="2584"/>
      <c r="K681" s="2585"/>
      <c r="L681" s="2585"/>
      <c r="M681" s="2586"/>
      <c r="N681" s="1111" t="s">
        <v>15</v>
      </c>
      <c r="O681" s="1132"/>
      <c r="P681" s="1132"/>
      <c r="Q681" s="1132"/>
      <c r="R681" s="1132"/>
      <c r="S681" s="1863" t="s">
        <v>584</v>
      </c>
      <c r="T681" s="2184">
        <v>-0.125</v>
      </c>
      <c r="U681" s="2185">
        <v>-0.125</v>
      </c>
      <c r="V681" s="2185">
        <v>-0.125</v>
      </c>
      <c r="W681" s="2185">
        <v>-0.125</v>
      </c>
      <c r="X681" s="2185">
        <v>-0.125</v>
      </c>
      <c r="Y681" s="2185">
        <v>-0.375</v>
      </c>
      <c r="Z681" s="2185">
        <v>-0.375</v>
      </c>
      <c r="AA681" s="2185">
        <v>-0.5</v>
      </c>
      <c r="AB681" s="2401" t="e">
        <v>#N/A</v>
      </c>
      <c r="AC681" s="46"/>
      <c r="AE681" s="10"/>
      <c r="AF681" s="248"/>
      <c r="AG681" s="10"/>
      <c r="AH681" s="10"/>
    </row>
    <row r="682" spans="1:34" s="5" customFormat="1" ht="10.15" hidden="1" customHeight="1" x14ac:dyDescent="0.2">
      <c r="A682" s="10" t="s">
        <v>463</v>
      </c>
      <c r="C682" s="40"/>
      <c r="J682" s="2575" t="s">
        <v>62</v>
      </c>
      <c r="K682" s="2576"/>
      <c r="L682" s="2576"/>
      <c r="M682" s="2577"/>
      <c r="N682" s="1114" t="s">
        <v>99</v>
      </c>
      <c r="O682" s="1151"/>
      <c r="P682" s="1151"/>
      <c r="Q682" s="1151"/>
      <c r="R682" s="1151"/>
      <c r="S682" s="1864" t="s">
        <v>585</v>
      </c>
      <c r="T682" s="2369">
        <v>0</v>
      </c>
      <c r="U682" s="2352">
        <v>0</v>
      </c>
      <c r="V682" s="2352">
        <v>0</v>
      </c>
      <c r="W682" s="2352">
        <v>0</v>
      </c>
      <c r="X682" s="2352">
        <v>0</v>
      </c>
      <c r="Y682" s="2352">
        <v>0</v>
      </c>
      <c r="Z682" s="2345">
        <v>0</v>
      </c>
      <c r="AA682" s="2345">
        <v>0</v>
      </c>
      <c r="AB682" s="2371">
        <v>0</v>
      </c>
      <c r="AC682" s="46"/>
      <c r="AE682" s="10"/>
      <c r="AF682" s="248"/>
      <c r="AG682" s="10"/>
      <c r="AH682" s="10"/>
    </row>
    <row r="683" spans="1:34" s="5" customFormat="1" ht="10.15" hidden="1" customHeight="1" x14ac:dyDescent="0.2">
      <c r="A683" s="10" t="s">
        <v>461</v>
      </c>
      <c r="C683" s="40"/>
      <c r="J683" s="2578" t="s">
        <v>33</v>
      </c>
      <c r="K683" s="2579"/>
      <c r="L683" s="2579"/>
      <c r="M683" s="2580"/>
      <c r="N683" s="1115" t="s">
        <v>34</v>
      </c>
      <c r="O683" s="1133"/>
      <c r="P683" s="1133"/>
      <c r="Q683" s="1133"/>
      <c r="R683" s="1133"/>
      <c r="S683" s="1865" t="s">
        <v>586</v>
      </c>
      <c r="T683" s="2178">
        <v>0</v>
      </c>
      <c r="U683" s="2179">
        <v>0</v>
      </c>
      <c r="V683" s="2179">
        <v>0</v>
      </c>
      <c r="W683" s="2179">
        <v>0</v>
      </c>
      <c r="X683" s="2179">
        <v>0</v>
      </c>
      <c r="Y683" s="2179">
        <v>0</v>
      </c>
      <c r="Z683" s="2179">
        <v>0</v>
      </c>
      <c r="AA683" s="2179">
        <v>0</v>
      </c>
      <c r="AB683" s="2180">
        <v>0</v>
      </c>
      <c r="AC683" s="46"/>
      <c r="AE683" s="10"/>
      <c r="AF683" s="248"/>
      <c r="AG683" s="10"/>
      <c r="AH683" s="10"/>
    </row>
    <row r="684" spans="1:34" s="5" customFormat="1" ht="10.15" hidden="1" customHeight="1" x14ac:dyDescent="0.2">
      <c r="A684" s="10" t="s">
        <v>461</v>
      </c>
      <c r="C684" s="40"/>
      <c r="J684" s="2581"/>
      <c r="K684" s="2582"/>
      <c r="L684" s="2582"/>
      <c r="M684" s="2583"/>
      <c r="N684" s="1095" t="s">
        <v>35</v>
      </c>
      <c r="O684" s="1091"/>
      <c r="P684" s="1091"/>
      <c r="Q684" s="1091"/>
      <c r="R684" s="1091"/>
      <c r="S684" s="1866" t="s">
        <v>587</v>
      </c>
      <c r="T684" s="2181">
        <v>0</v>
      </c>
      <c r="U684" s="2182">
        <v>0</v>
      </c>
      <c r="V684" s="2182">
        <v>0</v>
      </c>
      <c r="W684" s="2182">
        <v>0</v>
      </c>
      <c r="X684" s="2182">
        <v>0</v>
      </c>
      <c r="Y684" s="2182">
        <v>0</v>
      </c>
      <c r="Z684" s="2182">
        <v>0</v>
      </c>
      <c r="AA684" s="2182">
        <v>0</v>
      </c>
      <c r="AB684" s="2183">
        <v>0</v>
      </c>
      <c r="AC684" s="46"/>
      <c r="AE684" s="10"/>
      <c r="AF684" s="248"/>
      <c r="AG684" s="10"/>
      <c r="AH684" s="10"/>
    </row>
    <row r="685" spans="1:34" s="5" customFormat="1" ht="10.15" hidden="1" customHeight="1" x14ac:dyDescent="0.2">
      <c r="A685" s="10" t="s">
        <v>461</v>
      </c>
      <c r="C685" s="40"/>
      <c r="J685" s="2584"/>
      <c r="K685" s="2585"/>
      <c r="L685" s="2585"/>
      <c r="M685" s="2586"/>
      <c r="N685" s="1116" t="s">
        <v>16</v>
      </c>
      <c r="O685" s="1096"/>
      <c r="P685" s="1096"/>
      <c r="Q685" s="1096"/>
      <c r="R685" s="1096"/>
      <c r="S685" s="1867" t="s">
        <v>588</v>
      </c>
      <c r="T685" s="2184">
        <v>-0.25</v>
      </c>
      <c r="U685" s="2185">
        <v>-0.375</v>
      </c>
      <c r="V685" s="2185">
        <v>-0.375</v>
      </c>
      <c r="W685" s="2185">
        <v>-0.375</v>
      </c>
      <c r="X685" s="2185">
        <v>-0.5</v>
      </c>
      <c r="Y685" s="2185">
        <v>-1</v>
      </c>
      <c r="Z685" s="2185">
        <v>-1.75</v>
      </c>
      <c r="AA685" s="2400" t="e">
        <v>#N/A</v>
      </c>
      <c r="AB685" s="2401" t="e">
        <v>#N/A</v>
      </c>
      <c r="AC685" s="46"/>
      <c r="AE685" s="10"/>
      <c r="AF685" s="248"/>
      <c r="AG685" s="10"/>
      <c r="AH685" s="10"/>
    </row>
    <row r="686" spans="1:34" s="5" customFormat="1" ht="10.15" hidden="1" customHeight="1" x14ac:dyDescent="0.2">
      <c r="A686" s="10" t="s">
        <v>461</v>
      </c>
      <c r="C686" s="40"/>
      <c r="J686" s="2578" t="s">
        <v>39</v>
      </c>
      <c r="K686" s="2579"/>
      <c r="L686" s="2579"/>
      <c r="M686" s="2580"/>
      <c r="N686" s="1115" t="s">
        <v>37</v>
      </c>
      <c r="O686" s="1133"/>
      <c r="P686" s="1133"/>
      <c r="Q686" s="1133"/>
      <c r="R686" s="1133"/>
      <c r="S686" s="1868" t="s">
        <v>589</v>
      </c>
      <c r="T686" s="2178">
        <v>0</v>
      </c>
      <c r="U686" s="2179">
        <v>0</v>
      </c>
      <c r="V686" s="2179">
        <v>0</v>
      </c>
      <c r="W686" s="2179">
        <v>0</v>
      </c>
      <c r="X686" s="2179">
        <v>0</v>
      </c>
      <c r="Y686" s="2179">
        <v>0</v>
      </c>
      <c r="Z686" s="2179">
        <v>0</v>
      </c>
      <c r="AA686" s="2179">
        <v>0</v>
      </c>
      <c r="AB686" s="2180">
        <v>0</v>
      </c>
      <c r="AC686" s="46"/>
      <c r="AE686" s="10"/>
      <c r="AF686" s="248"/>
      <c r="AG686" s="10"/>
      <c r="AH686" s="10"/>
    </row>
    <row r="687" spans="1:34" s="5" customFormat="1" ht="10.15" hidden="1" customHeight="1" x14ac:dyDescent="0.2">
      <c r="A687" s="10" t="s">
        <v>461</v>
      </c>
      <c r="C687" s="40"/>
      <c r="J687" s="2584"/>
      <c r="K687" s="2585"/>
      <c r="L687" s="2585"/>
      <c r="M687" s="2586"/>
      <c r="N687" s="1116" t="s">
        <v>17</v>
      </c>
      <c r="O687" s="1096"/>
      <c r="P687" s="1096"/>
      <c r="Q687" s="1096"/>
      <c r="R687" s="1096"/>
      <c r="S687" s="1867" t="s">
        <v>590</v>
      </c>
      <c r="T687" s="2184">
        <v>-0.25</v>
      </c>
      <c r="U687" s="2185">
        <v>-0.25</v>
      </c>
      <c r="V687" s="2185">
        <v>-0.25</v>
      </c>
      <c r="W687" s="2185">
        <v>-0.25</v>
      </c>
      <c r="X687" s="2185">
        <v>-0.25</v>
      </c>
      <c r="Y687" s="2185">
        <v>-0.25</v>
      </c>
      <c r="Z687" s="2185">
        <v>-0.375</v>
      </c>
      <c r="AA687" s="2185">
        <v>-0.5</v>
      </c>
      <c r="AB687" s="2401" t="e">
        <v>#N/A</v>
      </c>
      <c r="AC687" s="46"/>
      <c r="AE687" s="10"/>
      <c r="AF687" s="248"/>
      <c r="AG687" s="10"/>
      <c r="AH687" s="10"/>
    </row>
    <row r="688" spans="1:34" ht="10.15" hidden="1" customHeight="1" x14ac:dyDescent="0.25">
      <c r="A688" s="10" t="s">
        <v>461</v>
      </c>
      <c r="C688" s="41"/>
      <c r="J688" s="75" t="s">
        <v>428</v>
      </c>
      <c r="K688" s="71"/>
      <c r="L688" s="72"/>
      <c r="M688" s="73"/>
      <c r="N688" s="1115" t="s">
        <v>427</v>
      </c>
      <c r="O688" s="1133"/>
      <c r="P688" s="1133"/>
      <c r="Q688" s="1133"/>
      <c r="R688" s="1133"/>
      <c r="S688" s="1869" t="s">
        <v>591</v>
      </c>
      <c r="T688" s="2369">
        <v>0</v>
      </c>
      <c r="U688" s="2352">
        <v>0</v>
      </c>
      <c r="V688" s="2352">
        <v>0</v>
      </c>
      <c r="W688" s="2352">
        <v>0</v>
      </c>
      <c r="X688" s="2352">
        <v>0</v>
      </c>
      <c r="Y688" s="2352">
        <v>0</v>
      </c>
      <c r="Z688" s="2352">
        <v>0</v>
      </c>
      <c r="AA688" s="2352">
        <v>0</v>
      </c>
      <c r="AB688" s="2370">
        <v>0</v>
      </c>
      <c r="AC688" s="42"/>
      <c r="AF688" s="248"/>
    </row>
    <row r="689" spans="1:34" s="5" customFormat="1" ht="10.15" hidden="1" customHeight="1" x14ac:dyDescent="0.2">
      <c r="A689" s="10" t="s">
        <v>461</v>
      </c>
      <c r="C689" s="40"/>
      <c r="J689" s="2578" t="s">
        <v>40</v>
      </c>
      <c r="K689" s="2579"/>
      <c r="L689" s="2579"/>
      <c r="M689" s="2580"/>
      <c r="N689" s="1117" t="s">
        <v>41</v>
      </c>
      <c r="O689" s="1135"/>
      <c r="P689" s="1135"/>
      <c r="Q689" s="1135"/>
      <c r="R689" s="1135"/>
      <c r="S689" s="1871" t="s">
        <v>592</v>
      </c>
      <c r="T689" s="2353">
        <v>0</v>
      </c>
      <c r="U689" s="2354">
        <v>0</v>
      </c>
      <c r="V689" s="2354">
        <v>0</v>
      </c>
      <c r="W689" s="2354">
        <v>0</v>
      </c>
      <c r="X689" s="2354">
        <v>0</v>
      </c>
      <c r="Y689" s="2354">
        <v>0</v>
      </c>
      <c r="Z689" s="2354">
        <v>0</v>
      </c>
      <c r="AA689" s="2354">
        <v>0</v>
      </c>
      <c r="AB689" s="2355">
        <v>0</v>
      </c>
      <c r="AC689" s="46"/>
      <c r="AE689" s="10"/>
      <c r="AF689" s="248"/>
      <c r="AG689" s="10"/>
      <c r="AH689" s="10"/>
    </row>
    <row r="690" spans="1:34" s="5" customFormat="1" ht="10.15" hidden="1" customHeight="1" x14ac:dyDescent="0.2">
      <c r="A690" s="10" t="s">
        <v>461</v>
      </c>
      <c r="C690" s="40"/>
      <c r="J690" s="2581"/>
      <c r="K690" s="2582"/>
      <c r="L690" s="2582"/>
      <c r="M690" s="2583"/>
      <c r="N690" s="1118" t="s">
        <v>376</v>
      </c>
      <c r="O690" s="360"/>
      <c r="P690" s="360"/>
      <c r="Q690" s="360"/>
      <c r="R690" s="360"/>
      <c r="S690" s="1872" t="s">
        <v>1662</v>
      </c>
      <c r="T690" s="2356">
        <v>-0.375</v>
      </c>
      <c r="U690" s="2357">
        <v>-0.375</v>
      </c>
      <c r="V690" s="2357">
        <v>-0.375</v>
      </c>
      <c r="W690" s="2357">
        <v>-0.375</v>
      </c>
      <c r="X690" s="2357">
        <v>-0.375</v>
      </c>
      <c r="Y690" s="2357">
        <v>-0.375</v>
      </c>
      <c r="Z690" s="2357">
        <v>-0.375</v>
      </c>
      <c r="AA690" s="2357">
        <v>-0.375</v>
      </c>
      <c r="AB690" s="2358">
        <v>-0.375</v>
      </c>
      <c r="AC690" s="46"/>
      <c r="AE690" s="10"/>
      <c r="AF690" s="248"/>
      <c r="AG690" s="10"/>
      <c r="AH690" s="10"/>
    </row>
    <row r="691" spans="1:34" s="5" customFormat="1" ht="10.15" hidden="1" customHeight="1" x14ac:dyDescent="0.2">
      <c r="A691" s="10" t="s">
        <v>461</v>
      </c>
      <c r="C691" s="40"/>
      <c r="J691" s="2581"/>
      <c r="K691" s="2582"/>
      <c r="L691" s="2582"/>
      <c r="M691" s="2583"/>
      <c r="N691" s="1118" t="s">
        <v>369</v>
      </c>
      <c r="O691" s="360"/>
      <c r="P691" s="360"/>
      <c r="Q691" s="360"/>
      <c r="R691" s="360"/>
      <c r="S691" s="1872" t="s">
        <v>1666</v>
      </c>
      <c r="T691" s="2356">
        <v>-0.375</v>
      </c>
      <c r="U691" s="2357">
        <v>-0.375</v>
      </c>
      <c r="V691" s="2357">
        <v>-0.375</v>
      </c>
      <c r="W691" s="2357">
        <v>-0.375</v>
      </c>
      <c r="X691" s="2357">
        <v>-0.375</v>
      </c>
      <c r="Y691" s="2357">
        <v>-0.375</v>
      </c>
      <c r="Z691" s="2357">
        <v>-0.375</v>
      </c>
      <c r="AA691" s="2357">
        <v>-0.375</v>
      </c>
      <c r="AB691" s="2358">
        <v>-0.375</v>
      </c>
      <c r="AC691" s="46"/>
      <c r="AE691" s="10"/>
      <c r="AF691" s="248"/>
      <c r="AG691" s="10"/>
      <c r="AH691" s="10"/>
    </row>
    <row r="692" spans="1:34" s="5" customFormat="1" ht="10.15" hidden="1" customHeight="1" x14ac:dyDescent="0.2">
      <c r="A692" s="10" t="s">
        <v>461</v>
      </c>
      <c r="C692" s="40"/>
      <c r="J692" s="2584"/>
      <c r="K692" s="2585"/>
      <c r="L692" s="2585"/>
      <c r="M692" s="2586"/>
      <c r="N692" s="1116" t="s">
        <v>321</v>
      </c>
      <c r="O692" s="1096"/>
      <c r="P692" s="1096"/>
      <c r="Q692" s="1096"/>
      <c r="R692" s="1096"/>
      <c r="S692" s="1867" t="s">
        <v>593</v>
      </c>
      <c r="T692" s="2359">
        <v>0</v>
      </c>
      <c r="U692" s="2329">
        <v>0</v>
      </c>
      <c r="V692" s="2329">
        <v>0</v>
      </c>
      <c r="W692" s="2329">
        <v>0</v>
      </c>
      <c r="X692" s="2329">
        <v>0</v>
      </c>
      <c r="Y692" s="2329">
        <v>0</v>
      </c>
      <c r="Z692" s="2329">
        <v>0</v>
      </c>
      <c r="AA692" s="2329">
        <v>0</v>
      </c>
      <c r="AB692" s="2360">
        <v>0</v>
      </c>
      <c r="AC692" s="46"/>
      <c r="AE692" s="10"/>
      <c r="AF692" s="248"/>
      <c r="AG692" s="10"/>
      <c r="AH692" s="10"/>
    </row>
    <row r="693" spans="1:34" s="5" customFormat="1" ht="10.15" hidden="1" customHeight="1" x14ac:dyDescent="0.2">
      <c r="A693" s="10" t="s">
        <v>461</v>
      </c>
      <c r="C693" s="40"/>
      <c r="J693" s="2578" t="s">
        <v>91</v>
      </c>
      <c r="K693" s="2579"/>
      <c r="L693" s="2579"/>
      <c r="M693" s="2580"/>
      <c r="N693" s="1120" t="s">
        <v>83</v>
      </c>
      <c r="O693" s="1136"/>
      <c r="P693" s="1136"/>
      <c r="Q693" s="1136"/>
      <c r="R693" s="1136"/>
      <c r="S693" s="1869" t="s">
        <v>594</v>
      </c>
      <c r="T693" s="2178">
        <v>0</v>
      </c>
      <c r="U693" s="2179">
        <v>0</v>
      </c>
      <c r="V693" s="2179">
        <v>0</v>
      </c>
      <c r="W693" s="2179">
        <v>0</v>
      </c>
      <c r="X693" s="2179">
        <v>0</v>
      </c>
      <c r="Y693" s="2179">
        <v>0</v>
      </c>
      <c r="Z693" s="2179">
        <v>0</v>
      </c>
      <c r="AA693" s="2179">
        <v>0</v>
      </c>
      <c r="AB693" s="2180">
        <v>0</v>
      </c>
      <c r="AC693" s="46"/>
      <c r="AE693" s="10"/>
      <c r="AF693" s="248"/>
      <c r="AG693" s="10"/>
      <c r="AH693" s="10"/>
    </row>
    <row r="694" spans="1:34" s="5" customFormat="1" ht="10.15" hidden="1" customHeight="1" x14ac:dyDescent="0.2">
      <c r="A694" s="10" t="s">
        <v>461</v>
      </c>
      <c r="C694" s="40"/>
      <c r="J694" s="2581"/>
      <c r="K694" s="2582"/>
      <c r="L694" s="2582"/>
      <c r="M694" s="2583"/>
      <c r="N694" s="1121" t="s">
        <v>1635</v>
      </c>
      <c r="O694" s="1093"/>
      <c r="P694" s="1093"/>
      <c r="Q694" s="1093"/>
      <c r="R694" s="1093"/>
      <c r="S694" s="1866" t="s">
        <v>1638</v>
      </c>
      <c r="T694" s="2181">
        <v>-1</v>
      </c>
      <c r="U694" s="2182">
        <v>-1</v>
      </c>
      <c r="V694" s="2182">
        <v>-1</v>
      </c>
      <c r="W694" s="2182">
        <v>-1</v>
      </c>
      <c r="X694" s="2182">
        <v>-1</v>
      </c>
      <c r="Y694" s="2182">
        <v>-1</v>
      </c>
      <c r="Z694" s="2182">
        <v>-1</v>
      </c>
      <c r="AA694" s="2402" t="e">
        <v>#N/A</v>
      </c>
      <c r="AB694" s="2399" t="e">
        <v>#N/A</v>
      </c>
      <c r="AC694" s="46"/>
      <c r="AE694" s="10"/>
      <c r="AF694" s="248"/>
      <c r="AG694" s="10"/>
      <c r="AH694" s="10"/>
    </row>
    <row r="695" spans="1:34" s="5" customFormat="1" ht="10.15" hidden="1" customHeight="1" x14ac:dyDescent="0.2">
      <c r="A695" s="10" t="s">
        <v>461</v>
      </c>
      <c r="C695" s="40"/>
      <c r="J695" s="2581"/>
      <c r="K695" s="2582"/>
      <c r="L695" s="2582"/>
      <c r="M695" s="2583"/>
      <c r="N695" s="1118" t="s">
        <v>155</v>
      </c>
      <c r="O695" s="360"/>
      <c r="P695" s="360"/>
      <c r="Q695" s="360"/>
      <c r="R695" s="360"/>
      <c r="S695" s="1872" t="s">
        <v>595</v>
      </c>
      <c r="T695" s="2181">
        <v>0</v>
      </c>
      <c r="U695" s="2182">
        <v>0</v>
      </c>
      <c r="V695" s="2182">
        <v>0</v>
      </c>
      <c r="W695" s="2182">
        <v>0</v>
      </c>
      <c r="X695" s="2182">
        <v>0</v>
      </c>
      <c r="Y695" s="2182">
        <v>0</v>
      </c>
      <c r="Z695" s="2182">
        <v>0</v>
      </c>
      <c r="AA695" s="2182">
        <v>0</v>
      </c>
      <c r="AB695" s="2183">
        <v>0</v>
      </c>
      <c r="AC695" s="46"/>
      <c r="AE695" s="10"/>
      <c r="AF695" s="248"/>
      <c r="AG695" s="10"/>
      <c r="AH695" s="10"/>
    </row>
    <row r="696" spans="1:34" s="5" customFormat="1" ht="10.15" hidden="1" customHeight="1" x14ac:dyDescent="0.2">
      <c r="A696" s="10" t="s">
        <v>461</v>
      </c>
      <c r="C696" s="40"/>
      <c r="J696" s="2581"/>
      <c r="K696" s="2582"/>
      <c r="L696" s="2582"/>
      <c r="M696" s="2583"/>
      <c r="N696" s="1095" t="s">
        <v>128</v>
      </c>
      <c r="O696" s="1091"/>
      <c r="P696" s="1091"/>
      <c r="Q696" s="1091"/>
      <c r="R696" s="1091"/>
      <c r="S696" s="1872" t="s">
        <v>596</v>
      </c>
      <c r="T696" s="2181">
        <v>0</v>
      </c>
      <c r="U696" s="2182">
        <v>0</v>
      </c>
      <c r="V696" s="2182">
        <v>0</v>
      </c>
      <c r="W696" s="2182">
        <v>0</v>
      </c>
      <c r="X696" s="2182">
        <v>0</v>
      </c>
      <c r="Y696" s="2182">
        <v>0</v>
      </c>
      <c r="Z696" s="2182">
        <v>0</v>
      </c>
      <c r="AA696" s="2182">
        <v>0</v>
      </c>
      <c r="AB696" s="2183">
        <v>0</v>
      </c>
      <c r="AC696" s="46"/>
      <c r="AE696" s="10"/>
      <c r="AF696" s="248"/>
      <c r="AG696" s="10"/>
      <c r="AH696" s="10"/>
    </row>
    <row r="697" spans="1:34" s="5" customFormat="1" ht="10.15" hidden="1" customHeight="1" x14ac:dyDescent="0.2">
      <c r="A697" s="10" t="s">
        <v>461</v>
      </c>
      <c r="C697" s="40"/>
      <c r="J697" s="2581"/>
      <c r="K697" s="2582"/>
      <c r="L697" s="2582"/>
      <c r="M697" s="2583"/>
      <c r="N697" s="1118" t="s">
        <v>153</v>
      </c>
      <c r="O697" s="360"/>
      <c r="P697" s="360"/>
      <c r="Q697" s="360"/>
      <c r="R697" s="360"/>
      <c r="S697" s="1872" t="s">
        <v>597</v>
      </c>
      <c r="T697" s="2181">
        <v>0</v>
      </c>
      <c r="U697" s="2182">
        <v>0</v>
      </c>
      <c r="V697" s="2182">
        <v>0</v>
      </c>
      <c r="W697" s="2182">
        <v>0</v>
      </c>
      <c r="X697" s="2182">
        <v>0</v>
      </c>
      <c r="Y697" s="2182">
        <v>0</v>
      </c>
      <c r="Z697" s="2182">
        <v>0</v>
      </c>
      <c r="AA697" s="2182">
        <v>0</v>
      </c>
      <c r="AB697" s="2183">
        <v>0</v>
      </c>
      <c r="AC697" s="46"/>
      <c r="AE697" s="10"/>
      <c r="AF697" s="248"/>
      <c r="AG697" s="10"/>
      <c r="AH697" s="10"/>
    </row>
    <row r="698" spans="1:34" s="5" customFormat="1" ht="10.15" hidden="1" customHeight="1" x14ac:dyDescent="0.2">
      <c r="A698" s="10" t="s">
        <v>461</v>
      </c>
      <c r="C698" s="40"/>
      <c r="J698" s="2581"/>
      <c r="K698" s="2582"/>
      <c r="L698" s="2582"/>
      <c r="M698" s="2583"/>
      <c r="N698" s="1118" t="s">
        <v>154</v>
      </c>
      <c r="O698" s="360"/>
      <c r="P698" s="360"/>
      <c r="Q698" s="360"/>
      <c r="R698" s="360"/>
      <c r="S698" s="1872" t="s">
        <v>598</v>
      </c>
      <c r="T698" s="2181">
        <v>0</v>
      </c>
      <c r="U698" s="2182">
        <v>0</v>
      </c>
      <c r="V698" s="2182">
        <v>0</v>
      </c>
      <c r="W698" s="2182">
        <v>0</v>
      </c>
      <c r="X698" s="2182">
        <v>0</v>
      </c>
      <c r="Y698" s="2182">
        <v>0</v>
      </c>
      <c r="Z698" s="2182">
        <v>0</v>
      </c>
      <c r="AA698" s="2182">
        <v>0</v>
      </c>
      <c r="AB698" s="2183">
        <v>0</v>
      </c>
      <c r="AC698" s="46"/>
      <c r="AE698" s="10"/>
      <c r="AF698" s="248"/>
      <c r="AG698" s="10"/>
      <c r="AH698" s="10"/>
    </row>
    <row r="699" spans="1:34" s="5" customFormat="1" ht="10.15" hidden="1" customHeight="1" x14ac:dyDescent="0.2">
      <c r="A699" s="10" t="s">
        <v>461</v>
      </c>
      <c r="C699" s="40"/>
      <c r="J699" s="2581"/>
      <c r="K699" s="2582"/>
      <c r="L699" s="2582"/>
      <c r="M699" s="2583"/>
      <c r="N699" s="1095" t="s">
        <v>222</v>
      </c>
      <c r="O699" s="1091"/>
      <c r="P699" s="1091"/>
      <c r="Q699" s="1091"/>
      <c r="R699" s="1091"/>
      <c r="S699" s="1872" t="s">
        <v>599</v>
      </c>
      <c r="T699" s="2181">
        <v>0</v>
      </c>
      <c r="U699" s="2182">
        <v>0</v>
      </c>
      <c r="V699" s="2182">
        <v>0</v>
      </c>
      <c r="W699" s="2182">
        <v>0</v>
      </c>
      <c r="X699" s="2182">
        <v>0</v>
      </c>
      <c r="Y699" s="2182">
        <v>0</v>
      </c>
      <c r="Z699" s="2182">
        <v>0</v>
      </c>
      <c r="AA699" s="2182">
        <v>0</v>
      </c>
      <c r="AB699" s="2183">
        <v>0</v>
      </c>
      <c r="AC699" s="46"/>
      <c r="AE699" s="10"/>
      <c r="AF699" s="248"/>
      <c r="AG699" s="10"/>
      <c r="AH699" s="10"/>
    </row>
    <row r="700" spans="1:34" s="5" customFormat="1" ht="10.15" hidden="1" customHeight="1" x14ac:dyDescent="0.2">
      <c r="A700" s="10" t="s">
        <v>461</v>
      </c>
      <c r="C700" s="40"/>
      <c r="J700" s="2581"/>
      <c r="K700" s="2582"/>
      <c r="L700" s="2582"/>
      <c r="M700" s="2583"/>
      <c r="N700" s="1118" t="s">
        <v>131</v>
      </c>
      <c r="O700" s="360"/>
      <c r="P700" s="360"/>
      <c r="Q700" s="360"/>
      <c r="R700" s="360"/>
      <c r="S700" s="1872" t="s">
        <v>600</v>
      </c>
      <c r="T700" s="2181">
        <v>-0.125</v>
      </c>
      <c r="U700" s="2182">
        <v>-0.125</v>
      </c>
      <c r="V700" s="2182">
        <v>-0.125</v>
      </c>
      <c r="W700" s="2182">
        <v>-0.125</v>
      </c>
      <c r="X700" s="2182">
        <v>-0.25</v>
      </c>
      <c r="Y700" s="2182">
        <v>-0.375</v>
      </c>
      <c r="Z700" s="2182">
        <v>-0.5</v>
      </c>
      <c r="AA700" s="2182">
        <v>-0.75</v>
      </c>
      <c r="AB700" s="2183">
        <v>-1.25</v>
      </c>
      <c r="AC700" s="46"/>
      <c r="AE700" s="10"/>
      <c r="AF700" s="248"/>
      <c r="AG700" s="10"/>
      <c r="AH700" s="10"/>
    </row>
    <row r="701" spans="1:34" s="5" customFormat="1" ht="10.15" hidden="1" customHeight="1" x14ac:dyDescent="0.2">
      <c r="A701" s="10" t="s">
        <v>461</v>
      </c>
      <c r="C701" s="40"/>
      <c r="J701" s="2581"/>
      <c r="K701" s="2582"/>
      <c r="L701" s="2582"/>
      <c r="M701" s="2583"/>
      <c r="N701" s="1118" t="s">
        <v>132</v>
      </c>
      <c r="O701" s="360"/>
      <c r="P701" s="360"/>
      <c r="Q701" s="360"/>
      <c r="R701" s="360"/>
      <c r="S701" s="1872" t="s">
        <v>601</v>
      </c>
      <c r="T701" s="2181">
        <v>-0.5</v>
      </c>
      <c r="U701" s="2182">
        <v>-0.5</v>
      </c>
      <c r="V701" s="2182">
        <v>-0.5</v>
      </c>
      <c r="W701" s="2182">
        <v>-0.5</v>
      </c>
      <c r="X701" s="2182">
        <v>-0.75</v>
      </c>
      <c r="Y701" s="2182">
        <v>-0.75</v>
      </c>
      <c r="Z701" s="2182">
        <v>-1</v>
      </c>
      <c r="AA701" s="2182">
        <v>-1.25</v>
      </c>
      <c r="AB701" s="2399" t="e">
        <v>#N/A</v>
      </c>
      <c r="AC701" s="46"/>
      <c r="AE701" s="10"/>
      <c r="AF701" s="248"/>
      <c r="AG701" s="10"/>
      <c r="AH701" s="10"/>
    </row>
    <row r="702" spans="1:34" s="5" customFormat="1" ht="10.15" hidden="1" customHeight="1" x14ac:dyDescent="0.2">
      <c r="A702" s="10" t="s">
        <v>461</v>
      </c>
      <c r="C702" s="40"/>
      <c r="J702" s="2581"/>
      <c r="K702" s="2582"/>
      <c r="L702" s="2582"/>
      <c r="M702" s="2583"/>
      <c r="N702" s="1118" t="s">
        <v>1630</v>
      </c>
      <c r="O702" s="360"/>
      <c r="P702" s="360"/>
      <c r="Q702" s="360"/>
      <c r="R702" s="360"/>
      <c r="S702" s="1872" t="s">
        <v>1633</v>
      </c>
      <c r="T702" s="2181">
        <v>-1.5</v>
      </c>
      <c r="U702" s="2182">
        <v>-1.5</v>
      </c>
      <c r="V702" s="2182">
        <v>-1.5</v>
      </c>
      <c r="W702" s="2182">
        <v>-1.5</v>
      </c>
      <c r="X702" s="2182">
        <v>-2.25</v>
      </c>
      <c r="Y702" s="2182">
        <v>-2.25</v>
      </c>
      <c r="Z702" s="2182">
        <v>-2.5</v>
      </c>
      <c r="AA702" s="2182">
        <v>-2.75</v>
      </c>
      <c r="AB702" s="2399" t="e">
        <v>#N/A</v>
      </c>
      <c r="AC702" s="46"/>
      <c r="AE702" s="10"/>
      <c r="AF702" s="248"/>
      <c r="AG702" s="10"/>
      <c r="AH702" s="10"/>
    </row>
    <row r="703" spans="1:34" s="5" customFormat="1" ht="10.15" hidden="1" customHeight="1" x14ac:dyDescent="0.2">
      <c r="A703" s="10" t="s">
        <v>461</v>
      </c>
      <c r="B703" s="10"/>
      <c r="C703" s="40"/>
      <c r="J703" s="2581"/>
      <c r="K703" s="2582"/>
      <c r="L703" s="2582"/>
      <c r="M703" s="2583"/>
      <c r="N703" s="1095" t="s">
        <v>133</v>
      </c>
      <c r="O703" s="1091"/>
      <c r="P703" s="1091"/>
      <c r="Q703" s="1091"/>
      <c r="R703" s="1091"/>
      <c r="S703" s="1866" t="s">
        <v>602</v>
      </c>
      <c r="T703" s="2181">
        <v>-0.25</v>
      </c>
      <c r="U703" s="2182">
        <v>-0.25</v>
      </c>
      <c r="V703" s="2182">
        <v>-0.25</v>
      </c>
      <c r="W703" s="2182">
        <v>-0.25</v>
      </c>
      <c r="X703" s="2182">
        <v>-0.375</v>
      </c>
      <c r="Y703" s="2182">
        <v>-0.375</v>
      </c>
      <c r="Z703" s="2182">
        <v>-0.5</v>
      </c>
      <c r="AA703" s="2182">
        <v>-0.75</v>
      </c>
      <c r="AB703" s="2399" t="e">
        <v>#N/A</v>
      </c>
      <c r="AC703" s="46"/>
      <c r="AE703" s="10"/>
      <c r="AF703" s="248"/>
      <c r="AG703" s="10"/>
      <c r="AH703" s="10"/>
    </row>
    <row r="704" spans="1:34" s="5" customFormat="1" ht="10.15" hidden="1" customHeight="1" x14ac:dyDescent="0.2">
      <c r="A704" s="10" t="s">
        <v>461</v>
      </c>
      <c r="B704" s="10"/>
      <c r="C704" s="40"/>
      <c r="J704" s="2581"/>
      <c r="K704" s="2582"/>
      <c r="L704" s="2582"/>
      <c r="M704" s="2583"/>
      <c r="N704" s="1095" t="s">
        <v>134</v>
      </c>
      <c r="O704" s="1091"/>
      <c r="P704" s="1091"/>
      <c r="Q704" s="1091"/>
      <c r="R704" s="1091"/>
      <c r="S704" s="1866" t="s">
        <v>603</v>
      </c>
      <c r="T704" s="2181">
        <v>-0.25</v>
      </c>
      <c r="U704" s="2182">
        <v>-0.25</v>
      </c>
      <c r="V704" s="2182">
        <v>-0.25</v>
      </c>
      <c r="W704" s="2182">
        <v>-0.25</v>
      </c>
      <c r="X704" s="2182">
        <v>-0.375</v>
      </c>
      <c r="Y704" s="2182">
        <v>-0.375</v>
      </c>
      <c r="Z704" s="2182">
        <v>-0.5</v>
      </c>
      <c r="AA704" s="2182">
        <v>-0.75</v>
      </c>
      <c r="AB704" s="2399" t="e">
        <v>#N/A</v>
      </c>
      <c r="AC704" s="46"/>
      <c r="AE704" s="10"/>
      <c r="AF704" s="248"/>
      <c r="AG704" s="10"/>
      <c r="AH704" s="10"/>
    </row>
    <row r="705" spans="1:34" s="5" customFormat="1" ht="10.15" hidden="1" customHeight="1" x14ac:dyDescent="0.2">
      <c r="A705" s="10" t="s">
        <v>461</v>
      </c>
      <c r="B705" s="10"/>
      <c r="C705" s="40"/>
      <c r="J705" s="2581"/>
      <c r="K705" s="2582"/>
      <c r="L705" s="2582"/>
      <c r="M705" s="2583"/>
      <c r="N705" s="1095" t="s">
        <v>135</v>
      </c>
      <c r="O705" s="1091"/>
      <c r="P705" s="1091"/>
      <c r="Q705" s="1091"/>
      <c r="R705" s="1091"/>
      <c r="S705" s="1866" t="s">
        <v>604</v>
      </c>
      <c r="T705" s="2181">
        <v>-0.25</v>
      </c>
      <c r="U705" s="2182">
        <v>-0.25</v>
      </c>
      <c r="V705" s="2182">
        <v>-0.25</v>
      </c>
      <c r="W705" s="2182">
        <v>-0.25</v>
      </c>
      <c r="X705" s="2182">
        <v>-0.375</v>
      </c>
      <c r="Y705" s="2182">
        <v>-0.375</v>
      </c>
      <c r="Z705" s="2182">
        <v>-0.5</v>
      </c>
      <c r="AA705" s="2182">
        <v>-0.75</v>
      </c>
      <c r="AB705" s="2399" t="e">
        <v>#N/A</v>
      </c>
      <c r="AC705" s="46"/>
      <c r="AE705" s="10"/>
      <c r="AF705" s="248"/>
      <c r="AG705" s="10"/>
      <c r="AH705" s="10"/>
    </row>
    <row r="706" spans="1:34" s="5" customFormat="1" ht="10.15" hidden="1" customHeight="1" x14ac:dyDescent="0.2">
      <c r="A706" s="10" t="s">
        <v>461</v>
      </c>
      <c r="B706" s="10"/>
      <c r="C706" s="40"/>
      <c r="J706" s="2581"/>
      <c r="K706" s="2582"/>
      <c r="L706" s="2582"/>
      <c r="M706" s="2583"/>
      <c r="N706" s="1095" t="s">
        <v>19</v>
      </c>
      <c r="O706" s="1091"/>
      <c r="P706" s="1091"/>
      <c r="Q706" s="1091"/>
      <c r="R706" s="1091"/>
      <c r="S706" s="1866" t="s">
        <v>605</v>
      </c>
      <c r="T706" s="2184">
        <v>-1</v>
      </c>
      <c r="U706" s="2185">
        <v>-1</v>
      </c>
      <c r="V706" s="2185">
        <v>-1</v>
      </c>
      <c r="W706" s="2185">
        <v>-1</v>
      </c>
      <c r="X706" s="2185">
        <v>-1</v>
      </c>
      <c r="Y706" s="2185">
        <v>-1</v>
      </c>
      <c r="Z706" s="2185">
        <v>-1</v>
      </c>
      <c r="AA706" s="2185">
        <v>-1.25</v>
      </c>
      <c r="AB706" s="2186">
        <v>-1.25</v>
      </c>
      <c r="AC706" s="46"/>
      <c r="AE706" s="10"/>
      <c r="AF706" s="248"/>
      <c r="AG706" s="10"/>
      <c r="AH706" s="10"/>
    </row>
    <row r="707" spans="1:34" s="5" customFormat="1" ht="10.15" hidden="1" customHeight="1" x14ac:dyDescent="0.2">
      <c r="A707" s="10" t="s">
        <v>463</v>
      </c>
      <c r="B707" s="10"/>
      <c r="C707" s="40"/>
      <c r="J707" s="2584"/>
      <c r="K707" s="2585"/>
      <c r="L707" s="2585"/>
      <c r="M707" s="2586"/>
      <c r="N707" s="1122" t="s">
        <v>130</v>
      </c>
      <c r="O707" s="1152"/>
      <c r="P707" s="1152"/>
      <c r="Q707" s="1152"/>
      <c r="R707" s="1152"/>
      <c r="S707" s="1870" t="s">
        <v>606</v>
      </c>
      <c r="T707" s="1794" t="e">
        <v>#N/A</v>
      </c>
      <c r="U707" s="1462" t="e">
        <v>#N/A</v>
      </c>
      <c r="V707" s="1462" t="e">
        <v>#N/A</v>
      </c>
      <c r="W707" s="1462" t="e">
        <v>#N/A</v>
      </c>
      <c r="X707" s="1801" t="e">
        <v>#N/A</v>
      </c>
      <c r="Y707" s="1801" t="e">
        <v>#N/A</v>
      </c>
      <c r="Z707" s="1462" t="e">
        <v>#N/A</v>
      </c>
      <c r="AA707" s="1462" t="e">
        <v>#N/A</v>
      </c>
      <c r="AB707" s="1795" t="e">
        <v>#N/A</v>
      </c>
      <c r="AC707" s="46"/>
      <c r="AE707" s="10"/>
      <c r="AF707" s="248"/>
      <c r="AG707" s="10"/>
      <c r="AH707" s="10"/>
    </row>
    <row r="708" spans="1:34" s="5" customFormat="1" ht="10.15" hidden="1" customHeight="1" x14ac:dyDescent="0.2">
      <c r="A708" s="10" t="s">
        <v>463</v>
      </c>
      <c r="B708" s="10"/>
      <c r="C708" s="40"/>
      <c r="J708" s="2587" t="s">
        <v>46</v>
      </c>
      <c r="K708" s="2588"/>
      <c r="L708" s="2588"/>
      <c r="M708" s="2589"/>
      <c r="N708" s="1120" t="s">
        <v>217</v>
      </c>
      <c r="O708" s="1136"/>
      <c r="P708" s="1136"/>
      <c r="Q708" s="1136"/>
      <c r="R708" s="1136"/>
      <c r="S708" s="1869" t="s">
        <v>607</v>
      </c>
      <c r="T708" s="2361">
        <v>0</v>
      </c>
      <c r="U708" s="2362">
        <v>0</v>
      </c>
      <c r="V708" s="2362">
        <v>0</v>
      </c>
      <c r="W708" s="2362">
        <v>0</v>
      </c>
      <c r="X708" s="2362">
        <v>0</v>
      </c>
      <c r="Y708" s="2362">
        <v>0</v>
      </c>
      <c r="Z708" s="2362">
        <v>0</v>
      </c>
      <c r="AA708" s="2362">
        <v>0</v>
      </c>
      <c r="AB708" s="2363">
        <v>0</v>
      </c>
      <c r="AC708" s="46"/>
      <c r="AE708" s="10"/>
      <c r="AF708" s="248"/>
      <c r="AG708" s="10"/>
      <c r="AH708" s="10"/>
    </row>
    <row r="709" spans="1:34" s="5" customFormat="1" ht="10.15" hidden="1" customHeight="1" x14ac:dyDescent="0.2">
      <c r="A709" s="10" t="s">
        <v>463</v>
      </c>
      <c r="B709" s="10"/>
      <c r="C709" s="40"/>
      <c r="J709" s="2595"/>
      <c r="K709" s="2596"/>
      <c r="L709" s="2596"/>
      <c r="M709" s="2597"/>
      <c r="N709" s="1123" t="s">
        <v>215</v>
      </c>
      <c r="O709" s="1094"/>
      <c r="P709" s="1094"/>
      <c r="Q709" s="1094"/>
      <c r="R709" s="1094"/>
      <c r="S709" s="1873" t="s">
        <v>608</v>
      </c>
      <c r="T709" s="2364">
        <v>0</v>
      </c>
      <c r="U709" s="2350">
        <v>0</v>
      </c>
      <c r="V709" s="2350">
        <v>0</v>
      </c>
      <c r="W709" s="2350">
        <v>0</v>
      </c>
      <c r="X709" s="2350">
        <v>0</v>
      </c>
      <c r="Y709" s="2350">
        <v>0</v>
      </c>
      <c r="Z709" s="2350">
        <v>0</v>
      </c>
      <c r="AA709" s="2350">
        <v>0</v>
      </c>
      <c r="AB709" s="2365">
        <v>0</v>
      </c>
      <c r="AC709" s="46"/>
      <c r="AE709" s="10"/>
      <c r="AF709" s="248"/>
      <c r="AG709" s="10"/>
      <c r="AH709" s="10"/>
    </row>
    <row r="710" spans="1:34" s="5" customFormat="1" ht="10.15" hidden="1" customHeight="1" x14ac:dyDescent="0.2">
      <c r="A710" s="10" t="s">
        <v>463</v>
      </c>
      <c r="B710" s="10"/>
      <c r="C710" s="40"/>
      <c r="J710" s="2595"/>
      <c r="K710" s="2596"/>
      <c r="L710" s="2596"/>
      <c r="M710" s="2597"/>
      <c r="N710" s="1123" t="s">
        <v>237</v>
      </c>
      <c r="O710" s="1094"/>
      <c r="P710" s="1094"/>
      <c r="Q710" s="1094"/>
      <c r="R710" s="1094"/>
      <c r="S710" s="1873" t="s">
        <v>609</v>
      </c>
      <c r="T710" s="2364">
        <v>0</v>
      </c>
      <c r="U710" s="2350">
        <v>0</v>
      </c>
      <c r="V710" s="2350">
        <v>0</v>
      </c>
      <c r="W710" s="2350">
        <v>0</v>
      </c>
      <c r="X710" s="2350">
        <v>0</v>
      </c>
      <c r="Y710" s="2350">
        <v>0</v>
      </c>
      <c r="Z710" s="2350">
        <v>0</v>
      </c>
      <c r="AA710" s="2350">
        <v>0</v>
      </c>
      <c r="AB710" s="2365">
        <v>0</v>
      </c>
      <c r="AC710" s="46"/>
      <c r="AE710" s="10"/>
      <c r="AF710" s="248"/>
      <c r="AG710" s="10"/>
      <c r="AH710" s="10"/>
    </row>
    <row r="711" spans="1:34" s="5" customFormat="1" ht="10.15" hidden="1" customHeight="1" x14ac:dyDescent="0.2">
      <c r="A711" s="10" t="s">
        <v>463</v>
      </c>
      <c r="B711" s="10"/>
      <c r="C711" s="40"/>
      <c r="J711" s="2590"/>
      <c r="K711" s="2591"/>
      <c r="L711" s="2591"/>
      <c r="M711" s="2592"/>
      <c r="N711" s="1124" t="s">
        <v>45</v>
      </c>
      <c r="O711" s="1137"/>
      <c r="P711" s="1137"/>
      <c r="Q711" s="1137"/>
      <c r="R711" s="1137"/>
      <c r="S711" s="1874" t="s">
        <v>610</v>
      </c>
      <c r="T711" s="1802" t="e">
        <v>#N/A</v>
      </c>
      <c r="U711" s="1801" t="e">
        <v>#N/A</v>
      </c>
      <c r="V711" s="1801" t="e">
        <v>#N/A</v>
      </c>
      <c r="W711" s="1801" t="e">
        <v>#N/A</v>
      </c>
      <c r="X711" s="1801" t="e">
        <v>#N/A</v>
      </c>
      <c r="Y711" s="1801" t="e">
        <v>#N/A</v>
      </c>
      <c r="Z711" s="1801" t="e">
        <v>#N/A</v>
      </c>
      <c r="AA711" s="1801" t="e">
        <v>#N/A</v>
      </c>
      <c r="AB711" s="1795" t="e">
        <v>#N/A</v>
      </c>
      <c r="AC711" s="46"/>
      <c r="AE711" s="10"/>
      <c r="AF711" s="248"/>
      <c r="AG711" s="10"/>
      <c r="AH711" s="10"/>
    </row>
    <row r="712" spans="1:34" s="5" customFormat="1" ht="10.15" hidden="1" customHeight="1" x14ac:dyDescent="0.2">
      <c r="A712" s="10" t="s">
        <v>463</v>
      </c>
      <c r="B712" s="10"/>
      <c r="C712" s="40"/>
      <c r="J712" s="242" t="s">
        <v>44</v>
      </c>
      <c r="K712" s="243"/>
      <c r="L712" s="243"/>
      <c r="M712" s="244"/>
      <c r="N712" s="1120" t="s">
        <v>283</v>
      </c>
      <c r="O712" s="1136"/>
      <c r="P712" s="1136"/>
      <c r="Q712" s="1136"/>
      <c r="R712" s="1136"/>
      <c r="S712" s="1869" t="s">
        <v>611</v>
      </c>
      <c r="T712" s="2361">
        <v>0</v>
      </c>
      <c r="U712" s="2362">
        <v>0</v>
      </c>
      <c r="V712" s="2362">
        <v>0</v>
      </c>
      <c r="W712" s="2362">
        <v>0</v>
      </c>
      <c r="X712" s="2362">
        <v>0</v>
      </c>
      <c r="Y712" s="2362">
        <v>0</v>
      </c>
      <c r="Z712" s="2362">
        <v>0</v>
      </c>
      <c r="AA712" s="2362">
        <v>0</v>
      </c>
      <c r="AB712" s="2363">
        <v>0</v>
      </c>
      <c r="AC712" s="46"/>
      <c r="AE712" s="10"/>
      <c r="AF712" s="248"/>
      <c r="AG712" s="10"/>
      <c r="AH712" s="10"/>
    </row>
    <row r="713" spans="1:34" s="5" customFormat="1" ht="10.15" hidden="1" customHeight="1" x14ac:dyDescent="0.2">
      <c r="A713" s="10" t="s">
        <v>463</v>
      </c>
      <c r="B713" s="10"/>
      <c r="C713" s="40"/>
      <c r="J713" s="245"/>
      <c r="K713" s="246"/>
      <c r="L713" s="246"/>
      <c r="M713" s="247"/>
      <c r="N713" s="1123" t="s">
        <v>125</v>
      </c>
      <c r="O713" s="1094"/>
      <c r="P713" s="1094"/>
      <c r="Q713" s="1094"/>
      <c r="R713" s="1094"/>
      <c r="S713" s="1875" t="s">
        <v>612</v>
      </c>
      <c r="T713" s="2364">
        <v>0</v>
      </c>
      <c r="U713" s="2350">
        <v>0</v>
      </c>
      <c r="V713" s="2350">
        <v>0</v>
      </c>
      <c r="W713" s="2350">
        <v>0</v>
      </c>
      <c r="X713" s="2350">
        <v>0</v>
      </c>
      <c r="Y713" s="2350">
        <v>0</v>
      </c>
      <c r="Z713" s="2350">
        <v>0</v>
      </c>
      <c r="AA713" s="2350">
        <v>0</v>
      </c>
      <c r="AB713" s="2365">
        <v>0</v>
      </c>
      <c r="AC713" s="46"/>
      <c r="AE713" s="10"/>
      <c r="AF713" s="248"/>
      <c r="AG713" s="10"/>
      <c r="AH713" s="10"/>
    </row>
    <row r="714" spans="1:34" s="5" customFormat="1" ht="10.15" hidden="1" customHeight="1" x14ac:dyDescent="0.2">
      <c r="A714" s="10" t="s">
        <v>461</v>
      </c>
      <c r="B714" s="10"/>
      <c r="C714" s="40"/>
      <c r="J714" s="245"/>
      <c r="K714" s="246"/>
      <c r="L714" s="246"/>
      <c r="M714" s="247"/>
      <c r="N714" s="1123" t="s">
        <v>18</v>
      </c>
      <c r="O714" s="1094"/>
      <c r="P714" s="1094"/>
      <c r="Q714" s="1094"/>
      <c r="R714" s="1094"/>
      <c r="S714" s="1875" t="s">
        <v>613</v>
      </c>
      <c r="T714" s="2181">
        <v>-0.75</v>
      </c>
      <c r="U714" s="2182">
        <v>-0.75</v>
      </c>
      <c r="V714" s="2182">
        <v>-0.75</v>
      </c>
      <c r="W714" s="2182">
        <v>-0.75</v>
      </c>
      <c r="X714" s="2182">
        <v>-0.75</v>
      </c>
      <c r="Y714" s="2182">
        <v>-0.75</v>
      </c>
      <c r="Z714" s="2182">
        <v>-0.75</v>
      </c>
      <c r="AA714" s="2182">
        <v>-0.75</v>
      </c>
      <c r="AB714" s="2183">
        <v>-1.25</v>
      </c>
      <c r="AC714" s="46"/>
      <c r="AE714" s="10"/>
      <c r="AF714" s="248"/>
      <c r="AG714" s="10"/>
      <c r="AH714" s="10"/>
    </row>
    <row r="715" spans="1:34" s="5" customFormat="1" ht="10.15" hidden="1" customHeight="1" x14ac:dyDescent="0.2">
      <c r="A715" s="10" t="s">
        <v>461</v>
      </c>
      <c r="B715" s="10"/>
      <c r="C715" s="40"/>
      <c r="J715" s="245"/>
      <c r="K715" s="246"/>
      <c r="L715" s="246"/>
      <c r="M715" s="247"/>
      <c r="N715" s="1118" t="s">
        <v>238</v>
      </c>
      <c r="O715" s="360"/>
      <c r="P715" s="360"/>
      <c r="Q715" s="360"/>
      <c r="R715" s="360"/>
      <c r="S715" s="1877" t="s">
        <v>614</v>
      </c>
      <c r="T715" s="2181">
        <v>-2.25</v>
      </c>
      <c r="U715" s="2182">
        <v>-2.25</v>
      </c>
      <c r="V715" s="2182">
        <v>-2.25</v>
      </c>
      <c r="W715" s="2182">
        <v>-2.25</v>
      </c>
      <c r="X715" s="2182">
        <v>-2.25</v>
      </c>
      <c r="Y715" s="2182">
        <v>-2.25</v>
      </c>
      <c r="Z715" s="2182">
        <v>-2.5</v>
      </c>
      <c r="AA715" s="2182">
        <v>-3</v>
      </c>
      <c r="AB715" s="2399" t="e">
        <v>#N/A</v>
      </c>
      <c r="AC715" s="46"/>
      <c r="AE715" s="10"/>
      <c r="AF715" s="248"/>
      <c r="AG715" s="10"/>
      <c r="AH715" s="10"/>
    </row>
    <row r="716" spans="1:34" s="5" customFormat="1" ht="10.15" hidden="1" customHeight="1" x14ac:dyDescent="0.2">
      <c r="A716" s="10" t="s">
        <v>461</v>
      </c>
      <c r="B716" s="10"/>
      <c r="C716" s="40"/>
      <c r="J716" s="245"/>
      <c r="K716" s="246"/>
      <c r="L716" s="246"/>
      <c r="M716" s="247"/>
      <c r="N716" s="1118" t="s">
        <v>152</v>
      </c>
      <c r="O716" s="360"/>
      <c r="P716" s="360"/>
      <c r="Q716" s="360"/>
      <c r="R716" s="360"/>
      <c r="S716" s="1878" t="s">
        <v>615</v>
      </c>
      <c r="T716" s="2181">
        <v>-5</v>
      </c>
      <c r="U716" s="2182">
        <v>-5</v>
      </c>
      <c r="V716" s="2182">
        <v>-5</v>
      </c>
      <c r="W716" s="2182">
        <v>-5</v>
      </c>
      <c r="X716" s="2182">
        <v>-5</v>
      </c>
      <c r="Y716" s="2402" t="e">
        <v>#N/A</v>
      </c>
      <c r="Z716" s="2402" t="e">
        <v>#N/A</v>
      </c>
      <c r="AA716" s="2402" t="e">
        <v>#N/A</v>
      </c>
      <c r="AB716" s="2399" t="e">
        <v>#N/A</v>
      </c>
      <c r="AC716" s="46"/>
      <c r="AE716" s="10"/>
      <c r="AF716" s="248"/>
      <c r="AG716" s="10"/>
      <c r="AH716" s="10"/>
    </row>
    <row r="717" spans="1:34" s="5" customFormat="1" ht="10.15" hidden="1" customHeight="1" x14ac:dyDescent="0.2">
      <c r="A717" s="10" t="s">
        <v>461</v>
      </c>
      <c r="B717" s="10"/>
      <c r="C717" s="40"/>
      <c r="J717" s="301"/>
      <c r="K717" s="302"/>
      <c r="L717" s="302"/>
      <c r="M717" s="303"/>
      <c r="N717" s="1119" t="s">
        <v>3914</v>
      </c>
      <c r="O717" s="1092"/>
      <c r="P717" s="1092"/>
      <c r="Q717" s="1092"/>
      <c r="R717" s="1092"/>
      <c r="S717" s="2174" t="s">
        <v>3918</v>
      </c>
      <c r="T717" s="2184">
        <v>-5</v>
      </c>
      <c r="U717" s="2185">
        <v>-5</v>
      </c>
      <c r="V717" s="2185">
        <v>-5</v>
      </c>
      <c r="W717" s="2185">
        <v>-5</v>
      </c>
      <c r="X717" s="2185">
        <v>-5</v>
      </c>
      <c r="Y717" s="2400" t="e">
        <v>#N/A</v>
      </c>
      <c r="Z717" s="2400" t="e">
        <v>#N/A</v>
      </c>
      <c r="AA717" s="2400" t="e">
        <v>#N/A</v>
      </c>
      <c r="AB717" s="2401" t="e">
        <v>#N/A</v>
      </c>
      <c r="AC717" s="46"/>
      <c r="AE717" s="10"/>
      <c r="AF717" s="248"/>
      <c r="AG717" s="10"/>
      <c r="AH717" s="10"/>
    </row>
    <row r="718" spans="1:34" s="5" customFormat="1" ht="10.15" hidden="1" customHeight="1" x14ac:dyDescent="0.2">
      <c r="A718" s="10" t="s">
        <v>461</v>
      </c>
      <c r="B718" s="10"/>
      <c r="C718" s="40"/>
      <c r="J718" s="245" t="s">
        <v>43</v>
      </c>
      <c r="K718" s="246"/>
      <c r="L718" s="1461"/>
      <c r="M718" s="247"/>
      <c r="N718" s="1120" t="s">
        <v>2669</v>
      </c>
      <c r="O718" s="1136"/>
      <c r="P718" s="1136"/>
      <c r="Q718" s="1136"/>
      <c r="R718" s="1136"/>
      <c r="S718" s="1877" t="s">
        <v>2675</v>
      </c>
      <c r="T718" s="2178">
        <v>0</v>
      </c>
      <c r="U718" s="2179">
        <v>0</v>
      </c>
      <c r="V718" s="2179">
        <v>0</v>
      </c>
      <c r="W718" s="2179">
        <v>0</v>
      </c>
      <c r="X718" s="2179">
        <v>0</v>
      </c>
      <c r="Y718" s="2179">
        <v>0</v>
      </c>
      <c r="Z718" s="2179">
        <v>0</v>
      </c>
      <c r="AA718" s="2179">
        <v>0</v>
      </c>
      <c r="AB718" s="2180">
        <v>0</v>
      </c>
      <c r="AC718" s="46"/>
      <c r="AE718" s="10"/>
      <c r="AF718" s="248"/>
      <c r="AG718" s="10"/>
      <c r="AH718" s="10"/>
    </row>
    <row r="719" spans="1:34" s="5" customFormat="1" ht="10.15" hidden="1" customHeight="1" x14ac:dyDescent="0.2">
      <c r="A719" s="10" t="s">
        <v>461</v>
      </c>
      <c r="C719" s="40"/>
      <c r="J719" s="245"/>
      <c r="K719" s="246"/>
      <c r="L719" s="1461"/>
      <c r="M719" s="247"/>
      <c r="N719" s="1118" t="s">
        <v>2670</v>
      </c>
      <c r="O719" s="360"/>
      <c r="P719" s="360"/>
      <c r="Q719" s="360"/>
      <c r="R719" s="360"/>
      <c r="S719" s="1877" t="s">
        <v>4191</v>
      </c>
      <c r="T719" s="2181">
        <v>-1</v>
      </c>
      <c r="U719" s="2182">
        <v>-1</v>
      </c>
      <c r="V719" s="2182">
        <v>-1</v>
      </c>
      <c r="W719" s="2182">
        <v>-1</v>
      </c>
      <c r="X719" s="2182">
        <v>-1</v>
      </c>
      <c r="Y719" s="2182">
        <v>-1</v>
      </c>
      <c r="Z719" s="2182">
        <v>-1</v>
      </c>
      <c r="AA719" s="2182">
        <v>-1</v>
      </c>
      <c r="AB719" s="2183">
        <v>-1</v>
      </c>
      <c r="AC719" s="46"/>
      <c r="AE719" s="10"/>
      <c r="AF719" s="248"/>
      <c r="AG719" s="10"/>
      <c r="AH719" s="10"/>
    </row>
    <row r="720" spans="1:34" s="5" customFormat="1" ht="10.15" hidden="1" customHeight="1" x14ac:dyDescent="0.2">
      <c r="A720" s="10" t="s">
        <v>461</v>
      </c>
      <c r="C720" s="40"/>
      <c r="J720" s="245"/>
      <c r="K720" s="246"/>
      <c r="L720" s="1461"/>
      <c r="M720" s="247"/>
      <c r="N720" s="1118" t="s">
        <v>2671</v>
      </c>
      <c r="O720" s="360"/>
      <c r="P720" s="360"/>
      <c r="Q720" s="360"/>
      <c r="R720" s="360"/>
      <c r="S720" s="1878" t="s">
        <v>4192</v>
      </c>
      <c r="T720" s="2181">
        <v>-1.75</v>
      </c>
      <c r="U720" s="2182">
        <v>-1.75</v>
      </c>
      <c r="V720" s="2182">
        <v>-1.75</v>
      </c>
      <c r="W720" s="2182">
        <v>-1.75</v>
      </c>
      <c r="X720" s="2182">
        <v>-1.75</v>
      </c>
      <c r="Y720" s="2182">
        <v>-1.75</v>
      </c>
      <c r="Z720" s="2182">
        <v>-1.75</v>
      </c>
      <c r="AA720" s="2182">
        <v>-1.75</v>
      </c>
      <c r="AB720" s="2183">
        <v>-1.75</v>
      </c>
      <c r="AC720" s="46"/>
      <c r="AE720" s="10"/>
      <c r="AF720" s="248"/>
      <c r="AG720" s="10"/>
      <c r="AH720" s="10"/>
    </row>
    <row r="721" spans="1:34" s="5" customFormat="1" ht="10.15" hidden="1" customHeight="1" x14ac:dyDescent="0.2">
      <c r="A721" s="10" t="s">
        <v>461</v>
      </c>
      <c r="C721" s="40"/>
      <c r="J721" s="245"/>
      <c r="K721" s="246"/>
      <c r="L721" s="1461"/>
      <c r="M721" s="247"/>
      <c r="N721" s="1119" t="s">
        <v>2672</v>
      </c>
      <c r="O721" s="1092"/>
      <c r="P721" s="1092"/>
      <c r="Q721" s="1092"/>
      <c r="R721" s="1092"/>
      <c r="S721" s="1878" t="s">
        <v>4193</v>
      </c>
      <c r="T721" s="2460">
        <v>-2.5</v>
      </c>
      <c r="U721" s="2461">
        <v>-2.5</v>
      </c>
      <c r="V721" s="2461">
        <v>-2.5</v>
      </c>
      <c r="W721" s="2461">
        <v>-2.5</v>
      </c>
      <c r="X721" s="2461">
        <v>-2.5</v>
      </c>
      <c r="Y721" s="2461">
        <v>-2.5</v>
      </c>
      <c r="Z721" s="2461">
        <v>-2.5</v>
      </c>
      <c r="AA721" s="2461">
        <v>-2.5</v>
      </c>
      <c r="AB721" s="2462">
        <v>-2.5</v>
      </c>
      <c r="AC721" s="46"/>
      <c r="AE721" s="10"/>
      <c r="AF721" s="248"/>
      <c r="AG721" s="10"/>
      <c r="AH721" s="10"/>
    </row>
    <row r="722" spans="1:34" s="5" customFormat="1" ht="10.15" hidden="1" customHeight="1" x14ac:dyDescent="0.2">
      <c r="A722" s="10" t="s">
        <v>463</v>
      </c>
      <c r="C722" s="40"/>
      <c r="J722" s="245"/>
      <c r="K722" s="246"/>
      <c r="L722" s="1461"/>
      <c r="M722" s="247"/>
      <c r="N722" s="1119" t="s">
        <v>4164</v>
      </c>
      <c r="O722" s="1092"/>
      <c r="P722" s="1092"/>
      <c r="Q722" s="1092"/>
      <c r="R722" s="1092"/>
      <c r="S722" s="1878" t="s">
        <v>4194</v>
      </c>
      <c r="T722" s="2460">
        <v>-1</v>
      </c>
      <c r="U722" s="2461">
        <v>-1</v>
      </c>
      <c r="V722" s="2461">
        <v>-1</v>
      </c>
      <c r="W722" s="2461">
        <v>-1</v>
      </c>
      <c r="X722" s="2461">
        <v>-1</v>
      </c>
      <c r="Y722" s="2461">
        <v>-1</v>
      </c>
      <c r="Z722" s="2461">
        <v>-1</v>
      </c>
      <c r="AA722" s="2461">
        <v>-1</v>
      </c>
      <c r="AB722" s="2462">
        <v>-1</v>
      </c>
      <c r="AC722" s="46"/>
      <c r="AE722" s="10"/>
      <c r="AF722" s="248"/>
      <c r="AG722" s="10"/>
      <c r="AH722" s="10"/>
    </row>
    <row r="723" spans="1:34" s="5" customFormat="1" ht="10.15" hidden="1" customHeight="1" x14ac:dyDescent="0.2">
      <c r="A723" s="10" t="s">
        <v>463</v>
      </c>
      <c r="C723" s="40"/>
      <c r="J723" s="245"/>
      <c r="K723" s="246"/>
      <c r="L723" s="1461"/>
      <c r="M723" s="247"/>
      <c r="N723" s="1119" t="s">
        <v>4165</v>
      </c>
      <c r="O723" s="1092"/>
      <c r="P723" s="1092"/>
      <c r="Q723" s="1092"/>
      <c r="R723" s="1092"/>
      <c r="S723" s="1878" t="s">
        <v>4195</v>
      </c>
      <c r="T723" s="2460">
        <v>-1.75</v>
      </c>
      <c r="U723" s="2461">
        <v>-1.75</v>
      </c>
      <c r="V723" s="2461">
        <v>-1.75</v>
      </c>
      <c r="W723" s="2461">
        <v>-1.75</v>
      </c>
      <c r="X723" s="2461">
        <v>-1.75</v>
      </c>
      <c r="Y723" s="2461">
        <v>-1.75</v>
      </c>
      <c r="Z723" s="2461">
        <v>-1.75</v>
      </c>
      <c r="AA723" s="2461">
        <v>-1.75</v>
      </c>
      <c r="AB723" s="2462">
        <v>-1.75</v>
      </c>
      <c r="AC723" s="46"/>
      <c r="AE723" s="10"/>
      <c r="AF723" s="248"/>
      <c r="AG723" s="10"/>
      <c r="AH723" s="10"/>
    </row>
    <row r="724" spans="1:34" s="5" customFormat="1" ht="10.15" hidden="1" customHeight="1" x14ac:dyDescent="0.2">
      <c r="A724" s="10" t="s">
        <v>463</v>
      </c>
      <c r="C724" s="40"/>
      <c r="J724" s="245"/>
      <c r="K724" s="246"/>
      <c r="L724" s="1461"/>
      <c r="M724" s="247"/>
      <c r="N724" s="1119" t="s">
        <v>4166</v>
      </c>
      <c r="O724" s="1092"/>
      <c r="P724" s="1092"/>
      <c r="Q724" s="1092"/>
      <c r="R724" s="1092"/>
      <c r="S724" s="1878" t="s">
        <v>4196</v>
      </c>
      <c r="T724" s="2184">
        <v>-2.5</v>
      </c>
      <c r="U724" s="2185">
        <v>-2.5</v>
      </c>
      <c r="V724" s="2185">
        <v>-2.5</v>
      </c>
      <c r="W724" s="2185">
        <v>-2.5</v>
      </c>
      <c r="X724" s="2185">
        <v>-2.5</v>
      </c>
      <c r="Y724" s="2185">
        <v>-2.5</v>
      </c>
      <c r="Z724" s="2185">
        <v>-2.5</v>
      </c>
      <c r="AA724" s="2185">
        <v>-2.5</v>
      </c>
      <c r="AB724" s="2186">
        <v>-2.5</v>
      </c>
      <c r="AC724" s="46"/>
      <c r="AE724" s="10"/>
      <c r="AF724" s="248"/>
      <c r="AG724" s="10"/>
      <c r="AH724" s="10"/>
    </row>
    <row r="725" spans="1:34" s="5" customFormat="1" ht="10.15" hidden="1" customHeight="1" x14ac:dyDescent="0.2">
      <c r="A725" s="10" t="s">
        <v>461</v>
      </c>
      <c r="C725" s="40"/>
      <c r="J725" s="2578" t="s">
        <v>90</v>
      </c>
      <c r="K725" s="2579"/>
      <c r="L725" s="2579"/>
      <c r="M725" s="2580"/>
      <c r="N725" s="1117" t="s">
        <v>50</v>
      </c>
      <c r="O725" s="1135"/>
      <c r="P725" s="1135"/>
      <c r="Q725" s="1135"/>
      <c r="R725" s="1135"/>
      <c r="S725" s="1868" t="s">
        <v>616</v>
      </c>
      <c r="T725" s="2353">
        <v>0</v>
      </c>
      <c r="U725" s="2354">
        <v>0</v>
      </c>
      <c r="V725" s="2354">
        <v>0</v>
      </c>
      <c r="W725" s="2354">
        <v>0</v>
      </c>
      <c r="X725" s="2354">
        <v>0</v>
      </c>
      <c r="Y725" s="2354">
        <v>0</v>
      </c>
      <c r="Z725" s="2354">
        <v>0</v>
      </c>
      <c r="AA725" s="2354">
        <v>0</v>
      </c>
      <c r="AB725" s="2355">
        <v>0</v>
      </c>
      <c r="AC725" s="46"/>
      <c r="AE725" s="10"/>
      <c r="AF725" s="248"/>
      <c r="AG725" s="10"/>
      <c r="AH725" s="10"/>
    </row>
    <row r="726" spans="1:34" s="5" customFormat="1" ht="10.15" hidden="1" customHeight="1" x14ac:dyDescent="0.2">
      <c r="A726" s="10" t="s">
        <v>461</v>
      </c>
      <c r="C726" s="40"/>
      <c r="J726" s="2581"/>
      <c r="K726" s="2582"/>
      <c r="L726" s="2582"/>
      <c r="M726" s="2583"/>
      <c r="N726" s="1116" t="s">
        <v>20</v>
      </c>
      <c r="O726" s="1096"/>
      <c r="P726" s="1096"/>
      <c r="Q726" s="1096"/>
      <c r="R726" s="1096"/>
      <c r="S726" s="1867" t="s">
        <v>617</v>
      </c>
      <c r="T726" s="2359">
        <v>0.125</v>
      </c>
      <c r="U726" s="2329">
        <v>0.125</v>
      </c>
      <c r="V726" s="2329">
        <v>0.125</v>
      </c>
      <c r="W726" s="2329">
        <v>0.125</v>
      </c>
      <c r="X726" s="2329">
        <v>0.125</v>
      </c>
      <c r="Y726" s="2329">
        <v>0.125</v>
      </c>
      <c r="Z726" s="2329">
        <v>0.125</v>
      </c>
      <c r="AA726" s="2329">
        <v>0.125</v>
      </c>
      <c r="AB726" s="2360">
        <v>0.125</v>
      </c>
      <c r="AC726" s="46"/>
      <c r="AE726" s="10"/>
      <c r="AF726" s="248"/>
      <c r="AG726" s="10"/>
      <c r="AH726" s="10"/>
    </row>
    <row r="727" spans="1:34" s="5" customFormat="1" ht="10.15" hidden="1" customHeight="1" x14ac:dyDescent="0.2">
      <c r="A727" s="10" t="s">
        <v>461</v>
      </c>
      <c r="C727" s="40"/>
      <c r="J727" s="2581"/>
      <c r="K727" s="2582"/>
      <c r="L727" s="2582"/>
      <c r="M727" s="2583"/>
      <c r="N727" s="1117" t="s">
        <v>49</v>
      </c>
      <c r="O727" s="1135"/>
      <c r="P727" s="1135"/>
      <c r="Q727" s="1135"/>
      <c r="R727" s="1135"/>
      <c r="S727" s="1865" t="s">
        <v>618</v>
      </c>
      <c r="T727" s="2361">
        <v>0</v>
      </c>
      <c r="U727" s="2362">
        <v>0</v>
      </c>
      <c r="V727" s="2362">
        <v>0</v>
      </c>
      <c r="W727" s="2362">
        <v>0</v>
      </c>
      <c r="X727" s="2362">
        <v>0</v>
      </c>
      <c r="Y727" s="2362">
        <v>0</v>
      </c>
      <c r="Z727" s="2362">
        <v>0</v>
      </c>
      <c r="AA727" s="2362">
        <v>0</v>
      </c>
      <c r="AB727" s="2363">
        <v>0</v>
      </c>
      <c r="AC727" s="46"/>
      <c r="AE727" s="10"/>
      <c r="AF727" s="248"/>
      <c r="AG727" s="10"/>
      <c r="AH727" s="10"/>
    </row>
    <row r="728" spans="1:34" s="5" customFormat="1" ht="10.15" hidden="1" customHeight="1" x14ac:dyDescent="0.2">
      <c r="A728" s="10" t="s">
        <v>461</v>
      </c>
      <c r="C728" s="40"/>
      <c r="J728" s="2581"/>
      <c r="K728" s="2582"/>
      <c r="L728" s="2582"/>
      <c r="M728" s="2583"/>
      <c r="N728" s="1116" t="s">
        <v>22</v>
      </c>
      <c r="O728" s="1096"/>
      <c r="P728" s="1096"/>
      <c r="Q728" s="1096"/>
      <c r="R728" s="1096"/>
      <c r="S728" s="1879" t="s">
        <v>619</v>
      </c>
      <c r="T728" s="2366">
        <v>-0.15</v>
      </c>
      <c r="U728" s="2367">
        <v>-0.15</v>
      </c>
      <c r="V728" s="2367">
        <v>-0.15</v>
      </c>
      <c r="W728" s="2367">
        <v>-0.15</v>
      </c>
      <c r="X728" s="2367">
        <v>-0.15</v>
      </c>
      <c r="Y728" s="2367">
        <v>-0.15</v>
      </c>
      <c r="Z728" s="2367">
        <v>-0.15</v>
      </c>
      <c r="AA728" s="2367">
        <v>-0.15</v>
      </c>
      <c r="AB728" s="2368">
        <v>-0.15</v>
      </c>
      <c r="AC728" s="46"/>
      <c r="AE728" s="10"/>
      <c r="AF728" s="248"/>
      <c r="AG728" s="10"/>
      <c r="AH728" s="10"/>
    </row>
    <row r="729" spans="1:34" s="5" customFormat="1" ht="10.15" hidden="1" customHeight="1" x14ac:dyDescent="0.2">
      <c r="A729" s="10" t="s">
        <v>461</v>
      </c>
      <c r="C729" s="40"/>
      <c r="J729" s="2584"/>
      <c r="K729" s="2585"/>
      <c r="L729" s="2585"/>
      <c r="M729" s="2586"/>
      <c r="N729" s="1125" t="s">
        <v>82</v>
      </c>
      <c r="O729" s="1134"/>
      <c r="P729" s="1134"/>
      <c r="Q729" s="1134"/>
      <c r="R729" s="1134"/>
      <c r="S729" s="1880" t="s">
        <v>527</v>
      </c>
      <c r="T729" s="2372">
        <v>0</v>
      </c>
      <c r="U729" s="2345">
        <v>0</v>
      </c>
      <c r="V729" s="2345">
        <v>0</v>
      </c>
      <c r="W729" s="2345">
        <v>0</v>
      </c>
      <c r="X729" s="2345">
        <v>0</v>
      </c>
      <c r="Y729" s="2345">
        <v>0</v>
      </c>
      <c r="Z729" s="2345">
        <v>0</v>
      </c>
      <c r="AA729" s="2345">
        <v>0</v>
      </c>
      <c r="AB729" s="2371">
        <v>0</v>
      </c>
      <c r="AC729" s="46"/>
      <c r="AE729" s="10"/>
      <c r="AF729" s="248"/>
      <c r="AG729" s="10"/>
      <c r="AH729" s="10"/>
    </row>
    <row r="730" spans="1:34" s="5" customFormat="1" ht="10.15" hidden="1" customHeight="1" x14ac:dyDescent="0.2">
      <c r="A730" s="10" t="s">
        <v>461</v>
      </c>
      <c r="C730" s="40"/>
      <c r="J730" s="2578" t="s">
        <v>23</v>
      </c>
      <c r="K730" s="2579"/>
      <c r="L730" s="2579"/>
      <c r="M730" s="2580"/>
      <c r="N730" s="1115" t="s">
        <v>73</v>
      </c>
      <c r="O730" s="1133"/>
      <c r="P730" s="1133"/>
      <c r="Q730" s="1133"/>
      <c r="R730" s="1133"/>
      <c r="S730" s="1868" t="s">
        <v>620</v>
      </c>
      <c r="T730" s="2353" cm="1">
        <f t="array" ref="T730">[1]!LLPA_PN_000050_30_Day</f>
        <v>0</v>
      </c>
      <c r="U730" s="2354" cm="1">
        <f t="array" ref="U730">[1]!LLPA_PN_000050_30_Day</f>
        <v>0</v>
      </c>
      <c r="V730" s="2354" cm="1">
        <f t="array" ref="V730">[1]!LLPA_PN_000050_30_Day</f>
        <v>0</v>
      </c>
      <c r="W730" s="2354" cm="1">
        <f t="array" ref="W730">[1]!LLPA_PN_000050_30_Day</f>
        <v>0</v>
      </c>
      <c r="X730" s="2354" cm="1">
        <f t="array" ref="X730">[1]!LLPA_PN_000050_30_Day</f>
        <v>0</v>
      </c>
      <c r="Y730" s="2354" cm="1">
        <f t="array" ref="Y730">[1]!LLPA_PN_000050_30_Day</f>
        <v>0</v>
      </c>
      <c r="Z730" s="2354" cm="1">
        <f t="array" ref="Z730">[1]!LLPA_PN_000050_30_Day</f>
        <v>0</v>
      </c>
      <c r="AA730" s="2354" cm="1">
        <f t="array" ref="AA730">[1]!LLPA_PN_000050_30_Day</f>
        <v>0</v>
      </c>
      <c r="AB730" s="2355" cm="1">
        <f t="array" ref="AB730">[1]!LLPA_PN_000050_30_Day</f>
        <v>0</v>
      </c>
      <c r="AC730" s="46"/>
      <c r="AE730" s="10"/>
      <c r="AF730" s="248"/>
      <c r="AG730" s="10"/>
      <c r="AH730" s="10"/>
    </row>
    <row r="731" spans="1:34" s="5" customFormat="1" ht="10.15" hidden="1" customHeight="1" x14ac:dyDescent="0.2">
      <c r="A731" s="10" t="s">
        <v>461</v>
      </c>
      <c r="C731" s="40"/>
      <c r="J731" s="2581"/>
      <c r="K731" s="2582"/>
      <c r="L731" s="2582"/>
      <c r="M731" s="2583"/>
      <c r="N731" s="1095" t="s">
        <v>74</v>
      </c>
      <c r="O731" s="1091"/>
      <c r="P731" s="1091"/>
      <c r="Q731" s="1091"/>
      <c r="R731" s="1091"/>
      <c r="S731" s="1866" t="s">
        <v>621</v>
      </c>
      <c r="T731" s="2356" cm="1">
        <f t="array" ref="T731">[1]!LLPA_PN_000050_45_Day</f>
        <v>-0.25</v>
      </c>
      <c r="U731" s="2357" cm="1">
        <f t="array" ref="U731">[1]!LLPA_PN_000050_45_Day</f>
        <v>-0.25</v>
      </c>
      <c r="V731" s="2357" cm="1">
        <f t="array" ref="V731">[1]!LLPA_PN_000050_45_Day</f>
        <v>-0.25</v>
      </c>
      <c r="W731" s="2357" cm="1">
        <f t="array" ref="W731">[1]!LLPA_PN_000050_45_Day</f>
        <v>-0.25</v>
      </c>
      <c r="X731" s="2357" cm="1">
        <f t="array" ref="X731">[1]!LLPA_PN_000050_45_Day</f>
        <v>-0.25</v>
      </c>
      <c r="Y731" s="2357" cm="1">
        <f t="array" ref="Y731">[1]!LLPA_PN_000050_45_Day</f>
        <v>-0.25</v>
      </c>
      <c r="Z731" s="2357" cm="1">
        <f t="array" ref="Z731">[1]!LLPA_PN_000050_45_Day</f>
        <v>-0.25</v>
      </c>
      <c r="AA731" s="2357" cm="1">
        <f t="array" ref="AA731">[1]!LLPA_PN_000050_45_Day</f>
        <v>-0.25</v>
      </c>
      <c r="AB731" s="2358" cm="1">
        <f t="array" ref="AB731">[1]!LLPA_PN_000050_45_Day</f>
        <v>-0.25</v>
      </c>
      <c r="AC731" s="46"/>
      <c r="AE731" s="10"/>
      <c r="AF731" s="248"/>
      <c r="AG731" s="10"/>
      <c r="AH731" s="10"/>
    </row>
    <row r="732" spans="1:34" s="5" customFormat="1" ht="10.15" hidden="1" customHeight="1" x14ac:dyDescent="0.2">
      <c r="A732" s="10" t="s">
        <v>461</v>
      </c>
      <c r="C732" s="40"/>
      <c r="J732" s="2584"/>
      <c r="K732" s="2585"/>
      <c r="L732" s="2585"/>
      <c r="M732" s="2586"/>
      <c r="N732" s="1126" t="s">
        <v>75</v>
      </c>
      <c r="O732" s="1142"/>
      <c r="P732" s="1142"/>
      <c r="Q732" s="1142"/>
      <c r="R732" s="1142"/>
      <c r="S732" s="1881" t="s">
        <v>622</v>
      </c>
      <c r="T732" s="2359" cm="1">
        <f t="array" ref="T732">[1]!LLPA_PN_000050_60_Day</f>
        <v>-0.5</v>
      </c>
      <c r="U732" s="2329" cm="1">
        <f t="array" ref="U732">[1]!LLPA_PN_000050_60_Day</f>
        <v>-0.5</v>
      </c>
      <c r="V732" s="2329" cm="1">
        <f t="array" ref="V732">[1]!LLPA_PN_000050_60_Day</f>
        <v>-0.5</v>
      </c>
      <c r="W732" s="2329" cm="1">
        <f t="array" ref="W732">[1]!LLPA_PN_000050_60_Day</f>
        <v>-0.5</v>
      </c>
      <c r="X732" s="2329" cm="1">
        <f t="array" ref="X732">[1]!LLPA_PN_000050_60_Day</f>
        <v>-0.5</v>
      </c>
      <c r="Y732" s="2329" cm="1">
        <f t="array" ref="Y732">[1]!LLPA_PN_000050_60_Day</f>
        <v>-0.5</v>
      </c>
      <c r="Z732" s="2329" cm="1">
        <f t="array" ref="Z732">[1]!LLPA_PN_000050_60_Day</f>
        <v>-0.5</v>
      </c>
      <c r="AA732" s="2329" cm="1">
        <f t="array" ref="AA732">[1]!LLPA_PN_000050_60_Day</f>
        <v>-0.5</v>
      </c>
      <c r="AB732" s="2360" cm="1">
        <f t="array" ref="AB732">[1]!LLPA_PN_000050_60_Day</f>
        <v>-0.5</v>
      </c>
      <c r="AC732" s="46"/>
      <c r="AE732" s="10"/>
      <c r="AF732" s="248"/>
      <c r="AG732" s="10"/>
      <c r="AH732" s="10"/>
    </row>
    <row r="733" spans="1:34" s="5" customFormat="1" ht="10.15" hidden="1" customHeight="1" x14ac:dyDescent="0.2">
      <c r="A733" s="10" t="s">
        <v>463</v>
      </c>
      <c r="C733" s="40"/>
      <c r="J733" s="2587" t="s">
        <v>361</v>
      </c>
      <c r="K733" s="2588"/>
      <c r="L733" s="2588"/>
      <c r="M733" s="2589"/>
      <c r="N733" s="1115" t="s">
        <v>362</v>
      </c>
      <c r="O733" s="1133"/>
      <c r="P733" s="1133"/>
      <c r="Q733" s="1133"/>
      <c r="R733" s="1133"/>
      <c r="S733" s="1869" t="s">
        <v>623</v>
      </c>
      <c r="T733" s="2353" cm="1">
        <f t="array" ref="T733">[1]!LLPA_PN_000050_Mandatory</f>
        <v>0</v>
      </c>
      <c r="U733" s="2354" cm="1">
        <f t="array" ref="U733">[1]!LLPA_PN_000050_Mandatory</f>
        <v>0</v>
      </c>
      <c r="V733" s="2354" cm="1">
        <f t="array" ref="V733">[1]!LLPA_PN_000050_Mandatory</f>
        <v>0</v>
      </c>
      <c r="W733" s="2354" cm="1">
        <f t="array" ref="W733">[1]!LLPA_PN_000050_Mandatory</f>
        <v>0</v>
      </c>
      <c r="X733" s="2354" cm="1">
        <f t="array" ref="X733">[1]!LLPA_PN_000050_Mandatory</f>
        <v>0</v>
      </c>
      <c r="Y733" s="2354" cm="1">
        <f t="array" ref="Y733">[1]!LLPA_PN_000050_Mandatory</f>
        <v>0</v>
      </c>
      <c r="Z733" s="2354" cm="1">
        <f t="array" ref="Z733">[1]!LLPA_PN_000050_Mandatory</f>
        <v>0</v>
      </c>
      <c r="AA733" s="2354" cm="1">
        <f t="array" ref="AA733">[1]!LLPA_PN_000050_Mandatory</f>
        <v>0</v>
      </c>
      <c r="AB733" s="2355">
        <v>0</v>
      </c>
      <c r="AC733" s="46"/>
      <c r="AE733" s="10"/>
      <c r="AF733" s="248"/>
      <c r="AG733" s="10"/>
      <c r="AH733" s="10"/>
    </row>
    <row r="734" spans="1:34" s="5" customFormat="1" ht="10.15" hidden="1" customHeight="1" x14ac:dyDescent="0.2">
      <c r="A734" s="10" t="s">
        <v>463</v>
      </c>
      <c r="C734" s="40"/>
      <c r="J734" s="2590"/>
      <c r="K734" s="2591"/>
      <c r="L734" s="2591"/>
      <c r="M734" s="2592"/>
      <c r="N734" s="1116" t="s">
        <v>363</v>
      </c>
      <c r="O734" s="1096"/>
      <c r="P734" s="1096"/>
      <c r="Q734" s="1096"/>
      <c r="R734" s="1096"/>
      <c r="S734" s="1882" t="s">
        <v>624</v>
      </c>
      <c r="T734" s="2373" cm="1">
        <f t="array" ref="T734">[1]!LLPA_PN_000050_Best_Efforts</f>
        <v>0</v>
      </c>
      <c r="U734" s="2374" cm="1">
        <f t="array" ref="U734">[1]!LLPA_PN_000050_Best_Efforts</f>
        <v>0</v>
      </c>
      <c r="V734" s="2374" cm="1">
        <f t="array" ref="V734">[1]!LLPA_PN_000050_Best_Efforts</f>
        <v>0</v>
      </c>
      <c r="W734" s="2374" cm="1">
        <f t="array" ref="W734">[1]!LLPA_PN_000050_Best_Efforts</f>
        <v>0</v>
      </c>
      <c r="X734" s="2374" cm="1">
        <f t="array" ref="X734">[1]!LLPA_PN_000050_Best_Efforts</f>
        <v>0</v>
      </c>
      <c r="Y734" s="2374" cm="1">
        <f t="array" ref="Y734">[1]!LLPA_PN_000050_Best_Efforts</f>
        <v>0</v>
      </c>
      <c r="Z734" s="2374" cm="1">
        <f t="array" ref="Z734">[1]!LLPA_PN_000050_Best_Efforts</f>
        <v>0</v>
      </c>
      <c r="AA734" s="2374" cm="1">
        <f t="array" ref="AA734">[1]!LLPA_PN_000050_Best_Efforts</f>
        <v>0</v>
      </c>
      <c r="AB734" s="2375">
        <v>0</v>
      </c>
      <c r="AC734" s="46"/>
      <c r="AE734" s="10"/>
      <c r="AF734" s="248"/>
      <c r="AG734" s="10"/>
      <c r="AH734" s="10"/>
    </row>
    <row r="735" spans="1:34" s="5" customFormat="1" ht="3" hidden="1" customHeight="1" x14ac:dyDescent="0.2">
      <c r="A735" s="10" t="s">
        <v>462</v>
      </c>
      <c r="C735" s="40"/>
      <c r="J735" s="74"/>
      <c r="K735" s="74"/>
      <c r="L735" s="74"/>
      <c r="M735" s="74"/>
      <c r="N735" s="74"/>
      <c r="O735" s="74"/>
      <c r="P735" s="74"/>
      <c r="Q735" s="74"/>
      <c r="R735" s="74"/>
      <c r="S735" s="78"/>
      <c r="T735" s="79"/>
      <c r="U735" s="79"/>
      <c r="V735" s="79"/>
      <c r="W735" s="79"/>
      <c r="X735" s="79"/>
      <c r="Y735" s="79"/>
      <c r="Z735" s="79"/>
      <c r="AA735" s="79"/>
      <c r="AB735" s="230"/>
      <c r="AC735" s="46"/>
      <c r="AE735" s="10"/>
      <c r="AF735" s="248"/>
      <c r="AG735" s="10"/>
      <c r="AH735" s="10"/>
    </row>
    <row r="736" spans="1:34" s="5" customFormat="1" ht="10.15" hidden="1" customHeight="1" x14ac:dyDescent="0.2">
      <c r="A736" s="10" t="s">
        <v>461</v>
      </c>
      <c r="C736" s="277"/>
      <c r="D736" s="2697"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736" s="2697"/>
      <c r="F736" s="2697"/>
      <c r="G736" s="2697"/>
      <c r="H736" s="2697"/>
      <c r="I736" s="2697"/>
      <c r="J736" s="2697"/>
      <c r="K736" s="2697"/>
      <c r="L736" s="2697"/>
      <c r="M736" s="2697"/>
      <c r="N736" s="2697"/>
      <c r="O736" s="2697"/>
      <c r="P736" s="2697"/>
      <c r="Q736" s="2697"/>
      <c r="R736" s="2697"/>
      <c r="S736" s="2697"/>
      <c r="T736" s="2697"/>
      <c r="U736" s="2697"/>
      <c r="V736" s="2697"/>
      <c r="W736" s="2697"/>
      <c r="X736" s="2697"/>
      <c r="Y736" s="2697"/>
      <c r="Z736" s="2697"/>
      <c r="AA736" s="2697"/>
      <c r="AB736" s="2697"/>
      <c r="AC736" s="2698"/>
      <c r="AE736" s="10"/>
      <c r="AF736" s="248"/>
      <c r="AG736" s="10"/>
      <c r="AH736" s="10"/>
    </row>
    <row r="737" spans="1:34" s="5" customFormat="1" ht="10.15" hidden="1" customHeight="1" x14ac:dyDescent="0.2">
      <c r="A737" s="10" t="s">
        <v>461</v>
      </c>
      <c r="C737" s="278"/>
      <c r="D737" s="2699"/>
      <c r="E737" s="2699"/>
      <c r="F737" s="2699"/>
      <c r="G737" s="2699"/>
      <c r="H737" s="2699"/>
      <c r="I737" s="2699"/>
      <c r="J737" s="2699"/>
      <c r="K737" s="2699"/>
      <c r="L737" s="2699"/>
      <c r="M737" s="2699"/>
      <c r="N737" s="2699"/>
      <c r="O737" s="2699"/>
      <c r="P737" s="2699"/>
      <c r="Q737" s="2699"/>
      <c r="R737" s="2699"/>
      <c r="S737" s="2699"/>
      <c r="T737" s="2699"/>
      <c r="U737" s="2699"/>
      <c r="V737" s="2699"/>
      <c r="W737" s="2699"/>
      <c r="X737" s="2699"/>
      <c r="Y737" s="2699"/>
      <c r="Z737" s="2699"/>
      <c r="AA737" s="2699"/>
      <c r="AB737" s="2699"/>
      <c r="AC737" s="2700"/>
      <c r="AE737" s="10"/>
      <c r="AF737" s="248"/>
      <c r="AG737" s="10"/>
      <c r="AH737" s="10"/>
    </row>
    <row r="738" spans="1:34" ht="3" hidden="1" customHeight="1" x14ac:dyDescent="0.25">
      <c r="A738" s="10" t="s">
        <v>462</v>
      </c>
      <c r="B738" s="5"/>
      <c r="AF738" s="248"/>
    </row>
    <row r="739" spans="1:34" ht="10.15" hidden="1" customHeight="1" x14ac:dyDescent="0.25">
      <c r="A739" s="10" t="s">
        <v>461</v>
      </c>
      <c r="C739" s="2145"/>
      <c r="D739" s="2146"/>
      <c r="E739" s="2146"/>
      <c r="F739" s="2146"/>
      <c r="G739" s="2139"/>
      <c r="H739" s="2139"/>
      <c r="I739" s="2139"/>
      <c r="J739" s="2694" t="str">
        <f>Input_Name_Product2</f>
        <v>NonQM NOO</v>
      </c>
      <c r="K739" s="2694"/>
      <c r="L739" s="2694"/>
      <c r="M739" s="2694"/>
      <c r="N739" s="2694"/>
      <c r="O739" s="2694"/>
      <c r="P739" s="2694"/>
      <c r="Q739" s="2694"/>
      <c r="R739" s="2694"/>
      <c r="S739" s="2694"/>
      <c r="T739" s="2139"/>
      <c r="U739" s="2139"/>
      <c r="V739" s="2139"/>
      <c r="W739" s="2471" t="str">
        <f>Input_Header01</f>
        <v xml:space="preserve"> </v>
      </c>
      <c r="X739" s="2472"/>
      <c r="Y739" s="2472"/>
      <c r="Z739" s="2472"/>
      <c r="AA739" s="2614" t="str">
        <f>Input_Header06</f>
        <v xml:space="preserve"> </v>
      </c>
      <c r="AB739" s="2614" t="str">
        <f>Input_Header01</f>
        <v xml:space="preserve"> </v>
      </c>
      <c r="AC739" s="2140"/>
      <c r="AF739" s="248"/>
    </row>
    <row r="740" spans="1:34" ht="10.15" hidden="1" customHeight="1" x14ac:dyDescent="0.25">
      <c r="A740" s="10" t="s">
        <v>461</v>
      </c>
      <c r="C740" s="2147"/>
      <c r="D740" s="2141"/>
      <c r="E740" s="2141"/>
      <c r="F740" s="2141"/>
      <c r="G740" s="2141"/>
      <c r="H740" s="2141"/>
      <c r="I740" s="2141"/>
      <c r="J740" s="2695"/>
      <c r="K740" s="2695"/>
      <c r="L740" s="2695"/>
      <c r="M740" s="2695"/>
      <c r="N740" s="2695"/>
      <c r="O740" s="2695"/>
      <c r="P740" s="2695"/>
      <c r="Q740" s="2695"/>
      <c r="R740" s="2695"/>
      <c r="S740" s="2695"/>
      <c r="T740" s="2141"/>
      <c r="U740" s="2141"/>
      <c r="V740" s="2141"/>
      <c r="W740" s="2466" t="str">
        <f>Input_Header02</f>
        <v xml:space="preserve"> </v>
      </c>
      <c r="X740" s="2467"/>
      <c r="Y740" s="2467"/>
      <c r="Z740" s="2467"/>
      <c r="AA740" s="2624" t="str">
        <f>Input_Header07</f>
        <v xml:space="preserve"> </v>
      </c>
      <c r="AB740" s="2624" t="str">
        <f>Input_Header01</f>
        <v xml:space="preserve"> </v>
      </c>
      <c r="AC740" s="2142"/>
      <c r="AF740" s="248"/>
    </row>
    <row r="741" spans="1:34" ht="10.15" hidden="1" customHeight="1" x14ac:dyDescent="0.25">
      <c r="A741" s="10" t="s">
        <v>461</v>
      </c>
      <c r="C741" s="2147"/>
      <c r="D741" s="2141"/>
      <c r="E741" s="2141"/>
      <c r="F741" s="2141"/>
      <c r="G741" s="2141"/>
      <c r="H741" s="2141"/>
      <c r="I741" s="2141"/>
      <c r="J741" s="2695"/>
      <c r="K741" s="2695"/>
      <c r="L741" s="2695"/>
      <c r="M741" s="2695"/>
      <c r="N741" s="2695"/>
      <c r="O741" s="2695"/>
      <c r="P741" s="2695"/>
      <c r="Q741" s="2695"/>
      <c r="R741" s="2695"/>
      <c r="S741" s="2695"/>
      <c r="T741" s="2141"/>
      <c r="U741" s="2141"/>
      <c r="V741" s="2141"/>
      <c r="W741" s="2469" t="str">
        <f>Input_Header03</f>
        <v xml:space="preserve"> </v>
      </c>
      <c r="X741" s="2467"/>
      <c r="Y741" s="2467"/>
      <c r="Z741" s="2467"/>
      <c r="AA741" s="2468"/>
      <c r="AB741" s="2468"/>
      <c r="AC741" s="2142"/>
      <c r="AF741" s="248"/>
    </row>
    <row r="742" spans="1:34" ht="10.15" hidden="1" customHeight="1" x14ac:dyDescent="0.25">
      <c r="A742" s="10" t="s">
        <v>461</v>
      </c>
      <c r="C742" s="2147"/>
      <c r="D742" s="2141"/>
      <c r="E742" s="2141"/>
      <c r="F742" s="2141"/>
      <c r="G742" s="2141"/>
      <c r="H742" s="2141"/>
      <c r="I742" s="2141"/>
      <c r="J742" s="2695"/>
      <c r="K742" s="2695"/>
      <c r="L742" s="2695"/>
      <c r="M742" s="2695"/>
      <c r="N742" s="2695"/>
      <c r="O742" s="2695"/>
      <c r="P742" s="2695"/>
      <c r="Q742" s="2695"/>
      <c r="R742" s="2695"/>
      <c r="S742" s="2695"/>
      <c r="T742" s="2141"/>
      <c r="U742" s="2141"/>
      <c r="V742" s="2141"/>
      <c r="W742" s="2470" t="str">
        <f>Input_Header04</f>
        <v xml:space="preserve"> </v>
      </c>
      <c r="X742" s="2473"/>
      <c r="Y742" s="2467"/>
      <c r="Z742" s="2467"/>
      <c r="AA742" s="2468"/>
      <c r="AB742" s="2468" t="str">
        <f>Input_Version</f>
        <v>#01</v>
      </c>
      <c r="AC742" s="2142"/>
      <c r="AF742" s="248"/>
    </row>
    <row r="743" spans="1:34" ht="10.15" hidden="1" customHeight="1" x14ac:dyDescent="0.25">
      <c r="A743" s="10" t="s">
        <v>461</v>
      </c>
      <c r="C743" s="2148"/>
      <c r="D743" s="2149"/>
      <c r="E743" s="2149"/>
      <c r="F743" s="2149"/>
      <c r="G743" s="2143"/>
      <c r="H743" s="2143"/>
      <c r="I743" s="2143"/>
      <c r="J743" s="2696"/>
      <c r="K743" s="2696"/>
      <c r="L743" s="2696"/>
      <c r="M743" s="2696"/>
      <c r="N743" s="2696"/>
      <c r="O743" s="2696"/>
      <c r="P743" s="2696"/>
      <c r="Q743" s="2696"/>
      <c r="R743" s="2696"/>
      <c r="S743" s="2696"/>
      <c r="T743" s="2143"/>
      <c r="U743" s="2143"/>
      <c r="V743" s="2143"/>
      <c r="W743" s="2474" t="str">
        <f>Input_Header05</f>
        <v xml:space="preserve"> </v>
      </c>
      <c r="X743" s="2475"/>
      <c r="Y743" s="2475"/>
      <c r="Z743" s="2475"/>
      <c r="AA743" s="2611">
        <f ca="1">Input_Date</f>
        <v>45743</v>
      </c>
      <c r="AB743" s="2611"/>
      <c r="AC743" s="2144"/>
      <c r="AF743" s="248"/>
    </row>
    <row r="744" spans="1:34" ht="3" hidden="1" customHeight="1" x14ac:dyDescent="0.25">
      <c r="A744" s="10" t="s">
        <v>462</v>
      </c>
      <c r="B744" s="5"/>
      <c r="C744" s="40"/>
      <c r="I744" s="5"/>
      <c r="J744" s="81"/>
      <c r="K744" s="82"/>
      <c r="L744" s="81"/>
      <c r="M744" s="81"/>
      <c r="N744" s="81"/>
      <c r="O744" s="81"/>
      <c r="P744" s="81"/>
      <c r="Q744" s="81"/>
      <c r="R744" s="81"/>
      <c r="S744" s="81"/>
      <c r="T744" s="81"/>
      <c r="U744" s="81"/>
      <c r="V744" s="81"/>
      <c r="W744" s="81"/>
      <c r="X744" s="81"/>
      <c r="Y744" s="81"/>
      <c r="Z744" s="81"/>
      <c r="AA744" s="81"/>
      <c r="AB744" s="83"/>
      <c r="AC744" s="46"/>
      <c r="AF744" s="248"/>
    </row>
    <row r="745" spans="1:34" ht="10.15" hidden="1" customHeight="1" x14ac:dyDescent="0.25">
      <c r="A745" s="10" t="s">
        <v>461</v>
      </c>
      <c r="B745" s="5"/>
      <c r="C745" s="40"/>
      <c r="D745" s="2628" t="s">
        <v>0</v>
      </c>
      <c r="E745" s="2629"/>
      <c r="F745" s="2630"/>
      <c r="G745" s="47"/>
      <c r="H745" s="47"/>
      <c r="I745" s="48"/>
      <c r="J745" s="2602" t="s">
        <v>103</v>
      </c>
      <c r="K745" s="2603"/>
      <c r="L745" s="2603"/>
      <c r="M745" s="2603"/>
      <c r="N745" s="2603"/>
      <c r="O745" s="2603"/>
      <c r="P745" s="2603"/>
      <c r="Q745" s="2603"/>
      <c r="R745" s="2603"/>
      <c r="S745" s="2603"/>
      <c r="T745" s="2603"/>
      <c r="U745" s="2603"/>
      <c r="V745" s="2603"/>
      <c r="W745" s="2603"/>
      <c r="X745" s="2603"/>
      <c r="Y745" s="2603"/>
      <c r="Z745" s="2603"/>
      <c r="AA745" s="2603"/>
      <c r="AB745" s="2604"/>
      <c r="AC745" s="46"/>
      <c r="AF745" s="248"/>
    </row>
    <row r="746" spans="1:34" ht="10.15" hidden="1" customHeight="1" x14ac:dyDescent="0.25">
      <c r="A746" s="10" t="s">
        <v>461</v>
      </c>
      <c r="B746" s="5"/>
      <c r="C746" s="40"/>
      <c r="D746" s="8" t="s">
        <v>126</v>
      </c>
      <c r="E746" s="9" t="s">
        <v>1620</v>
      </c>
      <c r="F746" s="9" t="s">
        <v>127</v>
      </c>
      <c r="G746" s="47"/>
      <c r="H746" s="47"/>
      <c r="I746" s="48"/>
      <c r="J746" s="232"/>
      <c r="K746" s="233"/>
      <c r="L746" s="233"/>
      <c r="M746" s="233"/>
      <c r="N746" s="1145"/>
      <c r="O746" s="1145"/>
      <c r="P746" s="1145"/>
      <c r="Q746" s="1145"/>
      <c r="R746" s="1144"/>
      <c r="S746" s="1818" t="s">
        <v>88</v>
      </c>
      <c r="T746" s="2707" t="s">
        <v>1301</v>
      </c>
      <c r="U746" s="2707"/>
      <c r="V746" s="2707"/>
      <c r="W746" s="2707"/>
      <c r="X746" s="2707"/>
      <c r="Y746" s="2707"/>
      <c r="Z746" s="2707"/>
      <c r="AA746" s="2707"/>
      <c r="AB746" s="2708"/>
      <c r="AC746" s="86"/>
      <c r="AF746" s="248"/>
    </row>
    <row r="747" spans="1:34" ht="10.15" hidden="1" customHeight="1" x14ac:dyDescent="0.25">
      <c r="A747" s="10" t="s">
        <v>461</v>
      </c>
      <c r="B747" s="5"/>
      <c r="C747" s="40"/>
      <c r="D747" s="52">
        <f>Structure!AY222</f>
        <v>9.875</v>
      </c>
      <c r="E747" s="53" t="e">
        <f t="shared" ref="E747" si="31">INDEX(Lookup_NoteRateAll,MATCH("IN_"&amp;RIGHT("000"&amp;TRUNC(D747),3)&amp;TEXT(D747-TRUNC(D747),".0000000000"),Lookup_NoteRateText,0),3)</f>
        <v>#N/A</v>
      </c>
      <c r="F747" s="54" t="e">
        <f t="shared" ref="F747" si="32">INDEX(Lookup_NoteRateAll,MATCH("IN_"&amp;RIGHT("000"&amp;TRUNC(D747),3)&amp;TEXT(D747-TRUNC(D747),".0000000000"),Lookup_NoteRateText,0),4)</f>
        <v>#N/A</v>
      </c>
      <c r="G747" s="47"/>
      <c r="H747" s="47"/>
      <c r="I747" s="5"/>
      <c r="J747" s="265"/>
      <c r="K747" s="266" t="s">
        <v>212</v>
      </c>
      <c r="L747" s="267"/>
      <c r="M747" s="268" t="s">
        <v>71</v>
      </c>
      <c r="N747" s="1166" t="s">
        <v>25</v>
      </c>
      <c r="O747" s="1129"/>
      <c r="P747" s="1129"/>
      <c r="Q747" s="1129"/>
      <c r="R747" s="269"/>
      <c r="S747" s="260"/>
      <c r="T747" s="270" t="s">
        <v>249</v>
      </c>
      <c r="U747" s="272" t="s">
        <v>15</v>
      </c>
      <c r="V747" s="272" t="s">
        <v>84</v>
      </c>
      <c r="W747" s="272" t="s">
        <v>31</v>
      </c>
      <c r="X747" s="272" t="s">
        <v>30</v>
      </c>
      <c r="Y747" s="274" t="s">
        <v>29</v>
      </c>
      <c r="Z747" s="274" t="s">
        <v>28</v>
      </c>
      <c r="AA747" s="1496" t="s">
        <v>27</v>
      </c>
      <c r="AB747" s="56"/>
      <c r="AC747" s="46"/>
      <c r="AF747" s="248"/>
    </row>
    <row r="748" spans="1:34" ht="10.15" hidden="1" customHeight="1" x14ac:dyDescent="0.25">
      <c r="A748" s="10" t="s">
        <v>461</v>
      </c>
      <c r="B748" s="5"/>
      <c r="C748" s="40"/>
      <c r="D748" s="52">
        <f>Structure!AY223</f>
        <v>9.75</v>
      </c>
      <c r="E748" s="53" t="e">
        <f t="shared" ref="E748:E764" si="33">INDEX(Lookup_NoteRateAll,MATCH("IN_"&amp;RIGHT("000"&amp;TRUNC(D748),3)&amp;TEXT(D748-TRUNC(D748),".0000000000"),Lookup_NoteRateText,0),3)</f>
        <v>#N/A</v>
      </c>
      <c r="F748" s="54" t="e">
        <f t="shared" ref="F748:F764" si="34">INDEX(Lookup_NoteRateAll,MATCH("IN_"&amp;RIGHT("000"&amp;TRUNC(D748),3)&amp;TEXT(D748-TRUNC(D748),".0000000000"),Lookup_NoteRateText,0),4)</f>
        <v>#N/A</v>
      </c>
      <c r="G748" s="47"/>
      <c r="H748" s="47"/>
      <c r="I748" s="5"/>
      <c r="J748" s="2671" t="s">
        <v>206</v>
      </c>
      <c r="K748" s="57"/>
      <c r="L748" s="58"/>
      <c r="M748" s="59"/>
      <c r="N748" s="1103" t="s">
        <v>1282</v>
      </c>
      <c r="O748" s="1147"/>
      <c r="P748" s="1147"/>
      <c r="Q748" s="1147"/>
      <c r="R748" s="1147"/>
      <c r="S748" s="1851" t="s">
        <v>1291</v>
      </c>
      <c r="T748" s="2178">
        <v>0.25</v>
      </c>
      <c r="U748" s="2179">
        <v>0.25</v>
      </c>
      <c r="V748" s="2179">
        <v>0</v>
      </c>
      <c r="W748" s="2179">
        <v>-0.25</v>
      </c>
      <c r="X748" s="2179">
        <v>-0.5</v>
      </c>
      <c r="Y748" s="2179">
        <v>-0.625</v>
      </c>
      <c r="Z748" s="2238">
        <v>-1</v>
      </c>
      <c r="AA748" s="2246">
        <v>-3.25</v>
      </c>
      <c r="AB748" s="1464" t="e">
        <v>#N/A</v>
      </c>
      <c r="AC748" s="46"/>
      <c r="AF748" s="248"/>
    </row>
    <row r="749" spans="1:34" ht="10.15" hidden="1" customHeight="1" x14ac:dyDescent="0.25">
      <c r="A749" s="10" t="s">
        <v>461</v>
      </c>
      <c r="B749" s="5"/>
      <c r="C749" s="40"/>
      <c r="D749" s="52">
        <f>Structure!AY224</f>
        <v>9.625</v>
      </c>
      <c r="E749" s="53" t="e">
        <f t="shared" si="33"/>
        <v>#N/A</v>
      </c>
      <c r="F749" s="54" t="e">
        <f t="shared" si="34"/>
        <v>#N/A</v>
      </c>
      <c r="G749" s="47"/>
      <c r="H749" s="47"/>
      <c r="I749" s="5"/>
      <c r="J749" s="2672"/>
      <c r="K749" s="235"/>
      <c r="L749" s="236"/>
      <c r="M749" s="237"/>
      <c r="N749" s="1104" t="s">
        <v>1281</v>
      </c>
      <c r="O749" s="1082"/>
      <c r="P749" s="1082"/>
      <c r="Q749" s="1082"/>
      <c r="R749" s="1082"/>
      <c r="S749" s="1852" t="s">
        <v>1292</v>
      </c>
      <c r="T749" s="2181">
        <v>0.25</v>
      </c>
      <c r="U749" s="2182">
        <v>0.25</v>
      </c>
      <c r="V749" s="2182">
        <v>0</v>
      </c>
      <c r="W749" s="2182">
        <v>-0.25</v>
      </c>
      <c r="X749" s="2182">
        <v>-0.5</v>
      </c>
      <c r="Y749" s="2182">
        <v>-0.625</v>
      </c>
      <c r="Z749" s="2239">
        <v>-1</v>
      </c>
      <c r="AA749" s="2247">
        <v>-3.375</v>
      </c>
      <c r="AB749" s="1464" t="e">
        <v>#N/A</v>
      </c>
      <c r="AC749" s="46"/>
      <c r="AF749" s="248"/>
    </row>
    <row r="750" spans="1:34" ht="10.15" hidden="1" customHeight="1" x14ac:dyDescent="0.25">
      <c r="A750" s="10" t="s">
        <v>461</v>
      </c>
      <c r="B750" s="5"/>
      <c r="C750" s="40"/>
      <c r="D750" s="52">
        <f>Structure!AY225</f>
        <v>9.5</v>
      </c>
      <c r="E750" s="53" t="e">
        <f t="shared" si="33"/>
        <v>#N/A</v>
      </c>
      <c r="F750" s="54" t="e">
        <f t="shared" si="34"/>
        <v>#N/A</v>
      </c>
      <c r="G750" s="47"/>
      <c r="H750" s="47"/>
      <c r="I750" s="5"/>
      <c r="J750" s="2672"/>
      <c r="K750" s="60" t="s">
        <v>1643</v>
      </c>
      <c r="L750" s="61"/>
      <c r="M750" s="62">
        <v>1</v>
      </c>
      <c r="N750" s="1083" t="s">
        <v>255</v>
      </c>
      <c r="O750" s="1083"/>
      <c r="P750" s="1083"/>
      <c r="Q750" s="1083"/>
      <c r="R750" s="1083"/>
      <c r="S750" s="1853" t="s">
        <v>625</v>
      </c>
      <c r="T750" s="2181">
        <v>0.25</v>
      </c>
      <c r="U750" s="2182">
        <v>0.25</v>
      </c>
      <c r="V750" s="2182">
        <v>0</v>
      </c>
      <c r="W750" s="2182">
        <v>-0.25</v>
      </c>
      <c r="X750" s="2182">
        <v>-0.5</v>
      </c>
      <c r="Y750" s="2182">
        <v>-0.625</v>
      </c>
      <c r="Z750" s="2239">
        <v>-1.125</v>
      </c>
      <c r="AA750" s="2247">
        <v>-3.75</v>
      </c>
      <c r="AB750" s="1464" t="e">
        <v>#N/A</v>
      </c>
      <c r="AC750" s="46"/>
      <c r="AF750" s="248"/>
    </row>
    <row r="751" spans="1:34" ht="10.15" hidden="1" customHeight="1" x14ac:dyDescent="0.25">
      <c r="A751" s="10" t="s">
        <v>461</v>
      </c>
      <c r="B751" s="5"/>
      <c r="C751" s="40"/>
      <c r="D751" s="52">
        <f>Structure!AY226</f>
        <v>9.375</v>
      </c>
      <c r="E751" s="53" t="e">
        <f t="shared" si="33"/>
        <v>#N/A</v>
      </c>
      <c r="F751" s="54" t="e">
        <f t="shared" si="34"/>
        <v>#N/A</v>
      </c>
      <c r="G751" s="47"/>
      <c r="H751" s="47"/>
      <c r="I751" s="5"/>
      <c r="J751" s="2672"/>
      <c r="K751" s="60" t="s">
        <v>1642</v>
      </c>
      <c r="L751" s="64"/>
      <c r="M751" s="62">
        <v>2</v>
      </c>
      <c r="N751" s="1083" t="s">
        <v>254</v>
      </c>
      <c r="O751" s="1083"/>
      <c r="P751" s="1083"/>
      <c r="Q751" s="1083"/>
      <c r="R751" s="1083"/>
      <c r="S751" s="1853" t="s">
        <v>626</v>
      </c>
      <c r="T751" s="2181">
        <v>0.125</v>
      </c>
      <c r="U751" s="2182">
        <v>0.125</v>
      </c>
      <c r="V751" s="2182">
        <v>0</v>
      </c>
      <c r="W751" s="2182">
        <v>-0.25</v>
      </c>
      <c r="X751" s="2182">
        <v>-0.625</v>
      </c>
      <c r="Y751" s="2182">
        <v>-0.75</v>
      </c>
      <c r="Z751" s="2239">
        <v>-1.25</v>
      </c>
      <c r="AA751" s="2247">
        <v>-4.25</v>
      </c>
      <c r="AB751" s="1464" t="e">
        <v>#N/A</v>
      </c>
      <c r="AC751" s="46"/>
      <c r="AF751" s="248"/>
    </row>
    <row r="752" spans="1:34" ht="10.15" hidden="1" customHeight="1" x14ac:dyDescent="0.25">
      <c r="A752" s="10" t="s">
        <v>461</v>
      </c>
      <c r="B752" s="5"/>
      <c r="C752" s="40"/>
      <c r="D752" s="52">
        <f>Structure!AY227</f>
        <v>9.25</v>
      </c>
      <c r="E752" s="53" t="e">
        <f t="shared" si="33"/>
        <v>#N/A</v>
      </c>
      <c r="F752" s="54" t="e">
        <f t="shared" si="34"/>
        <v>#N/A</v>
      </c>
      <c r="G752" s="47"/>
      <c r="H752" s="47"/>
      <c r="I752" s="5"/>
      <c r="J752" s="2672"/>
      <c r="K752" s="88"/>
      <c r="L752" s="19"/>
      <c r="M752" s="62"/>
      <c r="N752" s="1083" t="s">
        <v>3</v>
      </c>
      <c r="O752" s="1083"/>
      <c r="P752" s="1083"/>
      <c r="Q752" s="1083"/>
      <c r="R752" s="1083"/>
      <c r="S752" s="1853" t="s">
        <v>627</v>
      </c>
      <c r="T752" s="2181">
        <v>0</v>
      </c>
      <c r="U752" s="2182">
        <v>0</v>
      </c>
      <c r="V752" s="2182">
        <v>-0.125</v>
      </c>
      <c r="W752" s="2182">
        <v>-0.375</v>
      </c>
      <c r="X752" s="2182">
        <v>-0.75</v>
      </c>
      <c r="Y752" s="2182">
        <v>-1</v>
      </c>
      <c r="Z752" s="2239">
        <v>-1.75</v>
      </c>
      <c r="AA752" s="2247">
        <v>-4.875</v>
      </c>
      <c r="AB752" s="1464" t="e">
        <v>#N/A</v>
      </c>
      <c r="AC752" s="46"/>
      <c r="AF752" s="248"/>
    </row>
    <row r="753" spans="1:32" ht="10.15" hidden="1" customHeight="1" x14ac:dyDescent="0.25">
      <c r="A753" s="10" t="s">
        <v>461</v>
      </c>
      <c r="B753" s="5"/>
      <c r="C753" s="40"/>
      <c r="D753" s="52">
        <f>Structure!AY228</f>
        <v>9.125</v>
      </c>
      <c r="E753" s="53" t="e">
        <f t="shared" si="33"/>
        <v>#N/A</v>
      </c>
      <c r="F753" s="54" t="e">
        <f t="shared" si="34"/>
        <v>#N/A</v>
      </c>
      <c r="G753" s="47"/>
      <c r="H753" s="47"/>
      <c r="I753" s="5"/>
      <c r="J753" s="2672"/>
      <c r="K753" s="65"/>
      <c r="L753" s="43"/>
      <c r="M753" s="62"/>
      <c r="N753" s="1083" t="s">
        <v>5</v>
      </c>
      <c r="O753" s="1083"/>
      <c r="P753" s="1083"/>
      <c r="Q753" s="1083"/>
      <c r="R753" s="1083"/>
      <c r="S753" s="1853" t="s">
        <v>628</v>
      </c>
      <c r="T753" s="2181">
        <v>-0.125</v>
      </c>
      <c r="U753" s="2182">
        <v>-0.125</v>
      </c>
      <c r="V753" s="2182">
        <v>-0.25</v>
      </c>
      <c r="W753" s="2182">
        <v>-0.5</v>
      </c>
      <c r="X753" s="2182">
        <v>-1.125</v>
      </c>
      <c r="Y753" s="2182">
        <v>-1.625</v>
      </c>
      <c r="Z753" s="2239">
        <v>-2.25</v>
      </c>
      <c r="AA753" s="2247">
        <v>-5.5</v>
      </c>
      <c r="AB753" s="1464" t="e">
        <v>#N/A</v>
      </c>
      <c r="AC753" s="46"/>
      <c r="AF753" s="248"/>
    </row>
    <row r="754" spans="1:32" ht="10.15" hidden="1" customHeight="1" x14ac:dyDescent="0.25">
      <c r="A754" s="10" t="s">
        <v>461</v>
      </c>
      <c r="B754" s="5"/>
      <c r="C754" s="40"/>
      <c r="D754" s="52">
        <f>Structure!AY229</f>
        <v>9</v>
      </c>
      <c r="E754" s="53" t="e">
        <f t="shared" si="33"/>
        <v>#N/A</v>
      </c>
      <c r="F754" s="54" t="e">
        <f t="shared" si="34"/>
        <v>#N/A</v>
      </c>
      <c r="G754" s="47"/>
      <c r="H754" s="47"/>
      <c r="I754" s="5"/>
      <c r="J754" s="2672"/>
      <c r="K754" s="65"/>
      <c r="L754" s="43"/>
      <c r="M754" s="62"/>
      <c r="N754" s="1083" t="s">
        <v>6</v>
      </c>
      <c r="O754" s="1083"/>
      <c r="P754" s="1083"/>
      <c r="Q754" s="1083"/>
      <c r="R754" s="1083"/>
      <c r="S754" s="1853" t="s">
        <v>629</v>
      </c>
      <c r="T754" s="2181">
        <v>-0.25</v>
      </c>
      <c r="U754" s="2182">
        <v>-0.25</v>
      </c>
      <c r="V754" s="2182">
        <v>-0.625</v>
      </c>
      <c r="W754" s="2182">
        <v>-1</v>
      </c>
      <c r="X754" s="2182">
        <v>-1.5</v>
      </c>
      <c r="Y754" s="2182">
        <v>-2.375</v>
      </c>
      <c r="Z754" s="2239">
        <v>-3.125</v>
      </c>
      <c r="AA754" s="2247">
        <v>-6.375</v>
      </c>
      <c r="AB754" s="1464" t="e">
        <v>#N/A</v>
      </c>
      <c r="AC754" s="46"/>
      <c r="AF754" s="248"/>
    </row>
    <row r="755" spans="1:32" ht="10.15" hidden="1" customHeight="1" x14ac:dyDescent="0.25">
      <c r="A755" s="10" t="s">
        <v>461</v>
      </c>
      <c r="B755" s="5"/>
      <c r="C755" s="40"/>
      <c r="D755" s="52">
        <f>Structure!AY230</f>
        <v>8.875</v>
      </c>
      <c r="E755" s="53" t="e">
        <f t="shared" si="33"/>
        <v>#N/A</v>
      </c>
      <c r="F755" s="54" t="e">
        <f t="shared" si="34"/>
        <v>#N/A</v>
      </c>
      <c r="G755" s="47"/>
      <c r="H755" s="47"/>
      <c r="I755" s="5"/>
      <c r="J755" s="2672"/>
      <c r="K755" s="65"/>
      <c r="L755" s="43"/>
      <c r="M755" s="62"/>
      <c r="N755" s="1083" t="s">
        <v>7</v>
      </c>
      <c r="O755" s="1083"/>
      <c r="P755" s="1083"/>
      <c r="Q755" s="1083"/>
      <c r="R755" s="1083"/>
      <c r="S755" s="1853" t="s">
        <v>630</v>
      </c>
      <c r="T755" s="2181">
        <v>-0.75</v>
      </c>
      <c r="U755" s="2182">
        <v>-1.125</v>
      </c>
      <c r="V755" s="2182">
        <v>-1.25</v>
      </c>
      <c r="W755" s="2182">
        <v>-2.125</v>
      </c>
      <c r="X755" s="2182">
        <v>-2.75</v>
      </c>
      <c r="Y755" s="2182">
        <v>-3.5</v>
      </c>
      <c r="Z755" s="2239">
        <v>-4.5</v>
      </c>
      <c r="AA755" s="2410" t="e">
        <v>#N/A</v>
      </c>
      <c r="AB755" s="1464" t="e">
        <v>#N/A</v>
      </c>
      <c r="AC755" s="46"/>
      <c r="AF755" s="248"/>
    </row>
    <row r="756" spans="1:32" ht="10.15" hidden="1" customHeight="1" x14ac:dyDescent="0.25">
      <c r="A756" s="10" t="s">
        <v>461</v>
      </c>
      <c r="B756" s="5"/>
      <c r="C756" s="40"/>
      <c r="D756" s="52">
        <f>Structure!AY231</f>
        <v>8.75</v>
      </c>
      <c r="E756" s="53" t="e">
        <f t="shared" si="33"/>
        <v>#N/A</v>
      </c>
      <c r="F756" s="54" t="e">
        <f t="shared" si="34"/>
        <v>#N/A</v>
      </c>
      <c r="G756" s="47"/>
      <c r="H756" s="47"/>
      <c r="I756" s="5"/>
      <c r="J756" s="2671" t="s">
        <v>207</v>
      </c>
      <c r="K756" s="57"/>
      <c r="L756" s="58"/>
      <c r="M756" s="66"/>
      <c r="N756" s="1103" t="s">
        <v>1282</v>
      </c>
      <c r="O756" s="1147"/>
      <c r="P756" s="1147"/>
      <c r="Q756" s="1147"/>
      <c r="R756" s="1147"/>
      <c r="S756" s="1883" t="s">
        <v>1293</v>
      </c>
      <c r="T756" s="2178">
        <v>0.25</v>
      </c>
      <c r="U756" s="2179">
        <v>0.25</v>
      </c>
      <c r="V756" s="2179">
        <v>0</v>
      </c>
      <c r="W756" s="2179">
        <v>-0.25</v>
      </c>
      <c r="X756" s="2179">
        <v>-0.5</v>
      </c>
      <c r="Y756" s="2179">
        <v>-0.75</v>
      </c>
      <c r="Z756" s="2238">
        <v>-1.25</v>
      </c>
      <c r="AA756" s="2246">
        <v>-3.875</v>
      </c>
      <c r="AB756" s="1464" t="e">
        <v>#N/A</v>
      </c>
      <c r="AC756" s="46"/>
      <c r="AF756" s="248"/>
    </row>
    <row r="757" spans="1:32" ht="10.15" hidden="1" customHeight="1" x14ac:dyDescent="0.25">
      <c r="A757" s="10" t="s">
        <v>461</v>
      </c>
      <c r="B757" s="5"/>
      <c r="C757" s="40"/>
      <c r="D757" s="52">
        <f>Structure!AY232</f>
        <v>8.625</v>
      </c>
      <c r="E757" s="53" t="e">
        <f t="shared" si="33"/>
        <v>#N/A</v>
      </c>
      <c r="F757" s="54" t="e">
        <f t="shared" si="34"/>
        <v>#N/A</v>
      </c>
      <c r="G757" s="47"/>
      <c r="H757" s="47"/>
      <c r="I757" s="5"/>
      <c r="J757" s="2672"/>
      <c r="K757" s="235"/>
      <c r="L757" s="236"/>
      <c r="M757" s="238"/>
      <c r="N757" s="1104" t="s">
        <v>1281</v>
      </c>
      <c r="O757" s="1082"/>
      <c r="P757" s="1082"/>
      <c r="Q757" s="1082"/>
      <c r="R757" s="1082"/>
      <c r="S757" s="1852" t="s">
        <v>1294</v>
      </c>
      <c r="T757" s="2181">
        <v>0.25</v>
      </c>
      <c r="U757" s="2182">
        <v>0.25</v>
      </c>
      <c r="V757" s="2182">
        <v>0</v>
      </c>
      <c r="W757" s="2182">
        <v>-0.25</v>
      </c>
      <c r="X757" s="2182">
        <v>-0.5</v>
      </c>
      <c r="Y757" s="2182">
        <v>-0.75</v>
      </c>
      <c r="Z757" s="2239">
        <v>-1.25</v>
      </c>
      <c r="AA757" s="2247">
        <v>-4</v>
      </c>
      <c r="AB757" s="1464" t="e">
        <v>#N/A</v>
      </c>
      <c r="AC757" s="46"/>
      <c r="AF757" s="248"/>
    </row>
    <row r="758" spans="1:32" ht="10.15" hidden="1" customHeight="1" x14ac:dyDescent="0.25">
      <c r="A758" s="10" t="s">
        <v>461</v>
      </c>
      <c r="B758" s="5"/>
      <c r="C758" s="40"/>
      <c r="D758" s="52">
        <f>Structure!AY233</f>
        <v>8.5</v>
      </c>
      <c r="E758" s="53" t="e">
        <f t="shared" si="33"/>
        <v>#N/A</v>
      </c>
      <c r="F758" s="54" t="e">
        <f t="shared" si="34"/>
        <v>#N/A</v>
      </c>
      <c r="G758" s="47"/>
      <c r="H758" s="47"/>
      <c r="I758" s="5"/>
      <c r="J758" s="2672"/>
      <c r="K758" s="63" t="s">
        <v>80</v>
      </c>
      <c r="L758" s="67" t="s">
        <v>205</v>
      </c>
      <c r="M758" s="62">
        <v>3</v>
      </c>
      <c r="N758" s="1083" t="s">
        <v>255</v>
      </c>
      <c r="O758" s="1083"/>
      <c r="P758" s="1083"/>
      <c r="Q758" s="1083"/>
      <c r="R758" s="1083"/>
      <c r="S758" s="1853" t="s">
        <v>631</v>
      </c>
      <c r="T758" s="2181">
        <v>0.25</v>
      </c>
      <c r="U758" s="2182">
        <v>0.25</v>
      </c>
      <c r="V758" s="2182">
        <v>0</v>
      </c>
      <c r="W758" s="2182">
        <v>-0.25</v>
      </c>
      <c r="X758" s="2182">
        <v>-0.5</v>
      </c>
      <c r="Y758" s="2182">
        <v>-0.75</v>
      </c>
      <c r="Z758" s="2239">
        <v>-1.375</v>
      </c>
      <c r="AA758" s="2247">
        <v>-4.375</v>
      </c>
      <c r="AB758" s="1464" t="e">
        <v>#N/A</v>
      </c>
      <c r="AC758" s="46"/>
      <c r="AF758" s="248"/>
    </row>
    <row r="759" spans="1:32" ht="10.15" hidden="1" customHeight="1" x14ac:dyDescent="0.25">
      <c r="A759" s="10" t="s">
        <v>461</v>
      </c>
      <c r="B759" s="5"/>
      <c r="C759" s="40"/>
      <c r="D759" s="52">
        <f>Structure!AY234</f>
        <v>8.375</v>
      </c>
      <c r="E759" s="53" t="e">
        <f t="shared" si="33"/>
        <v>#N/A</v>
      </c>
      <c r="F759" s="54" t="e">
        <f t="shared" si="34"/>
        <v>#N/A</v>
      </c>
      <c r="G759" s="47"/>
      <c r="H759" s="47"/>
      <c r="I759" s="5"/>
      <c r="J759" s="2672"/>
      <c r="K759" s="60">
        <v>1099</v>
      </c>
      <c r="L759" s="61"/>
      <c r="M759" s="62"/>
      <c r="N759" s="1083" t="s">
        <v>254</v>
      </c>
      <c r="O759" s="1083"/>
      <c r="P759" s="1083"/>
      <c r="Q759" s="1083"/>
      <c r="R759" s="1083"/>
      <c r="S759" s="1853" t="s">
        <v>632</v>
      </c>
      <c r="T759" s="2181">
        <v>0.125</v>
      </c>
      <c r="U759" s="2182">
        <v>0.125</v>
      </c>
      <c r="V759" s="2182">
        <v>0</v>
      </c>
      <c r="W759" s="2182">
        <v>-0.25</v>
      </c>
      <c r="X759" s="2182">
        <v>-0.625</v>
      </c>
      <c r="Y759" s="2182">
        <v>-0.875</v>
      </c>
      <c r="Z759" s="2239">
        <v>-1.5</v>
      </c>
      <c r="AA759" s="2247">
        <v>-4.875</v>
      </c>
      <c r="AB759" s="1464" t="e">
        <v>#N/A</v>
      </c>
      <c r="AC759" s="46"/>
      <c r="AF759" s="248"/>
    </row>
    <row r="760" spans="1:32" ht="10.15" hidden="1" customHeight="1" x14ac:dyDescent="0.25">
      <c r="A760" s="10" t="s">
        <v>461</v>
      </c>
      <c r="B760" s="5"/>
      <c r="C760" s="40"/>
      <c r="D760" s="52">
        <f>Structure!AY235</f>
        <v>8.25</v>
      </c>
      <c r="E760" s="53" t="e">
        <f t="shared" si="33"/>
        <v>#N/A</v>
      </c>
      <c r="F760" s="54" t="e">
        <f t="shared" si="34"/>
        <v>#N/A</v>
      </c>
      <c r="G760" s="47"/>
      <c r="H760" s="47"/>
      <c r="I760" s="5"/>
      <c r="J760" s="2672"/>
      <c r="K760" s="63"/>
      <c r="L760" s="64"/>
      <c r="M760" s="62"/>
      <c r="N760" s="1083" t="s">
        <v>3</v>
      </c>
      <c r="O760" s="1083"/>
      <c r="P760" s="1083"/>
      <c r="Q760" s="1083"/>
      <c r="R760" s="1083"/>
      <c r="S760" s="1853" t="s">
        <v>633</v>
      </c>
      <c r="T760" s="2181">
        <v>0</v>
      </c>
      <c r="U760" s="2182">
        <v>0</v>
      </c>
      <c r="V760" s="2182">
        <v>-0.125</v>
      </c>
      <c r="W760" s="2182">
        <v>-0.375</v>
      </c>
      <c r="X760" s="2182">
        <v>-0.75</v>
      </c>
      <c r="Y760" s="2182">
        <v>-1.25</v>
      </c>
      <c r="Z760" s="2239">
        <v>-2.125</v>
      </c>
      <c r="AA760" s="2247">
        <v>-5.875</v>
      </c>
      <c r="AB760" s="1464" t="e">
        <v>#N/A</v>
      </c>
      <c r="AC760" s="46"/>
      <c r="AF760" s="248"/>
    </row>
    <row r="761" spans="1:32" ht="10.15" hidden="1" customHeight="1" x14ac:dyDescent="0.25">
      <c r="A761" s="10" t="s">
        <v>461</v>
      </c>
      <c r="B761" s="5"/>
      <c r="C761" s="40"/>
      <c r="D761" s="52">
        <f>Structure!AY236</f>
        <v>8.125</v>
      </c>
      <c r="E761" s="53" t="e">
        <f t="shared" si="33"/>
        <v>#N/A</v>
      </c>
      <c r="F761" s="54" t="e">
        <f t="shared" si="34"/>
        <v>#N/A</v>
      </c>
      <c r="G761" s="47"/>
      <c r="H761" s="47"/>
      <c r="I761" s="5"/>
      <c r="J761" s="2672"/>
      <c r="K761" s="63"/>
      <c r="L761" s="64"/>
      <c r="M761" s="62"/>
      <c r="N761" s="1083" t="s">
        <v>5</v>
      </c>
      <c r="O761" s="1083"/>
      <c r="P761" s="1083"/>
      <c r="Q761" s="1083"/>
      <c r="R761" s="1083"/>
      <c r="S761" s="1853" t="s">
        <v>634</v>
      </c>
      <c r="T761" s="2181">
        <v>-0.125</v>
      </c>
      <c r="U761" s="2182">
        <v>-0.125</v>
      </c>
      <c r="V761" s="2182">
        <v>-0.25</v>
      </c>
      <c r="W761" s="2182">
        <v>-0.5</v>
      </c>
      <c r="X761" s="2182">
        <v>-1.125</v>
      </c>
      <c r="Y761" s="2182">
        <v>-1.875</v>
      </c>
      <c r="Z761" s="2239">
        <v>-2.625</v>
      </c>
      <c r="AA761" s="2247">
        <v>-6.5</v>
      </c>
      <c r="AB761" s="1464" t="e">
        <v>#N/A</v>
      </c>
      <c r="AC761" s="46"/>
      <c r="AF761" s="248"/>
    </row>
    <row r="762" spans="1:32" ht="10.15" hidden="1" customHeight="1" x14ac:dyDescent="0.25">
      <c r="A762" s="10" t="s">
        <v>461</v>
      </c>
      <c r="B762" s="5"/>
      <c r="C762" s="40"/>
      <c r="D762" s="52">
        <f>Structure!AY237</f>
        <v>8</v>
      </c>
      <c r="E762" s="53" t="e">
        <f t="shared" si="33"/>
        <v>#N/A</v>
      </c>
      <c r="F762" s="54" t="e">
        <f t="shared" si="34"/>
        <v>#N/A</v>
      </c>
      <c r="G762" s="47"/>
      <c r="H762" s="47"/>
      <c r="I762" s="5"/>
      <c r="J762" s="2672"/>
      <c r="K762" s="63"/>
      <c r="L762" s="64"/>
      <c r="M762" s="62"/>
      <c r="N762" s="1083" t="s">
        <v>6</v>
      </c>
      <c r="O762" s="1083"/>
      <c r="P762" s="1083"/>
      <c r="Q762" s="1083"/>
      <c r="R762" s="1083"/>
      <c r="S762" s="1853" t="s">
        <v>635</v>
      </c>
      <c r="T762" s="2181">
        <v>-0.5</v>
      </c>
      <c r="U762" s="2182">
        <v>-0.5</v>
      </c>
      <c r="V762" s="2182">
        <v>-0.875</v>
      </c>
      <c r="W762" s="2182">
        <v>-1.25</v>
      </c>
      <c r="X762" s="2182">
        <v>-1.875</v>
      </c>
      <c r="Y762" s="2182">
        <v>-2.875</v>
      </c>
      <c r="Z762" s="2239">
        <v>-3.875</v>
      </c>
      <c r="AA762" s="2410" t="e">
        <v>#N/A</v>
      </c>
      <c r="AB762" s="1464" t="e">
        <v>#N/A</v>
      </c>
      <c r="AC762" s="46"/>
      <c r="AF762" s="248"/>
    </row>
    <row r="763" spans="1:32" ht="10.15" hidden="1" customHeight="1" x14ac:dyDescent="0.25">
      <c r="A763" s="10" t="s">
        <v>461</v>
      </c>
      <c r="B763" s="5"/>
      <c r="C763" s="40"/>
      <c r="D763" s="52">
        <f>Structure!AY238</f>
        <v>7.875</v>
      </c>
      <c r="E763" s="53" t="e">
        <f t="shared" si="33"/>
        <v>#N/A</v>
      </c>
      <c r="F763" s="54" t="e">
        <f t="shared" si="34"/>
        <v>#N/A</v>
      </c>
      <c r="G763" s="47"/>
      <c r="H763" s="47"/>
      <c r="I763" s="5"/>
      <c r="J763" s="2672"/>
      <c r="K763" s="92"/>
      <c r="L763" s="93"/>
      <c r="M763" s="62"/>
      <c r="N763" s="1083" t="s">
        <v>7</v>
      </c>
      <c r="O763" s="1083"/>
      <c r="P763" s="1083"/>
      <c r="Q763" s="1083"/>
      <c r="R763" s="1083"/>
      <c r="S763" s="1853" t="s">
        <v>636</v>
      </c>
      <c r="T763" s="2181">
        <v>-1</v>
      </c>
      <c r="U763" s="2182">
        <v>-1.375</v>
      </c>
      <c r="V763" s="2182">
        <v>-1.5</v>
      </c>
      <c r="W763" s="2182">
        <v>-2.375</v>
      </c>
      <c r="X763" s="2182">
        <v>-3.125</v>
      </c>
      <c r="Y763" s="2182">
        <v>-4</v>
      </c>
      <c r="Z763" s="2239">
        <v>-5.25</v>
      </c>
      <c r="AA763" s="2410" t="e">
        <v>#N/A</v>
      </c>
      <c r="AB763" s="1464" t="e">
        <v>#N/A</v>
      </c>
      <c r="AC763" s="46"/>
      <c r="AF763" s="248"/>
    </row>
    <row r="764" spans="1:32" ht="10.15" hidden="1" customHeight="1" x14ac:dyDescent="0.25">
      <c r="A764" s="10" t="s">
        <v>461</v>
      </c>
      <c r="B764" s="5"/>
      <c r="C764" s="40"/>
      <c r="D764" s="52">
        <f>Structure!AY239</f>
        <v>7.75</v>
      </c>
      <c r="E764" s="53" t="e">
        <f t="shared" si="33"/>
        <v>#N/A</v>
      </c>
      <c r="F764" s="54" t="e">
        <f t="shared" si="34"/>
        <v>#N/A</v>
      </c>
      <c r="G764" s="47"/>
      <c r="H764" s="47"/>
      <c r="I764" s="5"/>
      <c r="J764" s="2671" t="s">
        <v>209</v>
      </c>
      <c r="K764" s="57"/>
      <c r="L764" s="58"/>
      <c r="M764" s="66"/>
      <c r="N764" s="1103" t="s">
        <v>1282</v>
      </c>
      <c r="O764" s="1147"/>
      <c r="P764" s="1147"/>
      <c r="Q764" s="1147"/>
      <c r="R764" s="1147"/>
      <c r="S764" s="1883" t="s">
        <v>1295</v>
      </c>
      <c r="T764" s="2178">
        <v>0</v>
      </c>
      <c r="U764" s="2179">
        <v>0</v>
      </c>
      <c r="V764" s="2179">
        <v>-0.25</v>
      </c>
      <c r="W764" s="2179">
        <v>-0.5</v>
      </c>
      <c r="X764" s="2179">
        <v>-0.75</v>
      </c>
      <c r="Y764" s="2179">
        <v>-1.25</v>
      </c>
      <c r="Z764" s="2250" t="e">
        <v>#N/A</v>
      </c>
      <c r="AA764" s="2411" t="e">
        <v>#N/A</v>
      </c>
      <c r="AB764" s="1464" t="e">
        <v>#N/A</v>
      </c>
      <c r="AC764" s="46"/>
      <c r="AF764" s="248"/>
    </row>
    <row r="765" spans="1:32" ht="10.15" hidden="1" customHeight="1" x14ac:dyDescent="0.25">
      <c r="A765" s="10" t="s">
        <v>461</v>
      </c>
      <c r="B765" s="5"/>
      <c r="C765" s="40"/>
      <c r="D765" s="52">
        <f>Structure!AY240</f>
        <v>7.625</v>
      </c>
      <c r="E765" s="53" t="e">
        <f t="shared" ref="E765:E769" si="35">INDEX(Lookup_NoteRateAll,MATCH("IN_"&amp;RIGHT("000"&amp;TRUNC(D765),3)&amp;TEXT(D765-TRUNC(D765),".0000000000"),Lookup_NoteRateText,0),3)</f>
        <v>#N/A</v>
      </c>
      <c r="F765" s="54" t="e">
        <f t="shared" ref="F765:F769" si="36">INDEX(Lookup_NoteRateAll,MATCH("IN_"&amp;RIGHT("000"&amp;TRUNC(D765),3)&amp;TEXT(D765-TRUNC(D765),".0000000000"),Lookup_NoteRateText,0),4)</f>
        <v>#N/A</v>
      </c>
      <c r="G765" s="47"/>
      <c r="H765" s="47"/>
      <c r="I765" s="5"/>
      <c r="J765" s="2672"/>
      <c r="K765" s="235"/>
      <c r="L765" s="236"/>
      <c r="M765" s="238"/>
      <c r="N765" s="1104" t="s">
        <v>1281</v>
      </c>
      <c r="O765" s="1082"/>
      <c r="P765" s="1082"/>
      <c r="Q765" s="1082"/>
      <c r="R765" s="1082"/>
      <c r="S765" s="1852" t="s">
        <v>1296</v>
      </c>
      <c r="T765" s="2181">
        <v>0</v>
      </c>
      <c r="U765" s="2182">
        <v>0</v>
      </c>
      <c r="V765" s="2182">
        <v>-0.25</v>
      </c>
      <c r="W765" s="2182">
        <v>-0.5</v>
      </c>
      <c r="X765" s="2182">
        <v>-0.75</v>
      </c>
      <c r="Y765" s="2182">
        <v>-1.25</v>
      </c>
      <c r="Z765" s="2251" t="e">
        <v>#N/A</v>
      </c>
      <c r="AA765" s="2410" t="e">
        <v>#N/A</v>
      </c>
      <c r="AB765" s="1464" t="e">
        <v>#N/A</v>
      </c>
      <c r="AC765" s="46"/>
      <c r="AF765" s="248"/>
    </row>
    <row r="766" spans="1:32" ht="10.15" hidden="1" customHeight="1" x14ac:dyDescent="0.25">
      <c r="A766" s="10" t="s">
        <v>461</v>
      </c>
      <c r="B766" s="5"/>
      <c r="C766" s="40"/>
      <c r="D766" s="52">
        <f>Structure!AY241</f>
        <v>7.5</v>
      </c>
      <c r="E766" s="53" t="e">
        <f t="shared" si="35"/>
        <v>#N/A</v>
      </c>
      <c r="F766" s="54" t="e">
        <f t="shared" si="36"/>
        <v>#N/A</v>
      </c>
      <c r="G766" s="47"/>
      <c r="H766" s="47"/>
      <c r="I766" s="5"/>
      <c r="J766" s="2672"/>
      <c r="K766" s="63" t="s">
        <v>252</v>
      </c>
      <c r="L766" s="61"/>
      <c r="M766" s="62">
        <v>13</v>
      </c>
      <c r="N766" s="1083" t="s">
        <v>255</v>
      </c>
      <c r="O766" s="1083"/>
      <c r="P766" s="1083"/>
      <c r="Q766" s="1083"/>
      <c r="R766" s="1083"/>
      <c r="S766" s="1853" t="s">
        <v>637</v>
      </c>
      <c r="T766" s="2181">
        <v>0</v>
      </c>
      <c r="U766" s="2182">
        <v>0</v>
      </c>
      <c r="V766" s="2182">
        <v>-0.25</v>
      </c>
      <c r="W766" s="2182">
        <v>-0.5</v>
      </c>
      <c r="X766" s="2182">
        <v>-0.75</v>
      </c>
      <c r="Y766" s="2182">
        <v>-1.25</v>
      </c>
      <c r="Z766" s="2251" t="e">
        <v>#N/A</v>
      </c>
      <c r="AA766" s="2410" t="e">
        <v>#N/A</v>
      </c>
      <c r="AB766" s="1464" t="e">
        <v>#N/A</v>
      </c>
      <c r="AC766" s="46"/>
      <c r="AF766" s="248"/>
    </row>
    <row r="767" spans="1:32" ht="10.15" hidden="1" customHeight="1" x14ac:dyDescent="0.25">
      <c r="A767" s="10" t="s">
        <v>461</v>
      </c>
      <c r="B767" s="5"/>
      <c r="C767" s="40"/>
      <c r="D767" s="52">
        <f>Structure!AY242</f>
        <v>7.375</v>
      </c>
      <c r="E767" s="53" t="e">
        <f t="shared" si="35"/>
        <v>#N/A</v>
      </c>
      <c r="F767" s="54" t="e">
        <f t="shared" si="36"/>
        <v>#N/A</v>
      </c>
      <c r="G767" s="47"/>
      <c r="H767" s="47"/>
      <c r="I767" s="5"/>
      <c r="J767" s="2672"/>
      <c r="K767" s="60"/>
      <c r="L767" s="61"/>
      <c r="M767" s="62"/>
      <c r="N767" s="1083" t="s">
        <v>254</v>
      </c>
      <c r="O767" s="1083"/>
      <c r="P767" s="1083"/>
      <c r="Q767" s="1083"/>
      <c r="R767" s="1083"/>
      <c r="S767" s="1853" t="s">
        <v>638</v>
      </c>
      <c r="T767" s="2181">
        <v>-0.125</v>
      </c>
      <c r="U767" s="2182">
        <v>-0.125</v>
      </c>
      <c r="V767" s="2182">
        <v>-0.25</v>
      </c>
      <c r="W767" s="2182">
        <v>-0.5</v>
      </c>
      <c r="X767" s="2182">
        <v>-0.875</v>
      </c>
      <c r="Y767" s="2182">
        <v>-1.375</v>
      </c>
      <c r="Z767" s="2251" t="e">
        <v>#N/A</v>
      </c>
      <c r="AA767" s="2410" t="e">
        <v>#N/A</v>
      </c>
      <c r="AB767" s="1464" t="e">
        <v>#N/A</v>
      </c>
      <c r="AC767" s="46"/>
      <c r="AF767" s="248"/>
    </row>
    <row r="768" spans="1:32" ht="10.15" hidden="1" customHeight="1" x14ac:dyDescent="0.25">
      <c r="A768" s="10" t="s">
        <v>461</v>
      </c>
      <c r="B768" s="5"/>
      <c r="C768" s="40"/>
      <c r="D768" s="52">
        <f>Structure!AY243</f>
        <v>7.25</v>
      </c>
      <c r="E768" s="53" t="e">
        <f t="shared" si="35"/>
        <v>#N/A</v>
      </c>
      <c r="F768" s="54" t="e">
        <f t="shared" si="36"/>
        <v>#N/A</v>
      </c>
      <c r="G768" s="47"/>
      <c r="H768" s="47"/>
      <c r="I768" s="5"/>
      <c r="J768" s="2672"/>
      <c r="K768" s="88"/>
      <c r="L768" s="19"/>
      <c r="M768" s="62"/>
      <c r="N768" s="1083" t="s">
        <v>3</v>
      </c>
      <c r="O768" s="1083"/>
      <c r="P768" s="1083"/>
      <c r="Q768" s="1083"/>
      <c r="R768" s="1083"/>
      <c r="S768" s="1853" t="s">
        <v>639</v>
      </c>
      <c r="T768" s="2181">
        <v>-0.25</v>
      </c>
      <c r="U768" s="2182">
        <v>-0.25</v>
      </c>
      <c r="V768" s="2182">
        <v>-0.375</v>
      </c>
      <c r="W768" s="2182">
        <v>-0.625</v>
      </c>
      <c r="X768" s="2182">
        <v>-1</v>
      </c>
      <c r="Y768" s="2182">
        <v>-1.75</v>
      </c>
      <c r="Z768" s="2251" t="e">
        <v>#N/A</v>
      </c>
      <c r="AA768" s="2410" t="e">
        <v>#N/A</v>
      </c>
      <c r="AB768" s="1464" t="e">
        <v>#N/A</v>
      </c>
      <c r="AC768" s="46"/>
      <c r="AF768" s="248"/>
    </row>
    <row r="769" spans="1:32" ht="10.15" hidden="1" customHeight="1" x14ac:dyDescent="0.25">
      <c r="A769" s="10" t="s">
        <v>461</v>
      </c>
      <c r="B769" s="5"/>
      <c r="C769" s="40"/>
      <c r="D769" s="52">
        <f>Structure!AY244</f>
        <v>7.125</v>
      </c>
      <c r="E769" s="53" t="e">
        <f t="shared" si="35"/>
        <v>#N/A</v>
      </c>
      <c r="F769" s="54" t="e">
        <f t="shared" si="36"/>
        <v>#N/A</v>
      </c>
      <c r="G769" s="47"/>
      <c r="H769" s="47"/>
      <c r="I769" s="5"/>
      <c r="J769" s="2672"/>
      <c r="K769" s="65"/>
      <c r="L769" s="43"/>
      <c r="M769" s="62"/>
      <c r="N769" s="1083" t="s">
        <v>5</v>
      </c>
      <c r="O769" s="1083"/>
      <c r="P769" s="1083"/>
      <c r="Q769" s="1083"/>
      <c r="R769" s="1083"/>
      <c r="S769" s="1853" t="s">
        <v>640</v>
      </c>
      <c r="T769" s="2181">
        <v>-0.375</v>
      </c>
      <c r="U769" s="2182">
        <v>-0.375</v>
      </c>
      <c r="V769" s="2182">
        <v>-0.5</v>
      </c>
      <c r="W769" s="2182">
        <v>-0.75</v>
      </c>
      <c r="X769" s="2182">
        <v>-1.375</v>
      </c>
      <c r="Y769" s="2182">
        <v>-2.375</v>
      </c>
      <c r="Z769" s="2251" t="e">
        <v>#N/A</v>
      </c>
      <c r="AA769" s="2410" t="e">
        <v>#N/A</v>
      </c>
      <c r="AB769" s="1464" t="e">
        <v>#N/A</v>
      </c>
      <c r="AC769" s="46"/>
      <c r="AF769" s="248"/>
    </row>
    <row r="770" spans="1:32" ht="10.15" hidden="1" customHeight="1" x14ac:dyDescent="0.25">
      <c r="A770" s="10" t="s">
        <v>461</v>
      </c>
      <c r="B770" s="5"/>
      <c r="C770" s="40"/>
      <c r="D770" s="52">
        <f>Structure!AY245</f>
        <v>7</v>
      </c>
      <c r="E770" s="53" t="e">
        <f t="shared" ref="E770:E771" si="37">INDEX(Lookup_NoteRateAll,MATCH("IN_"&amp;RIGHT("000"&amp;TRUNC(D770),3)&amp;TEXT(D770-TRUNC(D770),".0000000000"),Lookup_NoteRateText,0),3)</f>
        <v>#N/A</v>
      </c>
      <c r="F770" s="54" t="e">
        <f t="shared" ref="F770:F771" si="38">INDEX(Lookup_NoteRateAll,MATCH("IN_"&amp;RIGHT("000"&amp;TRUNC(D770),3)&amp;TEXT(D770-TRUNC(D770),".0000000000"),Lookup_NoteRateText,0),4)</f>
        <v>#N/A</v>
      </c>
      <c r="G770" s="47"/>
      <c r="H770" s="47"/>
      <c r="I770" s="5"/>
      <c r="J770" s="2672"/>
      <c r="K770" s="65"/>
      <c r="L770" s="43"/>
      <c r="M770" s="62"/>
      <c r="N770" s="1083" t="s">
        <v>6</v>
      </c>
      <c r="O770" s="1083"/>
      <c r="P770" s="1083"/>
      <c r="Q770" s="1083"/>
      <c r="R770" s="1083"/>
      <c r="S770" s="1853" t="s">
        <v>641</v>
      </c>
      <c r="T770" s="2181">
        <v>-0.875</v>
      </c>
      <c r="U770" s="2182">
        <v>-0.875</v>
      </c>
      <c r="V770" s="2182">
        <v>-1.25</v>
      </c>
      <c r="W770" s="2182">
        <v>-1.625</v>
      </c>
      <c r="X770" s="2182">
        <v>-2.375</v>
      </c>
      <c r="Y770" s="2182">
        <v>-3.5</v>
      </c>
      <c r="Z770" s="2251" t="e">
        <v>#N/A</v>
      </c>
      <c r="AA770" s="2410" t="e">
        <v>#N/A</v>
      </c>
      <c r="AB770" s="1464" t="e">
        <v>#N/A</v>
      </c>
      <c r="AC770" s="46"/>
      <c r="AF770" s="248"/>
    </row>
    <row r="771" spans="1:32" ht="10.15" hidden="1" customHeight="1" x14ac:dyDescent="0.25">
      <c r="A771" s="10" t="s">
        <v>461</v>
      </c>
      <c r="B771" s="5"/>
      <c r="C771" s="40"/>
      <c r="D771" s="52">
        <f>Structure!AY246</f>
        <v>6.875</v>
      </c>
      <c r="E771" s="53" t="e">
        <f t="shared" si="37"/>
        <v>#N/A</v>
      </c>
      <c r="F771" s="54" t="e">
        <f t="shared" si="38"/>
        <v>#N/A</v>
      </c>
      <c r="G771" s="47"/>
      <c r="H771" s="47"/>
      <c r="I771" s="5"/>
      <c r="J771" s="2672"/>
      <c r="K771" s="60"/>
      <c r="L771" s="61"/>
      <c r="M771" s="62"/>
      <c r="N771" s="1083" t="s">
        <v>7</v>
      </c>
      <c r="O771" s="1083"/>
      <c r="P771" s="1083"/>
      <c r="Q771" s="1083"/>
      <c r="R771" s="1083"/>
      <c r="S771" s="1853" t="s">
        <v>642</v>
      </c>
      <c r="T771" s="2181">
        <v>-1.375</v>
      </c>
      <c r="U771" s="2182">
        <v>-1.75</v>
      </c>
      <c r="V771" s="2182">
        <v>-1.875</v>
      </c>
      <c r="W771" s="2182">
        <v>-2.75</v>
      </c>
      <c r="X771" s="2182">
        <v>-3.625</v>
      </c>
      <c r="Y771" s="2402" t="e">
        <v>#N/A</v>
      </c>
      <c r="Z771" s="2251" t="e">
        <v>#N/A</v>
      </c>
      <c r="AA771" s="2410" t="e">
        <v>#N/A</v>
      </c>
      <c r="AB771" s="1464" t="e">
        <v>#N/A</v>
      </c>
      <c r="AC771" s="46"/>
      <c r="AF771" s="248"/>
    </row>
    <row r="772" spans="1:32" ht="10.15" hidden="1" customHeight="1" x14ac:dyDescent="0.25">
      <c r="A772" s="10" t="s">
        <v>461</v>
      </c>
      <c r="B772" s="5"/>
      <c r="C772" s="40"/>
      <c r="D772" s="52">
        <f>Structure!AY247</f>
        <v>6.75</v>
      </c>
      <c r="E772" s="53" t="e">
        <f t="shared" ref="E772" si="39">INDEX(Lookup_NoteRateAll,MATCH("IN_"&amp;RIGHT("000"&amp;TRUNC(D772),3)&amp;TEXT(D772-TRUNC(D772),".0000000000"),Lookup_NoteRateText,0),3)</f>
        <v>#N/A</v>
      </c>
      <c r="F772" s="54" t="e">
        <f t="shared" ref="F772" si="40">INDEX(Lookup_NoteRateAll,MATCH("IN_"&amp;RIGHT("000"&amp;TRUNC(D772),3)&amp;TEXT(D772-TRUNC(D772),".0000000000"),Lookup_NoteRateText,0),4)</f>
        <v>#N/A</v>
      </c>
      <c r="G772" s="47"/>
      <c r="H772" s="47"/>
      <c r="I772" s="5"/>
      <c r="J772" s="2608" t="s">
        <v>350</v>
      </c>
      <c r="K772" s="57"/>
      <c r="L772" s="58"/>
      <c r="M772" s="66"/>
      <c r="N772" s="1103" t="s">
        <v>1282</v>
      </c>
      <c r="O772" s="1147"/>
      <c r="P772" s="1147"/>
      <c r="Q772" s="1147"/>
      <c r="R772" s="1147"/>
      <c r="S772" s="1883" t="s">
        <v>1297</v>
      </c>
      <c r="T772" s="2178">
        <v>-0.25</v>
      </c>
      <c r="U772" s="2179">
        <v>-0.25</v>
      </c>
      <c r="V772" s="2179">
        <v>-0.5</v>
      </c>
      <c r="W772" s="2179">
        <v>-0.75</v>
      </c>
      <c r="X772" s="2179">
        <v>-1</v>
      </c>
      <c r="Y772" s="2179">
        <v>-1.5</v>
      </c>
      <c r="Z772" s="2250" t="e">
        <v>#N/A</v>
      </c>
      <c r="AA772" s="2411" t="e">
        <v>#N/A</v>
      </c>
      <c r="AB772" s="1464" t="e">
        <v>#N/A</v>
      </c>
      <c r="AC772" s="46"/>
      <c r="AF772" s="248"/>
    </row>
    <row r="773" spans="1:32" ht="10.15" hidden="1" customHeight="1" x14ac:dyDescent="0.25">
      <c r="A773" s="10" t="s">
        <v>461</v>
      </c>
      <c r="B773" s="5"/>
      <c r="C773" s="40"/>
      <c r="D773" s="47"/>
      <c r="E773" s="47"/>
      <c r="F773" s="47"/>
      <c r="G773" s="47"/>
      <c r="H773" s="47"/>
      <c r="I773" s="5"/>
      <c r="J773" s="2609"/>
      <c r="K773" s="235"/>
      <c r="L773" s="236"/>
      <c r="M773" s="238"/>
      <c r="N773" s="1104" t="s">
        <v>1281</v>
      </c>
      <c r="O773" s="1082"/>
      <c r="P773" s="1082"/>
      <c r="Q773" s="1082"/>
      <c r="R773" s="1082"/>
      <c r="S773" s="1852" t="s">
        <v>1298</v>
      </c>
      <c r="T773" s="2181">
        <v>-0.25</v>
      </c>
      <c r="U773" s="2182">
        <v>-0.25</v>
      </c>
      <c r="V773" s="2182">
        <v>-0.5</v>
      </c>
      <c r="W773" s="2182">
        <v>-0.75</v>
      </c>
      <c r="X773" s="2182">
        <v>-1</v>
      </c>
      <c r="Y773" s="2182">
        <v>-1.5</v>
      </c>
      <c r="Z773" s="2251" t="e">
        <v>#N/A</v>
      </c>
      <c r="AA773" s="2410" t="e">
        <v>#N/A</v>
      </c>
      <c r="AB773" s="1464" t="e">
        <v>#N/A</v>
      </c>
      <c r="AC773" s="46"/>
      <c r="AF773" s="248"/>
    </row>
    <row r="774" spans="1:32" ht="10.15" hidden="1" customHeight="1" x14ac:dyDescent="0.25">
      <c r="A774" s="10" t="s">
        <v>461</v>
      </c>
      <c r="B774" s="5"/>
      <c r="C774" s="40"/>
      <c r="D774" s="47"/>
      <c r="E774" s="47"/>
      <c r="F774" s="47"/>
      <c r="G774" s="47"/>
      <c r="H774" s="47"/>
      <c r="I774" s="5"/>
      <c r="J774" s="2610"/>
      <c r="K774" s="63" t="s">
        <v>349</v>
      </c>
      <c r="L774" s="61"/>
      <c r="M774" s="62">
        <v>7</v>
      </c>
      <c r="N774" s="1083" t="s">
        <v>255</v>
      </c>
      <c r="O774" s="1083"/>
      <c r="P774" s="1083"/>
      <c r="Q774" s="1083"/>
      <c r="R774" s="1083"/>
      <c r="S774" s="1853" t="s">
        <v>643</v>
      </c>
      <c r="T774" s="2181">
        <v>-0.25</v>
      </c>
      <c r="U774" s="2182">
        <v>-0.25</v>
      </c>
      <c r="V774" s="2182">
        <v>-0.5</v>
      </c>
      <c r="W774" s="2182">
        <v>-0.75</v>
      </c>
      <c r="X774" s="2182">
        <v>-1</v>
      </c>
      <c r="Y774" s="2182">
        <v>-1.5</v>
      </c>
      <c r="Z774" s="2251" t="e">
        <v>#N/A</v>
      </c>
      <c r="AA774" s="2410" t="e">
        <v>#N/A</v>
      </c>
      <c r="AB774" s="1464" t="e">
        <v>#N/A</v>
      </c>
      <c r="AC774" s="46"/>
      <c r="AF774" s="248"/>
    </row>
    <row r="775" spans="1:32" ht="10.15" hidden="1" customHeight="1" x14ac:dyDescent="0.25">
      <c r="A775" s="10" t="s">
        <v>461</v>
      </c>
      <c r="B775" s="5"/>
      <c r="C775" s="40"/>
      <c r="D775" s="47"/>
      <c r="E775" s="47"/>
      <c r="F775" s="47"/>
      <c r="G775" s="47"/>
      <c r="H775" s="47"/>
      <c r="I775" s="5"/>
      <c r="J775" s="2610"/>
      <c r="K775" s="60"/>
      <c r="L775" s="93"/>
      <c r="M775" s="62"/>
      <c r="N775" s="1083" t="s">
        <v>254</v>
      </c>
      <c r="O775" s="1083"/>
      <c r="P775" s="1083"/>
      <c r="Q775" s="1083"/>
      <c r="R775" s="1083"/>
      <c r="S775" s="1853" t="s">
        <v>644</v>
      </c>
      <c r="T775" s="2181">
        <v>-0.375</v>
      </c>
      <c r="U775" s="2182">
        <v>-0.375</v>
      </c>
      <c r="V775" s="2182">
        <v>-0.5</v>
      </c>
      <c r="W775" s="2182">
        <v>-0.75</v>
      </c>
      <c r="X775" s="2182">
        <v>-1.125</v>
      </c>
      <c r="Y775" s="2182">
        <v>-1.625</v>
      </c>
      <c r="Z775" s="2251" t="e">
        <v>#N/A</v>
      </c>
      <c r="AA775" s="2410" t="e">
        <v>#N/A</v>
      </c>
      <c r="AB775" s="1464" t="e">
        <v>#N/A</v>
      </c>
      <c r="AC775" s="46"/>
      <c r="AF775" s="248"/>
    </row>
    <row r="776" spans="1:32" ht="10.15" hidden="1" customHeight="1" x14ac:dyDescent="0.25">
      <c r="A776" s="10" t="s">
        <v>461</v>
      </c>
      <c r="B776" s="5"/>
      <c r="C776" s="40"/>
      <c r="D776" s="47"/>
      <c r="E776" s="47"/>
      <c r="F776" s="47"/>
      <c r="G776" s="47"/>
      <c r="H776" s="47"/>
      <c r="I776" s="5"/>
      <c r="J776" s="2610"/>
      <c r="K776" s="92"/>
      <c r="L776" s="93"/>
      <c r="M776" s="62"/>
      <c r="N776" s="1083" t="s">
        <v>3</v>
      </c>
      <c r="O776" s="1083"/>
      <c r="P776" s="1083"/>
      <c r="Q776" s="1083"/>
      <c r="R776" s="1083"/>
      <c r="S776" s="1853" t="s">
        <v>645</v>
      </c>
      <c r="T776" s="2181">
        <v>-0.5</v>
      </c>
      <c r="U776" s="2182">
        <v>-0.5</v>
      </c>
      <c r="V776" s="2182">
        <v>-0.625</v>
      </c>
      <c r="W776" s="2182">
        <v>-0.875</v>
      </c>
      <c r="X776" s="2182">
        <v>-1.25</v>
      </c>
      <c r="Y776" s="2182">
        <v>-2</v>
      </c>
      <c r="Z776" s="2251" t="e">
        <v>#N/A</v>
      </c>
      <c r="AA776" s="2410" t="e">
        <v>#N/A</v>
      </c>
      <c r="AB776" s="1464" t="e">
        <v>#N/A</v>
      </c>
      <c r="AC776" s="46"/>
      <c r="AF776" s="248"/>
    </row>
    <row r="777" spans="1:32" ht="10.15" hidden="1" customHeight="1" x14ac:dyDescent="0.25">
      <c r="A777" s="10" t="s">
        <v>461</v>
      </c>
      <c r="B777" s="5"/>
      <c r="C777" s="40"/>
      <c r="D777" s="47"/>
      <c r="E777" s="47"/>
      <c r="F777" s="47"/>
      <c r="G777" s="47"/>
      <c r="H777" s="47"/>
      <c r="I777" s="5"/>
      <c r="J777" s="2610"/>
      <c r="K777" s="92"/>
      <c r="L777" s="93"/>
      <c r="M777" s="62"/>
      <c r="N777" s="1083" t="s">
        <v>5</v>
      </c>
      <c r="O777" s="1083"/>
      <c r="P777" s="1083"/>
      <c r="Q777" s="1083"/>
      <c r="R777" s="1083"/>
      <c r="S777" s="1853" t="s">
        <v>646</v>
      </c>
      <c r="T777" s="2181">
        <v>-0.625</v>
      </c>
      <c r="U777" s="2182">
        <v>-0.625</v>
      </c>
      <c r="V777" s="2182">
        <v>-0.75</v>
      </c>
      <c r="W777" s="2182">
        <v>-1</v>
      </c>
      <c r="X777" s="2182">
        <v>-1.625</v>
      </c>
      <c r="Y777" s="2182">
        <v>-2.625</v>
      </c>
      <c r="Z777" s="2251" t="e">
        <v>#N/A</v>
      </c>
      <c r="AA777" s="2410" t="e">
        <v>#N/A</v>
      </c>
      <c r="AB777" s="1464" t="e">
        <v>#N/A</v>
      </c>
      <c r="AC777" s="46"/>
      <c r="AF777" s="248"/>
    </row>
    <row r="778" spans="1:32" ht="10.15" hidden="1" customHeight="1" x14ac:dyDescent="0.25">
      <c r="A778" s="10" t="s">
        <v>461</v>
      </c>
      <c r="B778" s="5"/>
      <c r="C778" s="40"/>
      <c r="D778" s="4" t="s">
        <v>289</v>
      </c>
      <c r="G778" s="47"/>
      <c r="H778" s="47"/>
      <c r="I778" s="5"/>
      <c r="J778" s="2610"/>
      <c r="K778" s="65"/>
      <c r="L778" s="43"/>
      <c r="M778" s="62"/>
      <c r="N778" s="1083" t="s">
        <v>6</v>
      </c>
      <c r="O778" s="1083"/>
      <c r="P778" s="1083"/>
      <c r="Q778" s="1083"/>
      <c r="R778" s="1083"/>
      <c r="S778" s="1853" t="s">
        <v>647</v>
      </c>
      <c r="T778" s="2181">
        <v>-1.125</v>
      </c>
      <c r="U778" s="2182">
        <v>-1.125</v>
      </c>
      <c r="V778" s="2182">
        <v>-1.5</v>
      </c>
      <c r="W778" s="2182">
        <v>-1.875</v>
      </c>
      <c r="X778" s="2182">
        <v>-2.625</v>
      </c>
      <c r="Y778" s="2182">
        <v>-3.75</v>
      </c>
      <c r="Z778" s="2251" t="e">
        <v>#N/A</v>
      </c>
      <c r="AA778" s="2410" t="e">
        <v>#N/A</v>
      </c>
      <c r="AB778" s="1464" t="e">
        <v>#N/A</v>
      </c>
      <c r="AC778" s="46"/>
      <c r="AF778" s="248"/>
    </row>
    <row r="779" spans="1:32" ht="10.15" hidden="1" customHeight="1" x14ac:dyDescent="0.25">
      <c r="A779" s="10" t="s">
        <v>461</v>
      </c>
      <c r="B779" s="5"/>
      <c r="C779" s="40"/>
      <c r="D779" s="47"/>
      <c r="E779" s="47"/>
      <c r="F779" s="47"/>
      <c r="G779" s="47"/>
      <c r="H779" s="47"/>
      <c r="I779" s="5"/>
      <c r="J779" s="2610"/>
      <c r="K779" s="60"/>
      <c r="L779" s="61"/>
      <c r="M779" s="62"/>
      <c r="N779" s="1083" t="s">
        <v>7</v>
      </c>
      <c r="O779" s="1083"/>
      <c r="P779" s="1083"/>
      <c r="Q779" s="1083"/>
      <c r="R779" s="1083"/>
      <c r="S779" s="1853" t="s">
        <v>648</v>
      </c>
      <c r="T779" s="2181">
        <v>-1.625</v>
      </c>
      <c r="U779" s="2182">
        <v>-2</v>
      </c>
      <c r="V779" s="2182">
        <v>-2.125</v>
      </c>
      <c r="W779" s="2182">
        <v>-3</v>
      </c>
      <c r="X779" s="2182">
        <v>-3.875</v>
      </c>
      <c r="Y779" s="2402" t="e">
        <v>#N/A</v>
      </c>
      <c r="Z779" s="2251" t="e">
        <v>#N/A</v>
      </c>
      <c r="AA779" s="2410" t="e">
        <v>#N/A</v>
      </c>
      <c r="AB779" s="1464" t="e">
        <v>#N/A</v>
      </c>
      <c r="AC779" s="46"/>
      <c r="AF779" s="248"/>
    </row>
    <row r="780" spans="1:32" ht="10.15" hidden="1" customHeight="1" x14ac:dyDescent="0.25">
      <c r="A780" s="10" t="s">
        <v>461</v>
      </c>
      <c r="B780" s="5"/>
      <c r="C780" s="40"/>
      <c r="D780" s="11" t="s">
        <v>218</v>
      </c>
      <c r="E780" s="12"/>
      <c r="F780" s="106" t="e">
        <f>Input_PL_MaxPriceFinal_IN_NoPP</f>
        <v>#N/A</v>
      </c>
      <c r="G780" s="47"/>
      <c r="H780" s="47"/>
      <c r="I780" s="5"/>
      <c r="J780" s="2671" t="s">
        <v>208</v>
      </c>
      <c r="K780" s="57"/>
      <c r="L780" s="58"/>
      <c r="M780" s="66"/>
      <c r="N780" s="1103" t="s">
        <v>1282</v>
      </c>
      <c r="O780" s="1147"/>
      <c r="P780" s="1147"/>
      <c r="Q780" s="1147"/>
      <c r="R780" s="1147"/>
      <c r="S780" s="1883" t="s">
        <v>1299</v>
      </c>
      <c r="T780" s="2178">
        <v>0.75</v>
      </c>
      <c r="U780" s="2179">
        <v>0.75</v>
      </c>
      <c r="V780" s="2179">
        <v>0.375</v>
      </c>
      <c r="W780" s="2179">
        <v>0</v>
      </c>
      <c r="X780" s="2179">
        <v>-0.375</v>
      </c>
      <c r="Y780" s="2179">
        <v>-0.75</v>
      </c>
      <c r="Z780" s="2238">
        <v>-2.375</v>
      </c>
      <c r="AA780" s="2252" t="e">
        <v>#N/A</v>
      </c>
      <c r="AB780" s="1464" t="e">
        <v>#N/A</v>
      </c>
      <c r="AC780" s="46"/>
      <c r="AF780" s="248"/>
    </row>
    <row r="781" spans="1:32" ht="10.15" hidden="1" customHeight="1" x14ac:dyDescent="0.25">
      <c r="A781" s="10" t="s">
        <v>461</v>
      </c>
      <c r="B781" s="5"/>
      <c r="C781" s="40"/>
      <c r="D781" s="13" t="s">
        <v>219</v>
      </c>
      <c r="E781" s="14"/>
      <c r="F781" s="107" t="e">
        <f>_xlfn.SINGLE(Input_PL_MaxPriceFinal_IN_01PP)</f>
        <v>#N/A</v>
      </c>
      <c r="G781" s="47"/>
      <c r="H781" s="47"/>
      <c r="I781" s="5"/>
      <c r="J781" s="2672"/>
      <c r="K781" s="235"/>
      <c r="L781" s="236"/>
      <c r="M781" s="238"/>
      <c r="N781" s="1104" t="s">
        <v>1281</v>
      </c>
      <c r="O781" s="1082"/>
      <c r="P781" s="1082"/>
      <c r="Q781" s="1082"/>
      <c r="R781" s="1082"/>
      <c r="S781" s="1852" t="s">
        <v>1300</v>
      </c>
      <c r="T781" s="2181">
        <v>0.75</v>
      </c>
      <c r="U781" s="2182">
        <v>0.75</v>
      </c>
      <c r="V781" s="2182">
        <v>0.375</v>
      </c>
      <c r="W781" s="2182">
        <v>0</v>
      </c>
      <c r="X781" s="2182">
        <v>-0.375</v>
      </c>
      <c r="Y781" s="2182">
        <v>-0.75</v>
      </c>
      <c r="Z781" s="2239">
        <v>-2.375</v>
      </c>
      <c r="AA781" s="2253" t="e">
        <v>#N/A</v>
      </c>
      <c r="AB781" s="1464" t="e">
        <v>#N/A</v>
      </c>
      <c r="AC781" s="46"/>
      <c r="AF781" s="248"/>
    </row>
    <row r="782" spans="1:32" ht="10.15" hidden="1" customHeight="1" x14ac:dyDescent="0.25">
      <c r="A782" s="10" t="s">
        <v>461</v>
      </c>
      <c r="B782" s="5"/>
      <c r="C782" s="40"/>
      <c r="D782" s="20" t="s">
        <v>220</v>
      </c>
      <c r="E782" s="21"/>
      <c r="F782" s="108" t="e">
        <f>_xlfn.SINGLE(Input_PL_MaxPriceFinal_IN_02PP)</f>
        <v>#N/A</v>
      </c>
      <c r="G782" s="47"/>
      <c r="H782" s="47"/>
      <c r="I782" s="5"/>
      <c r="J782" s="2672"/>
      <c r="K782" s="60" t="s">
        <v>62</v>
      </c>
      <c r="L782" s="61"/>
      <c r="M782" s="62">
        <v>9</v>
      </c>
      <c r="N782" s="1083" t="s">
        <v>255</v>
      </c>
      <c r="O782" s="1083"/>
      <c r="P782" s="1083"/>
      <c r="Q782" s="1083"/>
      <c r="R782" s="1083"/>
      <c r="S782" s="1853" t="s">
        <v>649</v>
      </c>
      <c r="T782" s="2181">
        <v>0.75</v>
      </c>
      <c r="U782" s="2182">
        <v>0.75</v>
      </c>
      <c r="V782" s="2182">
        <v>0.375</v>
      </c>
      <c r="W782" s="2182">
        <v>0</v>
      </c>
      <c r="X782" s="2182">
        <v>-0.375</v>
      </c>
      <c r="Y782" s="2182">
        <v>-0.75</v>
      </c>
      <c r="Z782" s="2239">
        <v>-2.5</v>
      </c>
      <c r="AA782" s="2253" t="e">
        <v>#N/A</v>
      </c>
      <c r="AB782" s="1464" t="e">
        <v>#N/A</v>
      </c>
      <c r="AC782" s="46"/>
      <c r="AF782" s="248"/>
    </row>
    <row r="783" spans="1:32" ht="10.15" hidden="1" customHeight="1" x14ac:dyDescent="0.25">
      <c r="A783" s="10" t="s">
        <v>461</v>
      </c>
      <c r="B783" s="5"/>
      <c r="C783" s="40"/>
      <c r="D783" s="20" t="s">
        <v>221</v>
      </c>
      <c r="E783" s="21"/>
      <c r="F783" s="108" t="e">
        <f>_xlfn.SINGLE(Input_PL_MaxPriceFinal_IN_03PP)</f>
        <v>#N/A</v>
      </c>
      <c r="G783" s="47"/>
      <c r="H783" s="47"/>
      <c r="I783" s="5"/>
      <c r="J783" s="2672"/>
      <c r="K783" s="96"/>
      <c r="L783" s="97"/>
      <c r="M783" s="62"/>
      <c r="N783" s="1083" t="s">
        <v>254</v>
      </c>
      <c r="O783" s="1083"/>
      <c r="P783" s="1083"/>
      <c r="Q783" s="1083"/>
      <c r="R783" s="1083"/>
      <c r="S783" s="1853" t="s">
        <v>650</v>
      </c>
      <c r="T783" s="2181">
        <v>0.625</v>
      </c>
      <c r="U783" s="2182">
        <v>0.625</v>
      </c>
      <c r="V783" s="2182">
        <v>0.375</v>
      </c>
      <c r="W783" s="2182">
        <v>0</v>
      </c>
      <c r="X783" s="2182">
        <v>-0.5</v>
      </c>
      <c r="Y783" s="2182">
        <v>-0.875</v>
      </c>
      <c r="Z783" s="2239">
        <v>-2.625</v>
      </c>
      <c r="AA783" s="2253" t="e">
        <v>#N/A</v>
      </c>
      <c r="AB783" s="1464" t="e">
        <v>#N/A</v>
      </c>
      <c r="AC783" s="46"/>
      <c r="AF783" s="248"/>
    </row>
    <row r="784" spans="1:32" ht="10.15" hidden="1" customHeight="1" x14ac:dyDescent="0.25">
      <c r="A784" s="10" t="s">
        <v>461</v>
      </c>
      <c r="B784" s="5"/>
      <c r="C784" s="40"/>
      <c r="D784" s="20" t="s">
        <v>442</v>
      </c>
      <c r="E784" s="21"/>
      <c r="F784" s="108" t="e">
        <f>_xlfn.SINGLE(Input_PL_MaxPriceFinal_IN_04PP)</f>
        <v>#N/A</v>
      </c>
      <c r="G784" s="47"/>
      <c r="H784" s="47"/>
      <c r="I784" s="5"/>
      <c r="J784" s="2672"/>
      <c r="K784" s="88"/>
      <c r="L784" s="19"/>
      <c r="M784" s="98"/>
      <c r="N784" s="1083" t="s">
        <v>3</v>
      </c>
      <c r="O784" s="1083"/>
      <c r="P784" s="1083"/>
      <c r="Q784" s="1083"/>
      <c r="R784" s="1083"/>
      <c r="S784" s="1853" t="s">
        <v>651</v>
      </c>
      <c r="T784" s="2181">
        <v>0.375</v>
      </c>
      <c r="U784" s="2182">
        <v>0.375</v>
      </c>
      <c r="V784" s="2182">
        <v>0.125</v>
      </c>
      <c r="W784" s="2182">
        <v>-0.25</v>
      </c>
      <c r="X784" s="2182">
        <v>-0.75</v>
      </c>
      <c r="Y784" s="2182">
        <v>-1.375</v>
      </c>
      <c r="Z784" s="2239">
        <v>-3.375</v>
      </c>
      <c r="AA784" s="2253" t="e">
        <v>#N/A</v>
      </c>
      <c r="AB784" s="1464" t="e">
        <v>#N/A</v>
      </c>
      <c r="AC784" s="46"/>
      <c r="AF784" s="248"/>
    </row>
    <row r="785" spans="1:32" ht="10.15" hidden="1" customHeight="1" x14ac:dyDescent="0.25">
      <c r="A785" s="10" t="s">
        <v>461</v>
      </c>
      <c r="B785" s="5"/>
      <c r="C785" s="40"/>
      <c r="D785" s="15" t="s">
        <v>443</v>
      </c>
      <c r="E785" s="16"/>
      <c r="F785" s="109" t="e">
        <f>_xlfn.SINGLE(Input_PL_MaxPriceFinal_IN_05PP)</f>
        <v>#N/A</v>
      </c>
      <c r="G785" s="47"/>
      <c r="H785" s="47"/>
      <c r="I785" s="5"/>
      <c r="J785" s="2672"/>
      <c r="K785" s="88"/>
      <c r="L785" s="19"/>
      <c r="M785" s="98"/>
      <c r="N785" s="1083" t="s">
        <v>5</v>
      </c>
      <c r="O785" s="1083"/>
      <c r="P785" s="1083"/>
      <c r="Q785" s="1083"/>
      <c r="R785" s="1083"/>
      <c r="S785" s="1853" t="s">
        <v>652</v>
      </c>
      <c r="T785" s="2181">
        <v>0.125</v>
      </c>
      <c r="U785" s="2182">
        <v>0.125</v>
      </c>
      <c r="V785" s="2182">
        <v>-0.125</v>
      </c>
      <c r="W785" s="2182">
        <v>-0.5</v>
      </c>
      <c r="X785" s="2182">
        <v>-1.25</v>
      </c>
      <c r="Y785" s="2182">
        <v>-2.125</v>
      </c>
      <c r="Z785" s="2239">
        <v>-4</v>
      </c>
      <c r="AA785" s="2253" t="e">
        <v>#N/A</v>
      </c>
      <c r="AB785" s="1464" t="e">
        <v>#N/A</v>
      </c>
      <c r="AC785" s="46"/>
      <c r="AF785" s="248"/>
    </row>
    <row r="786" spans="1:32" ht="10.15" hidden="1" customHeight="1" x14ac:dyDescent="0.25">
      <c r="A786" s="10" t="s">
        <v>461</v>
      </c>
      <c r="B786" s="5"/>
      <c r="C786" s="40"/>
      <c r="G786" s="47"/>
      <c r="H786" s="47"/>
      <c r="I786" s="5"/>
      <c r="J786" s="2672"/>
      <c r="K786" s="99"/>
      <c r="L786" s="100"/>
      <c r="M786" s="98"/>
      <c r="N786" s="1083" t="s">
        <v>6</v>
      </c>
      <c r="O786" s="1083"/>
      <c r="P786" s="1083"/>
      <c r="Q786" s="1083"/>
      <c r="R786" s="1083"/>
      <c r="S786" s="1853" t="s">
        <v>653</v>
      </c>
      <c r="T786" s="2181">
        <v>-0.625</v>
      </c>
      <c r="U786" s="2182">
        <v>-0.625</v>
      </c>
      <c r="V786" s="2182">
        <v>-1</v>
      </c>
      <c r="W786" s="2182">
        <v>-1.625</v>
      </c>
      <c r="X786" s="2182">
        <v>-2.625</v>
      </c>
      <c r="Y786" s="2182">
        <v>-3.75</v>
      </c>
      <c r="Z786" s="2239">
        <v>-5.875</v>
      </c>
      <c r="AA786" s="2253" t="e">
        <v>#N/A</v>
      </c>
      <c r="AB786" s="1464" t="e">
        <v>#N/A</v>
      </c>
      <c r="AC786" s="46"/>
      <c r="AF786" s="248"/>
    </row>
    <row r="787" spans="1:32" ht="10.15" hidden="1" customHeight="1" x14ac:dyDescent="0.25">
      <c r="A787" s="10" t="s">
        <v>461</v>
      </c>
      <c r="B787" s="5"/>
      <c r="C787" s="40"/>
      <c r="G787" s="47"/>
      <c r="H787" s="47"/>
      <c r="I787" s="5"/>
      <c r="J787" s="2672"/>
      <c r="K787" s="99"/>
      <c r="L787" s="100"/>
      <c r="M787" s="98"/>
      <c r="N787" s="1083" t="s">
        <v>7</v>
      </c>
      <c r="O787" s="1083"/>
      <c r="P787" s="1083"/>
      <c r="Q787" s="1083"/>
      <c r="R787" s="1083"/>
      <c r="S787" s="1853" t="s">
        <v>654</v>
      </c>
      <c r="T787" s="2181">
        <v>-1.375</v>
      </c>
      <c r="U787" s="2182">
        <v>-1.75</v>
      </c>
      <c r="V787" s="2182">
        <v>-1.875</v>
      </c>
      <c r="W787" s="2182">
        <v>-3</v>
      </c>
      <c r="X787" s="2182">
        <v>-4.125</v>
      </c>
      <c r="Y787" s="2182">
        <v>-5.375</v>
      </c>
      <c r="Z787" s="2251" t="e">
        <v>#N/A</v>
      </c>
      <c r="AA787" s="2253" t="e">
        <v>#N/A</v>
      </c>
      <c r="AB787" s="1464" t="e">
        <v>#N/A</v>
      </c>
      <c r="AC787" s="46"/>
      <c r="AF787" s="248"/>
    </row>
    <row r="788" spans="1:32" ht="10.15" hidden="1" customHeight="1" x14ac:dyDescent="0.25">
      <c r="A788" s="10" t="s">
        <v>461</v>
      </c>
      <c r="B788" s="5"/>
      <c r="C788" s="40"/>
      <c r="F788" s="47"/>
      <c r="G788" s="47"/>
      <c r="H788" s="5"/>
      <c r="I788" s="5"/>
      <c r="J788" s="2672"/>
      <c r="K788" s="99"/>
      <c r="L788" s="100"/>
      <c r="M788" s="98"/>
      <c r="N788" s="1097" t="s">
        <v>9</v>
      </c>
      <c r="O788" s="1097"/>
      <c r="P788" s="1097"/>
      <c r="Q788" s="1097"/>
      <c r="R788" s="1097"/>
      <c r="S788" s="1886" t="s">
        <v>3899</v>
      </c>
      <c r="T788" s="2181">
        <v>-4.5</v>
      </c>
      <c r="U788" s="2182">
        <v>-4.625</v>
      </c>
      <c r="V788" s="2182">
        <v>-4.875</v>
      </c>
      <c r="W788" s="2182">
        <v>-5.75</v>
      </c>
      <c r="X788" s="2182">
        <v>-6.75</v>
      </c>
      <c r="Y788" s="2182">
        <v>-8.25</v>
      </c>
      <c r="Z788" s="2251" t="e">
        <v>#N/A</v>
      </c>
      <c r="AA788" s="2254" t="e">
        <v>#N/A</v>
      </c>
      <c r="AB788" s="1464" t="e">
        <v>#N/A</v>
      </c>
      <c r="AC788" s="46"/>
      <c r="AF788" s="248"/>
    </row>
    <row r="789" spans="1:32" ht="10.15" hidden="1" customHeight="1" x14ac:dyDescent="0.25">
      <c r="A789" s="10" t="s">
        <v>461</v>
      </c>
      <c r="B789" s="5"/>
      <c r="C789" s="40"/>
      <c r="D789" s="22" t="s">
        <v>309</v>
      </c>
      <c r="E789" s="5"/>
      <c r="F789" s="47"/>
      <c r="G789" s="47"/>
      <c r="I789" s="5"/>
      <c r="J789" s="2615" t="s">
        <v>210</v>
      </c>
      <c r="K789" s="2616"/>
      <c r="L789" s="2616"/>
      <c r="M789" s="2617"/>
      <c r="N789" s="1130" t="s">
        <v>136</v>
      </c>
      <c r="O789" s="1130"/>
      <c r="P789" s="1130"/>
      <c r="Q789" s="1130"/>
      <c r="R789" s="1130"/>
      <c r="S789" s="1898" t="s">
        <v>655</v>
      </c>
      <c r="T789" s="2353">
        <v>0</v>
      </c>
      <c r="U789" s="2354">
        <v>0</v>
      </c>
      <c r="V789" s="2354">
        <v>0</v>
      </c>
      <c r="W789" s="2354">
        <v>0</v>
      </c>
      <c r="X789" s="2354">
        <v>0</v>
      </c>
      <c r="Y789" s="2354">
        <v>0</v>
      </c>
      <c r="Z789" s="2376">
        <v>0</v>
      </c>
      <c r="AA789" s="2377">
        <v>0</v>
      </c>
      <c r="AB789" s="1464" t="e">
        <v>#N/A</v>
      </c>
      <c r="AC789" s="46"/>
      <c r="AF789" s="248"/>
    </row>
    <row r="790" spans="1:32" ht="10.15" hidden="1" customHeight="1" x14ac:dyDescent="0.25">
      <c r="A790" s="10" t="s">
        <v>461</v>
      </c>
      <c r="B790" s="5"/>
      <c r="C790" s="40"/>
      <c r="D790" s="69">
        <v>5</v>
      </c>
      <c r="E790" s="70" t="s">
        <v>445</v>
      </c>
      <c r="I790" s="5"/>
      <c r="J790" s="2618"/>
      <c r="K790" s="2619"/>
      <c r="L790" s="2619"/>
      <c r="M790" s="2620"/>
      <c r="N790" s="1085" t="s">
        <v>78</v>
      </c>
      <c r="O790" s="1085"/>
      <c r="P790" s="1085"/>
      <c r="Q790" s="1085"/>
      <c r="R790" s="1085"/>
      <c r="S790" s="1857" t="s">
        <v>656</v>
      </c>
      <c r="T790" s="2356">
        <v>-0.125</v>
      </c>
      <c r="U790" s="2357">
        <v>-0.125</v>
      </c>
      <c r="V790" s="2357">
        <v>-0.125</v>
      </c>
      <c r="W790" s="2357">
        <v>-0.125</v>
      </c>
      <c r="X790" s="2357">
        <v>-0.25</v>
      </c>
      <c r="Y790" s="2357">
        <v>-0.25</v>
      </c>
      <c r="Z790" s="2378">
        <v>-0.25</v>
      </c>
      <c r="AA790" s="2379">
        <v>-0.25</v>
      </c>
      <c r="AB790" s="1464" t="e">
        <v>#N/A</v>
      </c>
      <c r="AC790" s="46"/>
      <c r="AF790" s="248"/>
    </row>
    <row r="791" spans="1:32" ht="10.15" hidden="1" customHeight="1" x14ac:dyDescent="0.25">
      <c r="A791" s="10" t="s">
        <v>461</v>
      </c>
      <c r="C791" s="41"/>
      <c r="G791" s="47"/>
      <c r="H791" s="47"/>
      <c r="J791" s="2621"/>
      <c r="K791" s="2622"/>
      <c r="L791" s="2622"/>
      <c r="M791" s="2623"/>
      <c r="N791" s="1131" t="s">
        <v>77</v>
      </c>
      <c r="O791" s="1131"/>
      <c r="P791" s="1131"/>
      <c r="Q791" s="1131"/>
      <c r="R791" s="1131"/>
      <c r="S791" s="1863" t="s">
        <v>657</v>
      </c>
      <c r="T791" s="2359">
        <v>0</v>
      </c>
      <c r="U791" s="2329">
        <v>0</v>
      </c>
      <c r="V791" s="2329">
        <v>0</v>
      </c>
      <c r="W791" s="2329">
        <v>0</v>
      </c>
      <c r="X791" s="2329">
        <v>0</v>
      </c>
      <c r="Y791" s="2329">
        <v>0</v>
      </c>
      <c r="Z791" s="2380">
        <v>0</v>
      </c>
      <c r="AA791" s="2381">
        <v>0</v>
      </c>
      <c r="AB791" s="1464" t="e">
        <v>#N/A</v>
      </c>
      <c r="AC791" s="46"/>
      <c r="AF791" s="248"/>
    </row>
    <row r="792" spans="1:32" ht="10.15" hidden="1" customHeight="1" x14ac:dyDescent="0.25">
      <c r="A792" s="10" t="s">
        <v>461</v>
      </c>
      <c r="C792" s="41"/>
      <c r="G792" s="47"/>
      <c r="H792" s="47"/>
      <c r="J792" s="2578" t="s">
        <v>2</v>
      </c>
      <c r="K792" s="2579"/>
      <c r="L792" s="2579"/>
      <c r="M792" s="2580"/>
      <c r="N792" s="1100" t="s">
        <v>438</v>
      </c>
      <c r="O792" s="1100"/>
      <c r="P792" s="1100"/>
      <c r="Q792" s="1100"/>
      <c r="R792" s="1100"/>
      <c r="S792" s="1854" t="s">
        <v>658</v>
      </c>
      <c r="T792" s="2382">
        <v>0</v>
      </c>
      <c r="U792" s="2383">
        <v>0</v>
      </c>
      <c r="V792" s="2383">
        <v>0</v>
      </c>
      <c r="W792" s="2383">
        <v>0</v>
      </c>
      <c r="X792" s="2383">
        <v>0</v>
      </c>
      <c r="Y792" s="2383">
        <v>0</v>
      </c>
      <c r="Z792" s="2384">
        <v>0</v>
      </c>
      <c r="AA792" s="2385">
        <v>0</v>
      </c>
      <c r="AB792" s="1464" t="e">
        <v>#N/A</v>
      </c>
      <c r="AC792" s="46"/>
      <c r="AF792" s="248"/>
    </row>
    <row r="793" spans="1:32" ht="10.15" hidden="1" customHeight="1" x14ac:dyDescent="0.25">
      <c r="A793" s="10" t="s">
        <v>461</v>
      </c>
      <c r="C793" s="41"/>
      <c r="G793" s="47"/>
      <c r="H793" s="47"/>
      <c r="J793" s="2581"/>
      <c r="K793" s="2582"/>
      <c r="L793" s="2582"/>
      <c r="M793" s="2583"/>
      <c r="N793" s="1101" t="s">
        <v>440</v>
      </c>
      <c r="O793" s="1101"/>
      <c r="P793" s="1101"/>
      <c r="Q793" s="1101"/>
      <c r="R793" s="1101"/>
      <c r="S793" s="1885" t="s">
        <v>659</v>
      </c>
      <c r="T793" s="2386">
        <v>-0.125</v>
      </c>
      <c r="U793" s="2387">
        <v>-0.125</v>
      </c>
      <c r="V793" s="2387">
        <v>-0.125</v>
      </c>
      <c r="W793" s="2387">
        <v>-0.125</v>
      </c>
      <c r="X793" s="2387">
        <v>-0.125</v>
      </c>
      <c r="Y793" s="2387">
        <v>-0.125</v>
      </c>
      <c r="Z793" s="2388">
        <v>-0.125</v>
      </c>
      <c r="AA793" s="2389">
        <v>-0.125</v>
      </c>
      <c r="AB793" s="1464" t="e">
        <v>#N/A</v>
      </c>
      <c r="AC793" s="46"/>
      <c r="AF793" s="248"/>
    </row>
    <row r="794" spans="1:32" ht="10.15" hidden="1" customHeight="1" x14ac:dyDescent="0.25">
      <c r="A794" s="10" t="s">
        <v>463</v>
      </c>
      <c r="C794" s="41"/>
      <c r="G794" s="47"/>
      <c r="H794" s="47"/>
      <c r="J794" s="2581"/>
      <c r="K794" s="2582"/>
      <c r="L794" s="2582"/>
      <c r="M794" s="2583"/>
      <c r="N794" s="1101" t="s">
        <v>455</v>
      </c>
      <c r="O794" s="1101"/>
      <c r="P794" s="1101"/>
      <c r="Q794" s="1101"/>
      <c r="R794" s="1101"/>
      <c r="S794" s="1885" t="s">
        <v>660</v>
      </c>
      <c r="T794" s="1789" t="e">
        <v>#N/A</v>
      </c>
      <c r="U794" s="1790" t="e">
        <v>#N/A</v>
      </c>
      <c r="V794" s="1790" t="e">
        <v>#N/A</v>
      </c>
      <c r="W794" s="1790" t="e">
        <v>#N/A</v>
      </c>
      <c r="X794" s="1790" t="e">
        <v>#N/A</v>
      </c>
      <c r="Y794" s="1790" t="e">
        <v>#N/A</v>
      </c>
      <c r="Z794" s="2240" t="e">
        <v>#N/A</v>
      </c>
      <c r="AA794" s="2237" t="e">
        <v>#N/A</v>
      </c>
      <c r="AB794" s="1464" t="e">
        <v>#N/A</v>
      </c>
      <c r="AC794" s="46"/>
      <c r="AF794" s="248"/>
    </row>
    <row r="795" spans="1:32" ht="10.15" hidden="1" customHeight="1" x14ac:dyDescent="0.25">
      <c r="A795" s="10" t="s">
        <v>461</v>
      </c>
      <c r="C795" s="41"/>
      <c r="H795" s="47"/>
      <c r="J795" s="2581"/>
      <c r="K795" s="2582"/>
      <c r="L795" s="2582"/>
      <c r="M795" s="2583"/>
      <c r="N795" s="1100" t="s">
        <v>439</v>
      </c>
      <c r="O795" s="1100"/>
      <c r="P795" s="1100"/>
      <c r="Q795" s="1100"/>
      <c r="R795" s="1100"/>
      <c r="S795" s="1854" t="s">
        <v>661</v>
      </c>
      <c r="T795" s="2382">
        <v>-0.25</v>
      </c>
      <c r="U795" s="2383">
        <v>-0.25</v>
      </c>
      <c r="V795" s="2383">
        <v>-0.25</v>
      </c>
      <c r="W795" s="2383">
        <v>-0.25</v>
      </c>
      <c r="X795" s="2383">
        <v>-0.25</v>
      </c>
      <c r="Y795" s="2383">
        <v>-0.25</v>
      </c>
      <c r="Z795" s="2384">
        <v>-0.25</v>
      </c>
      <c r="AA795" s="2385">
        <v>-0.25</v>
      </c>
      <c r="AB795" s="1464" t="e">
        <v>#N/A</v>
      </c>
      <c r="AC795" s="46"/>
      <c r="AF795" s="248"/>
    </row>
    <row r="796" spans="1:32" ht="10.15" hidden="1" customHeight="1" x14ac:dyDescent="0.25">
      <c r="A796" s="10" t="s">
        <v>461</v>
      </c>
      <c r="C796" s="41"/>
      <c r="G796" s="47"/>
      <c r="H796" s="47"/>
      <c r="J796" s="2581"/>
      <c r="K796" s="2582"/>
      <c r="L796" s="2582"/>
      <c r="M796" s="2583"/>
      <c r="N796" s="1101" t="s">
        <v>441</v>
      </c>
      <c r="O796" s="1101"/>
      <c r="P796" s="1101"/>
      <c r="Q796" s="1101"/>
      <c r="R796" s="1101"/>
      <c r="S796" s="1885" t="s">
        <v>662</v>
      </c>
      <c r="T796" s="2386">
        <v>-0.375</v>
      </c>
      <c r="U796" s="2387">
        <v>-0.375</v>
      </c>
      <c r="V796" s="2387">
        <v>-0.375</v>
      </c>
      <c r="W796" s="2387">
        <v>-0.375</v>
      </c>
      <c r="X796" s="2387">
        <v>-0.375</v>
      </c>
      <c r="Y796" s="2387">
        <v>-0.375</v>
      </c>
      <c r="Z796" s="2388">
        <v>-0.375</v>
      </c>
      <c r="AA796" s="2389">
        <v>-0.375</v>
      </c>
      <c r="AB796" s="1464" t="e">
        <v>#N/A</v>
      </c>
      <c r="AC796" s="46"/>
      <c r="AF796" s="248"/>
    </row>
    <row r="797" spans="1:32" ht="10.15" hidden="1" customHeight="1" x14ac:dyDescent="0.25">
      <c r="A797" s="10" t="s">
        <v>463</v>
      </c>
      <c r="C797" s="41"/>
      <c r="G797" s="47"/>
      <c r="H797" s="47"/>
      <c r="J797" s="2581"/>
      <c r="K797" s="2582"/>
      <c r="L797" s="2582"/>
      <c r="M797" s="2583"/>
      <c r="N797" s="1101" t="s">
        <v>456</v>
      </c>
      <c r="O797" s="1101"/>
      <c r="P797" s="1101"/>
      <c r="Q797" s="1101"/>
      <c r="R797" s="1101"/>
      <c r="S797" s="1885" t="s">
        <v>663</v>
      </c>
      <c r="T797" s="1789" t="e">
        <v>#N/A</v>
      </c>
      <c r="U797" s="1790" t="e">
        <v>#N/A</v>
      </c>
      <c r="V797" s="1790" t="e">
        <v>#N/A</v>
      </c>
      <c r="W797" s="1790" t="e">
        <v>#N/A</v>
      </c>
      <c r="X797" s="1790" t="e">
        <v>#N/A</v>
      </c>
      <c r="Y797" s="1790" t="e">
        <v>#N/A</v>
      </c>
      <c r="Z797" s="2240" t="e">
        <v>#N/A</v>
      </c>
      <c r="AA797" s="2237" t="e">
        <v>#N/A</v>
      </c>
      <c r="AB797" s="1464" t="e">
        <v>#N/A</v>
      </c>
      <c r="AC797" s="46"/>
      <c r="AF797" s="248"/>
    </row>
    <row r="798" spans="1:32" ht="10.15" hidden="1" customHeight="1" x14ac:dyDescent="0.25">
      <c r="A798" s="10" t="s">
        <v>461</v>
      </c>
      <c r="C798" s="41"/>
      <c r="J798" s="2581"/>
      <c r="K798" s="2582"/>
      <c r="L798" s="2582"/>
      <c r="M798" s="2583"/>
      <c r="N798" s="1100" t="s">
        <v>457</v>
      </c>
      <c r="O798" s="1100"/>
      <c r="P798" s="1100"/>
      <c r="Q798" s="1100"/>
      <c r="R798" s="1100"/>
      <c r="S798" s="1854" t="s">
        <v>664</v>
      </c>
      <c r="T798" s="2353">
        <v>0</v>
      </c>
      <c r="U798" s="2354">
        <v>0</v>
      </c>
      <c r="V798" s="2354">
        <v>0</v>
      </c>
      <c r="W798" s="2354">
        <v>0</v>
      </c>
      <c r="X798" s="2354">
        <v>0</v>
      </c>
      <c r="Y798" s="2354">
        <v>0</v>
      </c>
      <c r="Z798" s="2376">
        <v>0</v>
      </c>
      <c r="AA798" s="2391">
        <v>0</v>
      </c>
      <c r="AB798" s="1464" t="e">
        <v>#N/A</v>
      </c>
      <c r="AC798" s="46"/>
      <c r="AF798" s="248"/>
    </row>
    <row r="799" spans="1:32" ht="10.15" hidden="1" customHeight="1" x14ac:dyDescent="0.25">
      <c r="A799" s="10" t="s">
        <v>463</v>
      </c>
      <c r="C799" s="41"/>
      <c r="J799" s="2581"/>
      <c r="K799" s="2582"/>
      <c r="L799" s="2582"/>
      <c r="M799" s="2583"/>
      <c r="N799" s="1102" t="s">
        <v>460</v>
      </c>
      <c r="O799" s="1102"/>
      <c r="P799" s="1102"/>
      <c r="Q799" s="1102"/>
      <c r="R799" s="1102"/>
      <c r="S799" s="1896" t="s">
        <v>665</v>
      </c>
      <c r="T799" s="2359">
        <v>0</v>
      </c>
      <c r="U799" s="2329">
        <v>0</v>
      </c>
      <c r="V799" s="2329">
        <v>0</v>
      </c>
      <c r="W799" s="2329">
        <v>0</v>
      </c>
      <c r="X799" s="2329">
        <v>0</v>
      </c>
      <c r="Y799" s="2329">
        <v>0</v>
      </c>
      <c r="Z799" s="2380">
        <v>0</v>
      </c>
      <c r="AA799" s="2391">
        <v>0</v>
      </c>
      <c r="AB799" s="1464" t="e">
        <v>#N/A</v>
      </c>
      <c r="AC799" s="46"/>
      <c r="AF799" s="248"/>
    </row>
    <row r="800" spans="1:32" ht="10.15" hidden="1" customHeight="1" x14ac:dyDescent="0.25">
      <c r="A800" s="10" t="s">
        <v>461</v>
      </c>
      <c r="C800" s="41"/>
      <c r="J800" s="2581"/>
      <c r="K800" s="2582"/>
      <c r="L800" s="2582"/>
      <c r="M800" s="2583"/>
      <c r="N800" s="1100" t="s">
        <v>1</v>
      </c>
      <c r="O800" s="1100"/>
      <c r="P800" s="1100"/>
      <c r="Q800" s="1100"/>
      <c r="R800" s="1100"/>
      <c r="S800" s="1854" t="s">
        <v>666</v>
      </c>
      <c r="T800" s="2191">
        <v>0</v>
      </c>
      <c r="U800" s="2192">
        <v>0</v>
      </c>
      <c r="V800" s="2192">
        <v>0</v>
      </c>
      <c r="W800" s="2192">
        <v>0</v>
      </c>
      <c r="X800" s="2192">
        <v>0</v>
      </c>
      <c r="Y800" s="2192">
        <v>0</v>
      </c>
      <c r="Z800" s="2261">
        <v>0</v>
      </c>
      <c r="AA800" s="2262">
        <v>0</v>
      </c>
      <c r="AB800" s="1464" t="e">
        <v>#N/A</v>
      </c>
      <c r="AC800" s="46"/>
      <c r="AF800" s="248"/>
    </row>
    <row r="801" spans="1:32" ht="10.15" hidden="1" customHeight="1" x14ac:dyDescent="0.25">
      <c r="A801" s="10" t="s">
        <v>461</v>
      </c>
      <c r="C801" s="41"/>
      <c r="J801" s="2581"/>
      <c r="K801" s="2582"/>
      <c r="L801" s="2582"/>
      <c r="M801" s="2583"/>
      <c r="N801" s="1102" t="s">
        <v>164</v>
      </c>
      <c r="O801" s="1102"/>
      <c r="P801" s="1102"/>
      <c r="Q801" s="1102"/>
      <c r="R801" s="1102"/>
      <c r="S801" s="1896" t="s">
        <v>667</v>
      </c>
      <c r="T801" s="2263">
        <v>-0.25</v>
      </c>
      <c r="U801" s="2264">
        <v>-0.25</v>
      </c>
      <c r="V801" s="2264">
        <v>-0.25</v>
      </c>
      <c r="W801" s="2264">
        <v>-0.25</v>
      </c>
      <c r="X801" s="2264">
        <v>-0.25</v>
      </c>
      <c r="Y801" s="2264">
        <v>-0.375</v>
      </c>
      <c r="Z801" s="2265">
        <v>-0.375</v>
      </c>
      <c r="AA801" s="2266">
        <v>-0.375</v>
      </c>
      <c r="AB801" s="1464" t="e">
        <v>#N/A</v>
      </c>
      <c r="AC801" s="46"/>
      <c r="AF801" s="248"/>
    </row>
    <row r="802" spans="1:32" ht="10.15" hidden="1" customHeight="1" x14ac:dyDescent="0.25">
      <c r="A802" s="10" t="s">
        <v>461</v>
      </c>
      <c r="C802" s="41"/>
      <c r="J802" s="2581"/>
      <c r="K802" s="2582"/>
      <c r="L802" s="2582"/>
      <c r="M802" s="2583"/>
      <c r="N802" s="1100" t="s">
        <v>98</v>
      </c>
      <c r="O802" s="1100"/>
      <c r="P802" s="1100"/>
      <c r="Q802" s="1100"/>
      <c r="R802" s="1100"/>
      <c r="S802" s="1859" t="s">
        <v>668</v>
      </c>
      <c r="T802" s="2255">
        <v>0</v>
      </c>
      <c r="U802" s="2256">
        <v>0</v>
      </c>
      <c r="V802" s="2256">
        <v>0</v>
      </c>
      <c r="W802" s="2256">
        <v>0</v>
      </c>
      <c r="X802" s="2256">
        <v>0</v>
      </c>
      <c r="Y802" s="2256">
        <v>0</v>
      </c>
      <c r="Z802" s="2267">
        <v>0</v>
      </c>
      <c r="AA802" s="2268">
        <v>0</v>
      </c>
      <c r="AB802" s="1465" t="e">
        <v>#N/A</v>
      </c>
      <c r="AC802" s="46"/>
      <c r="AF802" s="248"/>
    </row>
    <row r="803" spans="1:32" ht="10.15" hidden="1" customHeight="1" x14ac:dyDescent="0.25">
      <c r="A803" s="10" t="s">
        <v>461</v>
      </c>
      <c r="C803" s="41"/>
      <c r="J803" s="2584"/>
      <c r="K803" s="2585"/>
      <c r="L803" s="2585"/>
      <c r="M803" s="2586"/>
      <c r="N803" s="1102" t="s">
        <v>4</v>
      </c>
      <c r="O803" s="1102"/>
      <c r="P803" s="1102"/>
      <c r="Q803" s="1102"/>
      <c r="R803" s="1102"/>
      <c r="S803" s="1860" t="s">
        <v>669</v>
      </c>
      <c r="T803" s="2263">
        <v>-0.5</v>
      </c>
      <c r="U803" s="2264">
        <v>-0.5</v>
      </c>
      <c r="V803" s="2264">
        <v>-0.5</v>
      </c>
      <c r="W803" s="2264">
        <v>-0.5</v>
      </c>
      <c r="X803" s="2264">
        <v>-0.625</v>
      </c>
      <c r="Y803" s="2264">
        <v>-0.75</v>
      </c>
      <c r="Z803" s="2265">
        <v>-1.25</v>
      </c>
      <c r="AA803" s="2412" t="e">
        <v>#N/A</v>
      </c>
      <c r="AB803" s="1465" t="e">
        <v>#N/A</v>
      </c>
      <c r="AC803" s="46"/>
      <c r="AF803" s="248"/>
    </row>
    <row r="804" spans="1:32" ht="10.15" hidden="1" customHeight="1" x14ac:dyDescent="0.25">
      <c r="A804" s="10" t="s">
        <v>463</v>
      </c>
      <c r="C804" s="41"/>
      <c r="J804" s="2578" t="s">
        <v>8</v>
      </c>
      <c r="K804" s="2579"/>
      <c r="L804" s="2579"/>
      <c r="M804" s="2580"/>
      <c r="N804" s="1110" t="s">
        <v>2119</v>
      </c>
      <c r="O804" s="1110"/>
      <c r="P804" s="1110"/>
      <c r="Q804" s="1110"/>
      <c r="R804" s="1110"/>
      <c r="S804" s="1859" t="s">
        <v>2128</v>
      </c>
      <c r="T804" s="1791" t="e">
        <v>#N/A</v>
      </c>
      <c r="U804" s="1792" t="e">
        <v>#N/A</v>
      </c>
      <c r="V804" s="1792" t="e">
        <v>#N/A</v>
      </c>
      <c r="W804" s="1792" t="e">
        <v>#N/A</v>
      </c>
      <c r="X804" s="1792" t="e">
        <v>#N/A</v>
      </c>
      <c r="Y804" s="1792" t="e">
        <v>#N/A</v>
      </c>
      <c r="Z804" s="2241" t="e">
        <v>#N/A</v>
      </c>
      <c r="AA804" s="2249" t="e">
        <v>#N/A</v>
      </c>
      <c r="AB804" s="1465" t="e">
        <v>#N/A</v>
      </c>
      <c r="AC804" s="46"/>
      <c r="AF804" s="248"/>
    </row>
    <row r="805" spans="1:32" ht="10.15" hidden="1" customHeight="1" x14ac:dyDescent="0.25">
      <c r="A805" s="10" t="s">
        <v>463</v>
      </c>
      <c r="C805" s="41"/>
      <c r="J805" s="2581"/>
      <c r="K805" s="2582"/>
      <c r="L805" s="2582"/>
      <c r="M805" s="2583"/>
      <c r="N805" s="1089" t="s">
        <v>2120</v>
      </c>
      <c r="O805" s="1089"/>
      <c r="P805" s="1089"/>
      <c r="Q805" s="1089"/>
      <c r="R805" s="1089"/>
      <c r="S805" s="1861" t="s">
        <v>2129</v>
      </c>
      <c r="T805" s="1796" t="e">
        <v>#N/A</v>
      </c>
      <c r="U805" s="1797" t="e">
        <v>#N/A</v>
      </c>
      <c r="V805" s="1797" t="e">
        <v>#N/A</v>
      </c>
      <c r="W805" s="1797" t="e">
        <v>#N/A</v>
      </c>
      <c r="X805" s="1797" t="e">
        <v>#N/A</v>
      </c>
      <c r="Y805" s="1797" t="e">
        <v>#N/A</v>
      </c>
      <c r="Z805" s="2171" t="e">
        <v>#N/A</v>
      </c>
      <c r="AA805" s="2076" t="e">
        <v>#N/A</v>
      </c>
      <c r="AB805" s="1465" t="e">
        <v>#N/A</v>
      </c>
      <c r="AC805" s="46"/>
      <c r="AF805" s="248"/>
    </row>
    <row r="806" spans="1:32" ht="10.15" hidden="1" customHeight="1" x14ac:dyDescent="0.25">
      <c r="A806" s="10" t="s">
        <v>463</v>
      </c>
      <c r="C806" s="41"/>
      <c r="J806" s="2581"/>
      <c r="K806" s="2582"/>
      <c r="L806" s="2582"/>
      <c r="M806" s="2583"/>
      <c r="N806" s="1089" t="s">
        <v>1313</v>
      </c>
      <c r="O806" s="1089"/>
      <c r="P806" s="1089"/>
      <c r="Q806" s="1089"/>
      <c r="R806" s="1089"/>
      <c r="S806" s="1861" t="s">
        <v>1323</v>
      </c>
      <c r="T806" s="2419">
        <v>-0.5</v>
      </c>
      <c r="U806" s="2420">
        <v>-0.5</v>
      </c>
      <c r="V806" s="2420">
        <v>-0.5</v>
      </c>
      <c r="W806" s="2420">
        <v>-0.5</v>
      </c>
      <c r="X806" s="2420">
        <v>-0.5</v>
      </c>
      <c r="Y806" s="2420">
        <v>-0.75</v>
      </c>
      <c r="Z806" s="2422">
        <v>-0.75</v>
      </c>
      <c r="AA806" s="2423">
        <v>-0.875</v>
      </c>
      <c r="AB806" s="1465" t="e">
        <v>#N/A</v>
      </c>
      <c r="AC806" s="46"/>
      <c r="AF806" s="248"/>
    </row>
    <row r="807" spans="1:32" ht="10.15" hidden="1" customHeight="1" x14ac:dyDescent="0.25">
      <c r="A807" s="10" t="s">
        <v>461</v>
      </c>
      <c r="C807" s="41"/>
      <c r="J807" s="2581"/>
      <c r="K807" s="2582"/>
      <c r="L807" s="2582"/>
      <c r="M807" s="2583"/>
      <c r="N807" s="1089" t="s">
        <v>1314</v>
      </c>
      <c r="O807" s="1089"/>
      <c r="P807" s="1089"/>
      <c r="Q807" s="1089"/>
      <c r="R807" s="1089"/>
      <c r="S807" s="1861" t="s">
        <v>1324</v>
      </c>
      <c r="T807" s="2189">
        <v>-0.5</v>
      </c>
      <c r="U807" s="2190">
        <v>-0.5</v>
      </c>
      <c r="V807" s="2190">
        <v>-0.5</v>
      </c>
      <c r="W807" s="2190">
        <v>-0.5</v>
      </c>
      <c r="X807" s="2190">
        <v>-0.5</v>
      </c>
      <c r="Y807" s="2190">
        <v>-0.75</v>
      </c>
      <c r="Z807" s="2269">
        <v>-0.75</v>
      </c>
      <c r="AA807" s="2270">
        <v>-0.875</v>
      </c>
      <c r="AB807" s="1465" t="e">
        <v>#N/A</v>
      </c>
      <c r="AC807" s="46"/>
      <c r="AF807" s="248"/>
    </row>
    <row r="808" spans="1:32" ht="10.15" hidden="1" customHeight="1" x14ac:dyDescent="0.25">
      <c r="A808" s="10" t="s">
        <v>461</v>
      </c>
      <c r="C808" s="41"/>
      <c r="J808" s="2581"/>
      <c r="K808" s="2582"/>
      <c r="L808" s="2582"/>
      <c r="M808" s="2583"/>
      <c r="N808" s="1089" t="s">
        <v>1315</v>
      </c>
      <c r="O808" s="1089"/>
      <c r="P808" s="1089"/>
      <c r="Q808" s="1089"/>
      <c r="R808" s="1089"/>
      <c r="S808" s="1861" t="s">
        <v>1325</v>
      </c>
      <c r="T808" s="2191">
        <v>-0.375</v>
      </c>
      <c r="U808" s="2192">
        <v>-0.375</v>
      </c>
      <c r="V808" s="2192">
        <v>-0.375</v>
      </c>
      <c r="W808" s="2192">
        <v>-0.375</v>
      </c>
      <c r="X808" s="2192">
        <v>-0.375</v>
      </c>
      <c r="Y808" s="2192">
        <v>-0.625</v>
      </c>
      <c r="Z808" s="2261">
        <v>-0.625</v>
      </c>
      <c r="AA808" s="2262">
        <v>-0.75</v>
      </c>
      <c r="AB808" s="1465" t="e">
        <v>#N/A</v>
      </c>
      <c r="AC808" s="46"/>
      <c r="AF808" s="248"/>
    </row>
    <row r="809" spans="1:32" ht="10.15" hidden="1" customHeight="1" x14ac:dyDescent="0.25">
      <c r="A809" s="10" t="s">
        <v>461</v>
      </c>
      <c r="C809" s="41"/>
      <c r="J809" s="2581"/>
      <c r="K809" s="2582"/>
      <c r="L809" s="2582"/>
      <c r="M809" s="2583"/>
      <c r="N809" s="1089" t="s">
        <v>1316</v>
      </c>
      <c r="O809" s="1089"/>
      <c r="P809" s="1089"/>
      <c r="Q809" s="1089"/>
      <c r="R809" s="1089"/>
      <c r="S809" s="1861" t="s">
        <v>1326</v>
      </c>
      <c r="T809" s="2191">
        <v>-0.125</v>
      </c>
      <c r="U809" s="2192">
        <v>-0.125</v>
      </c>
      <c r="V809" s="2192">
        <v>-0.125</v>
      </c>
      <c r="W809" s="2192">
        <v>-0.125</v>
      </c>
      <c r="X809" s="2192">
        <v>-0.25</v>
      </c>
      <c r="Y809" s="2192">
        <v>-0.375</v>
      </c>
      <c r="Z809" s="2261">
        <v>-0.375</v>
      </c>
      <c r="AA809" s="2262">
        <v>-0.625</v>
      </c>
      <c r="AB809" s="1465" t="e">
        <v>#N/A</v>
      </c>
      <c r="AC809" s="46"/>
      <c r="AF809" s="248"/>
    </row>
    <row r="810" spans="1:32" ht="10.15" hidden="1" customHeight="1" x14ac:dyDescent="0.25">
      <c r="A810" s="10" t="s">
        <v>461</v>
      </c>
      <c r="C810" s="41"/>
      <c r="J810" s="2581"/>
      <c r="K810" s="2582"/>
      <c r="L810" s="2582"/>
      <c r="M810" s="2583"/>
      <c r="N810" s="1088" t="s">
        <v>1317</v>
      </c>
      <c r="O810" s="1090"/>
      <c r="P810" s="1090"/>
      <c r="Q810" s="1090"/>
      <c r="R810" s="1090"/>
      <c r="S810" s="1861" t="s">
        <v>1327</v>
      </c>
      <c r="T810" s="2191">
        <v>-0.125</v>
      </c>
      <c r="U810" s="2192">
        <v>-0.125</v>
      </c>
      <c r="V810" s="2192">
        <v>-0.125</v>
      </c>
      <c r="W810" s="2192">
        <v>-0.125</v>
      </c>
      <c r="X810" s="2192">
        <v>-0.25</v>
      </c>
      <c r="Y810" s="2192">
        <v>-0.375</v>
      </c>
      <c r="Z810" s="2261">
        <v>-0.375</v>
      </c>
      <c r="AA810" s="2262">
        <v>-0.625</v>
      </c>
      <c r="AB810" s="1465" t="e">
        <v>#N/A</v>
      </c>
      <c r="AC810" s="46"/>
      <c r="AF810" s="248"/>
    </row>
    <row r="811" spans="1:32" ht="10.15" hidden="1" customHeight="1" x14ac:dyDescent="0.25">
      <c r="A811" s="10" t="s">
        <v>461</v>
      </c>
      <c r="C811" s="41"/>
      <c r="I811" s="5"/>
      <c r="J811" s="2581"/>
      <c r="K811" s="2582"/>
      <c r="L811" s="2582"/>
      <c r="M811" s="2583"/>
      <c r="N811" s="1088" t="s">
        <v>311</v>
      </c>
      <c r="O811" s="1090"/>
      <c r="P811" s="1090"/>
      <c r="Q811" s="1090"/>
      <c r="R811" s="1090"/>
      <c r="S811" s="1857" t="s">
        <v>670</v>
      </c>
      <c r="T811" s="2191">
        <v>0</v>
      </c>
      <c r="U811" s="2192">
        <v>0</v>
      </c>
      <c r="V811" s="2192">
        <v>0</v>
      </c>
      <c r="W811" s="2192">
        <v>0</v>
      </c>
      <c r="X811" s="2192">
        <v>0</v>
      </c>
      <c r="Y811" s="2192">
        <v>0</v>
      </c>
      <c r="Z811" s="2261">
        <v>0</v>
      </c>
      <c r="AA811" s="2262">
        <v>-0.25</v>
      </c>
      <c r="AB811" s="1465" t="e">
        <v>#N/A</v>
      </c>
      <c r="AC811" s="46"/>
      <c r="AF811" s="248"/>
    </row>
    <row r="812" spans="1:32" ht="10.15" hidden="1" customHeight="1" x14ac:dyDescent="0.25">
      <c r="A812" s="10" t="s">
        <v>461</v>
      </c>
      <c r="C812" s="41"/>
      <c r="I812" s="5"/>
      <c r="J812" s="2581"/>
      <c r="K812" s="2582"/>
      <c r="L812" s="2582"/>
      <c r="M812" s="2583"/>
      <c r="N812" s="1088" t="s">
        <v>251</v>
      </c>
      <c r="O812" s="1090"/>
      <c r="P812" s="1090"/>
      <c r="Q812" s="1090"/>
      <c r="R812" s="1090"/>
      <c r="S812" s="1857" t="s">
        <v>671</v>
      </c>
      <c r="T812" s="2191">
        <v>0</v>
      </c>
      <c r="U812" s="2192">
        <v>0</v>
      </c>
      <c r="V812" s="2192">
        <v>0</v>
      </c>
      <c r="W812" s="2192">
        <v>0</v>
      </c>
      <c r="X812" s="2192">
        <v>0</v>
      </c>
      <c r="Y812" s="2192">
        <v>0</v>
      </c>
      <c r="Z812" s="2261">
        <v>0</v>
      </c>
      <c r="AA812" s="2262">
        <v>0</v>
      </c>
      <c r="AB812" s="1465" t="e">
        <v>#N/A</v>
      </c>
      <c r="AC812" s="46"/>
      <c r="AF812" s="248"/>
    </row>
    <row r="813" spans="1:32" ht="10.15" hidden="1" customHeight="1" x14ac:dyDescent="0.25">
      <c r="A813" s="10" t="s">
        <v>461</v>
      </c>
      <c r="C813" s="41"/>
      <c r="I813" s="5"/>
      <c r="J813" s="2581"/>
      <c r="K813" s="2582"/>
      <c r="L813" s="2582"/>
      <c r="M813" s="2583"/>
      <c r="N813" s="1088" t="s">
        <v>12</v>
      </c>
      <c r="O813" s="1090"/>
      <c r="P813" s="1090"/>
      <c r="Q813" s="1090"/>
      <c r="R813" s="1090"/>
      <c r="S813" s="1857" t="s">
        <v>672</v>
      </c>
      <c r="T813" s="2191">
        <v>0</v>
      </c>
      <c r="U813" s="2192">
        <v>0</v>
      </c>
      <c r="V813" s="2192">
        <v>0</v>
      </c>
      <c r="W813" s="2192">
        <v>0</v>
      </c>
      <c r="X813" s="2192">
        <v>0</v>
      </c>
      <c r="Y813" s="2192">
        <v>0</v>
      </c>
      <c r="Z813" s="2261">
        <v>0</v>
      </c>
      <c r="AA813" s="2262">
        <v>0</v>
      </c>
      <c r="AB813" s="1465" t="e">
        <v>#N/A</v>
      </c>
      <c r="AC813" s="46"/>
      <c r="AF813" s="248"/>
    </row>
    <row r="814" spans="1:32" ht="10.15" hidden="1" customHeight="1" x14ac:dyDescent="0.25">
      <c r="A814" s="10" t="s">
        <v>461</v>
      </c>
      <c r="C814" s="41"/>
      <c r="I814" s="5"/>
      <c r="J814" s="2581"/>
      <c r="K814" s="2582"/>
      <c r="L814" s="2582"/>
      <c r="M814" s="2583"/>
      <c r="N814" s="1090" t="s">
        <v>13</v>
      </c>
      <c r="O814" s="1090"/>
      <c r="P814" s="1090"/>
      <c r="Q814" s="1090"/>
      <c r="R814" s="1090"/>
      <c r="S814" s="1857" t="s">
        <v>673</v>
      </c>
      <c r="T814" s="2191">
        <v>0</v>
      </c>
      <c r="U814" s="2192">
        <v>0</v>
      </c>
      <c r="V814" s="2192">
        <v>0</v>
      </c>
      <c r="W814" s="2192">
        <v>0</v>
      </c>
      <c r="X814" s="2192">
        <v>0</v>
      </c>
      <c r="Y814" s="2192">
        <v>0</v>
      </c>
      <c r="Z814" s="2261">
        <v>0</v>
      </c>
      <c r="AA814" s="2262">
        <v>0</v>
      </c>
      <c r="AB814" s="1465" t="e">
        <v>#N/A</v>
      </c>
      <c r="AC814" s="46"/>
      <c r="AF814" s="248"/>
    </row>
    <row r="815" spans="1:32" ht="10.15" hidden="1" customHeight="1" x14ac:dyDescent="0.25">
      <c r="A815" s="10" t="s">
        <v>461</v>
      </c>
      <c r="C815" s="41"/>
      <c r="J815" s="2581"/>
      <c r="K815" s="2582"/>
      <c r="L815" s="2582"/>
      <c r="M815" s="2583"/>
      <c r="N815" s="1090" t="s">
        <v>89</v>
      </c>
      <c r="O815" s="1090"/>
      <c r="P815" s="1090"/>
      <c r="Q815" s="1090"/>
      <c r="R815" s="1090"/>
      <c r="S815" s="1857" t="s">
        <v>674</v>
      </c>
      <c r="T815" s="2191">
        <v>0</v>
      </c>
      <c r="U815" s="2192">
        <v>0</v>
      </c>
      <c r="V815" s="2192">
        <v>0</v>
      </c>
      <c r="W815" s="2192">
        <v>0</v>
      </c>
      <c r="X815" s="2192">
        <v>0</v>
      </c>
      <c r="Y815" s="2192">
        <v>0</v>
      </c>
      <c r="Z815" s="2261">
        <v>0</v>
      </c>
      <c r="AA815" s="2262">
        <v>0</v>
      </c>
      <c r="AB815" s="1465" t="e">
        <v>#N/A</v>
      </c>
      <c r="AC815" s="42"/>
      <c r="AF815" s="248"/>
    </row>
    <row r="816" spans="1:32" ht="10.15" hidden="1" customHeight="1" x14ac:dyDescent="0.25">
      <c r="A816" s="10" t="s">
        <v>461</v>
      </c>
      <c r="C816" s="41"/>
      <c r="J816" s="2581"/>
      <c r="K816" s="2582"/>
      <c r="L816" s="2582"/>
      <c r="M816" s="2583"/>
      <c r="N816" s="1090" t="s">
        <v>86</v>
      </c>
      <c r="O816" s="1090"/>
      <c r="P816" s="1090"/>
      <c r="Q816" s="1090"/>
      <c r="R816" s="1090"/>
      <c r="S816" s="1857" t="s">
        <v>675</v>
      </c>
      <c r="T816" s="2191">
        <v>0</v>
      </c>
      <c r="U816" s="2192">
        <v>0</v>
      </c>
      <c r="V816" s="2192">
        <v>0</v>
      </c>
      <c r="W816" s="2192">
        <v>0</v>
      </c>
      <c r="X816" s="2192">
        <v>0</v>
      </c>
      <c r="Y816" s="2192">
        <v>0</v>
      </c>
      <c r="Z816" s="2261">
        <v>0</v>
      </c>
      <c r="AA816" s="2262">
        <v>0</v>
      </c>
      <c r="AB816" s="1465" t="e">
        <v>#N/A</v>
      </c>
      <c r="AC816" s="42"/>
      <c r="AF816" s="248"/>
    </row>
    <row r="817" spans="1:32" ht="10.15" hidden="1" customHeight="1" x14ac:dyDescent="0.25">
      <c r="A817" s="10" t="s">
        <v>461</v>
      </c>
      <c r="C817" s="41"/>
      <c r="J817" s="2581"/>
      <c r="K817" s="2582"/>
      <c r="L817" s="2582"/>
      <c r="M817" s="2583"/>
      <c r="N817" s="1090" t="s">
        <v>87</v>
      </c>
      <c r="O817" s="1090"/>
      <c r="P817" s="1090"/>
      <c r="Q817" s="1090"/>
      <c r="R817" s="1090"/>
      <c r="S817" s="1857" t="s">
        <v>676</v>
      </c>
      <c r="T817" s="2191">
        <v>0</v>
      </c>
      <c r="U817" s="2192">
        <v>0</v>
      </c>
      <c r="V817" s="2192">
        <v>0</v>
      </c>
      <c r="W817" s="2192">
        <v>0</v>
      </c>
      <c r="X817" s="2192">
        <v>0</v>
      </c>
      <c r="Y817" s="2192">
        <v>0</v>
      </c>
      <c r="Z817" s="2413" t="e">
        <v>#N/A</v>
      </c>
      <c r="AA817" s="2414" t="e">
        <v>#N/A</v>
      </c>
      <c r="AB817" s="1465" t="e">
        <v>#N/A</v>
      </c>
      <c r="AC817" s="42"/>
      <c r="AF817" s="248"/>
    </row>
    <row r="818" spans="1:32" ht="10.15" hidden="1" customHeight="1" x14ac:dyDescent="0.25">
      <c r="A818" s="10" t="s">
        <v>461</v>
      </c>
      <c r="C818" s="41"/>
      <c r="J818" s="2581"/>
      <c r="K818" s="2582"/>
      <c r="L818" s="2582"/>
      <c r="M818" s="2583"/>
      <c r="N818" s="1090" t="s">
        <v>145</v>
      </c>
      <c r="O818" s="1090"/>
      <c r="P818" s="1090"/>
      <c r="Q818" s="1090"/>
      <c r="R818" s="1090"/>
      <c r="S818" s="1857" t="s">
        <v>677</v>
      </c>
      <c r="T818" s="2191">
        <v>-0.25</v>
      </c>
      <c r="U818" s="2192">
        <v>-0.25</v>
      </c>
      <c r="V818" s="2192">
        <v>-0.25</v>
      </c>
      <c r="W818" s="2192">
        <v>-0.25</v>
      </c>
      <c r="X818" s="2192">
        <v>-0.375</v>
      </c>
      <c r="Y818" s="2192">
        <v>-0.375</v>
      </c>
      <c r="Z818" s="2413" t="e">
        <v>#N/A</v>
      </c>
      <c r="AA818" s="2414" t="e">
        <v>#N/A</v>
      </c>
      <c r="AB818" s="1465" t="e">
        <v>#N/A</v>
      </c>
      <c r="AC818" s="42"/>
      <c r="AF818" s="248"/>
    </row>
    <row r="819" spans="1:32" ht="10.15" hidden="1" customHeight="1" x14ac:dyDescent="0.25">
      <c r="A819" s="10" t="s">
        <v>461</v>
      </c>
      <c r="C819" s="41"/>
      <c r="J819" s="2581"/>
      <c r="K819" s="2582"/>
      <c r="L819" s="2582"/>
      <c r="M819" s="2583"/>
      <c r="N819" s="1090" t="s">
        <v>146</v>
      </c>
      <c r="O819" s="1090"/>
      <c r="P819" s="1090"/>
      <c r="Q819" s="1090"/>
      <c r="R819" s="1090"/>
      <c r="S819" s="1857" t="s">
        <v>678</v>
      </c>
      <c r="T819" s="2191">
        <v>-0.5</v>
      </c>
      <c r="U819" s="2192">
        <v>-0.5</v>
      </c>
      <c r="V819" s="2192">
        <v>-0.5</v>
      </c>
      <c r="W819" s="2192">
        <v>-0.5</v>
      </c>
      <c r="X819" s="2192">
        <v>-0.625</v>
      </c>
      <c r="Y819" s="2192">
        <v>-0.625</v>
      </c>
      <c r="Z819" s="2413" t="e">
        <v>#N/A</v>
      </c>
      <c r="AA819" s="2414" t="e">
        <v>#N/A</v>
      </c>
      <c r="AB819" s="1465" t="e">
        <v>#N/A</v>
      </c>
      <c r="AC819" s="42"/>
      <c r="AF819" s="248"/>
    </row>
    <row r="820" spans="1:32" ht="10.15" hidden="1" customHeight="1" x14ac:dyDescent="0.25">
      <c r="A820" s="10" t="s">
        <v>461</v>
      </c>
      <c r="C820" s="41"/>
      <c r="J820" s="2581"/>
      <c r="K820" s="2582"/>
      <c r="L820" s="2582"/>
      <c r="M820" s="2583"/>
      <c r="N820" s="1090" t="s">
        <v>124</v>
      </c>
      <c r="O820" s="1090"/>
      <c r="P820" s="1090"/>
      <c r="Q820" s="1090"/>
      <c r="R820" s="1090"/>
      <c r="S820" s="1857" t="s">
        <v>679</v>
      </c>
      <c r="T820" s="2191">
        <v>-0.875</v>
      </c>
      <c r="U820" s="2192">
        <v>-0.875</v>
      </c>
      <c r="V820" s="2192">
        <v>-0.875</v>
      </c>
      <c r="W820" s="2192">
        <v>-0.875</v>
      </c>
      <c r="X820" s="2192">
        <v>-1.125</v>
      </c>
      <c r="Y820" s="2406" t="e">
        <v>#N/A</v>
      </c>
      <c r="Z820" s="2413" t="e">
        <v>#N/A</v>
      </c>
      <c r="AA820" s="2414" t="e">
        <v>#N/A</v>
      </c>
      <c r="AB820" s="1465" t="e">
        <v>#N/A</v>
      </c>
      <c r="AC820" s="42"/>
      <c r="AF820" s="248"/>
    </row>
    <row r="821" spans="1:32" ht="10.15" hidden="1" customHeight="1" x14ac:dyDescent="0.25">
      <c r="A821" s="10" t="s">
        <v>461</v>
      </c>
      <c r="C821" s="41"/>
      <c r="J821" s="2581"/>
      <c r="K821" s="2582"/>
      <c r="L821" s="2582"/>
      <c r="M821" s="2583"/>
      <c r="N821" s="1090" t="s">
        <v>230</v>
      </c>
      <c r="O821" s="1090"/>
      <c r="P821" s="1090"/>
      <c r="Q821" s="1090"/>
      <c r="R821" s="1090"/>
      <c r="S821" s="1857" t="s">
        <v>680</v>
      </c>
      <c r="T821" s="2263">
        <v>-1.5</v>
      </c>
      <c r="U821" s="2264">
        <v>-1.5</v>
      </c>
      <c r="V821" s="2264">
        <v>-1.5</v>
      </c>
      <c r="W821" s="2415" t="e">
        <v>#N/A</v>
      </c>
      <c r="X821" s="2415" t="e">
        <v>#N/A</v>
      </c>
      <c r="Y821" s="2415" t="e">
        <v>#N/A</v>
      </c>
      <c r="Z821" s="2416" t="e">
        <v>#N/A</v>
      </c>
      <c r="AA821" s="2412" t="e">
        <v>#N/A</v>
      </c>
      <c r="AB821" s="1465" t="e">
        <v>#N/A</v>
      </c>
      <c r="AC821" s="42"/>
      <c r="AF821" s="248"/>
    </row>
    <row r="822" spans="1:32" ht="10.15" hidden="1" customHeight="1" x14ac:dyDescent="0.25">
      <c r="A822" s="10" t="s">
        <v>463</v>
      </c>
      <c r="C822" s="41"/>
      <c r="J822" s="2581"/>
      <c r="K822" s="2582"/>
      <c r="L822" s="2582"/>
      <c r="M822" s="2583"/>
      <c r="N822" s="1090" t="s">
        <v>231</v>
      </c>
      <c r="O822" s="1090"/>
      <c r="P822" s="1090"/>
      <c r="Q822" s="1090"/>
      <c r="R822" s="1090"/>
      <c r="S822" s="1885" t="s">
        <v>681</v>
      </c>
      <c r="T822" s="1800" t="e">
        <v>#N/A</v>
      </c>
      <c r="U822" s="1463" t="e">
        <v>#N/A</v>
      </c>
      <c r="V822" s="1463" t="e">
        <v>#N/A</v>
      </c>
      <c r="W822" s="1463" t="e">
        <v>#N/A</v>
      </c>
      <c r="X822" s="1463" t="e">
        <v>#N/A</v>
      </c>
      <c r="Y822" s="1463" t="e">
        <v>#N/A</v>
      </c>
      <c r="Z822" s="2242" t="e">
        <v>#N/A</v>
      </c>
      <c r="AA822" s="2248" t="e">
        <v>#N/A</v>
      </c>
      <c r="AB822" s="1465" t="e">
        <v>#N/A</v>
      </c>
      <c r="AC822" s="42"/>
      <c r="AF822" s="248"/>
    </row>
    <row r="823" spans="1:32" ht="10.15" hidden="1" customHeight="1" x14ac:dyDescent="0.25">
      <c r="A823" s="10" t="s">
        <v>463</v>
      </c>
      <c r="C823" s="41"/>
      <c r="J823" s="2581"/>
      <c r="K823" s="2582"/>
      <c r="L823" s="2582"/>
      <c r="M823" s="2583"/>
      <c r="N823" s="1090" t="s">
        <v>232</v>
      </c>
      <c r="O823" s="1090"/>
      <c r="P823" s="1090"/>
      <c r="Q823" s="1090"/>
      <c r="R823" s="1090"/>
      <c r="S823" s="1885" t="s">
        <v>682</v>
      </c>
      <c r="T823" s="1800" t="e">
        <v>#N/A</v>
      </c>
      <c r="U823" s="1463" t="e">
        <v>#N/A</v>
      </c>
      <c r="V823" s="1463" t="e">
        <v>#N/A</v>
      </c>
      <c r="W823" s="1463" t="e">
        <v>#N/A</v>
      </c>
      <c r="X823" s="1463" t="e">
        <v>#N/A</v>
      </c>
      <c r="Y823" s="1463" t="e">
        <v>#N/A</v>
      </c>
      <c r="Z823" s="2242" t="e">
        <v>#N/A</v>
      </c>
      <c r="AA823" s="2248" t="e">
        <v>#N/A</v>
      </c>
      <c r="AB823" s="1465" t="e">
        <v>#N/A</v>
      </c>
      <c r="AC823" s="42"/>
      <c r="AF823" s="248"/>
    </row>
    <row r="824" spans="1:32" ht="10.15" hidden="1" customHeight="1" x14ac:dyDescent="0.25">
      <c r="A824" s="10" t="s">
        <v>463</v>
      </c>
      <c r="C824" s="41"/>
      <c r="J824" s="2584"/>
      <c r="K824" s="2585"/>
      <c r="L824" s="2585"/>
      <c r="M824" s="2586"/>
      <c r="N824" s="1132" t="s">
        <v>229</v>
      </c>
      <c r="O824" s="1132"/>
      <c r="P824" s="1132"/>
      <c r="Q824" s="1132"/>
      <c r="R824" s="1132"/>
      <c r="S824" s="1863" t="s">
        <v>683</v>
      </c>
      <c r="T824" s="1794" t="e">
        <v>#N/A</v>
      </c>
      <c r="U824" s="1462" t="e">
        <v>#N/A</v>
      </c>
      <c r="V824" s="1462" t="e">
        <v>#N/A</v>
      </c>
      <c r="W824" s="1462" t="e">
        <v>#N/A</v>
      </c>
      <c r="X824" s="1462" t="e">
        <v>#N/A</v>
      </c>
      <c r="Y824" s="1462" t="e">
        <v>#N/A</v>
      </c>
      <c r="Z824" s="2243" t="e">
        <v>#N/A</v>
      </c>
      <c r="AA824" s="2248" t="e">
        <v>#N/A</v>
      </c>
      <c r="AB824" s="1465" t="e">
        <v>#N/A</v>
      </c>
      <c r="AC824" s="42"/>
      <c r="AF824" s="248"/>
    </row>
    <row r="825" spans="1:32" ht="10.15" hidden="1" customHeight="1" x14ac:dyDescent="0.25">
      <c r="A825" s="10" t="s">
        <v>463</v>
      </c>
      <c r="C825" s="41"/>
      <c r="J825" s="2578" t="s">
        <v>14</v>
      </c>
      <c r="K825" s="2579"/>
      <c r="L825" s="2579"/>
      <c r="M825" s="2580"/>
      <c r="N825" s="1110" t="s">
        <v>112</v>
      </c>
      <c r="O825" s="1110"/>
      <c r="P825" s="1110"/>
      <c r="Q825" s="1110"/>
      <c r="R825" s="1110"/>
      <c r="S825" s="1859" t="s">
        <v>684</v>
      </c>
      <c r="T825" s="2189">
        <v>0</v>
      </c>
      <c r="U825" s="2190">
        <v>0</v>
      </c>
      <c r="V825" s="2190">
        <v>0</v>
      </c>
      <c r="W825" s="2190">
        <v>0</v>
      </c>
      <c r="X825" s="2190">
        <v>0</v>
      </c>
      <c r="Y825" s="2190">
        <v>0</v>
      </c>
      <c r="Z825" s="2269">
        <v>0</v>
      </c>
      <c r="AA825" s="2270">
        <v>0</v>
      </c>
      <c r="AB825" s="1465" t="e">
        <v>#N/A</v>
      </c>
      <c r="AC825" s="42"/>
      <c r="AF825" s="248"/>
    </row>
    <row r="826" spans="1:32" ht="10.15" hidden="1" customHeight="1" x14ac:dyDescent="0.25">
      <c r="A826" s="10" t="s">
        <v>461</v>
      </c>
      <c r="C826" s="41"/>
      <c r="J826" s="2581"/>
      <c r="K826" s="2582"/>
      <c r="L826" s="2582"/>
      <c r="M826" s="2583"/>
      <c r="N826" s="1090" t="s">
        <v>32</v>
      </c>
      <c r="O826" s="1090"/>
      <c r="P826" s="1090"/>
      <c r="Q826" s="1090"/>
      <c r="R826" s="1090"/>
      <c r="S826" s="1857" t="s">
        <v>685</v>
      </c>
      <c r="T826" s="2189">
        <v>0</v>
      </c>
      <c r="U826" s="2190">
        <v>0</v>
      </c>
      <c r="V826" s="2190">
        <v>0</v>
      </c>
      <c r="W826" s="2190">
        <v>0</v>
      </c>
      <c r="X826" s="2190">
        <v>0</v>
      </c>
      <c r="Y826" s="2190">
        <v>0</v>
      </c>
      <c r="Z826" s="2269">
        <v>0</v>
      </c>
      <c r="AA826" s="2270">
        <v>0</v>
      </c>
      <c r="AB826" s="1465" t="e">
        <v>#N/A</v>
      </c>
      <c r="AC826" s="42"/>
      <c r="AF826" s="248"/>
    </row>
    <row r="827" spans="1:32" ht="10.15" hidden="1" customHeight="1" x14ac:dyDescent="0.25">
      <c r="A827" s="10" t="s">
        <v>461</v>
      </c>
      <c r="C827" s="41"/>
      <c r="J827" s="2581"/>
      <c r="K827" s="2582"/>
      <c r="L827" s="2582"/>
      <c r="M827" s="2583"/>
      <c r="N827" s="1088" t="s">
        <v>1549</v>
      </c>
      <c r="O827" s="1090"/>
      <c r="P827" s="1090"/>
      <c r="Q827" s="1090"/>
      <c r="R827" s="1090"/>
      <c r="S827" s="1857" t="s">
        <v>1557</v>
      </c>
      <c r="T827" s="2191">
        <v>0</v>
      </c>
      <c r="U827" s="2192">
        <v>0</v>
      </c>
      <c r="V827" s="2192">
        <v>0</v>
      </c>
      <c r="W827" s="2192">
        <v>0</v>
      </c>
      <c r="X827" s="2192">
        <v>-0.125</v>
      </c>
      <c r="Y827" s="2192">
        <v>-0.125</v>
      </c>
      <c r="Z827" s="2261">
        <v>-0.125</v>
      </c>
      <c r="AA827" s="2262">
        <v>-0.125</v>
      </c>
      <c r="AB827" s="1465" t="e">
        <v>#N/A</v>
      </c>
      <c r="AC827" s="42"/>
      <c r="AF827" s="248"/>
    </row>
    <row r="828" spans="1:32" ht="10.15" hidden="1" customHeight="1" x14ac:dyDescent="0.25">
      <c r="A828" s="10" t="s">
        <v>461</v>
      </c>
      <c r="C828" s="41"/>
      <c r="J828" s="2581"/>
      <c r="K828" s="2582"/>
      <c r="L828" s="2582"/>
      <c r="M828" s="2583"/>
      <c r="N828" s="1088" t="s">
        <v>1550</v>
      </c>
      <c r="O828" s="1090"/>
      <c r="P828" s="1090"/>
      <c r="Q828" s="1090"/>
      <c r="R828" s="1090"/>
      <c r="S828" s="1857" t="s">
        <v>1558</v>
      </c>
      <c r="T828" s="2191">
        <v>0</v>
      </c>
      <c r="U828" s="2192">
        <v>0</v>
      </c>
      <c r="V828" s="2192">
        <v>0</v>
      </c>
      <c r="W828" s="2192">
        <v>0</v>
      </c>
      <c r="X828" s="2192">
        <v>-0.125</v>
      </c>
      <c r="Y828" s="2192">
        <v>-0.125</v>
      </c>
      <c r="Z828" s="2261">
        <v>-0.125</v>
      </c>
      <c r="AA828" s="2262">
        <v>-0.25</v>
      </c>
      <c r="AB828" s="1465" t="e">
        <v>#N/A</v>
      </c>
      <c r="AC828" s="42"/>
      <c r="AF828" s="248"/>
    </row>
    <row r="829" spans="1:32" ht="10.15" hidden="1" customHeight="1" x14ac:dyDescent="0.25">
      <c r="A829" s="10" t="s">
        <v>461</v>
      </c>
      <c r="C829" s="41"/>
      <c r="J829" s="2584"/>
      <c r="K829" s="2585"/>
      <c r="L829" s="2585"/>
      <c r="M829" s="2586"/>
      <c r="N829" s="1132" t="s">
        <v>15</v>
      </c>
      <c r="O829" s="1132"/>
      <c r="P829" s="1132"/>
      <c r="Q829" s="1132"/>
      <c r="R829" s="1132"/>
      <c r="S829" s="1863" t="s">
        <v>686</v>
      </c>
      <c r="T829" s="2263">
        <v>-0.125</v>
      </c>
      <c r="U829" s="2264">
        <v>-0.125</v>
      </c>
      <c r="V829" s="2264">
        <v>-0.125</v>
      </c>
      <c r="W829" s="2264">
        <v>-0.125</v>
      </c>
      <c r="X829" s="2264">
        <v>-0.375</v>
      </c>
      <c r="Y829" s="2264">
        <v>-0.375</v>
      </c>
      <c r="Z829" s="2265">
        <v>-0.375</v>
      </c>
      <c r="AA829" s="2266">
        <v>-0.5</v>
      </c>
      <c r="AB829" s="1465" t="e">
        <v>#N/A</v>
      </c>
      <c r="AC829" s="42"/>
      <c r="AF829" s="248"/>
    </row>
    <row r="830" spans="1:32" ht="10.15" hidden="1" customHeight="1" x14ac:dyDescent="0.25">
      <c r="A830" s="10" t="s">
        <v>461</v>
      </c>
      <c r="C830" s="41"/>
      <c r="J830" s="2578" t="s">
        <v>62</v>
      </c>
      <c r="K830" s="2579"/>
      <c r="L830" s="2579"/>
      <c r="M830" s="2580"/>
      <c r="N830" s="1110" t="s">
        <v>99</v>
      </c>
      <c r="O830" s="1110"/>
      <c r="P830" s="1110"/>
      <c r="Q830" s="1110"/>
      <c r="R830" s="1110"/>
      <c r="S830" s="1859" t="s">
        <v>687</v>
      </c>
      <c r="T830" s="2189">
        <v>0</v>
      </c>
      <c r="U830" s="2190">
        <v>0</v>
      </c>
      <c r="V830" s="2190">
        <v>0</v>
      </c>
      <c r="W830" s="2190">
        <v>0</v>
      </c>
      <c r="X830" s="2190">
        <v>0</v>
      </c>
      <c r="Y830" s="2190">
        <v>0</v>
      </c>
      <c r="Z830" s="2269">
        <v>0</v>
      </c>
      <c r="AA830" s="2270">
        <v>0</v>
      </c>
      <c r="AB830" s="1465" t="e">
        <v>#N/A</v>
      </c>
      <c r="AC830" s="42"/>
      <c r="AF830" s="248"/>
    </row>
    <row r="831" spans="1:32" ht="10.15" hidden="1" customHeight="1" x14ac:dyDescent="0.25">
      <c r="A831" s="10" t="s">
        <v>461</v>
      </c>
      <c r="C831" s="41"/>
      <c r="J831" s="2581"/>
      <c r="K831" s="2582"/>
      <c r="L831" s="2582"/>
      <c r="M831" s="2583"/>
      <c r="N831" s="359" t="s">
        <v>1334</v>
      </c>
      <c r="O831" s="359"/>
      <c r="P831" s="359"/>
      <c r="Q831" s="359"/>
      <c r="R831" s="359"/>
      <c r="S831" s="1873" t="s">
        <v>688</v>
      </c>
      <c r="T831" s="2191">
        <v>0.5</v>
      </c>
      <c r="U831" s="2192">
        <v>0.5</v>
      </c>
      <c r="V831" s="2192">
        <v>0.5</v>
      </c>
      <c r="W831" s="2192">
        <v>0.5</v>
      </c>
      <c r="X831" s="2192">
        <v>0.5</v>
      </c>
      <c r="Y831" s="2192">
        <v>0.5</v>
      </c>
      <c r="Z831" s="2261">
        <v>0.5</v>
      </c>
      <c r="AA831" s="2414" t="e">
        <v>#N/A</v>
      </c>
      <c r="AB831" s="1465" t="e">
        <v>#N/A</v>
      </c>
      <c r="AC831" s="42"/>
      <c r="AF831" s="248"/>
    </row>
    <row r="832" spans="1:32" ht="10.15" hidden="1" customHeight="1" x14ac:dyDescent="0.25">
      <c r="A832" s="10" t="s">
        <v>461</v>
      </c>
      <c r="C832" s="41"/>
      <c r="J832" s="2581"/>
      <c r="K832" s="2582"/>
      <c r="L832" s="2582"/>
      <c r="M832" s="2583"/>
      <c r="N832" s="359" t="s">
        <v>300</v>
      </c>
      <c r="O832" s="359"/>
      <c r="P832" s="359"/>
      <c r="Q832" s="359"/>
      <c r="R832" s="359"/>
      <c r="S832" s="1873" t="s">
        <v>689</v>
      </c>
      <c r="T832" s="2191">
        <v>0.375</v>
      </c>
      <c r="U832" s="2192">
        <v>0.375</v>
      </c>
      <c r="V832" s="2192">
        <v>0.375</v>
      </c>
      <c r="W832" s="2192">
        <v>0.375</v>
      </c>
      <c r="X832" s="2192">
        <v>0.375</v>
      </c>
      <c r="Y832" s="2192">
        <v>0.375</v>
      </c>
      <c r="Z832" s="2261">
        <v>0.375</v>
      </c>
      <c r="AA832" s="2414" t="e">
        <v>#N/A</v>
      </c>
      <c r="AB832" s="1465" t="e">
        <v>#N/A</v>
      </c>
      <c r="AC832" s="42"/>
      <c r="AF832" s="248"/>
    </row>
    <row r="833" spans="1:32" ht="10.15" hidden="1" customHeight="1" x14ac:dyDescent="0.25">
      <c r="A833" s="10" t="s">
        <v>461</v>
      </c>
      <c r="C833" s="41"/>
      <c r="J833" s="2581"/>
      <c r="K833" s="2582"/>
      <c r="L833" s="2582"/>
      <c r="M833" s="2583"/>
      <c r="N833" s="359" t="s">
        <v>299</v>
      </c>
      <c r="O833" s="359"/>
      <c r="P833" s="359"/>
      <c r="Q833" s="359"/>
      <c r="R833" s="359"/>
      <c r="S833" s="1873" t="s">
        <v>690</v>
      </c>
      <c r="T833" s="2191">
        <v>0</v>
      </c>
      <c r="U833" s="2192">
        <v>0</v>
      </c>
      <c r="V833" s="2192">
        <v>0</v>
      </c>
      <c r="W833" s="2192">
        <v>0</v>
      </c>
      <c r="X833" s="2192">
        <v>0</v>
      </c>
      <c r="Y833" s="2192">
        <v>0</v>
      </c>
      <c r="Z833" s="2261">
        <v>0</v>
      </c>
      <c r="AA833" s="2414" t="e">
        <v>#N/A</v>
      </c>
      <c r="AB833" s="1465" t="e">
        <v>#N/A</v>
      </c>
      <c r="AC833" s="42"/>
      <c r="AF833" s="248"/>
    </row>
    <row r="834" spans="1:32" ht="10.15" hidden="1" customHeight="1" x14ac:dyDescent="0.25">
      <c r="A834" s="10" t="s">
        <v>461</v>
      </c>
      <c r="C834" s="41"/>
      <c r="J834" s="2581"/>
      <c r="K834" s="2582"/>
      <c r="L834" s="2582"/>
      <c r="M834" s="2583"/>
      <c r="N834" s="359" t="s">
        <v>351</v>
      </c>
      <c r="O834" s="359"/>
      <c r="P834" s="359"/>
      <c r="Q834" s="359"/>
      <c r="R834" s="359"/>
      <c r="S834" s="1873" t="s">
        <v>691</v>
      </c>
      <c r="T834" s="2191">
        <v>0</v>
      </c>
      <c r="U834" s="2192">
        <v>0</v>
      </c>
      <c r="V834" s="2192">
        <v>0</v>
      </c>
      <c r="W834" s="2192">
        <v>0</v>
      </c>
      <c r="X834" s="2192">
        <v>0</v>
      </c>
      <c r="Y834" s="2192">
        <v>0</v>
      </c>
      <c r="Z834" s="2261">
        <v>0</v>
      </c>
      <c r="AA834" s="2414" t="e">
        <v>#N/A</v>
      </c>
      <c r="AB834" s="1465" t="e">
        <v>#N/A</v>
      </c>
      <c r="AC834" s="42"/>
      <c r="AF834" s="248"/>
    </row>
    <row r="835" spans="1:32" ht="10.15" hidden="1" customHeight="1" x14ac:dyDescent="0.25">
      <c r="A835" s="10" t="s">
        <v>461</v>
      </c>
      <c r="C835" s="41"/>
      <c r="J835" s="2581"/>
      <c r="K835" s="2582"/>
      <c r="L835" s="2582"/>
      <c r="M835" s="2583"/>
      <c r="N835" s="359" t="s">
        <v>352</v>
      </c>
      <c r="O835" s="359"/>
      <c r="P835" s="359"/>
      <c r="Q835" s="359"/>
      <c r="R835" s="359"/>
      <c r="S835" s="1873" t="s">
        <v>692</v>
      </c>
      <c r="T835" s="2263">
        <v>-1.625</v>
      </c>
      <c r="U835" s="2264">
        <v>-1.625</v>
      </c>
      <c r="V835" s="2264">
        <v>-1.625</v>
      </c>
      <c r="W835" s="2264">
        <v>-1.625</v>
      </c>
      <c r="X835" s="2264">
        <v>-3</v>
      </c>
      <c r="Y835" s="2264">
        <v>-3.25</v>
      </c>
      <c r="Z835" s="2265">
        <v>-4</v>
      </c>
      <c r="AA835" s="2412" t="e">
        <v>#N/A</v>
      </c>
      <c r="AB835" s="1465" t="e">
        <v>#N/A</v>
      </c>
      <c r="AC835" s="42"/>
      <c r="AF835" s="248"/>
    </row>
    <row r="836" spans="1:32" ht="10.15" hidden="1" customHeight="1" x14ac:dyDescent="0.25">
      <c r="A836" s="10" t="s">
        <v>463</v>
      </c>
      <c r="C836" s="41"/>
      <c r="J836" s="2584"/>
      <c r="K836" s="2585"/>
      <c r="L836" s="2585"/>
      <c r="M836" s="2586"/>
      <c r="N836" s="359" t="s">
        <v>353</v>
      </c>
      <c r="O836" s="359"/>
      <c r="P836" s="359"/>
      <c r="Q836" s="359"/>
      <c r="R836" s="359"/>
      <c r="S836" s="1863" t="s">
        <v>693</v>
      </c>
      <c r="T836" s="1794" t="e">
        <v>#N/A</v>
      </c>
      <c r="U836" s="1462" t="e">
        <v>#N/A</v>
      </c>
      <c r="V836" s="1462" t="e">
        <v>#N/A</v>
      </c>
      <c r="W836" s="1462" t="e">
        <v>#N/A</v>
      </c>
      <c r="X836" s="1462" t="e">
        <v>#N/A</v>
      </c>
      <c r="Y836" s="1462" t="e">
        <v>#N/A</v>
      </c>
      <c r="Z836" s="2243" t="e">
        <v>#N/A</v>
      </c>
      <c r="AA836" s="2248" t="e">
        <v>#N/A</v>
      </c>
      <c r="AB836" s="1465" t="e">
        <v>#N/A</v>
      </c>
      <c r="AC836" s="42"/>
      <c r="AF836" s="248"/>
    </row>
    <row r="837" spans="1:32" ht="10.15" hidden="1" customHeight="1" x14ac:dyDescent="0.25">
      <c r="A837" s="10" t="s">
        <v>461</v>
      </c>
      <c r="C837" s="41"/>
      <c r="J837" s="2578" t="s">
        <v>33</v>
      </c>
      <c r="K837" s="2579"/>
      <c r="L837" s="2579"/>
      <c r="M837" s="2580"/>
      <c r="N837" s="1133" t="s">
        <v>34</v>
      </c>
      <c r="O837" s="1133"/>
      <c r="P837" s="1133"/>
      <c r="Q837" s="1133"/>
      <c r="R837" s="1133"/>
      <c r="S837" s="1865" t="s">
        <v>694</v>
      </c>
      <c r="T837" s="2189">
        <v>0</v>
      </c>
      <c r="U837" s="2190">
        <v>0</v>
      </c>
      <c r="V837" s="2190">
        <v>0</v>
      </c>
      <c r="W837" s="2190">
        <v>0</v>
      </c>
      <c r="X837" s="2190">
        <v>0</v>
      </c>
      <c r="Y837" s="2190">
        <v>0</v>
      </c>
      <c r="Z837" s="2269">
        <v>0</v>
      </c>
      <c r="AA837" s="2270">
        <v>0</v>
      </c>
      <c r="AB837" s="1465" t="e">
        <v>#N/A</v>
      </c>
      <c r="AC837" s="42"/>
      <c r="AF837" s="248"/>
    </row>
    <row r="838" spans="1:32" ht="10.15" hidden="1" customHeight="1" x14ac:dyDescent="0.25">
      <c r="A838" s="10" t="s">
        <v>461</v>
      </c>
      <c r="C838" s="41"/>
      <c r="J838" s="2581"/>
      <c r="K838" s="2582"/>
      <c r="L838" s="2582"/>
      <c r="M838" s="2583"/>
      <c r="N838" s="1091" t="s">
        <v>35</v>
      </c>
      <c r="O838" s="1091"/>
      <c r="P838" s="1091"/>
      <c r="Q838" s="1091"/>
      <c r="R838" s="1091"/>
      <c r="S838" s="1866" t="s">
        <v>695</v>
      </c>
      <c r="T838" s="2191">
        <v>0</v>
      </c>
      <c r="U838" s="2192">
        <v>0</v>
      </c>
      <c r="V838" s="2192">
        <v>0</v>
      </c>
      <c r="W838" s="2192">
        <v>0</v>
      </c>
      <c r="X838" s="2192">
        <v>0</v>
      </c>
      <c r="Y838" s="2192">
        <v>0</v>
      </c>
      <c r="Z838" s="2261">
        <v>0</v>
      </c>
      <c r="AA838" s="2262">
        <v>0</v>
      </c>
      <c r="AB838" s="1465" t="e">
        <v>#N/A</v>
      </c>
      <c r="AC838" s="42"/>
      <c r="AF838" s="248"/>
    </row>
    <row r="839" spans="1:32" ht="10.15" hidden="1" customHeight="1" x14ac:dyDescent="0.25">
      <c r="A839" s="10" t="s">
        <v>461</v>
      </c>
      <c r="C839" s="41"/>
      <c r="J839" s="2584"/>
      <c r="K839" s="2585"/>
      <c r="L839" s="2585"/>
      <c r="M839" s="2586"/>
      <c r="N839" s="1096" t="s">
        <v>16</v>
      </c>
      <c r="O839" s="1096"/>
      <c r="P839" s="1096"/>
      <c r="Q839" s="1096"/>
      <c r="R839" s="1096"/>
      <c r="S839" s="1867" t="s">
        <v>696</v>
      </c>
      <c r="T839" s="2263">
        <v>-0.375</v>
      </c>
      <c r="U839" s="2264">
        <v>-0.375</v>
      </c>
      <c r="V839" s="2264">
        <v>-0.375</v>
      </c>
      <c r="W839" s="2264">
        <v>-0.5</v>
      </c>
      <c r="X839" s="2264">
        <v>-0.75</v>
      </c>
      <c r="Y839" s="2264">
        <v>-1.25</v>
      </c>
      <c r="Z839" s="2265">
        <v>-1.875</v>
      </c>
      <c r="AA839" s="2412" t="e">
        <v>#N/A</v>
      </c>
      <c r="AB839" s="1465" t="e">
        <v>#N/A</v>
      </c>
      <c r="AC839" s="42"/>
      <c r="AF839" s="248"/>
    </row>
    <row r="840" spans="1:32" ht="10.15" hidden="1" customHeight="1" x14ac:dyDescent="0.25">
      <c r="A840" s="10" t="s">
        <v>461</v>
      </c>
      <c r="C840" s="41"/>
      <c r="J840" s="2701" t="s">
        <v>39</v>
      </c>
      <c r="K840" s="2702"/>
      <c r="L840" s="2702"/>
      <c r="M840" s="2703"/>
      <c r="N840" s="1134" t="s">
        <v>38</v>
      </c>
      <c r="O840" s="1134"/>
      <c r="P840" s="1134"/>
      <c r="Q840" s="1134"/>
      <c r="R840" s="1134"/>
      <c r="S840" s="1867" t="s">
        <v>697</v>
      </c>
      <c r="T840" s="2369">
        <v>0</v>
      </c>
      <c r="U840" s="2352">
        <v>0</v>
      </c>
      <c r="V840" s="2352">
        <v>0</v>
      </c>
      <c r="W840" s="2352">
        <v>0</v>
      </c>
      <c r="X840" s="2352">
        <v>0</v>
      </c>
      <c r="Y840" s="2352">
        <v>0</v>
      </c>
      <c r="Z840" s="2392">
        <v>0</v>
      </c>
      <c r="AA840" s="2393">
        <v>0</v>
      </c>
      <c r="AB840" s="1465" t="e">
        <v>#N/A</v>
      </c>
      <c r="AC840" s="42"/>
      <c r="AF840" s="248"/>
    </row>
    <row r="841" spans="1:32" ht="10.15" hidden="1" customHeight="1" x14ac:dyDescent="0.25">
      <c r="A841" s="10" t="s">
        <v>463</v>
      </c>
      <c r="C841" s="41"/>
      <c r="J841" s="2709" t="s">
        <v>428</v>
      </c>
      <c r="K841" s="2710"/>
      <c r="L841" s="2710"/>
      <c r="M841" s="2711"/>
      <c r="N841" s="1115" t="s">
        <v>427</v>
      </c>
      <c r="O841" s="1133"/>
      <c r="P841" s="1133"/>
      <c r="Q841" s="1133"/>
      <c r="R841" s="1133"/>
      <c r="S841" s="1869" t="s">
        <v>698</v>
      </c>
      <c r="T841" s="2394">
        <v>0</v>
      </c>
      <c r="U841" s="2294">
        <v>0</v>
      </c>
      <c r="V841" s="2294">
        <v>0</v>
      </c>
      <c r="W841" s="2294">
        <v>0</v>
      </c>
      <c r="X841" s="2294">
        <v>0</v>
      </c>
      <c r="Y841" s="2294">
        <v>0</v>
      </c>
      <c r="Z841" s="2395">
        <v>0</v>
      </c>
      <c r="AA841" s="2390">
        <v>0</v>
      </c>
      <c r="AB841" s="1465" t="e">
        <v>#N/A</v>
      </c>
      <c r="AC841" s="42"/>
      <c r="AF841" s="248"/>
    </row>
    <row r="842" spans="1:32" ht="10.15" hidden="1" customHeight="1" x14ac:dyDescent="0.25">
      <c r="A842" s="10" t="s">
        <v>461</v>
      </c>
      <c r="C842" s="41"/>
      <c r="J842" s="2578" t="s">
        <v>40</v>
      </c>
      <c r="K842" s="2579"/>
      <c r="L842" s="2579"/>
      <c r="M842" s="2580"/>
      <c r="N842" s="1135" t="s">
        <v>41</v>
      </c>
      <c r="O842" s="1135"/>
      <c r="P842" s="1135"/>
      <c r="Q842" s="1135"/>
      <c r="R842" s="1135"/>
      <c r="S842" s="1871" t="s">
        <v>699</v>
      </c>
      <c r="T842" s="2353">
        <v>0</v>
      </c>
      <c r="U842" s="2354">
        <v>0</v>
      </c>
      <c r="V842" s="2354">
        <v>0</v>
      </c>
      <c r="W842" s="2354">
        <v>0</v>
      </c>
      <c r="X842" s="2354">
        <v>0</v>
      </c>
      <c r="Y842" s="2354">
        <v>0</v>
      </c>
      <c r="Z842" s="2376">
        <v>0</v>
      </c>
      <c r="AA842" s="2377">
        <v>0</v>
      </c>
      <c r="AB842" s="1465" t="e">
        <v>#N/A</v>
      </c>
      <c r="AC842" s="42"/>
      <c r="AF842" s="248"/>
    </row>
    <row r="843" spans="1:32" ht="10.15" hidden="1" customHeight="1" x14ac:dyDescent="0.25">
      <c r="A843" s="10" t="s">
        <v>461</v>
      </c>
      <c r="C843" s="41"/>
      <c r="J843" s="2581"/>
      <c r="K843" s="2582"/>
      <c r="L843" s="2582"/>
      <c r="M843" s="2583"/>
      <c r="N843" s="360" t="s">
        <v>376</v>
      </c>
      <c r="O843" s="360"/>
      <c r="P843" s="360"/>
      <c r="Q843" s="360"/>
      <c r="R843" s="360"/>
      <c r="S843" s="1872" t="s">
        <v>1663</v>
      </c>
      <c r="T843" s="2356">
        <v>-0.375</v>
      </c>
      <c r="U843" s="2357">
        <v>-0.375</v>
      </c>
      <c r="V843" s="2357">
        <v>-0.375</v>
      </c>
      <c r="W843" s="2357">
        <v>-0.375</v>
      </c>
      <c r="X843" s="2357">
        <v>-0.375</v>
      </c>
      <c r="Y843" s="2357">
        <v>-0.375</v>
      </c>
      <c r="Z843" s="2378">
        <v>-0.375</v>
      </c>
      <c r="AA843" s="2379">
        <v>-0.375</v>
      </c>
      <c r="AB843" s="1465" t="e">
        <v>#N/A</v>
      </c>
      <c r="AC843" s="42"/>
      <c r="AF843" s="248"/>
    </row>
    <row r="844" spans="1:32" ht="10.15" hidden="1" customHeight="1" x14ac:dyDescent="0.25">
      <c r="A844" s="10" t="s">
        <v>461</v>
      </c>
      <c r="C844" s="41"/>
      <c r="J844" s="2581"/>
      <c r="K844" s="2582"/>
      <c r="L844" s="2582"/>
      <c r="M844" s="2583"/>
      <c r="N844" s="360" t="s">
        <v>369</v>
      </c>
      <c r="O844" s="360"/>
      <c r="P844" s="360"/>
      <c r="Q844" s="360"/>
      <c r="R844" s="360"/>
      <c r="S844" s="1872" t="s">
        <v>1667</v>
      </c>
      <c r="T844" s="2356">
        <v>-0.375</v>
      </c>
      <c r="U844" s="2357">
        <v>-0.375</v>
      </c>
      <c r="V844" s="2357">
        <v>-0.375</v>
      </c>
      <c r="W844" s="2357">
        <v>-0.375</v>
      </c>
      <c r="X844" s="2357">
        <v>-0.375</v>
      </c>
      <c r="Y844" s="2357">
        <v>-0.375</v>
      </c>
      <c r="Z844" s="2378">
        <v>-0.375</v>
      </c>
      <c r="AA844" s="2379">
        <v>-0.375</v>
      </c>
      <c r="AB844" s="1465" t="e">
        <v>#N/A</v>
      </c>
      <c r="AC844" s="42"/>
      <c r="AF844" s="248"/>
    </row>
    <row r="845" spans="1:32" ht="10.15" hidden="1" customHeight="1" x14ac:dyDescent="0.25">
      <c r="A845" s="10" t="s">
        <v>461</v>
      </c>
      <c r="C845" s="41"/>
      <c r="J845" s="2584"/>
      <c r="K845" s="2585"/>
      <c r="L845" s="2585"/>
      <c r="M845" s="2586"/>
      <c r="N845" s="1096" t="s">
        <v>321</v>
      </c>
      <c r="O845" s="1096"/>
      <c r="P845" s="1096"/>
      <c r="Q845" s="1096"/>
      <c r="R845" s="1096"/>
      <c r="S845" s="1879" t="s">
        <v>700</v>
      </c>
      <c r="T845" s="2359">
        <v>0</v>
      </c>
      <c r="U845" s="2329">
        <v>0</v>
      </c>
      <c r="V845" s="2329">
        <v>0</v>
      </c>
      <c r="W845" s="2329">
        <v>0</v>
      </c>
      <c r="X845" s="2329">
        <v>0</v>
      </c>
      <c r="Y845" s="2329">
        <v>0</v>
      </c>
      <c r="Z845" s="2380">
        <v>0</v>
      </c>
      <c r="AA845" s="2381">
        <v>0</v>
      </c>
      <c r="AB845" s="1465" t="e">
        <v>#N/A</v>
      </c>
      <c r="AC845" s="42"/>
      <c r="AF845" s="248"/>
    </row>
    <row r="846" spans="1:32" ht="10.15" hidden="1" customHeight="1" x14ac:dyDescent="0.25">
      <c r="A846" s="10" t="s">
        <v>461</v>
      </c>
      <c r="C846" s="41"/>
      <c r="J846" s="2578" t="s">
        <v>91</v>
      </c>
      <c r="K846" s="2579"/>
      <c r="L846" s="2579"/>
      <c r="M846" s="2580"/>
      <c r="N846" s="1136" t="s">
        <v>83</v>
      </c>
      <c r="O846" s="1136"/>
      <c r="P846" s="1136"/>
      <c r="Q846" s="1136"/>
      <c r="R846" s="1136"/>
      <c r="S846" s="1869" t="s">
        <v>701</v>
      </c>
      <c r="T846" s="2189">
        <v>0</v>
      </c>
      <c r="U846" s="2190">
        <v>0</v>
      </c>
      <c r="V846" s="2190">
        <v>0</v>
      </c>
      <c r="W846" s="2190">
        <v>0</v>
      </c>
      <c r="X846" s="2190">
        <v>0</v>
      </c>
      <c r="Y846" s="2190">
        <v>0</v>
      </c>
      <c r="Z846" s="2269">
        <v>0</v>
      </c>
      <c r="AA846" s="2270">
        <v>0</v>
      </c>
      <c r="AB846" s="1465" t="e">
        <v>#N/A</v>
      </c>
      <c r="AC846" s="42"/>
      <c r="AF846" s="248"/>
    </row>
    <row r="847" spans="1:32" ht="10.15" hidden="1" customHeight="1" x14ac:dyDescent="0.25">
      <c r="A847" s="10" t="s">
        <v>463</v>
      </c>
      <c r="C847" s="41"/>
      <c r="J847" s="2581"/>
      <c r="K847" s="2582"/>
      <c r="L847" s="2582"/>
      <c r="M847" s="2583"/>
      <c r="N847" s="1093" t="s">
        <v>1635</v>
      </c>
      <c r="O847" s="1093"/>
      <c r="P847" s="1093"/>
      <c r="Q847" s="1093"/>
      <c r="R847" s="1093"/>
      <c r="S847" s="1866" t="s">
        <v>1639</v>
      </c>
      <c r="T847" s="2257" t="e">
        <v>#N/A</v>
      </c>
      <c r="U847" s="2258" t="e">
        <v>#N/A</v>
      </c>
      <c r="V847" s="2258" t="e">
        <v>#N/A</v>
      </c>
      <c r="W847" s="2258" t="e">
        <v>#N/A</v>
      </c>
      <c r="X847" s="2258" t="e">
        <v>#N/A</v>
      </c>
      <c r="Y847" s="2258" t="e">
        <v>#N/A</v>
      </c>
      <c r="Z847" s="2259" t="e">
        <v>#N/A</v>
      </c>
      <c r="AA847" s="2260" t="e">
        <v>#N/A</v>
      </c>
      <c r="AB847" s="1465" t="e">
        <v>#N/A</v>
      </c>
      <c r="AC847" s="42"/>
      <c r="AF847" s="248"/>
    </row>
    <row r="848" spans="1:32" ht="10.15" hidden="1" customHeight="1" x14ac:dyDescent="0.25">
      <c r="A848" s="10" t="s">
        <v>461</v>
      </c>
      <c r="C848" s="41"/>
      <c r="J848" s="2581"/>
      <c r="K848" s="2582"/>
      <c r="L848" s="2582"/>
      <c r="M848" s="2583"/>
      <c r="N848" s="360" t="s">
        <v>155</v>
      </c>
      <c r="O848" s="360"/>
      <c r="P848" s="360"/>
      <c r="Q848" s="360"/>
      <c r="R848" s="360"/>
      <c r="S848" s="1872" t="s">
        <v>702</v>
      </c>
      <c r="T848" s="2191">
        <v>0</v>
      </c>
      <c r="U848" s="2192">
        <v>0</v>
      </c>
      <c r="V848" s="2192">
        <v>0</v>
      </c>
      <c r="W848" s="2192">
        <v>0</v>
      </c>
      <c r="X848" s="2192">
        <v>0</v>
      </c>
      <c r="Y848" s="2192">
        <v>0</v>
      </c>
      <c r="Z848" s="2261">
        <v>0</v>
      </c>
      <c r="AA848" s="2262">
        <v>0</v>
      </c>
      <c r="AB848" s="1465" t="e">
        <v>#N/A</v>
      </c>
      <c r="AC848" s="42"/>
      <c r="AF848" s="248"/>
    </row>
    <row r="849" spans="1:32" ht="10.15" hidden="1" customHeight="1" x14ac:dyDescent="0.25">
      <c r="A849" s="10" t="s">
        <v>461</v>
      </c>
      <c r="C849" s="41"/>
      <c r="J849" s="2581"/>
      <c r="K849" s="2582"/>
      <c r="L849" s="2582"/>
      <c r="M849" s="2583"/>
      <c r="N849" s="1091" t="s">
        <v>128</v>
      </c>
      <c r="O849" s="1091"/>
      <c r="P849" s="1091"/>
      <c r="Q849" s="1091"/>
      <c r="R849" s="1091"/>
      <c r="S849" s="1872" t="s">
        <v>703</v>
      </c>
      <c r="T849" s="2191">
        <v>0</v>
      </c>
      <c r="U849" s="2192">
        <v>0</v>
      </c>
      <c r="V849" s="2192">
        <v>0</v>
      </c>
      <c r="W849" s="2192">
        <v>0</v>
      </c>
      <c r="X849" s="2192">
        <v>0</v>
      </c>
      <c r="Y849" s="2192">
        <v>0</v>
      </c>
      <c r="Z849" s="2261">
        <v>0</v>
      </c>
      <c r="AA849" s="2262">
        <v>0</v>
      </c>
      <c r="AB849" s="1465" t="e">
        <v>#N/A</v>
      </c>
      <c r="AC849" s="42"/>
      <c r="AF849" s="248"/>
    </row>
    <row r="850" spans="1:32" ht="10.15" hidden="1" customHeight="1" x14ac:dyDescent="0.25">
      <c r="A850" s="10" t="s">
        <v>461</v>
      </c>
      <c r="C850" s="41"/>
      <c r="J850" s="2581"/>
      <c r="K850" s="2582"/>
      <c r="L850" s="2582"/>
      <c r="M850" s="2583"/>
      <c r="N850" s="360" t="s">
        <v>153</v>
      </c>
      <c r="O850" s="360"/>
      <c r="P850" s="360"/>
      <c r="Q850" s="360"/>
      <c r="R850" s="360"/>
      <c r="S850" s="1872" t="s">
        <v>704</v>
      </c>
      <c r="T850" s="2191">
        <v>0</v>
      </c>
      <c r="U850" s="2192">
        <v>0</v>
      </c>
      <c r="V850" s="2192">
        <v>0</v>
      </c>
      <c r="W850" s="2192">
        <v>0</v>
      </c>
      <c r="X850" s="2192">
        <v>0</v>
      </c>
      <c r="Y850" s="2192">
        <v>0</v>
      </c>
      <c r="Z850" s="2261">
        <v>0</v>
      </c>
      <c r="AA850" s="2262">
        <v>0</v>
      </c>
      <c r="AB850" s="1465" t="e">
        <v>#N/A</v>
      </c>
      <c r="AC850" s="42"/>
      <c r="AF850" s="248"/>
    </row>
    <row r="851" spans="1:32" ht="10.15" hidden="1" customHeight="1" x14ac:dyDescent="0.25">
      <c r="A851" s="10" t="s">
        <v>461</v>
      </c>
      <c r="C851" s="41"/>
      <c r="J851" s="2581"/>
      <c r="K851" s="2582"/>
      <c r="L851" s="2582"/>
      <c r="M851" s="2583"/>
      <c r="N851" s="360" t="s">
        <v>154</v>
      </c>
      <c r="O851" s="360"/>
      <c r="P851" s="360"/>
      <c r="Q851" s="360"/>
      <c r="R851" s="360"/>
      <c r="S851" s="1872" t="s">
        <v>705</v>
      </c>
      <c r="T851" s="2191">
        <v>0</v>
      </c>
      <c r="U851" s="2192">
        <v>0</v>
      </c>
      <c r="V851" s="2192">
        <v>0</v>
      </c>
      <c r="W851" s="2192">
        <v>0</v>
      </c>
      <c r="X851" s="2192">
        <v>0</v>
      </c>
      <c r="Y851" s="2192">
        <v>0</v>
      </c>
      <c r="Z851" s="2261">
        <v>0</v>
      </c>
      <c r="AA851" s="2262">
        <v>0</v>
      </c>
      <c r="AB851" s="1465" t="e">
        <v>#N/A</v>
      </c>
      <c r="AC851" s="42"/>
      <c r="AF851" s="248"/>
    </row>
    <row r="852" spans="1:32" ht="10.15" hidden="1" customHeight="1" x14ac:dyDescent="0.25">
      <c r="A852" s="10" t="s">
        <v>461</v>
      </c>
      <c r="C852" s="41"/>
      <c r="J852" s="2581"/>
      <c r="K852" s="2582"/>
      <c r="L852" s="2582"/>
      <c r="M852" s="2583"/>
      <c r="N852" s="1091" t="s">
        <v>222</v>
      </c>
      <c r="O852" s="1091"/>
      <c r="P852" s="1091"/>
      <c r="Q852" s="1091"/>
      <c r="R852" s="1091"/>
      <c r="S852" s="1872" t="s">
        <v>706</v>
      </c>
      <c r="T852" s="2191">
        <v>0</v>
      </c>
      <c r="U852" s="2192">
        <v>0</v>
      </c>
      <c r="V852" s="2192">
        <v>0</v>
      </c>
      <c r="W852" s="2192">
        <v>0</v>
      </c>
      <c r="X852" s="2192">
        <v>0</v>
      </c>
      <c r="Y852" s="2192">
        <v>0</v>
      </c>
      <c r="Z852" s="2261">
        <v>0</v>
      </c>
      <c r="AA852" s="2262">
        <v>0</v>
      </c>
      <c r="AB852" s="1465" t="e">
        <v>#N/A</v>
      </c>
      <c r="AC852" s="42"/>
      <c r="AF852" s="248"/>
    </row>
    <row r="853" spans="1:32" ht="10.15" hidden="1" customHeight="1" x14ac:dyDescent="0.25">
      <c r="A853" s="10" t="s">
        <v>461</v>
      </c>
      <c r="C853" s="41"/>
      <c r="J853" s="2581"/>
      <c r="K853" s="2582"/>
      <c r="L853" s="2582"/>
      <c r="M853" s="2583"/>
      <c r="N853" s="1091" t="s">
        <v>131</v>
      </c>
      <c r="O853" s="1091"/>
      <c r="P853" s="1091"/>
      <c r="Q853" s="1091"/>
      <c r="R853" s="1091"/>
      <c r="S853" s="1866" t="s">
        <v>707</v>
      </c>
      <c r="T853" s="2191">
        <v>-0.125</v>
      </c>
      <c r="U853" s="2192">
        <v>-0.125</v>
      </c>
      <c r="V853" s="2192">
        <v>-0.125</v>
      </c>
      <c r="W853" s="2192">
        <v>-0.125</v>
      </c>
      <c r="X853" s="2192">
        <v>-0.25</v>
      </c>
      <c r="Y853" s="2192">
        <v>-0.375</v>
      </c>
      <c r="Z853" s="2261">
        <v>-0.5</v>
      </c>
      <c r="AA853" s="2262">
        <v>-0.75</v>
      </c>
      <c r="AB853" s="1466" t="e">
        <v>#N/A</v>
      </c>
      <c r="AC853" s="42"/>
      <c r="AF853" s="248"/>
    </row>
    <row r="854" spans="1:32" ht="10.15" hidden="1" customHeight="1" x14ac:dyDescent="0.25">
      <c r="A854" s="10" t="s">
        <v>461</v>
      </c>
      <c r="C854" s="41"/>
      <c r="J854" s="2581"/>
      <c r="K854" s="2582"/>
      <c r="L854" s="2582"/>
      <c r="M854" s="2583"/>
      <c r="N854" s="1091" t="s">
        <v>132</v>
      </c>
      <c r="O854" s="1091"/>
      <c r="P854" s="1091"/>
      <c r="Q854" s="1091"/>
      <c r="R854" s="1091"/>
      <c r="S854" s="1866" t="s">
        <v>708</v>
      </c>
      <c r="T854" s="2191">
        <v>-0.5</v>
      </c>
      <c r="U854" s="2192">
        <v>-0.5</v>
      </c>
      <c r="V854" s="2192">
        <v>-0.5</v>
      </c>
      <c r="W854" s="2192">
        <v>-0.5</v>
      </c>
      <c r="X854" s="2192">
        <v>-0.75</v>
      </c>
      <c r="Y854" s="2192">
        <v>-0.75</v>
      </c>
      <c r="Z854" s="2261">
        <v>-1</v>
      </c>
      <c r="AA854" s="2414" t="e">
        <v>#N/A</v>
      </c>
      <c r="AB854" s="1466" t="e">
        <v>#N/A</v>
      </c>
      <c r="AC854" s="42"/>
      <c r="AF854" s="248"/>
    </row>
    <row r="855" spans="1:32" ht="10.15" hidden="1" customHeight="1" x14ac:dyDescent="0.25">
      <c r="A855" s="10" t="s">
        <v>461</v>
      </c>
      <c r="C855" s="41"/>
      <c r="J855" s="2581"/>
      <c r="K855" s="2582"/>
      <c r="L855" s="2582"/>
      <c r="M855" s="2583"/>
      <c r="N855" s="1091" t="s">
        <v>1630</v>
      </c>
      <c r="O855" s="1091"/>
      <c r="P855" s="1091"/>
      <c r="Q855" s="1091"/>
      <c r="R855" s="1091"/>
      <c r="S855" s="1866" t="s">
        <v>1634</v>
      </c>
      <c r="T855" s="2191">
        <v>-1.5</v>
      </c>
      <c r="U855" s="2192">
        <v>-1.5</v>
      </c>
      <c r="V855" s="2192">
        <v>-1.5</v>
      </c>
      <c r="W855" s="2192">
        <v>-1.5</v>
      </c>
      <c r="X855" s="2192">
        <v>-2.25</v>
      </c>
      <c r="Y855" s="2192">
        <v>-2.25</v>
      </c>
      <c r="Z855" s="2413" t="e">
        <v>#N/A</v>
      </c>
      <c r="AA855" s="2414" t="e">
        <v>#N/A</v>
      </c>
      <c r="AB855" s="1465" t="e">
        <v>#N/A</v>
      </c>
      <c r="AC855" s="42"/>
      <c r="AF855" s="248"/>
    </row>
    <row r="856" spans="1:32" ht="10.15" hidden="1" customHeight="1" x14ac:dyDescent="0.25">
      <c r="A856" s="10" t="s">
        <v>461</v>
      </c>
      <c r="C856" s="41"/>
      <c r="J856" s="2581"/>
      <c r="K856" s="2582"/>
      <c r="L856" s="2582"/>
      <c r="M856" s="2583"/>
      <c r="N856" s="1091" t="s">
        <v>133</v>
      </c>
      <c r="O856" s="1091"/>
      <c r="P856" s="1091"/>
      <c r="Q856" s="1091"/>
      <c r="R856" s="1091"/>
      <c r="S856" s="1866" t="s">
        <v>709</v>
      </c>
      <c r="T856" s="2191">
        <v>-0.25</v>
      </c>
      <c r="U856" s="2192">
        <v>-0.25</v>
      </c>
      <c r="V856" s="2192">
        <v>-0.25</v>
      </c>
      <c r="W856" s="2192">
        <v>-0.25</v>
      </c>
      <c r="X856" s="2192">
        <v>-0.375</v>
      </c>
      <c r="Y856" s="2192">
        <v>-0.375</v>
      </c>
      <c r="Z856" s="2261">
        <v>-0.5</v>
      </c>
      <c r="AA856" s="2414" t="e">
        <v>#N/A</v>
      </c>
      <c r="AB856" s="1465" t="e">
        <v>#N/A</v>
      </c>
      <c r="AC856" s="42"/>
      <c r="AF856" s="248"/>
    </row>
    <row r="857" spans="1:32" ht="10.15" hidden="1" customHeight="1" x14ac:dyDescent="0.25">
      <c r="A857" s="10" t="s">
        <v>461</v>
      </c>
      <c r="C857" s="41"/>
      <c r="J857" s="2581"/>
      <c r="K857" s="2582"/>
      <c r="L857" s="2582"/>
      <c r="M857" s="2583"/>
      <c r="N857" s="1091" t="s">
        <v>134</v>
      </c>
      <c r="O857" s="1091"/>
      <c r="P857" s="1091"/>
      <c r="Q857" s="1091"/>
      <c r="R857" s="1091"/>
      <c r="S857" s="1866" t="s">
        <v>710</v>
      </c>
      <c r="T857" s="2191">
        <v>-0.25</v>
      </c>
      <c r="U857" s="2192">
        <v>-0.25</v>
      </c>
      <c r="V857" s="2192">
        <v>-0.25</v>
      </c>
      <c r="W857" s="2192">
        <v>-0.25</v>
      </c>
      <c r="X857" s="2192">
        <v>-0.375</v>
      </c>
      <c r="Y857" s="2192">
        <v>-0.375</v>
      </c>
      <c r="Z857" s="2261">
        <v>-0.5</v>
      </c>
      <c r="AA857" s="2414" t="e">
        <v>#N/A</v>
      </c>
      <c r="AB857" s="1465" t="e">
        <v>#N/A</v>
      </c>
      <c r="AC857" s="42"/>
      <c r="AF857" s="248"/>
    </row>
    <row r="858" spans="1:32" ht="10.15" hidden="1" customHeight="1" x14ac:dyDescent="0.25">
      <c r="A858" s="10" t="s">
        <v>461</v>
      </c>
      <c r="C858" s="41"/>
      <c r="J858" s="2581"/>
      <c r="K858" s="2582"/>
      <c r="L858" s="2582"/>
      <c r="M858" s="2583"/>
      <c r="N858" s="1091" t="s">
        <v>135</v>
      </c>
      <c r="O858" s="1091"/>
      <c r="P858" s="1091"/>
      <c r="Q858" s="1091"/>
      <c r="R858" s="1091"/>
      <c r="S858" s="1866" t="s">
        <v>711</v>
      </c>
      <c r="T858" s="2191">
        <v>-0.25</v>
      </c>
      <c r="U858" s="2192">
        <v>-0.25</v>
      </c>
      <c r="V858" s="2192">
        <v>-0.25</v>
      </c>
      <c r="W858" s="2192">
        <v>-0.25</v>
      </c>
      <c r="X858" s="2192">
        <v>-0.375</v>
      </c>
      <c r="Y858" s="2192">
        <v>-0.375</v>
      </c>
      <c r="Z858" s="2261">
        <v>-0.5</v>
      </c>
      <c r="AA858" s="2414" t="e">
        <v>#N/A</v>
      </c>
      <c r="AB858" s="1465" t="e">
        <v>#N/A</v>
      </c>
      <c r="AC858" s="42"/>
      <c r="AF858" s="248"/>
    </row>
    <row r="859" spans="1:32" ht="10.15" hidden="1" customHeight="1" x14ac:dyDescent="0.25">
      <c r="A859" s="10" t="s">
        <v>461</v>
      </c>
      <c r="C859" s="41"/>
      <c r="J859" s="2581"/>
      <c r="K859" s="2582"/>
      <c r="L859" s="2582"/>
      <c r="M859" s="2583"/>
      <c r="N859" s="1091" t="s">
        <v>19</v>
      </c>
      <c r="O859" s="1091"/>
      <c r="P859" s="1091"/>
      <c r="Q859" s="1091"/>
      <c r="R859" s="1091"/>
      <c r="S859" s="1866" t="s">
        <v>712</v>
      </c>
      <c r="T859" s="2263">
        <v>-1</v>
      </c>
      <c r="U859" s="2264">
        <v>-1</v>
      </c>
      <c r="V859" s="2264">
        <v>-1</v>
      </c>
      <c r="W859" s="2264">
        <v>-1</v>
      </c>
      <c r="X859" s="2264">
        <v>-1</v>
      </c>
      <c r="Y859" s="2264">
        <v>-1</v>
      </c>
      <c r="Z859" s="2265">
        <v>-1</v>
      </c>
      <c r="AA859" s="2412" t="e">
        <v>#N/A</v>
      </c>
      <c r="AB859" s="1465" t="e">
        <v>#N/A</v>
      </c>
      <c r="AC859" s="42"/>
      <c r="AF859" s="248"/>
    </row>
    <row r="860" spans="1:32" ht="10.15" hidden="1" customHeight="1" x14ac:dyDescent="0.25">
      <c r="A860" s="10" t="s">
        <v>463</v>
      </c>
      <c r="C860" s="41"/>
      <c r="J860" s="2584"/>
      <c r="K860" s="2585"/>
      <c r="L860" s="2585"/>
      <c r="M860" s="2586"/>
      <c r="N860" s="1096" t="s">
        <v>130</v>
      </c>
      <c r="O860" s="1096"/>
      <c r="P860" s="1096"/>
      <c r="Q860" s="1096"/>
      <c r="R860" s="1096"/>
      <c r="S860" s="1867" t="s">
        <v>713</v>
      </c>
      <c r="T860" s="1794" t="e">
        <v>#N/A</v>
      </c>
      <c r="U860" s="1462" t="e">
        <v>#N/A</v>
      </c>
      <c r="V860" s="1462" t="e">
        <v>#N/A</v>
      </c>
      <c r="W860" s="1462" t="e">
        <v>#N/A</v>
      </c>
      <c r="X860" s="1801" t="e">
        <v>#N/A</v>
      </c>
      <c r="Y860" s="1801" t="e">
        <v>#N/A</v>
      </c>
      <c r="Z860" s="2244" t="e">
        <v>#N/A</v>
      </c>
      <c r="AA860" s="2248" t="e">
        <v>#N/A</v>
      </c>
      <c r="AB860" s="1465" t="e">
        <v>#N/A</v>
      </c>
      <c r="AC860" s="42"/>
      <c r="AF860" s="248"/>
    </row>
    <row r="861" spans="1:32" ht="10.15" hidden="1" customHeight="1" x14ac:dyDescent="0.25">
      <c r="A861" s="10" t="s">
        <v>461</v>
      </c>
      <c r="C861" s="41"/>
      <c r="J861" s="2587" t="s">
        <v>46</v>
      </c>
      <c r="K861" s="2588"/>
      <c r="L861" s="2588"/>
      <c r="M861" s="2589"/>
      <c r="N861" s="1136" t="s">
        <v>217</v>
      </c>
      <c r="O861" s="1136"/>
      <c r="P861" s="1136"/>
      <c r="Q861" s="1136"/>
      <c r="R861" s="1136"/>
      <c r="S861" s="1869" t="s">
        <v>714</v>
      </c>
      <c r="T861" s="2353">
        <v>0</v>
      </c>
      <c r="U861" s="2354">
        <v>0</v>
      </c>
      <c r="V861" s="2354">
        <v>0</v>
      </c>
      <c r="W861" s="2354">
        <v>0</v>
      </c>
      <c r="X861" s="2354">
        <v>0</v>
      </c>
      <c r="Y861" s="2354">
        <v>0</v>
      </c>
      <c r="Z861" s="2376">
        <v>0</v>
      </c>
      <c r="AA861" s="2377">
        <v>0</v>
      </c>
      <c r="AB861" s="1465" t="e">
        <v>#N/A</v>
      </c>
      <c r="AC861" s="42"/>
      <c r="AF861" s="248"/>
    </row>
    <row r="862" spans="1:32" ht="10.15" hidden="1" customHeight="1" x14ac:dyDescent="0.25">
      <c r="A862" s="10" t="s">
        <v>461</v>
      </c>
      <c r="C862" s="41"/>
      <c r="J862" s="2595"/>
      <c r="K862" s="2596"/>
      <c r="L862" s="2596"/>
      <c r="M862" s="2597"/>
      <c r="N862" s="1094" t="s">
        <v>215</v>
      </c>
      <c r="O862" s="1094"/>
      <c r="P862" s="1094"/>
      <c r="Q862" s="1094"/>
      <c r="R862" s="1094"/>
      <c r="S862" s="1873" t="s">
        <v>715</v>
      </c>
      <c r="T862" s="2356">
        <v>0</v>
      </c>
      <c r="U862" s="2357">
        <v>0</v>
      </c>
      <c r="V862" s="2357">
        <v>0</v>
      </c>
      <c r="W862" s="2357">
        <v>0</v>
      </c>
      <c r="X862" s="2357">
        <v>0</v>
      </c>
      <c r="Y862" s="2357">
        <v>0</v>
      </c>
      <c r="Z862" s="2378">
        <v>0</v>
      </c>
      <c r="AA862" s="2379">
        <v>0</v>
      </c>
      <c r="AB862" s="1465" t="e">
        <v>#N/A</v>
      </c>
      <c r="AC862" s="42"/>
      <c r="AF862" s="248"/>
    </row>
    <row r="863" spans="1:32" ht="10.15" hidden="1" customHeight="1" x14ac:dyDescent="0.25">
      <c r="A863" s="10" t="s">
        <v>461</v>
      </c>
      <c r="C863" s="41"/>
      <c r="J863" s="2595"/>
      <c r="K863" s="2596"/>
      <c r="L863" s="2596"/>
      <c r="M863" s="2597"/>
      <c r="N863" s="1094" t="s">
        <v>237</v>
      </c>
      <c r="O863" s="1094"/>
      <c r="P863" s="1094"/>
      <c r="Q863" s="1094"/>
      <c r="R863" s="1094"/>
      <c r="S863" s="1873" t="s">
        <v>716</v>
      </c>
      <c r="T863" s="2356">
        <v>0</v>
      </c>
      <c r="U863" s="2357">
        <v>0</v>
      </c>
      <c r="V863" s="2357">
        <v>0</v>
      </c>
      <c r="W863" s="2357">
        <v>0</v>
      </c>
      <c r="X863" s="2357">
        <v>0</v>
      </c>
      <c r="Y863" s="2357">
        <v>0</v>
      </c>
      <c r="Z863" s="2378">
        <v>0</v>
      </c>
      <c r="AA863" s="2379">
        <v>0</v>
      </c>
      <c r="AB863" s="1465" t="e">
        <v>#N/A</v>
      </c>
      <c r="AC863" s="42"/>
      <c r="AF863" s="248"/>
    </row>
    <row r="864" spans="1:32" ht="10.15" hidden="1" customHeight="1" x14ac:dyDescent="0.25">
      <c r="A864" s="10" t="s">
        <v>461</v>
      </c>
      <c r="C864" s="41"/>
      <c r="J864" s="2590"/>
      <c r="K864" s="2591"/>
      <c r="L864" s="2591"/>
      <c r="M864" s="2592"/>
      <c r="N864" s="359" t="s">
        <v>444</v>
      </c>
      <c r="O864" s="359"/>
      <c r="P864" s="359"/>
      <c r="Q864" s="359"/>
      <c r="R864" s="359"/>
      <c r="S864" s="1873" t="s">
        <v>717</v>
      </c>
      <c r="T864" s="2359">
        <v>-3</v>
      </c>
      <c r="U864" s="2329">
        <v>-3</v>
      </c>
      <c r="V864" s="2329">
        <v>-3</v>
      </c>
      <c r="W864" s="2329">
        <v>-3</v>
      </c>
      <c r="X864" s="2329">
        <v>-3</v>
      </c>
      <c r="Y864" s="2329">
        <v>-3</v>
      </c>
      <c r="Z864" s="2380">
        <v>-3</v>
      </c>
      <c r="AA864" s="2417" t="e">
        <v>#N/A</v>
      </c>
      <c r="AB864" s="1465" t="e">
        <v>#N/A</v>
      </c>
      <c r="AC864" s="42"/>
      <c r="AF864" s="248"/>
    </row>
    <row r="865" spans="1:32" ht="10.15" hidden="1" customHeight="1" x14ac:dyDescent="0.25">
      <c r="A865" s="10" t="s">
        <v>463</v>
      </c>
      <c r="C865" s="41"/>
      <c r="J865" s="242" t="s">
        <v>44</v>
      </c>
      <c r="K865" s="243"/>
      <c r="L865" s="243"/>
      <c r="M865" s="244"/>
      <c r="N865" s="1136" t="s">
        <v>283</v>
      </c>
      <c r="O865" s="1136"/>
      <c r="P865" s="1136"/>
      <c r="Q865" s="1136"/>
      <c r="R865" s="1136"/>
      <c r="S865" s="1869" t="s">
        <v>718</v>
      </c>
      <c r="T865" s="2189">
        <v>0</v>
      </c>
      <c r="U865" s="2190">
        <v>0</v>
      </c>
      <c r="V865" s="2190">
        <v>0</v>
      </c>
      <c r="W865" s="2190">
        <v>0</v>
      </c>
      <c r="X865" s="2190">
        <v>0</v>
      </c>
      <c r="Y865" s="2190">
        <v>0</v>
      </c>
      <c r="Z865" s="2269">
        <v>0</v>
      </c>
      <c r="AA865" s="2270">
        <v>0</v>
      </c>
      <c r="AB865" s="1465" t="e">
        <v>#N/A</v>
      </c>
      <c r="AC865" s="42"/>
      <c r="AF865" s="248"/>
    </row>
    <row r="866" spans="1:32" ht="10.15" hidden="1" customHeight="1" x14ac:dyDescent="0.25">
      <c r="A866" s="10" t="s">
        <v>463</v>
      </c>
      <c r="C866" s="41"/>
      <c r="J866" s="245"/>
      <c r="K866" s="246"/>
      <c r="L866" s="246"/>
      <c r="M866" s="247"/>
      <c r="N866" s="2450" t="s">
        <v>125</v>
      </c>
      <c r="O866" s="2450"/>
      <c r="P866" s="2450"/>
      <c r="Q866" s="2450"/>
      <c r="R866" s="2450"/>
      <c r="S866" s="1875" t="s">
        <v>719</v>
      </c>
      <c r="T866" s="2191">
        <v>0</v>
      </c>
      <c r="U866" s="2192">
        <v>0</v>
      </c>
      <c r="V866" s="2192">
        <v>0</v>
      </c>
      <c r="W866" s="2192">
        <v>0</v>
      </c>
      <c r="X866" s="2192">
        <v>0</v>
      </c>
      <c r="Y866" s="2192">
        <v>0</v>
      </c>
      <c r="Z866" s="2261">
        <v>0</v>
      </c>
      <c r="AA866" s="2262">
        <v>0</v>
      </c>
      <c r="AB866" s="1465" t="e">
        <v>#N/A</v>
      </c>
      <c r="AC866" s="42"/>
      <c r="AF866" s="248"/>
    </row>
    <row r="867" spans="1:32" ht="10.15" hidden="1" customHeight="1" x14ac:dyDescent="0.25">
      <c r="A867" s="10" t="s">
        <v>461</v>
      </c>
      <c r="C867" s="41"/>
      <c r="J867" s="245"/>
      <c r="K867" s="246"/>
      <c r="L867" s="246"/>
      <c r="M867" s="247"/>
      <c r="N867" s="2451" t="s">
        <v>18</v>
      </c>
      <c r="O867" s="2452"/>
      <c r="P867" s="2452"/>
      <c r="Q867" s="2452"/>
      <c r="R867" s="2453"/>
      <c r="S867" s="1875" t="s">
        <v>720</v>
      </c>
      <c r="T867" s="2191">
        <v>-0.75</v>
      </c>
      <c r="U867" s="2192">
        <v>-0.75</v>
      </c>
      <c r="V867" s="2192">
        <v>-0.75</v>
      </c>
      <c r="W867" s="2192">
        <v>-0.75</v>
      </c>
      <c r="X867" s="2192">
        <v>-0.75</v>
      </c>
      <c r="Y867" s="2192">
        <v>-0.75</v>
      </c>
      <c r="Z867" s="2261">
        <v>-0.75</v>
      </c>
      <c r="AA867" s="2262">
        <v>-0.75</v>
      </c>
      <c r="AB867" s="1465" t="e">
        <v>#N/A</v>
      </c>
      <c r="AC867" s="42"/>
      <c r="AF867" s="248"/>
    </row>
    <row r="868" spans="1:32" ht="10.15" hidden="1" customHeight="1" x14ac:dyDescent="0.25">
      <c r="A868" s="10" t="s">
        <v>461</v>
      </c>
      <c r="C868" s="41"/>
      <c r="J868" s="245"/>
      <c r="K868" s="246"/>
      <c r="L868" s="246"/>
      <c r="M868" s="247"/>
      <c r="N868" s="1094" t="s">
        <v>238</v>
      </c>
      <c r="O868" s="1094"/>
      <c r="P868" s="1094"/>
      <c r="Q868" s="1094"/>
      <c r="R868" s="1094"/>
      <c r="S868" s="1875" t="s">
        <v>721</v>
      </c>
      <c r="T868" s="2271">
        <v>-2.25</v>
      </c>
      <c r="U868" s="2272">
        <v>-2.25</v>
      </c>
      <c r="V868" s="2272">
        <v>-2.25</v>
      </c>
      <c r="W868" s="2272">
        <v>-2.25</v>
      </c>
      <c r="X868" s="2272">
        <v>-2.25</v>
      </c>
      <c r="Y868" s="2272">
        <v>-2.25</v>
      </c>
      <c r="Z868" s="2273">
        <v>-2.5</v>
      </c>
      <c r="AA868" s="2418" t="e">
        <v>#N/A</v>
      </c>
      <c r="AB868" s="1465" t="e">
        <v>#N/A</v>
      </c>
      <c r="AC868" s="42"/>
      <c r="AF868" s="248"/>
    </row>
    <row r="869" spans="1:32" ht="10.15" hidden="1" customHeight="1" x14ac:dyDescent="0.25">
      <c r="A869" s="10" t="s">
        <v>463</v>
      </c>
      <c r="C869" s="41"/>
      <c r="J869" s="245"/>
      <c r="K869" s="246"/>
      <c r="L869" s="246"/>
      <c r="M869" s="247"/>
      <c r="N869" s="1094" t="s">
        <v>152</v>
      </c>
      <c r="O869" s="1094"/>
      <c r="P869" s="1094"/>
      <c r="Q869" s="1094"/>
      <c r="R869" s="1094"/>
      <c r="S869" s="1875" t="s">
        <v>722</v>
      </c>
      <c r="T869" s="1800" t="e">
        <v>#N/A</v>
      </c>
      <c r="U869" s="1463" t="e">
        <v>#N/A</v>
      </c>
      <c r="V869" s="1463" t="e">
        <v>#N/A</v>
      </c>
      <c r="W869" s="1463" t="e">
        <v>#N/A</v>
      </c>
      <c r="X869" s="1463" t="e">
        <v>#N/A</v>
      </c>
      <c r="Y869" s="1463" t="e">
        <v>#N/A</v>
      </c>
      <c r="Z869" s="2242" t="e">
        <v>#N/A</v>
      </c>
      <c r="AA869" s="2020" t="e">
        <v>#N/A</v>
      </c>
      <c r="AB869" s="1465" t="e">
        <v>#N/A</v>
      </c>
      <c r="AC869" s="42"/>
      <c r="AF869" s="248"/>
    </row>
    <row r="870" spans="1:32" ht="10.15" hidden="1" customHeight="1" x14ac:dyDescent="0.25">
      <c r="A870" s="10" t="s">
        <v>463</v>
      </c>
      <c r="C870" s="41"/>
      <c r="J870" s="301"/>
      <c r="K870" s="302"/>
      <c r="L870" s="302"/>
      <c r="M870" s="303"/>
      <c r="N870" s="1138" t="s">
        <v>3914</v>
      </c>
      <c r="O870" s="1138"/>
      <c r="P870" s="1138"/>
      <c r="Q870" s="1138"/>
      <c r="R870" s="1138"/>
      <c r="S870" s="1874" t="s">
        <v>3919</v>
      </c>
      <c r="T870" s="2172" t="e">
        <v>#N/A</v>
      </c>
      <c r="U870" s="2173" t="e">
        <v>#N/A</v>
      </c>
      <c r="V870" s="2173" t="e">
        <v>#N/A</v>
      </c>
      <c r="W870" s="2173" t="e">
        <v>#N/A</v>
      </c>
      <c r="X870" s="2173" t="e">
        <v>#N/A</v>
      </c>
      <c r="Y870" s="2173" t="e">
        <v>#N/A</v>
      </c>
      <c r="Z870" s="2245" t="e">
        <v>#N/A</v>
      </c>
      <c r="AA870" s="2248" t="e">
        <v>#N/A</v>
      </c>
      <c r="AB870" s="1465" t="e">
        <v>#N/A</v>
      </c>
      <c r="AC870" s="42"/>
      <c r="AF870" s="248"/>
    </row>
    <row r="871" spans="1:32" ht="10.15" hidden="1" customHeight="1" x14ac:dyDescent="0.25">
      <c r="A871" s="10" t="s">
        <v>461</v>
      </c>
      <c r="C871" s="41"/>
      <c r="J871" s="245" t="s">
        <v>43</v>
      </c>
      <c r="K871" s="246"/>
      <c r="L871" s="1461"/>
      <c r="M871" s="247"/>
      <c r="N871" s="1120" t="s">
        <v>2669</v>
      </c>
      <c r="O871" s="1136"/>
      <c r="P871" s="1136"/>
      <c r="Q871" s="1136"/>
      <c r="R871" s="1136"/>
      <c r="S871" s="1877" t="s">
        <v>2676</v>
      </c>
      <c r="T871" s="2189">
        <v>0</v>
      </c>
      <c r="U871" s="2190">
        <v>0</v>
      </c>
      <c r="V871" s="2190">
        <v>0</v>
      </c>
      <c r="W871" s="2190">
        <v>0</v>
      </c>
      <c r="X871" s="2190">
        <v>0</v>
      </c>
      <c r="Y871" s="2190">
        <v>0</v>
      </c>
      <c r="Z871" s="2269">
        <v>0</v>
      </c>
      <c r="AA871" s="2270">
        <v>0</v>
      </c>
      <c r="AB871" s="1465" t="e">
        <v>#N/A</v>
      </c>
      <c r="AC871" s="42"/>
      <c r="AF871" s="248"/>
    </row>
    <row r="872" spans="1:32" ht="10.15" hidden="1" customHeight="1" x14ac:dyDescent="0.25">
      <c r="A872" s="10" t="s">
        <v>461</v>
      </c>
      <c r="C872" s="41"/>
      <c r="J872" s="245"/>
      <c r="K872" s="246"/>
      <c r="L872" s="1461"/>
      <c r="M872" s="247"/>
      <c r="N872" s="1118" t="s">
        <v>2670</v>
      </c>
      <c r="O872" s="360"/>
      <c r="P872" s="360"/>
      <c r="Q872" s="360"/>
      <c r="R872" s="360"/>
      <c r="S872" s="1877" t="s">
        <v>4197</v>
      </c>
      <c r="T872" s="2191">
        <v>-1</v>
      </c>
      <c r="U872" s="2192">
        <v>-1</v>
      </c>
      <c r="V872" s="2192">
        <v>-1</v>
      </c>
      <c r="W872" s="2192">
        <v>-1</v>
      </c>
      <c r="X872" s="2192">
        <v>-1</v>
      </c>
      <c r="Y872" s="2192">
        <v>-1</v>
      </c>
      <c r="Z872" s="2261">
        <v>-1</v>
      </c>
      <c r="AA872" s="2262">
        <v>-1</v>
      </c>
      <c r="AB872" s="1465" t="e">
        <v>#N/A</v>
      </c>
      <c r="AC872" s="42"/>
      <c r="AF872" s="248"/>
    </row>
    <row r="873" spans="1:32" ht="10.15" hidden="1" customHeight="1" x14ac:dyDescent="0.25">
      <c r="A873" s="10" t="s">
        <v>461</v>
      </c>
      <c r="C873" s="41"/>
      <c r="J873" s="245"/>
      <c r="K873" s="246"/>
      <c r="L873" s="1461"/>
      <c r="M873" s="247"/>
      <c r="N873" s="1118" t="s">
        <v>2671</v>
      </c>
      <c r="O873" s="360"/>
      <c r="P873" s="360"/>
      <c r="Q873" s="360"/>
      <c r="R873" s="360"/>
      <c r="S873" s="1878" t="s">
        <v>4198</v>
      </c>
      <c r="T873" s="2191">
        <v>-1.75</v>
      </c>
      <c r="U873" s="2192">
        <v>-1.75</v>
      </c>
      <c r="V873" s="2192">
        <v>-1.75</v>
      </c>
      <c r="W873" s="2192">
        <v>-1.75</v>
      </c>
      <c r="X873" s="2192">
        <v>-1.75</v>
      </c>
      <c r="Y873" s="2192">
        <v>-1.75</v>
      </c>
      <c r="Z873" s="2261">
        <v>-1.75</v>
      </c>
      <c r="AA873" s="2262">
        <v>-1.75</v>
      </c>
      <c r="AB873" s="1465" t="e">
        <v>#N/A</v>
      </c>
      <c r="AC873" s="42"/>
      <c r="AF873" s="248"/>
    </row>
    <row r="874" spans="1:32" ht="10.15" hidden="1" customHeight="1" x14ac:dyDescent="0.25">
      <c r="A874" s="10" t="s">
        <v>461</v>
      </c>
      <c r="C874" s="41"/>
      <c r="J874" s="245"/>
      <c r="K874" s="246"/>
      <c r="L874" s="1461"/>
      <c r="M874" s="247"/>
      <c r="N874" s="1119" t="s">
        <v>2672</v>
      </c>
      <c r="O874" s="1092"/>
      <c r="P874" s="1092"/>
      <c r="Q874" s="1092"/>
      <c r="R874" s="1092"/>
      <c r="S874" s="1878" t="s">
        <v>4199</v>
      </c>
      <c r="T874" s="2271">
        <v>-2.5</v>
      </c>
      <c r="U874" s="2272">
        <v>-2.5</v>
      </c>
      <c r="V874" s="2272">
        <v>-2.5</v>
      </c>
      <c r="W874" s="2272">
        <v>-2.5</v>
      </c>
      <c r="X874" s="2272">
        <v>-2.5</v>
      </c>
      <c r="Y874" s="2272">
        <v>-2.5</v>
      </c>
      <c r="Z874" s="2273">
        <v>-2.5</v>
      </c>
      <c r="AA874" s="2274">
        <v>-2.5</v>
      </c>
      <c r="AB874" s="1465" t="e">
        <v>#N/A</v>
      </c>
      <c r="AC874" s="42"/>
      <c r="AF874" s="248"/>
    </row>
    <row r="875" spans="1:32" ht="10.15" hidden="1" customHeight="1" x14ac:dyDescent="0.25">
      <c r="A875" s="10" t="s">
        <v>463</v>
      </c>
      <c r="C875" s="41"/>
      <c r="J875" s="245"/>
      <c r="K875" s="246"/>
      <c r="L875" s="1461"/>
      <c r="M875" s="247"/>
      <c r="N875" s="1118" t="s">
        <v>4164</v>
      </c>
      <c r="O875" s="360"/>
      <c r="P875" s="360"/>
      <c r="Q875" s="360"/>
      <c r="R875" s="360"/>
      <c r="S875" s="1878" t="s">
        <v>4200</v>
      </c>
      <c r="T875" s="2191">
        <v>-1</v>
      </c>
      <c r="U875" s="2192">
        <v>-1</v>
      </c>
      <c r="V875" s="2192">
        <v>-1</v>
      </c>
      <c r="W875" s="2192">
        <v>-1</v>
      </c>
      <c r="X875" s="2192">
        <v>-1</v>
      </c>
      <c r="Y875" s="2192">
        <v>-1</v>
      </c>
      <c r="Z875" s="2261">
        <v>-1</v>
      </c>
      <c r="AA875" s="2262">
        <v>-1</v>
      </c>
      <c r="AB875" s="1465" t="e">
        <v>#N/A</v>
      </c>
      <c r="AC875" s="42"/>
      <c r="AF875" s="248"/>
    </row>
    <row r="876" spans="1:32" ht="10.15" hidden="1" customHeight="1" x14ac:dyDescent="0.25">
      <c r="A876" s="10" t="s">
        <v>463</v>
      </c>
      <c r="C876" s="41"/>
      <c r="J876" s="245"/>
      <c r="K876" s="246"/>
      <c r="L876" s="1461"/>
      <c r="M876" s="247"/>
      <c r="N876" s="1118" t="s">
        <v>4165</v>
      </c>
      <c r="O876" s="360"/>
      <c r="P876" s="360"/>
      <c r="Q876" s="360"/>
      <c r="R876" s="360"/>
      <c r="S876" s="1878" t="s">
        <v>4201</v>
      </c>
      <c r="T876" s="2191">
        <v>-1.75</v>
      </c>
      <c r="U876" s="2192">
        <v>-1.75</v>
      </c>
      <c r="V876" s="2192">
        <v>-1.75</v>
      </c>
      <c r="W876" s="2192">
        <v>-1.75</v>
      </c>
      <c r="X876" s="2192">
        <v>-1.75</v>
      </c>
      <c r="Y876" s="2192">
        <v>-1.75</v>
      </c>
      <c r="Z876" s="2261">
        <v>-1.75</v>
      </c>
      <c r="AA876" s="2262">
        <v>-1.75</v>
      </c>
      <c r="AB876" s="1465" t="e">
        <v>#N/A</v>
      </c>
      <c r="AC876" s="42"/>
      <c r="AF876" s="248"/>
    </row>
    <row r="877" spans="1:32" ht="10.15" hidden="1" customHeight="1" x14ac:dyDescent="0.25">
      <c r="A877" s="10" t="s">
        <v>463</v>
      </c>
      <c r="C877" s="41"/>
      <c r="J877" s="245"/>
      <c r="K877" s="246"/>
      <c r="L877" s="1461"/>
      <c r="M877" s="247"/>
      <c r="N877" s="1119" t="s">
        <v>4166</v>
      </c>
      <c r="O877" s="1092"/>
      <c r="P877" s="1092"/>
      <c r="Q877" s="1092"/>
      <c r="R877" s="1092"/>
      <c r="S877" s="1878" t="s">
        <v>4202</v>
      </c>
      <c r="T877" s="2263">
        <v>-2.5</v>
      </c>
      <c r="U877" s="2264">
        <v>-2.5</v>
      </c>
      <c r="V877" s="2264">
        <v>-2.5</v>
      </c>
      <c r="W877" s="2264">
        <v>-2.5</v>
      </c>
      <c r="X877" s="2264">
        <v>-2.5</v>
      </c>
      <c r="Y877" s="2264">
        <v>-2.5</v>
      </c>
      <c r="Z877" s="2265">
        <v>-2.5</v>
      </c>
      <c r="AA877" s="2266">
        <v>-2.5</v>
      </c>
      <c r="AB877" s="1465" t="e">
        <v>#N/A</v>
      </c>
      <c r="AC877" s="42"/>
      <c r="AF877" s="248"/>
    </row>
    <row r="878" spans="1:32" ht="10.15" hidden="1" customHeight="1" x14ac:dyDescent="0.25">
      <c r="A878" s="10" t="s">
        <v>461</v>
      </c>
      <c r="C878" s="41"/>
      <c r="J878" s="2674" t="s">
        <v>90</v>
      </c>
      <c r="K878" s="2675"/>
      <c r="L878" s="2675"/>
      <c r="M878" s="2676"/>
      <c r="N878" s="1135" t="s">
        <v>50</v>
      </c>
      <c r="O878" s="1135"/>
      <c r="P878" s="1135"/>
      <c r="Q878" s="1135"/>
      <c r="R878" s="1135"/>
      <c r="S878" s="1868" t="s">
        <v>723</v>
      </c>
      <c r="T878" s="2353">
        <v>0</v>
      </c>
      <c r="U878" s="2354">
        <v>0</v>
      </c>
      <c r="V878" s="2354">
        <v>0</v>
      </c>
      <c r="W878" s="2354">
        <v>0</v>
      </c>
      <c r="X878" s="2354">
        <v>0</v>
      </c>
      <c r="Y878" s="2354">
        <v>0</v>
      </c>
      <c r="Z878" s="2376">
        <v>0</v>
      </c>
      <c r="AA878" s="2377">
        <v>0</v>
      </c>
      <c r="AB878" s="1465" t="e">
        <v>#N/A</v>
      </c>
      <c r="AC878" s="42"/>
      <c r="AF878" s="248"/>
    </row>
    <row r="879" spans="1:32" ht="10.15" hidden="1" customHeight="1" x14ac:dyDescent="0.25">
      <c r="A879" s="10" t="s">
        <v>461</v>
      </c>
      <c r="C879" s="41"/>
      <c r="J879" s="2677"/>
      <c r="K879" s="2678"/>
      <c r="L879" s="2678"/>
      <c r="M879" s="2679"/>
      <c r="N879" s="1096" t="s">
        <v>20</v>
      </c>
      <c r="O879" s="1096"/>
      <c r="P879" s="1096"/>
      <c r="Q879" s="1096"/>
      <c r="R879" s="1096"/>
      <c r="S879" s="1867" t="s">
        <v>724</v>
      </c>
      <c r="T879" s="2359">
        <v>0.125</v>
      </c>
      <c r="U879" s="2329">
        <v>0.125</v>
      </c>
      <c r="V879" s="2329">
        <v>0.125</v>
      </c>
      <c r="W879" s="2329">
        <v>0.125</v>
      </c>
      <c r="X879" s="2329">
        <v>0.125</v>
      </c>
      <c r="Y879" s="2329">
        <v>0.125</v>
      </c>
      <c r="Z879" s="2380">
        <v>0.125</v>
      </c>
      <c r="AA879" s="2381">
        <v>0.125</v>
      </c>
      <c r="AB879" s="1465" t="e">
        <v>#N/A</v>
      </c>
      <c r="AC879" s="42"/>
      <c r="AF879" s="248"/>
    </row>
    <row r="880" spans="1:32" ht="10.15" hidden="1" customHeight="1" x14ac:dyDescent="0.25">
      <c r="A880" s="10" t="s">
        <v>461</v>
      </c>
      <c r="C880" s="41"/>
      <c r="J880" s="2677"/>
      <c r="K880" s="2678"/>
      <c r="L880" s="2678"/>
      <c r="M880" s="2679"/>
      <c r="N880" s="1135" t="s">
        <v>49</v>
      </c>
      <c r="O880" s="1135"/>
      <c r="P880" s="1135"/>
      <c r="Q880" s="1135"/>
      <c r="R880" s="1135"/>
      <c r="S880" s="1865" t="s">
        <v>725</v>
      </c>
      <c r="T880" s="2353">
        <v>0</v>
      </c>
      <c r="U880" s="2354">
        <v>0</v>
      </c>
      <c r="V880" s="2354">
        <v>0</v>
      </c>
      <c r="W880" s="2354">
        <v>0</v>
      </c>
      <c r="X880" s="2354">
        <v>0</v>
      </c>
      <c r="Y880" s="2354">
        <v>0</v>
      </c>
      <c r="Z880" s="2376">
        <v>0</v>
      </c>
      <c r="AA880" s="2377">
        <v>0</v>
      </c>
      <c r="AB880" s="1465" t="e">
        <v>#N/A</v>
      </c>
      <c r="AC880" s="42"/>
      <c r="AF880" s="248"/>
    </row>
    <row r="881" spans="1:32" ht="10.15" hidden="1" customHeight="1" x14ac:dyDescent="0.25">
      <c r="A881" s="10" t="s">
        <v>461</v>
      </c>
      <c r="C881" s="41"/>
      <c r="J881" s="2680"/>
      <c r="K881" s="2681"/>
      <c r="L881" s="2681"/>
      <c r="M881" s="2682"/>
      <c r="N881" s="1096" t="s">
        <v>22</v>
      </c>
      <c r="O881" s="1096"/>
      <c r="P881" s="1096"/>
      <c r="Q881" s="1096"/>
      <c r="R881" s="1096"/>
      <c r="S881" s="1879" t="s">
        <v>726</v>
      </c>
      <c r="T881" s="2359">
        <v>-0.15</v>
      </c>
      <c r="U881" s="2329">
        <v>-0.15</v>
      </c>
      <c r="V881" s="2329">
        <v>-0.15</v>
      </c>
      <c r="W881" s="2329">
        <v>-0.15</v>
      </c>
      <c r="X881" s="2329">
        <v>-0.15</v>
      </c>
      <c r="Y881" s="2329">
        <v>-0.15</v>
      </c>
      <c r="Z881" s="2380">
        <v>-0.15</v>
      </c>
      <c r="AA881" s="2381">
        <v>-0.15</v>
      </c>
      <c r="AB881" s="1465" t="e">
        <v>#N/A</v>
      </c>
      <c r="AC881" s="42"/>
      <c r="AF881" s="248"/>
    </row>
    <row r="882" spans="1:32" ht="10.15" hidden="1" customHeight="1" x14ac:dyDescent="0.25">
      <c r="A882" s="10" t="s">
        <v>461</v>
      </c>
      <c r="C882" s="41"/>
      <c r="J882" s="2578" t="s">
        <v>64</v>
      </c>
      <c r="K882" s="2579"/>
      <c r="L882" s="2579"/>
      <c r="M882" s="2580"/>
      <c r="N882" s="1135" t="s">
        <v>82</v>
      </c>
      <c r="O882" s="1135"/>
      <c r="P882" s="1135"/>
      <c r="Q882" s="1135"/>
      <c r="R882" s="1135"/>
      <c r="S882" s="1869" t="s">
        <v>526</v>
      </c>
      <c r="T882" s="2189">
        <v>-1.75</v>
      </c>
      <c r="U882" s="2190">
        <v>-1.75</v>
      </c>
      <c r="V882" s="2190">
        <v>-1.75</v>
      </c>
      <c r="W882" s="2190">
        <v>-1.75</v>
      </c>
      <c r="X882" s="2190">
        <v>-1.75</v>
      </c>
      <c r="Y882" s="2190">
        <v>-1.75</v>
      </c>
      <c r="Z882" s="2269">
        <v>-1.75</v>
      </c>
      <c r="AA882" s="2270">
        <v>-1.75</v>
      </c>
      <c r="AB882" s="1465" t="e">
        <v>#N/A</v>
      </c>
      <c r="AC882" s="42"/>
      <c r="AF882" s="248"/>
    </row>
    <row r="883" spans="1:32" ht="10.15" hidden="1" customHeight="1" x14ac:dyDescent="0.25">
      <c r="A883" s="10" t="s">
        <v>461</v>
      </c>
      <c r="C883" s="41"/>
      <c r="J883" s="2581"/>
      <c r="K883" s="2582"/>
      <c r="L883" s="2582"/>
      <c r="M883" s="2583"/>
      <c r="N883" s="1098" t="s">
        <v>2654</v>
      </c>
      <c r="O883" s="1098"/>
      <c r="P883" s="1098"/>
      <c r="Q883" s="1098"/>
      <c r="R883" s="1098"/>
      <c r="S883" s="1889" t="s">
        <v>2659</v>
      </c>
      <c r="T883" s="2191">
        <v>-1.25</v>
      </c>
      <c r="U883" s="2192">
        <v>-1.25</v>
      </c>
      <c r="V883" s="2192">
        <v>-1.25</v>
      </c>
      <c r="W883" s="2192">
        <v>-1.25</v>
      </c>
      <c r="X883" s="2192">
        <v>-1.25</v>
      </c>
      <c r="Y883" s="2192">
        <v>-1.25</v>
      </c>
      <c r="Z883" s="2261">
        <v>-1.25</v>
      </c>
      <c r="AA883" s="2262">
        <v>-1.25</v>
      </c>
      <c r="AB883" s="1465" t="e">
        <v>#N/A</v>
      </c>
      <c r="AC883" s="42"/>
      <c r="AF883" s="248"/>
    </row>
    <row r="884" spans="1:32" ht="10.15" hidden="1" customHeight="1" x14ac:dyDescent="0.25">
      <c r="A884" s="10" t="s">
        <v>461</v>
      </c>
      <c r="C884" s="41"/>
      <c r="J884" s="2581"/>
      <c r="K884" s="2582"/>
      <c r="L884" s="2582"/>
      <c r="M884" s="2583"/>
      <c r="N884" s="1098" t="s">
        <v>2655</v>
      </c>
      <c r="O884" s="1098"/>
      <c r="P884" s="1098"/>
      <c r="Q884" s="1098"/>
      <c r="R884" s="1098"/>
      <c r="S884" s="1889" t="s">
        <v>2660</v>
      </c>
      <c r="T884" s="2191">
        <v>-0.5</v>
      </c>
      <c r="U884" s="2192">
        <v>-0.5</v>
      </c>
      <c r="V884" s="2192">
        <v>-0.5</v>
      </c>
      <c r="W884" s="2192">
        <v>-0.5</v>
      </c>
      <c r="X884" s="2192">
        <v>-0.5</v>
      </c>
      <c r="Y884" s="2192">
        <v>-0.5</v>
      </c>
      <c r="Z884" s="2261">
        <v>-0.5</v>
      </c>
      <c r="AA884" s="2262">
        <v>-0.5</v>
      </c>
      <c r="AB884" s="1465" t="e">
        <v>#N/A</v>
      </c>
      <c r="AC884" s="42"/>
      <c r="AF884" s="248"/>
    </row>
    <row r="885" spans="1:32" ht="10.15" hidden="1" customHeight="1" x14ac:dyDescent="0.25">
      <c r="A885" s="10" t="s">
        <v>461</v>
      </c>
      <c r="C885" s="41"/>
      <c r="J885" s="2581"/>
      <c r="K885" s="2582"/>
      <c r="L885" s="2582"/>
      <c r="M885" s="2583"/>
      <c r="N885" s="1098" t="s">
        <v>2656</v>
      </c>
      <c r="O885" s="1098"/>
      <c r="P885" s="1098"/>
      <c r="Q885" s="1098"/>
      <c r="R885" s="1098"/>
      <c r="S885" s="1890" t="s">
        <v>2661</v>
      </c>
      <c r="T885" s="2191">
        <v>0</v>
      </c>
      <c r="U885" s="2192">
        <v>0</v>
      </c>
      <c r="V885" s="2192">
        <v>0</v>
      </c>
      <c r="W885" s="2192">
        <v>0</v>
      </c>
      <c r="X885" s="2192">
        <v>0</v>
      </c>
      <c r="Y885" s="2192">
        <v>0</v>
      </c>
      <c r="Z885" s="2261">
        <v>0</v>
      </c>
      <c r="AA885" s="2262">
        <v>0</v>
      </c>
      <c r="AB885" s="1465" t="e">
        <v>#N/A</v>
      </c>
      <c r="AC885" s="42"/>
      <c r="AF885" s="248"/>
    </row>
    <row r="886" spans="1:32" ht="10.15" hidden="1" customHeight="1" x14ac:dyDescent="0.25">
      <c r="A886" s="10" t="s">
        <v>461</v>
      </c>
      <c r="C886" s="41"/>
      <c r="J886" s="2581"/>
      <c r="K886" s="2582"/>
      <c r="L886" s="2582"/>
      <c r="M886" s="2583"/>
      <c r="N886" s="1098" t="s">
        <v>2657</v>
      </c>
      <c r="O886" s="1098"/>
      <c r="P886" s="1098"/>
      <c r="Q886" s="1098"/>
      <c r="R886" s="1098"/>
      <c r="S886" s="1891" t="s">
        <v>2662</v>
      </c>
      <c r="T886" s="2191">
        <v>0.375</v>
      </c>
      <c r="U886" s="2192">
        <v>0.375</v>
      </c>
      <c r="V886" s="2192">
        <v>0.375</v>
      </c>
      <c r="W886" s="2192">
        <v>0.375</v>
      </c>
      <c r="X886" s="2192">
        <v>0.375</v>
      </c>
      <c r="Y886" s="2192">
        <v>0.375</v>
      </c>
      <c r="Z886" s="2261">
        <v>0.375</v>
      </c>
      <c r="AA886" s="2262">
        <v>0.375</v>
      </c>
      <c r="AB886" s="1465" t="e">
        <v>#N/A</v>
      </c>
      <c r="AC886" s="42"/>
      <c r="AF886" s="248"/>
    </row>
    <row r="887" spans="1:32" ht="10.15" hidden="1" customHeight="1" x14ac:dyDescent="0.25">
      <c r="A887" s="10" t="s">
        <v>461</v>
      </c>
      <c r="C887" s="41"/>
      <c r="J887" s="2581"/>
      <c r="K887" s="2582"/>
      <c r="L887" s="2582"/>
      <c r="M887" s="2583"/>
      <c r="N887" s="1141" t="s">
        <v>2658</v>
      </c>
      <c r="O887" s="1141"/>
      <c r="P887" s="1141"/>
      <c r="Q887" s="1141"/>
      <c r="R887" s="1141"/>
      <c r="S887" s="1892" t="s">
        <v>2663</v>
      </c>
      <c r="T887" s="2271">
        <v>0.625</v>
      </c>
      <c r="U887" s="2272">
        <v>0.625</v>
      </c>
      <c r="V887" s="2272">
        <v>0.625</v>
      </c>
      <c r="W887" s="2272">
        <v>0.625</v>
      </c>
      <c r="X887" s="2272">
        <v>0.625</v>
      </c>
      <c r="Y887" s="2272">
        <v>0.625</v>
      </c>
      <c r="Z887" s="2273">
        <v>0.625</v>
      </c>
      <c r="AA887" s="2274">
        <v>0.625</v>
      </c>
      <c r="AB887" s="1465" t="e">
        <v>#N/A</v>
      </c>
      <c r="AC887" s="42"/>
      <c r="AF887" s="248"/>
    </row>
    <row r="888" spans="1:32" ht="10.15" hidden="1" customHeight="1" x14ac:dyDescent="0.25">
      <c r="A888" s="10" t="s">
        <v>461</v>
      </c>
      <c r="C888" s="41"/>
      <c r="J888" s="2581"/>
      <c r="K888" s="2582"/>
      <c r="L888" s="2582"/>
      <c r="M888" s="2583"/>
      <c r="N888" s="1098" t="s">
        <v>736</v>
      </c>
      <c r="O888" s="1098"/>
      <c r="P888" s="1098"/>
      <c r="Q888" s="1098"/>
      <c r="R888" s="1098"/>
      <c r="S888" s="1893" t="s">
        <v>746</v>
      </c>
      <c r="T888" s="2189">
        <v>-1.25</v>
      </c>
      <c r="U888" s="2190">
        <v>-1.25</v>
      </c>
      <c r="V888" s="2190">
        <v>-1.25</v>
      </c>
      <c r="W888" s="2190">
        <v>-1.25</v>
      </c>
      <c r="X888" s="2190">
        <v>-1.25</v>
      </c>
      <c r="Y888" s="2190">
        <v>-1.25</v>
      </c>
      <c r="Z888" s="2269">
        <v>-1.25</v>
      </c>
      <c r="AA888" s="2270">
        <v>-1.25</v>
      </c>
      <c r="AB888" s="1465" t="e">
        <v>#N/A</v>
      </c>
      <c r="AC888" s="42"/>
      <c r="AF888" s="248"/>
    </row>
    <row r="889" spans="1:32" ht="10.15" hidden="1" customHeight="1" x14ac:dyDescent="0.25">
      <c r="A889" s="10" t="s">
        <v>461</v>
      </c>
      <c r="C889" s="41"/>
      <c r="J889" s="2581"/>
      <c r="K889" s="2582"/>
      <c r="L889" s="2582"/>
      <c r="M889" s="2583"/>
      <c r="N889" s="1098" t="s">
        <v>735</v>
      </c>
      <c r="O889" s="1098"/>
      <c r="P889" s="1098"/>
      <c r="Q889" s="1098"/>
      <c r="R889" s="1098"/>
      <c r="S889" s="1893" t="s">
        <v>745</v>
      </c>
      <c r="T889" s="2191">
        <v>-0.5</v>
      </c>
      <c r="U889" s="2192">
        <v>-0.5</v>
      </c>
      <c r="V889" s="2192">
        <v>-0.5</v>
      </c>
      <c r="W889" s="2192">
        <v>-0.5</v>
      </c>
      <c r="X889" s="2192">
        <v>-0.5</v>
      </c>
      <c r="Y889" s="2192">
        <v>-0.5</v>
      </c>
      <c r="Z889" s="2261">
        <v>-0.5</v>
      </c>
      <c r="AA889" s="2262">
        <v>-0.5</v>
      </c>
      <c r="AB889" s="1465" t="e">
        <v>#N/A</v>
      </c>
      <c r="AC889" s="42"/>
      <c r="AF889" s="248"/>
    </row>
    <row r="890" spans="1:32" ht="10.15" hidden="1" customHeight="1" x14ac:dyDescent="0.25">
      <c r="A890" s="10" t="s">
        <v>461</v>
      </c>
      <c r="C890" s="41"/>
      <c r="J890" s="2581"/>
      <c r="K890" s="2582"/>
      <c r="L890" s="2582"/>
      <c r="M890" s="2583"/>
      <c r="N890" s="1098" t="s">
        <v>734</v>
      </c>
      <c r="O890" s="1098"/>
      <c r="P890" s="1098"/>
      <c r="Q890" s="1098"/>
      <c r="R890" s="1098"/>
      <c r="S890" s="1890" t="s">
        <v>744</v>
      </c>
      <c r="T890" s="2191">
        <v>0.25</v>
      </c>
      <c r="U890" s="2192">
        <v>0.25</v>
      </c>
      <c r="V890" s="2192">
        <v>0.25</v>
      </c>
      <c r="W890" s="2192">
        <v>0.25</v>
      </c>
      <c r="X890" s="2192">
        <v>0.25</v>
      </c>
      <c r="Y890" s="2192">
        <v>0.25</v>
      </c>
      <c r="Z890" s="2261">
        <v>0.25</v>
      </c>
      <c r="AA890" s="2262">
        <v>0.25</v>
      </c>
      <c r="AB890" s="1465" t="e">
        <v>#N/A</v>
      </c>
      <c r="AC890" s="42"/>
      <c r="AF890" s="248"/>
    </row>
    <row r="891" spans="1:32" ht="10.15" hidden="1" customHeight="1" x14ac:dyDescent="0.25">
      <c r="A891" s="10" t="s">
        <v>461</v>
      </c>
      <c r="C891" s="41"/>
      <c r="J891" s="2581"/>
      <c r="K891" s="2582"/>
      <c r="L891" s="2582"/>
      <c r="M891" s="2583"/>
      <c r="N891" s="1098" t="s">
        <v>733</v>
      </c>
      <c r="O891" s="1098"/>
      <c r="P891" s="1098"/>
      <c r="Q891" s="1098"/>
      <c r="R891" s="1098"/>
      <c r="S891" s="1890" t="s">
        <v>743</v>
      </c>
      <c r="T891" s="2191">
        <v>0.875</v>
      </c>
      <c r="U891" s="2192">
        <v>0.875</v>
      </c>
      <c r="V891" s="2192">
        <v>0.875</v>
      </c>
      <c r="W891" s="2192">
        <v>0.875</v>
      </c>
      <c r="X891" s="2192">
        <v>0.875</v>
      </c>
      <c r="Y891" s="2192">
        <v>0.875</v>
      </c>
      <c r="Z891" s="2261">
        <v>0.875</v>
      </c>
      <c r="AA891" s="2262">
        <v>0.875</v>
      </c>
      <c r="AB891" s="1465" t="e">
        <v>#N/A</v>
      </c>
      <c r="AC891" s="42"/>
      <c r="AF891" s="248"/>
    </row>
    <row r="892" spans="1:32" ht="10.15" hidden="1" customHeight="1" x14ac:dyDescent="0.25">
      <c r="A892" s="10" t="s">
        <v>461</v>
      </c>
      <c r="C892" s="41"/>
      <c r="J892" s="2581"/>
      <c r="K892" s="2582"/>
      <c r="L892" s="2582"/>
      <c r="M892" s="2583"/>
      <c r="N892" s="1141" t="s">
        <v>732</v>
      </c>
      <c r="O892" s="1141"/>
      <c r="P892" s="1141"/>
      <c r="Q892" s="1141"/>
      <c r="R892" s="1141"/>
      <c r="S892" s="1894" t="s">
        <v>742</v>
      </c>
      <c r="T892" s="2271">
        <v>1</v>
      </c>
      <c r="U892" s="2272">
        <v>1</v>
      </c>
      <c r="V892" s="2272">
        <v>1</v>
      </c>
      <c r="W892" s="2272">
        <v>1</v>
      </c>
      <c r="X892" s="2272">
        <v>1</v>
      </c>
      <c r="Y892" s="2272">
        <v>1</v>
      </c>
      <c r="Z892" s="2273">
        <v>1</v>
      </c>
      <c r="AA892" s="2274">
        <v>1</v>
      </c>
      <c r="AB892" s="1465" t="e">
        <v>#N/A</v>
      </c>
      <c r="AC892" s="42"/>
      <c r="AF892" s="248"/>
    </row>
    <row r="893" spans="1:32" ht="10.15" hidden="1" customHeight="1" x14ac:dyDescent="0.25">
      <c r="A893" s="10" t="s">
        <v>461</v>
      </c>
      <c r="C893" s="41"/>
      <c r="J893" s="2581"/>
      <c r="K893" s="2582"/>
      <c r="L893" s="2582"/>
      <c r="M893" s="2583"/>
      <c r="N893" s="1098" t="s">
        <v>741</v>
      </c>
      <c r="O893" s="1098"/>
      <c r="P893" s="1098"/>
      <c r="Q893" s="1098"/>
      <c r="R893" s="1098"/>
      <c r="S893" s="1893" t="s">
        <v>751</v>
      </c>
      <c r="T893" s="2189">
        <v>-1.25</v>
      </c>
      <c r="U893" s="2190">
        <v>-1.25</v>
      </c>
      <c r="V893" s="2190">
        <v>-1.25</v>
      </c>
      <c r="W893" s="2190">
        <v>-1.25</v>
      </c>
      <c r="X893" s="2190">
        <v>-1.25</v>
      </c>
      <c r="Y893" s="2190">
        <v>-1.25</v>
      </c>
      <c r="Z893" s="2269">
        <v>-1.25</v>
      </c>
      <c r="AA893" s="2270">
        <v>-1.25</v>
      </c>
      <c r="AB893" s="1465" t="e">
        <v>#N/A</v>
      </c>
      <c r="AC893" s="42"/>
      <c r="AF893" s="248"/>
    </row>
    <row r="894" spans="1:32" ht="10.15" hidden="1" customHeight="1" x14ac:dyDescent="0.25">
      <c r="A894" s="10" t="s">
        <v>461</v>
      </c>
      <c r="C894" s="41"/>
      <c r="J894" s="2581"/>
      <c r="K894" s="2582"/>
      <c r="L894" s="2582"/>
      <c r="M894" s="2583"/>
      <c r="N894" s="1098" t="s">
        <v>740</v>
      </c>
      <c r="O894" s="1098"/>
      <c r="P894" s="1098"/>
      <c r="Q894" s="1098"/>
      <c r="R894" s="1098"/>
      <c r="S894" s="1893" t="s">
        <v>750</v>
      </c>
      <c r="T894" s="2191">
        <v>-0.5</v>
      </c>
      <c r="U894" s="2192">
        <v>-0.5</v>
      </c>
      <c r="V894" s="2192">
        <v>-0.5</v>
      </c>
      <c r="W894" s="2192">
        <v>-0.5</v>
      </c>
      <c r="X894" s="2192">
        <v>-0.5</v>
      </c>
      <c r="Y894" s="2192">
        <v>-0.5</v>
      </c>
      <c r="Z894" s="2261">
        <v>-0.5</v>
      </c>
      <c r="AA894" s="2262">
        <v>-0.5</v>
      </c>
      <c r="AB894" s="1465" t="e">
        <v>#N/A</v>
      </c>
      <c r="AC894" s="42"/>
      <c r="AF894" s="248"/>
    </row>
    <row r="895" spans="1:32" ht="10.15" hidden="1" customHeight="1" x14ac:dyDescent="0.25">
      <c r="A895" s="10" t="s">
        <v>461</v>
      </c>
      <c r="C895" s="41"/>
      <c r="J895" s="2581"/>
      <c r="K895" s="2582"/>
      <c r="L895" s="2582"/>
      <c r="M895" s="2583"/>
      <c r="N895" s="1098" t="s">
        <v>739</v>
      </c>
      <c r="O895" s="1098"/>
      <c r="P895" s="1098"/>
      <c r="Q895" s="1098"/>
      <c r="R895" s="1098"/>
      <c r="S895" s="1890" t="s">
        <v>749</v>
      </c>
      <c r="T895" s="2191">
        <v>-0.25</v>
      </c>
      <c r="U895" s="2192">
        <v>-0.25</v>
      </c>
      <c r="V895" s="2192">
        <v>-0.25</v>
      </c>
      <c r="W895" s="2192">
        <v>-0.25</v>
      </c>
      <c r="X895" s="2192">
        <v>-0.25</v>
      </c>
      <c r="Y895" s="2192">
        <v>-0.25</v>
      </c>
      <c r="Z895" s="2261">
        <v>-0.25</v>
      </c>
      <c r="AA895" s="2262">
        <v>-0.25</v>
      </c>
      <c r="AB895" s="1465" t="e">
        <v>#N/A</v>
      </c>
      <c r="AC895" s="42"/>
      <c r="AF895" s="248"/>
    </row>
    <row r="896" spans="1:32" ht="10.15" hidden="1" customHeight="1" x14ac:dyDescent="0.25">
      <c r="A896" s="10" t="s">
        <v>461</v>
      </c>
      <c r="C896" s="41"/>
      <c r="J896" s="2581"/>
      <c r="K896" s="2582"/>
      <c r="L896" s="2582"/>
      <c r="M896" s="2583"/>
      <c r="N896" s="1098" t="s">
        <v>738</v>
      </c>
      <c r="O896" s="1098"/>
      <c r="P896" s="1098"/>
      <c r="Q896" s="1098"/>
      <c r="R896" s="1098"/>
      <c r="S896" s="1890" t="s">
        <v>748</v>
      </c>
      <c r="T896" s="2191">
        <v>0.375</v>
      </c>
      <c r="U896" s="2192">
        <v>0.375</v>
      </c>
      <c r="V896" s="2192">
        <v>0.375</v>
      </c>
      <c r="W896" s="2192">
        <v>0.375</v>
      </c>
      <c r="X896" s="2192">
        <v>0.375</v>
      </c>
      <c r="Y896" s="2192">
        <v>0.375</v>
      </c>
      <c r="Z896" s="2261">
        <v>0.375</v>
      </c>
      <c r="AA896" s="2262">
        <v>0.375</v>
      </c>
      <c r="AB896" s="1465" t="e">
        <v>#N/A</v>
      </c>
      <c r="AC896" s="42"/>
      <c r="AF896" s="248"/>
    </row>
    <row r="897" spans="1:34" ht="10.15" hidden="1" customHeight="1" x14ac:dyDescent="0.25">
      <c r="A897" s="10" t="s">
        <v>461</v>
      </c>
      <c r="C897" s="41"/>
      <c r="J897" s="2584"/>
      <c r="K897" s="2585"/>
      <c r="L897" s="2585"/>
      <c r="M897" s="2586"/>
      <c r="N897" s="1141" t="s">
        <v>737</v>
      </c>
      <c r="O897" s="1141"/>
      <c r="P897" s="1141"/>
      <c r="Q897" s="1141"/>
      <c r="R897" s="1141"/>
      <c r="S897" s="1894" t="s">
        <v>747</v>
      </c>
      <c r="T897" s="2263">
        <v>0.625</v>
      </c>
      <c r="U897" s="2264">
        <v>0.625</v>
      </c>
      <c r="V897" s="2264">
        <v>0.625</v>
      </c>
      <c r="W897" s="2264">
        <v>0.625</v>
      </c>
      <c r="X897" s="2264">
        <v>0.625</v>
      </c>
      <c r="Y897" s="2264">
        <v>0.625</v>
      </c>
      <c r="Z897" s="2265">
        <v>0.625</v>
      </c>
      <c r="AA897" s="2266">
        <v>0.625</v>
      </c>
      <c r="AB897" s="1465" t="e">
        <v>#N/A</v>
      </c>
      <c r="AC897" s="42"/>
      <c r="AF897" s="248"/>
    </row>
    <row r="898" spans="1:34" ht="10.15" hidden="1" customHeight="1" x14ac:dyDescent="0.25">
      <c r="A898" s="10" t="s">
        <v>461</v>
      </c>
      <c r="C898" s="41"/>
      <c r="J898" s="2578" t="s">
        <v>23</v>
      </c>
      <c r="K898" s="2579"/>
      <c r="L898" s="2579"/>
      <c r="M898" s="2580"/>
      <c r="N898" s="1133" t="s">
        <v>73</v>
      </c>
      <c r="O898" s="1133"/>
      <c r="P898" s="1133"/>
      <c r="Q898" s="1133"/>
      <c r="R898" s="1133"/>
      <c r="S898" s="1868" t="s">
        <v>727</v>
      </c>
      <c r="T898" s="2353" cm="1">
        <f t="array" ref="T898">[1]!LLPA_PN_000050_30_Day</f>
        <v>0</v>
      </c>
      <c r="U898" s="2354" cm="1">
        <f t="array" ref="U898">[1]!LLPA_PN_000050_30_Day</f>
        <v>0</v>
      </c>
      <c r="V898" s="2354" cm="1">
        <f t="array" ref="V898">[1]!LLPA_PN_000050_30_Day</f>
        <v>0</v>
      </c>
      <c r="W898" s="2354" cm="1">
        <f t="array" ref="W898">[1]!LLPA_PN_000050_30_Day</f>
        <v>0</v>
      </c>
      <c r="X898" s="2354" cm="1">
        <f t="array" ref="X898">[1]!LLPA_PN_000050_30_Day</f>
        <v>0</v>
      </c>
      <c r="Y898" s="2354" cm="1">
        <f t="array" ref="Y898">[1]!LLPA_PN_000050_30_Day</f>
        <v>0</v>
      </c>
      <c r="Z898" s="2376" cm="1">
        <f t="array" ref="Z898">[1]!LLPA_PN_000050_30_Day</f>
        <v>0</v>
      </c>
      <c r="AA898" s="2377" cm="1">
        <f t="array" ref="AA898">[1]!LLPA_PN_000050_30_Day</f>
        <v>0</v>
      </c>
      <c r="AB898" s="1465" t="e">
        <v>#N/A</v>
      </c>
      <c r="AC898" s="42"/>
      <c r="AF898" s="248"/>
    </row>
    <row r="899" spans="1:34" ht="10.15" hidden="1" customHeight="1" x14ac:dyDescent="0.25">
      <c r="A899" s="10" t="s">
        <v>461</v>
      </c>
      <c r="C899" s="41"/>
      <c r="J899" s="2581"/>
      <c r="K899" s="2582"/>
      <c r="L899" s="2582"/>
      <c r="M899" s="2583"/>
      <c r="N899" s="1095" t="s">
        <v>74</v>
      </c>
      <c r="O899" s="1091"/>
      <c r="P899" s="1091"/>
      <c r="Q899" s="1091"/>
      <c r="R899" s="1091"/>
      <c r="S899" s="1897" t="s">
        <v>728</v>
      </c>
      <c r="T899" s="2356" cm="1">
        <f t="array" ref="T899">[1]!LLPA_PN_000050_45_Day</f>
        <v>-0.25</v>
      </c>
      <c r="U899" s="2357" cm="1">
        <f t="array" ref="U899">[1]!LLPA_PN_000050_45_Day</f>
        <v>-0.25</v>
      </c>
      <c r="V899" s="2357" cm="1">
        <f t="array" ref="V899">[1]!LLPA_PN_000050_45_Day</f>
        <v>-0.25</v>
      </c>
      <c r="W899" s="2357" cm="1">
        <f t="array" ref="W899">[1]!LLPA_PN_000050_45_Day</f>
        <v>-0.25</v>
      </c>
      <c r="X899" s="2357" cm="1">
        <f t="array" ref="X899">[1]!LLPA_PN_000050_45_Day</f>
        <v>-0.25</v>
      </c>
      <c r="Y899" s="2357" cm="1">
        <f t="array" ref="Y899">[1]!LLPA_PN_000050_45_Day</f>
        <v>-0.25</v>
      </c>
      <c r="Z899" s="2378" cm="1">
        <f t="array" ref="Z899">[1]!LLPA_PN_000050_45_Day</f>
        <v>-0.25</v>
      </c>
      <c r="AA899" s="2379" cm="1">
        <f t="array" ref="AA899">[1]!LLPA_PN_000050_45_Day</f>
        <v>-0.25</v>
      </c>
      <c r="AB899" s="1465" t="e">
        <v>#N/A</v>
      </c>
      <c r="AC899" s="42"/>
      <c r="AF899" s="248"/>
    </row>
    <row r="900" spans="1:34" ht="10.15" hidden="1" customHeight="1" x14ac:dyDescent="0.25">
      <c r="A900" s="10" t="s">
        <v>461</v>
      </c>
      <c r="C900" s="41"/>
      <c r="J900" s="2584"/>
      <c r="K900" s="2585"/>
      <c r="L900" s="2585"/>
      <c r="M900" s="2586"/>
      <c r="N900" s="1142" t="s">
        <v>75</v>
      </c>
      <c r="O900" s="1142"/>
      <c r="P900" s="1142"/>
      <c r="Q900" s="1142"/>
      <c r="R900" s="1142"/>
      <c r="S900" s="1881" t="s">
        <v>729</v>
      </c>
      <c r="T900" s="2359" cm="1">
        <f t="array" ref="T900">[1]!LLPA_PN_000050_60_Day</f>
        <v>-0.5</v>
      </c>
      <c r="U900" s="2329" cm="1">
        <f t="array" ref="U900">[1]!LLPA_PN_000050_60_Day</f>
        <v>-0.5</v>
      </c>
      <c r="V900" s="2329" cm="1">
        <f t="array" ref="V900">[1]!LLPA_PN_000050_60_Day</f>
        <v>-0.5</v>
      </c>
      <c r="W900" s="2329" cm="1">
        <f t="array" ref="W900">[1]!LLPA_PN_000050_60_Day</f>
        <v>-0.5</v>
      </c>
      <c r="X900" s="2329" cm="1">
        <f t="array" ref="X900">[1]!LLPA_PN_000050_60_Day</f>
        <v>-0.5</v>
      </c>
      <c r="Y900" s="2329" cm="1">
        <f t="array" ref="Y900">[1]!LLPA_PN_000050_60_Day</f>
        <v>-0.5</v>
      </c>
      <c r="Z900" s="2380" cm="1">
        <f t="array" ref="Z900">[1]!LLPA_PN_000050_60_Day</f>
        <v>-0.5</v>
      </c>
      <c r="AA900" s="2381" cm="1">
        <f t="array" ref="AA900">[1]!LLPA_PN_000050_60_Day</f>
        <v>-0.5</v>
      </c>
      <c r="AB900" s="1465" t="e">
        <v>#N/A</v>
      </c>
      <c r="AC900" s="42"/>
      <c r="AF900" s="248"/>
    </row>
    <row r="901" spans="1:34" ht="10.15" hidden="1" customHeight="1" x14ac:dyDescent="0.25">
      <c r="A901" s="10" t="s">
        <v>463</v>
      </c>
      <c r="C901" s="41"/>
      <c r="J901" s="2587" t="s">
        <v>361</v>
      </c>
      <c r="K901" s="2588"/>
      <c r="L901" s="2588"/>
      <c r="M901" s="2589"/>
      <c r="N901" s="1115" t="s">
        <v>362</v>
      </c>
      <c r="O901" s="1133"/>
      <c r="P901" s="1133"/>
      <c r="Q901" s="1133"/>
      <c r="R901" s="1133"/>
      <c r="S901" s="1869" t="s">
        <v>730</v>
      </c>
      <c r="T901" s="2353" cm="1">
        <f t="array" ref="T901">[1]!LLPA_PN_000050_Mandatory</f>
        <v>0</v>
      </c>
      <c r="U901" s="2354" cm="1">
        <f t="array" ref="U901">[1]!LLPA_PN_000050_Mandatory</f>
        <v>0</v>
      </c>
      <c r="V901" s="2354" cm="1">
        <f t="array" ref="V901">[1]!LLPA_PN_000050_Mandatory</f>
        <v>0</v>
      </c>
      <c r="W901" s="2354" cm="1">
        <f t="array" ref="W901">[1]!LLPA_PN_000050_Mandatory</f>
        <v>0</v>
      </c>
      <c r="X901" s="2354" cm="1">
        <f t="array" ref="X901">[1]!LLPA_PN_000050_Mandatory</f>
        <v>0</v>
      </c>
      <c r="Y901" s="2354" cm="1">
        <f t="array" ref="Y901">[1]!LLPA_PN_000050_Mandatory</f>
        <v>0</v>
      </c>
      <c r="Z901" s="2376" cm="1">
        <f t="array" ref="Z901">[1]!LLPA_PN_000050_Mandatory</f>
        <v>0</v>
      </c>
      <c r="AA901" s="2377" cm="1">
        <f t="array" ref="AA901">[1]!LLPA_PN_000050_Mandatory</f>
        <v>0</v>
      </c>
      <c r="AB901" s="1465" t="e">
        <v>#N/A</v>
      </c>
      <c r="AC901" s="42"/>
      <c r="AF901" s="248"/>
    </row>
    <row r="902" spans="1:34" ht="10.15" hidden="1" customHeight="1" x14ac:dyDescent="0.25">
      <c r="A902" s="10" t="s">
        <v>463</v>
      </c>
      <c r="C902" s="41"/>
      <c r="J902" s="2590"/>
      <c r="K902" s="2591"/>
      <c r="L902" s="2591"/>
      <c r="M902" s="2592"/>
      <c r="N902" s="1116" t="s">
        <v>363</v>
      </c>
      <c r="O902" s="1096"/>
      <c r="P902" s="1096"/>
      <c r="Q902" s="1096"/>
      <c r="R902" s="1096"/>
      <c r="S902" s="1882" t="s">
        <v>731</v>
      </c>
      <c r="T902" s="2373" cm="1">
        <f t="array" ref="T902">[1]!LLPA_PN_000050_Best_Efforts</f>
        <v>0</v>
      </c>
      <c r="U902" s="2374" cm="1">
        <f t="array" ref="U902">[1]!LLPA_PN_000050_Best_Efforts</f>
        <v>0</v>
      </c>
      <c r="V902" s="2374" cm="1">
        <f t="array" ref="V902">[1]!LLPA_PN_000050_Best_Efforts</f>
        <v>0</v>
      </c>
      <c r="W902" s="2374" cm="1">
        <f t="array" ref="W902">[1]!LLPA_PN_000050_Best_Efforts</f>
        <v>0</v>
      </c>
      <c r="X902" s="2374" cm="1">
        <f t="array" ref="X902">[1]!LLPA_PN_000050_Best_Efforts</f>
        <v>0</v>
      </c>
      <c r="Y902" s="2374" cm="1">
        <f t="array" ref="Y902">[1]!LLPA_PN_000050_Best_Efforts</f>
        <v>0</v>
      </c>
      <c r="Z902" s="2396" cm="1">
        <f t="array" ref="Z902">[1]!LLPA_PN_000050_Best_Efforts</f>
        <v>0</v>
      </c>
      <c r="AA902" s="2397" cm="1">
        <f t="array" ref="AA902">[1]!LLPA_PN_000050_Best_Efforts</f>
        <v>0</v>
      </c>
      <c r="AB902" s="2077" t="e">
        <v>#N/A</v>
      </c>
      <c r="AC902" s="42"/>
      <c r="AF902" s="248"/>
    </row>
    <row r="903" spans="1:34" s="5" customFormat="1" ht="3" hidden="1" customHeight="1" x14ac:dyDescent="0.2">
      <c r="A903" s="10" t="s">
        <v>462</v>
      </c>
      <c r="C903" s="40"/>
      <c r="J903" s="74"/>
      <c r="K903" s="74"/>
      <c r="L903" s="74"/>
      <c r="M903" s="74"/>
      <c r="N903" s="74"/>
      <c r="O903" s="74"/>
      <c r="P903" s="74"/>
      <c r="Q903" s="74"/>
      <c r="R903" s="74"/>
      <c r="S903" s="78"/>
      <c r="T903" s="79"/>
      <c r="U903" s="79"/>
      <c r="V903" s="79"/>
      <c r="W903" s="79"/>
      <c r="X903" s="79"/>
      <c r="Y903" s="79"/>
      <c r="Z903" s="79"/>
      <c r="AA903" s="79"/>
      <c r="AB903" s="230"/>
      <c r="AC903" s="46"/>
      <c r="AE903" s="10"/>
      <c r="AF903" s="248"/>
      <c r="AG903" s="10"/>
      <c r="AH903" s="10"/>
    </row>
    <row r="904" spans="1:34" s="5" customFormat="1" ht="10.15" hidden="1" customHeight="1" x14ac:dyDescent="0.2">
      <c r="A904" s="10" t="s">
        <v>461</v>
      </c>
      <c r="C904" s="277"/>
      <c r="D904" s="2697"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904" s="2697"/>
      <c r="F904" s="2697"/>
      <c r="G904" s="2697"/>
      <c r="H904" s="2697"/>
      <c r="I904" s="2697"/>
      <c r="J904" s="2697"/>
      <c r="K904" s="2697"/>
      <c r="L904" s="2697"/>
      <c r="M904" s="2697"/>
      <c r="N904" s="2697"/>
      <c r="O904" s="2697"/>
      <c r="P904" s="2697"/>
      <c r="Q904" s="2697"/>
      <c r="R904" s="2697"/>
      <c r="S904" s="2697"/>
      <c r="T904" s="2697"/>
      <c r="U904" s="2697"/>
      <c r="V904" s="2697"/>
      <c r="W904" s="2697"/>
      <c r="X904" s="2697"/>
      <c r="Y904" s="2697"/>
      <c r="Z904" s="2697"/>
      <c r="AA904" s="2697"/>
      <c r="AB904" s="2697"/>
      <c r="AC904" s="2698"/>
      <c r="AE904" s="10"/>
      <c r="AF904" s="248"/>
      <c r="AG904" s="10"/>
      <c r="AH904" s="10"/>
    </row>
    <row r="905" spans="1:34" s="5" customFormat="1" ht="10.15" hidden="1" customHeight="1" x14ac:dyDescent="0.2">
      <c r="A905" s="10" t="s">
        <v>461</v>
      </c>
      <c r="C905" s="278"/>
      <c r="D905" s="2699"/>
      <c r="E905" s="2699"/>
      <c r="F905" s="2699"/>
      <c r="G905" s="2699"/>
      <c r="H905" s="2699"/>
      <c r="I905" s="2699"/>
      <c r="J905" s="2699"/>
      <c r="K905" s="2699"/>
      <c r="L905" s="2699"/>
      <c r="M905" s="2699"/>
      <c r="N905" s="2699"/>
      <c r="O905" s="2699"/>
      <c r="P905" s="2699"/>
      <c r="Q905" s="2699"/>
      <c r="R905" s="2699"/>
      <c r="S905" s="2699"/>
      <c r="T905" s="2699"/>
      <c r="U905" s="2699"/>
      <c r="V905" s="2699"/>
      <c r="W905" s="2699"/>
      <c r="X905" s="2699"/>
      <c r="Y905" s="2699"/>
      <c r="Z905" s="2699"/>
      <c r="AA905" s="2699"/>
      <c r="AB905" s="2699"/>
      <c r="AC905" s="2700"/>
      <c r="AE905" s="10"/>
      <c r="AF905" s="248"/>
      <c r="AG905" s="10"/>
      <c r="AH905" s="10"/>
    </row>
    <row r="906" spans="1:34" ht="3" customHeight="1" x14ac:dyDescent="0.25">
      <c r="A906" s="10" t="s">
        <v>462</v>
      </c>
      <c r="B906" s="5"/>
      <c r="AF906" s="248"/>
    </row>
  </sheetData>
  <sheetProtection algorithmName="SHA-512" hashValue="s5YIBrY6jLW8uySw8L+zr9ngr6monXsPWL+wweEbw6G0CIkLAm+Tn6CVDoo3ffbLCoUcPMvtMnehQBr8jr6P1g==" saltValue="tCZ4dPQJOy45+7KOHZFy2Q==" spinCount="100000" sheet="1" objects="1" scenarios="1"/>
  <sortState xmlns:xlrd2="http://schemas.microsoft.com/office/spreadsheetml/2017/richdata2" ref="N339:Y343">
    <sortCondition ref="N339:N343"/>
  </sortState>
  <mergeCells count="220">
    <mergeCell ref="D904:AC905"/>
    <mergeCell ref="T603:AB603"/>
    <mergeCell ref="J2:S6"/>
    <mergeCell ref="J362:J371"/>
    <mergeCell ref="J344:M346"/>
    <mergeCell ref="D187:AC188"/>
    <mergeCell ref="J96:M98"/>
    <mergeCell ref="J99:M106"/>
    <mergeCell ref="J745:AB745"/>
    <mergeCell ref="J901:M902"/>
    <mergeCell ref="J641:M643"/>
    <mergeCell ref="J686:M687"/>
    <mergeCell ref="J682:M682"/>
    <mergeCell ref="J683:M685"/>
    <mergeCell ref="J677:M681"/>
    <mergeCell ref="J689:M692"/>
    <mergeCell ref="I15:L15"/>
    <mergeCell ref="J137:M138"/>
    <mergeCell ref="J139:M140"/>
    <mergeCell ref="J141:M144"/>
    <mergeCell ref="AA194:AB194"/>
    <mergeCell ref="T197:Z197"/>
    <mergeCell ref="E45:I45"/>
    <mergeCell ref="E49:I49"/>
    <mergeCell ref="AH2:AJ2"/>
    <mergeCell ref="J271:M275"/>
    <mergeCell ref="I25:L25"/>
    <mergeCell ref="AA2:AB2"/>
    <mergeCell ref="J57:S61"/>
    <mergeCell ref="AA57:AB57"/>
    <mergeCell ref="AA58:AB58"/>
    <mergeCell ref="AA61:AB61"/>
    <mergeCell ref="J63:AB63"/>
    <mergeCell ref="AA3:AB3"/>
    <mergeCell ref="I9:L9"/>
    <mergeCell ref="I10:L10"/>
    <mergeCell ref="I12:L12"/>
    <mergeCell ref="J196:AB196"/>
    <mergeCell ref="I16:L16"/>
    <mergeCell ref="I19:L19"/>
    <mergeCell ref="I17:L18"/>
    <mergeCell ref="I20:L20"/>
    <mergeCell ref="AA6:AB6"/>
    <mergeCell ref="AA191:AB191"/>
    <mergeCell ref="J199:J208"/>
    <mergeCell ref="J209:J218"/>
    <mergeCell ref="X18:Y18"/>
    <mergeCell ref="I11:L11"/>
    <mergeCell ref="T35:AB39"/>
    <mergeCell ref="J76:J85"/>
    <mergeCell ref="I29:L29"/>
    <mergeCell ref="J107:M127"/>
    <mergeCell ref="J128:M132"/>
    <mergeCell ref="J133:M133"/>
    <mergeCell ref="J134:M136"/>
    <mergeCell ref="I23:L23"/>
    <mergeCell ref="F26:G26"/>
    <mergeCell ref="F25:G25"/>
    <mergeCell ref="F39:G39"/>
    <mergeCell ref="I39:L39"/>
    <mergeCell ref="I38:L38"/>
    <mergeCell ref="I36:L36"/>
    <mergeCell ref="I37:L37"/>
    <mergeCell ref="I40:L40"/>
    <mergeCell ref="F28:G28"/>
    <mergeCell ref="F29:G29"/>
    <mergeCell ref="F34:G34"/>
    <mergeCell ref="I31:L31"/>
    <mergeCell ref="F30:G30"/>
    <mergeCell ref="I32:L32"/>
    <mergeCell ref="I35:L35"/>
    <mergeCell ref="I28:L28"/>
    <mergeCell ref="J898:M900"/>
    <mergeCell ref="J861:M864"/>
    <mergeCell ref="J878:M881"/>
    <mergeCell ref="J792:M803"/>
    <mergeCell ref="J590:M591"/>
    <mergeCell ref="D359:F359"/>
    <mergeCell ref="J596:S600"/>
    <mergeCell ref="J605:J614"/>
    <mergeCell ref="J615:J624"/>
    <mergeCell ref="J739:S743"/>
    <mergeCell ref="J359:AB359"/>
    <mergeCell ref="J586:M589"/>
    <mergeCell ref="J581:M585"/>
    <mergeCell ref="J564:M567"/>
    <mergeCell ref="D602:F602"/>
    <mergeCell ref="J837:M839"/>
    <mergeCell ref="J840:M840"/>
    <mergeCell ref="J841:M841"/>
    <mergeCell ref="J644:M655"/>
    <mergeCell ref="J656:M676"/>
    <mergeCell ref="J633:J640"/>
    <mergeCell ref="J625:J632"/>
    <mergeCell ref="J725:M729"/>
    <mergeCell ref="J730:M732"/>
    <mergeCell ref="J846:M860"/>
    <mergeCell ref="J825:M829"/>
    <mergeCell ref="J789:M791"/>
    <mergeCell ref="J830:M836"/>
    <mergeCell ref="J756:J763"/>
    <mergeCell ref="J764:J771"/>
    <mergeCell ref="J882:M897"/>
    <mergeCell ref="J772:J779"/>
    <mergeCell ref="J804:M824"/>
    <mergeCell ref="D736:AC737"/>
    <mergeCell ref="J708:M711"/>
    <mergeCell ref="AA739:AB739"/>
    <mergeCell ref="AA740:AB740"/>
    <mergeCell ref="D745:F745"/>
    <mergeCell ref="J780:J788"/>
    <mergeCell ref="J748:J755"/>
    <mergeCell ref="AA743:AB743"/>
    <mergeCell ref="J842:M845"/>
    <mergeCell ref="T746:AB746"/>
    <mergeCell ref="J733:M734"/>
    <mergeCell ref="J307:M310"/>
    <mergeCell ref="J328:M343"/>
    <mergeCell ref="T64:AB64"/>
    <mergeCell ref="J66:J75"/>
    <mergeCell ref="D63:F63"/>
    <mergeCell ref="J283:M285"/>
    <mergeCell ref="T41:AB52"/>
    <mergeCell ref="J353:Q357"/>
    <mergeCell ref="J239:M241"/>
    <mergeCell ref="J287:M288"/>
    <mergeCell ref="J289:M292"/>
    <mergeCell ref="J190:S194"/>
    <mergeCell ref="D350:AC351"/>
    <mergeCell ref="J286:M286"/>
    <mergeCell ref="AA190:AB190"/>
    <mergeCell ref="I41:L41"/>
    <mergeCell ref="J159:M162"/>
    <mergeCell ref="F18:G18"/>
    <mergeCell ref="F22:G22"/>
    <mergeCell ref="D593:AC594"/>
    <mergeCell ref="F27:G27"/>
    <mergeCell ref="F36:G36"/>
    <mergeCell ref="I42:L42"/>
    <mergeCell ref="J176:M180"/>
    <mergeCell ref="J181:M183"/>
    <mergeCell ref="J184:M185"/>
    <mergeCell ref="J347:M348"/>
    <mergeCell ref="J86:J95"/>
    <mergeCell ref="J219:J228"/>
    <mergeCell ref="J242:M249"/>
    <mergeCell ref="J324:M327"/>
    <mergeCell ref="D196:F196"/>
    <mergeCell ref="J229:J238"/>
    <mergeCell ref="J276:M282"/>
    <mergeCell ref="T360:AB360"/>
    <mergeCell ref="J391:M411"/>
    <mergeCell ref="I34:L34"/>
    <mergeCell ref="F37:G37"/>
    <mergeCell ref="I21:L21"/>
    <mergeCell ref="I26:L26"/>
    <mergeCell ref="I27:L27"/>
    <mergeCell ref="AA596:AB596"/>
    <mergeCell ref="AA597:AB597"/>
    <mergeCell ref="J412:M416"/>
    <mergeCell ref="J417:M417"/>
    <mergeCell ref="I13:L13"/>
    <mergeCell ref="I14:L14"/>
    <mergeCell ref="F9:G9"/>
    <mergeCell ref="F15:G15"/>
    <mergeCell ref="N9:Q9"/>
    <mergeCell ref="T17:W17"/>
    <mergeCell ref="X17:AB17"/>
    <mergeCell ref="T18:U18"/>
    <mergeCell ref="Z24:AB24"/>
    <mergeCell ref="Z25:AB25"/>
    <mergeCell ref="I33:L33"/>
    <mergeCell ref="F17:G17"/>
    <mergeCell ref="F24:G24"/>
    <mergeCell ref="I22:L22"/>
    <mergeCell ref="I24:L24"/>
    <mergeCell ref="F11:G11"/>
    <mergeCell ref="J372:J381"/>
    <mergeCell ref="J385:M390"/>
    <mergeCell ref="F16:G16"/>
    <mergeCell ref="J534:M538"/>
    <mergeCell ref="AA600:AB600"/>
    <mergeCell ref="J693:M707"/>
    <mergeCell ref="J602:AB602"/>
    <mergeCell ref="J250:M270"/>
    <mergeCell ref="D54:AB54"/>
    <mergeCell ref="D55:AB55"/>
    <mergeCell ref="AA475:AB475"/>
    <mergeCell ref="J382:M384"/>
    <mergeCell ref="AA353:AB353"/>
    <mergeCell ref="AA357:AB357"/>
    <mergeCell ref="AA354:AB354"/>
    <mergeCell ref="J465:M468"/>
    <mergeCell ref="J469:M470"/>
    <mergeCell ref="J475:Q479"/>
    <mergeCell ref="D481:F481"/>
    <mergeCell ref="AA476:AB476"/>
    <mergeCell ref="AA479:AB479"/>
    <mergeCell ref="J418:M420"/>
    <mergeCell ref="J421:M422"/>
    <mergeCell ref="J423:M424"/>
    <mergeCell ref="J425:M428"/>
    <mergeCell ref="J494:J503"/>
    <mergeCell ref="J504:M506"/>
    <mergeCell ref="D554:H554"/>
    <mergeCell ref="J539:M539"/>
    <mergeCell ref="J540:M542"/>
    <mergeCell ref="J543:M543"/>
    <mergeCell ref="J544:M545"/>
    <mergeCell ref="J546:M549"/>
    <mergeCell ref="D431:H431"/>
    <mergeCell ref="D436:H436"/>
    <mergeCell ref="J443:M446"/>
    <mergeCell ref="D472:AC473"/>
    <mergeCell ref="J481:AB481"/>
    <mergeCell ref="T482:AB482"/>
    <mergeCell ref="J484:J493"/>
    <mergeCell ref="J507:M512"/>
    <mergeCell ref="J513:M533"/>
    <mergeCell ref="J460:M464"/>
  </mergeCells>
  <phoneticPr fontId="10" type="noConversion"/>
  <conditionalFormatting sqref="D64:F64">
    <cfRule type="cellIs" dxfId="240" priority="4112" operator="between">
      <formula>101</formula>
      <formula>101.5</formula>
    </cfRule>
  </conditionalFormatting>
  <conditionalFormatting sqref="D197:F197">
    <cfRule type="cellIs" dxfId="239" priority="5022" operator="between">
      <formula>101</formula>
      <formula>101.5</formula>
    </cfRule>
  </conditionalFormatting>
  <conditionalFormatting sqref="D360:F360">
    <cfRule type="cellIs" dxfId="238" priority="219" operator="between">
      <formula>101</formula>
      <formula>101.5</formula>
    </cfRule>
  </conditionalFormatting>
  <conditionalFormatting sqref="D482:F482">
    <cfRule type="cellIs" dxfId="237" priority="546" operator="between">
      <formula>101</formula>
      <formula>101.5</formula>
    </cfRule>
  </conditionalFormatting>
  <conditionalFormatting sqref="D603:F603">
    <cfRule type="cellIs" dxfId="236" priority="14208" operator="between">
      <formula>101</formula>
      <formula>101.5</formula>
    </cfRule>
  </conditionalFormatting>
  <conditionalFormatting sqref="D746:F746">
    <cfRule type="cellIs" dxfId="235" priority="13257" operator="between">
      <formula>101</formula>
      <formula>101.5</formula>
    </cfRule>
  </conditionalFormatting>
  <conditionalFormatting sqref="F9">
    <cfRule type="expression" dxfId="234" priority="5859">
      <formula>Input_Product = "InvestPointSelect"</formula>
    </cfRule>
    <cfRule type="expression" dxfId="233" priority="5860">
      <formula>Input_Product = "PrimePointSelect"</formula>
    </cfRule>
    <cfRule type="expression" dxfId="232" priority="5861">
      <formula>Input_Product = "InvestPointVantage"</formula>
    </cfRule>
    <cfRule type="expression" dxfId="231" priority="5874">
      <formula>Input_Product = "InvestPoint"</formula>
    </cfRule>
    <cfRule type="expression" dxfId="230" priority="5873">
      <formula>Input_Product = "MultiPoint"</formula>
    </cfRule>
    <cfRule type="expression" dxfId="229" priority="5876">
      <formula>Input_Product = "PrimePointVantage"</formula>
    </cfRule>
    <cfRule type="expression" dxfId="228" priority="5875">
      <formula>Input_Product = "PrimePoint"</formula>
    </cfRule>
  </conditionalFormatting>
  <conditionalFormatting sqref="F12">
    <cfRule type="expression" dxfId="227" priority="5893">
      <formula>TRIM($I$12)&lt;&gt;""</formula>
    </cfRule>
    <cfRule type="expression" dxfId="226" priority="5892">
      <formula>AND($F$29="Foreign National", $F$12&lt;660)</formula>
    </cfRule>
  </conditionalFormatting>
  <conditionalFormatting sqref="F13">
    <cfRule type="expression" dxfId="225" priority="5865">
      <formula>TRIM($I$13)&lt;&gt;""</formula>
    </cfRule>
  </conditionalFormatting>
  <conditionalFormatting sqref="F14">
    <cfRule type="expression" dxfId="224" priority="5866">
      <formula>TRIM($I$14)&lt;&gt;""</formula>
    </cfRule>
  </conditionalFormatting>
  <conditionalFormatting sqref="F18">
    <cfRule type="expression" dxfId="223" priority="5855">
      <formula>FIND("Quick",$F$9)&gt;=1</formula>
    </cfRule>
    <cfRule type="expression" dxfId="222" priority="5889">
      <formula>Error_BankStmt="Y"</formula>
    </cfRule>
  </conditionalFormatting>
  <conditionalFormatting sqref="F19">
    <cfRule type="expression" dxfId="221" priority="5864">
      <formula>TRIM($I$19)&lt;&gt;""</formula>
    </cfRule>
  </conditionalFormatting>
  <conditionalFormatting sqref="F20">
    <cfRule type="expression" dxfId="220" priority="5891">
      <formula>Error_DTI="Y"</formula>
    </cfRule>
  </conditionalFormatting>
  <conditionalFormatting sqref="F21">
    <cfRule type="expression" dxfId="219" priority="5890">
      <formula>Error_DSCR="Y"</formula>
    </cfRule>
  </conditionalFormatting>
  <conditionalFormatting sqref="F23">
    <cfRule type="expression" dxfId="218" priority="5862">
      <formula>AND($F$23=0,$F$22="Cash-Out")</formula>
    </cfRule>
    <cfRule type="expression" dxfId="217" priority="5863">
      <formula>AND($F$23&gt;0,$F$22&lt;&gt;"Cash-Out")</formula>
    </cfRule>
  </conditionalFormatting>
  <conditionalFormatting sqref="F25">
    <cfRule type="expression" dxfId="216" priority="5856">
      <formula>FIND("Quick",$F$9)&gt;=1</formula>
    </cfRule>
  </conditionalFormatting>
  <conditionalFormatting sqref="F203:F205">
    <cfRule type="expression" dxfId="215" priority="5973">
      <formula>ISERROR(F203)</formula>
    </cfRule>
  </conditionalFormatting>
  <conditionalFormatting sqref="H10:H11">
    <cfRule type="expression" dxfId="214" priority="5887">
      <formula>ISERROR(H10)</formula>
    </cfRule>
    <cfRule type="expression" dxfId="213" priority="5886">
      <formula>H10&lt;&gt;0</formula>
    </cfRule>
  </conditionalFormatting>
  <conditionalFormatting sqref="H14:H39">
    <cfRule type="expression" dxfId="212" priority="4124">
      <formula>H14&lt;&gt;0</formula>
    </cfRule>
  </conditionalFormatting>
  <conditionalFormatting sqref="H14:H42">
    <cfRule type="expression" dxfId="211" priority="4125">
      <formula>ISERROR(H14)</formula>
    </cfRule>
  </conditionalFormatting>
  <conditionalFormatting sqref="I29:L30">
    <cfRule type="expression" dxfId="210" priority="5854">
      <formula>AND($F$29="Foreign National", $F$12&lt;&gt;660)</formula>
    </cfRule>
  </conditionalFormatting>
  <conditionalFormatting sqref="N66:R66">
    <cfRule type="cellIs" dxfId="209" priority="3806" operator="between">
      <formula>101</formula>
      <formula>101.5</formula>
    </cfRule>
  </conditionalFormatting>
  <conditionalFormatting sqref="N75:R76">
    <cfRule type="cellIs" dxfId="208" priority="3801" operator="between">
      <formula>101</formula>
      <formula>101.5</formula>
    </cfRule>
  </conditionalFormatting>
  <conditionalFormatting sqref="N85:R86">
    <cfRule type="cellIs" dxfId="207" priority="357" operator="between">
      <formula>101</formula>
      <formula>101.5</formula>
    </cfRule>
  </conditionalFormatting>
  <conditionalFormatting sqref="N199:R199">
    <cfRule type="cellIs" dxfId="206" priority="3796" operator="between">
      <formula>101</formula>
      <formula>101.5</formula>
    </cfRule>
  </conditionalFormatting>
  <conditionalFormatting sqref="N208:R209">
    <cfRule type="cellIs" dxfId="205" priority="3795" operator="between">
      <formula>101</formula>
      <formula>101.5</formula>
    </cfRule>
  </conditionalFormatting>
  <conditionalFormatting sqref="N218:R219">
    <cfRule type="cellIs" dxfId="204" priority="325" operator="between">
      <formula>101</formula>
      <formula>101.5</formula>
    </cfRule>
  </conditionalFormatting>
  <conditionalFormatting sqref="N228:R229">
    <cfRule type="cellIs" dxfId="203" priority="155" operator="between">
      <formula>101</formula>
      <formula>101.5</formula>
    </cfRule>
  </conditionalFormatting>
  <conditionalFormatting sqref="N238:R238">
    <cfRule type="cellIs" dxfId="202" priority="3797" operator="between">
      <formula>101</formula>
      <formula>101.5</formula>
    </cfRule>
  </conditionalFormatting>
  <conditionalFormatting sqref="N362:R362">
    <cfRule type="cellIs" dxfId="201" priority="415" operator="between">
      <formula>101</formula>
      <formula>101.5</formula>
    </cfRule>
  </conditionalFormatting>
  <conditionalFormatting sqref="N371:R372">
    <cfRule type="cellIs" dxfId="200" priority="410" operator="between">
      <formula>101</formula>
      <formula>101.5</formula>
    </cfRule>
  </conditionalFormatting>
  <conditionalFormatting sqref="N381:R381">
    <cfRule type="cellIs" dxfId="199" priority="411" operator="between">
      <formula>101</formula>
      <formula>101.5</formula>
    </cfRule>
  </conditionalFormatting>
  <conditionalFormatting sqref="N484:R484">
    <cfRule type="cellIs" dxfId="198" priority="409" operator="between">
      <formula>101</formula>
      <formula>101.5</formula>
    </cfRule>
  </conditionalFormatting>
  <conditionalFormatting sqref="N493:R494">
    <cfRule type="cellIs" dxfId="197" priority="404" operator="between">
      <formula>101</formula>
      <formula>101.5</formula>
    </cfRule>
  </conditionalFormatting>
  <conditionalFormatting sqref="N503:R503">
    <cfRule type="cellIs" dxfId="196" priority="405" operator="between">
      <formula>101</formula>
      <formula>101.5</formula>
    </cfRule>
  </conditionalFormatting>
  <conditionalFormatting sqref="N605:R605">
    <cfRule type="cellIs" dxfId="195" priority="3794" operator="between">
      <formula>101</formula>
      <formula>101.5</formula>
    </cfRule>
  </conditionalFormatting>
  <conditionalFormatting sqref="N615:R615">
    <cfRule type="cellIs" dxfId="194" priority="3793" operator="between">
      <formula>101</formula>
      <formula>101.5</formula>
    </cfRule>
  </conditionalFormatting>
  <conditionalFormatting sqref="N625:R625">
    <cfRule type="cellIs" dxfId="193" priority="3792" operator="between">
      <formula>101</formula>
      <formula>101.5</formula>
    </cfRule>
  </conditionalFormatting>
  <conditionalFormatting sqref="N633:R633">
    <cfRule type="cellIs" dxfId="192" priority="3791" operator="between">
      <formula>101</formula>
      <formula>101.5</formula>
    </cfRule>
  </conditionalFormatting>
  <conditionalFormatting sqref="N748:R748">
    <cfRule type="cellIs" dxfId="191" priority="3790" operator="between">
      <formula>101</formula>
      <formula>101.5</formula>
    </cfRule>
  </conditionalFormatting>
  <conditionalFormatting sqref="N756:R756">
    <cfRule type="cellIs" dxfId="190" priority="3789" operator="between">
      <formula>101</formula>
      <formula>101.5</formula>
    </cfRule>
  </conditionalFormatting>
  <conditionalFormatting sqref="N764:R764">
    <cfRule type="cellIs" dxfId="189" priority="3788" operator="between">
      <formula>101</formula>
      <formula>101.5</formula>
    </cfRule>
  </conditionalFormatting>
  <conditionalFormatting sqref="N772:R772">
    <cfRule type="cellIs" dxfId="188" priority="3787" operator="between">
      <formula>101</formula>
      <formula>101.5</formula>
    </cfRule>
  </conditionalFormatting>
  <conditionalFormatting sqref="N780:R780">
    <cfRule type="cellIs" dxfId="187" priority="3786" operator="between">
      <formula>101</formula>
      <formula>101.5</formula>
    </cfRule>
  </conditionalFormatting>
  <conditionalFormatting sqref="N95:AB95">
    <cfRule type="cellIs" dxfId="186" priority="3802" operator="between">
      <formula>101</formula>
      <formula>101.5</formula>
    </cfRule>
  </conditionalFormatting>
  <conditionalFormatting sqref="S66:S94">
    <cfRule type="cellIs" dxfId="185" priority="363" operator="between">
      <formula>101</formula>
      <formula>101.5</formula>
    </cfRule>
  </conditionalFormatting>
  <conditionalFormatting sqref="S199:S200">
    <cfRule type="cellIs" dxfId="184" priority="5578" operator="between">
      <formula>101</formula>
      <formula>101.5</formula>
    </cfRule>
  </conditionalFormatting>
  <conditionalFormatting sqref="S209:S210">
    <cfRule type="cellIs" dxfId="183" priority="5580" operator="between">
      <formula>101</formula>
      <formula>101.5</formula>
    </cfRule>
  </conditionalFormatting>
  <conditionalFormatting sqref="S219:S220">
    <cfRule type="cellIs" dxfId="182" priority="350" operator="between">
      <formula>101</formula>
      <formula>101.5</formula>
    </cfRule>
  </conditionalFormatting>
  <conditionalFormatting sqref="S229:S230">
    <cfRule type="cellIs" dxfId="181" priority="156" operator="between">
      <formula>101</formula>
      <formula>101.5</formula>
    </cfRule>
  </conditionalFormatting>
  <conditionalFormatting sqref="S362:S381">
    <cfRule type="cellIs" dxfId="180" priority="674" operator="between">
      <formula>101</formula>
      <formula>101.5</formula>
    </cfRule>
  </conditionalFormatting>
  <conditionalFormatting sqref="S484:S503">
    <cfRule type="cellIs" dxfId="179" priority="532" operator="between">
      <formula>101</formula>
      <formula>101.5</formula>
    </cfRule>
  </conditionalFormatting>
  <conditionalFormatting sqref="S605:S639">
    <cfRule type="cellIs" dxfId="178" priority="3014" operator="between">
      <formula>101</formula>
      <formula>101.5</formula>
    </cfRule>
  </conditionalFormatting>
  <conditionalFormatting sqref="S748:S749">
    <cfRule type="cellIs" dxfId="177" priority="5550" operator="between">
      <formula>101</formula>
      <formula>101.5</formula>
    </cfRule>
  </conditionalFormatting>
  <conditionalFormatting sqref="S756:S757">
    <cfRule type="cellIs" dxfId="176" priority="5547" operator="between">
      <formula>101</formula>
      <formula>101.5</formula>
    </cfRule>
  </conditionalFormatting>
  <conditionalFormatting sqref="S764:S765">
    <cfRule type="cellIs" dxfId="175" priority="5544" operator="between">
      <formula>101</formula>
      <formula>101.5</formula>
    </cfRule>
  </conditionalFormatting>
  <conditionalFormatting sqref="S772:S773">
    <cfRule type="cellIs" dxfId="174" priority="5528" operator="between">
      <formula>101</formula>
      <formula>101.5</formula>
    </cfRule>
  </conditionalFormatting>
  <conditionalFormatting sqref="S780:S781">
    <cfRule type="cellIs" dxfId="173" priority="5518" operator="between">
      <formula>101</formula>
      <formula>101.5</formula>
    </cfRule>
  </conditionalFormatting>
  <conditionalFormatting sqref="T64:T65">
    <cfRule type="cellIs" dxfId="172" priority="4114" operator="between">
      <formula>101</formula>
      <formula>101.5</formula>
    </cfRule>
  </conditionalFormatting>
  <conditionalFormatting sqref="T197:T198">
    <cfRule type="cellIs" dxfId="171" priority="5467" operator="between">
      <formula>101</formula>
      <formula>101.5</formula>
    </cfRule>
  </conditionalFormatting>
  <conditionalFormatting sqref="T227">
    <cfRule type="cellIs" dxfId="170" priority="337" operator="between">
      <formula>101</formula>
      <formula>101.5</formula>
    </cfRule>
  </conditionalFormatting>
  <conditionalFormatting sqref="T237">
    <cfRule type="cellIs" dxfId="169" priority="148" operator="between">
      <formula>101</formula>
      <formula>101.5</formula>
    </cfRule>
  </conditionalFormatting>
  <conditionalFormatting sqref="T360:T361">
    <cfRule type="cellIs" dxfId="168" priority="690" operator="between">
      <formula>101</formula>
      <formula>101.5</formula>
    </cfRule>
  </conditionalFormatting>
  <conditionalFormatting sqref="T364:T371">
    <cfRule type="cellIs" dxfId="167" priority="578" operator="between">
      <formula>101</formula>
      <formula>101.5</formula>
    </cfRule>
  </conditionalFormatting>
  <conditionalFormatting sqref="T374:T381">
    <cfRule type="cellIs" dxfId="166" priority="566" operator="between">
      <formula>101</formula>
      <formula>101.5</formula>
    </cfRule>
  </conditionalFormatting>
  <conditionalFormatting sqref="T482:T483">
    <cfRule type="cellIs" dxfId="165" priority="548" operator="between">
      <formula>101</formula>
      <formula>101.5</formula>
    </cfRule>
  </conditionalFormatting>
  <conditionalFormatting sqref="T496:T503">
    <cfRule type="cellIs" dxfId="164" priority="424" operator="between">
      <formula>101</formula>
      <formula>101.5</formula>
    </cfRule>
  </conditionalFormatting>
  <conditionalFormatting sqref="T603:T604">
    <cfRule type="cellIs" dxfId="163" priority="14312" operator="between">
      <formula>101</formula>
      <formula>101.5</formula>
    </cfRule>
  </conditionalFormatting>
  <conditionalFormatting sqref="T746">
    <cfRule type="cellIs" dxfId="162" priority="5703" operator="between">
      <formula>101</formula>
      <formula>101.5</formula>
    </cfRule>
  </conditionalFormatting>
  <conditionalFormatting sqref="T490:X490">
    <cfRule type="cellIs" dxfId="161" priority="287" operator="between">
      <formula>101</formula>
      <formula>101.5</formula>
    </cfRule>
  </conditionalFormatting>
  <conditionalFormatting sqref="T368:Y369">
    <cfRule type="cellIs" dxfId="160" priority="579" operator="between">
      <formula>101</formula>
      <formula>101.5</formula>
    </cfRule>
  </conditionalFormatting>
  <conditionalFormatting sqref="T491:Y491">
    <cfRule type="cellIs" dxfId="159" priority="294" operator="between">
      <formula>101</formula>
      <formula>101.5</formula>
    </cfRule>
  </conditionalFormatting>
  <conditionalFormatting sqref="T199:Z206">
    <cfRule type="cellIs" dxfId="158" priority="98" operator="equal">
      <formula>"#N/A"</formula>
    </cfRule>
  </conditionalFormatting>
  <conditionalFormatting sqref="T207:Z208">
    <cfRule type="cellIs" dxfId="157" priority="5339" operator="between">
      <formula>101</formula>
      <formula>101.5</formula>
    </cfRule>
  </conditionalFormatting>
  <conditionalFormatting sqref="T209:Z216">
    <cfRule type="cellIs" dxfId="156" priority="97" operator="equal">
      <formula>"#N/A"</formula>
    </cfRule>
  </conditionalFormatting>
  <conditionalFormatting sqref="T217:Z218">
    <cfRule type="cellIs" dxfId="155" priority="5375" operator="between">
      <formula>101</formula>
      <formula>101.5</formula>
    </cfRule>
  </conditionalFormatting>
  <conditionalFormatting sqref="T219:Z226">
    <cfRule type="cellIs" dxfId="154" priority="96" operator="equal">
      <formula>"#N/A"</formula>
    </cfRule>
  </conditionalFormatting>
  <conditionalFormatting sqref="T227:Z228">
    <cfRule type="cellIs" dxfId="153" priority="338" operator="between">
      <formula>101</formula>
      <formula>101.5</formula>
    </cfRule>
  </conditionalFormatting>
  <conditionalFormatting sqref="T229:Z236">
    <cfRule type="cellIs" dxfId="152" priority="85" operator="equal">
      <formula>"#N/A"</formula>
    </cfRule>
  </conditionalFormatting>
  <conditionalFormatting sqref="T237:Z238">
    <cfRule type="cellIs" dxfId="151" priority="149" operator="between">
      <formula>101</formula>
      <formula>101.5</formula>
    </cfRule>
  </conditionalFormatting>
  <conditionalFormatting sqref="T242:Z247">
    <cfRule type="cellIs" dxfId="150" priority="93" operator="equal">
      <formula>"#N/A"</formula>
    </cfRule>
  </conditionalFormatting>
  <conditionalFormatting sqref="T251:Z260">
    <cfRule type="cellIs" dxfId="149" priority="95" operator="equal">
      <formula>"#N/A"</formula>
    </cfRule>
  </conditionalFormatting>
  <conditionalFormatting sqref="T272:Z274">
    <cfRule type="cellIs" dxfId="148" priority="91" operator="equal">
      <formula>"#N/A"</formula>
    </cfRule>
  </conditionalFormatting>
  <conditionalFormatting sqref="T276:Z281">
    <cfRule type="cellIs" dxfId="147" priority="86" operator="equal">
      <formula>"#N/A"</formula>
    </cfRule>
  </conditionalFormatting>
  <conditionalFormatting sqref="T329:Z343">
    <cfRule type="cellIs" dxfId="146" priority="87" operator="equal">
      <formula>"#N/A"</formula>
    </cfRule>
  </conditionalFormatting>
  <conditionalFormatting sqref="T367:Z367">
    <cfRule type="cellIs" dxfId="145" priority="593" operator="between">
      <formula>101</formula>
      <formula>101.5</formula>
    </cfRule>
  </conditionalFormatting>
  <conditionalFormatting sqref="T377:Z377">
    <cfRule type="cellIs" dxfId="144" priority="605" operator="between">
      <formula>101</formula>
      <formula>101.5</formula>
    </cfRule>
  </conditionalFormatting>
  <conditionalFormatting sqref="T499:Z499">
    <cfRule type="cellIs" dxfId="143" priority="463" operator="between">
      <formula>101</formula>
      <formula>101.5</formula>
    </cfRule>
  </conditionalFormatting>
  <conditionalFormatting sqref="T94:AA94">
    <cfRule type="cellIs" dxfId="142" priority="307" operator="between">
      <formula>101</formula>
      <formula>101.5</formula>
    </cfRule>
  </conditionalFormatting>
  <conditionalFormatting sqref="T747:AA747">
    <cfRule type="cellIs" dxfId="141" priority="131" operator="between">
      <formula>101</formula>
      <formula>101.5</formula>
    </cfRule>
  </conditionalFormatting>
  <conditionalFormatting sqref="T748:AA788">
    <cfRule type="cellIs" dxfId="140" priority="82" operator="equal">
      <formula>"#N/A"</formula>
    </cfRule>
  </conditionalFormatting>
  <conditionalFormatting sqref="T792:AA793">
    <cfRule type="cellIs" dxfId="139" priority="5711" operator="between">
      <formula>101</formula>
      <formula>101.5</formula>
    </cfRule>
  </conditionalFormatting>
  <conditionalFormatting sqref="T795:AA796">
    <cfRule type="cellIs" dxfId="138" priority="112" operator="between">
      <formula>101</formula>
      <formula>101.5</formula>
    </cfRule>
  </conditionalFormatting>
  <conditionalFormatting sqref="T800:AA803">
    <cfRule type="cellIs" dxfId="137" priority="123" operator="equal">
      <formula>"#N/A"</formula>
    </cfRule>
  </conditionalFormatting>
  <conditionalFormatting sqref="T807:AA821">
    <cfRule type="cellIs" dxfId="136" priority="125" operator="equal">
      <formula>"#N/A"</formula>
    </cfRule>
  </conditionalFormatting>
  <conditionalFormatting sqref="T825:AA835">
    <cfRule type="cellIs" dxfId="135" priority="118" operator="equal">
      <formula>"#N/A"</formula>
    </cfRule>
  </conditionalFormatting>
  <conditionalFormatting sqref="T837:AA839">
    <cfRule type="cellIs" dxfId="134" priority="122" operator="equal">
      <formula>"#N/A"</formula>
    </cfRule>
  </conditionalFormatting>
  <conditionalFormatting sqref="T846:AA859">
    <cfRule type="cellIs" dxfId="133" priority="121" operator="equal">
      <formula>"#N/A"</formula>
    </cfRule>
  </conditionalFormatting>
  <conditionalFormatting sqref="T865:AA877">
    <cfRule type="cellIs" dxfId="132" priority="84" operator="equal">
      <formula>"#N/A"</formula>
    </cfRule>
  </conditionalFormatting>
  <conditionalFormatting sqref="T882:AA897">
    <cfRule type="cellIs" dxfId="131" priority="113" operator="equal">
      <formula>"#N/A"</formula>
    </cfRule>
  </conditionalFormatting>
  <conditionalFormatting sqref="T7:AB7">
    <cfRule type="cellIs" dxfId="130" priority="13220" operator="between">
      <formula>101</formula>
      <formula>101.5</formula>
    </cfRule>
  </conditionalFormatting>
  <conditionalFormatting sqref="T10:AB14">
    <cfRule type="expression" dxfId="129" priority="5346">
      <formula>AND($F$9&lt;&gt;"Second",$F$9&lt;&gt;"AgencyCompanionSecond",$F$9&lt;&gt;"HELOC")</formula>
    </cfRule>
  </conditionalFormatting>
  <conditionalFormatting sqref="T66:AB73">
    <cfRule type="cellIs" dxfId="128" priority="106" operator="equal">
      <formula>"#N/A"</formula>
    </cfRule>
  </conditionalFormatting>
  <conditionalFormatting sqref="T74:AB75">
    <cfRule type="cellIs" dxfId="127" priority="4038" operator="between">
      <formula>101</formula>
      <formula>101.5</formula>
    </cfRule>
  </conditionalFormatting>
  <conditionalFormatting sqref="T76:AB83">
    <cfRule type="cellIs" dxfId="126" priority="105" operator="equal">
      <formula>"#N/A"</formula>
    </cfRule>
  </conditionalFormatting>
  <conditionalFormatting sqref="T84:AB85">
    <cfRule type="cellIs" dxfId="125" priority="4028" operator="between">
      <formula>101</formula>
      <formula>101.5</formula>
    </cfRule>
  </conditionalFormatting>
  <conditionalFormatting sqref="T86:AB93">
    <cfRule type="cellIs" dxfId="124" priority="104" operator="equal">
      <formula>"#N/A"</formula>
    </cfRule>
  </conditionalFormatting>
  <conditionalFormatting sqref="T99:AB104">
    <cfRule type="cellIs" dxfId="123" priority="101" operator="equal">
      <formula>"#N/A"</formula>
    </cfRule>
  </conditionalFormatting>
  <conditionalFormatting sqref="T108:AB117">
    <cfRule type="cellIs" dxfId="122" priority="103" operator="equal">
      <formula>"#N/A"</formula>
    </cfRule>
  </conditionalFormatting>
  <conditionalFormatting sqref="T129:AB131">
    <cfRule type="cellIs" dxfId="121" priority="99" operator="equal">
      <formula>"#N/A"</formula>
    </cfRule>
  </conditionalFormatting>
  <conditionalFormatting sqref="T145:AB157 T293:Z305">
    <cfRule type="cellIs" dxfId="120" priority="145" operator="equal">
      <formula>"#N/A"</formula>
    </cfRule>
  </conditionalFormatting>
  <conditionalFormatting sqref="T370:AB371">
    <cfRule type="cellIs" dxfId="119" priority="625" operator="between">
      <formula>101</formula>
      <formula>101.5</formula>
    </cfRule>
  </conditionalFormatting>
  <conditionalFormatting sqref="T378:AB381">
    <cfRule type="cellIs" dxfId="118" priority="567" operator="between">
      <formula>101</formula>
      <formula>101.5</formula>
    </cfRule>
  </conditionalFormatting>
  <conditionalFormatting sqref="T492:AB493">
    <cfRule type="cellIs" dxfId="117" priority="296" operator="between">
      <formula>101</formula>
      <formula>101.5</formula>
    </cfRule>
  </conditionalFormatting>
  <conditionalFormatting sqref="T500:AB503">
    <cfRule type="cellIs" dxfId="116" priority="425" operator="between">
      <formula>101</formula>
      <formula>101.5</formula>
    </cfRule>
  </conditionalFormatting>
  <conditionalFormatting sqref="T605:AB640">
    <cfRule type="cellIs" dxfId="115" priority="142" operator="equal">
      <formula>"#N/A"</formula>
    </cfRule>
  </conditionalFormatting>
  <conditionalFormatting sqref="T654:AB655">
    <cfRule type="cellIs" dxfId="114" priority="140" operator="equal">
      <formula>"#N/A"</formula>
    </cfRule>
  </conditionalFormatting>
  <conditionalFormatting sqref="T659:AB673">
    <cfRule type="cellIs" dxfId="113" priority="141" operator="equal">
      <formula>"#N/A"</formula>
    </cfRule>
  </conditionalFormatting>
  <conditionalFormatting sqref="T678:AB681">
    <cfRule type="cellIs" dxfId="112" priority="136" operator="equal">
      <formula>"#N/A"</formula>
    </cfRule>
  </conditionalFormatting>
  <conditionalFormatting sqref="T683:AB687">
    <cfRule type="cellIs" dxfId="111" priority="138" operator="equal">
      <formula>"#N/A"</formula>
    </cfRule>
  </conditionalFormatting>
  <conditionalFormatting sqref="T693:AB706">
    <cfRule type="cellIs" dxfId="110" priority="137" operator="equal">
      <formula>"#N/A"</formula>
    </cfRule>
  </conditionalFormatting>
  <conditionalFormatting sqref="T714:AB724">
    <cfRule type="cellIs" dxfId="109" priority="83" operator="equal">
      <formula>"#N/A"</formula>
    </cfRule>
  </conditionalFormatting>
  <conditionalFormatting sqref="U198:Z198">
    <cfRule type="cellIs" dxfId="108" priority="5468" operator="between">
      <formula>101</formula>
      <formula>101.5</formula>
    </cfRule>
  </conditionalFormatting>
  <conditionalFormatting sqref="U247:Z247">
    <cfRule type="cellIs" dxfId="107" priority="94" operator="equal">
      <formula>"#N/A"</formula>
    </cfRule>
  </conditionalFormatting>
  <conditionalFormatting sqref="U65:AB65">
    <cfRule type="cellIs" dxfId="106" priority="4122" operator="between">
      <formula>101</formula>
      <formula>101.5</formula>
    </cfRule>
  </conditionalFormatting>
  <conditionalFormatting sqref="U104:AB104">
    <cfRule type="cellIs" dxfId="105" priority="102" operator="equal">
      <formula>"#N/A"</formula>
    </cfRule>
  </conditionalFormatting>
  <conditionalFormatting sqref="U361:AB361">
    <cfRule type="cellIs" dxfId="104" priority="698" operator="between">
      <formula>101</formula>
      <formula>101.5</formula>
    </cfRule>
  </conditionalFormatting>
  <conditionalFormatting sqref="U483:AB483">
    <cfRule type="cellIs" dxfId="103" priority="556" operator="between">
      <formula>101</formula>
      <formula>101.5</formula>
    </cfRule>
  </conditionalFormatting>
  <conditionalFormatting sqref="U604:AB604">
    <cfRule type="cellIs" dxfId="102" priority="5701" operator="between">
      <formula>101</formula>
      <formula>101.5</formula>
    </cfRule>
  </conditionalFormatting>
  <conditionalFormatting sqref="V362:Y363 T364:Y366">
    <cfRule type="cellIs" dxfId="101" priority="594" operator="between">
      <formula>101</formula>
      <formula>101.5</formula>
    </cfRule>
  </conditionalFormatting>
  <conditionalFormatting sqref="X366">
    <cfRule type="cellIs" dxfId="100" priority="590" operator="between">
      <formula>101</formula>
      <formula>101.5</formula>
    </cfRule>
  </conditionalFormatting>
  <conditionalFormatting sqref="X376">
    <cfRule type="cellIs" dxfId="99" priority="602" operator="between">
      <formula>101</formula>
      <formula>101.5</formula>
    </cfRule>
  </conditionalFormatting>
  <conditionalFormatting sqref="X488:X489">
    <cfRule type="cellIs" dxfId="98" priority="286" operator="between">
      <formula>101</formula>
      <formula>101.5</formula>
    </cfRule>
  </conditionalFormatting>
  <conditionalFormatting sqref="X498:Y498">
    <cfRule type="cellIs" dxfId="97" priority="460" operator="between">
      <formula>101</formula>
      <formula>101.5</formula>
    </cfRule>
  </conditionalFormatting>
  <conditionalFormatting sqref="Y75">
    <cfRule type="cellIs" dxfId="96" priority="4039" operator="between">
      <formula>101</formula>
      <formula>101.5</formula>
    </cfRule>
  </conditionalFormatting>
  <conditionalFormatting sqref="Y85">
    <cfRule type="cellIs" dxfId="95" priority="4029" operator="between">
      <formula>101</formula>
      <formula>101.5</formula>
    </cfRule>
  </conditionalFormatting>
  <conditionalFormatting sqref="Y218">
    <cfRule type="cellIs" dxfId="94" priority="5376" operator="between">
      <formula>101</formula>
      <formula>101.5</formula>
    </cfRule>
  </conditionalFormatting>
  <conditionalFormatting sqref="Y362:Y365">
    <cfRule type="cellIs" dxfId="93" priority="589" operator="between">
      <formula>101</formula>
      <formula>101.5</formula>
    </cfRule>
  </conditionalFormatting>
  <conditionalFormatting sqref="Y371:Y375">
    <cfRule type="cellIs" dxfId="92" priority="601" operator="between">
      <formula>101</formula>
      <formula>101.5</formula>
    </cfRule>
  </conditionalFormatting>
  <conditionalFormatting sqref="Y381">
    <cfRule type="cellIs" dxfId="91" priority="612" operator="between">
      <formula>101</formula>
      <formula>101.5</formula>
    </cfRule>
  </conditionalFormatting>
  <conditionalFormatting sqref="Y485:Y490">
    <cfRule type="cellIs" dxfId="90" priority="288" operator="between">
      <formula>101</formula>
      <formula>101.5</formula>
    </cfRule>
  </conditionalFormatting>
  <conditionalFormatting sqref="Y493:Y497">
    <cfRule type="cellIs" dxfId="89" priority="295" operator="between">
      <formula>101</formula>
      <formula>101.5</formula>
    </cfRule>
  </conditionalFormatting>
  <conditionalFormatting sqref="Y503">
    <cfRule type="cellIs" dxfId="88" priority="470" operator="between">
      <formula>101</formula>
      <formula>101.5</formula>
    </cfRule>
  </conditionalFormatting>
  <conditionalFormatting sqref="Y484:AB484">
    <cfRule type="cellIs" dxfId="87" priority="290" operator="between">
      <formula>101</formula>
      <formula>101.5</formula>
    </cfRule>
  </conditionalFormatting>
  <conditionalFormatting sqref="Z248:Z250">
    <cfRule type="cellIs" dxfId="86" priority="5094" operator="between">
      <formula>101</formula>
      <formula>101.5</formula>
    </cfRule>
  </conditionalFormatting>
  <conditionalFormatting sqref="Z271 Z275">
    <cfRule type="cellIs" dxfId="85" priority="5360" operator="between">
      <formula>101</formula>
      <formula>101.5</formula>
    </cfRule>
  </conditionalFormatting>
  <conditionalFormatting sqref="Z283:Z285">
    <cfRule type="cellIs" dxfId="84" priority="5358" operator="between">
      <formula>101</formula>
      <formula>101.5</formula>
    </cfRule>
  </conditionalFormatting>
  <conditionalFormatting sqref="Z362:Z381">
    <cfRule type="cellIs" dxfId="83" priority="570" operator="between">
      <formula>101</formula>
      <formula>101.5</formula>
    </cfRule>
  </conditionalFormatting>
  <conditionalFormatting sqref="Z485:Z503">
    <cfRule type="cellIs" dxfId="82" priority="292" operator="between">
      <formula>101</formula>
      <formula>101.5</formula>
    </cfRule>
  </conditionalFormatting>
  <conditionalFormatting sqref="Z96:AB98 Z239:AB241 AA798:AA799">
    <cfRule type="cellIs" dxfId="81" priority="14401" operator="between">
      <formula>101</formula>
      <formula>101.5</formula>
    </cfRule>
  </conditionalFormatting>
  <conditionalFormatting sqref="Z105:AB107">
    <cfRule type="cellIs" dxfId="80" priority="4102" operator="between">
      <formula>101</formula>
      <formula>101.5</formula>
    </cfRule>
  </conditionalFormatting>
  <conditionalFormatting sqref="Z118:AB128">
    <cfRule type="cellIs" dxfId="79" priority="4105" operator="between">
      <formula>101</formula>
      <formula>101.5</formula>
    </cfRule>
  </conditionalFormatting>
  <conditionalFormatting sqref="Z132:AB144">
    <cfRule type="cellIs" dxfId="78" priority="4059" operator="between">
      <formula>101</formula>
      <formula>101.5</formula>
    </cfRule>
  </conditionalFormatting>
  <conditionalFormatting sqref="Z158:AB185">
    <cfRule type="cellIs" dxfId="77" priority="2978" operator="between">
      <formula>101</formula>
      <formula>101.5</formula>
    </cfRule>
  </conditionalFormatting>
  <conditionalFormatting sqref="Z290:AB291">
    <cfRule type="cellIs" dxfId="76" priority="3211" operator="between">
      <formula>101</formula>
      <formula>101.5</formula>
    </cfRule>
  </conditionalFormatting>
  <conditionalFormatting sqref="Z372:AB372 V372:Y373 T374:Y376">
    <cfRule type="cellIs" dxfId="75" priority="606" operator="between">
      <formula>101</formula>
      <formula>101.5</formula>
    </cfRule>
  </conditionalFormatting>
  <conditionalFormatting sqref="Z382:AB389">
    <cfRule type="cellIs" dxfId="74" priority="666" operator="between">
      <formula>101</formula>
      <formula>101.5</formula>
    </cfRule>
  </conditionalFormatting>
  <conditionalFormatting sqref="Z391:AB470">
    <cfRule type="cellIs" dxfId="73" priority="282" operator="between">
      <formula>101</formula>
      <formula>101.5</formula>
    </cfRule>
  </conditionalFormatting>
  <conditionalFormatting sqref="Z494:AB494 V494:Y495 T496:Y497 T498:V498">
    <cfRule type="cellIs" dxfId="72" priority="464" operator="between">
      <formula>101</formula>
      <formula>101.5</formula>
    </cfRule>
  </conditionalFormatting>
  <conditionalFormatting sqref="Z504:AB511">
    <cfRule type="cellIs" dxfId="71" priority="524" operator="between">
      <formula>101</formula>
      <formula>101.5</formula>
    </cfRule>
  </conditionalFormatting>
  <conditionalFormatting sqref="Z513:AB591">
    <cfRule type="cellIs" dxfId="70" priority="280" operator="between">
      <formula>101</formula>
      <formula>101.5</formula>
    </cfRule>
  </conditionalFormatting>
  <conditionalFormatting sqref="AA271:AA285">
    <cfRule type="cellIs" dxfId="69" priority="3224" operator="between">
      <formula>101</formula>
      <formula>101.5</formula>
    </cfRule>
  </conditionalFormatting>
  <conditionalFormatting sqref="AA366">
    <cfRule type="cellIs" dxfId="68" priority="632" operator="between">
      <formula>101</formula>
      <formula>101.5</formula>
    </cfRule>
  </conditionalFormatting>
  <conditionalFormatting sqref="AA368">
    <cfRule type="cellIs" dxfId="67" priority="574" operator="between">
      <formula>101</formula>
      <formula>101.5</formula>
    </cfRule>
  </conditionalFormatting>
  <conditionalFormatting sqref="AA485:AA490">
    <cfRule type="cellIs" dxfId="66" priority="293" operator="between">
      <formula>101</formula>
      <formula>101.5</formula>
    </cfRule>
  </conditionalFormatting>
  <conditionalFormatting sqref="AA199:AB238">
    <cfRule type="cellIs" dxfId="65" priority="321" operator="between">
      <formula>101</formula>
      <formula>101.5</formula>
    </cfRule>
  </conditionalFormatting>
  <conditionalFormatting sqref="AA242:AB259">
    <cfRule type="cellIs" dxfId="64" priority="3210" operator="between">
      <formula>101</formula>
      <formula>101.5</formula>
    </cfRule>
  </conditionalFormatting>
  <conditionalFormatting sqref="AA287:AB288">
    <cfRule type="cellIs" dxfId="63" priority="3254" operator="between">
      <formula>101</formula>
      <formula>101.5</formula>
    </cfRule>
  </conditionalFormatting>
  <conditionalFormatting sqref="AA293:AB305">
    <cfRule type="cellIs" dxfId="62" priority="3216" operator="between">
      <formula>101</formula>
      <formula>101.5</formula>
    </cfRule>
  </conditionalFormatting>
  <conditionalFormatting sqref="AA362:AB367">
    <cfRule type="cellIs" dxfId="61" priority="633" operator="between">
      <formula>101</formula>
      <formula>101.5</formula>
    </cfRule>
  </conditionalFormatting>
  <conditionalFormatting sqref="AA369:AB381">
    <cfRule type="cellIs" dxfId="60" priority="564" operator="between">
      <formula>101</formula>
      <formula>101.5</formula>
    </cfRule>
  </conditionalFormatting>
  <conditionalFormatting sqref="AA491:AB503">
    <cfRule type="cellIs" dxfId="59" priority="291" operator="between">
      <formula>101</formula>
      <formula>101.5</formula>
    </cfRule>
  </conditionalFormatting>
  <conditionalFormatting sqref="AB20:AB23">
    <cfRule type="expression" dxfId="58" priority="3961">
      <formula>AB20="Fail"</formula>
    </cfRule>
  </conditionalFormatting>
  <conditionalFormatting sqref="AB75">
    <cfRule type="cellIs" dxfId="57" priority="4036" operator="between">
      <formula>101</formula>
      <formula>101.5</formula>
    </cfRule>
  </conditionalFormatting>
  <conditionalFormatting sqref="AB85">
    <cfRule type="cellIs" dxfId="56" priority="4026" operator="between">
      <formula>101</formula>
      <formula>101.5</formula>
    </cfRule>
  </conditionalFormatting>
  <conditionalFormatting sqref="AB94:AB95">
    <cfRule type="cellIs" dxfId="55" priority="354" operator="between">
      <formula>101</formula>
      <formula>101.5</formula>
    </cfRule>
  </conditionalFormatting>
  <conditionalFormatting sqref="AB271:AB275">
    <cfRule type="cellIs" dxfId="54" priority="5310" operator="between">
      <formula>101</formula>
      <formula>101.5</formula>
    </cfRule>
  </conditionalFormatting>
  <conditionalFormatting sqref="AB283:AB285">
    <cfRule type="cellIs" dxfId="53" priority="5359" operator="between">
      <formula>101</formula>
      <formula>101.5</formula>
    </cfRule>
  </conditionalFormatting>
  <conditionalFormatting sqref="AB362:AB366">
    <cfRule type="cellIs" dxfId="52" priority="573" operator="between">
      <formula>101</formula>
      <formula>101.5</formula>
    </cfRule>
  </conditionalFormatting>
  <conditionalFormatting sqref="AB368:AB369">
    <cfRule type="cellIs" dxfId="51" priority="630" operator="between">
      <formula>101</formula>
      <formula>101.5</formula>
    </cfRule>
  </conditionalFormatting>
  <conditionalFormatting sqref="AB371:AB379">
    <cfRule type="cellIs" dxfId="50" priority="562" operator="between">
      <formula>101</formula>
      <formula>101.5</formula>
    </cfRule>
  </conditionalFormatting>
  <conditionalFormatting sqref="AB381">
    <cfRule type="cellIs" dxfId="49" priority="609" operator="between">
      <formula>101</formula>
      <formula>101.5</formula>
    </cfRule>
  </conditionalFormatting>
  <conditionalFormatting sqref="AB390">
    <cfRule type="cellIs" dxfId="48" priority="558" operator="between">
      <formula>101</formula>
      <formula>101.5</formula>
    </cfRule>
  </conditionalFormatting>
  <conditionalFormatting sqref="AB484:AB491">
    <cfRule type="cellIs" dxfId="47" priority="289" operator="between">
      <formula>101</formula>
      <formula>101.5</formula>
    </cfRule>
  </conditionalFormatting>
  <conditionalFormatting sqref="AB493:AB501">
    <cfRule type="cellIs" dxfId="46" priority="285" operator="between">
      <formula>101</formula>
      <formula>101.5</formula>
    </cfRule>
  </conditionalFormatting>
  <conditionalFormatting sqref="AB503">
    <cfRule type="cellIs" dxfId="45" priority="467" operator="between">
      <formula>101</formula>
      <formula>101.5</formula>
    </cfRule>
  </conditionalFormatting>
  <conditionalFormatting sqref="AB512">
    <cfRule type="cellIs" dxfId="44" priority="416" operator="between">
      <formula>101</formula>
      <formula>101.5</formula>
    </cfRule>
  </conditionalFormatting>
  <conditionalFormatting sqref="AB688">
    <cfRule type="cellIs" dxfId="43" priority="5794" operator="between">
      <formula>101</formula>
      <formula>101.5</formula>
    </cfRule>
  </conditionalFormatting>
  <conditionalFormatting sqref="AB748:AB801">
    <cfRule type="cellIs" dxfId="42" priority="107" operator="between">
      <formula>101</formula>
      <formula>101.5</formula>
    </cfRule>
  </conditionalFormatting>
  <conditionalFormatting sqref="AG364:AG371">
    <cfRule type="cellIs" dxfId="41" priority="651" operator="between">
      <formula>101</formula>
      <formula>101.5</formula>
    </cfRule>
  </conditionalFormatting>
  <conditionalFormatting sqref="AG486:AG493">
    <cfRule type="cellIs" dxfId="40" priority="509" operator="between">
      <formula>101</formula>
      <formula>101.5</formula>
    </cfRule>
  </conditionalFormatting>
  <conditionalFormatting sqref="AG366:AH371">
    <cfRule type="cellIs" dxfId="39" priority="652" operator="between">
      <formula>101</formula>
      <formula>101.5</formula>
    </cfRule>
  </conditionalFormatting>
  <conditionalFormatting sqref="AG374:AH381">
    <cfRule type="cellIs" dxfId="38" priority="641" operator="between">
      <formula>101</formula>
      <formula>101.5</formula>
    </cfRule>
  </conditionalFormatting>
  <conditionalFormatting sqref="AG488:AH493">
    <cfRule type="cellIs" dxfId="37" priority="510" operator="between">
      <formula>101</formula>
      <formula>101.5</formula>
    </cfRule>
  </conditionalFormatting>
  <conditionalFormatting sqref="AG496:AH503">
    <cfRule type="cellIs" dxfId="36" priority="499" operator="between">
      <formula>101</formula>
      <formula>101.5</formula>
    </cfRule>
  </conditionalFormatting>
  <dataValidations count="21">
    <dataValidation type="list" allowBlank="1" showInputMessage="1" showErrorMessage="1" sqref="F35 F38" xr:uid="{A4C1F63B-EEBE-48A9-A5E7-E9160DFC2FB6}">
      <formula1>List_LockTerm</formula1>
    </dataValidation>
    <dataValidation type="list" allowBlank="1" showInputMessage="1" showErrorMessage="1" sqref="F9" xr:uid="{250BB07F-5392-441A-AA7F-F283A2B7EA27}">
      <formula1>List_ProductClass</formula1>
    </dataValidation>
    <dataValidation type="list" allowBlank="1" showInputMessage="1" showErrorMessage="1" sqref="F22" xr:uid="{3976EC59-4B60-4A6E-9F6A-97C2CC3DE861}">
      <formula1>List_Purpose</formula1>
    </dataValidation>
    <dataValidation type="list" allowBlank="1" showInputMessage="1" showErrorMessage="1" sqref="F24" xr:uid="{BD84D71D-F7C4-4F0A-A0A9-66C2A2AE0A22}">
      <formula1>List_PropertyType_Dropdown</formula1>
    </dataValidation>
    <dataValidation type="list" allowBlank="1" showInputMessage="1" showErrorMessage="1" sqref="F11" xr:uid="{AD338A34-A9CE-40F3-A822-F42AC94E49A4}">
      <formula1>List_Occupancy</formula1>
    </dataValidation>
    <dataValidation type="list" allowBlank="1" showInputMessage="1" showErrorMessage="1" sqref="F26" xr:uid="{8ED9F704-9759-4C81-A1CC-F4B5BB2E2191}">
      <formula1>List_State</formula1>
    </dataValidation>
    <dataValidation type="list" allowBlank="1" showInputMessage="1" showErrorMessage="1" sqref="F16" xr:uid="{E65F1B80-3E65-44ED-BAA4-3F7C6F5B3D02}">
      <formula1>List_AmortType</formula1>
    </dataValidation>
    <dataValidation type="list" allowBlank="1" showInputMessage="1" showErrorMessage="1" sqref="F27" xr:uid="{81C931BE-12C9-4E17-983B-2577D048E9C2}">
      <formula1>List_CreditHistory</formula1>
    </dataValidation>
    <dataValidation type="list" allowBlank="1" showInputMessage="1" showErrorMessage="1" sqref="F28" xr:uid="{A8C05E29-F0D9-47AF-A5B6-5BD70B422A26}">
      <formula1>List_HousingHistory</formula1>
    </dataValidation>
    <dataValidation type="list" allowBlank="1" showInputMessage="1" showErrorMessage="1" sqref="F32" xr:uid="{7F9BB0B4-B8CD-42CD-A43E-6F546E7E771B}">
      <formula1>List_Payment</formula1>
    </dataValidation>
    <dataValidation type="list" allowBlank="1" showInputMessage="1" showErrorMessage="1" sqref="F33" xr:uid="{6199D091-4D82-4F82-B41D-03E9099146A4}">
      <formula1>List_Servicing</formula1>
    </dataValidation>
    <dataValidation type="list" allowBlank="1" showInputMessage="1" showErrorMessage="1" sqref="F34" xr:uid="{FFAE118A-A52A-4CA8-969C-ECD0341AAE30}">
      <formula1>List_PrepayPenalty</formula1>
    </dataValidation>
    <dataValidation type="list" allowBlank="1" showInputMessage="1" showErrorMessage="1" sqref="F17" xr:uid="{E51C20F4-A958-4872-8F74-9717F05EA6B7}">
      <formula1>List_DocType</formula1>
    </dataValidation>
    <dataValidation type="list" allowBlank="1" showInputMessage="1" showErrorMessage="1" sqref="F18" xr:uid="{7C60021B-BDAD-4A81-9383-B1C4243DD9F9}">
      <formula1>List_BankStmt</formula1>
    </dataValidation>
    <dataValidation type="list" allowBlank="1" showInputMessage="1" showErrorMessage="1" sqref="F15" xr:uid="{7F87CB6A-FE29-4A3B-9FFE-D82035E2534A}">
      <formula1>List_AmortTerm_Dropdown</formula1>
    </dataValidation>
    <dataValidation type="list" allowBlank="1" showInputMessage="1" showErrorMessage="1" sqref="F29" xr:uid="{6BFD79E7-721C-4108-85EF-0438D260C4C8}">
      <formula1>List_Citizenship</formula1>
    </dataValidation>
    <dataValidation type="list" allowBlank="1" showInputMessage="1" showErrorMessage="1" sqref="F31" xr:uid="{D27458E1-B7BB-4A8B-BF84-891D917C3978}">
      <formula1>List_FirstTimeHomebuyer</formula1>
    </dataValidation>
    <dataValidation type="list" allowBlank="1" showInputMessage="1" showErrorMessage="1" sqref="F36" xr:uid="{20D7F161-53DB-4260-9572-DB463F2E9791}">
      <formula1>List_LockType</formula1>
    </dataValidation>
    <dataValidation type="list" allowBlank="1" showInputMessage="1" showErrorMessage="1" sqref="F25" xr:uid="{126EB502-B686-40D8-85A5-781800F5C5AC}">
      <formula1>List_ValuationType</formula1>
    </dataValidation>
    <dataValidation type="list" allowBlank="1" showInputMessage="1" showErrorMessage="1" sqref="F30" xr:uid="{4078AD22-A655-4F81-9681-FD401773F72E}">
      <formula1>List_Employment</formula1>
    </dataValidation>
    <dataValidation type="list" allowBlank="1" showInputMessage="1" showErrorMessage="1" sqref="F37" xr:uid="{C4B96A4A-89A6-4DB9-BA16-5BA175E00F63}">
      <formula1>List_CompensationType</formula1>
    </dataValidation>
  </dataValidations>
  <pageMargins left="0.35" right="0.25" top="0.25" bottom="0.25" header="0.3" footer="0.3"/>
  <pageSetup paperSize="5" scale="56" fitToHeight="0" orientation="portrait" r:id="rId1"/>
  <rowBreaks count="9" manualBreakCount="9">
    <brk id="189" min="2" max="28" man="1"/>
    <brk id="352" min="2" max="28" man="1"/>
    <brk id="473" min="2" max="28" man="1"/>
    <brk id="56" min="2" max="24" man="1"/>
    <brk id="189" min="2" max="24" man="1"/>
    <brk id="595" min="2" max="28" man="1"/>
    <brk id="738" min="2" max="28" man="1"/>
    <brk id="595" min="2" max="24" man="1"/>
    <brk id="738" min="2" max="28" man="1"/>
  </rowBreaks>
  <ignoredErrors>
    <ignoredError sqref="P11:P39 H24 T513:X513" evalError="1"/>
    <ignoredError sqref="Z32 AE9:AE14"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E24E4-932D-4BFF-880C-E673BCB51667}">
  <sheetPr codeName="Sheet3"/>
  <dimension ref="B1:CH538"/>
  <sheetViews>
    <sheetView showGridLines="0" zoomScaleNormal="100" workbookViewId="0">
      <pane ySplit="4" topLeftCell="A5" activePane="bottomLeft" state="frozen"/>
      <selection activeCell="F39" sqref="F39:G39"/>
      <selection pane="bottomLeft" activeCell="T32" sqref="T32"/>
    </sheetView>
  </sheetViews>
  <sheetFormatPr defaultColWidth="9.140625" defaultRowHeight="11.25" x14ac:dyDescent="0.2"/>
  <cols>
    <col min="1" max="1" width="1.42578125" style="514" customWidth="1"/>
    <col min="2" max="2" width="1.7109375" style="514" customWidth="1"/>
    <col min="3" max="3" width="4.7109375" style="514" customWidth="1"/>
    <col min="4" max="9" width="8.42578125" style="514" customWidth="1"/>
    <col min="10" max="10" width="9.7109375" style="514" customWidth="1"/>
    <col min="11" max="11" width="16.28515625" style="514" bestFit="1" customWidth="1"/>
    <col min="12" max="12" width="4.140625" style="514" customWidth="1"/>
    <col min="13" max="14" width="15.7109375" style="514" customWidth="1"/>
    <col min="15" max="15" width="21.28515625" style="514" bestFit="1" customWidth="1"/>
    <col min="16" max="19" width="7.7109375" style="514" customWidth="1"/>
    <col min="20" max="20" width="16.7109375" style="514" customWidth="1"/>
    <col min="21" max="21" width="11.28515625" style="514" bestFit="1" customWidth="1"/>
    <col min="22" max="22" width="11.28515625" style="514" customWidth="1"/>
    <col min="23" max="23" width="1.7109375" style="514" customWidth="1"/>
    <col min="24" max="24" width="14.5703125" style="514" customWidth="1"/>
    <col min="25" max="25" width="13" style="514" customWidth="1"/>
    <col min="26" max="27" width="7.28515625" style="514" customWidth="1"/>
    <col min="28" max="28" width="10.7109375" style="514" customWidth="1"/>
    <col min="29" max="29" width="14.42578125" style="514" customWidth="1"/>
    <col min="30" max="30" width="14.7109375" style="514" customWidth="1"/>
    <col min="31" max="31" width="15.28515625" style="514" customWidth="1"/>
    <col min="32" max="41" width="19.7109375" style="514" customWidth="1"/>
    <col min="42" max="42" width="3.28515625" style="514" customWidth="1"/>
    <col min="43" max="43" width="9.5703125" style="514" customWidth="1"/>
    <col min="44" max="44" width="12.7109375" style="514" customWidth="1"/>
    <col min="45" max="45" width="5.28515625" style="514" customWidth="1"/>
    <col min="46" max="46" width="6.7109375" style="514" customWidth="1"/>
    <col min="47" max="47" width="1.7109375" style="514" customWidth="1"/>
    <col min="48" max="48" width="7.85546875" style="514" customWidth="1"/>
    <col min="49" max="49" width="15" style="514" customWidth="1"/>
    <col min="50" max="50" width="14.42578125" style="514" customWidth="1"/>
    <col min="51" max="53" width="6.7109375" style="514" bestFit="1" customWidth="1"/>
    <col min="54" max="54" width="5.85546875" style="514" bestFit="1" customWidth="1"/>
    <col min="55" max="55" width="14.42578125" style="514" customWidth="1"/>
    <col min="56" max="57" width="5.140625" style="514" bestFit="1" customWidth="1"/>
    <col min="58" max="58" width="1.7109375" style="514" customWidth="1"/>
    <col min="59" max="62" width="5.7109375" style="514" customWidth="1"/>
    <col min="63" max="64" width="6.28515625" style="514" customWidth="1"/>
    <col min="65" max="65" width="9.5703125" style="514" customWidth="1"/>
    <col min="66" max="67" width="7.85546875" style="514" customWidth="1"/>
    <col min="68" max="70" width="6.7109375" style="514" customWidth="1"/>
    <col min="71" max="71" width="7.7109375" style="514" customWidth="1"/>
    <col min="72" max="72" width="8.42578125" style="514" bestFit="1" customWidth="1"/>
    <col min="73" max="73" width="5.85546875" style="514" bestFit="1" customWidth="1"/>
    <col min="74" max="74" width="6.42578125" style="514" customWidth="1"/>
    <col min="75" max="82" width="9.140625" style="514"/>
    <col min="83" max="83" width="15.85546875" style="514" customWidth="1"/>
    <col min="84" max="16384" width="9.140625" style="514"/>
  </cols>
  <sheetData>
    <row r="1" spans="2:86" ht="6" customHeight="1" x14ac:dyDescent="0.2">
      <c r="I1" s="514" t="str">
        <f>Elig_OverlayMessage_All</f>
        <v/>
      </c>
      <c r="L1" s="514" t="e" cm="1" vm="1">
        <f t="array" aca="1" ref="L1" ca="1">List_HousingHistory_All</f>
        <v>#VALUE!</v>
      </c>
      <c r="M1" s="515"/>
      <c r="N1" s="515"/>
      <c r="O1" s="515"/>
      <c r="P1" s="515"/>
      <c r="Q1" s="515"/>
      <c r="R1" s="515"/>
      <c r="S1" s="515"/>
      <c r="T1" s="515"/>
      <c r="U1" s="515"/>
      <c r="V1" s="515"/>
      <c r="X1" s="2021">
        <f>IF(Input_CompensationType="Lender Paid",ABS(Input_Price_CompensationType),0)</f>
        <v>0</v>
      </c>
      <c r="Y1" s="514" t="str">
        <f>INDEX(Elig_All,MATCH(Input_Product,Elig_Product,0),10)</f>
        <v>SF, DP, PD, CS, CW, TH, RW, MD, 2U, 3U, 4U, RL</v>
      </c>
      <c r="AC1" s="516" t="s">
        <v>21</v>
      </c>
      <c r="AD1" s="517" t="s">
        <v>342</v>
      </c>
      <c r="AV1" s="2763" t="s">
        <v>1243</v>
      </c>
      <c r="AW1" s="2763"/>
      <c r="AX1" s="2763"/>
      <c r="AY1" s="2763"/>
      <c r="AZ1" s="2763"/>
      <c r="BA1" s="2763"/>
      <c r="BB1" s="2763"/>
      <c r="BC1" s="2763"/>
      <c r="BD1" s="2763"/>
      <c r="BE1" s="2763"/>
    </row>
    <row r="2" spans="2:86" ht="10.15" customHeight="1" x14ac:dyDescent="0.2">
      <c r="B2" s="2763" t="s">
        <v>766</v>
      </c>
      <c r="C2" s="2763"/>
      <c r="D2" s="2763"/>
      <c r="E2" s="2763"/>
      <c r="F2" s="2763"/>
      <c r="G2" s="2763"/>
      <c r="H2" s="2763"/>
      <c r="I2" s="2763"/>
      <c r="J2" s="2763"/>
      <c r="K2" s="2763"/>
      <c r="M2" s="2774" t="s">
        <v>1239</v>
      </c>
      <c r="N2" s="2775"/>
      <c r="O2" s="2775"/>
      <c r="P2" s="2775"/>
      <c r="Q2" s="2775"/>
      <c r="R2" s="2775"/>
      <c r="S2" s="2775"/>
      <c r="T2" s="2775"/>
      <c r="U2" s="2775"/>
      <c r="V2" s="515"/>
      <c r="W2" s="518"/>
      <c r="X2" s="2779" t="s">
        <v>1240</v>
      </c>
      <c r="Y2" s="2780"/>
      <c r="Z2" s="2780"/>
      <c r="AA2" s="2780"/>
      <c r="AB2" s="518"/>
      <c r="AC2" s="2762" t="s">
        <v>1241</v>
      </c>
      <c r="AD2" s="2763"/>
      <c r="AE2" s="2763"/>
      <c r="AF2" s="2763"/>
      <c r="AG2" s="2763"/>
      <c r="AH2" s="2763"/>
      <c r="AI2" s="2763"/>
      <c r="AJ2" s="2763"/>
      <c r="AK2" s="2763"/>
      <c r="AL2" s="2763"/>
      <c r="AM2" s="2763"/>
      <c r="AN2" s="2763"/>
      <c r="AO2" s="518"/>
      <c r="AP2" s="518"/>
      <c r="AQ2" s="2762" t="s">
        <v>1242</v>
      </c>
      <c r="AR2" s="2763"/>
      <c r="AS2" s="2763"/>
      <c r="AT2" s="2763"/>
      <c r="AU2" s="518"/>
      <c r="AV2" s="2763"/>
      <c r="AW2" s="2763"/>
      <c r="AX2" s="2763"/>
      <c r="AY2" s="2763"/>
      <c r="AZ2" s="2763"/>
      <c r="BA2" s="2763"/>
      <c r="BB2" s="2763"/>
      <c r="BC2" s="2763"/>
      <c r="BD2" s="2763"/>
      <c r="BE2" s="2763"/>
      <c r="BF2" s="518"/>
      <c r="BG2" s="2762" t="s">
        <v>1244</v>
      </c>
      <c r="BH2" s="2763"/>
      <c r="BI2" s="2763"/>
      <c r="BJ2" s="2763"/>
      <c r="BK2" s="2763"/>
      <c r="BL2" s="2763"/>
      <c r="BM2" s="2763"/>
      <c r="BN2" s="2763"/>
      <c r="BO2" s="2763"/>
      <c r="BP2" s="2763"/>
      <c r="BQ2" s="2763"/>
      <c r="BR2" s="2763"/>
      <c r="BS2" s="2763"/>
      <c r="BT2" s="2763"/>
      <c r="BU2" s="2763"/>
      <c r="BV2" s="2763"/>
      <c r="BW2" s="2763"/>
      <c r="BX2" s="2763"/>
      <c r="BY2" s="2763"/>
      <c r="BZ2" s="2763"/>
      <c r="CA2" s="2763"/>
      <c r="CB2" s="2763"/>
      <c r="CC2" s="2763"/>
      <c r="CD2" s="2763"/>
      <c r="CE2" s="2763"/>
    </row>
    <row r="3" spans="2:86" ht="10.15" customHeight="1" x14ac:dyDescent="0.2">
      <c r="B3" s="519"/>
      <c r="C3" s="520"/>
      <c r="D3" s="520"/>
      <c r="E3" s="520"/>
      <c r="F3" s="520"/>
      <c r="G3" s="520"/>
      <c r="H3" s="521"/>
      <c r="I3" s="521"/>
      <c r="J3" s="521"/>
      <c r="K3" s="522"/>
      <c r="M3" s="515"/>
      <c r="N3" s="515"/>
      <c r="O3" s="523" t="str">
        <f>Input_ProductClass</f>
        <v>Life Force 2nds</v>
      </c>
      <c r="P3" s="523" t="str">
        <f>INDEX(List_ProductAll,MATCH(Input_Product,List_Product,0),3)</f>
        <v>PT</v>
      </c>
      <c r="Q3" s="523">
        <f>INDEX(List_ProductAll,MATCH(Input_Product,List_Product,0),4)</f>
        <v>2</v>
      </c>
      <c r="R3" s="515"/>
      <c r="S3" s="515"/>
      <c r="T3" s="515"/>
      <c r="U3" s="515"/>
      <c r="X3" s="524"/>
      <c r="Y3" s="525"/>
      <c r="Z3" s="526" t="s">
        <v>194</v>
      </c>
      <c r="AA3" s="527" t="s">
        <v>193</v>
      </c>
      <c r="AB3" s="518"/>
      <c r="AH3" s="514" t="s">
        <v>76</v>
      </c>
      <c r="AV3" s="528" t="s">
        <v>763</v>
      </c>
      <c r="AY3" s="528" t="s">
        <v>764</v>
      </c>
      <c r="BG3" s="2757" t="s">
        <v>765</v>
      </c>
      <c r="BH3" s="2758"/>
      <c r="BI3" s="2758"/>
      <c r="BJ3" s="2758"/>
      <c r="BK3" s="2758"/>
      <c r="BL3" s="2758"/>
      <c r="BM3" s="2758"/>
      <c r="BN3" s="2759"/>
      <c r="BO3" s="2752" t="s">
        <v>3880</v>
      </c>
      <c r="BP3" s="2753"/>
      <c r="BQ3" s="2754" t="s">
        <v>3882</v>
      </c>
      <c r="BR3" s="2755"/>
      <c r="BS3" s="2756"/>
      <c r="BT3" s="529" t="s">
        <v>1548</v>
      </c>
      <c r="BU3" s="530"/>
      <c r="BV3" s="2760" t="s">
        <v>1710</v>
      </c>
      <c r="BW3" s="2761"/>
      <c r="BX3" s="2761"/>
      <c r="BY3" s="2761"/>
      <c r="BZ3" s="2761"/>
      <c r="CA3" s="2761"/>
      <c r="CB3" s="2761"/>
      <c r="CC3" s="2761"/>
      <c r="CD3" s="2761"/>
      <c r="CE3" s="2761"/>
    </row>
    <row r="4" spans="2:86" s="532" customFormat="1" ht="10.15" customHeight="1" x14ac:dyDescent="0.2">
      <c r="B4" s="531"/>
      <c r="D4" s="1164" t="s">
        <v>239</v>
      </c>
      <c r="E4" s="1073" t="s">
        <v>1234</v>
      </c>
      <c r="H4" s="533"/>
      <c r="I4" s="533"/>
      <c r="J4" s="533"/>
      <c r="K4" s="534"/>
      <c r="L4" s="514"/>
      <c r="M4" s="1597" t="str">
        <f>INDEX(List_ProductFindAll,MATCH((Input_ProductClass&amp;INDEX(List_OccupancyAll,MATCH(Input_Occupancy,List_Occupancy,0),3))&amp;IF(AND(Input_ProductClass="EDGE",Input_DocType="09-DSCR"),"DSCR",""),List_ProductFind,0),2)</f>
        <v>Second OO</v>
      </c>
      <c r="N4" s="535" t="s">
        <v>2</v>
      </c>
      <c r="O4" s="1508"/>
      <c r="P4" s="1509" t="s">
        <v>147</v>
      </c>
      <c r="Q4" s="1510" t="s">
        <v>1711</v>
      </c>
      <c r="S4" s="536" t="s">
        <v>477</v>
      </c>
      <c r="T4" s="536" t="s">
        <v>465</v>
      </c>
      <c r="V4" s="515"/>
      <c r="X4" s="1302" t="s">
        <v>527</v>
      </c>
      <c r="Y4" s="1302" t="s">
        <v>82</v>
      </c>
      <c r="Z4" s="537" t="e">
        <f>-Input_PL_IncentiveMaxAdj_LenderPaidComp+Input_PL_MaxPriceBase_PN_NoPP+Input_PL_Incentive_PN+Input_PL_IncentiveMaxAdj_PN</f>
        <v>#N/A</v>
      </c>
      <c r="AA4" s="538" cm="1">
        <f t="array" ref="AA4">[1]!Input_MaxPriceNet_PN_NoPP</f>
        <v>103</v>
      </c>
      <c r="AB4" s="518"/>
      <c r="AC4" s="539" t="s">
        <v>36</v>
      </c>
      <c r="AD4" s="540" t="str">
        <f>INDEX(List_PropertyTypeAll,MATCH(Input_PropertyType,List_PropertyType,),2)</f>
        <v>SF</v>
      </c>
      <c r="AE4" s="540">
        <f>INDEX(List_PropertyTypeAll,MATCH(Input_PropertyType,List_PropertyType,),3)</f>
        <v>1</v>
      </c>
      <c r="AF4" s="541" t="s">
        <v>358</v>
      </c>
      <c r="AG4" s="541" t="s">
        <v>359</v>
      </c>
      <c r="AH4" s="541" t="s">
        <v>360</v>
      </c>
      <c r="AQ4" s="542" t="s">
        <v>24</v>
      </c>
      <c r="AR4" s="543"/>
      <c r="AS4" s="544"/>
      <c r="AV4" s="545" t="s">
        <v>762</v>
      </c>
      <c r="AW4" s="545" t="s">
        <v>2</v>
      </c>
      <c r="AX4" s="545" t="s">
        <v>144</v>
      </c>
      <c r="AY4" s="545" t="s">
        <v>92</v>
      </c>
      <c r="AZ4" s="545" t="s">
        <v>1620</v>
      </c>
      <c r="BA4" s="545" t="s">
        <v>1</v>
      </c>
      <c r="BB4" s="545" t="s">
        <v>315</v>
      </c>
      <c r="BC4" s="545" t="s">
        <v>315</v>
      </c>
      <c r="BD4" s="545" t="s">
        <v>1628</v>
      </c>
      <c r="BE4" s="545" t="s">
        <v>1980</v>
      </c>
      <c r="BG4" s="548" t="s">
        <v>1206</v>
      </c>
      <c r="BH4" s="549" t="s">
        <v>120</v>
      </c>
      <c r="BI4" s="549" t="s">
        <v>119</v>
      </c>
      <c r="BJ4" s="546" t="s">
        <v>121</v>
      </c>
      <c r="BK4" s="546" t="s">
        <v>123</v>
      </c>
      <c r="BL4" s="550" t="s">
        <v>65</v>
      </c>
      <c r="BM4" s="550" t="s">
        <v>149</v>
      </c>
      <c r="BN4" s="551" t="s">
        <v>1205</v>
      </c>
      <c r="BO4" s="547" t="s">
        <v>1545</v>
      </c>
      <c r="BP4" s="547" t="s">
        <v>1546</v>
      </c>
      <c r="BQ4" s="547" t="s">
        <v>1545</v>
      </c>
      <c r="BR4" s="552" t="s">
        <v>1546</v>
      </c>
      <c r="BS4" s="553" t="s">
        <v>1547</v>
      </c>
      <c r="BT4" s="554" t="s">
        <v>1547</v>
      </c>
      <c r="BU4" s="553" t="s">
        <v>1668</v>
      </c>
      <c r="BV4" s="553" t="s">
        <v>1702</v>
      </c>
      <c r="BW4" s="554" t="s">
        <v>1706</v>
      </c>
      <c r="BX4" s="554" t="s">
        <v>1707</v>
      </c>
      <c r="BY4" s="554" t="s">
        <v>1708</v>
      </c>
      <c r="BZ4" s="554" t="s">
        <v>1709</v>
      </c>
      <c r="CA4" s="554" t="s">
        <v>1697</v>
      </c>
      <c r="CB4" s="554" t="s">
        <v>39</v>
      </c>
      <c r="CC4" s="554" t="s">
        <v>1698</v>
      </c>
      <c r="CD4" s="554" t="s">
        <v>320</v>
      </c>
      <c r="CE4" s="1906" t="s">
        <v>3546</v>
      </c>
    </row>
    <row r="5" spans="2:86" ht="9.6" customHeight="1" x14ac:dyDescent="0.2">
      <c r="B5" s="555"/>
      <c r="D5" s="514" t="s">
        <v>65</v>
      </c>
      <c r="E5" s="1074" t="s">
        <v>278</v>
      </c>
      <c r="H5" s="556"/>
      <c r="I5" s="556"/>
      <c r="J5" s="533"/>
      <c r="K5" s="534"/>
      <c r="M5" s="1507" t="str">
        <f>Input_Name_ClassA&amp;"OO"</f>
        <v xml:space="preserve"> OO</v>
      </c>
      <c r="N5" s="1505" t="str">
        <f>Input_Name_Product1</f>
        <v>NonQM OO</v>
      </c>
      <c r="O5" s="1511" t="s">
        <v>486</v>
      </c>
      <c r="P5" s="1511" t="s">
        <v>486</v>
      </c>
      <c r="Q5" s="1512">
        <v>1</v>
      </c>
      <c r="S5" s="557" t="str">
        <f>IF(OR(Elig!BD11=0,TRIM(Output_Msg_LLPA_CreditScore)&lt;&gt;"",TRIM(Output_Msg_LLPA_LTV)&lt;&gt;"",TRIM(Output_Msg_LLPA_LoanAmt)&lt;&gt;"",TRIM(Output_Msg_LLPA_ReservesMonths)&lt;&gt;"",TRIM(Output_Msg_LLPA_CashoutAmt)&lt;&gt;"",TRIM(Output_Msg_LLPA_DTI)&lt;&gt;""),"Ineligible Scenario","")</f>
        <v/>
      </c>
      <c r="T5" s="558" t="str">
        <f>Input_Name_ClassC</f>
        <v>Life Force 2nds</v>
      </c>
      <c r="U5" s="515"/>
      <c r="V5" s="515"/>
      <c r="X5" s="559" t="s">
        <v>526</v>
      </c>
      <c r="Y5" s="559" t="s">
        <v>82</v>
      </c>
      <c r="Z5" s="560" t="e">
        <f>-Input_PL_IncentiveMaxAdj_LenderPaidComp+Input_PL_MaxPriceBase_IN_NoPP+Input_PL_Incentive_IN+Input_PL_IncentiveMaxAdj_IN</f>
        <v>#N/A</v>
      </c>
      <c r="AA5" s="561" cm="1">
        <f t="array" ref="AA5">[1]!Input_MaxPriceNet_IN_NoPP</f>
        <v>101.5</v>
      </c>
      <c r="AB5" s="518"/>
      <c r="AC5" s="562" t="s">
        <v>83</v>
      </c>
      <c r="AD5" s="563" t="s">
        <v>332</v>
      </c>
      <c r="AE5" s="564">
        <v>1</v>
      </c>
      <c r="AF5" s="565" t="str">
        <f>IF(Input_ProductClass="Core",Structure!AC5,IFERROR(IF(FIND(AD5,INDEX(Elig_All,MATCH(Input_Product,Elig_Product,0),10))&gt;=1,AC5,""),""))</f>
        <v>SFR</v>
      </c>
      <c r="AG5" s="566">
        <f>IF(AF5="","",MAX(AG$4:AG4)+1)</f>
        <v>1</v>
      </c>
      <c r="AH5" s="567" t="str">
        <f t="shared" ref="AH5:AH23" si="0">IFERROR(INDEX(List_PropertyType_Find,MATCH(ROW()-ROW($AH$4),$AG$5:$AG$23,0)),"")</f>
        <v>SFR</v>
      </c>
      <c r="AI5" s="514" t="s">
        <v>76</v>
      </c>
      <c r="AQ5" s="568"/>
      <c r="AR5" s="569" t="s">
        <v>101</v>
      </c>
      <c r="AS5" s="570" t="s">
        <v>100</v>
      </c>
      <c r="AV5" s="1294" t="s">
        <v>1533</v>
      </c>
      <c r="AW5" s="1295" t="s">
        <v>1249</v>
      </c>
      <c r="AX5" s="1248" t="str">
        <f t="shared" ref="AX5:AX45" si="1">"PT_"&amp;RIGHT("000"&amp;TRUNC(Lookup_NoteRate),3)&amp;TEXT(Lookup_NoteRate-TRUNC(Lookup_NoteRate),".0000000000")</f>
        <v>PT_013.1250000000</v>
      </c>
      <c r="AY5" s="1249">
        <f>[1]!PR_R01</f>
        <v>13.125</v>
      </c>
      <c r="AZ5" s="1250">
        <f>[1]!PR_ARM05_P01+Input_PL_Incentive_PR</f>
        <v>-2</v>
      </c>
      <c r="BA5" s="1250">
        <f>[1]!PR_FRM30_P01+Input_PL_Incentive_PR</f>
        <v>112.375</v>
      </c>
      <c r="BB5" s="1248">
        <f t="shared" ref="BB5:BB128" si="2">IF(INDEX(List_AmortTermAll,MATCH(Input_AmortTerm,List_AmortTerm,0),3)=1,AZ5,IF(INDEX(List_AmortTermAll,MATCH(Input_AmortTerm,List_AmortTerm,0),3)=2,BA5,#N/A))</f>
        <v>112.375</v>
      </c>
      <c r="BC5" s="1248" t="str">
        <f t="shared" ref="BC5:BC45" si="3">"PT_"&amp;RIGHT("000"&amp;TRUNC(Lookup_PriceText),3)&amp;TEXT(Lookup_PriceText-TRUNC(Lookup_PriceText),".0000000000")</f>
        <v>PT_112.3750000000</v>
      </c>
      <c r="BD5" s="1248"/>
      <c r="BE5" s="1296" t="s">
        <v>1802</v>
      </c>
      <c r="BG5" s="571" t="s">
        <v>368</v>
      </c>
      <c r="BH5" s="572" t="str">
        <f>INDEX([1]!List_StateInputAll,MATCH(BG5,[1]!List_StateInput,0),2)</f>
        <v>Non-CA</v>
      </c>
      <c r="BI5" s="573" t="str">
        <f>INDEX([1]!List_StateInputAll,MATCH(BG5,[1]!List_StateInput,0),3)</f>
        <v>Y</v>
      </c>
      <c r="BJ5" s="573" t="str">
        <f>INDEX([1]!List_StateInputAll,MATCH(BG5,[1]!List_StateInput,0),4)</f>
        <v>Y</v>
      </c>
      <c r="BK5" s="573" t="str">
        <f>INDEX([1]!List_StateInputAll,MATCH(BG5,[1]!List_StateInput,0),5)</f>
        <v xml:space="preserve"> </v>
      </c>
      <c r="BL5" s="574" t="str">
        <f>INDEX([1]!List_StateInputAll,MATCH(BG5,[1]!List_StateInput,0),6)</f>
        <v>No Prepay</v>
      </c>
      <c r="BM5" s="574" t="str">
        <f>INDEX([1]!List_StateInputAll,MATCH(BG5,[1]!List_StateInput,0),7)</f>
        <v>No Prepay Allowed</v>
      </c>
      <c r="BN5" s="573" t="str">
        <f>INDEX([1]!List_StateInputAll,MATCH(BG5,[1]!List_StateInput,0),8)</f>
        <v>Alaska</v>
      </c>
      <c r="BO5" s="573" t="str">
        <f>INDEX([1]!List_StateInputAll,MATCH(BG5,[1]!List_StateInput,0),9)</f>
        <v>Y</v>
      </c>
      <c r="BP5" s="575" t="str">
        <f>INDEX([1]!List_StateInputAll,MATCH(BG5,[1]!List_StateInput,0),10)</f>
        <v>Y</v>
      </c>
      <c r="BQ5" s="573" t="str">
        <f>INDEX([1]!List_StateInputAll,MATCH(BG5,[1]!List_StateInput,0),11)</f>
        <v>N</v>
      </c>
      <c r="BR5" s="576" t="str">
        <f>INDEX([1]!List_StateInputAll,MATCH(BG5,[1]!List_StateInput,0),12)</f>
        <v>Y</v>
      </c>
      <c r="BS5" s="577" t="str">
        <f>INDEX([1]!List_StateInputAll,MATCH(BG5,[1]!List_StateInput,0),13)</f>
        <v xml:space="preserve"> </v>
      </c>
      <c r="BT5" s="578" t="str">
        <f>IF(OR(Input_Ratesheet_Source="Corr1",Input_Ratesheet_Source="Corr2",Input_Ratesheet_Source="Corr3",Input_Ratesheet_Source="CorrND"),BI5,IF(Input_Ratesheet_Source="Whol",IF(Input_Occupancy="Non Owner Occupied",BP5,BO5),IF(Input_Ratesheet_Source="Retl",IF(Input_Occupancy="Non Owner Occupied",IF(IF(IFERROR(FIND(Input_ProductClass,Structure!BS5),0)&gt;=1,"N","Y")="N","N",BR5),BQ5),"")))</f>
        <v>Y</v>
      </c>
      <c r="BU5" s="577" t="str">
        <f>INDEX([1]!List_StateInputAll,MATCH(BG5,[1]!List_StateInput,0),14)</f>
        <v>Dry</v>
      </c>
      <c r="BV5" s="577">
        <f>INDEX([1]!List_StateInputAll,MATCH(BG5,[1]!List_StateInput,0),15)</f>
        <v>2</v>
      </c>
      <c r="BW5" s="579" t="str">
        <f>INDEX([1]!List_StateInputAll,MATCH(BG5,[1]!List_StateInput,0),16)</f>
        <v>APOR</v>
      </c>
      <c r="BX5" s="580">
        <f>INDEX([1]!List_StateInputAll,MATCH(BG5,[1]!List_StateInput,0),17)</f>
        <v>6.5</v>
      </c>
      <c r="BY5" s="580">
        <f>INDEX([1]!List_StateInputAll,MATCH(BG5,[1]!List_StateInput,0),18)</f>
        <v>8.5</v>
      </c>
      <c r="BZ5" s="580">
        <f>INDEX([1]!List_StateInputAll,MATCH(BG5,[1]!List_StateInput,0),19)</f>
        <v>5</v>
      </c>
      <c r="CA5" s="581">
        <f>INDEX([1]!List_StateInputAll,MATCH(BG5,[1]!List_StateInput,0),20)</f>
        <v>0</v>
      </c>
      <c r="CB5" s="581" t="str">
        <f>INDEX([1]!List_StateInputAll,MATCH(BG5,[1]!List_StateInput,0),21)</f>
        <v>Owner Occupied</v>
      </c>
      <c r="CC5" s="581" t="str">
        <f>INDEX([1]!List_StateInputAll,MATCH(BG5,[1]!List_StateInput,0),22)</f>
        <v>Purchase, Rate-Term, Cash-Out</v>
      </c>
      <c r="CD5" s="577">
        <f>INDEX([1]!List_StateInputAll,MATCH(BG5,[1]!List_StateInput,0),23)</f>
        <v>0</v>
      </c>
      <c r="CE5" s="577" t="str">
        <f>INDEX([1]!List_StateInputAll,MATCH(BG5,[1]!List_StateInput,0),24)</f>
        <v>Y</v>
      </c>
      <c r="CF5" s="1499" cm="1">
        <f t="array" ref="CF5">IF(OR(Input_Ratesheet_Source="Corr1",Input_Ratesheet_Source="Corr2",Input_Ratesheet_Source="Corr3",Input_Ratesheet_Source="CorrND"),[1]!Corr_PL_Incentive_PN,IF(Input_Ratesheet_Source="Whol",[1]!Whol_PL_Incentive_PN,IF(Input_Ratesheet_Source="Retl",[1]!Retl_PL_Incentive_PN,#N/A)))</f>
        <v>0.125</v>
      </c>
      <c r="CG5" s="578">
        <f>IF(OR(Input_Ratesheet_Source="Corr1",Input_Ratesheet_Source="Corr2",Input_Ratesheet_Source="Corr3",Input_Ratesheet_Source="CorrND"),BV5,IF(Input_Ratesheet_Source="Whol",IF(Input_Occupancy="Non Owner Occupied",CC5,CB5),IF(Input_Ratesheet_Source="Retail",IF(Input_Occupancy="Non Owner Occupied",IF(IF(IFERROR(FIND(Input_ProductClass,Structure!#REF!),0)&gt;=1,"N","Y")="N","N",CE5),CD5),"")))</f>
        <v>2</v>
      </c>
      <c r="CH5" s="514" t="str">
        <f>Input_ProductClass</f>
        <v>Life Force 2nds</v>
      </c>
    </row>
    <row r="6" spans="2:86" ht="9.6" customHeight="1" x14ac:dyDescent="0.2">
      <c r="B6" s="555"/>
      <c r="D6" s="514" t="s">
        <v>313</v>
      </c>
      <c r="E6" s="1074" t="s">
        <v>314</v>
      </c>
      <c r="F6" s="582">
        <f>IF(Input_Pricing_Type="Points",-1,1)</f>
        <v>1</v>
      </c>
      <c r="H6" s="556"/>
      <c r="J6" s="533"/>
      <c r="K6" s="534"/>
      <c r="M6" s="1502" t="str">
        <f>Input_Name_ClassA&amp;"NOO"</f>
        <v xml:space="preserve"> NOO</v>
      </c>
      <c r="N6" s="1503" t="str">
        <f>Input_Name_Product2</f>
        <v>NonQM NOO</v>
      </c>
      <c r="O6" s="1513" t="s">
        <v>379</v>
      </c>
      <c r="P6" s="1513" t="s">
        <v>379</v>
      </c>
      <c r="Q6" s="1514">
        <v>1</v>
      </c>
      <c r="S6" s="583"/>
      <c r="T6" s="988" t="str">
        <f>Input_Name_ClassF</f>
        <v xml:space="preserve">  </v>
      </c>
      <c r="U6" s="515"/>
      <c r="V6" s="515"/>
      <c r="X6" s="585" t="s">
        <v>2659</v>
      </c>
      <c r="Y6" s="585" t="s">
        <v>68</v>
      </c>
      <c r="Z6" s="586" t="e">
        <f>-Input_PL_IncentiveMaxAdj_LenderPaidComp+Input_PL_MaxPriceBase_IN_01PP+Input_PL_Incentive_IN+Input_PL_IncentiveMaxAdj_IN</f>
        <v>#N/A</v>
      </c>
      <c r="AA6" s="587" cm="1">
        <f t="array" ref="AA6">[1]!Input_MaxPriceNet_IN_01PP</f>
        <v>102.5</v>
      </c>
      <c r="AB6" s="518"/>
      <c r="AC6" s="516" t="s">
        <v>1635</v>
      </c>
      <c r="AD6" s="517" t="s">
        <v>342</v>
      </c>
      <c r="AE6" s="588">
        <v>1</v>
      </c>
      <c r="AF6" s="589" t="str">
        <f>IF(Input_ProductClass="Core",Structure!AC6,IFERROR(IF(FIND(AD6,INDEX(Elig_All,MATCH(Input_Product,Elig_Product,0),10))&gt;=1,AC6,""),""))</f>
        <v>SFR-Rural</v>
      </c>
      <c r="AG6" s="590">
        <f>IF(AF6="","",MAX(AG$4:AG5)+1)</f>
        <v>2</v>
      </c>
      <c r="AH6" s="591" t="str">
        <f t="shared" si="0"/>
        <v>SFR-Rural</v>
      </c>
      <c r="AI6" s="514" t="s">
        <v>76</v>
      </c>
      <c r="AQ6" s="592">
        <v>90</v>
      </c>
      <c r="AR6" s="593" t="s">
        <v>26</v>
      </c>
      <c r="AS6" s="594">
        <v>9</v>
      </c>
      <c r="AV6" s="1297" t="s">
        <v>1533</v>
      </c>
      <c r="AW6" s="1233" t="s">
        <v>1249</v>
      </c>
      <c r="AX6" s="1234" t="str">
        <f t="shared" si="1"/>
        <v>PT_013.0000000000</v>
      </c>
      <c r="AY6" s="1235">
        <f>[1]!PR_R02</f>
        <v>13</v>
      </c>
      <c r="AZ6" s="1236">
        <f>[1]!PR_ARM05_P03+Input_PL_Incentive_PR</f>
        <v>-2</v>
      </c>
      <c r="BA6" s="1236">
        <f>[1]!PR_FRM30_P02+Input_PL_Incentive_PR</f>
        <v>112.25</v>
      </c>
      <c r="BB6" s="1234">
        <f t="shared" ref="BB6" si="4">IF(INDEX(List_AmortTermAll,MATCH(Input_AmortTerm,List_AmortTerm,0),3)=1,AZ6,IF(INDEX(List_AmortTermAll,MATCH(Input_AmortTerm,List_AmortTerm,0),3)=2,BA6,#N/A))</f>
        <v>112.25</v>
      </c>
      <c r="BC6" s="1234" t="str">
        <f t="shared" si="3"/>
        <v>PT_112.2500000000</v>
      </c>
      <c r="BD6" s="1234"/>
      <c r="BE6" s="1298" t="s">
        <v>1803</v>
      </c>
      <c r="BG6" s="595" t="s">
        <v>369</v>
      </c>
      <c r="BH6" s="596" t="str">
        <f>INDEX([1]!List_StateInputAll,MATCH(BG6,[1]!List_StateInput,0),2)</f>
        <v>AL</v>
      </c>
      <c r="BI6" s="597" t="str">
        <f>INDEX([1]!List_StateInputAll,MATCH(BG6,[1]!List_StateInput,0),3)</f>
        <v>Y</v>
      </c>
      <c r="BJ6" s="597" t="str">
        <f>INDEX([1]!List_StateInputAll,MATCH(BG6,[1]!List_StateInput,0),4)</f>
        <v>Y</v>
      </c>
      <c r="BK6" s="597" t="str">
        <f>INDEX([1]!List_StateInputAll,MATCH(BG6,[1]!List_StateInput,0),5)</f>
        <v xml:space="preserve"> </v>
      </c>
      <c r="BL6" s="597" t="str">
        <f>INDEX([1]!List_StateInputAll,MATCH(BG6,[1]!List_StateInput,0),6)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6" s="597" t="str">
        <f>INDEX([1]!List_StateInputAll,MATCH(BG6,[1]!List_StateInput,0),7)</f>
        <v xml:space="preserve"> </v>
      </c>
      <c r="BN6" s="597" t="str">
        <f>INDEX([1]!List_StateInputAll,MATCH(BG6,[1]!List_StateInput,0),8)</f>
        <v>Alabama</v>
      </c>
      <c r="BO6" s="597" t="str">
        <f>INDEX([1]!List_StateInputAll,MATCH(BG6,[1]!List_StateInput,0),9)</f>
        <v>Y</v>
      </c>
      <c r="BP6" s="598" t="str">
        <f>INDEX([1]!List_StateInputAll,MATCH(BG6,[1]!List_StateInput,0),10)</f>
        <v>Y</v>
      </c>
      <c r="BQ6" s="597" t="str">
        <f>INDEX([1]!List_StateInputAll,MATCH(BG6,[1]!List_StateInput,0),11)</f>
        <v>N</v>
      </c>
      <c r="BR6" s="599" t="str">
        <f>INDEX([1]!List_StateInputAll,MATCH(BG6,[1]!List_StateInput,0),12)</f>
        <v>N</v>
      </c>
      <c r="BS6" s="598" t="str">
        <f>INDEX([1]!List_StateInputAll,MATCH(BG6,[1]!List_StateInput,0),13)</f>
        <v xml:space="preserve"> </v>
      </c>
      <c r="BT6" s="578" t="str">
        <f>IF(OR(Input_Ratesheet_Source="Corr1",Input_Ratesheet_Source="Corr2",Input_Ratesheet_Source="Corr3",Input_Ratesheet_Source="CorrND"),BI6,IF(Input_Ratesheet_Source="Whol",IF(Input_Occupancy="Non Owner Occupied",BP6,BO6),IF(Input_Ratesheet_Source="Retl",IF(Input_Occupancy="Non Owner Occupied",IF(IF(IFERROR(FIND(Input_ProductClass,Structure!BS6),0)&gt;=1,"N","Y")="N","N",BR6),BQ6),"")))</f>
        <v>Y</v>
      </c>
      <c r="BU6" s="598" t="str">
        <f>INDEX([1]!List_StateInputAll,MATCH(BG6,[1]!List_StateInput,0),14)</f>
        <v>Wet</v>
      </c>
      <c r="BV6" s="598">
        <f>INDEX([1]!List_StateInputAll,MATCH(BG6,[1]!List_StateInput,0),15)</f>
        <v>1</v>
      </c>
      <c r="BW6" s="596" t="str">
        <f>INDEX([1]!List_StateInputAll,MATCH(BG6,[1]!List_StateInput,0),16)</f>
        <v>APOR</v>
      </c>
      <c r="BX6" s="600">
        <f>INDEX([1]!List_StateInputAll,MATCH(BG6,[1]!List_StateInput,0),17)</f>
        <v>6.5</v>
      </c>
      <c r="BY6" s="600">
        <f>INDEX([1]!List_StateInputAll,MATCH(BG6,[1]!List_StateInput,0),18)</f>
        <v>8.5</v>
      </c>
      <c r="BZ6" s="600">
        <f>INDEX([1]!List_StateInputAll,MATCH(BG6,[1]!List_StateInput,0),19)</f>
        <v>5</v>
      </c>
      <c r="CA6" s="597">
        <f>INDEX([1]!List_StateInputAll,MATCH(BG6,[1]!List_StateInput,0),20)</f>
        <v>0</v>
      </c>
      <c r="CB6" s="597" t="str">
        <f>INDEX([1]!List_StateInputAll,MATCH(BG6,[1]!List_StateInput,0),21)</f>
        <v>Owner Occupied</v>
      </c>
      <c r="CC6" s="597" t="str">
        <f>INDEX([1]!List_StateInputAll,MATCH(BG6,[1]!List_StateInput,0),22)</f>
        <v>Purchase, Rate-Term, Cash-Out</v>
      </c>
      <c r="CD6" s="598">
        <f>INDEX([1]!List_StateInputAll,MATCH(BG6,[1]!List_StateInput,0),23)</f>
        <v>0</v>
      </c>
      <c r="CE6" s="598" t="str">
        <f>INDEX([1]!List_StateInputAll,MATCH(BG6,[1]!List_StateInput,0),24)</f>
        <v>Y</v>
      </c>
    </row>
    <row r="7" spans="2:86" ht="9.6" customHeight="1" x14ac:dyDescent="0.2">
      <c r="B7" s="607"/>
      <c r="C7" s="608"/>
      <c r="D7" s="608"/>
      <c r="E7" s="608"/>
      <c r="F7" s="608"/>
      <c r="G7" s="608"/>
      <c r="H7" s="1161"/>
      <c r="I7" s="608"/>
      <c r="J7" s="1162"/>
      <c r="K7" s="1163"/>
      <c r="M7" s="1507" t="str" cm="1">
        <f t="array" ref="M7">Input_Name_ClassF&amp;"OO"</f>
        <v xml:space="preserve">  OO</v>
      </c>
      <c r="N7" s="1505" t="str">
        <f>Input_Name_Product10</f>
        <v>HELOC OO</v>
      </c>
      <c r="O7" s="1515" t="s">
        <v>1765</v>
      </c>
      <c r="P7" s="1515" t="s">
        <v>1765</v>
      </c>
      <c r="Q7" s="1516">
        <v>2</v>
      </c>
      <c r="T7" s="988" t="str">
        <f>Input_Name_ClassH</f>
        <v xml:space="preserve"> </v>
      </c>
      <c r="U7" s="515"/>
      <c r="V7" s="515"/>
      <c r="X7" s="601" t="s">
        <v>2660</v>
      </c>
      <c r="Y7" s="601" t="s">
        <v>67</v>
      </c>
      <c r="Z7" s="602" t="e">
        <f>-Input_PL_IncentiveMaxAdj_LenderPaidComp+Input_PL_MaxPriceBase_IN_02PP+Input_PL_Incentive_IN+Input_PL_IncentiveMaxAdj_IN</f>
        <v>#N/A</v>
      </c>
      <c r="AA7" s="603" cm="1">
        <f t="array" ref="AA7">[1]!Input_MaxPriceNet_IN_02PP</f>
        <v>102.75</v>
      </c>
      <c r="AB7" s="518"/>
      <c r="AC7" s="516" t="s">
        <v>155</v>
      </c>
      <c r="AD7" s="517" t="s">
        <v>333</v>
      </c>
      <c r="AE7" s="588">
        <v>1</v>
      </c>
      <c r="AF7" s="589" t="str">
        <f>IF(Input_ProductClass="Core",Structure!AC7,IFERROR(IF(FIND(AD7,INDEX(Elig_All,MATCH(Input_Product,Elig_Product,0),10))&gt;=1,AC7,""),""))</f>
        <v>D-PUD</v>
      </c>
      <c r="AG7" s="590">
        <f>IF(AF7="","",MAX(AG$4:AG6)+1)</f>
        <v>3</v>
      </c>
      <c r="AH7" s="591" t="str">
        <f t="shared" si="0"/>
        <v>D-PUD</v>
      </c>
      <c r="AI7" s="514" t="s">
        <v>76</v>
      </c>
      <c r="AQ7" s="604">
        <v>85</v>
      </c>
      <c r="AR7" s="605" t="s">
        <v>27</v>
      </c>
      <c r="AS7" s="606">
        <v>8</v>
      </c>
      <c r="AV7" s="1297" t="s">
        <v>1533</v>
      </c>
      <c r="AW7" s="1233" t="s">
        <v>1249</v>
      </c>
      <c r="AX7" s="1234" t="str">
        <f t="shared" si="1"/>
        <v>PT_012.8750000000</v>
      </c>
      <c r="AY7" s="1235">
        <f>[1]!PR_R03</f>
        <v>12.875</v>
      </c>
      <c r="AZ7" s="1236">
        <f>[1]!PR_ARM05_P03+Input_PL_Incentive_PR</f>
        <v>-2</v>
      </c>
      <c r="BA7" s="1236">
        <f>[1]!PR_FRM30_P03+Input_PL_Incentive_PR</f>
        <v>112.125</v>
      </c>
      <c r="BB7" s="1234">
        <f t="shared" si="2"/>
        <v>112.125</v>
      </c>
      <c r="BC7" s="1234" t="str">
        <f t="shared" si="3"/>
        <v>PT_112.1250000000</v>
      </c>
      <c r="BD7" s="1234"/>
      <c r="BE7" s="1298" t="s">
        <v>1804</v>
      </c>
      <c r="BG7" s="595" t="s">
        <v>370</v>
      </c>
      <c r="BH7" s="596" t="str">
        <f>INDEX([1]!List_StateInputAll,MATCH(BG7,[1]!List_StateInput,0),2)</f>
        <v>Non-CA</v>
      </c>
      <c r="BI7" s="597" t="str">
        <f>INDEX([1]!List_StateInputAll,MATCH(BG7,[1]!List_StateInput,0),3)</f>
        <v>Y</v>
      </c>
      <c r="BJ7" s="597" t="str">
        <f>INDEX([1]!List_StateInputAll,MATCH(BG7,[1]!List_StateInput,0),4)</f>
        <v>Y</v>
      </c>
      <c r="BK7" s="597" t="str">
        <f>INDEX([1]!List_StateInputAll,MATCH(BG7,[1]!List_StateInput,0),5)</f>
        <v xml:space="preserve"> </v>
      </c>
      <c r="BL7" s="597" t="str">
        <f>INDEX([1]!List_StateInputAll,MATCH(BG7,[1]!List_StateInput,0),6)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7" s="597" t="str">
        <f>INDEX([1]!List_StateInputAll,MATCH(BG7,[1]!List_StateInput,0),7)</f>
        <v xml:space="preserve"> </v>
      </c>
      <c r="BN7" s="597" t="str">
        <f>INDEX([1]!List_StateInputAll,MATCH(BG7,[1]!List_StateInput,0),8)</f>
        <v>Arkansas</v>
      </c>
      <c r="BO7" s="597" t="str">
        <f>INDEX([1]!List_StateInputAll,MATCH(BG7,[1]!List_StateInput,0),9)</f>
        <v>Y</v>
      </c>
      <c r="BP7" s="598" t="str">
        <f>INDEX([1]!List_StateInputAll,MATCH(BG7,[1]!List_StateInput,0),10)</f>
        <v>Y</v>
      </c>
      <c r="BQ7" s="597" t="str">
        <f>INDEX([1]!List_StateInputAll,MATCH(BG7,[1]!List_StateInput,0),11)</f>
        <v>N</v>
      </c>
      <c r="BR7" s="599" t="str">
        <f>INDEX([1]!List_StateInputAll,MATCH(BG7,[1]!List_StateInput,0),12)</f>
        <v>Y</v>
      </c>
      <c r="BS7" s="598" t="str">
        <f>INDEX([1]!List_StateInputAll,MATCH(BG7,[1]!List_StateInput,0),13)</f>
        <v xml:space="preserve"> </v>
      </c>
      <c r="BT7" s="578" t="str">
        <f>IF(OR(Input_Ratesheet_Source="Corr1",Input_Ratesheet_Source="Corr2",Input_Ratesheet_Source="Corr3",Input_Ratesheet_Source="CorrND"),BI7,IF(Input_Ratesheet_Source="Whol",IF(Input_Occupancy="Non Owner Occupied",BP7,BO7),IF(Input_Ratesheet_Source="Retl",IF(Input_Occupancy="Non Owner Occupied",IF(IF(IFERROR(FIND(Input_ProductClass,Structure!BS7),0)&gt;=1,"N","Y")="N","N",BR7),BQ7),"")))</f>
        <v>Y</v>
      </c>
      <c r="BU7" s="598" t="str">
        <f>INDEX([1]!List_StateInputAll,MATCH(BG7,[1]!List_StateInput,0),14)</f>
        <v>Wet</v>
      </c>
      <c r="BV7" s="598">
        <f>INDEX([1]!List_StateInputAll,MATCH(BG7,[1]!List_StateInput,0),15)</f>
        <v>1</v>
      </c>
      <c r="BW7" s="596" t="str">
        <f>INDEX([1]!List_StateInputAll,MATCH(BG7,[1]!List_StateInput,0),16)</f>
        <v>APOR</v>
      </c>
      <c r="BX7" s="600">
        <f>INDEX([1]!List_StateInputAll,MATCH(BG7,[1]!List_StateInput,0),17)</f>
        <v>6.5</v>
      </c>
      <c r="BY7" s="600">
        <f>INDEX([1]!List_StateInputAll,MATCH(BG7,[1]!List_StateInput,0),18)</f>
        <v>8.5</v>
      </c>
      <c r="BZ7" s="600">
        <f>INDEX([1]!List_StateInputAll,MATCH(BG7,[1]!List_StateInput,0),19)</f>
        <v>5</v>
      </c>
      <c r="CA7" s="597">
        <f>INDEX([1]!List_StateInputAll,MATCH(BG7,[1]!List_StateInput,0),20)</f>
        <v>150000</v>
      </c>
      <c r="CB7" s="597" t="str">
        <f>INDEX([1]!List_StateInputAll,MATCH(BG7,[1]!List_StateInput,0),21)</f>
        <v>Owner Occupied</v>
      </c>
      <c r="CC7" s="597" t="str">
        <f>INDEX([1]!List_StateInputAll,MATCH(BG7,[1]!List_StateInput,0),22)</f>
        <v>Purchase, Rate-Term, Cash-Out</v>
      </c>
      <c r="CD7" s="598">
        <f>INDEX([1]!List_StateInputAll,MATCH(BG7,[1]!List_StateInput,0),23)</f>
        <v>0</v>
      </c>
      <c r="CE7" s="598" t="str">
        <f>INDEX([1]!List_StateInputAll,MATCH(BG7,[1]!List_StateInput,0),24)</f>
        <v>N</v>
      </c>
    </row>
    <row r="8" spans="2:86" ht="9.6" customHeight="1" x14ac:dyDescent="0.2">
      <c r="B8" s="520"/>
      <c r="C8" s="520"/>
      <c r="D8" s="520"/>
      <c r="E8" s="520"/>
      <c r="F8" s="520"/>
      <c r="G8" s="520"/>
      <c r="H8" s="520"/>
      <c r="I8" s="520"/>
      <c r="J8" s="520"/>
      <c r="K8" s="520"/>
      <c r="M8" s="1502" t="str">
        <f>Input_Name_ClassF&amp;"NOO"</f>
        <v xml:space="preserve">  NOO</v>
      </c>
      <c r="N8" s="1503" t="str">
        <f>Input_Name_Product11</f>
        <v>HELOC NOO</v>
      </c>
      <c r="O8" s="1517" t="s">
        <v>1990</v>
      </c>
      <c r="P8" s="1517" t="s">
        <v>1990</v>
      </c>
      <c r="Q8" s="1518">
        <v>2</v>
      </c>
      <c r="T8" s="988" t="str">
        <f>Input_Name_ClassA</f>
        <v xml:space="preserve"> </v>
      </c>
      <c r="U8" s="515"/>
      <c r="X8" s="601" t="s">
        <v>2661</v>
      </c>
      <c r="Y8" s="601" t="s">
        <v>66</v>
      </c>
      <c r="Z8" s="602" t="e">
        <f>-Input_PL_IncentiveMaxAdj_LenderPaidComp+Input_PL_MaxPriceBase_IN_03PP+Input_PL_Incentive_IN+Input_PL_IncentiveMaxAdj_IN</f>
        <v>#N/A</v>
      </c>
      <c r="AA8" s="603" cm="1">
        <f t="array" ref="AA8">[1]!Input_MaxPriceNet_IN_03PP</f>
        <v>103.25</v>
      </c>
      <c r="AB8" s="518"/>
      <c r="AC8" s="516" t="s">
        <v>128</v>
      </c>
      <c r="AD8" s="517" t="s">
        <v>334</v>
      </c>
      <c r="AE8" s="588">
        <v>1</v>
      </c>
      <c r="AF8" s="589" t="str">
        <f>IF(Input_ProductClass="Core",Structure!AC8,IFERROR(IF(FIND(AD8,INDEX(Elig_All,MATCH(Input_Product,Elig_Product,0),10))&gt;=1,AC8,""),""))</f>
        <v>PUD</v>
      </c>
      <c r="AG8" s="590">
        <f>IF(AF8="","",MAX(AG$4:AG7)+1)</f>
        <v>4</v>
      </c>
      <c r="AH8" s="591" t="str">
        <f t="shared" si="0"/>
        <v>PUD</v>
      </c>
      <c r="AI8" s="514" t="s">
        <v>76</v>
      </c>
      <c r="AQ8" s="604">
        <v>80</v>
      </c>
      <c r="AR8" s="605" t="s">
        <v>28</v>
      </c>
      <c r="AS8" s="606">
        <v>7</v>
      </c>
      <c r="AV8" s="1297" t="s">
        <v>1533</v>
      </c>
      <c r="AW8" s="1233" t="s">
        <v>1249</v>
      </c>
      <c r="AX8" s="1234" t="str">
        <f t="shared" si="1"/>
        <v>PT_012.7500000000</v>
      </c>
      <c r="AY8" s="1235">
        <f>[1]!PR_R04</f>
        <v>12.75</v>
      </c>
      <c r="AZ8" s="1236">
        <f>[1]!PR_ARM05_P04+Input_PL_Incentive_PR</f>
        <v>-2</v>
      </c>
      <c r="BA8" s="1236">
        <f>[1]!PR_FRM30_P04+Input_PL_Incentive_PR</f>
        <v>112</v>
      </c>
      <c r="BB8" s="1234">
        <f t="shared" ref="BB8:BB45" si="5">IF(INDEX(List_AmortTermAll,MATCH(Input_AmortTerm,List_AmortTerm,0),3)=1,AZ8,IF(INDEX(List_AmortTermAll,MATCH(Input_AmortTerm,List_AmortTerm,0),3)=2,BA8,#N/A))</f>
        <v>112</v>
      </c>
      <c r="BC8" s="1234" t="str">
        <f t="shared" si="3"/>
        <v>PT_112.0000000000</v>
      </c>
      <c r="BD8" s="1234"/>
      <c r="BE8" s="1298" t="s">
        <v>1805</v>
      </c>
      <c r="BG8" s="595" t="s">
        <v>371</v>
      </c>
      <c r="BH8" s="596" t="str">
        <f>INDEX([1]!List_StateInputAll,MATCH(BG8,[1]!List_StateInput,0),2)</f>
        <v>Non-CA</v>
      </c>
      <c r="BI8" s="597" t="str">
        <f>INDEX([1]!List_StateInputAll,MATCH(BG8,[1]!List_StateInput,0),3)</f>
        <v>Y</v>
      </c>
      <c r="BJ8" s="597" t="str">
        <f>INDEX([1]!List_StateInputAll,MATCH(BG8,[1]!List_StateInput,0),4)</f>
        <v>Y</v>
      </c>
      <c r="BK8" s="597" t="str">
        <f>INDEX([1]!List_StateInputAll,MATCH(BG8,[1]!List_StateInput,0),5)</f>
        <v xml:space="preserve"> </v>
      </c>
      <c r="BL8" s="597" t="str">
        <f>INDEX([1]!List_StateInputAll,MATCH(BG8,[1]!List_StateInput,0),6)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8" s="597" t="str">
        <f>INDEX([1]!List_StateInputAll,MATCH(BG8,[1]!List_StateInput,0),7)</f>
        <v xml:space="preserve"> </v>
      </c>
      <c r="BN8" s="597" t="str">
        <f>INDEX([1]!List_StateInputAll,MATCH(BG8,[1]!List_StateInput,0),8)</f>
        <v>Arizona</v>
      </c>
      <c r="BO8" s="597" t="str">
        <f>INDEX([1]!List_StateInputAll,MATCH(BG8,[1]!List_StateInput,0),9)</f>
        <v>Y</v>
      </c>
      <c r="BP8" s="598" t="str">
        <f>INDEX([1]!List_StateInputAll,MATCH(BG8,[1]!List_StateInput,0),10)</f>
        <v>Y</v>
      </c>
      <c r="BQ8" s="597" t="str">
        <f>INDEX([1]!List_StateInputAll,MATCH(BG8,[1]!List_StateInput,0),11)</f>
        <v>Y</v>
      </c>
      <c r="BR8" s="599" t="str">
        <f>INDEX([1]!List_StateInputAll,MATCH(BG8,[1]!List_StateInput,0),12)</f>
        <v>Y</v>
      </c>
      <c r="BS8" s="598" t="str">
        <f>INDEX([1]!List_StateInputAll,MATCH(BG8,[1]!List_StateInput,0),13)</f>
        <v xml:space="preserve"> </v>
      </c>
      <c r="BT8" s="578" t="str">
        <f>IF(OR(Input_Ratesheet_Source="Corr1",Input_Ratesheet_Source="Corr2",Input_Ratesheet_Source="Corr3",Input_Ratesheet_Source="CorrND"),BI8,IF(Input_Ratesheet_Source="Whol",IF(Input_Occupancy="Non Owner Occupied",BP8,BO8),IF(Input_Ratesheet_Source="Retl",IF(Input_Occupancy="Non Owner Occupied",IF(IF(IFERROR(FIND(Input_ProductClass,Structure!BS8),0)&gt;=1,"N","Y")="N","N",BR8),BQ8),"")))</f>
        <v>Y</v>
      </c>
      <c r="BU8" s="598" t="str">
        <f>INDEX([1]!List_StateInputAll,MATCH(BG8,[1]!List_StateInput,0),14)</f>
        <v>Dry</v>
      </c>
      <c r="BV8" s="598">
        <f>INDEX([1]!List_StateInputAll,MATCH(BG8,[1]!List_StateInput,0),15)</f>
        <v>1</v>
      </c>
      <c r="BW8" s="596" t="str">
        <f>INDEX([1]!List_StateInputAll,MATCH(BG8,[1]!List_StateInput,0),16)</f>
        <v>APOR</v>
      </c>
      <c r="BX8" s="600">
        <f>INDEX([1]!List_StateInputAll,MATCH(BG8,[1]!List_StateInput,0),17)</f>
        <v>6.5</v>
      </c>
      <c r="BY8" s="600">
        <f>INDEX([1]!List_StateInputAll,MATCH(BG8,[1]!List_StateInput,0),18)</f>
        <v>8.5</v>
      </c>
      <c r="BZ8" s="600">
        <f>INDEX([1]!List_StateInputAll,MATCH(BG8,[1]!List_StateInput,0),19)</f>
        <v>5</v>
      </c>
      <c r="CA8" s="597">
        <f>INDEX([1]!List_StateInputAll,MATCH(BG8,[1]!List_StateInput,0),20)</f>
        <v>0</v>
      </c>
      <c r="CB8" s="597" t="str">
        <f>INDEX([1]!List_StateInputAll,MATCH(BG8,[1]!List_StateInput,0),21)</f>
        <v>Owner Occupied</v>
      </c>
      <c r="CC8" s="597" t="str">
        <f>INDEX([1]!List_StateInputAll,MATCH(BG8,[1]!List_StateInput,0),22)</f>
        <v>Purchase, Rate-Term, Cash-Out</v>
      </c>
      <c r="CD8" s="598">
        <f>INDEX([1]!List_StateInputAll,MATCH(BG8,[1]!List_StateInput,0),23)</f>
        <v>0</v>
      </c>
      <c r="CE8" s="598" t="str">
        <f>INDEX([1]!List_StateInputAll,MATCH(BG8,[1]!List_StateInput,0),24)</f>
        <v>Y</v>
      </c>
    </row>
    <row r="9" spans="2:86" ht="9.6" customHeight="1" x14ac:dyDescent="0.2">
      <c r="B9" s="2776" t="str">
        <f>Input_Name_Pricer</f>
        <v>LEAD PLUS Seconds Calculator</v>
      </c>
      <c r="C9" s="2777"/>
      <c r="D9" s="2777"/>
      <c r="E9" s="2777"/>
      <c r="F9" s="2777"/>
      <c r="G9" s="2777"/>
      <c r="H9" s="2777"/>
      <c r="I9" s="2777"/>
      <c r="J9" s="2777"/>
      <c r="K9" s="2778"/>
      <c r="M9" s="1504" t="str">
        <f>Input_Name_ClassC&amp;"OO"</f>
        <v>Life Force 2ndsOO</v>
      </c>
      <c r="N9" s="1505" t="str">
        <f>Input_Name_Product4</f>
        <v>Second OO</v>
      </c>
      <c r="O9" s="1519" t="s">
        <v>1533</v>
      </c>
      <c r="P9" s="1519" t="s">
        <v>1533</v>
      </c>
      <c r="Q9" s="1520">
        <v>2</v>
      </c>
      <c r="T9" s="1607" t="str">
        <f>Input_Name_Product16</f>
        <v xml:space="preserve"> </v>
      </c>
      <c r="U9" s="515"/>
      <c r="V9" s="515"/>
      <c r="X9" s="601" t="s">
        <v>2662</v>
      </c>
      <c r="Y9" s="601" t="s">
        <v>165</v>
      </c>
      <c r="Z9" s="602" t="e">
        <f>-Input_PL_IncentiveMaxAdj_LenderPaidComp+Input_PL_MaxPriceBase_IN_04PP+Input_PL_Incentive_IN+Input_PL_IncentiveMaxAdj_IN</f>
        <v>#N/A</v>
      </c>
      <c r="AA9" s="603" cm="1">
        <f t="array" ref="AA9">[1]!Input_MaxPriceNet_IN_04PP</f>
        <v>103.5</v>
      </c>
      <c r="AB9" s="518"/>
      <c r="AC9" s="516" t="s">
        <v>223</v>
      </c>
      <c r="AD9" s="517" t="s">
        <v>276</v>
      </c>
      <c r="AE9" s="588">
        <v>1</v>
      </c>
      <c r="AF9" s="589" t="str">
        <f>IF(Input_ProductClass="Core",Structure!AC9,IFERROR(IF(FIND(AD9,INDEX(Elig_All,MATCH(Input_Product,Elig_Product,0),10))&gt;=1,AC9,""),""))</f>
        <v>Condo-Site</v>
      </c>
      <c r="AG9" s="590">
        <f>IF(AF9="","",MAX(AG$4:AG8)+1)</f>
        <v>5</v>
      </c>
      <c r="AH9" s="591" t="str">
        <f t="shared" si="0"/>
        <v>Condo-Site</v>
      </c>
      <c r="AI9" s="514" t="s">
        <v>76</v>
      </c>
      <c r="AQ9" s="604">
        <v>75</v>
      </c>
      <c r="AR9" s="605" t="s">
        <v>29</v>
      </c>
      <c r="AS9" s="606">
        <v>6</v>
      </c>
      <c r="AV9" s="1297" t="s">
        <v>1533</v>
      </c>
      <c r="AW9" s="1233" t="s">
        <v>1249</v>
      </c>
      <c r="AX9" s="1234" t="str">
        <f t="shared" si="1"/>
        <v>PT_012.6250000000</v>
      </c>
      <c r="AY9" s="1235">
        <f>[1]!PR_R05</f>
        <v>12.625</v>
      </c>
      <c r="AZ9" s="1236">
        <f>[1]!PR_ARM05_P05+Input_PL_Incentive_PR</f>
        <v>-2</v>
      </c>
      <c r="BA9" s="1236">
        <f>[1]!PR_FRM30_P05+Input_PL_Incentive_PR</f>
        <v>111.875</v>
      </c>
      <c r="BB9" s="1234">
        <f t="shared" si="5"/>
        <v>111.875</v>
      </c>
      <c r="BC9" s="1234" t="str">
        <f t="shared" si="3"/>
        <v>PT_111.8750000000</v>
      </c>
      <c r="BD9" s="1234"/>
      <c r="BE9" s="1298" t="s">
        <v>1806</v>
      </c>
      <c r="BG9" s="595" t="s">
        <v>41</v>
      </c>
      <c r="BH9" s="596" t="str">
        <f>INDEX([1]!List_StateInputAll,MATCH(BG9,[1]!List_StateInput,0),2)</f>
        <v>CA</v>
      </c>
      <c r="BI9" s="597" t="str">
        <f>INDEX([1]!List_StateInputAll,MATCH(BG9,[1]!List_StateInput,0),3)</f>
        <v>Y</v>
      </c>
      <c r="BJ9" s="597" t="str">
        <f>INDEX([1]!List_StateInputAll,MATCH(BG9,[1]!List_StateInput,0),4)</f>
        <v>Y</v>
      </c>
      <c r="BK9" s="597" t="str">
        <f>INDEX([1]!List_StateInputAll,MATCH(BG9,[1]!List_StateInput,0),5)</f>
        <v xml:space="preserve"> </v>
      </c>
      <c r="BL9" s="597" t="str">
        <f>INDEX([1]!List_StateInputAll,MATCH(BG9,[1]!List_StateInput,0),6)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9" s="597" t="str">
        <f>INDEX([1]!List_StateInputAll,MATCH(BG9,[1]!List_StateInput,0),7)</f>
        <v xml:space="preserve"> </v>
      </c>
      <c r="BN9" s="597" t="str">
        <f>INDEX([1]!List_StateInputAll,MATCH(BG9,[1]!List_StateInput,0),8)</f>
        <v>California</v>
      </c>
      <c r="BO9" s="597" t="str">
        <f>INDEX([1]!List_StateInputAll,MATCH(BG9,[1]!List_StateInput,0),9)</f>
        <v>Y</v>
      </c>
      <c r="BP9" s="598" t="str">
        <f>INDEX([1]!List_StateInputAll,MATCH(BG9,[1]!List_StateInput,0),10)</f>
        <v>Y</v>
      </c>
      <c r="BQ9" s="597" t="str">
        <f>INDEX([1]!List_StateInputAll,MATCH(BG9,[1]!List_StateInput,0),11)</f>
        <v>Y</v>
      </c>
      <c r="BR9" s="599" t="str">
        <f>INDEX([1]!List_StateInputAll,MATCH(BG9,[1]!List_StateInput,0),12)</f>
        <v>Y</v>
      </c>
      <c r="BS9" s="598" t="str">
        <f>INDEX([1]!List_StateInputAll,MATCH(BG9,[1]!List_StateInput,0),13)</f>
        <v xml:space="preserve"> </v>
      </c>
      <c r="BT9" s="578" t="str">
        <f>IF(OR(Input_Ratesheet_Source="Corr1",Input_Ratesheet_Source="Corr2",Input_Ratesheet_Source="Corr3",Input_Ratesheet_Source="CorrND"),BI9,IF(Input_Ratesheet_Source="Whol",IF(Input_Occupancy="Non Owner Occupied",BP9,BO9),IF(Input_Ratesheet_Source="Retl",IF(Input_Occupancy="Non Owner Occupied",IF(IF(IFERROR(FIND(Input_ProductClass,Structure!BS9),0)&gt;=1,"N","Y")="N","N",BR9),BQ9),"")))</f>
        <v>Y</v>
      </c>
      <c r="BU9" s="598" t="str">
        <f>INDEX([1]!List_StateInputAll,MATCH(BG9,[1]!List_StateInput,0),14)</f>
        <v>Dry</v>
      </c>
      <c r="BV9" s="598">
        <f>INDEX([1]!List_StateInputAll,MATCH(BG9,[1]!List_StateInput,0),15)</f>
        <v>1</v>
      </c>
      <c r="BW9" s="596" t="str">
        <f>INDEX([1]!List_StateInputAll,MATCH(BG9,[1]!List_StateInput,0),16)</f>
        <v>Treasury</v>
      </c>
      <c r="BX9" s="600">
        <f>INDEX([1]!List_StateInputAll,MATCH(BG9,[1]!List_StateInput,0),17)</f>
        <v>8</v>
      </c>
      <c r="BY9" s="600">
        <f>INDEX([1]!List_StateInputAll,MATCH(BG9,[1]!List_StateInput,0),18)</f>
        <v>8</v>
      </c>
      <c r="BZ9" s="600">
        <f>INDEX([1]!List_StateInputAll,MATCH(BG9,[1]!List_StateInput,0),19)</f>
        <v>6</v>
      </c>
      <c r="CA9" s="597" t="str">
        <f>INDEX([1]!List_StateInputAll,MATCH(BG9,[1]!List_StateInput,0),20)</f>
        <v>Agency</v>
      </c>
      <c r="CB9" s="597" t="str">
        <f>INDEX([1]!List_StateInputAll,MATCH(BG9,[1]!List_StateInput,0),21)</f>
        <v>Owner Occupied</v>
      </c>
      <c r="CC9" s="597" t="str">
        <f>INDEX([1]!List_StateInputAll,MATCH(BG9,[1]!List_StateInput,0),22)</f>
        <v>Purchase, Rate-Term, Cash-Out</v>
      </c>
      <c r="CD9" s="598">
        <f>INDEX([1]!List_StateInputAll,MATCH(BG9,[1]!List_StateInput,0),23)</f>
        <v>0</v>
      </c>
      <c r="CE9" s="598" t="str">
        <f>INDEX([1]!List_StateInputAll,MATCH(BG9,[1]!List_StateInput,0),24)</f>
        <v>Y</v>
      </c>
    </row>
    <row r="10" spans="2:86" ht="9.6" customHeight="1" x14ac:dyDescent="0.2">
      <c r="B10" s="2772" t="s">
        <v>1245</v>
      </c>
      <c r="C10" s="2773"/>
      <c r="D10" s="2773"/>
      <c r="E10" s="2773"/>
      <c r="F10" s="2773"/>
      <c r="G10" s="2773"/>
      <c r="H10" s="2773"/>
      <c r="I10" s="2773"/>
      <c r="J10" s="2773"/>
      <c r="K10" s="2773"/>
      <c r="L10" s="514" t="s">
        <v>76</v>
      </c>
      <c r="M10" s="1506" t="str">
        <f>Input_Name_ClassC&amp;"NOO"</f>
        <v>Life Force 2ndsNOO</v>
      </c>
      <c r="N10" s="1503" t="str">
        <f>Input_Name_Product5</f>
        <v>Second NOO</v>
      </c>
      <c r="O10" s="1521" t="s">
        <v>1534</v>
      </c>
      <c r="P10" s="1521" t="s">
        <v>1534</v>
      </c>
      <c r="Q10" s="1522">
        <v>2</v>
      </c>
      <c r="T10" s="1607" t="str">
        <f>Input_Name_Product17</f>
        <v xml:space="preserve"> </v>
      </c>
      <c r="U10" s="515"/>
      <c r="V10" s="515"/>
      <c r="X10" s="609" t="s">
        <v>2663</v>
      </c>
      <c r="Y10" s="609" t="s">
        <v>166</v>
      </c>
      <c r="Z10" s="610" t="e">
        <f>-Input_PL_IncentiveMaxAdj_LenderPaidComp+Input_PL_MaxPriceBase_IN_05PP+Input_PL_Incentive_IN+Input_PL_IncentiveMaxAdj_IN</f>
        <v>#N/A</v>
      </c>
      <c r="AA10" s="611" cm="1">
        <f t="array" ref="AA10">[1]!Input_MaxPriceNet_IN_05PP</f>
        <v>104</v>
      </c>
      <c r="AB10" s="518"/>
      <c r="AC10" s="516" t="s">
        <v>131</v>
      </c>
      <c r="AD10" s="517" t="s">
        <v>338</v>
      </c>
      <c r="AE10" s="588">
        <v>1</v>
      </c>
      <c r="AF10" s="589" t="str">
        <f>IF(Input_ProductClass="Core",Structure!AC10,IFERROR(IF(FIND(AD10,INDEX(Elig_All,MATCH(Input_Product,Elig_Product,0),10))&gt;=1,AC10,""),""))</f>
        <v>Condo-Warrantable</v>
      </c>
      <c r="AG10" s="590">
        <f>IF(AF10="","",MAX(AG$4:AG9)+1)</f>
        <v>6</v>
      </c>
      <c r="AH10" s="591" t="str">
        <f t="shared" si="0"/>
        <v>Condo-Warrantable</v>
      </c>
      <c r="AI10" s="514" t="s">
        <v>76</v>
      </c>
      <c r="AQ10" s="604">
        <v>70</v>
      </c>
      <c r="AR10" s="605" t="s">
        <v>30</v>
      </c>
      <c r="AS10" s="606">
        <v>5</v>
      </c>
      <c r="AV10" s="1297" t="s">
        <v>1533</v>
      </c>
      <c r="AW10" s="1233" t="s">
        <v>1249</v>
      </c>
      <c r="AX10" s="1234" t="str">
        <f t="shared" si="1"/>
        <v>PT_012.5000000000</v>
      </c>
      <c r="AY10" s="1235">
        <f>[1]!PR_R06</f>
        <v>12.5</v>
      </c>
      <c r="AZ10" s="1236">
        <f>[1]!PR_ARM05_P06+Input_PL_Incentive_PR</f>
        <v>-2</v>
      </c>
      <c r="BA10" s="1236">
        <f>[1]!PR_FRM30_P06+Input_PL_Incentive_PR</f>
        <v>111.625</v>
      </c>
      <c r="BB10" s="1234">
        <f t="shared" si="5"/>
        <v>111.625</v>
      </c>
      <c r="BC10" s="1234" t="str">
        <f t="shared" si="3"/>
        <v>PT_111.6250000000</v>
      </c>
      <c r="BD10" s="1234"/>
      <c r="BE10" s="1298" t="s">
        <v>1807</v>
      </c>
      <c r="BG10" s="595" t="s">
        <v>372</v>
      </c>
      <c r="BH10" s="596" t="str">
        <f>INDEX([1]!List_StateInputAll,MATCH(BG10,[1]!List_StateInput,0),2)</f>
        <v>Non-CA</v>
      </c>
      <c r="BI10" s="597" t="str">
        <f>INDEX([1]!List_StateInputAll,MATCH(BG10,[1]!List_StateInput,0),3)</f>
        <v>Y</v>
      </c>
      <c r="BJ10" s="597" t="str">
        <f>INDEX([1]!List_StateInputAll,MATCH(BG10,[1]!List_StateInput,0),4)</f>
        <v>Y</v>
      </c>
      <c r="BK10" s="597" t="str">
        <f>INDEX([1]!List_StateInputAll,MATCH(BG10,[1]!List_StateInput,0),5)</f>
        <v xml:space="preserve"> </v>
      </c>
      <c r="BL10" s="597" t="str">
        <f>INDEX([1]!List_StateInputAll,MATCH(BG10,[1]!List_StateInput,0),6)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0" s="597" t="str">
        <f>INDEX([1]!List_StateInputAll,MATCH(BG10,[1]!List_StateInput,0),7)</f>
        <v xml:space="preserve"> </v>
      </c>
      <c r="BN10" s="597" t="str">
        <f>INDEX([1]!List_StateInputAll,MATCH(BG10,[1]!List_StateInput,0),8)</f>
        <v>Colorado</v>
      </c>
      <c r="BO10" s="597" t="str">
        <f>INDEX([1]!List_StateInputAll,MATCH(BG10,[1]!List_StateInput,0),9)</f>
        <v>Y</v>
      </c>
      <c r="BP10" s="598" t="str">
        <f>INDEX([1]!List_StateInputAll,MATCH(BG10,[1]!List_StateInput,0),10)</f>
        <v>Y</v>
      </c>
      <c r="BQ10" s="597" t="str">
        <f>INDEX([1]!List_StateInputAll,MATCH(BG10,[1]!List_StateInput,0),11)</f>
        <v>Y</v>
      </c>
      <c r="BR10" s="599" t="str">
        <f>INDEX([1]!List_StateInputAll,MATCH(BG10,[1]!List_StateInput,0),12)</f>
        <v>Y</v>
      </c>
      <c r="BS10" s="598" t="str">
        <f>INDEX([1]!List_StateInputAll,MATCH(BG10,[1]!List_StateInput,0),13)</f>
        <v xml:space="preserve"> </v>
      </c>
      <c r="BT10" s="578" t="str">
        <f>IF(OR(Input_Ratesheet_Source="Corr1",Input_Ratesheet_Source="Corr2",Input_Ratesheet_Source="Corr3",Input_Ratesheet_Source="CorrND"),BI10,IF(Input_Ratesheet_Source="Whol",IF(Input_Occupancy="Non Owner Occupied",BP10,BO10),IF(Input_Ratesheet_Source="Retl",IF(Input_Occupancy="Non Owner Occupied",IF(IF(IFERROR(FIND(Input_ProductClass,Structure!BS10),0)&gt;=1,"N","Y")="N","N",BR10),BQ10),"")))</f>
        <v>Y</v>
      </c>
      <c r="BU10" s="598" t="str">
        <f>INDEX([1]!List_StateInputAll,MATCH(BG10,[1]!List_StateInput,0),14)</f>
        <v>Wet</v>
      </c>
      <c r="BV10" s="598">
        <f>INDEX([1]!List_StateInputAll,MATCH(BG10,[1]!List_StateInput,0),15)</f>
        <v>1</v>
      </c>
      <c r="BW10" s="596" t="str">
        <f>INDEX([1]!List_StateInputAll,MATCH(BG10,[1]!List_StateInput,0),16)</f>
        <v>APOR</v>
      </c>
      <c r="BX10" s="600">
        <f>INDEX([1]!List_StateInputAll,MATCH(BG10,[1]!List_StateInput,0),17)</f>
        <v>6.5</v>
      </c>
      <c r="BY10" s="600">
        <f>INDEX([1]!List_StateInputAll,MATCH(BG10,[1]!List_StateInput,0),18)</f>
        <v>8.5</v>
      </c>
      <c r="BZ10" s="600">
        <f>INDEX([1]!List_StateInputAll,MATCH(BG10,[1]!List_StateInput,0),19)</f>
        <v>6</v>
      </c>
      <c r="CA10" s="597">
        <f>INDEX([1]!List_StateInputAll,MATCH(BG10,[1]!List_StateInput,0),20)</f>
        <v>0</v>
      </c>
      <c r="CB10" s="597" t="str">
        <f>INDEX([1]!List_StateInputAll,MATCH(BG10,[1]!List_StateInput,0),21)</f>
        <v>Owner Occupied, Second Home</v>
      </c>
      <c r="CC10" s="597" t="str">
        <f>INDEX([1]!List_StateInputAll,MATCH(BG10,[1]!List_StateInput,0),22)</f>
        <v>Purchase, Rate-Term, Cash-Out</v>
      </c>
      <c r="CD10" s="598">
        <f>INDEX([1]!List_StateInputAll,MATCH(BG10,[1]!List_StateInput,0),23)</f>
        <v>0</v>
      </c>
      <c r="CE10" s="598" t="str">
        <f>INDEX([1]!List_StateInputAll,MATCH(BG10,[1]!List_StateInput,0),24)</f>
        <v>N</v>
      </c>
    </row>
    <row r="11" spans="2:86" ht="9.6" customHeight="1" x14ac:dyDescent="0.2">
      <c r="B11" s="612"/>
      <c r="C11" s="613"/>
      <c r="D11" s="613"/>
      <c r="E11" s="613"/>
      <c r="F11" s="614" t="str">
        <f>INDEX(List_ProductAll,MATCH(Input_Product,List_Product,0),2)&amp;"_"&amp;RIGHT("000"&amp;TRUNC(Input_NoteRate),3)&amp;TEXT(Input_NoteRate-TRUNC(Input_NoteRate),".0000000000")</f>
        <v>PT_010.0000000000</v>
      </c>
      <c r="G11" s="613"/>
      <c r="H11" s="613"/>
      <c r="I11" s="1076">
        <f>IF(Error_NoteRate="Y",#N/A,IF(Input_NoteRate&lt;=Find_NoteRate_Min,Find_MarginGross02,Find_MarginGross01-((Find_NoteRate01-Input_NoteRate)/(Find_NoteRate01-Find_NoteRate02))*(Find_MarginGross01-Find_MarginGross02)))</f>
        <v>0</v>
      </c>
      <c r="J11" s="613"/>
      <c r="K11" s="615" t="s">
        <v>1207</v>
      </c>
      <c r="L11" s="514" t="s">
        <v>76</v>
      </c>
      <c r="M11" s="1507" t="str">
        <f>Input_Name_ClassH&amp;"OO"</f>
        <v xml:space="preserve"> OO</v>
      </c>
      <c r="N11" s="1505" t="str">
        <f>Input_Name_Product13</f>
        <v xml:space="preserve">  </v>
      </c>
      <c r="O11" s="1523" t="s">
        <v>2130</v>
      </c>
      <c r="P11" s="1523" t="s">
        <v>2130</v>
      </c>
      <c r="Q11" s="1524">
        <v>1</v>
      </c>
      <c r="T11" s="1607" t="str">
        <f>Input_Name_Product18</f>
        <v xml:space="preserve"> </v>
      </c>
      <c r="U11" s="515"/>
      <c r="V11" s="515"/>
      <c r="X11" s="601" t="s">
        <v>746</v>
      </c>
      <c r="Y11" s="601" t="s">
        <v>68</v>
      </c>
      <c r="Z11" s="602" t="e">
        <f>-Input_PL_IncentiveMaxAdj_LenderPaidComp+Input_PL_MaxPriceBase_IN_01PP+Input_PL_Incentive_IN+Input_PL_IncentiveMaxAdj_IN</f>
        <v>#N/A</v>
      </c>
      <c r="AA11" s="603" cm="1">
        <f t="array" ref="AA11">[1]!Input_MaxPriceNet_IN_01PP</f>
        <v>102.5</v>
      </c>
      <c r="AB11" s="518"/>
      <c r="AC11" s="516" t="s">
        <v>132</v>
      </c>
      <c r="AD11" s="517" t="s">
        <v>339</v>
      </c>
      <c r="AE11" s="588">
        <v>1</v>
      </c>
      <c r="AF11" s="589" t="str">
        <f>IF(Input_ProductClass="Core",Structure!AC11,IFERROR(IF(FIND(AD11,INDEX(Elig_All,MATCH(Input_Product,Elig_Product,0),10))&gt;=1,AC11,""),""))</f>
        <v/>
      </c>
      <c r="AG11" s="590" t="str">
        <f>IF(AF11="","",MAX(AG$4:AG10)+1)</f>
        <v/>
      </c>
      <c r="AH11" s="591" t="str">
        <f t="shared" si="0"/>
        <v>2-Unit</v>
      </c>
      <c r="AI11" s="514" t="s">
        <v>76</v>
      </c>
      <c r="AQ11" s="604">
        <v>65</v>
      </c>
      <c r="AR11" s="605" t="s">
        <v>31</v>
      </c>
      <c r="AS11" s="606">
        <v>4</v>
      </c>
      <c r="AV11" s="1297" t="s">
        <v>1533</v>
      </c>
      <c r="AW11" s="1233" t="s">
        <v>1249</v>
      </c>
      <c r="AX11" s="1234" t="str">
        <f t="shared" si="1"/>
        <v>PT_012.3750000000</v>
      </c>
      <c r="AY11" s="1235">
        <f>[1]!PR_R07</f>
        <v>12.375</v>
      </c>
      <c r="AZ11" s="1236">
        <f>[1]!PR_ARM05_P07+Input_PL_Incentive_PR</f>
        <v>-2</v>
      </c>
      <c r="BA11" s="1236">
        <f>[1]!PR_FRM30_P07+Input_PL_Incentive_PR</f>
        <v>111.375</v>
      </c>
      <c r="BB11" s="1234">
        <f t="shared" si="5"/>
        <v>111.375</v>
      </c>
      <c r="BC11" s="1234" t="str">
        <f t="shared" si="3"/>
        <v>PT_111.3750000000</v>
      </c>
      <c r="BD11" s="1234"/>
      <c r="BE11" s="1298" t="s">
        <v>1808</v>
      </c>
      <c r="BG11" s="595" t="s">
        <v>113</v>
      </c>
      <c r="BH11" s="1805" t="str">
        <f>IFERROR(IF(FIND("Core",Input_Product),"CT","Non-CA"),"Non-CA")</f>
        <v>Non-CA</v>
      </c>
      <c r="BI11" s="597" t="str">
        <f>INDEX([1]!List_StateInputAll,MATCH(BG11,[1]!List_StateInput,0),3)</f>
        <v>Y</v>
      </c>
      <c r="BJ11" s="597" t="str">
        <f>INDEX([1]!List_StateInputAll,MATCH(BG11,[1]!List_StateInput,0),4)</f>
        <v>Y</v>
      </c>
      <c r="BK11" s="597" t="str">
        <f>INDEX([1]!List_StateInputAll,MATCH(BG11,[1]!List_StateInput,0),5)</f>
        <v xml:space="preserve"> </v>
      </c>
      <c r="BL11" s="597" t="str">
        <f>INDEX([1]!List_StateInputAll,MATCH(BG11,[1]!List_StateInput,0),6)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1" s="597" t="str">
        <f>INDEX([1]!List_StateInputAll,MATCH(BG11,[1]!List_StateInput,0),7)</f>
        <v xml:space="preserve"> </v>
      </c>
      <c r="BN11" s="597" t="str">
        <f>INDEX([1]!List_StateInputAll,MATCH(BG11,[1]!List_StateInput,0),8)</f>
        <v>Connecticut</v>
      </c>
      <c r="BO11" s="597" t="str">
        <f>INDEX([1]!List_StateInputAll,MATCH(BG11,[1]!List_StateInput,0),9)</f>
        <v>Y</v>
      </c>
      <c r="BP11" s="598" t="str">
        <f>INDEX([1]!List_StateInputAll,MATCH(BG11,[1]!List_StateInput,0),10)</f>
        <v>Y</v>
      </c>
      <c r="BQ11" s="597" t="str">
        <f>INDEX([1]!List_StateInputAll,MATCH(BG11,[1]!List_StateInput,0),11)</f>
        <v>N</v>
      </c>
      <c r="BR11" s="599" t="str">
        <f>INDEX([1]!List_StateInputAll,MATCH(BG11,[1]!List_StateInput,0),12)</f>
        <v>Y</v>
      </c>
      <c r="BS11" s="598" t="str">
        <f>INDEX([1]!List_StateInputAll,MATCH(BG11,[1]!List_StateInput,0),13)</f>
        <v xml:space="preserve"> </v>
      </c>
      <c r="BT11" s="578" t="str">
        <f>IF(OR(Input_Ratesheet_Source="Corr1",Input_Ratesheet_Source="Corr2",Input_Ratesheet_Source="Corr3",Input_Ratesheet_Source="CorrND"),BI11,IF(Input_Ratesheet_Source="Whol",IF(Input_Occupancy="Non Owner Occupied",BP11,BO11),IF(Input_Ratesheet_Source="Retl",IF(Input_Occupancy="Non Owner Occupied",IF(IF(IFERROR(FIND(Input_ProductClass,Structure!BS11),0)&gt;=1,"N","Y")="N","N",BR11),BQ11),"")))</f>
        <v>Y</v>
      </c>
      <c r="BU11" s="598" t="str">
        <f>INDEX([1]!List_StateInputAll,MATCH(BG11,[1]!List_StateInput,0),14)</f>
        <v>Wet</v>
      </c>
      <c r="BV11" s="598">
        <f>INDEX([1]!List_StateInputAll,MATCH(BG11,[1]!List_StateInput,0),15)</f>
        <v>1</v>
      </c>
      <c r="BW11" s="596" t="str">
        <f>INDEX([1]!List_StateInputAll,MATCH(BG11,[1]!List_StateInput,0),16)</f>
        <v>APOR</v>
      </c>
      <c r="BX11" s="600">
        <f>INDEX([1]!List_StateInputAll,MATCH(BG11,[1]!List_StateInput,0),17)</f>
        <v>6.5</v>
      </c>
      <c r="BY11" s="600">
        <f>INDEX([1]!List_StateInputAll,MATCH(BG11,[1]!List_StateInput,0),18)</f>
        <v>8.5</v>
      </c>
      <c r="BZ11" s="600">
        <f>INDEX([1]!List_StateInputAll,MATCH(BG11,[1]!List_StateInput,0),19)</f>
        <v>5</v>
      </c>
      <c r="CA11" s="597">
        <f>INDEX([1]!List_StateInputAll,MATCH(BG11,[1]!List_StateInput,0),20)</f>
        <v>0</v>
      </c>
      <c r="CB11" s="597" t="str">
        <f>INDEX([1]!List_StateInputAll,MATCH(BG11,[1]!List_StateInput,0),21)</f>
        <v>Owner Occupied</v>
      </c>
      <c r="CC11" s="597" t="str">
        <f>INDEX([1]!List_StateInputAll,MATCH(BG11,[1]!List_StateInput,0),22)</f>
        <v>Purchase, Rate-Term, Cash-Out</v>
      </c>
      <c r="CD11" s="598">
        <f>INDEX([1]!List_StateInputAll,MATCH(BG11,[1]!List_StateInput,0),23)</f>
        <v>0</v>
      </c>
      <c r="CE11" s="598" t="str">
        <f>INDEX([1]!List_StateInputAll,MATCH(BG11,[1]!List_StateInput,0),24)</f>
        <v>N</v>
      </c>
    </row>
    <row r="12" spans="2:86" ht="9.6" customHeight="1" x14ac:dyDescent="0.2">
      <c r="B12" s="616"/>
      <c r="C12" s="617" t="s">
        <v>2</v>
      </c>
      <c r="D12" s="618" t="str">
        <f>Input_Product</f>
        <v>Second OO</v>
      </c>
      <c r="E12" s="1042">
        <f>_xlfn.AGGREGATE(14,6,Lookup_Price_Output_Rate,1)</f>
        <v>13.125</v>
      </c>
      <c r="F12" s="1075">
        <f>Lookup_Price_Rate_Output_01</f>
        <v>10</v>
      </c>
      <c r="G12" s="1076">
        <f>Lookup_Price_PriceGross_Output_01</f>
        <v>106.5</v>
      </c>
      <c r="H12" s="619" t="str">
        <f>INDEX(List_ProductCode,MATCH((INDEX(List_ProductAll,MATCH(Input_Product,List_Product,0),3)&amp;INDEX(List_AmortTermAll,MATCH(Input_AmortTerm,List_AmortTerm,0),4)&amp;INDEX(List_AmortType_All,MATCH(Input_AmortType,List_AmortType,0),3)),List_ProductCode,0),1)</f>
        <v>PT30F</v>
      </c>
      <c r="I12" s="620" t="str">
        <f>IF(OR(Elig!BC5=0,TRIM(Output_Msg_LLPA_CreditScore)&lt;&gt;"",TRIM(Output_Msg_LLPA_LTV)&lt;&gt;"",TRIM(Output_Msg_LLPA_LoanAmt)&lt;&gt;"",TRIM(Output_Msg_LLPA_ReservesMonths)&lt;&gt;"",TRIM(Output_Msg_LLPA_CashoutAmt)&lt;&gt;"",TRIM(Output_Msg_LLPA_DTI)&lt;&gt;""),"Ineligible Scenario","")</f>
        <v/>
      </c>
      <c r="J12" s="1076">
        <f>INDEX(Lookup_Price_Output_All,MATCH(Lookup_Price_Code_Output_01,Lookup_Price_Output_Code,0),6)</f>
        <v>0</v>
      </c>
      <c r="K12" s="622" t="str">
        <f>INDEX(List_ProductAll,MATCH(Input_Product,List_Product,0),3)&amp;INDEX(List_AmortTermAll,MATCH(Input_AmortTerm,List_AmortTerm,0),4)&amp;INDEX(List_AmortType_All,MATCH(Input_AmortType,List_AmortType,0),3)</f>
        <v>PT30F</v>
      </c>
      <c r="L12" s="514" t="s">
        <v>76</v>
      </c>
      <c r="M12" s="1500" t="str" cm="1">
        <f t="array" ref="M12">Input_Name_ClassH&amp;"NOO"</f>
        <v xml:space="preserve"> NOO</v>
      </c>
      <c r="N12" s="1501" t="str">
        <f>Input_Name_Product14</f>
        <v xml:space="preserve"> </v>
      </c>
      <c r="O12" s="1525" t="s">
        <v>2131</v>
      </c>
      <c r="P12" s="1525" t="s">
        <v>2131</v>
      </c>
      <c r="Q12" s="1526">
        <v>1</v>
      </c>
      <c r="T12" s="1607" t="str">
        <f>Input_Name_Product19</f>
        <v xml:space="preserve"> </v>
      </c>
      <c r="V12" s="515"/>
      <c r="X12" s="601" t="s">
        <v>745</v>
      </c>
      <c r="Y12" s="601" t="s">
        <v>67</v>
      </c>
      <c r="Z12" s="602" t="e">
        <f>-Input_PL_IncentiveMaxAdj_LenderPaidComp+Input_PL_MaxPriceBase_IN_02PP+Input_PL_Incentive_IN+Input_PL_IncentiveMaxAdj_IN</f>
        <v>#N/A</v>
      </c>
      <c r="AA12" s="603" cm="1">
        <f t="array" ref="AA12">[1]!Input_MaxPriceNet_IN_02PP</f>
        <v>102.75</v>
      </c>
      <c r="AB12" s="518"/>
      <c r="AC12" s="516" t="s">
        <v>1630</v>
      </c>
      <c r="AD12" s="517" t="s">
        <v>113</v>
      </c>
      <c r="AE12" s="588">
        <v>1</v>
      </c>
      <c r="AF12" s="589" t="str">
        <f>IF(Input_ProductClass="Core",Structure!AC12,IFERROR(IF(FIND(AD12,INDEX(Elig_All,MATCH(Input_Product,Elig_Product,0),10))&gt;=1,AC12,""),""))</f>
        <v/>
      </c>
      <c r="AG12" s="590" t="str">
        <f>IF(AF12="","",MAX(AG$4:AG11)+1)</f>
        <v/>
      </c>
      <c r="AH12" s="591" t="str">
        <f t="shared" si="0"/>
        <v>3-Unit</v>
      </c>
      <c r="AI12" s="514" t="s">
        <v>76</v>
      </c>
      <c r="AQ12" s="604">
        <v>60</v>
      </c>
      <c r="AR12" s="605" t="s">
        <v>84</v>
      </c>
      <c r="AS12" s="606">
        <v>3</v>
      </c>
      <c r="AV12" s="1297" t="s">
        <v>1533</v>
      </c>
      <c r="AW12" s="1233" t="s">
        <v>1249</v>
      </c>
      <c r="AX12" s="1234" t="str">
        <f t="shared" si="1"/>
        <v>PT_012.2500000000</v>
      </c>
      <c r="AY12" s="1235">
        <f>[1]!PR_R08</f>
        <v>12.25</v>
      </c>
      <c r="AZ12" s="1236">
        <f>[1]!PR_ARM05_P08+Input_PL_Incentive_PR</f>
        <v>-2</v>
      </c>
      <c r="BA12" s="1236">
        <f>[1]!PR_FRM30_P08+Input_PL_Incentive_PR</f>
        <v>111.125</v>
      </c>
      <c r="BB12" s="1234">
        <f t="shared" si="5"/>
        <v>111.125</v>
      </c>
      <c r="BC12" s="1234" t="str">
        <f t="shared" si="3"/>
        <v>PT_111.1250000000</v>
      </c>
      <c r="BD12" s="1234"/>
      <c r="BE12" s="1298" t="s">
        <v>1809</v>
      </c>
      <c r="BG12" s="595" t="s">
        <v>373</v>
      </c>
      <c r="BH12" s="596" t="str">
        <f>INDEX([1]!List_StateInputAll,MATCH(BG12,[1]!List_StateInput,0),2)</f>
        <v>Non-CA</v>
      </c>
      <c r="BI12" s="597" t="str">
        <f>INDEX([1]!List_StateInputAll,MATCH(BG12,[1]!List_StateInput,0),3)</f>
        <v>Y</v>
      </c>
      <c r="BJ12" s="597" t="str">
        <f>INDEX([1]!List_StateInputAll,MATCH(BG12,[1]!List_StateInput,0),4)</f>
        <v>Y</v>
      </c>
      <c r="BK12" s="597" t="str">
        <f>INDEX([1]!List_StateInputAll,MATCH(BG12,[1]!List_StateInput,0),5)</f>
        <v xml:space="preserve"> </v>
      </c>
      <c r="BL12" s="597" t="str">
        <f>INDEX([1]!List_StateInputAll,MATCH(BG12,[1]!List_StateInput,0),6)</f>
        <v>No Prepay, 1yr Prepay_Standard, 2yr Prepay_Standard, 3yr Prepay_Standard, 1yr Prepay_Soft, 2yr Prepay_Soft, 3yr Prepay_Soft</v>
      </c>
      <c r="BM12" s="597" t="str">
        <f>INDEX([1]!List_StateInputAll,MATCH(BG12,[1]!List_StateInput,0),7)</f>
        <v>Prepay Restriction May Apply</v>
      </c>
      <c r="BN12" s="597" t="str">
        <f>INDEX([1]!List_StateInputAll,MATCH(BG12,[1]!List_StateInput,0),8)</f>
        <v>DistrictofColumbia</v>
      </c>
      <c r="BO12" s="597" t="str">
        <f>INDEX([1]!List_StateInputAll,MATCH(BG12,[1]!List_StateInput,0),9)</f>
        <v>Y</v>
      </c>
      <c r="BP12" s="598" t="str">
        <f>INDEX([1]!List_StateInputAll,MATCH(BG12,[1]!List_StateInput,0),10)</f>
        <v>Y</v>
      </c>
      <c r="BQ12" s="597" t="str">
        <f>INDEX([1]!List_StateInputAll,MATCH(BG12,[1]!List_StateInput,0),11)</f>
        <v>N</v>
      </c>
      <c r="BR12" s="599" t="str">
        <f>INDEX([1]!List_StateInputAll,MATCH(BG12,[1]!List_StateInput,0),12)</f>
        <v>Y</v>
      </c>
      <c r="BS12" s="598" t="str">
        <f>INDEX([1]!List_StateInputAll,MATCH(BG12,[1]!List_StateInput,0),13)</f>
        <v xml:space="preserve"> </v>
      </c>
      <c r="BT12" s="578" t="str">
        <f>IF(OR(Input_Ratesheet_Source="Corr1",Input_Ratesheet_Source="Corr2",Input_Ratesheet_Source="Corr3",Input_Ratesheet_Source="CorrND"),BI12,IF(Input_Ratesheet_Source="Whol",IF(Input_Occupancy="Non Owner Occupied",BP12,BO12),IF(Input_Ratesheet_Source="Retl",IF(Input_Occupancy="Non Owner Occupied",IF(IF(IFERROR(FIND(Input_ProductClass,Structure!BS12),0)&gt;=1,"N","Y")="N","N",BR12),BQ12),"")))</f>
        <v>Y</v>
      </c>
      <c r="BU12" s="598" t="str">
        <f>INDEX([1]!List_StateInputAll,MATCH(BG12,[1]!List_StateInput,0),14)</f>
        <v>Wet</v>
      </c>
      <c r="BV12" s="598">
        <f>INDEX([1]!List_StateInputAll,MATCH(BG12,[1]!List_StateInput,0),15)</f>
        <v>1</v>
      </c>
      <c r="BW12" s="596" t="str">
        <f>INDEX([1]!List_StateInputAll,MATCH(BG12,[1]!List_StateInput,0),16)</f>
        <v>Treasury</v>
      </c>
      <c r="BX12" s="600">
        <f>INDEX([1]!List_StateInputAll,MATCH(BG12,[1]!List_StateInput,0),17)</f>
        <v>6</v>
      </c>
      <c r="BY12" s="600">
        <f>INDEX([1]!List_StateInputAll,MATCH(BG12,[1]!List_StateInput,0),18)</f>
        <v>7</v>
      </c>
      <c r="BZ12" s="600">
        <f>INDEX([1]!List_StateInputAll,MATCH(BG12,[1]!List_StateInput,0),19)</f>
        <v>5</v>
      </c>
      <c r="CA12" s="597">
        <f>INDEX([1]!List_StateInputAll,MATCH(BG12,[1]!List_StateInput,0),20)</f>
        <v>0</v>
      </c>
      <c r="CB12" s="597" t="str">
        <f>INDEX([1]!List_StateInputAll,MATCH(BG12,[1]!List_StateInput,0),21)</f>
        <v>Owner Occupied</v>
      </c>
      <c r="CC12" s="597" t="str">
        <f>INDEX([1]!List_StateInputAll,MATCH(BG12,[1]!List_StateInput,0),22)</f>
        <v>Purchase, Rate-Term, Cash-Out</v>
      </c>
      <c r="CD12" s="598">
        <f>INDEX([1]!List_StateInputAll,MATCH(BG12,[1]!List_StateInput,0),23)</f>
        <v>0</v>
      </c>
      <c r="CE12" s="598" t="str">
        <f>INDEX([1]!List_StateInputAll,MATCH(BG12,[1]!List_StateInput,0),24)</f>
        <v>N</v>
      </c>
    </row>
    <row r="13" spans="2:86" ht="9.6" customHeight="1" x14ac:dyDescent="0.2">
      <c r="B13" s="616"/>
      <c r="C13" s="617" t="s">
        <v>92</v>
      </c>
      <c r="D13" s="628">
        <f>Input_NoteRate</f>
        <v>10</v>
      </c>
      <c r="E13" s="1043">
        <f>_xlfn.AGGREGATE(15,6,Lookup_Price_Output_Rate,1)</f>
        <v>8.125</v>
      </c>
      <c r="F13" s="1041">
        <f>Lookup_Price_Rate_Output_02</f>
        <v>9.875</v>
      </c>
      <c r="G13" s="1077">
        <f>Lookup_Price_PriceGross_Output_02</f>
        <v>106.125</v>
      </c>
      <c r="H13" s="629">
        <f>IF(Error_NoteRate="Y",#N/A,IF(Input_NoteRate&lt;=Find_NoteRate_Min,Find_PriceGross02,Find_PriceGross01-((Find_NoteRate01-Input_NoteRate)/(Find_NoteRate01-Find_NoteRate02))*(Find_PriceGross01-Find_PriceGross02)))</f>
        <v>106.5</v>
      </c>
      <c r="I13" s="630" t="str">
        <f>IF(Input_ProductClass="HELOC","Margin: "&amp;TEXT(Output_MarginNoteRate,"#,###.0000"),"")</f>
        <v/>
      </c>
      <c r="J13" s="1077">
        <f>INDEX(Lookup_Price_Output_All,MATCH(Lookup_Price_Code_Output_02,Lookup_Price_Output_Code,0),6)</f>
        <v>0</v>
      </c>
      <c r="K13" s="630" t="str">
        <f>_xlfn.IFNA("Final: "&amp;TEXT(Output_PriceFinal,"#,###.000")&amp; IF(Input_Ratesheet_Source="Whol"," Target: "&amp;TEXT(Output_Rate_Target,"#,###.000"),"")&amp;" ("&amp;TEXT(Find_NoteRate_Min,"#,###.000")&amp;"-"&amp;TEXT(Find_NoteRate_Max,"#,###.000")&amp;")",IF(Input_Ratesheet_Source="Whol","Target: "&amp;TEXT(Output_Rate_Target,"#,###.000"),"")&amp;" ("&amp;TEXT(Find_NoteRate_Min,"#,###.000")&amp;"-"&amp;TEXT(Find_NoteRate_Max,"#,###.000")&amp;")")</f>
        <v>Final: 101.000 (8.125-13.125)</v>
      </c>
      <c r="L13" s="514" t="s">
        <v>76</v>
      </c>
      <c r="M13" s="1502" t="str">
        <f>Input_Name_ClassH&amp;"NOODSCR"</f>
        <v xml:space="preserve"> NOODSCR</v>
      </c>
      <c r="N13" s="1503" t="str" cm="1">
        <f t="array" ref="N13">Input_Name_Product15</f>
        <v xml:space="preserve"> </v>
      </c>
      <c r="O13" s="1517" t="s">
        <v>374</v>
      </c>
      <c r="P13" s="1517" t="s">
        <v>374</v>
      </c>
      <c r="Q13" s="1527">
        <v>1</v>
      </c>
      <c r="T13" s="1607" t="str">
        <f>Input_Name_Product20</f>
        <v xml:space="preserve"> </v>
      </c>
      <c r="V13" s="515"/>
      <c r="X13" s="601" t="s">
        <v>744</v>
      </c>
      <c r="Y13" s="601" t="s">
        <v>66</v>
      </c>
      <c r="Z13" s="602" t="e">
        <f>-Input_PL_IncentiveMaxAdj_LenderPaidComp+Input_PL_MaxPriceBase_IN_03PP+Input_PL_Incentive_IN+Input_PL_IncentiveMaxAdj_IN</f>
        <v>#N/A</v>
      </c>
      <c r="AA13" s="603" cm="1">
        <f t="array" ref="AA13">[1]!Input_MaxPriceNet_IN_03PP</f>
        <v>103.25</v>
      </c>
      <c r="AB13" s="518"/>
      <c r="AC13" s="516" t="s">
        <v>133</v>
      </c>
      <c r="AD13" s="517" t="s">
        <v>335</v>
      </c>
      <c r="AE13" s="588">
        <v>2</v>
      </c>
      <c r="AF13" s="589" t="str">
        <f>IF(Input_ProductClass="Core",Structure!AC13,IFERROR(IF(FIND(AD13,INDEX(Elig_All,MATCH(Input_Product,Elig_Product,0),10))&gt;=1,AC13,""),""))</f>
        <v>2-Unit</v>
      </c>
      <c r="AG13" s="590">
        <f>IF(AF13="","",MAX(AG$4:AG12)+1)</f>
        <v>7</v>
      </c>
      <c r="AH13" s="591" t="str">
        <f t="shared" si="0"/>
        <v>4-Unit</v>
      </c>
      <c r="AI13" s="514" t="s">
        <v>76</v>
      </c>
      <c r="AQ13" s="604">
        <v>55</v>
      </c>
      <c r="AR13" s="605" t="s">
        <v>15</v>
      </c>
      <c r="AS13" s="606">
        <v>2</v>
      </c>
      <c r="AV13" s="1297" t="s">
        <v>1533</v>
      </c>
      <c r="AW13" s="1233" t="s">
        <v>1249</v>
      </c>
      <c r="AX13" s="1234" t="str">
        <f t="shared" si="1"/>
        <v>PT_012.1250000000</v>
      </c>
      <c r="AY13" s="1235">
        <f>[1]!PR_R09</f>
        <v>12.125</v>
      </c>
      <c r="AZ13" s="1236">
        <f>[1]!PR_ARM05_P09+Input_PL_Incentive_PR</f>
        <v>-2</v>
      </c>
      <c r="BA13" s="1236">
        <f>[1]!PR_FRM30_P09+Input_PL_Incentive_PR</f>
        <v>110.875</v>
      </c>
      <c r="BB13" s="1234">
        <f t="shared" si="5"/>
        <v>110.875</v>
      </c>
      <c r="BC13" s="1234" t="str">
        <f t="shared" si="3"/>
        <v>PT_110.8750000000</v>
      </c>
      <c r="BD13" s="1234"/>
      <c r="BE13" s="1298" t="s">
        <v>1810</v>
      </c>
      <c r="BG13" s="595" t="s">
        <v>374</v>
      </c>
      <c r="BH13" s="596" t="str">
        <f>INDEX([1]!List_StateInputAll,MATCH(BG13,[1]!List_StateInput,0),2)</f>
        <v>Non-CA</v>
      </c>
      <c r="BI13" s="597" t="str">
        <f>INDEX([1]!List_StateInputAll,MATCH(BG13,[1]!List_StateInput,0),3)</f>
        <v>Y</v>
      </c>
      <c r="BJ13" s="597" t="str">
        <f>INDEX([1]!List_StateInputAll,MATCH(BG13,[1]!List_StateInput,0),4)</f>
        <v>Y</v>
      </c>
      <c r="BK13" s="597" t="str">
        <f>INDEX([1]!List_StateInputAll,MATCH(BG13,[1]!List_StateInput,0),5)</f>
        <v xml:space="preserve"> </v>
      </c>
      <c r="BL13" s="597" t="str">
        <f>INDEX([1]!List_StateInputAll,MATCH(BG13,[1]!List_StateInput,0),6)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3" s="627" t="str">
        <f>INDEX([1]!List_StateInputAll,MATCH(BG13,[1]!List_StateInput,0),7)</f>
        <v xml:space="preserve"> </v>
      </c>
      <c r="BN13" s="597" t="str">
        <f>INDEX([1]!List_StateInputAll,MATCH(BG13,[1]!List_StateInput,0),8)</f>
        <v>Delaware</v>
      </c>
      <c r="BO13" s="597" t="str">
        <f>INDEX([1]!List_StateInputAll,MATCH(BG13,[1]!List_StateInput,0),9)</f>
        <v>Y</v>
      </c>
      <c r="BP13" s="598" t="str">
        <f>INDEX([1]!List_StateInputAll,MATCH(BG13,[1]!List_StateInput,0),10)</f>
        <v>Y</v>
      </c>
      <c r="BQ13" s="597" t="str">
        <f>INDEX([1]!List_StateInputAll,MATCH(BG13,[1]!List_StateInput,0),11)</f>
        <v>N</v>
      </c>
      <c r="BR13" s="599" t="str">
        <f>INDEX([1]!List_StateInputAll,MATCH(BG13,[1]!List_StateInput,0),12)</f>
        <v>Y</v>
      </c>
      <c r="BS13" s="598" t="str">
        <f>INDEX([1]!List_StateInputAll,MATCH(BG13,[1]!List_StateInput,0),13)</f>
        <v xml:space="preserve"> </v>
      </c>
      <c r="BT13" s="578" t="str">
        <f>IF(OR(Input_Ratesheet_Source="Corr1",Input_Ratesheet_Source="Corr2",Input_Ratesheet_Source="Corr3",Input_Ratesheet_Source="CorrND"),BI13,IF(Input_Ratesheet_Source="Whol",IF(Input_Occupancy="Non Owner Occupied",BP13,BO13),IF(Input_Ratesheet_Source="Retl",IF(Input_Occupancy="Non Owner Occupied",IF(IF(IFERROR(FIND(Input_ProductClass,Structure!BS13),0)&gt;=1,"N","Y")="N","N",BR13),BQ13),"")))</f>
        <v>Y</v>
      </c>
      <c r="BU13" s="598" t="str">
        <f>INDEX([1]!List_StateInputAll,MATCH(BG13,[1]!List_StateInput,0),14)</f>
        <v>Wet</v>
      </c>
      <c r="BV13" s="598">
        <f>INDEX([1]!List_StateInputAll,MATCH(BG13,[1]!List_StateInput,0),15)</f>
        <v>1</v>
      </c>
      <c r="BW13" s="596" t="str">
        <f>INDEX([1]!List_StateInputAll,MATCH(BG13,[1]!List_StateInput,0),16)</f>
        <v>APOR</v>
      </c>
      <c r="BX13" s="600">
        <f>INDEX([1]!List_StateInputAll,MATCH(BG13,[1]!List_StateInput,0),17)</f>
        <v>6.5</v>
      </c>
      <c r="BY13" s="600">
        <f>INDEX([1]!List_StateInputAll,MATCH(BG13,[1]!List_StateInput,0),18)</f>
        <v>8.5</v>
      </c>
      <c r="BZ13" s="600">
        <f>INDEX([1]!List_StateInputAll,MATCH(BG13,[1]!List_StateInput,0),19)</f>
        <v>5</v>
      </c>
      <c r="CA13" s="597">
        <f>INDEX([1]!List_StateInputAll,MATCH(BG13,[1]!List_StateInput,0),20)</f>
        <v>0</v>
      </c>
      <c r="CB13" s="597" t="str">
        <f>INDEX([1]!List_StateInputAll,MATCH(BG13,[1]!List_StateInput,0),21)</f>
        <v>Owner Occupied</v>
      </c>
      <c r="CC13" s="597" t="str">
        <f>INDEX([1]!List_StateInputAll,MATCH(BG13,[1]!List_StateInput,0),22)</f>
        <v>Purchase, Rate-Term, Cash-Out</v>
      </c>
      <c r="CD13" s="598">
        <f>INDEX([1]!List_StateInputAll,MATCH(BG13,[1]!List_StateInput,0),23)</f>
        <v>0</v>
      </c>
      <c r="CE13" s="598" t="str">
        <f>INDEX([1]!List_StateInputAll,MATCH(BG13,[1]!List_StateInput,0),24)</f>
        <v>Y</v>
      </c>
    </row>
    <row r="14" spans="2:86" ht="9.6" customHeight="1" x14ac:dyDescent="0.2">
      <c r="B14" s="616"/>
      <c r="C14" s="617" t="s">
        <v>39</v>
      </c>
      <c r="D14" s="641" t="str">
        <f>Input_Occupancy</f>
        <v>Owner Occupied</v>
      </c>
      <c r="E14" s="642"/>
      <c r="F14" s="643"/>
      <c r="G14" s="644"/>
      <c r="H14" s="645">
        <f>INDEX(Lookup_LLPAAll,MATCH(INDEX(List_ProductAll,MATCH(Input_Product,List_Product,0),2)&amp;"_"&amp;Input_Occupancy,Lookup_LLPA,0),INDEX(List_LTV_All,MATCH(Input_LTV,List_LTV,-1),3))</f>
        <v>0</v>
      </c>
      <c r="I14" s="646" t="str">
        <f>IF(TRIM(Elig_OverlayMessage_All)&lt;&gt;"","Overlay: "&amp;Elig_OverlayMessage_All,"")</f>
        <v/>
      </c>
      <c r="J14" s="621" t="s">
        <v>76</v>
      </c>
      <c r="K14" s="647" t="str">
        <f>INDEX(List_ProductAll,MATCH(Input_Product,List_Product,0),2)&amp;"_"&amp;Input_Occupancy</f>
        <v>PT_Owner Occupied</v>
      </c>
      <c r="L14" s="514" t="s">
        <v>76</v>
      </c>
      <c r="M14" s="1507" t="str" cm="1">
        <f t="array" ref="M14">[1]!Whol_Name_Product16&amp;"OO"</f>
        <v>Core PrimeOO</v>
      </c>
      <c r="N14" s="1505" t="str">
        <f>Input_Name_Product16&amp;" OO"</f>
        <v xml:space="preserve">  OO</v>
      </c>
      <c r="O14" s="1528" t="s">
        <v>2735</v>
      </c>
      <c r="P14" s="1528" t="s">
        <v>2735</v>
      </c>
      <c r="Q14" s="1529">
        <v>1</v>
      </c>
      <c r="T14" s="2138"/>
      <c r="V14" s="515"/>
      <c r="X14" s="601" t="s">
        <v>743</v>
      </c>
      <c r="Y14" s="601" t="s">
        <v>165</v>
      </c>
      <c r="Z14" s="602" t="e">
        <f>-Input_PL_IncentiveMaxAdj_LenderPaidComp+Input_PL_MaxPriceBase_IN_04PP+Input_PL_Incentive_IN+Input_PL_IncentiveMaxAdj_IN</f>
        <v>#N/A</v>
      </c>
      <c r="AA14" s="603" cm="1">
        <f t="array" ref="AA14">[1]!Input_MaxPriceNet_IN_04PP</f>
        <v>103.5</v>
      </c>
      <c r="AB14" s="518"/>
      <c r="AC14" s="516" t="s">
        <v>134</v>
      </c>
      <c r="AD14" s="517" t="s">
        <v>336</v>
      </c>
      <c r="AE14" s="588">
        <v>3</v>
      </c>
      <c r="AF14" s="589" t="str">
        <f>IF(Input_ProductClass="Core",Structure!AC14,IFERROR(IF(FIND(AD14,INDEX(Elig_All,MATCH(Input_Product,Elig_Product,0),10))&gt;=1,AC14,""),""))</f>
        <v>3-Unit</v>
      </c>
      <c r="AG14" s="590">
        <f>IF(AF14="","",MAX(AG$4:AG13)+1)</f>
        <v>8</v>
      </c>
      <c r="AH14" s="591" t="str">
        <f t="shared" si="0"/>
        <v>Townhouse</v>
      </c>
      <c r="AI14" s="514" t="s">
        <v>76</v>
      </c>
      <c r="AQ14" s="638">
        <v>50</v>
      </c>
      <c r="AR14" s="639" t="s">
        <v>85</v>
      </c>
      <c r="AS14" s="640">
        <v>1</v>
      </c>
      <c r="AV14" s="1297" t="s">
        <v>1533</v>
      </c>
      <c r="AW14" s="1233" t="s">
        <v>1249</v>
      </c>
      <c r="AX14" s="1234" t="str">
        <f t="shared" si="1"/>
        <v>PT_012.0000000000</v>
      </c>
      <c r="AY14" s="1235">
        <f>[1]!PR_R10</f>
        <v>12</v>
      </c>
      <c r="AZ14" s="1236">
        <f>[1]!PR_ARM05_P10+Input_PL_Incentive_PR</f>
        <v>-2</v>
      </c>
      <c r="BA14" s="1236">
        <f>[1]!PR_FRM30_P10+Input_PL_Incentive_PR</f>
        <v>110.625</v>
      </c>
      <c r="BB14" s="1234">
        <f t="shared" si="5"/>
        <v>110.625</v>
      </c>
      <c r="BC14" s="1234" t="str">
        <f t="shared" si="3"/>
        <v>PT_110.6250000000</v>
      </c>
      <c r="BD14" s="1234"/>
      <c r="BE14" s="1298" t="s">
        <v>1811</v>
      </c>
      <c r="BG14" s="595" t="s">
        <v>375</v>
      </c>
      <c r="BH14" s="1805" t="str">
        <f>IFERROR(IF(FIND("Core",Input_Product),"FL","Non-CA"),"Non-CA")</f>
        <v>Non-CA</v>
      </c>
      <c r="BI14" s="597" t="str">
        <f>INDEX([1]!List_StateInputAll,MATCH(BG14,[1]!List_StateInput,0),3)</f>
        <v>Y</v>
      </c>
      <c r="BJ14" s="597" t="str">
        <f>INDEX([1]!List_StateInputAll,MATCH(BG14,[1]!List_StateInput,0),4)</f>
        <v>Y</v>
      </c>
      <c r="BK14" s="597" t="str">
        <f>INDEX([1]!List_StateInputAll,MATCH(BG14,[1]!List_StateInput,0),5)</f>
        <v xml:space="preserve"> </v>
      </c>
      <c r="BL14" s="597" t="str">
        <f>INDEX([1]!List_StateInputAll,MATCH(BG14,[1]!List_StateInput,0),6)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4" s="597" t="str">
        <f>INDEX([1]!List_StateInputAll,MATCH(BG14,[1]!List_StateInput,0),7)</f>
        <v xml:space="preserve"> </v>
      </c>
      <c r="BN14" s="597" t="str">
        <f>INDEX([1]!List_StateInputAll,MATCH(BG14,[1]!List_StateInput,0),8)</f>
        <v>Florida</v>
      </c>
      <c r="BO14" s="597" t="str">
        <f>INDEX([1]!List_StateInputAll,MATCH(BG14,[1]!List_StateInput,0),9)</f>
        <v>Y</v>
      </c>
      <c r="BP14" s="598" t="str">
        <f>INDEX([1]!List_StateInputAll,MATCH(BG14,[1]!List_StateInput,0),10)</f>
        <v>Y</v>
      </c>
      <c r="BQ14" s="597" t="str">
        <f>INDEX([1]!List_StateInputAll,MATCH(BG14,[1]!List_StateInput,0),11)</f>
        <v>N</v>
      </c>
      <c r="BR14" s="599" t="str">
        <f>INDEX([1]!List_StateInputAll,MATCH(BG14,[1]!List_StateInput,0),12)</f>
        <v>Y</v>
      </c>
      <c r="BS14" s="598" t="str">
        <f>INDEX([1]!List_StateInputAll,MATCH(BG14,[1]!List_StateInput,0),13)</f>
        <v>Multi</v>
      </c>
      <c r="BT14" s="578" t="str">
        <f>IF(OR(Input_Ratesheet_Source="Corr1",Input_Ratesheet_Source="Corr2",Input_Ratesheet_Source="Corr3",Input_Ratesheet_Source="CorrND"),BI14,IF(Input_Ratesheet_Source="Whol",IF(Input_Occupancy="Non Owner Occupied",BP14,BO14),IF(Input_Ratesheet_Source="Retl",IF(Input_Occupancy="Non Owner Occupied",IF(IF(IFERROR(FIND(Input_ProductClass,Structure!BS14),0)&gt;=1,"N","Y")="N","N",BR14),BQ14),"")))</f>
        <v>Y</v>
      </c>
      <c r="BU14" s="598" t="str">
        <f>INDEX([1]!List_StateInputAll,MATCH(BG14,[1]!List_StateInput,0),14)</f>
        <v>Wet</v>
      </c>
      <c r="BV14" s="598">
        <f>INDEX([1]!List_StateInputAll,MATCH(BG14,[1]!List_StateInput,0),15)</f>
        <v>1</v>
      </c>
      <c r="BW14" s="596" t="str">
        <f>INDEX([1]!List_StateInputAll,MATCH(BG14,[1]!List_StateInput,0),16)</f>
        <v>APOR</v>
      </c>
      <c r="BX14" s="600">
        <f>INDEX([1]!List_StateInputAll,MATCH(BG14,[1]!List_StateInput,0),17)</f>
        <v>6.5</v>
      </c>
      <c r="BY14" s="600">
        <f>INDEX([1]!List_StateInputAll,MATCH(BG14,[1]!List_StateInput,0),18)</f>
        <v>8.5</v>
      </c>
      <c r="BZ14" s="600">
        <f>INDEX([1]!List_StateInputAll,MATCH(BG14,[1]!List_StateInput,0),19)</f>
        <v>5</v>
      </c>
      <c r="CA14" s="597">
        <f>INDEX([1]!List_StateInputAll,MATCH(BG14,[1]!List_StateInput,0),20)</f>
        <v>0</v>
      </c>
      <c r="CB14" s="597" t="str">
        <f>INDEX([1]!List_StateInputAll,MATCH(BG14,[1]!List_StateInput,0),21)</f>
        <v>Owner Occupied</v>
      </c>
      <c r="CC14" s="597" t="str">
        <f>INDEX([1]!List_StateInputAll,MATCH(BG14,[1]!List_StateInput,0),22)</f>
        <v>Purchase, Rate-Term, Cash-Out</v>
      </c>
      <c r="CD14" s="598">
        <f>INDEX([1]!List_StateInputAll,MATCH(BG14,[1]!List_StateInput,0),23)</f>
        <v>0</v>
      </c>
      <c r="CE14" s="598" t="str">
        <f>INDEX([1]!List_StateInputAll,MATCH(BG14,[1]!List_StateInput,0),24)</f>
        <v>Y</v>
      </c>
    </row>
    <row r="15" spans="2:86" ht="9.6" customHeight="1" x14ac:dyDescent="0.2">
      <c r="B15" s="616"/>
      <c r="C15" s="617" t="s">
        <v>25</v>
      </c>
      <c r="D15" s="641">
        <f>Input_CreditScore</f>
        <v>740</v>
      </c>
      <c r="E15" s="653">
        <f>Elig_OverlayLimit_CredScore_Min</f>
        <v>0</v>
      </c>
      <c r="F15" s="643"/>
      <c r="G15" s="644"/>
      <c r="H15" s="654"/>
      <c r="I15" s="655" t="str">
        <f>Elig_OverlayMsg_CredScore&amp;IF(Result_Msg2_LLPA_CreditScore&gt;0,"Min CS "&amp;Result_Msg2_LLPA_CreditScore,"")</f>
        <v/>
      </c>
      <c r="J15" s="621" t="s">
        <v>76</v>
      </c>
      <c r="K15" s="631"/>
      <c r="M15" s="1502" t="str" cm="1">
        <f t="array" ref="M15">[1]!Whol_Name_Product17&amp;"OO"</f>
        <v>Core FlexOO</v>
      </c>
      <c r="N15" s="1503" t="str">
        <f>Input_Name_Product17&amp;" OO"</f>
        <v xml:space="preserve">  OO</v>
      </c>
      <c r="O15" s="1600" t="s">
        <v>2736</v>
      </c>
      <c r="P15" s="1600" t="s">
        <v>2736</v>
      </c>
      <c r="Q15" s="1601">
        <v>1</v>
      </c>
      <c r="V15" s="515"/>
      <c r="X15" s="609" t="s">
        <v>742</v>
      </c>
      <c r="Y15" s="609" t="s">
        <v>166</v>
      </c>
      <c r="Z15" s="610" t="e">
        <f>-Input_PL_IncentiveMaxAdj_LenderPaidComp+Input_PL_MaxPriceBase_IN_05PP+Input_PL_Incentive_IN+Input_PL_IncentiveMaxAdj_IN</f>
        <v>#N/A</v>
      </c>
      <c r="AA15" s="611" cm="1">
        <f t="array" ref="AA15">[1]!Input_MaxPriceNet_IN_05PP</f>
        <v>104</v>
      </c>
      <c r="AB15" s="518"/>
      <c r="AC15" s="516" t="s">
        <v>135</v>
      </c>
      <c r="AD15" s="517" t="s">
        <v>337</v>
      </c>
      <c r="AE15" s="588">
        <v>4</v>
      </c>
      <c r="AF15" s="589" t="str">
        <f>IF(Input_ProductClass="Core",Structure!AC15,IFERROR(IF(FIND(AD15,INDEX(Elig_All,MATCH(Input_Product,Elig_Product,0),10))&gt;=1,AC15,""),""))</f>
        <v>4-Unit</v>
      </c>
      <c r="AG15" s="590">
        <f>IF(AF15="","",MAX(AG$4:AG14)+1)</f>
        <v>9</v>
      </c>
      <c r="AH15" s="591" t="str">
        <f t="shared" si="0"/>
        <v>Rowhouse</v>
      </c>
      <c r="AI15" s="514" t="s">
        <v>76</v>
      </c>
      <c r="AV15" s="1297" t="s">
        <v>1533</v>
      </c>
      <c r="AW15" s="1233" t="s">
        <v>1249</v>
      </c>
      <c r="AX15" s="1234" t="str">
        <f t="shared" si="1"/>
        <v>PT_011.8750000000</v>
      </c>
      <c r="AY15" s="1235">
        <f>[1]!PR_R11</f>
        <v>11.875</v>
      </c>
      <c r="AZ15" s="1236">
        <f>[1]!PR_ARM05_P11+Input_PL_Incentive_PR</f>
        <v>-2</v>
      </c>
      <c r="BA15" s="1236">
        <f>[1]!PR_FRM30_P11+Input_PL_Incentive_PR</f>
        <v>110.375</v>
      </c>
      <c r="BB15" s="1234">
        <f t="shared" si="5"/>
        <v>110.375</v>
      </c>
      <c r="BC15" s="1234" t="str">
        <f t="shared" si="3"/>
        <v>PT_110.3750000000</v>
      </c>
      <c r="BD15" s="1234"/>
      <c r="BE15" s="1298" t="s">
        <v>1812</v>
      </c>
      <c r="BG15" s="595" t="s">
        <v>376</v>
      </c>
      <c r="BH15" s="596" t="str">
        <f>INDEX([1]!List_StateInputAll,MATCH(BG15,[1]!List_StateInput,0),2)</f>
        <v>GA</v>
      </c>
      <c r="BI15" s="597" t="str">
        <f>INDEX([1]!List_StateInputAll,MATCH(BG15,[1]!List_StateInput,0),3)</f>
        <v>Y</v>
      </c>
      <c r="BJ15" s="597" t="str">
        <f>INDEX([1]!List_StateInputAll,MATCH(BG15,[1]!List_StateInput,0),4)</f>
        <v>Y</v>
      </c>
      <c r="BK15" s="597" t="str">
        <f>INDEX([1]!List_StateInputAll,MATCH(BG15,[1]!List_StateInput,0),5)</f>
        <v xml:space="preserve"> </v>
      </c>
      <c r="BL15" s="597" t="str">
        <f>INDEX([1]!List_StateInputAll,MATCH(BG15,[1]!List_StateInput,0),6)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5" s="597" t="str">
        <f>INDEX([1]!List_StateInputAll,MATCH(BG15,[1]!List_StateInput,0),7)</f>
        <v xml:space="preserve"> </v>
      </c>
      <c r="BN15" s="597" t="str">
        <f>INDEX([1]!List_StateInputAll,MATCH(BG15,[1]!List_StateInput,0),8)</f>
        <v>Georgia</v>
      </c>
      <c r="BO15" s="597" t="str">
        <f>INDEX([1]!List_StateInputAll,MATCH(BG15,[1]!List_StateInput,0),9)</f>
        <v>Y</v>
      </c>
      <c r="BP15" s="598" t="str">
        <f>INDEX([1]!List_StateInputAll,MATCH(BG15,[1]!List_StateInput,0),10)</f>
        <v>Y</v>
      </c>
      <c r="BQ15" s="597" t="str">
        <f>INDEX([1]!List_StateInputAll,MATCH(BG15,[1]!List_StateInput,0),11)</f>
        <v>N</v>
      </c>
      <c r="BR15" s="599" t="str">
        <f>INDEX([1]!List_StateInputAll,MATCH(BG15,[1]!List_StateInput,0),12)</f>
        <v>Y</v>
      </c>
      <c r="BS15" s="598" t="str">
        <f>INDEX([1]!List_StateInputAll,MATCH(BG15,[1]!List_StateInput,0),13)</f>
        <v xml:space="preserve"> </v>
      </c>
      <c r="BT15" s="578" t="str">
        <f>IF(OR(Input_Ratesheet_Source="Corr1",Input_Ratesheet_Source="Corr2",Input_Ratesheet_Source="Corr3",Input_Ratesheet_Source="CorrND"),BI15,IF(Input_Ratesheet_Source="Whol",IF(Input_Occupancy="Non Owner Occupied",BP15,BO15),IF(Input_Ratesheet_Source="Retl",IF(Input_Occupancy="Non Owner Occupied",IF(IF(IFERROR(FIND(Input_ProductClass,Structure!BS15),0)&gt;=1,"N","Y")="N","N",BR15),BQ15),"")))</f>
        <v>Y</v>
      </c>
      <c r="BU15" s="598" t="str">
        <f>INDEX([1]!List_StateInputAll,MATCH(BG15,[1]!List_StateInput,0),14)</f>
        <v>Wet</v>
      </c>
      <c r="BV15" s="598">
        <f>INDEX([1]!List_StateInputAll,MATCH(BG15,[1]!List_StateInput,0),15)</f>
        <v>1</v>
      </c>
      <c r="BW15" s="596" t="str">
        <f>INDEX([1]!List_StateInputAll,MATCH(BG15,[1]!List_StateInput,0),16)</f>
        <v>APOR</v>
      </c>
      <c r="BX15" s="600">
        <f>INDEX([1]!List_StateInputAll,MATCH(BG15,[1]!List_StateInput,0),17)</f>
        <v>6.5</v>
      </c>
      <c r="BY15" s="600">
        <f>INDEX([1]!List_StateInputAll,MATCH(BG15,[1]!List_StateInput,0),18)</f>
        <v>8.5</v>
      </c>
      <c r="BZ15" s="600">
        <f>INDEX([1]!List_StateInputAll,MATCH(BG15,[1]!List_StateInput,0),19)</f>
        <v>5</v>
      </c>
      <c r="CA15" s="597" t="str">
        <f>INDEX([1]!List_StateInputAll,MATCH(BG15,[1]!List_StateInput,0),20)</f>
        <v>Agency</v>
      </c>
      <c r="CB15" s="597" t="str">
        <f>INDEX([1]!List_StateInputAll,MATCH(BG15,[1]!List_StateInput,0),21)</f>
        <v>Owner Occupied</v>
      </c>
      <c r="CC15" s="597" t="str">
        <f>INDEX([1]!List_StateInputAll,MATCH(BG15,[1]!List_StateInput,0),22)</f>
        <v>Purchase, Rate-Term, Cash-Out</v>
      </c>
      <c r="CD15" s="598">
        <f>INDEX([1]!List_StateInputAll,MATCH(BG15,[1]!List_StateInput,0),23)</f>
        <v>0</v>
      </c>
      <c r="CE15" s="598" t="str">
        <f>INDEX([1]!List_StateInputAll,MATCH(BG15,[1]!List_StateInput,0),24)</f>
        <v>N</v>
      </c>
    </row>
    <row r="16" spans="2:86" ht="9.6" customHeight="1" x14ac:dyDescent="0.2">
      <c r="B16" s="616"/>
      <c r="C16" s="617" t="s">
        <v>24</v>
      </c>
      <c r="D16" s="641">
        <f>Input_LTV</f>
        <v>65</v>
      </c>
      <c r="E16" s="653">
        <f>Elig_OverlayLimit_LTV_Max</f>
        <v>90</v>
      </c>
      <c r="F16" s="643"/>
      <c r="G16" s="644"/>
      <c r="H16" s="659"/>
      <c r="I16" s="655" t="str">
        <f>Elig_OverlayMsg_LTV&amp;IF(Result_Msg2_LLPA_LTV&gt;0,"Max CLTV "&amp;Elig_FinalLimit_LTV_Max,"")&amp;IF(Input_LTV&lt;=0,"Incorrect CLTV","")</f>
        <v/>
      </c>
      <c r="J16" s="621" t="s">
        <v>76</v>
      </c>
      <c r="K16" s="647">
        <f>INDEX(List_LTV_All,MATCH(Input_LTV,List_LTV,-1),3)</f>
        <v>4</v>
      </c>
      <c r="M16" s="1598" t="str" cm="1">
        <f t="array" ref="M16">[1]!Whol_Name_Product16&amp;"NOO"</f>
        <v>Core PrimeNOO</v>
      </c>
      <c r="N16" s="1599" t="str">
        <f>Input_Name_Product16&amp;" NOO"</f>
        <v xml:space="preserve">  NOO</v>
      </c>
      <c r="O16" s="1528" t="s">
        <v>3017</v>
      </c>
      <c r="P16" s="1528" t="s">
        <v>3017</v>
      </c>
      <c r="Q16" s="1529">
        <v>1</v>
      </c>
      <c r="V16" s="515"/>
      <c r="X16" s="601" t="s">
        <v>751</v>
      </c>
      <c r="Y16" s="601" t="s">
        <v>68</v>
      </c>
      <c r="Z16" s="602" t="e">
        <f>-Input_PL_IncentiveMaxAdj_LenderPaidComp+Input_PL_MaxPriceBase_IN_01PP+Input_PL_Incentive_IN+Input_PL_IncentiveMaxAdj_IN</f>
        <v>#N/A</v>
      </c>
      <c r="AA16" s="603" cm="1">
        <f t="array" ref="AA16">[1]!Input_MaxPriceNet_IN_01PP</f>
        <v>102.5</v>
      </c>
      <c r="AB16" s="518"/>
      <c r="AC16" s="516" t="s">
        <v>153</v>
      </c>
      <c r="AD16" s="517" t="s">
        <v>340</v>
      </c>
      <c r="AE16" s="588">
        <v>1</v>
      </c>
      <c r="AF16" s="589" t="str">
        <f>IF(Input_ProductClass="Core",Structure!AC16,IFERROR(IF(FIND(AD16,INDEX(Elig_All,MATCH(Input_Product,Elig_Product,0),10))&gt;=1,AC16,""),""))</f>
        <v>Townhouse</v>
      </c>
      <c r="AG16" s="590">
        <f>IF(AF16="","",MAX(AG$4:AG15)+1)</f>
        <v>10</v>
      </c>
      <c r="AH16" s="591" t="str">
        <f t="shared" si="0"/>
        <v>Modular</v>
      </c>
      <c r="AI16" s="514" t="s">
        <v>76</v>
      </c>
      <c r="AQ16" s="657" t="s">
        <v>8</v>
      </c>
      <c r="AR16" s="658"/>
      <c r="AV16" s="1297" t="s">
        <v>1533</v>
      </c>
      <c r="AW16" s="1233" t="s">
        <v>1249</v>
      </c>
      <c r="AX16" s="1234" t="str">
        <f t="shared" si="1"/>
        <v>PT_011.7500000000</v>
      </c>
      <c r="AY16" s="1235">
        <f>[1]!PR_R12</f>
        <v>11.75</v>
      </c>
      <c r="AZ16" s="1236">
        <f>[1]!PR_ARM05_P12+Input_PL_Incentive_PR</f>
        <v>-2</v>
      </c>
      <c r="BA16" s="1236">
        <f>[1]!PR_FRM30_P12+Input_PL_Incentive_PR</f>
        <v>110.125</v>
      </c>
      <c r="BB16" s="1234">
        <f t="shared" si="5"/>
        <v>110.125</v>
      </c>
      <c r="BC16" s="1234" t="str">
        <f t="shared" si="3"/>
        <v>PT_110.1250000000</v>
      </c>
      <c r="BD16" s="1234"/>
      <c r="BE16" s="1298" t="s">
        <v>1813</v>
      </c>
      <c r="BG16" s="595" t="s">
        <v>377</v>
      </c>
      <c r="BH16" s="596" t="str">
        <f>INDEX([1]!List_StateInputAll,MATCH(BG16,[1]!List_StateInput,0),2)</f>
        <v>Non-CA</v>
      </c>
      <c r="BI16" s="597" t="str">
        <f>INDEX([1]!List_StateInputAll,MATCH(BG16,[1]!List_StateInput,0),3)</f>
        <v>Y</v>
      </c>
      <c r="BJ16" s="597" t="str">
        <f>INDEX([1]!List_StateInputAll,MATCH(BG16,[1]!List_StateInput,0),4)</f>
        <v>Y</v>
      </c>
      <c r="BK16" s="597" t="str">
        <f>INDEX([1]!List_StateInputAll,MATCH(BG16,[1]!List_StateInput,0),5)</f>
        <v xml:space="preserve"> </v>
      </c>
      <c r="BL16" s="597" t="str">
        <f>INDEX([1]!List_StateInputAll,MATCH(BG16,[1]!List_StateInput,0),6)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6" s="597" t="str">
        <f>INDEX([1]!List_StateInputAll,MATCH(BG16,[1]!List_StateInput,0),7)</f>
        <v xml:space="preserve"> </v>
      </c>
      <c r="BN16" s="597" t="str">
        <f>INDEX([1]!List_StateInputAll,MATCH(BG16,[1]!List_StateInput,0),8)</f>
        <v>Hawaii</v>
      </c>
      <c r="BO16" s="597" t="str">
        <f>INDEX([1]!List_StateInputAll,MATCH(BG16,[1]!List_StateInput,0),9)</f>
        <v>N</v>
      </c>
      <c r="BP16" s="598" t="str">
        <f>INDEX([1]!List_StateInputAll,MATCH(BG16,[1]!List_StateInput,0),10)</f>
        <v>Y</v>
      </c>
      <c r="BQ16" s="597" t="str">
        <f>INDEX([1]!List_StateInputAll,MATCH(BG16,[1]!List_StateInput,0),11)</f>
        <v>N</v>
      </c>
      <c r="BR16" s="599" t="str">
        <f>INDEX([1]!List_StateInputAll,MATCH(BG16,[1]!List_StateInput,0),12)</f>
        <v>Y</v>
      </c>
      <c r="BS16" s="598" t="str">
        <f>INDEX([1]!List_StateInputAll,MATCH(BG16,[1]!List_StateInput,0),13)</f>
        <v xml:space="preserve"> </v>
      </c>
      <c r="BT16" s="578" t="str">
        <f>IF(OR(Input_Ratesheet_Source="Corr1",Input_Ratesheet_Source="Corr2",Input_Ratesheet_Source="Corr3",Input_Ratesheet_Source="CorrND"),BI16,IF(Input_Ratesheet_Source="Whol",IF(Input_Occupancy="Non Owner Occupied",BP16,BO16),IF(Input_Ratesheet_Source="Retl",IF(Input_Occupancy="Non Owner Occupied",IF(IF(IFERROR(FIND(Input_ProductClass,Structure!BS16),0)&gt;=1,"N","Y")="N","N",BR16),BQ16),"")))</f>
        <v>Y</v>
      </c>
      <c r="BU16" s="598" t="str">
        <f>INDEX([1]!List_StateInputAll,MATCH(BG16,[1]!List_StateInput,0),14)</f>
        <v>Dry</v>
      </c>
      <c r="BV16" s="598">
        <f>INDEX([1]!List_StateInputAll,MATCH(BG16,[1]!List_StateInput,0),15)</f>
        <v>2</v>
      </c>
      <c r="BW16" s="596" t="str">
        <f>INDEX([1]!List_StateInputAll,MATCH(BG16,[1]!List_StateInput,0),16)</f>
        <v>APOR</v>
      </c>
      <c r="BX16" s="600">
        <f>INDEX([1]!List_StateInputAll,MATCH(BG16,[1]!List_StateInput,0),17)</f>
        <v>6.5</v>
      </c>
      <c r="BY16" s="600">
        <f>INDEX([1]!List_StateInputAll,MATCH(BG16,[1]!List_StateInput,0),18)</f>
        <v>8.5</v>
      </c>
      <c r="BZ16" s="600">
        <f>INDEX([1]!List_StateInputAll,MATCH(BG16,[1]!List_StateInput,0),19)</f>
        <v>5</v>
      </c>
      <c r="CA16" s="597">
        <f>INDEX([1]!List_StateInputAll,MATCH(BG16,[1]!List_StateInput,0),20)</f>
        <v>0</v>
      </c>
      <c r="CB16" s="597" t="str">
        <f>INDEX([1]!List_StateInputAll,MATCH(BG16,[1]!List_StateInput,0),21)</f>
        <v>Owner Occupied</v>
      </c>
      <c r="CC16" s="597" t="str">
        <f>INDEX([1]!List_StateInputAll,MATCH(BG16,[1]!List_StateInput,0),22)</f>
        <v>Purchase, Rate-Term, Cash-Out</v>
      </c>
      <c r="CD16" s="598">
        <f>INDEX([1]!List_StateInputAll,MATCH(BG16,[1]!List_StateInput,0),23)</f>
        <v>0</v>
      </c>
      <c r="CE16" s="598" t="str">
        <f>INDEX([1]!List_StateInputAll,MATCH(BG16,[1]!List_StateInput,0),24)</f>
        <v>Y</v>
      </c>
    </row>
    <row r="17" spans="2:83" ht="9.6" customHeight="1" x14ac:dyDescent="0.2">
      <c r="B17" s="616"/>
      <c r="C17" s="664" t="s">
        <v>8</v>
      </c>
      <c r="D17" s="641">
        <f>Input_LoanAmt</f>
        <v>250000</v>
      </c>
      <c r="E17" s="653">
        <f>Elig_OverlayLimit_LoanAmt_Max</f>
        <v>0</v>
      </c>
      <c r="F17" s="643"/>
      <c r="G17" s="644"/>
      <c r="H17" s="645" cm="1">
        <f t="array" ref="H17">INDEX(Lookup_LLPAAll,MATCH(INDEX(List_ProductAll,MATCH(Input_Product,List_Product,0),2)&amp;"_"&amp;INDEX(List_LoanAmt_All,MATCH(Input_LoanAmt,List_LoanAmt,1),2),Lookup_LLPA,0),INDEX(List_LTV_All,MATCH(Input_LTV,List_LTV,-1),3))</f>
        <v>0</v>
      </c>
      <c r="I17" s="655" t="str">
        <f>Elig_OverlayMsg_LoanAmt</f>
        <v xml:space="preserve"> </v>
      </c>
      <c r="J17" s="621" t="s">
        <v>76</v>
      </c>
      <c r="K17" s="647" t="str">
        <f>INDEX(List_ProductAll,MATCH(Input_Product,List_Product,0),2)&amp;"_"&amp;INDEX(List_LoanAmt_All,MATCH(Input_LoanAmt,List_LoanAmt,1),2)</f>
        <v>PT_200,001-300k</v>
      </c>
      <c r="L17" s="514" t="s">
        <v>76</v>
      </c>
      <c r="M17" s="1500" t="str" cm="1">
        <f t="array" ref="M17">[1]!Whol_Name_Product17&amp;"NOO"</f>
        <v>Core FlexNOO</v>
      </c>
      <c r="N17" s="1501" t="str">
        <f>Input_Name_Product17&amp;" NOO"</f>
        <v xml:space="preserve">  NOO</v>
      </c>
      <c r="O17" s="1530" t="s">
        <v>3021</v>
      </c>
      <c r="P17" s="1530" t="s">
        <v>3021</v>
      </c>
      <c r="Q17" s="1531">
        <v>1</v>
      </c>
      <c r="V17" s="515"/>
      <c r="X17" s="601" t="s">
        <v>750</v>
      </c>
      <c r="Y17" s="601" t="s">
        <v>67</v>
      </c>
      <c r="Z17" s="602" t="e">
        <f>-Input_PL_IncentiveMaxAdj_LenderPaidComp+Input_PL_MaxPriceBase_IN_02PP+Input_PL_Incentive_IN+Input_PL_IncentiveMaxAdj_IN</f>
        <v>#N/A</v>
      </c>
      <c r="AA17" s="603" cm="1">
        <f t="array" ref="AA17">[1]!Input_MaxPriceNet_IN_02PP</f>
        <v>102.75</v>
      </c>
      <c r="AB17" s="518"/>
      <c r="AC17" s="516" t="s">
        <v>154</v>
      </c>
      <c r="AD17" s="517" t="s">
        <v>341</v>
      </c>
      <c r="AE17" s="588">
        <v>1</v>
      </c>
      <c r="AF17" s="589" t="str">
        <f>IF(Input_ProductClass="Core",Structure!AC17,IFERROR(IF(FIND(AD17,INDEX(Elig_All,MATCH(Input_Product,Elig_Product,0),10))&gt;=1,AC17,""),""))</f>
        <v>Rowhouse</v>
      </c>
      <c r="AG17" s="590">
        <f>IF(AF17="","",MAX(AG$4:AG16)+1)</f>
        <v>11</v>
      </c>
      <c r="AH17" s="591" t="str">
        <f t="shared" si="0"/>
        <v/>
      </c>
      <c r="AI17" s="514" t="s">
        <v>76</v>
      </c>
      <c r="AQ17" s="662">
        <v>0</v>
      </c>
      <c r="AR17" s="663" t="s">
        <v>2119</v>
      </c>
      <c r="AV17" s="1297" t="s">
        <v>1533</v>
      </c>
      <c r="AW17" s="1233" t="s">
        <v>1249</v>
      </c>
      <c r="AX17" s="1234" t="str">
        <f t="shared" si="1"/>
        <v>PT_011.6250000000</v>
      </c>
      <c r="AY17" s="1235">
        <f>[1]!PR_R13</f>
        <v>11.625</v>
      </c>
      <c r="AZ17" s="1236">
        <f>[1]!PR_ARM05_P13+Input_PL_Incentive_PR</f>
        <v>-2</v>
      </c>
      <c r="BA17" s="1236">
        <f>[1]!PR_FRM30_P13+Input_PL_Incentive_PR</f>
        <v>109.875</v>
      </c>
      <c r="BB17" s="1234">
        <f t="shared" si="5"/>
        <v>109.875</v>
      </c>
      <c r="BC17" s="1234" t="str">
        <f t="shared" si="3"/>
        <v>PT_109.8750000000</v>
      </c>
      <c r="BD17" s="1234"/>
      <c r="BE17" s="1298" t="s">
        <v>1814</v>
      </c>
      <c r="BG17" s="595" t="s">
        <v>378</v>
      </c>
      <c r="BH17" s="596" t="str">
        <f>INDEX([1]!List_StateInputAll,MATCH(BG17,[1]!List_StateInput,0),2)</f>
        <v>Non-CA</v>
      </c>
      <c r="BI17" s="597" t="str">
        <f>INDEX([1]!List_StateInputAll,MATCH(BG17,[1]!List_StateInput,0),3)</f>
        <v>Y</v>
      </c>
      <c r="BJ17" s="597" t="str">
        <f>INDEX([1]!List_StateInputAll,MATCH(BG17,[1]!List_StateInput,0),4)</f>
        <v>Y</v>
      </c>
      <c r="BK17" s="597" t="str">
        <f>INDEX([1]!List_StateInputAll,MATCH(BG17,[1]!List_StateInput,0),5)</f>
        <v xml:space="preserve"> </v>
      </c>
      <c r="BL17" s="627" t="str">
        <f>INDEX([1]!List_StateInputAll,MATCH(BG17,[1]!List_StateInput,0),6)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7" s="627" t="str">
        <f>INDEX([1]!List_StateInputAll,MATCH(BG17,[1]!List_StateInput,0),7)</f>
        <v xml:space="preserve"> </v>
      </c>
      <c r="BN17" s="597" t="str">
        <f>INDEX([1]!List_StateInputAll,MATCH(BG17,[1]!List_StateInput,0),8)</f>
        <v>Iowa</v>
      </c>
      <c r="BO17" s="597" t="str">
        <f>INDEX([1]!List_StateInputAll,MATCH(BG17,[1]!List_StateInput,0),9)</f>
        <v>Y</v>
      </c>
      <c r="BP17" s="598" t="str">
        <f>INDEX([1]!List_StateInputAll,MATCH(BG17,[1]!List_StateInput,0),10)</f>
        <v>Y</v>
      </c>
      <c r="BQ17" s="597" t="str">
        <f>INDEX([1]!List_StateInputAll,MATCH(BG17,[1]!List_StateInput,0),11)</f>
        <v>N</v>
      </c>
      <c r="BR17" s="599" t="str">
        <f>INDEX([1]!List_StateInputAll,MATCH(BG17,[1]!List_StateInput,0),12)</f>
        <v>Y</v>
      </c>
      <c r="BS17" s="598" t="str">
        <f>INDEX([1]!List_StateInputAll,MATCH(BG17,[1]!List_StateInput,0),13)</f>
        <v xml:space="preserve"> </v>
      </c>
      <c r="BT17" s="578" t="str">
        <f>IF(OR(Input_Ratesheet_Source="Corr1",Input_Ratesheet_Source="Corr2",Input_Ratesheet_Source="Corr3",Input_Ratesheet_Source="CorrND"),BI17,IF(Input_Ratesheet_Source="Whol",IF(Input_Occupancy="Non Owner Occupied",BP17,BO17),IF(Input_Ratesheet_Source="Retl",IF(Input_Occupancy="Non Owner Occupied",IF(IF(IFERROR(FIND(Input_ProductClass,Structure!BS17),0)&gt;=1,"N","Y")="N","N",BR17),BQ17),"")))</f>
        <v>Y</v>
      </c>
      <c r="BU17" s="598" t="str">
        <f>INDEX([1]!List_StateInputAll,MATCH(BG17,[1]!List_StateInput,0),14)</f>
        <v>Wet</v>
      </c>
      <c r="BV17" s="598">
        <f>INDEX([1]!List_StateInputAll,MATCH(BG17,[1]!List_StateInput,0),15)</f>
        <v>1</v>
      </c>
      <c r="BW17" s="596" t="str">
        <f>INDEX([1]!List_StateInputAll,MATCH(BG17,[1]!List_StateInput,0),16)</f>
        <v>APOR</v>
      </c>
      <c r="BX17" s="600">
        <f>INDEX([1]!List_StateInputAll,MATCH(BG17,[1]!List_StateInput,0),17)</f>
        <v>6.5</v>
      </c>
      <c r="BY17" s="600">
        <f>INDEX([1]!List_StateInputAll,MATCH(BG17,[1]!List_StateInput,0),18)</f>
        <v>8.5</v>
      </c>
      <c r="BZ17" s="600">
        <f>INDEX([1]!List_StateInputAll,MATCH(BG17,[1]!List_StateInput,0),19)</f>
        <v>5</v>
      </c>
      <c r="CA17" s="597">
        <f>INDEX([1]!List_StateInputAll,MATCH(BG17,[1]!List_StateInput,0),20)</f>
        <v>0</v>
      </c>
      <c r="CB17" s="597" t="str">
        <f>INDEX([1]!List_StateInputAll,MATCH(BG17,[1]!List_StateInput,0),21)</f>
        <v>Owner Occupied</v>
      </c>
      <c r="CC17" s="597" t="str">
        <f>INDEX([1]!List_StateInputAll,MATCH(BG17,[1]!List_StateInput,0),22)</f>
        <v>Purchase, Rate-Term, Cash-Out</v>
      </c>
      <c r="CD17" s="598">
        <f>INDEX([1]!List_StateInputAll,MATCH(BG17,[1]!List_StateInput,0),23)</f>
        <v>0</v>
      </c>
      <c r="CE17" s="598" t="str">
        <f>INDEX([1]!List_StateInputAll,MATCH(BG17,[1]!List_StateInput,0),24)</f>
        <v>Y</v>
      </c>
    </row>
    <row r="18" spans="2:83" ht="9.6" customHeight="1" x14ac:dyDescent="0.2">
      <c r="B18" s="616"/>
      <c r="C18" s="667" t="s">
        <v>42</v>
      </c>
      <c r="D18" s="641" t="str">
        <f>Input_AmortTerm</f>
        <v>30yr Fixed</v>
      </c>
      <c r="E18" s="668" t="str">
        <f>IF(OR(Input_NoteRate&lt;Find_NoteRate_Min,Input_NoteRate&gt;Find_NoteRate_Max,Input_NoteRate&gt;Find_NoteRate01,Input_NoteRate&lt;Find_NoteRate02),"Y","N")</f>
        <v>N</v>
      </c>
      <c r="F18" s="643"/>
      <c r="G18" s="669" t="str">
        <f>IF(IFERROR(FIND(Input_AmortType,INDEX(List_AmortTermAll,MATCH(Input_AmortTerm,List_AmortTerm,0),2)),0)&gt;0,"N","Y")</f>
        <v>N</v>
      </c>
      <c r="H18" s="645">
        <f>IF(Error_AmortTerm="Y",#N/A,INDEX(Lookup_LLPAAll,MATCH(INDEX(List_ProductAll,MATCH(Input_Product,List_Product,0),2)&amp;"_"&amp;Input_AmortTerm,Lookup_LLPA,0),INDEX(List_LTV_All,MATCH(Input_LTV,List_LTV,-1),3)))</f>
        <v>0</v>
      </c>
      <c r="I18" s="630" t="str">
        <f>IF(IFERROR(FIND(Input_AmortType,INDEX(List_AmortTermAll,MATCH(Input_AmortTerm,List_AmortTerm,0),2)),0)&gt;0,"","Check Amort Type ")&amp;INDEX(List_AmortTermAll,MATCH(Input_AmortTerm,List_AmortTerm,0),8)</f>
        <v/>
      </c>
      <c r="J18" s="621" t="s">
        <v>76</v>
      </c>
      <c r="K18" s="647" t="str">
        <f>INDEX(List_ProductAll,MATCH(Input_Product,List_Product,0),2)&amp;"_"&amp;Input_AmortTerm</f>
        <v>PT_30yr Fixed</v>
      </c>
      <c r="L18" s="514" t="s">
        <v>76</v>
      </c>
      <c r="M18" s="1500" t="str" cm="1">
        <f t="array" ref="M18">[1]!Whol_Name_Product18&amp;"NOO"</f>
        <v>Core CashFlowNOO</v>
      </c>
      <c r="N18" s="1501" t="str">
        <f>Input_Name_Product18&amp;" NOO"</f>
        <v xml:space="preserve">  NOO</v>
      </c>
      <c r="O18" s="1532" t="s">
        <v>3018</v>
      </c>
      <c r="P18" s="1532" t="s">
        <v>3018</v>
      </c>
      <c r="Q18" s="1533">
        <v>1</v>
      </c>
      <c r="V18" s="515"/>
      <c r="X18" s="601" t="s">
        <v>749</v>
      </c>
      <c r="Y18" s="601" t="s">
        <v>66</v>
      </c>
      <c r="Z18" s="602" t="e">
        <f>-Input_PL_IncentiveMaxAdj_LenderPaidComp+Input_PL_MaxPriceBase_IN_03PP+Input_PL_Incentive_IN+Input_PL_IncentiveMaxAdj_IN</f>
        <v>#N/A</v>
      </c>
      <c r="AA18" s="603" cm="1">
        <f t="array" ref="AA18">[1]!Input_MaxPriceNet_IN_03PP</f>
        <v>103.25</v>
      </c>
      <c r="AB18" s="518"/>
      <c r="AC18" s="516" t="s">
        <v>19</v>
      </c>
      <c r="AD18" s="517" t="s">
        <v>116</v>
      </c>
      <c r="AE18" s="588">
        <v>1</v>
      </c>
      <c r="AF18" s="589" t="str">
        <f>IF(Input_ProductClass="Core",Structure!AC18,IFERROR(IF(FIND(AD18,INDEX(Elig_All,MATCH(Input_Product,Elig_Product,0),10))&gt;=1,AC18,""),""))</f>
        <v>Modular</v>
      </c>
      <c r="AG18" s="590">
        <f>IF(AF18="","",MAX(AG$4:AG17)+1)</f>
        <v>12</v>
      </c>
      <c r="AH18" s="591" t="str">
        <f t="shared" si="0"/>
        <v/>
      </c>
      <c r="AI18" s="514" t="s">
        <v>76</v>
      </c>
      <c r="AQ18" s="665">
        <v>50000</v>
      </c>
      <c r="AR18" s="666" t="s">
        <v>2121</v>
      </c>
      <c r="AV18" s="1297" t="s">
        <v>1533</v>
      </c>
      <c r="AW18" s="1233" t="s">
        <v>1249</v>
      </c>
      <c r="AX18" s="1234" t="str">
        <f t="shared" si="1"/>
        <v>PT_011.5000000000</v>
      </c>
      <c r="AY18" s="1235">
        <f>[1]!PR_R14</f>
        <v>11.5</v>
      </c>
      <c r="AZ18" s="1236">
        <f>[1]!PR_ARM05_P14+Input_PL_Incentive_PR</f>
        <v>-2</v>
      </c>
      <c r="BA18" s="1236">
        <f>[1]!PR_FRM30_P14+Input_PL_Incentive_PR</f>
        <v>109.625</v>
      </c>
      <c r="BB18" s="1234">
        <f t="shared" si="5"/>
        <v>109.625</v>
      </c>
      <c r="BC18" s="1234" t="str">
        <f t="shared" si="3"/>
        <v>PT_109.6250000000</v>
      </c>
      <c r="BD18" s="1234"/>
      <c r="BE18" s="1298" t="s">
        <v>1815</v>
      </c>
      <c r="BG18" s="595" t="s">
        <v>114</v>
      </c>
      <c r="BH18" s="596" t="str">
        <f>INDEX([1]!List_StateInputAll,MATCH(BG18,[1]!List_StateInput,0),2)</f>
        <v>Non-CA</v>
      </c>
      <c r="BI18" s="597" t="str">
        <f>INDEX([1]!List_StateInputAll,MATCH(BG18,[1]!List_StateInput,0),3)</f>
        <v>Y</v>
      </c>
      <c r="BJ18" s="597" t="str">
        <f>INDEX([1]!List_StateInputAll,MATCH(BG18,[1]!List_StateInput,0),4)</f>
        <v>Y</v>
      </c>
      <c r="BK18" s="597" t="str">
        <f>INDEX([1]!List_StateInputAll,MATCH(BG18,[1]!List_StateInput,0),5)</f>
        <v xml:space="preserve"> </v>
      </c>
      <c r="BL18" s="597" t="str">
        <f>INDEX([1]!List_StateInputAll,MATCH(BG18,[1]!List_StateInput,0),6)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8" s="597" t="str">
        <f>INDEX([1]!List_StateInputAll,MATCH(BG18,[1]!List_StateInput,0),7)</f>
        <v xml:space="preserve"> </v>
      </c>
      <c r="BN18" s="597" t="str">
        <f>INDEX([1]!List_StateInputAll,MATCH(BG18,[1]!List_StateInput,0),8)</f>
        <v>Idaho</v>
      </c>
      <c r="BO18" s="597" t="str">
        <f>INDEX([1]!List_StateInputAll,MATCH(BG18,[1]!List_StateInput,0),9)</f>
        <v>Y</v>
      </c>
      <c r="BP18" s="598" t="str">
        <f>INDEX([1]!List_StateInputAll,MATCH(BG18,[1]!List_StateInput,0),10)</f>
        <v>Y</v>
      </c>
      <c r="BQ18" s="597" t="str">
        <f>INDEX([1]!List_StateInputAll,MATCH(BG18,[1]!List_StateInput,0),11)</f>
        <v>N</v>
      </c>
      <c r="BR18" s="599" t="str">
        <f>INDEX([1]!List_StateInputAll,MATCH(BG18,[1]!List_StateInput,0),12)</f>
        <v>Y</v>
      </c>
      <c r="BS18" s="598" t="str">
        <f>INDEX([1]!List_StateInputAll,MATCH(BG18,[1]!List_StateInput,0),13)</f>
        <v xml:space="preserve"> </v>
      </c>
      <c r="BT18" s="578" t="str">
        <f>IF(OR(Input_Ratesheet_Source="Corr1",Input_Ratesheet_Source="Corr2",Input_Ratesheet_Source="Corr3",Input_Ratesheet_Source="CorrND"),BI18,IF(Input_Ratesheet_Source="Whol",IF(Input_Occupancy="Non Owner Occupied",BP18,BO18),IF(Input_Ratesheet_Source="Retl",IF(Input_Occupancy="Non Owner Occupied",IF(IF(IFERROR(FIND(Input_ProductClass,Structure!BS18),0)&gt;=1,"N","Y")="N","N",BR18),BQ18),"")))</f>
        <v>Y</v>
      </c>
      <c r="BU18" s="598" t="str">
        <f>INDEX([1]!List_StateInputAll,MATCH(BG18,[1]!List_StateInput,0),14)</f>
        <v>Dry</v>
      </c>
      <c r="BV18" s="598">
        <f>INDEX([1]!List_StateInputAll,MATCH(BG18,[1]!List_StateInput,0),15)</f>
        <v>1</v>
      </c>
      <c r="BW18" s="596" t="str">
        <f>INDEX([1]!List_StateInputAll,MATCH(BG18,[1]!List_StateInput,0),16)</f>
        <v>APOR</v>
      </c>
      <c r="BX18" s="600">
        <f>INDEX([1]!List_StateInputAll,MATCH(BG18,[1]!List_StateInput,0),17)</f>
        <v>6.5</v>
      </c>
      <c r="BY18" s="600">
        <f>INDEX([1]!List_StateInputAll,MATCH(BG18,[1]!List_StateInput,0),18)</f>
        <v>8.5</v>
      </c>
      <c r="BZ18" s="600">
        <f>INDEX([1]!List_StateInputAll,MATCH(BG18,[1]!List_StateInput,0),19)</f>
        <v>5</v>
      </c>
      <c r="CA18" s="597">
        <f>INDEX([1]!List_StateInputAll,MATCH(BG18,[1]!List_StateInput,0),20)</f>
        <v>0</v>
      </c>
      <c r="CB18" s="597" t="str">
        <f>INDEX([1]!List_StateInputAll,MATCH(BG18,[1]!List_StateInput,0),21)</f>
        <v>Owner Occupied</v>
      </c>
      <c r="CC18" s="597" t="str">
        <f>INDEX([1]!List_StateInputAll,MATCH(BG18,[1]!List_StateInput,0),22)</f>
        <v>Purchase, Rate-Term, Cash-Out</v>
      </c>
      <c r="CD18" s="598">
        <f>INDEX([1]!List_StateInputAll,MATCH(BG18,[1]!List_StateInput,0),23)</f>
        <v>0</v>
      </c>
      <c r="CE18" s="598" t="str">
        <f>INDEX([1]!List_StateInputAll,MATCH(BG18,[1]!List_StateInput,0),24)</f>
        <v>Y</v>
      </c>
    </row>
    <row r="19" spans="2:83" ht="9.6" customHeight="1" x14ac:dyDescent="0.2">
      <c r="B19" s="616"/>
      <c r="C19" s="667" t="s">
        <v>168</v>
      </c>
      <c r="D19" s="641" t="str">
        <f>Input_AmortType</f>
        <v>Full Amortization</v>
      </c>
      <c r="E19" s="642"/>
      <c r="F19" s="670" t="str">
        <f>IF(INDEX(List_AmortType_All,MATCH(Input_AmortType,List_AmortType,0),2)="Y",INDEX(List_State_All,MATCH(Input_State,List_State,0),4),"Y")</f>
        <v>Y</v>
      </c>
      <c r="G19" s="644"/>
      <c r="H19" s="645">
        <f>IF(Eligible_AmortType="N",#N/A,INDEX(Lookup_LLPAAll,MATCH(INDEX(List_ProductAll,MATCH(Input_Product,List_Product,0),2)&amp;"_"&amp;Input_AmortType,Lookup_LLPA,0),INDEX(List_LTV_All,MATCH(Input_LTV,List_LTV,-1),3)))</f>
        <v>0</v>
      </c>
      <c r="I19" s="671" t="str">
        <f>IF(INDEX(List_AmortType_All,MATCH(Input_AmortType,List_AmortType,0),2)="Y",INDEX(List_State_All,MATCH(Input_State,List_State,0),5),"")</f>
        <v/>
      </c>
      <c r="J19" s="621" t="s">
        <v>76</v>
      </c>
      <c r="K19" s="647" t="str">
        <f>INDEX(List_ProductAll,MATCH(Input_Product,List_Product,0),2)&amp;"_"&amp;Input_AmortType</f>
        <v>PT_Full Amortization</v>
      </c>
      <c r="L19" s="514" t="s">
        <v>76</v>
      </c>
      <c r="M19" s="1500" t="str" cm="1">
        <f t="array" ref="M19">[1]!Whol_Name_Product19&amp;"NOO"</f>
        <v>Core MultiNOO</v>
      </c>
      <c r="N19" s="1501" t="str">
        <f>Input_Name_Product19&amp;" NOO"</f>
        <v xml:space="preserve">  NOO</v>
      </c>
      <c r="O19" s="1534" t="s">
        <v>3019</v>
      </c>
      <c r="P19" s="1534" t="s">
        <v>3019</v>
      </c>
      <c r="Q19" s="1535">
        <v>1</v>
      </c>
      <c r="V19" s="515"/>
      <c r="X19" s="601" t="s">
        <v>748</v>
      </c>
      <c r="Y19" s="601" t="s">
        <v>165</v>
      </c>
      <c r="Z19" s="602" t="e">
        <f>-Input_PL_IncentiveMaxAdj_LenderPaidComp+Input_PL_MaxPriceBase_IN_04PP+Input_PL_Incentive_IN+Input_PL_IncentiveMaxAdj_IN</f>
        <v>#N/A</v>
      </c>
      <c r="AA19" s="603" cm="1">
        <f t="array" ref="AA19">[1]!Input_MaxPriceNet_IN_04PP</f>
        <v>103.5</v>
      </c>
      <c r="AB19" s="518"/>
      <c r="AC19" s="516" t="s">
        <v>130</v>
      </c>
      <c r="AD19" s="517" t="s">
        <v>343</v>
      </c>
      <c r="AE19" s="588">
        <v>1</v>
      </c>
      <c r="AF19" s="589" t="str">
        <f>IF(Input_ProductClass="Core",Structure!AC19,IFERROR(IF(FIND(AD19,INDEX(Elig_All,MATCH(Input_Product,Elig_Product,0),10))&gt;=1,AC19,""),""))</f>
        <v/>
      </c>
      <c r="AG19" s="590" t="str">
        <f>IF(AF19="","",MAX(AG$4:AG18)+1)</f>
        <v/>
      </c>
      <c r="AH19" s="591" t="str">
        <f t="shared" si="0"/>
        <v/>
      </c>
      <c r="AI19" s="514" t="s">
        <v>76</v>
      </c>
      <c r="AQ19" s="665">
        <v>75000.009999999995</v>
      </c>
      <c r="AR19" s="666" t="s">
        <v>1313</v>
      </c>
      <c r="AV19" s="1297" t="s">
        <v>1533</v>
      </c>
      <c r="AW19" s="1233" t="s">
        <v>1249</v>
      </c>
      <c r="AX19" s="1234" t="str">
        <f t="shared" si="1"/>
        <v>PT_011.3750000000</v>
      </c>
      <c r="AY19" s="1235">
        <f>[1]!PR_R15</f>
        <v>11.375</v>
      </c>
      <c r="AZ19" s="1236">
        <f>[1]!PR_ARM05_P15+Input_PL_Incentive_PR</f>
        <v>-2</v>
      </c>
      <c r="BA19" s="1236">
        <f>[1]!PR_FRM30_P15+Input_PL_Incentive_PR</f>
        <v>109.375</v>
      </c>
      <c r="BB19" s="1234">
        <f t="shared" si="5"/>
        <v>109.375</v>
      </c>
      <c r="BC19" s="1234" t="str">
        <f t="shared" si="3"/>
        <v>PT_109.3750000000</v>
      </c>
      <c r="BD19" s="1234"/>
      <c r="BE19" s="1298" t="s">
        <v>1816</v>
      </c>
      <c r="BG19" s="595" t="s">
        <v>115</v>
      </c>
      <c r="BH19" s="1805" t="str">
        <f>IFERROR(IF(FIND("Core",Input_Product),"IL","Non-CA"),"Non-CA")</f>
        <v>Non-CA</v>
      </c>
      <c r="BI19" s="597" t="str">
        <f>INDEX([1]!List_StateInputAll,MATCH(BG19,[1]!List_StateInput,0),3)</f>
        <v>Y</v>
      </c>
      <c r="BJ19" s="597" t="str">
        <f>INDEX([1]!List_StateInputAll,MATCH(BG19,[1]!List_StateInput,0),4)</f>
        <v>Y</v>
      </c>
      <c r="BK19" s="597" t="str">
        <f>INDEX([1]!List_StateInputAll,MATCH(BG19,[1]!List_StateInput,0),5)</f>
        <v xml:space="preserve"> </v>
      </c>
      <c r="BL19" s="627" t="str">
        <f>INDEX([1]!List_StateInputAll,MATCH(BG19,[1]!List_StateInput,0),6)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19" s="597" t="str">
        <f>INDEX([1]!List_StateInputAll,MATCH(BG19,[1]!List_StateInput,0),7)</f>
        <v>Prepay Restriction May Apply: Borrower must be corporation if APR is &gt; 8%</v>
      </c>
      <c r="BN19" s="597" t="str">
        <f>INDEX([1]!List_StateInputAll,MATCH(BG19,[1]!List_StateInput,0),8)</f>
        <v>Illinois</v>
      </c>
      <c r="BO19" s="597" t="str">
        <f>INDEX([1]!List_StateInputAll,MATCH(BG19,[1]!List_StateInput,0),9)</f>
        <v>Y</v>
      </c>
      <c r="BP19" s="598" t="str">
        <f>INDEX([1]!List_StateInputAll,MATCH(BG19,[1]!List_StateInput,0),10)</f>
        <v>Y</v>
      </c>
      <c r="BQ19" s="597" t="str">
        <f>INDEX([1]!List_StateInputAll,MATCH(BG19,[1]!List_StateInput,0),11)</f>
        <v>N</v>
      </c>
      <c r="BR19" s="599" t="str">
        <f>INDEX([1]!List_StateInputAll,MATCH(BG19,[1]!List_StateInput,0),12)</f>
        <v>Y</v>
      </c>
      <c r="BS19" s="598" t="str">
        <f>INDEX([1]!List_StateInputAll,MATCH(BG19,[1]!List_StateInput,0),13)</f>
        <v xml:space="preserve"> </v>
      </c>
      <c r="BT19" s="578" t="str">
        <f>IF(OR(Input_Ratesheet_Source="Corr1",Input_Ratesheet_Source="Corr2",Input_Ratesheet_Source="Corr3",Input_Ratesheet_Source="CorrND"),BI19,IF(Input_Ratesheet_Source="Whol",IF(Input_Occupancy="Non Owner Occupied",BP19,BO19),IF(Input_Ratesheet_Source="Retl",IF(Input_Occupancy="Non Owner Occupied",IF(IF(IFERROR(FIND(Input_ProductClass,Structure!BS19),0)&gt;=1,"N","Y")="N","N",BR19),BQ19),"")))</f>
        <v>Y</v>
      </c>
      <c r="BU19" s="598" t="str">
        <f>INDEX([1]!List_StateInputAll,MATCH(BG19,[1]!List_StateInput,0),14)</f>
        <v>Wet</v>
      </c>
      <c r="BV19" s="598">
        <f>INDEX([1]!List_StateInputAll,MATCH(BG19,[1]!List_StateInput,0),15)</f>
        <v>1</v>
      </c>
      <c r="BW19" s="596" t="str">
        <f>INDEX([1]!List_StateInputAll,MATCH(BG19,[1]!List_StateInput,0),16)</f>
        <v>APOR</v>
      </c>
      <c r="BX19" s="600">
        <f>INDEX([1]!List_StateInputAll,MATCH(BG19,[1]!List_StateInput,0),17)</f>
        <v>6</v>
      </c>
      <c r="BY19" s="600">
        <f>INDEX([1]!List_StateInputAll,MATCH(BG19,[1]!List_StateInput,0),18)</f>
        <v>8</v>
      </c>
      <c r="BZ19" s="600">
        <f>INDEX([1]!List_StateInputAll,MATCH(BG19,[1]!List_StateInput,0),19)</f>
        <v>5</v>
      </c>
      <c r="CA19" s="597">
        <f>INDEX([1]!List_StateInputAll,MATCH(BG19,[1]!List_StateInput,0),20)</f>
        <v>0</v>
      </c>
      <c r="CB19" s="597" t="str">
        <f>INDEX([1]!List_StateInputAll,MATCH(BG19,[1]!List_StateInput,0),21)</f>
        <v>Owner Occupied</v>
      </c>
      <c r="CC19" s="597" t="str">
        <f>INDEX([1]!List_StateInputAll,MATCH(BG19,[1]!List_StateInput,0),22)</f>
        <v>Purchase, Rate-Term, Cash-Out</v>
      </c>
      <c r="CD19" s="598" t="str">
        <f>INDEX([1]!List_StateInputAll,MATCH(BG19,[1]!List_StateInput,0),23)</f>
        <v>Additional Local High Cost Ordinances</v>
      </c>
      <c r="CE19" s="598" t="str">
        <f>INDEX([1]!List_StateInputAll,MATCH(BG19,[1]!List_StateInput,0),24)</f>
        <v>N</v>
      </c>
    </row>
    <row r="20" spans="2:83" ht="9.6" customHeight="1" x14ac:dyDescent="0.2">
      <c r="B20" s="616"/>
      <c r="C20" s="617" t="s">
        <v>72</v>
      </c>
      <c r="D20" s="641" t="str">
        <f>Input_DocType</f>
        <v>01-Full Doc 2yr</v>
      </c>
      <c r="E20" s="642"/>
      <c r="F20" s="670" t="str">
        <f>IF(IFERROR(FIND((INDEX(List_DocTypeAll,MATCH(Input_DocType,List_DocType,0),9)),(INDEX(List_ProductCodeAll,MATCH(Output_ProductCode,List_ProductCode,0),2))),0)&gt;0,"N","Y")</f>
        <v>N</v>
      </c>
      <c r="G20" s="644"/>
      <c r="H20" s="645">
        <f>IF(Error_DocType="Y",#N/A,INDEX(Lookup_LLPAAll,MATCH(INDEX(List_ProductAll,MATCH(Input_Product,List_Product,0),2)&amp;"_"&amp;INDEX(List_DocTypeAll,MATCH(Input_DocType,List_DocType,0),4)&amp;"_"&amp;INDEX(List_CreditScore_All,MATCH(Input_CreditScore,List_CreditScore,1),2),Lookup_LLPA,0),INDEX(List_LTV_All,MATCH(Input_LTV,List_LTV,-1),3)))</f>
        <v>-0.125</v>
      </c>
      <c r="I20" s="2766" t="str">
        <f>""&amp;INDEX(List_DocTypeAll,MATCH(Input_DocType,List_DocType,0),8)</f>
        <v>Standard FNMA Documentation</v>
      </c>
      <c r="J20" s="621" t="s">
        <v>76</v>
      </c>
      <c r="K20" s="647" t="str">
        <f>INDEX(List_ProductAll,MATCH(Input_Product,List_Product,0),2)&amp;"_"&amp;INDEX(List_DocTypeAll,MATCH(Input_DocType,List_DocType,0),4)&amp;"_"&amp;INDEX(List_CreditScore_All,MATCH(Input_CreditScore,List_CreditScore,1),2)</f>
        <v>PT_Doc01_740 - 759</v>
      </c>
      <c r="L20" s="514" t="s">
        <v>76</v>
      </c>
      <c r="M20" s="1502" t="str" cm="1">
        <f t="array" ref="M20">[1]!Whol_Name_Product20&amp;"NOO"</f>
        <v>Core ForeignNatNOO</v>
      </c>
      <c r="N20" s="1503" t="str">
        <f>Input_Name_Product20&amp;" NOO"</f>
        <v xml:space="preserve">  NOO</v>
      </c>
      <c r="O20" s="1602" t="s">
        <v>3020</v>
      </c>
      <c r="P20" s="1602" t="s">
        <v>3020</v>
      </c>
      <c r="Q20" s="1603">
        <v>1</v>
      </c>
      <c r="V20" s="515"/>
      <c r="X20" s="609" t="s">
        <v>747</v>
      </c>
      <c r="Y20" s="609" t="s">
        <v>166</v>
      </c>
      <c r="Z20" s="610" t="e">
        <f>-Input_PL_IncentiveMaxAdj_LenderPaidComp+Input_PL_MaxPriceBase_IN_05PP+Input_PL_Incentive_IN+Input_PL_IncentiveMaxAdj_IN</f>
        <v>#N/A</v>
      </c>
      <c r="AA20" s="611" cm="1">
        <f t="array" ref="AA20">[1]!Input_MaxPriceNet_IN_05PP</f>
        <v>104</v>
      </c>
      <c r="AB20" s="518"/>
      <c r="AC20" s="516" t="s">
        <v>233</v>
      </c>
      <c r="AD20" s="517" t="s">
        <v>344</v>
      </c>
      <c r="AE20" s="588">
        <v>5</v>
      </c>
      <c r="AF20" s="1604" t="str">
        <f>IF(Input_ProductClass="Core",Structure!AC20,IFERROR(IF(FIND(AD20,INDEX(Elig_All,MATCH(Input_Product,Elig_Product,0),10))&gt;=1,AC20,""),""))</f>
        <v/>
      </c>
      <c r="AG20" s="590" t="str">
        <f>IF(AF20="","",MAX(AG$4:AG19)+1)</f>
        <v/>
      </c>
      <c r="AH20" s="591" t="str">
        <f t="shared" si="0"/>
        <v/>
      </c>
      <c r="AI20" s="514" t="s">
        <v>76</v>
      </c>
      <c r="AQ20" s="665">
        <v>100000.01</v>
      </c>
      <c r="AR20" s="666" t="s">
        <v>1314</v>
      </c>
      <c r="AV20" s="1297" t="s">
        <v>1533</v>
      </c>
      <c r="AW20" s="1233" t="s">
        <v>1249</v>
      </c>
      <c r="AX20" s="1234" t="str">
        <f t="shared" si="1"/>
        <v>PT_011.2500000000</v>
      </c>
      <c r="AY20" s="1235">
        <f>[1]!PR_R16</f>
        <v>11.25</v>
      </c>
      <c r="AZ20" s="1236">
        <f>[1]!PR_ARM05_P16+Input_PL_Incentive_PR</f>
        <v>-2</v>
      </c>
      <c r="BA20" s="1236">
        <f>[1]!PR_FRM30_P16+Input_PL_Incentive_PR</f>
        <v>109.125</v>
      </c>
      <c r="BB20" s="1234">
        <f t="shared" si="5"/>
        <v>109.125</v>
      </c>
      <c r="BC20" s="1234" t="str">
        <f t="shared" si="3"/>
        <v>PT_109.1250000000</v>
      </c>
      <c r="BD20" s="1234"/>
      <c r="BE20" s="1298" t="s">
        <v>1817</v>
      </c>
      <c r="BG20" s="595" t="s">
        <v>379</v>
      </c>
      <c r="BH20" s="596" t="str">
        <f>INDEX([1]!List_StateInputAll,MATCH(BG20,[1]!List_StateInput,0),2)</f>
        <v>Non-CA</v>
      </c>
      <c r="BI20" s="597" t="str">
        <f>INDEX([1]!List_StateInputAll,MATCH(BG20,[1]!List_StateInput,0),3)</f>
        <v>Y</v>
      </c>
      <c r="BJ20" s="597" t="str">
        <f>INDEX([1]!List_StateInputAll,MATCH(BG20,[1]!List_StateInput,0),4)</f>
        <v>Y</v>
      </c>
      <c r="BK20" s="597" t="str">
        <f>INDEX([1]!List_StateInputAll,MATCH(BG20,[1]!List_StateInput,0),5)</f>
        <v xml:space="preserve"> </v>
      </c>
      <c r="BL20" s="597" t="str">
        <f>INDEX([1]!List_StateInputAll,MATCH(BG20,[1]!List_StateInput,0),6)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0" s="597" t="str">
        <f>INDEX([1]!List_StateInputAll,MATCH(BG20,[1]!List_StateInput,0),7)</f>
        <v xml:space="preserve"> </v>
      </c>
      <c r="BN20" s="597" t="str">
        <f>INDEX([1]!List_StateInputAll,MATCH(BG20,[1]!List_StateInput,0),8)</f>
        <v>Indiana</v>
      </c>
      <c r="BO20" s="597" t="str">
        <f>INDEX([1]!List_StateInputAll,MATCH(BG20,[1]!List_StateInput,0),9)</f>
        <v>Y</v>
      </c>
      <c r="BP20" s="598" t="str">
        <f>INDEX([1]!List_StateInputAll,MATCH(BG20,[1]!List_StateInput,0),10)</f>
        <v>Y</v>
      </c>
      <c r="BQ20" s="597" t="str">
        <f>INDEX([1]!List_StateInputAll,MATCH(BG20,[1]!List_StateInput,0),11)</f>
        <v>N</v>
      </c>
      <c r="BR20" s="599" t="str">
        <f>INDEX([1]!List_StateInputAll,MATCH(BG20,[1]!List_StateInput,0),12)</f>
        <v>Y</v>
      </c>
      <c r="BS20" s="598" t="str">
        <f>INDEX([1]!List_StateInputAll,MATCH(BG20,[1]!List_StateInput,0),13)</f>
        <v xml:space="preserve"> </v>
      </c>
      <c r="BT20" s="578" t="str">
        <f>IF(OR(Input_Ratesheet_Source="Corr1",Input_Ratesheet_Source="Corr2",Input_Ratesheet_Source="Corr3",Input_Ratesheet_Source="CorrND"),BI20,IF(Input_Ratesheet_Source="Whol",IF(Input_Occupancy="Non Owner Occupied",BP20,BO20),IF(Input_Ratesheet_Source="Retl",IF(Input_Occupancy="Non Owner Occupied",IF(IF(IFERROR(FIND(Input_ProductClass,Structure!BS20),0)&gt;=1,"N","Y")="N","N",BR20),BQ20),"")))</f>
        <v>Y</v>
      </c>
      <c r="BU20" s="598" t="str">
        <f>INDEX([1]!List_StateInputAll,MATCH(BG20,[1]!List_StateInput,0),14)</f>
        <v>Wet</v>
      </c>
      <c r="BV20" s="598">
        <f>INDEX([1]!List_StateInputAll,MATCH(BG20,[1]!List_StateInput,0),15)</f>
        <v>1</v>
      </c>
      <c r="BW20" s="596" t="str">
        <f>INDEX([1]!List_StateInputAll,MATCH(BG20,[1]!List_StateInput,0),16)</f>
        <v>APOR</v>
      </c>
      <c r="BX20" s="600">
        <f>INDEX([1]!List_StateInputAll,MATCH(BG20,[1]!List_StateInput,0),17)</f>
        <v>6.5</v>
      </c>
      <c r="BY20" s="600">
        <f>INDEX([1]!List_StateInputAll,MATCH(BG20,[1]!List_StateInput,0),18)</f>
        <v>8.5</v>
      </c>
      <c r="BZ20" s="600">
        <f>INDEX([1]!List_StateInputAll,MATCH(BG20,[1]!List_StateInput,0),19)</f>
        <v>5</v>
      </c>
      <c r="CA20" s="597">
        <f>INDEX([1]!List_StateInputAll,MATCH(BG20,[1]!List_StateInput,0),20)</f>
        <v>0</v>
      </c>
      <c r="CB20" s="597" t="str">
        <f>INDEX([1]!List_StateInputAll,MATCH(BG20,[1]!List_StateInput,0),21)</f>
        <v>Owner Occupied</v>
      </c>
      <c r="CC20" s="597" t="str">
        <f>INDEX([1]!List_StateInputAll,MATCH(BG20,[1]!List_StateInput,0),22)</f>
        <v>Purchase, Rate-Term, Cash-Out</v>
      </c>
      <c r="CD20" s="598">
        <f>INDEX([1]!List_StateInputAll,MATCH(BG20,[1]!List_StateInput,0),23)</f>
        <v>0</v>
      </c>
      <c r="CE20" s="598" t="str">
        <f>INDEX([1]!List_StateInputAll,MATCH(BG20,[1]!List_StateInput,0),24)</f>
        <v>Y</v>
      </c>
    </row>
    <row r="21" spans="2:83" ht="9.6" customHeight="1" x14ac:dyDescent="0.2">
      <c r="B21" s="616"/>
      <c r="C21" s="617" t="s">
        <v>81</v>
      </c>
      <c r="D21" s="641" t="str">
        <f>Input_BankStmt</f>
        <v>No Bank Stmt</v>
      </c>
      <c r="E21" s="642"/>
      <c r="F21" s="670" t="str">
        <f>IF(IFERROR(FIND((INDEX(List_BankStmtAll,MATCH(Input_BankStmt,List_BankStmt,0),2)),(INDEX(List_DocTypeAll,MATCH(Input_DocType,List_DocType,0),5))),0)&gt;0,"N","Y")</f>
        <v>N</v>
      </c>
      <c r="G21" s="644"/>
      <c r="H21" s="645">
        <f>IF(Error_BankStmt="N",INDEX(Lookup_LLPAAll,MATCH(INDEX(List_ProductAll,MATCH(Input_Product,List_Product,0),2)&amp;"_"&amp;Input_BankStmt,Lookup_LLPA,0),INDEX(List_LTV_All,MATCH(Input_LTV,List_LTV,-1),3)),#N/A)</f>
        <v>0</v>
      </c>
      <c r="I21" s="2766"/>
      <c r="J21" s="621" t="s">
        <v>76</v>
      </c>
      <c r="K21" s="647" t="str">
        <f>INDEX(List_ProductAll,MATCH(Input_Product,List_Product,0),2)&amp;"_"&amp;Input_BankStmt</f>
        <v>PT_No Bank Stmt</v>
      </c>
      <c r="L21" s="514" t="s">
        <v>76</v>
      </c>
      <c r="M21" s="1201" t="str">
        <f>Input_Name_ClassB&amp;"NOO"</f>
        <v>MultiNOO</v>
      </c>
      <c r="N21" s="1202" t="str" cm="1">
        <f t="array" ref="N21">Input_Name_Product3</f>
        <v>Multi NOO</v>
      </c>
      <c r="O21" s="1536" t="s">
        <v>386</v>
      </c>
      <c r="P21" s="1536" t="s">
        <v>386</v>
      </c>
      <c r="Q21" s="1537">
        <v>1</v>
      </c>
      <c r="V21" s="515"/>
      <c r="X21" s="1315" t="s">
        <v>2162</v>
      </c>
      <c r="Y21" s="1315" t="s">
        <v>82</v>
      </c>
      <c r="Z21" s="1316">
        <f>-Input_PL_IncentiveMaxAdj_LenderPaidComp+Input_PL_MaxPriceBase_PE_NoPP+Input_PL_Incentive_PE+Input_PL_IncentiveMaxAdj_PE</f>
        <v>103</v>
      </c>
      <c r="AA21" s="1317" cm="1">
        <f t="array" ref="AA21">[1]!Input_MaxPriceNet_PE_NoPP</f>
        <v>103</v>
      </c>
      <c r="AB21" s="518"/>
      <c r="AC21" s="516" t="s">
        <v>234</v>
      </c>
      <c r="AD21" s="517" t="s">
        <v>345</v>
      </c>
      <c r="AE21" s="588">
        <v>6</v>
      </c>
      <c r="AF21" s="1604" t="str">
        <f>IF(Input_ProductClass="Core",Structure!AC21,IFERROR(IF(FIND(AD21,INDEX(Elig_All,MATCH(Input_Product,Elig_Product,0),10))&gt;=1,AC21,""),""))</f>
        <v/>
      </c>
      <c r="AG21" s="590" t="str">
        <f>IF(AF21="","",MAX(AG$4:AG20)+1)</f>
        <v/>
      </c>
      <c r="AH21" s="591" t="str">
        <f t="shared" si="0"/>
        <v/>
      </c>
      <c r="AI21" s="514" t="s">
        <v>76</v>
      </c>
      <c r="AQ21" s="665">
        <v>125000.01</v>
      </c>
      <c r="AR21" s="666" t="s">
        <v>1315</v>
      </c>
      <c r="AV21" s="1297" t="s">
        <v>1533</v>
      </c>
      <c r="AW21" s="1233" t="s">
        <v>1249</v>
      </c>
      <c r="AX21" s="1234" t="str">
        <f t="shared" si="1"/>
        <v>PT_011.1250000000</v>
      </c>
      <c r="AY21" s="1235">
        <f>[1]!PR_R17</f>
        <v>11.125</v>
      </c>
      <c r="AZ21" s="1236">
        <f>[1]!PR_ARM05_P17+Input_PL_Incentive_PR</f>
        <v>-2</v>
      </c>
      <c r="BA21" s="1236">
        <f>[1]!PR_FRM30_P17+Input_PL_Incentive_PR</f>
        <v>108.875</v>
      </c>
      <c r="BB21" s="1234">
        <f t="shared" si="5"/>
        <v>108.875</v>
      </c>
      <c r="BC21" s="1234" t="str">
        <f t="shared" si="3"/>
        <v>PT_108.8750000000</v>
      </c>
      <c r="BD21" s="1234"/>
      <c r="BE21" s="1298" t="s">
        <v>1818</v>
      </c>
      <c r="BG21" s="595" t="s">
        <v>380</v>
      </c>
      <c r="BH21" s="596" t="str">
        <f>INDEX([1]!List_StateInputAll,MATCH(BG21,[1]!List_StateInput,0),2)</f>
        <v>Non-CA</v>
      </c>
      <c r="BI21" s="597" t="str">
        <f>INDEX([1]!List_StateInputAll,MATCH(BG21,[1]!List_StateInput,0),3)</f>
        <v>Y</v>
      </c>
      <c r="BJ21" s="597" t="str">
        <f>INDEX([1]!List_StateInputAll,MATCH(BG21,[1]!List_StateInput,0),4)</f>
        <v>Y</v>
      </c>
      <c r="BK21" s="597" t="str">
        <f>INDEX([1]!List_StateInputAll,MATCH(BG21,[1]!List_StateInput,0),5)</f>
        <v xml:space="preserve"> </v>
      </c>
      <c r="BL21" s="627" t="str">
        <f>INDEX([1]!List_StateInputAll,MATCH(BG21,[1]!List_StateInput,0),6)</f>
        <v>No Prepay</v>
      </c>
      <c r="BM21" s="627" t="str">
        <f>INDEX([1]!List_StateInputAll,MATCH(BG21,[1]!List_StateInput,0),7)</f>
        <v>Prepay Restriction May Apply</v>
      </c>
      <c r="BN21" s="597" t="str">
        <f>INDEX([1]!List_StateInputAll,MATCH(BG21,[1]!List_StateInput,0),8)</f>
        <v>Kansas</v>
      </c>
      <c r="BO21" s="597" t="str">
        <f>INDEX([1]!List_StateInputAll,MATCH(BG21,[1]!List_StateInput,0),9)</f>
        <v>Y</v>
      </c>
      <c r="BP21" s="598" t="str">
        <f>INDEX([1]!List_StateInputAll,MATCH(BG21,[1]!List_StateInput,0),10)</f>
        <v>Y</v>
      </c>
      <c r="BQ21" s="597" t="str">
        <f>INDEX([1]!List_StateInputAll,MATCH(BG21,[1]!List_StateInput,0),11)</f>
        <v>N</v>
      </c>
      <c r="BR21" s="599" t="str">
        <f>INDEX([1]!List_StateInputAll,MATCH(BG21,[1]!List_StateInput,0),12)</f>
        <v>Y</v>
      </c>
      <c r="BS21" s="598" t="str">
        <f>INDEX([1]!List_StateInputAll,MATCH(BG21,[1]!List_StateInput,0),13)</f>
        <v xml:space="preserve"> </v>
      </c>
      <c r="BT21" s="578" t="str">
        <f>IF(OR(Input_Ratesheet_Source="Corr1",Input_Ratesheet_Source="Corr2",Input_Ratesheet_Source="Corr3",Input_Ratesheet_Source="CorrND"),BI21,IF(Input_Ratesheet_Source="Whol",IF(Input_Occupancy="Non Owner Occupied",BP21,BO21),IF(Input_Ratesheet_Source="Retl",IF(Input_Occupancy="Non Owner Occupied",IF(IF(IFERROR(FIND(Input_ProductClass,Structure!BS21),0)&gt;=1,"N","Y")="N","N",BR21),BQ21),"")))</f>
        <v>Y</v>
      </c>
      <c r="BU21" s="598" t="str">
        <f>INDEX([1]!List_StateInputAll,MATCH(BG21,[1]!List_StateInput,0),14)</f>
        <v>Wet</v>
      </c>
      <c r="BV21" s="598">
        <f>INDEX([1]!List_StateInputAll,MATCH(BG21,[1]!List_StateInput,0),15)</f>
        <v>1</v>
      </c>
      <c r="BW21" s="596" t="str">
        <f>INDEX([1]!List_StateInputAll,MATCH(BG21,[1]!List_StateInput,0),16)</f>
        <v>APOR</v>
      </c>
      <c r="BX21" s="600">
        <f>INDEX([1]!List_StateInputAll,MATCH(BG21,[1]!List_StateInput,0),17)</f>
        <v>6.5</v>
      </c>
      <c r="BY21" s="600">
        <f>INDEX([1]!List_StateInputAll,MATCH(BG21,[1]!List_StateInput,0),18)</f>
        <v>8.5</v>
      </c>
      <c r="BZ21" s="600">
        <f>INDEX([1]!List_StateInputAll,MATCH(BG21,[1]!List_StateInput,0),19)</f>
        <v>5</v>
      </c>
      <c r="CA21" s="597">
        <f>INDEX([1]!List_StateInputAll,MATCH(BG21,[1]!List_StateInput,0),20)</f>
        <v>0</v>
      </c>
      <c r="CB21" s="597" t="str">
        <f>INDEX([1]!List_StateInputAll,MATCH(BG21,[1]!List_StateInput,0),21)</f>
        <v>Owner Occupied</v>
      </c>
      <c r="CC21" s="597" t="str">
        <f>INDEX([1]!List_StateInputAll,MATCH(BG21,[1]!List_StateInput,0),22)</f>
        <v>Purchase, Rate-Term, Cash-Out</v>
      </c>
      <c r="CD21" s="598">
        <f>INDEX([1]!List_StateInputAll,MATCH(BG21,[1]!List_StateInput,0),23)</f>
        <v>0</v>
      </c>
      <c r="CE21" s="598" t="str">
        <f>INDEX([1]!List_StateInputAll,MATCH(BG21,[1]!List_StateInput,0),24)</f>
        <v>Y</v>
      </c>
    </row>
    <row r="22" spans="2:83" ht="9.6" customHeight="1" x14ac:dyDescent="0.2">
      <c r="B22" s="616"/>
      <c r="C22" s="617" t="s">
        <v>257</v>
      </c>
      <c r="D22" s="641">
        <f>Input_ReservesMonths</f>
        <v>12</v>
      </c>
      <c r="E22" s="653">
        <f>Elig_OverlayLimit_Reserves_Min</f>
        <v>0</v>
      </c>
      <c r="F22" s="670" t="str">
        <f>IF(INDEX(List_DocTypeAll,MATCH(Input_DocType,List_DocType,0),6)=INDEX(List_DTI_All,MATCH(Input_DTI,List_DTI,-1),3),"N","Y")</f>
        <v>N</v>
      </c>
      <c r="G22" s="644"/>
      <c r="H22" s="708" cm="1">
        <f t="array" ref="H22">IFERROR(INDEX(Lookup_LLPAAll,MATCH(INDEX(List_ProductAll,MATCH(Input_Product,List_Product,0),2)&amp;"_"&amp;INDEX(List_Reserves_All,MATCH(Input_ReservesMonths,List_Reserves,1),2),Lookup_LLPA,0),INDEX(List_LTV_All,MATCH(Input_LTV,List_LTV,-1),3)),0)</f>
        <v>0</v>
      </c>
      <c r="I22" s="655" t="str">
        <f>Elig_OverlayMsg_Reserves&amp;IF(Result_Msg2_LLPA_ReservesMonths&gt;0,"Min Reserves "&amp;Result_Msg2_LLPA_ReservesMonths,"")</f>
        <v/>
      </c>
      <c r="J22" s="689">
        <v>0</v>
      </c>
      <c r="K22" s="631"/>
      <c r="L22" s="514" t="s">
        <v>76</v>
      </c>
      <c r="V22" s="515"/>
      <c r="X22" s="1303" t="s">
        <v>2151</v>
      </c>
      <c r="Y22" s="1303" t="s">
        <v>82</v>
      </c>
      <c r="Z22" s="1304">
        <f>-Input_PL_IncentiveMaxAdj_LenderPaidComp+Input_PL_MaxPriceBase_IE_NoPP+Input_PL_Incentive_IE+Input_PL_IncentiveMaxAdj_IE</f>
        <v>101.5</v>
      </c>
      <c r="AA22" s="1305" cm="1">
        <f t="array" ref="AA22">[1]!Input_MaxPriceNet_IE_NoPP</f>
        <v>101.5</v>
      </c>
      <c r="AB22" s="518"/>
      <c r="AC22" s="684" t="s">
        <v>235</v>
      </c>
      <c r="AD22" s="685" t="s">
        <v>346</v>
      </c>
      <c r="AE22" s="686">
        <v>7</v>
      </c>
      <c r="AF22" s="1605" t="str">
        <f>IF(Input_ProductClass="Core",Structure!AC22,IFERROR(IF(FIND(AD22,INDEX(Elig_All,MATCH(Input_Product,Elig_Product,0),10))&gt;=1,AC22,""),""))</f>
        <v/>
      </c>
      <c r="AG22" s="687" t="str">
        <f>IF(AF22="","",MAX(AG$4:AG21)+1)</f>
        <v/>
      </c>
      <c r="AH22" s="688" t="str">
        <f t="shared" si="0"/>
        <v/>
      </c>
      <c r="AI22" s="514" t="s">
        <v>76</v>
      </c>
      <c r="AQ22" s="679">
        <v>150000.01</v>
      </c>
      <c r="AR22" s="666" t="s">
        <v>1316</v>
      </c>
      <c r="AV22" s="1297" t="s">
        <v>1533</v>
      </c>
      <c r="AW22" s="1233" t="s">
        <v>1249</v>
      </c>
      <c r="AX22" s="1234" t="str">
        <f t="shared" si="1"/>
        <v>PT_011.0000000000</v>
      </c>
      <c r="AY22" s="1235">
        <f>[1]!PR_R18</f>
        <v>11</v>
      </c>
      <c r="AZ22" s="1236">
        <f>[1]!PR_ARM05_P18+Input_PL_Incentive_PR</f>
        <v>-2</v>
      </c>
      <c r="BA22" s="1236">
        <f>[1]!PR_FRM30_P18+Input_PL_Incentive_PR</f>
        <v>108.625</v>
      </c>
      <c r="BB22" s="1234">
        <f t="shared" si="5"/>
        <v>108.625</v>
      </c>
      <c r="BC22" s="1234" t="str">
        <f t="shared" si="3"/>
        <v>PT_108.6250000000</v>
      </c>
      <c r="BD22" s="1234"/>
      <c r="BE22" s="1298" t="s">
        <v>1819</v>
      </c>
      <c r="BG22" s="595" t="s">
        <v>381</v>
      </c>
      <c r="BH22" s="596" t="str">
        <f>INDEX([1]!List_StateInputAll,MATCH(BG22,[1]!List_StateInput,0),2)</f>
        <v>Non-CA</v>
      </c>
      <c r="BI22" s="597" t="str">
        <f>INDEX([1]!List_StateInputAll,MATCH(BG22,[1]!List_StateInput,0),3)</f>
        <v>Y</v>
      </c>
      <c r="BJ22" s="597" t="str">
        <f>INDEX([1]!List_StateInputAll,MATCH(BG22,[1]!List_StateInput,0),4)</f>
        <v>Y</v>
      </c>
      <c r="BK22" s="597" t="str">
        <f>INDEX([1]!List_StateInputAll,MATCH(BG22,[1]!List_StateInput,0),5)</f>
        <v xml:space="preserve"> </v>
      </c>
      <c r="BL22" s="597" t="str">
        <f>INDEX([1]!List_StateInputAll,MATCH(BG22,[1]!List_StateInput,0),6)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2" s="597" t="str">
        <f>INDEX([1]!List_StateInputAll,MATCH(BG22,[1]!List_StateInput,0),7)</f>
        <v xml:space="preserve"> </v>
      </c>
      <c r="BN22" s="597" t="str">
        <f>INDEX([1]!List_StateInputAll,MATCH(BG22,[1]!List_StateInput,0),8)</f>
        <v>Kentucky</v>
      </c>
      <c r="BO22" s="597" t="str">
        <f>INDEX([1]!List_StateInputAll,MATCH(BG22,[1]!List_StateInput,0),9)</f>
        <v>Y</v>
      </c>
      <c r="BP22" s="598" t="str">
        <f>INDEX([1]!List_StateInputAll,MATCH(BG22,[1]!List_StateInput,0),10)</f>
        <v>Y</v>
      </c>
      <c r="BQ22" s="597" t="str">
        <f>INDEX([1]!List_StateInputAll,MATCH(BG22,[1]!List_StateInput,0),11)</f>
        <v>N</v>
      </c>
      <c r="BR22" s="599" t="str">
        <f>INDEX([1]!List_StateInputAll,MATCH(BG22,[1]!List_StateInput,0),12)</f>
        <v>Y</v>
      </c>
      <c r="BS22" s="598" t="str">
        <f>INDEX([1]!List_StateInputAll,MATCH(BG22,[1]!List_StateInput,0),13)</f>
        <v xml:space="preserve"> </v>
      </c>
      <c r="BT22" s="578" t="str">
        <f>IF(OR(Input_Ratesheet_Source="Corr1",Input_Ratesheet_Source="Corr2",Input_Ratesheet_Source="Corr3",Input_Ratesheet_Source="CorrND"),BI22,IF(Input_Ratesheet_Source="Whol",IF(Input_Occupancy="Non Owner Occupied",BP22,BO22),IF(Input_Ratesheet_Source="Retl",IF(Input_Occupancy="Non Owner Occupied",IF(IF(IFERROR(FIND(Input_ProductClass,Structure!BS22),0)&gt;=1,"N","Y")="N","N",BR22),BQ22),"")))</f>
        <v>Y</v>
      </c>
      <c r="BU22" s="598" t="str">
        <f>INDEX([1]!List_StateInputAll,MATCH(BG22,[1]!List_StateInput,0),14)</f>
        <v>Wet</v>
      </c>
      <c r="BV22" s="598">
        <f>INDEX([1]!List_StateInputAll,MATCH(BG22,[1]!List_StateInput,0),15)</f>
        <v>1</v>
      </c>
      <c r="BW22" s="596" t="str">
        <f>INDEX([1]!List_StateInputAll,MATCH(BG22,[1]!List_StateInput,0),16)</f>
        <v>APOR</v>
      </c>
      <c r="BX22" s="600">
        <f>INDEX([1]!List_StateInputAll,MATCH(BG22,[1]!List_StateInput,0),17)</f>
        <v>6.5</v>
      </c>
      <c r="BY22" s="600">
        <f>INDEX([1]!List_StateInputAll,MATCH(BG22,[1]!List_StateInput,0),18)</f>
        <v>8.5</v>
      </c>
      <c r="BZ22" s="600">
        <f>INDEX([1]!List_StateInputAll,MATCH(BG22,[1]!List_StateInput,0),19)</f>
        <v>6</v>
      </c>
      <c r="CA22" s="597">
        <f>INDEX([1]!List_StateInputAll,MATCH(BG22,[1]!List_StateInput,0),20)</f>
        <v>200001</v>
      </c>
      <c r="CB22" s="597" t="str">
        <f>INDEX([1]!List_StateInputAll,MATCH(BG22,[1]!List_StateInput,0),21)</f>
        <v>Owner Occupied</v>
      </c>
      <c r="CC22" s="597" t="str">
        <f>INDEX([1]!List_StateInputAll,MATCH(BG22,[1]!List_StateInput,0),22)</f>
        <v>Purchase, Rate-Term, Cash-Out</v>
      </c>
      <c r="CD22" s="598">
        <f>INDEX([1]!List_StateInputAll,MATCH(BG22,[1]!List_StateInput,0),23)</f>
        <v>0</v>
      </c>
      <c r="CE22" s="598" t="str">
        <f>INDEX([1]!List_StateInputAll,MATCH(BG22,[1]!List_StateInput,0),24)</f>
        <v>Y</v>
      </c>
    </row>
    <row r="23" spans="2:83" ht="9.6" customHeight="1" x14ac:dyDescent="0.2">
      <c r="B23" s="616"/>
      <c r="C23" s="617" t="s">
        <v>14</v>
      </c>
      <c r="D23" s="641">
        <f>Input_DTI</f>
        <v>43</v>
      </c>
      <c r="E23" s="642"/>
      <c r="F23" s="670" t="str">
        <f>IF(INDEX(List_DocTypeAll,MATCH(Input_DocType,List_DocType,0),6)=INDEX(List_DTI_All,MATCH(Input_DTI,List_DTI,-1),3),"N","Y")</f>
        <v>N</v>
      </c>
      <c r="G23" s="644"/>
      <c r="H23" s="645">
        <f>IF(Error_DTI="N",INDEX(Lookup_LLPAAll,MATCH(INDEX(List_ProductAll,MATCH(Input_Product,List_Product,0),2)&amp;"_"&amp;INDEX(List_DTI_All,MATCH(Input_DTI,List_DTI,-1),2),Lookup_LLPA,0),INDEX(List_LTV_All,MATCH(Input_LTV,List_LTV,-1),3)),#N/A)</f>
        <v>0</v>
      </c>
      <c r="I23" s="655" t="str">
        <f>TRIM(Elig_OverlayMsg_DTI&amp;IF(Result_Msg2_LLPA_DTI&gt;0,"Max DTI "&amp;Result_Msg2_LLPA_DTI,"")&amp;" "&amp;IF(AND(Input_DTI&lt;1,Input_DTI&lt;&gt;0),"DTI Value Low - InputPoints Not Decimal",""))</f>
        <v/>
      </c>
      <c r="J23" s="621" t="s">
        <v>76</v>
      </c>
      <c r="K23" s="647" t="str">
        <f>INDEX(List_ProductAll,MATCH(Input_Product,List_Product,0),2)&amp;"_"&amp;INDEX(List_DTI_All,MATCH(Input_DTI,List_DTI,-1),2)</f>
        <v>PT_00.01-43</v>
      </c>
      <c r="L23" s="514" t="s">
        <v>76</v>
      </c>
      <c r="U23" s="515"/>
      <c r="V23" s="515"/>
      <c r="X23" s="1306" t="s">
        <v>2644</v>
      </c>
      <c r="Y23" s="1306" t="s">
        <v>68</v>
      </c>
      <c r="Z23" s="1307">
        <f>-Input_PL_IncentiveMaxAdj_LenderPaidComp+Input_PL_MaxPriceBase_IE_01PP+Input_PL_Incentive_IE+Input_PL_IncentiveMaxAdj_IE</f>
        <v>102.5</v>
      </c>
      <c r="AA23" s="1308" cm="1">
        <f t="array" ref="AA23">[1]!Input_MaxPriceNet_IE_01PP</f>
        <v>102.5</v>
      </c>
      <c r="AB23" s="518"/>
      <c r="AC23" s="690" t="s">
        <v>236</v>
      </c>
      <c r="AD23" s="691" t="s">
        <v>347</v>
      </c>
      <c r="AE23" s="692">
        <v>8</v>
      </c>
      <c r="AF23" s="1606" t="str">
        <f>IF(Input_ProductClass="Core",Structure!AC23,IFERROR(IF(FIND(AD23,INDEX(Elig_All,MATCH(Input_Product,Elig_Product,0),10))&gt;=1,AC23,""),""))</f>
        <v/>
      </c>
      <c r="AG23" s="693" t="str">
        <f>IF(AF23="","",MAX(AG$4:AG22)+1)</f>
        <v/>
      </c>
      <c r="AH23" s="694" t="str">
        <f t="shared" si="0"/>
        <v/>
      </c>
      <c r="AI23" s="514" t="s">
        <v>76</v>
      </c>
      <c r="AQ23" s="665">
        <v>175000.01</v>
      </c>
      <c r="AR23" s="666" t="s">
        <v>1317</v>
      </c>
      <c r="AV23" s="1297" t="s">
        <v>1533</v>
      </c>
      <c r="AW23" s="1233" t="s">
        <v>1249</v>
      </c>
      <c r="AX23" s="1234" t="str">
        <f t="shared" si="1"/>
        <v>PT_010.8750000000</v>
      </c>
      <c r="AY23" s="1235">
        <f>[1]!PR_R19</f>
        <v>10.875</v>
      </c>
      <c r="AZ23" s="1236">
        <f>[1]!PR_ARM05_P19+Input_PL_Incentive_PR</f>
        <v>-2</v>
      </c>
      <c r="BA23" s="1236">
        <f>[1]!PR_FRM30_P19+Input_PL_Incentive_PR</f>
        <v>108.375</v>
      </c>
      <c r="BB23" s="1234">
        <f t="shared" si="5"/>
        <v>108.375</v>
      </c>
      <c r="BC23" s="1234" t="str">
        <f t="shared" si="3"/>
        <v>PT_108.3750000000</v>
      </c>
      <c r="BD23" s="1234"/>
      <c r="BE23" s="1298" t="s">
        <v>1820</v>
      </c>
      <c r="BG23" s="595" t="s">
        <v>382</v>
      </c>
      <c r="BH23" s="596" t="str">
        <f>INDEX([1]!List_StateInputAll,MATCH(BG23,[1]!List_StateInput,0),2)</f>
        <v>Non-CA</v>
      </c>
      <c r="BI23" s="597" t="str">
        <f>INDEX([1]!List_StateInputAll,MATCH(BG23,[1]!List_StateInput,0),3)</f>
        <v>Y</v>
      </c>
      <c r="BJ23" s="597" t="str">
        <f>INDEX([1]!List_StateInputAll,MATCH(BG23,[1]!List_StateInput,0),4)</f>
        <v>Y</v>
      </c>
      <c r="BK23" s="597" t="str">
        <f>INDEX([1]!List_StateInputAll,MATCH(BG23,[1]!List_StateInput,0),5)</f>
        <v xml:space="preserve"> </v>
      </c>
      <c r="BL23" s="597" t="str">
        <f>INDEX([1]!List_StateInputAll,MATCH(BG23,[1]!List_StateInput,0),6)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3" s="597" t="str">
        <f>INDEX([1]!List_StateInputAll,MATCH(BG23,[1]!List_StateInput,0),7)</f>
        <v xml:space="preserve"> </v>
      </c>
      <c r="BN23" s="597" t="str">
        <f>INDEX([1]!List_StateInputAll,MATCH(BG23,[1]!List_StateInput,0),8)</f>
        <v>Louisiana</v>
      </c>
      <c r="BO23" s="597" t="str">
        <f>INDEX([1]!List_StateInputAll,MATCH(BG23,[1]!List_StateInput,0),9)</f>
        <v>Y</v>
      </c>
      <c r="BP23" s="598" t="str">
        <f>INDEX([1]!List_StateInputAll,MATCH(BG23,[1]!List_StateInput,0),10)</f>
        <v>Y</v>
      </c>
      <c r="BQ23" s="597" t="str">
        <f>INDEX([1]!List_StateInputAll,MATCH(BG23,[1]!List_StateInput,0),11)</f>
        <v>N</v>
      </c>
      <c r="BR23" s="599" t="str">
        <f>INDEX([1]!List_StateInputAll,MATCH(BG23,[1]!List_StateInput,0),12)</f>
        <v>Y</v>
      </c>
      <c r="BS23" s="598" t="str">
        <f>INDEX([1]!List_StateInputAll,MATCH(BG23,[1]!List_StateInput,0),13)</f>
        <v xml:space="preserve"> </v>
      </c>
      <c r="BT23" s="578" t="str">
        <f>IF(OR(Input_Ratesheet_Source="Corr1",Input_Ratesheet_Source="Corr2",Input_Ratesheet_Source="Corr3",Input_Ratesheet_Source="CorrND"),BI23,IF(Input_Ratesheet_Source="Whol",IF(Input_Occupancy="Non Owner Occupied",BP23,BO23),IF(Input_Ratesheet_Source="Retl",IF(Input_Occupancy="Non Owner Occupied",IF(IF(IFERROR(FIND(Input_ProductClass,Structure!BS23),0)&gt;=1,"N","Y")="N","N",BR23),BQ23),"")))</f>
        <v>Y</v>
      </c>
      <c r="BU23" s="598" t="str">
        <f>INDEX([1]!List_StateInputAll,MATCH(BG23,[1]!List_StateInput,0),14)</f>
        <v>Wet</v>
      </c>
      <c r="BV23" s="598">
        <f>INDEX([1]!List_StateInputAll,MATCH(BG23,[1]!List_StateInput,0),15)</f>
        <v>1</v>
      </c>
      <c r="BW23" s="596" t="str">
        <f>INDEX([1]!List_StateInputAll,MATCH(BG23,[1]!List_StateInput,0),16)</f>
        <v>APOR</v>
      </c>
      <c r="BX23" s="600">
        <f>INDEX([1]!List_StateInputAll,MATCH(BG23,[1]!List_StateInput,0),17)</f>
        <v>6.5</v>
      </c>
      <c r="BY23" s="600">
        <f>INDEX([1]!List_StateInputAll,MATCH(BG23,[1]!List_StateInput,0),18)</f>
        <v>8.5</v>
      </c>
      <c r="BZ23" s="600">
        <f>INDEX([1]!List_StateInputAll,MATCH(BG23,[1]!List_StateInput,0),19)</f>
        <v>5</v>
      </c>
      <c r="CA23" s="597">
        <f>INDEX([1]!List_StateInputAll,MATCH(BG23,[1]!List_StateInput,0),20)</f>
        <v>0</v>
      </c>
      <c r="CB23" s="597" t="str">
        <f>INDEX([1]!List_StateInputAll,MATCH(BG23,[1]!List_StateInput,0),21)</f>
        <v>Owner Occupied</v>
      </c>
      <c r="CC23" s="597" t="str">
        <f>INDEX([1]!List_StateInputAll,MATCH(BG23,[1]!List_StateInput,0),22)</f>
        <v>Purchase, Rate-Term, Cash-Out</v>
      </c>
      <c r="CD23" s="598">
        <f>INDEX([1]!List_StateInputAll,MATCH(BG23,[1]!List_StateInput,0),23)</f>
        <v>0</v>
      </c>
      <c r="CE23" s="598" t="str">
        <f>INDEX([1]!List_StateInputAll,MATCH(BG23,[1]!List_StateInput,0),24)</f>
        <v>Y</v>
      </c>
    </row>
    <row r="24" spans="2:83" ht="9.6" customHeight="1" x14ac:dyDescent="0.2">
      <c r="B24" s="616"/>
      <c r="C24" s="617" t="s">
        <v>62</v>
      </c>
      <c r="D24" s="641">
        <f>Input_DSCR</f>
        <v>0</v>
      </c>
      <c r="E24" s="642"/>
      <c r="F24" s="670" t="str">
        <f>IF(INDEX(List_DocTypeAll,MATCH(Input_DocType,List_DocType,0),7)=INDEX(List_DSCR_All,MATCH(Input_DSCR,List_DSCR,1),3),"N","Y")</f>
        <v>N</v>
      </c>
      <c r="G24" s="644"/>
      <c r="H24" s="698">
        <f>IF(Error_DSCR="N",INDEX(Lookup_LLPAAll,MATCH(INDEX(List_ProductAll,MATCH(Input_Product,List_Product,0),2)&amp;"_"&amp;INDEX(List_DSCR_All,MATCH(Input_DSCR,List_DSCR,1),2),Lookup_LLPA,0),INDEX(List_LTV_All,MATCH(Input_LTV,List_LTV,-1),3)),#N/A)</f>
        <v>0</v>
      </c>
      <c r="I24" s="655" t="str">
        <f>IF(AND(Input_DSCR=0,INDEX(List_DocTypeAll,MATCH(Input_DocType,List_DocType,0),7)="Y"),"DSCR &gt; 0 Required",IF(AND(Input_DSCR&lt;&gt;0,INDEX(List_DocTypeAll,MATCH(Input_DocType,List_DocType,0),7)="N"),"DSCR Not Required",""))&amp;IF(Result_Msg2_LLPA_DSCR&gt;0,"Min DSCR "&amp;Result_Msg2_LLPA_DSCR,"")</f>
        <v/>
      </c>
      <c r="J24" s="621" t="s">
        <v>76</v>
      </c>
      <c r="K24" s="647" t="str">
        <f>INDEX(List_ProductAll,MATCH(Input_Product,List_Product,0),2)&amp;"_"&amp;INDEX(List_DSCR_All,MATCH(Input_DSCR,List_DSCR,1),2)</f>
        <v>PT_DSCR Not Applicable</v>
      </c>
      <c r="L24" s="514" t="s">
        <v>76</v>
      </c>
      <c r="U24" s="515"/>
      <c r="V24" s="515"/>
      <c r="X24" s="1309" t="s">
        <v>2645</v>
      </c>
      <c r="Y24" s="1309" t="s">
        <v>67</v>
      </c>
      <c r="Z24" s="1310">
        <f>-Input_PL_IncentiveMaxAdj_LenderPaidComp+Input_PL_MaxPriceBase_IE_02PP+Input_PL_Incentive_IE+Input_PL_IncentiveMaxAdj_IE</f>
        <v>102.75</v>
      </c>
      <c r="AA24" s="1311" cm="1">
        <f t="array" ref="AA24">[1]!Input_MaxPriceNet_IE_02PP</f>
        <v>102.75</v>
      </c>
      <c r="AB24" s="518"/>
      <c r="AH24" s="514" t="s">
        <v>76</v>
      </c>
      <c r="AJ24" s="514" t="s">
        <v>76</v>
      </c>
      <c r="AQ24" s="695">
        <v>200000.01</v>
      </c>
      <c r="AR24" s="696" t="s">
        <v>311</v>
      </c>
      <c r="AV24" s="1297" t="s">
        <v>1533</v>
      </c>
      <c r="AW24" s="1233" t="s">
        <v>1249</v>
      </c>
      <c r="AX24" s="1234" t="str">
        <f t="shared" si="1"/>
        <v>PT_010.7500000000</v>
      </c>
      <c r="AY24" s="1235">
        <f>[1]!PR_R20</f>
        <v>10.75</v>
      </c>
      <c r="AZ24" s="1236">
        <f>[1]!PR_ARM05_P20+Input_PL_Incentive_PR</f>
        <v>-2</v>
      </c>
      <c r="BA24" s="1236">
        <f>[1]!PR_FRM30_P20+Input_PL_Incentive_PR</f>
        <v>108.125</v>
      </c>
      <c r="BB24" s="1234">
        <f t="shared" si="5"/>
        <v>108.125</v>
      </c>
      <c r="BC24" s="1234" t="str">
        <f t="shared" si="3"/>
        <v>PT_108.1250000000</v>
      </c>
      <c r="BD24" s="1234"/>
      <c r="BE24" s="1298" t="s">
        <v>1821</v>
      </c>
      <c r="BG24" s="595" t="s">
        <v>383</v>
      </c>
      <c r="BH24" s="596" t="str">
        <f>INDEX([1]!List_StateInputAll,MATCH(BG24,[1]!List_StateInput,0),2)</f>
        <v>Non-CA</v>
      </c>
      <c r="BI24" s="597" t="str">
        <f>INDEX([1]!List_StateInputAll,MATCH(BG24,[1]!List_StateInput,0),3)</f>
        <v>Y</v>
      </c>
      <c r="BJ24" s="597" t="str">
        <f>INDEX([1]!List_StateInputAll,MATCH(BG24,[1]!List_StateInput,0),4)</f>
        <v>Y</v>
      </c>
      <c r="BK24" s="597" t="str">
        <f>INDEX([1]!List_StateInputAll,MATCH(BG24,[1]!List_StateInput,0),5)</f>
        <v xml:space="preserve"> </v>
      </c>
      <c r="BL24" s="597" t="str">
        <f>INDEX([1]!List_StateInputAll,MATCH(BG24,[1]!List_StateInput,0),6)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4" s="597" t="str">
        <f>INDEX([1]!List_StateInputAll,MATCH(BG24,[1]!List_StateInput,0),7)</f>
        <v xml:space="preserve"> </v>
      </c>
      <c r="BN24" s="597" t="str">
        <f>INDEX([1]!List_StateInputAll,MATCH(BG24,[1]!List_StateInput,0),8)</f>
        <v>Massachusetts</v>
      </c>
      <c r="BO24" s="597" t="str">
        <f>INDEX([1]!List_StateInputAll,MATCH(BG24,[1]!List_StateInput,0),9)</f>
        <v>N</v>
      </c>
      <c r="BP24" s="598" t="str">
        <f>INDEX([1]!List_StateInputAll,MATCH(BG24,[1]!List_StateInput,0),10)</f>
        <v>Y</v>
      </c>
      <c r="BQ24" s="597" t="str">
        <f>INDEX([1]!List_StateInputAll,MATCH(BG24,[1]!List_StateInput,0),11)</f>
        <v>N</v>
      </c>
      <c r="BR24" s="599" t="str">
        <f>INDEX([1]!List_StateInputAll,MATCH(BG24,[1]!List_StateInput,0),12)</f>
        <v>Y</v>
      </c>
      <c r="BS24" s="598" t="str">
        <f>INDEX([1]!List_StateInputAll,MATCH(BG24,[1]!List_StateInput,0),13)</f>
        <v xml:space="preserve"> </v>
      </c>
      <c r="BT24" s="578" t="str">
        <f>IF(OR(Input_Ratesheet_Source="Corr1",Input_Ratesheet_Source="Corr2",Input_Ratesheet_Source="Corr3",Input_Ratesheet_Source="CorrND"),BI24,IF(Input_Ratesheet_Source="Whol",IF(Input_Occupancy="Non Owner Occupied",BP24,BO24),IF(Input_Ratesheet_Source="Retl",IF(Input_Occupancy="Non Owner Occupied",IF(IF(IFERROR(FIND(Input_ProductClass,Structure!BS24),0)&gt;=1,"N","Y")="N","N",BR24),BQ24),"")))</f>
        <v>Y</v>
      </c>
      <c r="BU24" s="598" t="str">
        <f>INDEX([1]!List_StateInputAll,MATCH(BG24,[1]!List_StateInput,0),14)</f>
        <v>Wet</v>
      </c>
      <c r="BV24" s="598">
        <f>INDEX([1]!List_StateInputAll,MATCH(BG24,[1]!List_StateInput,0),15)</f>
        <v>1</v>
      </c>
      <c r="BW24" s="596" t="str">
        <f>INDEX([1]!List_StateInputAll,MATCH(BG24,[1]!List_StateInput,0),16)</f>
        <v>Treasury</v>
      </c>
      <c r="BX24" s="600">
        <f>INDEX([1]!List_StateInputAll,MATCH(BG24,[1]!List_StateInput,0),17)</f>
        <v>8</v>
      </c>
      <c r="BY24" s="600">
        <f>INDEX([1]!List_StateInputAll,MATCH(BG24,[1]!List_StateInput,0),18)</f>
        <v>9</v>
      </c>
      <c r="BZ24" s="600">
        <f>INDEX([1]!List_StateInputAll,MATCH(BG24,[1]!List_StateInput,0),19)</f>
        <v>5</v>
      </c>
      <c r="CA24" s="597">
        <f>INDEX([1]!List_StateInputAll,MATCH(BG24,[1]!List_StateInput,0),20)</f>
        <v>0</v>
      </c>
      <c r="CB24" s="597" t="str">
        <f>INDEX([1]!List_StateInputAll,MATCH(BG24,[1]!List_StateInput,0),21)</f>
        <v>Owner Occupied</v>
      </c>
      <c r="CC24" s="597" t="str">
        <f>INDEX([1]!List_StateInputAll,MATCH(BG24,[1]!List_StateInput,0),22)</f>
        <v>Purchase, Rate-Term, Cash-Out</v>
      </c>
      <c r="CD24" s="598">
        <f>INDEX([1]!List_StateInputAll,MATCH(BG24,[1]!List_StateInput,0),23)</f>
        <v>0</v>
      </c>
      <c r="CE24" s="598" t="str">
        <f>INDEX([1]!List_StateInputAll,MATCH(BG24,[1]!List_StateInput,0),24)</f>
        <v>N</v>
      </c>
    </row>
    <row r="25" spans="2:83" ht="9.6" customHeight="1" x14ac:dyDescent="0.2">
      <c r="B25" s="616"/>
      <c r="C25" s="617" t="s">
        <v>33</v>
      </c>
      <c r="D25" s="641" t="str">
        <f>Input_Purpose</f>
        <v>Cash-Out</v>
      </c>
      <c r="E25" s="642"/>
      <c r="F25" s="643"/>
      <c r="G25" s="644"/>
      <c r="H25" s="645">
        <f>INDEX(Lookup_LLPAAll,MATCH(INDEX(List_ProductAll,MATCH(Input_Product,List_Product,0),2)&amp;"_"&amp;INDEX(List_Purpose_All,MATCH(Input_Purpose,List_Purpose,0),2),Lookup_LLPA,0),INDEX(List_LTV_All,MATCH(Input_LTV,List_LTV,-1),3))</f>
        <v>0</v>
      </c>
      <c r="I25" s="703" t="s">
        <v>76</v>
      </c>
      <c r="J25" s="621" t="s">
        <v>76</v>
      </c>
      <c r="K25" s="647" t="str">
        <f>INDEX(List_ProductAll,MATCH(Input_Product,List_Product,0),2)&amp;"_"&amp;Input_Purpose</f>
        <v>PT_Cash-Out</v>
      </c>
      <c r="L25" s="514" t="s">
        <v>76</v>
      </c>
      <c r="U25" s="515"/>
      <c r="V25" s="515"/>
      <c r="X25" s="1309" t="s">
        <v>2646</v>
      </c>
      <c r="Y25" s="1309" t="s">
        <v>66</v>
      </c>
      <c r="Z25" s="1310">
        <f>-Input_PL_IncentiveMaxAdj_LenderPaidComp+Input_PL_MaxPriceBase_IE_03PP+Input_PL_Incentive_IE+Input_PL_IncentiveMaxAdj_IE</f>
        <v>103.25</v>
      </c>
      <c r="AA25" s="1311" cm="1">
        <f t="array" ref="AA25">[1]!Input_MaxPriceNet_IE_03PP</f>
        <v>103.25</v>
      </c>
      <c r="AB25" s="518"/>
      <c r="AC25" s="700" t="s">
        <v>80</v>
      </c>
      <c r="AD25" s="701" t="s">
        <v>109</v>
      </c>
      <c r="AE25" s="702">
        <f>INDEX(List_BankStmtAll,MATCH(Input_BankStmt,List_BankStmt,0),3)</f>
        <v>0</v>
      </c>
      <c r="AH25" s="514" t="s">
        <v>76</v>
      </c>
      <c r="AJ25" s="514" t="s">
        <v>76</v>
      </c>
      <c r="AQ25" s="695">
        <v>300000.01</v>
      </c>
      <c r="AR25" s="697" t="s">
        <v>251</v>
      </c>
      <c r="AV25" s="1297" t="s">
        <v>1533</v>
      </c>
      <c r="AW25" s="1233" t="s">
        <v>1249</v>
      </c>
      <c r="AX25" s="1234" t="str">
        <f t="shared" si="1"/>
        <v>PT_010.6250000000</v>
      </c>
      <c r="AY25" s="1235">
        <f>[1]!PR_R21</f>
        <v>10.625</v>
      </c>
      <c r="AZ25" s="1236">
        <f>[1]!PR_ARM05_P21+Input_PL_Incentive_PR</f>
        <v>-2</v>
      </c>
      <c r="BA25" s="1236">
        <f>[1]!PR_FRM30_P21+Input_PL_Incentive_PR</f>
        <v>107.875</v>
      </c>
      <c r="BB25" s="1234">
        <f t="shared" si="5"/>
        <v>107.875</v>
      </c>
      <c r="BC25" s="1234" t="str">
        <f t="shared" si="3"/>
        <v>PT_107.8750000000</v>
      </c>
      <c r="BD25" s="1234"/>
      <c r="BE25" s="1298" t="s">
        <v>1822</v>
      </c>
      <c r="BG25" s="595" t="s">
        <v>116</v>
      </c>
      <c r="BH25" s="596" t="str">
        <f>INDEX([1]!List_StateInputAll,MATCH(BG25,[1]!List_StateInput,0),2)</f>
        <v>Non-CA</v>
      </c>
      <c r="BI25" s="597" t="str">
        <f>INDEX([1]!List_StateInputAll,MATCH(BG25,[1]!List_StateInput,0),3)</f>
        <v>N</v>
      </c>
      <c r="BJ25" s="597" t="str">
        <f>INDEX([1]!List_StateInputAll,MATCH(BG25,[1]!List_StateInput,0),4)</f>
        <v>Y</v>
      </c>
      <c r="BK25" s="597" t="str">
        <f>INDEX([1]!List_StateInputAll,MATCH(BG25,[1]!List_StateInput,0),5)</f>
        <v xml:space="preserve"> </v>
      </c>
      <c r="BL25" s="627" t="str">
        <f>INDEX([1]!List_StateInputAll,MATCH(BG25,[1]!List_StateInput,0),6)</f>
        <v>No Prepay, 1yr Prepay_Standard, 2yr Prepay_Standard, 3yr Prepay_Standard, 1yr Prepay_5Pct, 2yr Prepay_5Pct, 3yr Prepay_5Pct, 1yr Prepay_1, 2yr Prepay_21, 3yr Prepay_321, 1yr Prepay_Soft, 2yr Prepay_Soft, 3yr Prepay_Soft</v>
      </c>
      <c r="BM25" s="597" t="str">
        <f>INDEX([1]!List_StateInputAll,MATCH(BG25,[1]!List_StateInput,0),7)</f>
        <v>Prepay Restriction May Apply</v>
      </c>
      <c r="BN25" s="597" t="str">
        <f>INDEX([1]!List_StateInputAll,MATCH(BG25,[1]!List_StateInput,0),8)</f>
        <v>Maryland</v>
      </c>
      <c r="BO25" s="597" t="str">
        <f>INDEX([1]!List_StateInputAll,MATCH(BG25,[1]!List_StateInput,0),9)</f>
        <v>N</v>
      </c>
      <c r="BP25" s="598" t="str">
        <f>INDEX([1]!List_StateInputAll,MATCH(BG25,[1]!List_StateInput,0),10)</f>
        <v>Y</v>
      </c>
      <c r="BQ25" s="597" t="str">
        <f>INDEX([1]!List_StateInputAll,MATCH(BG25,[1]!List_StateInput,0),11)</f>
        <v>N</v>
      </c>
      <c r="BR25" s="599" t="str">
        <f>INDEX([1]!List_StateInputAll,MATCH(BG25,[1]!List_StateInput,0),12)</f>
        <v>Y</v>
      </c>
      <c r="BS25" s="598" t="str">
        <f>INDEX([1]!List_StateInputAll,MATCH(BG25,[1]!List_StateInput,0),13)</f>
        <v xml:space="preserve"> </v>
      </c>
      <c r="BT25" s="578" t="str">
        <f>IF(OR(Input_Ratesheet_Source="Corr1",Input_Ratesheet_Source="Corr2",Input_Ratesheet_Source="Corr3",Input_Ratesheet_Source="CorrND"),BI25,IF(Input_Ratesheet_Source="Whol",IF(Input_Occupancy="Non Owner Occupied",BP25,BO25),IF(Input_Ratesheet_Source="Retl",IF(Input_Occupancy="Non Owner Occupied",IF(IF(IFERROR(FIND(Input_ProductClass,Structure!BS25),0)&gt;=1,"N","Y")="N","N",BR25),BQ25),"")))</f>
        <v>N</v>
      </c>
      <c r="BU25" s="598" t="str">
        <f>INDEX([1]!List_StateInputAll,MATCH(BG25,[1]!List_StateInput,0),14)</f>
        <v>Wet</v>
      </c>
      <c r="BV25" s="598">
        <f>INDEX([1]!List_StateInputAll,MATCH(BG25,[1]!List_StateInput,0),15)</f>
        <v>1</v>
      </c>
      <c r="BW25" s="596" t="str">
        <f>INDEX([1]!List_StateInputAll,MATCH(BG25,[1]!List_StateInput,0),16)</f>
        <v>APOR</v>
      </c>
      <c r="BX25" s="600">
        <f>INDEX([1]!List_StateInputAll,MATCH(BG25,[1]!List_StateInput,0),17)</f>
        <v>6.5</v>
      </c>
      <c r="BY25" s="600">
        <f>INDEX([1]!List_StateInputAll,MATCH(BG25,[1]!List_StateInput,0),18)</f>
        <v>7.5</v>
      </c>
      <c r="BZ25" s="600">
        <f>INDEX([1]!List_StateInputAll,MATCH(BG25,[1]!List_StateInput,0),19)</f>
        <v>4</v>
      </c>
      <c r="CA25" s="597">
        <f>INDEX([1]!List_StateInputAll,MATCH(BG25,[1]!List_StateInput,0),20)</f>
        <v>0</v>
      </c>
      <c r="CB25" s="597" t="str">
        <f>INDEX([1]!List_StateInputAll,MATCH(BG25,[1]!List_StateInput,0),21)</f>
        <v>Owner Occupied, Second Home</v>
      </c>
      <c r="CC25" s="597" t="str">
        <f>INDEX([1]!List_StateInputAll,MATCH(BG25,[1]!List_StateInput,0),22)</f>
        <v>Purchase, Rate-Term, Cash-Out</v>
      </c>
      <c r="CD25" s="598">
        <f>INDEX([1]!List_StateInputAll,MATCH(BG25,[1]!List_StateInput,0),23)</f>
        <v>0</v>
      </c>
      <c r="CE25" s="598" t="str">
        <f>INDEX([1]!List_StateInputAll,MATCH(BG25,[1]!List_StateInput,0),24)</f>
        <v>N</v>
      </c>
    </row>
    <row r="26" spans="2:83" ht="9.6" customHeight="1" x14ac:dyDescent="0.2">
      <c r="B26" s="616"/>
      <c r="C26" s="664" t="s">
        <v>256</v>
      </c>
      <c r="D26" s="641">
        <f>Input_CashoutAmt</f>
        <v>200000</v>
      </c>
      <c r="E26" s="642"/>
      <c r="F26" s="707" t="str">
        <f>IF(AND(Input_Purpose="Cash-Out",Input_CashoutAmt&gt;Elig_OverlayLimit_CashoutAmt_Max),"Y",IF(AND(Input_Purpose="Cash-Out",Input_CashoutAmt=0),"Y","N"))</f>
        <v>N</v>
      </c>
      <c r="G26" s="644"/>
      <c r="H26" s="708">
        <f>IF(Error_CashoutAmt="Y",#N/A,0)</f>
        <v>0</v>
      </c>
      <c r="I26" s="709" t="str">
        <f>TRIM(IF(Error_CashoutAmt="Y","Max Cashout "&amp;Elig_OverlayLimit_CashoutAmt_Max,"")&amp;" "&amp;IF(Input_CashoutAmt&gt;Input_LoanAmt,"C/O Amt &gt; Loan Amt",""))</f>
        <v/>
      </c>
      <c r="J26" s="621">
        <f>Elig_OverlayLimit_CashoutAmt_Max</f>
        <v>250000</v>
      </c>
      <c r="K26" s="631"/>
      <c r="L26" s="514" t="s">
        <v>76</v>
      </c>
      <c r="U26" s="515"/>
      <c r="V26" s="515"/>
      <c r="X26" s="1309" t="s">
        <v>2647</v>
      </c>
      <c r="Y26" s="1309" t="s">
        <v>165</v>
      </c>
      <c r="Z26" s="1310">
        <f>-Input_PL_IncentiveMaxAdj_LenderPaidComp+Input_PL_MaxPriceBase_IE_04PP+Input_PL_Incentive_IE+Input_PL_IncentiveMaxAdj_IE</f>
        <v>103.5</v>
      </c>
      <c r="AA26" s="1311" cm="1">
        <f t="array" ref="AA26">[1]!Input_MaxPriceNet_IE_04PP</f>
        <v>103.5</v>
      </c>
      <c r="AB26" s="518"/>
      <c r="AC26" s="704" t="s">
        <v>77</v>
      </c>
      <c r="AD26" s="705" t="s">
        <v>138</v>
      </c>
      <c r="AE26" s="706">
        <v>24</v>
      </c>
      <c r="AG26" s="514" t="s">
        <v>76</v>
      </c>
      <c r="AH26" s="514" t="s">
        <v>76</v>
      </c>
      <c r="AI26" s="514" t="s">
        <v>76</v>
      </c>
      <c r="AJ26" s="514" t="s">
        <v>76</v>
      </c>
      <c r="AQ26" s="695">
        <v>400000.01</v>
      </c>
      <c r="AR26" s="697" t="s">
        <v>12</v>
      </c>
      <c r="AV26" s="1297" t="s">
        <v>1533</v>
      </c>
      <c r="AW26" s="1233" t="s">
        <v>1249</v>
      </c>
      <c r="AX26" s="1234" t="str">
        <f t="shared" si="1"/>
        <v>PT_010.5000000000</v>
      </c>
      <c r="AY26" s="1235">
        <f>[1]!PR_R22</f>
        <v>10.5</v>
      </c>
      <c r="AZ26" s="1236">
        <f>[1]!PR_ARM05_P22+Input_PL_Incentive_PR</f>
        <v>-2</v>
      </c>
      <c r="BA26" s="1236">
        <f>[1]!PR_FRM30_P22+Input_PL_Incentive_PR</f>
        <v>107.625</v>
      </c>
      <c r="BB26" s="1234">
        <f t="shared" si="5"/>
        <v>107.625</v>
      </c>
      <c r="BC26" s="1234" t="str">
        <f t="shared" si="3"/>
        <v>PT_107.6250000000</v>
      </c>
      <c r="BD26" s="1234"/>
      <c r="BE26" s="1298" t="s">
        <v>1823</v>
      </c>
      <c r="BG26" s="595" t="s">
        <v>384</v>
      </c>
      <c r="BH26" s="596" t="str">
        <f>INDEX([1]!List_StateInputAll,MATCH(BG26,[1]!List_StateInput,0),2)</f>
        <v>Non-CA</v>
      </c>
      <c r="BI26" s="597" t="str">
        <f>INDEX([1]!List_StateInputAll,MATCH(BG26,[1]!List_StateInput,0),3)</f>
        <v>Y</v>
      </c>
      <c r="BJ26" s="597" t="str">
        <f>INDEX([1]!List_StateInputAll,MATCH(BG26,[1]!List_StateInput,0),4)</f>
        <v>Y</v>
      </c>
      <c r="BK26" s="597" t="str">
        <f>INDEX([1]!List_StateInputAll,MATCH(BG26,[1]!List_StateInput,0),5)</f>
        <v xml:space="preserve"> </v>
      </c>
      <c r="BL26" s="597" t="str">
        <f>INDEX([1]!List_StateInputAll,MATCH(BG26,[1]!List_StateInput,0),6)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6" s="597" t="str">
        <f>INDEX([1]!List_StateInputAll,MATCH(BG26,[1]!List_StateInput,0),7)</f>
        <v xml:space="preserve"> </v>
      </c>
      <c r="BN26" s="597" t="str">
        <f>INDEX([1]!List_StateInputAll,MATCH(BG26,[1]!List_StateInput,0),8)</f>
        <v>Maine</v>
      </c>
      <c r="BO26" s="597" t="str">
        <f>INDEX([1]!List_StateInputAll,MATCH(BG26,[1]!List_StateInput,0),9)</f>
        <v>Y</v>
      </c>
      <c r="BP26" s="598" t="str">
        <f>INDEX([1]!List_StateInputAll,MATCH(BG26,[1]!List_StateInput,0),10)</f>
        <v>Y</v>
      </c>
      <c r="BQ26" s="597" t="str">
        <f>INDEX([1]!List_StateInputAll,MATCH(BG26,[1]!List_StateInput,0),11)</f>
        <v>N</v>
      </c>
      <c r="BR26" s="599" t="str">
        <f>INDEX([1]!List_StateInputAll,MATCH(BG26,[1]!List_StateInput,0),12)</f>
        <v>Y</v>
      </c>
      <c r="BS26" s="598" t="str">
        <f>INDEX([1]!List_StateInputAll,MATCH(BG26,[1]!List_StateInput,0),13)</f>
        <v xml:space="preserve"> </v>
      </c>
      <c r="BT26" s="578" t="str">
        <f>IF(OR(Input_Ratesheet_Source="Corr1",Input_Ratesheet_Source="Corr2",Input_Ratesheet_Source="Corr3",Input_Ratesheet_Source="CorrND"),BI26,IF(Input_Ratesheet_Source="Whol",IF(Input_Occupancy="Non Owner Occupied",BP26,BO26),IF(Input_Ratesheet_Source="Retl",IF(Input_Occupancy="Non Owner Occupied",IF(IF(IFERROR(FIND(Input_ProductClass,Structure!BS26),0)&gt;=1,"N","Y")="N","N",BR26),BQ26),"")))</f>
        <v>Y</v>
      </c>
      <c r="BU26" s="598" t="str">
        <f>INDEX([1]!List_StateInputAll,MATCH(BG26,[1]!List_StateInput,0),14)</f>
        <v>Wet</v>
      </c>
      <c r="BV26" s="598">
        <f>INDEX([1]!List_StateInputAll,MATCH(BG26,[1]!List_StateInput,0),15)</f>
        <v>1</v>
      </c>
      <c r="BW26" s="596" t="str">
        <f>INDEX([1]!List_StateInputAll,MATCH(BG26,[1]!List_StateInput,0),16)</f>
        <v>APOR</v>
      </c>
      <c r="BX26" s="600">
        <f>INDEX([1]!List_StateInputAll,MATCH(BG26,[1]!List_StateInput,0),17)</f>
        <v>6.5</v>
      </c>
      <c r="BY26" s="600">
        <f>INDEX([1]!List_StateInputAll,MATCH(BG26,[1]!List_StateInput,0),18)</f>
        <v>8.5</v>
      </c>
      <c r="BZ26" s="600">
        <f>INDEX([1]!List_StateInputAll,MATCH(BG26,[1]!List_StateInput,0),19)</f>
        <v>5</v>
      </c>
      <c r="CA26" s="597" t="str">
        <f>INDEX([1]!List_StateInputAll,MATCH(BG26,[1]!List_StateInput,0),20)</f>
        <v>Agency</v>
      </c>
      <c r="CB26" s="597" t="str">
        <f>INDEX([1]!List_StateInputAll,MATCH(BG26,[1]!List_StateInput,0),21)</f>
        <v>Owner Occupied</v>
      </c>
      <c r="CC26" s="597" t="str">
        <f>INDEX([1]!List_StateInputAll,MATCH(BG26,[1]!List_StateInput,0),22)</f>
        <v>Purchase, Rate-Term, Cash-Out</v>
      </c>
      <c r="CD26" s="598">
        <f>INDEX([1]!List_StateInputAll,MATCH(BG26,[1]!List_StateInput,0),23)</f>
        <v>0</v>
      </c>
      <c r="CE26" s="598" t="str">
        <f>INDEX([1]!List_StateInputAll,MATCH(BG26,[1]!List_StateInput,0),24)</f>
        <v>N</v>
      </c>
    </row>
    <row r="27" spans="2:83" ht="9.6" customHeight="1" x14ac:dyDescent="0.2">
      <c r="B27" s="616"/>
      <c r="C27" s="617" t="s">
        <v>36</v>
      </c>
      <c r="D27" s="641" t="str">
        <f>Input_PropertyType</f>
        <v>SFR</v>
      </c>
      <c r="E27" s="642"/>
      <c r="F27" s="643"/>
      <c r="G27" s="644"/>
      <c r="H27" s="645">
        <f>INDEX(Lookup_LLPAAll,MATCH(INDEX(List_ProductAll,MATCH(Input_Product,List_Product,0),2)&amp;"_"&amp;Input_PropertyType,Lookup_LLPA,0),INDEX(List_LTV_All,MATCH(Input_LTV,List_LTV,-1),3))</f>
        <v>0</v>
      </c>
      <c r="I27" s="703" t="s">
        <v>76</v>
      </c>
      <c r="J27" s="621" t="s">
        <v>76</v>
      </c>
      <c r="K27" s="647" t="str">
        <f>INDEX(List_ProductAll,MATCH(Input_Product,List_Product,0),2)&amp;"_"&amp;Input_PropertyType</f>
        <v>PT_SFR</v>
      </c>
      <c r="L27" s="514" t="s">
        <v>76</v>
      </c>
      <c r="U27" s="515"/>
      <c r="V27" s="515"/>
      <c r="X27" s="1312" t="s">
        <v>2648</v>
      </c>
      <c r="Y27" s="1312" t="s">
        <v>166</v>
      </c>
      <c r="Z27" s="1313">
        <f>-Input_PL_IncentiveMaxAdj_LenderPaidComp+Input_PL_MaxPriceBase_IE_05PP+Input_PL_Incentive_IE+Input_PL_IncentiveMaxAdj_IE</f>
        <v>104</v>
      </c>
      <c r="AA27" s="1314" cm="1">
        <f t="array" ref="AA27">[1]!Input_MaxPriceNet_IE_05PP</f>
        <v>104</v>
      </c>
      <c r="AB27" s="518"/>
      <c r="AC27" s="710" t="s">
        <v>78</v>
      </c>
      <c r="AD27" s="711" t="s">
        <v>139</v>
      </c>
      <c r="AE27" s="711">
        <v>12</v>
      </c>
      <c r="AG27" s="514" t="s">
        <v>76</v>
      </c>
      <c r="AH27" s="514" t="s">
        <v>76</v>
      </c>
      <c r="AI27" s="514" t="s">
        <v>76</v>
      </c>
      <c r="AJ27" s="514" t="s">
        <v>76</v>
      </c>
      <c r="AQ27" s="695">
        <v>600000.01</v>
      </c>
      <c r="AR27" s="697" t="s">
        <v>13</v>
      </c>
      <c r="AV27" s="1297" t="s">
        <v>1533</v>
      </c>
      <c r="AW27" s="1233" t="s">
        <v>1249</v>
      </c>
      <c r="AX27" s="1234" t="str">
        <f t="shared" si="1"/>
        <v>PT_010.3750000000</v>
      </c>
      <c r="AY27" s="1235">
        <f>[1]!PR_R23</f>
        <v>10.375</v>
      </c>
      <c r="AZ27" s="1236">
        <f>[1]!PR_ARM05_P23+Input_PL_Incentive_PR</f>
        <v>-2</v>
      </c>
      <c r="BA27" s="1236">
        <f>[1]!PR_FRM30_P23+Input_PL_Incentive_PR</f>
        <v>107.375</v>
      </c>
      <c r="BB27" s="1234">
        <f t="shared" si="5"/>
        <v>107.375</v>
      </c>
      <c r="BC27" s="1234" t="str">
        <f t="shared" si="3"/>
        <v>PT_107.3750000000</v>
      </c>
      <c r="BD27" s="1234"/>
      <c r="BE27" s="1298" t="s">
        <v>1824</v>
      </c>
      <c r="BG27" s="595" t="s">
        <v>385</v>
      </c>
      <c r="BH27" s="596" t="str">
        <f>INDEX([1]!List_StateInputAll,MATCH(BG27,[1]!List_StateInput,0),2)</f>
        <v>Non-CA</v>
      </c>
      <c r="BI27" s="597" t="str">
        <f>INDEX([1]!List_StateInputAll,MATCH(BG27,[1]!List_StateInput,0),3)</f>
        <v>Y</v>
      </c>
      <c r="BJ27" s="597" t="str">
        <f>INDEX([1]!List_StateInputAll,MATCH(BG27,[1]!List_StateInput,0),4)</f>
        <v>Y</v>
      </c>
      <c r="BK27" s="597" t="str">
        <f>INDEX([1]!List_StateInputAll,MATCH(BG27,[1]!List_StateInput,0),5)</f>
        <v xml:space="preserve"> </v>
      </c>
      <c r="BL27" s="627" t="str">
        <f>INDEX([1]!List_StateInputAll,MATCH(BG27,[1]!List_StateInput,0),6)</f>
        <v>No Prepay, 1yr Prepay_Standard, 2yr Prepay_Standard, 3yr Prepay_Standard, 1yr Prepay_1, 1yr Prepay_Soft, 2yr Prepay_Soft, 3yr Prepay_Soft</v>
      </c>
      <c r="BM27" s="597" t="str">
        <f>INDEX([1]!List_StateInputAll,MATCH(BG27,[1]!List_StateInput,0),7)</f>
        <v>Prepay Restriction May Apply</v>
      </c>
      <c r="BN27" s="597" t="str">
        <f>INDEX([1]!List_StateInputAll,MATCH(BG27,[1]!List_StateInput,0),8)</f>
        <v>Michigan</v>
      </c>
      <c r="BO27" s="597" t="str">
        <f>INDEX([1]!List_StateInputAll,MATCH(BG27,[1]!List_StateInput,0),9)</f>
        <v>Y</v>
      </c>
      <c r="BP27" s="598" t="str">
        <f>INDEX([1]!List_StateInputAll,MATCH(BG27,[1]!List_StateInput,0),10)</f>
        <v>Y</v>
      </c>
      <c r="BQ27" s="597" t="str">
        <f>INDEX([1]!List_StateInputAll,MATCH(BG27,[1]!List_StateInput,0),11)</f>
        <v>N</v>
      </c>
      <c r="BR27" s="599" t="str">
        <f>INDEX([1]!List_StateInputAll,MATCH(BG27,[1]!List_StateInput,0),12)</f>
        <v>Y</v>
      </c>
      <c r="BS27" s="598" t="str">
        <f>INDEX([1]!List_StateInputAll,MATCH(BG27,[1]!List_StateInput,0),13)</f>
        <v xml:space="preserve"> </v>
      </c>
      <c r="BT27" s="578" t="str">
        <f>IF(OR(Input_Ratesheet_Source="Corr1",Input_Ratesheet_Source="Corr2",Input_Ratesheet_Source="Corr3",Input_Ratesheet_Source="CorrND"),BI27,IF(Input_Ratesheet_Source="Whol",IF(Input_Occupancy="Non Owner Occupied",BP27,BO27),IF(Input_Ratesheet_Source="Retl",IF(Input_Occupancy="Non Owner Occupied",IF(IF(IFERROR(FIND(Input_ProductClass,Structure!BS27),0)&gt;=1,"N","Y")="N","N",BR27),BQ27),"")))</f>
        <v>Y</v>
      </c>
      <c r="BU27" s="598" t="str">
        <f>INDEX([1]!List_StateInputAll,MATCH(BG27,[1]!List_StateInput,0),14)</f>
        <v>Wet</v>
      </c>
      <c r="BV27" s="598">
        <f>INDEX([1]!List_StateInputAll,MATCH(BG27,[1]!List_StateInput,0),15)</f>
        <v>1</v>
      </c>
      <c r="BW27" s="596" t="str">
        <f>INDEX([1]!List_StateInputAll,MATCH(BG27,[1]!List_StateInput,0),16)</f>
        <v>APOR</v>
      </c>
      <c r="BX27" s="600">
        <f>INDEX([1]!List_StateInputAll,MATCH(BG27,[1]!List_StateInput,0),17)</f>
        <v>6.5</v>
      </c>
      <c r="BY27" s="600">
        <f>INDEX([1]!List_StateInputAll,MATCH(BG27,[1]!List_StateInput,0),18)</f>
        <v>8.5</v>
      </c>
      <c r="BZ27" s="600">
        <f>INDEX([1]!List_StateInputAll,MATCH(BG27,[1]!List_StateInput,0),19)</f>
        <v>5</v>
      </c>
      <c r="CA27" s="597">
        <f>INDEX([1]!List_StateInputAll,MATCH(BG27,[1]!List_StateInput,0),20)</f>
        <v>0</v>
      </c>
      <c r="CB27" s="597" t="str">
        <f>INDEX([1]!List_StateInputAll,MATCH(BG27,[1]!List_StateInput,0),21)</f>
        <v>Owner Occupied</v>
      </c>
      <c r="CC27" s="597" t="str">
        <f>INDEX([1]!List_StateInputAll,MATCH(BG27,[1]!List_StateInput,0),22)</f>
        <v>Purchase, Rate-Term, Cash-Out</v>
      </c>
      <c r="CD27" s="598">
        <f>INDEX([1]!List_StateInputAll,MATCH(BG27,[1]!List_StateInput,0),23)</f>
        <v>0</v>
      </c>
      <c r="CE27" s="598" t="str">
        <f>INDEX([1]!List_StateInputAll,MATCH(BG27,[1]!List_StateInput,0),24)</f>
        <v>Y</v>
      </c>
    </row>
    <row r="28" spans="2:83" ht="9.6" customHeight="1" x14ac:dyDescent="0.2">
      <c r="B28" s="616"/>
      <c r="C28" s="617" t="s">
        <v>429</v>
      </c>
      <c r="D28" s="641" t="str" cm="1">
        <f t="array" ref="D28">Input_ValuationType</f>
        <v>Full Appraisal</v>
      </c>
      <c r="E28" s="642"/>
      <c r="F28" s="643"/>
      <c r="G28" s="644"/>
      <c r="H28" s="645">
        <f>INDEX(Lookup_LLPAAll,MATCH(INDEX(List_ProductAll,MATCH(Input_Product,List_Product,0),2)&amp;"_"&amp;Input_ValuationType,Lookup_LLPA,0),INDEX(List_LTV_All,MATCH(Input_LTV,List_LTV,-1),3))</f>
        <v>0</v>
      </c>
      <c r="I28" s="703" t="s">
        <v>76</v>
      </c>
      <c r="J28" s="621" t="s">
        <v>76</v>
      </c>
      <c r="K28" s="647" t="str">
        <f>INDEX(List_ProductAll,MATCH(Input_Product,List_Product,0),2)&amp;"_"&amp;Input_ValuationType</f>
        <v>PT_Full Appraisal</v>
      </c>
      <c r="L28" s="514" t="s">
        <v>76</v>
      </c>
      <c r="U28" s="515"/>
      <c r="V28" s="515"/>
      <c r="X28" s="1309" t="s">
        <v>2152</v>
      </c>
      <c r="Y28" s="1309" t="s">
        <v>68</v>
      </c>
      <c r="Z28" s="1310">
        <f>-Input_PL_IncentiveMaxAdj_LenderPaidComp+Input_PL_MaxPriceBase_IE_01PP+Input_PL_Incentive_IE+Input_PL_IncentiveMaxAdj_IE</f>
        <v>102.5</v>
      </c>
      <c r="AA28" s="1311" cm="1">
        <f t="array" ref="AA28">[1]!Input_MaxPriceNet_IE_01PP</f>
        <v>102.5</v>
      </c>
      <c r="AB28" s="518"/>
      <c r="AC28" s="716" t="s">
        <v>136</v>
      </c>
      <c r="AD28" s="717" t="s">
        <v>137</v>
      </c>
      <c r="AE28" s="718">
        <v>0</v>
      </c>
      <c r="AG28" s="514" t="s">
        <v>76</v>
      </c>
      <c r="AH28" s="514" t="s">
        <v>76</v>
      </c>
      <c r="AI28" s="514" t="s">
        <v>76</v>
      </c>
      <c r="AJ28" s="514" t="s">
        <v>76</v>
      </c>
      <c r="AQ28" s="695">
        <v>750000.01</v>
      </c>
      <c r="AR28" s="696" t="s">
        <v>89</v>
      </c>
      <c r="AV28" s="1297" t="s">
        <v>1533</v>
      </c>
      <c r="AW28" s="1233" t="s">
        <v>1249</v>
      </c>
      <c r="AX28" s="1234" t="str">
        <f t="shared" si="1"/>
        <v>PT_010.2500000000</v>
      </c>
      <c r="AY28" s="1235">
        <f>[1]!PR_R24</f>
        <v>10.25</v>
      </c>
      <c r="AZ28" s="1236">
        <f>[1]!PR_ARM05_P24+Input_PL_Incentive_PR</f>
        <v>-2</v>
      </c>
      <c r="BA28" s="1236">
        <f>[1]!PR_FRM30_P24+Input_PL_Incentive_PR</f>
        <v>107.125</v>
      </c>
      <c r="BB28" s="1234">
        <f t="shared" si="5"/>
        <v>107.125</v>
      </c>
      <c r="BC28" s="1234" t="str">
        <f t="shared" si="3"/>
        <v>PT_107.1250000000</v>
      </c>
      <c r="BD28" s="1234"/>
      <c r="BE28" s="1298" t="s">
        <v>1825</v>
      </c>
      <c r="BG28" s="595" t="s">
        <v>386</v>
      </c>
      <c r="BH28" s="596" t="str">
        <f>INDEX([1]!List_StateInputAll,MATCH(BG28,[1]!List_StateInput,0),2)</f>
        <v>Non-CA</v>
      </c>
      <c r="BI28" s="597" t="str">
        <f>INDEX([1]!List_StateInputAll,MATCH(BG28,[1]!List_StateInput,0),3)</f>
        <v>Y</v>
      </c>
      <c r="BJ28" s="597" t="str">
        <f>INDEX([1]!List_StateInputAll,MATCH(BG28,[1]!List_StateInput,0),4)</f>
        <v>Y</v>
      </c>
      <c r="BK28" s="597" t="str">
        <f>INDEX([1]!List_StateInputAll,MATCH(BG28,[1]!List_StateInput,0),5)</f>
        <v xml:space="preserve"> </v>
      </c>
      <c r="BL28" s="597" t="str">
        <f>INDEX([1]!List_StateInputAll,MATCH(BG28,[1]!List_StateInput,0),6)</f>
        <v>No Prepay, 1yr Prepay_Standard, 2yr Prepay_Standard, 3yr Prepay_Standard, 1yr Prepay_1, 2yr Prepay_21, 3yr Prepay_321, 1yr Prepay_Soft, 2yr Prepay_Soft, 3yr Prepay_Soft</v>
      </c>
      <c r="BM28" s="597" t="str">
        <f>INDEX([1]!List_StateInputAll,MATCH(BG28,[1]!List_StateInput,0),7)</f>
        <v>Prepay Restriction May Apply: PPP restrictions only apply to loans within conforming limits</v>
      </c>
      <c r="BN28" s="597" t="str">
        <f>INDEX([1]!List_StateInputAll,MATCH(BG28,[1]!List_StateInput,0),8)</f>
        <v>Minnesota</v>
      </c>
      <c r="BO28" s="597" t="str">
        <f>INDEX([1]!List_StateInputAll,MATCH(BG28,[1]!List_StateInput,0),9)</f>
        <v>Y</v>
      </c>
      <c r="BP28" s="598" t="str">
        <f>INDEX([1]!List_StateInputAll,MATCH(BG28,[1]!List_StateInput,0),10)</f>
        <v>Y</v>
      </c>
      <c r="BQ28" s="597" t="str">
        <f>INDEX([1]!List_StateInputAll,MATCH(BG28,[1]!List_StateInput,0),11)</f>
        <v>N</v>
      </c>
      <c r="BR28" s="599" t="str">
        <f>INDEX([1]!List_StateInputAll,MATCH(BG28,[1]!List_StateInput,0),12)</f>
        <v>N</v>
      </c>
      <c r="BS28" s="598" t="str">
        <f>INDEX([1]!List_StateInputAll,MATCH(BG28,[1]!List_StateInput,0),13)</f>
        <v xml:space="preserve"> </v>
      </c>
      <c r="BT28" s="578" t="str">
        <f>IF(OR(Input_Ratesheet_Source="Corr1",Input_Ratesheet_Source="Corr2",Input_Ratesheet_Source="Corr3",Input_Ratesheet_Source="CorrND"),BI28,IF(Input_Ratesheet_Source="Whol",IF(Input_Occupancy="Non Owner Occupied",BP28,BO28),IF(Input_Ratesheet_Source="Retl",IF(Input_Occupancy="Non Owner Occupied",IF(IF(IFERROR(FIND(Input_ProductClass,Structure!BS28),0)&gt;=1,"N","Y")="N","N",BR28),BQ28),"")))</f>
        <v>Y</v>
      </c>
      <c r="BU28" s="598" t="str">
        <f>INDEX([1]!List_StateInputAll,MATCH(BG28,[1]!List_StateInput,0),14)</f>
        <v>Wet</v>
      </c>
      <c r="BV28" s="598">
        <f>INDEX([1]!List_StateInputAll,MATCH(BG28,[1]!List_StateInput,0),15)</f>
        <v>1</v>
      </c>
      <c r="BW28" s="596" t="str">
        <f>INDEX([1]!List_StateInputAll,MATCH(BG28,[1]!List_StateInput,0),16)</f>
        <v>APOR</v>
      </c>
      <c r="BX28" s="600">
        <f>INDEX([1]!List_StateInputAll,MATCH(BG28,[1]!List_StateInput,0),17)</f>
        <v>6.5</v>
      </c>
      <c r="BY28" s="600">
        <f>INDEX([1]!List_StateInputAll,MATCH(BG28,[1]!List_StateInput,0),18)</f>
        <v>8.5</v>
      </c>
      <c r="BZ28" s="600">
        <f>INDEX([1]!List_StateInputAll,MATCH(BG28,[1]!List_StateInput,0),19)</f>
        <v>5</v>
      </c>
      <c r="CA28" s="597">
        <f>INDEX([1]!List_StateInputAll,MATCH(BG28,[1]!List_StateInput,0),20)</f>
        <v>0</v>
      </c>
      <c r="CB28" s="597" t="str">
        <f>INDEX([1]!List_StateInputAll,MATCH(BG28,[1]!List_StateInput,0),21)</f>
        <v>Owner Occupied</v>
      </c>
      <c r="CC28" s="597" t="str">
        <f>INDEX([1]!List_StateInputAll,MATCH(BG28,[1]!List_StateInput,0),22)</f>
        <v>Purchase, Rate-Term, Cash-Out</v>
      </c>
      <c r="CD28" s="598">
        <f>INDEX([1]!List_StateInputAll,MATCH(BG28,[1]!List_StateInput,0),23)</f>
        <v>0</v>
      </c>
      <c r="CE28" s="598" t="str">
        <f>INDEX([1]!List_StateInputAll,MATCH(BG28,[1]!List_StateInput,0),24)</f>
        <v>Y</v>
      </c>
    </row>
    <row r="29" spans="2:83" ht="9.6" customHeight="1" x14ac:dyDescent="0.2">
      <c r="B29" s="616"/>
      <c r="C29" s="617" t="s">
        <v>40</v>
      </c>
      <c r="D29" s="641" t="str">
        <f>Input_State</f>
        <v>CA</v>
      </c>
      <c r="E29" s="642"/>
      <c r="F29" s="670" t="str">
        <f>INDEX(List_State_All,MATCH(Input_State,List_State,0),14)</f>
        <v>Y</v>
      </c>
      <c r="G29" s="644"/>
      <c r="H29" s="645">
        <f>IF(Eligible_State="Y",INDEX(Lookup_LLPAAll,MATCH(INDEX(List_ProductAll,MATCH(Input_Product,List_Product,0),2)&amp;"_"&amp;INDEX(List_State_All,MATCH(Input_State,List_State,0),2),Lookup_LLPA,0),INDEX(List_LTV_All,MATCH(Input_LTV,List_LTV,-1),3)),#N/A)</f>
        <v>0</v>
      </c>
      <c r="I29" s="630" t="str">
        <f>IF(Eligible_State="N","Check State Licensing","")&amp;" "&amp;Result_Msg3_LLPA_State</f>
        <v xml:space="preserve"> </v>
      </c>
      <c r="J29" s="621" t="s">
        <v>76</v>
      </c>
      <c r="K29" s="647" t="str">
        <f>INDEX(List_ProductAll,MATCH(Input_Product,List_Product,0),2)&amp;"_"&amp;INDEX(List_State_All,MATCH(Input_State,List_State,0),2)</f>
        <v>PT_CA</v>
      </c>
      <c r="L29" s="514" t="s">
        <v>76</v>
      </c>
      <c r="U29" s="515"/>
      <c r="V29" s="515"/>
      <c r="X29" s="1309" t="s">
        <v>2153</v>
      </c>
      <c r="Y29" s="1309" t="s">
        <v>67</v>
      </c>
      <c r="Z29" s="1310">
        <f>-Input_PL_IncentiveMaxAdj_LenderPaidComp+Input_PL_MaxPriceBase_IE_02PP+Input_PL_Incentive_IE+Input_PL_IncentiveMaxAdj_IE</f>
        <v>102.75</v>
      </c>
      <c r="AA29" s="1311" cm="1">
        <f t="array" ref="AA29">[1]!Input_MaxPriceNet_IE_02PP</f>
        <v>102.75</v>
      </c>
      <c r="AB29" s="518"/>
      <c r="AC29" s="719" t="s">
        <v>129</v>
      </c>
      <c r="AD29" s="720" t="s">
        <v>141</v>
      </c>
      <c r="AE29" s="720">
        <v>2</v>
      </c>
      <c r="AG29" s="514" t="s">
        <v>76</v>
      </c>
      <c r="AH29" s="514" t="s">
        <v>76</v>
      </c>
      <c r="AI29" s="514" t="s">
        <v>76</v>
      </c>
      <c r="AJ29" s="514" t="s">
        <v>76</v>
      </c>
      <c r="AQ29" s="695">
        <v>1000000.01</v>
      </c>
      <c r="AR29" s="696" t="s">
        <v>86</v>
      </c>
      <c r="AV29" s="1297" t="s">
        <v>1533</v>
      </c>
      <c r="AW29" s="1233" t="s">
        <v>1249</v>
      </c>
      <c r="AX29" s="1234" t="str">
        <f t="shared" si="1"/>
        <v>PT_010.1250000000</v>
      </c>
      <c r="AY29" s="1235">
        <f>[1]!PR_R25</f>
        <v>10.125</v>
      </c>
      <c r="AZ29" s="1236">
        <f>[1]!PR_ARM05_P25+Input_PL_Incentive_PR</f>
        <v>-2</v>
      </c>
      <c r="BA29" s="1236">
        <f>[1]!PR_FRM30_P25+Input_PL_Incentive_PR</f>
        <v>106.875</v>
      </c>
      <c r="BB29" s="1234">
        <f t="shared" si="5"/>
        <v>106.875</v>
      </c>
      <c r="BC29" s="1234" t="str">
        <f t="shared" si="3"/>
        <v>PT_106.8750000000</v>
      </c>
      <c r="BD29" s="1234"/>
      <c r="BE29" s="1298" t="s">
        <v>1826</v>
      </c>
      <c r="BG29" s="595" t="s">
        <v>387</v>
      </c>
      <c r="BH29" s="596" t="str">
        <f>INDEX([1]!List_StateInputAll,MATCH(BG29,[1]!List_StateInput,0),2)</f>
        <v>Non-CA</v>
      </c>
      <c r="BI29" s="597" t="str">
        <f>INDEX([1]!List_StateInputAll,MATCH(BG29,[1]!List_StateInput,0),3)</f>
        <v>Y</v>
      </c>
      <c r="BJ29" s="597" t="str">
        <f>INDEX([1]!List_StateInputAll,MATCH(BG29,[1]!List_StateInput,0),4)</f>
        <v>Y</v>
      </c>
      <c r="BK29" s="597" t="str">
        <f>INDEX([1]!List_StateInputAll,MATCH(BG29,[1]!List_StateInput,0),5)</f>
        <v xml:space="preserve"> </v>
      </c>
      <c r="BL29" s="597" t="str">
        <f>INDEX([1]!List_StateInputAll,MATCH(BG29,[1]!List_StateInput,0),6)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29" s="597" t="str">
        <f>INDEX([1]!List_StateInputAll,MATCH(BG29,[1]!List_StateInput,0),7)</f>
        <v xml:space="preserve"> </v>
      </c>
      <c r="BN29" s="597" t="str">
        <f>INDEX([1]!List_StateInputAll,MATCH(BG29,[1]!List_StateInput,0),8)</f>
        <v>Missouri</v>
      </c>
      <c r="BO29" s="597" t="str">
        <f>INDEX([1]!List_StateInputAll,MATCH(BG29,[1]!List_StateInput,0),9)</f>
        <v>N</v>
      </c>
      <c r="BP29" s="598" t="str">
        <f>INDEX([1]!List_StateInputAll,MATCH(BG29,[1]!List_StateInput,0),10)</f>
        <v>Y</v>
      </c>
      <c r="BQ29" s="597" t="str">
        <f>INDEX([1]!List_StateInputAll,MATCH(BG29,[1]!List_StateInput,0),11)</f>
        <v>N</v>
      </c>
      <c r="BR29" s="599" t="str">
        <f>INDEX([1]!List_StateInputAll,MATCH(BG29,[1]!List_StateInput,0),12)</f>
        <v>Y</v>
      </c>
      <c r="BS29" s="598" t="str">
        <f>INDEX([1]!List_StateInputAll,MATCH(BG29,[1]!List_StateInput,0),13)</f>
        <v xml:space="preserve"> </v>
      </c>
      <c r="BT29" s="578" t="str">
        <f>IF(OR(Input_Ratesheet_Source="Corr1",Input_Ratesheet_Source="Corr2",Input_Ratesheet_Source="Corr3",Input_Ratesheet_Source="CorrND"),BI29,IF(Input_Ratesheet_Source="Whol",IF(Input_Occupancy="Non Owner Occupied",BP29,BO29),IF(Input_Ratesheet_Source="Retl",IF(Input_Occupancy="Non Owner Occupied",IF(IF(IFERROR(FIND(Input_ProductClass,Structure!BS29),0)&gt;=1,"N","Y")="N","N",BR29),BQ29),"")))</f>
        <v>Y</v>
      </c>
      <c r="BU29" s="598" t="str">
        <f>INDEX([1]!List_StateInputAll,MATCH(BG29,[1]!List_StateInput,0),14)</f>
        <v>Wet</v>
      </c>
      <c r="BV29" s="598">
        <f>INDEX([1]!List_StateInputAll,MATCH(BG29,[1]!List_StateInput,0),15)</f>
        <v>1</v>
      </c>
      <c r="BW29" s="596" t="str">
        <f>INDEX([1]!List_StateInputAll,MATCH(BG29,[1]!List_StateInput,0),16)</f>
        <v>APOR</v>
      </c>
      <c r="BX29" s="600">
        <f>INDEX([1]!List_StateInputAll,MATCH(BG29,[1]!List_StateInput,0),17)</f>
        <v>6.5</v>
      </c>
      <c r="BY29" s="600">
        <f>INDEX([1]!List_StateInputAll,MATCH(BG29,[1]!List_StateInput,0),18)</f>
        <v>8.5</v>
      </c>
      <c r="BZ29" s="600">
        <f>INDEX([1]!List_StateInputAll,MATCH(BG29,[1]!List_StateInput,0),19)</f>
        <v>5</v>
      </c>
      <c r="CA29" s="597">
        <f>INDEX([1]!List_StateInputAll,MATCH(BG29,[1]!List_StateInput,0),20)</f>
        <v>0</v>
      </c>
      <c r="CB29" s="597" t="str">
        <f>INDEX([1]!List_StateInputAll,MATCH(BG29,[1]!List_StateInput,0),21)</f>
        <v>Owner Occupied</v>
      </c>
      <c r="CC29" s="597" t="str">
        <f>INDEX([1]!List_StateInputAll,MATCH(BG29,[1]!List_StateInput,0),22)</f>
        <v>Purchase, Rate-Term, Cash-Out</v>
      </c>
      <c r="CD29" s="598">
        <f>INDEX([1]!List_StateInputAll,MATCH(BG29,[1]!List_StateInput,0),23)</f>
        <v>0</v>
      </c>
      <c r="CE29" s="598" t="str">
        <f>INDEX([1]!List_StateInputAll,MATCH(BG29,[1]!List_StateInput,0),24)</f>
        <v>Y</v>
      </c>
    </row>
    <row r="30" spans="2:83" ht="9.6" customHeight="1" x14ac:dyDescent="0.2">
      <c r="B30" s="616"/>
      <c r="C30" s="617" t="s">
        <v>43</v>
      </c>
      <c r="D30" s="641" t="str">
        <f>Input_CreditHistory</f>
        <v>NoLatesx12</v>
      </c>
      <c r="E30" s="642"/>
      <c r="F30" s="643"/>
      <c r="G30" s="644"/>
      <c r="H30" s="645">
        <f>INDEX(Lookup_LLPAAll,MATCH(INDEX(List_ProductAll,MATCH(Input_Product,List_Product,0),2)&amp;"_"&amp;Input_CreditHistory,Lookup_LLPA,0),INDEX(List_LTV_All,MATCH(Input_LTV,List_LTV,-1),3))</f>
        <v>0</v>
      </c>
      <c r="I30" s="723" t="s">
        <v>76</v>
      </c>
      <c r="J30" s="621" t="s">
        <v>76</v>
      </c>
      <c r="K30" s="647" t="str">
        <f>INDEX(List_ProductAll,MATCH(Input_Product,List_Product,0),2)&amp;"_"&amp;Input_CreditHistory</f>
        <v>PT_NoLatesx12</v>
      </c>
      <c r="L30" s="514" t="s">
        <v>76</v>
      </c>
      <c r="P30" s="523" t="str">
        <f>INDEX(List_DocTypeAll,MATCH(Input_DocType,List_DocType,0),4)</f>
        <v>Doc01</v>
      </c>
      <c r="V30" s="515"/>
      <c r="X30" s="1309" t="s">
        <v>2154</v>
      </c>
      <c r="Y30" s="1309" t="s">
        <v>66</v>
      </c>
      <c r="Z30" s="1310">
        <f>-Input_PL_IncentiveMaxAdj_LenderPaidComp+Input_PL_MaxPriceBase_IE_03PP+Input_PL_Incentive_IE+Input_PL_IncentiveMaxAdj_IE</f>
        <v>103.25</v>
      </c>
      <c r="AA30" s="1311" cm="1">
        <f t="array" ref="AA30">[1]!Input_MaxPriceNet_IE_03PP</f>
        <v>103.25</v>
      </c>
      <c r="AB30" s="518"/>
      <c r="AC30" s="721" t="s">
        <v>79</v>
      </c>
      <c r="AD30" s="722" t="s">
        <v>140</v>
      </c>
      <c r="AE30" s="722">
        <v>3</v>
      </c>
      <c r="AG30" s="514" t="s">
        <v>76</v>
      </c>
      <c r="AH30" s="514" t="s">
        <v>76</v>
      </c>
      <c r="AI30" s="514" t="s">
        <v>76</v>
      </c>
      <c r="AJ30" s="514" t="s">
        <v>76</v>
      </c>
      <c r="AQ30" s="695">
        <v>1500000.01</v>
      </c>
      <c r="AR30" s="696" t="s">
        <v>87</v>
      </c>
      <c r="AV30" s="1297" t="s">
        <v>1533</v>
      </c>
      <c r="AW30" s="1233" t="s">
        <v>1249</v>
      </c>
      <c r="AX30" s="1234" t="str">
        <f t="shared" si="1"/>
        <v>PT_010.0000000000</v>
      </c>
      <c r="AY30" s="1235">
        <f>[1]!PR_R26</f>
        <v>10</v>
      </c>
      <c r="AZ30" s="1236">
        <f>[1]!PR_ARM05_P26+Input_PL_Incentive_PR</f>
        <v>-2</v>
      </c>
      <c r="BA30" s="1236">
        <f>[1]!PR_FRM30_P26+Input_PL_Incentive_PR</f>
        <v>106.5</v>
      </c>
      <c r="BB30" s="1234">
        <f t="shared" ref="BB30:BB44" si="6">IF(INDEX(List_AmortTermAll,MATCH(Input_AmortTerm,List_AmortTerm,0),3)=1,AZ30,IF(INDEX(List_AmortTermAll,MATCH(Input_AmortTerm,List_AmortTerm,0),3)=2,BA30,#N/A))</f>
        <v>106.5</v>
      </c>
      <c r="BC30" s="1234" t="str">
        <f t="shared" si="3"/>
        <v>PT_106.5000000000</v>
      </c>
      <c r="BD30" s="1234"/>
      <c r="BE30" s="1298" t="s">
        <v>1827</v>
      </c>
      <c r="BG30" s="595" t="s">
        <v>388</v>
      </c>
      <c r="BH30" s="596" t="str">
        <f>INDEX([1]!List_StateInputAll,MATCH(BG30,[1]!List_StateInput,0),2)</f>
        <v>Non-CA</v>
      </c>
      <c r="BI30" s="597" t="str">
        <f>INDEX([1]!List_StateInputAll,MATCH(BG30,[1]!List_StateInput,0),3)</f>
        <v>Y</v>
      </c>
      <c r="BJ30" s="597" t="str">
        <f>INDEX([1]!List_StateInputAll,MATCH(BG30,[1]!List_StateInput,0),4)</f>
        <v>Y</v>
      </c>
      <c r="BK30" s="597" t="str">
        <f>INDEX([1]!List_StateInputAll,MATCH(BG30,[1]!List_StateInput,0),5)</f>
        <v xml:space="preserve"> </v>
      </c>
      <c r="BL30" s="627" t="str">
        <f>INDEX([1]!List_StateInputAll,MATCH(BG30,[1]!List_StateInput,0),6)</f>
        <v>No Prepay, 1yr Prepay_Standard, 2yr Prepay_Standard, 3yr Prepay_Standard, 4yr Prepay_Standard, 5yr Prepay_Standard, 1yr Prepay_1, 2yr Prepay_21, 3yr Prepay_321, 4yr Prepay_4321, 5yr Prepay_54321, 1yr Prepay_Soft, 2yr Prepay_Soft, 3yr Prepay_Soft, 4yr Prepay_Soft, 5yr Prepay_Soft</v>
      </c>
      <c r="BM30" s="597" t="str">
        <f>INDEX([1]!List_StateInputAll,MATCH(BG30,[1]!List_StateInput,0),7)</f>
        <v>Prepay Restriction May Apply</v>
      </c>
      <c r="BN30" s="597" t="str">
        <f>INDEX([1]!List_StateInputAll,MATCH(BG30,[1]!List_StateInput,0),8)</f>
        <v>Mississippi</v>
      </c>
      <c r="BO30" s="597" t="str">
        <f>INDEX([1]!List_StateInputAll,MATCH(BG30,[1]!List_StateInput,0),9)</f>
        <v>Y</v>
      </c>
      <c r="BP30" s="598" t="str">
        <f>INDEX([1]!List_StateInputAll,MATCH(BG30,[1]!List_StateInput,0),10)</f>
        <v>Y</v>
      </c>
      <c r="BQ30" s="597" t="str">
        <f>INDEX([1]!List_StateInputAll,MATCH(BG30,[1]!List_StateInput,0),11)</f>
        <v>N</v>
      </c>
      <c r="BR30" s="599" t="str">
        <f>INDEX([1]!List_StateInputAll,MATCH(BG30,[1]!List_StateInput,0),12)</f>
        <v>Y</v>
      </c>
      <c r="BS30" s="598" t="str">
        <f>INDEX([1]!List_StateInputAll,MATCH(BG30,[1]!List_StateInput,0),13)</f>
        <v xml:space="preserve"> </v>
      </c>
      <c r="BT30" s="578" t="str">
        <f>IF(OR(Input_Ratesheet_Source="Corr1",Input_Ratesheet_Source="Corr2",Input_Ratesheet_Source="Corr3",Input_Ratesheet_Source="CorrND"),BI30,IF(Input_Ratesheet_Source="Whol",IF(Input_Occupancy="Non Owner Occupied",BP30,BO30),IF(Input_Ratesheet_Source="Retl",IF(Input_Occupancy="Non Owner Occupied",IF(IF(IFERROR(FIND(Input_ProductClass,Structure!BS30),0)&gt;=1,"N","Y")="N","N",BR30),BQ30),"")))</f>
        <v>Y</v>
      </c>
      <c r="BU30" s="598" t="str">
        <f>INDEX([1]!List_StateInputAll,MATCH(BG30,[1]!List_StateInput,0),14)</f>
        <v>Wet</v>
      </c>
      <c r="BV30" s="598">
        <f>INDEX([1]!List_StateInputAll,MATCH(BG30,[1]!List_StateInput,0),15)</f>
        <v>1</v>
      </c>
      <c r="BW30" s="596" t="str">
        <f>INDEX([1]!List_StateInputAll,MATCH(BG30,[1]!List_StateInput,0),16)</f>
        <v>APOR</v>
      </c>
      <c r="BX30" s="600">
        <f>INDEX([1]!List_StateInputAll,MATCH(BG30,[1]!List_StateInput,0),17)</f>
        <v>6.5</v>
      </c>
      <c r="BY30" s="600">
        <f>INDEX([1]!List_StateInputAll,MATCH(BG30,[1]!List_StateInput,0),18)</f>
        <v>8.5</v>
      </c>
      <c r="BZ30" s="600">
        <f>INDEX([1]!List_StateInputAll,MATCH(BG30,[1]!List_StateInput,0),19)</f>
        <v>5</v>
      </c>
      <c r="CA30" s="597">
        <f>INDEX([1]!List_StateInputAll,MATCH(BG30,[1]!List_StateInput,0),20)</f>
        <v>0</v>
      </c>
      <c r="CB30" s="597" t="str">
        <f>INDEX([1]!List_StateInputAll,MATCH(BG30,[1]!List_StateInput,0),21)</f>
        <v>Owner Occupied</v>
      </c>
      <c r="CC30" s="597" t="str">
        <f>INDEX([1]!List_StateInputAll,MATCH(BG30,[1]!List_StateInput,0),22)</f>
        <v>Purchase, Rate-Term, Cash-Out</v>
      </c>
      <c r="CD30" s="598">
        <f>INDEX([1]!List_StateInputAll,MATCH(BG30,[1]!List_StateInput,0),23)</f>
        <v>0</v>
      </c>
      <c r="CE30" s="598" t="str">
        <f>INDEX([1]!List_StateInputAll,MATCH(BG30,[1]!List_StateInput,0),24)</f>
        <v>Y</v>
      </c>
    </row>
    <row r="31" spans="2:83" ht="9.6" customHeight="1" x14ac:dyDescent="0.2">
      <c r="B31" s="616"/>
      <c r="C31" s="617" t="s">
        <v>44</v>
      </c>
      <c r="D31" s="641" t="str">
        <f>Input_HousingHistory</f>
        <v>No Events 48mo+</v>
      </c>
      <c r="E31" s="642"/>
      <c r="F31" s="643"/>
      <c r="G31" s="644"/>
      <c r="H31" s="645">
        <f>INDEX(Lookup_LLPAAll,MATCH(INDEX(List_ProductAll,MATCH(Input_Product,List_Product,0),2)&amp;"_"&amp;Input_HousingHistory,Lookup_LLPA,0),INDEX(List_LTV_All,MATCH(Input_LTV,List_LTV,-1),3))</f>
        <v>0</v>
      </c>
      <c r="I31" s="630" t="str">
        <f>INDEX(List_HousingHistory_All,MATCH(Input_HousingHistory,List_HousingHistory,0),2)</f>
        <v xml:space="preserve"> </v>
      </c>
      <c r="J31" s="621" t="s">
        <v>76</v>
      </c>
      <c r="K31" s="647" t="str">
        <f>INDEX(List_ProductAll,MATCH(Input_Product,List_Product,0),2)&amp;"_"&amp;Input_HousingHistory</f>
        <v>PT_No Events 48mo+</v>
      </c>
      <c r="L31" s="514" t="s">
        <v>76</v>
      </c>
      <c r="M31" s="623" t="s">
        <v>70</v>
      </c>
      <c r="N31" s="624" t="s">
        <v>69</v>
      </c>
      <c r="O31" s="624" t="s">
        <v>71</v>
      </c>
      <c r="P31" s="624" t="s">
        <v>63</v>
      </c>
      <c r="Q31" s="625" t="s">
        <v>143</v>
      </c>
      <c r="R31" s="625" t="s">
        <v>110</v>
      </c>
      <c r="S31" s="625" t="s">
        <v>111</v>
      </c>
      <c r="T31" s="625" t="s">
        <v>148</v>
      </c>
      <c r="U31" s="626" t="s">
        <v>183</v>
      </c>
      <c r="V31" s="515"/>
      <c r="X31" s="1309" t="s">
        <v>2155</v>
      </c>
      <c r="Y31" s="1309" t="s">
        <v>165</v>
      </c>
      <c r="Z31" s="1310">
        <f>-Input_PL_IncentiveMaxAdj_LenderPaidComp+Input_PL_MaxPriceBase_IE_04PP+Input_PL_Incentive_IE+Input_PL_IncentiveMaxAdj_IE</f>
        <v>103.5</v>
      </c>
      <c r="AA31" s="1311" cm="1">
        <f t="array" ref="AA31">[1]!Input_MaxPriceNet_IE_04PP</f>
        <v>103.5</v>
      </c>
      <c r="AB31" s="518"/>
      <c r="AH31" s="514" t="s">
        <v>76</v>
      </c>
      <c r="AQ31" s="695">
        <v>2000000.01</v>
      </c>
      <c r="AR31" s="696" t="s">
        <v>145</v>
      </c>
      <c r="AV31" s="1297" t="s">
        <v>1533</v>
      </c>
      <c r="AW31" s="1233" t="s">
        <v>1249</v>
      </c>
      <c r="AX31" s="1234" t="str">
        <f t="shared" si="1"/>
        <v>PT_009.8750000000</v>
      </c>
      <c r="AY31" s="1235">
        <f>[1]!PR_R27</f>
        <v>9.875</v>
      </c>
      <c r="AZ31" s="1236">
        <f>[1]!PR_ARM05_P27+Input_PL_Incentive_PR</f>
        <v>-2</v>
      </c>
      <c r="BA31" s="1236">
        <f>[1]!PR_FRM30_P27+Input_PL_Incentive_PR</f>
        <v>106.125</v>
      </c>
      <c r="BB31" s="1234">
        <f t="shared" si="6"/>
        <v>106.125</v>
      </c>
      <c r="BC31" s="1234" t="str">
        <f t="shared" si="3"/>
        <v>PT_106.1250000000</v>
      </c>
      <c r="BD31" s="1234"/>
      <c r="BE31" s="1298" t="s">
        <v>1828</v>
      </c>
      <c r="BG31" s="595" t="s">
        <v>389</v>
      </c>
      <c r="BH31" s="596" t="str">
        <f>INDEX([1]!List_StateInputAll,MATCH(BG31,[1]!List_StateInput,0),2)</f>
        <v>Non-CA</v>
      </c>
      <c r="BI31" s="597" t="str">
        <f>INDEX([1]!List_StateInputAll,MATCH(BG31,[1]!List_StateInput,0),3)</f>
        <v>Y</v>
      </c>
      <c r="BJ31" s="597" t="str">
        <f>INDEX([1]!List_StateInputAll,MATCH(BG31,[1]!List_StateInput,0),4)</f>
        <v>Y</v>
      </c>
      <c r="BK31" s="597" t="str">
        <f>INDEX([1]!List_StateInputAll,MATCH(BG31,[1]!List_StateInput,0),5)</f>
        <v xml:space="preserve"> </v>
      </c>
      <c r="BL31" s="597" t="str">
        <f>INDEX([1]!List_StateInputAll,MATCH(BG31,[1]!List_StateInput,0),6)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1" s="597" t="str">
        <f>INDEX([1]!List_StateInputAll,MATCH(BG31,[1]!List_StateInput,0),7)</f>
        <v xml:space="preserve"> </v>
      </c>
      <c r="BN31" s="597" t="str">
        <f>INDEX([1]!List_StateInputAll,MATCH(BG31,[1]!List_StateInput,0),8)</f>
        <v>Montana</v>
      </c>
      <c r="BO31" s="597" t="str">
        <f>INDEX([1]!List_StateInputAll,MATCH(BG31,[1]!List_StateInput,0),9)</f>
        <v>Y</v>
      </c>
      <c r="BP31" s="598" t="str">
        <f>INDEX([1]!List_StateInputAll,MATCH(BG31,[1]!List_StateInput,0),10)</f>
        <v>Y</v>
      </c>
      <c r="BQ31" s="597" t="str">
        <f>INDEX([1]!List_StateInputAll,MATCH(BG31,[1]!List_StateInput,0),11)</f>
        <v>N</v>
      </c>
      <c r="BR31" s="599" t="str">
        <f>INDEX([1]!List_StateInputAll,MATCH(BG31,[1]!List_StateInput,0),12)</f>
        <v>Y</v>
      </c>
      <c r="BS31" s="598" t="str">
        <f>INDEX([1]!List_StateInputAll,MATCH(BG31,[1]!List_StateInput,0),13)</f>
        <v xml:space="preserve"> </v>
      </c>
      <c r="BT31" s="578" t="str">
        <f>IF(OR(Input_Ratesheet_Source="Corr1",Input_Ratesheet_Source="Corr2",Input_Ratesheet_Source="Corr3",Input_Ratesheet_Source="CorrND"),BI31,IF(Input_Ratesheet_Source="Whol",IF(Input_Occupancy="Non Owner Occupied",BP31,BO31),IF(Input_Ratesheet_Source="Retl",IF(Input_Occupancy="Non Owner Occupied",IF(IF(IFERROR(FIND(Input_ProductClass,Structure!BS31),0)&gt;=1,"N","Y")="N","N",BR31),BQ31),"")))</f>
        <v>Y</v>
      </c>
      <c r="BU31" s="598" t="str">
        <f>INDEX([1]!List_StateInputAll,MATCH(BG31,[1]!List_StateInput,0),14)</f>
        <v>Wet</v>
      </c>
      <c r="BV31" s="598">
        <f>INDEX([1]!List_StateInputAll,MATCH(BG31,[1]!List_StateInput,0),15)</f>
        <v>1</v>
      </c>
      <c r="BW31" s="596" t="str">
        <f>INDEX([1]!List_StateInputAll,MATCH(BG31,[1]!List_StateInput,0),16)</f>
        <v>APOR</v>
      </c>
      <c r="BX31" s="600">
        <f>INDEX([1]!List_StateInputAll,MATCH(BG31,[1]!List_StateInput,0),17)</f>
        <v>6.5</v>
      </c>
      <c r="BY31" s="600">
        <f>INDEX([1]!List_StateInputAll,MATCH(BG31,[1]!List_StateInput,0),18)</f>
        <v>8.5</v>
      </c>
      <c r="BZ31" s="600">
        <f>INDEX([1]!List_StateInputAll,MATCH(BG31,[1]!List_StateInput,0),19)</f>
        <v>5</v>
      </c>
      <c r="CA31" s="597">
        <f>INDEX([1]!List_StateInputAll,MATCH(BG31,[1]!List_StateInput,0),20)</f>
        <v>0</v>
      </c>
      <c r="CB31" s="597" t="str">
        <f>INDEX([1]!List_StateInputAll,MATCH(BG31,[1]!List_StateInput,0),21)</f>
        <v>Owner Occupied</v>
      </c>
      <c r="CC31" s="597" t="str">
        <f>INDEX([1]!List_StateInputAll,MATCH(BG31,[1]!List_StateInput,0),22)</f>
        <v>Purchase, Rate-Term, Cash-Out</v>
      </c>
      <c r="CD31" s="598">
        <f>INDEX([1]!List_StateInputAll,MATCH(BG31,[1]!List_StateInput,0),23)</f>
        <v>0</v>
      </c>
      <c r="CE31" s="598" t="str">
        <f>INDEX([1]!List_StateInputAll,MATCH(BG31,[1]!List_StateInput,0),24)</f>
        <v>Y</v>
      </c>
    </row>
    <row r="32" spans="2:83" ht="9.6" customHeight="1" x14ac:dyDescent="0.2">
      <c r="B32" s="616"/>
      <c r="C32" s="617" t="s">
        <v>46</v>
      </c>
      <c r="D32" s="641" t="str">
        <f>Input_Citizenship</f>
        <v>US Citizen</v>
      </c>
      <c r="E32" s="642"/>
      <c r="F32" s="643"/>
      <c r="G32" s="644"/>
      <c r="H32" s="645">
        <f>INDEX(Lookup_LLPAAll,MATCH(INDEX(List_ProductAll,MATCH(Input_Product,List_Product,0),2)&amp;"_"&amp;Input_Citizenship,Lookup_LLPA,0),INDEX(List_LTV_All,MATCH(Input_LTV,List_LTV,-1),3))</f>
        <v>0</v>
      </c>
      <c r="I32" s="630" t="str">
        <f>IF(AND(Input_Citizenship="Foreign National",Input_CreditScore&lt;&gt;660),"Input 660 Credit Score for Foreign National - DSCR Only",IF(AND(Input_Citizenship="Foreign National",Input_DocType&lt;&gt;"09-DSCR"),"Foreign National DSCR Only",""))</f>
        <v/>
      </c>
      <c r="J32" s="621" t="s">
        <v>76</v>
      </c>
      <c r="K32" s="647" t="str">
        <f>INDEX(List_ProductAll,MATCH(Input_Product,List_Product,0),2)&amp;"_"&amp;Input_Citizenship</f>
        <v>PT_US Citizen</v>
      </c>
      <c r="L32" s="514" t="s">
        <v>76</v>
      </c>
      <c r="M32" s="632" t="s">
        <v>1640</v>
      </c>
      <c r="N32" s="633" t="s">
        <v>1235</v>
      </c>
      <c r="O32" s="634" t="s">
        <v>52</v>
      </c>
      <c r="P32" s="634" t="s">
        <v>93</v>
      </c>
      <c r="Q32" s="635" t="s">
        <v>137</v>
      </c>
      <c r="R32" s="634" t="s">
        <v>107</v>
      </c>
      <c r="S32" s="635" t="s">
        <v>108</v>
      </c>
      <c r="T32" s="636" t="str">
        <f>IF(OR(Input_ProductClass="Second",Input_ProductClass="Closed End 2nd TD"),"See Matrix","Standard FNMA Documentation")</f>
        <v>Standard FNMA Documentation</v>
      </c>
      <c r="U32" s="637" t="s">
        <v>173</v>
      </c>
      <c r="V32" s="515"/>
      <c r="X32" s="1312" t="s">
        <v>2156</v>
      </c>
      <c r="Y32" s="1312" t="s">
        <v>166</v>
      </c>
      <c r="Z32" s="1313">
        <f>-Input_PL_IncentiveMaxAdj_LenderPaidComp+Input_PL_MaxPriceBase_IE_05PP+Input_PL_Incentive_IE+Input_PL_IncentiveMaxAdj_IE</f>
        <v>104</v>
      </c>
      <c r="AA32" s="1314" cm="1">
        <f t="array" ref="AA32">[1]!Input_MaxPriceNet_IE_05PP</f>
        <v>104</v>
      </c>
      <c r="AB32" s="518"/>
      <c r="AH32" s="514" t="s">
        <v>76</v>
      </c>
      <c r="AQ32" s="695">
        <v>2500000.0099999998</v>
      </c>
      <c r="AR32" s="696" t="s">
        <v>146</v>
      </c>
      <c r="AV32" s="1297" t="s">
        <v>1533</v>
      </c>
      <c r="AW32" s="1233" t="s">
        <v>1249</v>
      </c>
      <c r="AX32" s="1234" t="str">
        <f t="shared" si="1"/>
        <v>PT_009.7500000000</v>
      </c>
      <c r="AY32" s="1235">
        <f>[1]!PR_R28</f>
        <v>9.75</v>
      </c>
      <c r="AZ32" s="1236">
        <f>[1]!PR_ARM05_P28+Input_PL_Incentive_PR</f>
        <v>-2</v>
      </c>
      <c r="BA32" s="1236">
        <f>[1]!PR_FRM30_P28+Input_PL_Incentive_PR</f>
        <v>105.75</v>
      </c>
      <c r="BB32" s="1234">
        <f t="shared" si="6"/>
        <v>105.75</v>
      </c>
      <c r="BC32" s="1234" t="str">
        <f t="shared" si="3"/>
        <v>PT_105.7500000000</v>
      </c>
      <c r="BD32" s="1234"/>
      <c r="BE32" s="1298" t="s">
        <v>1829</v>
      </c>
      <c r="BG32" s="595" t="s">
        <v>390</v>
      </c>
      <c r="BH32" s="596" t="str">
        <f>INDEX([1]!List_StateInputAll,MATCH(BG32,[1]!List_StateInput,0),2)</f>
        <v>Non-CA</v>
      </c>
      <c r="BI32" s="597" t="str">
        <f>INDEX([1]!List_StateInputAll,MATCH(BG32,[1]!List_StateInput,0),3)</f>
        <v>Y</v>
      </c>
      <c r="BJ32" s="597" t="str">
        <f>INDEX([1]!List_StateInputAll,MATCH(BG32,[1]!List_StateInput,0),4)</f>
        <v>Y</v>
      </c>
      <c r="BK32" s="597" t="str">
        <f>INDEX([1]!List_StateInputAll,MATCH(BG32,[1]!List_StateInput,0),5)</f>
        <v xml:space="preserve"> </v>
      </c>
      <c r="BL32" s="597" t="str">
        <f>INDEX([1]!List_StateInputAll,MATCH(BG32,[1]!List_StateInput,0),6)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2" s="597" t="str">
        <f>INDEX([1]!List_StateInputAll,MATCH(BG32,[1]!List_StateInput,0),7)</f>
        <v xml:space="preserve"> </v>
      </c>
      <c r="BN32" s="597" t="str">
        <f>INDEX([1]!List_StateInputAll,MATCH(BG32,[1]!List_StateInput,0),8)</f>
        <v>NorthCarolina</v>
      </c>
      <c r="BO32" s="597" t="str">
        <f>INDEX([1]!List_StateInputAll,MATCH(BG32,[1]!List_StateInput,0),9)</f>
        <v>Y</v>
      </c>
      <c r="BP32" s="598" t="str">
        <f>INDEX([1]!List_StateInputAll,MATCH(BG32,[1]!List_StateInput,0),10)</f>
        <v>Y</v>
      </c>
      <c r="BQ32" s="597" t="str">
        <f>INDEX([1]!List_StateInputAll,MATCH(BG32,[1]!List_StateInput,0),11)</f>
        <v>Y</v>
      </c>
      <c r="BR32" s="599" t="str">
        <f>INDEX([1]!List_StateInputAll,MATCH(BG32,[1]!List_StateInput,0),12)</f>
        <v>Y</v>
      </c>
      <c r="BS32" s="598" t="str">
        <f>INDEX([1]!List_StateInputAll,MATCH(BG32,[1]!List_StateInput,0),13)</f>
        <v xml:space="preserve"> </v>
      </c>
      <c r="BT32" s="578" t="str">
        <f>IF(OR(Input_Ratesheet_Source="Corr1",Input_Ratesheet_Source="Corr2",Input_Ratesheet_Source="Corr3",Input_Ratesheet_Source="CorrND"),BI32,IF(Input_Ratesheet_Source="Whol",IF(Input_Occupancy="Non Owner Occupied",BP32,BO32),IF(Input_Ratesheet_Source="Retl",IF(Input_Occupancy="Non Owner Occupied",IF(IF(IFERROR(FIND(Input_ProductClass,Structure!BS32),0)&gt;=1,"N","Y")="N","N",BR32),BQ32),"")))</f>
        <v>Y</v>
      </c>
      <c r="BU32" s="598" t="str">
        <f>INDEX([1]!List_StateInputAll,MATCH(BG32,[1]!List_StateInput,0),14)</f>
        <v>Wet</v>
      </c>
      <c r="BV32" s="598">
        <f>INDEX([1]!List_StateInputAll,MATCH(BG32,[1]!List_StateInput,0),15)</f>
        <v>1</v>
      </c>
      <c r="BW32" s="596" t="str">
        <f>INDEX([1]!List_StateInputAll,MATCH(BG32,[1]!List_StateInput,0),16)</f>
        <v>APOR</v>
      </c>
      <c r="BX32" s="600">
        <f>INDEX([1]!List_StateInputAll,MATCH(BG32,[1]!List_StateInput,0),17)</f>
        <v>6.5</v>
      </c>
      <c r="BY32" s="600">
        <f>INDEX([1]!List_StateInputAll,MATCH(BG32,[1]!List_StateInput,0),18)</f>
        <v>8.5</v>
      </c>
      <c r="BZ32" s="600">
        <f>INDEX([1]!List_StateInputAll,MATCH(BG32,[1]!List_StateInput,0),19)</f>
        <v>5</v>
      </c>
      <c r="CA32" s="597">
        <f>INDEX([1]!List_StateInputAll,MATCH(BG32,[1]!List_StateInput,0),20)</f>
        <v>300000</v>
      </c>
      <c r="CB32" s="597" t="str">
        <f>INDEX([1]!List_StateInputAll,MATCH(BG32,[1]!List_StateInput,0),21)</f>
        <v>Owner Occupied</v>
      </c>
      <c r="CC32" s="597" t="str">
        <f>INDEX([1]!List_StateInputAll,MATCH(BG32,[1]!List_StateInput,0),22)</f>
        <v>Purchase, Rate-Term, Cash-Out</v>
      </c>
      <c r="CD32" s="598">
        <f>INDEX([1]!List_StateInputAll,MATCH(BG32,[1]!List_StateInput,0),23)</f>
        <v>0</v>
      </c>
      <c r="CE32" s="598" t="str">
        <f>INDEX([1]!List_StateInputAll,MATCH(BG32,[1]!List_StateInput,0),24)</f>
        <v>N</v>
      </c>
    </row>
    <row r="33" spans="2:83" ht="9.6" customHeight="1" x14ac:dyDescent="0.2">
      <c r="B33" s="616"/>
      <c r="C33" s="617" t="s">
        <v>1669</v>
      </c>
      <c r="D33" s="641" t="str">
        <f>Input_Employment</f>
        <v>Wage-Earner</v>
      </c>
      <c r="E33" s="642"/>
      <c r="F33" s="643"/>
      <c r="G33" s="644"/>
      <c r="H33" s="645">
        <v>0</v>
      </c>
      <c r="I33" s="630" t="str">
        <f>IF(AND(Input_Citizenship="Foreign National",Input_CreditScore&lt;&gt;660),"Input 660 Credit Score for Foreign National",IF(AND(Input_Citizenship="Foreign National",Input_DocType&lt;&gt;"09-DSCR"),"Foreign National DSCR Only",""))</f>
        <v/>
      </c>
      <c r="J33" s="621" t="s">
        <v>76</v>
      </c>
      <c r="K33" s="645" t="e">
        <f>INDEX(Lookup_LLPAAll,MATCH(INDEX(List_ProductAll,MATCH(Input_Product,List_Product,0),2)&amp;"_"&amp;Input_Employment,Lookup_LLPA,0),INDEX(List_LTV_All,MATCH(Input_LTV,List_LTV,-1),3))</f>
        <v>#N/A</v>
      </c>
      <c r="L33" s="514" t="s">
        <v>76</v>
      </c>
      <c r="M33" s="648" t="s">
        <v>1641</v>
      </c>
      <c r="N33" s="649" t="s">
        <v>1235</v>
      </c>
      <c r="O33" s="650" t="s">
        <v>53</v>
      </c>
      <c r="P33" s="650" t="s">
        <v>93</v>
      </c>
      <c r="Q33" s="651" t="s">
        <v>137</v>
      </c>
      <c r="R33" s="649" t="s">
        <v>107</v>
      </c>
      <c r="S33" s="651" t="s">
        <v>108</v>
      </c>
      <c r="T33" s="649" t="s">
        <v>156</v>
      </c>
      <c r="U33" s="652" t="s">
        <v>174</v>
      </c>
      <c r="V33" s="515"/>
      <c r="X33" s="1309" t="s">
        <v>2157</v>
      </c>
      <c r="Y33" s="1309" t="s">
        <v>68</v>
      </c>
      <c r="Z33" s="1310">
        <f>-Input_PL_IncentiveMaxAdj_LenderPaidComp+Input_PL_MaxPriceBase_IE_01PP+Input_PL_Incentive_IE+Input_PL_IncentiveMaxAdj_IE</f>
        <v>102.5</v>
      </c>
      <c r="AA33" s="1311" cm="1">
        <f t="array" ref="AA33">[1]!Input_MaxPriceNet_IE_01PP</f>
        <v>102.5</v>
      </c>
      <c r="AB33" s="518"/>
      <c r="AC33" s="736" t="s">
        <v>168</v>
      </c>
      <c r="AD33" s="701" t="s">
        <v>122</v>
      </c>
      <c r="AE33" s="737" t="s">
        <v>147</v>
      </c>
      <c r="AH33" s="514" t="s">
        <v>76</v>
      </c>
      <c r="AQ33" s="695">
        <v>3000000.01</v>
      </c>
      <c r="AR33" s="696" t="s">
        <v>124</v>
      </c>
      <c r="AV33" s="1297" t="s">
        <v>1533</v>
      </c>
      <c r="AW33" s="1233" t="s">
        <v>1249</v>
      </c>
      <c r="AX33" s="1234" t="str">
        <f t="shared" si="1"/>
        <v>PT_009.6250000000</v>
      </c>
      <c r="AY33" s="1235">
        <f>[1]!PR_R29</f>
        <v>9.625</v>
      </c>
      <c r="AZ33" s="1236">
        <f>[1]!PR_ARM05_P29+Input_PL_Incentive_PR</f>
        <v>-2</v>
      </c>
      <c r="BA33" s="1236">
        <f>[1]!PR_FRM30_P29+Input_PL_Incentive_PR</f>
        <v>105.375</v>
      </c>
      <c r="BB33" s="1234">
        <f t="shared" si="6"/>
        <v>105.375</v>
      </c>
      <c r="BC33" s="1234" t="str">
        <f t="shared" si="3"/>
        <v>PT_105.3750000000</v>
      </c>
      <c r="BD33" s="1234"/>
      <c r="BE33" s="1298" t="s">
        <v>1830</v>
      </c>
      <c r="BG33" s="595" t="s">
        <v>391</v>
      </c>
      <c r="BH33" s="596" t="str">
        <f>INDEX([1]!List_StateInputAll,MATCH(BG33,[1]!List_StateInput,0),2)</f>
        <v>Non-CA</v>
      </c>
      <c r="BI33" s="597" t="str">
        <f>INDEX([1]!List_StateInputAll,MATCH(BG33,[1]!List_StateInput,0),3)</f>
        <v>Y</v>
      </c>
      <c r="BJ33" s="597" t="str">
        <f>INDEX([1]!List_StateInputAll,MATCH(BG33,[1]!List_StateInput,0),4)</f>
        <v>Y</v>
      </c>
      <c r="BK33" s="597" t="str">
        <f>INDEX([1]!List_StateInputAll,MATCH(BG33,[1]!List_StateInput,0),5)</f>
        <v xml:space="preserve"> </v>
      </c>
      <c r="BL33" s="627" t="str">
        <f>INDEX([1]!List_StateInputAll,MATCH(BG33,[1]!List_StateInput,0),6)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3" s="627" t="str">
        <f>INDEX([1]!List_StateInputAll,MATCH(BG33,[1]!List_StateInput,0),7)</f>
        <v xml:space="preserve"> </v>
      </c>
      <c r="BN33" s="597" t="str">
        <f>INDEX([1]!List_StateInputAll,MATCH(BG33,[1]!List_StateInput,0),8)</f>
        <v>NorthDakota</v>
      </c>
      <c r="BO33" s="597" t="str">
        <f>INDEX([1]!List_StateInputAll,MATCH(BG33,[1]!List_StateInput,0),9)</f>
        <v>Y</v>
      </c>
      <c r="BP33" s="598" t="str">
        <f>INDEX([1]!List_StateInputAll,MATCH(BG33,[1]!List_StateInput,0),10)</f>
        <v>Y</v>
      </c>
      <c r="BQ33" s="597" t="str">
        <f>INDEX([1]!List_StateInputAll,MATCH(BG33,[1]!List_StateInput,0),11)</f>
        <v>N</v>
      </c>
      <c r="BR33" s="599" t="str">
        <f>INDEX([1]!List_StateInputAll,MATCH(BG33,[1]!List_StateInput,0),12)</f>
        <v>N</v>
      </c>
      <c r="BS33" s="598" t="str">
        <f>INDEX([1]!List_StateInputAll,MATCH(BG33,[1]!List_StateInput,0),13)</f>
        <v xml:space="preserve"> </v>
      </c>
      <c r="BT33" s="578" t="str">
        <f>IF(OR(Input_Ratesheet_Source="Corr1",Input_Ratesheet_Source="Corr2",Input_Ratesheet_Source="Corr3",Input_Ratesheet_Source="CorrND"),BI33,IF(Input_Ratesheet_Source="Whol",IF(Input_Occupancy="Non Owner Occupied",BP33,BO33),IF(Input_Ratesheet_Source="Retl",IF(Input_Occupancy="Non Owner Occupied",IF(IF(IFERROR(FIND(Input_ProductClass,Structure!BS33),0)&gt;=1,"N","Y")="N","N",BR33),BQ33),"")))</f>
        <v>Y</v>
      </c>
      <c r="BU33" s="598" t="str">
        <f>INDEX([1]!List_StateInputAll,MATCH(BG33,[1]!List_StateInput,0),14)</f>
        <v>Wet</v>
      </c>
      <c r="BV33" s="598">
        <f>INDEX([1]!List_StateInputAll,MATCH(BG33,[1]!List_StateInput,0),15)</f>
        <v>1</v>
      </c>
      <c r="BW33" s="596" t="str">
        <f>INDEX([1]!List_StateInputAll,MATCH(BG33,[1]!List_StateInput,0),16)</f>
        <v>APOR</v>
      </c>
      <c r="BX33" s="600">
        <f>INDEX([1]!List_StateInputAll,MATCH(BG33,[1]!List_StateInput,0),17)</f>
        <v>6.5</v>
      </c>
      <c r="BY33" s="600">
        <f>INDEX([1]!List_StateInputAll,MATCH(BG33,[1]!List_StateInput,0),18)</f>
        <v>8.5</v>
      </c>
      <c r="BZ33" s="600">
        <f>INDEX([1]!List_StateInputAll,MATCH(BG33,[1]!List_StateInput,0),19)</f>
        <v>5</v>
      </c>
      <c r="CA33" s="597">
        <f>INDEX([1]!List_StateInputAll,MATCH(BG33,[1]!List_StateInput,0),20)</f>
        <v>0</v>
      </c>
      <c r="CB33" s="597" t="str">
        <f>INDEX([1]!List_StateInputAll,MATCH(BG33,[1]!List_StateInput,0),21)</f>
        <v>Owner Occupied</v>
      </c>
      <c r="CC33" s="597" t="str">
        <f>INDEX([1]!List_StateInputAll,MATCH(BG33,[1]!List_StateInput,0),22)</f>
        <v>Purchase, Rate-Term, Cash-Out</v>
      </c>
      <c r="CD33" s="598">
        <f>INDEX([1]!List_StateInputAll,MATCH(BG33,[1]!List_StateInput,0),23)</f>
        <v>0</v>
      </c>
      <c r="CE33" s="598" t="str">
        <f>INDEX([1]!List_StateInputAll,MATCH(BG33,[1]!List_StateInput,0),24)</f>
        <v>Y</v>
      </c>
    </row>
    <row r="34" spans="2:83" ht="9.6" customHeight="1" x14ac:dyDescent="0.2">
      <c r="B34" s="616"/>
      <c r="C34" s="617" t="s">
        <v>285</v>
      </c>
      <c r="D34" s="641" t="str" cm="1">
        <f t="array" ref="D34">Input_FirstTimeHomeBuyer</f>
        <v>N</v>
      </c>
      <c r="E34" s="642"/>
      <c r="F34" s="643"/>
      <c r="G34" s="644"/>
      <c r="H34" s="689">
        <v>0</v>
      </c>
      <c r="I34" s="723" t="s">
        <v>76</v>
      </c>
      <c r="J34" s="621" t="s">
        <v>76</v>
      </c>
      <c r="K34" s="631"/>
      <c r="L34" s="514" t="s">
        <v>76</v>
      </c>
      <c r="M34" s="648" t="s">
        <v>186</v>
      </c>
      <c r="N34" s="650" t="s">
        <v>1235</v>
      </c>
      <c r="O34" s="650" t="s">
        <v>54</v>
      </c>
      <c r="P34" s="650" t="s">
        <v>94</v>
      </c>
      <c r="Q34" s="651" t="s">
        <v>425</v>
      </c>
      <c r="R34" s="649" t="s">
        <v>107</v>
      </c>
      <c r="S34" s="651" t="s">
        <v>108</v>
      </c>
      <c r="T34" s="656" t="str">
        <f>IFERROR(IF(Input_Occupancy="Owner Occupied","Bank Statement (24mo, 12mo)",""),"Bank Statement (24mo, 12mo)")</f>
        <v>Bank Statement (24mo, 12mo)</v>
      </c>
      <c r="U34" s="652" t="s">
        <v>175</v>
      </c>
      <c r="V34" s="515"/>
      <c r="X34" s="1309" t="s">
        <v>2158</v>
      </c>
      <c r="Y34" s="1309" t="s">
        <v>67</v>
      </c>
      <c r="Z34" s="1310">
        <f>-Input_PL_IncentiveMaxAdj_LenderPaidComp+Input_PL_MaxPriceBase_IE_02PP+Input_PL_Incentive_IE+Input_PL_IncentiveMaxAdj_IE</f>
        <v>102.75</v>
      </c>
      <c r="AA34" s="1311" cm="1">
        <f t="array" ref="AA34">[1]!Input_MaxPriceNet_IE_02PP</f>
        <v>102.75</v>
      </c>
      <c r="AB34" s="518"/>
      <c r="AC34" s="704" t="s">
        <v>98</v>
      </c>
      <c r="AD34" s="705" t="s">
        <v>108</v>
      </c>
      <c r="AE34" s="705"/>
      <c r="AH34" s="514" t="s">
        <v>76</v>
      </c>
      <c r="AQ34" s="695">
        <v>3500000.01</v>
      </c>
      <c r="AR34" s="696" t="s">
        <v>230</v>
      </c>
      <c r="AV34" s="1297" t="s">
        <v>1533</v>
      </c>
      <c r="AW34" s="1233" t="s">
        <v>1249</v>
      </c>
      <c r="AX34" s="1234" t="str">
        <f t="shared" si="1"/>
        <v>PT_009.5000000000</v>
      </c>
      <c r="AY34" s="1235">
        <f>[1]!PR_R30</f>
        <v>9.5</v>
      </c>
      <c r="AZ34" s="1236">
        <f>[1]!PR_ARM05_P30+Input_PL_Incentive_PR</f>
        <v>-2</v>
      </c>
      <c r="BA34" s="1236">
        <f>[1]!PR_FRM30_P30+Input_PL_Incentive_PR</f>
        <v>105</v>
      </c>
      <c r="BB34" s="1234">
        <f t="shared" si="6"/>
        <v>105</v>
      </c>
      <c r="BC34" s="1234" t="str">
        <f t="shared" si="3"/>
        <v>PT_105.0000000000</v>
      </c>
      <c r="BD34" s="1234"/>
      <c r="BE34" s="1298" t="s">
        <v>1831</v>
      </c>
      <c r="BG34" s="595" t="s">
        <v>392</v>
      </c>
      <c r="BH34" s="596" t="str">
        <f>INDEX([1]!List_StateInputAll,MATCH(BG34,[1]!List_StateInput,0),2)</f>
        <v>Non-CA</v>
      </c>
      <c r="BI34" s="597" t="str">
        <f>INDEX([1]!List_StateInputAll,MATCH(BG34,[1]!List_StateInput,0),3)</f>
        <v>Y</v>
      </c>
      <c r="BJ34" s="597" t="str">
        <f>INDEX([1]!List_StateInputAll,MATCH(BG34,[1]!List_StateInput,0),4)</f>
        <v>Y</v>
      </c>
      <c r="BK34" s="597" t="str">
        <f>INDEX([1]!List_StateInputAll,MATCH(BG34,[1]!List_StateInput,0),5)</f>
        <v xml:space="preserve"> </v>
      </c>
      <c r="BL34" s="597" t="str">
        <f>INDEX([1]!List_StateInputAll,MATCH(BG34,[1]!List_StateInput,0),6)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4" s="597" t="str">
        <f>INDEX([1]!List_StateInputAll,MATCH(BG34,[1]!List_StateInput,0),7)</f>
        <v xml:space="preserve"> </v>
      </c>
      <c r="BN34" s="597" t="str">
        <f>INDEX([1]!List_StateInputAll,MATCH(BG34,[1]!List_StateInput,0),8)</f>
        <v>Nebraska</v>
      </c>
      <c r="BO34" s="597" t="str">
        <f>INDEX([1]!List_StateInputAll,MATCH(BG34,[1]!List_StateInput,0),9)</f>
        <v>Y</v>
      </c>
      <c r="BP34" s="598" t="str">
        <f>INDEX([1]!List_StateInputAll,MATCH(BG34,[1]!List_StateInput,0),10)</f>
        <v>Y</v>
      </c>
      <c r="BQ34" s="597" t="str">
        <f>INDEX([1]!List_StateInputAll,MATCH(BG34,[1]!List_StateInput,0),11)</f>
        <v>N</v>
      </c>
      <c r="BR34" s="599" t="str">
        <f>INDEX([1]!List_StateInputAll,MATCH(BG34,[1]!List_StateInput,0),12)</f>
        <v>Y</v>
      </c>
      <c r="BS34" s="598" t="str">
        <f>INDEX([1]!List_StateInputAll,MATCH(BG34,[1]!List_StateInput,0),13)</f>
        <v xml:space="preserve"> </v>
      </c>
      <c r="BT34" s="578" t="str">
        <f>IF(OR(Input_Ratesheet_Source="Corr1",Input_Ratesheet_Source="Corr2",Input_Ratesheet_Source="Corr3",Input_Ratesheet_Source="CorrND"),BI34,IF(Input_Ratesheet_Source="Whol",IF(Input_Occupancy="Non Owner Occupied",BP34,BO34),IF(Input_Ratesheet_Source="Retl",IF(Input_Occupancy="Non Owner Occupied",IF(IF(IFERROR(FIND(Input_ProductClass,Structure!BS34),0)&gt;=1,"N","Y")="N","N",BR34),BQ34),"")))</f>
        <v>Y</v>
      </c>
      <c r="BU34" s="598" t="str">
        <f>INDEX([1]!List_StateInputAll,MATCH(BG34,[1]!List_StateInput,0),14)</f>
        <v>Wet</v>
      </c>
      <c r="BV34" s="598">
        <f>INDEX([1]!List_StateInputAll,MATCH(BG34,[1]!List_StateInput,0),15)</f>
        <v>1</v>
      </c>
      <c r="BW34" s="596" t="str">
        <f>INDEX([1]!List_StateInputAll,MATCH(BG34,[1]!List_StateInput,0),16)</f>
        <v>APOR</v>
      </c>
      <c r="BX34" s="600">
        <f>INDEX([1]!List_StateInputAll,MATCH(BG34,[1]!List_StateInput,0),17)</f>
        <v>6.5</v>
      </c>
      <c r="BY34" s="600">
        <f>INDEX([1]!List_StateInputAll,MATCH(BG34,[1]!List_StateInput,0),18)</f>
        <v>8.5</v>
      </c>
      <c r="BZ34" s="600">
        <f>INDEX([1]!List_StateInputAll,MATCH(BG34,[1]!List_StateInput,0),19)</f>
        <v>5</v>
      </c>
      <c r="CA34" s="597">
        <f>INDEX([1]!List_StateInputAll,MATCH(BG34,[1]!List_StateInput,0),20)</f>
        <v>0</v>
      </c>
      <c r="CB34" s="597" t="str">
        <f>INDEX([1]!List_StateInputAll,MATCH(BG34,[1]!List_StateInput,0),21)</f>
        <v>Owner Occupied</v>
      </c>
      <c r="CC34" s="597" t="str">
        <f>INDEX([1]!List_StateInputAll,MATCH(BG34,[1]!List_StateInput,0),22)</f>
        <v>Purchase, Rate-Term, Cash-Out</v>
      </c>
      <c r="CD34" s="598">
        <f>INDEX([1]!List_StateInputAll,MATCH(BG34,[1]!List_StateInput,0),23)</f>
        <v>0</v>
      </c>
      <c r="CE34" s="598" t="str">
        <f>INDEX([1]!List_StateInputAll,MATCH(BG34,[1]!List_StateInput,0),24)</f>
        <v>Y</v>
      </c>
    </row>
    <row r="35" spans="2:83" ht="9.6" customHeight="1" x14ac:dyDescent="0.2">
      <c r="B35" s="616"/>
      <c r="C35" s="617" t="s">
        <v>51</v>
      </c>
      <c r="D35" s="641" t="str">
        <f>Input_Payment</f>
        <v>No ACH</v>
      </c>
      <c r="E35" s="642"/>
      <c r="F35" s="643"/>
      <c r="G35" s="644"/>
      <c r="H35" s="645">
        <f>INDEX(Lookup_LLPAAll,MATCH(INDEX(List_ProductAll,MATCH(Input_Product,List_Product,0),2)&amp;"_"&amp;Input_Payment,Lookup_LLPA,0),INDEX(List_LTV_All,MATCH(Input_LTV,List_LTV,-1),3))</f>
        <v>0</v>
      </c>
      <c r="I35" s="723" t="s">
        <v>76</v>
      </c>
      <c r="J35" s="621" t="s">
        <v>76</v>
      </c>
      <c r="K35" s="647" t="str">
        <f>INDEX(List_ProductAll,MATCH(Input_Product,List_Product,0),2)&amp;"_"&amp;Input_Payment</f>
        <v>PT_No ACH</v>
      </c>
      <c r="L35" s="514" t="s">
        <v>76</v>
      </c>
      <c r="M35" s="648" t="s">
        <v>188</v>
      </c>
      <c r="N35" s="650" t="s">
        <v>1235</v>
      </c>
      <c r="O35" s="650" t="s">
        <v>58</v>
      </c>
      <c r="P35" s="650" t="s">
        <v>96</v>
      </c>
      <c r="Q35" s="651" t="s">
        <v>137</v>
      </c>
      <c r="R35" s="660" t="s">
        <v>107</v>
      </c>
      <c r="S35" s="651" t="s">
        <v>108</v>
      </c>
      <c r="T35" s="649" t="s">
        <v>158</v>
      </c>
      <c r="U35" s="661" t="s">
        <v>179</v>
      </c>
      <c r="V35" s="515"/>
      <c r="X35" s="1309" t="s">
        <v>2159</v>
      </c>
      <c r="Y35" s="1309" t="s">
        <v>66</v>
      </c>
      <c r="Z35" s="1310">
        <f>-Input_PL_IncentiveMaxAdj_LenderPaidComp+Input_PL_MaxPriceBase_IE_03PP+Input_PL_Incentive_IE+Input_PL_IncentiveMaxAdj_IE</f>
        <v>103.25</v>
      </c>
      <c r="AA35" s="1311" cm="1">
        <f t="array" ref="AA35">[1]!Input_MaxPriceNet_IE_03PP</f>
        <v>103.25</v>
      </c>
      <c r="AB35" s="518"/>
      <c r="AC35" s="716" t="s">
        <v>4</v>
      </c>
      <c r="AD35" s="743" t="s">
        <v>107</v>
      </c>
      <c r="AE35" s="743" t="s">
        <v>171</v>
      </c>
      <c r="AH35" s="514" t="s">
        <v>76</v>
      </c>
      <c r="AQ35" s="695">
        <v>4000000.01</v>
      </c>
      <c r="AR35" s="696" t="s">
        <v>231</v>
      </c>
      <c r="AV35" s="1297" t="s">
        <v>1533</v>
      </c>
      <c r="AW35" s="1233" t="s">
        <v>1249</v>
      </c>
      <c r="AX35" s="1234" t="str">
        <f t="shared" si="1"/>
        <v>PT_009.3750000000</v>
      </c>
      <c r="AY35" s="1235">
        <f>[1]!PR_R31</f>
        <v>9.375</v>
      </c>
      <c r="AZ35" s="1236">
        <f>[1]!PR_ARM05_P31+Input_PL_Incentive_PR</f>
        <v>-2</v>
      </c>
      <c r="BA35" s="1236">
        <f>[1]!PR_FRM30_P31+Input_PL_Incentive_PR</f>
        <v>104.625</v>
      </c>
      <c r="BB35" s="1234">
        <f t="shared" si="6"/>
        <v>104.625</v>
      </c>
      <c r="BC35" s="1234" t="str">
        <f t="shared" si="3"/>
        <v>PT_104.6250000000</v>
      </c>
      <c r="BD35" s="1234"/>
      <c r="BE35" s="1298" t="s">
        <v>1832</v>
      </c>
      <c r="BG35" s="595" t="s">
        <v>393</v>
      </c>
      <c r="BH35" s="596" t="str">
        <f>INDEX([1]!List_StateInputAll,MATCH(BG35,[1]!List_StateInput,0),2)</f>
        <v>Non-CA</v>
      </c>
      <c r="BI35" s="597" t="str">
        <f>INDEX([1]!List_StateInputAll,MATCH(BG35,[1]!List_StateInput,0),3)</f>
        <v>Y</v>
      </c>
      <c r="BJ35" s="597" t="str">
        <f>INDEX([1]!List_StateInputAll,MATCH(BG35,[1]!List_StateInput,0),4)</f>
        <v>Y</v>
      </c>
      <c r="BK35" s="597" t="str">
        <f>INDEX([1]!List_StateInputAll,MATCH(BG35,[1]!List_StateInput,0),5)</f>
        <v xml:space="preserve"> </v>
      </c>
      <c r="BL35" s="597" t="str">
        <f>INDEX([1]!List_StateInputAll,MATCH(BG35,[1]!List_StateInput,0),6)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5" s="597" t="str">
        <f>INDEX([1]!List_StateInputAll,MATCH(BG35,[1]!List_StateInput,0),7)</f>
        <v xml:space="preserve"> </v>
      </c>
      <c r="BN35" s="597" t="str">
        <f>INDEX([1]!List_StateInputAll,MATCH(BG35,[1]!List_StateInput,0),8)</f>
        <v>NewHampshire</v>
      </c>
      <c r="BO35" s="597" t="str">
        <f>INDEX([1]!List_StateInputAll,MATCH(BG35,[1]!List_StateInput,0),9)</f>
        <v>Y</v>
      </c>
      <c r="BP35" s="598" t="str">
        <f>INDEX([1]!List_StateInputAll,MATCH(BG35,[1]!List_StateInput,0),10)</f>
        <v>Y</v>
      </c>
      <c r="BQ35" s="597" t="str">
        <f>INDEX([1]!List_StateInputAll,MATCH(BG35,[1]!List_StateInput,0),11)</f>
        <v>N</v>
      </c>
      <c r="BR35" s="599" t="str">
        <f>INDEX([1]!List_StateInputAll,MATCH(BG35,[1]!List_StateInput,0),12)</f>
        <v>Y</v>
      </c>
      <c r="BS35" s="598" t="str">
        <f>INDEX([1]!List_StateInputAll,MATCH(BG35,[1]!List_StateInput,0),13)</f>
        <v xml:space="preserve"> </v>
      </c>
      <c r="BT35" s="578" t="str">
        <f>IF(OR(Input_Ratesheet_Source="Corr1",Input_Ratesheet_Source="Corr2",Input_Ratesheet_Source="Corr3",Input_Ratesheet_Source="CorrND"),BI35,IF(Input_Ratesheet_Source="Whol",IF(Input_Occupancy="Non Owner Occupied",BP35,BO35),IF(Input_Ratesheet_Source="Retl",IF(Input_Occupancy="Non Owner Occupied",IF(IF(IFERROR(FIND(Input_ProductClass,Structure!BS35),0)&gt;=1,"N","Y")="N","N",BR35),BQ35),"")))</f>
        <v>Y</v>
      </c>
      <c r="BU35" s="598" t="str">
        <f>INDEX([1]!List_StateInputAll,MATCH(BG35,[1]!List_StateInput,0),14)</f>
        <v>Wet</v>
      </c>
      <c r="BV35" s="598">
        <f>INDEX([1]!List_StateInputAll,MATCH(BG35,[1]!List_StateInput,0),15)</f>
        <v>1</v>
      </c>
      <c r="BW35" s="596" t="str">
        <f>INDEX([1]!List_StateInputAll,MATCH(BG35,[1]!List_StateInput,0),16)</f>
        <v>APOR</v>
      </c>
      <c r="BX35" s="600">
        <f>INDEX([1]!List_StateInputAll,MATCH(BG35,[1]!List_StateInput,0),17)</f>
        <v>6.5</v>
      </c>
      <c r="BY35" s="600">
        <f>INDEX([1]!List_StateInputAll,MATCH(BG35,[1]!List_StateInput,0),18)</f>
        <v>8.5</v>
      </c>
      <c r="BZ35" s="600">
        <f>INDEX([1]!List_StateInputAll,MATCH(BG35,[1]!List_StateInput,0),19)</f>
        <v>5</v>
      </c>
      <c r="CA35" s="597">
        <f>INDEX([1]!List_StateInputAll,MATCH(BG35,[1]!List_StateInput,0),20)</f>
        <v>0</v>
      </c>
      <c r="CB35" s="597" t="str">
        <f>INDEX([1]!List_StateInputAll,MATCH(BG35,[1]!List_StateInput,0),21)</f>
        <v>Owner Occupied</v>
      </c>
      <c r="CC35" s="597" t="str">
        <f>INDEX([1]!List_StateInputAll,MATCH(BG35,[1]!List_StateInput,0),22)</f>
        <v>Purchase, Rate-Term, Cash-Out</v>
      </c>
      <c r="CD35" s="598">
        <f>INDEX([1]!List_StateInputAll,MATCH(BG35,[1]!List_StateInput,0),23)</f>
        <v>0</v>
      </c>
      <c r="CE35" s="598" t="str">
        <f>INDEX([1]!List_StateInputAll,MATCH(BG35,[1]!List_StateInput,0),24)</f>
        <v>Y</v>
      </c>
    </row>
    <row r="36" spans="2:83" ht="9.6" customHeight="1" x14ac:dyDescent="0.2">
      <c r="B36" s="616"/>
      <c r="C36" s="617" t="s">
        <v>48</v>
      </c>
      <c r="D36" s="641" t="str">
        <f>Input_Servicing</f>
        <v>No Escrows</v>
      </c>
      <c r="E36" s="642"/>
      <c r="F36" s="643"/>
      <c r="G36" s="644"/>
      <c r="H36" s="645">
        <f>INDEX(Lookup_LLPAAll,MATCH(INDEX(List_ProductAll,MATCH(Input_Product,List_Product,0),2)&amp;"_"&amp;Input_Servicing,Lookup_LLPA,0),INDEX(List_LTV_All,MATCH(Input_LTV,List_LTV,-1),3))</f>
        <v>0</v>
      </c>
      <c r="I36" s="723" t="s">
        <v>76</v>
      </c>
      <c r="J36" s="621" t="s">
        <v>76</v>
      </c>
      <c r="K36" s="647" t="str">
        <f>INDEX(List_ProductAll,MATCH(Input_Product,List_Product,0),2)&amp;"_"&amp;Input_Servicing</f>
        <v>PT_No Escrows</v>
      </c>
      <c r="L36" s="514" t="s">
        <v>76</v>
      </c>
      <c r="M36" s="648" t="s">
        <v>190</v>
      </c>
      <c r="N36" s="650" t="s">
        <v>1235</v>
      </c>
      <c r="O36" s="649" t="s">
        <v>60</v>
      </c>
      <c r="P36" s="649" t="s">
        <v>97</v>
      </c>
      <c r="Q36" s="650" t="s">
        <v>137</v>
      </c>
      <c r="R36" s="650" t="s">
        <v>108</v>
      </c>
      <c r="S36" s="650" t="s">
        <v>107</v>
      </c>
      <c r="T36" s="650" t="s">
        <v>253</v>
      </c>
      <c r="U36" s="652" t="s">
        <v>181</v>
      </c>
      <c r="V36" s="515"/>
      <c r="X36" s="1309" t="s">
        <v>2160</v>
      </c>
      <c r="Y36" s="1309" t="s">
        <v>165</v>
      </c>
      <c r="Z36" s="1310">
        <f>-Input_PL_IncentiveMaxAdj_LenderPaidComp+Input_PL_MaxPriceBase_IE_04PP+Input_PL_Incentive_IE+Input_PL_IncentiveMaxAdj_IE</f>
        <v>103.5</v>
      </c>
      <c r="AA36" s="1311" cm="1">
        <f t="array" ref="AA36">[1]!Input_MaxPriceNet_IE_04PP</f>
        <v>103.5</v>
      </c>
      <c r="AB36" s="518"/>
      <c r="AH36" s="514" t="s">
        <v>76</v>
      </c>
      <c r="AQ36" s="695">
        <v>4500000.01</v>
      </c>
      <c r="AR36" s="696" t="s">
        <v>232</v>
      </c>
      <c r="AV36" s="1297" t="s">
        <v>1533</v>
      </c>
      <c r="AW36" s="1233" t="s">
        <v>1249</v>
      </c>
      <c r="AX36" s="1234" t="str">
        <f t="shared" si="1"/>
        <v>PT_009.2500000000</v>
      </c>
      <c r="AY36" s="1235">
        <f>[1]!PR_R32</f>
        <v>9.25</v>
      </c>
      <c r="AZ36" s="1236">
        <f>[1]!PR_ARM05_P32+Input_PL_Incentive_PR</f>
        <v>-2</v>
      </c>
      <c r="BA36" s="1236">
        <f>[1]!PR_FRM30_P32+Input_PL_Incentive_PR</f>
        <v>104.25</v>
      </c>
      <c r="BB36" s="1234">
        <f t="shared" si="6"/>
        <v>104.25</v>
      </c>
      <c r="BC36" s="1234" t="str">
        <f t="shared" si="3"/>
        <v>PT_104.2500000000</v>
      </c>
      <c r="BD36" s="1234"/>
      <c r="BE36" s="1298" t="s">
        <v>1833</v>
      </c>
      <c r="BG36" s="595" t="s">
        <v>117</v>
      </c>
      <c r="BH36" s="1805" t="str">
        <f>IFERROR(IF(FIND("Core",Input_Product),"NJ","Non-CA"),"Non-CA")</f>
        <v>Non-CA</v>
      </c>
      <c r="BI36" s="597" t="str">
        <f>INDEX([1]!List_StateInputAll,MATCH(BG36,[1]!List_StateInput,0),3)</f>
        <v>Y</v>
      </c>
      <c r="BJ36" s="597" t="str">
        <f>INDEX([1]!List_StateInputAll,MATCH(BG36,[1]!List_StateInput,0),4)</f>
        <v>Y</v>
      </c>
      <c r="BK36" s="597" t="str">
        <f>INDEX([1]!List_StateInputAll,MATCH(BG36,[1]!List_StateInput,0),5)</f>
        <v xml:space="preserve"> </v>
      </c>
      <c r="BL36" s="597" t="str">
        <f>INDEX([1]!List_StateInputAll,MATCH(BG36,[1]!List_StateInput,0),6)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6" s="597" t="str">
        <f>INDEX([1]!List_StateInputAll,MATCH(BG36,[1]!List_StateInput,0),7)</f>
        <v>Prepay Restriction May Apply: Borrower must be corporation if interest rate is &gt; 6%</v>
      </c>
      <c r="BN36" s="597" t="str">
        <f>INDEX([1]!List_StateInputAll,MATCH(BG36,[1]!List_StateInput,0),8)</f>
        <v>NewJersey</v>
      </c>
      <c r="BO36" s="597" t="str">
        <f>INDEX([1]!List_StateInputAll,MATCH(BG36,[1]!List_StateInput,0),9)</f>
        <v>Y</v>
      </c>
      <c r="BP36" s="598" t="str">
        <f>INDEX([1]!List_StateInputAll,MATCH(BG36,[1]!List_StateInput,0),10)</f>
        <v>Y</v>
      </c>
      <c r="BQ36" s="597" t="str">
        <f>INDEX([1]!List_StateInputAll,MATCH(BG36,[1]!List_StateInput,0),11)</f>
        <v>N</v>
      </c>
      <c r="BR36" s="599" t="str">
        <f>INDEX([1]!List_StateInputAll,MATCH(BG36,[1]!List_StateInput,0),12)</f>
        <v>Y</v>
      </c>
      <c r="BS36" s="598" t="str">
        <f>INDEX([1]!List_StateInputAll,MATCH(BG36,[1]!List_StateInput,0),13)</f>
        <v xml:space="preserve"> </v>
      </c>
      <c r="BT36" s="578" t="str">
        <f>IF(OR(Input_Ratesheet_Source="Corr1",Input_Ratesheet_Source="Corr2",Input_Ratesheet_Source="Corr3",Input_Ratesheet_Source="CorrND"),BI36,IF(Input_Ratesheet_Source="Whol",IF(Input_Occupancy="Non Owner Occupied",BP36,BO36),IF(Input_Ratesheet_Source="Retl",IF(Input_Occupancy="Non Owner Occupied",IF(IF(IFERROR(FIND(Input_ProductClass,Structure!BS36),0)&gt;=1,"N","Y")="N","N",BR36),BQ36),"")))</f>
        <v>Y</v>
      </c>
      <c r="BU36" s="598" t="str">
        <f>INDEX([1]!List_StateInputAll,MATCH(BG36,[1]!List_StateInput,0),14)</f>
        <v>Wet</v>
      </c>
      <c r="BV36" s="598">
        <f>INDEX([1]!List_StateInputAll,MATCH(BG36,[1]!List_StateInput,0),15)</f>
        <v>1</v>
      </c>
      <c r="BW36" s="596" t="str">
        <f>INDEX([1]!List_StateInputAll,MATCH(BG36,[1]!List_StateInput,0),16)</f>
        <v>APOR</v>
      </c>
      <c r="BX36" s="600">
        <f>INDEX([1]!List_StateInputAll,MATCH(BG36,[1]!List_StateInput,0),17)</f>
        <v>6.5</v>
      </c>
      <c r="BY36" s="600">
        <f>INDEX([1]!List_StateInputAll,MATCH(BG36,[1]!List_StateInput,0),18)</f>
        <v>8.5</v>
      </c>
      <c r="BZ36" s="600">
        <f>INDEX([1]!List_StateInputAll,MATCH(BG36,[1]!List_StateInput,0),19)</f>
        <v>4.5</v>
      </c>
      <c r="CA36" s="597">
        <f>INDEX([1]!List_StateInputAll,MATCH(BG36,[1]!List_StateInput,0),20)</f>
        <v>513000</v>
      </c>
      <c r="CB36" s="597" t="str">
        <f>INDEX([1]!List_StateInputAll,MATCH(BG36,[1]!List_StateInput,0),21)</f>
        <v>Owner Occupied</v>
      </c>
      <c r="CC36" s="597" t="str">
        <f>INDEX([1]!List_StateInputAll,MATCH(BG36,[1]!List_StateInput,0),22)</f>
        <v>Purchase, Rate-Term, Cash-Out</v>
      </c>
      <c r="CD36" s="598">
        <f>INDEX([1]!List_StateInputAll,MATCH(BG36,[1]!List_StateInput,0),23)</f>
        <v>0</v>
      </c>
      <c r="CE36" s="598" t="str">
        <f>INDEX([1]!List_StateInputAll,MATCH(BG36,[1]!List_StateInput,0),24)</f>
        <v>N</v>
      </c>
    </row>
    <row r="37" spans="2:83" ht="9.6" customHeight="1" x14ac:dyDescent="0.2">
      <c r="B37" s="616"/>
      <c r="C37" s="617" t="s">
        <v>65</v>
      </c>
      <c r="D37" s="641" t="str">
        <f>Input_PrepayPenalty</f>
        <v>No Prepay</v>
      </c>
      <c r="E37" s="642"/>
      <c r="F37" s="670" t="str">
        <f>IF(IFERROR(FIND(Input_PrepayPenalty,INDEX(List_State_All,MATCH(Input_State,List_State,0),6)),0)&gt;0,"N","Y")</f>
        <v>N</v>
      </c>
      <c r="G37" s="644"/>
      <c r="H37" s="645">
        <f>IF(Error_PrepayPenalty="Y",#N/A,INDEX(Lookup_LLPAAll,MATCH(INDEX(List_ProductAll,MATCH(Input_Product,List_Product,0),2)&amp;"_"&amp;Input_PrepayPenalty,Lookup_LLPA,0),INDEX(List_LTV_All,MATCH(Input_LTV,List_LTV,-1),3)))</f>
        <v>0</v>
      </c>
      <c r="I37" s="655" t="str">
        <f>IF(Input_PrepayEnforce_Type="NoRestriction","Check Prepay Availability","")&amp;INDEX(List_State_All,MATCH(Input_State,List_State,0),7)</f>
        <v xml:space="preserve"> </v>
      </c>
      <c r="J37" s="621" t="s">
        <v>76</v>
      </c>
      <c r="K37" s="647" t="str">
        <f>INDEX(List_ProductAll,MATCH(Input_Product,List_Product,0),2)&amp;"_"&amp;Input_PrepayPenalty</f>
        <v>PT_No Prepay</v>
      </c>
      <c r="L37" s="514" t="s">
        <v>76</v>
      </c>
      <c r="M37" s="648" t="s">
        <v>247</v>
      </c>
      <c r="N37" s="650" t="s">
        <v>1235</v>
      </c>
      <c r="O37" s="649" t="s">
        <v>248</v>
      </c>
      <c r="P37" s="649" t="s">
        <v>95</v>
      </c>
      <c r="Q37" s="650" t="s">
        <v>137</v>
      </c>
      <c r="R37" s="650" t="s">
        <v>107</v>
      </c>
      <c r="S37" s="650" t="s">
        <v>108</v>
      </c>
      <c r="T37" s="650" t="s">
        <v>157</v>
      </c>
      <c r="U37" s="652">
        <v>13</v>
      </c>
      <c r="V37" s="515"/>
      <c r="X37" s="1312" t="s">
        <v>2161</v>
      </c>
      <c r="Y37" s="1312" t="s">
        <v>166</v>
      </c>
      <c r="Z37" s="1313">
        <f>-Input_PL_IncentiveMaxAdj_LenderPaidComp+Input_PL_MaxPriceBase_IE_05PP+Input_PL_Incentive_IE+Input_PL_IncentiveMaxAdj_IE</f>
        <v>104</v>
      </c>
      <c r="AA37" s="1314" cm="1">
        <f t="array" ref="AA37">[1]!Input_MaxPriceNet_IE_05PP</f>
        <v>104</v>
      </c>
      <c r="AB37" s="518"/>
      <c r="AC37" s="751" t="s">
        <v>43</v>
      </c>
      <c r="AD37" s="751" t="s">
        <v>322</v>
      </c>
      <c r="AE37" s="702" t="str">
        <f>INDEX(List_CreditHistory_All,MATCH(Input_CreditHistory,List_CreditHistory,0),2)</f>
        <v>No</v>
      </c>
      <c r="AH37" s="514" t="s">
        <v>76</v>
      </c>
      <c r="AQ37" s="745">
        <v>5000000.01</v>
      </c>
      <c r="AR37" s="746" t="s">
        <v>229</v>
      </c>
      <c r="AV37" s="1297" t="s">
        <v>1533</v>
      </c>
      <c r="AW37" s="1233" t="s">
        <v>1249</v>
      </c>
      <c r="AX37" s="1234" t="str">
        <f t="shared" si="1"/>
        <v>PT_009.1250000000</v>
      </c>
      <c r="AY37" s="1235">
        <f>[1]!PR_R33</f>
        <v>9.125</v>
      </c>
      <c r="AZ37" s="1236">
        <f>[1]!PR_ARM05_P33+Input_PL_Incentive_PR</f>
        <v>-2</v>
      </c>
      <c r="BA37" s="1236">
        <f>[1]!PR_FRM30_P33+Input_PL_Incentive_PR</f>
        <v>103.75</v>
      </c>
      <c r="BB37" s="1234">
        <f t="shared" si="6"/>
        <v>103.75</v>
      </c>
      <c r="BC37" s="1234" t="str">
        <f t="shared" si="3"/>
        <v>PT_103.7500000000</v>
      </c>
      <c r="BD37" s="1234"/>
      <c r="BE37" s="1298" t="s">
        <v>1834</v>
      </c>
      <c r="BG37" s="595" t="s">
        <v>394</v>
      </c>
      <c r="BH37" s="596" t="str">
        <f>INDEX([1]!List_StateInputAll,MATCH(BG37,[1]!List_StateInput,0),2)</f>
        <v>Non-CA</v>
      </c>
      <c r="BI37" s="597" t="str">
        <f>INDEX([1]!List_StateInputAll,MATCH(BG37,[1]!List_StateInput,0),3)</f>
        <v>Y</v>
      </c>
      <c r="BJ37" s="597" t="str">
        <f>INDEX([1]!List_StateInputAll,MATCH(BG37,[1]!List_StateInput,0),4)</f>
        <v>Y</v>
      </c>
      <c r="BK37" s="597" t="str">
        <f>INDEX([1]!List_StateInputAll,MATCH(BG37,[1]!List_StateInput,0),5)</f>
        <v xml:space="preserve"> </v>
      </c>
      <c r="BL37" s="627" t="str">
        <f>INDEX([1]!List_StateInputAll,MATCH(BG37,[1]!List_StateInput,0),6)</f>
        <v>No Prepay</v>
      </c>
      <c r="BM37" s="627" t="str">
        <f>INDEX([1]!List_StateInputAll,MATCH(BG37,[1]!List_StateInput,0),7)</f>
        <v>No Prepay Allowed</v>
      </c>
      <c r="BN37" s="597" t="str">
        <f>INDEX([1]!List_StateInputAll,MATCH(BG37,[1]!List_StateInput,0),8)</f>
        <v>NewMexico</v>
      </c>
      <c r="BO37" s="597" t="str">
        <f>INDEX([1]!List_StateInputAll,MATCH(BG37,[1]!List_StateInput,0),9)</f>
        <v>Y</v>
      </c>
      <c r="BP37" s="598" t="str">
        <f>INDEX([1]!List_StateInputAll,MATCH(BG37,[1]!List_StateInput,0),10)</f>
        <v>Y</v>
      </c>
      <c r="BQ37" s="597" t="str">
        <f>INDEX([1]!List_StateInputAll,MATCH(BG37,[1]!List_StateInput,0),11)</f>
        <v>N</v>
      </c>
      <c r="BR37" s="599" t="str">
        <f>INDEX([1]!List_StateInputAll,MATCH(BG37,[1]!List_StateInput,0),12)</f>
        <v>Y</v>
      </c>
      <c r="BS37" s="598" t="str">
        <f>INDEX([1]!List_StateInputAll,MATCH(BG37,[1]!List_StateInput,0),13)</f>
        <v xml:space="preserve"> </v>
      </c>
      <c r="BT37" s="578" t="str">
        <f>IF(OR(Input_Ratesheet_Source="Corr1",Input_Ratesheet_Source="Corr2",Input_Ratesheet_Source="Corr3",Input_Ratesheet_Source="CorrND"),BI37,IF(Input_Ratesheet_Source="Whol",IF(Input_Occupancy="Non Owner Occupied",BP37,BO37),IF(Input_Ratesheet_Source="Retl",IF(Input_Occupancy="Non Owner Occupied",IF(IF(IFERROR(FIND(Input_ProductClass,Structure!BS37),0)&gt;=1,"N","Y")="N","N",BR37),BQ37),"")))</f>
        <v>Y</v>
      </c>
      <c r="BU37" s="598" t="str">
        <f>INDEX([1]!List_StateInputAll,MATCH(BG37,[1]!List_StateInput,0),14)</f>
        <v>Dry</v>
      </c>
      <c r="BV37" s="598">
        <f>INDEX([1]!List_StateInputAll,MATCH(BG37,[1]!List_StateInput,0),15)</f>
        <v>1</v>
      </c>
      <c r="BW37" s="596" t="str">
        <f>INDEX([1]!List_StateInputAll,MATCH(BG37,[1]!List_StateInput,0),16)</f>
        <v>Treasury</v>
      </c>
      <c r="BX37" s="600">
        <f>INDEX([1]!List_StateInputAll,MATCH(BG37,[1]!List_StateInput,0),17)</f>
        <v>7</v>
      </c>
      <c r="BY37" s="600">
        <f>INDEX([1]!List_StateInputAll,MATCH(BG37,[1]!List_StateInput,0),18)</f>
        <v>9</v>
      </c>
      <c r="BZ37" s="600">
        <f>INDEX([1]!List_StateInputAll,MATCH(BG37,[1]!List_StateInput,0),19)</f>
        <v>5</v>
      </c>
      <c r="CA37" s="597" t="str">
        <f>INDEX([1]!List_StateInputAll,MATCH(BG37,[1]!List_StateInput,0),20)</f>
        <v>Agency</v>
      </c>
      <c r="CB37" s="597" t="str">
        <f>INDEX([1]!List_StateInputAll,MATCH(BG37,[1]!List_StateInput,0),21)</f>
        <v>Owner Occupied</v>
      </c>
      <c r="CC37" s="597" t="str">
        <f>INDEX([1]!List_StateInputAll,MATCH(BG37,[1]!List_StateInput,0),22)</f>
        <v>Purchase, Rate-Term, Cash-Out</v>
      </c>
      <c r="CD37" s="598">
        <f>INDEX([1]!List_StateInputAll,MATCH(BG37,[1]!List_StateInput,0),23)</f>
        <v>0</v>
      </c>
      <c r="CE37" s="598" t="str">
        <f>INDEX([1]!List_StateInputAll,MATCH(BG37,[1]!List_StateInput,0),24)</f>
        <v>N</v>
      </c>
    </row>
    <row r="38" spans="2:83" ht="9.6" customHeight="1" x14ac:dyDescent="0.2">
      <c r="B38" s="616"/>
      <c r="C38" s="617" t="s">
        <v>23</v>
      </c>
      <c r="D38" s="641" t="str">
        <f>Input_LockTerm</f>
        <v>30 Day</v>
      </c>
      <c r="E38" s="642"/>
      <c r="F38" s="643"/>
      <c r="G38" s="644"/>
      <c r="H38" s="645">
        <f>INDEX(Lookup_LLPAAll,MATCH(INDEX(List_ProductAll,MATCH(Input_Product,List_Product,0),2)&amp;"_"&amp;Input_LockTerm,Lookup_LLPA,0),INDEX(List_LTV_All,MATCH(Input_LTV,List_LTV,-1),3))</f>
        <v>0</v>
      </c>
      <c r="I38" s="752" t="str">
        <f>IF(IFERROR(SEARCH("Buydown",Input_AmortTerm),0)=0,"",IF(Input_AmortType="Interest-Only","I/O","P&amp;I")&amp;": 1-6="&amp;TEXT(IF(Input_AmortType="Interest-Only",-IPMT((Input_NoteRate-1.5)/1200,1,(Lookup_TermAmort),Input_LoanAmt),-PMT((Input_NoteRate-1.5)/1200,(Lookup_TermAmort),Input_LoanAmt)),"####.00"))&amp;IF(IFERROR(SEARCH("Buydown",Input_AmortTerm),0)=0,"",", 7-12="&amp;TEXT(IF(Input_AmortType="Interest-Only",-IPMT((Input_NoteRate-1)/1200,1,(Lookup_TermAmort),Input_LoanAmt),-PMT((Input_NoteRate-1)/1200,(Lookup_TermAmort),Input_LoanAmt)),"####.00"))&amp;IF(IFERROR(SEARCH("Buydown",Input_AmortTerm),0)=0,"",", 13-18="&amp;TEXT(IF(Input_AmortType="Interest-Only",-IPMT((Input_NoteRate-0.5)/1200,1,(Lookup_TermAmort),Input_LoanAmt),-PMT((Input_NoteRate-0.5)/1200,(Lookup_TermAmort),Input_LoanAmt)),"####.00"))</f>
        <v/>
      </c>
      <c r="J38" s="621" t="s">
        <v>76</v>
      </c>
      <c r="K38" s="647" t="str">
        <f>INDEX(List_ProductAll,MATCH(Input_Product,List_Product,0),2)&amp;"_"&amp;Input_LockTerm</f>
        <v>PT_30 Day</v>
      </c>
      <c r="L38" s="514" t="s">
        <v>76</v>
      </c>
      <c r="M38" s="648" t="s">
        <v>466</v>
      </c>
      <c r="N38" s="649" t="s">
        <v>1236</v>
      </c>
      <c r="O38" s="649" t="s">
        <v>467</v>
      </c>
      <c r="P38" s="650" t="s">
        <v>94</v>
      </c>
      <c r="Q38" s="650" t="s">
        <v>137</v>
      </c>
      <c r="R38" s="650" t="s">
        <v>107</v>
      </c>
      <c r="S38" s="650" t="s">
        <v>108</v>
      </c>
      <c r="T38" s="649" t="s">
        <v>1211</v>
      </c>
      <c r="U38" s="652" t="s">
        <v>468</v>
      </c>
      <c r="V38" s="515"/>
      <c r="X38" s="1325" t="s">
        <v>2544</v>
      </c>
      <c r="Y38" s="1325" t="s">
        <v>82</v>
      </c>
      <c r="Z38" s="1326">
        <f>-Input_PL_IncentiveMaxAdj_LenderPaidComp+Input_PL_MaxPriceBase_DE_NoPP+Input_PL_Incentive_IE+Input_PL_IncentiveMaxAdj_IE</f>
        <v>101.5</v>
      </c>
      <c r="AA38" s="1327" cm="1">
        <f t="array" ref="AA38">[1]!Input_MaxPriceNet_DE_NoPP</f>
        <v>101.5</v>
      </c>
      <c r="AC38" s="754" t="s">
        <v>125</v>
      </c>
      <c r="AD38" s="742" t="s">
        <v>319</v>
      </c>
      <c r="AE38" s="742"/>
      <c r="AH38" s="514" t="s">
        <v>76</v>
      </c>
      <c r="AV38" s="1297" t="s">
        <v>1533</v>
      </c>
      <c r="AW38" s="1233" t="s">
        <v>1249</v>
      </c>
      <c r="AX38" s="1234" t="str">
        <f t="shared" si="1"/>
        <v>PT_009.0000000000</v>
      </c>
      <c r="AY38" s="1235">
        <f>[1]!PR_R34</f>
        <v>9</v>
      </c>
      <c r="AZ38" s="1236">
        <f>[1]!PR_ARM05_P34+Input_PL_Incentive_PR</f>
        <v>-2</v>
      </c>
      <c r="BA38" s="1236">
        <f>[1]!PR_FRM30_P34+Input_PL_Incentive_PR</f>
        <v>103.25</v>
      </c>
      <c r="BB38" s="1234">
        <f t="shared" si="6"/>
        <v>103.25</v>
      </c>
      <c r="BC38" s="1234" t="str">
        <f t="shared" si="3"/>
        <v>PT_103.2500000000</v>
      </c>
      <c r="BD38" s="1234"/>
      <c r="BE38" s="1298" t="s">
        <v>1835</v>
      </c>
      <c r="BG38" s="595" t="s">
        <v>395</v>
      </c>
      <c r="BH38" s="596" t="str">
        <f>INDEX([1]!List_StateInputAll,MATCH(BG38,[1]!List_StateInput,0),2)</f>
        <v>Non-CA</v>
      </c>
      <c r="BI38" s="597" t="str">
        <f>INDEX([1]!List_StateInputAll,MATCH(BG38,[1]!List_StateInput,0),3)</f>
        <v>Y</v>
      </c>
      <c r="BJ38" s="597" t="str">
        <f>INDEX([1]!List_StateInputAll,MATCH(BG38,[1]!List_StateInput,0),4)</f>
        <v>Y</v>
      </c>
      <c r="BK38" s="597" t="str">
        <f>INDEX([1]!List_StateInputAll,MATCH(BG38,[1]!List_StateInput,0),5)</f>
        <v xml:space="preserve"> </v>
      </c>
      <c r="BL38" s="597" t="str">
        <f>INDEX([1]!List_StateInputAll,MATCH(BG38,[1]!List_StateInput,0),6)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8" s="597" t="str">
        <f>INDEX([1]!List_StateInputAll,MATCH(BG38,[1]!List_StateInput,0),7)</f>
        <v xml:space="preserve"> </v>
      </c>
      <c r="BN38" s="597" t="str">
        <f>INDEX([1]!List_StateInputAll,MATCH(BG38,[1]!List_StateInput,0),8)</f>
        <v>Nevada</v>
      </c>
      <c r="BO38" s="597" t="str">
        <f>INDEX([1]!List_StateInputAll,MATCH(BG38,[1]!List_StateInput,0),9)</f>
        <v>Y</v>
      </c>
      <c r="BP38" s="598" t="str">
        <f>INDEX([1]!List_StateInputAll,MATCH(BG38,[1]!List_StateInput,0),10)</f>
        <v>Y</v>
      </c>
      <c r="BQ38" s="597" t="str">
        <f>INDEX([1]!List_StateInputAll,MATCH(BG38,[1]!List_StateInput,0),11)</f>
        <v>N</v>
      </c>
      <c r="BR38" s="599" t="str">
        <f>INDEX([1]!List_StateInputAll,MATCH(BG38,[1]!List_StateInput,0),12)</f>
        <v>N</v>
      </c>
      <c r="BS38" s="598" t="str">
        <f>INDEX([1]!List_StateInputAll,MATCH(BG38,[1]!List_StateInput,0),13)</f>
        <v xml:space="preserve"> </v>
      </c>
      <c r="BT38" s="578" t="str">
        <f>IF(OR(Input_Ratesheet_Source="Corr1",Input_Ratesheet_Source="Corr2",Input_Ratesheet_Source="Corr3",Input_Ratesheet_Source="CorrND"),BI38,IF(Input_Ratesheet_Source="Whol",IF(Input_Occupancy="Non Owner Occupied",BP38,BO38),IF(Input_Ratesheet_Source="Retl",IF(Input_Occupancy="Non Owner Occupied",IF(IF(IFERROR(FIND(Input_ProductClass,Structure!BS38),0)&gt;=1,"N","Y")="N","N",BR38),BQ38),"")))</f>
        <v>Y</v>
      </c>
      <c r="BU38" s="598" t="str">
        <f>INDEX([1]!List_StateInputAll,MATCH(BG38,[1]!List_StateInput,0),14)</f>
        <v>Dry</v>
      </c>
      <c r="BV38" s="598">
        <f>INDEX([1]!List_StateInputAll,MATCH(BG38,[1]!List_StateInput,0),15)</f>
        <v>1</v>
      </c>
      <c r="BW38" s="596" t="str">
        <f>INDEX([1]!List_StateInputAll,MATCH(BG38,[1]!List_StateInput,0),16)</f>
        <v>APOR</v>
      </c>
      <c r="BX38" s="600">
        <f>INDEX([1]!List_StateInputAll,MATCH(BG38,[1]!List_StateInput,0),17)</f>
        <v>6.5</v>
      </c>
      <c r="BY38" s="600">
        <f>INDEX([1]!List_StateInputAll,MATCH(BG38,[1]!List_StateInput,0),18)</f>
        <v>8.5</v>
      </c>
      <c r="BZ38" s="600">
        <f>INDEX([1]!List_StateInputAll,MATCH(BG38,[1]!List_StateInput,0),19)</f>
        <v>5</v>
      </c>
      <c r="CA38" s="597">
        <f>INDEX([1]!List_StateInputAll,MATCH(BG38,[1]!List_StateInput,0),20)</f>
        <v>0</v>
      </c>
      <c r="CB38" s="597" t="str">
        <f>INDEX([1]!List_StateInputAll,MATCH(BG38,[1]!List_StateInput,0),21)</f>
        <v>Owner Occupied</v>
      </c>
      <c r="CC38" s="597" t="str">
        <f>INDEX([1]!List_StateInputAll,MATCH(BG38,[1]!List_StateInput,0),22)</f>
        <v>Purchase, Rate-Term, Cash-Out</v>
      </c>
      <c r="CD38" s="598">
        <f>INDEX([1]!List_StateInputAll,MATCH(BG38,[1]!List_StateInput,0),23)</f>
        <v>0</v>
      </c>
      <c r="CE38" s="598" t="str">
        <f>INDEX([1]!List_StateInputAll,MATCH(BG38,[1]!List_StateInput,0),24)</f>
        <v>N</v>
      </c>
    </row>
    <row r="39" spans="2:83" ht="9.6" customHeight="1" x14ac:dyDescent="0.2">
      <c r="B39" s="616"/>
      <c r="C39" s="664" t="s">
        <v>361</v>
      </c>
      <c r="D39" s="755" t="str" cm="1">
        <f t="array" ref="D39">Input_LockType</f>
        <v>Best Efforts</v>
      </c>
      <c r="E39" s="756"/>
      <c r="F39" s="757"/>
      <c r="G39" s="758"/>
      <c r="H39" s="759">
        <f>INDEX(Lookup_LLPAAll,MATCH(INDEX(List_ProductAll,MATCH(Input_Product,List_Product,0),2)&amp;"_"&amp;Input_LockType,Lookup_LLPA,0),INDEX(List_LTV_All,MATCH(Input_LTV,List_LTV,-1),3))</f>
        <v>0</v>
      </c>
      <c r="I39" s="760" t="str">
        <f>IF(Input_AmortType="Interest-Only","I/O Pmt  ","P&amp;I Pmt")&amp;":  "&amp;TEXT(IF(Input_AmortType="Interest-Only",-IPMT(Input_NoteRate/1200,1,(Lookup_TermAmort),Input_LoanAmt),-PMT(Input_NoteRate/1200,(Lookup_TermAmort),Input_LoanAmt)),"#,###.00")</f>
        <v>P&amp;I Pmt:  2,193.93</v>
      </c>
      <c r="J39" s="621" t="s">
        <v>76</v>
      </c>
      <c r="K39" s="761" t="str">
        <f>INDEX(List_ProductAll,MATCH(Input_Product,List_Product,0),2)&amp;"_"&amp;Input_LockType</f>
        <v>PT_Best Efforts</v>
      </c>
      <c r="L39" s="514" t="s">
        <v>76</v>
      </c>
      <c r="M39" s="672" t="s">
        <v>469</v>
      </c>
      <c r="N39" s="673" t="s">
        <v>1235</v>
      </c>
      <c r="O39" s="673" t="s">
        <v>470</v>
      </c>
      <c r="P39" s="674" t="s">
        <v>96</v>
      </c>
      <c r="Q39" s="673" t="s">
        <v>137</v>
      </c>
      <c r="R39" s="673" t="s">
        <v>107</v>
      </c>
      <c r="S39" s="673" t="s">
        <v>108</v>
      </c>
      <c r="T39" s="673" t="s">
        <v>1210</v>
      </c>
      <c r="U39" s="675" t="s">
        <v>472</v>
      </c>
      <c r="V39" s="515"/>
      <c r="X39" s="1328" t="s">
        <v>2649</v>
      </c>
      <c r="Y39" s="1328" t="s">
        <v>68</v>
      </c>
      <c r="Z39" s="1329">
        <f>-Input_PL_IncentiveMaxAdj_LenderPaidComp+Input_PL_MaxPriceBase_DE_01PP+Input_PL_Incentive_IE+Input_PL_IncentiveMaxAdj_IE</f>
        <v>102.5</v>
      </c>
      <c r="AA39" s="1330" cm="1">
        <f t="array" ref="AA39">[1]!Input_MaxPriceNet_DE_01PP</f>
        <v>102.5</v>
      </c>
      <c r="AC39" s="754" t="s">
        <v>283</v>
      </c>
      <c r="AD39" s="742" t="s">
        <v>319</v>
      </c>
      <c r="AE39" s="742"/>
      <c r="AH39" s="514" t="s">
        <v>76</v>
      </c>
      <c r="AV39" s="1297" t="s">
        <v>1533</v>
      </c>
      <c r="AW39" s="1233" t="s">
        <v>1249</v>
      </c>
      <c r="AX39" s="1234" t="str">
        <f t="shared" si="1"/>
        <v>PT_008.8750000000</v>
      </c>
      <c r="AY39" s="1235">
        <f>[1]!PR_R35</f>
        <v>8.875</v>
      </c>
      <c r="AZ39" s="1236">
        <f>[1]!PR_ARM05_P35+Input_PL_Incentive_PR</f>
        <v>-2</v>
      </c>
      <c r="BA39" s="1236">
        <f>[1]!PR_FRM30_P35+Input_PL_Incentive_PR</f>
        <v>102.75</v>
      </c>
      <c r="BB39" s="1234">
        <f t="shared" si="6"/>
        <v>102.75</v>
      </c>
      <c r="BC39" s="1234" t="str">
        <f t="shared" si="3"/>
        <v>PT_102.7500000000</v>
      </c>
      <c r="BD39" s="1234"/>
      <c r="BE39" s="1298" t="s">
        <v>1836</v>
      </c>
      <c r="BG39" s="595" t="s">
        <v>118</v>
      </c>
      <c r="BH39" s="1805" t="str">
        <f>IFERROR(IF(FIND("Core",Input_Product),"NY","Non-CA"),"Non-CA")</f>
        <v>Non-CA</v>
      </c>
      <c r="BI39" s="597" t="str">
        <f>INDEX([1]!List_StateInputAll,MATCH(BG39,[1]!List_StateInput,0),3)</f>
        <v>Y</v>
      </c>
      <c r="BJ39" s="597" t="str">
        <f>INDEX([1]!List_StateInputAll,MATCH(BG39,[1]!List_StateInput,0),4)</f>
        <v>Y</v>
      </c>
      <c r="BK39" s="627" t="str">
        <f>INDEX([1]!List_StateInputAll,MATCH(BG39,[1]!List_StateInput,0),5)</f>
        <v>No IO when using CEMA</v>
      </c>
      <c r="BL39" s="597" t="str">
        <f>INDEX([1]!List_StateInputAll,MATCH(BG39,[1]!List_StateInput,0),6)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39" s="597" t="str">
        <f>INDEX([1]!List_StateInputAll,MATCH(BG39,[1]!List_StateInput,0),7)</f>
        <v xml:space="preserve"> </v>
      </c>
      <c r="BN39" s="597" t="str">
        <f>INDEX([1]!List_StateInputAll,MATCH(BG39,[1]!List_StateInput,0),8)</f>
        <v>NewYork</v>
      </c>
      <c r="BO39" s="597" t="str">
        <f>INDEX([1]!List_StateInputAll,MATCH(BG39,[1]!List_StateInput,0),9)</f>
        <v>N</v>
      </c>
      <c r="BP39" s="598" t="str">
        <f>INDEX([1]!List_StateInputAll,MATCH(BG39,[1]!List_StateInput,0),10)</f>
        <v>N</v>
      </c>
      <c r="BQ39" s="597" t="str">
        <f>INDEX([1]!List_StateInputAll,MATCH(BG39,[1]!List_StateInput,0),11)</f>
        <v>N</v>
      </c>
      <c r="BR39" s="599" t="str">
        <f>INDEX([1]!List_StateInputAll,MATCH(BG39,[1]!List_StateInput,0),12)</f>
        <v>N</v>
      </c>
      <c r="BS39" s="598" t="str">
        <f>INDEX([1]!List_StateInputAll,MATCH(BG39,[1]!List_StateInput,0),13)</f>
        <v xml:space="preserve"> </v>
      </c>
      <c r="BT39" s="578" t="str">
        <f>IF(OR(Input_Ratesheet_Source="Corr1",Input_Ratesheet_Source="Corr2",Input_Ratesheet_Source="Corr3",Input_Ratesheet_Source="CorrND"),BI39,IF(Input_Ratesheet_Source="Whol",IF(Input_Occupancy="Non Owner Occupied",BP39,BO39),IF(Input_Ratesheet_Source="Retl",IF(Input_Occupancy="Non Owner Occupied",IF(IF(IFERROR(FIND(Input_ProductClass,Structure!BS39),0)&gt;=1,"N","Y")="N","N",BR39),BQ39),"")))</f>
        <v>Y</v>
      </c>
      <c r="BU39" s="598" t="str">
        <f>INDEX([1]!List_StateInputAll,MATCH(BG39,[1]!List_StateInput,0),14)</f>
        <v>Wet</v>
      </c>
      <c r="BV39" s="598">
        <f>INDEX([1]!List_StateInputAll,MATCH(BG39,[1]!List_StateInput,0),15)</f>
        <v>1</v>
      </c>
      <c r="BW39" s="596" t="str">
        <f>INDEX([1]!List_StateInputAll,MATCH(BG39,[1]!List_StateInput,0),16)</f>
        <v>Treasury</v>
      </c>
      <c r="BX39" s="600">
        <f>INDEX([1]!List_StateInputAll,MATCH(BG39,[1]!List_StateInput,0),17)</f>
        <v>8</v>
      </c>
      <c r="BY39" s="600">
        <f>INDEX([1]!List_StateInputAll,MATCH(BG39,[1]!List_StateInput,0),18)</f>
        <v>9</v>
      </c>
      <c r="BZ39" s="600">
        <f>INDEX([1]!List_StateInputAll,MATCH(BG39,[1]!List_StateInput,0),19)</f>
        <v>5</v>
      </c>
      <c r="CA39" s="597" t="str">
        <f>INDEX([1]!List_StateInputAll,MATCH(BG39,[1]!List_StateInput,0),20)</f>
        <v>Agency</v>
      </c>
      <c r="CB39" s="597" t="str">
        <f>INDEX([1]!List_StateInputAll,MATCH(BG39,[1]!List_StateInput,0),21)</f>
        <v>Owner Occupied</v>
      </c>
      <c r="CC39" s="597" t="str">
        <f>INDEX([1]!List_StateInputAll,MATCH(BG39,[1]!List_StateInput,0),22)</f>
        <v>Purchase, Rate-Term, Cash-Out</v>
      </c>
      <c r="CD39" s="598" t="str">
        <f>INDEX([1]!List_StateInputAll,MATCH(BG39,[1]!List_StateInput,0),23)</f>
        <v>New York City (Treas + 6, 8) 4% Pts/Fees</v>
      </c>
      <c r="CE39" s="598" t="str">
        <f>INDEX([1]!List_StateInputAll,MATCH(BG39,[1]!List_StateInput,0),24)</f>
        <v>N</v>
      </c>
    </row>
    <row r="40" spans="2:83" ht="9.6" customHeight="1" x14ac:dyDescent="0.2">
      <c r="B40" s="616"/>
      <c r="C40" s="664" t="s">
        <v>1760</v>
      </c>
      <c r="D40" s="755" t="str" cm="1">
        <f t="array" ref="D40">Input_CompensationType</f>
        <v>Borrower Paid</v>
      </c>
      <c r="E40" s="756"/>
      <c r="F40" s="757"/>
      <c r="G40" s="758"/>
      <c r="H40" s="759">
        <f>-ABS(Input_Price_CompensationType)</f>
        <v>0</v>
      </c>
      <c r="I40" s="760" t="str">
        <f>IF(AND(Input_CompensationType&lt;&gt;"Lender Paid",Input_Price_CompensationType&lt;&gt;0),"Compensation Amount Must be 0 for BPC",IF(AND(Input_CompensationType="Lender Paid",Input_Price_CompensationType=0),"Enter Lender Paid Compensation",""))</f>
        <v/>
      </c>
      <c r="J40" s="621" t="s">
        <v>76</v>
      </c>
      <c r="K40" s="766"/>
      <c r="L40" s="514" t="s">
        <v>76</v>
      </c>
      <c r="M40" s="680" t="s">
        <v>200</v>
      </c>
      <c r="N40" s="681" t="s">
        <v>1235</v>
      </c>
      <c r="O40" s="681" t="s">
        <v>57</v>
      </c>
      <c r="P40" s="681" t="s">
        <v>95</v>
      </c>
      <c r="Q40" s="682" t="s">
        <v>137</v>
      </c>
      <c r="R40" s="681" t="s">
        <v>107</v>
      </c>
      <c r="S40" s="681" t="s">
        <v>108</v>
      </c>
      <c r="T40" s="682" t="s">
        <v>157</v>
      </c>
      <c r="U40" s="683" t="s">
        <v>178</v>
      </c>
      <c r="V40" s="515"/>
      <c r="X40" s="1331" t="s">
        <v>2650</v>
      </c>
      <c r="Y40" s="1331" t="s">
        <v>67</v>
      </c>
      <c r="Z40" s="1332">
        <f>-Input_PL_IncentiveMaxAdj_LenderPaidComp+Input_PL_MaxPriceBase_DE_02PP+Input_PL_Incentive_IE+Input_PL_IncentiveMaxAdj_IE</f>
        <v>102.75</v>
      </c>
      <c r="AA40" s="1333" cm="1">
        <f t="array" ref="AA40">[1]!Input_MaxPriceNet_DE_02PP</f>
        <v>102.75</v>
      </c>
      <c r="AC40" s="754" t="s">
        <v>18</v>
      </c>
      <c r="AD40" s="742" t="s">
        <v>318</v>
      </c>
      <c r="AE40" s="742"/>
      <c r="AH40" s="514" t="s">
        <v>76</v>
      </c>
      <c r="AQ40" s="763" t="s">
        <v>25</v>
      </c>
      <c r="AR40" s="764"/>
      <c r="AV40" s="1297" t="s">
        <v>1533</v>
      </c>
      <c r="AW40" s="1233" t="s">
        <v>1249</v>
      </c>
      <c r="AX40" s="1234" t="str">
        <f t="shared" si="1"/>
        <v>PT_008.7500000000</v>
      </c>
      <c r="AY40" s="1235">
        <f>[1]!PR_R36</f>
        <v>8.75</v>
      </c>
      <c r="AZ40" s="1236">
        <f>[1]!PR_ARM05_P36+Input_PL_Incentive_PR</f>
        <v>-2</v>
      </c>
      <c r="BA40" s="1236">
        <f>[1]!PR_FRM30_P36+Input_PL_Incentive_PR</f>
        <v>102.25</v>
      </c>
      <c r="BB40" s="1234">
        <f t="shared" si="6"/>
        <v>102.25</v>
      </c>
      <c r="BC40" s="1234" t="str">
        <f t="shared" si="3"/>
        <v>PT_102.2500000000</v>
      </c>
      <c r="BD40" s="1234"/>
      <c r="BE40" s="1298" t="s">
        <v>1837</v>
      </c>
      <c r="BG40" s="595" t="s">
        <v>396</v>
      </c>
      <c r="BH40" s="596" t="str">
        <f>INDEX([1]!List_StateInputAll,MATCH(BG40,[1]!List_StateInput,0),2)</f>
        <v>Non-CA</v>
      </c>
      <c r="BI40" s="597" t="str">
        <f>INDEX([1]!List_StateInputAll,MATCH(BG40,[1]!List_StateInput,0),3)</f>
        <v>Y</v>
      </c>
      <c r="BJ40" s="597" t="str">
        <f>INDEX([1]!List_StateInputAll,MATCH(BG40,[1]!List_StateInput,0),4)</f>
        <v>Y</v>
      </c>
      <c r="BK40" s="597" t="str">
        <f>INDEX([1]!List_StateInputAll,MATCH(BG40,[1]!List_StateInput,0),5)</f>
        <v xml:space="preserve"> </v>
      </c>
      <c r="BL40" s="597" t="str">
        <f>INDEX([1]!List_StateInputAll,MATCH(BG40,[1]!List_StateInput,0),6)</f>
        <v>No Prepay, 1yr Prepay_Standard, 2yr Prepay_Standard, 3yr Prepay_Standard, 4yr Prepay_Standard, 5yr Prepay_Standard, 1yr Prepay_1, 1yr Prepay_Soft, 2yr Prepay_Soft, 3yr Prepay_Soft, 4yr Prepay_Soft, 5yr Prepay_Soft</v>
      </c>
      <c r="BM40" s="597" t="str">
        <f>INDEX([1]!List_StateInputAll,MATCH(BG40,[1]!List_StateInput,0),7)</f>
        <v>Prepay Restriction May Apply: Max prepay of 1%; Prepay not permitted for loans less than $110,223 in 2024</v>
      </c>
      <c r="BN40" s="597" t="str">
        <f>INDEX([1]!List_StateInputAll,MATCH(BG40,[1]!List_StateInput,0),8)</f>
        <v>Ohio</v>
      </c>
      <c r="BO40" s="597" t="str">
        <f>INDEX([1]!List_StateInputAll,MATCH(BG40,[1]!List_StateInput,0),9)</f>
        <v>Y</v>
      </c>
      <c r="BP40" s="598" t="str">
        <f>INDEX([1]!List_StateInputAll,MATCH(BG40,[1]!List_StateInput,0),10)</f>
        <v>Y</v>
      </c>
      <c r="BQ40" s="597" t="str">
        <f>INDEX([1]!List_StateInputAll,MATCH(BG40,[1]!List_StateInput,0),11)</f>
        <v>N</v>
      </c>
      <c r="BR40" s="599" t="str">
        <f>INDEX([1]!List_StateInputAll,MATCH(BG40,[1]!List_StateInput,0),12)</f>
        <v>Y</v>
      </c>
      <c r="BS40" s="598" t="str">
        <f>INDEX([1]!List_StateInputAll,MATCH(BG40,[1]!List_StateInput,0),13)</f>
        <v xml:space="preserve"> </v>
      </c>
      <c r="BT40" s="578" t="str">
        <f>IF(OR(Input_Ratesheet_Source="Corr1",Input_Ratesheet_Source="Corr2",Input_Ratesheet_Source="Corr3",Input_Ratesheet_Source="CorrND"),BI40,IF(Input_Ratesheet_Source="Whol",IF(Input_Occupancy="Non Owner Occupied",BP40,BO40),IF(Input_Ratesheet_Source="Retl",IF(Input_Occupancy="Non Owner Occupied",IF(IF(IFERROR(FIND(Input_ProductClass,Structure!BS40),0)&gt;=1,"N","Y")="N","N",BR40),BQ40),"")))</f>
        <v>Y</v>
      </c>
      <c r="BU40" s="598" t="str">
        <f>INDEX([1]!List_StateInputAll,MATCH(BG40,[1]!List_StateInput,0),14)</f>
        <v>Wet</v>
      </c>
      <c r="BV40" s="598">
        <f>INDEX([1]!List_StateInputAll,MATCH(BG40,[1]!List_StateInput,0),15)</f>
        <v>1</v>
      </c>
      <c r="BW40" s="596" t="str">
        <f>INDEX([1]!List_StateInputAll,MATCH(BG40,[1]!List_StateInput,0),16)</f>
        <v>APOR</v>
      </c>
      <c r="BX40" s="600">
        <f>INDEX([1]!List_StateInputAll,MATCH(BG40,[1]!List_StateInput,0),17)</f>
        <v>6.5</v>
      </c>
      <c r="BY40" s="600">
        <f>INDEX([1]!List_StateInputAll,MATCH(BG40,[1]!List_StateInput,0),18)</f>
        <v>8.5</v>
      </c>
      <c r="BZ40" s="600">
        <f>INDEX([1]!List_StateInputAll,MATCH(BG40,[1]!List_StateInput,0),19)</f>
        <v>5</v>
      </c>
      <c r="CA40" s="597">
        <f>INDEX([1]!List_StateInputAll,MATCH(BG40,[1]!List_StateInput,0),20)</f>
        <v>0</v>
      </c>
      <c r="CB40" s="597" t="str">
        <f>INDEX([1]!List_StateInputAll,MATCH(BG40,[1]!List_StateInput,0),21)</f>
        <v>Owner Occupied</v>
      </c>
      <c r="CC40" s="597" t="str">
        <f>INDEX([1]!List_StateInputAll,MATCH(BG40,[1]!List_StateInput,0),22)</f>
        <v>Refi</v>
      </c>
      <c r="CD40" s="598">
        <f>INDEX([1]!List_StateInputAll,MATCH(BG40,[1]!List_StateInput,0),23)</f>
        <v>0</v>
      </c>
      <c r="CE40" s="598" t="str">
        <f>INDEX([1]!List_StateInputAll,MATCH(BG40,[1]!List_StateInput,0),24)</f>
        <v>N</v>
      </c>
    </row>
    <row r="41" spans="2:83" ht="9.6" customHeight="1" x14ac:dyDescent="0.2">
      <c r="B41" s="616"/>
      <c r="C41" s="664" t="s">
        <v>2682</v>
      </c>
      <c r="D41" s="1488"/>
      <c r="E41" s="1488"/>
      <c r="F41" s="1488"/>
      <c r="G41" s="1489"/>
      <c r="H41" s="1492">
        <f>IF(OR(Elig_OverlayLimit_LTV_Max=0.01,Elig_FinalLimit_LTV_Max=0.01,ISERROR(Elig_BaseLimit_LTV_Max),ISERROR(Elig_OverlayLimit_LTV_Max),ISERROR(Elig_OverlayReason_LTV_Max),ISERROR(Elig_FinalLimit_LTV_Max)),#N/A,0)</f>
        <v>0</v>
      </c>
      <c r="I41" s="1490" t="str">
        <f>IF(AND(Input_CompensationType&lt;&gt;"Lender Paid",Input_Price_CompensationType&lt;&gt;0),"Compensation Amount Must be 0 for BPC",IF(AND(Input_CompensationType="Lender Paid",Input_Price_CompensationType=0),"Enter Lender Paid Compensation",""))</f>
        <v/>
      </c>
      <c r="J41" s="621" t="s">
        <v>76</v>
      </c>
      <c r="K41" s="766"/>
      <c r="L41" s="514" t="s">
        <v>76</v>
      </c>
      <c r="M41" s="680" t="s">
        <v>187</v>
      </c>
      <c r="N41" s="681" t="s">
        <v>1235</v>
      </c>
      <c r="O41" s="681" t="s">
        <v>55</v>
      </c>
      <c r="P41" s="681" t="s">
        <v>94</v>
      </c>
      <c r="Q41" s="682" t="s">
        <v>142</v>
      </c>
      <c r="R41" s="681" t="s">
        <v>107</v>
      </c>
      <c r="S41" s="681" t="s">
        <v>108</v>
      </c>
      <c r="T41" s="682" t="s">
        <v>204</v>
      </c>
      <c r="U41" s="683" t="s">
        <v>177</v>
      </c>
      <c r="V41" s="515"/>
      <c r="X41" s="1331" t="s">
        <v>2651</v>
      </c>
      <c r="Y41" s="1331" t="s">
        <v>66</v>
      </c>
      <c r="Z41" s="1332">
        <f>-Input_PL_IncentiveMaxAdj_LenderPaidComp+Input_PL_MaxPriceBase_DE_03PP+Input_PL_Incentive_IE+Input_PL_IncentiveMaxAdj_IE</f>
        <v>103.25</v>
      </c>
      <c r="AA41" s="1333" cm="1">
        <f t="array" ref="AA41">[1]!Input_MaxPriceNet_DE_03PP</f>
        <v>103.25</v>
      </c>
      <c r="AC41" s="776" t="s">
        <v>238</v>
      </c>
      <c r="AD41" s="742" t="s">
        <v>318</v>
      </c>
      <c r="AE41" s="742"/>
      <c r="AQ41" s="767">
        <v>580</v>
      </c>
      <c r="AR41" s="768" t="s">
        <v>150</v>
      </c>
      <c r="AV41" s="1297" t="s">
        <v>1533</v>
      </c>
      <c r="AW41" s="1233" t="s">
        <v>1249</v>
      </c>
      <c r="AX41" s="1234" t="str">
        <f t="shared" si="1"/>
        <v>PT_008.6250000000</v>
      </c>
      <c r="AY41" s="1235">
        <f>[1]!PR_R37</f>
        <v>8.625</v>
      </c>
      <c r="AZ41" s="1236">
        <f>[1]!PR_ARM05_P37+Input_PL_Incentive_PR</f>
        <v>-2</v>
      </c>
      <c r="BA41" s="1236">
        <f>[1]!PR_FRM30_P37+Input_PL_Incentive_PR</f>
        <v>101.75</v>
      </c>
      <c r="BB41" s="1234">
        <f t="shared" si="6"/>
        <v>101.75</v>
      </c>
      <c r="BC41" s="1234" t="str">
        <f t="shared" si="3"/>
        <v>PT_101.7500000000</v>
      </c>
      <c r="BD41" s="1234"/>
      <c r="BE41" s="1298" t="s">
        <v>1838</v>
      </c>
      <c r="BG41" s="595" t="s">
        <v>397</v>
      </c>
      <c r="BH41" s="596" t="str">
        <f>INDEX([1]!List_StateInputAll,MATCH(BG41,[1]!List_StateInput,0),2)</f>
        <v>Non-CA</v>
      </c>
      <c r="BI41" s="597" t="str">
        <f>INDEX([1]!List_StateInputAll,MATCH(BG41,[1]!List_StateInput,0),3)</f>
        <v>Y</v>
      </c>
      <c r="BJ41" s="597" t="str">
        <f>INDEX([1]!List_StateInputAll,MATCH(BG41,[1]!List_StateInput,0),4)</f>
        <v>Y</v>
      </c>
      <c r="BK41" s="597" t="str">
        <f>INDEX([1]!List_StateInputAll,MATCH(BG41,[1]!List_StateInput,0),5)</f>
        <v xml:space="preserve"> </v>
      </c>
      <c r="BL41" s="597" t="str">
        <f>INDEX([1]!List_StateInputAll,MATCH(BG41,[1]!List_StateInput,0),6)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1" s="597" t="str">
        <f>INDEX([1]!List_StateInputAll,MATCH(BG41,[1]!List_StateInput,0),7)</f>
        <v xml:space="preserve"> </v>
      </c>
      <c r="BN41" s="597" t="str">
        <f>INDEX([1]!List_StateInputAll,MATCH(BG41,[1]!List_StateInput,0),8)</f>
        <v>Oklahoma</v>
      </c>
      <c r="BO41" s="597" t="str">
        <f>INDEX([1]!List_StateInputAll,MATCH(BG41,[1]!List_StateInput,0),9)</f>
        <v>Y</v>
      </c>
      <c r="BP41" s="598" t="str">
        <f>INDEX([1]!List_StateInputAll,MATCH(BG41,[1]!List_StateInput,0),10)</f>
        <v>Y</v>
      </c>
      <c r="BQ41" s="597" t="str">
        <f>INDEX([1]!List_StateInputAll,MATCH(BG41,[1]!List_StateInput,0),11)</f>
        <v>N</v>
      </c>
      <c r="BR41" s="599" t="str">
        <f>INDEX([1]!List_StateInputAll,MATCH(BG41,[1]!List_StateInput,0),12)</f>
        <v>Y</v>
      </c>
      <c r="BS41" s="598" t="str">
        <f>INDEX([1]!List_StateInputAll,MATCH(BG41,[1]!List_StateInput,0),13)</f>
        <v xml:space="preserve"> </v>
      </c>
      <c r="BT41" s="578" t="str">
        <f>IF(OR(Input_Ratesheet_Source="Corr1",Input_Ratesheet_Source="Corr2",Input_Ratesheet_Source="Corr3",Input_Ratesheet_Source="CorrND"),BI41,IF(Input_Ratesheet_Source="Whol",IF(Input_Occupancy="Non Owner Occupied",BP41,BO41),IF(Input_Ratesheet_Source="Retl",IF(Input_Occupancy="Non Owner Occupied",IF(IF(IFERROR(FIND(Input_ProductClass,Structure!BS41),0)&gt;=1,"N","Y")="N","N",BR41),BQ41),"")))</f>
        <v>Y</v>
      </c>
      <c r="BU41" s="598" t="str">
        <f>INDEX([1]!List_StateInputAll,MATCH(BG41,[1]!List_StateInput,0),14)</f>
        <v>Wet</v>
      </c>
      <c r="BV41" s="598">
        <f>INDEX([1]!List_StateInputAll,MATCH(BG41,[1]!List_StateInput,0),15)</f>
        <v>1</v>
      </c>
      <c r="BW41" s="596" t="str">
        <f>INDEX([1]!List_StateInputAll,MATCH(BG41,[1]!List_StateInput,0),16)</f>
        <v>Treasury</v>
      </c>
      <c r="BX41" s="600">
        <f>INDEX([1]!List_StateInputAll,MATCH(BG41,[1]!List_StateInput,0),17)</f>
        <v>9</v>
      </c>
      <c r="BY41" s="600">
        <f>INDEX([1]!List_StateInputAll,MATCH(BG41,[1]!List_StateInput,0),18)</f>
        <v>10</v>
      </c>
      <c r="BZ41" s="600">
        <f>INDEX([1]!List_StateInputAll,MATCH(BG41,[1]!List_StateInput,0),19)</f>
        <v>8</v>
      </c>
      <c r="CA41" s="597">
        <f>INDEX([1]!List_StateInputAll,MATCH(BG41,[1]!List_StateInput,0),20)</f>
        <v>0</v>
      </c>
      <c r="CB41" s="597" t="str">
        <f>INDEX([1]!List_StateInputAll,MATCH(BG41,[1]!List_StateInput,0),21)</f>
        <v>Owner Occupied</v>
      </c>
      <c r="CC41" s="597" t="str">
        <f>INDEX([1]!List_StateInputAll,MATCH(BG41,[1]!List_StateInput,0),22)</f>
        <v>Refi</v>
      </c>
      <c r="CD41" s="598">
        <f>INDEX([1]!List_StateInputAll,MATCH(BG41,[1]!List_StateInput,0),23)</f>
        <v>0</v>
      </c>
      <c r="CE41" s="598" t="str">
        <f>INDEX([1]!List_StateInputAll,MATCH(BG41,[1]!List_StateInput,0),24)</f>
        <v>Y</v>
      </c>
    </row>
    <row r="42" spans="2:83" ht="9.6" customHeight="1" x14ac:dyDescent="0.2">
      <c r="B42" s="616"/>
      <c r="C42" s="617" t="s">
        <v>192</v>
      </c>
      <c r="D42" s="765"/>
      <c r="E42" s="765"/>
      <c r="F42" s="765"/>
      <c r="G42" s="765"/>
      <c r="H42" s="1491">
        <f>SUM(H14:H41)</f>
        <v>-0.125</v>
      </c>
      <c r="I42" s="1487" t="s">
        <v>76</v>
      </c>
      <c r="J42" s="621" t="s">
        <v>76</v>
      </c>
      <c r="K42" s="766"/>
      <c r="L42" s="514" t="s">
        <v>76</v>
      </c>
      <c r="M42" s="680" t="s">
        <v>201</v>
      </c>
      <c r="N42" s="681" t="s">
        <v>1235</v>
      </c>
      <c r="O42" s="681" t="s">
        <v>56</v>
      </c>
      <c r="P42" s="681" t="s">
        <v>94</v>
      </c>
      <c r="Q42" s="682" t="s">
        <v>202</v>
      </c>
      <c r="R42" s="681" t="s">
        <v>107</v>
      </c>
      <c r="S42" s="681" t="s">
        <v>108</v>
      </c>
      <c r="T42" s="682" t="s">
        <v>203</v>
      </c>
      <c r="U42" s="683" t="s">
        <v>176</v>
      </c>
      <c r="V42" s="515"/>
      <c r="X42" s="1331" t="s">
        <v>2652</v>
      </c>
      <c r="Y42" s="1331" t="s">
        <v>165</v>
      </c>
      <c r="Z42" s="1332">
        <f>-Input_PL_IncentiveMaxAdj_LenderPaidComp+Input_PL_MaxPriceBase_DE_04PP+Input_PL_Incentive_IE+Input_PL_IncentiveMaxAdj_IE</f>
        <v>103.5</v>
      </c>
      <c r="AA42" s="1333" cm="1">
        <f t="array" ref="AA42">[1]!Input_MaxPriceNet_DE_04PP</f>
        <v>103.5</v>
      </c>
      <c r="AC42" s="2129" t="s">
        <v>152</v>
      </c>
      <c r="AD42" s="742" t="s">
        <v>318</v>
      </c>
      <c r="AE42" s="742"/>
      <c r="AQ42" s="777">
        <v>600</v>
      </c>
      <c r="AR42" s="778" t="s">
        <v>11</v>
      </c>
      <c r="AV42" s="1297" t="s">
        <v>1533</v>
      </c>
      <c r="AW42" s="1233" t="s">
        <v>1249</v>
      </c>
      <c r="AX42" s="1234" t="str">
        <f t="shared" si="1"/>
        <v>PT_008.5000000000</v>
      </c>
      <c r="AY42" s="1235">
        <f>[1]!PR_R38</f>
        <v>8.5</v>
      </c>
      <c r="AZ42" s="1236">
        <f>[1]!PR_ARM05_P38+Input_PL_Incentive_PR</f>
        <v>-2</v>
      </c>
      <c r="BA42" s="1236">
        <f>[1]!PR_FRM30_P38+Input_PL_Incentive_PR</f>
        <v>101.25</v>
      </c>
      <c r="BB42" s="1234">
        <f t="shared" si="6"/>
        <v>101.25</v>
      </c>
      <c r="BC42" s="1234" t="str">
        <f t="shared" si="3"/>
        <v>PT_101.2500000000</v>
      </c>
      <c r="BD42" s="1234"/>
      <c r="BE42" s="1298" t="s">
        <v>1839</v>
      </c>
      <c r="BG42" s="595" t="s">
        <v>398</v>
      </c>
      <c r="BH42" s="596" t="str">
        <f>INDEX([1]!List_StateInputAll,MATCH(BG42,[1]!List_StateInput,0),2)</f>
        <v>Non-CA</v>
      </c>
      <c r="BI42" s="597" t="str">
        <f>INDEX([1]!List_StateInputAll,MATCH(BG42,[1]!List_StateInput,0),3)</f>
        <v>Y</v>
      </c>
      <c r="BJ42" s="597" t="str">
        <f>INDEX([1]!List_StateInputAll,MATCH(BG42,[1]!List_StateInput,0),4)</f>
        <v>Y</v>
      </c>
      <c r="BK42" s="597" t="str">
        <f>INDEX([1]!List_StateInputAll,MATCH(BG42,[1]!List_StateInput,0),5)</f>
        <v xml:space="preserve"> </v>
      </c>
      <c r="BL42" s="597" t="str">
        <f>INDEX([1]!List_StateInputAll,MATCH(BG42,[1]!List_StateInput,0),6)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2" s="597" t="str">
        <f>INDEX([1]!List_StateInputAll,MATCH(BG42,[1]!List_StateInput,0),7)</f>
        <v xml:space="preserve"> </v>
      </c>
      <c r="BN42" s="597" t="str">
        <f>INDEX([1]!List_StateInputAll,MATCH(BG42,[1]!List_StateInput,0),8)</f>
        <v>Oregon</v>
      </c>
      <c r="BO42" s="597" t="str">
        <f>INDEX([1]!List_StateInputAll,MATCH(BG42,[1]!List_StateInput,0),9)</f>
        <v>Y</v>
      </c>
      <c r="BP42" s="598" t="str">
        <f>INDEX([1]!List_StateInputAll,MATCH(BG42,[1]!List_StateInput,0),10)</f>
        <v>Y</v>
      </c>
      <c r="BQ42" s="597" t="str">
        <f>INDEX([1]!List_StateInputAll,MATCH(BG42,[1]!List_StateInput,0),11)</f>
        <v>N</v>
      </c>
      <c r="BR42" s="599" t="str">
        <f>INDEX([1]!List_StateInputAll,MATCH(BG42,[1]!List_StateInput,0),12)</f>
        <v>Y</v>
      </c>
      <c r="BS42" s="598" t="str">
        <f>INDEX([1]!List_StateInputAll,MATCH(BG42,[1]!List_StateInput,0),13)</f>
        <v>NonQM OO, NonQM NOO, Second OO, Second NOO</v>
      </c>
      <c r="BT42" s="578" t="str">
        <f>IF(OR(Input_Ratesheet_Source="Corr1",Input_Ratesheet_Source="Corr2",Input_Ratesheet_Source="Corr3",Input_Ratesheet_Source="CorrND"),BI42,IF(Input_Ratesheet_Source="Whol",IF(Input_Occupancy="Non Owner Occupied",BP42,BO42),IF(Input_Ratesheet_Source="Retl",IF(Input_Occupancy="Non Owner Occupied",IF(IF(IFERROR(FIND(Input_ProductClass,Structure!BS42),0)&gt;=1,"N","Y")="N","N",BR42),BQ42),"")))</f>
        <v>Y</v>
      </c>
      <c r="BU42" s="598" t="str">
        <f>INDEX([1]!List_StateInputAll,MATCH(BG42,[1]!List_StateInput,0),14)</f>
        <v>Dry</v>
      </c>
      <c r="BV42" s="598">
        <f>INDEX([1]!List_StateInputAll,MATCH(BG42,[1]!List_StateInput,0),15)</f>
        <v>1</v>
      </c>
      <c r="BW42" s="596" t="str">
        <f>INDEX([1]!List_StateInputAll,MATCH(BG42,[1]!List_StateInput,0),16)</f>
        <v>APOR</v>
      </c>
      <c r="BX42" s="600">
        <f>INDEX([1]!List_StateInputAll,MATCH(BG42,[1]!List_StateInput,0),17)</f>
        <v>6.5</v>
      </c>
      <c r="BY42" s="600">
        <f>INDEX([1]!List_StateInputAll,MATCH(BG42,[1]!List_StateInput,0),18)</f>
        <v>8.5</v>
      </c>
      <c r="BZ42" s="600">
        <f>INDEX([1]!List_StateInputAll,MATCH(BG42,[1]!List_StateInput,0),19)</f>
        <v>5</v>
      </c>
      <c r="CA42" s="597">
        <f>INDEX([1]!List_StateInputAll,MATCH(BG42,[1]!List_StateInput,0),20)</f>
        <v>0</v>
      </c>
      <c r="CB42" s="597" t="str">
        <f>INDEX([1]!List_StateInputAll,MATCH(BG42,[1]!List_StateInput,0),21)</f>
        <v>Owner Occupied</v>
      </c>
      <c r="CC42" s="597" t="str">
        <f>INDEX([1]!List_StateInputAll,MATCH(BG42,[1]!List_StateInput,0),22)</f>
        <v>Purchase, Rate-Term, Cash-Out</v>
      </c>
      <c r="CD42" s="598">
        <f>INDEX([1]!List_StateInputAll,MATCH(BG42,[1]!List_StateInput,0),23)</f>
        <v>0</v>
      </c>
      <c r="CE42" s="598" t="str">
        <f>INDEX([1]!List_StateInputAll,MATCH(BG42,[1]!List_StateInput,0),24)</f>
        <v>Y</v>
      </c>
    </row>
    <row r="43" spans="2:83" ht="9.6" customHeight="1" x14ac:dyDescent="0.2">
      <c r="B43" s="616"/>
      <c r="C43" s="617"/>
      <c r="D43" s="769" t="str">
        <f>Input_PriceNegotiatedDesc</f>
        <v xml:space="preserve"> </v>
      </c>
      <c r="E43" s="770"/>
      <c r="F43" s="771"/>
      <c r="G43" s="772"/>
      <c r="H43" s="773">
        <f>Input_PriceNegotiated</f>
        <v>0</v>
      </c>
      <c r="I43" s="774" t="s">
        <v>76</v>
      </c>
      <c r="J43" s="621" t="s">
        <v>76</v>
      </c>
      <c r="K43" s="766"/>
      <c r="L43" s="514" t="s">
        <v>76</v>
      </c>
      <c r="M43" s="680" t="s">
        <v>213</v>
      </c>
      <c r="N43" s="681" t="s">
        <v>1235</v>
      </c>
      <c r="O43" s="682" t="s">
        <v>214</v>
      </c>
      <c r="P43" s="681" t="s">
        <v>94</v>
      </c>
      <c r="Q43" s="681" t="s">
        <v>137</v>
      </c>
      <c r="R43" s="681" t="s">
        <v>107</v>
      </c>
      <c r="S43" s="681" t="s">
        <v>108</v>
      </c>
      <c r="T43" s="681" t="s">
        <v>157</v>
      </c>
      <c r="U43" s="699">
        <v>11</v>
      </c>
      <c r="V43" s="515"/>
      <c r="X43" s="1334" t="s">
        <v>2653</v>
      </c>
      <c r="Y43" s="1334" t="s">
        <v>166</v>
      </c>
      <c r="Z43" s="1335">
        <f>-Input_PL_IncentiveMaxAdj_LenderPaidComp+Input_PL_MaxPriceBase_DE_05PP+Input_PL_Incentive_IE+Input_PL_IncentiveMaxAdj_IE</f>
        <v>104</v>
      </c>
      <c r="AA43" s="1336" cm="1">
        <f t="array" ref="AA43">[1]!Input_MaxPriceNet_DE_05PP</f>
        <v>104</v>
      </c>
      <c r="AC43" s="2175" t="s">
        <v>3914</v>
      </c>
      <c r="AD43" s="718" t="s">
        <v>318</v>
      </c>
      <c r="AE43" s="718"/>
      <c r="AQ43" s="777">
        <v>620</v>
      </c>
      <c r="AR43" s="778" t="s">
        <v>10</v>
      </c>
      <c r="AV43" s="1297" t="s">
        <v>1533</v>
      </c>
      <c r="AW43" s="1233" t="s">
        <v>1249</v>
      </c>
      <c r="AX43" s="1234" t="str">
        <f t="shared" si="1"/>
        <v>PT_008.3750000000</v>
      </c>
      <c r="AY43" s="1235">
        <f>[1]!PR_R39</f>
        <v>8.375</v>
      </c>
      <c r="AZ43" s="1236">
        <f>[1]!PR_ARM05_P39+Input_PL_Incentive_PR</f>
        <v>-2</v>
      </c>
      <c r="BA43" s="1236">
        <f>[1]!PR_FRM30_P39+Input_PL_Incentive_PR</f>
        <v>100.75</v>
      </c>
      <c r="BB43" s="1234">
        <f t="shared" si="6"/>
        <v>100.75</v>
      </c>
      <c r="BC43" s="1234" t="str">
        <f t="shared" si="3"/>
        <v>PT_100.7500000000</v>
      </c>
      <c r="BD43" s="1234"/>
      <c r="BE43" s="1298" t="s">
        <v>1840</v>
      </c>
      <c r="BG43" s="595" t="s">
        <v>399</v>
      </c>
      <c r="BH43" s="596" t="str">
        <f>INDEX([1]!List_StateInputAll,MATCH(BG43,[1]!List_StateInput,0),2)</f>
        <v>Non-CA</v>
      </c>
      <c r="BI43" s="597" t="str">
        <f>INDEX([1]!List_StateInputAll,MATCH(BG43,[1]!List_StateInput,0),3)</f>
        <v>Y</v>
      </c>
      <c r="BJ43" s="597" t="str">
        <f>INDEX([1]!List_StateInputAll,MATCH(BG43,[1]!List_StateInput,0),4)</f>
        <v>Y</v>
      </c>
      <c r="BK43" s="597" t="str">
        <f>INDEX([1]!List_StateInputAll,MATCH(BG43,[1]!List_StateInput,0),5)</f>
        <v xml:space="preserve"> </v>
      </c>
      <c r="BL43" s="627" t="str">
        <f>INDEX([1]!List_StateInputAll,MATCH(BG43,[1]!List_StateInput,0),6)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3" s="597" t="str">
        <f>INDEX([1]!List_StateInputAll,MATCH(BG43,[1]!List_StateInput,0),7)</f>
        <v>Prepay Restriction May Apply: Prepay not permitted for loans less than $312,159 in 2024</v>
      </c>
      <c r="BN43" s="597" t="str">
        <f>INDEX([1]!List_StateInputAll,MATCH(BG43,[1]!List_StateInput,0),8)</f>
        <v>Pennsylvania</v>
      </c>
      <c r="BO43" s="597" t="str">
        <f>INDEX([1]!List_StateInputAll,MATCH(BG43,[1]!List_StateInput,0),9)</f>
        <v>Y</v>
      </c>
      <c r="BP43" s="598" t="str">
        <f>INDEX([1]!List_StateInputAll,MATCH(BG43,[1]!List_StateInput,0),10)</f>
        <v>Y</v>
      </c>
      <c r="BQ43" s="597" t="str">
        <f>INDEX([1]!List_StateInputAll,MATCH(BG43,[1]!List_StateInput,0),11)</f>
        <v>N</v>
      </c>
      <c r="BR43" s="599" t="str">
        <f>INDEX([1]!List_StateInputAll,MATCH(BG43,[1]!List_StateInput,0),12)</f>
        <v>Y</v>
      </c>
      <c r="BS43" s="598" t="str">
        <f>INDEX([1]!List_StateInputAll,MATCH(BG43,[1]!List_StateInput,0),13)</f>
        <v xml:space="preserve"> </v>
      </c>
      <c r="BT43" s="578" t="str">
        <f>IF(OR(Input_Ratesheet_Source="Corr1",Input_Ratesheet_Source="Corr2",Input_Ratesheet_Source="Corr3",Input_Ratesheet_Source="CorrND"),BI43,IF(Input_Ratesheet_Source="Whol",IF(Input_Occupancy="Non Owner Occupied",BP43,BO43),IF(Input_Ratesheet_Source="Retl",IF(Input_Occupancy="Non Owner Occupied",IF(IF(IFERROR(FIND(Input_ProductClass,Structure!BS43),0)&gt;=1,"N","Y")="N","N",BR43),BQ43),"")))</f>
        <v>Y</v>
      </c>
      <c r="BU43" s="598" t="str">
        <f>INDEX([1]!List_StateInputAll,MATCH(BG43,[1]!List_StateInput,0),14)</f>
        <v>Wet</v>
      </c>
      <c r="BV43" s="598">
        <f>INDEX([1]!List_StateInputAll,MATCH(BG43,[1]!List_StateInput,0),15)</f>
        <v>1</v>
      </c>
      <c r="BW43" s="596" t="str">
        <f>INDEX([1]!List_StateInputAll,MATCH(BG43,[1]!List_StateInput,0),16)</f>
        <v>APOR</v>
      </c>
      <c r="BX43" s="600">
        <f>INDEX([1]!List_StateInputAll,MATCH(BG43,[1]!List_StateInput,0),17)</f>
        <v>6.5</v>
      </c>
      <c r="BY43" s="600">
        <f>INDEX([1]!List_StateInputAll,MATCH(BG43,[1]!List_StateInput,0),18)</f>
        <v>8.5</v>
      </c>
      <c r="BZ43" s="600">
        <f>INDEX([1]!List_StateInputAll,MATCH(BG43,[1]!List_StateInput,0),19)</f>
        <v>5</v>
      </c>
      <c r="CA43" s="597">
        <f>INDEX([1]!List_StateInputAll,MATCH(BG43,[1]!List_StateInput,0),20)</f>
        <v>100000</v>
      </c>
      <c r="CB43" s="597" t="str">
        <f>INDEX([1]!List_StateInputAll,MATCH(BG43,[1]!List_StateInput,0),21)</f>
        <v>Owner Occupied</v>
      </c>
      <c r="CC43" s="597" t="str">
        <f>INDEX([1]!List_StateInputAll,MATCH(BG43,[1]!List_StateInput,0),22)</f>
        <v>Purchase, Rate-Term, Cash-Out</v>
      </c>
      <c r="CD43" s="598">
        <f>INDEX([1]!List_StateInputAll,MATCH(BG43,[1]!List_StateInput,0),23)</f>
        <v>0</v>
      </c>
      <c r="CE43" s="598" t="str">
        <f>INDEX([1]!List_StateInputAll,MATCH(BG43,[1]!List_StateInput,0),24)</f>
        <v>N</v>
      </c>
    </row>
    <row r="44" spans="2:83" ht="9.6" customHeight="1" x14ac:dyDescent="0.2">
      <c r="B44" s="616"/>
      <c r="C44" s="617" t="s">
        <v>105</v>
      </c>
      <c r="D44" s="765"/>
      <c r="E44" s="765"/>
      <c r="F44" s="765"/>
      <c r="G44" s="765"/>
      <c r="H44" s="645">
        <f>Output_PriceNoteRate+Output_LLPA_Total+Output_PriceNegotiated</f>
        <v>106.375</v>
      </c>
      <c r="I44" s="774" t="s">
        <v>76</v>
      </c>
      <c r="J44" s="621" t="s">
        <v>76</v>
      </c>
      <c r="K44" s="766"/>
      <c r="L44" s="514" t="s">
        <v>76</v>
      </c>
      <c r="M44" s="680" t="s">
        <v>226</v>
      </c>
      <c r="N44" s="682" t="s">
        <v>1236</v>
      </c>
      <c r="O44" s="682" t="s">
        <v>227</v>
      </c>
      <c r="P44" s="681" t="s">
        <v>94</v>
      </c>
      <c r="Q44" s="681" t="s">
        <v>137</v>
      </c>
      <c r="R44" s="681" t="s">
        <v>107</v>
      </c>
      <c r="S44" s="681" t="s">
        <v>108</v>
      </c>
      <c r="T44" s="682" t="s">
        <v>228</v>
      </c>
      <c r="U44" s="699">
        <v>12</v>
      </c>
      <c r="V44" s="515"/>
      <c r="X44" s="1331" t="s">
        <v>2545</v>
      </c>
      <c r="Y44" s="1331" t="s">
        <v>68</v>
      </c>
      <c r="Z44" s="1332">
        <f>-Input_PL_IncentiveMaxAdj_LenderPaidComp+Input_PL_MaxPriceBase_DE_01PP+Input_PL_Incentive_IE+Input_PL_IncentiveMaxAdj_IE</f>
        <v>102.5</v>
      </c>
      <c r="AA44" s="1333" cm="1">
        <f t="array" ref="AA44">[1]!Input_MaxPriceNet_DE_01PP</f>
        <v>102.5</v>
      </c>
      <c r="AB44" s="1788"/>
      <c r="AQ44" s="777">
        <v>640</v>
      </c>
      <c r="AR44" s="778" t="s">
        <v>9</v>
      </c>
      <c r="AV44" s="1297" t="s">
        <v>1533</v>
      </c>
      <c r="AW44" s="1233" t="s">
        <v>1249</v>
      </c>
      <c r="AX44" s="1234" t="str">
        <f t="shared" si="1"/>
        <v>PT_008.2500000000</v>
      </c>
      <c r="AY44" s="1235">
        <f>[1]!PR_R40</f>
        <v>8.25</v>
      </c>
      <c r="AZ44" s="1236">
        <f>[1]!PR_ARM05_P40+Input_PL_Incentive_PR</f>
        <v>-2</v>
      </c>
      <c r="BA44" s="1236">
        <f>[1]!PR_FRM30_P40+Input_PL_Incentive_PR</f>
        <v>100.25</v>
      </c>
      <c r="BB44" s="1234">
        <f t="shared" si="6"/>
        <v>100.25</v>
      </c>
      <c r="BC44" s="1234" t="str">
        <f t="shared" si="3"/>
        <v>PT_100.2500000000</v>
      </c>
      <c r="BD44" s="1234"/>
      <c r="BE44" s="1298" t="s">
        <v>1841</v>
      </c>
      <c r="BG44" s="595" t="s">
        <v>401</v>
      </c>
      <c r="BH44" s="596" t="str">
        <f>INDEX([1]!List_StateInputAll,MATCH(BG44,[1]!List_StateInput,0),2)</f>
        <v>Non-CA</v>
      </c>
      <c r="BI44" s="597" t="str">
        <f>INDEX([1]!List_StateInputAll,MATCH(BG44,[1]!List_StateInput,0),3)</f>
        <v>Y</v>
      </c>
      <c r="BJ44" s="597" t="str">
        <f>INDEX([1]!List_StateInputAll,MATCH(BG44,[1]!List_StateInput,0),4)</f>
        <v>Y</v>
      </c>
      <c r="BK44" s="597" t="str">
        <f>INDEX([1]!List_StateInputAll,MATCH(BG44,[1]!List_StateInput,0),5)</f>
        <v xml:space="preserve"> </v>
      </c>
      <c r="BL44" s="627" t="str">
        <f>INDEX([1]!List_StateInputAll,MATCH(BG44,[1]!List_StateInput,0),6)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4" s="597" t="str">
        <f>INDEX([1]!List_StateInputAll,MATCH(BG44,[1]!List_StateInput,0),7)</f>
        <v>Prepay Restriction May Apply</v>
      </c>
      <c r="BN44" s="597" t="str">
        <f>INDEX([1]!List_StateInputAll,MATCH(BG44,[1]!List_StateInput,0),8)</f>
        <v>RhodeIsland</v>
      </c>
      <c r="BO44" s="597" t="str">
        <f>INDEX([1]!List_StateInputAll,MATCH(BG44,[1]!List_StateInput,0),9)</f>
        <v>Y</v>
      </c>
      <c r="BP44" s="598" t="str">
        <f>INDEX([1]!List_StateInputAll,MATCH(BG44,[1]!List_StateInput,0),10)</f>
        <v>Y</v>
      </c>
      <c r="BQ44" s="597" t="str">
        <f>INDEX([1]!List_StateInputAll,MATCH(BG44,[1]!List_StateInput,0),11)</f>
        <v>N</v>
      </c>
      <c r="BR44" s="599" t="str">
        <f>INDEX([1]!List_StateInputAll,MATCH(BG44,[1]!List_StateInput,0),12)</f>
        <v>Y</v>
      </c>
      <c r="BS44" s="598" t="str">
        <f>INDEX([1]!List_StateInputAll,MATCH(BG44,[1]!List_StateInput,0),13)</f>
        <v xml:space="preserve"> </v>
      </c>
      <c r="BT44" s="578" t="str">
        <f>IF(OR(Input_Ratesheet_Source="Corr1",Input_Ratesheet_Source="Corr2",Input_Ratesheet_Source="Corr3",Input_Ratesheet_Source="CorrND"),BI44,IF(Input_Ratesheet_Source="Whol",IF(Input_Occupancy="Non Owner Occupied",BP44,BO44),IF(Input_Ratesheet_Source="Retl",IF(Input_Occupancy="Non Owner Occupied",IF(IF(IFERROR(FIND(Input_ProductClass,Structure!BS44),0)&gt;=1,"N","Y")="N","N",BR44),BQ44),"")))</f>
        <v>Y</v>
      </c>
      <c r="BU44" s="598" t="str">
        <f>INDEX([1]!List_StateInputAll,MATCH(BG44,[1]!List_StateInput,0),14)</f>
        <v>Wet</v>
      </c>
      <c r="BV44" s="598">
        <f>INDEX([1]!List_StateInputAll,MATCH(BG44,[1]!List_StateInput,0),15)</f>
        <v>1</v>
      </c>
      <c r="BW44" s="596" t="str">
        <f>INDEX([1]!List_StateInputAll,MATCH(BG44,[1]!List_StateInput,0),16)</f>
        <v>Treasury</v>
      </c>
      <c r="BX44" s="600">
        <f>INDEX([1]!List_StateInputAll,MATCH(BG44,[1]!List_StateInput,0),17)</f>
        <v>8</v>
      </c>
      <c r="BY44" s="600">
        <f>INDEX([1]!List_StateInputAll,MATCH(BG44,[1]!List_StateInput,0),18)</f>
        <v>9</v>
      </c>
      <c r="BZ44" s="600">
        <f>INDEX([1]!List_StateInputAll,MATCH(BG44,[1]!List_StateInput,0),19)</f>
        <v>5</v>
      </c>
      <c r="CA44" s="597">
        <f>INDEX([1]!List_StateInputAll,MATCH(BG44,[1]!List_StateInput,0),20)</f>
        <v>0</v>
      </c>
      <c r="CB44" s="597" t="str">
        <f>INDEX([1]!List_StateInputAll,MATCH(BG44,[1]!List_StateInput,0),21)</f>
        <v>Owner Occupied</v>
      </c>
      <c r="CC44" s="597" t="str">
        <f>INDEX([1]!List_StateInputAll,MATCH(BG44,[1]!List_StateInput,0),22)</f>
        <v>Purchase, Rate-Term, Cash-Out</v>
      </c>
      <c r="CD44" s="598" t="str">
        <f>INDEX([1]!List_StateInputAll,MATCH(BG44,[1]!List_StateInput,0),23)</f>
        <v>Additional Local High Cost Ordinances</v>
      </c>
      <c r="CE44" s="598" t="str">
        <f>INDEX([1]!List_StateInputAll,MATCH(BG44,[1]!List_StateInput,0),24)</f>
        <v>N</v>
      </c>
    </row>
    <row r="45" spans="2:83" ht="9.6" customHeight="1" x14ac:dyDescent="0.2">
      <c r="B45" s="616"/>
      <c r="C45" s="617" t="s">
        <v>104</v>
      </c>
      <c r="D45" s="765"/>
      <c r="E45" s="765"/>
      <c r="F45" s="765"/>
      <c r="G45" s="765"/>
      <c r="H45" s="773">
        <f>Output_PriceMaxPriceCalc</f>
        <v>101</v>
      </c>
      <c r="I45" s="774" t="s">
        <v>76</v>
      </c>
      <c r="J45" s="621" t="s">
        <v>76</v>
      </c>
      <c r="K45" s="766"/>
      <c r="L45" s="514" t="s">
        <v>76</v>
      </c>
      <c r="M45" s="680" t="s">
        <v>189</v>
      </c>
      <c r="N45" s="682" t="s">
        <v>1236</v>
      </c>
      <c r="O45" s="681" t="s">
        <v>59</v>
      </c>
      <c r="P45" s="681" t="s">
        <v>96</v>
      </c>
      <c r="Q45" s="682" t="s">
        <v>137</v>
      </c>
      <c r="R45" s="682" t="s">
        <v>107</v>
      </c>
      <c r="S45" s="682" t="s">
        <v>108</v>
      </c>
      <c r="T45" s="682" t="s">
        <v>159</v>
      </c>
      <c r="U45" s="699" t="s">
        <v>180</v>
      </c>
      <c r="V45" s="515"/>
      <c r="X45" s="1331" t="s">
        <v>2546</v>
      </c>
      <c r="Y45" s="1331" t="s">
        <v>67</v>
      </c>
      <c r="Z45" s="1332">
        <f>-Input_PL_IncentiveMaxAdj_LenderPaidComp+Input_PL_MaxPriceBase_DE_02PP+Input_PL_Incentive_IE+Input_PL_IncentiveMaxAdj_IE</f>
        <v>102.75</v>
      </c>
      <c r="AA45" s="1333" cm="1">
        <f t="array" ref="AA45">[1]!Input_MaxPriceNet_DE_02PP</f>
        <v>102.75</v>
      </c>
      <c r="AB45" s="1788"/>
      <c r="AQ45" s="777">
        <v>660</v>
      </c>
      <c r="AR45" s="778" t="s">
        <v>7</v>
      </c>
      <c r="AV45" s="1299" t="s">
        <v>1533</v>
      </c>
      <c r="AW45" s="1300" t="s">
        <v>1249</v>
      </c>
      <c r="AX45" s="1258" t="str">
        <f t="shared" si="1"/>
        <v>PT_008.1250000000</v>
      </c>
      <c r="AY45" s="1259">
        <f>[1]!PR_R41</f>
        <v>8.125</v>
      </c>
      <c r="AZ45" s="1260">
        <f>[1]!PR_ARM05_P41+Input_PL_Incentive_PR</f>
        <v>-2</v>
      </c>
      <c r="BA45" s="1260">
        <f>[1]!PR_FRM30_P41+Input_PL_Incentive_PR</f>
        <v>99.75</v>
      </c>
      <c r="BB45" s="1258">
        <f t="shared" si="5"/>
        <v>99.75</v>
      </c>
      <c r="BC45" s="1258" t="str">
        <f t="shared" si="3"/>
        <v>PT_099.7500000000</v>
      </c>
      <c r="BD45" s="1258"/>
      <c r="BE45" s="1301" t="s">
        <v>1842</v>
      </c>
      <c r="BG45" s="595" t="s">
        <v>402</v>
      </c>
      <c r="BH45" s="596" t="str">
        <f>INDEX([1]!List_StateInputAll,MATCH(BG45,[1]!List_StateInput,0),2)</f>
        <v>Non-CA</v>
      </c>
      <c r="BI45" s="597" t="str">
        <f>INDEX([1]!List_StateInputAll,MATCH(BG45,[1]!List_StateInput,0),3)</f>
        <v>Y</v>
      </c>
      <c r="BJ45" s="597" t="str">
        <f>INDEX([1]!List_StateInputAll,MATCH(BG45,[1]!List_StateInput,0),4)</f>
        <v>Y</v>
      </c>
      <c r="BK45" s="597" t="str">
        <f>INDEX([1]!List_StateInputAll,MATCH(BG45,[1]!List_StateInput,0),5)</f>
        <v xml:space="preserve"> </v>
      </c>
      <c r="BL45" s="597" t="str">
        <f>INDEX([1]!List_StateInputAll,MATCH(BG45,[1]!List_StateInput,0),6)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5" s="597" t="str">
        <f>INDEX([1]!List_StateInputAll,MATCH(BG45,[1]!List_StateInput,0),7)</f>
        <v xml:space="preserve"> </v>
      </c>
      <c r="BN45" s="597" t="str">
        <f>INDEX([1]!List_StateInputAll,MATCH(BG45,[1]!List_StateInput,0),8)</f>
        <v>SouthCarolina</v>
      </c>
      <c r="BO45" s="597" t="str">
        <f>INDEX([1]!List_StateInputAll,MATCH(BG45,[1]!List_StateInput,0),9)</f>
        <v>Y</v>
      </c>
      <c r="BP45" s="598" t="str">
        <f>INDEX([1]!List_StateInputAll,MATCH(BG45,[1]!List_StateInput,0),10)</f>
        <v>Y</v>
      </c>
      <c r="BQ45" s="597" t="str">
        <f>INDEX([1]!List_StateInputAll,MATCH(BG45,[1]!List_StateInput,0),11)</f>
        <v>N</v>
      </c>
      <c r="BR45" s="599" t="str">
        <f>INDEX([1]!List_StateInputAll,MATCH(BG45,[1]!List_StateInput,0),12)</f>
        <v>Y</v>
      </c>
      <c r="BS45" s="598" t="str">
        <f>INDEX([1]!List_StateInputAll,MATCH(BG45,[1]!List_StateInput,0),13)</f>
        <v xml:space="preserve"> </v>
      </c>
      <c r="BT45" s="578" t="str">
        <f>IF(OR(Input_Ratesheet_Source="Corr1",Input_Ratesheet_Source="Corr2",Input_Ratesheet_Source="Corr3",Input_Ratesheet_Source="CorrND"),BI45,IF(Input_Ratesheet_Source="Whol",IF(Input_Occupancy="Non Owner Occupied",BP45,BO45),IF(Input_Ratesheet_Source="Retl",IF(Input_Occupancy="Non Owner Occupied",IF(IF(IFERROR(FIND(Input_ProductClass,Structure!BS45),0)&gt;=1,"N","Y")="N","N",BR45),BQ45),"")))</f>
        <v>Y</v>
      </c>
      <c r="BU45" s="598" t="str">
        <f>INDEX([1]!List_StateInputAll,MATCH(BG45,[1]!List_StateInput,0),14)</f>
        <v>Wet</v>
      </c>
      <c r="BV45" s="598">
        <f>INDEX([1]!List_StateInputAll,MATCH(BG45,[1]!List_StateInput,0),15)</f>
        <v>1</v>
      </c>
      <c r="BW45" s="596" t="str">
        <f>INDEX([1]!List_StateInputAll,MATCH(BG45,[1]!List_StateInput,0),16)</f>
        <v>APOR</v>
      </c>
      <c r="BX45" s="600">
        <f>INDEX([1]!List_StateInputAll,MATCH(BG45,[1]!List_StateInput,0),17)</f>
        <v>6.5</v>
      </c>
      <c r="BY45" s="600">
        <f>INDEX([1]!List_StateInputAll,MATCH(BG45,[1]!List_StateInput,0),18)</f>
        <v>8.5</v>
      </c>
      <c r="BZ45" s="600">
        <f>INDEX([1]!List_StateInputAll,MATCH(BG45,[1]!List_StateInput,0),19)</f>
        <v>5</v>
      </c>
      <c r="CA45" s="597" t="str">
        <f>INDEX([1]!List_StateInputAll,MATCH(BG45,[1]!List_StateInput,0),20)</f>
        <v>Agency</v>
      </c>
      <c r="CB45" s="597" t="str">
        <f>INDEX([1]!List_StateInputAll,MATCH(BG45,[1]!List_StateInput,0),21)</f>
        <v>Owner Occupied</v>
      </c>
      <c r="CC45" s="597" t="str">
        <f>INDEX([1]!List_StateInputAll,MATCH(BG45,[1]!List_StateInput,0),22)</f>
        <v>Purchase, Rate-Term, Cash-Out</v>
      </c>
      <c r="CD45" s="598">
        <f>INDEX([1]!List_StateInputAll,MATCH(BG45,[1]!List_StateInput,0),23)</f>
        <v>0</v>
      </c>
      <c r="CE45" s="598" t="str">
        <f>INDEX([1]!List_StateInputAll,MATCH(BG45,[1]!List_StateInput,0),24)</f>
        <v>Y</v>
      </c>
    </row>
    <row r="46" spans="2:83" ht="9.6" customHeight="1" x14ac:dyDescent="0.2">
      <c r="B46" s="616"/>
      <c r="C46" s="667" t="s">
        <v>184</v>
      </c>
      <c r="D46" s="765"/>
      <c r="E46" s="765"/>
      <c r="F46" s="765"/>
      <c r="G46" s="780">
        <f>INDEX(List_MaxPricingAll,MATCH(INDEX(List_ProductAll,MATCH(Input_Product,List_Product,0),2)&amp;"_"&amp;Input_PrepayPenalty,List_MaxPricing,0),1)</f>
        <v>101</v>
      </c>
      <c r="H46" s="781">
        <f>IF(Output_PriceNet&gt;Output_PriceMax,Output_PriceMax,Output_PriceNet)</f>
        <v>101</v>
      </c>
      <c r="I46" s="782" t="str">
        <f>IF(AND(Input_Ratesheet_Source="Whol",Input_AmortTerm="30yr Buydown Lender"),"Find 99.50 price for Lender Paid Buydown",IF(AND(Input_Ratesheet_Source="Whol",Input_AmortTerm="30yr Buydown Seller"),"Find 98.50 price for Seller Paid Buydown",""))</f>
        <v/>
      </c>
      <c r="J46" s="621" t="s">
        <v>76</v>
      </c>
      <c r="K46" s="766"/>
      <c r="L46" s="514" t="s">
        <v>76</v>
      </c>
      <c r="M46" s="712" t="s">
        <v>191</v>
      </c>
      <c r="N46" s="713" t="s">
        <v>1236</v>
      </c>
      <c r="O46" s="713" t="s">
        <v>61</v>
      </c>
      <c r="P46" s="713" t="s">
        <v>97</v>
      </c>
      <c r="Q46" s="714" t="s">
        <v>137</v>
      </c>
      <c r="R46" s="714" t="s">
        <v>108</v>
      </c>
      <c r="S46" s="714" t="s">
        <v>107</v>
      </c>
      <c r="T46" s="714" t="s">
        <v>185</v>
      </c>
      <c r="U46" s="715" t="s">
        <v>182</v>
      </c>
      <c r="V46" s="515"/>
      <c r="X46" s="1331" t="s">
        <v>2547</v>
      </c>
      <c r="Y46" s="1331" t="s">
        <v>66</v>
      </c>
      <c r="Z46" s="1332">
        <f>-Input_PL_IncentiveMaxAdj_LenderPaidComp+Input_PL_MaxPriceBase_DE_03PP+Input_PL_Incentive_IE+Input_PL_IncentiveMaxAdj_IE</f>
        <v>103.25</v>
      </c>
      <c r="AA46" s="1333" cm="1">
        <f t="array" ref="AA46">[1]!Input_MaxPriceNet_DE_03PP</f>
        <v>103.25</v>
      </c>
      <c r="AB46" s="1788"/>
      <c r="AC46" s="751" t="s">
        <v>39</v>
      </c>
      <c r="AD46" s="787"/>
      <c r="AE46" s="787"/>
      <c r="AQ46" s="777">
        <v>680</v>
      </c>
      <c r="AR46" s="778" t="s">
        <v>6</v>
      </c>
      <c r="AV46" s="1262" t="s">
        <v>1765</v>
      </c>
      <c r="AW46" s="1263" t="s">
        <v>1766</v>
      </c>
      <c r="AX46" s="1264" t="str">
        <f t="shared" ref="AX46" si="7">"PH_"&amp;RIGHT("000"&amp;TRUNC(Lookup_NoteRate),3)&amp;TEXT(Lookup_NoteRate-TRUNC(Lookup_NoteRate),".0000000000")</f>
        <v>PH_013.0000000000</v>
      </c>
      <c r="AY46" s="1265">
        <f>[1]!PH_R01</f>
        <v>13</v>
      </c>
      <c r="AZ46" s="1265"/>
      <c r="BA46" s="1265" t="e">
        <f>[1]!PH_FRM30_P01+Input_PL_Incentive_PH</f>
        <v>#N/A</v>
      </c>
      <c r="BB46" s="1264" t="e">
        <f t="shared" ref="BB46" si="8">IF(INDEX(List_AmortTermAll,MATCH(Input_AmortTerm,List_AmortTerm,0),3)=1,AZ46,IF(INDEX(List_AmortTermAll,MATCH(Input_AmortTerm,List_AmortTerm,0),3)=2,BA46,#N/A))</f>
        <v>#N/A</v>
      </c>
      <c r="BC46" s="1264" t="e">
        <f t="shared" ref="BC46" si="9">"PH_"&amp;RIGHT("000"&amp;TRUNC(Lookup_PriceText),3)&amp;TEXT(Lookup_PriceText-TRUNC(Lookup_PriceText),".0000000000")</f>
        <v>#N/A</v>
      </c>
      <c r="BD46" s="1264" cm="1">
        <f t="array" ref="BD46">[1]!PH_FRM30_M01</f>
        <v>5.5</v>
      </c>
      <c r="BE46" s="1266" t="s">
        <v>1843</v>
      </c>
      <c r="BG46" s="595" t="s">
        <v>403</v>
      </c>
      <c r="BH46" s="596" t="str">
        <f>INDEX([1]!List_StateInputAll,MATCH(BG46,[1]!List_StateInput,0),2)</f>
        <v>Non-CA</v>
      </c>
      <c r="BI46" s="597" t="str">
        <f>INDEX([1]!List_StateInputAll,MATCH(BG46,[1]!List_StateInput,0),3)</f>
        <v>Y</v>
      </c>
      <c r="BJ46" s="597" t="str">
        <f>INDEX([1]!List_StateInputAll,MATCH(BG46,[1]!List_StateInput,0),4)</f>
        <v>Y</v>
      </c>
      <c r="BK46" s="597" t="str">
        <f>INDEX([1]!List_StateInputAll,MATCH(BG46,[1]!List_StateInput,0),5)</f>
        <v xml:space="preserve"> </v>
      </c>
      <c r="BL46" s="597" t="str">
        <f>INDEX([1]!List_StateInputAll,MATCH(BG46,[1]!List_StateInput,0),6)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6" s="597" t="str">
        <f>INDEX([1]!List_StateInputAll,MATCH(BG46,[1]!List_StateInput,0),7)</f>
        <v xml:space="preserve"> </v>
      </c>
      <c r="BN46" s="597" t="str">
        <f>INDEX([1]!List_StateInputAll,MATCH(BG46,[1]!List_StateInput,0),8)</f>
        <v>SouthDakota</v>
      </c>
      <c r="BO46" s="597" t="str">
        <f>INDEX([1]!List_StateInputAll,MATCH(BG46,[1]!List_StateInput,0),9)</f>
        <v>Y</v>
      </c>
      <c r="BP46" s="598" t="str">
        <f>INDEX([1]!List_StateInputAll,MATCH(BG46,[1]!List_StateInput,0),10)</f>
        <v>Y</v>
      </c>
      <c r="BQ46" s="597" t="str">
        <f>INDEX([1]!List_StateInputAll,MATCH(BG46,[1]!List_StateInput,0),11)</f>
        <v>N</v>
      </c>
      <c r="BR46" s="599" t="str">
        <f>INDEX([1]!List_StateInputAll,MATCH(BG46,[1]!List_StateInput,0),12)</f>
        <v>N</v>
      </c>
      <c r="BS46" s="598" t="str">
        <f>INDEX([1]!List_StateInputAll,MATCH(BG46,[1]!List_StateInput,0),13)</f>
        <v xml:space="preserve"> </v>
      </c>
      <c r="BT46" s="578" t="str">
        <f>IF(OR(Input_Ratesheet_Source="Corr1",Input_Ratesheet_Source="Corr2",Input_Ratesheet_Source="Corr3",Input_Ratesheet_Source="CorrND"),BI46,IF(Input_Ratesheet_Source="Whol",IF(Input_Occupancy="Non Owner Occupied",BP46,BO46),IF(Input_Ratesheet_Source="Retl",IF(Input_Occupancy="Non Owner Occupied",IF(IF(IFERROR(FIND(Input_ProductClass,Structure!BS46),0)&gt;=1,"N","Y")="N","N",BR46),BQ46),"")))</f>
        <v>Y</v>
      </c>
      <c r="BU46" s="598" t="str">
        <f>INDEX([1]!List_StateInputAll,MATCH(BG46,[1]!List_StateInput,0),14)</f>
        <v>Wet</v>
      </c>
      <c r="BV46" s="598">
        <f>INDEX([1]!List_StateInputAll,MATCH(BG46,[1]!List_StateInput,0),15)</f>
        <v>1</v>
      </c>
      <c r="BW46" s="596" t="str">
        <f>INDEX([1]!List_StateInputAll,MATCH(BG46,[1]!List_StateInput,0),16)</f>
        <v>APOR</v>
      </c>
      <c r="BX46" s="600">
        <f>INDEX([1]!List_StateInputAll,MATCH(BG46,[1]!List_StateInput,0),17)</f>
        <v>6.5</v>
      </c>
      <c r="BY46" s="600">
        <f>INDEX([1]!List_StateInputAll,MATCH(BG46,[1]!List_StateInput,0),18)</f>
        <v>8.5</v>
      </c>
      <c r="BZ46" s="600">
        <f>INDEX([1]!List_StateInputAll,MATCH(BG46,[1]!List_StateInput,0),19)</f>
        <v>5</v>
      </c>
      <c r="CA46" s="597">
        <f>INDEX([1]!List_StateInputAll,MATCH(BG46,[1]!List_StateInput,0),20)</f>
        <v>0</v>
      </c>
      <c r="CB46" s="597" t="str">
        <f>INDEX([1]!List_StateInputAll,MATCH(BG46,[1]!List_StateInput,0),21)</f>
        <v>Owner Occupied</v>
      </c>
      <c r="CC46" s="597" t="str">
        <f>INDEX([1]!List_StateInputAll,MATCH(BG46,[1]!List_StateInput,0),22)</f>
        <v>Purchase, Rate-Term, Cash-Out</v>
      </c>
      <c r="CD46" s="598">
        <f>INDEX([1]!List_StateInputAll,MATCH(BG46,[1]!List_StateInput,0),23)</f>
        <v>0</v>
      </c>
      <c r="CE46" s="598" t="str">
        <f>INDEX([1]!List_StateInputAll,MATCH(BG46,[1]!List_StateInput,0),24)</f>
        <v>Y</v>
      </c>
    </row>
    <row r="47" spans="2:83" ht="9.6" customHeight="1" x14ac:dyDescent="0.2">
      <c r="B47" s="784"/>
      <c r="C47" s="785"/>
      <c r="D47" s="785"/>
      <c r="E47" s="785"/>
      <c r="F47" s="785"/>
      <c r="G47" s="785"/>
      <c r="H47" s="785"/>
      <c r="I47" s="785"/>
      <c r="J47" s="785" t="s">
        <v>76</v>
      </c>
      <c r="K47" s="786"/>
      <c r="L47" s="514" t="s">
        <v>76</v>
      </c>
      <c r="U47" s="515"/>
      <c r="V47" s="515"/>
      <c r="X47" s="1331" t="s">
        <v>2548</v>
      </c>
      <c r="Y47" s="1331" t="s">
        <v>165</v>
      </c>
      <c r="Z47" s="1332">
        <f>-Input_PL_IncentiveMaxAdj_LenderPaidComp+Input_PL_MaxPriceBase_DE_04PP+Input_PL_Incentive_IE+Input_PL_IncentiveMaxAdj_IE</f>
        <v>103.5</v>
      </c>
      <c r="AA47" s="1333" cm="1">
        <f t="array" ref="AA47">[1]!Input_MaxPriceNet_DE_04PP</f>
        <v>103.5</v>
      </c>
      <c r="AB47" s="1788"/>
      <c r="AC47" s="704" t="s">
        <v>37</v>
      </c>
      <c r="AD47" s="705" t="s">
        <v>328</v>
      </c>
      <c r="AE47" s="705" t="s">
        <v>453</v>
      </c>
      <c r="AQ47" s="777">
        <v>700</v>
      </c>
      <c r="AR47" s="778" t="s">
        <v>5</v>
      </c>
      <c r="AV47" s="1267" t="s">
        <v>1765</v>
      </c>
      <c r="AW47" s="1238" t="s">
        <v>1766</v>
      </c>
      <c r="AX47" s="1239" t="str">
        <f t="shared" ref="AX47" si="10">"PH_"&amp;RIGHT("000"&amp;TRUNC(Lookup_NoteRate),3)&amp;TEXT(Lookup_NoteRate-TRUNC(Lookup_NoteRate),".0000000000")</f>
        <v>PH_012.8750000000</v>
      </c>
      <c r="AY47" s="1240">
        <f>[1]!PH_R02</f>
        <v>12.875</v>
      </c>
      <c r="AZ47" s="1240"/>
      <c r="BA47" s="1240" t="e">
        <f>[1]!PH_FRM30_P02+Input_PL_Incentive_PH</f>
        <v>#N/A</v>
      </c>
      <c r="BB47" s="1239" t="e">
        <f t="shared" ref="BB47" si="11">IF(INDEX(List_AmortTermAll,MATCH(Input_AmortTerm,List_AmortTerm,0),3)=1,AZ47,IF(INDEX(List_AmortTermAll,MATCH(Input_AmortTerm,List_AmortTerm,0),3)=2,BA47,#N/A))</f>
        <v>#N/A</v>
      </c>
      <c r="BC47" s="1239" t="e">
        <f t="shared" ref="BC47" si="12">"PH_"&amp;RIGHT("000"&amp;TRUNC(Lookup_PriceText),3)&amp;TEXT(Lookup_PriceText-TRUNC(Lookup_PriceText),".0000000000")</f>
        <v>#N/A</v>
      </c>
      <c r="BD47" s="1239" cm="1">
        <f t="array" ref="BD47">[1]!PH_FRM30_M02</f>
        <v>5.375</v>
      </c>
      <c r="BE47" s="1268" t="s">
        <v>1844</v>
      </c>
      <c r="BG47" s="595" t="s">
        <v>404</v>
      </c>
      <c r="BH47" s="596" t="str">
        <f>INDEX([1]!List_StateInputAll,MATCH(BG47,[1]!List_StateInput,0),2)</f>
        <v>Non-CA</v>
      </c>
      <c r="BI47" s="597" t="str">
        <f>INDEX([1]!List_StateInputAll,MATCH(BG47,[1]!List_StateInput,0),3)</f>
        <v>Y</v>
      </c>
      <c r="BJ47" s="597" t="str">
        <f>INDEX([1]!List_StateInputAll,MATCH(BG47,[1]!List_StateInput,0),4)</f>
        <v>Y</v>
      </c>
      <c r="BK47" s="597" t="str">
        <f>INDEX([1]!List_StateInputAll,MATCH(BG47,[1]!List_StateInput,0),5)</f>
        <v xml:space="preserve"> </v>
      </c>
      <c r="BL47" s="597" t="str">
        <f>INDEX([1]!List_StateInputAll,MATCH(BG47,[1]!List_StateInput,0),6)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7" s="597" t="str">
        <f>INDEX([1]!List_StateInputAll,MATCH(BG47,[1]!List_StateInput,0),7)</f>
        <v xml:space="preserve"> </v>
      </c>
      <c r="BN47" s="597" t="str">
        <f>INDEX([1]!List_StateInputAll,MATCH(BG47,[1]!List_StateInput,0),8)</f>
        <v>Tennessee</v>
      </c>
      <c r="BO47" s="597" t="str">
        <f>INDEX([1]!List_StateInputAll,MATCH(BG47,[1]!List_StateInput,0),9)</f>
        <v>Y</v>
      </c>
      <c r="BP47" s="598" t="str">
        <f>INDEX([1]!List_StateInputAll,MATCH(BG47,[1]!List_StateInput,0),10)</f>
        <v>Y</v>
      </c>
      <c r="BQ47" s="597" t="str">
        <f>INDEX([1]!List_StateInputAll,MATCH(BG47,[1]!List_StateInput,0),11)</f>
        <v>N</v>
      </c>
      <c r="BR47" s="599" t="str">
        <f>INDEX([1]!List_StateInputAll,MATCH(BG47,[1]!List_StateInput,0),12)</f>
        <v>N</v>
      </c>
      <c r="BS47" s="598" t="str">
        <f>INDEX([1]!List_StateInputAll,MATCH(BG47,[1]!List_StateInput,0),13)</f>
        <v xml:space="preserve"> </v>
      </c>
      <c r="BT47" s="578" t="str">
        <f>IF(OR(Input_Ratesheet_Source="Corr1",Input_Ratesheet_Source="Corr2",Input_Ratesheet_Source="Corr3",Input_Ratesheet_Source="CorrND"),BI47,IF(Input_Ratesheet_Source="Whol",IF(Input_Occupancy="Non Owner Occupied",BP47,BO47),IF(Input_Ratesheet_Source="Retl",IF(Input_Occupancy="Non Owner Occupied",IF(IF(IFERROR(FIND(Input_ProductClass,Structure!BS47),0)&gt;=1,"N","Y")="N","N",BR47),BQ47),"")))</f>
        <v>Y</v>
      </c>
      <c r="BU47" s="598" t="str">
        <f>INDEX([1]!List_StateInputAll,MATCH(BG47,[1]!List_StateInput,0),14)</f>
        <v>Wet</v>
      </c>
      <c r="BV47" s="598">
        <f>INDEX([1]!List_StateInputAll,MATCH(BG47,[1]!List_StateInput,0),15)</f>
        <v>1</v>
      </c>
      <c r="BW47" s="596" t="str">
        <f>INDEX([1]!List_StateInputAll,MATCH(BG47,[1]!List_StateInput,0),16)</f>
        <v>APOR</v>
      </c>
      <c r="BX47" s="600">
        <f>INDEX([1]!List_StateInputAll,MATCH(BG47,[1]!List_StateInput,0),17)</f>
        <v>6.5</v>
      </c>
      <c r="BY47" s="600">
        <f>INDEX([1]!List_StateInputAll,MATCH(BG47,[1]!List_StateInput,0),18)</f>
        <v>8.5</v>
      </c>
      <c r="BZ47" s="600">
        <f>INDEX([1]!List_StateInputAll,MATCH(BG47,[1]!List_StateInput,0),19)</f>
        <v>5</v>
      </c>
      <c r="CA47" s="597" t="str">
        <f>INDEX([1]!List_StateInputAll,MATCH(BG47,[1]!List_StateInput,0),20)</f>
        <v>lesser of FNMA limit and $350k</v>
      </c>
      <c r="CB47" s="597" t="str">
        <f>INDEX([1]!List_StateInputAll,MATCH(BG47,[1]!List_StateInput,0),21)</f>
        <v>Owner Occupied</v>
      </c>
      <c r="CC47" s="597" t="str">
        <f>INDEX([1]!List_StateInputAll,MATCH(BG47,[1]!List_StateInput,0),22)</f>
        <v>Purchase, Rate-Term, Cash-Out</v>
      </c>
      <c r="CD47" s="598">
        <f>INDEX([1]!List_StateInputAll,MATCH(BG47,[1]!List_StateInput,0),23)</f>
        <v>0</v>
      </c>
      <c r="CE47" s="598" t="str">
        <f>INDEX([1]!List_StateInputAll,MATCH(BG47,[1]!List_StateInput,0),24)</f>
        <v>Y</v>
      </c>
    </row>
    <row r="48" spans="2:83" ht="9.6" customHeight="1" x14ac:dyDescent="0.2">
      <c r="L48" s="514" t="s">
        <v>76</v>
      </c>
      <c r="M48" s="724" t="s">
        <v>42</v>
      </c>
      <c r="N48" s="725"/>
      <c r="O48" s="725"/>
      <c r="P48" s="523" t="str">
        <f>IF(IFERROR(FIND("A",INDEX(List_AmortTermAll,MATCH(Input_AmortTerm,List_AmortTerm,0),4))&gt;0,0),"ARM",IF(IFERROR(FIND("B",INDEX(List_AmortTermAll,MATCH(Input_AmortTerm,List_AmortTerm,0),4))&gt;0,0),"BLN","FRM"))</f>
        <v>FRM</v>
      </c>
      <c r="Q48" s="523">
        <f>INDEX(List_AmortTermAll,MATCH(Input_AmortTerm,List_AmortTerm,0),5)</f>
        <v>360</v>
      </c>
      <c r="R48" s="523">
        <f>INDEX(List_AmortTermAll,MATCH(Input_AmortTerm,List_AmortTerm,0),6)</f>
        <v>360</v>
      </c>
      <c r="S48" s="523">
        <f>INDEX(List_AmortTermAll,MATCH(Input_AmortTerm,List_AmortTerm,0),7)</f>
        <v>360</v>
      </c>
      <c r="T48" s="523" t="str">
        <f>IF(IFERROR(FIND("A",INDEX(List_AmortTermAll,MATCH(Input_AmortTerm,List_AmortTerm,0),4))&gt;0,0),"ARM","FRM")</f>
        <v>FRM</v>
      </c>
      <c r="U48" s="726" t="s">
        <v>359</v>
      </c>
      <c r="V48" s="726" t="s">
        <v>360</v>
      </c>
      <c r="X48" s="1334" t="s">
        <v>2549</v>
      </c>
      <c r="Y48" s="1334" t="s">
        <v>166</v>
      </c>
      <c r="Z48" s="1335">
        <f>-Input_PL_IncentiveMaxAdj_LenderPaidComp+Input_PL_MaxPriceBase_DE_05PP+Input_PL_Incentive_IE+Input_PL_IncentiveMaxAdj_IE</f>
        <v>104</v>
      </c>
      <c r="AA48" s="1336" cm="1">
        <f t="array" ref="AA48">[1]!Input_MaxPriceNet_DE_05PP</f>
        <v>104</v>
      </c>
      <c r="AB48" s="1788"/>
      <c r="AC48" s="595" t="s">
        <v>17</v>
      </c>
      <c r="AD48" s="711" t="s">
        <v>329</v>
      </c>
      <c r="AE48" s="711" t="s">
        <v>453</v>
      </c>
      <c r="AQ48" s="777">
        <v>720</v>
      </c>
      <c r="AR48" s="778" t="s">
        <v>3</v>
      </c>
      <c r="AV48" s="1267" t="s">
        <v>1765</v>
      </c>
      <c r="AW48" s="1238" t="s">
        <v>1766</v>
      </c>
      <c r="AX48" s="1239" t="str">
        <f t="shared" ref="AX48" si="13">"PH_"&amp;RIGHT("000"&amp;TRUNC(Lookup_NoteRate),3)&amp;TEXT(Lookup_NoteRate-TRUNC(Lookup_NoteRate),".0000000000")</f>
        <v>PH_012.7500000000</v>
      </c>
      <c r="AY48" s="1240">
        <f>[1]!PH_R03</f>
        <v>12.75</v>
      </c>
      <c r="AZ48" s="1240"/>
      <c r="BA48" s="1240" t="e">
        <f>[1]!PH_FRM30_P03+Input_PL_Incentive_PH</f>
        <v>#N/A</v>
      </c>
      <c r="BB48" s="1239" t="e">
        <f t="shared" ref="BB48" si="14">IF(INDEX(List_AmortTermAll,MATCH(Input_AmortTerm,List_AmortTerm,0),3)=1,AZ48,IF(INDEX(List_AmortTermAll,MATCH(Input_AmortTerm,List_AmortTerm,0),3)=2,BA48,#N/A))</f>
        <v>#N/A</v>
      </c>
      <c r="BC48" s="1239" t="e">
        <f t="shared" ref="BC48" si="15">"PH_"&amp;RIGHT("000"&amp;TRUNC(Lookup_PriceText),3)&amp;TEXT(Lookup_PriceText-TRUNC(Lookup_PriceText),".0000000000")</f>
        <v>#N/A</v>
      </c>
      <c r="BD48" s="1239" cm="1">
        <f t="array" ref="BD48">[1]!PH_FRM30_M03</f>
        <v>5.25</v>
      </c>
      <c r="BE48" s="1268" t="s">
        <v>1845</v>
      </c>
      <c r="BG48" s="595" t="s">
        <v>405</v>
      </c>
      <c r="BH48" s="596" t="str">
        <f>INDEX([1]!List_StateInputAll,MATCH(BG48,[1]!List_StateInput,0),2)</f>
        <v>Non-CA</v>
      </c>
      <c r="BI48" s="597" t="str">
        <f>INDEX([1]!List_StateInputAll,MATCH(BG48,[1]!List_StateInput,0),3)</f>
        <v>Y</v>
      </c>
      <c r="BJ48" s="597" t="str">
        <f>INDEX([1]!List_StateInputAll,MATCH(BG48,[1]!List_StateInput,0),4)</f>
        <v>Y</v>
      </c>
      <c r="BK48" s="627" t="str">
        <f>INDEX([1]!List_StateInputAll,MATCH(BG48,[1]!List_StateInput,0),5)</f>
        <v>No IO when using TX 50(a)(6) Cashout</v>
      </c>
      <c r="BL48" s="597" t="str">
        <f>INDEX([1]!List_StateInputAll,MATCH(BG48,[1]!List_StateInput,0),6)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8" s="627" t="str">
        <f>INDEX([1]!List_StateInputAll,MATCH(BG48,[1]!List_StateInput,0),7)</f>
        <v xml:space="preserve"> </v>
      </c>
      <c r="BN48" s="597" t="str">
        <f>INDEX([1]!List_StateInputAll,MATCH(BG48,[1]!List_StateInput,0),8)</f>
        <v>Texas</v>
      </c>
      <c r="BO48" s="597" t="str">
        <f>INDEX([1]!List_StateInputAll,MATCH(BG48,[1]!List_StateInput,0),9)</f>
        <v>Y</v>
      </c>
      <c r="BP48" s="598" t="str">
        <f>INDEX([1]!List_StateInputAll,MATCH(BG48,[1]!List_StateInput,0),10)</f>
        <v>Y</v>
      </c>
      <c r="BQ48" s="597" t="str">
        <f>INDEX([1]!List_StateInputAll,MATCH(BG48,[1]!List_StateInput,0),11)</f>
        <v>Y</v>
      </c>
      <c r="BR48" s="599" t="str">
        <f>INDEX([1]!List_StateInputAll,MATCH(BG48,[1]!List_StateInput,0),12)</f>
        <v>Y</v>
      </c>
      <c r="BS48" s="598" t="str">
        <f>INDEX([1]!List_StateInputAll,MATCH(BG48,[1]!List_StateInput,0),13)</f>
        <v xml:space="preserve"> </v>
      </c>
      <c r="BT48" s="578" t="str">
        <f>IF(OR(Input_Ratesheet_Source="Corr1",Input_Ratesheet_Source="Corr2",Input_Ratesheet_Source="Corr3",Input_Ratesheet_Source="CorrND"),BI48,IF(Input_Ratesheet_Source="Whol",IF(Input_Occupancy="Non Owner Occupied",BP48,BO48),IF(Input_Ratesheet_Source="Retl",IF(Input_Occupancy="Non Owner Occupied",IF(IF(IFERROR(FIND(Input_ProductClass,Structure!BS48),0)&gt;=1,"N","Y")="N","N",BR48),BQ48),"")))</f>
        <v>Y</v>
      </c>
      <c r="BU48" s="598" t="str">
        <f>INDEX([1]!List_StateInputAll,MATCH(BG48,[1]!List_StateInput,0),14)</f>
        <v>Wet</v>
      </c>
      <c r="BV48" s="598">
        <f>INDEX([1]!List_StateInputAll,MATCH(BG48,[1]!List_StateInput,0),15)</f>
        <v>1</v>
      </c>
      <c r="BW48" s="596" t="str">
        <f>INDEX([1]!List_StateInputAll,MATCH(BG48,[1]!List_StateInput,0),16)</f>
        <v>Treasury</v>
      </c>
      <c r="BX48" s="600">
        <f>INDEX([1]!List_StateInputAll,MATCH(BG48,[1]!List_StateInput,0),17)</f>
        <v>8</v>
      </c>
      <c r="BY48" s="600">
        <f>INDEX([1]!List_StateInputAll,MATCH(BG48,[1]!List_StateInput,0),18)</f>
        <v>10</v>
      </c>
      <c r="BZ48" s="600">
        <f>INDEX([1]!List_StateInputAll,MATCH(BG48,[1]!List_StateInput,0),19)</f>
        <v>8</v>
      </c>
      <c r="CA48" s="597" t="str">
        <f>INDEX([1]!List_StateInputAll,MATCH(BG48,[1]!List_StateInput,0),20)</f>
        <v>Agency / 2</v>
      </c>
      <c r="CB48" s="597" t="str">
        <f>INDEX([1]!List_StateInputAll,MATCH(BG48,[1]!List_StateInput,0),21)</f>
        <v>Owner Occupied</v>
      </c>
      <c r="CC48" s="597" t="str">
        <f>INDEX([1]!List_StateInputAll,MATCH(BG48,[1]!List_StateInput,0),22)</f>
        <v>Purchase, Rate-Term, Cash-Out</v>
      </c>
      <c r="CD48" s="598">
        <f>INDEX([1]!List_StateInputAll,MATCH(BG48,[1]!List_StateInput,0),23)</f>
        <v>0</v>
      </c>
      <c r="CE48" s="598" t="str">
        <f>INDEX([1]!List_StateInputAll,MATCH(BG48,[1]!List_StateInput,0),24)</f>
        <v>Y</v>
      </c>
    </row>
    <row r="49" spans="3:83" ht="9.6" customHeight="1" x14ac:dyDescent="0.2">
      <c r="C49" s="2770" t="s">
        <v>2037</v>
      </c>
      <c r="D49" s="2771"/>
      <c r="E49" s="2771"/>
      <c r="F49" s="2771"/>
      <c r="G49" s="2771"/>
      <c r="H49" s="2771"/>
      <c r="I49" s="2771"/>
      <c r="J49" s="2771"/>
      <c r="K49" s="2771"/>
      <c r="L49" s="514" t="s">
        <v>76</v>
      </c>
      <c r="M49" s="727"/>
      <c r="N49" s="728" t="s">
        <v>102</v>
      </c>
      <c r="O49" s="729" t="s">
        <v>100</v>
      </c>
      <c r="P49" s="730" t="s">
        <v>147</v>
      </c>
      <c r="Q49" s="730" t="s">
        <v>1744</v>
      </c>
      <c r="R49" s="730" t="s">
        <v>1743</v>
      </c>
      <c r="S49" s="730" t="s">
        <v>1983</v>
      </c>
      <c r="T49" s="730" t="s">
        <v>1237</v>
      </c>
      <c r="X49" s="1331" t="s">
        <v>2550</v>
      </c>
      <c r="Y49" s="1331" t="s">
        <v>68</v>
      </c>
      <c r="Z49" s="1332">
        <f>-Input_PL_IncentiveMaxAdj_LenderPaidComp+Input_PL_MaxPriceBase_DE_01PP+Input_PL_Incentive_IE+Input_PL_IncentiveMaxAdj_IE</f>
        <v>102.5</v>
      </c>
      <c r="AA49" s="1333" cm="1">
        <f t="array" ref="AA49">[1]!Input_MaxPriceNet_DE_01PP</f>
        <v>102.5</v>
      </c>
      <c r="AB49" s="1788"/>
      <c r="AC49" s="789" t="s">
        <v>38</v>
      </c>
      <c r="AD49" s="743" t="s">
        <v>330</v>
      </c>
      <c r="AE49" s="743" t="s">
        <v>330</v>
      </c>
      <c r="AQ49" s="777">
        <v>740</v>
      </c>
      <c r="AR49" s="790" t="s">
        <v>254</v>
      </c>
      <c r="AV49" s="1267" t="s">
        <v>1765</v>
      </c>
      <c r="AW49" s="1238" t="s">
        <v>1766</v>
      </c>
      <c r="AX49" s="1239" t="str">
        <f t="shared" ref="AX49" si="16">"PH_"&amp;RIGHT("000"&amp;TRUNC(Lookup_NoteRate),3)&amp;TEXT(Lookup_NoteRate-TRUNC(Lookup_NoteRate),".0000000000")</f>
        <v>PH_012.6250000000</v>
      </c>
      <c r="AY49" s="1240">
        <f>[1]!PH_R04</f>
        <v>12.625</v>
      </c>
      <c r="AZ49" s="1240"/>
      <c r="BA49" s="1240" t="e">
        <f>[1]!PH_FRM30_P04+Input_PL_Incentive_PH</f>
        <v>#N/A</v>
      </c>
      <c r="BB49" s="1239" t="e">
        <f t="shared" ref="BB49" si="17">IF(INDEX(List_AmortTermAll,MATCH(Input_AmortTerm,List_AmortTerm,0),3)=1,AZ49,IF(INDEX(List_AmortTermAll,MATCH(Input_AmortTerm,List_AmortTerm,0),3)=2,BA49,#N/A))</f>
        <v>#N/A</v>
      </c>
      <c r="BC49" s="1239" t="e">
        <f t="shared" ref="BC49" si="18">"PH_"&amp;RIGHT("000"&amp;TRUNC(Lookup_PriceText),3)&amp;TEXT(Lookup_PriceText-TRUNC(Lookup_PriceText),".0000000000")</f>
        <v>#N/A</v>
      </c>
      <c r="BD49" s="1239" cm="1">
        <f t="array" ref="BD49">[1]!PH_FRM30_M04</f>
        <v>5.125</v>
      </c>
      <c r="BE49" s="1268" t="s">
        <v>1846</v>
      </c>
      <c r="BG49" s="595" t="s">
        <v>406</v>
      </c>
      <c r="BH49" s="596" t="str">
        <f>INDEX([1]!List_StateInputAll,MATCH(BG49,[1]!List_StateInput,0),2)</f>
        <v>Non-CA</v>
      </c>
      <c r="BI49" s="597" t="str">
        <f>INDEX([1]!List_StateInputAll,MATCH(BG49,[1]!List_StateInput,0),3)</f>
        <v>Y</v>
      </c>
      <c r="BJ49" s="597" t="str">
        <f>INDEX([1]!List_StateInputAll,MATCH(BG49,[1]!List_StateInput,0),4)</f>
        <v>Y</v>
      </c>
      <c r="BK49" s="597" t="str">
        <f>INDEX([1]!List_StateInputAll,MATCH(BG49,[1]!List_StateInput,0),5)</f>
        <v xml:space="preserve"> </v>
      </c>
      <c r="BL49" s="597" t="str">
        <f>INDEX([1]!List_StateInputAll,MATCH(BG49,[1]!List_StateInput,0),6)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49" s="597" t="str">
        <f>INDEX([1]!List_StateInputAll,MATCH(BG49,[1]!List_StateInput,0),7)</f>
        <v xml:space="preserve"> </v>
      </c>
      <c r="BN49" s="597" t="str">
        <f>INDEX([1]!List_StateInputAll,MATCH(BG49,[1]!List_StateInput,0),8)</f>
        <v>Utah</v>
      </c>
      <c r="BO49" s="597" t="str">
        <f>INDEX([1]!List_StateInputAll,MATCH(BG49,[1]!List_StateInput,0),9)</f>
        <v>Y</v>
      </c>
      <c r="BP49" s="598" t="str">
        <f>INDEX([1]!List_StateInputAll,MATCH(BG49,[1]!List_StateInput,0),10)</f>
        <v>Y</v>
      </c>
      <c r="BQ49" s="597" t="str">
        <f>INDEX([1]!List_StateInputAll,MATCH(BG49,[1]!List_StateInput,0),11)</f>
        <v>N</v>
      </c>
      <c r="BR49" s="599" t="str">
        <f>INDEX([1]!List_StateInputAll,MATCH(BG49,[1]!List_StateInput,0),12)</f>
        <v>Y</v>
      </c>
      <c r="BS49" s="598" t="str">
        <f>INDEX([1]!List_StateInputAll,MATCH(BG49,[1]!List_StateInput,0),13)</f>
        <v>NonQM OO, NonQM NOO, Second OO, Second NOO</v>
      </c>
      <c r="BT49" s="578" t="str">
        <f>IF(OR(Input_Ratesheet_Source="Corr1",Input_Ratesheet_Source="Corr2",Input_Ratesheet_Source="Corr3",Input_Ratesheet_Source="CorrND"),BI49,IF(Input_Ratesheet_Source="Whol",IF(Input_Occupancy="Non Owner Occupied",BP49,BO49),IF(Input_Ratesheet_Source="Retl",IF(Input_Occupancy="Non Owner Occupied",IF(IF(IFERROR(FIND(Input_ProductClass,Structure!BS49),0)&gt;=1,"N","Y")="N","N",BR49),BQ49),"")))</f>
        <v>Y</v>
      </c>
      <c r="BU49" s="598" t="str">
        <f>INDEX([1]!List_StateInputAll,MATCH(BG49,[1]!List_StateInput,0),14)</f>
        <v>Wet</v>
      </c>
      <c r="BV49" s="598">
        <f>INDEX([1]!List_StateInputAll,MATCH(BG49,[1]!List_StateInput,0),15)</f>
        <v>1</v>
      </c>
      <c r="BW49" s="596" t="str">
        <f>INDEX([1]!List_StateInputAll,MATCH(BG49,[1]!List_StateInput,0),16)</f>
        <v>Treasury</v>
      </c>
      <c r="BX49" s="600">
        <f>INDEX([1]!List_StateInputAll,MATCH(BG49,[1]!List_StateInput,0),17)</f>
        <v>8</v>
      </c>
      <c r="BY49" s="600">
        <f>INDEX([1]!List_StateInputAll,MATCH(BG49,[1]!List_StateInput,0),18)</f>
        <v>10</v>
      </c>
      <c r="BZ49" s="600">
        <f>INDEX([1]!List_StateInputAll,MATCH(BG49,[1]!List_StateInput,0),19)</f>
        <v>8</v>
      </c>
      <c r="CA49" s="597">
        <f>INDEX([1]!List_StateInputAll,MATCH(BG49,[1]!List_StateInput,0),20)</f>
        <v>0</v>
      </c>
      <c r="CB49" s="597" t="str">
        <f>INDEX([1]!List_StateInputAll,MATCH(BG49,[1]!List_StateInput,0),21)</f>
        <v>Owner Occupied</v>
      </c>
      <c r="CC49" s="597" t="str">
        <f>INDEX([1]!List_StateInputAll,MATCH(BG49,[1]!List_StateInput,0),22)</f>
        <v>Purchase, Rate-Term, Cash-Out</v>
      </c>
      <c r="CD49" s="598">
        <f>INDEX([1]!List_StateInputAll,MATCH(BG49,[1]!List_StateInput,0),23)</f>
        <v>0</v>
      </c>
      <c r="CE49" s="598" t="str">
        <f>INDEX([1]!List_StateInputAll,MATCH(BG49,[1]!List_StateInput,0),24)</f>
        <v>N</v>
      </c>
    </row>
    <row r="50" spans="3:83" ht="9.6" customHeight="1" x14ac:dyDescent="0.2">
      <c r="C50" s="820"/>
      <c r="D50" s="1158"/>
      <c r="E50" s="1158"/>
      <c r="F50" s="1158"/>
      <c r="G50" s="1158"/>
      <c r="H50" s="1158"/>
      <c r="I50" s="1158"/>
      <c r="J50" s="1158"/>
      <c r="K50" s="1159"/>
      <c r="L50" s="514" t="s">
        <v>76</v>
      </c>
      <c r="M50" s="731" t="str">
        <f>IF(OR(Input_ProductClass="Second",Input_ProductClass="AgencyCompanionSecond",Input_RateSheet_Type&lt;&gt;"Standard",Input_ProductClass="Closed End 2nd TD"),"10yr Fixed","")</f>
        <v/>
      </c>
      <c r="N50" s="732" t="s">
        <v>167</v>
      </c>
      <c r="O50" s="733">
        <v>2</v>
      </c>
      <c r="P50" s="734" t="s">
        <v>1280</v>
      </c>
      <c r="Q50" s="735">
        <v>120</v>
      </c>
      <c r="R50" s="735">
        <v>120</v>
      </c>
      <c r="S50" s="735">
        <v>120</v>
      </c>
      <c r="T50" s="735"/>
      <c r="U50" s="566" t="str">
        <f>IF(M50="","",MAX(U$49:U49)+1)</f>
        <v/>
      </c>
      <c r="V50" s="567" t="str">
        <f t="shared" ref="V50:V67" si="19">IFERROR(INDEX(List_AmortTerm,MATCH(ROW()-ROW($V$49),$U$50:$U$67,0)),"")</f>
        <v>30yr Fixed</v>
      </c>
      <c r="W50" s="514" t="s">
        <v>76</v>
      </c>
      <c r="X50" s="1331" t="s">
        <v>2551</v>
      </c>
      <c r="Y50" s="1331" t="s">
        <v>67</v>
      </c>
      <c r="Z50" s="1332">
        <f>-Input_PL_IncentiveMaxAdj_LenderPaidComp+Input_PL_MaxPriceBase_DE_02PP+Input_PL_Incentive_IE+Input_PL_IncentiveMaxAdj_IE</f>
        <v>102.75</v>
      </c>
      <c r="AA50" s="1333" cm="1">
        <f t="array" ref="AA50">[1]!Input_MaxPriceNet_DE_02PP</f>
        <v>102.75</v>
      </c>
      <c r="AB50" s="1788"/>
      <c r="AQ50" s="777">
        <v>760</v>
      </c>
      <c r="AR50" s="790" t="s">
        <v>255</v>
      </c>
      <c r="AV50" s="1267" t="s">
        <v>1765</v>
      </c>
      <c r="AW50" s="1238" t="s">
        <v>1766</v>
      </c>
      <c r="AX50" s="1239" t="str">
        <f t="shared" ref="AX50" si="20">"PH_"&amp;RIGHT("000"&amp;TRUNC(Lookup_NoteRate),3)&amp;TEXT(Lookup_NoteRate-TRUNC(Lookup_NoteRate),".0000000000")</f>
        <v>PH_012.5000000000</v>
      </c>
      <c r="AY50" s="1240">
        <f>[1]!PH_R05</f>
        <v>12.5</v>
      </c>
      <c r="AZ50" s="1240"/>
      <c r="BA50" s="1240" t="e">
        <f>[1]!PH_FRM30_P05+Input_PL_Incentive_PH</f>
        <v>#N/A</v>
      </c>
      <c r="BB50" s="1239" t="e">
        <f t="shared" ref="BB50" si="21">IF(INDEX(List_AmortTermAll,MATCH(Input_AmortTerm,List_AmortTerm,0),3)=1,AZ50,IF(INDEX(List_AmortTermAll,MATCH(Input_AmortTerm,List_AmortTerm,0),3)=2,BA50,#N/A))</f>
        <v>#N/A</v>
      </c>
      <c r="BC50" s="1239" t="e">
        <f t="shared" ref="BC50" si="22">"PH_"&amp;RIGHT("000"&amp;TRUNC(Lookup_PriceText),3)&amp;TEXT(Lookup_PriceText-TRUNC(Lookup_PriceText),".0000000000")</f>
        <v>#N/A</v>
      </c>
      <c r="BD50" s="1239" cm="1">
        <f t="array" ref="BD50">[1]!PH_FRM30_M05</f>
        <v>5</v>
      </c>
      <c r="BE50" s="1268" t="s">
        <v>1847</v>
      </c>
      <c r="BG50" s="595" t="s">
        <v>407</v>
      </c>
      <c r="BH50" s="596" t="str">
        <f>INDEX([1]!List_StateInputAll,MATCH(BG50,[1]!List_StateInput,0),2)</f>
        <v>Non-CA</v>
      </c>
      <c r="BI50" s="597" t="str">
        <f>INDEX([1]!List_StateInputAll,MATCH(BG50,[1]!List_StateInput,0),3)</f>
        <v>Y</v>
      </c>
      <c r="BJ50" s="597" t="str">
        <f>INDEX([1]!List_StateInputAll,MATCH(BG50,[1]!List_StateInput,0),4)</f>
        <v>Y</v>
      </c>
      <c r="BK50" s="597" t="str">
        <f>INDEX([1]!List_StateInputAll,MATCH(BG50,[1]!List_StateInput,0),5)</f>
        <v xml:space="preserve"> </v>
      </c>
      <c r="BL50" s="597" t="str">
        <f>INDEX([1]!List_StateInputAll,MATCH(BG50,[1]!List_StateInput,0),6)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50" s="597" t="str">
        <f>INDEX([1]!List_StateInputAll,MATCH(BG50,[1]!List_StateInput,0),7)</f>
        <v xml:space="preserve"> </v>
      </c>
      <c r="BN50" s="597" t="str">
        <f>INDEX([1]!List_StateInputAll,MATCH(BG50,[1]!List_StateInput,0),8)</f>
        <v>Virginia</v>
      </c>
      <c r="BO50" s="597" t="str">
        <f>INDEX([1]!List_StateInputAll,MATCH(BG50,[1]!List_StateInput,0),9)</f>
        <v>N</v>
      </c>
      <c r="BP50" s="598" t="str">
        <f>INDEX([1]!List_StateInputAll,MATCH(BG50,[1]!List_StateInput,0),10)</f>
        <v>Y</v>
      </c>
      <c r="BQ50" s="597" t="str">
        <f>INDEX([1]!List_StateInputAll,MATCH(BG50,[1]!List_StateInput,0),11)</f>
        <v>N</v>
      </c>
      <c r="BR50" s="599" t="str">
        <f>INDEX([1]!List_StateInputAll,MATCH(BG50,[1]!List_StateInput,0),12)</f>
        <v>Y</v>
      </c>
      <c r="BS50" s="598" t="str">
        <f>INDEX([1]!List_StateInputAll,MATCH(BG50,[1]!List_StateInput,0),13)</f>
        <v xml:space="preserve"> </v>
      </c>
      <c r="BT50" s="578" t="str">
        <f>IF(OR(Input_Ratesheet_Source="Corr1",Input_Ratesheet_Source="Corr2",Input_Ratesheet_Source="Corr3",Input_Ratesheet_Source="CorrND"),BI50,IF(Input_Ratesheet_Source="Whol",IF(Input_Occupancy="Non Owner Occupied",BP50,BO50),IF(Input_Ratesheet_Source="Retl",IF(Input_Occupancy="Non Owner Occupied",IF(IF(IFERROR(FIND(Input_ProductClass,Structure!BS50),0)&gt;=1,"N","Y")="N","N",BR50),BQ50),"")))</f>
        <v>Y</v>
      </c>
      <c r="BU50" s="598" t="str">
        <f>INDEX([1]!List_StateInputAll,MATCH(BG50,[1]!List_StateInput,0),14)</f>
        <v>Wet</v>
      </c>
      <c r="BV50" s="598">
        <f>INDEX([1]!List_StateInputAll,MATCH(BG50,[1]!List_StateInput,0),15)</f>
        <v>1</v>
      </c>
      <c r="BW50" s="596" t="str">
        <f>INDEX([1]!List_StateInputAll,MATCH(BG50,[1]!List_StateInput,0),16)</f>
        <v>APOR</v>
      </c>
      <c r="BX50" s="600">
        <f>INDEX([1]!List_StateInputAll,MATCH(BG50,[1]!List_StateInput,0),17)</f>
        <v>6.5</v>
      </c>
      <c r="BY50" s="600">
        <f>INDEX([1]!List_StateInputAll,MATCH(BG50,[1]!List_StateInput,0),18)</f>
        <v>8.5</v>
      </c>
      <c r="BZ50" s="600">
        <f>INDEX([1]!List_StateInputAll,MATCH(BG50,[1]!List_StateInput,0),19)</f>
        <v>5</v>
      </c>
      <c r="CA50" s="597">
        <f>INDEX([1]!List_StateInputAll,MATCH(BG50,[1]!List_StateInput,0),20)</f>
        <v>0</v>
      </c>
      <c r="CB50" s="597" t="str">
        <f>INDEX([1]!List_StateInputAll,MATCH(BG50,[1]!List_StateInput,0),21)</f>
        <v>Owner Occupied</v>
      </c>
      <c r="CC50" s="597" t="str">
        <f>INDEX([1]!List_StateInputAll,MATCH(BG50,[1]!List_StateInput,0),22)</f>
        <v>Purchase, Rate-Term, Cash-Out</v>
      </c>
      <c r="CD50" s="598">
        <f>INDEX([1]!List_StateInputAll,MATCH(BG50,[1]!List_StateInput,0),23)</f>
        <v>0</v>
      </c>
      <c r="CE50" s="598" t="str">
        <f>INDEX([1]!List_StateInputAll,MATCH(BG50,[1]!List_StateInput,0),24)</f>
        <v>Y</v>
      </c>
    </row>
    <row r="51" spans="3:83" ht="9.6" customHeight="1" x14ac:dyDescent="0.2">
      <c r="C51" s="820"/>
      <c r="D51" s="2016" t="s">
        <v>1977</v>
      </c>
      <c r="E51" s="2016" t="s">
        <v>1978</v>
      </c>
      <c r="F51" s="2016" t="s">
        <v>1979</v>
      </c>
      <c r="G51" s="2016" t="s">
        <v>2038</v>
      </c>
      <c r="H51" s="2016" t="s">
        <v>105</v>
      </c>
      <c r="I51" s="2016" t="s">
        <v>3821</v>
      </c>
      <c r="J51" s="1158"/>
      <c r="K51" s="1159"/>
      <c r="L51" s="514" t="s">
        <v>76</v>
      </c>
      <c r="M51" s="738" t="str">
        <f>IF(OR(Input_ProductClass = "NonQM", Input_ProductClass = "Portfolio 1st TD", Input_ProductClass = "Core Prime",Input_ProductClass = "Core Flex",Input_ProductClass = "Core CashFlow",Input_ProductClass = "Core Multi",Input_ProductClass = "Core ForeignNat",Input_ProductClass="Second",Input_ProductClass="AgencyCompanionSecond",Input_RateSheet_Type&lt;&gt;"Standard",Input_ProductClass="Closed End 2nd TD"),"15yr Fixed","")</f>
        <v/>
      </c>
      <c r="N51" s="739" t="s">
        <v>167</v>
      </c>
      <c r="O51" s="740">
        <v>2</v>
      </c>
      <c r="P51" s="741" t="s">
        <v>458</v>
      </c>
      <c r="Q51" s="742">
        <v>180</v>
      </c>
      <c r="R51" s="742">
        <v>180</v>
      </c>
      <c r="S51" s="742">
        <v>180</v>
      </c>
      <c r="T51" s="742"/>
      <c r="U51" s="590" t="str">
        <f>IF(M51="","",MAX(U$49:U50)+1)</f>
        <v/>
      </c>
      <c r="V51" s="591" t="str">
        <f t="shared" si="19"/>
        <v>40yr Fixed</v>
      </c>
      <c r="W51" s="514" t="s">
        <v>76</v>
      </c>
      <c r="X51" s="1331" t="s">
        <v>2552</v>
      </c>
      <c r="Y51" s="1331" t="s">
        <v>66</v>
      </c>
      <c r="Z51" s="1332">
        <f>-Input_PL_IncentiveMaxAdj_LenderPaidComp+Input_PL_MaxPriceBase_DE_03PP+Input_PL_Incentive_IE+Input_PL_IncentiveMaxAdj_IE</f>
        <v>103.25</v>
      </c>
      <c r="AA51" s="1333" cm="1">
        <f t="array" ref="AA51">[1]!Input_MaxPriceNet_DE_03PP</f>
        <v>103.25</v>
      </c>
      <c r="AB51" s="1788"/>
      <c r="AF51" s="2769" t="s">
        <v>1705</v>
      </c>
      <c r="AG51" s="2769"/>
      <c r="AH51" s="792" cm="1">
        <f t="array" ref="AH51">INDEX(List_Units_AgencyLoanAmount_All,MATCH(Lookup_Property_Units,List_Units_AgencyLoanAmount,0),INDEX(List_State_All,MATCH(Input_State,List_State,0),16)+1)</f>
        <v>806500</v>
      </c>
      <c r="AQ51" s="777">
        <v>780</v>
      </c>
      <c r="AR51" s="790" t="s">
        <v>1281</v>
      </c>
      <c r="AV51" s="1267" t="s">
        <v>1765</v>
      </c>
      <c r="AW51" s="1238" t="s">
        <v>1766</v>
      </c>
      <c r="AX51" s="1239" t="str">
        <f t="shared" ref="AX51" si="23">"PH_"&amp;RIGHT("000"&amp;TRUNC(Lookup_NoteRate),3)&amp;TEXT(Lookup_NoteRate-TRUNC(Lookup_NoteRate),".0000000000")</f>
        <v>PH_012.3750000000</v>
      </c>
      <c r="AY51" s="1240">
        <f>[1]!PH_R06</f>
        <v>12.375</v>
      </c>
      <c r="AZ51" s="1240"/>
      <c r="BA51" s="1240" t="e">
        <f>[1]!PH_FRM30_P06+Input_PL_Incentive_PH</f>
        <v>#N/A</v>
      </c>
      <c r="BB51" s="1239" t="e">
        <f t="shared" ref="BB51" si="24">IF(INDEX(List_AmortTermAll,MATCH(Input_AmortTerm,List_AmortTerm,0),3)=1,AZ51,IF(INDEX(List_AmortTermAll,MATCH(Input_AmortTerm,List_AmortTerm,0),3)=2,BA51,#N/A))</f>
        <v>#N/A</v>
      </c>
      <c r="BC51" s="1239" t="e">
        <f t="shared" ref="BC51" si="25">"PH_"&amp;RIGHT("000"&amp;TRUNC(Lookup_PriceText),3)&amp;TEXT(Lookup_PriceText-TRUNC(Lookup_PriceText),".0000000000")</f>
        <v>#N/A</v>
      </c>
      <c r="BD51" s="1239" cm="1">
        <f t="array" ref="BD51">[1]!PH_FRM30_M06</f>
        <v>4.875</v>
      </c>
      <c r="BE51" s="1268" t="s">
        <v>1848</v>
      </c>
      <c r="BG51" s="595" t="s">
        <v>408</v>
      </c>
      <c r="BH51" s="596" t="str">
        <f>INDEX([1]!List_StateInputAll,MATCH(BG51,[1]!List_StateInput,0),2)</f>
        <v>Non-CA</v>
      </c>
      <c r="BI51" s="597" t="str">
        <f>INDEX([1]!List_StateInputAll,MATCH(BG51,[1]!List_StateInput,0),3)</f>
        <v>Y</v>
      </c>
      <c r="BJ51" s="597" t="str">
        <f>INDEX([1]!List_StateInputAll,MATCH(BG51,[1]!List_StateInput,0),4)</f>
        <v>Y</v>
      </c>
      <c r="BK51" s="597" t="str">
        <f>INDEX([1]!List_StateInputAll,MATCH(BG51,[1]!List_StateInput,0),5)</f>
        <v xml:space="preserve"> </v>
      </c>
      <c r="BL51" s="627" t="str">
        <f>INDEX([1]!List_StateInputAll,MATCH(BG51,[1]!List_StateInput,0),6)</f>
        <v>No Prepay</v>
      </c>
      <c r="BM51" s="627" t="str">
        <f>INDEX([1]!List_StateInputAll,MATCH(BG51,[1]!List_StateInput,0),7)</f>
        <v>No Prepay Allowed</v>
      </c>
      <c r="BN51" s="597" t="str">
        <f>INDEX([1]!List_StateInputAll,MATCH(BG51,[1]!List_StateInput,0),8)</f>
        <v>Vermont</v>
      </c>
      <c r="BO51" s="597" t="str">
        <f>INDEX([1]!List_StateInputAll,MATCH(BG51,[1]!List_StateInput,0),9)</f>
        <v>Y</v>
      </c>
      <c r="BP51" s="598" t="str">
        <f>INDEX([1]!List_StateInputAll,MATCH(BG51,[1]!List_StateInput,0),10)</f>
        <v>Y</v>
      </c>
      <c r="BQ51" s="597" t="str">
        <f>INDEX([1]!List_StateInputAll,MATCH(BG51,[1]!List_StateInput,0),11)</f>
        <v>N</v>
      </c>
      <c r="BR51" s="599" t="str">
        <f>INDEX([1]!List_StateInputAll,MATCH(BG51,[1]!List_StateInput,0),12)</f>
        <v>N</v>
      </c>
      <c r="BS51" s="598" t="str">
        <f>INDEX([1]!List_StateInputAll,MATCH(BG51,[1]!List_StateInput,0),13)</f>
        <v xml:space="preserve"> </v>
      </c>
      <c r="BT51" s="578" t="str">
        <f>IF(OR(Input_Ratesheet_Source="Corr1",Input_Ratesheet_Source="Corr2",Input_Ratesheet_Source="Corr3",Input_Ratesheet_Source="CorrND"),BI51,IF(Input_Ratesheet_Source="Whol",IF(Input_Occupancy="Non Owner Occupied",BP51,BO51),IF(Input_Ratesheet_Source="Retl",IF(Input_Occupancy="Non Owner Occupied",IF(IF(IFERROR(FIND(Input_ProductClass,Structure!BS51),0)&gt;=1,"N","Y")="N","N",BR51),BQ51),"")))</f>
        <v>Y</v>
      </c>
      <c r="BU51" s="598" t="str">
        <f>INDEX([1]!List_StateInputAll,MATCH(BG51,[1]!List_StateInput,0),14)</f>
        <v>Wet</v>
      </c>
      <c r="BV51" s="598">
        <f>INDEX([1]!List_StateInputAll,MATCH(BG51,[1]!List_StateInput,0),15)</f>
        <v>1</v>
      </c>
      <c r="BW51" s="596" t="str">
        <f>INDEX([1]!List_StateInputAll,MATCH(BG51,[1]!List_StateInput,0),16)</f>
        <v>Rate</v>
      </c>
      <c r="BX51" s="600">
        <f>INDEX([1]!List_StateInputAll,MATCH(BG51,[1]!List_StateInput,0),17)</f>
        <v>6.25</v>
      </c>
      <c r="BY51" s="600">
        <f>INDEX([1]!List_StateInputAll,MATCH(BG51,[1]!List_StateInput,0),18)</f>
        <v>8.5</v>
      </c>
      <c r="BZ51" s="600">
        <f>INDEX([1]!List_StateInputAll,MATCH(BG51,[1]!List_StateInput,0),19)</f>
        <v>4</v>
      </c>
      <c r="CA51" s="597">
        <f>INDEX([1]!List_StateInputAll,MATCH(BG51,[1]!List_StateInput,0),20)</f>
        <v>0</v>
      </c>
      <c r="CB51" s="597" t="str">
        <f>INDEX([1]!List_StateInputAll,MATCH(BG51,[1]!List_StateInput,0),21)</f>
        <v>Owner Occupied, Second Home, Non Owner Occupied</v>
      </c>
      <c r="CC51" s="597" t="str">
        <f>INDEX([1]!List_StateInputAll,MATCH(BG51,[1]!List_StateInput,0),22)</f>
        <v>Purchase, Rate-Term, Cash-Out</v>
      </c>
      <c r="CD51" s="598">
        <f>INDEX([1]!List_StateInputAll,MATCH(BG51,[1]!List_StateInput,0),23)</f>
        <v>0</v>
      </c>
      <c r="CE51" s="598" t="str">
        <f>INDEX([1]!List_StateInputAll,MATCH(BG51,[1]!List_StateInput,0),24)</f>
        <v>Y</v>
      </c>
    </row>
    <row r="52" spans="3:83" ht="9.6" customHeight="1" x14ac:dyDescent="0.2">
      <c r="C52" s="820"/>
      <c r="D52" s="1040" t="str">
        <f>IFERROR(INDEX(Lookup_NoteRateAll,MATCH(INDEX(List_ProductAll,MATCH(Input_Product,List_Product,0),2)&amp;"_01",Lookup_NoteRateStack,0),1),"na")</f>
        <v>PT_013.1250000000</v>
      </c>
      <c r="E52" s="1040">
        <f>IFERROR(INDEX(Lookup_NoteRateAll,MATCH(INDEX(List_ProductAll,MATCH(Input_Product,List_Product,0),2)&amp;"_01",Lookup_NoteRateStack,0),2),"na")</f>
        <v>13.125</v>
      </c>
      <c r="F52" s="1040">
        <f>IFERROR(INDEX(Lookup_NoteRateAll,MATCH(INDEX(List_ProductAll,MATCH(Input_Product,List_Product,0),2)&amp;"_01",Lookup_NoteRateStack,0),5),"na")</f>
        <v>112.375</v>
      </c>
      <c r="G52" s="1040">
        <f t="shared" ref="G52:G92" si="26">IF(F52="na","na",Result_TotalLLPA)</f>
        <v>-0.125</v>
      </c>
      <c r="H52" s="1040">
        <f t="shared" ref="H52:H92" si="27">IFERROR(IF((F52+Output_LLPA_Total+Output_PriceNegotiated)&gt;Output_PriceMax,Output_PriceMax,(F52+Output_LLPA_Total+Output_PriceNegotiated)),"na")</f>
        <v>101</v>
      </c>
      <c r="I52" s="1040">
        <f>IFERROR(INDEX(Lookup_NoteRateAll,MATCH(INDEX(List_ProductAll,MATCH(Input_Product,List_Product,0),2)&amp;"_01",Lookup_NoteRateStack,0),7),"na")</f>
        <v>0</v>
      </c>
      <c r="J52" s="1158"/>
      <c r="K52" s="1159"/>
      <c r="L52" s="514" t="s">
        <v>76</v>
      </c>
      <c r="M52" s="738" t="str">
        <f>IF(OR(Input_ProductClass="Second",Input_ProductClass="AgencyCompanionSecond",Input_RateSheet_Type&lt;&gt;"Standard",Input_ProductClass="Closed End 2nd TD"),"20yr Fixed","")</f>
        <v/>
      </c>
      <c r="N52" s="739" t="s">
        <v>167</v>
      </c>
      <c r="O52" s="740">
        <v>2</v>
      </c>
      <c r="P52" s="741" t="s">
        <v>459</v>
      </c>
      <c r="Q52" s="742">
        <v>240</v>
      </c>
      <c r="R52" s="742">
        <v>240</v>
      </c>
      <c r="S52" s="742">
        <v>240</v>
      </c>
      <c r="T52" s="742"/>
      <c r="U52" s="590" t="str">
        <f>IF(M52="","",MAX(U$49:U51)+1)</f>
        <v/>
      </c>
      <c r="V52" s="591" t="str">
        <f t="shared" si="19"/>
        <v>5/6 30yr ARM SOFR</v>
      </c>
      <c r="W52" s="514" t="s">
        <v>76</v>
      </c>
      <c r="X52" s="1331" t="s">
        <v>2553</v>
      </c>
      <c r="Y52" s="1331" t="s">
        <v>165</v>
      </c>
      <c r="Z52" s="1332">
        <f>-Input_PL_IncentiveMaxAdj_LenderPaidComp+Input_PL_MaxPriceBase_DE_04PP+Input_PL_Incentive_IE+Input_PL_IncentiveMaxAdj_IE</f>
        <v>103.5</v>
      </c>
      <c r="AA52" s="1333" cm="1">
        <f t="array" ref="AA52">[1]!Input_MaxPriceNet_DE_04PP</f>
        <v>103.5</v>
      </c>
      <c r="AB52" s="1788"/>
      <c r="AC52" s="751" t="s">
        <v>33</v>
      </c>
      <c r="AD52" s="787"/>
      <c r="AF52" s="793" t="s">
        <v>1701</v>
      </c>
      <c r="AG52" s="794" t="s">
        <v>1704</v>
      </c>
      <c r="AH52" s="701" t="s">
        <v>1703</v>
      </c>
      <c r="AQ52" s="795">
        <v>800</v>
      </c>
      <c r="AR52" s="790" t="s">
        <v>1282</v>
      </c>
      <c r="AV52" s="1267" t="s">
        <v>1765</v>
      </c>
      <c r="AW52" s="1238" t="s">
        <v>1766</v>
      </c>
      <c r="AX52" s="1239" t="str">
        <f t="shared" ref="AX52" si="28">"PH_"&amp;RIGHT("000"&amp;TRUNC(Lookup_NoteRate),3)&amp;TEXT(Lookup_NoteRate-TRUNC(Lookup_NoteRate),".0000000000")</f>
        <v>PH_012.2500000000</v>
      </c>
      <c r="AY52" s="1240">
        <f>[1]!PH_R07</f>
        <v>12.25</v>
      </c>
      <c r="AZ52" s="1240"/>
      <c r="BA52" s="1240" t="e">
        <f>[1]!PH_FRM30_P07+Input_PL_Incentive_PH</f>
        <v>#N/A</v>
      </c>
      <c r="BB52" s="1239" t="e">
        <f t="shared" ref="BB52" si="29">IF(INDEX(List_AmortTermAll,MATCH(Input_AmortTerm,List_AmortTerm,0),3)=1,AZ52,IF(INDEX(List_AmortTermAll,MATCH(Input_AmortTerm,List_AmortTerm,0),3)=2,BA52,#N/A))</f>
        <v>#N/A</v>
      </c>
      <c r="BC52" s="1239" t="e">
        <f t="shared" ref="BC52" si="30">"PH_"&amp;RIGHT("000"&amp;TRUNC(Lookup_PriceText),3)&amp;TEXT(Lookup_PriceText-TRUNC(Lookup_PriceText),".0000000000")</f>
        <v>#N/A</v>
      </c>
      <c r="BD52" s="1239" cm="1">
        <f t="array" ref="BD52">[1]!PH_FRM30_M07</f>
        <v>4.75</v>
      </c>
      <c r="BE52" s="1268" t="s">
        <v>1849</v>
      </c>
      <c r="BG52" s="595" t="s">
        <v>409</v>
      </c>
      <c r="BH52" s="596" t="str">
        <f>INDEX([1]!List_StateInputAll,MATCH(BG52,[1]!List_StateInput,0),2)</f>
        <v>Non-CA</v>
      </c>
      <c r="BI52" s="597" t="str">
        <f>INDEX([1]!List_StateInputAll,MATCH(BG52,[1]!List_StateInput,0),3)</f>
        <v>Y</v>
      </c>
      <c r="BJ52" s="597" t="str">
        <f>INDEX([1]!List_StateInputAll,MATCH(BG52,[1]!List_StateInput,0),4)</f>
        <v>Y</v>
      </c>
      <c r="BK52" s="597" t="str">
        <f>INDEX([1]!List_StateInputAll,MATCH(BG52,[1]!List_StateInput,0),5)</f>
        <v xml:space="preserve"> </v>
      </c>
      <c r="BL52" s="597" t="str">
        <f>INDEX([1]!List_StateInputAll,MATCH(BG52,[1]!List_StateInput,0),6)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52" s="597" t="str">
        <f>INDEX([1]!List_StateInputAll,MATCH(BG52,[1]!List_StateInput,0),7)</f>
        <v>Prepay Restriction May Apply</v>
      </c>
      <c r="BN52" s="597" t="str">
        <f>INDEX([1]!List_StateInputAll,MATCH(BG52,[1]!List_StateInput,0),8)</f>
        <v>Washington</v>
      </c>
      <c r="BO52" s="597" t="str">
        <f>INDEX([1]!List_StateInputAll,MATCH(BG52,[1]!List_StateInput,0),9)</f>
        <v>Y</v>
      </c>
      <c r="BP52" s="598" t="str">
        <f>INDEX([1]!List_StateInputAll,MATCH(BG52,[1]!List_StateInput,0),10)</f>
        <v>Y</v>
      </c>
      <c r="BQ52" s="597" t="str">
        <f>INDEX([1]!List_StateInputAll,MATCH(BG52,[1]!List_StateInput,0),11)</f>
        <v>N</v>
      </c>
      <c r="BR52" s="599" t="str">
        <f>INDEX([1]!List_StateInputAll,MATCH(BG52,[1]!List_StateInput,0),12)</f>
        <v>Y</v>
      </c>
      <c r="BS52" s="598" t="str">
        <f>INDEX([1]!List_StateInputAll,MATCH(BG52,[1]!List_StateInput,0),13)</f>
        <v xml:space="preserve"> </v>
      </c>
      <c r="BT52" s="578" t="str">
        <f>IF(OR(Input_Ratesheet_Source="Corr1",Input_Ratesheet_Source="Corr2",Input_Ratesheet_Source="Corr3",Input_Ratesheet_Source="CorrND"),BI52,IF(Input_Ratesheet_Source="Whol",IF(Input_Occupancy="Non Owner Occupied",BP52,BO52),IF(Input_Ratesheet_Source="Retl",IF(Input_Occupancy="Non Owner Occupied",IF(IF(IFERROR(FIND(Input_ProductClass,Structure!BS52),0)&gt;=1,"N","Y")="N","N",BR52),BQ52),"")))</f>
        <v>Y</v>
      </c>
      <c r="BU52" s="598" t="str">
        <f>INDEX([1]!List_StateInputAll,MATCH(BG52,[1]!List_StateInput,0),14)</f>
        <v>Dry</v>
      </c>
      <c r="BV52" s="598">
        <f>INDEX([1]!List_StateInputAll,MATCH(BG52,[1]!List_StateInput,0),15)</f>
        <v>1</v>
      </c>
      <c r="BW52" s="596" t="str">
        <f>INDEX([1]!List_StateInputAll,MATCH(BG52,[1]!List_StateInput,0),16)</f>
        <v>APOR</v>
      </c>
      <c r="BX52" s="600">
        <f>INDEX([1]!List_StateInputAll,MATCH(BG52,[1]!List_StateInput,0),17)</f>
        <v>6.5</v>
      </c>
      <c r="BY52" s="600">
        <f>INDEX([1]!List_StateInputAll,MATCH(BG52,[1]!List_StateInput,0),18)</f>
        <v>8.5</v>
      </c>
      <c r="BZ52" s="600">
        <f>INDEX([1]!List_StateInputAll,MATCH(BG52,[1]!List_StateInput,0),19)</f>
        <v>5</v>
      </c>
      <c r="CA52" s="597">
        <f>INDEX([1]!List_StateInputAll,MATCH(BG52,[1]!List_StateInput,0),20)</f>
        <v>0</v>
      </c>
      <c r="CB52" s="597" t="str">
        <f>INDEX([1]!List_StateInputAll,MATCH(BG52,[1]!List_StateInput,0),21)</f>
        <v>Owner Occupied</v>
      </c>
      <c r="CC52" s="597" t="str">
        <f>INDEX([1]!List_StateInputAll,MATCH(BG52,[1]!List_StateInput,0),22)</f>
        <v>Purchase, Rate-Term, Cash-Out</v>
      </c>
      <c r="CD52" s="598">
        <f>INDEX([1]!List_StateInputAll,MATCH(BG52,[1]!List_StateInput,0),23)</f>
        <v>0</v>
      </c>
      <c r="CE52" s="598" t="str">
        <f>INDEX([1]!List_StateInputAll,MATCH(BG52,[1]!List_StateInput,0),24)</f>
        <v>Y</v>
      </c>
    </row>
    <row r="53" spans="3:83" ht="9.6" customHeight="1" x14ac:dyDescent="0.2">
      <c r="C53" s="820"/>
      <c r="D53" s="1040" t="str">
        <f>IFERROR(INDEX(Lookup_NoteRateAll,MATCH(INDEX(List_ProductAll,MATCH(Input_Product,List_Product,0),2)&amp;"_02",Lookup_NoteRateStack,0),1),"na")</f>
        <v>PT_013.0000000000</v>
      </c>
      <c r="E53" s="1040">
        <f>IFERROR(INDEX(Lookup_NoteRateAll,MATCH(INDEX(List_ProductAll,MATCH(Input_Product,List_Product,0),2)&amp;"_02",Lookup_NoteRateStack,0),2),"na")</f>
        <v>13</v>
      </c>
      <c r="F53" s="1040">
        <f>IFERROR(INDEX(Lookup_NoteRateAll,MATCH(INDEX(List_ProductAll,MATCH(Input_Product,List_Product,0),2)&amp;"_02",Lookup_NoteRateStack,0),5),"na")</f>
        <v>112.25</v>
      </c>
      <c r="G53" s="1040">
        <f t="shared" si="26"/>
        <v>-0.125</v>
      </c>
      <c r="H53" s="1040">
        <f t="shared" si="27"/>
        <v>101</v>
      </c>
      <c r="I53" s="1040">
        <f>IFERROR(INDEX(Lookup_NoteRateAll,MATCH(INDEX(List_ProductAll,MATCH(Input_Product,List_Product,0),2)&amp;"_02",Lookup_NoteRateStack,0),7),"na")</f>
        <v>0</v>
      </c>
      <c r="J53" s="2016" t="s">
        <v>88</v>
      </c>
      <c r="K53" s="1160"/>
      <c r="L53" s="514" t="s">
        <v>76</v>
      </c>
      <c r="M53" s="738" t="str">
        <f>IF(OR(Input_ProductClass="HELOC"),"","30yr Fixed")</f>
        <v>30yr Fixed</v>
      </c>
      <c r="N53" s="739" t="s">
        <v>167</v>
      </c>
      <c r="O53" s="740">
        <v>2</v>
      </c>
      <c r="P53" s="740" t="s">
        <v>169</v>
      </c>
      <c r="Q53" s="742">
        <v>360</v>
      </c>
      <c r="R53" s="742">
        <v>360</v>
      </c>
      <c r="S53" s="742">
        <v>360</v>
      </c>
      <c r="T53" s="742"/>
      <c r="U53" s="590">
        <f>IF(M53="","",MAX(U$49:U52)+1)</f>
        <v>1</v>
      </c>
      <c r="V53" s="591" t="str">
        <f t="shared" si="19"/>
        <v>7/6 30yr ARM SOFR</v>
      </c>
      <c r="W53" s="514" t="s">
        <v>76</v>
      </c>
      <c r="X53" s="1334" t="s">
        <v>2554</v>
      </c>
      <c r="Y53" s="1334" t="s">
        <v>166</v>
      </c>
      <c r="Z53" s="1335">
        <f>-Input_PL_IncentiveMaxAdj_LenderPaidComp+Input_PL_MaxPriceBase_DE_05PP+Input_PL_Incentive_IE+Input_PL_IncentiveMaxAdj_IE</f>
        <v>104</v>
      </c>
      <c r="AA53" s="1336" cm="1">
        <f t="array" ref="AA53">[1]!Input_MaxPriceNet_DE_05PP</f>
        <v>104</v>
      </c>
      <c r="AB53" s="1788"/>
      <c r="AC53" s="1455" t="s">
        <v>34</v>
      </c>
      <c r="AD53" s="1456" t="str">
        <f>AC53</f>
        <v>Purchase</v>
      </c>
      <c r="AF53" s="797">
        <v>1</v>
      </c>
      <c r="AG53" s="798" cm="1">
        <f t="array" ref="AG53">[1]!Input_Agency_Unit1_1</f>
        <v>806500</v>
      </c>
      <c r="AH53" s="799" cm="1">
        <f t="array" ref="AH53">[1]!Input_Agency_Unit1_2</f>
        <v>1209750</v>
      </c>
      <c r="AV53" s="1267" t="s">
        <v>1765</v>
      </c>
      <c r="AW53" s="1238" t="s">
        <v>1766</v>
      </c>
      <c r="AX53" s="1239" t="str">
        <f t="shared" ref="AX53" si="31">"PH_"&amp;RIGHT("000"&amp;TRUNC(Lookup_NoteRate),3)&amp;TEXT(Lookup_NoteRate-TRUNC(Lookup_NoteRate),".0000000000")</f>
        <v>PH_012.1250000000</v>
      </c>
      <c r="AY53" s="1240">
        <f>[1]!PH_R08</f>
        <v>12.125</v>
      </c>
      <c r="AZ53" s="1240"/>
      <c r="BA53" s="1240" t="e">
        <f>[1]!PH_FRM30_P08+Input_PL_Incentive_PH</f>
        <v>#N/A</v>
      </c>
      <c r="BB53" s="1239" t="e">
        <f t="shared" ref="BB53" si="32">IF(INDEX(List_AmortTermAll,MATCH(Input_AmortTerm,List_AmortTerm,0),3)=1,AZ53,IF(INDEX(List_AmortTermAll,MATCH(Input_AmortTerm,List_AmortTerm,0),3)=2,BA53,#N/A))</f>
        <v>#N/A</v>
      </c>
      <c r="BC53" s="1239" t="e">
        <f t="shared" ref="BC53" si="33">"PH_"&amp;RIGHT("000"&amp;TRUNC(Lookup_PriceText),3)&amp;TEXT(Lookup_PriceText-TRUNC(Lookup_PriceText),".0000000000")</f>
        <v>#N/A</v>
      </c>
      <c r="BD53" s="1239" cm="1">
        <f t="array" ref="BD53">[1]!PH_FRM30_M08</f>
        <v>4.625</v>
      </c>
      <c r="BE53" s="1268" t="s">
        <v>1850</v>
      </c>
      <c r="BG53" s="595" t="s">
        <v>410</v>
      </c>
      <c r="BH53" s="596" t="str">
        <f>INDEX([1]!List_StateInputAll,MATCH(BG53,[1]!List_StateInput,0),2)</f>
        <v>Non-CA</v>
      </c>
      <c r="BI53" s="597" t="str">
        <f>INDEX([1]!List_StateInputAll,MATCH(BG53,[1]!List_StateInput,0),3)</f>
        <v>Y</v>
      </c>
      <c r="BJ53" s="597" t="str">
        <f>INDEX([1]!List_StateInputAll,MATCH(BG53,[1]!List_StateInput,0),4)</f>
        <v>Y</v>
      </c>
      <c r="BK53" s="597" t="str">
        <f>INDEX([1]!List_StateInputAll,MATCH(BG53,[1]!List_StateInput,0),5)</f>
        <v xml:space="preserve"> </v>
      </c>
      <c r="BL53" s="597" t="str">
        <f>INDEX([1]!List_StateInputAll,MATCH(BG53,[1]!List_StateInput,0),6)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53" s="597" t="str">
        <f>INDEX([1]!List_StateInputAll,MATCH(BG53,[1]!List_StateInput,0),7)</f>
        <v>Prepay Restriction May Apply: No PPP permitted on ARMS</v>
      </c>
      <c r="BN53" s="597" t="str">
        <f>INDEX([1]!List_StateInputAll,MATCH(BG53,[1]!List_StateInput,0),8)</f>
        <v>Wisconsin</v>
      </c>
      <c r="BO53" s="597" t="str">
        <f>INDEX([1]!List_StateInputAll,MATCH(BG53,[1]!List_StateInput,0),9)</f>
        <v>Y</v>
      </c>
      <c r="BP53" s="598" t="str">
        <f>INDEX([1]!List_StateInputAll,MATCH(BG53,[1]!List_StateInput,0),10)</f>
        <v>Y</v>
      </c>
      <c r="BQ53" s="597" t="str">
        <f>INDEX([1]!List_StateInputAll,MATCH(BG53,[1]!List_StateInput,0),11)</f>
        <v>N</v>
      </c>
      <c r="BR53" s="599" t="str">
        <f>INDEX([1]!List_StateInputAll,MATCH(BG53,[1]!List_StateInput,0),12)</f>
        <v>Y</v>
      </c>
      <c r="BS53" s="598" t="str">
        <f>INDEX([1]!List_StateInputAll,MATCH(BG53,[1]!List_StateInput,0),13)</f>
        <v xml:space="preserve"> </v>
      </c>
      <c r="BT53" s="578" t="str">
        <f>IF(OR(Input_Ratesheet_Source="Corr1",Input_Ratesheet_Source="Corr2",Input_Ratesheet_Source="Corr3",Input_Ratesheet_Source="CorrND"),BI53,IF(Input_Ratesheet_Source="Whol",IF(Input_Occupancy="Non Owner Occupied",BP53,BO53),IF(Input_Ratesheet_Source="Retl",IF(Input_Occupancy="Non Owner Occupied",IF(IF(IFERROR(FIND(Input_ProductClass,Structure!BS53),0)&gt;=1,"N","Y")="N","N",BR53),BQ53),"")))</f>
        <v>Y</v>
      </c>
      <c r="BU53" s="598" t="str">
        <f>INDEX([1]!List_StateInputAll,MATCH(BG53,[1]!List_StateInput,0),14)</f>
        <v>Wet</v>
      </c>
      <c r="BV53" s="598">
        <f>INDEX([1]!List_StateInputAll,MATCH(BG53,[1]!List_StateInput,0),15)</f>
        <v>1</v>
      </c>
      <c r="BW53" s="596" t="str">
        <f>INDEX([1]!List_StateInputAll,MATCH(BG53,[1]!List_StateInput,0),16)</f>
        <v>APOR</v>
      </c>
      <c r="BX53" s="600">
        <f>INDEX([1]!List_StateInputAll,MATCH(BG53,[1]!List_StateInput,0),17)</f>
        <v>6.5</v>
      </c>
      <c r="BY53" s="600">
        <f>INDEX([1]!List_StateInputAll,MATCH(BG53,[1]!List_StateInput,0),18)</f>
        <v>8.5</v>
      </c>
      <c r="BZ53" s="600">
        <f>INDEX([1]!List_StateInputAll,MATCH(BG53,[1]!List_StateInput,0),19)</f>
        <v>6</v>
      </c>
      <c r="CA53" s="597">
        <f>INDEX([1]!List_StateInputAll,MATCH(BG53,[1]!List_StateInput,0),20)</f>
        <v>0</v>
      </c>
      <c r="CB53" s="597" t="str">
        <f>INDEX([1]!List_StateInputAll,MATCH(BG53,[1]!List_StateInput,0),21)</f>
        <v>Owner Occupied</v>
      </c>
      <c r="CC53" s="597" t="str">
        <f>INDEX([1]!List_StateInputAll,MATCH(BG53,[1]!List_StateInput,0),22)</f>
        <v>Purchase, Rate-Term, Cash-Out</v>
      </c>
      <c r="CD53" s="598">
        <f>INDEX([1]!List_StateInputAll,MATCH(BG53,[1]!List_StateInput,0),23)</f>
        <v>0</v>
      </c>
      <c r="CE53" s="598" t="str">
        <f>INDEX([1]!List_StateInputAll,MATCH(BG53,[1]!List_StateInput,0),24)</f>
        <v>Y</v>
      </c>
    </row>
    <row r="54" spans="3:83" ht="9.6" customHeight="1" x14ac:dyDescent="0.2">
      <c r="C54" s="820"/>
      <c r="D54" s="1040" t="str">
        <f>IFERROR(INDEX(Lookup_NoteRateAll,MATCH(INDEX(List_ProductAll,MATCH(Input_Product,List_Product,0),2)&amp;"_03",Lookup_NoteRateStack,0),1),"na")</f>
        <v>PT_012.8750000000</v>
      </c>
      <c r="E54" s="1040">
        <f>IFERROR(INDEX(Lookup_NoteRateAll,MATCH(INDEX(List_ProductAll,MATCH(Input_Product,List_Product,0),2)&amp;"_03",Lookup_NoteRateStack,0),2),"na")</f>
        <v>12.875</v>
      </c>
      <c r="F54" s="1040">
        <f>IFERROR(INDEX(Lookup_NoteRateAll,MATCH(INDEX(List_ProductAll,MATCH(Input_Product,List_Product,0),2)&amp;"_03",Lookup_NoteRateStack,0),5),"na")</f>
        <v>112.125</v>
      </c>
      <c r="G54" s="1040">
        <f t="shared" si="26"/>
        <v>-0.125</v>
      </c>
      <c r="H54" s="1040">
        <f t="shared" si="27"/>
        <v>101</v>
      </c>
      <c r="I54" s="1040">
        <f>IFERROR(INDEX(Lookup_NoteRateAll,MATCH(INDEX(List_ProductAll,MATCH(Input_Product,List_Product,0),2)&amp;"_03",Lookup_NoteRateStack,0),7),"na")</f>
        <v>0</v>
      </c>
      <c r="J54" s="1078" t="str">
        <f>INDEX(Lookup_Price_Output_All,MATCH(Input_NoteRate_Calc,Lookup_Price_Output_Code,-1),1)</f>
        <v>PT_010.0000000000</v>
      </c>
      <c r="K54" s="1159" t="s">
        <v>76</v>
      </c>
      <c r="L54" s="514" t="s">
        <v>76</v>
      </c>
      <c r="M54" s="1051" t="str">
        <f>IF(OR(Input_ProductClass="Second",Input_ProductClass="AgencyCompanionSecond",Input_ProductClass="HELOC",Input_ProductClass="Closed End 2nd TD"),"","40yr Fixed")</f>
        <v>40yr Fixed</v>
      </c>
      <c r="N54" s="2019" t="str">
        <f>IF(OR(Input_ProductClass = "NonQM", Input_ProductClass = "Portfolio 1st TD", Lookup_ProductClass="Core Flex",Lookup_ProductClass="Core Prime",Lookup_ProductClass="Core CashFlow"),"Full Amortization, Interest-Only","Interest-Only")</f>
        <v>Interest-Only</v>
      </c>
      <c r="O54" s="747">
        <v>2</v>
      </c>
      <c r="P54" s="747" t="s">
        <v>170</v>
      </c>
      <c r="Q54" s="748">
        <v>480</v>
      </c>
      <c r="R54" s="748">
        <v>480</v>
      </c>
      <c r="S54" s="748">
        <v>480</v>
      </c>
      <c r="T54" s="748"/>
      <c r="U54" s="590">
        <f>IF(M54="","",MAX(U$49:U53)+1)</f>
        <v>2</v>
      </c>
      <c r="V54" s="591" t="str">
        <f t="shared" si="19"/>
        <v>5/6 40yr ARM SOFR</v>
      </c>
      <c r="W54" s="514" t="s">
        <v>76</v>
      </c>
      <c r="X54" s="676" t="s">
        <v>1424</v>
      </c>
      <c r="Y54" s="676" t="s">
        <v>82</v>
      </c>
      <c r="Z54" s="677">
        <f>-Input_PL_IncentiveMaxAdj_LenderPaidComp+Input_PL_MaxPriceBase_PR_NoPP+Input_PL_Incentive_PR+Input_PL_IncentiveMaxAdj_PR</f>
        <v>101</v>
      </c>
      <c r="AA54" s="678" cm="1">
        <f t="array" ref="AA54">[1]!Input_MaxPriceNet_PR_NoPP</f>
        <v>104.5</v>
      </c>
      <c r="AB54" s="1788"/>
      <c r="AC54" s="1457" t="s">
        <v>35</v>
      </c>
      <c r="AD54" s="1458" t="str">
        <f>AC54</f>
        <v>Rate-Term</v>
      </c>
      <c r="AF54" s="800">
        <v>2</v>
      </c>
      <c r="AG54" s="801" cm="1">
        <f t="array" ref="AG54">[1]!Input_Agency_Unit2_1</f>
        <v>1032650</v>
      </c>
      <c r="AH54" s="802" cm="1">
        <f t="array" ref="AH54">[1]!Input_Agency_Unit2_2</f>
        <v>1548975</v>
      </c>
      <c r="AV54" s="1267" t="s">
        <v>1765</v>
      </c>
      <c r="AW54" s="1238" t="s">
        <v>1766</v>
      </c>
      <c r="AX54" s="1239" t="str">
        <f t="shared" ref="AX54" si="34">"PH_"&amp;RIGHT("000"&amp;TRUNC(Lookup_NoteRate),3)&amp;TEXT(Lookup_NoteRate-TRUNC(Lookup_NoteRate),".0000000000")</f>
        <v>PH_012.0000000000</v>
      </c>
      <c r="AY54" s="1240">
        <f>[1]!PH_R09</f>
        <v>12</v>
      </c>
      <c r="AZ54" s="1240"/>
      <c r="BA54" s="1240" t="e">
        <f>[1]!PH_FRM30_P09+Input_PL_Incentive_PH</f>
        <v>#N/A</v>
      </c>
      <c r="BB54" s="1239" t="e">
        <f t="shared" ref="BB54" si="35">IF(INDEX(List_AmortTermAll,MATCH(Input_AmortTerm,List_AmortTerm,0),3)=1,AZ54,IF(INDEX(List_AmortTermAll,MATCH(Input_AmortTerm,List_AmortTerm,0),3)=2,BA54,#N/A))</f>
        <v>#N/A</v>
      </c>
      <c r="BC54" s="1239" t="e">
        <f t="shared" ref="BC54" si="36">"PH_"&amp;RIGHT("000"&amp;TRUNC(Lookup_PriceText),3)&amp;TEXT(Lookup_PriceText-TRUNC(Lookup_PriceText),".0000000000")</f>
        <v>#N/A</v>
      </c>
      <c r="BD54" s="1239" cm="1">
        <f t="array" ref="BD54">[1]!PH_FRM30_M09</f>
        <v>4.5</v>
      </c>
      <c r="BE54" s="1268" t="s">
        <v>1851</v>
      </c>
      <c r="BG54" s="595" t="s">
        <v>411</v>
      </c>
      <c r="BH54" s="596" t="str">
        <f>INDEX([1]!List_StateInputAll,MATCH(BG54,[1]!List_StateInput,0),2)</f>
        <v>Non-CA</v>
      </c>
      <c r="BI54" s="597" t="str">
        <f>INDEX([1]!List_StateInputAll,MATCH(BG54,[1]!List_StateInput,0),3)</f>
        <v>Y</v>
      </c>
      <c r="BJ54" s="597" t="str">
        <f>INDEX([1]!List_StateInputAll,MATCH(BG54,[1]!List_StateInput,0),4)</f>
        <v>Y</v>
      </c>
      <c r="BK54" s="597" t="str">
        <f>INDEX([1]!List_StateInputAll,MATCH(BG54,[1]!List_StateInput,0),5)</f>
        <v xml:space="preserve"> </v>
      </c>
      <c r="BL54" s="597" t="str">
        <f>INDEX([1]!List_StateInputAll,MATCH(BG54,[1]!List_StateInput,0),6)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54" s="597" t="str">
        <f>INDEX([1]!List_StateInputAll,MATCH(BG54,[1]!List_StateInput,0),7)</f>
        <v xml:space="preserve"> </v>
      </c>
      <c r="BN54" s="597" t="str">
        <f>INDEX([1]!List_StateInputAll,MATCH(BG54,[1]!List_StateInput,0),8)</f>
        <v>WestVirginia</v>
      </c>
      <c r="BO54" s="597" t="str">
        <f>INDEX([1]!List_StateInputAll,MATCH(BG54,[1]!List_StateInput,0),9)</f>
        <v>Y</v>
      </c>
      <c r="BP54" s="598" t="str">
        <f>INDEX([1]!List_StateInputAll,MATCH(BG54,[1]!List_StateInput,0),10)</f>
        <v>Y</v>
      </c>
      <c r="BQ54" s="597" t="str">
        <f>INDEX([1]!List_StateInputAll,MATCH(BG54,[1]!List_StateInput,0),11)</f>
        <v>N</v>
      </c>
      <c r="BR54" s="599" t="str">
        <f>INDEX([1]!List_StateInputAll,MATCH(BG54,[1]!List_StateInput,0),12)</f>
        <v>Y</v>
      </c>
      <c r="BS54" s="598" t="str">
        <f>INDEX([1]!List_StateInputAll,MATCH(BG54,[1]!List_StateInput,0),13)</f>
        <v xml:space="preserve"> </v>
      </c>
      <c r="BT54" s="578" t="str">
        <f>IF(OR(Input_Ratesheet_Source="Corr1",Input_Ratesheet_Source="Corr2",Input_Ratesheet_Source="Corr3",Input_Ratesheet_Source="CorrND"),BI54,IF(Input_Ratesheet_Source="Whol",IF(Input_Occupancy="Non Owner Occupied",BP54,BO54),IF(Input_Ratesheet_Source="Retl",IF(Input_Occupancy="Non Owner Occupied",IF(IF(IFERROR(FIND(Input_ProductClass,Structure!BS54),0)&gt;=1,"N","Y")="N","N",BR54),BQ54),"")))</f>
        <v>Y</v>
      </c>
      <c r="BU54" s="598" t="str">
        <f>INDEX([1]!List_StateInputAll,MATCH(BG54,[1]!List_StateInput,0),14)</f>
        <v>Wet</v>
      </c>
      <c r="BV54" s="598">
        <f>INDEX([1]!List_StateInputAll,MATCH(BG54,[1]!List_StateInput,0),15)</f>
        <v>1</v>
      </c>
      <c r="BW54" s="596" t="str">
        <f>INDEX([1]!List_StateInputAll,MATCH(BG54,[1]!List_StateInput,0),16)</f>
        <v>APOR</v>
      </c>
      <c r="BX54" s="600">
        <f>INDEX([1]!List_StateInputAll,MATCH(BG54,[1]!List_StateInput,0),17)</f>
        <v>6.5</v>
      </c>
      <c r="BY54" s="600">
        <f>INDEX([1]!List_StateInputAll,MATCH(BG54,[1]!List_StateInput,0),18)</f>
        <v>8.5</v>
      </c>
      <c r="BZ54" s="600">
        <f>INDEX([1]!List_StateInputAll,MATCH(BG54,[1]!List_StateInput,0),19)</f>
        <v>5</v>
      </c>
      <c r="CA54" s="597">
        <f>INDEX([1]!List_StateInputAll,MATCH(BG54,[1]!List_StateInput,0),20)</f>
        <v>0</v>
      </c>
      <c r="CB54" s="597" t="str">
        <f>INDEX([1]!List_StateInputAll,MATCH(BG54,[1]!List_StateInput,0),21)</f>
        <v>Owner Occupied</v>
      </c>
      <c r="CC54" s="597" t="str">
        <f>INDEX([1]!List_StateInputAll,MATCH(BG54,[1]!List_StateInput,0),22)</f>
        <v>Purchase, Rate-Term, Cash-Out</v>
      </c>
      <c r="CD54" s="598">
        <f>INDEX([1]!List_StateInputAll,MATCH(BG54,[1]!List_StateInput,0),23)</f>
        <v>0</v>
      </c>
      <c r="CE54" s="598" t="str">
        <f>INDEX([1]!List_StateInputAll,MATCH(BG54,[1]!List_StateInput,0),24)</f>
        <v>Y</v>
      </c>
    </row>
    <row r="55" spans="3:83" ht="9.6" customHeight="1" x14ac:dyDescent="0.2">
      <c r="C55" s="820"/>
      <c r="D55" s="1040" t="str">
        <f>IFERROR(INDEX(Lookup_NoteRateAll,MATCH(INDEX(List_ProductAll,MATCH(Input_Product,List_Product,0),2)&amp;"_04",Lookup_NoteRateStack,0),1),"na")</f>
        <v>PT_012.7500000000</v>
      </c>
      <c r="E55" s="1040">
        <f>IFERROR(INDEX(Lookup_NoteRateAll,MATCH(INDEX(List_ProductAll,MATCH(Input_Product,List_Product,0),2)&amp;"_04",Lookup_NoteRateStack,0),2),"na")</f>
        <v>12.75</v>
      </c>
      <c r="F55" s="1040">
        <f>IFERROR(INDEX(Lookup_NoteRateAll,MATCH(INDEX(List_ProductAll,MATCH(Input_Product,List_Product,0),2)&amp;"_04",Lookup_NoteRateStack,0),5),"na")</f>
        <v>112</v>
      </c>
      <c r="G55" s="1040">
        <f t="shared" si="26"/>
        <v>-0.125</v>
      </c>
      <c r="H55" s="1040">
        <f t="shared" si="27"/>
        <v>101</v>
      </c>
      <c r="I55" s="1040">
        <f>IFERROR(INDEX(Lookup_NoteRateAll,MATCH(INDEX(List_ProductAll,MATCH(Input_Product,List_Product,0),2)&amp;"_04",Lookup_NoteRateStack,0),7),"na")</f>
        <v>0</v>
      </c>
      <c r="J55" s="1079" t="str" cm="1">
        <f t="array" ref="J55">INDEX(Lookup_Price_Output_All,MATCH(Input_NoteRate_Calc,Lookup_Price_Output_Code,-1)+1,1)</f>
        <v>PT_009.8750000000</v>
      </c>
      <c r="K55" s="1159" t="s">
        <v>76</v>
      </c>
      <c r="L55" s="514" t="s">
        <v>76</v>
      </c>
      <c r="M55" s="731" t="str">
        <f>IF(OR(Input_ProductClass="HELOC",Input_RateSheet_Type&lt;&gt;"Standard"),"3yrDraw 20yr ARM PRIME","")</f>
        <v/>
      </c>
      <c r="N55" s="732" t="s">
        <v>4</v>
      </c>
      <c r="O55" s="733">
        <v>2</v>
      </c>
      <c r="P55" s="734" t="s">
        <v>1794</v>
      </c>
      <c r="Q55" s="735">
        <v>240</v>
      </c>
      <c r="R55" s="735">
        <v>240</v>
      </c>
      <c r="S55" s="735">
        <v>12</v>
      </c>
      <c r="T55" s="735"/>
      <c r="U55" s="590" t="str">
        <f>IF(M55="","",MAX(U$49:U54)+1)</f>
        <v/>
      </c>
      <c r="V55" s="591" t="str">
        <f t="shared" si="19"/>
        <v>7/6 40yr ARM SOFR</v>
      </c>
      <c r="W55" s="514" t="s">
        <v>76</v>
      </c>
      <c r="X55" s="1197" t="s">
        <v>1517</v>
      </c>
      <c r="Y55" s="1197" t="s">
        <v>82</v>
      </c>
      <c r="Z55" s="560">
        <f>-Input_PL_IncentiveMaxAdj_LenderPaidComp+Input_PL_MaxPriceBase_IR_NoPP+Input_PL_Incentive_IR+Input_PL_IncentiveMaxAdj_IR</f>
        <v>101</v>
      </c>
      <c r="AA55" s="561" cm="1">
        <f t="array" ref="AA55">[1]!Input_MaxPriceNet_IR_NoPP</f>
        <v>104</v>
      </c>
      <c r="AB55" s="1788"/>
      <c r="AC55" s="1459" t="s">
        <v>16</v>
      </c>
      <c r="AD55" s="1460" t="str">
        <f>AC55&amp;IF(AND(Input_ProductClass="Edge",Input_CreditScore&gt;=700),"_gte700",IF(AND(Input_ProductClass="Edge",Input_CreditScore&lt;700),"_lt700",""))&amp;IF(AND(OR(Input_ProductClass="Core CashFlow",Input_ProductClass="Core ForeignNat"),Input_DSCR&gt;=1),"_DSCRgte1",IF(AND(OR(Input_ProductClass="Core CashFlow",Input_ProductClass="Core ForeignNat"),Input_DSCR&lt;1),"_DSCRlt1",""))</f>
        <v>Cash-Out</v>
      </c>
      <c r="AF55" s="800">
        <v>3</v>
      </c>
      <c r="AG55" s="801" cm="1">
        <f t="array" ref="AG55">[1]!Input_Agency_Unit3_1</f>
        <v>1248150</v>
      </c>
      <c r="AH55" s="802" cm="1">
        <f t="array" ref="AH55">[1]!Input_Agency_Unit3_2</f>
        <v>1872225</v>
      </c>
      <c r="AQ55" s="793" t="s">
        <v>14</v>
      </c>
      <c r="AR55" s="794"/>
      <c r="AS55" s="701" t="s">
        <v>110</v>
      </c>
      <c r="AV55" s="1267" t="s">
        <v>1765</v>
      </c>
      <c r="AW55" s="1238" t="s">
        <v>1766</v>
      </c>
      <c r="AX55" s="1239" t="str">
        <f t="shared" ref="AX55" si="37">"PH_"&amp;RIGHT("000"&amp;TRUNC(Lookup_NoteRate),3)&amp;TEXT(Lookup_NoteRate-TRUNC(Lookup_NoteRate),".0000000000")</f>
        <v>PH_011.8750000000</v>
      </c>
      <c r="AY55" s="1240">
        <f>[1]!PH_R10</f>
        <v>11.875</v>
      </c>
      <c r="AZ55" s="1240"/>
      <c r="BA55" s="1240" t="e">
        <f>[1]!PH_FRM30_P10+Input_PL_Incentive_PH</f>
        <v>#N/A</v>
      </c>
      <c r="BB55" s="1239" t="e">
        <f t="shared" ref="BB55" si="38">IF(INDEX(List_AmortTermAll,MATCH(Input_AmortTerm,List_AmortTerm,0),3)=1,AZ55,IF(INDEX(List_AmortTermAll,MATCH(Input_AmortTerm,List_AmortTerm,0),3)=2,BA55,#N/A))</f>
        <v>#N/A</v>
      </c>
      <c r="BC55" s="1239" t="e">
        <f t="shared" ref="BC55" si="39">"PH_"&amp;RIGHT("000"&amp;TRUNC(Lookup_PriceText),3)&amp;TEXT(Lookup_PriceText-TRUNC(Lookup_PriceText),".0000000000")</f>
        <v>#N/A</v>
      </c>
      <c r="BD55" s="1239" cm="1">
        <f t="array" ref="BD55">[1]!PH_FRM30_M10</f>
        <v>4.375</v>
      </c>
      <c r="BE55" s="1268" t="s">
        <v>1852</v>
      </c>
      <c r="BG55" s="789" t="s">
        <v>412</v>
      </c>
      <c r="BH55" s="803" t="str">
        <f>INDEX([1]!List_StateInputAll,MATCH(BG55,[1]!List_StateInput,0),2)</f>
        <v>Non-CA</v>
      </c>
      <c r="BI55" s="804" t="str">
        <f>INDEX([1]!List_StateInputAll,MATCH(BG55,[1]!List_StateInput,0),3)</f>
        <v>Y</v>
      </c>
      <c r="BJ55" s="804" t="str">
        <f>INDEX([1]!List_StateInputAll,MATCH(BG55,[1]!List_StateInput,0),4)</f>
        <v>Y</v>
      </c>
      <c r="BK55" s="804" t="str">
        <f>INDEX([1]!List_StateInputAll,MATCH(BG55,[1]!List_StateInput,0),5)</f>
        <v xml:space="preserve"> </v>
      </c>
      <c r="BL55" s="804" t="str">
        <f>INDEX([1]!List_StateInputAll,MATCH(BG55,[1]!List_StateInput,0),6)</f>
        <v>No Prepay, 1yr Prepay_Standard, 2yr Prepay_Standard, 3yr Prepay_Standard, 4yr Prepay_Standard, 5yr Prepay_Standard, 1yr Prepay_5Pct, 2yr Prepay_5Pct, 3yr Prepay_5Pct, 4yr Prepay_5Pct, 5yr Prepay_5Pct, 1yr Prepay_1, 2yr Prepay_21, 3yr Prepay_321, 4yr Prepay_4321, 5yr Prepay_54321, 1yr Prepay_Soft, 2yr Prepay_Soft, 3yr Prepay_Soft, 4yr Prepay_Soft, 5yr Prepay_Soft</v>
      </c>
      <c r="BM55" s="804" t="str">
        <f>INDEX([1]!List_StateInputAll,MATCH(BG55,[1]!List_StateInput,0),7)</f>
        <v xml:space="preserve"> </v>
      </c>
      <c r="BN55" s="804" t="str">
        <f>INDEX([1]!List_StateInputAll,MATCH(BG55,[1]!List_StateInput,0),8)</f>
        <v>Wyoming</v>
      </c>
      <c r="BO55" s="804" t="str">
        <f>INDEX([1]!List_StateInputAll,MATCH(BG55,[1]!List_StateInput,0),9)</f>
        <v>Y</v>
      </c>
      <c r="BP55" s="805" t="str">
        <f>INDEX([1]!List_StateInputAll,MATCH(BG55,[1]!List_StateInput,0),10)</f>
        <v>Y</v>
      </c>
      <c r="BQ55" s="804" t="str">
        <f>INDEX([1]!List_StateInputAll,MATCH(BG55,[1]!List_StateInput,0),11)</f>
        <v>N</v>
      </c>
      <c r="BR55" s="806" t="str">
        <f>INDEX([1]!List_StateInputAll,MATCH(BG55,[1]!List_StateInput,0),12)</f>
        <v>Y</v>
      </c>
      <c r="BS55" s="805" t="str">
        <f>INDEX([1]!List_StateInputAll,MATCH(BG55,[1]!List_StateInput,0),13)</f>
        <v xml:space="preserve"> </v>
      </c>
      <c r="BT55" s="578" t="str">
        <f>IF(OR(Input_Ratesheet_Source="Corr1",Input_Ratesheet_Source="Corr2",Input_Ratesheet_Source="Corr3",Input_Ratesheet_Source="CorrND"),BI55,IF(Input_Ratesheet_Source="Whol",IF(Input_Occupancy="Non Owner Occupied",BP55,BO55),IF(Input_Ratesheet_Source="Retl",IF(Input_Occupancy="Non Owner Occupied",IF(IF(IFERROR(FIND(Input_ProductClass,Structure!BS55),0)&gt;=1,"N","Y")="N","N",BR55),BQ55),"")))</f>
        <v>Y</v>
      </c>
      <c r="BU55" s="805" t="str">
        <f>INDEX([1]!List_StateInputAll,MATCH(BG55,[1]!List_StateInput,0),14)</f>
        <v>Dry</v>
      </c>
      <c r="BV55" s="805">
        <f>INDEX([1]!List_StateInputAll,MATCH(BG55,[1]!List_StateInput,0),15)</f>
        <v>1</v>
      </c>
      <c r="BW55" s="596" t="str">
        <f>INDEX([1]!List_StateInputAll,MATCH(BG55,[1]!List_StateInput,0),16)</f>
        <v>APOR</v>
      </c>
      <c r="BX55" s="600">
        <f>INDEX([1]!List_StateInputAll,MATCH(BG55,[1]!List_StateInput,0),17)</f>
        <v>6.5</v>
      </c>
      <c r="BY55" s="600">
        <f>INDEX([1]!List_StateInputAll,MATCH(BG55,[1]!List_StateInput,0),18)</f>
        <v>8.5</v>
      </c>
      <c r="BZ55" s="600">
        <f>INDEX([1]!List_StateInputAll,MATCH(BG55,[1]!List_StateInput,0),19)</f>
        <v>5</v>
      </c>
      <c r="CA55" s="597">
        <f>INDEX([1]!List_StateInputAll,MATCH(BG55,[1]!List_StateInput,0),20)</f>
        <v>0</v>
      </c>
      <c r="CB55" s="597" t="str">
        <f>INDEX([1]!List_StateInputAll,MATCH(BG55,[1]!List_StateInput,0),21)</f>
        <v>Owner Occupied</v>
      </c>
      <c r="CC55" s="597" t="str">
        <f>INDEX([1]!List_StateInputAll,MATCH(BG55,[1]!List_StateInput,0),22)</f>
        <v>Purchase, Rate-Term, Cash-Out</v>
      </c>
      <c r="CD55" s="598">
        <f>INDEX([1]!List_StateInputAll,MATCH(BG55,[1]!List_StateInput,0),23)</f>
        <v>0</v>
      </c>
      <c r="CE55" s="598" t="str">
        <f>INDEX([1]!List_StateInputAll,MATCH(BG55,[1]!List_StateInput,0),24)</f>
        <v>Y</v>
      </c>
    </row>
    <row r="56" spans="3:83" ht="9.6" customHeight="1" x14ac:dyDescent="0.2">
      <c r="C56" s="820"/>
      <c r="D56" s="1040" t="str">
        <f>IFERROR(INDEX(Lookup_NoteRateAll,MATCH(INDEX(List_ProductAll,MATCH(Input_Product,List_Product,0),2)&amp;"_05",Lookup_NoteRateStack,0),1),"na")</f>
        <v>PT_012.6250000000</v>
      </c>
      <c r="E56" s="1040">
        <f>IFERROR(INDEX(Lookup_NoteRateAll,MATCH(INDEX(List_ProductAll,MATCH(Input_Product,List_Product,0),2)&amp;"_05",Lookup_NoteRateStack,0),2),"na")</f>
        <v>12.625</v>
      </c>
      <c r="F56" s="1040">
        <f>IFERROR(INDEX(Lookup_NoteRateAll,MATCH(INDEX(List_ProductAll,MATCH(Input_Product,List_Product,0),2)&amp;"_05",Lookup_NoteRateStack,0),5),"na")</f>
        <v>111.875</v>
      </c>
      <c r="G56" s="1040">
        <f t="shared" si="26"/>
        <v>-0.125</v>
      </c>
      <c r="H56" s="1040">
        <f t="shared" si="27"/>
        <v>101</v>
      </c>
      <c r="I56" s="1040">
        <f>IFERROR(INDEX(Lookup_NoteRateAll,MATCH(INDEX(List_ProductAll,MATCH(Input_Product,List_Product,0),2)&amp;"_05",Lookup_NoteRateStack,0),7),"na")</f>
        <v>0</v>
      </c>
      <c r="J56" s="1158"/>
      <c r="K56" s="1159"/>
      <c r="L56" s="514" t="s">
        <v>76</v>
      </c>
      <c r="M56" s="738" t="str">
        <f>IF(OR(Input_ProductClass="HELOC",Input_RateSheet_Type&lt;&gt;"Standard"),"5yrDraw 20yr ARM PRIME","")</f>
        <v/>
      </c>
      <c r="N56" s="739" t="s">
        <v>4</v>
      </c>
      <c r="O56" s="740">
        <v>2</v>
      </c>
      <c r="P56" s="741" t="s">
        <v>1795</v>
      </c>
      <c r="Q56" s="742">
        <v>240</v>
      </c>
      <c r="R56" s="742">
        <v>240</v>
      </c>
      <c r="S56" s="742">
        <v>12</v>
      </c>
      <c r="T56" s="742"/>
      <c r="U56" s="590" t="str">
        <f>IF(M56="","",MAX(U$49:U55)+1)</f>
        <v/>
      </c>
      <c r="V56" s="591" t="str">
        <f t="shared" si="19"/>
        <v/>
      </c>
      <c r="W56" s="514" t="s">
        <v>76</v>
      </c>
      <c r="X56" s="1198" t="s">
        <v>2639</v>
      </c>
      <c r="Y56" s="1198" t="s">
        <v>68</v>
      </c>
      <c r="Z56" s="586">
        <f>-Input_PL_IncentiveMaxAdj_LenderPaidComp+Input_PL_MaxPriceBase_IR_01PP+Input_PL_Incentive_IR+Input_PL_IncentiveMaxAdj_IR</f>
        <v>101</v>
      </c>
      <c r="AA56" s="587" cm="1">
        <f t="array" ref="AA56">[1]!Input_MaxPriceNet_IR_01PP</f>
        <v>104</v>
      </c>
      <c r="AB56" s="1788"/>
      <c r="AF56" s="800">
        <v>4</v>
      </c>
      <c r="AG56" s="801" cm="1">
        <f t="array" ref="AG56">[1]!Input_Agency_Unit4_1</f>
        <v>1551250</v>
      </c>
      <c r="AH56" s="802" cm="1">
        <f t="array" ref="AH56">[1]!Input_Agency_Unit4_2</f>
        <v>2326875</v>
      </c>
      <c r="AQ56" s="813">
        <v>55.000999999999998</v>
      </c>
      <c r="AR56" s="814" t="s">
        <v>224</v>
      </c>
      <c r="AS56" s="796" t="s">
        <v>107</v>
      </c>
      <c r="AV56" s="1267" t="s">
        <v>1765</v>
      </c>
      <c r="AW56" s="1238" t="s">
        <v>1766</v>
      </c>
      <c r="AX56" s="1239" t="str">
        <f t="shared" ref="AX56" si="40">"PH_"&amp;RIGHT("000"&amp;TRUNC(Lookup_NoteRate),3)&amp;TEXT(Lookup_NoteRate-TRUNC(Lookup_NoteRate),".0000000000")</f>
        <v>PH_011.7500000000</v>
      </c>
      <c r="AY56" s="1240">
        <f>[1]!PH_R11</f>
        <v>11.75</v>
      </c>
      <c r="AZ56" s="1240"/>
      <c r="BA56" s="1240" t="e">
        <f>[1]!PH_FRM30_P11+Input_PL_Incentive_PH</f>
        <v>#N/A</v>
      </c>
      <c r="BB56" s="1239" t="e">
        <f t="shared" ref="BB56" si="41">IF(INDEX(List_AmortTermAll,MATCH(Input_AmortTerm,List_AmortTerm,0),3)=1,AZ56,IF(INDEX(List_AmortTermAll,MATCH(Input_AmortTerm,List_AmortTerm,0),3)=2,BA56,#N/A))</f>
        <v>#N/A</v>
      </c>
      <c r="BC56" s="1239" t="e">
        <f t="shared" ref="BC56" si="42">"PH_"&amp;RIGHT("000"&amp;TRUNC(Lookup_PriceText),3)&amp;TEXT(Lookup_PriceText-TRUNC(Lookup_PriceText),".0000000000")</f>
        <v>#N/A</v>
      </c>
      <c r="BD56" s="1239" cm="1">
        <f t="array" ref="BD56">[1]!PH_FRM30_M11</f>
        <v>4.25</v>
      </c>
      <c r="BE56" s="1268" t="s">
        <v>1853</v>
      </c>
      <c r="BG56" s="515"/>
      <c r="BH56" s="515"/>
    </row>
    <row r="57" spans="3:83" ht="9.6" customHeight="1" x14ac:dyDescent="0.2">
      <c r="C57" s="820"/>
      <c r="D57" s="1040" t="str">
        <f>IFERROR(INDEX(Lookup_NoteRateAll,MATCH(INDEX(List_ProductAll,MATCH(Input_Product,List_Product,0),2)&amp;"_06",Lookup_NoteRateStack,0),1),"na")</f>
        <v>PT_012.5000000000</v>
      </c>
      <c r="E57" s="1040">
        <f>IFERROR(INDEX(Lookup_NoteRateAll,MATCH(INDEX(List_ProductAll,MATCH(Input_Product,List_Product,0),2)&amp;"_06",Lookup_NoteRateStack,0),2),"na")</f>
        <v>12.5</v>
      </c>
      <c r="F57" s="1040">
        <f>IFERROR(INDEX(Lookup_NoteRateAll,MATCH(INDEX(List_ProductAll,MATCH(Input_Product,List_Product,0),2)&amp;"_06",Lookup_NoteRateStack,0),5),"na")</f>
        <v>111.625</v>
      </c>
      <c r="G57" s="1040">
        <f t="shared" si="26"/>
        <v>-0.125</v>
      </c>
      <c r="H57" s="1040">
        <f t="shared" si="27"/>
        <v>101</v>
      </c>
      <c r="I57" s="1040">
        <f>IFERROR(INDEX(Lookup_NoteRateAll,MATCH(INDEX(List_ProductAll,MATCH(Input_Product,List_Product,0),2)&amp;"_06",Lookup_NoteRateStack,0),7),"na")</f>
        <v>0</v>
      </c>
      <c r="J57" s="2016" t="s">
        <v>2034</v>
      </c>
      <c r="K57" s="1159"/>
      <c r="L57" s="514" t="s">
        <v>76</v>
      </c>
      <c r="M57" s="738" t="str">
        <f>IF(OR(Input_ProductClass="HELOC",Input_RateSheet_Type&lt;&gt;"Standard"),"3yrDraw 30yr ARM PRIME","")</f>
        <v/>
      </c>
      <c r="N57" s="739" t="s">
        <v>4</v>
      </c>
      <c r="O57" s="740">
        <v>2</v>
      </c>
      <c r="P57" s="741" t="s">
        <v>1796</v>
      </c>
      <c r="Q57" s="742">
        <v>360</v>
      </c>
      <c r="R57" s="742">
        <v>360</v>
      </c>
      <c r="S57" s="742">
        <v>12</v>
      </c>
      <c r="T57" s="742"/>
      <c r="U57" s="590" t="str">
        <f>IF(M57="","",MAX(U$49:U56)+1)</f>
        <v/>
      </c>
      <c r="V57" s="591" t="str">
        <f t="shared" si="19"/>
        <v/>
      </c>
      <c r="W57" s="514" t="s">
        <v>76</v>
      </c>
      <c r="X57" s="1199" t="s">
        <v>2640</v>
      </c>
      <c r="Y57" s="1199" t="s">
        <v>67</v>
      </c>
      <c r="Z57" s="602">
        <f>-Input_PL_IncentiveMaxAdj_LenderPaidComp+Input_PL_MaxPriceBase_IR_02PP+Input_PL_Incentive_IR+Input_PL_IncentiveMaxAdj_IR</f>
        <v>101</v>
      </c>
      <c r="AA57" s="603" cm="1">
        <f t="array" ref="AA57">[1]!Input_MaxPriceNet_IR_02PP</f>
        <v>104</v>
      </c>
      <c r="AB57" s="1788"/>
      <c r="AF57" s="800">
        <v>5</v>
      </c>
      <c r="AG57" s="801">
        <v>4000000</v>
      </c>
      <c r="AH57" s="802">
        <v>4000000</v>
      </c>
      <c r="AQ57" s="818">
        <v>55</v>
      </c>
      <c r="AR57" s="778" t="s">
        <v>15</v>
      </c>
      <c r="AS57" s="711" t="s">
        <v>107</v>
      </c>
      <c r="AV57" s="1267" t="s">
        <v>1765</v>
      </c>
      <c r="AW57" s="1238" t="s">
        <v>1766</v>
      </c>
      <c r="AX57" s="1239" t="str">
        <f t="shared" ref="AX57" si="43">"PH_"&amp;RIGHT("000"&amp;TRUNC(Lookup_NoteRate),3)&amp;TEXT(Lookup_NoteRate-TRUNC(Lookup_NoteRate),".0000000000")</f>
        <v>PH_011.6250000000</v>
      </c>
      <c r="AY57" s="1240">
        <f>[1]!PH_R12</f>
        <v>11.625</v>
      </c>
      <c r="AZ57" s="1240"/>
      <c r="BA57" s="1240" t="e">
        <f>[1]!PH_FRM30_P12+Input_PL_Incentive_PH</f>
        <v>#N/A</v>
      </c>
      <c r="BB57" s="1239" t="e">
        <f t="shared" ref="BB57" si="44">IF(INDEX(List_AmortTermAll,MATCH(Input_AmortTerm,List_AmortTerm,0),3)=1,AZ57,IF(INDEX(List_AmortTermAll,MATCH(Input_AmortTerm,List_AmortTerm,0),3)=2,BA57,#N/A))</f>
        <v>#N/A</v>
      </c>
      <c r="BC57" s="1239" t="e">
        <f t="shared" ref="BC57" si="45">"PH_"&amp;RIGHT("000"&amp;TRUNC(Lookup_PriceText),3)&amp;TEXT(Lookup_PriceText-TRUNC(Lookup_PriceText),".0000000000")</f>
        <v>#N/A</v>
      </c>
      <c r="BD57" s="1239" cm="1">
        <f t="array" ref="BD57">[1]!PH_FRM30_M12</f>
        <v>4.125</v>
      </c>
      <c r="BE57" s="1268" t="s">
        <v>1854</v>
      </c>
      <c r="BG57" s="515"/>
    </row>
    <row r="58" spans="3:83" ht="9.6" customHeight="1" x14ac:dyDescent="0.2">
      <c r="C58" s="820"/>
      <c r="D58" s="1040" t="str">
        <f>IFERROR(INDEX(Lookup_NoteRateAll,MATCH(INDEX(List_ProductAll,MATCH(Input_Product,List_Product,0),2)&amp;"_07",Lookup_NoteRateStack,0),1),"na")</f>
        <v>PT_012.3750000000</v>
      </c>
      <c r="E58" s="1040">
        <f>IFERROR(INDEX(Lookup_NoteRateAll,MATCH(INDEX(List_ProductAll,MATCH(Input_Product,List_Product,0),2)&amp;"_07",Lookup_NoteRateStack,0),2),"na")</f>
        <v>12.375</v>
      </c>
      <c r="F58" s="1040">
        <f>IFERROR(INDEX(Lookup_NoteRateAll,MATCH(INDEX(List_ProductAll,MATCH(Input_Product,List_Product,0),2)&amp;"_07",Lookup_NoteRateStack,0),5),"na")</f>
        <v>111.375</v>
      </c>
      <c r="G58" s="1040">
        <f t="shared" si="26"/>
        <v>-0.125</v>
      </c>
      <c r="H58" s="1040">
        <f t="shared" si="27"/>
        <v>101</v>
      </c>
      <c r="I58" s="1040">
        <f>IFERROR(INDEX(Lookup_NoteRateAll,MATCH(INDEX(List_ProductAll,MATCH(Input_Product,List_Product,0),2)&amp;"_07",Lookup_NoteRateStack,0),7),"na")</f>
        <v>0</v>
      </c>
      <c r="J58" s="1078" t="str">
        <f>Lookup_Price_Code_Lookup_01</f>
        <v>PT_010.0000000000</v>
      </c>
      <c r="K58" s="1159" t="s">
        <v>76</v>
      </c>
      <c r="L58" s="514" t="s">
        <v>76</v>
      </c>
      <c r="M58" s="1057" t="str">
        <f>IF(OR(Input_ProductClass="HELOC",Input_RateSheet_Type&lt;&gt;"Standard"),"5yrDraw 30yr ARM PRIME","")</f>
        <v/>
      </c>
      <c r="N58" s="783" t="s">
        <v>4</v>
      </c>
      <c r="O58" s="1058">
        <v>2</v>
      </c>
      <c r="P58" s="788" t="s">
        <v>1797</v>
      </c>
      <c r="Q58" s="718">
        <v>360</v>
      </c>
      <c r="R58" s="718">
        <v>360</v>
      </c>
      <c r="S58" s="718">
        <v>12</v>
      </c>
      <c r="T58" s="718"/>
      <c r="U58" s="590" t="str">
        <f>IF(M58="","",MAX(U$49:U57)+1)</f>
        <v/>
      </c>
      <c r="V58" s="591" t="str">
        <f t="shared" si="19"/>
        <v/>
      </c>
      <c r="W58" s="514" t="s">
        <v>76</v>
      </c>
      <c r="X58" s="1199" t="s">
        <v>2641</v>
      </c>
      <c r="Y58" s="1199" t="s">
        <v>66</v>
      </c>
      <c r="Z58" s="602">
        <f>-Input_PL_IncentiveMaxAdj_LenderPaidComp+Input_PL_MaxPriceBase_IR_03PP+Input_PL_Incentive_IR+Input_PL_IncentiveMaxAdj_IR</f>
        <v>101.5</v>
      </c>
      <c r="AA58" s="603" cm="1">
        <f t="array" ref="AA58">[1]!Input_MaxPriceNet_IR_03PP</f>
        <v>104.5</v>
      </c>
      <c r="AB58" s="515" t="s">
        <v>76</v>
      </c>
      <c r="AF58" s="800">
        <v>6</v>
      </c>
      <c r="AG58" s="801">
        <v>4000000</v>
      </c>
      <c r="AH58" s="802">
        <v>4000000</v>
      </c>
      <c r="AQ58" s="818">
        <v>50</v>
      </c>
      <c r="AR58" s="790" t="s">
        <v>1550</v>
      </c>
      <c r="AS58" s="711" t="s">
        <v>107</v>
      </c>
      <c r="AV58" s="1267" t="s">
        <v>1765</v>
      </c>
      <c r="AW58" s="1238" t="s">
        <v>1766</v>
      </c>
      <c r="AX58" s="1239" t="str">
        <f t="shared" ref="AX58" si="46">"PH_"&amp;RIGHT("000"&amp;TRUNC(Lookup_NoteRate),3)&amp;TEXT(Lookup_NoteRate-TRUNC(Lookup_NoteRate),".0000000000")</f>
        <v>PH_011.5000000000</v>
      </c>
      <c r="AY58" s="1240">
        <f>[1]!PH_R13</f>
        <v>11.5</v>
      </c>
      <c r="AZ58" s="1240"/>
      <c r="BA58" s="1240" t="e">
        <f>[1]!PH_FRM30_P13+Input_PL_Incentive_PH</f>
        <v>#N/A</v>
      </c>
      <c r="BB58" s="1239" t="e">
        <f t="shared" ref="BB58" si="47">IF(INDEX(List_AmortTermAll,MATCH(Input_AmortTerm,List_AmortTerm,0),3)=1,AZ58,IF(INDEX(List_AmortTermAll,MATCH(Input_AmortTerm,List_AmortTerm,0),3)=2,BA58,#N/A))</f>
        <v>#N/A</v>
      </c>
      <c r="BC58" s="1239" t="e">
        <f t="shared" ref="BC58" si="48">"PH_"&amp;RIGHT("000"&amp;TRUNC(Lookup_PriceText),3)&amp;TEXT(Lookup_PriceText-TRUNC(Lookup_PriceText),".0000000000")</f>
        <v>#N/A</v>
      </c>
      <c r="BD58" s="1239" cm="1">
        <f t="array" ref="BD58">[1]!PH_FRM30_M13</f>
        <v>4</v>
      </c>
      <c r="BE58" s="1268" t="s">
        <v>1855</v>
      </c>
    </row>
    <row r="59" spans="3:83" ht="9.6" customHeight="1" x14ac:dyDescent="0.2">
      <c r="C59" s="820"/>
      <c r="D59" s="1040" t="str">
        <f>IFERROR(INDEX(Lookup_NoteRateAll,MATCH(INDEX(List_ProductAll,MATCH(Input_Product,List_Product,0),2)&amp;"_08",Lookup_NoteRateStack,0),1),"na")</f>
        <v>PT_012.2500000000</v>
      </c>
      <c r="E59" s="1040">
        <f>IFERROR(INDEX(Lookup_NoteRateAll,MATCH(INDEX(List_ProductAll,MATCH(Input_Product,List_Product,0),2)&amp;"_08",Lookup_NoteRateStack,0),2),"na")</f>
        <v>12.25</v>
      </c>
      <c r="F59" s="1040">
        <f>IFERROR(INDEX(Lookup_NoteRateAll,MATCH(INDEX(List_ProductAll,MATCH(Input_Product,List_Product,0),2)&amp;"_08",Lookup_NoteRateStack,0),5),"na")</f>
        <v>111.125</v>
      </c>
      <c r="G59" s="1040">
        <f t="shared" si="26"/>
        <v>-0.125</v>
      </c>
      <c r="H59" s="1040">
        <f t="shared" si="27"/>
        <v>101</v>
      </c>
      <c r="I59" s="1040">
        <f>IFERROR(INDEX(Lookup_NoteRateAll,MATCH(INDEX(List_ProductAll,MATCH(Input_Product,List_Product,0),2)&amp;"_08",Lookup_NoteRateStack,0),7),"na")</f>
        <v>0</v>
      </c>
      <c r="J59" s="1079" t="str">
        <f>IF(Lookup_Price_Code_Lookup_02="na",Lookup_Price_Code_Lookup_01,Lookup_Price_Code_Lookup_02)</f>
        <v>PT_009.8750000000</v>
      </c>
      <c r="K59" s="1159" t="s">
        <v>76</v>
      </c>
      <c r="L59" s="514" t="s">
        <v>76</v>
      </c>
      <c r="M59" s="1052" t="str">
        <f>IF(OR(Input_ProductClass="Second",Input_ProductClass="Closed End 2nd TD"),"30/15yr Balloon","")</f>
        <v/>
      </c>
      <c r="N59" s="1053" t="s">
        <v>98</v>
      </c>
      <c r="O59" s="1054">
        <v>2</v>
      </c>
      <c r="P59" s="1053" t="s">
        <v>1252</v>
      </c>
      <c r="Q59" s="1055">
        <v>360</v>
      </c>
      <c r="R59" s="1055">
        <v>180</v>
      </c>
      <c r="S59" s="1055">
        <v>180</v>
      </c>
      <c r="T59" s="1056" t="s">
        <v>76</v>
      </c>
      <c r="U59" s="590" t="str">
        <f>IF(M59="","",MAX(U$49:U58)+1)</f>
        <v/>
      </c>
      <c r="V59" s="591" t="str">
        <f t="shared" si="19"/>
        <v/>
      </c>
      <c r="W59" s="514" t="s">
        <v>76</v>
      </c>
      <c r="X59" s="1199" t="s">
        <v>2642</v>
      </c>
      <c r="Y59" s="1199" t="s">
        <v>165</v>
      </c>
      <c r="Z59" s="602">
        <f>-Input_PL_IncentiveMaxAdj_LenderPaidComp+Input_PL_MaxPriceBase_IR_04PP+Input_PL_Incentive_IR+Input_PL_IncentiveMaxAdj_IR</f>
        <v>101.5</v>
      </c>
      <c r="AA59" s="603" cm="1">
        <f t="array" ref="AA59">[1]!Input_MaxPriceNet_IR_04PP</f>
        <v>104.5</v>
      </c>
      <c r="AB59" s="515" t="s">
        <v>76</v>
      </c>
      <c r="AF59" s="800">
        <v>7</v>
      </c>
      <c r="AG59" s="801">
        <v>4000000</v>
      </c>
      <c r="AH59" s="802">
        <v>4000000</v>
      </c>
      <c r="AQ59" s="818">
        <v>45</v>
      </c>
      <c r="AR59" s="790" t="s">
        <v>1549</v>
      </c>
      <c r="AS59" s="711" t="s">
        <v>107</v>
      </c>
      <c r="AV59" s="1267" t="s">
        <v>1765</v>
      </c>
      <c r="AW59" s="1238" t="s">
        <v>1766</v>
      </c>
      <c r="AX59" s="1239" t="str">
        <f t="shared" ref="AX59" si="49">"PH_"&amp;RIGHT("000"&amp;TRUNC(Lookup_NoteRate),3)&amp;TEXT(Lookup_NoteRate-TRUNC(Lookup_NoteRate),".0000000000")</f>
        <v>PH_011.3750000000</v>
      </c>
      <c r="AY59" s="1240">
        <f>[1]!PH_R14</f>
        <v>11.375</v>
      </c>
      <c r="AZ59" s="1240"/>
      <c r="BA59" s="1240" t="e">
        <f>[1]!PH_FRM30_P14+Input_PL_Incentive_PH</f>
        <v>#N/A</v>
      </c>
      <c r="BB59" s="1239" t="e">
        <f t="shared" ref="BB59" si="50">IF(INDEX(List_AmortTermAll,MATCH(Input_AmortTerm,List_AmortTerm,0),3)=1,AZ59,IF(INDEX(List_AmortTermAll,MATCH(Input_AmortTerm,List_AmortTerm,0),3)=2,BA59,#N/A))</f>
        <v>#N/A</v>
      </c>
      <c r="BC59" s="1239" t="e">
        <f t="shared" ref="BC59" si="51">"PH_"&amp;RIGHT("000"&amp;TRUNC(Lookup_PriceText),3)&amp;TEXT(Lookup_PriceText-TRUNC(Lookup_PriceText),".0000000000")</f>
        <v>#N/A</v>
      </c>
      <c r="BD59" s="1239" cm="1">
        <f t="array" ref="BD59">[1]!PH_FRM30_M14</f>
        <v>3.875</v>
      </c>
      <c r="BE59" s="1268" t="s">
        <v>1856</v>
      </c>
      <c r="BJ59" s="515"/>
      <c r="BK59" s="515"/>
      <c r="BL59" s="515"/>
      <c r="BM59" s="515"/>
      <c r="BN59" s="515"/>
    </row>
    <row r="60" spans="3:83" ht="9.6" customHeight="1" x14ac:dyDescent="0.2">
      <c r="C60" s="820"/>
      <c r="D60" s="1040" t="str">
        <f>IFERROR(INDEX(Lookup_NoteRateAll,MATCH(INDEX(List_ProductAll,MATCH(Input_Product,List_Product,0),2)&amp;"_09",Lookup_NoteRateStack,0),1),"na")</f>
        <v>PT_012.1250000000</v>
      </c>
      <c r="E60" s="1040">
        <f>IFERROR(INDEX(Lookup_NoteRateAll,MATCH(INDEX(List_ProductAll,MATCH(Input_Product,List_Product,0),2)&amp;"_09",Lookup_NoteRateStack,0),2),"na")</f>
        <v>12.125</v>
      </c>
      <c r="F60" s="1040">
        <f>IFERROR(INDEX(Lookup_NoteRateAll,MATCH(INDEX(List_ProductAll,MATCH(Input_Product,List_Product,0),2)&amp;"_09",Lookup_NoteRateStack,0),5),"na")</f>
        <v>110.875</v>
      </c>
      <c r="G60" s="1040">
        <f t="shared" si="26"/>
        <v>-0.125</v>
      </c>
      <c r="H60" s="1040">
        <f t="shared" si="27"/>
        <v>101</v>
      </c>
      <c r="I60" s="1040">
        <f>IFERROR(INDEX(Lookup_NoteRateAll,MATCH(INDEX(List_ProductAll,MATCH(Input_Product,List_Product,0),2)&amp;"_09",Lookup_NoteRateStack,0),7),"na")</f>
        <v>0</v>
      </c>
      <c r="J60" s="1158"/>
      <c r="K60" s="1159"/>
      <c r="M60" s="744" t="str">
        <f>IF(OR(Input_ProductClass="Second",Input_ProductClass="Closed End 2nd TD"),"40/15yr Balloon","")</f>
        <v/>
      </c>
      <c r="N60" s="741" t="s">
        <v>98</v>
      </c>
      <c r="O60" s="740">
        <v>2</v>
      </c>
      <c r="P60" s="741" t="s">
        <v>1254</v>
      </c>
      <c r="Q60" s="718">
        <v>480</v>
      </c>
      <c r="R60" s="718">
        <v>180</v>
      </c>
      <c r="S60" s="718">
        <v>180</v>
      </c>
      <c r="T60" s="749" t="s">
        <v>76</v>
      </c>
      <c r="U60" s="590" t="str">
        <f>IF(M60="","",MAX(U$49:U59)+1)</f>
        <v/>
      </c>
      <c r="V60" s="591" t="str">
        <f t="shared" si="19"/>
        <v/>
      </c>
      <c r="W60" s="514" t="s">
        <v>76</v>
      </c>
      <c r="X60" s="1200" t="s">
        <v>2643</v>
      </c>
      <c r="Y60" s="1200" t="s">
        <v>166</v>
      </c>
      <c r="Z60" s="610">
        <f>-Input_PL_IncentiveMaxAdj_LenderPaidComp+Input_PL_MaxPriceBase_IR_05PP+Input_PL_Incentive_IR+Input_PL_IncentiveMaxAdj_IR</f>
        <v>101.5</v>
      </c>
      <c r="AA60" s="611" cm="1">
        <f t="array" ref="AA60">[1]!Input_MaxPriceNet_IR_05PP</f>
        <v>104.5</v>
      </c>
      <c r="AB60" s="515" t="s">
        <v>76</v>
      </c>
      <c r="AF60" s="810">
        <v>8</v>
      </c>
      <c r="AG60" s="811">
        <v>4000000</v>
      </c>
      <c r="AH60" s="812">
        <v>4000000</v>
      </c>
      <c r="AM60" s="515"/>
      <c r="AN60" s="515"/>
      <c r="AO60" s="515"/>
      <c r="AP60" s="515"/>
      <c r="AQ60" s="818">
        <v>43</v>
      </c>
      <c r="AR60" s="778" t="s">
        <v>32</v>
      </c>
      <c r="AS60" s="711" t="s">
        <v>107</v>
      </c>
      <c r="AV60" s="1267" t="s">
        <v>1765</v>
      </c>
      <c r="AW60" s="1238" t="s">
        <v>1766</v>
      </c>
      <c r="AX60" s="1239" t="str">
        <f t="shared" ref="AX60" si="52">"PH_"&amp;RIGHT("000"&amp;TRUNC(Lookup_NoteRate),3)&amp;TEXT(Lookup_NoteRate-TRUNC(Lookup_NoteRate),".0000000000")</f>
        <v>PH_011.2500000000</v>
      </c>
      <c r="AY60" s="1240">
        <f>[1]!PH_R15</f>
        <v>11.25</v>
      </c>
      <c r="AZ60" s="1240"/>
      <c r="BA60" s="1240" t="e">
        <f>[1]!PH_FRM30_P15+Input_PL_Incentive_PH</f>
        <v>#N/A</v>
      </c>
      <c r="BB60" s="1239" t="e">
        <f t="shared" ref="BB60" si="53">IF(INDEX(List_AmortTermAll,MATCH(Input_AmortTerm,List_AmortTerm,0),3)=1,AZ60,IF(INDEX(List_AmortTermAll,MATCH(Input_AmortTerm,List_AmortTerm,0),3)=2,BA60,#N/A))</f>
        <v>#N/A</v>
      </c>
      <c r="BC60" s="1239" t="e">
        <f t="shared" ref="BC60" si="54">"PH_"&amp;RIGHT("000"&amp;TRUNC(Lookup_PriceText),3)&amp;TEXT(Lookup_PriceText-TRUNC(Lookup_PriceText),".0000000000")</f>
        <v>#N/A</v>
      </c>
      <c r="BD60" s="1239" cm="1">
        <f t="array" ref="BD60">[1]!PH_FRM30_M15</f>
        <v>3.75</v>
      </c>
      <c r="BE60" s="1268" t="s">
        <v>1857</v>
      </c>
      <c r="BJ60" s="515"/>
      <c r="BK60" s="515"/>
      <c r="BL60" s="515"/>
      <c r="BM60" s="515"/>
      <c r="BN60" s="515"/>
    </row>
    <row r="61" spans="3:83" ht="9.6" customHeight="1" x14ac:dyDescent="0.2">
      <c r="C61" s="820"/>
      <c r="D61" s="1040" t="str">
        <f>IFERROR(INDEX(Lookup_NoteRateAll,MATCH(INDEX(List_ProductAll,MATCH(Input_Product,List_Product,0),2)&amp;"_10",Lookup_NoteRateStack,0),1),"na")</f>
        <v>PT_012.0000000000</v>
      </c>
      <c r="E61" s="1040">
        <f>IFERROR(INDEX(Lookup_NoteRateAll,MATCH(INDEX(List_ProductAll,MATCH(Input_Product,List_Product,0),2)&amp;"_10",Lookup_NoteRateStack,0),2),"na")</f>
        <v>12</v>
      </c>
      <c r="F61" s="1040">
        <f>IFERROR(INDEX(Lookup_NoteRateAll,MATCH(INDEX(List_ProductAll,MATCH(Input_Product,List_Product,0),2)&amp;"_10",Lookup_NoteRateStack,0),5),"na")</f>
        <v>110.625</v>
      </c>
      <c r="G61" s="1040">
        <f t="shared" si="26"/>
        <v>-0.125</v>
      </c>
      <c r="H61" s="1040">
        <f t="shared" si="27"/>
        <v>101</v>
      </c>
      <c r="I61" s="1040">
        <f>IFERROR(INDEX(Lookup_NoteRateAll,MATCH(INDEX(List_ProductAll,MATCH(Input_Product,List_Product,0),2)&amp;"_10",Lookup_NoteRateStack,0),7),"na")</f>
        <v>0</v>
      </c>
      <c r="J61" s="2016" t="s">
        <v>2035</v>
      </c>
      <c r="K61" s="1159"/>
      <c r="M61" s="2155" t="str">
        <f>IF(Input_RateSheet_Type="Standard","","3/6 30yr ARM SOFR")</f>
        <v/>
      </c>
      <c r="N61" s="732" t="s">
        <v>167</v>
      </c>
      <c r="O61" s="732">
        <v>1</v>
      </c>
      <c r="P61" s="732" t="s">
        <v>431</v>
      </c>
      <c r="Q61" s="775">
        <v>360</v>
      </c>
      <c r="R61" s="775">
        <v>360</v>
      </c>
      <c r="S61" s="775">
        <v>36</v>
      </c>
      <c r="T61" s="775"/>
      <c r="U61" s="590" t="str">
        <f>IF(M61="","",MAX(U$49:U60)+1)</f>
        <v/>
      </c>
      <c r="V61" s="591" t="str">
        <f t="shared" si="19"/>
        <v/>
      </c>
      <c r="W61" s="515" t="s">
        <v>76</v>
      </c>
      <c r="X61" s="1199" t="s">
        <v>1518</v>
      </c>
      <c r="Y61" s="1199" t="s">
        <v>68</v>
      </c>
      <c r="Z61" s="602">
        <f>-Input_PL_IncentiveMaxAdj_LenderPaidComp+Input_PL_MaxPriceBase_IR_01PP+Input_PL_Incentive_IR+Input_PL_IncentiveMaxAdj_IR</f>
        <v>101</v>
      </c>
      <c r="AA61" s="603" cm="1">
        <f t="array" ref="AA61">[1]!Input_MaxPriceNet_IR_01PP</f>
        <v>104</v>
      </c>
      <c r="AB61" s="515" t="s">
        <v>76</v>
      </c>
      <c r="AE61" s="515"/>
      <c r="AM61" s="515"/>
      <c r="AN61" s="515"/>
      <c r="AO61" s="515"/>
      <c r="AP61" s="515"/>
      <c r="AQ61" s="833">
        <v>0</v>
      </c>
      <c r="AR61" s="834" t="s">
        <v>112</v>
      </c>
      <c r="AS61" s="718" t="s">
        <v>108</v>
      </c>
      <c r="AV61" s="1267" t="s">
        <v>1765</v>
      </c>
      <c r="AW61" s="1238" t="s">
        <v>1766</v>
      </c>
      <c r="AX61" s="1239" t="str">
        <f t="shared" ref="AX61" si="55">"PH_"&amp;RIGHT("000"&amp;TRUNC(Lookup_NoteRate),3)&amp;TEXT(Lookup_NoteRate-TRUNC(Lookup_NoteRate),".0000000000")</f>
        <v>PH_011.1250000000</v>
      </c>
      <c r="AY61" s="1240">
        <f>[1]!PH_R16</f>
        <v>11.125</v>
      </c>
      <c r="AZ61" s="1240"/>
      <c r="BA61" s="1240" t="e">
        <f>[1]!PH_FRM30_P16+Input_PL_Incentive_PH</f>
        <v>#N/A</v>
      </c>
      <c r="BB61" s="1239" t="e">
        <f t="shared" ref="BB61" si="56">IF(INDEX(List_AmortTermAll,MATCH(Input_AmortTerm,List_AmortTerm,0),3)=1,AZ61,IF(INDEX(List_AmortTermAll,MATCH(Input_AmortTerm,List_AmortTerm,0),3)=2,BA61,#N/A))</f>
        <v>#N/A</v>
      </c>
      <c r="BC61" s="1239" t="e">
        <f t="shared" ref="BC61" si="57">"PH_"&amp;RIGHT("000"&amp;TRUNC(Lookup_PriceText),3)&amp;TEXT(Lookup_PriceText-TRUNC(Lookup_PriceText),".0000000000")</f>
        <v>#N/A</v>
      </c>
      <c r="BD61" s="1239" cm="1">
        <f t="array" ref="BD61">[1]!PH_FRM30_M16</f>
        <v>3.625</v>
      </c>
      <c r="BE61" s="1268" t="s">
        <v>1858</v>
      </c>
      <c r="BJ61" s="515"/>
      <c r="BK61" s="515"/>
      <c r="BL61" s="515"/>
      <c r="BM61" s="515"/>
      <c r="BN61" s="515"/>
    </row>
    <row r="62" spans="3:83" ht="9.6" customHeight="1" x14ac:dyDescent="0.2">
      <c r="C62" s="820"/>
      <c r="D62" s="1040" t="str">
        <f>IFERROR(INDEX(Lookup_NoteRateAll,MATCH(INDEX(List_ProductAll,MATCH(Input_Product,List_Product,0),2)&amp;"_11",Lookup_NoteRateStack,0),1),"na")</f>
        <v>PT_011.8750000000</v>
      </c>
      <c r="E62" s="1040">
        <f>IFERROR(INDEX(Lookup_NoteRateAll,MATCH(INDEX(List_ProductAll,MATCH(Input_Product,List_Product,0),2)&amp;"_11",Lookup_NoteRateStack,0),2),"na")</f>
        <v>11.875</v>
      </c>
      <c r="F62" s="1040">
        <f>IFERROR(INDEX(Lookup_NoteRateAll,MATCH(INDEX(List_ProductAll,MATCH(Input_Product,List_Product,0),2)&amp;"_11",Lookup_NoteRateStack,0),5),"na")</f>
        <v>110.375</v>
      </c>
      <c r="G62" s="1040">
        <f t="shared" si="26"/>
        <v>-0.125</v>
      </c>
      <c r="H62" s="1040">
        <f t="shared" si="27"/>
        <v>101</v>
      </c>
      <c r="I62" s="1040">
        <f>IFERROR(INDEX(Lookup_NoteRateAll,MATCH(INDEX(List_ProductAll,MATCH(Input_Product,List_Product,0),2)&amp;"_11",Lookup_NoteRateStack,0),7),"na")</f>
        <v>0</v>
      </c>
      <c r="J62" s="1080">
        <f>INDEX(Lookup_Price_Output_All,MATCH(Lookup_Price_Code_Output_01,Lookup_Price_Output_Code,0),2)</f>
        <v>10</v>
      </c>
      <c r="K62" s="1159"/>
      <c r="M62" s="744" t="str">
        <f>IF(OR(Input_ProductClass="Second",Input_ProductClass="AgencyCompanionSecond",Input_ProductClass="HELOC",Input_ProductClass="Closed End 2nd TD"),"","5/6 30yr ARM SOFR")</f>
        <v>5/6 30yr ARM SOFR</v>
      </c>
      <c r="N62" s="739" t="s">
        <v>167</v>
      </c>
      <c r="O62" s="739">
        <v>1</v>
      </c>
      <c r="P62" s="739" t="s">
        <v>432</v>
      </c>
      <c r="Q62" s="711">
        <v>360</v>
      </c>
      <c r="R62" s="711">
        <v>360</v>
      </c>
      <c r="S62" s="711">
        <v>60</v>
      </c>
      <c r="T62" s="711"/>
      <c r="U62" s="590">
        <f>IF(M62="","",MAX(U$49:U61)+1)</f>
        <v>3</v>
      </c>
      <c r="V62" s="591" t="str">
        <f t="shared" si="19"/>
        <v/>
      </c>
      <c r="W62" s="515" t="s">
        <v>76</v>
      </c>
      <c r="X62" s="1199" t="s">
        <v>1519</v>
      </c>
      <c r="Y62" s="1199" t="s">
        <v>67</v>
      </c>
      <c r="Z62" s="602">
        <f>-Input_PL_IncentiveMaxAdj_LenderPaidComp+Input_PL_MaxPriceBase_IR_02PP+Input_PL_Incentive_IR+Input_PL_IncentiveMaxAdj_IR</f>
        <v>101</v>
      </c>
      <c r="AA62" s="603" cm="1">
        <f t="array" ref="AA62">[1]!Input_MaxPriceNet_IR_02PP</f>
        <v>104</v>
      </c>
      <c r="AB62" s="515" t="s">
        <v>76</v>
      </c>
      <c r="AE62" s="515"/>
      <c r="AM62" s="515"/>
      <c r="AN62" s="515"/>
      <c r="AO62" s="515"/>
      <c r="AP62" s="515"/>
      <c r="AV62" s="1267" t="s">
        <v>1765</v>
      </c>
      <c r="AW62" s="1238" t="s">
        <v>1766</v>
      </c>
      <c r="AX62" s="1239" t="str">
        <f t="shared" ref="AX62" si="58">"PH_"&amp;RIGHT("000"&amp;TRUNC(Lookup_NoteRate),3)&amp;TEXT(Lookup_NoteRate-TRUNC(Lookup_NoteRate),".0000000000")</f>
        <v>PH_011.0000000000</v>
      </c>
      <c r="AY62" s="1240">
        <f>[1]!PH_R17</f>
        <v>11</v>
      </c>
      <c r="AZ62" s="1240"/>
      <c r="BA62" s="1240" t="e">
        <f>[1]!PH_FRM30_P17+Input_PL_Incentive_PH</f>
        <v>#N/A</v>
      </c>
      <c r="BB62" s="1239" t="e">
        <f t="shared" ref="BB62" si="59">IF(INDEX(List_AmortTermAll,MATCH(Input_AmortTerm,List_AmortTerm,0),3)=1,AZ62,IF(INDEX(List_AmortTermAll,MATCH(Input_AmortTerm,List_AmortTerm,0),3)=2,BA62,#N/A))</f>
        <v>#N/A</v>
      </c>
      <c r="BC62" s="1239" t="e">
        <f t="shared" ref="BC62" si="60">"PH_"&amp;RIGHT("000"&amp;TRUNC(Lookup_PriceText),3)&amp;TEXT(Lookup_PriceText-TRUNC(Lookup_PriceText),".0000000000")</f>
        <v>#N/A</v>
      </c>
      <c r="BD62" s="1239" cm="1">
        <f t="array" ref="BD62">[1]!PH_FRM30_M17</f>
        <v>3.5</v>
      </c>
      <c r="BE62" s="1268" t="s">
        <v>1859</v>
      </c>
      <c r="BJ62" s="515"/>
      <c r="BK62" s="515"/>
      <c r="BL62" s="515"/>
      <c r="BM62" s="515"/>
      <c r="BN62" s="515"/>
    </row>
    <row r="63" spans="3:83" ht="9.6" customHeight="1" x14ac:dyDescent="0.2">
      <c r="C63" s="820"/>
      <c r="D63" s="1040" t="str">
        <f>IFERROR(INDEX(Lookup_NoteRateAll,MATCH(INDEX(List_ProductAll,MATCH(Input_Product,List_Product,0),2)&amp;"_12",Lookup_NoteRateStack,0),1),"na")</f>
        <v>PT_011.7500000000</v>
      </c>
      <c r="E63" s="1040">
        <f>IFERROR(INDEX(Lookup_NoteRateAll,MATCH(INDEX(List_ProductAll,MATCH(Input_Product,List_Product,0),2)&amp;"_12",Lookup_NoteRateStack,0),2),"na")</f>
        <v>11.75</v>
      </c>
      <c r="F63" s="1040">
        <f>IFERROR(INDEX(Lookup_NoteRateAll,MATCH(INDEX(List_ProductAll,MATCH(Input_Product,List_Product,0),2)&amp;"_12",Lookup_NoteRateStack,0),5),"na")</f>
        <v>110.125</v>
      </c>
      <c r="G63" s="1040">
        <f t="shared" si="26"/>
        <v>-0.125</v>
      </c>
      <c r="H63" s="1040">
        <f t="shared" si="27"/>
        <v>101</v>
      </c>
      <c r="I63" s="1040">
        <f>IFERROR(INDEX(Lookup_NoteRateAll,MATCH(INDEX(List_ProductAll,MATCH(Input_Product,List_Product,0),2)&amp;"_12",Lookup_NoteRateStack,0),7),"na")</f>
        <v>0</v>
      </c>
      <c r="J63" s="1081">
        <f>INDEX(Lookup_Price_Output_All,MATCH(Lookup_Price_Code_Output_02,Lookup_Price_Output_Code,0),2)</f>
        <v>9.875</v>
      </c>
      <c r="K63" s="1159"/>
      <c r="M63" s="744" t="str">
        <f>IF(OR(Input_ProductClass="Second",Input_ProductClass="AgencyCompanionSecond",Input_ProductClass="HELOC",Input_ProductClass="Closed End 2nd TD"),"","7/6 30yr ARM SOFR")</f>
        <v>7/6 30yr ARM SOFR</v>
      </c>
      <c r="N63" s="739" t="s">
        <v>167</v>
      </c>
      <c r="O63" s="739">
        <v>1</v>
      </c>
      <c r="P63" s="739" t="s">
        <v>434</v>
      </c>
      <c r="Q63" s="711">
        <v>360</v>
      </c>
      <c r="R63" s="711">
        <v>360</v>
      </c>
      <c r="S63" s="711">
        <v>84</v>
      </c>
      <c r="T63" s="711"/>
      <c r="U63" s="590">
        <f>IF(M63="","",MAX(U$49:U62)+1)</f>
        <v>4</v>
      </c>
      <c r="V63" s="591" t="str">
        <f t="shared" si="19"/>
        <v/>
      </c>
      <c r="W63" s="515" t="s">
        <v>76</v>
      </c>
      <c r="X63" s="1199" t="s">
        <v>1520</v>
      </c>
      <c r="Y63" s="1199" t="s">
        <v>66</v>
      </c>
      <c r="Z63" s="602">
        <f>-Input_PL_IncentiveMaxAdj_LenderPaidComp+Input_PL_MaxPriceBase_IR_03PP+Input_PL_Incentive_IR+Input_PL_IncentiveMaxAdj_IR</f>
        <v>101.5</v>
      </c>
      <c r="AA63" s="603" cm="1">
        <f t="array" ref="AA63">[1]!Input_MaxPriceNet_IR_03PP</f>
        <v>104.5</v>
      </c>
      <c r="AB63" s="515" t="s">
        <v>76</v>
      </c>
      <c r="AE63" s="515"/>
      <c r="AF63" s="751" t="s">
        <v>44</v>
      </c>
      <c r="AG63" s="787"/>
      <c r="AM63" s="515"/>
      <c r="AN63" s="515"/>
      <c r="AO63" s="515"/>
      <c r="AP63" s="515"/>
      <c r="AT63" s="839"/>
      <c r="AV63" s="1267" t="s">
        <v>1765</v>
      </c>
      <c r="AW63" s="1238" t="s">
        <v>1766</v>
      </c>
      <c r="AX63" s="1239" t="str">
        <f t="shared" ref="AX63" si="61">"PH_"&amp;RIGHT("000"&amp;TRUNC(Lookup_NoteRate),3)&amp;TEXT(Lookup_NoteRate-TRUNC(Lookup_NoteRate),".0000000000")</f>
        <v>PH_010.8750000000</v>
      </c>
      <c r="AY63" s="1240">
        <f>[1]!PH_R18</f>
        <v>10.875</v>
      </c>
      <c r="AZ63" s="1240"/>
      <c r="BA63" s="1240" t="e">
        <f>[1]!PH_FRM30_P18+Input_PL_Incentive_PH</f>
        <v>#N/A</v>
      </c>
      <c r="BB63" s="1239" t="e">
        <f t="shared" ref="BB63" si="62">IF(INDEX(List_AmortTermAll,MATCH(Input_AmortTerm,List_AmortTerm,0),3)=1,AZ63,IF(INDEX(List_AmortTermAll,MATCH(Input_AmortTerm,List_AmortTerm,0),3)=2,BA63,#N/A))</f>
        <v>#N/A</v>
      </c>
      <c r="BC63" s="1239" t="e">
        <f t="shared" ref="BC63" si="63">"PH_"&amp;RIGHT("000"&amp;TRUNC(Lookup_PriceText),3)&amp;TEXT(Lookup_PriceText-TRUNC(Lookup_PriceText),".0000000000")</f>
        <v>#N/A</v>
      </c>
      <c r="BD63" s="1239" cm="1">
        <f t="array" ref="BD63">[1]!PH_FRM30_M18</f>
        <v>3.375</v>
      </c>
      <c r="BE63" s="1268" t="s">
        <v>1860</v>
      </c>
      <c r="BJ63" s="515"/>
      <c r="BK63" s="515"/>
      <c r="BL63" s="515"/>
      <c r="BM63" s="515"/>
      <c r="BN63" s="515"/>
    </row>
    <row r="64" spans="3:83" ht="9.6" customHeight="1" x14ac:dyDescent="0.2">
      <c r="C64" s="820"/>
      <c r="D64" s="1040" t="str">
        <f>IFERROR(INDEX(Lookup_NoteRateAll,MATCH(INDEX(List_ProductAll,MATCH(Input_Product,List_Product,0),2)&amp;"_13",Lookup_NoteRateStack,0),1),"na")</f>
        <v>PT_011.6250000000</v>
      </c>
      <c r="E64" s="1040">
        <f>IFERROR(INDEX(Lookup_NoteRateAll,MATCH(INDEX(List_ProductAll,MATCH(Input_Product,List_Product,0),2)&amp;"_13",Lookup_NoteRateStack,0),2),"na")</f>
        <v>11.625</v>
      </c>
      <c r="F64" s="1040">
        <f>IFERROR(INDEX(Lookup_NoteRateAll,MATCH(INDEX(List_ProductAll,MATCH(Input_Product,List_Product,0),2)&amp;"_13",Lookup_NoteRateStack,0),5),"na")</f>
        <v>109.875</v>
      </c>
      <c r="G64" s="1040">
        <f t="shared" si="26"/>
        <v>-0.125</v>
      </c>
      <c r="H64" s="1040">
        <f t="shared" si="27"/>
        <v>101</v>
      </c>
      <c r="I64" s="1040">
        <f>IFERROR(INDEX(Lookup_NoteRateAll,MATCH(INDEX(List_ProductAll,MATCH(Input_Product,List_Product,0),2)&amp;"_13",Lookup_NoteRateStack,0),7),"na")</f>
        <v>0</v>
      </c>
      <c r="J64" s="1158"/>
      <c r="K64" s="1159"/>
      <c r="M64" s="2156" t="str">
        <f>IF(Input_RateSheet_Type="Standard","","10/6 30yr ARM SOFR")</f>
        <v/>
      </c>
      <c r="N64" s="783" t="s">
        <v>167</v>
      </c>
      <c r="O64" s="783">
        <v>1</v>
      </c>
      <c r="P64" s="783" t="s">
        <v>436</v>
      </c>
      <c r="Q64" s="743">
        <v>360</v>
      </c>
      <c r="R64" s="743">
        <v>360</v>
      </c>
      <c r="S64" s="743">
        <v>120</v>
      </c>
      <c r="T64" s="743"/>
      <c r="U64" s="590" t="str">
        <f>IF(M64="","",MAX(U$49:U63)+1)</f>
        <v/>
      </c>
      <c r="V64" s="591" t="str">
        <f t="shared" si="19"/>
        <v/>
      </c>
      <c r="W64" s="515" t="s">
        <v>76</v>
      </c>
      <c r="X64" s="1199" t="s">
        <v>1521</v>
      </c>
      <c r="Y64" s="1199" t="s">
        <v>165</v>
      </c>
      <c r="Z64" s="602">
        <f>-Input_PL_IncentiveMaxAdj_LenderPaidComp+Input_PL_MaxPriceBase_IR_04PP+Input_PL_Incentive_IR+Input_PL_IncentiveMaxAdj_IR</f>
        <v>101.5</v>
      </c>
      <c r="AA64" s="603" cm="1">
        <f t="array" ref="AA64">[1]!Input_MaxPriceNet_IR_04PP</f>
        <v>104.5</v>
      </c>
      <c r="AB64" s="515" t="s">
        <v>76</v>
      </c>
      <c r="AC64" s="515"/>
      <c r="AD64" s="515"/>
      <c r="AE64" s="515"/>
      <c r="AF64" s="827" t="s">
        <v>2677</v>
      </c>
      <c r="AG64" s="828" t="s">
        <v>76</v>
      </c>
      <c r="AQ64" s="763" t="s">
        <v>62</v>
      </c>
      <c r="AR64" s="845"/>
      <c r="AS64" s="787" t="s">
        <v>111</v>
      </c>
      <c r="AV64" s="1267" t="s">
        <v>1765</v>
      </c>
      <c r="AW64" s="1238" t="s">
        <v>1766</v>
      </c>
      <c r="AX64" s="1239" t="str">
        <f t="shared" ref="AX64" si="64">"PH_"&amp;RIGHT("000"&amp;TRUNC(Lookup_NoteRate),3)&amp;TEXT(Lookup_NoteRate-TRUNC(Lookup_NoteRate),".0000000000")</f>
        <v>PH_010.7500000000</v>
      </c>
      <c r="AY64" s="1240">
        <f>[1]!PH_R19</f>
        <v>10.75</v>
      </c>
      <c r="AZ64" s="1240"/>
      <c r="BA64" s="1240" t="e">
        <f>[1]!PH_FRM30_P19+Input_PL_Incentive_PH</f>
        <v>#N/A</v>
      </c>
      <c r="BB64" s="1239" t="e">
        <f t="shared" ref="BB64" si="65">IF(INDEX(List_AmortTermAll,MATCH(Input_AmortTerm,List_AmortTerm,0),3)=1,AZ64,IF(INDEX(List_AmortTermAll,MATCH(Input_AmortTerm,List_AmortTerm,0),3)=2,BA64,#N/A))</f>
        <v>#N/A</v>
      </c>
      <c r="BC64" s="1239" t="e">
        <f t="shared" ref="BC64" si="66">"PH_"&amp;RIGHT("000"&amp;TRUNC(Lookup_PriceText),3)&amp;TEXT(Lookup_PriceText-TRUNC(Lookup_PriceText),".0000000000")</f>
        <v>#N/A</v>
      </c>
      <c r="BD64" s="1239" cm="1">
        <f t="array" ref="BD64">[1]!PH_FRM30_M19</f>
        <v>3.25</v>
      </c>
      <c r="BE64" s="1268" t="s">
        <v>1861</v>
      </c>
      <c r="BG64" s="515"/>
      <c r="BH64" s="515"/>
      <c r="BI64" s="515"/>
      <c r="BJ64" s="515"/>
      <c r="BK64" s="515"/>
      <c r="BL64" s="515"/>
      <c r="BM64" s="515"/>
      <c r="BN64" s="515"/>
    </row>
    <row r="65" spans="3:66" ht="9.6" customHeight="1" x14ac:dyDescent="0.2">
      <c r="C65" s="820"/>
      <c r="D65" s="1040" t="str">
        <f>IFERROR(INDEX(Lookup_NoteRateAll,MATCH(INDEX(List_ProductAll,MATCH(Input_Product,List_Product,0),2)&amp;"_14",Lookup_NoteRateStack,0),1),"na")</f>
        <v>PT_011.5000000000</v>
      </c>
      <c r="E65" s="1040">
        <f>IFERROR(INDEX(Lookup_NoteRateAll,MATCH(INDEX(List_ProductAll,MATCH(Input_Product,List_Product,0),2)&amp;"_14",Lookup_NoteRateStack,0),2),"na")</f>
        <v>11.5</v>
      </c>
      <c r="F65" s="1040">
        <f>IFERROR(INDEX(Lookup_NoteRateAll,MATCH(INDEX(List_ProductAll,MATCH(Input_Product,List_Product,0),2)&amp;"_14",Lookup_NoteRateStack,0),5),"na")</f>
        <v>109.625</v>
      </c>
      <c r="G65" s="1040">
        <f t="shared" si="26"/>
        <v>-0.125</v>
      </c>
      <c r="H65" s="1040">
        <f t="shared" si="27"/>
        <v>101</v>
      </c>
      <c r="I65" s="1040">
        <f>IFERROR(INDEX(Lookup_NoteRateAll,MATCH(INDEX(List_ProductAll,MATCH(Input_Product,List_Product,0),2)&amp;"_14",Lookup_NoteRateStack,0),7),"na")</f>
        <v>0</v>
      </c>
      <c r="J65" s="2016" t="s">
        <v>2036</v>
      </c>
      <c r="K65" s="1159"/>
      <c r="M65" s="744" t="str">
        <f>IF(OR(Input_ProductClass="Second",Input_ProductClass="AgencyCompanionSecond",Input_ProductClass="HELOC",Input_ProductClass="Closed End 2nd TD"),"","5/6 40yr ARM SOFR")</f>
        <v>5/6 40yr ARM SOFR</v>
      </c>
      <c r="N65" s="732" t="s">
        <v>4</v>
      </c>
      <c r="O65" s="732">
        <v>1</v>
      </c>
      <c r="P65" s="732" t="s">
        <v>433</v>
      </c>
      <c r="Q65" s="775">
        <v>480</v>
      </c>
      <c r="R65" s="775">
        <v>360</v>
      </c>
      <c r="S65" s="775">
        <v>60</v>
      </c>
      <c r="T65" s="775"/>
      <c r="U65" s="590">
        <f>IF(M65="","",MAX(U$49:U64)+1)</f>
        <v>5</v>
      </c>
      <c r="V65" s="591" t="str">
        <f t="shared" si="19"/>
        <v/>
      </c>
      <c r="W65" s="515" t="s">
        <v>76</v>
      </c>
      <c r="X65" s="1200" t="s">
        <v>1522</v>
      </c>
      <c r="Y65" s="1200" t="s">
        <v>166</v>
      </c>
      <c r="Z65" s="610">
        <f>-Input_PL_IncentiveMaxAdj_LenderPaidComp+Input_PL_MaxPriceBase_IR_05PP+Input_PL_Incentive_IR+Input_PL_IncentiveMaxAdj_IR</f>
        <v>101.5</v>
      </c>
      <c r="AA65" s="611" cm="1">
        <f t="array" ref="AA65">[1]!Input_MaxPriceNet_IR_05PP</f>
        <v>104.5</v>
      </c>
      <c r="AB65" s="515" t="s">
        <v>76</v>
      </c>
      <c r="AC65" s="515"/>
      <c r="AD65" s="515"/>
      <c r="AF65" s="2459" t="s">
        <v>4162</v>
      </c>
      <c r="AG65" s="735" t="s">
        <v>4206</v>
      </c>
      <c r="AQ65" s="849">
        <v>0</v>
      </c>
      <c r="AR65" s="850" t="s">
        <v>99</v>
      </c>
      <c r="AS65" s="796" t="s">
        <v>108</v>
      </c>
      <c r="AV65" s="1267" t="s">
        <v>1765</v>
      </c>
      <c r="AW65" s="1238" t="s">
        <v>1766</v>
      </c>
      <c r="AX65" s="1239" t="str">
        <f t="shared" ref="AX65" si="67">"PH_"&amp;RIGHT("000"&amp;TRUNC(Lookup_NoteRate),3)&amp;TEXT(Lookup_NoteRate-TRUNC(Lookup_NoteRate),".0000000000")</f>
        <v>PH_010.6250000000</v>
      </c>
      <c r="AY65" s="1240">
        <f>[1]!PH_R20</f>
        <v>10.625</v>
      </c>
      <c r="AZ65" s="1240"/>
      <c r="BA65" s="1240" t="e">
        <f>[1]!PH_FRM30_P20+Input_PL_Incentive_PH</f>
        <v>#N/A</v>
      </c>
      <c r="BB65" s="1239" t="e">
        <f t="shared" ref="BB65" si="68">IF(INDEX(List_AmortTermAll,MATCH(Input_AmortTerm,List_AmortTerm,0),3)=1,AZ65,IF(INDEX(List_AmortTermAll,MATCH(Input_AmortTerm,List_AmortTerm,0),3)=2,BA65,#N/A))</f>
        <v>#N/A</v>
      </c>
      <c r="BC65" s="1239" t="e">
        <f t="shared" ref="BC65" si="69">"PH_"&amp;RIGHT("000"&amp;TRUNC(Lookup_PriceText),3)&amp;TEXT(Lookup_PriceText-TRUNC(Lookup_PriceText),".0000000000")</f>
        <v>#N/A</v>
      </c>
      <c r="BD65" s="1239" cm="1">
        <f t="array" ref="BD65">[1]!PH_FRM30_M20</f>
        <v>3.125</v>
      </c>
      <c r="BE65" s="1268" t="s">
        <v>1862</v>
      </c>
      <c r="BG65" s="515"/>
      <c r="BH65" s="515"/>
      <c r="BI65" s="515"/>
      <c r="BJ65" s="515"/>
      <c r="BK65" s="515"/>
      <c r="BL65" s="515"/>
      <c r="BM65" s="515"/>
      <c r="BN65" s="515"/>
    </row>
    <row r="66" spans="3:66" ht="9.6" customHeight="1" x14ac:dyDescent="0.2">
      <c r="C66" s="820"/>
      <c r="D66" s="1040" t="str">
        <f>IFERROR(INDEX(Lookup_NoteRateAll,MATCH(INDEX(List_ProductAll,MATCH(Input_Product,List_Product,0),2)&amp;"_15",Lookup_NoteRateStack,0),1),"na")</f>
        <v>PT_011.3750000000</v>
      </c>
      <c r="E66" s="1040">
        <f>IFERROR(INDEX(Lookup_NoteRateAll,MATCH(INDEX(List_ProductAll,MATCH(Input_Product,List_Product,0),2)&amp;"_15",Lookup_NoteRateStack,0),2),"na")</f>
        <v>11.375</v>
      </c>
      <c r="F66" s="1040">
        <f>IFERROR(INDEX(Lookup_NoteRateAll,MATCH(INDEX(List_ProductAll,MATCH(Input_Product,List_Product,0),2)&amp;"_15",Lookup_NoteRateStack,0),5),"na")</f>
        <v>109.375</v>
      </c>
      <c r="G66" s="1040">
        <f t="shared" si="26"/>
        <v>-0.125</v>
      </c>
      <c r="H66" s="1040">
        <f t="shared" si="27"/>
        <v>101</v>
      </c>
      <c r="I66" s="1040">
        <f>IFERROR(INDEX(Lookup_NoteRateAll,MATCH(INDEX(List_ProductAll,MATCH(Input_Product,List_Product,0),2)&amp;"_15",Lookup_NoteRateStack,0),7),"na")</f>
        <v>0</v>
      </c>
      <c r="J66" s="1080">
        <f>INDEX(Lookup_Price_Output_All,MATCH(Lookup_Price_Code_Output_01,Lookup_Price_Output_Code,0),3)</f>
        <v>106.5</v>
      </c>
      <c r="K66" s="1159"/>
      <c r="M66" s="744" t="str">
        <f>IF(OR(Input_ProductClass="Second",Input_ProductClass="AgencyCompanionSecond",Input_ProductClass="HELOC",Input_ProductClass="Closed End 2nd TD"),"","7/6 40yr ARM SOFR")</f>
        <v>7/6 40yr ARM SOFR</v>
      </c>
      <c r="N66" s="739" t="s">
        <v>4</v>
      </c>
      <c r="O66" s="739">
        <v>1</v>
      </c>
      <c r="P66" s="739" t="s">
        <v>435</v>
      </c>
      <c r="Q66" s="711">
        <v>480</v>
      </c>
      <c r="R66" s="711">
        <v>360</v>
      </c>
      <c r="S66" s="711">
        <v>84</v>
      </c>
      <c r="T66" s="711"/>
      <c r="U66" s="590">
        <f>IF(M66="","",MAX(U$49:U65)+1)</f>
        <v>6</v>
      </c>
      <c r="V66" s="591" t="str">
        <f t="shared" si="19"/>
        <v/>
      </c>
      <c r="W66" s="515" t="s">
        <v>76</v>
      </c>
      <c r="X66" s="1199" t="s">
        <v>1523</v>
      </c>
      <c r="Y66" s="1199" t="s">
        <v>68</v>
      </c>
      <c r="Z66" s="602">
        <f>-Input_PL_IncentiveMaxAdj_LenderPaidComp+Input_PL_MaxPriceBase_IR_01PP+Input_PL_Incentive_IR+Input_PL_IncentiveMaxAdj_IR</f>
        <v>101</v>
      </c>
      <c r="AA66" s="603" cm="1">
        <f t="array" ref="AA66">[1]!Input_MaxPriceNet_IR_01PP</f>
        <v>104</v>
      </c>
      <c r="AB66" s="515" t="s">
        <v>76</v>
      </c>
      <c r="AC66" s="751" t="s">
        <v>48</v>
      </c>
      <c r="AD66" s="787"/>
      <c r="AE66" s="515"/>
      <c r="AF66" s="754" t="s">
        <v>4161</v>
      </c>
      <c r="AG66" s="742" t="s">
        <v>4206</v>
      </c>
      <c r="AQ66" s="854">
        <v>1E-4</v>
      </c>
      <c r="AR66" s="855" t="s">
        <v>354</v>
      </c>
      <c r="AS66" s="711" t="s">
        <v>107</v>
      </c>
      <c r="AV66" s="1267" t="s">
        <v>1765</v>
      </c>
      <c r="AW66" s="1238" t="s">
        <v>1766</v>
      </c>
      <c r="AX66" s="1239" t="str">
        <f t="shared" ref="AX66" si="70">"PH_"&amp;RIGHT("000"&amp;TRUNC(Lookup_NoteRate),3)&amp;TEXT(Lookup_NoteRate-TRUNC(Lookup_NoteRate),".0000000000")</f>
        <v>PH_010.5000000000</v>
      </c>
      <c r="AY66" s="1240">
        <f>[1]!PH_R21</f>
        <v>10.5</v>
      </c>
      <c r="AZ66" s="1240"/>
      <c r="BA66" s="1240" t="e">
        <f>[1]!PH_FRM30_P21+Input_PL_Incentive_PH</f>
        <v>#N/A</v>
      </c>
      <c r="BB66" s="1239" t="e">
        <f t="shared" ref="BB66" si="71">IF(INDEX(List_AmortTermAll,MATCH(Input_AmortTerm,List_AmortTerm,0),3)=1,AZ66,IF(INDEX(List_AmortTermAll,MATCH(Input_AmortTerm,List_AmortTerm,0),3)=2,BA66,#N/A))</f>
        <v>#N/A</v>
      </c>
      <c r="BC66" s="1239" t="e">
        <f t="shared" ref="BC66" si="72">"PH_"&amp;RIGHT("000"&amp;TRUNC(Lookup_PriceText),3)&amp;TEXT(Lookup_PriceText-TRUNC(Lookup_PriceText),".0000000000")</f>
        <v>#N/A</v>
      </c>
      <c r="BD66" s="1239" cm="1">
        <f t="array" ref="BD66">[1]!PH_FRM30_M21</f>
        <v>3</v>
      </c>
      <c r="BE66" s="1268" t="s">
        <v>1863</v>
      </c>
      <c r="BG66" s="515"/>
      <c r="BH66" s="515"/>
      <c r="BI66" s="515"/>
      <c r="BJ66" s="515"/>
      <c r="BK66" s="515"/>
      <c r="BL66" s="515"/>
    </row>
    <row r="67" spans="3:66" ht="9.6" customHeight="1" x14ac:dyDescent="0.2">
      <c r="C67" s="820"/>
      <c r="D67" s="1040" t="str">
        <f>IFERROR(INDEX(Lookup_NoteRateAll,MATCH(INDEX(List_ProductAll,MATCH(Input_Product,List_Product,0),2)&amp;"_16",Lookup_NoteRateStack,0),1),"na")</f>
        <v>PT_011.2500000000</v>
      </c>
      <c r="E67" s="1040">
        <f>IFERROR(INDEX(Lookup_NoteRateAll,MATCH(INDEX(List_ProductAll,MATCH(Input_Product,List_Product,0),2)&amp;"_16",Lookup_NoteRateStack,0),2),"na")</f>
        <v>11.25</v>
      </c>
      <c r="F67" s="1040">
        <f>IFERROR(INDEX(Lookup_NoteRateAll,MATCH(INDEX(List_ProductAll,MATCH(Input_Product,List_Product,0),2)&amp;"_16",Lookup_NoteRateStack,0),5),"na")</f>
        <v>109.125</v>
      </c>
      <c r="G67" s="1040">
        <f t="shared" si="26"/>
        <v>-0.125</v>
      </c>
      <c r="H67" s="1040">
        <f t="shared" si="27"/>
        <v>101</v>
      </c>
      <c r="I67" s="1040">
        <f>IFERROR(INDEX(Lookup_NoteRateAll,MATCH(INDEX(List_ProductAll,MATCH(Input_Product,List_Product,0),2)&amp;"_16",Lookup_NoteRateStack,0),7),"na")</f>
        <v>0</v>
      </c>
      <c r="J67" s="1081">
        <f>INDEX(Lookup_Price_Output_All,MATCH(Lookup_Price_Code_Output_02,Lookup_Price_Output_Code,0),3)</f>
        <v>106.125</v>
      </c>
      <c r="K67" s="1159"/>
      <c r="M67" s="2156" t="str">
        <f>IF(Input_RateSheet_Type="Standard","","10/6 40yr ARM SOFR")</f>
        <v/>
      </c>
      <c r="N67" s="783" t="s">
        <v>4</v>
      </c>
      <c r="O67" s="783">
        <v>1</v>
      </c>
      <c r="P67" s="788" t="s">
        <v>437</v>
      </c>
      <c r="Q67" s="718">
        <v>480</v>
      </c>
      <c r="R67" s="718">
        <v>360</v>
      </c>
      <c r="S67" s="718">
        <v>120</v>
      </c>
      <c r="T67" s="718"/>
      <c r="U67" s="590" t="str">
        <f>IF(M67="","",MAX(U$49:U66)+1)</f>
        <v/>
      </c>
      <c r="V67" s="591" t="str">
        <f t="shared" si="19"/>
        <v/>
      </c>
      <c r="W67" s="515" t="s">
        <v>76</v>
      </c>
      <c r="X67" s="1199" t="s">
        <v>1524</v>
      </c>
      <c r="Y67" s="1199" t="s">
        <v>67</v>
      </c>
      <c r="Z67" s="602">
        <f>-Input_PL_IncentiveMaxAdj_LenderPaidComp+Input_PL_MaxPriceBase_IR_02PP+Input_PL_Incentive_IR+Input_PL_IncentiveMaxAdj_IR</f>
        <v>101</v>
      </c>
      <c r="AA67" s="603" cm="1">
        <f t="array" ref="AA67">[1]!Input_MaxPriceNet_IR_02PP</f>
        <v>104</v>
      </c>
      <c r="AB67" s="515" t="s">
        <v>76</v>
      </c>
      <c r="AC67" s="704" t="s">
        <v>49</v>
      </c>
      <c r="AD67" s="705"/>
      <c r="AE67" s="515"/>
      <c r="AF67" s="869" t="s">
        <v>4163</v>
      </c>
      <c r="AG67" s="718" t="s">
        <v>4206</v>
      </c>
      <c r="AQ67" s="854">
        <v>0.75</v>
      </c>
      <c r="AR67" s="855" t="s">
        <v>352</v>
      </c>
      <c r="AS67" s="711" t="s">
        <v>107</v>
      </c>
      <c r="AT67" s="515"/>
      <c r="AV67" s="1267" t="s">
        <v>1765</v>
      </c>
      <c r="AW67" s="1238" t="s">
        <v>1766</v>
      </c>
      <c r="AX67" s="1239" t="str">
        <f t="shared" ref="AX67" si="73">"PH_"&amp;RIGHT("000"&amp;TRUNC(Lookup_NoteRate),3)&amp;TEXT(Lookup_NoteRate-TRUNC(Lookup_NoteRate),".0000000000")</f>
        <v>PH_010.3750000000</v>
      </c>
      <c r="AY67" s="1240">
        <f>[1]!PH_R22</f>
        <v>10.375</v>
      </c>
      <c r="AZ67" s="1240"/>
      <c r="BA67" s="1240" t="e">
        <f>[1]!PH_FRM30_P22+Input_PL_Incentive_PH</f>
        <v>#N/A</v>
      </c>
      <c r="BB67" s="1239" t="e">
        <f t="shared" ref="BB67" si="74">IF(INDEX(List_AmortTermAll,MATCH(Input_AmortTerm,List_AmortTerm,0),3)=1,AZ67,IF(INDEX(List_AmortTermAll,MATCH(Input_AmortTerm,List_AmortTerm,0),3)=2,BA67,#N/A))</f>
        <v>#N/A</v>
      </c>
      <c r="BC67" s="1239" t="e">
        <f t="shared" ref="BC67" si="75">"PH_"&amp;RIGHT("000"&amp;TRUNC(Lookup_PriceText),3)&amp;TEXT(Lookup_PriceText-TRUNC(Lookup_PriceText),".0000000000")</f>
        <v>#N/A</v>
      </c>
      <c r="BD67" s="1239" cm="1">
        <f t="array" ref="BD67">[1]!PH_FRM30_M22</f>
        <v>2.875</v>
      </c>
      <c r="BE67" s="1268" t="s">
        <v>1864</v>
      </c>
      <c r="BG67" s="515"/>
      <c r="BH67" s="515"/>
      <c r="BI67" s="515"/>
      <c r="BJ67" s="515"/>
      <c r="BK67" s="515"/>
      <c r="BL67" s="515"/>
    </row>
    <row r="68" spans="3:66" ht="9.6" customHeight="1" x14ac:dyDescent="0.2">
      <c r="C68" s="820"/>
      <c r="D68" s="1040" t="str">
        <f>IFERROR(INDEX(Lookup_NoteRateAll,MATCH(INDEX(List_ProductAll,MATCH(Input_Product,List_Product,0),2)&amp;"_17",Lookup_NoteRateStack,0),1),"na")</f>
        <v>PT_011.1250000000</v>
      </c>
      <c r="E68" s="1040">
        <f>IFERROR(INDEX(Lookup_NoteRateAll,MATCH(INDEX(List_ProductAll,MATCH(Input_Product,List_Product,0),2)&amp;"_17",Lookup_NoteRateStack,0),2),"na")</f>
        <v>11.125</v>
      </c>
      <c r="F68" s="1040">
        <f>IFERROR(INDEX(Lookup_NoteRateAll,MATCH(INDEX(List_ProductAll,MATCH(Input_Product,List_Product,0),2)&amp;"_17",Lookup_NoteRateStack,0),5),"na")</f>
        <v>108.875</v>
      </c>
      <c r="G68" s="1040">
        <f t="shared" si="26"/>
        <v>-0.125</v>
      </c>
      <c r="H68" s="1040">
        <f t="shared" si="27"/>
        <v>101</v>
      </c>
      <c r="I68" s="1040">
        <f>IFERROR(INDEX(Lookup_NoteRateAll,MATCH(INDEX(List_ProductAll,MATCH(Input_Product,List_Product,0),2)&amp;"_17",Lookup_NoteRateStack,0),7),"na")</f>
        <v>0</v>
      </c>
      <c r="J68" s="1158"/>
      <c r="K68" s="1159"/>
      <c r="W68" s="515"/>
      <c r="X68" s="1199" t="s">
        <v>1525</v>
      </c>
      <c r="Y68" s="1199" t="s">
        <v>66</v>
      </c>
      <c r="Z68" s="602">
        <f>-Input_PL_IncentiveMaxAdj_LenderPaidComp+Input_PL_MaxPriceBase_IR_03PP+Input_PL_Incentive_IR+Input_PL_IncentiveMaxAdj_IR</f>
        <v>101.5</v>
      </c>
      <c r="AA68" s="603" cm="1">
        <f t="array" ref="AA68">[1]!Input_MaxPriceNet_IR_03PP</f>
        <v>104.5</v>
      </c>
      <c r="AB68" s="515" t="s">
        <v>76</v>
      </c>
      <c r="AC68" s="716" t="s">
        <v>47</v>
      </c>
      <c r="AD68" s="717"/>
      <c r="AE68" s="515"/>
      <c r="AF68" s="2458" t="s">
        <v>4164</v>
      </c>
      <c r="AG68" s="1055" t="s">
        <v>4207</v>
      </c>
      <c r="AQ68" s="854">
        <v>1</v>
      </c>
      <c r="AR68" s="855" t="s">
        <v>351</v>
      </c>
      <c r="AS68" s="711" t="s">
        <v>107</v>
      </c>
      <c r="AV68" s="1267" t="s">
        <v>1765</v>
      </c>
      <c r="AW68" s="1238" t="s">
        <v>1766</v>
      </c>
      <c r="AX68" s="1239" t="str">
        <f t="shared" ref="AX68" si="76">"PH_"&amp;RIGHT("000"&amp;TRUNC(Lookup_NoteRate),3)&amp;TEXT(Lookup_NoteRate-TRUNC(Lookup_NoteRate),".0000000000")</f>
        <v>PH_010.2500000000</v>
      </c>
      <c r="AY68" s="1240">
        <f>[1]!PH_R23</f>
        <v>10.25</v>
      </c>
      <c r="AZ68" s="1240"/>
      <c r="BA68" s="1240" t="e">
        <f>[1]!PH_FRM30_P23+Input_PL_Incentive_PH</f>
        <v>#N/A</v>
      </c>
      <c r="BB68" s="1239" t="e">
        <f t="shared" ref="BB68" si="77">IF(INDEX(List_AmortTermAll,MATCH(Input_AmortTerm,List_AmortTerm,0),3)=1,AZ68,IF(INDEX(List_AmortTermAll,MATCH(Input_AmortTerm,List_AmortTerm,0),3)=2,BA68,#N/A))</f>
        <v>#N/A</v>
      </c>
      <c r="BC68" s="1239" t="e">
        <f t="shared" ref="BC68" si="78">"PH_"&amp;RIGHT("000"&amp;TRUNC(Lookup_PriceText),3)&amp;TEXT(Lookup_PriceText-TRUNC(Lookup_PriceText),".0000000000")</f>
        <v>#N/A</v>
      </c>
      <c r="BD68" s="1239" cm="1">
        <f t="array" ref="BD68">[1]!PH_FRM30_M23</f>
        <v>2.75</v>
      </c>
      <c r="BE68" s="1268" t="s">
        <v>1865</v>
      </c>
      <c r="BG68" s="515"/>
      <c r="BJ68" s="515"/>
      <c r="BK68" s="515"/>
      <c r="BL68" s="515"/>
    </row>
    <row r="69" spans="3:66" ht="9.6" customHeight="1" x14ac:dyDescent="0.2">
      <c r="C69" s="820"/>
      <c r="D69" s="1040" t="str">
        <f>IFERROR(INDEX(Lookup_NoteRateAll,MATCH(INDEX(List_ProductAll,MATCH(Input_Product,List_Product,0),2)&amp;"_18",Lookup_NoteRateStack,0),1),"na")</f>
        <v>PT_011.0000000000</v>
      </c>
      <c r="E69" s="1040">
        <f>IFERROR(INDEX(Lookup_NoteRateAll,MATCH(INDEX(List_ProductAll,MATCH(Input_Product,List_Product,0),2)&amp;"_18",Lookup_NoteRateStack,0),2),"na")</f>
        <v>11</v>
      </c>
      <c r="F69" s="1040">
        <f>IFERROR(INDEX(Lookup_NoteRateAll,MATCH(INDEX(List_ProductAll,MATCH(Input_Product,List_Product,0),2)&amp;"_18",Lookup_NoteRateStack,0),5),"na")</f>
        <v>108.625</v>
      </c>
      <c r="G69" s="1040">
        <f t="shared" si="26"/>
        <v>-0.125</v>
      </c>
      <c r="H69" s="1040">
        <f t="shared" si="27"/>
        <v>101</v>
      </c>
      <c r="I69" s="1040">
        <f>IFERROR(INDEX(Lookup_NoteRateAll,MATCH(INDEX(List_ProductAll,MATCH(Input_Product,List_Product,0),2)&amp;"_18",Lookup_NoteRateStack,0),7),"na")</f>
        <v>0</v>
      </c>
      <c r="J69" s="2016" t="s">
        <v>3873</v>
      </c>
      <c r="K69" s="1159"/>
      <c r="W69" s="515"/>
      <c r="X69" s="1199" t="s">
        <v>1526</v>
      </c>
      <c r="Y69" s="1199" t="s">
        <v>165</v>
      </c>
      <c r="Z69" s="602">
        <f>-Input_PL_IncentiveMaxAdj_LenderPaidComp+Input_PL_MaxPriceBase_IR_04PP+Input_PL_Incentive_IR+Input_PL_IncentiveMaxAdj_IR</f>
        <v>101.5</v>
      </c>
      <c r="AA69" s="603" cm="1">
        <f t="array" ref="AA69">[1]!Input_MaxPriceNet_IR_04PP</f>
        <v>104.5</v>
      </c>
      <c r="AB69" s="515" t="s">
        <v>76</v>
      </c>
      <c r="AE69" s="515"/>
      <c r="AF69" s="754" t="s">
        <v>4165</v>
      </c>
      <c r="AG69" s="742" t="s">
        <v>4207</v>
      </c>
      <c r="AQ69" s="854">
        <v>1.1000000000000001</v>
      </c>
      <c r="AR69" s="859" t="s">
        <v>299</v>
      </c>
      <c r="AS69" s="711" t="s">
        <v>107</v>
      </c>
      <c r="AV69" s="1267" t="s">
        <v>1765</v>
      </c>
      <c r="AW69" s="1238" t="s">
        <v>1766</v>
      </c>
      <c r="AX69" s="1239" t="str">
        <f t="shared" ref="AX69" si="79">"PH_"&amp;RIGHT("000"&amp;TRUNC(Lookup_NoteRate),3)&amp;TEXT(Lookup_NoteRate-TRUNC(Lookup_NoteRate),".0000000000")</f>
        <v>PH_010.1250000000</v>
      </c>
      <c r="AY69" s="1240">
        <f>[1]!PH_R24</f>
        <v>10.125</v>
      </c>
      <c r="AZ69" s="1240"/>
      <c r="BA69" s="1240" t="e">
        <f>[1]!PH_FRM30_P24+Input_PL_Incentive_PH</f>
        <v>#N/A</v>
      </c>
      <c r="BB69" s="1239" t="e">
        <f t="shared" ref="BB69" si="80">IF(INDEX(List_AmortTermAll,MATCH(Input_AmortTerm,List_AmortTerm,0),3)=1,AZ69,IF(INDEX(List_AmortTermAll,MATCH(Input_AmortTerm,List_AmortTerm,0),3)=2,BA69,#N/A))</f>
        <v>#N/A</v>
      </c>
      <c r="BC69" s="1239" t="e">
        <f t="shared" ref="BC69" si="81">"PH_"&amp;RIGHT("000"&amp;TRUNC(Lookup_PriceText),3)&amp;TEXT(Lookup_PriceText-TRUNC(Lookup_PriceText),".0000000000")</f>
        <v>#N/A</v>
      </c>
      <c r="BD69" s="1239" cm="1">
        <f t="array" ref="BD69">[1]!PH_FRM30_M24</f>
        <v>2.625</v>
      </c>
      <c r="BE69" s="1268" t="s">
        <v>1866</v>
      </c>
      <c r="BL69" s="515"/>
    </row>
    <row r="70" spans="3:66" ht="9.6" customHeight="1" x14ac:dyDescent="0.2">
      <c r="C70" s="820"/>
      <c r="D70" s="1040" t="str">
        <f>IFERROR(INDEX(Lookup_NoteRateAll,MATCH(INDEX(List_ProductAll,MATCH(Input_Product,List_Product,0),2)&amp;"_19",Lookup_NoteRateStack,0),1),"na")</f>
        <v>PT_010.8750000000</v>
      </c>
      <c r="E70" s="1040">
        <f>IFERROR(INDEX(Lookup_NoteRateAll,MATCH(INDEX(List_ProductAll,MATCH(Input_Product,List_Product,0),2)&amp;"_19",Lookup_NoteRateStack,0),2),"na")</f>
        <v>10.875</v>
      </c>
      <c r="F70" s="1040">
        <f>IFERROR(INDEX(Lookup_NoteRateAll,MATCH(INDEX(List_ProductAll,MATCH(Input_Product,List_Product,0),2)&amp;"_19",Lookup_NoteRateStack,0),5),"na")</f>
        <v>108.375</v>
      </c>
      <c r="G70" s="1040">
        <f t="shared" si="26"/>
        <v>-0.125</v>
      </c>
      <c r="H70" s="1040">
        <f t="shared" si="27"/>
        <v>101</v>
      </c>
      <c r="I70" s="1040">
        <f>IFERROR(INDEX(Lookup_NoteRateAll,MATCH(INDEX(List_ProductAll,MATCH(Input_Product,List_Product,0),2)&amp;"_19",Lookup_NoteRateStack,0),7),"na")</f>
        <v>0</v>
      </c>
      <c r="J70" s="1080">
        <f>INDEX(Lookup_Price_Output_All,MATCH(Lookup_Price_Code_Output_01,Lookup_Price_Output_Code,0),6)</f>
        <v>0</v>
      </c>
      <c r="K70" s="1159"/>
      <c r="Q70" s="515"/>
      <c r="R70" s="515"/>
      <c r="S70" s="515"/>
      <c r="T70" s="515"/>
      <c r="U70" s="515"/>
      <c r="V70" s="515"/>
      <c r="W70" s="515"/>
      <c r="X70" s="1200" t="s">
        <v>1527</v>
      </c>
      <c r="Y70" s="1200" t="s">
        <v>166</v>
      </c>
      <c r="Z70" s="610">
        <f>-Input_PL_IncentiveMaxAdj_LenderPaidComp+Input_PL_MaxPriceBase_IR_05PP+Input_PL_Incentive_IR+Input_PL_IncentiveMaxAdj_IR</f>
        <v>101.5</v>
      </c>
      <c r="AA70" s="611" cm="1">
        <f t="array" ref="AA70">[1]!Input_MaxPriceNet_IR_05PP</f>
        <v>104.5</v>
      </c>
      <c r="AB70" s="515" t="s">
        <v>76</v>
      </c>
      <c r="AC70" s="751" t="s">
        <v>46</v>
      </c>
      <c r="AD70" s="787"/>
      <c r="AF70" s="716" t="s">
        <v>4166</v>
      </c>
      <c r="AG70" s="743" t="s">
        <v>4207</v>
      </c>
      <c r="AQ70" s="854">
        <v>1.25</v>
      </c>
      <c r="AR70" s="859" t="s">
        <v>300</v>
      </c>
      <c r="AS70" s="711" t="s">
        <v>107</v>
      </c>
      <c r="AV70" s="1267" t="s">
        <v>1765</v>
      </c>
      <c r="AW70" s="1238" t="s">
        <v>1766</v>
      </c>
      <c r="AX70" s="1239" t="str">
        <f t="shared" ref="AX70" si="82">"PH_"&amp;RIGHT("000"&amp;TRUNC(Lookup_NoteRate),3)&amp;TEXT(Lookup_NoteRate-TRUNC(Lookup_NoteRate),".0000000000")</f>
        <v>PH_010.0000000000</v>
      </c>
      <c r="AY70" s="1240">
        <f>[1]!PH_R25</f>
        <v>10</v>
      </c>
      <c r="AZ70" s="1240"/>
      <c r="BA70" s="1240" t="e">
        <f>[1]!PH_FRM30_P25+Input_PL_Incentive_PH</f>
        <v>#N/A</v>
      </c>
      <c r="BB70" s="1239" t="e">
        <f t="shared" ref="BB70" si="83">IF(INDEX(List_AmortTermAll,MATCH(Input_AmortTerm,List_AmortTerm,0),3)=1,AZ70,IF(INDEX(List_AmortTermAll,MATCH(Input_AmortTerm,List_AmortTerm,0),3)=2,BA70,#N/A))</f>
        <v>#N/A</v>
      </c>
      <c r="BC70" s="1239" t="e">
        <f t="shared" ref="BC70" si="84">"PH_"&amp;RIGHT("000"&amp;TRUNC(Lookup_PriceText),3)&amp;TEXT(Lookup_PriceText-TRUNC(Lookup_PriceText),".0000000000")</f>
        <v>#N/A</v>
      </c>
      <c r="BD70" s="1239" cm="1">
        <f t="array" ref="BD70">[1]!PH_FRM30_M25</f>
        <v>2.5</v>
      </c>
      <c r="BE70" s="1268" t="s">
        <v>1867</v>
      </c>
      <c r="BL70" s="515"/>
    </row>
    <row r="71" spans="3:66" ht="9.6" customHeight="1" x14ac:dyDescent="0.2">
      <c r="C71" s="820"/>
      <c r="D71" s="1040" t="str">
        <f>IFERROR(INDEX(Lookup_NoteRateAll,MATCH(INDEX(List_ProductAll,MATCH(Input_Product,List_Product,0),2)&amp;"_20",Lookup_NoteRateStack,0),1),"na")</f>
        <v>PT_010.7500000000</v>
      </c>
      <c r="E71" s="1040">
        <f>IFERROR(INDEX(Lookup_NoteRateAll,MATCH(INDEX(List_ProductAll,MATCH(Input_Product,List_Product,0),2)&amp;"_20",Lookup_NoteRateStack,0),2),"na")</f>
        <v>10.75</v>
      </c>
      <c r="F71" s="1040">
        <f>IFERROR(INDEX(Lookup_NoteRateAll,MATCH(INDEX(List_ProductAll,MATCH(Input_Product,List_Product,0),2)&amp;"_20",Lookup_NoteRateStack,0),5),"na")</f>
        <v>108.125</v>
      </c>
      <c r="G71" s="1040">
        <f t="shared" si="26"/>
        <v>-0.125</v>
      </c>
      <c r="H71" s="1040">
        <f t="shared" si="27"/>
        <v>101</v>
      </c>
      <c r="I71" s="1040">
        <f>IFERROR(INDEX(Lookup_NoteRateAll,MATCH(INDEX(List_ProductAll,MATCH(Input_Product,List_Product,0),2)&amp;"_20",Lookup_NoteRateStack,0),7),"na")</f>
        <v>0</v>
      </c>
      <c r="J71" s="1081">
        <f>INDEX(Lookup_Price_Output_All,MATCH(Lookup_Price_Code_Output_02,Lookup_Price_Output_Code,0),6)</f>
        <v>0</v>
      </c>
      <c r="K71" s="1159"/>
      <c r="Q71" s="515"/>
      <c r="R71" s="515"/>
      <c r="S71" s="515"/>
      <c r="T71" s="515"/>
      <c r="U71" s="515"/>
      <c r="V71" s="515"/>
      <c r="X71" s="1003" t="s">
        <v>1784</v>
      </c>
      <c r="Y71" s="1003" t="s">
        <v>82</v>
      </c>
      <c r="Z71" s="560" t="e">
        <f>-Input_PL_IncentiveMaxAdj_LenderPaidComp+Input_PL_MaxPriceBase_PH_NoPP+Input_PL_Incentive_PH+Input_PL_IncentiveMaxAdj_PH</f>
        <v>#N/A</v>
      </c>
      <c r="AA71" s="561" cm="1">
        <f t="array" ref="AA71">[1]!Input_MaxPriceNet_PH_NoPP</f>
        <v>104</v>
      </c>
      <c r="AB71" s="515" t="s">
        <v>76</v>
      </c>
      <c r="AC71" s="704" t="s">
        <v>217</v>
      </c>
      <c r="AD71" s="866"/>
      <c r="AQ71" s="867">
        <v>1.5</v>
      </c>
      <c r="AR71" s="868" t="s">
        <v>355</v>
      </c>
      <c r="AS71" s="718" t="s">
        <v>107</v>
      </c>
      <c r="AV71" s="1267" t="s">
        <v>1765</v>
      </c>
      <c r="AW71" s="1238" t="s">
        <v>1766</v>
      </c>
      <c r="AX71" s="1239" t="str">
        <f t="shared" ref="AX71" si="85">"PH_"&amp;RIGHT("000"&amp;TRUNC(Lookup_NoteRate),3)&amp;TEXT(Lookup_NoteRate-TRUNC(Lookup_NoteRate),".0000000000")</f>
        <v>PH_009.8750000000</v>
      </c>
      <c r="AY71" s="1240">
        <f>[1]!PH_R26</f>
        <v>9.875</v>
      </c>
      <c r="AZ71" s="1240"/>
      <c r="BA71" s="1240" t="e">
        <f>[1]!PH_FRM30_P26+Input_PL_Incentive_PH</f>
        <v>#N/A</v>
      </c>
      <c r="BB71" s="1239" t="e">
        <f t="shared" ref="BB71" si="86">IF(INDEX(List_AmortTermAll,MATCH(Input_AmortTerm,List_AmortTerm,0),3)=1,AZ71,IF(INDEX(List_AmortTermAll,MATCH(Input_AmortTerm,List_AmortTerm,0),3)=2,BA71,#N/A))</f>
        <v>#N/A</v>
      </c>
      <c r="BC71" s="1239" t="e">
        <f t="shared" ref="BC71" si="87">"PH_"&amp;RIGHT("000"&amp;TRUNC(Lookup_PriceText),3)&amp;TEXT(Lookup_PriceText-TRUNC(Lookup_PriceText),".0000000000")</f>
        <v>#N/A</v>
      </c>
      <c r="BD71" s="1239" cm="1">
        <f t="array" ref="BD71">[1]!PH_FRM30_M26</f>
        <v>2.375</v>
      </c>
      <c r="BE71" s="1268" t="s">
        <v>1868</v>
      </c>
      <c r="BL71" s="515"/>
    </row>
    <row r="72" spans="3:66" ht="9.6" customHeight="1" x14ac:dyDescent="0.2">
      <c r="C72" s="820"/>
      <c r="D72" s="1040" t="str">
        <f>IFERROR(INDEX(Lookup_NoteRateAll,MATCH(INDEX(List_ProductAll,MATCH(Input_Product,List_Product,0),2)&amp;"_21",Lookup_NoteRateStack,0),1),"na")</f>
        <v>PT_010.6250000000</v>
      </c>
      <c r="E72" s="1040">
        <f>IFERROR(INDEX(Lookup_NoteRateAll,MATCH(INDEX(List_ProductAll,MATCH(Input_Product,List_Product,0),2)&amp;"_21",Lookup_NoteRateStack,0),2),"na")</f>
        <v>10.625</v>
      </c>
      <c r="F72" s="1040">
        <f>IFERROR(INDEX(Lookup_NoteRateAll,MATCH(INDEX(List_ProductAll,MATCH(Input_Product,List_Product,0),2)&amp;"_21",Lookup_NoteRateStack,0),5),"na")</f>
        <v>107.875</v>
      </c>
      <c r="G72" s="1040">
        <f t="shared" si="26"/>
        <v>-0.125</v>
      </c>
      <c r="H72" s="1040">
        <f t="shared" si="27"/>
        <v>101</v>
      </c>
      <c r="I72" s="1040">
        <f>IFERROR(INDEX(Lookup_NoteRateAll,MATCH(INDEX(List_ProductAll,MATCH(Input_Product,List_Product,0),2)&amp;"_21",Lookup_NoteRateStack,0),7),"na")</f>
        <v>0</v>
      </c>
      <c r="J72" s="1158"/>
      <c r="K72" s="1159"/>
      <c r="M72" s="1362" t="s">
        <v>147</v>
      </c>
      <c r="N72" s="1363" t="s">
        <v>172</v>
      </c>
      <c r="O72" s="515"/>
      <c r="P72" s="515"/>
      <c r="R72" s="2767" t="s">
        <v>1692</v>
      </c>
      <c r="S72" s="2768"/>
      <c r="T72" s="515"/>
      <c r="U72" s="515"/>
      <c r="V72" s="515"/>
      <c r="X72" s="1003" t="s">
        <v>2033</v>
      </c>
      <c r="Y72" s="1003" t="s">
        <v>82</v>
      </c>
      <c r="Z72" s="560" t="e">
        <f>-Input_PL_IncentiveMaxAdj_LenderPaidComp+Input_PL_MaxPriceBase_IH_NoPP+Input_PL_Incentive_IH+Input_PL_IncentiveMaxAdj_IH</f>
        <v>#N/A</v>
      </c>
      <c r="AA72" s="561" cm="1">
        <f t="array" ref="AA72">[1]!Input_MaxPriceNet_IH_NoPP</f>
        <v>104</v>
      </c>
      <c r="AB72" s="515" t="s">
        <v>76</v>
      </c>
      <c r="AC72" s="754" t="s">
        <v>215</v>
      </c>
      <c r="AD72" s="742"/>
      <c r="AV72" s="1267" t="s">
        <v>1765</v>
      </c>
      <c r="AW72" s="1238" t="s">
        <v>1766</v>
      </c>
      <c r="AX72" s="1239" t="str">
        <f t="shared" ref="AX72" si="88">"PH_"&amp;RIGHT("000"&amp;TRUNC(Lookup_NoteRate),3)&amp;TEXT(Lookup_NoteRate-TRUNC(Lookup_NoteRate),".0000000000")</f>
        <v>PH_009.7500000000</v>
      </c>
      <c r="AY72" s="1240">
        <f>[1]!PH_R27</f>
        <v>9.75</v>
      </c>
      <c r="AZ72" s="1240"/>
      <c r="BA72" s="1240" t="e">
        <f>[1]!PH_FRM30_P27+Input_PL_Incentive_PH</f>
        <v>#N/A</v>
      </c>
      <c r="BB72" s="1239" t="e">
        <f t="shared" ref="BB72" si="89">IF(INDEX(List_AmortTermAll,MATCH(Input_AmortTerm,List_AmortTerm,0),3)=1,AZ72,IF(INDEX(List_AmortTermAll,MATCH(Input_AmortTerm,List_AmortTerm,0),3)=2,BA72,#N/A))</f>
        <v>#N/A</v>
      </c>
      <c r="BC72" s="1239" t="e">
        <f t="shared" ref="BC72" si="90">"PH_"&amp;RIGHT("000"&amp;TRUNC(Lookup_PriceText),3)&amp;TEXT(Lookup_PriceText-TRUNC(Lookup_PriceText),".0000000000")</f>
        <v>#N/A</v>
      </c>
      <c r="BD72" s="1239" cm="1">
        <f t="array" ref="BD72">[1]!PH_FRM30_M27</f>
        <v>2.25</v>
      </c>
      <c r="BE72" s="1268" t="s">
        <v>1869</v>
      </c>
      <c r="BL72" s="515"/>
    </row>
    <row r="73" spans="3:66" ht="9.6" customHeight="1" x14ac:dyDescent="0.2">
      <c r="C73" s="820"/>
      <c r="D73" s="1040" t="str">
        <f>IFERROR(INDEX(Lookup_NoteRateAll,MATCH(INDEX(List_ProductAll,MATCH(Input_Product,List_Product,0),2)&amp;"_22",Lookup_NoteRateStack,0),1),"na")</f>
        <v>PT_010.5000000000</v>
      </c>
      <c r="E73" s="1040">
        <f>IFERROR(INDEX(Lookup_NoteRateAll,MATCH(INDEX(List_ProductAll,MATCH(Input_Product,List_Product,0),2)&amp;"_22",Lookup_NoteRateStack,0),2),"na")</f>
        <v>10.5</v>
      </c>
      <c r="F73" s="1040">
        <f>IFERROR(INDEX(Lookup_NoteRateAll,MATCH(INDEX(List_ProductAll,MATCH(Input_Product,List_Product,0),2)&amp;"_22",Lookup_NoteRateStack,0),5),"na")</f>
        <v>107.625</v>
      </c>
      <c r="G73" s="1040">
        <f t="shared" si="26"/>
        <v>-0.125</v>
      </c>
      <c r="H73" s="1040">
        <f t="shared" si="27"/>
        <v>101</v>
      </c>
      <c r="I73" s="1040">
        <f>IFERROR(INDEX(Lookup_NoteRateAll,MATCH(INDEX(List_ProductAll,MATCH(Input_Product,List_Product,0),2)&amp;"_22",Lookup_NoteRateStack,0),7),"na")</f>
        <v>0</v>
      </c>
      <c r="J73" s="1158"/>
      <c r="K73" s="1159"/>
      <c r="M73" s="1441" t="s">
        <v>488</v>
      </c>
      <c r="N73" s="1442" t="s">
        <v>1208</v>
      </c>
      <c r="O73" s="515"/>
      <c r="P73" s="840" t="s">
        <v>306</v>
      </c>
      <c r="Q73" s="841" t="s">
        <v>1699</v>
      </c>
      <c r="R73" s="841" t="s">
        <v>1727</v>
      </c>
      <c r="S73" s="841" t="s">
        <v>1728</v>
      </c>
      <c r="T73" s="515"/>
      <c r="U73" s="515"/>
      <c r="V73" s="515"/>
      <c r="X73" s="1722" t="s">
        <v>3056</v>
      </c>
      <c r="Y73" s="1722" t="s">
        <v>82</v>
      </c>
      <c r="Z73" s="1732">
        <f>-Input_PL_IncentiveMaxAdj_LenderPaidComp+Input_PL_MaxPriceBase_XP_NoPP+Input_PL_Incentive_XP+Input_PL_IncentiveMaxAdj_XP</f>
        <v>103</v>
      </c>
      <c r="AA73" s="1733" cm="1">
        <f t="array" ref="AA73">[1]!Input_MaxPriceNet_XP_NoPP</f>
        <v>103</v>
      </c>
      <c r="AB73" s="515" t="s">
        <v>76</v>
      </c>
      <c r="AC73" s="555" t="s">
        <v>216</v>
      </c>
      <c r="AD73" s="791"/>
      <c r="AR73" s="514" t="s">
        <v>423</v>
      </c>
      <c r="AV73" s="1267" t="s">
        <v>1765</v>
      </c>
      <c r="AW73" s="1238" t="s">
        <v>1766</v>
      </c>
      <c r="AX73" s="1239" t="str">
        <f t="shared" ref="AX73" si="91">"PH_"&amp;RIGHT("000"&amp;TRUNC(Lookup_NoteRate),3)&amp;TEXT(Lookup_NoteRate-TRUNC(Lookup_NoteRate),".0000000000")</f>
        <v>PH_009.6250000000</v>
      </c>
      <c r="AY73" s="1240">
        <f>[1]!PH_R28</f>
        <v>9.625</v>
      </c>
      <c r="AZ73" s="1240"/>
      <c r="BA73" s="1240" t="e">
        <f>[1]!PH_FRM30_P28+Input_PL_Incentive_PH</f>
        <v>#N/A</v>
      </c>
      <c r="BB73" s="1239" t="e">
        <f t="shared" ref="BB73" si="92">IF(INDEX(List_AmortTermAll,MATCH(Input_AmortTerm,List_AmortTerm,0),3)=1,AZ73,IF(INDEX(List_AmortTermAll,MATCH(Input_AmortTerm,List_AmortTerm,0),3)=2,BA73,#N/A))</f>
        <v>#N/A</v>
      </c>
      <c r="BC73" s="1239" t="e">
        <f t="shared" ref="BC73" si="93">"PH_"&amp;RIGHT("000"&amp;TRUNC(Lookup_PriceText),3)&amp;TEXT(Lookup_PriceText-TRUNC(Lookup_PriceText),".0000000000")</f>
        <v>#N/A</v>
      </c>
      <c r="BD73" s="1239" cm="1">
        <f t="array" ref="BD73">[1]!PH_FRM30_M28</f>
        <v>2.125</v>
      </c>
      <c r="BE73" s="1268" t="s">
        <v>1870</v>
      </c>
      <c r="BL73" s="515"/>
    </row>
    <row r="74" spans="3:66" ht="9.6" customHeight="1" x14ac:dyDescent="0.2">
      <c r="C74" s="820"/>
      <c r="D74" s="1040" t="str">
        <f>IFERROR(INDEX(Lookup_NoteRateAll,MATCH(INDEX(List_ProductAll,MATCH(Input_Product,List_Product,0),2)&amp;"_23",Lookup_NoteRateStack,0),1),"na")</f>
        <v>PT_010.3750000000</v>
      </c>
      <c r="E74" s="1040">
        <f>IFERROR(INDEX(Lookup_NoteRateAll,MATCH(INDEX(List_ProductAll,MATCH(Input_Product,List_Product,0),2)&amp;"_23",Lookup_NoteRateStack,0),2),"na")</f>
        <v>10.375</v>
      </c>
      <c r="F74" s="1040">
        <f>IFERROR(INDEX(Lookup_NoteRateAll,MATCH(INDEX(List_ProductAll,MATCH(Input_Product,List_Product,0),2)&amp;"_23",Lookup_NoteRateStack,0),5),"na")</f>
        <v>107.375</v>
      </c>
      <c r="G74" s="1040">
        <f t="shared" si="26"/>
        <v>-0.125</v>
      </c>
      <c r="H74" s="1040">
        <f t="shared" si="27"/>
        <v>101</v>
      </c>
      <c r="I74" s="1040">
        <f>IFERROR(INDEX(Lookup_NoteRateAll,MATCH(INDEX(List_ProductAll,MATCH(Input_Product,List_Product,0),2)&amp;"_23",Lookup_NoteRateStack,0),7),"na")</f>
        <v>0</v>
      </c>
      <c r="J74" s="1158"/>
      <c r="K74" s="2017">
        <f>IF(Error_NoteRate="Y",#N/A,IF(Input_NoteRate&lt;=Find_NoteRate_Min,Find_MarginGross02,Find_MarginGross01-((Find_NoteRate01-Input_NoteRate)/(Find_NoteRate01-Find_NoteRate02))*(Find_MarginGross01-Find_MarginGross02)))</f>
        <v>0</v>
      </c>
      <c r="M74" s="1443" t="s">
        <v>489</v>
      </c>
      <c r="N74" s="1444" t="s">
        <v>1208</v>
      </c>
      <c r="O74" s="515"/>
      <c r="P74" s="846">
        <v>480</v>
      </c>
      <c r="Q74" s="847" cm="1">
        <f t="array" ref="Q74">[1]!Input_Index_Treasury30yr</f>
        <v>4.5999999999999996</v>
      </c>
      <c r="R74" s="847" cm="1">
        <f t="array" ref="R74">[1]!Input_Index_APOR_FRM30</f>
        <v>6.65</v>
      </c>
      <c r="S74" s="848" t="e" cm="1">
        <f t="array" ref="S74">[1]!Input_Index_APOR_ARM30</f>
        <v>#N/A</v>
      </c>
      <c r="T74" s="515"/>
      <c r="U74" s="515"/>
      <c r="V74" s="515"/>
      <c r="X74" s="1734" t="s">
        <v>3058</v>
      </c>
      <c r="Y74" s="1734" t="s">
        <v>82</v>
      </c>
      <c r="Z74" s="1735">
        <f>-Input_PL_IncentiveMaxAdj_LenderPaidComp+Input_PL_MaxPriceBase_XX_NoPP+Input_PL_Incentive_XX+Input_PL_IncentiveMaxAdj_XX</f>
        <v>103</v>
      </c>
      <c r="AA74" s="1736" cm="1">
        <f t="array" ref="AA74">[1]!Input_MaxPriceNet_XX_NoPP</f>
        <v>103</v>
      </c>
      <c r="AB74" s="515" t="s">
        <v>76</v>
      </c>
      <c r="AC74" s="869" t="s">
        <v>45</v>
      </c>
      <c r="AD74" s="718"/>
      <c r="AQ74" s="751" t="s">
        <v>419</v>
      </c>
      <c r="AR74" s="870">
        <v>2.5000000000000001E-2</v>
      </c>
      <c r="AS74" s="871">
        <v>0.05</v>
      </c>
      <c r="AT74" s="871">
        <v>0.1</v>
      </c>
      <c r="AU74" s="514" t="s">
        <v>76</v>
      </c>
      <c r="AV74" s="1267" t="s">
        <v>1765</v>
      </c>
      <c r="AW74" s="1238" t="s">
        <v>1766</v>
      </c>
      <c r="AX74" s="1239" t="str">
        <f t="shared" ref="AX74" si="94">"PH_"&amp;RIGHT("000"&amp;TRUNC(Lookup_NoteRate),3)&amp;TEXT(Lookup_NoteRate-TRUNC(Lookup_NoteRate),".0000000000")</f>
        <v>PH_009.5000000000</v>
      </c>
      <c r="AY74" s="1240">
        <f>[1]!PH_R29</f>
        <v>9.5</v>
      </c>
      <c r="AZ74" s="1240"/>
      <c r="BA74" s="1240" t="e">
        <f>[1]!PH_FRM30_P29+Input_PL_Incentive_PH</f>
        <v>#N/A</v>
      </c>
      <c r="BB74" s="1239" t="e">
        <f t="shared" ref="BB74" si="95">IF(INDEX(List_AmortTermAll,MATCH(Input_AmortTerm,List_AmortTerm,0),3)=1,AZ74,IF(INDEX(List_AmortTermAll,MATCH(Input_AmortTerm,List_AmortTerm,0),3)=2,BA74,#N/A))</f>
        <v>#N/A</v>
      </c>
      <c r="BC74" s="1239" t="e">
        <f t="shared" ref="BC74" si="96">"PH_"&amp;RIGHT("000"&amp;TRUNC(Lookup_PriceText),3)&amp;TEXT(Lookup_PriceText-TRUNC(Lookup_PriceText),".0000000000")</f>
        <v>#N/A</v>
      </c>
      <c r="BD74" s="1239" cm="1">
        <f t="array" ref="BD74">[1]!PH_FRM30_M29</f>
        <v>2</v>
      </c>
      <c r="BE74" s="1268" t="s">
        <v>1871</v>
      </c>
    </row>
    <row r="75" spans="3:66" ht="9.6" customHeight="1" x14ac:dyDescent="0.2">
      <c r="C75" s="820"/>
      <c r="D75" s="1040" t="str">
        <f>IFERROR(INDEX(Lookup_NoteRateAll,MATCH(INDEX(List_ProductAll,MATCH(Input_Product,List_Product,0),2)&amp;"_24",Lookup_NoteRateStack,0),1),"na")</f>
        <v>PT_010.2500000000</v>
      </c>
      <c r="E75" s="1040">
        <f>IFERROR(INDEX(Lookup_NoteRateAll,MATCH(INDEX(List_ProductAll,MATCH(Input_Product,List_Product,0),2)&amp;"_24",Lookup_NoteRateStack,0),2),"na")</f>
        <v>10.25</v>
      </c>
      <c r="F75" s="1040">
        <f>IFERROR(INDEX(Lookup_NoteRateAll,MATCH(INDEX(List_ProductAll,MATCH(Input_Product,List_Product,0),2)&amp;"_24",Lookup_NoteRateStack,0),5),"na")</f>
        <v>107.125</v>
      </c>
      <c r="G75" s="1040">
        <f t="shared" si="26"/>
        <v>-0.125</v>
      </c>
      <c r="H75" s="1040">
        <f t="shared" si="27"/>
        <v>101</v>
      </c>
      <c r="I75" s="1040">
        <f>IFERROR(INDEX(Lookup_NoteRateAll,MATCH(INDEX(List_ProductAll,MATCH(Input_Product,List_Product,0),2)&amp;"_24",Lookup_NoteRateStack,0),7),"na")</f>
        <v>0</v>
      </c>
      <c r="J75" s="1158"/>
      <c r="K75" s="1159"/>
      <c r="M75" s="1445" t="s">
        <v>490</v>
      </c>
      <c r="N75" s="1444" t="s">
        <v>1208</v>
      </c>
      <c r="O75" s="515"/>
      <c r="P75" s="851">
        <v>360</v>
      </c>
      <c r="Q75" s="852" cm="1">
        <f t="array" ref="Q75">[1]!Input_Index_Treasury30yr</f>
        <v>4.5999999999999996</v>
      </c>
      <c r="R75" s="852" cm="1">
        <f t="array" ref="R75">[1]!Input_Index_APOR_FRM30</f>
        <v>6.65</v>
      </c>
      <c r="S75" s="853" t="e" cm="1">
        <f t="array" ref="S75">[1]!Input_Index_APOR_ARM30</f>
        <v>#N/A</v>
      </c>
      <c r="T75" s="515"/>
      <c r="U75" s="515"/>
      <c r="V75" s="515"/>
      <c r="X75" s="1737" t="s">
        <v>3057</v>
      </c>
      <c r="Y75" s="1737" t="s">
        <v>82</v>
      </c>
      <c r="Z75" s="1738">
        <f>-Input_PL_IncentiveMaxAdj_LenderPaidComp+Input_PL_MaxPriceBase_YP_NoPP+Input_PL_Incentive_XP+Input_PL_IncentiveMaxAdj_XP</f>
        <v>101</v>
      </c>
      <c r="AA75" s="1739" cm="1">
        <f t="array" ref="AA75">[1]!Input_MaxPriceNet_YP_NoPP</f>
        <v>101</v>
      </c>
      <c r="AB75" s="515" t="s">
        <v>76</v>
      </c>
      <c r="AQ75" s="872" t="s">
        <v>420</v>
      </c>
      <c r="AR75" s="873">
        <v>0.1</v>
      </c>
      <c r="AS75" s="874">
        <v>0.13</v>
      </c>
      <c r="AT75" s="875">
        <v>0.2</v>
      </c>
      <c r="AU75" s="514" t="s">
        <v>76</v>
      </c>
      <c r="AV75" s="1267" t="s">
        <v>1765</v>
      </c>
      <c r="AW75" s="1238" t="s">
        <v>1766</v>
      </c>
      <c r="AX75" s="1239" t="str">
        <f t="shared" ref="AX75" si="97">"PH_"&amp;RIGHT("000"&amp;TRUNC(Lookup_NoteRate),3)&amp;TEXT(Lookup_NoteRate-TRUNC(Lookup_NoteRate),".0000000000")</f>
        <v>PH_009.3750000000</v>
      </c>
      <c r="AY75" s="1240">
        <f>[1]!PH_R30</f>
        <v>9.375</v>
      </c>
      <c r="AZ75" s="1240"/>
      <c r="BA75" s="1240" t="e">
        <f>[1]!PH_FRM30_P30+Input_PL_Incentive_PH</f>
        <v>#N/A</v>
      </c>
      <c r="BB75" s="1239" t="e">
        <f t="shared" ref="BB75" si="98">IF(INDEX(List_AmortTermAll,MATCH(Input_AmortTerm,List_AmortTerm,0),3)=1,AZ75,IF(INDEX(List_AmortTermAll,MATCH(Input_AmortTerm,List_AmortTerm,0),3)=2,BA75,#N/A))</f>
        <v>#N/A</v>
      </c>
      <c r="BC75" s="1239" t="e">
        <f t="shared" ref="BC75" si="99">"PH_"&amp;RIGHT("000"&amp;TRUNC(Lookup_PriceText),3)&amp;TEXT(Lookup_PriceText-TRUNC(Lookup_PriceText),".0000000000")</f>
        <v>#N/A</v>
      </c>
      <c r="BD75" s="1239" cm="1">
        <f t="array" ref="BD75">[1]!PH_FRM30_M30</f>
        <v>1.875</v>
      </c>
      <c r="BE75" s="1268" t="s">
        <v>1872</v>
      </c>
    </row>
    <row r="76" spans="3:66" ht="9.6" customHeight="1" x14ac:dyDescent="0.2">
      <c r="C76" s="820"/>
      <c r="D76" s="1040" t="str">
        <f>IFERROR(INDEX(Lookup_NoteRateAll,MATCH(INDEX(List_ProductAll,MATCH(Input_Product,List_Product,0),2)&amp;"_25",Lookup_NoteRateStack,0),1),"na")</f>
        <v>PT_010.1250000000</v>
      </c>
      <c r="E76" s="1040">
        <f>IFERROR(INDEX(Lookup_NoteRateAll,MATCH(INDEX(List_ProductAll,MATCH(Input_Product,List_Product,0),2)&amp;"_25",Lookup_NoteRateStack,0),2),"na")</f>
        <v>10.125</v>
      </c>
      <c r="F76" s="1040">
        <f>IFERROR(INDEX(Lookup_NoteRateAll,MATCH(INDEX(List_ProductAll,MATCH(Input_Product,List_Product,0),2)&amp;"_25",Lookup_NoteRateStack,0),5),"na")</f>
        <v>106.875</v>
      </c>
      <c r="G76" s="1040">
        <f t="shared" si="26"/>
        <v>-0.125</v>
      </c>
      <c r="H76" s="1040">
        <f t="shared" si="27"/>
        <v>101</v>
      </c>
      <c r="I76" s="1040">
        <f>IFERROR(INDEX(Lookup_NoteRateAll,MATCH(INDEX(List_ProductAll,MATCH(Input_Product,List_Product,0),2)&amp;"_25",Lookup_NoteRateStack,0),7),"na")</f>
        <v>0</v>
      </c>
      <c r="J76" s="1158"/>
      <c r="K76" s="1159"/>
      <c r="M76" s="1445" t="s">
        <v>3887</v>
      </c>
      <c r="N76" s="1444" t="s">
        <v>1208</v>
      </c>
      <c r="O76" s="515"/>
      <c r="P76" s="851">
        <v>240</v>
      </c>
      <c r="Q76" s="852" cm="1">
        <f t="array" ref="Q76">[1]!Input_Index_Treasury20yr</f>
        <v>4.6399999999999997</v>
      </c>
      <c r="R76" s="852" cm="1">
        <f t="array" ref="R76">[1]!Input_Index_APOR_FRM20</f>
        <v>6.31</v>
      </c>
      <c r="S76" s="853" t="e" cm="1">
        <f t="array" ref="S76">[1]!Input_Index_APOR_ARM20</f>
        <v>#N/A</v>
      </c>
      <c r="U76" s="515"/>
      <c r="V76" s="515"/>
      <c r="X76" s="1723" t="s">
        <v>3256</v>
      </c>
      <c r="Y76" s="1723" t="s">
        <v>68</v>
      </c>
      <c r="Z76" s="1724">
        <f>-Input_PL_IncentiveMaxAdj_LenderPaidComp+Input_PL_MaxPriceBase_YP_01PP+Input_PL_Incentive_XP+Input_PL_IncentiveMaxAdj_XP</f>
        <v>102</v>
      </c>
      <c r="AA76" s="1725" cm="1">
        <f t="array" ref="AA76">[1]!Input_MaxPriceNet_YP_01PP</f>
        <v>102</v>
      </c>
      <c r="AB76" s="515" t="s">
        <v>76</v>
      </c>
      <c r="AC76" s="751" t="s">
        <v>1669</v>
      </c>
      <c r="AD76" s="787"/>
      <c r="AQ76" s="876" t="s">
        <v>421</v>
      </c>
      <c r="AR76" s="877">
        <v>0.05</v>
      </c>
      <c r="AS76" s="878">
        <v>0.1</v>
      </c>
      <c r="AT76" s="879">
        <v>0.18</v>
      </c>
      <c r="AU76" s="514" t="s">
        <v>76</v>
      </c>
      <c r="AV76" s="1267" t="s">
        <v>1765</v>
      </c>
      <c r="AW76" s="1238" t="s">
        <v>1766</v>
      </c>
      <c r="AX76" s="1239" t="str">
        <f t="shared" ref="AX76" si="100">"PH_"&amp;RIGHT("000"&amp;TRUNC(Lookup_NoteRate),3)&amp;TEXT(Lookup_NoteRate-TRUNC(Lookup_NoteRate),".0000000000")</f>
        <v>PH_009.2500000000</v>
      </c>
      <c r="AY76" s="1240">
        <f>[1]!PH_R31</f>
        <v>9.25</v>
      </c>
      <c r="AZ76" s="1240"/>
      <c r="BA76" s="1240" t="e">
        <f>[1]!PH_FRM30_P31+Input_PL_Incentive_PH</f>
        <v>#N/A</v>
      </c>
      <c r="BB76" s="1239" t="e">
        <f t="shared" ref="BB76" si="101">IF(INDEX(List_AmortTermAll,MATCH(Input_AmortTerm,List_AmortTerm,0),3)=1,AZ76,IF(INDEX(List_AmortTermAll,MATCH(Input_AmortTerm,List_AmortTerm,0),3)=2,BA76,#N/A))</f>
        <v>#N/A</v>
      </c>
      <c r="BC76" s="1239" t="e">
        <f t="shared" ref="BC76" si="102">"PH_"&amp;RIGHT("000"&amp;TRUNC(Lookup_PriceText),3)&amp;TEXT(Lookup_PriceText-TRUNC(Lookup_PriceText),".0000000000")</f>
        <v>#N/A</v>
      </c>
      <c r="BD76" s="1239" cm="1">
        <f t="array" ref="BD76">[1]!PH_FRM30_M31</f>
        <v>1.75</v>
      </c>
      <c r="BE76" s="1268" t="s">
        <v>1873</v>
      </c>
    </row>
    <row r="77" spans="3:66" ht="9.6" customHeight="1" x14ac:dyDescent="0.2">
      <c r="C77" s="820"/>
      <c r="D77" s="1040" t="str">
        <f>IFERROR(INDEX(Lookup_NoteRateAll,MATCH(INDEX(List_ProductAll,MATCH(Input_Product,List_Product,0),2)&amp;"_26",Lookup_NoteRateStack,0),1),"na")</f>
        <v>PT_010.0000000000</v>
      </c>
      <c r="E77" s="1040">
        <f>IFERROR(INDEX(Lookup_NoteRateAll,MATCH(INDEX(List_ProductAll,MATCH(Input_Product,List_Product,0),2)&amp;"_26",Lookup_NoteRateStack,0),2),"na")</f>
        <v>10</v>
      </c>
      <c r="F77" s="1040">
        <f>IFERROR(INDEX(Lookup_NoteRateAll,MATCH(INDEX(List_ProductAll,MATCH(Input_Product,List_Product,0),2)&amp;"_26",Lookup_NoteRateStack,0),5),"na")</f>
        <v>106.5</v>
      </c>
      <c r="G77" s="1040">
        <f t="shared" si="26"/>
        <v>-0.125</v>
      </c>
      <c r="H77" s="1040">
        <f t="shared" si="27"/>
        <v>101</v>
      </c>
      <c r="I77" s="1040">
        <f>IFERROR(INDEX(Lookup_NoteRateAll,MATCH(INDEX(List_ProductAll,MATCH(Input_Product,List_Product,0),2)&amp;"_26",Lookup_NoteRateStack,0),7),"na")</f>
        <v>0</v>
      </c>
      <c r="J77" s="1158"/>
      <c r="K77" s="1159"/>
      <c r="M77" s="1446" t="s">
        <v>491</v>
      </c>
      <c r="N77" s="1447" t="s">
        <v>1208</v>
      </c>
      <c r="O77" s="515"/>
      <c r="P77" s="851">
        <v>180</v>
      </c>
      <c r="Q77" s="852" cm="1">
        <f t="array" ref="Q77">[1]!Input_Index_Treasury10yr</f>
        <v>4.3099999999999996</v>
      </c>
      <c r="R77" s="852" cm="1">
        <f t="array" ref="R77">[1]!Input_Index_APOR_FRM15</f>
        <v>6.04</v>
      </c>
      <c r="S77" s="853" t="e" cm="1">
        <f t="array" ref="S77">[1]!Input_Index_APOR_ARM15</f>
        <v>#N/A</v>
      </c>
      <c r="U77" s="515"/>
      <c r="V77" s="515"/>
      <c r="X77" s="1726" t="s">
        <v>3257</v>
      </c>
      <c r="Y77" s="1726" t="s">
        <v>67</v>
      </c>
      <c r="Z77" s="1727">
        <f>-Input_PL_IncentiveMaxAdj_LenderPaidComp+Input_PL_MaxPriceBase_YP_02PP+Input_PL_Incentive_XP+Input_PL_IncentiveMaxAdj_XP</f>
        <v>102.75</v>
      </c>
      <c r="AA77" s="1728" cm="1">
        <f t="array" ref="AA77">[1]!Input_MaxPriceNet_YP_02PP</f>
        <v>102.75</v>
      </c>
      <c r="AB77" s="515" t="s">
        <v>76</v>
      </c>
      <c r="AC77" s="704" t="s">
        <v>2636</v>
      </c>
      <c r="AD77" s="866"/>
      <c r="AQ77" s="880" t="s">
        <v>422</v>
      </c>
      <c r="AR77" s="881">
        <v>7.0000000000000007E-2</v>
      </c>
      <c r="AS77" s="882">
        <v>0.13</v>
      </c>
      <c r="AT77" s="883">
        <v>0.2</v>
      </c>
      <c r="AV77" s="1267" t="s">
        <v>1765</v>
      </c>
      <c r="AW77" s="1238" t="s">
        <v>1766</v>
      </c>
      <c r="AX77" s="1239" t="str">
        <f t="shared" ref="AX77" si="103">"PH_"&amp;RIGHT("000"&amp;TRUNC(Lookup_NoteRate),3)&amp;TEXT(Lookup_NoteRate-TRUNC(Lookup_NoteRate),".0000000000")</f>
        <v>PH_009.1250000000</v>
      </c>
      <c r="AY77" s="1240">
        <f>[1]!PH_R32</f>
        <v>9.125</v>
      </c>
      <c r="AZ77" s="1240"/>
      <c r="BA77" s="1240" t="e">
        <f>[1]!PH_FRM30_P32+Input_PL_Incentive_PH</f>
        <v>#N/A</v>
      </c>
      <c r="BB77" s="1239" t="e">
        <f t="shared" ref="BB77" si="104">IF(INDEX(List_AmortTermAll,MATCH(Input_AmortTerm,List_AmortTerm,0),3)=1,AZ77,IF(INDEX(List_AmortTermAll,MATCH(Input_AmortTerm,List_AmortTerm,0),3)=2,BA77,#N/A))</f>
        <v>#N/A</v>
      </c>
      <c r="BC77" s="1239" t="e">
        <f t="shared" ref="BC77" si="105">"PH_"&amp;RIGHT("000"&amp;TRUNC(Lookup_PriceText),3)&amp;TEXT(Lookup_PriceText-TRUNC(Lookup_PriceText),".0000000000")</f>
        <v>#N/A</v>
      </c>
      <c r="BD77" s="1239" cm="1">
        <f t="array" ref="BD77">[1]!PH_FRM30_M32</f>
        <v>1.625</v>
      </c>
      <c r="BE77" s="1268" t="s">
        <v>1874</v>
      </c>
    </row>
    <row r="78" spans="3:66" ht="9.6" customHeight="1" x14ac:dyDescent="0.2">
      <c r="C78" s="820"/>
      <c r="D78" s="1040" t="str">
        <f>IFERROR(INDEX(Lookup_NoteRateAll,MATCH(INDEX(List_ProductAll,MATCH(Input_Product,List_Product,0),2)&amp;"_27",Lookup_NoteRateStack,0),1),"na")</f>
        <v>PT_009.8750000000</v>
      </c>
      <c r="E78" s="1040">
        <f>IFERROR(INDEX(Lookup_NoteRateAll,MATCH(INDEX(List_ProductAll,MATCH(Input_Product,List_Product,0),2)&amp;"_27",Lookup_NoteRateStack,0),2),"na")</f>
        <v>9.875</v>
      </c>
      <c r="F78" s="1040">
        <f>IFERROR(INDEX(Lookup_NoteRateAll,MATCH(INDEX(List_ProductAll,MATCH(Input_Product,List_Product,0),2)&amp;"_27",Lookup_NoteRateStack,0),5),"na")</f>
        <v>106.125</v>
      </c>
      <c r="G78" s="1040">
        <f t="shared" si="26"/>
        <v>-0.125</v>
      </c>
      <c r="H78" s="1040">
        <f t="shared" si="27"/>
        <v>101</v>
      </c>
      <c r="I78" s="1040">
        <f>IFERROR(INDEX(Lookup_NoteRateAll,MATCH(INDEX(List_ProductAll,MATCH(Input_Product,List_Product,0),2)&amp;"_27",Lookup_NoteRateStack,0),7),"na")</f>
        <v>0</v>
      </c>
      <c r="J78" s="1158"/>
      <c r="K78" s="1159"/>
      <c r="M78" s="1445" t="s">
        <v>492</v>
      </c>
      <c r="N78" s="1448" t="s">
        <v>1208</v>
      </c>
      <c r="O78" s="515"/>
      <c r="P78" s="851">
        <v>120</v>
      </c>
      <c r="Q78" s="852" cm="1">
        <f t="array" ref="Q78">[1]!Input_Index_Treasury10yr</f>
        <v>4.3099999999999996</v>
      </c>
      <c r="R78" s="852" cm="1">
        <f t="array" ref="R78">[1]!Input_Index_APOR_FRM10</f>
        <v>6.07</v>
      </c>
      <c r="S78" s="852" cm="1">
        <f t="array" ref="S78">[1]!Input_Index_APOR_ARM10</f>
        <v>6.56</v>
      </c>
      <c r="U78" s="515"/>
      <c r="V78" s="515"/>
      <c r="X78" s="1726" t="s">
        <v>3258</v>
      </c>
      <c r="Y78" s="1726" t="s">
        <v>66</v>
      </c>
      <c r="Z78" s="1727">
        <f>-Input_PL_IncentiveMaxAdj_LenderPaidComp+Input_PL_MaxPriceBase_YP_03PP+Input_PL_Incentive_XP+Input_PL_IncentiveMaxAdj_XP</f>
        <v>103.25</v>
      </c>
      <c r="AA78" s="1728" cm="1">
        <f t="array" ref="AA78">[1]!Input_MaxPriceNet_YP_03PP</f>
        <v>103.25</v>
      </c>
      <c r="AB78" s="515" t="s">
        <v>76</v>
      </c>
      <c r="AC78" s="754" t="s">
        <v>1670</v>
      </c>
      <c r="AD78" s="742"/>
      <c r="AV78" s="1267" t="s">
        <v>1765</v>
      </c>
      <c r="AW78" s="1238" t="s">
        <v>1766</v>
      </c>
      <c r="AX78" s="1239" t="str">
        <f t="shared" ref="AX78" si="106">"PH_"&amp;RIGHT("000"&amp;TRUNC(Lookup_NoteRate),3)&amp;TEXT(Lookup_NoteRate-TRUNC(Lookup_NoteRate),".0000000000")</f>
        <v>PH_009.0000000000</v>
      </c>
      <c r="AY78" s="1240">
        <f>[1]!PH_R33</f>
        <v>9</v>
      </c>
      <c r="AZ78" s="1240"/>
      <c r="BA78" s="1240" t="e">
        <f>[1]!PH_FRM30_P33+Input_PL_Incentive_PH</f>
        <v>#N/A</v>
      </c>
      <c r="BB78" s="1239" t="e">
        <f t="shared" ref="BB78" si="107">IF(INDEX(List_AmortTermAll,MATCH(Input_AmortTerm,List_AmortTerm,0),3)=1,AZ78,IF(INDEX(List_AmortTermAll,MATCH(Input_AmortTerm,List_AmortTerm,0),3)=2,BA78,#N/A))</f>
        <v>#N/A</v>
      </c>
      <c r="BC78" s="1239" t="e">
        <f t="shared" ref="BC78" si="108">"PH_"&amp;RIGHT("000"&amp;TRUNC(Lookup_PriceText),3)&amp;TEXT(Lookup_PriceText-TRUNC(Lookup_PriceText),".0000000000")</f>
        <v>#N/A</v>
      </c>
      <c r="BD78" s="1239" cm="1">
        <f t="array" ref="BD78">[1]!PH_FRM30_M33</f>
        <v>1.5</v>
      </c>
      <c r="BE78" s="1268" t="s">
        <v>1875</v>
      </c>
    </row>
    <row r="79" spans="3:66" ht="9.6" customHeight="1" x14ac:dyDescent="0.2">
      <c r="C79" s="820"/>
      <c r="D79" s="1040" t="str">
        <f>IFERROR(INDEX(Lookup_NoteRateAll,MATCH(INDEX(List_ProductAll,MATCH(Input_Product,List_Product,0),2)&amp;"_28",Lookup_NoteRateStack,0),1),"na")</f>
        <v>PT_009.7500000000</v>
      </c>
      <c r="E79" s="1040">
        <f>IFERROR(INDEX(Lookup_NoteRateAll,MATCH(INDEX(List_ProductAll,MATCH(Input_Product,List_Product,0),2)&amp;"_28",Lookup_NoteRateStack,0),2),"na")</f>
        <v>9.75</v>
      </c>
      <c r="F79" s="1040">
        <f>IFERROR(INDEX(Lookup_NoteRateAll,MATCH(INDEX(List_ProductAll,MATCH(Input_Product,List_Product,0),2)&amp;"_28",Lookup_NoteRateStack,0),5),"na")</f>
        <v>105.75</v>
      </c>
      <c r="G79" s="1040">
        <f t="shared" si="26"/>
        <v>-0.125</v>
      </c>
      <c r="H79" s="1040">
        <f t="shared" si="27"/>
        <v>101</v>
      </c>
      <c r="I79" s="1040">
        <f>IFERROR(INDEX(Lookup_NoteRateAll,MATCH(INDEX(List_ProductAll,MATCH(Input_Product,List_Product,0),2)&amp;"_28",Lookup_NoteRateStack,0),7),"na")</f>
        <v>0</v>
      </c>
      <c r="J79" s="1158"/>
      <c r="K79" s="1159"/>
      <c r="M79" s="1449" t="s">
        <v>493</v>
      </c>
      <c r="N79" s="1450" t="s">
        <v>1208</v>
      </c>
      <c r="O79" s="515"/>
      <c r="P79" s="851">
        <v>84</v>
      </c>
      <c r="Q79" s="852" cm="1">
        <f t="array" ref="Q79">[1]!Input_Index_Treasury07yr</f>
        <v>4.21</v>
      </c>
      <c r="R79" s="853" t="e" cm="1">
        <f t="array" ref="R79">[1]!Input_Index_APOR_FRM07</f>
        <v>#N/A</v>
      </c>
      <c r="S79" s="852" cm="1">
        <f t="array" ref="S79">[1]!Input_Index_APOR_ARM07</f>
        <v>6.62</v>
      </c>
      <c r="U79" s="515"/>
      <c r="V79" s="515"/>
      <c r="X79" s="1726" t="s">
        <v>3259</v>
      </c>
      <c r="Y79" s="1726" t="s">
        <v>165</v>
      </c>
      <c r="Z79" s="1727">
        <f>-Input_PL_IncentiveMaxAdj_LenderPaidComp+Input_PL_MaxPriceBase_YP_04PP+Input_PL_Incentive_XP+Input_PL_IncentiveMaxAdj_XP</f>
        <v>103.5</v>
      </c>
      <c r="AA79" s="1728" cm="1">
        <f t="array" ref="AA79">[1]!Input_MaxPriceNet_YP_04PP</f>
        <v>103.5</v>
      </c>
      <c r="AB79" s="515"/>
      <c r="AC79" s="754" t="s">
        <v>3540</v>
      </c>
      <c r="AD79" s="742"/>
      <c r="AV79" s="1267" t="s">
        <v>1765</v>
      </c>
      <c r="AW79" s="1238" t="s">
        <v>1766</v>
      </c>
      <c r="AX79" s="1239" t="str">
        <f t="shared" ref="AX79" si="109">"PH_"&amp;RIGHT("000"&amp;TRUNC(Lookup_NoteRate),3)&amp;TEXT(Lookup_NoteRate-TRUNC(Lookup_NoteRate),".0000000000")</f>
        <v>PH_008.8750000000</v>
      </c>
      <c r="AY79" s="1240">
        <f>[1]!PH_R34</f>
        <v>8.875</v>
      </c>
      <c r="AZ79" s="1240"/>
      <c r="BA79" s="1240" t="e">
        <f>[1]!PH_FRM30_P34+Input_PL_Incentive_PH</f>
        <v>#N/A</v>
      </c>
      <c r="BB79" s="1239" t="e">
        <f t="shared" ref="BB79" si="110">IF(INDEX(List_AmortTermAll,MATCH(Input_AmortTerm,List_AmortTerm,0),3)=1,AZ79,IF(INDEX(List_AmortTermAll,MATCH(Input_AmortTerm,List_AmortTerm,0),3)=2,BA79,#N/A))</f>
        <v>#N/A</v>
      </c>
      <c r="BC79" s="1239" t="e">
        <f t="shared" ref="BC79" si="111">"PH_"&amp;RIGHT("000"&amp;TRUNC(Lookup_PriceText),3)&amp;TEXT(Lookup_PriceText-TRUNC(Lookup_PriceText),".0000000000")</f>
        <v>#N/A</v>
      </c>
      <c r="BD79" s="1239" cm="1">
        <f t="array" ref="BD79">[1]!PH_FRM30_M34</f>
        <v>1.375</v>
      </c>
      <c r="BE79" s="1268" t="s">
        <v>1876</v>
      </c>
    </row>
    <row r="80" spans="3:66" ht="9.6" customHeight="1" x14ac:dyDescent="0.2">
      <c r="C80" s="820"/>
      <c r="D80" s="1040" t="str">
        <f>IFERROR(INDEX(Lookup_NoteRateAll,MATCH(INDEX(List_ProductAll,MATCH(Input_Product,List_Product,0),2)&amp;"_29",Lookup_NoteRateStack,0),1),"na")</f>
        <v>PT_009.6250000000</v>
      </c>
      <c r="E80" s="1040">
        <f>IFERROR(INDEX(Lookup_NoteRateAll,MATCH(INDEX(List_ProductAll,MATCH(Input_Product,List_Product,0),2)&amp;"_29",Lookup_NoteRateStack,0),2),"na")</f>
        <v>9.625</v>
      </c>
      <c r="F80" s="1040">
        <f>IFERROR(INDEX(Lookup_NoteRateAll,MATCH(INDEX(List_ProductAll,MATCH(Input_Product,List_Product,0),2)&amp;"_29",Lookup_NoteRateStack,0),5),"na")</f>
        <v>105.375</v>
      </c>
      <c r="G80" s="1040">
        <f t="shared" si="26"/>
        <v>-0.125</v>
      </c>
      <c r="H80" s="1040">
        <f t="shared" si="27"/>
        <v>101</v>
      </c>
      <c r="I80" s="1040">
        <f>IFERROR(INDEX(Lookup_NoteRateAll,MATCH(INDEX(List_ProductAll,MATCH(Input_Product,List_Product,0),2)&amp;"_29",Lookup_NoteRateStack,0),7),"na")</f>
        <v>0</v>
      </c>
      <c r="J80" s="1158"/>
      <c r="K80" s="1159"/>
      <c r="M80" s="1443" t="s">
        <v>494</v>
      </c>
      <c r="N80" s="1444" t="s">
        <v>1208</v>
      </c>
      <c r="O80" s="515"/>
      <c r="P80" s="851">
        <v>60</v>
      </c>
      <c r="Q80" s="852" cm="1">
        <f t="array" ref="Q80">[1]!Input_Index_Treasury05yr</f>
        <v>4.1100000000000003</v>
      </c>
      <c r="R80" s="853" t="e" cm="1">
        <f t="array" ref="R80">[1]!Input_Index_APOR_FRM05</f>
        <v>#N/A</v>
      </c>
      <c r="S80" s="852" cm="1">
        <f t="array" ref="S80">[1]!Input_Index_APOR_ARM05</f>
        <v>6.79</v>
      </c>
      <c r="U80" s="515"/>
      <c r="V80" s="515"/>
      <c r="X80" s="1729" t="s">
        <v>3260</v>
      </c>
      <c r="Y80" s="1729" t="s">
        <v>166</v>
      </c>
      <c r="Z80" s="1730">
        <f>-Input_PL_IncentiveMaxAdj_LenderPaidComp+Input_PL_MaxPriceBase_YP_05PP+Input_PL_Incentive_XP+Input_PL_IncentiveMaxAdj_XP</f>
        <v>104</v>
      </c>
      <c r="AA80" s="1731" cm="1">
        <f t="array" ref="AA80">[1]!Input_MaxPriceNet_YP_05PP</f>
        <v>104</v>
      </c>
      <c r="AB80" s="515" t="s">
        <v>76</v>
      </c>
      <c r="AQ80" s="751" t="s">
        <v>325</v>
      </c>
      <c r="AR80" s="787"/>
      <c r="AS80" s="787"/>
      <c r="AT80" s="514" t="s">
        <v>76</v>
      </c>
      <c r="AV80" s="1267" t="s">
        <v>1765</v>
      </c>
      <c r="AW80" s="1238" t="s">
        <v>1766</v>
      </c>
      <c r="AX80" s="1239" t="str">
        <f t="shared" ref="AX80" si="112">"PH_"&amp;RIGHT("000"&amp;TRUNC(Lookup_NoteRate),3)&amp;TEXT(Lookup_NoteRate-TRUNC(Lookup_NoteRate),".0000000000")</f>
        <v>PH_008.7500000000</v>
      </c>
      <c r="AY80" s="1240">
        <f>[1]!PH_R35</f>
        <v>8.75</v>
      </c>
      <c r="AZ80" s="1240"/>
      <c r="BA80" s="1240" t="e">
        <f>[1]!PH_FRM30_P35+Input_PL_Incentive_PH</f>
        <v>#N/A</v>
      </c>
      <c r="BB80" s="1239" t="e">
        <f t="shared" ref="BB80" si="113">IF(INDEX(List_AmortTermAll,MATCH(Input_AmortTerm,List_AmortTerm,0),3)=1,AZ80,IF(INDEX(List_AmortTermAll,MATCH(Input_AmortTerm,List_AmortTerm,0),3)=2,BA80,#N/A))</f>
        <v>#N/A</v>
      </c>
      <c r="BC80" s="1239" t="e">
        <f t="shared" ref="BC80" si="114">"PH_"&amp;RIGHT("000"&amp;TRUNC(Lookup_PriceText),3)&amp;TEXT(Lookup_PriceText-TRUNC(Lookup_PriceText),".0000000000")</f>
        <v>#N/A</v>
      </c>
      <c r="BD80" s="1239" cm="1">
        <f t="array" ref="BD80">[1]!PH_FRM30_M35</f>
        <v>1.25</v>
      </c>
      <c r="BE80" s="1268" t="s">
        <v>1877</v>
      </c>
    </row>
    <row r="81" spans="3:57" ht="9.6" customHeight="1" x14ac:dyDescent="0.25">
      <c r="C81" s="820"/>
      <c r="D81" s="1040" t="str">
        <f>IFERROR(INDEX(Lookup_NoteRateAll,MATCH(INDEX(List_ProductAll,MATCH(Input_Product,List_Product,0),2)&amp;"_30",Lookup_NoteRateStack,0),1),"na")</f>
        <v>PT_009.5000000000</v>
      </c>
      <c r="E81" s="1040">
        <f>IFERROR(INDEX(Lookup_NoteRateAll,MATCH(INDEX(List_ProductAll,MATCH(Input_Product,List_Product,0),2)&amp;"_30",Lookup_NoteRateStack,0),2),"na")</f>
        <v>9.5</v>
      </c>
      <c r="F81" s="1040">
        <f>IFERROR(INDEX(Lookup_NoteRateAll,MATCH(INDEX(List_ProductAll,MATCH(Input_Product,List_Product,0),2)&amp;"_30",Lookup_NoteRateStack,0),5),"na")</f>
        <v>105</v>
      </c>
      <c r="G81" s="1040">
        <f t="shared" si="26"/>
        <v>-0.125</v>
      </c>
      <c r="H81" s="1040">
        <f t="shared" si="27"/>
        <v>101</v>
      </c>
      <c r="I81" s="1040">
        <f>IFERROR(INDEX(Lookup_NoteRateAll,MATCH(INDEX(List_ProductAll,MATCH(Input_Product,List_Product,0),2)&amp;"_30",Lookup_NoteRateStack,0),7),"na")</f>
        <v>0</v>
      </c>
      <c r="J81" s="1158"/>
      <c r="K81" s="1159"/>
      <c r="M81" s="1445" t="s">
        <v>495</v>
      </c>
      <c r="N81" s="1444" t="s">
        <v>1208</v>
      </c>
      <c r="O81" s="515"/>
      <c r="P81" s="851">
        <v>36</v>
      </c>
      <c r="Q81" s="852" cm="1">
        <f t="array" ref="Q81">[1]!Input_Index_Treasury03yr</f>
        <v>4.03</v>
      </c>
      <c r="R81" s="853" t="e" cm="1">
        <f t="array" ref="R81">[1]!Input_Index_APOR_FRM03</f>
        <v>#N/A</v>
      </c>
      <c r="S81" s="852" cm="1">
        <f t="array" ref="S81">[1]!Input_Index_APOR_ARM03</f>
        <v>7.13</v>
      </c>
      <c r="U81" s="515"/>
      <c r="V81" s="515"/>
      <c r="X81" s="1726" t="s">
        <v>3261</v>
      </c>
      <c r="Y81" s="1726" t="s">
        <v>68</v>
      </c>
      <c r="Z81" s="1727">
        <f>-Input_PL_IncentiveMaxAdj_LenderPaidComp+Input_PL_MaxPriceBase_YP_01PP+Input_PL_Incentive_XP+Input_PL_IncentiveMaxAdj_XP</f>
        <v>102</v>
      </c>
      <c r="AA81" s="1728" cm="1">
        <f t="array" ref="AA81">[1]!Input_MaxPriceNet_YP_01PP</f>
        <v>102</v>
      </c>
      <c r="AB81" s="515" t="s">
        <v>76</v>
      </c>
      <c r="AC81" s="751" t="s">
        <v>284</v>
      </c>
      <c r="AD81" s="787"/>
      <c r="AQ81" s="595" t="s">
        <v>326</v>
      </c>
      <c r="AR81" s="711" t="s">
        <v>327</v>
      </c>
      <c r="AS81" s="2022" t="s">
        <v>3884</v>
      </c>
      <c r="AT81" s="514" t="s">
        <v>76</v>
      </c>
      <c r="AV81" s="1267" t="s">
        <v>1765</v>
      </c>
      <c r="AW81" s="1238" t="s">
        <v>1766</v>
      </c>
      <c r="AX81" s="1239" t="str">
        <f t="shared" ref="AX81" si="115">"PH_"&amp;RIGHT("000"&amp;TRUNC(Lookup_NoteRate),3)&amp;TEXT(Lookup_NoteRate-TRUNC(Lookup_NoteRate),".0000000000")</f>
        <v>PH_008.6250000000</v>
      </c>
      <c r="AY81" s="1240">
        <f>[1]!PH_R36</f>
        <v>8.625</v>
      </c>
      <c r="AZ81" s="1240"/>
      <c r="BA81" s="1240" t="e">
        <f>[1]!PH_FRM30_P36+Input_PL_Incentive_PH</f>
        <v>#N/A</v>
      </c>
      <c r="BB81" s="1239" t="e">
        <f t="shared" ref="BB81" si="116">IF(INDEX(List_AmortTermAll,MATCH(Input_AmortTerm,List_AmortTerm,0),3)=1,AZ81,IF(INDEX(List_AmortTermAll,MATCH(Input_AmortTerm,List_AmortTerm,0),3)=2,BA81,#N/A))</f>
        <v>#N/A</v>
      </c>
      <c r="BC81" s="1239" t="e">
        <f t="shared" ref="BC81" si="117">"PH_"&amp;RIGHT("000"&amp;TRUNC(Lookup_PriceText),3)&amp;TEXT(Lookup_PriceText-TRUNC(Lookup_PriceText),".0000000000")</f>
        <v>#N/A</v>
      </c>
      <c r="BD81" s="1239" cm="1">
        <f t="array" ref="BD81">[1]!PH_FRM30_M36</f>
        <v>1.125</v>
      </c>
      <c r="BE81" s="1268" t="s">
        <v>1878</v>
      </c>
    </row>
    <row r="82" spans="3:57" ht="9.6" customHeight="1" x14ac:dyDescent="0.2">
      <c r="C82" s="820"/>
      <c r="D82" s="1040" t="str">
        <f>IFERROR(INDEX(Lookup_NoteRateAll,MATCH(INDEX(List_ProductAll,MATCH(Input_Product,List_Product,0),2)&amp;"_31",Lookup_NoteRateStack,0),1),"na")</f>
        <v>PT_009.3750000000</v>
      </c>
      <c r="E82" s="1040">
        <f>IFERROR(INDEX(Lookup_NoteRateAll,MATCH(INDEX(List_ProductAll,MATCH(Input_Product,List_Product,0),2)&amp;"_31",Lookup_NoteRateStack,0),2),"na")</f>
        <v>9.375</v>
      </c>
      <c r="F82" s="1040">
        <f>IFERROR(INDEX(Lookup_NoteRateAll,MATCH(INDEX(List_ProductAll,MATCH(Input_Product,List_Product,0),2)&amp;"_31",Lookup_NoteRateStack,0),5),"na")</f>
        <v>104.625</v>
      </c>
      <c r="G82" s="1040">
        <f t="shared" si="26"/>
        <v>-0.125</v>
      </c>
      <c r="H82" s="1040">
        <f t="shared" si="27"/>
        <v>101</v>
      </c>
      <c r="I82" s="1040">
        <f>IFERROR(INDEX(Lookup_NoteRateAll,MATCH(INDEX(List_ProductAll,MATCH(Input_Product,List_Product,0),2)&amp;"_31",Lookup_NoteRateStack,0),7),"na")</f>
        <v>0</v>
      </c>
      <c r="J82" s="1158"/>
      <c r="K82" s="1159"/>
      <c r="M82" s="1449" t="s">
        <v>496</v>
      </c>
      <c r="N82" s="1450" t="s">
        <v>1208</v>
      </c>
      <c r="O82" s="515"/>
      <c r="P82" s="851">
        <v>24</v>
      </c>
      <c r="Q82" s="852" cm="1">
        <f t="array" ref="Q82">[1]!Input_Index_Treasury02yr</f>
        <v>4.0599999999999996</v>
      </c>
      <c r="R82" s="853" t="e" cm="1">
        <f t="array" ref="R82">[1]!Input_Index_APOR_FRM03</f>
        <v>#N/A</v>
      </c>
      <c r="S82" s="852" cm="1">
        <f t="array" ref="S82">[1]!Input_Index_APOR_ARM02</f>
        <v>7.2</v>
      </c>
      <c r="U82" s="515"/>
      <c r="V82" s="515"/>
      <c r="X82" s="1726" t="s">
        <v>3262</v>
      </c>
      <c r="Y82" s="1726" t="s">
        <v>67</v>
      </c>
      <c r="Z82" s="1727">
        <f>-Input_PL_IncentiveMaxAdj_LenderPaidComp+Input_PL_MaxPriceBase_YP_02PP+Input_PL_Incentive_XP+Input_PL_IncentiveMaxAdj_XP</f>
        <v>102.75</v>
      </c>
      <c r="AA82" s="1728" cm="1">
        <f t="array" ref="AA82">[1]!Input_MaxPriceNet_YP_02PP</f>
        <v>102.75</v>
      </c>
      <c r="AB82" s="515" t="s">
        <v>76</v>
      </c>
      <c r="AC82" s="704" t="s">
        <v>108</v>
      </c>
      <c r="AD82" s="705"/>
      <c r="AQ82" s="595" t="s">
        <v>324</v>
      </c>
      <c r="AR82" s="742" t="s">
        <v>323</v>
      </c>
      <c r="AS82" s="742" t="s">
        <v>3883</v>
      </c>
      <c r="AT82" s="514" t="s">
        <v>76</v>
      </c>
      <c r="AV82" s="1267" t="s">
        <v>1765</v>
      </c>
      <c r="AW82" s="1238" t="s">
        <v>1766</v>
      </c>
      <c r="AX82" s="1239" t="str">
        <f t="shared" ref="AX82" si="118">"PH_"&amp;RIGHT("000"&amp;TRUNC(Lookup_NoteRate),3)&amp;TEXT(Lookup_NoteRate-TRUNC(Lookup_NoteRate),".0000000000")</f>
        <v>PH_008.5000000000</v>
      </c>
      <c r="AY82" s="1240">
        <f>[1]!PH_R37</f>
        <v>8.5</v>
      </c>
      <c r="AZ82" s="1240"/>
      <c r="BA82" s="1240" t="e">
        <f>[1]!PH_FRM30_P37+Input_PL_Incentive_PH</f>
        <v>#N/A</v>
      </c>
      <c r="BB82" s="1239" t="e">
        <f t="shared" ref="BB82" si="119">IF(INDEX(List_AmortTermAll,MATCH(Input_AmortTerm,List_AmortTerm,0),3)=1,AZ82,IF(INDEX(List_AmortTermAll,MATCH(Input_AmortTerm,List_AmortTerm,0),3)=2,BA82,#N/A))</f>
        <v>#N/A</v>
      </c>
      <c r="BC82" s="1239" t="e">
        <f t="shared" ref="BC82" si="120">"PH_"&amp;RIGHT("000"&amp;TRUNC(Lookup_PriceText),3)&amp;TEXT(Lookup_PriceText-TRUNC(Lookup_PriceText),".0000000000")</f>
        <v>#N/A</v>
      </c>
      <c r="BD82" s="1239" cm="1">
        <f t="array" ref="BD82">[1]!PH_FRM30_M37</f>
        <v>1</v>
      </c>
      <c r="BE82" s="1268" t="s">
        <v>1879</v>
      </c>
    </row>
    <row r="83" spans="3:57" ht="9.6" customHeight="1" x14ac:dyDescent="0.2">
      <c r="C83" s="820"/>
      <c r="D83" s="1040" t="str">
        <f>IFERROR(INDEX(Lookup_NoteRateAll,MATCH(INDEX(List_ProductAll,MATCH(Input_Product,List_Product,0),2)&amp;"_32",Lookup_NoteRateStack,0),1),"na")</f>
        <v>PT_009.2500000000</v>
      </c>
      <c r="E83" s="1040">
        <f>IFERROR(INDEX(Lookup_NoteRateAll,MATCH(INDEX(List_ProductAll,MATCH(Input_Product,List_Product,0),2)&amp;"_32",Lookup_NoteRateStack,0),2),"na")</f>
        <v>9.25</v>
      </c>
      <c r="F83" s="1040">
        <f>IFERROR(INDEX(Lookup_NoteRateAll,MATCH(INDEX(List_ProductAll,MATCH(Input_Product,List_Product,0),2)&amp;"_32",Lookup_NoteRateStack,0),5),"na")</f>
        <v>104.25</v>
      </c>
      <c r="G83" s="1040">
        <f t="shared" si="26"/>
        <v>-0.125</v>
      </c>
      <c r="H83" s="1040">
        <f t="shared" si="27"/>
        <v>101</v>
      </c>
      <c r="I83" s="1040">
        <f>IFERROR(INDEX(Lookup_NoteRateAll,MATCH(INDEX(List_ProductAll,MATCH(Input_Product,List_Product,0),2)&amp;"_32",Lookup_NoteRateStack,0),7),"na")</f>
        <v>0</v>
      </c>
      <c r="J83" s="1158"/>
      <c r="K83" s="1159"/>
      <c r="M83" s="1443" t="s">
        <v>497</v>
      </c>
      <c r="N83" s="1444" t="s">
        <v>1208</v>
      </c>
      <c r="O83" s="515"/>
      <c r="P83" s="863">
        <v>12</v>
      </c>
      <c r="Q83" s="864" cm="1">
        <f t="array" ref="Q83">[1]!Input_Index_Treasury01yr</f>
        <v>4.1100000000000003</v>
      </c>
      <c r="R83" s="865" t="e" cm="1">
        <f t="array" ref="R83">[1]!Input_Index_APOR_FRM03</f>
        <v>#N/A</v>
      </c>
      <c r="S83" s="864" cm="1">
        <f t="array" ref="S83">[1]!Input_Index_APOR_ARM01</f>
        <v>7.29</v>
      </c>
      <c r="U83" s="515"/>
      <c r="V83" s="515"/>
      <c r="X83" s="1726" t="s">
        <v>3263</v>
      </c>
      <c r="Y83" s="1726" t="s">
        <v>66</v>
      </c>
      <c r="Z83" s="1727">
        <f>-Input_PL_IncentiveMaxAdj_LenderPaidComp+Input_PL_MaxPriceBase_YP_03PP+Input_PL_Incentive_XP+Input_PL_IncentiveMaxAdj_XP</f>
        <v>103.25</v>
      </c>
      <c r="AA83" s="1728" cm="1">
        <f t="array" ref="AA83">[1]!Input_MaxPriceNet_YP_03PP</f>
        <v>103.25</v>
      </c>
      <c r="AB83" s="515" t="s">
        <v>76</v>
      </c>
      <c r="AC83" s="716" t="s">
        <v>107</v>
      </c>
      <c r="AD83" s="717"/>
      <c r="AV83" s="1267" t="s">
        <v>1765</v>
      </c>
      <c r="AW83" s="1238" t="s">
        <v>1766</v>
      </c>
      <c r="AX83" s="1239" t="str">
        <f t="shared" ref="AX83" si="121">"PH_"&amp;RIGHT("000"&amp;TRUNC(Lookup_NoteRate),3)&amp;TEXT(Lookup_NoteRate-TRUNC(Lookup_NoteRate),".0000000000")</f>
        <v>PH_008.3750000000</v>
      </c>
      <c r="AY83" s="1240">
        <f>[1]!PH_R38</f>
        <v>8.375</v>
      </c>
      <c r="AZ83" s="1240"/>
      <c r="BA83" s="1240" t="e">
        <f>[1]!PH_FRM30_P38+Input_PL_Incentive_PH</f>
        <v>#N/A</v>
      </c>
      <c r="BB83" s="1239" t="e">
        <f t="shared" ref="BB83" si="122">IF(INDEX(List_AmortTermAll,MATCH(Input_AmortTerm,List_AmortTerm,0),3)=1,AZ83,IF(INDEX(List_AmortTermAll,MATCH(Input_AmortTerm,List_AmortTerm,0),3)=2,BA83,#N/A))</f>
        <v>#N/A</v>
      </c>
      <c r="BC83" s="1239" t="e">
        <f t="shared" ref="BC83" si="123">"PH_"&amp;RIGHT("000"&amp;TRUNC(Lookup_PriceText),3)&amp;TEXT(Lookup_PriceText-TRUNC(Lookup_PriceText),".0000000000")</f>
        <v>#N/A</v>
      </c>
      <c r="BD83" s="1239" cm="1">
        <f t="array" ref="BD83">[1]!PH_FRM30_M38</f>
        <v>0.875</v>
      </c>
      <c r="BE83" s="1268" t="s">
        <v>1880</v>
      </c>
    </row>
    <row r="84" spans="3:57" ht="9.6" customHeight="1" x14ac:dyDescent="0.2">
      <c r="C84" s="820"/>
      <c r="D84" s="1040" t="str">
        <f>IFERROR(INDEX(Lookup_NoteRateAll,MATCH(INDEX(List_ProductAll,MATCH(Input_Product,List_Product,0),2)&amp;"_33",Lookup_NoteRateStack,0),1),"na")</f>
        <v>PT_009.1250000000</v>
      </c>
      <c r="E84" s="1040">
        <f>IFERROR(INDEX(Lookup_NoteRateAll,MATCH(INDEX(List_ProductAll,MATCH(Input_Product,List_Product,0),2)&amp;"_33",Lookup_NoteRateStack,0),2),"na")</f>
        <v>9.125</v>
      </c>
      <c r="F84" s="1040">
        <f>IFERROR(INDEX(Lookup_NoteRateAll,MATCH(INDEX(List_ProductAll,MATCH(Input_Product,List_Product,0),2)&amp;"_33",Lookup_NoteRateStack,0),5),"na")</f>
        <v>103.75</v>
      </c>
      <c r="G84" s="1040">
        <f t="shared" si="26"/>
        <v>-0.125</v>
      </c>
      <c r="H84" s="1040">
        <f t="shared" si="27"/>
        <v>101</v>
      </c>
      <c r="I84" s="1040">
        <f>IFERROR(INDEX(Lookup_NoteRateAll,MATCH(INDEX(List_ProductAll,MATCH(Input_Product,List_Product,0),2)&amp;"_33",Lookup_NoteRateStack,0),7),"na")</f>
        <v>0</v>
      </c>
      <c r="J84" s="1158"/>
      <c r="K84" s="1159"/>
      <c r="M84" s="1445" t="s">
        <v>498</v>
      </c>
      <c r="N84" s="1444" t="s">
        <v>1208</v>
      </c>
      <c r="O84" s="515"/>
      <c r="U84" s="515"/>
      <c r="V84" s="515"/>
      <c r="X84" s="1726" t="s">
        <v>3264</v>
      </c>
      <c r="Y84" s="1726" t="s">
        <v>165</v>
      </c>
      <c r="Z84" s="1727">
        <f>-Input_PL_IncentiveMaxAdj_LenderPaidComp+Input_PL_MaxPriceBase_YP_04PP+Input_PL_Incentive_XP+Input_PL_IncentiveMaxAdj_XP</f>
        <v>103.5</v>
      </c>
      <c r="AA84" s="1728" cm="1">
        <f t="array" ref="AA84">[1]!Input_MaxPriceNet_YP_04PP</f>
        <v>103.5</v>
      </c>
      <c r="AB84" s="515" t="s">
        <v>76</v>
      </c>
      <c r="AQ84" s="793" t="s">
        <v>277</v>
      </c>
      <c r="AR84" s="794"/>
      <c r="AV84" s="1267" t="s">
        <v>1765</v>
      </c>
      <c r="AW84" s="1238" t="s">
        <v>1766</v>
      </c>
      <c r="AX84" s="1239" t="str">
        <f t="shared" ref="AX84" si="124">"PH_"&amp;RIGHT("000"&amp;TRUNC(Lookup_NoteRate),3)&amp;TEXT(Lookup_NoteRate-TRUNC(Lookup_NoteRate),".0000000000")</f>
        <v>PH_008.2500000000</v>
      </c>
      <c r="AY84" s="1240">
        <f>[1]!PH_R39</f>
        <v>8.25</v>
      </c>
      <c r="AZ84" s="1240"/>
      <c r="BA84" s="1240" t="e">
        <f>[1]!PH_FRM30_P39+Input_PL_Incentive_PH</f>
        <v>#N/A</v>
      </c>
      <c r="BB84" s="1239" t="e">
        <f t="shared" ref="BB84" si="125">IF(INDEX(List_AmortTermAll,MATCH(Input_AmortTerm,List_AmortTerm,0),3)=1,AZ84,IF(INDEX(List_AmortTermAll,MATCH(Input_AmortTerm,List_AmortTerm,0),3)=2,BA84,#N/A))</f>
        <v>#N/A</v>
      </c>
      <c r="BC84" s="1239" t="e">
        <f t="shared" ref="BC84" si="126">"PH_"&amp;RIGHT("000"&amp;TRUNC(Lookup_PriceText),3)&amp;TEXT(Lookup_PriceText-TRUNC(Lookup_PriceText),".0000000000")</f>
        <v>#N/A</v>
      </c>
      <c r="BD84" s="1239" cm="1">
        <f t="array" ref="BD84">[1]!PH_FRM30_M39</f>
        <v>0.75</v>
      </c>
      <c r="BE84" s="1268" t="s">
        <v>1881</v>
      </c>
    </row>
    <row r="85" spans="3:57" ht="9.6" customHeight="1" x14ac:dyDescent="0.2">
      <c r="C85" s="820"/>
      <c r="D85" s="1040" t="str">
        <f>IFERROR(INDEX(Lookup_NoteRateAll,MATCH(INDEX(List_ProductAll,MATCH(Input_Product,List_Product,0),2)&amp;"_34",Lookup_NoteRateStack,0),1),"na")</f>
        <v>PT_009.0000000000</v>
      </c>
      <c r="E85" s="1040">
        <f>IFERROR(INDEX(Lookup_NoteRateAll,MATCH(INDEX(List_ProductAll,MATCH(Input_Product,List_Product,0),2)&amp;"_34",Lookup_NoteRateStack,0),2),"na")</f>
        <v>9</v>
      </c>
      <c r="F85" s="1040">
        <f>IFERROR(INDEX(Lookup_NoteRateAll,MATCH(INDEX(List_ProductAll,MATCH(Input_Product,List_Product,0),2)&amp;"_34",Lookup_NoteRateStack,0),5),"na")</f>
        <v>103.25</v>
      </c>
      <c r="G85" s="1040">
        <f t="shared" si="26"/>
        <v>-0.125</v>
      </c>
      <c r="H85" s="1040">
        <f t="shared" si="27"/>
        <v>101</v>
      </c>
      <c r="I85" s="1040">
        <f>IFERROR(INDEX(Lookup_NoteRateAll,MATCH(INDEX(List_ProductAll,MATCH(Input_Product,List_Product,0),2)&amp;"_34",Lookup_NoteRateStack,0),7),"na")</f>
        <v>0</v>
      </c>
      <c r="J85" s="1158"/>
      <c r="K85" s="1159"/>
      <c r="M85" s="1449" t="s">
        <v>499</v>
      </c>
      <c r="N85" s="1450" t="s">
        <v>1208</v>
      </c>
      <c r="O85" s="515"/>
      <c r="U85" s="515"/>
      <c r="V85" s="515"/>
      <c r="X85" s="1729" t="s">
        <v>3265</v>
      </c>
      <c r="Y85" s="1729" t="s">
        <v>166</v>
      </c>
      <c r="Z85" s="1730">
        <f>-Input_PL_IncentiveMaxAdj_LenderPaidComp+Input_PL_MaxPriceBase_YP_05PP+Input_PL_Incentive_XP+Input_PL_IncentiveMaxAdj_XP</f>
        <v>104</v>
      </c>
      <c r="AA85" s="1731" cm="1">
        <f t="array" ref="AA85">[1]!Input_MaxPriceNet_YP_05PP</f>
        <v>104</v>
      </c>
      <c r="AB85" s="515" t="s">
        <v>76</v>
      </c>
      <c r="AC85" s="751" t="s">
        <v>51</v>
      </c>
      <c r="AD85" s="787"/>
      <c r="AQ85" s="813">
        <v>0</v>
      </c>
      <c r="AR85" s="814" t="s">
        <v>3331</v>
      </c>
      <c r="AV85" s="1267" t="s">
        <v>1765</v>
      </c>
      <c r="AW85" s="1238" t="s">
        <v>1766</v>
      </c>
      <c r="AX85" s="1239" t="str">
        <f t="shared" ref="AX85" si="127">"PH_"&amp;RIGHT("000"&amp;TRUNC(Lookup_NoteRate),3)&amp;TEXT(Lookup_NoteRate-TRUNC(Lookup_NoteRate),".0000000000")</f>
        <v>PH_008.1250000000</v>
      </c>
      <c r="AY85" s="1240">
        <f>[1]!PH_R40</f>
        <v>8.125</v>
      </c>
      <c r="AZ85" s="1240"/>
      <c r="BA85" s="1240" t="e">
        <f>[1]!PH_FRM30_P40+Input_PL_Incentive_PH</f>
        <v>#N/A</v>
      </c>
      <c r="BB85" s="1239" t="e">
        <f t="shared" ref="BB85" si="128">IF(INDEX(List_AmortTermAll,MATCH(Input_AmortTerm,List_AmortTerm,0),3)=1,AZ85,IF(INDEX(List_AmortTermAll,MATCH(Input_AmortTerm,List_AmortTerm,0),3)=2,BA85,#N/A))</f>
        <v>#N/A</v>
      </c>
      <c r="BC85" s="1239" t="e">
        <f t="shared" ref="BC85" si="129">"PH_"&amp;RIGHT("000"&amp;TRUNC(Lookup_PriceText),3)&amp;TEXT(Lookup_PriceText-TRUNC(Lookup_PriceText),".0000000000")</f>
        <v>#N/A</v>
      </c>
      <c r="BD85" s="1239" cm="1">
        <f t="array" ref="BD85">[1]!PH_FRM30_M40</f>
        <v>0.625</v>
      </c>
      <c r="BE85" s="1268" t="s">
        <v>1882</v>
      </c>
    </row>
    <row r="86" spans="3:57" ht="9.6" customHeight="1" x14ac:dyDescent="0.2">
      <c r="C86" s="820"/>
      <c r="D86" s="1040" t="str">
        <f>IFERROR(INDEX(Lookup_NoteRateAll,MATCH(INDEX(List_ProductAll,MATCH(Input_Product,List_Product,0),2)&amp;"_35",Lookup_NoteRateStack,0),1),"na")</f>
        <v>PT_008.8750000000</v>
      </c>
      <c r="E86" s="1040">
        <f>IFERROR(INDEX(Lookup_NoteRateAll,MATCH(INDEX(List_ProductAll,MATCH(Input_Product,List_Product,0),2)&amp;"_35",Lookup_NoteRateStack,0),2),"na")</f>
        <v>8.875</v>
      </c>
      <c r="F86" s="1040">
        <f>IFERROR(INDEX(Lookup_NoteRateAll,MATCH(INDEX(List_ProductAll,MATCH(Input_Product,List_Product,0),2)&amp;"_35",Lookup_NoteRateStack,0),5),"na")</f>
        <v>102.75</v>
      </c>
      <c r="G86" s="1040">
        <f t="shared" si="26"/>
        <v>-0.125</v>
      </c>
      <c r="H86" s="1040">
        <f t="shared" si="27"/>
        <v>101</v>
      </c>
      <c r="I86" s="1040">
        <f>IFERROR(INDEX(Lookup_NoteRateAll,MATCH(INDEX(List_ProductAll,MATCH(Input_Product,List_Product,0),2)&amp;"_35",Lookup_NoteRateStack,0),7),"na")</f>
        <v>0</v>
      </c>
      <c r="J86" s="1158"/>
      <c r="K86" s="1159"/>
      <c r="M86" s="1443" t="s">
        <v>500</v>
      </c>
      <c r="N86" s="1444" t="s">
        <v>1208</v>
      </c>
      <c r="O86" s="515"/>
      <c r="U86" s="515"/>
      <c r="V86" s="515"/>
      <c r="X86" s="1726" t="s">
        <v>3266</v>
      </c>
      <c r="Y86" s="1726" t="s">
        <v>68</v>
      </c>
      <c r="Z86" s="1727">
        <f>-Input_PL_IncentiveMaxAdj_LenderPaidComp+Input_PL_MaxPriceBase_YP_01PP+Input_PL_Incentive_XP+Input_PL_IncentiveMaxAdj_XP</f>
        <v>102</v>
      </c>
      <c r="AA86" s="1728" cm="1">
        <f t="array" ref="AA86">[1]!Input_MaxPriceNet_YP_01PP</f>
        <v>102</v>
      </c>
      <c r="AC86" s="704" t="s">
        <v>20</v>
      </c>
      <c r="AD86" s="705"/>
      <c r="AQ86" s="818">
        <v>12</v>
      </c>
      <c r="AR86" s="790" t="s">
        <v>3332</v>
      </c>
      <c r="AV86" s="1269" t="s">
        <v>1765</v>
      </c>
      <c r="AW86" s="1270" t="s">
        <v>1766</v>
      </c>
      <c r="AX86" s="1271" t="str">
        <f t="shared" ref="AX86" si="130">"PH_"&amp;RIGHT("000"&amp;TRUNC(Lookup_NoteRate),3)&amp;TEXT(Lookup_NoteRate-TRUNC(Lookup_NoteRate),".0000000000")</f>
        <v>PH_008.0000000000</v>
      </c>
      <c r="AY86" s="1272">
        <f>[1]!PH_R41</f>
        <v>8</v>
      </c>
      <c r="AZ86" s="1272"/>
      <c r="BA86" s="1272" t="e">
        <f>[1]!PH_FRM30_P41+Input_PL_Incentive_PH</f>
        <v>#N/A</v>
      </c>
      <c r="BB86" s="1271" t="e">
        <f t="shared" ref="BB86:BB126" si="131">IF(INDEX(List_AmortTermAll,MATCH(Input_AmortTerm,List_AmortTerm,0),3)=1,AZ86,IF(INDEX(List_AmortTermAll,MATCH(Input_AmortTerm,List_AmortTerm,0),3)=2,BA86,#N/A))</f>
        <v>#N/A</v>
      </c>
      <c r="BC86" s="1271" t="e">
        <f t="shared" ref="BC86" si="132">"PH_"&amp;RIGHT("000"&amp;TRUNC(Lookup_PriceText),3)&amp;TEXT(Lookup_PriceText-TRUNC(Lookup_PriceText),".0000000000")</f>
        <v>#N/A</v>
      </c>
      <c r="BD86" s="1271" cm="1">
        <f t="array" ref="BD86">[1]!PH_FRM30_M41</f>
        <v>0.5</v>
      </c>
      <c r="BE86" s="1273" t="s">
        <v>1883</v>
      </c>
    </row>
    <row r="87" spans="3:57" ht="9.6" customHeight="1" x14ac:dyDescent="0.2">
      <c r="C87" s="820"/>
      <c r="D87" s="1040" t="str">
        <f>IFERROR(INDEX(Lookup_NoteRateAll,MATCH(INDEX(List_ProductAll,MATCH(Input_Product,List_Product,0),2)&amp;"_36",Lookup_NoteRateStack,0),1),"na")</f>
        <v>PT_008.7500000000</v>
      </c>
      <c r="E87" s="1040">
        <f>IFERROR(INDEX(Lookup_NoteRateAll,MATCH(INDEX(List_ProductAll,MATCH(Input_Product,List_Product,0),2)&amp;"_36",Lookup_NoteRateStack,0),2),"na")</f>
        <v>8.75</v>
      </c>
      <c r="F87" s="1040">
        <f>IFERROR(INDEX(Lookup_NoteRateAll,MATCH(INDEX(List_ProductAll,MATCH(Input_Product,List_Product,0),2)&amp;"_36",Lookup_NoteRateStack,0),5),"na")</f>
        <v>102.25</v>
      </c>
      <c r="G87" s="1040">
        <f t="shared" si="26"/>
        <v>-0.125</v>
      </c>
      <c r="H87" s="1040">
        <f t="shared" si="27"/>
        <v>101</v>
      </c>
      <c r="I87" s="1040">
        <f>IFERROR(INDEX(Lookup_NoteRateAll,MATCH(INDEX(List_ProductAll,MATCH(Input_Product,List_Product,0),2)&amp;"_36",Lookup_NoteRateStack,0),7),"na")</f>
        <v>0</v>
      </c>
      <c r="J87" s="1158"/>
      <c r="K87" s="1159"/>
      <c r="M87" s="1451" t="s">
        <v>501</v>
      </c>
      <c r="N87" s="1452" t="s">
        <v>1208</v>
      </c>
      <c r="O87" s="515"/>
      <c r="X87" s="1726" t="s">
        <v>3267</v>
      </c>
      <c r="Y87" s="1726" t="s">
        <v>67</v>
      </c>
      <c r="Z87" s="1727">
        <f>-Input_PL_IncentiveMaxAdj_LenderPaidComp+Input_PL_MaxPriceBase_YP_02PP+Input_PL_Incentive_XP+Input_PL_IncentiveMaxAdj_XP</f>
        <v>102.75</v>
      </c>
      <c r="AA87" s="1728" cm="1">
        <f t="array" ref="AA87">[1]!Input_MaxPriceNet_YP_02PP</f>
        <v>102.75</v>
      </c>
      <c r="AC87" s="716" t="s">
        <v>50</v>
      </c>
      <c r="AD87" s="717"/>
      <c r="AV87" s="1282" t="s">
        <v>1990</v>
      </c>
      <c r="AW87" s="1283" t="s">
        <v>1991</v>
      </c>
      <c r="AX87" s="1284" t="str">
        <f t="shared" ref="AX87:AX127" si="133">"IH_"&amp;RIGHT("000"&amp;TRUNC(Lookup_NoteRate),3)&amp;TEXT(Lookup_NoteRate-TRUNC(Lookup_NoteRate),".0000000000")</f>
        <v>IH_013.0000000000</v>
      </c>
      <c r="AY87" s="1285">
        <f>[1]!IH_R01</f>
        <v>13</v>
      </c>
      <c r="AZ87" s="1285"/>
      <c r="BA87" s="1285" t="e">
        <f>[1]!IH_FRM30_P01+Input_PL_Incentive_IH</f>
        <v>#N/A</v>
      </c>
      <c r="BB87" s="1284" t="e">
        <f t="shared" si="131"/>
        <v>#N/A</v>
      </c>
      <c r="BC87" s="1284" t="e">
        <f t="shared" ref="BC87:BC127" si="134">"IH_"&amp;RIGHT("000"&amp;TRUNC(Lookup_PriceText),3)&amp;TEXT(Lookup_PriceText-TRUNC(Lookup_PriceText),".0000000000")</f>
        <v>#N/A</v>
      </c>
      <c r="BD87" s="1284" cm="1">
        <f t="array" ref="BD87">[1]!IH_FRM30_M01</f>
        <v>5.5</v>
      </c>
      <c r="BE87" s="1286" t="s">
        <v>1992</v>
      </c>
    </row>
    <row r="88" spans="3:57" ht="9.6" customHeight="1" x14ac:dyDescent="0.2">
      <c r="C88" s="820"/>
      <c r="D88" s="1040" t="str">
        <f>IFERROR(INDEX(Lookup_NoteRateAll,MATCH(INDEX(List_ProductAll,MATCH(Input_Product,List_Product,0),2)&amp;"_37",Lookup_NoteRateStack,0),1),"na")</f>
        <v>PT_008.6250000000</v>
      </c>
      <c r="E88" s="1040">
        <f>IFERROR(INDEX(Lookup_NoteRateAll,MATCH(INDEX(List_ProductAll,MATCH(Input_Product,List_Product,0),2)&amp;"_37",Lookup_NoteRateStack,0),2),"na")</f>
        <v>8.625</v>
      </c>
      <c r="F88" s="1040">
        <f>IFERROR(INDEX(Lookup_NoteRateAll,MATCH(INDEX(List_ProductAll,MATCH(Input_Product,List_Product,0),2)&amp;"_37",Lookup_NoteRateStack,0),5),"na")</f>
        <v>101.75</v>
      </c>
      <c r="G88" s="1040">
        <f t="shared" si="26"/>
        <v>-0.125</v>
      </c>
      <c r="H88" s="1040">
        <f t="shared" si="27"/>
        <v>101</v>
      </c>
      <c r="I88" s="1040">
        <f>IFERROR(INDEX(Lookup_NoteRateAll,MATCH(INDEX(List_ProductAll,MATCH(Input_Product,List_Product,0),2)&amp;"_37",Lookup_NoteRateStack,0),7),"na")</f>
        <v>0</v>
      </c>
      <c r="J88" s="1158"/>
      <c r="K88" s="1159"/>
      <c r="M88" s="1429" t="s">
        <v>502</v>
      </c>
      <c r="N88" s="1430" t="s">
        <v>1209</v>
      </c>
      <c r="O88" s="515"/>
      <c r="T88" s="515"/>
      <c r="U88" s="515"/>
      <c r="V88" s="515"/>
      <c r="X88" s="1726" t="s">
        <v>3268</v>
      </c>
      <c r="Y88" s="1726" t="s">
        <v>66</v>
      </c>
      <c r="Z88" s="1727">
        <f>-Input_PL_IncentiveMaxAdj_LenderPaidComp+Input_PL_MaxPriceBase_YP_03PP+Input_PL_Incentive_XP+Input_PL_IncentiveMaxAdj_XP</f>
        <v>103.25</v>
      </c>
      <c r="AA88" s="1728" cm="1">
        <f t="array" ref="AA88">[1]!Input_MaxPriceNet_YP_03PP</f>
        <v>103.25</v>
      </c>
      <c r="AV88" s="1287" t="s">
        <v>1990</v>
      </c>
      <c r="AW88" s="1241" t="s">
        <v>1991</v>
      </c>
      <c r="AX88" s="1242" t="str">
        <f t="shared" si="133"/>
        <v>IH_012.8750000000</v>
      </c>
      <c r="AY88" s="1243">
        <f>[1]!IH_R02</f>
        <v>12.875</v>
      </c>
      <c r="AZ88" s="1243"/>
      <c r="BA88" s="1243" t="e">
        <f>[1]!IH_FRM30_P02+Input_PL_Incentive_IH</f>
        <v>#N/A</v>
      </c>
      <c r="BB88" s="1242" t="e">
        <f t="shared" si="131"/>
        <v>#N/A</v>
      </c>
      <c r="BC88" s="1242" t="e">
        <f t="shared" si="134"/>
        <v>#N/A</v>
      </c>
      <c r="BD88" s="1242" cm="1">
        <f t="array" ref="BD88">[1]!IH_FRM30_M02</f>
        <v>5.375</v>
      </c>
      <c r="BE88" s="1288" t="s">
        <v>1993</v>
      </c>
    </row>
    <row r="89" spans="3:57" ht="9.6" customHeight="1" x14ac:dyDescent="0.2">
      <c r="C89" s="820"/>
      <c r="D89" s="1040" t="str">
        <f>IFERROR(INDEX(Lookup_NoteRateAll,MATCH(INDEX(List_ProductAll,MATCH(Input_Product,List_Product,0),2)&amp;"_38",Lookup_NoteRateStack,0),1),"na")</f>
        <v>PT_008.5000000000</v>
      </c>
      <c r="E89" s="1040">
        <f>IFERROR(INDEX(Lookup_NoteRateAll,MATCH(INDEX(List_ProductAll,MATCH(Input_Product,List_Product,0),2)&amp;"_38",Lookup_NoteRateStack,0),2),"na")</f>
        <v>8.5</v>
      </c>
      <c r="F89" s="1040">
        <f>IFERROR(INDEX(Lookup_NoteRateAll,MATCH(INDEX(List_ProductAll,MATCH(Input_Product,List_Product,0),2)&amp;"_38",Lookup_NoteRateStack,0),5),"na")</f>
        <v>101.25</v>
      </c>
      <c r="G89" s="1040">
        <f t="shared" si="26"/>
        <v>-0.125</v>
      </c>
      <c r="H89" s="1040">
        <f t="shared" si="27"/>
        <v>101</v>
      </c>
      <c r="I89" s="1040">
        <f>IFERROR(INDEX(Lookup_NoteRateAll,MATCH(INDEX(List_ProductAll,MATCH(Input_Product,List_Product,0),2)&amp;"_38",Lookup_NoteRateStack,0),7),"na")</f>
        <v>0</v>
      </c>
      <c r="J89" s="1158"/>
      <c r="K89" s="1159"/>
      <c r="M89" s="1431" t="s">
        <v>503</v>
      </c>
      <c r="N89" s="1432" t="s">
        <v>1209</v>
      </c>
      <c r="O89" s="515"/>
      <c r="T89" s="515"/>
      <c r="U89" s="515"/>
      <c r="V89" s="515"/>
      <c r="X89" s="1726" t="s">
        <v>3269</v>
      </c>
      <c r="Y89" s="1726" t="s">
        <v>165</v>
      </c>
      <c r="Z89" s="1727">
        <f>-Input_PL_IncentiveMaxAdj_LenderPaidComp+Input_PL_MaxPriceBase_YP_04PP+Input_PL_Incentive_XP+Input_PL_IncentiveMaxAdj_XP</f>
        <v>103.5</v>
      </c>
      <c r="AA89" s="1728" cm="1">
        <f t="array" ref="AA89">[1]!Input_MaxPriceNet_YP_04PP</f>
        <v>103.5</v>
      </c>
      <c r="AC89" s="751" t="s">
        <v>23</v>
      </c>
      <c r="AD89" s="787"/>
      <c r="AV89" s="1287" t="s">
        <v>1990</v>
      </c>
      <c r="AW89" s="1241" t="s">
        <v>1991</v>
      </c>
      <c r="AX89" s="1242" t="str">
        <f t="shared" si="133"/>
        <v>IH_012.7500000000</v>
      </c>
      <c r="AY89" s="1243">
        <f>[1]!IH_R03</f>
        <v>12.75</v>
      </c>
      <c r="AZ89" s="1243"/>
      <c r="BA89" s="1243" t="e">
        <f>[1]!IH_FRM30_P03+Input_PL_Incentive_IH</f>
        <v>#N/A</v>
      </c>
      <c r="BB89" s="1242" t="e">
        <f t="shared" si="131"/>
        <v>#N/A</v>
      </c>
      <c r="BC89" s="1242" t="e">
        <f t="shared" si="134"/>
        <v>#N/A</v>
      </c>
      <c r="BD89" s="1242" cm="1">
        <f t="array" ref="BD89">[1]!IH_FRM30_M03</f>
        <v>5.25</v>
      </c>
      <c r="BE89" s="1288" t="s">
        <v>1994</v>
      </c>
    </row>
    <row r="90" spans="3:57" ht="9.6" customHeight="1" x14ac:dyDescent="0.2">
      <c r="C90" s="820"/>
      <c r="D90" s="1040" t="str">
        <f>IFERROR(INDEX(Lookup_NoteRateAll,MATCH(INDEX(List_ProductAll,MATCH(Input_Product,List_Product,0),2)&amp;"_39",Lookup_NoteRateStack,0),1),"na")</f>
        <v>PT_008.3750000000</v>
      </c>
      <c r="E90" s="1040">
        <f>IFERROR(INDEX(Lookup_NoteRateAll,MATCH(INDEX(List_ProductAll,MATCH(Input_Product,List_Product,0),2)&amp;"_39",Lookup_NoteRateStack,0),2),"na")</f>
        <v>8.375</v>
      </c>
      <c r="F90" s="1040">
        <f>IFERROR(INDEX(Lookup_NoteRateAll,MATCH(INDEX(List_ProductAll,MATCH(Input_Product,List_Product,0),2)&amp;"_39",Lookup_NoteRateStack,0),5),"na")</f>
        <v>100.75</v>
      </c>
      <c r="G90" s="1040">
        <f t="shared" si="26"/>
        <v>-0.125</v>
      </c>
      <c r="H90" s="1040">
        <f t="shared" si="27"/>
        <v>100.625</v>
      </c>
      <c r="I90" s="1040">
        <f>IFERROR(INDEX(Lookup_NoteRateAll,MATCH(INDEX(List_ProductAll,MATCH(Input_Product,List_Product,0),2)&amp;"_39",Lookup_NoteRateStack,0),7),"na")</f>
        <v>0</v>
      </c>
      <c r="J90" s="1158"/>
      <c r="K90" s="1159"/>
      <c r="M90" s="1433" t="s">
        <v>504</v>
      </c>
      <c r="N90" s="1432" t="s">
        <v>1209</v>
      </c>
      <c r="O90" s="515"/>
      <c r="T90" s="515"/>
      <c r="U90" s="515"/>
      <c r="V90" s="515"/>
      <c r="X90" s="1729" t="s">
        <v>3270</v>
      </c>
      <c r="Y90" s="1729" t="s">
        <v>166</v>
      </c>
      <c r="Z90" s="1730">
        <f>-Input_PL_IncentiveMaxAdj_LenderPaidComp+Input_PL_MaxPriceBase_YP_05PP+Input_PL_Incentive_XP+Input_PL_IncentiveMaxAdj_XP</f>
        <v>104</v>
      </c>
      <c r="AA90" s="1731" cm="1">
        <f t="array" ref="AA90">[1]!Input_MaxPriceNet_YP_05PP</f>
        <v>104</v>
      </c>
      <c r="AC90" s="884" t="s">
        <v>73</v>
      </c>
      <c r="AD90" s="706"/>
      <c r="AV90" s="1287" t="s">
        <v>1990</v>
      </c>
      <c r="AW90" s="1241" t="s">
        <v>1991</v>
      </c>
      <c r="AX90" s="1242" t="str">
        <f t="shared" si="133"/>
        <v>IH_012.6250000000</v>
      </c>
      <c r="AY90" s="1243">
        <f>[1]!IH_R04</f>
        <v>12.625</v>
      </c>
      <c r="AZ90" s="1243"/>
      <c r="BA90" s="1243" t="e">
        <f>[1]!IH_FRM30_P04+Input_PL_Incentive_IH</f>
        <v>#N/A</v>
      </c>
      <c r="BB90" s="1242" t="e">
        <f t="shared" si="131"/>
        <v>#N/A</v>
      </c>
      <c r="BC90" s="1242" t="e">
        <f t="shared" si="134"/>
        <v>#N/A</v>
      </c>
      <c r="BD90" s="1242" cm="1">
        <f t="array" ref="BD90">[1]!IH_FRM30_M04</f>
        <v>5.125</v>
      </c>
      <c r="BE90" s="1288" t="s">
        <v>1995</v>
      </c>
    </row>
    <row r="91" spans="3:57" ht="9.6" customHeight="1" x14ac:dyDescent="0.2">
      <c r="C91" s="820"/>
      <c r="D91" s="1040" t="str">
        <f>IFERROR(INDEX(Lookup_NoteRateAll,MATCH(INDEX(List_ProductAll,MATCH(Input_Product,List_Product,0),2)&amp;"_40",Lookup_NoteRateStack,0),1),"na")</f>
        <v>PT_008.2500000000</v>
      </c>
      <c r="E91" s="1040">
        <f>IFERROR(INDEX(Lookup_NoteRateAll,MATCH(INDEX(List_ProductAll,MATCH(Input_Product,List_Product,0),2)&amp;"_40",Lookup_NoteRateStack,0),2),"na")</f>
        <v>8.25</v>
      </c>
      <c r="F91" s="1040">
        <f>IFERROR(INDEX(Lookup_NoteRateAll,MATCH(INDEX(List_ProductAll,MATCH(Input_Product,List_Product,0),2)&amp;"_40",Lookup_NoteRateStack,0),5),"na")</f>
        <v>100.25</v>
      </c>
      <c r="G91" s="1040">
        <f t="shared" si="26"/>
        <v>-0.125</v>
      </c>
      <c r="H91" s="1040">
        <f t="shared" si="27"/>
        <v>100.125</v>
      </c>
      <c r="I91" s="1040">
        <f>IFERROR(INDEX(Lookup_NoteRateAll,MATCH(INDEX(List_ProductAll,MATCH(Input_Product,List_Product,0),2)&amp;"_40",Lookup_NoteRateStack,0),7),"na")</f>
        <v>0</v>
      </c>
      <c r="J91" s="1158"/>
      <c r="K91" s="1159"/>
      <c r="M91" s="1433" t="s">
        <v>3888</v>
      </c>
      <c r="N91" s="1432" t="s">
        <v>1209</v>
      </c>
      <c r="O91" s="515"/>
      <c r="T91" s="515"/>
      <c r="U91" s="515"/>
      <c r="V91" s="515"/>
      <c r="X91" s="1740" t="s">
        <v>3059</v>
      </c>
      <c r="Y91" s="1740" t="s">
        <v>82</v>
      </c>
      <c r="Z91" s="1741">
        <f>-Input_PL_IncentiveMaxAdj_LenderPaidComp+Input_PL_MaxPriceBase_YX_NoPP+Input_PL_Incentive_XX+Input_PL_IncentiveMaxAdj_XX</f>
        <v>101</v>
      </c>
      <c r="AA91" s="1742" cm="1">
        <f t="array" ref="AA91">[1]!Input_MaxPriceNet_YX_NoPP</f>
        <v>101</v>
      </c>
      <c r="AC91" s="885" t="s">
        <v>74</v>
      </c>
      <c r="AD91" s="711"/>
      <c r="AV91" s="1287" t="s">
        <v>1990</v>
      </c>
      <c r="AW91" s="1241" t="s">
        <v>1991</v>
      </c>
      <c r="AX91" s="1242" t="str">
        <f t="shared" si="133"/>
        <v>IH_012.5000000000</v>
      </c>
      <c r="AY91" s="1243">
        <f>[1]!IH_R05</f>
        <v>12.5</v>
      </c>
      <c r="AZ91" s="1243"/>
      <c r="BA91" s="1243" t="e">
        <f>[1]!IH_FRM30_P05+Input_PL_Incentive_IH</f>
        <v>#N/A</v>
      </c>
      <c r="BB91" s="1242" t="e">
        <f t="shared" si="131"/>
        <v>#N/A</v>
      </c>
      <c r="BC91" s="1242" t="e">
        <f t="shared" si="134"/>
        <v>#N/A</v>
      </c>
      <c r="BD91" s="1242" cm="1">
        <f t="array" ref="BD91">[1]!IH_FRM30_M05</f>
        <v>5</v>
      </c>
      <c r="BE91" s="1288" t="s">
        <v>1996</v>
      </c>
    </row>
    <row r="92" spans="3:57" ht="9.6" customHeight="1" x14ac:dyDescent="0.2">
      <c r="C92" s="820"/>
      <c r="D92" s="1040" t="str">
        <f>IFERROR(INDEX(Lookup_NoteRateAll,MATCH(INDEX(List_ProductAll,MATCH(Input_Product,List_Product,0),2)&amp;"_41",Lookup_NoteRateStack,0),1),"na")</f>
        <v>PT_008.1250000000</v>
      </c>
      <c r="E92" s="1040">
        <f>IFERROR(INDEX(Lookup_NoteRateAll,MATCH(INDEX(List_ProductAll,MATCH(Input_Product,List_Product,0),2)&amp;"_41",Lookup_NoteRateStack,0),2),"na")</f>
        <v>8.125</v>
      </c>
      <c r="F92" s="1040">
        <f>IFERROR(INDEX(Lookup_NoteRateAll,MATCH(INDEX(List_ProductAll,MATCH(Input_Product,List_Product,0),2)&amp;"_41",Lookup_NoteRateStack,0),5),"na")</f>
        <v>99.75</v>
      </c>
      <c r="G92" s="1040">
        <f t="shared" si="26"/>
        <v>-0.125</v>
      </c>
      <c r="H92" s="1040">
        <f t="shared" si="27"/>
        <v>99.625</v>
      </c>
      <c r="I92" s="1040">
        <f>IFERROR(INDEX(Lookup_NoteRateAll,MATCH(INDEX(List_ProductAll,MATCH(Input_Product,List_Product,0),2)&amp;"_41",Lookup_NoteRateStack,0),7),"na")</f>
        <v>0</v>
      </c>
      <c r="J92" s="1158"/>
      <c r="K92" s="1159"/>
      <c r="M92" s="1434" t="s">
        <v>505</v>
      </c>
      <c r="N92" s="1435" t="s">
        <v>1209</v>
      </c>
      <c r="O92" s="515"/>
      <c r="T92" s="515"/>
      <c r="U92" s="515"/>
      <c r="V92" s="515"/>
      <c r="X92" s="1743" t="s">
        <v>3271</v>
      </c>
      <c r="Y92" s="1743" t="s">
        <v>68</v>
      </c>
      <c r="Z92" s="1744">
        <f>-Input_PL_IncentiveMaxAdj_LenderPaidComp+Input_PL_MaxPriceBase_YX_01PP+Input_PL_Incentive_XX+Input_PL_IncentiveMaxAdj_XX</f>
        <v>102</v>
      </c>
      <c r="AA92" s="1745" cm="1">
        <f t="array" ref="AA92">[1]!Input_MaxPriceNet_YX_01PP</f>
        <v>102</v>
      </c>
      <c r="AC92" s="885" t="s">
        <v>75</v>
      </c>
      <c r="AD92" s="711"/>
      <c r="AV92" s="1287" t="s">
        <v>1990</v>
      </c>
      <c r="AW92" s="1241" t="s">
        <v>1991</v>
      </c>
      <c r="AX92" s="1242" t="str">
        <f t="shared" si="133"/>
        <v>IH_012.3750000000</v>
      </c>
      <c r="AY92" s="1243">
        <f>[1]!IH_R06</f>
        <v>12.375</v>
      </c>
      <c r="AZ92" s="1243"/>
      <c r="BA92" s="1243" t="e">
        <f>[1]!IH_FRM30_P06+Input_PL_Incentive_IH</f>
        <v>#N/A</v>
      </c>
      <c r="BB92" s="1242" t="e">
        <f t="shared" si="131"/>
        <v>#N/A</v>
      </c>
      <c r="BC92" s="1242" t="e">
        <f t="shared" si="134"/>
        <v>#N/A</v>
      </c>
      <c r="BD92" s="1242" cm="1">
        <f t="array" ref="BD92">[1]!IH_FRM30_M06</f>
        <v>4.875</v>
      </c>
      <c r="BE92" s="1288" t="s">
        <v>1997</v>
      </c>
    </row>
    <row r="93" spans="3:57" ht="9.6" customHeight="1" x14ac:dyDescent="0.2">
      <c r="C93" s="820"/>
      <c r="D93" s="2018" t="s">
        <v>3874</v>
      </c>
      <c r="E93" s="2018" t="s">
        <v>3874</v>
      </c>
      <c r="F93" s="2018" t="s">
        <v>3874</v>
      </c>
      <c r="G93" s="2018" t="s">
        <v>3874</v>
      </c>
      <c r="H93" s="2018" t="s">
        <v>3874</v>
      </c>
      <c r="I93" s="2018" t="s">
        <v>3874</v>
      </c>
      <c r="J93" s="1158"/>
      <c r="K93" s="1159"/>
      <c r="M93" s="1433" t="s">
        <v>506</v>
      </c>
      <c r="N93" s="1436" t="s">
        <v>1209</v>
      </c>
      <c r="O93" s="515"/>
      <c r="T93" s="515"/>
      <c r="U93" s="515"/>
      <c r="V93" s="515"/>
      <c r="X93" s="1746" t="s">
        <v>3272</v>
      </c>
      <c r="Y93" s="1746" t="s">
        <v>67</v>
      </c>
      <c r="Z93" s="1747">
        <f>-Input_PL_IncentiveMaxAdj_LenderPaidComp+Input_PL_MaxPriceBase_YX_02PP+Input_PL_Incentive_XX+Input_PL_IncentiveMaxAdj_XX</f>
        <v>102.75</v>
      </c>
      <c r="AA93" s="1748" cm="1">
        <f t="array" ref="AA93">[1]!Input_MaxPriceNet_YX_02PP</f>
        <v>102.75</v>
      </c>
      <c r="AC93" s="856" t="s">
        <v>1648</v>
      </c>
      <c r="AD93" s="886"/>
      <c r="AV93" s="1287" t="s">
        <v>1990</v>
      </c>
      <c r="AW93" s="1241" t="s">
        <v>1991</v>
      </c>
      <c r="AX93" s="1242" t="str">
        <f t="shared" si="133"/>
        <v>IH_012.2500000000</v>
      </c>
      <c r="AY93" s="1243">
        <f>[1]!IH_R07</f>
        <v>12.25</v>
      </c>
      <c r="AZ93" s="1243"/>
      <c r="BA93" s="1243" t="e">
        <f>[1]!IH_FRM30_P07+Input_PL_Incentive_IH</f>
        <v>#N/A</v>
      </c>
      <c r="BB93" s="1242" t="e">
        <f t="shared" si="131"/>
        <v>#N/A</v>
      </c>
      <c r="BC93" s="1242" t="e">
        <f t="shared" si="134"/>
        <v>#N/A</v>
      </c>
      <c r="BD93" s="1242" cm="1">
        <f t="array" ref="BD93">[1]!IH_FRM30_M07</f>
        <v>4.75</v>
      </c>
      <c r="BE93" s="1288" t="s">
        <v>1998</v>
      </c>
    </row>
    <row r="94" spans="3:57" ht="9.6" customHeight="1" x14ac:dyDescent="0.2">
      <c r="C94" s="1155"/>
      <c r="D94" s="1156"/>
      <c r="E94" s="1156"/>
      <c r="F94" s="1156"/>
      <c r="G94" s="1156"/>
      <c r="H94" s="1156"/>
      <c r="I94" s="1156"/>
      <c r="J94" s="1156"/>
      <c r="K94" s="1157"/>
      <c r="M94" s="1431" t="s">
        <v>507</v>
      </c>
      <c r="N94" s="1432" t="s">
        <v>1209</v>
      </c>
      <c r="O94" s="515"/>
      <c r="T94" s="515"/>
      <c r="U94" s="515"/>
      <c r="V94" s="515"/>
      <c r="X94" s="1746" t="s">
        <v>3273</v>
      </c>
      <c r="Y94" s="1746" t="s">
        <v>66</v>
      </c>
      <c r="Z94" s="1747">
        <f>-Input_PL_IncentiveMaxAdj_LenderPaidComp+Input_PL_MaxPriceBase_YX_03PP+Input_PL_Incentive_XX+Input_PL_IncentiveMaxAdj_XX</f>
        <v>103.25</v>
      </c>
      <c r="AA94" s="1748" cm="1">
        <f t="array" ref="AA94">[1]!Input_MaxPriceNet_YX_03PP</f>
        <v>103.25</v>
      </c>
      <c r="AV94" s="1287" t="s">
        <v>1990</v>
      </c>
      <c r="AW94" s="1241" t="s">
        <v>1991</v>
      </c>
      <c r="AX94" s="1242" t="str">
        <f t="shared" si="133"/>
        <v>IH_012.1250000000</v>
      </c>
      <c r="AY94" s="1243">
        <f>[1]!IH_R08</f>
        <v>12.125</v>
      </c>
      <c r="AZ94" s="1243"/>
      <c r="BA94" s="1243" t="e">
        <f>[1]!IH_FRM30_P08+Input_PL_Incentive_IH</f>
        <v>#N/A</v>
      </c>
      <c r="BB94" s="1242" t="e">
        <f t="shared" si="131"/>
        <v>#N/A</v>
      </c>
      <c r="BC94" s="1242" t="e">
        <f t="shared" si="134"/>
        <v>#N/A</v>
      </c>
      <c r="BD94" s="1242" cm="1">
        <f t="array" ref="BD94">[1]!IH_FRM30_M08</f>
        <v>4.625</v>
      </c>
      <c r="BE94" s="1288" t="s">
        <v>1999</v>
      </c>
    </row>
    <row r="95" spans="3:57" ht="9.6" customHeight="1" x14ac:dyDescent="0.2">
      <c r="M95" s="1433" t="s">
        <v>508</v>
      </c>
      <c r="N95" s="1432" t="s">
        <v>1209</v>
      </c>
      <c r="O95" s="515"/>
      <c r="T95" s="515"/>
      <c r="U95" s="515"/>
      <c r="V95" s="515"/>
      <c r="X95" s="1746" t="s">
        <v>3274</v>
      </c>
      <c r="Y95" s="1746" t="s">
        <v>165</v>
      </c>
      <c r="Z95" s="1747">
        <f>-Input_PL_IncentiveMaxAdj_LenderPaidComp+Input_PL_MaxPriceBase_YX_04PP+Input_PL_Incentive_XX+Input_PL_IncentiveMaxAdj_XX</f>
        <v>103.5</v>
      </c>
      <c r="AA95" s="1748" cm="1">
        <f t="array" ref="AA95">[1]!Input_MaxPriceNet_YX_04PP</f>
        <v>103.5</v>
      </c>
      <c r="AC95" s="887" t="s">
        <v>364</v>
      </c>
      <c r="AD95" s="887" t="s">
        <v>1761</v>
      </c>
      <c r="AV95" s="1287" t="s">
        <v>1990</v>
      </c>
      <c r="AW95" s="1241" t="s">
        <v>1991</v>
      </c>
      <c r="AX95" s="1242" t="str">
        <f t="shared" si="133"/>
        <v>IH_012.0000000000</v>
      </c>
      <c r="AY95" s="1243">
        <f>[1]!IH_R09</f>
        <v>12</v>
      </c>
      <c r="AZ95" s="1243"/>
      <c r="BA95" s="1243" t="e">
        <f>[1]!IH_FRM30_P09+Input_PL_Incentive_IH</f>
        <v>#N/A</v>
      </c>
      <c r="BB95" s="1242" t="e">
        <f t="shared" si="131"/>
        <v>#N/A</v>
      </c>
      <c r="BC95" s="1242" t="e">
        <f t="shared" si="134"/>
        <v>#N/A</v>
      </c>
      <c r="BD95" s="1242" cm="1">
        <f t="array" ref="BD95">[1]!IH_FRM30_M09</f>
        <v>4.5</v>
      </c>
      <c r="BE95" s="1288" t="s">
        <v>2000</v>
      </c>
    </row>
    <row r="96" spans="3:57" ht="9.6" customHeight="1" x14ac:dyDescent="0.2">
      <c r="H96" s="1168">
        <f>IF(AND(Input_Ratesheet_Source="Whol",Input_AmortTerm="30yr Buydown Lender"),99.5,IF(AND(Input_Ratesheet_Source="Whol",Input_AmortTerm="30yr Buydown Seller"),98.5,IF(AND(Input_Ratesheet_Source="Whol",OR(Input_ProductClass="Second",Input_ProductClass="Closed End 2nd TD")),100,IF(Input_Ratesheet_Source="Whol",100,102.5))))</f>
        <v>102.5</v>
      </c>
      <c r="I96" s="1170" t="s">
        <v>2040</v>
      </c>
      <c r="M96" s="1437" t="s">
        <v>509</v>
      </c>
      <c r="N96" s="1438" t="s">
        <v>1209</v>
      </c>
      <c r="O96" s="515"/>
      <c r="T96" s="515"/>
      <c r="U96" s="515"/>
      <c r="V96" s="515"/>
      <c r="X96" s="1749" t="s">
        <v>3275</v>
      </c>
      <c r="Y96" s="1749" t="s">
        <v>166</v>
      </c>
      <c r="Z96" s="1750">
        <f>-Input_PL_IncentiveMaxAdj_LenderPaidComp+Input_PL_MaxPriceBase_YX_05PP+Input_PL_Incentive_XX+Input_PL_IncentiveMaxAdj_XX</f>
        <v>104</v>
      </c>
      <c r="AA96" s="1751" cm="1">
        <f t="array" ref="AA96">[1]!Input_MaxPriceNet_YX_05PP</f>
        <v>104</v>
      </c>
      <c r="AC96" s="888" t="s">
        <v>362</v>
      </c>
      <c r="AD96" s="888" t="s">
        <v>1762</v>
      </c>
      <c r="AV96" s="1287" t="s">
        <v>1990</v>
      </c>
      <c r="AW96" s="1241" t="s">
        <v>1991</v>
      </c>
      <c r="AX96" s="1242" t="str">
        <f t="shared" si="133"/>
        <v>IH_011.8750000000</v>
      </c>
      <c r="AY96" s="1243">
        <f>[1]!IH_R10</f>
        <v>11.875</v>
      </c>
      <c r="AZ96" s="1243"/>
      <c r="BA96" s="1243" t="e">
        <f>[1]!IH_FRM30_P10+Input_PL_Incentive_IH</f>
        <v>#N/A</v>
      </c>
      <c r="BB96" s="1242" t="e">
        <f t="shared" si="131"/>
        <v>#N/A</v>
      </c>
      <c r="BC96" s="1242" t="e">
        <f t="shared" si="134"/>
        <v>#N/A</v>
      </c>
      <c r="BD96" s="1242" cm="1">
        <f t="array" ref="BD96">[1]!IH_FRM30_M10</f>
        <v>4.375</v>
      </c>
      <c r="BE96" s="1288" t="s">
        <v>2001</v>
      </c>
    </row>
    <row r="97" spans="8:57" ht="9.6" customHeight="1" x14ac:dyDescent="0.2">
      <c r="H97" s="1169">
        <f>IFERROR(IF(Find_NoteRatePrice01-((Find_RatePriceGross01-Input_Price_Target+Output_LLPA_Total)/(Find_RatePriceGross01-Find_RatePriceGross02)*(Find_NoteRatePrice01-Find_NoteRatePrice02))&lt;Find_NoteRate_Min,Find_NoteRate_Min,Find_NoteRatePrice01-((Find_RatePriceGross01-Input_Price_Target+Output_LLPA_Total)/(Find_RatePriceGross01-Find_RatePriceGross02)*(Find_NoteRatePrice01-Find_NoteRatePrice02))),0)</f>
        <v>0</v>
      </c>
      <c r="I97" s="514" t="s">
        <v>2041</v>
      </c>
      <c r="M97" s="1433" t="s">
        <v>510</v>
      </c>
      <c r="N97" s="1432" t="s">
        <v>1209</v>
      </c>
      <c r="O97" s="515"/>
      <c r="T97" s="515"/>
      <c r="U97" s="515"/>
      <c r="V97" s="515"/>
      <c r="X97" s="1746" t="s">
        <v>3276</v>
      </c>
      <c r="Y97" s="1746" t="s">
        <v>68</v>
      </c>
      <c r="Z97" s="1747">
        <f>-Input_PL_IncentiveMaxAdj_LenderPaidComp+Input_PL_MaxPriceBase_YX_01PP+Input_PL_Incentive_XX+Input_PL_IncentiveMaxAdj_XX</f>
        <v>102</v>
      </c>
      <c r="AA97" s="1748" cm="1">
        <f t="array" ref="AA97">[1]!Input_MaxPriceNet_YX_01PP</f>
        <v>102</v>
      </c>
      <c r="AC97" s="889" t="s">
        <v>363</v>
      </c>
      <c r="AD97" s="889" t="s">
        <v>1763</v>
      </c>
      <c r="AV97" s="1287" t="s">
        <v>1990</v>
      </c>
      <c r="AW97" s="1241" t="s">
        <v>1991</v>
      </c>
      <c r="AX97" s="1242" t="str">
        <f t="shared" si="133"/>
        <v>IH_011.7500000000</v>
      </c>
      <c r="AY97" s="1243">
        <f>[1]!IH_R11</f>
        <v>11.75</v>
      </c>
      <c r="AZ97" s="1243"/>
      <c r="BA97" s="1243" t="e">
        <f>[1]!IH_FRM30_P11+Input_PL_Incentive_IH</f>
        <v>#N/A</v>
      </c>
      <c r="BB97" s="1242" t="e">
        <f t="shared" si="131"/>
        <v>#N/A</v>
      </c>
      <c r="BC97" s="1242" t="e">
        <f t="shared" si="134"/>
        <v>#N/A</v>
      </c>
      <c r="BD97" s="1242" cm="1">
        <f t="array" ref="BD97">[1]!IH_FRM30_M11</f>
        <v>4.25</v>
      </c>
      <c r="BE97" s="1288" t="s">
        <v>2002</v>
      </c>
    </row>
    <row r="98" spans="8:57" ht="9.6" customHeight="1" x14ac:dyDescent="0.2">
      <c r="M98" s="1437" t="s">
        <v>511</v>
      </c>
      <c r="N98" s="1438" t="s">
        <v>1209</v>
      </c>
      <c r="O98" s="515"/>
      <c r="T98" s="515"/>
      <c r="U98" s="515"/>
      <c r="V98" s="515"/>
      <c r="X98" s="1746" t="s">
        <v>3277</v>
      </c>
      <c r="Y98" s="1746" t="s">
        <v>67</v>
      </c>
      <c r="Z98" s="1747">
        <f>-Input_PL_IncentiveMaxAdj_LenderPaidComp+Input_PL_MaxPriceBase_YX_02PP+Input_PL_Incentive_XX+Input_PL_IncentiveMaxAdj_XX</f>
        <v>102.75</v>
      </c>
      <c r="AA98" s="1748" cm="1">
        <f t="array" ref="AA98">[1]!Input_MaxPriceNet_YX_02PP</f>
        <v>102.75</v>
      </c>
      <c r="AV98" s="1287" t="s">
        <v>1990</v>
      </c>
      <c r="AW98" s="1241" t="s">
        <v>1991</v>
      </c>
      <c r="AX98" s="1242" t="str">
        <f t="shared" si="133"/>
        <v>IH_011.6250000000</v>
      </c>
      <c r="AY98" s="1243">
        <f>[1]!IH_R12</f>
        <v>11.625</v>
      </c>
      <c r="AZ98" s="1243"/>
      <c r="BA98" s="1243" t="e">
        <f>[1]!IH_FRM30_P12+Input_PL_Incentive_IH</f>
        <v>#N/A</v>
      </c>
      <c r="BB98" s="1242" t="e">
        <f t="shared" si="131"/>
        <v>#N/A</v>
      </c>
      <c r="BC98" s="1242" t="e">
        <f t="shared" si="134"/>
        <v>#N/A</v>
      </c>
      <c r="BD98" s="1242" cm="1">
        <f t="array" ref="BD98">[1]!IH_FRM30_M12</f>
        <v>4.125</v>
      </c>
      <c r="BE98" s="1288" t="s">
        <v>2003</v>
      </c>
    </row>
    <row r="99" spans="8:57" ht="9.6" customHeight="1" x14ac:dyDescent="0.2">
      <c r="M99" s="1431" t="s">
        <v>512</v>
      </c>
      <c r="N99" s="1432" t="s">
        <v>1209</v>
      </c>
      <c r="O99" s="515"/>
      <c r="T99" s="515"/>
      <c r="U99" s="515"/>
      <c r="V99" s="515"/>
      <c r="X99" s="1746" t="s">
        <v>3278</v>
      </c>
      <c r="Y99" s="1746" t="s">
        <v>66</v>
      </c>
      <c r="Z99" s="1747">
        <f>-Input_PL_IncentiveMaxAdj_LenderPaidComp+Input_PL_MaxPriceBase_YX_03PP+Input_PL_Incentive_XX+Input_PL_IncentiveMaxAdj_XX</f>
        <v>103.25</v>
      </c>
      <c r="AA99" s="1748" cm="1">
        <f t="array" ref="AA99">[1]!Input_MaxPriceNet_YX_03PP</f>
        <v>103.25</v>
      </c>
      <c r="AC99" s="751" t="s">
        <v>429</v>
      </c>
      <c r="AV99" s="1287" t="s">
        <v>1990</v>
      </c>
      <c r="AW99" s="1241" t="s">
        <v>1991</v>
      </c>
      <c r="AX99" s="1242" t="str">
        <f t="shared" si="133"/>
        <v>IH_011.5000000000</v>
      </c>
      <c r="AY99" s="1243">
        <f>[1]!IH_R13</f>
        <v>11.5</v>
      </c>
      <c r="AZ99" s="1243"/>
      <c r="BA99" s="1243" t="e">
        <f>[1]!IH_FRM30_P13+Input_PL_Incentive_IH</f>
        <v>#N/A</v>
      </c>
      <c r="BB99" s="1242" t="e">
        <f t="shared" si="131"/>
        <v>#N/A</v>
      </c>
      <c r="BC99" s="1242" t="e">
        <f t="shared" si="134"/>
        <v>#N/A</v>
      </c>
      <c r="BD99" s="1242" cm="1">
        <f t="array" ref="BD99">[1]!IH_FRM30_M13</f>
        <v>4</v>
      </c>
      <c r="BE99" s="1288" t="s">
        <v>2004</v>
      </c>
    </row>
    <row r="100" spans="8:57" ht="9.6" customHeight="1" x14ac:dyDescent="0.2">
      <c r="M100" s="1433" t="s">
        <v>513</v>
      </c>
      <c r="N100" s="1432" t="s">
        <v>1209</v>
      </c>
      <c r="O100" s="515"/>
      <c r="T100" s="515"/>
      <c r="U100" s="515"/>
      <c r="V100" s="515"/>
      <c r="X100" s="1746" t="s">
        <v>3279</v>
      </c>
      <c r="Y100" s="1746" t="s">
        <v>165</v>
      </c>
      <c r="Z100" s="1747">
        <f>-Input_PL_IncentiveMaxAdj_LenderPaidComp+Input_PL_MaxPriceBase_YX_04PP+Input_PL_Incentive_XX+Input_PL_IncentiveMaxAdj_XX</f>
        <v>103.5</v>
      </c>
      <c r="AA100" s="1748" cm="1">
        <f t="array" ref="AA100">[1]!Input_MaxPriceNet_YX_04PP</f>
        <v>103.5</v>
      </c>
      <c r="AC100" s="888" t="s">
        <v>427</v>
      </c>
      <c r="AV100" s="1287" t="s">
        <v>1990</v>
      </c>
      <c r="AW100" s="1241" t="s">
        <v>1991</v>
      </c>
      <c r="AX100" s="1242" t="str">
        <f t="shared" si="133"/>
        <v>IH_011.3750000000</v>
      </c>
      <c r="AY100" s="1243">
        <f>[1]!IH_R14</f>
        <v>11.375</v>
      </c>
      <c r="AZ100" s="1243"/>
      <c r="BA100" s="1243" t="e">
        <f>[1]!IH_FRM30_P14+Input_PL_Incentive_IH</f>
        <v>#N/A</v>
      </c>
      <c r="BB100" s="1242" t="e">
        <f t="shared" si="131"/>
        <v>#N/A</v>
      </c>
      <c r="BC100" s="1242" t="e">
        <f t="shared" si="134"/>
        <v>#N/A</v>
      </c>
      <c r="BD100" s="1242" cm="1">
        <f t="array" ref="BD100">[1]!IH_FRM30_M14</f>
        <v>3.875</v>
      </c>
      <c r="BE100" s="1288" t="s">
        <v>2005</v>
      </c>
    </row>
    <row r="101" spans="8:57" ht="9.6" customHeight="1" x14ac:dyDescent="0.2">
      <c r="M101" s="1431" t="s">
        <v>514</v>
      </c>
      <c r="N101" s="1432" t="s">
        <v>1209</v>
      </c>
      <c r="O101" s="515"/>
      <c r="T101" s="515"/>
      <c r="X101" s="1749" t="s">
        <v>3280</v>
      </c>
      <c r="Y101" s="1749" t="s">
        <v>166</v>
      </c>
      <c r="Z101" s="1750">
        <f>-Input_PL_IncentiveMaxAdj_LenderPaidComp+Input_PL_MaxPriceBase_YX_05PP+Input_PL_Incentive_XX+Input_PL_IncentiveMaxAdj_XX</f>
        <v>104</v>
      </c>
      <c r="AA101" s="1751" cm="1">
        <f t="array" ref="AA101">[1]!Input_MaxPriceNet_YX_05PP</f>
        <v>104</v>
      </c>
      <c r="AC101" s="890" t="s">
        <v>424</v>
      </c>
      <c r="AF101" s="2114" t="e" cm="1">
        <f t="array" aca="1" ref="AF101" ca="1">IF(val(FIND(Input_Ratesheet_Source,AD105))&gt;0,"A","B")</f>
        <v>#NAME?</v>
      </c>
      <c r="AV101" s="1287" t="s">
        <v>1990</v>
      </c>
      <c r="AW101" s="1241" t="s">
        <v>1991</v>
      </c>
      <c r="AX101" s="1242" t="str">
        <f t="shared" si="133"/>
        <v>IH_011.2500000000</v>
      </c>
      <c r="AY101" s="1243">
        <f>[1]!IH_R15</f>
        <v>11.25</v>
      </c>
      <c r="AZ101" s="1243"/>
      <c r="BA101" s="1243" t="e">
        <f>[1]!IH_FRM30_P15+Input_PL_Incentive_IH</f>
        <v>#N/A</v>
      </c>
      <c r="BB101" s="1242" t="e">
        <f t="shared" si="131"/>
        <v>#N/A</v>
      </c>
      <c r="BC101" s="1242" t="e">
        <f t="shared" si="134"/>
        <v>#N/A</v>
      </c>
      <c r="BD101" s="1242" cm="1">
        <f t="array" ref="BD101">[1]!IH_FRM30_M15</f>
        <v>3.75</v>
      </c>
      <c r="BE101" s="1288" t="s">
        <v>2006</v>
      </c>
    </row>
    <row r="102" spans="8:57" ht="9.6" customHeight="1" x14ac:dyDescent="0.2">
      <c r="M102" s="1439" t="s">
        <v>515</v>
      </c>
      <c r="N102" s="1440" t="s">
        <v>1209</v>
      </c>
      <c r="O102" s="515"/>
      <c r="T102" s="515"/>
      <c r="X102" s="1746" t="s">
        <v>3281</v>
      </c>
      <c r="Y102" s="1746" t="s">
        <v>68</v>
      </c>
      <c r="Z102" s="1747">
        <f>-Input_PL_IncentiveMaxAdj_LenderPaidComp+Input_PL_MaxPriceBase_YX_01PP+Input_PL_Incentive_XX+Input_PL_IncentiveMaxAdj_XX</f>
        <v>102</v>
      </c>
      <c r="AA102" s="1748" cm="1">
        <f t="array" ref="AA102">[1]!Input_MaxPriceNet_YX_01PP</f>
        <v>102</v>
      </c>
      <c r="AD102" s="2115" t="s">
        <v>3886</v>
      </c>
      <c r="AV102" s="1287" t="s">
        <v>1990</v>
      </c>
      <c r="AW102" s="1241" t="s">
        <v>1991</v>
      </c>
      <c r="AX102" s="1242" t="str">
        <f t="shared" si="133"/>
        <v>IH_011.1250000000</v>
      </c>
      <c r="AY102" s="1243">
        <f>[1]!IH_R16</f>
        <v>11.125</v>
      </c>
      <c r="AZ102" s="1243"/>
      <c r="BA102" s="1243" t="e">
        <f>[1]!IH_FRM30_P16+Input_PL_Incentive_IH</f>
        <v>#N/A</v>
      </c>
      <c r="BB102" s="1242" t="e">
        <f t="shared" si="131"/>
        <v>#N/A</v>
      </c>
      <c r="BC102" s="1242" t="e">
        <f t="shared" si="134"/>
        <v>#N/A</v>
      </c>
      <c r="BD102" s="1242" cm="1">
        <f t="array" ref="BD102">[1]!IH_FRM30_M16</f>
        <v>3.625</v>
      </c>
      <c r="BE102" s="1288" t="s">
        <v>2007</v>
      </c>
    </row>
    <row r="103" spans="8:57" ht="9.6" customHeight="1" x14ac:dyDescent="0.2">
      <c r="M103" s="1423" t="s">
        <v>1798</v>
      </c>
      <c r="N103" s="1424" t="s">
        <v>1233</v>
      </c>
      <c r="O103" s="515"/>
      <c r="T103" s="515"/>
      <c r="X103" s="1746" t="s">
        <v>3282</v>
      </c>
      <c r="Y103" s="1746" t="s">
        <v>67</v>
      </c>
      <c r="Z103" s="1747">
        <f>-Input_PL_IncentiveMaxAdj_LenderPaidComp+Input_PL_MaxPriceBase_YX_02PP+Input_PL_Incentive_XX+Input_PL_IncentiveMaxAdj_XX</f>
        <v>102.75</v>
      </c>
      <c r="AA103" s="1748" cm="1">
        <f t="array" ref="AA103">[1]!Input_MaxPriceNet_YX_02PP</f>
        <v>102.75</v>
      </c>
      <c r="AC103" s="2764" t="s">
        <v>2680</v>
      </c>
      <c r="AD103" s="2765"/>
      <c r="AF103" s="2116" t="s">
        <v>1673</v>
      </c>
      <c r="AG103" s="1196" t="s">
        <v>88</v>
      </c>
      <c r="AH103" s="2092" t="s">
        <v>2055</v>
      </c>
      <c r="AI103" s="2093"/>
      <c r="AJ103" s="2094" t="s">
        <v>2054</v>
      </c>
      <c r="AK103" s="2095"/>
      <c r="AL103" s="2096" t="s">
        <v>2042</v>
      </c>
      <c r="AM103" s="2097"/>
      <c r="AN103" s="2098" t="s">
        <v>2537</v>
      </c>
      <c r="AO103" s="2099"/>
      <c r="AP103" s="514" t="s">
        <v>76</v>
      </c>
      <c r="AV103" s="1287" t="s">
        <v>1990</v>
      </c>
      <c r="AW103" s="1241" t="s">
        <v>1991</v>
      </c>
      <c r="AX103" s="1242" t="str">
        <f t="shared" si="133"/>
        <v>IH_011.0000000000</v>
      </c>
      <c r="AY103" s="1243">
        <f>[1]!IH_R17</f>
        <v>11</v>
      </c>
      <c r="AZ103" s="1243"/>
      <c r="BA103" s="1243" t="e">
        <f>[1]!IH_FRM30_P17+Input_PL_Incentive_IH</f>
        <v>#N/A</v>
      </c>
      <c r="BB103" s="1242" t="e">
        <f t="shared" si="131"/>
        <v>#N/A</v>
      </c>
      <c r="BC103" s="1242" t="e">
        <f t="shared" si="134"/>
        <v>#N/A</v>
      </c>
      <c r="BD103" s="1242" cm="1">
        <f t="array" ref="BD103">[1]!IH_FRM30_M17</f>
        <v>3.5</v>
      </c>
      <c r="BE103" s="1288" t="s">
        <v>2008</v>
      </c>
    </row>
    <row r="104" spans="8:57" ht="9.6" customHeight="1" x14ac:dyDescent="0.2">
      <c r="M104" s="1425" t="s">
        <v>1799</v>
      </c>
      <c r="N104" s="1426" t="s">
        <v>1233</v>
      </c>
      <c r="O104" s="515"/>
      <c r="P104" s="515"/>
      <c r="Q104" s="515"/>
      <c r="R104" s="515"/>
      <c r="S104" s="515"/>
      <c r="T104" s="515"/>
      <c r="X104" s="1746" t="s">
        <v>3283</v>
      </c>
      <c r="Y104" s="1746" t="s">
        <v>66</v>
      </c>
      <c r="Z104" s="1747">
        <f>-Input_PL_IncentiveMaxAdj_LenderPaidComp+Input_PL_MaxPriceBase_YX_03PP+Input_PL_Incentive_XX+Input_PL_IncentiveMaxAdj_XX</f>
        <v>103.25</v>
      </c>
      <c r="AA104" s="1748" cm="1">
        <f t="array" ref="AA104">[1]!Input_MaxPriceNet_YX_03PP</f>
        <v>103.25</v>
      </c>
      <c r="AC104" s="657" t="s">
        <v>2051</v>
      </c>
      <c r="AD104" s="657" t="s">
        <v>1658</v>
      </c>
      <c r="AE104" s="657" t="s">
        <v>1671</v>
      </c>
      <c r="AF104" s="891" t="s">
        <v>1672</v>
      </c>
      <c r="AG104" s="892" t="s">
        <v>358</v>
      </c>
      <c r="AH104" s="893" t="s">
        <v>359</v>
      </c>
      <c r="AI104" s="893" t="s">
        <v>360</v>
      </c>
      <c r="AJ104" s="893" t="s">
        <v>359</v>
      </c>
      <c r="AK104" s="893" t="s">
        <v>360</v>
      </c>
      <c r="AL104" s="893" t="s">
        <v>359</v>
      </c>
      <c r="AM104" s="893" t="s">
        <v>360</v>
      </c>
      <c r="AN104" s="893" t="s">
        <v>359</v>
      </c>
      <c r="AO104" s="893" t="s">
        <v>360</v>
      </c>
      <c r="AP104" s="514" t="s">
        <v>76</v>
      </c>
      <c r="AV104" s="1287" t="s">
        <v>1990</v>
      </c>
      <c r="AW104" s="1241" t="s">
        <v>1991</v>
      </c>
      <c r="AX104" s="1242" t="str">
        <f t="shared" si="133"/>
        <v>IH_010.8750000000</v>
      </c>
      <c r="AY104" s="1243">
        <f>[1]!IH_R18</f>
        <v>10.875</v>
      </c>
      <c r="AZ104" s="1243"/>
      <c r="BA104" s="1243" t="e">
        <f>[1]!IH_FRM30_P18+Input_PL_Incentive_IH</f>
        <v>#N/A</v>
      </c>
      <c r="BB104" s="1242" t="e">
        <f t="shared" si="131"/>
        <v>#N/A</v>
      </c>
      <c r="BC104" s="1242" t="e">
        <f t="shared" si="134"/>
        <v>#N/A</v>
      </c>
      <c r="BD104" s="1242" cm="1">
        <f t="array" ref="BD104">[1]!IH_FRM30_M18</f>
        <v>3.375</v>
      </c>
      <c r="BE104" s="1288" t="s">
        <v>2009</v>
      </c>
    </row>
    <row r="105" spans="8:57" ht="9.6" customHeight="1" x14ac:dyDescent="0.2">
      <c r="M105" s="1425" t="s">
        <v>1800</v>
      </c>
      <c r="N105" s="1426" t="s">
        <v>1233</v>
      </c>
      <c r="O105" s="515"/>
      <c r="P105" s="515"/>
      <c r="Q105" s="515"/>
      <c r="R105" s="515"/>
      <c r="S105" s="515"/>
      <c r="T105" s="515"/>
      <c r="X105" s="1746" t="s">
        <v>3284</v>
      </c>
      <c r="Y105" s="1746" t="s">
        <v>165</v>
      </c>
      <c r="Z105" s="1747">
        <f>-Input_PL_IncentiveMaxAdj_LenderPaidComp+Input_PL_MaxPriceBase_YX_04PP+Input_PL_Incentive_XX+Input_PL_IncentiveMaxAdj_XX</f>
        <v>103.5</v>
      </c>
      <c r="AA105" s="1748" cm="1">
        <f t="array" ref="AA105">[1]!Input_MaxPriceNet_YX_04PP</f>
        <v>103.5</v>
      </c>
      <c r="AC105" s="1181" t="s">
        <v>2049</v>
      </c>
      <c r="AD105" s="1183" t="s">
        <v>3886</v>
      </c>
      <c r="AE105" s="1183" t="s">
        <v>1622</v>
      </c>
      <c r="AF105" s="1184" t="s">
        <v>2065</v>
      </c>
      <c r="AG105" s="1188" t="str">
        <f>AF105</f>
        <v>1003 Loan Application (Signed and Dated by LO)</v>
      </c>
      <c r="AH105" s="1172">
        <f>IF(AG105="","",IF(AC105="Disclosure",MAX(AH$104:AH104)+1,""))</f>
        <v>1</v>
      </c>
      <c r="AI105" s="1171" t="str">
        <f t="shared" ref="AI105:AI136" si="135">IFERROR(INDEX($AG$105:$AG$198,MATCH(ROW()-ROW($AI$104),$AH$105:$AH$198,0)),"")</f>
        <v>1003 Loan Application (Signed and Dated by LO)</v>
      </c>
      <c r="AJ105" s="1174" t="str">
        <f>IF(AG105="","",IF(AC105="SubmissionRequired",MAX(AJ$104:AJ104)+1,""))</f>
        <v/>
      </c>
      <c r="AK105" s="1175" t="str">
        <f t="shared" ref="AK105:AK136" si="136">IFERROR(INDEX($AG$105:$AG$198,MATCH(ROW()-ROW($AK$104),$AJ$105:$AJ$198,0)),"")</f>
        <v>ID: Passport or  DL (Cannot be Expired)</v>
      </c>
      <c r="AL105" s="1177" t="str">
        <f>IF(AG105="","",IF(AC105="SubmissionRecommended",MAX(AL$104:AL104)+1,""))</f>
        <v/>
      </c>
      <c r="AM105" s="1178" t="str">
        <f t="shared" ref="AM105:AM136" si="137">IFERROR(INDEX($AG$105:$AG$198,MATCH(ROW()-ROW($AM$104),$AL$105:$AL$198,0)),"")</f>
        <v>YTD P&amp;L (Self Employed)</v>
      </c>
      <c r="AN105" s="1318" t="str">
        <f>IF(AG105="","",IF(AC105="DocType",MAX(AN$104:AN104)+1,""))</f>
        <v/>
      </c>
      <c r="AO105" s="1319" t="str">
        <f t="shared" ref="AO105:AO136" si="138">IFERROR(INDEX($AG$105:$AG$198,MATCH(ROW()-ROW($AO$104),$AN$105:$AN$198,0)),"")</f>
        <v>Full documentation of non-employment income (SSI, pension, alimony, child support, trust income, etc.)</v>
      </c>
      <c r="AP105" s="514" t="s">
        <v>76</v>
      </c>
      <c r="AV105" s="1287" t="s">
        <v>1990</v>
      </c>
      <c r="AW105" s="1241" t="s">
        <v>1991</v>
      </c>
      <c r="AX105" s="1242" t="str">
        <f t="shared" si="133"/>
        <v>IH_010.7500000000</v>
      </c>
      <c r="AY105" s="1243">
        <f>[1]!IH_R19</f>
        <v>10.75</v>
      </c>
      <c r="AZ105" s="1243"/>
      <c r="BA105" s="1243" t="e">
        <f>[1]!IH_FRM30_P19+Input_PL_Incentive_IH</f>
        <v>#N/A</v>
      </c>
      <c r="BB105" s="1242" t="e">
        <f t="shared" si="131"/>
        <v>#N/A</v>
      </c>
      <c r="BC105" s="1242" t="e">
        <f t="shared" si="134"/>
        <v>#N/A</v>
      </c>
      <c r="BD105" s="1242" cm="1">
        <f t="array" ref="BD105">[1]!IH_FRM30_M19</f>
        <v>3.25</v>
      </c>
      <c r="BE105" s="1288" t="s">
        <v>2010</v>
      </c>
    </row>
    <row r="106" spans="8:57" ht="9.6" customHeight="1" x14ac:dyDescent="0.2">
      <c r="M106" s="1427" t="s">
        <v>1801</v>
      </c>
      <c r="N106" s="1428" t="s">
        <v>1233</v>
      </c>
      <c r="O106" s="515"/>
      <c r="P106" s="515"/>
      <c r="Q106" s="515"/>
      <c r="R106" s="515"/>
      <c r="S106" s="515"/>
      <c r="T106" s="515"/>
      <c r="X106" s="1749" t="s">
        <v>3285</v>
      </c>
      <c r="Y106" s="1749" t="s">
        <v>166</v>
      </c>
      <c r="Z106" s="1750">
        <f>-Input_PL_IncentiveMaxAdj_LenderPaidComp+Input_PL_MaxPriceBase_YX_05PP+Input_PL_Incentive_XX+Input_PL_IncentiveMaxAdj_XX</f>
        <v>104</v>
      </c>
      <c r="AA106" s="1751" cm="1">
        <f t="array" ref="AA106">[1]!Input_MaxPriceNet_YX_05PP</f>
        <v>104</v>
      </c>
      <c r="AC106" s="1181" t="s">
        <v>2049</v>
      </c>
      <c r="AD106" s="1181" t="s">
        <v>3886</v>
      </c>
      <c r="AE106" s="1181" t="s">
        <v>1622</v>
      </c>
      <c r="AF106" s="1186" t="s">
        <v>2050</v>
      </c>
      <c r="AG106" s="1189" t="str">
        <f>AF106</f>
        <v>Broker Fee Sheet</v>
      </c>
      <c r="AH106" s="1172">
        <f>IF(AG106="","",IF(AC106="Disclosure",MAX(AH$104:AH105)+1,""))</f>
        <v>2</v>
      </c>
      <c r="AI106" s="1173" t="str">
        <f t="shared" si="135"/>
        <v>Broker Fee Sheet</v>
      </c>
      <c r="AJ106" s="1174" t="str">
        <f>IF(AG106="","",IF(AC106="SubmissionRequired",MAX(AJ$104:AJ105)+1,""))</f>
        <v/>
      </c>
      <c r="AK106" s="1176" t="str">
        <f t="shared" si="136"/>
        <v>Full Documentation of Non-Employment income (SSI, Pension, Alimony, Child Support, Trust Income, etc.)</v>
      </c>
      <c r="AL106" s="1177" t="str">
        <f>IF(AG106="","",IF(AC106="SubmissionRecommended",MAX(AL$104:AL105)+1,""))</f>
        <v/>
      </c>
      <c r="AM106" s="1179" t="str">
        <f t="shared" si="137"/>
        <v>4506C Signed by Borrower(s)</v>
      </c>
      <c r="AN106" s="1318" t="str">
        <f>IF(AG106="","",IF(AC106="DocType",MAX(AN$104:AN105)+1,""))</f>
        <v/>
      </c>
      <c r="AO106" s="1320" t="str">
        <f t="shared" si="138"/>
        <v>2yrs W2s or personal returns, 1mo recent paystubs (Wage earners only)</v>
      </c>
      <c r="AP106" s="514" t="s">
        <v>76</v>
      </c>
      <c r="AV106" s="1287" t="s">
        <v>1990</v>
      </c>
      <c r="AW106" s="1241" t="s">
        <v>1991</v>
      </c>
      <c r="AX106" s="1242" t="str">
        <f t="shared" si="133"/>
        <v>IH_010.6250000000</v>
      </c>
      <c r="AY106" s="1243">
        <f>[1]!IH_R20</f>
        <v>10.625</v>
      </c>
      <c r="AZ106" s="1243"/>
      <c r="BA106" s="1243" t="e">
        <f>[1]!IH_FRM30_P20+Input_PL_Incentive_IH</f>
        <v>#N/A</v>
      </c>
      <c r="BB106" s="1242" t="e">
        <f t="shared" si="131"/>
        <v>#N/A</v>
      </c>
      <c r="BC106" s="1242" t="e">
        <f t="shared" si="134"/>
        <v>#N/A</v>
      </c>
      <c r="BD106" s="1242" cm="1">
        <f t="array" ref="BD106">[1]!IH_FRM30_M20</f>
        <v>3.125</v>
      </c>
      <c r="BE106" s="1288" t="s">
        <v>2011</v>
      </c>
    </row>
    <row r="107" spans="8:57" ht="9.6" customHeight="1" x14ac:dyDescent="0.2">
      <c r="M107" s="1417" t="s">
        <v>1985</v>
      </c>
      <c r="N107" s="1418" t="s">
        <v>1233</v>
      </c>
      <c r="O107" s="515"/>
      <c r="P107" s="515"/>
      <c r="Q107" s="515"/>
      <c r="R107" s="515"/>
      <c r="S107" s="515"/>
      <c r="T107" s="515"/>
      <c r="U107" s="515"/>
      <c r="V107" s="515"/>
      <c r="X107" s="1752" t="s">
        <v>3060</v>
      </c>
      <c r="Y107" s="1752" t="s">
        <v>82</v>
      </c>
      <c r="Z107" s="1753">
        <f>-Input_PL_IncentiveMaxAdj_LenderPaidComp+Input_PL_MaxPriceBase_YF_NoPP+Input_PL_Incentive_XF+Input_PL_IncentiveMaxAdj_XF</f>
        <v>100.75</v>
      </c>
      <c r="AA107" s="1754" cm="1">
        <f t="array" ref="AA107">[1]!Input_MaxPriceNet_YF_NoPP</f>
        <v>100.75</v>
      </c>
      <c r="AC107" s="1181" t="s">
        <v>2049</v>
      </c>
      <c r="AD107" s="1181" t="s">
        <v>3886</v>
      </c>
      <c r="AE107" s="1181" t="s">
        <v>1622</v>
      </c>
      <c r="AF107" s="1186" t="s">
        <v>2066</v>
      </c>
      <c r="AG107" s="1189" t="str">
        <f>AF107</f>
        <v>Brokers Advantage Submission Form and Checklist (Optional Cover Letter)</v>
      </c>
      <c r="AH107" s="1172">
        <f>IF(AG107="","",IF(AC107="Disclosure",MAX(AH$104:AH106)+1,""))</f>
        <v>3</v>
      </c>
      <c r="AI107" s="1173" t="str">
        <f t="shared" si="135"/>
        <v>Brokers Advantage Submission Form and Checklist (Optional Cover Letter)</v>
      </c>
      <c r="AJ107" s="1174" t="str">
        <f>IF(AG107="","",IF(AC107="SubmissionRequired",MAX(AJ$104:AJ106)+1,""))</f>
        <v/>
      </c>
      <c r="AK107" s="1176" t="str">
        <f t="shared" si="136"/>
        <v>Title Commitment</v>
      </c>
      <c r="AL107" s="1177" t="str">
        <f>IF(AG107="","",IF(AC107="SubmissionRecommended",MAX(AL$104:AL106)+1,""))</f>
        <v/>
      </c>
      <c r="AM107" s="1179" t="str">
        <f t="shared" si="137"/>
        <v>Solar Agreement and Endorsement [if applicable]</v>
      </c>
      <c r="AN107" s="1318" t="str">
        <f>IF(AG107="","",IF(AC107="DocType",MAX(AN$104:AN106)+1,""))</f>
        <v/>
      </c>
      <c r="AO107" s="1320" t="str">
        <f t="shared" si="138"/>
        <v>2yrs personal and business returns, YTD P&amp;L (Self-employed only)</v>
      </c>
      <c r="AP107" s="514" t="s">
        <v>76</v>
      </c>
      <c r="AV107" s="1287" t="s">
        <v>1990</v>
      </c>
      <c r="AW107" s="1241" t="s">
        <v>1991</v>
      </c>
      <c r="AX107" s="1242" t="str">
        <f t="shared" si="133"/>
        <v>IH_010.5000000000</v>
      </c>
      <c r="AY107" s="1243">
        <f>[1]!IH_R21</f>
        <v>10.5</v>
      </c>
      <c r="AZ107" s="1243"/>
      <c r="BA107" s="1243" t="e">
        <f>[1]!IH_FRM30_P21+Input_PL_Incentive_IH</f>
        <v>#N/A</v>
      </c>
      <c r="BB107" s="1242" t="e">
        <f t="shared" si="131"/>
        <v>#N/A</v>
      </c>
      <c r="BC107" s="1242" t="e">
        <f t="shared" si="134"/>
        <v>#N/A</v>
      </c>
      <c r="BD107" s="1242" cm="1">
        <f t="array" ref="BD107">[1]!IH_FRM30_M21</f>
        <v>3</v>
      </c>
      <c r="BE107" s="1288" t="s">
        <v>2012</v>
      </c>
    </row>
    <row r="108" spans="8:57" ht="9.6" customHeight="1" x14ac:dyDescent="0.2">
      <c r="M108" s="1419" t="s">
        <v>1986</v>
      </c>
      <c r="N108" s="1420" t="s">
        <v>1233</v>
      </c>
      <c r="O108" s="515"/>
      <c r="P108" s="515"/>
      <c r="Q108" s="515"/>
      <c r="R108" s="515"/>
      <c r="S108" s="515"/>
      <c r="T108" s="515"/>
      <c r="U108" s="515"/>
      <c r="V108" s="515"/>
      <c r="X108" s="1755" t="s">
        <v>3286</v>
      </c>
      <c r="Y108" s="1755" t="s">
        <v>68</v>
      </c>
      <c r="Z108" s="1756">
        <f>-Input_PL_IncentiveMaxAdj_LenderPaidComp+Input_PL_MaxPriceBase_YF_01PP+Input_PL_Incentive_XF+Input_PL_IncentiveMaxAdj_XF</f>
        <v>102.25</v>
      </c>
      <c r="AA108" s="1757" cm="1">
        <f t="array" ref="AA108">[1]!Input_MaxPriceNet_YF_01PP</f>
        <v>102.25</v>
      </c>
      <c r="AC108" s="1181" t="s">
        <v>2049</v>
      </c>
      <c r="AD108" s="1181" t="s">
        <v>3886</v>
      </c>
      <c r="AE108" s="1181" t="s">
        <v>1622</v>
      </c>
      <c r="AF108" s="1186" t="s">
        <v>2106</v>
      </c>
      <c r="AG108" s="1189" t="str">
        <f>AF108</f>
        <v>Credit Report or Tri-Merge [TPO Connect] (Not Locked or Frozen)</v>
      </c>
      <c r="AH108" s="1172">
        <f>IF(AG108="","",IF(AC108="Disclosure",MAX(AH$104:AH107)+1,""))</f>
        <v>4</v>
      </c>
      <c r="AI108" s="1173" t="str">
        <f t="shared" si="135"/>
        <v>Credit Report or Tri-Merge [TPO Connect] (Not Locked or Frozen)</v>
      </c>
      <c r="AJ108" s="1174" t="str">
        <f>IF(AG108="","",IF(AC108="SubmissionRequired",MAX(AJ$104:AJ107)+1,""))</f>
        <v/>
      </c>
      <c r="AK108" s="1176" t="str">
        <f t="shared" si="136"/>
        <v>2yrs W2s or Personal Returns, 1mo Recent Paystubs (Wage Earner)</v>
      </c>
      <c r="AL108" s="1177" t="str">
        <f>IF(AG108="","",IF(AC108="SubmissionRecommended",MAX(AL$104:AL107)+1,""))</f>
        <v/>
      </c>
      <c r="AM108" s="1179" t="str">
        <f t="shared" si="137"/>
        <v>Preliminary Title Report / Title Commitment (24mo chain of title, ALTA supp for property address, plat map / survey)</v>
      </c>
      <c r="AN108" s="1318" t="str">
        <f>IF(AG108="","",IF(AC108="DocType",MAX(AN$104:AN107)+1,""))</f>
        <v/>
      </c>
      <c r="AO108" s="1320" t="str">
        <f t="shared" si="138"/>
        <v>4506C [Signed by borrower(s)]</v>
      </c>
      <c r="AP108" s="514" t="s">
        <v>76</v>
      </c>
      <c r="AV108" s="1287" t="s">
        <v>1990</v>
      </c>
      <c r="AW108" s="1241" t="s">
        <v>1991</v>
      </c>
      <c r="AX108" s="1242" t="str">
        <f t="shared" si="133"/>
        <v>IH_010.3750000000</v>
      </c>
      <c r="AY108" s="1243">
        <f>[1]!IH_R22</f>
        <v>10.375</v>
      </c>
      <c r="AZ108" s="1243"/>
      <c r="BA108" s="1243" t="e">
        <f>[1]!IH_FRM30_P22+Input_PL_Incentive_IH</f>
        <v>#N/A</v>
      </c>
      <c r="BB108" s="1242" t="e">
        <f t="shared" si="131"/>
        <v>#N/A</v>
      </c>
      <c r="BC108" s="1242" t="e">
        <f t="shared" si="134"/>
        <v>#N/A</v>
      </c>
      <c r="BD108" s="1242" cm="1">
        <f t="array" ref="BD108">[1]!IH_FRM30_M22</f>
        <v>2.875</v>
      </c>
      <c r="BE108" s="1288" t="s">
        <v>2013</v>
      </c>
    </row>
    <row r="109" spans="8:57" ht="9.6" customHeight="1" x14ac:dyDescent="0.2">
      <c r="M109" s="1419" t="s">
        <v>1987</v>
      </c>
      <c r="N109" s="1420" t="s">
        <v>1233</v>
      </c>
      <c r="O109" s="515"/>
      <c r="P109" s="515"/>
      <c r="Q109" s="515"/>
      <c r="R109" s="515"/>
      <c r="S109" s="515"/>
      <c r="T109" s="515"/>
      <c r="U109" s="515"/>
      <c r="V109" s="515"/>
      <c r="X109" s="1758" t="s">
        <v>3287</v>
      </c>
      <c r="Y109" s="1758" t="s">
        <v>67</v>
      </c>
      <c r="Z109" s="1759">
        <f>-Input_PL_IncentiveMaxAdj_LenderPaidComp+Input_PL_MaxPriceBase_YF_02PP+Input_PL_Incentive_XF+Input_PL_IncentiveMaxAdj_XF</f>
        <v>102.75</v>
      </c>
      <c r="AA109" s="1760" cm="1">
        <f t="array" ref="AA109">[1]!Input_MaxPriceNet_YF_02PP</f>
        <v>102.75</v>
      </c>
      <c r="AC109" s="1181" t="s">
        <v>2049</v>
      </c>
      <c r="AD109" s="1181" t="s">
        <v>3886</v>
      </c>
      <c r="AE109" s="1181" t="s">
        <v>34</v>
      </c>
      <c r="AF109" s="1186" t="s">
        <v>2084</v>
      </c>
      <c r="AG109" s="1193" t="str">
        <f>IF(Input_Purpose="Purchase",AF109,"")</f>
        <v/>
      </c>
      <c r="AH109" s="1172" t="str">
        <f>IF(AG109="","",IF(AC109="Disclosure",MAX(AH$104:AH108)+1,""))</f>
        <v/>
      </c>
      <c r="AI109" s="1173" t="str">
        <f t="shared" si="135"/>
        <v/>
      </c>
      <c r="AJ109" s="1174" t="str">
        <f>IF(AG109="","",IF(AC109="SubmissionRequired",MAX(AJ$104:AJ108)+1,""))</f>
        <v/>
      </c>
      <c r="AK109" s="1176" t="str">
        <f t="shared" si="136"/>
        <v>2yrs Personal and Business Returns (Self-Employed)</v>
      </c>
      <c r="AL109" s="1177" t="str">
        <f>IF(AG109="","",IF(AC109="SubmissionRecommended",MAX(AL$104:AL108)+1,""))</f>
        <v/>
      </c>
      <c r="AM109" s="1179" t="str">
        <f t="shared" si="137"/>
        <v>Escrow Instructions (If business entity, provide formation articles/agreement, tax ID #, cert of good standing)</v>
      </c>
      <c r="AN109" s="1318" t="str">
        <f>IF(AG109="","",IF(AC109="DocType",MAX(AN$104:AN108)+1,""))</f>
        <v/>
      </c>
      <c r="AO109" s="1320" t="str">
        <f t="shared" si="138"/>
        <v/>
      </c>
      <c r="AP109" s="514" t="s">
        <v>76</v>
      </c>
      <c r="AV109" s="1287" t="s">
        <v>1990</v>
      </c>
      <c r="AW109" s="1241" t="s">
        <v>1991</v>
      </c>
      <c r="AX109" s="1242" t="str">
        <f t="shared" si="133"/>
        <v>IH_010.2500000000</v>
      </c>
      <c r="AY109" s="1243">
        <f>[1]!IH_R23</f>
        <v>10.25</v>
      </c>
      <c r="AZ109" s="1243"/>
      <c r="BA109" s="1243" t="e">
        <f>[1]!IH_FRM30_P23+Input_PL_Incentive_IH</f>
        <v>#N/A</v>
      </c>
      <c r="BB109" s="1242" t="e">
        <f t="shared" si="131"/>
        <v>#N/A</v>
      </c>
      <c r="BC109" s="1242" t="e">
        <f t="shared" si="134"/>
        <v>#N/A</v>
      </c>
      <c r="BD109" s="1242" cm="1">
        <f t="array" ref="BD109">[1]!IH_FRM30_M23</f>
        <v>2.75</v>
      </c>
      <c r="BE109" s="1288" t="s">
        <v>2014</v>
      </c>
    </row>
    <row r="110" spans="8:57" ht="9.6" customHeight="1" x14ac:dyDescent="0.2">
      <c r="M110" s="1421" t="s">
        <v>1988</v>
      </c>
      <c r="N110" s="1422" t="s">
        <v>1233</v>
      </c>
      <c r="O110" s="515"/>
      <c r="P110" s="515"/>
      <c r="Q110" s="515"/>
      <c r="R110" s="515"/>
      <c r="S110" s="515"/>
      <c r="T110" s="515"/>
      <c r="U110" s="515"/>
      <c r="V110" s="515"/>
      <c r="X110" s="1758" t="s">
        <v>3288</v>
      </c>
      <c r="Y110" s="1758" t="s">
        <v>66</v>
      </c>
      <c r="Z110" s="1759">
        <f>-Input_PL_IncentiveMaxAdj_LenderPaidComp+Input_PL_MaxPriceBase_YF_03PP+Input_PL_Incentive_XF+Input_PL_IncentiveMaxAdj_XF</f>
        <v>103.25</v>
      </c>
      <c r="AA110" s="1760" cm="1">
        <f t="array" ref="AA110">[1]!Input_MaxPriceNet_YF_03PP</f>
        <v>103.25</v>
      </c>
      <c r="AC110" s="1181" t="s">
        <v>2052</v>
      </c>
      <c r="AD110" s="1181" t="s">
        <v>3886</v>
      </c>
      <c r="AE110" s="1181" t="s">
        <v>1622</v>
      </c>
      <c r="AF110" s="1186" t="s">
        <v>2067</v>
      </c>
      <c r="AG110" s="1189" t="str">
        <f>AF110</f>
        <v>ID: Passport or  DL (Cannot be Expired)</v>
      </c>
      <c r="AH110" s="1172" t="str">
        <f>IF(AG110="","",IF(AC110="Disclosure",MAX(AH$104:AH109)+1,""))</f>
        <v/>
      </c>
      <c r="AI110" s="1173" t="str">
        <f t="shared" si="135"/>
        <v/>
      </c>
      <c r="AJ110" s="1174">
        <f>IF(AG110="","",IF(AC110="SubmissionRequired",MAX(AJ$104:AJ109)+1,""))</f>
        <v>1</v>
      </c>
      <c r="AK110" s="1176" t="str">
        <f t="shared" si="136"/>
        <v>Mortgage Statement Coupon</v>
      </c>
      <c r="AL110" s="1177" t="str">
        <f>IF(AG110="","",IF(AC110="SubmissionRecommended",MAX(AL$104:AL109)+1,""))</f>
        <v/>
      </c>
      <c r="AM110" s="1179" t="str">
        <f t="shared" si="137"/>
        <v>Payoff Demand(s) w/in 30 days</v>
      </c>
      <c r="AN110" s="1318" t="str">
        <f>IF(AG110="","",IF(AC110="DocType",MAX(AN$104:AN109)+1,""))</f>
        <v/>
      </c>
      <c r="AO110" s="1320" t="str">
        <f t="shared" si="138"/>
        <v/>
      </c>
      <c r="AP110" s="514" t="s">
        <v>76</v>
      </c>
      <c r="AV110" s="1287" t="s">
        <v>1990</v>
      </c>
      <c r="AW110" s="1241" t="s">
        <v>1991</v>
      </c>
      <c r="AX110" s="1242" t="str">
        <f t="shared" si="133"/>
        <v>IH_010.1250000000</v>
      </c>
      <c r="AY110" s="1243">
        <f>[1]!IH_R24</f>
        <v>10.125</v>
      </c>
      <c r="AZ110" s="1243"/>
      <c r="BA110" s="1243" t="e">
        <f>[1]!IH_FRM30_P24+Input_PL_Incentive_IH</f>
        <v>#N/A</v>
      </c>
      <c r="BB110" s="1242" t="e">
        <f t="shared" si="131"/>
        <v>#N/A</v>
      </c>
      <c r="BC110" s="1242" t="e">
        <f t="shared" si="134"/>
        <v>#N/A</v>
      </c>
      <c r="BD110" s="1242" cm="1">
        <f t="array" ref="BD110">[1]!IH_FRM30_M24</f>
        <v>2.625</v>
      </c>
      <c r="BE110" s="1288" t="s">
        <v>2015</v>
      </c>
    </row>
    <row r="111" spans="8:57" ht="9.6" customHeight="1" x14ac:dyDescent="0.2">
      <c r="M111" s="1411" t="s">
        <v>2133</v>
      </c>
      <c r="N111" s="1412" t="s">
        <v>2693</v>
      </c>
      <c r="O111" s="515"/>
      <c r="P111" s="515"/>
      <c r="Q111" s="515"/>
      <c r="R111" s="515"/>
      <c r="S111" s="515"/>
      <c r="T111" s="515"/>
      <c r="U111" s="515"/>
      <c r="V111" s="515"/>
      <c r="X111" s="1758" t="s">
        <v>3289</v>
      </c>
      <c r="Y111" s="1758" t="s">
        <v>165</v>
      </c>
      <c r="Z111" s="1759">
        <f>-Input_PL_IncentiveMaxAdj_LenderPaidComp+Input_PL_MaxPriceBase_YF_04PP+Input_PL_Incentive_XF+Input_PL_IncentiveMaxAdj_XF</f>
        <v>103.5</v>
      </c>
      <c r="AA111" s="1760" cm="1">
        <f t="array" ref="AA111">[1]!Input_MaxPriceNet_YF_04PP</f>
        <v>103.5</v>
      </c>
      <c r="AC111" s="1181" t="s">
        <v>2052</v>
      </c>
      <c r="AD111" s="1181" t="s">
        <v>3886</v>
      </c>
      <c r="AE111" s="1181" t="s">
        <v>1622</v>
      </c>
      <c r="AF111" s="1186" t="s">
        <v>2085</v>
      </c>
      <c r="AG111" s="1189" t="str">
        <f>AF111</f>
        <v>Full Documentation of Non-Employment income (SSI, Pension, Alimony, Child Support, Trust Income, etc.)</v>
      </c>
      <c r="AH111" s="1172" t="str">
        <f>IF(AG111="","",IF(AC111="Disclosure",MAX(AH$104:AH110)+1,""))</f>
        <v/>
      </c>
      <c r="AI111" s="1173" t="str">
        <f t="shared" si="135"/>
        <v/>
      </c>
      <c r="AJ111" s="1174">
        <f>IF(AG111="","",IF(AC111="SubmissionRequired",MAX(AJ$104:AJ110)+1,""))</f>
        <v>2</v>
      </c>
      <c r="AK111" s="1176" t="str">
        <f t="shared" si="136"/>
        <v/>
      </c>
      <c r="AL111" s="1177" t="str">
        <f>IF(AG111="","",IF(AC111="SubmissionRecommended",MAX(AL$104:AL110)+1,""))</f>
        <v/>
      </c>
      <c r="AM111" s="1179" t="str">
        <f t="shared" si="137"/>
        <v>CPL (With Brokers Advantage Listed as Mortgagee)</v>
      </c>
      <c r="AN111" s="1318" t="str">
        <f>IF(AG111="","",IF(AC111="DocType",MAX(AN$104:AN110)+1,""))</f>
        <v/>
      </c>
      <c r="AO111" s="1320" t="str">
        <f t="shared" si="138"/>
        <v/>
      </c>
      <c r="AP111" s="514" t="s">
        <v>76</v>
      </c>
      <c r="AV111" s="1287" t="s">
        <v>1990</v>
      </c>
      <c r="AW111" s="1241" t="s">
        <v>1991</v>
      </c>
      <c r="AX111" s="1242" t="str">
        <f t="shared" si="133"/>
        <v>IH_010.0000000000</v>
      </c>
      <c r="AY111" s="1243">
        <f>[1]!IH_R25</f>
        <v>10</v>
      </c>
      <c r="AZ111" s="1243"/>
      <c r="BA111" s="1243" t="e">
        <f>[1]!IH_FRM30_P25+Input_PL_Incentive_IH</f>
        <v>#N/A</v>
      </c>
      <c r="BB111" s="1242" t="e">
        <f t="shared" si="131"/>
        <v>#N/A</v>
      </c>
      <c r="BC111" s="1242" t="e">
        <f t="shared" si="134"/>
        <v>#N/A</v>
      </c>
      <c r="BD111" s="1242" cm="1">
        <f t="array" ref="BD111">[1]!IH_FRM30_M25</f>
        <v>2.5</v>
      </c>
      <c r="BE111" s="1288" t="s">
        <v>2016</v>
      </c>
    </row>
    <row r="112" spans="8:57" ht="9.6" customHeight="1" x14ac:dyDescent="0.2">
      <c r="M112" s="1413" t="s">
        <v>2134</v>
      </c>
      <c r="N112" s="1414" t="s">
        <v>2693</v>
      </c>
      <c r="O112" s="515"/>
      <c r="P112" s="515"/>
      <c r="Q112" s="515"/>
      <c r="R112" s="515"/>
      <c r="S112" s="515"/>
      <c r="T112" s="515"/>
      <c r="U112" s="515"/>
      <c r="V112" s="515"/>
      <c r="X112" s="1761" t="s">
        <v>3290</v>
      </c>
      <c r="Y112" s="1761" t="s">
        <v>166</v>
      </c>
      <c r="Z112" s="1762">
        <f>-Input_PL_IncentiveMaxAdj_LenderPaidComp+Input_PL_MaxPriceBase_YF_05PP+Input_PL_Incentive_XF+Input_PL_IncentiveMaxAdj_XF</f>
        <v>104</v>
      </c>
      <c r="AA112" s="1763" cm="1">
        <f t="array" ref="AA112">[1]!Input_MaxPriceNet_YF_05PP</f>
        <v>104</v>
      </c>
      <c r="AC112" s="1181" t="s">
        <v>2052</v>
      </c>
      <c r="AD112" s="1181" t="s">
        <v>3886</v>
      </c>
      <c r="AE112" s="1181" t="s">
        <v>2692</v>
      </c>
      <c r="AF112" s="1186" t="s">
        <v>2691</v>
      </c>
      <c r="AG112" s="1189" t="str">
        <f>IF(Input_State&lt;&gt;"TX",Structure!AF112,"")</f>
        <v>Title Commitment</v>
      </c>
      <c r="AH112" s="1172" t="str">
        <f>IF(AG112="","",IF(AC112="Disclosure",MAX(AH$104:AH111)+1,""))</f>
        <v/>
      </c>
      <c r="AI112" s="1173" t="str">
        <f t="shared" si="135"/>
        <v/>
      </c>
      <c r="AJ112" s="1174">
        <f>IF(AG112="","",IF(AC112="SubmissionRequired",MAX(AJ$104:AJ111)+1,""))</f>
        <v>3</v>
      </c>
      <c r="AK112" s="1176" t="str">
        <f t="shared" si="136"/>
        <v/>
      </c>
      <c r="AL112" s="1177" t="str">
        <f>IF(AG112="","",IF(AC112="SubmissionRecommended",MAX(AL$104:AL111)+1,""))</f>
        <v/>
      </c>
      <c r="AM112" s="1179" t="str">
        <f t="shared" si="137"/>
        <v>Letters of Explanation (Address Inquiries &lt; 90 days, Derog/Disputed Credit &lt; 2yrs, Name, SSN, Address Variations)</v>
      </c>
      <c r="AN112" s="1318" t="str">
        <f>IF(AG112="","",IF(AC112="DocType",MAX(AN$104:AN111)+1,""))</f>
        <v/>
      </c>
      <c r="AO112" s="1320" t="str">
        <f t="shared" si="138"/>
        <v/>
      </c>
      <c r="AP112" s="514" t="s">
        <v>76</v>
      </c>
      <c r="AV112" s="1287" t="s">
        <v>1990</v>
      </c>
      <c r="AW112" s="1241" t="s">
        <v>1991</v>
      </c>
      <c r="AX112" s="1242" t="str">
        <f t="shared" si="133"/>
        <v>IH_009.8750000000</v>
      </c>
      <c r="AY112" s="1243">
        <f>[1]!IH_R26</f>
        <v>9.875</v>
      </c>
      <c r="AZ112" s="1243"/>
      <c r="BA112" s="1243" t="e">
        <f>[1]!IH_FRM30_P26+Input_PL_Incentive_IH</f>
        <v>#N/A</v>
      </c>
      <c r="BB112" s="1242" t="e">
        <f t="shared" si="131"/>
        <v>#N/A</v>
      </c>
      <c r="BC112" s="1242" t="e">
        <f t="shared" si="134"/>
        <v>#N/A</v>
      </c>
      <c r="BD112" s="1242" cm="1">
        <f t="array" ref="BD112">[1]!IH_FRM30_M26</f>
        <v>2.375</v>
      </c>
      <c r="BE112" s="1288" t="s">
        <v>2017</v>
      </c>
    </row>
    <row r="113" spans="13:57" ht="9.6" customHeight="1" x14ac:dyDescent="0.2">
      <c r="M113" s="1413" t="s">
        <v>2135</v>
      </c>
      <c r="N113" s="1414" t="s">
        <v>2693</v>
      </c>
      <c r="O113" s="515"/>
      <c r="P113" s="515"/>
      <c r="Q113" s="515"/>
      <c r="R113" s="515"/>
      <c r="S113" s="515"/>
      <c r="T113" s="515"/>
      <c r="U113" s="515"/>
      <c r="V113" s="515"/>
      <c r="X113" s="1758" t="s">
        <v>3291</v>
      </c>
      <c r="Y113" s="1758" t="s">
        <v>68</v>
      </c>
      <c r="Z113" s="1759">
        <f>-Input_PL_IncentiveMaxAdj_LenderPaidComp+Input_PL_MaxPriceBase_YF_01PP+Input_PL_Incentive_XF+Input_PL_IncentiveMaxAdj_XF</f>
        <v>102.25</v>
      </c>
      <c r="AA113" s="1760" cm="1">
        <f t="array" ref="AA113">[1]!Input_MaxPriceNet_YF_01PP</f>
        <v>102.25</v>
      </c>
      <c r="AC113" s="1181" t="s">
        <v>2052</v>
      </c>
      <c r="AD113" s="1181" t="s">
        <v>3886</v>
      </c>
      <c r="AE113" s="1181" t="s">
        <v>405</v>
      </c>
      <c r="AF113" s="1186" t="s">
        <v>2059</v>
      </c>
      <c r="AG113" s="1189" t="str">
        <f>IF(Input_State="TX",Structure!AF113,"")</f>
        <v/>
      </c>
      <c r="AH113" s="1172" t="str">
        <f>IF(AG113="","",IF(AC113="Disclosure",MAX(AH$104:AH112)+1,""))</f>
        <v/>
      </c>
      <c r="AI113" s="1173" t="str">
        <f t="shared" si="135"/>
        <v/>
      </c>
      <c r="AJ113" s="1174" t="str">
        <f>IF(AG113="","",IF(AC113="SubmissionRequired",MAX(AJ$104:AJ112)+1,""))</f>
        <v/>
      </c>
      <c r="AK113" s="1176" t="str">
        <f t="shared" si="136"/>
        <v/>
      </c>
      <c r="AL113" s="1177" t="str">
        <f>IF(AG113="","",IF(AC113="SubmissionRecommended",MAX(AL$104:AL112)+1,""))</f>
        <v/>
      </c>
      <c r="AM113" s="1179" t="str">
        <f t="shared" si="137"/>
        <v>Letters of Explanation (Address Non-Arm's Length Relationships (Builder, Developer, Seller, LO, RE Agent, etc.))</v>
      </c>
      <c r="AN113" s="1318" t="str">
        <f>IF(AG113="","",IF(AC113="DocType",MAX(AN$104:AN112)+1,""))</f>
        <v/>
      </c>
      <c r="AO113" s="1320" t="str">
        <f t="shared" si="138"/>
        <v/>
      </c>
      <c r="AP113" s="514" t="s">
        <v>76</v>
      </c>
      <c r="AV113" s="1287" t="s">
        <v>1990</v>
      </c>
      <c r="AW113" s="1241" t="s">
        <v>1991</v>
      </c>
      <c r="AX113" s="1242" t="str">
        <f t="shared" si="133"/>
        <v>IH_009.7500000000</v>
      </c>
      <c r="AY113" s="1243">
        <f>[1]!IH_R27</f>
        <v>9.75</v>
      </c>
      <c r="AZ113" s="1243"/>
      <c r="BA113" s="1243" t="e">
        <f>[1]!IH_FRM30_P27+Input_PL_Incentive_IH</f>
        <v>#N/A</v>
      </c>
      <c r="BB113" s="1242" t="e">
        <f t="shared" si="131"/>
        <v>#N/A</v>
      </c>
      <c r="BC113" s="1242" t="e">
        <f t="shared" si="134"/>
        <v>#N/A</v>
      </c>
      <c r="BD113" s="1242" cm="1">
        <f t="array" ref="BD113">[1]!IH_FRM30_M27</f>
        <v>2.25</v>
      </c>
      <c r="BE113" s="1288" t="s">
        <v>2018</v>
      </c>
    </row>
    <row r="114" spans="13:57" ht="9.6" customHeight="1" x14ac:dyDescent="0.2">
      <c r="M114" s="1413" t="s">
        <v>2136</v>
      </c>
      <c r="N114" s="1414" t="s">
        <v>2693</v>
      </c>
      <c r="O114" s="515"/>
      <c r="P114" s="515"/>
      <c r="Q114" s="515"/>
      <c r="R114" s="515"/>
      <c r="S114" s="515"/>
      <c r="T114" s="515"/>
      <c r="U114" s="515"/>
      <c r="V114" s="515"/>
      <c r="X114" s="1758" t="s">
        <v>3292</v>
      </c>
      <c r="Y114" s="1758" t="s">
        <v>67</v>
      </c>
      <c r="Z114" s="1759">
        <f>-Input_PL_IncentiveMaxAdj_LenderPaidComp+Input_PL_MaxPriceBase_YF_02PP+Input_PL_Incentive_XF+Input_PL_IncentiveMaxAdj_XF</f>
        <v>102.75</v>
      </c>
      <c r="AA114" s="1760" cm="1">
        <f t="array" ref="AA114">[1]!Input_MaxPriceNet_YF_02PP</f>
        <v>102.75</v>
      </c>
      <c r="AC114" s="1181" t="s">
        <v>2052</v>
      </c>
      <c r="AD114" s="1181" t="s">
        <v>3886</v>
      </c>
      <c r="AE114" s="1181" t="s">
        <v>1640</v>
      </c>
      <c r="AF114" s="1186" t="s">
        <v>2079</v>
      </c>
      <c r="AG114" s="1193" t="str">
        <f>IF(Input_DocType=AE114,Structure!AF114,"")</f>
        <v>2yrs W2s or Personal Returns, 1mo Recent Paystubs (Wage Earner)</v>
      </c>
      <c r="AH114" s="1172" t="str">
        <f>IF(AG114="","",IF(AC114="Disclosure",MAX(AH$104:AH112)+1,""))</f>
        <v/>
      </c>
      <c r="AI114" s="1173" t="str">
        <f t="shared" si="135"/>
        <v/>
      </c>
      <c r="AJ114" s="1174">
        <f>IF(AG114="","",IF(AC114="SubmissionRequired",MAX(AJ$104:AJ112)+1,""))</f>
        <v>4</v>
      </c>
      <c r="AK114" s="1176" t="str">
        <f t="shared" si="136"/>
        <v/>
      </c>
      <c r="AL114" s="1177" t="str">
        <f>IF(AG114="","",IF(AC114="SubmissionRecommended",MAX(AL$104:AL112)+1,""))</f>
        <v/>
      </c>
      <c r="AM114" s="1179" t="str">
        <f t="shared" si="137"/>
        <v>Divorce Decree / Separation Agmt [if applicable] (All Pages, incl. Attachments. Signed by All Parties)</v>
      </c>
      <c r="AN114" s="1318" t="str">
        <f>IF(AG114="","",IF(AC114="DocType",MAX(AN$104:AN112)+1,""))</f>
        <v/>
      </c>
      <c r="AO114" s="1320" t="str">
        <f t="shared" si="138"/>
        <v/>
      </c>
      <c r="AP114" s="514" t="s">
        <v>76</v>
      </c>
      <c r="AV114" s="1287" t="s">
        <v>1990</v>
      </c>
      <c r="AW114" s="1241" t="s">
        <v>1991</v>
      </c>
      <c r="AX114" s="1242" t="str">
        <f t="shared" si="133"/>
        <v>IH_009.6250000000</v>
      </c>
      <c r="AY114" s="1243">
        <f>[1]!IH_R28</f>
        <v>9.625</v>
      </c>
      <c r="AZ114" s="1243"/>
      <c r="BA114" s="1243" t="e">
        <f>[1]!IH_FRM30_P28+Input_PL_Incentive_IH</f>
        <v>#N/A</v>
      </c>
      <c r="BB114" s="1242" t="e">
        <f t="shared" si="131"/>
        <v>#N/A</v>
      </c>
      <c r="BC114" s="1242" t="e">
        <f t="shared" si="134"/>
        <v>#N/A</v>
      </c>
      <c r="BD114" s="1242" cm="1">
        <f t="array" ref="BD114">[1]!IH_FRM30_M28</f>
        <v>2.125</v>
      </c>
      <c r="BE114" s="1288" t="s">
        <v>2019</v>
      </c>
    </row>
    <row r="115" spans="13:57" ht="9.6" customHeight="1" x14ac:dyDescent="0.2">
      <c r="M115" s="1413" t="s">
        <v>2137</v>
      </c>
      <c r="N115" s="1414" t="s">
        <v>2693</v>
      </c>
      <c r="O115" s="515"/>
      <c r="P115" s="515"/>
      <c r="Q115" s="515"/>
      <c r="R115" s="515"/>
      <c r="S115" s="515"/>
      <c r="T115" s="515"/>
      <c r="U115" s="515"/>
      <c r="V115" s="515"/>
      <c r="X115" s="1758" t="s">
        <v>3293</v>
      </c>
      <c r="Y115" s="1758" t="s">
        <v>66</v>
      </c>
      <c r="Z115" s="1759">
        <f>-Input_PL_IncentiveMaxAdj_LenderPaidComp+Input_PL_MaxPriceBase_YF_03PP+Input_PL_Incentive_XF+Input_PL_IncentiveMaxAdj_XF</f>
        <v>103.25</v>
      </c>
      <c r="AA115" s="1760" cm="1">
        <f t="array" ref="AA115">[1]!Input_MaxPriceNet_YF_03PP</f>
        <v>103.25</v>
      </c>
      <c r="AC115" s="1181" t="s">
        <v>2052</v>
      </c>
      <c r="AD115" s="1181" t="s">
        <v>3886</v>
      </c>
      <c r="AE115" s="1181" t="s">
        <v>1640</v>
      </c>
      <c r="AF115" s="1186" t="s">
        <v>2080</v>
      </c>
      <c r="AG115" s="1193" t="str">
        <f>IF(Input_DocType=AE115,Structure!AF115,"")</f>
        <v>2yrs Personal and Business Returns (Self-Employed)</v>
      </c>
      <c r="AH115" s="1172" t="str">
        <f>IF(AG115="","",IF(AC115="Disclosure",MAX(AH$104:AH114)+1,""))</f>
        <v/>
      </c>
      <c r="AI115" s="1173" t="str">
        <f t="shared" si="135"/>
        <v/>
      </c>
      <c r="AJ115" s="1174">
        <f>IF(AG115="","",IF(AC115="SubmissionRequired",MAX(AJ$104:AJ114)+1,""))</f>
        <v>5</v>
      </c>
      <c r="AK115" s="1176" t="str">
        <f t="shared" si="136"/>
        <v/>
      </c>
      <c r="AL115" s="1177" t="str">
        <f>IF(AG115="","",IF(AC115="SubmissionRecommended",MAX(AL$104:AL114)+1,""))</f>
        <v/>
      </c>
      <c r="AM115" s="1179" t="str">
        <f t="shared" si="137"/>
        <v>Preliminary Title Report / Title Commitment (24mo chain of title, ALTA supp for property address, plat map / survey)</v>
      </c>
      <c r="AN115" s="1318" t="str">
        <f>IF(AG115="","",IF(AC115="DocType",MAX(AN$104:AN114)+1,""))</f>
        <v/>
      </c>
      <c r="AO115" s="1320" t="str">
        <f t="shared" si="138"/>
        <v/>
      </c>
      <c r="AP115" s="514" t="s">
        <v>76</v>
      </c>
      <c r="AV115" s="1287" t="s">
        <v>1990</v>
      </c>
      <c r="AW115" s="1241" t="s">
        <v>1991</v>
      </c>
      <c r="AX115" s="1242" t="str">
        <f t="shared" si="133"/>
        <v>IH_009.5000000000</v>
      </c>
      <c r="AY115" s="1243">
        <f>[1]!IH_R29</f>
        <v>9.5</v>
      </c>
      <c r="AZ115" s="1243"/>
      <c r="BA115" s="1243" t="e">
        <f>[1]!IH_FRM30_P29+Input_PL_Incentive_IH</f>
        <v>#N/A</v>
      </c>
      <c r="BB115" s="1242" t="e">
        <f t="shared" si="131"/>
        <v>#N/A</v>
      </c>
      <c r="BC115" s="1242" t="e">
        <f t="shared" si="134"/>
        <v>#N/A</v>
      </c>
      <c r="BD115" s="1242" cm="1">
        <f t="array" ref="BD115">[1]!IH_FRM30_M29</f>
        <v>2</v>
      </c>
      <c r="BE115" s="1288" t="s">
        <v>2020</v>
      </c>
    </row>
    <row r="116" spans="13:57" ht="9.6" customHeight="1" x14ac:dyDescent="0.2">
      <c r="M116" s="1413" t="s">
        <v>2138</v>
      </c>
      <c r="N116" s="1414" t="s">
        <v>2693</v>
      </c>
      <c r="O116" s="515"/>
      <c r="P116" s="515"/>
      <c r="Q116" s="515"/>
      <c r="R116" s="515"/>
      <c r="S116" s="515"/>
      <c r="T116" s="515"/>
      <c r="U116" s="515"/>
      <c r="V116" s="515"/>
      <c r="X116" s="1758" t="s">
        <v>3294</v>
      </c>
      <c r="Y116" s="1758" t="s">
        <v>165</v>
      </c>
      <c r="Z116" s="1759">
        <f>-Input_PL_IncentiveMaxAdj_LenderPaidComp+Input_PL_MaxPriceBase_YF_04PP+Input_PL_Incentive_XF+Input_PL_IncentiveMaxAdj_XF</f>
        <v>103.5</v>
      </c>
      <c r="AA116" s="1760" cm="1">
        <f t="array" ref="AA116">[1]!Input_MaxPriceNet_YF_04PP</f>
        <v>103.5</v>
      </c>
      <c r="AC116" s="1181" t="s">
        <v>2052</v>
      </c>
      <c r="AD116" s="1181" t="s">
        <v>3886</v>
      </c>
      <c r="AE116" s="1181" t="s">
        <v>1641</v>
      </c>
      <c r="AF116" s="1186" t="s">
        <v>2081</v>
      </c>
      <c r="AG116" s="1193" t="str">
        <f>IF(Input_DocType=AE116,Structure!AF116,"")</f>
        <v/>
      </c>
      <c r="AH116" s="1172" t="str">
        <f>IF(AG116="","",IF(AC116="Disclosure",MAX(AH$104:AH115)+1,""))</f>
        <v/>
      </c>
      <c r="AI116" s="1173" t="str">
        <f t="shared" si="135"/>
        <v/>
      </c>
      <c r="AJ116" s="1174" t="str">
        <f>IF(AG116="","",IF(AC116="SubmissionRequired",MAX(AJ$104:AJ115)+1,""))</f>
        <v/>
      </c>
      <c r="AK116" s="1176" t="str">
        <f t="shared" si="136"/>
        <v/>
      </c>
      <c r="AL116" s="1177" t="str">
        <f>IF(AG116="","",IF(AC116="SubmissionRecommended",MAX(AL$104:AL115)+1,""))</f>
        <v/>
      </c>
      <c r="AM116" s="1179" t="str">
        <f t="shared" si="137"/>
        <v>Escrow Instructions (If business entity, provide formation articles/agreement, tax ID #, cert of good standing)</v>
      </c>
      <c r="AN116" s="1318" t="str">
        <f>IF(AG116="","",IF(AC116="DocType",MAX(AN$104:AN115)+1,""))</f>
        <v/>
      </c>
      <c r="AO116" s="1320" t="str">
        <f t="shared" si="138"/>
        <v/>
      </c>
      <c r="AP116" s="514" t="s">
        <v>76</v>
      </c>
      <c r="AV116" s="1287" t="s">
        <v>1990</v>
      </c>
      <c r="AW116" s="1241" t="s">
        <v>1991</v>
      </c>
      <c r="AX116" s="1242" t="str">
        <f t="shared" si="133"/>
        <v>IH_009.3750000000</v>
      </c>
      <c r="AY116" s="1243">
        <f>[1]!IH_R30</f>
        <v>9.375</v>
      </c>
      <c r="AZ116" s="1243"/>
      <c r="BA116" s="1243" t="e">
        <f>[1]!IH_FRM30_P30+Input_PL_Incentive_IH</f>
        <v>#N/A</v>
      </c>
      <c r="BB116" s="1242" t="e">
        <f t="shared" si="131"/>
        <v>#N/A</v>
      </c>
      <c r="BC116" s="1242" t="e">
        <f t="shared" si="134"/>
        <v>#N/A</v>
      </c>
      <c r="BD116" s="1242" cm="1">
        <f t="array" ref="BD116">[1]!IH_FRM30_M30</f>
        <v>1.875</v>
      </c>
      <c r="BE116" s="1288" t="s">
        <v>2021</v>
      </c>
    </row>
    <row r="117" spans="13:57" ht="9.6" customHeight="1" x14ac:dyDescent="0.2">
      <c r="M117" s="1413" t="s">
        <v>2139</v>
      </c>
      <c r="N117" s="1414" t="s">
        <v>2693</v>
      </c>
      <c r="O117" s="515"/>
      <c r="P117" s="515"/>
      <c r="Q117" s="515"/>
      <c r="R117" s="515"/>
      <c r="S117" s="515"/>
      <c r="T117" s="515"/>
      <c r="U117" s="515"/>
      <c r="V117" s="515"/>
      <c r="X117" s="1761" t="s">
        <v>3295</v>
      </c>
      <c r="Y117" s="1761" t="s">
        <v>166</v>
      </c>
      <c r="Z117" s="1762">
        <f>-Input_PL_IncentiveMaxAdj_LenderPaidComp+Input_PL_MaxPriceBase_YF_05PP+Input_PL_Incentive_XF+Input_PL_IncentiveMaxAdj_XF</f>
        <v>104</v>
      </c>
      <c r="AA117" s="1763" cm="1">
        <f t="array" ref="AA117">[1]!Input_MaxPriceNet_YF_05PP</f>
        <v>104</v>
      </c>
      <c r="AC117" s="1181" t="s">
        <v>2052</v>
      </c>
      <c r="AD117" s="1181" t="s">
        <v>3886</v>
      </c>
      <c r="AE117" s="1181" t="s">
        <v>1641</v>
      </c>
      <c r="AF117" s="1186" t="s">
        <v>2082</v>
      </c>
      <c r="AG117" s="1193" t="str">
        <f>IF(Input_DocType=AE117,Structure!AF117,"")</f>
        <v/>
      </c>
      <c r="AH117" s="1172" t="str">
        <f>IF(AG117="","",IF(AC117="Disclosure",MAX(AH$104:AH116)+1,""))</f>
        <v/>
      </c>
      <c r="AI117" s="1173" t="str">
        <f t="shared" si="135"/>
        <v/>
      </c>
      <c r="AJ117" s="1174" t="str">
        <f>IF(AG117="","",IF(AC117="SubmissionRequired",MAX(AJ$104:AJ116)+1,""))</f>
        <v/>
      </c>
      <c r="AK117" s="1176" t="str">
        <f t="shared" si="136"/>
        <v/>
      </c>
      <c r="AL117" s="1177" t="str">
        <f>IF(AG117="","",IF(AC117="SubmissionRecommended",MAX(AL$104:AL116)+1,""))</f>
        <v/>
      </c>
      <c r="AM117" s="1179" t="str">
        <f t="shared" si="137"/>
        <v>Lender Paid Comp Transactions (Anti-Steering Disclosure to be provided by Broker)</v>
      </c>
      <c r="AN117" s="1318" t="str">
        <f>IF(AG117="","",IF(AC117="DocType",MAX(AN$104:AN116)+1,""))</f>
        <v/>
      </c>
      <c r="AO117" s="1320" t="str">
        <f t="shared" si="138"/>
        <v/>
      </c>
      <c r="AP117" s="514" t="s">
        <v>76</v>
      </c>
      <c r="AV117" s="1287" t="s">
        <v>1990</v>
      </c>
      <c r="AW117" s="1241" t="s">
        <v>1991</v>
      </c>
      <c r="AX117" s="1242" t="str">
        <f t="shared" si="133"/>
        <v>IH_009.2500000000</v>
      </c>
      <c r="AY117" s="1243">
        <f>[1]!IH_R31</f>
        <v>9.25</v>
      </c>
      <c r="AZ117" s="1243"/>
      <c r="BA117" s="1243" t="e">
        <f>[1]!IH_FRM30_P31+Input_PL_Incentive_IH</f>
        <v>#N/A</v>
      </c>
      <c r="BB117" s="1242" t="e">
        <f t="shared" si="131"/>
        <v>#N/A</v>
      </c>
      <c r="BC117" s="1242" t="e">
        <f t="shared" si="134"/>
        <v>#N/A</v>
      </c>
      <c r="BD117" s="1242" cm="1">
        <f t="array" ref="BD117">[1]!IH_FRM30_M31</f>
        <v>1.75</v>
      </c>
      <c r="BE117" s="1288" t="s">
        <v>2022</v>
      </c>
    </row>
    <row r="118" spans="13:57" ht="9.6" customHeight="1" x14ac:dyDescent="0.2">
      <c r="M118" s="1413" t="s">
        <v>2140</v>
      </c>
      <c r="N118" s="1414" t="s">
        <v>2693</v>
      </c>
      <c r="O118" s="515"/>
      <c r="P118" s="515"/>
      <c r="U118" s="515"/>
      <c r="V118" s="515"/>
      <c r="X118" s="1758" t="s">
        <v>3296</v>
      </c>
      <c r="Y118" s="1758" t="s">
        <v>68</v>
      </c>
      <c r="Z118" s="1759">
        <f>-Input_PL_IncentiveMaxAdj_LenderPaidComp+Input_PL_MaxPriceBase_YF_01PP+Input_PL_Incentive_XF+Input_PL_IncentiveMaxAdj_XF</f>
        <v>102.25</v>
      </c>
      <c r="AA118" s="1760" cm="1">
        <f t="array" ref="AA118">[1]!Input_MaxPriceNet_YF_01PP</f>
        <v>102.25</v>
      </c>
      <c r="AC118" s="1181" t="s">
        <v>2052</v>
      </c>
      <c r="AD118" s="1181" t="s">
        <v>3886</v>
      </c>
      <c r="AE118" s="1181" t="s">
        <v>186</v>
      </c>
      <c r="AF118" s="1186" t="s">
        <v>2058</v>
      </c>
      <c r="AG118" s="1193" t="str">
        <f>IF(Input_DocType=AE118,Structure!AF118,"")</f>
        <v/>
      </c>
      <c r="AH118" s="1172" t="str">
        <f>IF(AG118="","",IF(AC118="Disclosure",MAX(AH$104:AH117)+1,""))</f>
        <v/>
      </c>
      <c r="AI118" s="1173" t="str">
        <f t="shared" si="135"/>
        <v/>
      </c>
      <c r="AJ118" s="1174" t="str">
        <f>IF(AG118="","",IF(AC118="SubmissionRequired",MAX(AJ$104:AJ117)+1,""))</f>
        <v/>
      </c>
      <c r="AK118" s="1176" t="str">
        <f t="shared" si="136"/>
        <v/>
      </c>
      <c r="AL118" s="1177" t="str">
        <f>IF(AG118="","",IF(AC118="SubmissionRecommended",MAX(AL$104:AL117)+1,""))</f>
        <v/>
      </c>
      <c r="AM118" s="1179" t="str">
        <f t="shared" si="137"/>
        <v>BK papers [if applicable] (All schedules and evidence discharged)</v>
      </c>
      <c r="AN118" s="1318" t="str">
        <f>IF(AG118="","",IF(AC118="DocType",MAX(AN$104:AN117)+1,""))</f>
        <v/>
      </c>
      <c r="AO118" s="1320" t="str">
        <f t="shared" si="138"/>
        <v/>
      </c>
      <c r="AP118" s="514" t="s">
        <v>76</v>
      </c>
      <c r="AV118" s="1287" t="s">
        <v>1990</v>
      </c>
      <c r="AW118" s="1241" t="s">
        <v>1991</v>
      </c>
      <c r="AX118" s="1242" t="str">
        <f t="shared" si="133"/>
        <v>IH_009.1250000000</v>
      </c>
      <c r="AY118" s="1243">
        <f>[1]!IH_R32</f>
        <v>9.125</v>
      </c>
      <c r="AZ118" s="1243"/>
      <c r="BA118" s="1243" t="e">
        <f>[1]!IH_FRM30_P32+Input_PL_Incentive_IH</f>
        <v>#N/A</v>
      </c>
      <c r="BB118" s="1242" t="e">
        <f t="shared" si="131"/>
        <v>#N/A</v>
      </c>
      <c r="BC118" s="1242" t="e">
        <f t="shared" si="134"/>
        <v>#N/A</v>
      </c>
      <c r="BD118" s="1242" cm="1">
        <f t="array" ref="BD118">[1]!IH_FRM30_M32</f>
        <v>1.625</v>
      </c>
      <c r="BE118" s="1288" t="s">
        <v>2023</v>
      </c>
    </row>
    <row r="119" spans="13:57" ht="9.6" customHeight="1" x14ac:dyDescent="0.2">
      <c r="M119" s="1415" t="s">
        <v>2141</v>
      </c>
      <c r="N119" s="1416" t="s">
        <v>2693</v>
      </c>
      <c r="O119" s="515"/>
      <c r="P119" s="515"/>
      <c r="U119" s="515"/>
      <c r="V119" s="515"/>
      <c r="X119" s="1758" t="s">
        <v>3297</v>
      </c>
      <c r="Y119" s="1758" t="s">
        <v>67</v>
      </c>
      <c r="Z119" s="1759">
        <f>-Input_PL_IncentiveMaxAdj_LenderPaidComp+Input_PL_MaxPriceBase_YF_02PP+Input_PL_Incentive_XF+Input_PL_IncentiveMaxAdj_XF</f>
        <v>102.75</v>
      </c>
      <c r="AA119" s="1760" cm="1">
        <f t="array" ref="AA119">[1]!Input_MaxPriceNet_YF_02PP</f>
        <v>102.75</v>
      </c>
      <c r="AC119" s="1181" t="s">
        <v>2052</v>
      </c>
      <c r="AD119" s="1181" t="s">
        <v>3886</v>
      </c>
      <c r="AE119" s="1181" t="s">
        <v>186</v>
      </c>
      <c r="AF119" s="1186" t="s">
        <v>2095</v>
      </c>
      <c r="AG119" s="1193" t="str">
        <f>IF(Input_DocType=AE119,Structure!AF119,"")</f>
        <v/>
      </c>
      <c r="AH119" s="1172" t="str">
        <f>IF(AG119="","",IF(AC119="Disclosure",MAX(AH$104:AH118)+1,""))</f>
        <v/>
      </c>
      <c r="AI119" s="1173" t="str">
        <f t="shared" si="135"/>
        <v/>
      </c>
      <c r="AJ119" s="1174" t="str">
        <f>IF(AG119="","",IF(AC119="SubmissionRequired",MAX(AJ$104:AJ118)+1,""))</f>
        <v/>
      </c>
      <c r="AK119" s="1176" t="str">
        <f t="shared" si="136"/>
        <v/>
      </c>
      <c r="AL119" s="1177" t="str">
        <f>IF(AG119="","",IF(AC119="SubmissionRecommended",MAX(AL$104:AL118)+1,""))</f>
        <v/>
      </c>
      <c r="AM119" s="1179" t="str">
        <f t="shared" si="137"/>
        <v>12mo Verification of Primary Housing Payment if not reported on credit (If Private Party, provide 12mo Cancelled Checks)</v>
      </c>
      <c r="AN119" s="1318" t="str">
        <f>IF(AG119="","",IF(AC119="DocType",MAX(AN$104:AN118)+1,""))</f>
        <v/>
      </c>
      <c r="AO119" s="1320" t="str">
        <f t="shared" si="138"/>
        <v/>
      </c>
      <c r="AP119" s="514" t="s">
        <v>76</v>
      </c>
      <c r="AV119" s="1287" t="s">
        <v>1990</v>
      </c>
      <c r="AW119" s="1241" t="s">
        <v>1991</v>
      </c>
      <c r="AX119" s="1242" t="str">
        <f t="shared" si="133"/>
        <v>IH_009.0000000000</v>
      </c>
      <c r="AY119" s="1243">
        <f>[1]!IH_R33</f>
        <v>9</v>
      </c>
      <c r="AZ119" s="1243"/>
      <c r="BA119" s="1243" t="e">
        <f>[1]!IH_FRM30_P33+Input_PL_Incentive_IH</f>
        <v>#N/A</v>
      </c>
      <c r="BB119" s="1242" t="e">
        <f t="shared" si="131"/>
        <v>#N/A</v>
      </c>
      <c r="BC119" s="1242" t="e">
        <f t="shared" si="134"/>
        <v>#N/A</v>
      </c>
      <c r="BD119" s="1242" cm="1">
        <f t="array" ref="BD119">[1]!IH_FRM30_M33</f>
        <v>1.5</v>
      </c>
      <c r="BE119" s="1288" t="s">
        <v>2024</v>
      </c>
    </row>
    <row r="120" spans="13:57" ht="9.6" customHeight="1" x14ac:dyDescent="0.2">
      <c r="M120" s="1405" t="s">
        <v>2142</v>
      </c>
      <c r="N120" s="1406" t="s">
        <v>2579</v>
      </c>
      <c r="O120" s="515"/>
      <c r="P120" s="515"/>
      <c r="U120" s="515"/>
      <c r="V120" s="515"/>
      <c r="X120" s="1758" t="s">
        <v>3298</v>
      </c>
      <c r="Y120" s="1758" t="s">
        <v>66</v>
      </c>
      <c r="Z120" s="1759">
        <f>-Input_PL_IncentiveMaxAdj_LenderPaidComp+Input_PL_MaxPriceBase_YF_03PP+Input_PL_Incentive_XF+Input_PL_IncentiveMaxAdj_XF</f>
        <v>103.25</v>
      </c>
      <c r="AA120" s="1760" cm="1">
        <f t="array" ref="AA120">[1]!Input_MaxPriceNet_YF_03PP</f>
        <v>103.25</v>
      </c>
      <c r="AC120" s="1181" t="s">
        <v>2052</v>
      </c>
      <c r="AD120" s="1181" t="s">
        <v>3886</v>
      </c>
      <c r="AE120" s="1181" t="s">
        <v>186</v>
      </c>
      <c r="AF120" s="1186" t="s">
        <v>2096</v>
      </c>
      <c r="AG120" s="1193" t="str">
        <f>IF(Input_DocType=AE120,Structure!AF120,"")</f>
        <v/>
      </c>
      <c r="AH120" s="1172" t="str">
        <f>IF(AG120="","",IF(AC120="Disclosure",MAX(AH$104:AH119)+1,""))</f>
        <v/>
      </c>
      <c r="AI120" s="1173" t="str">
        <f t="shared" si="135"/>
        <v/>
      </c>
      <c r="AJ120" s="1174" t="str">
        <f>IF(AG120="","",IF(AC120="SubmissionRequired",MAX(AJ$104:AJ119)+1,""))</f>
        <v/>
      </c>
      <c r="AK120" s="1176" t="str">
        <f t="shared" si="136"/>
        <v/>
      </c>
      <c r="AL120" s="1177" t="str">
        <f>IF(AG120="","",IF(AC120="SubmissionRecommended",MAX(AL$104:AL119)+1,""))</f>
        <v/>
      </c>
      <c r="AM120" s="1179" t="str">
        <f t="shared" si="137"/>
        <v>12mo Cancelled Checks (Include Copy of Note, if available)</v>
      </c>
      <c r="AN120" s="1318" t="str">
        <f>IF(AG120="","",IF(AC120="DocType",MAX(AN$104:AN119)+1,""))</f>
        <v/>
      </c>
      <c r="AO120" s="1320" t="str">
        <f t="shared" si="138"/>
        <v/>
      </c>
      <c r="AP120" s="514" t="s">
        <v>76</v>
      </c>
      <c r="AV120" s="1287" t="s">
        <v>1990</v>
      </c>
      <c r="AW120" s="1241" t="s">
        <v>1991</v>
      </c>
      <c r="AX120" s="1242" t="str">
        <f t="shared" si="133"/>
        <v>IH_008.8750000000</v>
      </c>
      <c r="AY120" s="1243">
        <f>[1]!IH_R34</f>
        <v>8.875</v>
      </c>
      <c r="AZ120" s="1243"/>
      <c r="BA120" s="1243" t="e">
        <f>[1]!IH_FRM30_P34+Input_PL_Incentive_IH</f>
        <v>#N/A</v>
      </c>
      <c r="BB120" s="1242" t="e">
        <f t="shared" si="131"/>
        <v>#N/A</v>
      </c>
      <c r="BC120" s="1242" t="e">
        <f t="shared" si="134"/>
        <v>#N/A</v>
      </c>
      <c r="BD120" s="1242" cm="1">
        <f t="array" ref="BD120">[1]!IH_FRM30_M34</f>
        <v>1.375</v>
      </c>
      <c r="BE120" s="1288" t="s">
        <v>2025</v>
      </c>
    </row>
    <row r="121" spans="13:57" ht="9.6" customHeight="1" x14ac:dyDescent="0.2">
      <c r="M121" s="1407" t="s">
        <v>2143</v>
      </c>
      <c r="N121" s="1408" t="s">
        <v>2579</v>
      </c>
      <c r="O121" s="515"/>
      <c r="P121" s="515"/>
      <c r="U121" s="515"/>
      <c r="V121" s="515"/>
      <c r="X121" s="1758" t="s">
        <v>3299</v>
      </c>
      <c r="Y121" s="1758" t="s">
        <v>165</v>
      </c>
      <c r="Z121" s="1759">
        <f>-Input_PL_IncentiveMaxAdj_LenderPaidComp+Input_PL_MaxPriceBase_YF_04PP+Input_PL_Incentive_XF+Input_PL_IncentiveMaxAdj_XF</f>
        <v>103.5</v>
      </c>
      <c r="AA121" s="1760" cm="1">
        <f t="array" ref="AA121">[1]!Input_MaxPriceNet_YF_04PP</f>
        <v>103.5</v>
      </c>
      <c r="AC121" s="1181" t="s">
        <v>2052</v>
      </c>
      <c r="AD121" s="1181" t="s">
        <v>3886</v>
      </c>
      <c r="AE121" s="1181" t="s">
        <v>188</v>
      </c>
      <c r="AF121" s="1186" t="s">
        <v>2057</v>
      </c>
      <c r="AG121" s="1193" t="str">
        <f>IF(Input_DocType=AE121,Structure!AF121,"")</f>
        <v/>
      </c>
      <c r="AH121" s="1172" t="str">
        <f>IF(AG121="","",IF(AC121="Disclosure",MAX(AH$104:AH120)+1,""))</f>
        <v/>
      </c>
      <c r="AI121" s="1173" t="str">
        <f t="shared" si="135"/>
        <v/>
      </c>
      <c r="AJ121" s="1174" t="str">
        <f>IF(AG121="","",IF(AC121="SubmissionRequired",MAX(AJ$104:AJ120)+1,""))</f>
        <v/>
      </c>
      <c r="AK121" s="1176" t="str">
        <f t="shared" si="136"/>
        <v/>
      </c>
      <c r="AL121" s="1177" t="str">
        <f>IF(AG121="","",IF(AC121="SubmissionRecommended",MAX(AL$104:AL120)+1,""))</f>
        <v/>
      </c>
      <c r="AM121" s="1179" t="str">
        <f t="shared" si="137"/>
        <v>2mo Consecutive Stmts w/in 90 Days (if Business Stmt, Provide Evidence of Ownership and Balance Sheet)</v>
      </c>
      <c r="AN121" s="1318" t="str">
        <f>IF(AG121="","",IF(AC121="DocType",MAX(AN$104:AN120)+1,""))</f>
        <v/>
      </c>
      <c r="AO121" s="1320" t="str">
        <f t="shared" si="138"/>
        <v/>
      </c>
      <c r="AP121" s="514" t="s">
        <v>76</v>
      </c>
      <c r="AV121" s="1287" t="s">
        <v>1990</v>
      </c>
      <c r="AW121" s="1241" t="s">
        <v>1991</v>
      </c>
      <c r="AX121" s="1242" t="str">
        <f t="shared" si="133"/>
        <v>IH_008.7500000000</v>
      </c>
      <c r="AY121" s="1243">
        <f>[1]!IH_R35</f>
        <v>8.75</v>
      </c>
      <c r="AZ121" s="1243"/>
      <c r="BA121" s="1243" t="e">
        <f>[1]!IH_FRM30_P35+Input_PL_Incentive_IH</f>
        <v>#N/A</v>
      </c>
      <c r="BB121" s="1242" t="e">
        <f t="shared" si="131"/>
        <v>#N/A</v>
      </c>
      <c r="BC121" s="1242" t="e">
        <f t="shared" si="134"/>
        <v>#N/A</v>
      </c>
      <c r="BD121" s="1242" cm="1">
        <f t="array" ref="BD121">[1]!IH_FRM30_M35</f>
        <v>1.25</v>
      </c>
      <c r="BE121" s="1288" t="s">
        <v>2026</v>
      </c>
    </row>
    <row r="122" spans="13:57" ht="9.6" customHeight="1" x14ac:dyDescent="0.2">
      <c r="M122" s="1407" t="s">
        <v>2144</v>
      </c>
      <c r="N122" s="1408" t="s">
        <v>2579</v>
      </c>
      <c r="U122" s="515"/>
      <c r="V122" s="515"/>
      <c r="X122" s="1761" t="s">
        <v>3300</v>
      </c>
      <c r="Y122" s="1761" t="s">
        <v>166</v>
      </c>
      <c r="Z122" s="1762">
        <f>-Input_PL_IncentiveMaxAdj_LenderPaidComp+Input_PL_MaxPriceBase_YF_05PP+Input_PL_Incentive_XF+Input_PL_IncentiveMaxAdj_XF</f>
        <v>104</v>
      </c>
      <c r="AA122" s="1763" cm="1">
        <f t="array" ref="AA122">[1]!Input_MaxPriceNet_YF_05PP</f>
        <v>104</v>
      </c>
      <c r="AC122" s="684" t="s">
        <v>2052</v>
      </c>
      <c r="AD122" s="684" t="s">
        <v>3886</v>
      </c>
      <c r="AE122" s="684" t="s">
        <v>190</v>
      </c>
      <c r="AF122" s="685" t="s">
        <v>2056</v>
      </c>
      <c r="AG122" s="1193" t="str">
        <f>IF(Input_DocType=AE122,Structure!AF122,"")</f>
        <v/>
      </c>
      <c r="AH122" s="1172" t="str">
        <f>IF(AG122="","",IF(AC122="Disclosure",MAX(AH$104:AH121)+1,""))</f>
        <v/>
      </c>
      <c r="AI122" s="1173" t="str">
        <f t="shared" si="135"/>
        <v/>
      </c>
      <c r="AJ122" s="1174" t="str">
        <f>IF(AG122="","",IF(AC122="SubmissionRequired",MAX(AJ$104:AJ121)+1,""))</f>
        <v/>
      </c>
      <c r="AK122" s="1176" t="str">
        <f t="shared" si="136"/>
        <v/>
      </c>
      <c r="AL122" s="1177" t="str">
        <f>IF(AG122="","",IF(AC122="SubmissionRecommended",MAX(AL$104:AL121)+1,""))</f>
        <v/>
      </c>
      <c r="AM122" s="1179" t="str">
        <f t="shared" si="137"/>
        <v>Balance Sheet (If using Business Assets for Funds for Closing/Reserves/Down Pmt)</v>
      </c>
      <c r="AN122" s="1318" t="str">
        <f>IF(AG122="","",IF(AC122="DocType",MAX(AN$104:AN121)+1,""))</f>
        <v/>
      </c>
      <c r="AO122" s="1320" t="str">
        <f t="shared" si="138"/>
        <v/>
      </c>
      <c r="AP122" s="514" t="s">
        <v>76</v>
      </c>
      <c r="AV122" s="1287" t="s">
        <v>1990</v>
      </c>
      <c r="AW122" s="1241" t="s">
        <v>1991</v>
      </c>
      <c r="AX122" s="1242" t="str">
        <f t="shared" si="133"/>
        <v>IH_008.6250000000</v>
      </c>
      <c r="AY122" s="1243">
        <f>[1]!IH_R36</f>
        <v>8.625</v>
      </c>
      <c r="AZ122" s="1243"/>
      <c r="BA122" s="1243" t="e">
        <f>[1]!IH_FRM30_P36+Input_PL_Incentive_IH</f>
        <v>#N/A</v>
      </c>
      <c r="BB122" s="1242" t="e">
        <f t="shared" si="131"/>
        <v>#N/A</v>
      </c>
      <c r="BC122" s="1242" t="e">
        <f t="shared" si="134"/>
        <v>#N/A</v>
      </c>
      <c r="BD122" s="1242" cm="1">
        <f t="array" ref="BD122">[1]!IH_FRM30_M36</f>
        <v>1.125</v>
      </c>
      <c r="BE122" s="1288" t="s">
        <v>2027</v>
      </c>
    </row>
    <row r="123" spans="13:57" ht="9.6" customHeight="1" x14ac:dyDescent="0.2">
      <c r="M123" s="1407" t="s">
        <v>2145</v>
      </c>
      <c r="N123" s="1408" t="s">
        <v>2579</v>
      </c>
      <c r="Q123" s="515"/>
      <c r="R123" s="515"/>
      <c r="S123" s="515"/>
      <c r="T123" s="515"/>
      <c r="U123" s="515"/>
      <c r="V123" s="515"/>
      <c r="X123" s="1764" t="s">
        <v>3061</v>
      </c>
      <c r="Y123" s="1764" t="s">
        <v>82</v>
      </c>
      <c r="Z123" s="1765">
        <f>-Input_PL_IncentiveMaxAdj_LenderPaidComp+Input_PL_MaxPriceBase_YM_NoPP+Input_PL_Incentive_XM+Input_PL_IncentiveMaxAdj_XM</f>
        <v>100.75</v>
      </c>
      <c r="AA123" s="1766" cm="1">
        <f t="array" ref="AA123">[1]!Input_MaxPriceNet_YM_NoPP</f>
        <v>100.75</v>
      </c>
      <c r="AC123" s="894" t="s">
        <v>2052</v>
      </c>
      <c r="AD123" s="894" t="s">
        <v>3886</v>
      </c>
      <c r="AE123" s="894" t="s">
        <v>190</v>
      </c>
      <c r="AF123" s="895" t="s">
        <v>1792</v>
      </c>
      <c r="AG123" s="1193" t="str">
        <f>IF(Input_DocType=AE123,Structure!AF123,"")</f>
        <v/>
      </c>
      <c r="AH123" s="1172" t="str">
        <f>IF(AG123="","",IF(AC123="Disclosure",MAX(AH$104:AH122)+1,""))</f>
        <v/>
      </c>
      <c r="AI123" s="1173" t="str">
        <f t="shared" si="135"/>
        <v/>
      </c>
      <c r="AJ123" s="1174" t="str">
        <f>IF(AG123="","",IF(AC123="SubmissionRequired",MAX(AJ$104:AJ122)+1,""))</f>
        <v/>
      </c>
      <c r="AK123" s="1176" t="str">
        <f t="shared" si="136"/>
        <v/>
      </c>
      <c r="AL123" s="1177" t="str">
        <f>IF(AG123="","",IF(AC123="SubmissionRecommended",MAX(AL$104:AL122)+1,""))</f>
        <v/>
      </c>
      <c r="AM123" s="1179" t="str">
        <f t="shared" si="137"/>
        <v>Gift Letter [if applicable] (Evidence Donor Funds Transferred to Borrower or Settlement Agent)</v>
      </c>
      <c r="AN123" s="1318" t="str">
        <f>IF(AG123="","",IF(AC123="DocType",MAX(AN$104:AN122)+1,""))</f>
        <v/>
      </c>
      <c r="AO123" s="1320" t="str">
        <f t="shared" si="138"/>
        <v/>
      </c>
      <c r="AP123" s="514" t="s">
        <v>76</v>
      </c>
      <c r="AV123" s="1287" t="s">
        <v>1990</v>
      </c>
      <c r="AW123" s="1241" t="s">
        <v>1991</v>
      </c>
      <c r="AX123" s="1242" t="str">
        <f t="shared" si="133"/>
        <v>IH_008.5000000000</v>
      </c>
      <c r="AY123" s="1243">
        <f>[1]!IH_R37</f>
        <v>8.5</v>
      </c>
      <c r="AZ123" s="1243"/>
      <c r="BA123" s="1243" t="e">
        <f>[1]!IH_FRM30_P37+Input_PL_Incentive_IH</f>
        <v>#N/A</v>
      </c>
      <c r="BB123" s="1242" t="e">
        <f t="shared" si="131"/>
        <v>#N/A</v>
      </c>
      <c r="BC123" s="1242" t="e">
        <f t="shared" si="134"/>
        <v>#N/A</v>
      </c>
      <c r="BD123" s="1242" cm="1">
        <f t="array" ref="BD123">[1]!IH_FRM30_M37</f>
        <v>1</v>
      </c>
      <c r="BE123" s="1288" t="s">
        <v>2028</v>
      </c>
    </row>
    <row r="124" spans="13:57" ht="9.6" customHeight="1" x14ac:dyDescent="0.2">
      <c r="M124" s="1407" t="s">
        <v>2146</v>
      </c>
      <c r="N124" s="1408" t="s">
        <v>2579</v>
      </c>
      <c r="Q124" s="515"/>
      <c r="R124" s="515"/>
      <c r="S124" s="515"/>
      <c r="T124" s="515"/>
      <c r="U124" s="515"/>
      <c r="V124" s="515"/>
      <c r="X124" s="1767" t="s">
        <v>3301</v>
      </c>
      <c r="Y124" s="1767" t="s">
        <v>68</v>
      </c>
      <c r="Z124" s="1768">
        <f>-Input_PL_IncentiveMaxAdj_LenderPaidComp+Input_PL_MaxPriceBase_YM_01PP+Input_PL_Incentive_XM+Input_PL_IncentiveMaxAdj_XM</f>
        <v>102.25</v>
      </c>
      <c r="AA124" s="1769" cm="1">
        <f t="array" ref="AA124">[1]!Input_MaxPriceNet_YM_01PP</f>
        <v>102.25</v>
      </c>
      <c r="AC124" s="894" t="s">
        <v>2052</v>
      </c>
      <c r="AD124" s="894" t="s">
        <v>3886</v>
      </c>
      <c r="AE124" s="894" t="s">
        <v>247</v>
      </c>
      <c r="AF124" s="895" t="s">
        <v>2083</v>
      </c>
      <c r="AG124" s="1193" t="str">
        <f>IF(Input_DocType=AE124,Structure!AF124,"")</f>
        <v/>
      </c>
      <c r="AH124" s="1172" t="str">
        <f>IF(AG124="","",IF(AC124="Disclosure",MAX(AH$104:AH123)+1,""))</f>
        <v/>
      </c>
      <c r="AI124" s="1173" t="str">
        <f t="shared" si="135"/>
        <v/>
      </c>
      <c r="AJ124" s="1174" t="str">
        <f>IF(AG124="","",IF(AC124="SubmissionRequired",MAX(AJ$104:AJ123)+1,""))</f>
        <v/>
      </c>
      <c r="AK124" s="1176" t="str">
        <f t="shared" si="136"/>
        <v/>
      </c>
      <c r="AL124" s="1177" t="str">
        <f>IF(AG124="","",IF(AC124="SubmissionRecommended",MAX(AL$104:AL123)+1,""))</f>
        <v/>
      </c>
      <c r="AM124" s="1179" t="str">
        <f t="shared" si="137"/>
        <v>Fee Sheet / Est. Closing Statement (Impounds Required: HPML Loans and Loans &gt;80 LTV - Unless Prohibited by State Law)</v>
      </c>
      <c r="AN124" s="1318" t="str">
        <f>IF(AG124="","",IF(AC124="DocType",MAX(AN$104:AN123)+1,""))</f>
        <v/>
      </c>
      <c r="AO124" s="1320" t="str">
        <f t="shared" si="138"/>
        <v/>
      </c>
      <c r="AP124" s="514" t="s">
        <v>76</v>
      </c>
      <c r="AV124" s="1287" t="s">
        <v>1990</v>
      </c>
      <c r="AW124" s="1241" t="s">
        <v>1991</v>
      </c>
      <c r="AX124" s="1242" t="str">
        <f t="shared" si="133"/>
        <v>IH_008.3750000000</v>
      </c>
      <c r="AY124" s="1243">
        <f>[1]!IH_R38</f>
        <v>8.375</v>
      </c>
      <c r="AZ124" s="1243"/>
      <c r="BA124" s="1243" t="e">
        <f>[1]!IH_FRM30_P38+Input_PL_Incentive_IH</f>
        <v>#N/A</v>
      </c>
      <c r="BB124" s="1242" t="e">
        <f t="shared" si="131"/>
        <v>#N/A</v>
      </c>
      <c r="BC124" s="1242" t="e">
        <f t="shared" si="134"/>
        <v>#N/A</v>
      </c>
      <c r="BD124" s="1242" cm="1">
        <f t="array" ref="BD124">[1]!IH_FRM30_M38</f>
        <v>0.875</v>
      </c>
      <c r="BE124" s="1288" t="s">
        <v>2029</v>
      </c>
    </row>
    <row r="125" spans="13:57" ht="9.6" customHeight="1" x14ac:dyDescent="0.2">
      <c r="M125" s="1407" t="s">
        <v>2147</v>
      </c>
      <c r="N125" s="1408" t="s">
        <v>2579</v>
      </c>
      <c r="Q125" s="515"/>
      <c r="R125" s="515"/>
      <c r="S125" s="515"/>
      <c r="T125" s="515"/>
      <c r="U125" s="515"/>
      <c r="V125" s="515"/>
      <c r="X125" s="1770" t="s">
        <v>3302</v>
      </c>
      <c r="Y125" s="1770" t="s">
        <v>67</v>
      </c>
      <c r="Z125" s="1771">
        <f>-Input_PL_IncentiveMaxAdj_LenderPaidComp+Input_PL_MaxPriceBase_YM_02PP+Input_PL_Incentive_XM+Input_PL_IncentiveMaxAdj_XM</f>
        <v>102.75</v>
      </c>
      <c r="AA125" s="1772" cm="1">
        <f t="array" ref="AA125">[1]!Input_MaxPriceNet_YM_02PP</f>
        <v>102.75</v>
      </c>
      <c r="AC125" s="894" t="s">
        <v>2052</v>
      </c>
      <c r="AD125" s="894" t="s">
        <v>3886</v>
      </c>
      <c r="AE125" s="894" t="s">
        <v>247</v>
      </c>
      <c r="AF125" s="895" t="s">
        <v>2086</v>
      </c>
      <c r="AG125" s="1193" t="str">
        <f>IF(Input_DocType=AE125,Structure!AF125,"")</f>
        <v/>
      </c>
      <c r="AH125" s="1172" t="str">
        <f>IF(AG125="","",IF(AC125="Disclosure",MAX(AH$104:AH124)+1,""))</f>
        <v/>
      </c>
      <c r="AI125" s="1173" t="str">
        <f t="shared" si="135"/>
        <v/>
      </c>
      <c r="AJ125" s="1174" t="str">
        <f>IF(AG125="","",IF(AC125="SubmissionRequired",MAX(AJ$104:AJ124)+1,""))</f>
        <v/>
      </c>
      <c r="AK125" s="1176" t="str">
        <f t="shared" si="136"/>
        <v/>
      </c>
      <c r="AL125" s="1177" t="str">
        <f>IF(AG125="","",IF(AC125="SubmissionRecommended",MAX(AL$104:AL124)+1,""))</f>
        <v/>
      </c>
      <c r="AM125" s="1179" t="str">
        <f t="shared" si="137"/>
        <v>Hazard Insurance (Replacement Cost Estimator)</v>
      </c>
      <c r="AN125" s="1318" t="str">
        <f>IF(AG125="","",IF(AC125="DocType",MAX(AN$104:AN124)+1,""))</f>
        <v/>
      </c>
      <c r="AO125" s="1320" t="str">
        <f t="shared" si="138"/>
        <v/>
      </c>
      <c r="AP125" s="514" t="s">
        <v>76</v>
      </c>
      <c r="AV125" s="1287" t="s">
        <v>1990</v>
      </c>
      <c r="AW125" s="1241" t="s">
        <v>1991</v>
      </c>
      <c r="AX125" s="1242" t="str">
        <f t="shared" si="133"/>
        <v>IH_008.2500000000</v>
      </c>
      <c r="AY125" s="1243">
        <f>[1]!IH_R39</f>
        <v>8.25</v>
      </c>
      <c r="AZ125" s="1243"/>
      <c r="BA125" s="1243" t="e">
        <f>[1]!IH_FRM30_P39+Input_PL_Incentive_IH</f>
        <v>#N/A</v>
      </c>
      <c r="BB125" s="1242" t="e">
        <f t="shared" si="131"/>
        <v>#N/A</v>
      </c>
      <c r="BC125" s="1242" t="e">
        <f t="shared" si="134"/>
        <v>#N/A</v>
      </c>
      <c r="BD125" s="1242" cm="1">
        <f t="array" ref="BD125">[1]!IH_FRM30_M39</f>
        <v>0.75</v>
      </c>
      <c r="BE125" s="1288" t="s">
        <v>2030</v>
      </c>
    </row>
    <row r="126" spans="13:57" ht="9.6" customHeight="1" x14ac:dyDescent="0.2">
      <c r="M126" s="1407" t="s">
        <v>2148</v>
      </c>
      <c r="N126" s="1408" t="s">
        <v>2579</v>
      </c>
      <c r="Q126" s="515"/>
      <c r="R126" s="515"/>
      <c r="S126" s="515"/>
      <c r="T126" s="515"/>
      <c r="U126" s="515"/>
      <c r="V126" s="515"/>
      <c r="X126" s="1770" t="s">
        <v>3303</v>
      </c>
      <c r="Y126" s="1770" t="s">
        <v>66</v>
      </c>
      <c r="Z126" s="1771">
        <f>-Input_PL_IncentiveMaxAdj_LenderPaidComp+Input_PL_MaxPriceBase_YM_03PP+Input_PL_Incentive_XM+Input_PL_IncentiveMaxAdj_XM</f>
        <v>103.25</v>
      </c>
      <c r="AA126" s="1772" cm="1">
        <f t="array" ref="AA126">[1]!Input_MaxPriceNet_YM_03PP</f>
        <v>103.25</v>
      </c>
      <c r="AC126" s="894" t="s">
        <v>2052</v>
      </c>
      <c r="AD126" s="894" t="s">
        <v>3886</v>
      </c>
      <c r="AE126" s="894" t="s">
        <v>466</v>
      </c>
      <c r="AF126" s="895" t="s">
        <v>2087</v>
      </c>
      <c r="AG126" s="1193" t="str">
        <f>IF(Input_DocType=AE126,Structure!AF126,"")</f>
        <v/>
      </c>
      <c r="AH126" s="1172" t="str">
        <f>IF(AG126="","",IF(AC126="Disclosure",MAX(AH$104:AH125)+1,""))</f>
        <v/>
      </c>
      <c r="AI126" s="1173" t="str">
        <f t="shared" si="135"/>
        <v/>
      </c>
      <c r="AJ126" s="1174" t="str">
        <f>IF(AG126="","",IF(AC126="SubmissionRequired",MAX(AJ$104:AJ125)+1,""))</f>
        <v/>
      </c>
      <c r="AK126" s="1176" t="str">
        <f t="shared" si="136"/>
        <v/>
      </c>
      <c r="AL126" s="1177" t="str">
        <f>IF(AG126="","",IF(AC126="SubmissionRecommended",MAX(AL$104:AL125)+1,""))</f>
        <v/>
      </c>
      <c r="AM126" s="1179" t="str">
        <f t="shared" si="137"/>
        <v>ATR - DU/LP Approve/Ineligible or Refer</v>
      </c>
      <c r="AN126" s="1318" t="str">
        <f>IF(AG126="","",IF(AC126="DocType",MAX(AN$104:AN125)+1,""))</f>
        <v/>
      </c>
      <c r="AO126" s="1320" t="str">
        <f t="shared" si="138"/>
        <v/>
      </c>
      <c r="AP126" s="514" t="s">
        <v>76</v>
      </c>
      <c r="AV126" s="1287" t="s">
        <v>1990</v>
      </c>
      <c r="AW126" s="1241" t="s">
        <v>1991</v>
      </c>
      <c r="AX126" s="1242" t="str">
        <f t="shared" si="133"/>
        <v>IH_008.1250000000</v>
      </c>
      <c r="AY126" s="1243">
        <f>[1]!IH_R40</f>
        <v>8.125</v>
      </c>
      <c r="AZ126" s="1243"/>
      <c r="BA126" s="1243" t="e">
        <f>[1]!IH_FRM30_P40+Input_PL_Incentive_IH</f>
        <v>#N/A</v>
      </c>
      <c r="BB126" s="1242" t="e">
        <f t="shared" si="131"/>
        <v>#N/A</v>
      </c>
      <c r="BC126" s="1242" t="e">
        <f t="shared" si="134"/>
        <v>#N/A</v>
      </c>
      <c r="BD126" s="1242" cm="1">
        <f t="array" ref="BD126">[1]!IH_FRM30_M40</f>
        <v>0.625</v>
      </c>
      <c r="BE126" s="1288" t="s">
        <v>2031</v>
      </c>
    </row>
    <row r="127" spans="13:57" ht="9.6" customHeight="1" x14ac:dyDescent="0.2">
      <c r="M127" s="1407" t="s">
        <v>2149</v>
      </c>
      <c r="N127" s="1408" t="s">
        <v>2579</v>
      </c>
      <c r="O127" s="515"/>
      <c r="P127" s="515"/>
      <c r="Q127" s="515"/>
      <c r="R127" s="515"/>
      <c r="S127" s="515"/>
      <c r="T127" s="515"/>
      <c r="U127" s="515"/>
      <c r="V127" s="515"/>
      <c r="X127" s="1770" t="s">
        <v>3304</v>
      </c>
      <c r="Y127" s="1770" t="s">
        <v>165</v>
      </c>
      <c r="Z127" s="1771">
        <f>-Input_PL_IncentiveMaxAdj_LenderPaidComp+Input_PL_MaxPriceBase_YM_04PP+Input_PL_Incentive_XM+Input_PL_IncentiveMaxAdj_XM</f>
        <v>103.5</v>
      </c>
      <c r="AA127" s="1772" cm="1">
        <f t="array" ref="AA127">[1]!Input_MaxPriceNet_YM_04PP</f>
        <v>103.5</v>
      </c>
      <c r="AC127" s="894" t="s">
        <v>2052</v>
      </c>
      <c r="AD127" s="894" t="s">
        <v>3886</v>
      </c>
      <c r="AE127" s="894" t="s">
        <v>466</v>
      </c>
      <c r="AF127" s="895" t="s">
        <v>2108</v>
      </c>
      <c r="AG127" s="1193" t="str">
        <f>IF(Input_DocType=AE127,Structure!AF127,"")</f>
        <v/>
      </c>
      <c r="AH127" s="1172" t="str">
        <f>IF(AG127="","",IF(AC127="Disclosure",MAX(AH$104:AH126)+1,""))</f>
        <v/>
      </c>
      <c r="AI127" s="1173" t="str">
        <f t="shared" si="135"/>
        <v/>
      </c>
      <c r="AJ127" s="1174" t="str">
        <f>IF(AG127="","",IF(AC127="SubmissionRequired",MAX(AJ$104:AJ126)+1,""))</f>
        <v/>
      </c>
      <c r="AK127" s="1176" t="str">
        <f t="shared" si="136"/>
        <v/>
      </c>
      <c r="AL127" s="1177" t="str">
        <f>IF(AG127="","",IF(AC127="SubmissionRecommended",MAX(AL$104:AL126)+1,""))</f>
        <v/>
      </c>
      <c r="AM127" s="1179" t="str">
        <f t="shared" si="137"/>
        <v>1004D / Final Inspection [if applicable] (Condition rating C5/C6 and Quality rating Q6 unacceptable)</v>
      </c>
      <c r="AN127" s="1318" t="str">
        <f>IF(AG127="","",IF(AC127="DocType",MAX(AN$104:AN126)+1,""))</f>
        <v/>
      </c>
      <c r="AO127" s="1320" t="str">
        <f t="shared" si="138"/>
        <v/>
      </c>
      <c r="AP127" s="514" t="s">
        <v>76</v>
      </c>
      <c r="AV127" s="1289" t="s">
        <v>1990</v>
      </c>
      <c r="AW127" s="1290" t="s">
        <v>1991</v>
      </c>
      <c r="AX127" s="1291" t="str">
        <f t="shared" si="133"/>
        <v>IH_008.0000000000</v>
      </c>
      <c r="AY127" s="1292">
        <f>[1]!IH_R41</f>
        <v>8</v>
      </c>
      <c r="AZ127" s="1292"/>
      <c r="BA127" s="1292" t="e">
        <f>[1]!IH_FRM30_P41+Input_PL_Incentive_IH</f>
        <v>#N/A</v>
      </c>
      <c r="BB127" s="1291" t="e">
        <f t="shared" ref="BB127" si="139">IF(INDEX(List_AmortTermAll,MATCH(Input_AmortTerm,List_AmortTerm,0),3)=1,AZ127,IF(INDEX(List_AmortTermAll,MATCH(Input_AmortTerm,List_AmortTerm,0),3)=2,BA127,#N/A))</f>
        <v>#N/A</v>
      </c>
      <c r="BC127" s="1291" t="e">
        <f t="shared" si="134"/>
        <v>#N/A</v>
      </c>
      <c r="BD127" s="1291" cm="1">
        <f t="array" ref="BD127">[1]!IH_FRM30_M41</f>
        <v>0.5</v>
      </c>
      <c r="BE127" s="1293" t="s">
        <v>2032</v>
      </c>
    </row>
    <row r="128" spans="13:57" ht="9.6" customHeight="1" x14ac:dyDescent="0.2">
      <c r="M128" s="1409" t="s">
        <v>2150</v>
      </c>
      <c r="N128" s="1410" t="s">
        <v>2579</v>
      </c>
      <c r="O128" s="515"/>
      <c r="P128" s="515"/>
      <c r="U128" s="515"/>
      <c r="V128" s="515"/>
      <c r="X128" s="1773" t="s">
        <v>3305</v>
      </c>
      <c r="Y128" s="1773" t="s">
        <v>166</v>
      </c>
      <c r="Z128" s="1774">
        <f>-Input_PL_IncentiveMaxAdj_LenderPaidComp+Input_PL_MaxPriceBase_YM_05PP+Input_PL_Incentive_XM+Input_PL_IncentiveMaxAdj_XM</f>
        <v>104</v>
      </c>
      <c r="AA128" s="1775" cm="1">
        <f t="array" ref="AA128">[1]!Input_MaxPriceNet_YM_05PP</f>
        <v>104</v>
      </c>
      <c r="AC128" s="894" t="s">
        <v>2052</v>
      </c>
      <c r="AD128" s="894" t="s">
        <v>3886</v>
      </c>
      <c r="AE128" s="894" t="s">
        <v>469</v>
      </c>
      <c r="AF128" s="895" t="s">
        <v>2107</v>
      </c>
      <c r="AG128" s="1193" t="str">
        <f>IF(Input_DocType=AE128,Structure!AF128,"")</f>
        <v/>
      </c>
      <c r="AH128" s="1172" t="str">
        <f>IF(AG128="","",IF(AC128="Disclosure",MAX(AH$104:AH127)+1,""))</f>
        <v/>
      </c>
      <c r="AI128" s="1173" t="str">
        <f t="shared" si="135"/>
        <v/>
      </c>
      <c r="AJ128" s="1174" t="str">
        <f>IF(AG128="","",IF(AC128="SubmissionRequired",MAX(AJ$104:AJ127)+1,""))</f>
        <v/>
      </c>
      <c r="AK128" s="1176" t="str">
        <f t="shared" si="136"/>
        <v/>
      </c>
      <c r="AL128" s="1177" t="str">
        <f>IF(AG128="","",IF(AC128="SubmissionRecommended",MAX(AL$104:AL127)+1,""))</f>
        <v/>
      </c>
      <c r="AM128" s="1179" t="str">
        <f t="shared" si="137"/>
        <v>1004D / Final Inspection [if applicable] (Min 600 sf)</v>
      </c>
      <c r="AN128" s="1318" t="str">
        <f>IF(AG128="","",IF(AC128="DocType",MAX(AN$104:AN127)+1,""))</f>
        <v/>
      </c>
      <c r="AO128" s="1320" t="str">
        <f t="shared" si="138"/>
        <v/>
      </c>
      <c r="AP128" s="514" t="s">
        <v>76</v>
      </c>
      <c r="AV128" s="1274" t="s">
        <v>486</v>
      </c>
      <c r="AW128" s="1275" t="s">
        <v>481</v>
      </c>
      <c r="AX128" s="1248" t="str">
        <f t="shared" ref="AX128:AX153" si="140">"PN_"&amp;RIGHT("000"&amp;TRUNC(Lookup_NoteRate),3)&amp;TEXT(Lookup_NoteRate-TRUNC(Lookup_NoteRate),".0000000000")</f>
        <v>PN_009.7500000000</v>
      </c>
      <c r="AY128" s="1249">
        <f>[1]!PN_R01</f>
        <v>9.75</v>
      </c>
      <c r="AZ128" s="1250" t="e">
        <f>[1]!PN_ARM05_P01+Input_PL_Incentive_PN</f>
        <v>#N/A</v>
      </c>
      <c r="BA128" s="1250" t="e">
        <f>[1]!PN_FRM30_P01+Input_PL_Incentive_PN</f>
        <v>#N/A</v>
      </c>
      <c r="BB128" s="1248" t="e">
        <f t="shared" si="2"/>
        <v>#N/A</v>
      </c>
      <c r="BC128" s="1248" t="e">
        <f t="shared" ref="BC128:BC153" si="141">"PN_"&amp;RIGHT("000"&amp;TRUNC(Lookup_PriceText),3)&amp;TEXT(Lookup_PriceText-TRUNC(Lookup_PriceText),".0000000000")</f>
        <v>#N/A</v>
      </c>
      <c r="BD128" s="1248"/>
      <c r="BE128" s="1276" t="s">
        <v>1884</v>
      </c>
    </row>
    <row r="129" spans="13:57" ht="9.6" customHeight="1" x14ac:dyDescent="0.2">
      <c r="M129" s="1399" t="s">
        <v>2580</v>
      </c>
      <c r="N129" s="1400" t="s">
        <v>181</v>
      </c>
      <c r="O129" s="515"/>
      <c r="P129" s="515"/>
      <c r="U129" s="515"/>
      <c r="V129" s="515"/>
      <c r="X129" s="1770" t="s">
        <v>3306</v>
      </c>
      <c r="Y129" s="1770" t="s">
        <v>68</v>
      </c>
      <c r="Z129" s="1771">
        <f>-Input_PL_IncentiveMaxAdj_LenderPaidComp+Input_PL_MaxPriceBase_YM_01PP+Input_PL_Incentive_XM+Input_PL_IncentiveMaxAdj_XM</f>
        <v>102.25</v>
      </c>
      <c r="AA129" s="1772" cm="1">
        <f t="array" ref="AA129">[1]!Input_MaxPriceNet_YM_01PP</f>
        <v>102.25</v>
      </c>
      <c r="AC129" s="894" t="s">
        <v>2052</v>
      </c>
      <c r="AD129" s="894" t="s">
        <v>3886</v>
      </c>
      <c r="AE129" s="894" t="s">
        <v>2047</v>
      </c>
      <c r="AF129" s="895" t="s">
        <v>2048</v>
      </c>
      <c r="AG129" s="1190" t="str">
        <f>AF129</f>
        <v>Mortgage Statement Coupon</v>
      </c>
      <c r="AH129" s="1172" t="str">
        <f>IF(AG129="","",IF(AC129="Disclosure",MAX(AH$104:AH128)+1,""))</f>
        <v/>
      </c>
      <c r="AI129" s="1173" t="str">
        <f t="shared" si="135"/>
        <v/>
      </c>
      <c r="AJ129" s="1174">
        <f>IF(AG129="","",IF(AC129="SubmissionRequired",MAX(AJ$104:AJ128)+1,""))</f>
        <v>6</v>
      </c>
      <c r="AK129" s="1176" t="str">
        <f t="shared" si="136"/>
        <v/>
      </c>
      <c r="AL129" s="1177" t="str">
        <f>IF(AG129="","",IF(AC129="SubmissionRecommended",MAX(AL$104:AL128)+1,""))</f>
        <v/>
      </c>
      <c r="AM129" s="1179" t="str">
        <f t="shared" si="137"/>
        <v>Master Liability Insurance (w/ Walls-In)</v>
      </c>
      <c r="AN129" s="1318" t="str">
        <f>IF(AG129="","",IF(AC129="DocType",MAX(AN$104:AN128)+1,""))</f>
        <v/>
      </c>
      <c r="AO129" s="1320" t="str">
        <f t="shared" si="138"/>
        <v/>
      </c>
      <c r="AP129" s="514" t="s">
        <v>76</v>
      </c>
      <c r="AV129" s="1277" t="s">
        <v>486</v>
      </c>
      <c r="AW129" s="1244" t="s">
        <v>481</v>
      </c>
      <c r="AX129" s="1234" t="str">
        <f t="shared" si="140"/>
        <v>PN_009.6250000000</v>
      </c>
      <c r="AY129" s="1235">
        <f>[1]!PN_R02</f>
        <v>9.625</v>
      </c>
      <c r="AZ129" s="1236" t="e">
        <f>[1]!PN_ARM05_P02+Input_PL_Incentive_PN</f>
        <v>#N/A</v>
      </c>
      <c r="BA129" s="1236" t="e">
        <f>[1]!PN_FRM30_P02+Input_PL_Incentive_PN</f>
        <v>#N/A</v>
      </c>
      <c r="BB129" s="1234" t="e">
        <f t="shared" ref="BB129" si="142">IF(INDEX(List_AmortTermAll,MATCH(Input_AmortTerm,List_AmortTerm,0),3)=1,AZ129,IF(INDEX(List_AmortTermAll,MATCH(Input_AmortTerm,List_AmortTerm,0),3)=2,BA129,#N/A))</f>
        <v>#N/A</v>
      </c>
      <c r="BC129" s="1234" t="e">
        <f t="shared" si="141"/>
        <v>#N/A</v>
      </c>
      <c r="BD129" s="1234"/>
      <c r="BE129" s="1278" t="s">
        <v>1885</v>
      </c>
    </row>
    <row r="130" spans="13:57" ht="9.6" customHeight="1" x14ac:dyDescent="0.2">
      <c r="M130" s="1401" t="s">
        <v>2581</v>
      </c>
      <c r="N130" s="1402" t="s">
        <v>181</v>
      </c>
      <c r="O130" s="515"/>
      <c r="P130" s="515"/>
      <c r="U130" s="515"/>
      <c r="V130" s="515"/>
      <c r="X130" s="1770" t="s">
        <v>3307</v>
      </c>
      <c r="Y130" s="1770" t="s">
        <v>67</v>
      </c>
      <c r="Z130" s="1771">
        <f>-Input_PL_IncentiveMaxAdj_LenderPaidComp+Input_PL_MaxPriceBase_YM_02PP+Input_PL_Incentive_XM+Input_PL_IncentiveMaxAdj_XM</f>
        <v>102.75</v>
      </c>
      <c r="AA130" s="1772" cm="1">
        <f t="array" ref="AA130">[1]!Input_MaxPriceNet_YM_02PP</f>
        <v>102.75</v>
      </c>
      <c r="AC130" s="1182" t="s">
        <v>2053</v>
      </c>
      <c r="AD130" s="1182" t="s">
        <v>3886</v>
      </c>
      <c r="AE130" s="1182" t="s">
        <v>1640</v>
      </c>
      <c r="AF130" s="1185" t="s">
        <v>2060</v>
      </c>
      <c r="AG130" s="1193" t="str">
        <f>IF(Input_DocType="01-Full Doc 2yr",Structure!AF130,"")</f>
        <v>YTD P&amp;L (Self Employed)</v>
      </c>
      <c r="AH130" s="1172" t="str">
        <f>IF(AG130="","",IF(AC130="Disclosure",MAX(AH$104:AH129)+1,""))</f>
        <v/>
      </c>
      <c r="AI130" s="1173" t="str">
        <f t="shared" si="135"/>
        <v/>
      </c>
      <c r="AJ130" s="1174" t="str">
        <f>IF(AG130="","",IF(AC130="SubmissionRequired",MAX(AJ$104:AJ129)+1,""))</f>
        <v/>
      </c>
      <c r="AK130" s="1176" t="str">
        <f t="shared" si="136"/>
        <v/>
      </c>
      <c r="AL130" s="1177">
        <f>IF(AG130="","",IF(AC130="SubmissionRecommended",MAX(AL$104:AL129)+1,""))</f>
        <v>1</v>
      </c>
      <c r="AM130" s="1179" t="str">
        <f t="shared" si="137"/>
        <v>Fidelity Bond (Projects &gt; 20 units)</v>
      </c>
      <c r="AN130" s="1318" t="str">
        <f>IF(AG130="","",IF(AC130="DocType",MAX(AN$104:AN129)+1,""))</f>
        <v/>
      </c>
      <c r="AO130" s="1320" t="str">
        <f t="shared" si="138"/>
        <v/>
      </c>
      <c r="AP130" s="514" t="s">
        <v>76</v>
      </c>
      <c r="AV130" s="1277" t="s">
        <v>486</v>
      </c>
      <c r="AW130" s="1244" t="s">
        <v>481</v>
      </c>
      <c r="AX130" s="1234" t="str">
        <f t="shared" si="140"/>
        <v>PN_009.5000000000</v>
      </c>
      <c r="AY130" s="1235">
        <f>[1]!PN_R03</f>
        <v>9.5</v>
      </c>
      <c r="AZ130" s="1236" t="e">
        <f>[1]!PN_ARM05_P03+Input_PL_Incentive_PN</f>
        <v>#N/A</v>
      </c>
      <c r="BA130" s="1236" t="e">
        <f>[1]!PN_FRM30_P03+Input_PL_Incentive_PN</f>
        <v>#N/A</v>
      </c>
      <c r="BB130" s="1234" t="e">
        <f t="shared" ref="BB130:BB155" si="143">IF(INDEX(List_AmortTermAll,MATCH(Input_AmortTerm,List_AmortTerm,0),3)=1,AZ130,IF(INDEX(List_AmortTermAll,MATCH(Input_AmortTerm,List_AmortTerm,0),3)=2,BA130,#N/A))</f>
        <v>#N/A</v>
      </c>
      <c r="BC130" s="1234" t="e">
        <f t="shared" si="141"/>
        <v>#N/A</v>
      </c>
      <c r="BD130" s="1234"/>
      <c r="BE130" s="1278" t="s">
        <v>1886</v>
      </c>
    </row>
    <row r="131" spans="13:57" ht="9.6" customHeight="1" x14ac:dyDescent="0.2">
      <c r="M131" s="1401" t="s">
        <v>2582</v>
      </c>
      <c r="N131" s="1402" t="s">
        <v>181</v>
      </c>
      <c r="O131" s="515"/>
      <c r="P131" s="515"/>
      <c r="U131" s="515"/>
      <c r="V131" s="515"/>
      <c r="X131" s="1770" t="s">
        <v>3308</v>
      </c>
      <c r="Y131" s="1770" t="s">
        <v>66</v>
      </c>
      <c r="Z131" s="1771">
        <f>-Input_PL_IncentiveMaxAdj_LenderPaidComp+Input_PL_MaxPriceBase_YM_03PP+Input_PL_Incentive_XM+Input_PL_IncentiveMaxAdj_XM</f>
        <v>103.25</v>
      </c>
      <c r="AA131" s="1772" cm="1">
        <f t="array" ref="AA131">[1]!Input_MaxPriceNet_YM_03PP</f>
        <v>103.25</v>
      </c>
      <c r="AC131" s="1182" t="s">
        <v>2053</v>
      </c>
      <c r="AD131" s="1182" t="s">
        <v>3886</v>
      </c>
      <c r="AE131" s="1182" t="s">
        <v>1640</v>
      </c>
      <c r="AF131" s="1185" t="s">
        <v>2105</v>
      </c>
      <c r="AG131" s="1193" t="str">
        <f>IF(Input_DocType="01-Full Doc 2yr",Structure!AF131,"")</f>
        <v>4506C Signed by Borrower(s)</v>
      </c>
      <c r="AH131" s="1172" t="str">
        <f>IF(AG131="","",IF(AC131="Disclosure",MAX(AH$104:AH130)+1,""))</f>
        <v/>
      </c>
      <c r="AI131" s="1173" t="str">
        <f t="shared" si="135"/>
        <v/>
      </c>
      <c r="AJ131" s="1174" t="str">
        <f>IF(AG131="","",IF(AC131="SubmissionRequired",MAX(AJ$104:AJ130)+1,""))</f>
        <v/>
      </c>
      <c r="AK131" s="1176" t="str">
        <f t="shared" si="136"/>
        <v/>
      </c>
      <c r="AL131" s="1177">
        <f>IF(AG131="","",IF(AC131="SubmissionRecommended",MAX(AL$104:AL130)+1,""))</f>
        <v>2</v>
      </c>
      <c r="AM131" s="1179" t="str">
        <f t="shared" si="137"/>
        <v>HO-6 (if Master Ins Does Not Have Walls-In (Bare Walls Not Acceptable))</v>
      </c>
      <c r="AN131" s="1318" t="str">
        <f>IF(AG131="","",IF(AC131="DocType",MAX(AN$104:AN130)+1,""))</f>
        <v/>
      </c>
      <c r="AO131" s="1320" t="str">
        <f t="shared" si="138"/>
        <v/>
      </c>
      <c r="AP131" s="514" t="s">
        <v>76</v>
      </c>
      <c r="AV131" s="1277" t="s">
        <v>486</v>
      </c>
      <c r="AW131" s="1244" t="s">
        <v>481</v>
      </c>
      <c r="AX131" s="1234" t="str">
        <f t="shared" si="140"/>
        <v>PN_009.3750000000</v>
      </c>
      <c r="AY131" s="1235">
        <f>[1]!PN_R04</f>
        <v>9.375</v>
      </c>
      <c r="AZ131" s="1236" t="e">
        <f>[1]!PN_ARM05_P04+Input_PL_Incentive_PN</f>
        <v>#N/A</v>
      </c>
      <c r="BA131" s="1236" t="e">
        <f>[1]!PN_FRM30_P04+Input_PL_Incentive_PN</f>
        <v>#N/A</v>
      </c>
      <c r="BB131" s="1234" t="e">
        <f t="shared" si="143"/>
        <v>#N/A</v>
      </c>
      <c r="BC131" s="1234" t="e">
        <f t="shared" si="141"/>
        <v>#N/A</v>
      </c>
      <c r="BD131" s="1234"/>
      <c r="BE131" s="1278" t="s">
        <v>1887</v>
      </c>
    </row>
    <row r="132" spans="13:57" ht="9.6" customHeight="1" x14ac:dyDescent="0.2">
      <c r="M132" s="1401" t="s">
        <v>2583</v>
      </c>
      <c r="N132" s="1402" t="s">
        <v>181</v>
      </c>
      <c r="Q132" s="515"/>
      <c r="U132" s="515"/>
      <c r="V132" s="515"/>
      <c r="X132" s="1770" t="s">
        <v>3309</v>
      </c>
      <c r="Y132" s="1770" t="s">
        <v>165</v>
      </c>
      <c r="Z132" s="1771">
        <f>-Input_PL_IncentiveMaxAdj_LenderPaidComp+Input_PL_MaxPriceBase_YM_04PP+Input_PL_Incentive_XM+Input_PL_IncentiveMaxAdj_XM</f>
        <v>103.5</v>
      </c>
      <c r="AA132" s="1772" cm="1">
        <f t="array" ref="AA132">[1]!Input_MaxPriceNet_YM_04PP</f>
        <v>103.5</v>
      </c>
      <c r="AC132" s="1182" t="s">
        <v>2053</v>
      </c>
      <c r="AD132" s="1182" t="s">
        <v>3886</v>
      </c>
      <c r="AE132" s="1182" t="s">
        <v>1641</v>
      </c>
      <c r="AF132" s="1185" t="s">
        <v>2105</v>
      </c>
      <c r="AG132" s="1193" t="str">
        <f>IF(Input_DocType="02-Full Doc 1yr",Structure!AF132,"")</f>
        <v/>
      </c>
      <c r="AH132" s="1172" t="str">
        <f>IF(AG132="","",IF(AC132="Disclosure",MAX(AH$104:AH131)+1,""))</f>
        <v/>
      </c>
      <c r="AI132" s="1173" t="str">
        <f t="shared" si="135"/>
        <v/>
      </c>
      <c r="AJ132" s="1174" t="str">
        <f>IF(AG132="","",IF(AC132="SubmissionRequired",MAX(AJ$104:AJ131)+1,""))</f>
        <v/>
      </c>
      <c r="AK132" s="1176" t="str">
        <f t="shared" si="136"/>
        <v/>
      </c>
      <c r="AL132" s="1177" t="str">
        <f>IF(AG132="","",IF(AC132="SubmissionRecommended",MAX(AL$104:AL131)+1,""))</f>
        <v/>
      </c>
      <c r="AM132" s="1179" t="str">
        <f t="shared" si="137"/>
        <v>1031 Exchange Documentation [if applicable] (Executed Agreement and Settlement Stmt from Accommodator)</v>
      </c>
      <c r="AN132" s="1318" t="str">
        <f>IF(AG132="","",IF(AC132="DocType",MAX(AN$104:AN131)+1,""))</f>
        <v/>
      </c>
      <c r="AO132" s="1320" t="str">
        <f t="shared" si="138"/>
        <v/>
      </c>
      <c r="AP132" s="514" t="s">
        <v>76</v>
      </c>
      <c r="AV132" s="1277" t="s">
        <v>486</v>
      </c>
      <c r="AW132" s="1244" t="s">
        <v>481</v>
      </c>
      <c r="AX132" s="1234" t="str">
        <f t="shared" si="140"/>
        <v>PN_009.2500000000</v>
      </c>
      <c r="AY132" s="1235">
        <f>[1]!PN_R05</f>
        <v>9.25</v>
      </c>
      <c r="AZ132" s="1236" t="e">
        <f>[1]!PN_ARM05_P05+Input_PL_Incentive_PN</f>
        <v>#N/A</v>
      </c>
      <c r="BA132" s="1236" t="e">
        <f>[1]!PN_FRM30_P05+Input_PL_Incentive_PN</f>
        <v>#N/A</v>
      </c>
      <c r="BB132" s="1234" t="e">
        <f t="shared" si="143"/>
        <v>#N/A</v>
      </c>
      <c r="BC132" s="1234" t="e">
        <f t="shared" si="141"/>
        <v>#N/A</v>
      </c>
      <c r="BD132" s="1234"/>
      <c r="BE132" s="1278" t="s">
        <v>1888</v>
      </c>
    </row>
    <row r="133" spans="13:57" ht="9.6" customHeight="1" x14ac:dyDescent="0.2">
      <c r="M133" s="1401" t="s">
        <v>2584</v>
      </c>
      <c r="N133" s="1402" t="s">
        <v>181</v>
      </c>
      <c r="Q133" s="515"/>
      <c r="U133" s="515"/>
      <c r="V133" s="515"/>
      <c r="X133" s="1773" t="s">
        <v>3310</v>
      </c>
      <c r="Y133" s="1773" t="s">
        <v>166</v>
      </c>
      <c r="Z133" s="1774">
        <f>-Input_PL_IncentiveMaxAdj_LenderPaidComp+Input_PL_MaxPriceBase_YM_05PP+Input_PL_Incentive_XM+Input_PL_IncentiveMaxAdj_XM</f>
        <v>104</v>
      </c>
      <c r="AA133" s="1775" cm="1">
        <f t="array" ref="AA133">[1]!Input_MaxPriceNet_YM_05PP</f>
        <v>104</v>
      </c>
      <c r="AC133" s="1182" t="s">
        <v>2053</v>
      </c>
      <c r="AD133" s="1182" t="s">
        <v>3886</v>
      </c>
      <c r="AE133" s="1182" t="s">
        <v>188</v>
      </c>
      <c r="AF133" s="1185" t="s">
        <v>2088</v>
      </c>
      <c r="AG133" s="1193" t="str">
        <f>IF(Input_DocType="07-P&amp;L Only",Structure!AF133,"")</f>
        <v/>
      </c>
      <c r="AH133" s="1172" t="str">
        <f>IF(AG133="","",IF(AC133="Disclosure",MAX(AH$104:AH132)+1,""))</f>
        <v/>
      </c>
      <c r="AI133" s="1173" t="str">
        <f t="shared" si="135"/>
        <v/>
      </c>
      <c r="AJ133" s="1174" t="str">
        <f>IF(AG133="","",IF(AC133="SubmissionRequired",MAX(AJ$104:AJ132)+1,""))</f>
        <v/>
      </c>
      <c r="AK133" s="1176" t="str">
        <f t="shared" si="136"/>
        <v/>
      </c>
      <c r="AL133" s="1177" t="str">
        <f>IF(AG133="","",IF(AC133="SubmissionRecommended",MAX(AL$104:AL132)+1,""))</f>
        <v/>
      </c>
      <c r="AM133" s="1179" t="str">
        <f t="shared" si="137"/>
        <v>Solar Agreement and Endorsement [if applicable]</v>
      </c>
      <c r="AN133" s="1318" t="str">
        <f>IF(AG133="","",IF(AC133="DocType",MAX(AN$104:AN132)+1,""))</f>
        <v/>
      </c>
      <c r="AO133" s="1320" t="str">
        <f t="shared" si="138"/>
        <v/>
      </c>
      <c r="AP133" s="514" t="s">
        <v>76</v>
      </c>
      <c r="AV133" s="1277" t="s">
        <v>486</v>
      </c>
      <c r="AW133" s="1244" t="s">
        <v>481</v>
      </c>
      <c r="AX133" s="1234" t="str">
        <f t="shared" si="140"/>
        <v>PN_009.1250000000</v>
      </c>
      <c r="AY133" s="1235">
        <f>[1]!PN_R06</f>
        <v>9.125</v>
      </c>
      <c r="AZ133" s="1236" t="e">
        <f>[1]!PN_ARM05_P06+Input_PL_Incentive_PN</f>
        <v>#N/A</v>
      </c>
      <c r="BA133" s="1236" t="e">
        <f>[1]!PN_FRM30_P06+Input_PL_Incentive_PN</f>
        <v>#N/A</v>
      </c>
      <c r="BB133" s="1234" t="e">
        <f t="shared" si="143"/>
        <v>#N/A</v>
      </c>
      <c r="BC133" s="1234" t="e">
        <f t="shared" si="141"/>
        <v>#N/A</v>
      </c>
      <c r="BD133" s="1234"/>
      <c r="BE133" s="1278" t="s">
        <v>1889</v>
      </c>
    </row>
    <row r="134" spans="13:57" ht="9.6" customHeight="1" x14ac:dyDescent="0.2">
      <c r="M134" s="1401" t="s">
        <v>2585</v>
      </c>
      <c r="N134" s="1402" t="s">
        <v>181</v>
      </c>
      <c r="Q134" s="515"/>
      <c r="R134" s="515"/>
      <c r="S134" s="515"/>
      <c r="T134" s="515"/>
      <c r="U134" s="515"/>
      <c r="V134" s="515"/>
      <c r="X134" s="1770" t="s">
        <v>3311</v>
      </c>
      <c r="Y134" s="1770" t="s">
        <v>68</v>
      </c>
      <c r="Z134" s="1771">
        <f>-Input_PL_IncentiveMaxAdj_LenderPaidComp+Input_PL_MaxPriceBase_YM_01PP+Input_PL_Incentive_XM+Input_PL_IncentiveMaxAdj_XM</f>
        <v>102.25</v>
      </c>
      <c r="AA134" s="1772" cm="1">
        <f t="array" ref="AA134">[1]!Input_MaxPriceNet_YM_01PP</f>
        <v>102.25</v>
      </c>
      <c r="AC134" s="894" t="s">
        <v>2053</v>
      </c>
      <c r="AD134" s="894" t="s">
        <v>3886</v>
      </c>
      <c r="AE134" s="894" t="s">
        <v>188</v>
      </c>
      <c r="AF134" s="895" t="s">
        <v>2068</v>
      </c>
      <c r="AG134" s="1193" t="str">
        <f>IF(Input_DocType="07-P&amp;L Only",Structure!AF134,"")</f>
        <v/>
      </c>
      <c r="AH134" s="1172" t="str">
        <f>IF(AG134="","",IF(AC134="Disclosure",MAX(AH$104:AH133)+1,""))</f>
        <v/>
      </c>
      <c r="AI134" s="1173" t="str">
        <f t="shared" si="135"/>
        <v/>
      </c>
      <c r="AJ134" s="1174" t="str">
        <f>IF(AG134="","",IF(AC134="SubmissionRequired",MAX(AJ$104:AJ133)+1,""))</f>
        <v/>
      </c>
      <c r="AK134" s="1176" t="str">
        <f t="shared" si="136"/>
        <v/>
      </c>
      <c r="AL134" s="1177" t="str">
        <f>IF(AG134="","",IF(AC134="SubmissionRecommended",MAX(AL$104:AL133)+1,""))</f>
        <v/>
      </c>
      <c r="AM134" s="1179" t="str">
        <f t="shared" si="137"/>
        <v/>
      </c>
      <c r="AN134" s="1318" t="str">
        <f>IF(AG134="","",IF(AC134="DocType",MAX(AN$104:AN133)+1,""))</f>
        <v/>
      </c>
      <c r="AO134" s="1320" t="str">
        <f t="shared" si="138"/>
        <v/>
      </c>
      <c r="AP134" s="514" t="s">
        <v>76</v>
      </c>
      <c r="AV134" s="1277" t="s">
        <v>486</v>
      </c>
      <c r="AW134" s="1244" t="s">
        <v>481</v>
      </c>
      <c r="AX134" s="1234" t="str">
        <f t="shared" si="140"/>
        <v>PN_009.0000000000</v>
      </c>
      <c r="AY134" s="1235">
        <f>[1]!PN_R07</f>
        <v>9</v>
      </c>
      <c r="AZ134" s="1236" t="e">
        <f>[1]!PN_ARM05_P07+Input_PL_Incentive_PN</f>
        <v>#N/A</v>
      </c>
      <c r="BA134" s="1236" t="e">
        <f>[1]!PN_FRM30_P07+Input_PL_Incentive_PN</f>
        <v>#N/A</v>
      </c>
      <c r="BB134" s="1234" t="e">
        <f t="shared" si="143"/>
        <v>#N/A</v>
      </c>
      <c r="BC134" s="1234" t="e">
        <f t="shared" si="141"/>
        <v>#N/A</v>
      </c>
      <c r="BD134" s="1234"/>
      <c r="BE134" s="1278" t="s">
        <v>1890</v>
      </c>
    </row>
    <row r="135" spans="13:57" ht="9.6" customHeight="1" x14ac:dyDescent="0.2">
      <c r="M135" s="1401" t="s">
        <v>2586</v>
      </c>
      <c r="N135" s="1402" t="s">
        <v>181</v>
      </c>
      <c r="Q135" s="515"/>
      <c r="R135" s="515"/>
      <c r="S135" s="515"/>
      <c r="T135" s="515"/>
      <c r="U135" s="515"/>
      <c r="V135" s="515"/>
      <c r="X135" s="1770" t="s">
        <v>3312</v>
      </c>
      <c r="Y135" s="1770" t="s">
        <v>67</v>
      </c>
      <c r="Z135" s="1771">
        <f>-Input_PL_IncentiveMaxAdj_LenderPaidComp+Input_PL_MaxPriceBase_YM_02PP+Input_PL_Incentive_XM+Input_PL_IncentiveMaxAdj_XM</f>
        <v>102.75</v>
      </c>
      <c r="AA135" s="1772" cm="1">
        <f t="array" ref="AA135">[1]!Input_MaxPriceNet_YM_02PP</f>
        <v>102.75</v>
      </c>
      <c r="AC135" s="894" t="s">
        <v>2053</v>
      </c>
      <c r="AD135" s="894" t="s">
        <v>3886</v>
      </c>
      <c r="AE135" s="894" t="s">
        <v>466</v>
      </c>
      <c r="AF135" s="1185" t="s">
        <v>2105</v>
      </c>
      <c r="AG135" s="1193" t="str">
        <f>IF(Input_DocType="14-1099",Structure!AF135,"")</f>
        <v/>
      </c>
      <c r="AH135" s="1172" t="str">
        <f>IF(AG135="","",IF(AC135="Disclosure",MAX(AH$104:AH134)+1,""))</f>
        <v/>
      </c>
      <c r="AI135" s="1173" t="str">
        <f t="shared" si="135"/>
        <v/>
      </c>
      <c r="AJ135" s="1174" t="str">
        <f>IF(AG135="","",IF(AC135="SubmissionRequired",MAX(AJ$104:AJ134)+1,""))</f>
        <v/>
      </c>
      <c r="AK135" s="1176" t="str">
        <f t="shared" si="136"/>
        <v/>
      </c>
      <c r="AL135" s="1177" t="str">
        <f>IF(AG135="","",IF(AC135="SubmissionRecommended",MAX(AL$104:AL134)+1,""))</f>
        <v/>
      </c>
      <c r="AM135" s="1179" t="str">
        <f t="shared" si="137"/>
        <v/>
      </c>
      <c r="AN135" s="1318" t="str">
        <f>IF(AG135="","",IF(AC135="DocType",MAX(AN$104:AN134)+1,""))</f>
        <v/>
      </c>
      <c r="AO135" s="1320" t="str">
        <f t="shared" si="138"/>
        <v/>
      </c>
      <c r="AP135" s="514" t="s">
        <v>76</v>
      </c>
      <c r="AV135" s="1277" t="s">
        <v>486</v>
      </c>
      <c r="AW135" s="1244" t="s">
        <v>481</v>
      </c>
      <c r="AX135" s="1234" t="str">
        <f t="shared" si="140"/>
        <v>PN_008.8750000000</v>
      </c>
      <c r="AY135" s="1235">
        <f>[1]!PN_R08</f>
        <v>8.875</v>
      </c>
      <c r="AZ135" s="1236" t="e">
        <f>[1]!PN_ARM05_P08+Input_PL_Incentive_PN</f>
        <v>#N/A</v>
      </c>
      <c r="BA135" s="1236" t="e">
        <f>[1]!PN_FRM30_P08+Input_PL_Incentive_PN</f>
        <v>#N/A</v>
      </c>
      <c r="BB135" s="1234" t="e">
        <f t="shared" si="143"/>
        <v>#N/A</v>
      </c>
      <c r="BC135" s="1234" t="e">
        <f t="shared" si="141"/>
        <v>#N/A</v>
      </c>
      <c r="BD135" s="1234"/>
      <c r="BE135" s="1278" t="s">
        <v>1891</v>
      </c>
    </row>
    <row r="136" spans="13:57" ht="9.6" customHeight="1" x14ac:dyDescent="0.2">
      <c r="M136" s="1401" t="s">
        <v>2587</v>
      </c>
      <c r="N136" s="1402" t="s">
        <v>181</v>
      </c>
      <c r="Q136" s="515"/>
      <c r="R136" s="515"/>
      <c r="S136" s="515"/>
      <c r="T136" s="515"/>
      <c r="U136" s="515"/>
      <c r="V136" s="515"/>
      <c r="X136" s="1770" t="s">
        <v>3313</v>
      </c>
      <c r="Y136" s="1770" t="s">
        <v>66</v>
      </c>
      <c r="Z136" s="1771">
        <f>-Input_PL_IncentiveMaxAdj_LenderPaidComp+Input_PL_MaxPriceBase_YM_03PP+Input_PL_Incentive_XM+Input_PL_IncentiveMaxAdj_XM</f>
        <v>103.25</v>
      </c>
      <c r="AA136" s="1772" cm="1">
        <f t="array" ref="AA136">[1]!Input_MaxPriceNet_YM_03PP</f>
        <v>103.25</v>
      </c>
      <c r="AC136" s="894" t="s">
        <v>2053</v>
      </c>
      <c r="AD136" s="894" t="s">
        <v>3886</v>
      </c>
      <c r="AE136" s="894" t="s">
        <v>1622</v>
      </c>
      <c r="AF136" s="895" t="s">
        <v>2103</v>
      </c>
      <c r="AG136" s="1187" t="str">
        <f>IF(Input_Purpose&lt;&gt;"Purchase",Structure!AF169,"")</f>
        <v>Solar Agreement and Endorsement [if applicable]</v>
      </c>
      <c r="AH136" s="1172" t="str">
        <f>IF(AG136="","",IF(AC136="Disclosure",MAX(AH$104:AH135)+1,""))</f>
        <v/>
      </c>
      <c r="AI136" s="1173" t="str">
        <f t="shared" si="135"/>
        <v/>
      </c>
      <c r="AJ136" s="1174" t="str">
        <f>IF(AG136="","",IF(AC136="SubmissionRequired",MAX(AJ$104:AJ135)+1,""))</f>
        <v/>
      </c>
      <c r="AK136" s="1176" t="str">
        <f t="shared" si="136"/>
        <v/>
      </c>
      <c r="AL136" s="1177">
        <f>IF(AG136="","",IF(AC136="SubmissionRecommended",MAX(AL$104:AL135)+1,""))</f>
        <v>3</v>
      </c>
      <c r="AM136" s="1179" t="str">
        <f t="shared" si="137"/>
        <v/>
      </c>
      <c r="AN136" s="1318" t="str">
        <f>IF(AG136="","",IF(AC136="DocType",MAX(AN$104:AN135)+1,""))</f>
        <v/>
      </c>
      <c r="AO136" s="1320" t="str">
        <f t="shared" si="138"/>
        <v/>
      </c>
      <c r="AP136" s="514" t="s">
        <v>76</v>
      </c>
      <c r="AV136" s="1277" t="s">
        <v>486</v>
      </c>
      <c r="AW136" s="1244" t="s">
        <v>481</v>
      </c>
      <c r="AX136" s="1234" t="str">
        <f t="shared" si="140"/>
        <v>PN_008.7500000000</v>
      </c>
      <c r="AY136" s="1235">
        <f>[1]!PN_R09</f>
        <v>8.75</v>
      </c>
      <c r="AZ136" s="1236" t="e">
        <f>[1]!PN_ARM05_P09+Input_PL_Incentive_PN</f>
        <v>#N/A</v>
      </c>
      <c r="BA136" s="1236" t="e">
        <f>[1]!PN_FRM30_P09+Input_PL_Incentive_PN</f>
        <v>#N/A</v>
      </c>
      <c r="BB136" s="1234" t="e">
        <f t="shared" si="143"/>
        <v>#N/A</v>
      </c>
      <c r="BC136" s="1234" t="e">
        <f t="shared" si="141"/>
        <v>#N/A</v>
      </c>
      <c r="BD136" s="1234"/>
      <c r="BE136" s="1278" t="s">
        <v>1892</v>
      </c>
    </row>
    <row r="137" spans="13:57" ht="9.6" customHeight="1" x14ac:dyDescent="0.2">
      <c r="M137" s="1403" t="s">
        <v>2588</v>
      </c>
      <c r="N137" s="1404" t="s">
        <v>181</v>
      </c>
      <c r="Q137" s="515"/>
      <c r="R137" s="515"/>
      <c r="S137" s="515"/>
      <c r="T137" s="515"/>
      <c r="U137" s="515"/>
      <c r="V137" s="515"/>
      <c r="X137" s="1770" t="s">
        <v>3314</v>
      </c>
      <c r="Y137" s="1770" t="s">
        <v>165</v>
      </c>
      <c r="Z137" s="1771">
        <f>-Input_PL_IncentiveMaxAdj_LenderPaidComp+Input_PL_MaxPriceBase_YM_04PP+Input_PL_Incentive_XM+Input_PL_IncentiveMaxAdj_XM</f>
        <v>103.5</v>
      </c>
      <c r="AA137" s="1772" cm="1">
        <f t="array" ref="AA137">[1]!Input_MaxPriceNet_YM_04PP</f>
        <v>103.5</v>
      </c>
      <c r="AC137" s="894" t="s">
        <v>2053</v>
      </c>
      <c r="AD137" s="894" t="s">
        <v>3886</v>
      </c>
      <c r="AE137" s="894" t="s">
        <v>1622</v>
      </c>
      <c r="AF137" s="895" t="s">
        <v>2078</v>
      </c>
      <c r="AG137" s="1192" t="str">
        <f>AF137</f>
        <v>Preliminary Title Report / Title Commitment (24mo chain of title, ALTA supp for property address, plat map / survey)</v>
      </c>
      <c r="AH137" s="1172" t="str">
        <f>IF(AG137="","",IF(AC137="Disclosure",MAX(AH$104:AH136)+1,""))</f>
        <v/>
      </c>
      <c r="AI137" s="1173" t="str">
        <f t="shared" ref="AI137:AI168" si="144">IFERROR(INDEX($AG$105:$AG$198,MATCH(ROW()-ROW($AI$104),$AH$105:$AH$198,0)),"")</f>
        <v/>
      </c>
      <c r="AJ137" s="1174" t="str">
        <f>IF(AG137="","",IF(AC137="SubmissionRequired",MAX(AJ$104:AJ136)+1,""))</f>
        <v/>
      </c>
      <c r="AK137" s="1176" t="str">
        <f t="shared" ref="AK137:AK168" si="145">IFERROR(INDEX($AG$105:$AG$198,MATCH(ROW()-ROW($AK$104),$AJ$105:$AJ$198,0)),"")</f>
        <v/>
      </c>
      <c r="AL137" s="1177">
        <f>IF(AG137="","",IF(AC137="SubmissionRecommended",MAX(AL$104:AL136)+1,""))</f>
        <v>4</v>
      </c>
      <c r="AM137" s="1179" t="str">
        <f t="shared" ref="AM137:AM168" si="146">IFERROR(INDEX($AG$105:$AG$198,MATCH(ROW()-ROW($AM$104),$AL$105:$AL$198,0)),"")</f>
        <v/>
      </c>
      <c r="AN137" s="1318" t="str">
        <f>IF(AG137="","",IF(AC137="DocType",MAX(AN$104:AN136)+1,""))</f>
        <v/>
      </c>
      <c r="AO137" s="1320" t="str">
        <f t="shared" ref="AO137:AO168" si="147">IFERROR(INDEX($AG$105:$AG$198,MATCH(ROW()-ROW($AO$104),$AN$105:$AN$198,0)),"")</f>
        <v/>
      </c>
      <c r="AP137" s="514" t="s">
        <v>76</v>
      </c>
      <c r="AV137" s="1277" t="s">
        <v>486</v>
      </c>
      <c r="AW137" s="1244" t="s">
        <v>481</v>
      </c>
      <c r="AX137" s="1234" t="str">
        <f t="shared" si="140"/>
        <v>PN_008.6250000000</v>
      </c>
      <c r="AY137" s="1235">
        <f>[1]!PN_R10</f>
        <v>8.625</v>
      </c>
      <c r="AZ137" s="1236" t="e">
        <f>[1]!PN_ARM05_P10+Input_PL_Incentive_PN</f>
        <v>#N/A</v>
      </c>
      <c r="BA137" s="1236" t="e">
        <f>[1]!PN_FRM30_P10+Input_PL_Incentive_PN</f>
        <v>#N/A</v>
      </c>
      <c r="BB137" s="1234" t="e">
        <f t="shared" si="143"/>
        <v>#N/A</v>
      </c>
      <c r="BC137" s="1234" t="e">
        <f t="shared" si="141"/>
        <v>#N/A</v>
      </c>
      <c r="BD137" s="1234"/>
      <c r="BE137" s="1278" t="s">
        <v>1893</v>
      </c>
    </row>
    <row r="138" spans="13:57" ht="9.6" customHeight="1" x14ac:dyDescent="0.2">
      <c r="M138" s="1364" t="s">
        <v>516</v>
      </c>
      <c r="N138" s="1365" t="s">
        <v>181</v>
      </c>
      <c r="O138" s="515"/>
      <c r="Q138" s="515"/>
      <c r="R138" s="515"/>
      <c r="S138" s="515"/>
      <c r="T138" s="515"/>
      <c r="U138" s="515"/>
      <c r="V138" s="515"/>
      <c r="X138" s="1773" t="s">
        <v>3315</v>
      </c>
      <c r="Y138" s="1773" t="s">
        <v>166</v>
      </c>
      <c r="Z138" s="1774">
        <f>-Input_PL_IncentiveMaxAdj_LenderPaidComp+Input_PL_MaxPriceBase_YM_05PP+Input_PL_Incentive_XM+Input_PL_IncentiveMaxAdj_XM</f>
        <v>104</v>
      </c>
      <c r="AA138" s="1775" cm="1">
        <f t="array" ref="AA138">[1]!Input_MaxPriceNet_YM_05PP</f>
        <v>104</v>
      </c>
      <c r="AC138" s="894" t="s">
        <v>2053</v>
      </c>
      <c r="AD138" s="894" t="s">
        <v>3886</v>
      </c>
      <c r="AE138" s="894" t="s">
        <v>1622</v>
      </c>
      <c r="AF138" s="895" t="s">
        <v>2064</v>
      </c>
      <c r="AG138" s="1192" t="str">
        <f>AF138</f>
        <v>Escrow Instructions (If business entity, provide formation articles/agreement, tax ID #, cert of good standing)</v>
      </c>
      <c r="AH138" s="1172" t="str">
        <f>IF(AG138="","",IF(AC138="Disclosure",MAX(AH$104:AH137)+1,""))</f>
        <v/>
      </c>
      <c r="AI138" s="1173" t="str">
        <f t="shared" si="144"/>
        <v/>
      </c>
      <c r="AJ138" s="1174" t="str">
        <f>IF(AG138="","",IF(AC138="SubmissionRequired",MAX(AJ$104:AJ137)+1,""))</f>
        <v/>
      </c>
      <c r="AK138" s="1176" t="str">
        <f t="shared" si="145"/>
        <v/>
      </c>
      <c r="AL138" s="1177">
        <f>IF(AG138="","",IF(AC138="SubmissionRecommended",MAX(AL$104:AL137)+1,""))</f>
        <v>5</v>
      </c>
      <c r="AM138" s="1179" t="str">
        <f t="shared" si="146"/>
        <v/>
      </c>
      <c r="AN138" s="1318" t="str">
        <f>IF(AG138="","",IF(AC138="DocType",MAX(AN$104:AN137)+1,""))</f>
        <v/>
      </c>
      <c r="AO138" s="1320" t="str">
        <f t="shared" si="147"/>
        <v/>
      </c>
      <c r="AP138" s="514" t="s">
        <v>76</v>
      </c>
      <c r="AV138" s="1277" t="s">
        <v>486</v>
      </c>
      <c r="AW138" s="1244" t="s">
        <v>481</v>
      </c>
      <c r="AX138" s="1234" t="str">
        <f t="shared" si="140"/>
        <v>PN_008.5000000000</v>
      </c>
      <c r="AY138" s="1235">
        <f>[1]!PN_R11</f>
        <v>8.5</v>
      </c>
      <c r="AZ138" s="1236" t="e">
        <f>[1]!PN_ARM05_P11+Input_PL_Incentive_PN</f>
        <v>#N/A</v>
      </c>
      <c r="BA138" s="1236" t="e">
        <f>[1]!PN_FRM30_P11+Input_PL_Incentive_PN</f>
        <v>#N/A</v>
      </c>
      <c r="BB138" s="1234" t="e">
        <f t="shared" si="143"/>
        <v>#N/A</v>
      </c>
      <c r="BC138" s="1234" t="e">
        <f t="shared" si="141"/>
        <v>#N/A</v>
      </c>
      <c r="BD138" s="1234"/>
      <c r="BE138" s="1278" t="s">
        <v>1894</v>
      </c>
    </row>
    <row r="139" spans="13:57" ht="9.6" customHeight="1" x14ac:dyDescent="0.2">
      <c r="M139" s="1366" t="s">
        <v>517</v>
      </c>
      <c r="N139" s="1367" t="s">
        <v>181</v>
      </c>
      <c r="O139" s="515"/>
      <c r="Q139" s="515"/>
      <c r="R139" s="515"/>
      <c r="S139" s="515"/>
      <c r="T139" s="515"/>
      <c r="U139" s="515"/>
      <c r="V139" s="515"/>
      <c r="X139" s="1776" t="s">
        <v>3062</v>
      </c>
      <c r="Y139" s="1776" t="s">
        <v>82</v>
      </c>
      <c r="Z139" s="1777">
        <f>-Input_PL_IncentiveMaxAdj_LenderPaidComp+Input_PL_MaxPriceBase_YN_NoPP+Input_PL_Incentive_XN+Input_PL_IncentiveMaxAdj_XN</f>
        <v>100.75</v>
      </c>
      <c r="AA139" s="1778" cm="1">
        <f t="array" ref="AA139">[1]!Input_MaxPriceNet_YN_NoPP</f>
        <v>100.75</v>
      </c>
      <c r="AC139" s="894" t="s">
        <v>2053</v>
      </c>
      <c r="AD139" s="894" t="s">
        <v>3886</v>
      </c>
      <c r="AE139" s="894" t="s">
        <v>1622</v>
      </c>
      <c r="AF139" s="895" t="s">
        <v>2077</v>
      </c>
      <c r="AG139" s="1192" t="str">
        <f>AF139</f>
        <v>Payoff Demand(s) w/in 30 days</v>
      </c>
      <c r="AH139" s="1172" t="str">
        <f>IF(AG139="","",IF(AC139="Disclosure",MAX(AH$104:AH138)+1,""))</f>
        <v/>
      </c>
      <c r="AI139" s="1173" t="str">
        <f t="shared" si="144"/>
        <v/>
      </c>
      <c r="AJ139" s="1174" t="str">
        <f>IF(AG139="","",IF(AC139="SubmissionRequired",MAX(AJ$104:AJ138)+1,""))</f>
        <v/>
      </c>
      <c r="AK139" s="1176" t="str">
        <f t="shared" si="145"/>
        <v/>
      </c>
      <c r="AL139" s="1177">
        <f>IF(AG139="","",IF(AC139="SubmissionRecommended",MAX(AL$104:AL138)+1,""))</f>
        <v>6</v>
      </c>
      <c r="AM139" s="1179" t="str">
        <f t="shared" si="146"/>
        <v/>
      </c>
      <c r="AN139" s="1318" t="str">
        <f>IF(AG139="","",IF(AC139="DocType",MAX(AN$104:AN138)+1,""))</f>
        <v/>
      </c>
      <c r="AO139" s="1320" t="str">
        <f t="shared" si="147"/>
        <v/>
      </c>
      <c r="AP139" s="514" t="s">
        <v>76</v>
      </c>
      <c r="AV139" s="1277" t="s">
        <v>486</v>
      </c>
      <c r="AW139" s="1244" t="s">
        <v>481</v>
      </c>
      <c r="AX139" s="1234" t="str">
        <f t="shared" si="140"/>
        <v>PN_008.3750000000</v>
      </c>
      <c r="AY139" s="1235">
        <f>[1]!PN_R12</f>
        <v>8.375</v>
      </c>
      <c r="AZ139" s="1236" t="e">
        <f>[1]!PN_ARM05_P12+Input_PL_Incentive_PN</f>
        <v>#N/A</v>
      </c>
      <c r="BA139" s="1236" t="e">
        <f>[1]!PN_FRM30_P12+Input_PL_Incentive_PN</f>
        <v>#N/A</v>
      </c>
      <c r="BB139" s="1234" t="e">
        <f t="shared" si="143"/>
        <v>#N/A</v>
      </c>
      <c r="BC139" s="1234" t="e">
        <f t="shared" si="141"/>
        <v>#N/A</v>
      </c>
      <c r="BD139" s="1234"/>
      <c r="BE139" s="1278" t="s">
        <v>1895</v>
      </c>
    </row>
    <row r="140" spans="13:57" ht="9.6" customHeight="1" x14ac:dyDescent="0.2">
      <c r="M140" s="1368" t="s">
        <v>518</v>
      </c>
      <c r="N140" s="1369" t="s">
        <v>181</v>
      </c>
      <c r="O140" s="515"/>
      <c r="Q140" s="515"/>
      <c r="R140" s="515"/>
      <c r="S140" s="515"/>
      <c r="T140" s="515"/>
      <c r="U140" s="515"/>
      <c r="V140" s="515"/>
      <c r="X140" s="1779" t="s">
        <v>3316</v>
      </c>
      <c r="Y140" s="1779" t="s">
        <v>68</v>
      </c>
      <c r="Z140" s="1780">
        <f>-Input_PL_IncentiveMaxAdj_LenderPaidComp+Input_PL_MaxPriceBase_YN_01PP+Input_PL_Incentive_XN+Input_PL_IncentiveMaxAdj_XN</f>
        <v>102.25</v>
      </c>
      <c r="AA140" s="1781" cm="1">
        <f t="array" ref="AA140">[1]!Input_MaxPriceNet_YN_01PP</f>
        <v>102.25</v>
      </c>
      <c r="AC140" s="894" t="s">
        <v>2053</v>
      </c>
      <c r="AD140" s="894" t="s">
        <v>3886</v>
      </c>
      <c r="AE140" s="894" t="s">
        <v>1622</v>
      </c>
      <c r="AF140" s="895" t="s">
        <v>2104</v>
      </c>
      <c r="AG140" s="1192" t="str">
        <f>AF140</f>
        <v>CPL (With Brokers Advantage Listed as Mortgagee)</v>
      </c>
      <c r="AH140" s="1172" t="str">
        <f>IF(AG140="","",IF(AC140="Disclosure",MAX(AH$104:AH139)+1,""))</f>
        <v/>
      </c>
      <c r="AI140" s="1173" t="str">
        <f t="shared" si="144"/>
        <v/>
      </c>
      <c r="AJ140" s="1174" t="str">
        <f>IF(AG140="","",IF(AC140="SubmissionRequired",MAX(AJ$104:AJ139)+1,""))</f>
        <v/>
      </c>
      <c r="AK140" s="1176" t="str">
        <f t="shared" si="145"/>
        <v/>
      </c>
      <c r="AL140" s="1177">
        <f>IF(AG140="","",IF(AC140="SubmissionRecommended",MAX(AL$104:AL139)+1,""))</f>
        <v>7</v>
      </c>
      <c r="AM140" s="1179" t="str">
        <f t="shared" si="146"/>
        <v/>
      </c>
      <c r="AN140" s="1318" t="str">
        <f>IF(AG140="","",IF(AC140="DocType",MAX(AN$104:AN139)+1,""))</f>
        <v/>
      </c>
      <c r="AO140" s="1320" t="str">
        <f t="shared" si="147"/>
        <v/>
      </c>
      <c r="AP140" s="514" t="s">
        <v>76</v>
      </c>
      <c r="AV140" s="1277" t="s">
        <v>486</v>
      </c>
      <c r="AW140" s="1244" t="s">
        <v>481</v>
      </c>
      <c r="AX140" s="1234" t="str">
        <f t="shared" si="140"/>
        <v>PN_008.2500000000</v>
      </c>
      <c r="AY140" s="1235">
        <f>[1]!PN_R13</f>
        <v>8.25</v>
      </c>
      <c r="AZ140" s="1236" t="e">
        <f>[1]!PN_ARM05_P13+Input_PL_Incentive_PN</f>
        <v>#N/A</v>
      </c>
      <c r="BA140" s="1236" t="e">
        <f>[1]!PN_FRM30_P13+Input_PL_Incentive_PN</f>
        <v>#N/A</v>
      </c>
      <c r="BB140" s="1234" t="e">
        <f t="shared" si="143"/>
        <v>#N/A</v>
      </c>
      <c r="BC140" s="1234" t="e">
        <f t="shared" si="141"/>
        <v>#N/A</v>
      </c>
      <c r="BD140" s="1234"/>
      <c r="BE140" s="1278" t="s">
        <v>1896</v>
      </c>
    </row>
    <row r="141" spans="13:57" ht="9.6" customHeight="1" x14ac:dyDescent="0.2">
      <c r="M141" s="1370" t="s">
        <v>519</v>
      </c>
      <c r="N141" s="1367" t="s">
        <v>181</v>
      </c>
      <c r="O141" s="515"/>
      <c r="Q141" s="515"/>
      <c r="R141" s="515"/>
      <c r="S141" s="515"/>
      <c r="T141" s="515"/>
      <c r="U141" s="515"/>
      <c r="V141" s="515"/>
      <c r="X141" s="1782" t="s">
        <v>3317</v>
      </c>
      <c r="Y141" s="1782" t="s">
        <v>67</v>
      </c>
      <c r="Z141" s="1783">
        <f>-Input_PL_IncentiveMaxAdj_LenderPaidComp+Input_PL_MaxPriceBase_YN_02PP+Input_PL_Incentive_XN+Input_PL_IncentiveMaxAdj_XN</f>
        <v>102.75</v>
      </c>
      <c r="AA141" s="1784" cm="1">
        <f t="array" ref="AA141">[1]!Input_MaxPriceNet_YN_02PP</f>
        <v>102.75</v>
      </c>
      <c r="AC141" s="894" t="s">
        <v>2053</v>
      </c>
      <c r="AD141" s="894" t="s">
        <v>3886</v>
      </c>
      <c r="AE141" s="894" t="s">
        <v>1622</v>
      </c>
      <c r="AF141" s="895" t="s">
        <v>2061</v>
      </c>
      <c r="AG141" s="1187" t="str">
        <f>IF(Input_LoanAmt&gt;2000000,Structure!AF154,"")</f>
        <v/>
      </c>
      <c r="AH141" s="1172" t="str">
        <f>IF(AG141="","",IF(AC141="Disclosure",MAX(AH$104:AH140)+1,""))</f>
        <v/>
      </c>
      <c r="AI141" s="1173" t="str">
        <f t="shared" si="144"/>
        <v/>
      </c>
      <c r="AJ141" s="1174" t="str">
        <f>IF(AG141="","",IF(AC141="SubmissionRequired",MAX(AJ$104:AJ140)+1,""))</f>
        <v/>
      </c>
      <c r="AK141" s="1176" t="str">
        <f t="shared" si="145"/>
        <v/>
      </c>
      <c r="AL141" s="1177" t="str">
        <f>IF(AG141="","",IF(AC141="SubmissionRecommended",MAX(AL$104:AL140)+1,""))</f>
        <v/>
      </c>
      <c r="AM141" s="1179" t="str">
        <f t="shared" si="146"/>
        <v/>
      </c>
      <c r="AN141" s="1318" t="str">
        <f>IF(AG141="","",IF(AC141="DocType",MAX(AN$104:AN140)+1,""))</f>
        <v/>
      </c>
      <c r="AO141" s="1320" t="str">
        <f t="shared" si="147"/>
        <v/>
      </c>
      <c r="AP141" s="514" t="s">
        <v>76</v>
      </c>
      <c r="AV141" s="1277" t="s">
        <v>486</v>
      </c>
      <c r="AW141" s="1244" t="s">
        <v>481</v>
      </c>
      <c r="AX141" s="1234" t="str">
        <f t="shared" si="140"/>
        <v>PN_008.1250000000</v>
      </c>
      <c r="AY141" s="1235">
        <f>[1]!PN_R14</f>
        <v>8.125</v>
      </c>
      <c r="AZ141" s="1236" t="e">
        <f>[1]!PN_ARM05_P14+Input_PL_Incentive_PN</f>
        <v>#N/A</v>
      </c>
      <c r="BA141" s="1236" t="e">
        <f>[1]!PN_FRM30_P14+Input_PL_Incentive_PN</f>
        <v>#N/A</v>
      </c>
      <c r="BB141" s="1234" t="e">
        <f t="shared" si="143"/>
        <v>#N/A</v>
      </c>
      <c r="BC141" s="1234" t="e">
        <f t="shared" si="141"/>
        <v>#N/A</v>
      </c>
      <c r="BD141" s="1234"/>
      <c r="BE141" s="1278" t="s">
        <v>1897</v>
      </c>
    </row>
    <row r="142" spans="13:57" ht="9.6" customHeight="1" x14ac:dyDescent="0.2">
      <c r="M142" s="1371" t="s">
        <v>520</v>
      </c>
      <c r="N142" s="1372" t="s">
        <v>181</v>
      </c>
      <c r="O142" s="515"/>
      <c r="Q142" s="515"/>
      <c r="R142" s="515"/>
      <c r="S142" s="515"/>
      <c r="T142" s="515"/>
      <c r="U142" s="515"/>
      <c r="V142" s="515"/>
      <c r="X142" s="1782" t="s">
        <v>3318</v>
      </c>
      <c r="Y142" s="1782" t="s">
        <v>66</v>
      </c>
      <c r="Z142" s="1783">
        <f>-Input_PL_IncentiveMaxAdj_LenderPaidComp+Input_PL_MaxPriceBase_YN_03PP+Input_PL_Incentive_XN+Input_PL_IncentiveMaxAdj_XN</f>
        <v>103.25</v>
      </c>
      <c r="AA142" s="1784" cm="1">
        <f t="array" ref="AA142">[1]!Input_MaxPriceNet_YN_03PP</f>
        <v>103.25</v>
      </c>
      <c r="AC142" s="1182" t="s">
        <v>2053</v>
      </c>
      <c r="AD142" s="1182" t="s">
        <v>3886</v>
      </c>
      <c r="AE142" s="1182" t="s">
        <v>1622</v>
      </c>
      <c r="AF142" s="1185" t="s">
        <v>2071</v>
      </c>
      <c r="AG142" s="1191" t="str">
        <f>AF142</f>
        <v>Letters of Explanation (Address Inquiries &lt; 90 days, Derog/Disputed Credit &lt; 2yrs, Name, SSN, Address Variations)</v>
      </c>
      <c r="AH142" s="1172" t="str">
        <f>IF(AG142="","",IF(AC142="Disclosure",MAX(AH$104:AH141)+1,""))</f>
        <v/>
      </c>
      <c r="AI142" s="1173" t="str">
        <f t="shared" si="144"/>
        <v/>
      </c>
      <c r="AJ142" s="1174" t="str">
        <f>IF(AG142="","",IF(AC142="SubmissionRequired",MAX(AJ$104:AJ141)+1,""))</f>
        <v/>
      </c>
      <c r="AK142" s="1176" t="str">
        <f t="shared" si="145"/>
        <v/>
      </c>
      <c r="AL142" s="1177">
        <f>IF(AG142="","",IF(AC142="SubmissionRecommended",MAX(AL$104:AL141)+1,""))</f>
        <v>8</v>
      </c>
      <c r="AM142" s="1179" t="str">
        <f t="shared" si="146"/>
        <v/>
      </c>
      <c r="AN142" s="1318" t="str">
        <f>IF(AG142="","",IF(AC142="DocType",MAX(AN$104:AN141)+1,""))</f>
        <v/>
      </c>
      <c r="AO142" s="1320" t="str">
        <f t="shared" si="147"/>
        <v/>
      </c>
      <c r="AP142" s="514" t="s">
        <v>76</v>
      </c>
      <c r="AV142" s="1277" t="s">
        <v>486</v>
      </c>
      <c r="AW142" s="1244" t="s">
        <v>481</v>
      </c>
      <c r="AX142" s="1234" t="str">
        <f t="shared" si="140"/>
        <v>PN_008.0000000000</v>
      </c>
      <c r="AY142" s="1235">
        <f>[1]!PN_R15</f>
        <v>8</v>
      </c>
      <c r="AZ142" s="1236" t="e">
        <f>[1]!PN_ARM05_P15+Input_PL_Incentive_PN</f>
        <v>#N/A</v>
      </c>
      <c r="BA142" s="1236" t="e">
        <f>[1]!PN_FRM30_P15+Input_PL_Incentive_PN</f>
        <v>#N/A</v>
      </c>
      <c r="BB142" s="1234" t="e">
        <f t="shared" si="143"/>
        <v>#N/A</v>
      </c>
      <c r="BC142" s="1234" t="e">
        <f t="shared" si="141"/>
        <v>#N/A</v>
      </c>
      <c r="BD142" s="1234"/>
      <c r="BE142" s="1278" t="s">
        <v>1898</v>
      </c>
    </row>
    <row r="143" spans="13:57" ht="9.6" customHeight="1" x14ac:dyDescent="0.2">
      <c r="M143" s="1370" t="s">
        <v>521</v>
      </c>
      <c r="N143" s="1367" t="s">
        <v>181</v>
      </c>
      <c r="O143" s="515"/>
      <c r="Q143" s="515"/>
      <c r="R143" s="515"/>
      <c r="S143" s="515"/>
      <c r="T143" s="515"/>
      <c r="U143" s="515"/>
      <c r="V143" s="515"/>
      <c r="X143" s="1782" t="s">
        <v>3319</v>
      </c>
      <c r="Y143" s="1782" t="s">
        <v>165</v>
      </c>
      <c r="Z143" s="1783">
        <f>-Input_PL_IncentiveMaxAdj_LenderPaidComp+Input_PL_MaxPriceBase_YN_04PP+Input_PL_Incentive_XN+Input_PL_IncentiveMaxAdj_XN</f>
        <v>103.5</v>
      </c>
      <c r="AA143" s="1784" cm="1">
        <f t="array" ref="AA143">[1]!Input_MaxPriceNet_YN_04PP</f>
        <v>103.5</v>
      </c>
      <c r="AC143" s="1182" t="s">
        <v>2053</v>
      </c>
      <c r="AD143" s="1182" t="s">
        <v>3886</v>
      </c>
      <c r="AE143" s="1182" t="s">
        <v>1622</v>
      </c>
      <c r="AF143" s="1185" t="s">
        <v>2072</v>
      </c>
      <c r="AG143" s="1191" t="str">
        <f>AF143</f>
        <v>Letters of Explanation (Address Non-Arm's Length Relationships (Builder, Developer, Seller, LO, RE Agent, etc.))</v>
      </c>
      <c r="AH143" s="1172" t="str">
        <f>IF(AG143="","",IF(AC143="Disclosure",MAX(AH$104:AH142)+1,""))</f>
        <v/>
      </c>
      <c r="AI143" s="1173" t="str">
        <f t="shared" si="144"/>
        <v/>
      </c>
      <c r="AJ143" s="1174" t="str">
        <f>IF(AG143="","",IF(AC143="SubmissionRequired",MAX(AJ$104:AJ142)+1,""))</f>
        <v/>
      </c>
      <c r="AK143" s="1176" t="str">
        <f t="shared" si="145"/>
        <v/>
      </c>
      <c r="AL143" s="1177">
        <f>IF(AG143="","",IF(AC143="SubmissionRecommended",MAX(AL$104:AL142)+1,""))</f>
        <v>9</v>
      </c>
      <c r="AM143" s="1179" t="str">
        <f t="shared" si="146"/>
        <v/>
      </c>
      <c r="AN143" s="1318" t="str">
        <f>IF(AG143="","",IF(AC143="DocType",MAX(AN$104:AN142)+1,""))</f>
        <v/>
      </c>
      <c r="AO143" s="1320" t="str">
        <f t="shared" si="147"/>
        <v/>
      </c>
      <c r="AP143" s="514" t="s">
        <v>76</v>
      </c>
      <c r="AV143" s="1277" t="s">
        <v>486</v>
      </c>
      <c r="AW143" s="1244" t="s">
        <v>481</v>
      </c>
      <c r="AX143" s="1234" t="str">
        <f t="shared" si="140"/>
        <v>PN_007.8750000000</v>
      </c>
      <c r="AY143" s="1235">
        <f>[1]!PN_R16</f>
        <v>7.875</v>
      </c>
      <c r="AZ143" s="1236" t="e">
        <f>[1]!PN_ARM05_P16+Input_PL_Incentive_PN</f>
        <v>#N/A</v>
      </c>
      <c r="BA143" s="1236" t="e">
        <f>[1]!PN_FRM30_P16+Input_PL_Incentive_PN</f>
        <v>#N/A</v>
      </c>
      <c r="BB143" s="1234" t="e">
        <f t="shared" si="143"/>
        <v>#N/A</v>
      </c>
      <c r="BC143" s="1234" t="e">
        <f t="shared" si="141"/>
        <v>#N/A</v>
      </c>
      <c r="BD143" s="1234"/>
      <c r="BE143" s="1278" t="s">
        <v>1899</v>
      </c>
    </row>
    <row r="144" spans="13:57" ht="9.6" customHeight="1" x14ac:dyDescent="0.2">
      <c r="M144" s="1371" t="s">
        <v>522</v>
      </c>
      <c r="N144" s="1372" t="s">
        <v>181</v>
      </c>
      <c r="O144" s="515"/>
      <c r="Q144" s="515"/>
      <c r="R144" s="515"/>
      <c r="S144" s="515"/>
      <c r="T144" s="515"/>
      <c r="U144" s="515"/>
      <c r="V144" s="515"/>
      <c r="X144" s="1785" t="s">
        <v>3320</v>
      </c>
      <c r="Y144" s="1785" t="s">
        <v>166</v>
      </c>
      <c r="Z144" s="1786">
        <f>-Input_PL_IncentiveMaxAdj_LenderPaidComp+Input_PL_MaxPriceBase_YN_05PP+Input_PL_Incentive_XN+Input_PL_IncentiveMaxAdj_XN</f>
        <v>104</v>
      </c>
      <c r="AA144" s="1787" cm="1">
        <f t="array" ref="AA144">[1]!Input_MaxPriceNet_YN_05PP</f>
        <v>104</v>
      </c>
      <c r="AC144" s="1182" t="s">
        <v>2053</v>
      </c>
      <c r="AD144" s="1182" t="s">
        <v>3886</v>
      </c>
      <c r="AE144" s="1182" t="s">
        <v>1622</v>
      </c>
      <c r="AF144" s="1185" t="s">
        <v>2089</v>
      </c>
      <c r="AG144" s="1195" t="str">
        <f>IF(AND(Input_Purpose="Cash-Out",Input_DocType="09-DSCR"),Structure!AF147,"")</f>
        <v/>
      </c>
      <c r="AH144" s="1172" t="str">
        <f>IF(AG144="","",IF(AC144="Disclosure",MAX(AH$104:AH143)+1,""))</f>
        <v/>
      </c>
      <c r="AI144" s="1173" t="str">
        <f t="shared" si="144"/>
        <v/>
      </c>
      <c r="AJ144" s="1174" t="str">
        <f>IF(AG144="","",IF(AC144="SubmissionRequired",MAX(AJ$104:AJ143)+1,""))</f>
        <v/>
      </c>
      <c r="AK144" s="1176" t="str">
        <f t="shared" si="145"/>
        <v/>
      </c>
      <c r="AL144" s="1177" t="str">
        <f>IF(AG144="","",IF(AC144="SubmissionRecommended",MAX(AL$104:AL143)+1,""))</f>
        <v/>
      </c>
      <c r="AM144" s="1179" t="str">
        <f t="shared" si="146"/>
        <v/>
      </c>
      <c r="AN144" s="1318" t="str">
        <f>IF(AG144="","",IF(AC144="DocType",MAX(AN$104:AN143)+1,""))</f>
        <v/>
      </c>
      <c r="AO144" s="1320" t="str">
        <f t="shared" si="147"/>
        <v/>
      </c>
      <c r="AP144" s="514" t="s">
        <v>76</v>
      </c>
      <c r="AV144" s="1277" t="s">
        <v>486</v>
      </c>
      <c r="AW144" s="1244" t="s">
        <v>481</v>
      </c>
      <c r="AX144" s="1234" t="str">
        <f t="shared" si="140"/>
        <v>PN_007.7500000000</v>
      </c>
      <c r="AY144" s="1235">
        <f>[1]!PN_R17</f>
        <v>7.75</v>
      </c>
      <c r="AZ144" s="1236" t="e">
        <f>[1]!PN_ARM05_P17+Input_PL_Incentive_PN</f>
        <v>#N/A</v>
      </c>
      <c r="BA144" s="1236" t="e">
        <f>[1]!PN_FRM30_P17+Input_PL_Incentive_PN</f>
        <v>#N/A</v>
      </c>
      <c r="BB144" s="1234" t="e">
        <f t="shared" si="143"/>
        <v>#N/A</v>
      </c>
      <c r="BC144" s="1234" t="e">
        <f t="shared" si="141"/>
        <v>#N/A</v>
      </c>
      <c r="BD144" s="1234"/>
      <c r="BE144" s="1278" t="s">
        <v>1900</v>
      </c>
    </row>
    <row r="145" spans="13:57" ht="9.6" customHeight="1" x14ac:dyDescent="0.2">
      <c r="M145" s="1370" t="s">
        <v>523</v>
      </c>
      <c r="N145" s="1367" t="s">
        <v>181</v>
      </c>
      <c r="O145" s="515"/>
      <c r="P145" s="515"/>
      <c r="Q145" s="515"/>
      <c r="R145" s="515"/>
      <c r="S145" s="515"/>
      <c r="T145" s="515"/>
      <c r="U145" s="515"/>
      <c r="V145" s="515"/>
      <c r="X145" s="1782" t="s">
        <v>3321</v>
      </c>
      <c r="Y145" s="1782" t="s">
        <v>68</v>
      </c>
      <c r="Z145" s="1783">
        <f>-Input_PL_IncentiveMaxAdj_LenderPaidComp+Input_PL_MaxPriceBase_YN_01PP+Input_PL_Incentive_XN+Input_PL_IncentiveMaxAdj_XN</f>
        <v>102.25</v>
      </c>
      <c r="AA145" s="1784" cm="1">
        <f t="array" ref="AA145">[1]!Input_MaxPriceNet_YN_01PP</f>
        <v>102.25</v>
      </c>
      <c r="AC145" s="1182" t="s">
        <v>2053</v>
      </c>
      <c r="AD145" s="1182" t="s">
        <v>3886</v>
      </c>
      <c r="AE145" s="1182" t="s">
        <v>1622</v>
      </c>
      <c r="AF145" s="1185" t="s">
        <v>2097</v>
      </c>
      <c r="AG145" s="1191" t="str">
        <f>AF145</f>
        <v>Divorce Decree / Separation Agmt [if applicable] (All Pages, incl. Attachments. Signed by All Parties)</v>
      </c>
      <c r="AH145" s="1172" t="str">
        <f>IF(AG145="","",IF(AC145="Disclosure",MAX(AH$104:AH144)+1,""))</f>
        <v/>
      </c>
      <c r="AI145" s="1173" t="str">
        <f t="shared" si="144"/>
        <v/>
      </c>
      <c r="AJ145" s="1174" t="str">
        <f>IF(AG145="","",IF(AC145="SubmissionRequired",MAX(AJ$104:AJ144)+1,""))</f>
        <v/>
      </c>
      <c r="AK145" s="1176" t="str">
        <f t="shared" si="145"/>
        <v/>
      </c>
      <c r="AL145" s="1177">
        <f>IF(AG145="","",IF(AC145="SubmissionRecommended",MAX(AL$104:AL144)+1,""))</f>
        <v>10</v>
      </c>
      <c r="AM145" s="1179" t="str">
        <f t="shared" si="146"/>
        <v/>
      </c>
      <c r="AN145" s="1318" t="str">
        <f>IF(AG145="","",IF(AC145="DocType",MAX(AN$104:AN144)+1,""))</f>
        <v/>
      </c>
      <c r="AO145" s="1320" t="str">
        <f t="shared" si="147"/>
        <v/>
      </c>
      <c r="AP145" s="514" t="s">
        <v>76</v>
      </c>
      <c r="AV145" s="1277" t="s">
        <v>486</v>
      </c>
      <c r="AW145" s="1244" t="s">
        <v>481</v>
      </c>
      <c r="AX145" s="1234" t="str">
        <f t="shared" si="140"/>
        <v>PN_007.6250000000</v>
      </c>
      <c r="AY145" s="1235">
        <f>[1]!PN_R18</f>
        <v>7.625</v>
      </c>
      <c r="AZ145" s="1236" t="e">
        <f>[1]!PN_ARM05_P18+Input_PL_Incentive_PN</f>
        <v>#N/A</v>
      </c>
      <c r="BA145" s="1236" t="e">
        <f>[1]!PN_FRM30_P18+Input_PL_Incentive_PN</f>
        <v>#N/A</v>
      </c>
      <c r="BB145" s="1234" t="e">
        <f t="shared" si="143"/>
        <v>#N/A</v>
      </c>
      <c r="BC145" s="1234" t="e">
        <f t="shared" si="141"/>
        <v>#N/A</v>
      </c>
      <c r="BD145" s="1234"/>
      <c r="BE145" s="1278" t="s">
        <v>1901</v>
      </c>
    </row>
    <row r="146" spans="13:57" ht="9.6" customHeight="1" x14ac:dyDescent="0.2">
      <c r="M146" s="1373" t="s">
        <v>524</v>
      </c>
      <c r="N146" s="1374" t="s">
        <v>181</v>
      </c>
      <c r="O146" s="515"/>
      <c r="P146" s="515"/>
      <c r="Q146" s="515"/>
      <c r="R146" s="515"/>
      <c r="S146" s="515"/>
      <c r="T146" s="515"/>
      <c r="U146" s="515"/>
      <c r="V146" s="515"/>
      <c r="X146" s="1782" t="s">
        <v>3322</v>
      </c>
      <c r="Y146" s="1782" t="s">
        <v>67</v>
      </c>
      <c r="Z146" s="1783">
        <f>-Input_PL_IncentiveMaxAdj_LenderPaidComp+Input_PL_MaxPriceBase_YN_02PP+Input_PL_Incentive_XN+Input_PL_IncentiveMaxAdj_XN</f>
        <v>102.75</v>
      </c>
      <c r="AA146" s="1784" cm="1">
        <f t="array" ref="AA146">[1]!Input_MaxPriceNet_YN_02PP</f>
        <v>102.75</v>
      </c>
      <c r="AC146" s="1182" t="s">
        <v>2053</v>
      </c>
      <c r="AD146" s="1182" t="s">
        <v>3886</v>
      </c>
      <c r="AE146" s="1182" t="s">
        <v>1622</v>
      </c>
      <c r="AF146" s="1185" t="s">
        <v>2074</v>
      </c>
      <c r="AG146" s="1195" t="str">
        <f>IF(Input_DocType&lt;&gt;"09-DSCR",Structure!AF137,"")</f>
        <v>Preliminary Title Report / Title Commitment (24mo chain of title, ALTA supp for property address, plat map / survey)</v>
      </c>
      <c r="AH146" s="1172" t="str">
        <f>IF(AG146="","",IF(AC146="Disclosure",MAX(AH$104:AH145)+1,""))</f>
        <v/>
      </c>
      <c r="AI146" s="1173" t="str">
        <f t="shared" si="144"/>
        <v/>
      </c>
      <c r="AJ146" s="1174" t="str">
        <f>IF(AG146="","",IF(AC146="SubmissionRequired",MAX(AJ$104:AJ145)+1,""))</f>
        <v/>
      </c>
      <c r="AK146" s="1176" t="str">
        <f t="shared" si="145"/>
        <v/>
      </c>
      <c r="AL146" s="1177">
        <f>IF(AG146="","",IF(AC146="SubmissionRecommended",MAX(AL$104:AL145)+1,""))</f>
        <v>11</v>
      </c>
      <c r="AM146" s="1179" t="str">
        <f t="shared" si="146"/>
        <v/>
      </c>
      <c r="AN146" s="1318" t="str">
        <f>IF(AG146="","",IF(AC146="DocType",MAX(AN$104:AN145)+1,""))</f>
        <v/>
      </c>
      <c r="AO146" s="1320" t="str">
        <f t="shared" si="147"/>
        <v/>
      </c>
      <c r="AP146" s="514" t="s">
        <v>76</v>
      </c>
      <c r="AV146" s="1277" t="s">
        <v>486</v>
      </c>
      <c r="AW146" s="1244" t="s">
        <v>481</v>
      </c>
      <c r="AX146" s="1234" t="str">
        <f t="shared" si="140"/>
        <v>PN_007.5000000000</v>
      </c>
      <c r="AY146" s="1235">
        <f>[1]!PN_R19</f>
        <v>7.5</v>
      </c>
      <c r="AZ146" s="1236" t="e">
        <f>[1]!PN_ARM05_P19+Input_PL_Incentive_PN</f>
        <v>#N/A</v>
      </c>
      <c r="BA146" s="1236" t="e">
        <f>[1]!PN_FRM30_P19+Input_PL_Incentive_PN</f>
        <v>#N/A</v>
      </c>
      <c r="BB146" s="1234" t="e">
        <f t="shared" si="143"/>
        <v>#N/A</v>
      </c>
      <c r="BC146" s="1234" t="e">
        <f t="shared" si="141"/>
        <v>#N/A</v>
      </c>
      <c r="BD146" s="1234"/>
      <c r="BE146" s="1278" t="s">
        <v>1902</v>
      </c>
    </row>
    <row r="147" spans="13:57" ht="9.6" customHeight="1" x14ac:dyDescent="0.2">
      <c r="M147" s="1595" t="s">
        <v>2920</v>
      </c>
      <c r="N147" s="1595" t="s">
        <v>3016</v>
      </c>
      <c r="O147" s="1595" t="s">
        <v>2921</v>
      </c>
      <c r="P147" s="515"/>
      <c r="Q147" s="515"/>
      <c r="R147" s="515"/>
      <c r="S147" s="515"/>
      <c r="T147" s="515"/>
      <c r="U147" s="515"/>
      <c r="V147" s="515"/>
      <c r="X147" s="1782" t="s">
        <v>3323</v>
      </c>
      <c r="Y147" s="1782" t="s">
        <v>66</v>
      </c>
      <c r="Z147" s="1783">
        <f>-Input_PL_IncentiveMaxAdj_LenderPaidComp+Input_PL_MaxPriceBase_YN_03PP+Input_PL_Incentive_XN+Input_PL_IncentiveMaxAdj_XN</f>
        <v>103.25</v>
      </c>
      <c r="AA147" s="1784" cm="1">
        <f t="array" ref="AA147">[1]!Input_MaxPriceNet_YN_03PP</f>
        <v>103.25</v>
      </c>
      <c r="AC147" s="1182" t="s">
        <v>2053</v>
      </c>
      <c r="AD147" s="1182" t="s">
        <v>3886</v>
      </c>
      <c r="AE147" s="1182" t="s">
        <v>1622</v>
      </c>
      <c r="AF147" s="1185" t="s">
        <v>2043</v>
      </c>
      <c r="AG147" s="1193" t="str">
        <f>IF(Input_DocType&lt;&gt;"09-DSCR",Structure!AF138,"")</f>
        <v>Escrow Instructions (If business entity, provide formation articles/agreement, tax ID #, cert of good standing)</v>
      </c>
      <c r="AH147" s="1172" t="str">
        <f>IF(AG147="","",IF(AC147="Disclosure",MAX(AH$104:AH146)+1,""))</f>
        <v/>
      </c>
      <c r="AI147" s="1173" t="str">
        <f t="shared" si="144"/>
        <v/>
      </c>
      <c r="AJ147" s="1174" t="str">
        <f>IF(AG147="","",IF(AC147="SubmissionRequired",MAX(AJ$104:AJ146)+1,""))</f>
        <v/>
      </c>
      <c r="AK147" s="1176" t="str">
        <f t="shared" si="145"/>
        <v/>
      </c>
      <c r="AL147" s="1177">
        <f>IF(AG147="","",IF(AC147="SubmissionRecommended",MAX(AL$104:AL146)+1,""))</f>
        <v>12</v>
      </c>
      <c r="AM147" s="1179" t="str">
        <f t="shared" si="146"/>
        <v/>
      </c>
      <c r="AN147" s="1318" t="str">
        <f>IF(AG147="","",IF(AC147="DocType",MAX(AN$104:AN146)+1,""))</f>
        <v/>
      </c>
      <c r="AO147" s="1320" t="str">
        <f t="shared" si="147"/>
        <v/>
      </c>
      <c r="AP147" s="514" t="s">
        <v>76</v>
      </c>
      <c r="AV147" s="1277" t="s">
        <v>486</v>
      </c>
      <c r="AW147" s="1244" t="s">
        <v>481</v>
      </c>
      <c r="AX147" s="1234" t="str">
        <f t="shared" si="140"/>
        <v>PN_007.3750000000</v>
      </c>
      <c r="AY147" s="1235">
        <f>[1]!PN_R20</f>
        <v>7.375</v>
      </c>
      <c r="AZ147" s="1236" t="e">
        <f>[1]!PN_ARM05_P20+Input_PL_Incentive_PN</f>
        <v>#N/A</v>
      </c>
      <c r="BA147" s="1236" t="e">
        <f>[1]!PN_FRM30_P20+Input_PL_Incentive_PN</f>
        <v>#N/A</v>
      </c>
      <c r="BB147" s="1234" t="e">
        <f t="shared" si="143"/>
        <v>#N/A</v>
      </c>
      <c r="BC147" s="1234" t="e">
        <f t="shared" si="141"/>
        <v>#N/A</v>
      </c>
      <c r="BD147" s="1234"/>
      <c r="BE147" s="1278" t="s">
        <v>1903</v>
      </c>
    </row>
    <row r="148" spans="13:57" ht="9.6" customHeight="1" x14ac:dyDescent="0.2">
      <c r="M148" s="1595" t="s">
        <v>2922</v>
      </c>
      <c r="N148" s="1595" t="s">
        <v>3016</v>
      </c>
      <c r="O148" s="1595" t="s">
        <v>2923</v>
      </c>
      <c r="P148" s="515"/>
      <c r="Q148" s="515"/>
      <c r="R148" s="515"/>
      <c r="S148" s="515"/>
      <c r="T148" s="515"/>
      <c r="U148" s="515"/>
      <c r="V148" s="515"/>
      <c r="X148" s="1782" t="s">
        <v>3324</v>
      </c>
      <c r="Y148" s="1782" t="s">
        <v>165</v>
      </c>
      <c r="Z148" s="1783">
        <f>-Input_PL_IncentiveMaxAdj_LenderPaidComp+Input_PL_MaxPriceBase_YN_04PP+Input_PL_Incentive_XN+Input_PL_IncentiveMaxAdj_XN</f>
        <v>103.5</v>
      </c>
      <c r="AA148" s="1784" cm="1">
        <f t="array" ref="AA148">[1]!Input_MaxPriceNet_YN_04PP</f>
        <v>103.5</v>
      </c>
      <c r="AC148" s="1182" t="s">
        <v>2053</v>
      </c>
      <c r="AD148" s="1182" t="s">
        <v>3886</v>
      </c>
      <c r="AE148" s="1182" t="s">
        <v>1622</v>
      </c>
      <c r="AF148" s="1185" t="s">
        <v>2070</v>
      </c>
      <c r="AG148" s="1195" t="str">
        <f>IF(Input_Citizenship&lt;&gt;"US Citizen",Structure!AF139,"")</f>
        <v/>
      </c>
      <c r="AH148" s="1172" t="str">
        <f>IF(AG148="","",IF(AC148="Disclosure",MAX(AH$104:AH147)+1,""))</f>
        <v/>
      </c>
      <c r="AI148" s="1173" t="str">
        <f t="shared" si="144"/>
        <v/>
      </c>
      <c r="AJ148" s="1174" t="str">
        <f>IF(AG148="","",IF(AC148="SubmissionRequired",MAX(AJ$104:AJ147)+1,""))</f>
        <v/>
      </c>
      <c r="AK148" s="1176" t="str">
        <f t="shared" si="145"/>
        <v/>
      </c>
      <c r="AL148" s="1177" t="str">
        <f>IF(AG148="","",IF(AC148="SubmissionRecommended",MAX(AL$104:AL147)+1,""))</f>
        <v/>
      </c>
      <c r="AM148" s="1179" t="str">
        <f t="shared" si="146"/>
        <v/>
      </c>
      <c r="AN148" s="1318" t="str">
        <f>IF(AG148="","",IF(AC148="DocType",MAX(AN$104:AN147)+1,""))</f>
        <v/>
      </c>
      <c r="AO148" s="1320" t="str">
        <f t="shared" si="147"/>
        <v/>
      </c>
      <c r="AP148" s="514" t="s">
        <v>76</v>
      </c>
      <c r="AV148" s="1277" t="s">
        <v>486</v>
      </c>
      <c r="AW148" s="1244" t="s">
        <v>481</v>
      </c>
      <c r="AX148" s="1234" t="str">
        <f t="shared" si="140"/>
        <v>PN_007.2500000000</v>
      </c>
      <c r="AY148" s="1235">
        <f>[1]!PN_R21</f>
        <v>7.25</v>
      </c>
      <c r="AZ148" s="1236" t="e">
        <f>[1]!PN_ARM05_P21+Input_PL_Incentive_PN</f>
        <v>#N/A</v>
      </c>
      <c r="BA148" s="1236" t="e">
        <f>[1]!PN_FRM30_P21+Input_PL_Incentive_PN</f>
        <v>#N/A</v>
      </c>
      <c r="BB148" s="1234" t="e">
        <f t="shared" si="143"/>
        <v>#N/A</v>
      </c>
      <c r="BC148" s="1234" t="e">
        <f t="shared" si="141"/>
        <v>#N/A</v>
      </c>
      <c r="BD148" s="1234"/>
      <c r="BE148" s="1278" t="s">
        <v>1904</v>
      </c>
    </row>
    <row r="149" spans="13:57" ht="9.6" customHeight="1" x14ac:dyDescent="0.2">
      <c r="M149" s="1595" t="s">
        <v>2924</v>
      </c>
      <c r="N149" s="1595" t="s">
        <v>3016</v>
      </c>
      <c r="O149" s="1595" t="s">
        <v>2925</v>
      </c>
      <c r="P149" s="515"/>
      <c r="Q149" s="515"/>
      <c r="R149" s="515"/>
      <c r="S149" s="515"/>
      <c r="T149" s="515"/>
      <c r="U149" s="515"/>
      <c r="V149" s="515"/>
      <c r="X149" s="1785" t="s">
        <v>3325</v>
      </c>
      <c r="Y149" s="1785" t="s">
        <v>166</v>
      </c>
      <c r="Z149" s="1786">
        <f>-Input_PL_IncentiveMaxAdj_LenderPaidComp+Input_PL_MaxPriceBase_YN_05PP+Input_PL_Incentive_XN+Input_PL_IncentiveMaxAdj_XN</f>
        <v>104</v>
      </c>
      <c r="AA149" s="1787" cm="1">
        <f t="array" ref="AA149">[1]!Input_MaxPriceNet_YN_05PP</f>
        <v>104</v>
      </c>
      <c r="AC149" s="1182" t="s">
        <v>2053</v>
      </c>
      <c r="AD149" s="1182" t="s">
        <v>3886</v>
      </c>
      <c r="AE149" s="1182" t="s">
        <v>1622</v>
      </c>
      <c r="AF149" s="1185" t="s">
        <v>2069</v>
      </c>
      <c r="AG149" s="1191" t="str">
        <f>AF149</f>
        <v>Lender Paid Comp Transactions (Anti-Steering Disclosure to be provided by Broker)</v>
      </c>
      <c r="AH149" s="1172" t="str">
        <f>IF(AG149="","",IF(AC149="Disclosure",MAX(AH$104:AH148)+1,""))</f>
        <v/>
      </c>
      <c r="AI149" s="1173" t="str">
        <f t="shared" si="144"/>
        <v/>
      </c>
      <c r="AJ149" s="1174" t="str">
        <f>IF(AG149="","",IF(AC149="SubmissionRequired",MAX(AJ$104:AJ148)+1,""))</f>
        <v/>
      </c>
      <c r="AK149" s="1176" t="str">
        <f t="shared" si="145"/>
        <v/>
      </c>
      <c r="AL149" s="1177">
        <f>IF(AG149="","",IF(AC149="SubmissionRecommended",MAX(AL$104:AL148)+1,""))</f>
        <v>13</v>
      </c>
      <c r="AM149" s="1179" t="str">
        <f t="shared" si="146"/>
        <v/>
      </c>
      <c r="AN149" s="1318" t="str">
        <f>IF(AG149="","",IF(AC149="DocType",MAX(AN$104:AN148)+1,""))</f>
        <v/>
      </c>
      <c r="AO149" s="1320" t="str">
        <f t="shared" si="147"/>
        <v/>
      </c>
      <c r="AP149" s="514" t="s">
        <v>76</v>
      </c>
      <c r="AV149" s="1277" t="s">
        <v>486</v>
      </c>
      <c r="AW149" s="1244" t="s">
        <v>481</v>
      </c>
      <c r="AX149" s="1234" t="str">
        <f t="shared" si="140"/>
        <v>PN_007.1250000000</v>
      </c>
      <c r="AY149" s="1235">
        <f>[1]!PN_R22</f>
        <v>7.125</v>
      </c>
      <c r="AZ149" s="1236" t="e">
        <f>[1]!PN_ARM05_P22+Input_PL_Incentive_PN</f>
        <v>#N/A</v>
      </c>
      <c r="BA149" s="1236" t="e">
        <f>[1]!PN_FRM30_P22+Input_PL_Incentive_PN</f>
        <v>#N/A</v>
      </c>
      <c r="BB149" s="1234" t="e">
        <f t="shared" si="143"/>
        <v>#N/A</v>
      </c>
      <c r="BC149" s="1234" t="e">
        <f t="shared" si="141"/>
        <v>#N/A</v>
      </c>
      <c r="BD149" s="1234"/>
      <c r="BE149" s="1278" t="s">
        <v>1905</v>
      </c>
    </row>
    <row r="150" spans="13:57" ht="9.6" customHeight="1" x14ac:dyDescent="0.2">
      <c r="M150" s="1595" t="s">
        <v>2926</v>
      </c>
      <c r="N150" s="1595" t="s">
        <v>3016</v>
      </c>
      <c r="O150" s="1595" t="s">
        <v>2927</v>
      </c>
      <c r="P150" s="515"/>
      <c r="Q150" s="515"/>
      <c r="R150" s="515"/>
      <c r="S150" s="515"/>
      <c r="T150" s="515"/>
      <c r="U150" s="515"/>
      <c r="V150" s="515"/>
      <c r="X150" s="1782" t="s">
        <v>3326</v>
      </c>
      <c r="Y150" s="1782" t="s">
        <v>68</v>
      </c>
      <c r="Z150" s="1783">
        <f>-Input_PL_IncentiveMaxAdj_LenderPaidComp+Input_PL_MaxPriceBase_YN_01PP+Input_PL_Incentive_XN+Input_PL_IncentiveMaxAdj_XN</f>
        <v>102.25</v>
      </c>
      <c r="AA150" s="1784" cm="1">
        <f t="array" ref="AA150">[1]!Input_MaxPriceNet_YN_01PP</f>
        <v>102.25</v>
      </c>
      <c r="AC150" s="1182" t="s">
        <v>2053</v>
      </c>
      <c r="AD150" s="1182" t="s">
        <v>3886</v>
      </c>
      <c r="AE150" s="1182" t="s">
        <v>1622</v>
      </c>
      <c r="AF150" s="1185" t="s">
        <v>2098</v>
      </c>
      <c r="AG150" s="1191" t="str">
        <f>AF150</f>
        <v>BK papers [if applicable] (All schedules and evidence discharged)</v>
      </c>
      <c r="AH150" s="1172" t="str">
        <f>IF(AG150="","",IF(AC150="Disclosure",MAX(AH$104:AH149)+1,""))</f>
        <v/>
      </c>
      <c r="AI150" s="1173" t="str">
        <f t="shared" si="144"/>
        <v/>
      </c>
      <c r="AJ150" s="1174" t="str">
        <f>IF(AG150="","",IF(AC150="SubmissionRequired",MAX(AJ$104:AJ149)+1,""))</f>
        <v/>
      </c>
      <c r="AK150" s="1176" t="str">
        <f t="shared" si="145"/>
        <v/>
      </c>
      <c r="AL150" s="1177">
        <f>IF(AG150="","",IF(AC150="SubmissionRecommended",MAX(AL$104:AL149)+1,""))</f>
        <v>14</v>
      </c>
      <c r="AM150" s="1179" t="str">
        <f t="shared" si="146"/>
        <v/>
      </c>
      <c r="AN150" s="1318" t="str">
        <f>IF(AG150="","",IF(AC150="DocType",MAX(AN$104:AN149)+1,""))</f>
        <v/>
      </c>
      <c r="AO150" s="1320" t="str">
        <f t="shared" si="147"/>
        <v/>
      </c>
      <c r="AP150" s="514" t="s">
        <v>76</v>
      </c>
      <c r="AV150" s="1277" t="s">
        <v>486</v>
      </c>
      <c r="AW150" s="1244" t="s">
        <v>481</v>
      </c>
      <c r="AX150" s="1234" t="str">
        <f t="shared" si="140"/>
        <v>PN_007.0000000000</v>
      </c>
      <c r="AY150" s="1235">
        <f>[1]!PN_R23</f>
        <v>7</v>
      </c>
      <c r="AZ150" s="1236" t="e">
        <f>[1]!PN_ARM05_P23+Input_PL_Incentive_PN</f>
        <v>#N/A</v>
      </c>
      <c r="BA150" s="1236" t="e">
        <f>[1]!PN_FRM30_P23+Input_PL_Incentive_PN</f>
        <v>#N/A</v>
      </c>
      <c r="BB150" s="1234" t="e">
        <f t="shared" si="143"/>
        <v>#N/A</v>
      </c>
      <c r="BC150" s="1234" t="e">
        <f t="shared" si="141"/>
        <v>#N/A</v>
      </c>
      <c r="BD150" s="1234"/>
      <c r="BE150" s="1278" t="s">
        <v>1906</v>
      </c>
    </row>
    <row r="151" spans="13:57" ht="9.6" customHeight="1" x14ac:dyDescent="0.2">
      <c r="M151" s="1595" t="s">
        <v>2928</v>
      </c>
      <c r="N151" s="1595" t="s">
        <v>3016</v>
      </c>
      <c r="O151" s="1595" t="s">
        <v>2929</v>
      </c>
      <c r="P151" s="515"/>
      <c r="Q151" s="515"/>
      <c r="R151" s="515"/>
      <c r="S151" s="515"/>
      <c r="T151" s="515"/>
      <c r="U151" s="515"/>
      <c r="V151" s="515"/>
      <c r="X151" s="1782" t="s">
        <v>3327</v>
      </c>
      <c r="Y151" s="1782" t="s">
        <v>67</v>
      </c>
      <c r="Z151" s="1783">
        <f>-Input_PL_IncentiveMaxAdj_LenderPaidComp+Input_PL_MaxPriceBase_YN_02PP+Input_PL_Incentive_XN+Input_PL_IncentiveMaxAdj_XN</f>
        <v>102.75</v>
      </c>
      <c r="AA151" s="1784" cm="1">
        <f t="array" ref="AA151">[1]!Input_MaxPriceNet_YN_02PP</f>
        <v>102.75</v>
      </c>
      <c r="AC151" s="1182" t="s">
        <v>2053</v>
      </c>
      <c r="AD151" s="1182" t="s">
        <v>3886</v>
      </c>
      <c r="AE151" s="1182" t="s">
        <v>1622</v>
      </c>
      <c r="AF151" s="1185" t="s">
        <v>2111</v>
      </c>
      <c r="AG151" s="1191" t="str">
        <f>AF151</f>
        <v>12mo Verification of Primary Housing Payment if not reported on credit (If Private Party, provide 12mo Cancelled Checks)</v>
      </c>
      <c r="AH151" s="1172" t="str">
        <f>IF(AG151="","",IF(AC151="Disclosure",MAX(AH$104:AH150)+1,""))</f>
        <v/>
      </c>
      <c r="AI151" s="1173" t="str">
        <f t="shared" si="144"/>
        <v/>
      </c>
      <c r="AJ151" s="1174" t="str">
        <f>IF(AG151="","",IF(AC151="SubmissionRequired",MAX(AJ$104:AJ150)+1,""))</f>
        <v/>
      </c>
      <c r="AK151" s="1176" t="str">
        <f t="shared" si="145"/>
        <v/>
      </c>
      <c r="AL151" s="1177">
        <f>IF(AG151="","",IF(AC151="SubmissionRecommended",MAX(AL$104:AL150)+1,""))</f>
        <v>15</v>
      </c>
      <c r="AM151" s="1179" t="str">
        <f t="shared" si="146"/>
        <v/>
      </c>
      <c r="AN151" s="1318" t="str">
        <f>IF(AG151="","",IF(AC151="DocType",MAX(AN$104:AN150)+1,""))</f>
        <v/>
      </c>
      <c r="AO151" s="1320" t="str">
        <f t="shared" si="147"/>
        <v/>
      </c>
      <c r="AP151" s="514" t="s">
        <v>76</v>
      </c>
      <c r="AV151" s="1277" t="s">
        <v>486</v>
      </c>
      <c r="AW151" s="1244" t="s">
        <v>481</v>
      </c>
      <c r="AX151" s="1234" t="str">
        <f t="shared" si="140"/>
        <v>PN_006.8750000000</v>
      </c>
      <c r="AY151" s="1235">
        <f>[1]!PN_R24</f>
        <v>6.875</v>
      </c>
      <c r="AZ151" s="1236" t="e">
        <f>[1]!PN_ARM05_P24+Input_PL_Incentive_PN</f>
        <v>#N/A</v>
      </c>
      <c r="BA151" s="1236" t="e">
        <f>[1]!PN_FRM30_P24+Input_PL_Incentive_PN</f>
        <v>#N/A</v>
      </c>
      <c r="BB151" s="1234" t="e">
        <f t="shared" si="143"/>
        <v>#N/A</v>
      </c>
      <c r="BC151" s="1234" t="e">
        <f t="shared" si="141"/>
        <v>#N/A</v>
      </c>
      <c r="BD151" s="1234"/>
      <c r="BE151" s="1278" t="s">
        <v>1907</v>
      </c>
    </row>
    <row r="152" spans="13:57" ht="9.6" customHeight="1" x14ac:dyDescent="0.2">
      <c r="M152" s="1595" t="s">
        <v>2930</v>
      </c>
      <c r="N152" s="1595" t="s">
        <v>3016</v>
      </c>
      <c r="O152" s="1595" t="s">
        <v>2931</v>
      </c>
      <c r="P152" s="515"/>
      <c r="Q152" s="515"/>
      <c r="R152" s="515"/>
      <c r="S152" s="515"/>
      <c r="T152" s="515"/>
      <c r="U152" s="515"/>
      <c r="V152" s="515"/>
      <c r="X152" s="1782" t="s">
        <v>3328</v>
      </c>
      <c r="Y152" s="1782" t="s">
        <v>66</v>
      </c>
      <c r="Z152" s="1783">
        <f>-Input_PL_IncentiveMaxAdj_LenderPaidComp+Input_PL_MaxPriceBase_YN_03PP+Input_PL_Incentive_XN+Input_PL_IncentiveMaxAdj_XN</f>
        <v>103.25</v>
      </c>
      <c r="AA152" s="1784" cm="1">
        <f t="array" ref="AA152">[1]!Input_MaxPriceNet_YN_03PP</f>
        <v>103.25</v>
      </c>
      <c r="AC152" s="1182" t="s">
        <v>2053</v>
      </c>
      <c r="AD152" s="1182" t="s">
        <v>3886</v>
      </c>
      <c r="AE152" s="1182" t="s">
        <v>1622</v>
      </c>
      <c r="AF152" s="1185" t="s">
        <v>2075</v>
      </c>
      <c r="AG152" s="1191" t="str">
        <f>AF152</f>
        <v>12mo Cancelled Checks (Include Copy of Note, if available)</v>
      </c>
      <c r="AH152" s="1172" t="str">
        <f>IF(AG152="","",IF(AC152="Disclosure",MAX(AH$104:AH151)+1,""))</f>
        <v/>
      </c>
      <c r="AI152" s="1173" t="str">
        <f t="shared" si="144"/>
        <v/>
      </c>
      <c r="AJ152" s="1174" t="str">
        <f>IF(AG152="","",IF(AC152="SubmissionRequired",MAX(AJ$104:AJ151)+1,""))</f>
        <v/>
      </c>
      <c r="AK152" s="1176" t="str">
        <f t="shared" si="145"/>
        <v/>
      </c>
      <c r="AL152" s="1177">
        <f>IF(AG152="","",IF(AC152="SubmissionRecommended",MAX(AL$104:AL151)+1,""))</f>
        <v>16</v>
      </c>
      <c r="AM152" s="1179" t="str">
        <f t="shared" si="146"/>
        <v/>
      </c>
      <c r="AN152" s="1318" t="str">
        <f>IF(AG152="","",IF(AC152="DocType",MAX(AN$104:AN151)+1,""))</f>
        <v/>
      </c>
      <c r="AO152" s="1320" t="str">
        <f t="shared" si="147"/>
        <v/>
      </c>
      <c r="AP152" s="514" t="s">
        <v>76</v>
      </c>
      <c r="AV152" s="1277" t="s">
        <v>486</v>
      </c>
      <c r="AW152" s="1244" t="s">
        <v>481</v>
      </c>
      <c r="AX152" s="1234" t="str">
        <f t="shared" si="140"/>
        <v>PN_006.7500000000</v>
      </c>
      <c r="AY152" s="1235">
        <f>[1]!PN_R25</f>
        <v>6.75</v>
      </c>
      <c r="AZ152" s="1236" t="e">
        <f>[1]!PN_ARM05_P25+Input_PL_Incentive_PN</f>
        <v>#N/A</v>
      </c>
      <c r="BA152" s="1236" t="e">
        <f>[1]!PN_FRM30_P25+Input_PL_Incentive_PN</f>
        <v>#N/A</v>
      </c>
      <c r="BB152" s="1234" t="e">
        <f t="shared" si="143"/>
        <v>#N/A</v>
      </c>
      <c r="BC152" s="1234" t="e">
        <f t="shared" si="141"/>
        <v>#N/A</v>
      </c>
      <c r="BD152" s="1234"/>
      <c r="BE152" s="1278" t="s">
        <v>1908</v>
      </c>
    </row>
    <row r="153" spans="13:57" ht="9.6" customHeight="1" x14ac:dyDescent="0.2">
      <c r="M153" s="1595" t="s">
        <v>2932</v>
      </c>
      <c r="N153" s="1595" t="s">
        <v>3016</v>
      </c>
      <c r="O153" s="1595" t="s">
        <v>2933</v>
      </c>
      <c r="P153" s="515"/>
      <c r="Q153" s="515"/>
      <c r="R153" s="515"/>
      <c r="S153" s="515"/>
      <c r="T153" s="515"/>
      <c r="U153" s="515"/>
      <c r="V153" s="515"/>
      <c r="X153" s="1782" t="s">
        <v>3329</v>
      </c>
      <c r="Y153" s="1782" t="s">
        <v>165</v>
      </c>
      <c r="Z153" s="1783">
        <f>-Input_PL_IncentiveMaxAdj_LenderPaidComp+Input_PL_MaxPriceBase_YN_04PP+Input_PL_Incentive_XN+Input_PL_IncentiveMaxAdj_XN</f>
        <v>103.5</v>
      </c>
      <c r="AA153" s="1784" cm="1">
        <f t="array" ref="AA153">[1]!Input_MaxPriceNet_YN_04PP</f>
        <v>103.5</v>
      </c>
      <c r="AC153" s="1182" t="s">
        <v>2053</v>
      </c>
      <c r="AD153" s="1182" t="s">
        <v>3886</v>
      </c>
      <c r="AE153" s="1182" t="s">
        <v>1622</v>
      </c>
      <c r="AF153" s="1185" t="s">
        <v>2045</v>
      </c>
      <c r="AG153" s="1195" t="str">
        <f>IF(OR(Input_DocType="'01-Full Doc 2yr",Input_DocType="02-Full Doc 1yr"),Structure!AF144,"")</f>
        <v/>
      </c>
      <c r="AH153" s="1172" t="str">
        <f>IF(AG153="","",IF(AC153="Disclosure",MAX(AH$104:AH152)+1,""))</f>
        <v/>
      </c>
      <c r="AI153" s="1173" t="str">
        <f t="shared" si="144"/>
        <v/>
      </c>
      <c r="AJ153" s="1174" t="str">
        <f>IF(AG153="","",IF(AC153="SubmissionRequired",MAX(AJ$104:AJ152)+1,""))</f>
        <v/>
      </c>
      <c r="AK153" s="1176" t="str">
        <f t="shared" si="145"/>
        <v/>
      </c>
      <c r="AL153" s="1177" t="str">
        <f>IF(AG153="","",IF(AC153="SubmissionRecommended",MAX(AL$104:AL152)+1,""))</f>
        <v/>
      </c>
      <c r="AM153" s="1179" t="str">
        <f t="shared" si="146"/>
        <v/>
      </c>
      <c r="AN153" s="1318" t="str">
        <f>IF(AG153="","",IF(AC153="DocType",MAX(AN$104:AN152)+1,""))</f>
        <v/>
      </c>
      <c r="AO153" s="1320" t="str">
        <f t="shared" si="147"/>
        <v/>
      </c>
      <c r="AP153" s="514" t="s">
        <v>76</v>
      </c>
      <c r="AV153" s="1279" t="s">
        <v>486</v>
      </c>
      <c r="AW153" s="1280" t="s">
        <v>481</v>
      </c>
      <c r="AX153" s="1258" t="str">
        <f t="shared" si="140"/>
        <v>PN_006.6250000000</v>
      </c>
      <c r="AY153" s="1259">
        <f>[1]!PN_R26</f>
        <v>6.625</v>
      </c>
      <c r="AZ153" s="1260" t="e">
        <f>[1]!PN_ARM05_P26+Input_PL_Incentive_PN</f>
        <v>#N/A</v>
      </c>
      <c r="BA153" s="1260" t="e">
        <f>[1]!PN_FRM30_P26+Input_PL_Incentive_PN</f>
        <v>#N/A</v>
      </c>
      <c r="BB153" s="1258" t="e">
        <f t="shared" si="143"/>
        <v>#N/A</v>
      </c>
      <c r="BC153" s="1258" t="e">
        <f t="shared" si="141"/>
        <v>#N/A</v>
      </c>
      <c r="BD153" s="1258"/>
      <c r="BE153" s="1281" t="s">
        <v>1909</v>
      </c>
    </row>
    <row r="154" spans="13:57" ht="9.6" customHeight="1" x14ac:dyDescent="0.2">
      <c r="M154" s="1595" t="s">
        <v>2934</v>
      </c>
      <c r="N154" s="1595" t="s">
        <v>3016</v>
      </c>
      <c r="O154" s="1595" t="s">
        <v>2921</v>
      </c>
      <c r="P154" s="515"/>
      <c r="Q154" s="515"/>
      <c r="R154" s="515"/>
      <c r="S154" s="515"/>
      <c r="T154" s="515"/>
      <c r="U154" s="515"/>
      <c r="V154" s="515"/>
      <c r="X154" s="1785" t="s">
        <v>3330</v>
      </c>
      <c r="Y154" s="1785" t="s">
        <v>166</v>
      </c>
      <c r="Z154" s="1786">
        <f>-Input_PL_IncentiveMaxAdj_LenderPaidComp+Input_PL_MaxPriceBase_YN_05PP+Input_PL_Incentive_XN+Input_PL_IncentiveMaxAdj_XN</f>
        <v>104</v>
      </c>
      <c r="AA154" s="1787" cm="1">
        <f t="array" ref="AA154">[1]!Input_MaxPriceNet_YN_05PP</f>
        <v>104</v>
      </c>
      <c r="AC154" s="894" t="s">
        <v>2053</v>
      </c>
      <c r="AD154" s="894" t="s">
        <v>3886</v>
      </c>
      <c r="AE154" s="894" t="s">
        <v>1622</v>
      </c>
      <c r="AF154" s="895" t="s">
        <v>2109</v>
      </c>
      <c r="AG154" s="1191" t="str">
        <f>AF154</f>
        <v>2mo Consecutive Stmts w/in 90 Days (if Business Stmt, Provide Evidence of Ownership and Balance Sheet)</v>
      </c>
      <c r="AH154" s="1172" t="str">
        <f>IF(AG154="","",IF(AC154="Disclosure",MAX(AH$104:AH153)+1,""))</f>
        <v/>
      </c>
      <c r="AI154" s="1173" t="str">
        <f t="shared" si="144"/>
        <v/>
      </c>
      <c r="AJ154" s="1174" t="str">
        <f>IF(AG154="","",IF(AC154="SubmissionRequired",MAX(AJ$104:AJ153)+1,""))</f>
        <v/>
      </c>
      <c r="AK154" s="1176" t="str">
        <f t="shared" si="145"/>
        <v/>
      </c>
      <c r="AL154" s="1177">
        <f>IF(AG154="","",IF(AC154="SubmissionRecommended",MAX(AL$104:AL153)+1,""))</f>
        <v>17</v>
      </c>
      <c r="AM154" s="1179" t="str">
        <f t="shared" si="146"/>
        <v/>
      </c>
      <c r="AN154" s="1318" t="str">
        <f>IF(AG154="","",IF(AC154="DocType",MAX(AN$104:AN153)+1,""))</f>
        <v/>
      </c>
      <c r="AO154" s="1320" t="str">
        <f t="shared" si="147"/>
        <v/>
      </c>
      <c r="AP154" s="514" t="s">
        <v>76</v>
      </c>
      <c r="AV154" s="1262" t="s">
        <v>2130</v>
      </c>
      <c r="AW154" s="1263" t="s">
        <v>2163</v>
      </c>
      <c r="AX154" s="1264" t="str">
        <f t="shared" ref="AX154:AX180" si="148">"PE_"&amp;RIGHT("000"&amp;TRUNC(Lookup_NoteRate),3)&amp;TEXT(Lookup_NoteRate-TRUNC(Lookup_NoteRate),".0000000000")</f>
        <v>PE_009.5000000000</v>
      </c>
      <c r="AY154" s="1265">
        <f>[1]!PE_R01</f>
        <v>9.5</v>
      </c>
      <c r="AZ154" s="1265">
        <f>[1]!PE_ARM05_P01+Input_PL_Incentive_PE</f>
        <v>105.375</v>
      </c>
      <c r="BA154" s="1265">
        <f>[1]!PE_FRM30_P01+Input_PL_Incentive_PE</f>
        <v>105.375</v>
      </c>
      <c r="BB154" s="1264">
        <f t="shared" si="143"/>
        <v>105.375</v>
      </c>
      <c r="BC154" s="1264" t="str">
        <f t="shared" ref="BC154:BC180" si="149">"PE_"&amp;RIGHT("000"&amp;TRUNC(Lookup_PriceText),3)&amp;TEXT(Lookup_PriceText-TRUNC(Lookup_PriceText),".0000000000")</f>
        <v>PE_105.3750000000</v>
      </c>
      <c r="BD154" s="1264"/>
      <c r="BE154" s="1266" t="s">
        <v>2164</v>
      </c>
    </row>
    <row r="155" spans="13:57" ht="9.6" customHeight="1" x14ac:dyDescent="0.2">
      <c r="M155" s="1595" t="s">
        <v>2935</v>
      </c>
      <c r="N155" s="1595" t="s">
        <v>3016</v>
      </c>
      <c r="O155" s="1595" t="s">
        <v>2923</v>
      </c>
      <c r="P155" s="515"/>
      <c r="Q155" s="515"/>
      <c r="R155" s="515"/>
      <c r="S155" s="515"/>
      <c r="T155" s="515"/>
      <c r="U155" s="515"/>
      <c r="V155" s="515"/>
      <c r="X155" s="750" t="s">
        <v>528</v>
      </c>
      <c r="Y155" s="750" t="s">
        <v>82</v>
      </c>
      <c r="Z155" s="560" t="e">
        <f>-Input_PL_IncentiveMaxAdj_LenderPaidComp+Input_PL_MaxPriceBase_MN_NoPP+Input_PL_Incentive_MN+Input_PL_IncentiveMaxAdj_MN</f>
        <v>#NAME?</v>
      </c>
      <c r="AA155" s="561" t="e" cm="1">
        <f t="array" ref="AA155">[1]!Input_MaxPriceNet_MN_NoPP</f>
        <v>#NAME?</v>
      </c>
      <c r="AC155" s="894" t="s">
        <v>2053</v>
      </c>
      <c r="AD155" s="894" t="s">
        <v>3886</v>
      </c>
      <c r="AE155" s="894" t="s">
        <v>1622</v>
      </c>
      <c r="AF155" s="895" t="s">
        <v>2073</v>
      </c>
      <c r="AG155" s="1191" t="str">
        <f>AF155</f>
        <v>Balance Sheet (If using Business Assets for Funds for Closing/Reserves/Down Pmt)</v>
      </c>
      <c r="AH155" s="1172" t="str">
        <f>IF(AG155="","",IF(AC155="Disclosure",MAX(AH$104:AH154)+1,""))</f>
        <v/>
      </c>
      <c r="AI155" s="1173" t="str">
        <f t="shared" si="144"/>
        <v/>
      </c>
      <c r="AJ155" s="1174" t="str">
        <f>IF(AG155="","",IF(AC155="SubmissionRequired",MAX(AJ$104:AJ154)+1,""))</f>
        <v/>
      </c>
      <c r="AK155" s="1176" t="str">
        <f t="shared" si="145"/>
        <v/>
      </c>
      <c r="AL155" s="1177">
        <f>IF(AG155="","",IF(AC155="SubmissionRecommended",MAX(AL$104:AL154)+1,""))</f>
        <v>18</v>
      </c>
      <c r="AM155" s="1179" t="str">
        <f t="shared" si="146"/>
        <v/>
      </c>
      <c r="AN155" s="1318" t="str">
        <f>IF(AG155="","",IF(AC155="DocType",MAX(AN$104:AN154)+1,""))</f>
        <v/>
      </c>
      <c r="AO155" s="1320" t="str">
        <f t="shared" si="147"/>
        <v/>
      </c>
      <c r="AP155" s="514" t="s">
        <v>76</v>
      </c>
      <c r="AV155" s="1267" t="s">
        <v>2130</v>
      </c>
      <c r="AW155" s="1238" t="s">
        <v>2163</v>
      </c>
      <c r="AX155" s="1239" t="str">
        <f t="shared" si="148"/>
        <v>PE_009.3750000000</v>
      </c>
      <c r="AY155" s="1240">
        <f>[1]!PE_R02</f>
        <v>9.375</v>
      </c>
      <c r="AZ155" s="1240">
        <f>[1]!PE_ARM05_P02+Input_PL_Incentive_PE</f>
        <v>105.25</v>
      </c>
      <c r="BA155" s="1240">
        <f>[1]!PE_FRM30_P02+Input_PL_Incentive_PE</f>
        <v>105.25</v>
      </c>
      <c r="BB155" s="1239">
        <f t="shared" si="143"/>
        <v>105.25</v>
      </c>
      <c r="BC155" s="1239" t="str">
        <f t="shared" si="149"/>
        <v>PE_105.2500000000</v>
      </c>
      <c r="BD155" s="1239"/>
      <c r="BE155" s="1268" t="s">
        <v>2165</v>
      </c>
    </row>
    <row r="156" spans="13:57" ht="9.6" customHeight="1" x14ac:dyDescent="0.2">
      <c r="M156" s="1595" t="s">
        <v>2936</v>
      </c>
      <c r="N156" s="1595" t="s">
        <v>3016</v>
      </c>
      <c r="O156" s="1595" t="s">
        <v>2925</v>
      </c>
      <c r="P156" s="515"/>
      <c r="Q156" s="515"/>
      <c r="R156" s="515"/>
      <c r="S156" s="515"/>
      <c r="T156" s="515"/>
      <c r="X156" s="753" t="s">
        <v>2664</v>
      </c>
      <c r="Y156" s="753" t="s">
        <v>68</v>
      </c>
      <c r="Z156" s="586" t="e">
        <f>-Input_PL_IncentiveMaxAdj_LenderPaidComp+Input_PL_MaxPriceBase_MN_01PP+Input_PL_Incentive_MN+Input_PL_IncentiveMaxAdj_MN</f>
        <v>#NAME?</v>
      </c>
      <c r="AA156" s="587" t="e" cm="1">
        <f t="array" ref="AA156">[1]!Input_MaxPriceNet_MN_01PP</f>
        <v>#NAME?</v>
      </c>
      <c r="AC156" s="894" t="s">
        <v>2053</v>
      </c>
      <c r="AD156" s="894" t="s">
        <v>3886</v>
      </c>
      <c r="AE156" s="894" t="s">
        <v>1622</v>
      </c>
      <c r="AF156" s="895" t="s">
        <v>2099</v>
      </c>
      <c r="AG156" s="1191" t="str">
        <f>AF156</f>
        <v>Gift Letter [if applicable] (Evidence Donor Funds Transferred to Borrower or Settlement Agent)</v>
      </c>
      <c r="AH156" s="1172" t="str">
        <f>IF(AG156="","",IF(AC156="Disclosure",MAX(AH$104:AH155)+1,""))</f>
        <v/>
      </c>
      <c r="AI156" s="1173" t="str">
        <f t="shared" si="144"/>
        <v/>
      </c>
      <c r="AJ156" s="1174" t="str">
        <f>IF(AG156="","",IF(AC156="SubmissionRequired",MAX(AJ$104:AJ155)+1,""))</f>
        <v/>
      </c>
      <c r="AK156" s="1176" t="str">
        <f t="shared" si="145"/>
        <v/>
      </c>
      <c r="AL156" s="1177">
        <f>IF(AG156="","",IF(AC156="SubmissionRecommended",MAX(AL$104:AL155)+1,""))</f>
        <v>19</v>
      </c>
      <c r="AM156" s="1179" t="str">
        <f t="shared" si="146"/>
        <v/>
      </c>
      <c r="AN156" s="1318" t="str">
        <f>IF(AG156="","",IF(AC156="DocType",MAX(AN$104:AN155)+1,""))</f>
        <v/>
      </c>
      <c r="AO156" s="1320" t="str">
        <f t="shared" si="147"/>
        <v/>
      </c>
      <c r="AP156" s="514" t="s">
        <v>76</v>
      </c>
      <c r="AV156" s="1267" t="s">
        <v>2130</v>
      </c>
      <c r="AW156" s="1238" t="s">
        <v>2163</v>
      </c>
      <c r="AX156" s="1239" t="str">
        <f t="shared" si="148"/>
        <v>PE_009.2500000000</v>
      </c>
      <c r="AY156" s="1240">
        <f>[1]!PE_R03</f>
        <v>9.25</v>
      </c>
      <c r="AZ156" s="1240">
        <f>[1]!PE_ARM05_P03+Input_PL_Incentive_PE</f>
        <v>105.125</v>
      </c>
      <c r="BA156" s="1240">
        <f>[1]!PE_FRM30_P03+Input_PL_Incentive_PE</f>
        <v>105.125</v>
      </c>
      <c r="BB156" s="1239">
        <f t="shared" ref="BB156:BB179" si="150">IF(INDEX(List_AmortTermAll,MATCH(Input_AmortTerm,List_AmortTerm,0),3)=1,AZ156,IF(INDEX(List_AmortTermAll,MATCH(Input_AmortTerm,List_AmortTerm,0),3)=2,BA156,#N/A))</f>
        <v>105.125</v>
      </c>
      <c r="BC156" s="1239" t="str">
        <f t="shared" si="149"/>
        <v>PE_105.1250000000</v>
      </c>
      <c r="BD156" s="1239"/>
      <c r="BE156" s="1268" t="s">
        <v>2166</v>
      </c>
    </row>
    <row r="157" spans="13:57" ht="9.6" customHeight="1" x14ac:dyDescent="0.2">
      <c r="M157" s="1595" t="s">
        <v>2937</v>
      </c>
      <c r="N157" s="1595" t="s">
        <v>3016</v>
      </c>
      <c r="O157" s="1595" t="s">
        <v>2927</v>
      </c>
      <c r="P157" s="515"/>
      <c r="Q157" s="515"/>
      <c r="R157" s="515"/>
      <c r="S157" s="515"/>
      <c r="T157" s="515"/>
      <c r="X157" s="762" t="s">
        <v>2665</v>
      </c>
      <c r="Y157" s="762" t="s">
        <v>67</v>
      </c>
      <c r="Z157" s="602" t="e">
        <f>-Input_PL_IncentiveMaxAdj_LenderPaidComp+Input_PL_MaxPriceBase_MN_02PP+Input_PL_Incentive_MN+Input_PL_IncentiveMaxAdj_MN</f>
        <v>#NAME?</v>
      </c>
      <c r="AA157" s="603" t="e" cm="1">
        <f t="array" ref="AA157">[1]!Input_MaxPriceNet_MN_02PP</f>
        <v>#NAME?</v>
      </c>
      <c r="AC157" s="894" t="s">
        <v>2053</v>
      </c>
      <c r="AD157" s="894" t="s">
        <v>3886</v>
      </c>
      <c r="AE157" s="894" t="s">
        <v>1622</v>
      </c>
      <c r="AF157" s="895" t="s">
        <v>2112</v>
      </c>
      <c r="AG157" s="1192" t="str">
        <f>AF157</f>
        <v>Fee Sheet / Est. Closing Statement (Impounds Required: HPML Loans and Loans &gt;80 LTV - Unless Prohibited by State Law)</v>
      </c>
      <c r="AH157" s="1172" t="str">
        <f>IF(AG157="","",IF(AC157="Disclosure",MAX(AH$104:AH156)+1,""))</f>
        <v/>
      </c>
      <c r="AI157" s="1173" t="str">
        <f t="shared" si="144"/>
        <v/>
      </c>
      <c r="AJ157" s="1174" t="str">
        <f>IF(AG157="","",IF(AC157="SubmissionRequired",MAX(AJ$104:AJ156)+1,""))</f>
        <v/>
      </c>
      <c r="AK157" s="1176" t="str">
        <f t="shared" si="145"/>
        <v/>
      </c>
      <c r="AL157" s="1177">
        <f>IF(AG157="","",IF(AC157="SubmissionRecommended",MAX(AL$104:AL156)+1,""))</f>
        <v>20</v>
      </c>
      <c r="AM157" s="1179" t="str">
        <f t="shared" si="146"/>
        <v/>
      </c>
      <c r="AN157" s="1318" t="str">
        <f>IF(AG157="","",IF(AC157="DocType",MAX(AN$104:AN156)+1,""))</f>
        <v/>
      </c>
      <c r="AO157" s="1320" t="str">
        <f t="shared" si="147"/>
        <v/>
      </c>
      <c r="AP157" s="514" t="s">
        <v>76</v>
      </c>
      <c r="AV157" s="1267" t="s">
        <v>2130</v>
      </c>
      <c r="AW157" s="1238" t="s">
        <v>2163</v>
      </c>
      <c r="AX157" s="1239" t="str">
        <f t="shared" si="148"/>
        <v>PE_009.1250000000</v>
      </c>
      <c r="AY157" s="1240">
        <f>[1]!PE_R04</f>
        <v>9.125</v>
      </c>
      <c r="AZ157" s="1240">
        <f>[1]!PE_ARM05_P04+Input_PL_Incentive_PE</f>
        <v>105</v>
      </c>
      <c r="BA157" s="1240">
        <f>[1]!PE_FRM30_P04+Input_PL_Incentive_PE</f>
        <v>105</v>
      </c>
      <c r="BB157" s="1239">
        <f t="shared" si="150"/>
        <v>105</v>
      </c>
      <c r="BC157" s="1239" t="str">
        <f t="shared" si="149"/>
        <v>PE_105.0000000000</v>
      </c>
      <c r="BD157" s="1239"/>
      <c r="BE157" s="1268" t="s">
        <v>2167</v>
      </c>
    </row>
    <row r="158" spans="13:57" ht="9.6" customHeight="1" x14ac:dyDescent="0.2">
      <c r="M158" s="1595" t="s">
        <v>2938</v>
      </c>
      <c r="N158" s="1595" t="s">
        <v>3016</v>
      </c>
      <c r="O158" s="1595" t="s">
        <v>2929</v>
      </c>
      <c r="P158" s="515"/>
      <c r="Q158" s="515"/>
      <c r="R158" s="515"/>
      <c r="S158" s="515"/>
      <c r="T158" s="515"/>
      <c r="X158" s="762" t="s">
        <v>2666</v>
      </c>
      <c r="Y158" s="762" t="s">
        <v>66</v>
      </c>
      <c r="Z158" s="602" t="e">
        <f>-Input_PL_IncentiveMaxAdj_LenderPaidComp+Input_PL_MaxPriceBase_MN_03PP+Input_PL_Incentive_MN+Input_PL_IncentiveMaxAdj_MN</f>
        <v>#NAME?</v>
      </c>
      <c r="AA158" s="603" t="e" cm="1">
        <f t="array" ref="AA158">[1]!Input_MaxPriceNet_MN_03PP</f>
        <v>#NAME?</v>
      </c>
      <c r="AC158" s="894" t="s">
        <v>2053</v>
      </c>
      <c r="AD158" s="894" t="s">
        <v>3886</v>
      </c>
      <c r="AE158" s="894" t="s">
        <v>1622</v>
      </c>
      <c r="AF158" s="895" t="s">
        <v>2090</v>
      </c>
      <c r="AG158" s="1187" t="str">
        <f>IF(IFERROR(FIND("Condo",Input_PropertyType),0)&gt;=1,AF158,"")</f>
        <v/>
      </c>
      <c r="AH158" s="1172" t="str">
        <f>IF(AG158="","",IF(AC158="Disclosure",MAX(AH$104:AH157)+1,""))</f>
        <v/>
      </c>
      <c r="AI158" s="1173" t="str">
        <f t="shared" si="144"/>
        <v/>
      </c>
      <c r="AJ158" s="1174" t="str">
        <f>IF(AG158="","",IF(AC158="SubmissionRequired",MAX(AJ$104:AJ157)+1,""))</f>
        <v/>
      </c>
      <c r="AK158" s="1176" t="str">
        <f t="shared" si="145"/>
        <v/>
      </c>
      <c r="AL158" s="1177" t="str">
        <f>IF(AG158="","",IF(AC158="SubmissionRecommended",MAX(AL$104:AL157)+1,""))</f>
        <v/>
      </c>
      <c r="AM158" s="1179" t="str">
        <f t="shared" si="146"/>
        <v/>
      </c>
      <c r="AN158" s="1318" t="str">
        <f>IF(AG158="","",IF(AC158="DocType",MAX(AN$104:AN157)+1,""))</f>
        <v/>
      </c>
      <c r="AO158" s="1320" t="str">
        <f t="shared" si="147"/>
        <v/>
      </c>
      <c r="AP158" s="514" t="s">
        <v>76</v>
      </c>
      <c r="AV158" s="1267" t="s">
        <v>2130</v>
      </c>
      <c r="AW158" s="1238" t="s">
        <v>2163</v>
      </c>
      <c r="AX158" s="1239" t="str">
        <f t="shared" si="148"/>
        <v>PE_009.0000000000</v>
      </c>
      <c r="AY158" s="1240">
        <f>[1]!PE_R05</f>
        <v>9</v>
      </c>
      <c r="AZ158" s="1240">
        <f>[1]!PE_ARM05_P05+Input_PL_Incentive_PE</f>
        <v>104.875</v>
      </c>
      <c r="BA158" s="1240">
        <f>[1]!PE_FRM30_P05+Input_PL_Incentive_PE</f>
        <v>104.875</v>
      </c>
      <c r="BB158" s="1239">
        <f t="shared" si="150"/>
        <v>104.875</v>
      </c>
      <c r="BC158" s="1239" t="str">
        <f t="shared" si="149"/>
        <v>PE_104.8750000000</v>
      </c>
      <c r="BD158" s="1239"/>
      <c r="BE158" s="1268" t="s">
        <v>2168</v>
      </c>
    </row>
    <row r="159" spans="13:57" ht="9.6" customHeight="1" x14ac:dyDescent="0.2">
      <c r="M159" s="1595" t="s">
        <v>2939</v>
      </c>
      <c r="N159" s="1595" t="s">
        <v>3016</v>
      </c>
      <c r="O159" s="1595" t="s">
        <v>2931</v>
      </c>
      <c r="P159" s="515"/>
      <c r="Q159" s="515"/>
      <c r="R159" s="515"/>
      <c r="S159" s="515"/>
      <c r="T159" s="515"/>
      <c r="X159" s="762" t="s">
        <v>2667</v>
      </c>
      <c r="Y159" s="762" t="s">
        <v>165</v>
      </c>
      <c r="Z159" s="602" t="e">
        <f>-Input_PL_IncentiveMaxAdj_LenderPaidComp+Input_PL_MaxPriceBase_MN_04PP+Input_PL_Incentive_MN+Input_PL_IncentiveMaxAdj_MN</f>
        <v>#NAME?</v>
      </c>
      <c r="AA159" s="603" t="e" cm="1">
        <f t="array" ref="AA159">[1]!Input_MaxPriceNet_MN_04PP</f>
        <v>#NAME?</v>
      </c>
      <c r="AC159" s="894" t="s">
        <v>2053</v>
      </c>
      <c r="AD159" s="894" t="s">
        <v>3886</v>
      </c>
      <c r="AE159" s="894" t="s">
        <v>1622</v>
      </c>
      <c r="AF159" s="895" t="s">
        <v>2091</v>
      </c>
      <c r="AG159" s="1192" t="str">
        <f>AF159</f>
        <v>Hazard Insurance (Replacement Cost Estimator)</v>
      </c>
      <c r="AH159" s="1172" t="str">
        <f>IF(AG159="","",IF(AC159="Disclosure",MAX(AH$104:AH158)+1,""))</f>
        <v/>
      </c>
      <c r="AI159" s="1173" t="str">
        <f t="shared" si="144"/>
        <v/>
      </c>
      <c r="AJ159" s="1174" t="str">
        <f>IF(AG159="","",IF(AC159="SubmissionRequired",MAX(AJ$104:AJ158)+1,""))</f>
        <v/>
      </c>
      <c r="AK159" s="1176" t="str">
        <f t="shared" si="145"/>
        <v/>
      </c>
      <c r="AL159" s="1177">
        <f>IF(AG159="","",IF(AC159="SubmissionRecommended",MAX(AL$104:AL158)+1,""))</f>
        <v>21</v>
      </c>
      <c r="AM159" s="1179" t="str">
        <f t="shared" si="146"/>
        <v/>
      </c>
      <c r="AN159" s="1318" t="str">
        <f>IF(AG159="","",IF(AC159="DocType",MAX(AN$104:AN158)+1,""))</f>
        <v/>
      </c>
      <c r="AO159" s="1320" t="str">
        <f t="shared" si="147"/>
        <v/>
      </c>
      <c r="AP159" s="514" t="s">
        <v>76</v>
      </c>
      <c r="AV159" s="1267" t="s">
        <v>2130</v>
      </c>
      <c r="AW159" s="1238" t="s">
        <v>2163</v>
      </c>
      <c r="AX159" s="1239" t="str">
        <f t="shared" si="148"/>
        <v>PE_008.8750000000</v>
      </c>
      <c r="AY159" s="1240">
        <f>[1]!PE_R06</f>
        <v>8.875</v>
      </c>
      <c r="AZ159" s="1240">
        <f>[1]!PE_ARM05_P06+Input_PL_Incentive_PE</f>
        <v>104.625</v>
      </c>
      <c r="BA159" s="1240">
        <f>[1]!PE_FRM30_P06+Input_PL_Incentive_PE</f>
        <v>104.625</v>
      </c>
      <c r="BB159" s="1239">
        <f t="shared" si="150"/>
        <v>104.625</v>
      </c>
      <c r="BC159" s="1239" t="str">
        <f t="shared" si="149"/>
        <v>PE_104.6250000000</v>
      </c>
      <c r="BD159" s="1239"/>
      <c r="BE159" s="1268" t="s">
        <v>2169</v>
      </c>
    </row>
    <row r="160" spans="13:57" ht="9.6" customHeight="1" x14ac:dyDescent="0.2">
      <c r="M160" s="1595" t="s">
        <v>2940</v>
      </c>
      <c r="N160" s="1595" t="s">
        <v>3016</v>
      </c>
      <c r="O160" s="1595" t="s">
        <v>2933</v>
      </c>
      <c r="P160" s="515"/>
      <c r="Q160" s="515"/>
      <c r="R160" s="515"/>
      <c r="S160" s="515"/>
      <c r="T160" s="515"/>
      <c r="X160" s="779" t="s">
        <v>2668</v>
      </c>
      <c r="Y160" s="779" t="s">
        <v>166</v>
      </c>
      <c r="Z160" s="610" t="e">
        <f>-Input_PL_IncentiveMaxAdj_LenderPaidComp+Input_PL_MaxPriceBase_MN_05PP+Input_PL_Incentive_MN+Input_PL_IncentiveMaxAdj_MN</f>
        <v>#NAME?</v>
      </c>
      <c r="AA160" s="611" t="e" cm="1">
        <f t="array" ref="AA160">[1]!Input_MaxPriceNet_MN_05PP</f>
        <v>#NAME?</v>
      </c>
      <c r="AC160" s="894" t="s">
        <v>2053</v>
      </c>
      <c r="AD160" s="894" t="s">
        <v>3886</v>
      </c>
      <c r="AE160" s="894" t="s">
        <v>1622</v>
      </c>
      <c r="AF160" s="895" t="s">
        <v>2092</v>
      </c>
      <c r="AG160" s="1187" t="str">
        <f>IF(Input_Purpose&lt;&gt;"Purchase",Structure!AF153,"")</f>
        <v>ATR - DU/LP Approve/Ineligible or Refer</v>
      </c>
      <c r="AH160" s="1172" t="str">
        <f>IF(AG160="","",IF(AC160="Disclosure",MAX(AH$104:AH159)+1,""))</f>
        <v/>
      </c>
      <c r="AI160" s="1173" t="str">
        <f t="shared" si="144"/>
        <v/>
      </c>
      <c r="AJ160" s="1174" t="str">
        <f>IF(AG160="","",IF(AC160="SubmissionRequired",MAX(AJ$104:AJ159)+1,""))</f>
        <v/>
      </c>
      <c r="AK160" s="1176" t="str">
        <f t="shared" si="145"/>
        <v/>
      </c>
      <c r="AL160" s="1177">
        <f>IF(AG160="","",IF(AC160="SubmissionRecommended",MAX(AL$104:AL159)+1,""))</f>
        <v>22</v>
      </c>
      <c r="AM160" s="1179" t="str">
        <f t="shared" si="146"/>
        <v/>
      </c>
      <c r="AN160" s="1318" t="str">
        <f>IF(AG160="","",IF(AC160="DocType",MAX(AN$104:AN159)+1,""))</f>
        <v/>
      </c>
      <c r="AO160" s="1320" t="str">
        <f t="shared" si="147"/>
        <v/>
      </c>
      <c r="AP160" s="514" t="s">
        <v>76</v>
      </c>
      <c r="AV160" s="1267" t="s">
        <v>2130</v>
      </c>
      <c r="AW160" s="1238" t="s">
        <v>2163</v>
      </c>
      <c r="AX160" s="1239" t="str">
        <f t="shared" si="148"/>
        <v>PE_008.7500000000</v>
      </c>
      <c r="AY160" s="1240">
        <f>[1]!PE_R07</f>
        <v>8.75</v>
      </c>
      <c r="AZ160" s="1240">
        <f>[1]!PE_ARM05_P07+Input_PL_Incentive_PE</f>
        <v>104.375</v>
      </c>
      <c r="BA160" s="1240">
        <f>[1]!PE_FRM30_P07+Input_PL_Incentive_PE</f>
        <v>104.375</v>
      </c>
      <c r="BB160" s="1239">
        <f t="shared" si="150"/>
        <v>104.375</v>
      </c>
      <c r="BC160" s="1239" t="str">
        <f t="shared" si="149"/>
        <v>PE_104.3750000000</v>
      </c>
      <c r="BD160" s="1239"/>
      <c r="BE160" s="1268" t="s">
        <v>2170</v>
      </c>
    </row>
    <row r="161" spans="13:57" ht="9.6" customHeight="1" x14ac:dyDescent="0.2">
      <c r="M161" s="1595" t="s">
        <v>2941</v>
      </c>
      <c r="N161" s="1595" t="s">
        <v>2810</v>
      </c>
      <c r="O161" s="1595" t="s">
        <v>2942</v>
      </c>
      <c r="P161" s="515"/>
      <c r="Q161" s="515"/>
      <c r="R161" s="515"/>
      <c r="S161" s="515"/>
      <c r="T161" s="515"/>
      <c r="X161" s="762" t="s">
        <v>756</v>
      </c>
      <c r="Y161" s="762" t="s">
        <v>68</v>
      </c>
      <c r="Z161" s="602" t="e">
        <f>-Input_PL_IncentiveMaxAdj_LenderPaidComp+Input_PL_MaxPriceBase_MN_01PP+Input_PL_Incentive_MN+Input_PL_IncentiveMaxAdj_MN</f>
        <v>#NAME?</v>
      </c>
      <c r="AA161" s="603" t="e" cm="1">
        <f t="array" ref="AA161">[1]!Input_MaxPriceNet_MN_01PP</f>
        <v>#NAME?</v>
      </c>
      <c r="AC161" s="894" t="s">
        <v>2053</v>
      </c>
      <c r="AD161" s="894" t="s">
        <v>3886</v>
      </c>
      <c r="AE161" s="894" t="s">
        <v>1622</v>
      </c>
      <c r="AF161" s="895" t="s">
        <v>2062</v>
      </c>
      <c r="AG161" s="1187" t="str">
        <f>IF(Input_Occupancy="Non Owner Occupied",Structure!AF155,"")</f>
        <v/>
      </c>
      <c r="AH161" s="1172" t="str">
        <f>IF(AG161="","",IF(AC161="Disclosure",MAX(AH$104:AH160)+1,""))</f>
        <v/>
      </c>
      <c r="AI161" s="1173" t="str">
        <f t="shared" si="144"/>
        <v/>
      </c>
      <c r="AJ161" s="1174" t="str">
        <f>IF(AG161="","",IF(AC161="SubmissionRequired",MAX(AJ$104:AJ160)+1,""))</f>
        <v/>
      </c>
      <c r="AK161" s="1176" t="str">
        <f t="shared" si="145"/>
        <v/>
      </c>
      <c r="AL161" s="1177" t="str">
        <f>IF(AG161="","",IF(AC161="SubmissionRecommended",MAX(AL$104:AL160)+1,""))</f>
        <v/>
      </c>
      <c r="AM161" s="1179" t="str">
        <f t="shared" si="146"/>
        <v/>
      </c>
      <c r="AN161" s="1318" t="str">
        <f>IF(AG161="","",IF(AC161="DocType",MAX(AN$104:AN160)+1,""))</f>
        <v/>
      </c>
      <c r="AO161" s="1320" t="str">
        <f t="shared" si="147"/>
        <v/>
      </c>
      <c r="AP161" s="514" t="s">
        <v>76</v>
      </c>
      <c r="AV161" s="1267" t="s">
        <v>2130</v>
      </c>
      <c r="AW161" s="1238" t="s">
        <v>2163</v>
      </c>
      <c r="AX161" s="1239" t="str">
        <f t="shared" si="148"/>
        <v>PE_008.6250000000</v>
      </c>
      <c r="AY161" s="1240">
        <f>[1]!PE_R08</f>
        <v>8.625</v>
      </c>
      <c r="AZ161" s="1240">
        <f>[1]!PE_ARM05_P08+Input_PL_Incentive_PE</f>
        <v>104.125</v>
      </c>
      <c r="BA161" s="1240">
        <f>[1]!PE_FRM30_P08+Input_PL_Incentive_PE</f>
        <v>104.125</v>
      </c>
      <c r="BB161" s="1239">
        <f t="shared" si="150"/>
        <v>104.125</v>
      </c>
      <c r="BC161" s="1239" t="str">
        <f t="shared" si="149"/>
        <v>PE_104.1250000000</v>
      </c>
      <c r="BD161" s="1239"/>
      <c r="BE161" s="1268" t="s">
        <v>2171</v>
      </c>
    </row>
    <row r="162" spans="13:57" ht="9.6" customHeight="1" x14ac:dyDescent="0.2">
      <c r="M162" s="1595" t="s">
        <v>2943</v>
      </c>
      <c r="N162" s="1595" t="s">
        <v>2810</v>
      </c>
      <c r="O162" s="1595" t="s">
        <v>2944</v>
      </c>
      <c r="P162" s="515"/>
      <c r="Q162" s="515"/>
      <c r="R162" s="515"/>
      <c r="S162" s="515"/>
      <c r="T162" s="515"/>
      <c r="X162" s="762" t="s">
        <v>755</v>
      </c>
      <c r="Y162" s="762" t="s">
        <v>67</v>
      </c>
      <c r="Z162" s="602" t="e">
        <f>-Input_PL_IncentiveMaxAdj_LenderPaidComp+Input_PL_MaxPriceBase_MN_02PP+Input_PL_Incentive_MN+Input_PL_IncentiveMaxAdj_MN</f>
        <v>#NAME?</v>
      </c>
      <c r="AA162" s="603" t="e" cm="1">
        <f t="array" ref="AA162">[1]!Input_MaxPriceNet_MN_02PP</f>
        <v>#NAME?</v>
      </c>
      <c r="AC162" s="894" t="s">
        <v>2053</v>
      </c>
      <c r="AD162" s="894" t="s">
        <v>3886</v>
      </c>
      <c r="AE162" s="894" t="s">
        <v>1622</v>
      </c>
      <c r="AF162" s="895" t="s">
        <v>2100</v>
      </c>
      <c r="AG162" s="1192" t="str">
        <f t="shared" ref="AG162:AG167" si="151">AF162</f>
        <v>1004D / Final Inspection [if applicable] (Condition rating C5/C6 and Quality rating Q6 unacceptable)</v>
      </c>
      <c r="AH162" s="1172" t="str">
        <f>IF(AG162="","",IF(AC162="Disclosure",MAX(AH$104:AH161)+1,""))</f>
        <v/>
      </c>
      <c r="AI162" s="1173" t="str">
        <f t="shared" si="144"/>
        <v/>
      </c>
      <c r="AJ162" s="1174" t="str">
        <f>IF(AG162="","",IF(AC162="SubmissionRequired",MAX(AJ$104:AJ161)+1,""))</f>
        <v/>
      </c>
      <c r="AK162" s="1176" t="str">
        <f t="shared" si="145"/>
        <v/>
      </c>
      <c r="AL162" s="1177">
        <f>IF(AG162="","",IF(AC162="SubmissionRecommended",MAX(AL$104:AL161)+1,""))</f>
        <v>23</v>
      </c>
      <c r="AM162" s="1179" t="str">
        <f t="shared" si="146"/>
        <v/>
      </c>
      <c r="AN162" s="1318" t="str">
        <f>IF(AG162="","",IF(AC162="DocType",MAX(AN$104:AN161)+1,""))</f>
        <v/>
      </c>
      <c r="AO162" s="1320" t="str">
        <f t="shared" si="147"/>
        <v/>
      </c>
      <c r="AP162" s="514" t="s">
        <v>76</v>
      </c>
      <c r="AV162" s="1267" t="s">
        <v>2130</v>
      </c>
      <c r="AW162" s="1238" t="s">
        <v>2163</v>
      </c>
      <c r="AX162" s="1239" t="str">
        <f t="shared" si="148"/>
        <v>PE_008.5000000000</v>
      </c>
      <c r="AY162" s="1240">
        <f>[1]!PE_R09</f>
        <v>8.5</v>
      </c>
      <c r="AZ162" s="1240">
        <f>[1]!PE_ARM05_P09+Input_PL_Incentive_PE</f>
        <v>103.875</v>
      </c>
      <c r="BA162" s="1240">
        <f>[1]!PE_FRM30_P09+Input_PL_Incentive_PE</f>
        <v>103.875</v>
      </c>
      <c r="BB162" s="1239">
        <f t="shared" si="150"/>
        <v>103.875</v>
      </c>
      <c r="BC162" s="1239" t="str">
        <f t="shared" si="149"/>
        <v>PE_103.8750000000</v>
      </c>
      <c r="BD162" s="1239"/>
      <c r="BE162" s="1268" t="s">
        <v>2172</v>
      </c>
    </row>
    <row r="163" spans="13:57" ht="9.6" customHeight="1" x14ac:dyDescent="0.2">
      <c r="M163" s="1595" t="s">
        <v>2945</v>
      </c>
      <c r="N163" s="1595" t="s">
        <v>2810</v>
      </c>
      <c r="O163" s="1595" t="s">
        <v>2946</v>
      </c>
      <c r="P163" s="515"/>
      <c r="Q163" s="515"/>
      <c r="R163" s="515"/>
      <c r="S163" s="515"/>
      <c r="T163" s="515"/>
      <c r="X163" s="762" t="s">
        <v>754</v>
      </c>
      <c r="Y163" s="762" t="s">
        <v>66</v>
      </c>
      <c r="Z163" s="602" t="e">
        <f>-Input_PL_IncentiveMaxAdj_LenderPaidComp+Input_PL_MaxPriceBase_MN_03PP+Input_PL_Incentive_MN+Input_PL_IncentiveMaxAdj_MN</f>
        <v>#NAME?</v>
      </c>
      <c r="AA163" s="603" t="e" cm="1">
        <f t="array" ref="AA163">[1]!Input_MaxPriceNet_MN_03PP</f>
        <v>#NAME?</v>
      </c>
      <c r="AC163" s="894" t="s">
        <v>2053</v>
      </c>
      <c r="AD163" s="894" t="s">
        <v>3886</v>
      </c>
      <c r="AE163" s="894" t="s">
        <v>1622</v>
      </c>
      <c r="AF163" s="895" t="s">
        <v>2101</v>
      </c>
      <c r="AG163" s="1192" t="str">
        <f t="shared" si="151"/>
        <v>1004D / Final Inspection [if applicable] (Min 600 sf)</v>
      </c>
      <c r="AH163" s="1172" t="str">
        <f>IF(AG163="","",IF(AC163="Disclosure",MAX(AH$104:AH162)+1,""))</f>
        <v/>
      </c>
      <c r="AI163" s="1173" t="str">
        <f t="shared" si="144"/>
        <v/>
      </c>
      <c r="AJ163" s="1174" t="str">
        <f>IF(AG163="","",IF(AC163="SubmissionRequired",MAX(AJ$104:AJ162)+1,""))</f>
        <v/>
      </c>
      <c r="AK163" s="1176" t="str">
        <f t="shared" si="145"/>
        <v/>
      </c>
      <c r="AL163" s="1177">
        <f>IF(AG163="","",IF(AC163="SubmissionRecommended",MAX(AL$104:AL162)+1,""))</f>
        <v>24</v>
      </c>
      <c r="AM163" s="1179" t="str">
        <f t="shared" si="146"/>
        <v/>
      </c>
      <c r="AN163" s="1318" t="str">
        <f>IF(AG163="","",IF(AC163="DocType",MAX(AN$104:AN162)+1,""))</f>
        <v/>
      </c>
      <c r="AO163" s="1320" t="str">
        <f t="shared" si="147"/>
        <v/>
      </c>
      <c r="AP163" s="514" t="s">
        <v>76</v>
      </c>
      <c r="AV163" s="1267" t="s">
        <v>2130</v>
      </c>
      <c r="AW163" s="1238" t="s">
        <v>2163</v>
      </c>
      <c r="AX163" s="1239" t="str">
        <f t="shared" si="148"/>
        <v>PE_008.3750000000</v>
      </c>
      <c r="AY163" s="1240">
        <f>[1]!PE_R10</f>
        <v>8.375</v>
      </c>
      <c r="AZ163" s="1240">
        <f>[1]!PE_ARM05_P10+Input_PL_Incentive_PE</f>
        <v>103.625</v>
      </c>
      <c r="BA163" s="1240">
        <f>[1]!PE_FRM30_P10+Input_PL_Incentive_PE</f>
        <v>103.625</v>
      </c>
      <c r="BB163" s="1239">
        <f t="shared" si="150"/>
        <v>103.625</v>
      </c>
      <c r="BC163" s="1239" t="str">
        <f t="shared" si="149"/>
        <v>PE_103.6250000000</v>
      </c>
      <c r="BD163" s="1239"/>
      <c r="BE163" s="1268" t="s">
        <v>2173</v>
      </c>
    </row>
    <row r="164" spans="13:57" ht="9.6" customHeight="1" x14ac:dyDescent="0.2">
      <c r="M164" s="1595" t="s">
        <v>2947</v>
      </c>
      <c r="N164" s="1595" t="s">
        <v>2810</v>
      </c>
      <c r="O164" s="1595" t="s">
        <v>2948</v>
      </c>
      <c r="P164" s="515"/>
      <c r="Q164" s="515"/>
      <c r="R164" s="515"/>
      <c r="S164" s="515"/>
      <c r="T164" s="515"/>
      <c r="X164" s="762" t="s">
        <v>753</v>
      </c>
      <c r="Y164" s="762" t="s">
        <v>165</v>
      </c>
      <c r="Z164" s="602" t="e">
        <f>-Input_PL_IncentiveMaxAdj_LenderPaidComp+Input_PL_MaxPriceBase_MN_04PP+Input_PL_Incentive_MN+Input_PL_IncentiveMaxAdj_MN</f>
        <v>#NAME?</v>
      </c>
      <c r="AA164" s="603" t="e" cm="1">
        <f t="array" ref="AA164">[1]!Input_MaxPriceNet_MN_04PP</f>
        <v>#NAME?</v>
      </c>
      <c r="AC164" s="894" t="s">
        <v>2053</v>
      </c>
      <c r="AD164" s="894" t="s">
        <v>3886</v>
      </c>
      <c r="AE164" s="894" t="s">
        <v>1622</v>
      </c>
      <c r="AF164" s="895" t="s">
        <v>2076</v>
      </c>
      <c r="AG164" s="1192" t="str">
        <f t="shared" si="151"/>
        <v>Master Liability Insurance (w/ Walls-In)</v>
      </c>
      <c r="AH164" s="1172" t="str">
        <f>IF(AG164="","",IF(AC164="Disclosure",MAX(AH$104:AH163)+1,""))</f>
        <v/>
      </c>
      <c r="AI164" s="1173" t="str">
        <f t="shared" si="144"/>
        <v/>
      </c>
      <c r="AJ164" s="1174" t="str">
        <f>IF(AG164="","",IF(AC164="SubmissionRequired",MAX(AJ$104:AJ163)+1,""))</f>
        <v/>
      </c>
      <c r="AK164" s="1176" t="str">
        <f t="shared" si="145"/>
        <v/>
      </c>
      <c r="AL164" s="1177">
        <f>IF(AG164="","",IF(AC164="SubmissionRecommended",MAX(AL$104:AL163)+1,""))</f>
        <v>25</v>
      </c>
      <c r="AM164" s="1179" t="str">
        <f t="shared" si="146"/>
        <v/>
      </c>
      <c r="AN164" s="1318" t="str">
        <f>IF(AG164="","",IF(AC164="DocType",MAX(AN$104:AN163)+1,""))</f>
        <v/>
      </c>
      <c r="AO164" s="1320" t="str">
        <f t="shared" si="147"/>
        <v/>
      </c>
      <c r="AP164" s="514" t="s">
        <v>76</v>
      </c>
      <c r="AV164" s="1267" t="s">
        <v>2130</v>
      </c>
      <c r="AW164" s="1238" t="s">
        <v>2163</v>
      </c>
      <c r="AX164" s="1239" t="str">
        <f t="shared" si="148"/>
        <v>PE_008.2500000000</v>
      </c>
      <c r="AY164" s="1240">
        <f>[1]!PE_R11</f>
        <v>8.25</v>
      </c>
      <c r="AZ164" s="1240">
        <f>[1]!PE_ARM05_P11+Input_PL_Incentive_PE</f>
        <v>103.375</v>
      </c>
      <c r="BA164" s="1240">
        <f>[1]!PE_FRM30_P11+Input_PL_Incentive_PE</f>
        <v>103.375</v>
      </c>
      <c r="BB164" s="1239">
        <f t="shared" si="150"/>
        <v>103.375</v>
      </c>
      <c r="BC164" s="1239" t="str">
        <f t="shared" si="149"/>
        <v>PE_103.3750000000</v>
      </c>
      <c r="BD164" s="1239"/>
      <c r="BE164" s="1268" t="s">
        <v>2174</v>
      </c>
    </row>
    <row r="165" spans="13:57" ht="9.6" customHeight="1" x14ac:dyDescent="0.2">
      <c r="M165" s="1595" t="s">
        <v>2949</v>
      </c>
      <c r="N165" s="1595" t="s">
        <v>2810</v>
      </c>
      <c r="O165" s="1595" t="s">
        <v>2950</v>
      </c>
      <c r="P165" s="515"/>
      <c r="Q165" s="515"/>
      <c r="R165" s="515"/>
      <c r="S165" s="515"/>
      <c r="T165" s="515"/>
      <c r="X165" s="779" t="s">
        <v>752</v>
      </c>
      <c r="Y165" s="779" t="s">
        <v>166</v>
      </c>
      <c r="Z165" s="610" t="e">
        <f>-Input_PL_IncentiveMaxAdj_LenderPaidComp+Input_PL_MaxPriceBase_MN_05PP+Input_PL_Incentive_MN+Input_PL_IncentiveMaxAdj_MN</f>
        <v>#NAME?</v>
      </c>
      <c r="AA165" s="611" t="e" cm="1">
        <f t="array" ref="AA165">[1]!Input_MaxPriceNet_MN_05PP</f>
        <v>#NAME?</v>
      </c>
      <c r="AC165" s="894" t="s">
        <v>2053</v>
      </c>
      <c r="AD165" s="894" t="s">
        <v>3886</v>
      </c>
      <c r="AE165" s="894" t="s">
        <v>1622</v>
      </c>
      <c r="AF165" s="895" t="s">
        <v>2093</v>
      </c>
      <c r="AG165" s="1192" t="str">
        <f t="shared" si="151"/>
        <v>Fidelity Bond (Projects &gt; 20 units)</v>
      </c>
      <c r="AH165" s="1172" t="str">
        <f>IF(AG165="","",IF(AC165="Disclosure",MAX(AH$104:AH164)+1,""))</f>
        <v/>
      </c>
      <c r="AI165" s="1173" t="str">
        <f t="shared" si="144"/>
        <v/>
      </c>
      <c r="AJ165" s="1174" t="str">
        <f>IF(AG165="","",IF(AC165="SubmissionRequired",MAX(AJ$104:AJ164)+1,""))</f>
        <v/>
      </c>
      <c r="AK165" s="1176" t="str">
        <f t="shared" si="145"/>
        <v/>
      </c>
      <c r="AL165" s="1177">
        <f>IF(AG165="","",IF(AC165="SubmissionRecommended",MAX(AL$104:AL164)+1,""))</f>
        <v>26</v>
      </c>
      <c r="AM165" s="1179" t="str">
        <f t="shared" si="146"/>
        <v/>
      </c>
      <c r="AN165" s="1318" t="str">
        <f>IF(AG165="","",IF(AC165="DocType",MAX(AN$104:AN164)+1,""))</f>
        <v/>
      </c>
      <c r="AO165" s="1320" t="str">
        <f t="shared" si="147"/>
        <v/>
      </c>
      <c r="AP165" s="514" t="s">
        <v>76</v>
      </c>
      <c r="AV165" s="1267" t="s">
        <v>2130</v>
      </c>
      <c r="AW165" s="1238" t="s">
        <v>2163</v>
      </c>
      <c r="AX165" s="1239" t="str">
        <f t="shared" si="148"/>
        <v>PE_008.1250000000</v>
      </c>
      <c r="AY165" s="1240">
        <f>[1]!PE_R12</f>
        <v>8.125</v>
      </c>
      <c r="AZ165" s="1240">
        <f>[1]!PE_ARM05_P12+Input_PL_Incentive_PE</f>
        <v>103.125</v>
      </c>
      <c r="BA165" s="1240">
        <f>[1]!PE_FRM30_P12+Input_PL_Incentive_PE</f>
        <v>103.125</v>
      </c>
      <c r="BB165" s="1239">
        <f t="shared" si="150"/>
        <v>103.125</v>
      </c>
      <c r="BC165" s="1239" t="str">
        <f t="shared" si="149"/>
        <v>PE_103.1250000000</v>
      </c>
      <c r="BD165" s="1239"/>
      <c r="BE165" s="1268" t="s">
        <v>2175</v>
      </c>
    </row>
    <row r="166" spans="13:57" ht="9.6" customHeight="1" x14ac:dyDescent="0.2">
      <c r="M166" s="1595" t="s">
        <v>2951</v>
      </c>
      <c r="N166" s="1595" t="s">
        <v>2810</v>
      </c>
      <c r="O166" s="1595" t="s">
        <v>2952</v>
      </c>
      <c r="P166" s="515"/>
      <c r="Q166" s="515"/>
      <c r="R166" s="515"/>
      <c r="S166" s="515"/>
      <c r="T166" s="515"/>
      <c r="X166" s="762" t="s">
        <v>761</v>
      </c>
      <c r="Y166" s="762" t="s">
        <v>68</v>
      </c>
      <c r="Z166" s="602" t="e">
        <f>-Input_PL_IncentiveMaxAdj_LenderPaidComp+Input_PL_MaxPriceBase_MN_01PP+Input_PL_Incentive_MN+Input_PL_IncentiveMaxAdj_MN</f>
        <v>#NAME?</v>
      </c>
      <c r="AA166" s="603" t="e" cm="1">
        <f t="array" ref="AA166">[1]!Input_MaxPriceNet_MN_01PP</f>
        <v>#NAME?</v>
      </c>
      <c r="AC166" s="894" t="s">
        <v>2053</v>
      </c>
      <c r="AD166" s="894" t="s">
        <v>3886</v>
      </c>
      <c r="AE166" s="894" t="s">
        <v>1622</v>
      </c>
      <c r="AF166" s="895" t="s">
        <v>2110</v>
      </c>
      <c r="AG166" s="1192" t="str">
        <f t="shared" si="151"/>
        <v>HO-6 (if Master Ins Does Not Have Walls-In (Bare Walls Not Acceptable))</v>
      </c>
      <c r="AH166" s="1172" t="str">
        <f>IF(AG166="","",IF(AC166="Disclosure",MAX(AH$104:AH165)+1,""))</f>
        <v/>
      </c>
      <c r="AI166" s="1173" t="str">
        <f t="shared" si="144"/>
        <v/>
      </c>
      <c r="AJ166" s="1174" t="str">
        <f>IF(AG166="","",IF(AC166="SubmissionRequired",MAX(AJ$104:AJ165)+1,""))</f>
        <v/>
      </c>
      <c r="AK166" s="1176" t="str">
        <f t="shared" si="145"/>
        <v/>
      </c>
      <c r="AL166" s="1177">
        <f>IF(AG166="","",IF(AC166="SubmissionRecommended",MAX(AL$104:AL165)+1,""))</f>
        <v>27</v>
      </c>
      <c r="AM166" s="1179" t="str">
        <f t="shared" si="146"/>
        <v/>
      </c>
      <c r="AN166" s="1318" t="str">
        <f>IF(AG166="","",IF(AC166="DocType",MAX(AN$104:AN165)+1,""))</f>
        <v/>
      </c>
      <c r="AO166" s="1320" t="str">
        <f t="shared" si="147"/>
        <v/>
      </c>
      <c r="AP166" s="514" t="s">
        <v>76</v>
      </c>
      <c r="AV166" s="1267" t="s">
        <v>2130</v>
      </c>
      <c r="AW166" s="1238" t="s">
        <v>2163</v>
      </c>
      <c r="AX166" s="1239" t="str">
        <f t="shared" si="148"/>
        <v>PE_008.0000000000</v>
      </c>
      <c r="AY166" s="1240">
        <f>[1]!PE_R13</f>
        <v>8</v>
      </c>
      <c r="AZ166" s="1240">
        <f>[1]!PE_ARM05_P13+Input_PL_Incentive_PE</f>
        <v>102.875</v>
      </c>
      <c r="BA166" s="1240">
        <f>[1]!PE_FRM30_P13+Input_PL_Incentive_PE</f>
        <v>102.875</v>
      </c>
      <c r="BB166" s="1239">
        <f t="shared" si="150"/>
        <v>102.875</v>
      </c>
      <c r="BC166" s="1239" t="str">
        <f t="shared" si="149"/>
        <v>PE_102.8750000000</v>
      </c>
      <c r="BD166" s="1239"/>
      <c r="BE166" s="1268" t="s">
        <v>2176</v>
      </c>
    </row>
    <row r="167" spans="13:57" ht="9.6" customHeight="1" x14ac:dyDescent="0.2">
      <c r="M167" s="1595" t="s">
        <v>2953</v>
      </c>
      <c r="N167" s="1595" t="s">
        <v>2810</v>
      </c>
      <c r="O167" s="1595" t="s">
        <v>2954</v>
      </c>
      <c r="P167" s="515"/>
      <c r="Q167" s="515"/>
      <c r="R167" s="515"/>
      <c r="S167" s="515"/>
      <c r="T167" s="515"/>
      <c r="X167" s="762" t="s">
        <v>760</v>
      </c>
      <c r="Y167" s="762" t="s">
        <v>67</v>
      </c>
      <c r="Z167" s="602" t="e">
        <f>-Input_PL_IncentiveMaxAdj_LenderPaidComp+Input_PL_MaxPriceBase_MN_02PP+Input_PL_Incentive_MN+Input_PL_IncentiveMaxAdj_MN</f>
        <v>#NAME?</v>
      </c>
      <c r="AA167" s="603" t="e" cm="1">
        <f t="array" ref="AA167">[1]!Input_MaxPriceNet_MN_02PP</f>
        <v>#NAME?</v>
      </c>
      <c r="AC167" s="894" t="s">
        <v>2053</v>
      </c>
      <c r="AD167" s="894" t="s">
        <v>3886</v>
      </c>
      <c r="AE167" s="894" t="s">
        <v>1622</v>
      </c>
      <c r="AF167" s="895" t="s">
        <v>2102</v>
      </c>
      <c r="AG167" s="1192" t="str">
        <f t="shared" si="151"/>
        <v>1031 Exchange Documentation [if applicable] (Executed Agreement and Settlement Stmt from Accommodator)</v>
      </c>
      <c r="AH167" s="1172" t="str">
        <f>IF(AG167="","",IF(AC167="Disclosure",MAX(AH$104:AH166)+1,""))</f>
        <v/>
      </c>
      <c r="AI167" s="1173" t="str">
        <f t="shared" si="144"/>
        <v/>
      </c>
      <c r="AJ167" s="1174" t="str">
        <f>IF(AG167="","",IF(AC167="SubmissionRequired",MAX(AJ$104:AJ166)+1,""))</f>
        <v/>
      </c>
      <c r="AK167" s="1176" t="str">
        <f t="shared" si="145"/>
        <v/>
      </c>
      <c r="AL167" s="1177">
        <f>IF(AG167="","",IF(AC167="SubmissionRecommended",MAX(AL$104:AL166)+1,""))</f>
        <v>28</v>
      </c>
      <c r="AM167" s="1179" t="str">
        <f t="shared" si="146"/>
        <v/>
      </c>
      <c r="AN167" s="1318" t="str">
        <f>IF(AG167="","",IF(AC167="DocType",MAX(AN$104:AN166)+1,""))</f>
        <v/>
      </c>
      <c r="AO167" s="1320" t="str">
        <f t="shared" si="147"/>
        <v/>
      </c>
      <c r="AP167" s="514" t="s">
        <v>76</v>
      </c>
      <c r="AV167" s="1267" t="s">
        <v>2130</v>
      </c>
      <c r="AW167" s="1238" t="s">
        <v>2163</v>
      </c>
      <c r="AX167" s="1239" t="str">
        <f t="shared" si="148"/>
        <v>PE_007.8750000000</v>
      </c>
      <c r="AY167" s="1240">
        <f>[1]!PE_R14</f>
        <v>7.875</v>
      </c>
      <c r="AZ167" s="1240">
        <f>[1]!PE_ARM05_P14+Input_PL_Incentive_PE</f>
        <v>102.625</v>
      </c>
      <c r="BA167" s="1240">
        <f>[1]!PE_FRM30_P14+Input_PL_Incentive_PE</f>
        <v>102.625</v>
      </c>
      <c r="BB167" s="1239">
        <f t="shared" si="150"/>
        <v>102.625</v>
      </c>
      <c r="BC167" s="1239" t="str">
        <f t="shared" si="149"/>
        <v>PE_102.6250000000</v>
      </c>
      <c r="BD167" s="1239"/>
      <c r="BE167" s="1268" t="s">
        <v>2177</v>
      </c>
    </row>
    <row r="168" spans="13:57" ht="9.6" customHeight="1" x14ac:dyDescent="0.2">
      <c r="M168" s="1595" t="s">
        <v>2955</v>
      </c>
      <c r="N168" s="1595" t="s">
        <v>2810</v>
      </c>
      <c r="O168" s="1595" t="s">
        <v>2942</v>
      </c>
      <c r="P168" s="515"/>
      <c r="Q168" s="515"/>
      <c r="R168" s="515"/>
      <c r="S168" s="515"/>
      <c r="T168" s="515"/>
      <c r="X168" s="762" t="s">
        <v>759</v>
      </c>
      <c r="Y168" s="762" t="s">
        <v>66</v>
      </c>
      <c r="Z168" s="602" t="e">
        <f>-Input_PL_IncentiveMaxAdj_LenderPaidComp+Input_PL_MaxPriceBase_MN_03PP+Input_PL_Incentive_MN+Input_PL_IncentiveMaxAdj_MN</f>
        <v>#NAME?</v>
      </c>
      <c r="AA168" s="603" t="e" cm="1">
        <f t="array" ref="AA168">[1]!Input_MaxPriceNet_MN_03PP</f>
        <v>#NAME?</v>
      </c>
      <c r="AC168" s="894" t="s">
        <v>2053</v>
      </c>
      <c r="AD168" s="894" t="s">
        <v>3886</v>
      </c>
      <c r="AE168" s="894" t="s">
        <v>1622</v>
      </c>
      <c r="AF168" s="895" t="s">
        <v>2046</v>
      </c>
      <c r="AG168" s="1187" t="str">
        <f>IF(AND(Input_Purpose="Cash-Out",Input_State="TX"),Structure!AF163,"")</f>
        <v/>
      </c>
      <c r="AH168" s="1172" t="str">
        <f>IF(AG168="","",IF(AC168="Disclosure",MAX(AH$104:AH167)+1,""))</f>
        <v/>
      </c>
      <c r="AI168" s="1173" t="str">
        <f t="shared" si="144"/>
        <v/>
      </c>
      <c r="AJ168" s="1174" t="str">
        <f>IF(AG168="","",IF(AC168="SubmissionRequired",MAX(AJ$104:AJ167)+1,""))</f>
        <v/>
      </c>
      <c r="AK168" s="1176" t="str">
        <f t="shared" si="145"/>
        <v/>
      </c>
      <c r="AL168" s="1177" t="str">
        <f>IF(AG168="","",IF(AC168="SubmissionRecommended",MAX(AL$104:AL167)+1,""))</f>
        <v/>
      </c>
      <c r="AM168" s="1179" t="str">
        <f t="shared" si="146"/>
        <v/>
      </c>
      <c r="AN168" s="1318" t="str">
        <f>IF(AG168="","",IF(AC168="DocType",MAX(AN$104:AN167)+1,""))</f>
        <v/>
      </c>
      <c r="AO168" s="1320" t="str">
        <f t="shared" si="147"/>
        <v/>
      </c>
      <c r="AP168" s="514" t="s">
        <v>76</v>
      </c>
      <c r="AV168" s="1267" t="s">
        <v>2130</v>
      </c>
      <c r="AW168" s="1238" t="s">
        <v>2163</v>
      </c>
      <c r="AX168" s="1239" t="str">
        <f t="shared" si="148"/>
        <v>PE_007.7500000000</v>
      </c>
      <c r="AY168" s="1240">
        <f>[1]!PE_R15</f>
        <v>7.75</v>
      </c>
      <c r="AZ168" s="1240">
        <f>[1]!PE_ARM05_P15+Input_PL_Incentive_PE</f>
        <v>102.375</v>
      </c>
      <c r="BA168" s="1240">
        <f>[1]!PE_FRM30_P15+Input_PL_Incentive_PE</f>
        <v>102.375</v>
      </c>
      <c r="BB168" s="1239">
        <f t="shared" si="150"/>
        <v>102.375</v>
      </c>
      <c r="BC168" s="1239" t="str">
        <f t="shared" si="149"/>
        <v>PE_102.3750000000</v>
      </c>
      <c r="BD168" s="1239"/>
      <c r="BE168" s="1268" t="s">
        <v>2178</v>
      </c>
    </row>
    <row r="169" spans="13:57" ht="9.6" customHeight="1" x14ac:dyDescent="0.2">
      <c r="M169" s="1595" t="s">
        <v>2956</v>
      </c>
      <c r="N169" s="1595" t="s">
        <v>2810</v>
      </c>
      <c r="O169" s="1595" t="s">
        <v>2944</v>
      </c>
      <c r="P169" s="515"/>
      <c r="Q169" s="515"/>
      <c r="R169" s="515"/>
      <c r="S169" s="515"/>
      <c r="T169" s="515"/>
      <c r="X169" s="762" t="s">
        <v>758</v>
      </c>
      <c r="Y169" s="762" t="s">
        <v>165</v>
      </c>
      <c r="Z169" s="602" t="e">
        <f>-Input_PL_IncentiveMaxAdj_LenderPaidComp+Input_PL_MaxPriceBase_MN_04PP+Input_PL_Incentive_MN+Input_PL_IncentiveMaxAdj_MN</f>
        <v>#NAME?</v>
      </c>
      <c r="AA169" s="603" t="e" cm="1">
        <f t="array" ref="AA169">[1]!Input_MaxPriceNet_MN_04PP</f>
        <v>#NAME?</v>
      </c>
      <c r="AC169" s="894" t="s">
        <v>2053</v>
      </c>
      <c r="AD169" s="894" t="s">
        <v>3886</v>
      </c>
      <c r="AE169" s="894" t="s">
        <v>1622</v>
      </c>
      <c r="AF169" s="895" t="s">
        <v>2094</v>
      </c>
      <c r="AG169" s="1192" t="str">
        <f>AF169</f>
        <v>Solar Agreement and Endorsement [if applicable]</v>
      </c>
      <c r="AH169" s="1172" t="str">
        <f>IF(AG169="","",IF(AC169="Disclosure",MAX(AH$104:AH168)+1,""))</f>
        <v/>
      </c>
      <c r="AI169" s="1173" t="str">
        <f t="shared" ref="AI169:AI198" si="152">IFERROR(INDEX($AG$105:$AG$198,MATCH(ROW()-ROW($AI$104),$AH$105:$AH$198,0)),"")</f>
        <v/>
      </c>
      <c r="AJ169" s="1174" t="str">
        <f>IF(AG169="","",IF(AC169="SubmissionRequired",MAX(AJ$104:AJ168)+1,""))</f>
        <v/>
      </c>
      <c r="AK169" s="1176" t="str">
        <f t="shared" ref="AK169:AK198" si="153">IFERROR(INDEX($AG$105:$AG$198,MATCH(ROW()-ROW($AK$104),$AJ$105:$AJ$198,0)),"")</f>
        <v/>
      </c>
      <c r="AL169" s="1177">
        <f>IF(AG169="","",IF(AC169="SubmissionRecommended",MAX(AL$104:AL168)+1,""))</f>
        <v>29</v>
      </c>
      <c r="AM169" s="1179" t="str">
        <f t="shared" ref="AM169:AM198" si="154">IFERROR(INDEX($AG$105:$AG$198,MATCH(ROW()-ROW($AM$104),$AL$105:$AL$198,0)),"")</f>
        <v/>
      </c>
      <c r="AN169" s="1318" t="str">
        <f>IF(AG169="","",IF(AC169="DocType",MAX(AN$104:AN168)+1,""))</f>
        <v/>
      </c>
      <c r="AO169" s="1320" t="str">
        <f t="shared" ref="AO169:AO198" si="155">IFERROR(INDEX($AG$105:$AG$198,MATCH(ROW()-ROW($AO$104),$AN$105:$AN$198,0)),"")</f>
        <v/>
      </c>
      <c r="AP169" s="514" t="s">
        <v>76</v>
      </c>
      <c r="AV169" s="1267" t="s">
        <v>2130</v>
      </c>
      <c r="AW169" s="1238" t="s">
        <v>2163</v>
      </c>
      <c r="AX169" s="1239" t="str">
        <f t="shared" si="148"/>
        <v>PE_007.6250000000</v>
      </c>
      <c r="AY169" s="1240">
        <f>[1]!PE_R16</f>
        <v>7.625</v>
      </c>
      <c r="AZ169" s="1240">
        <f>[1]!PE_ARM05_P16+Input_PL_Incentive_PE</f>
        <v>102.125</v>
      </c>
      <c r="BA169" s="1240">
        <f>[1]!PE_FRM30_P16+Input_PL_Incentive_PE</f>
        <v>102.125</v>
      </c>
      <c r="BB169" s="1239">
        <f t="shared" si="150"/>
        <v>102.125</v>
      </c>
      <c r="BC169" s="1239" t="str">
        <f t="shared" si="149"/>
        <v>PE_102.1250000000</v>
      </c>
      <c r="BD169" s="1239"/>
      <c r="BE169" s="1268" t="s">
        <v>2179</v>
      </c>
    </row>
    <row r="170" spans="13:57" ht="9.6" customHeight="1" x14ac:dyDescent="0.2">
      <c r="M170" s="1595" t="s">
        <v>2957</v>
      </c>
      <c r="N170" s="1595" t="s">
        <v>2810</v>
      </c>
      <c r="O170" s="1595" t="s">
        <v>2946</v>
      </c>
      <c r="P170" s="515"/>
      <c r="Q170" s="515"/>
      <c r="R170" s="515"/>
      <c r="S170" s="515"/>
      <c r="T170" s="515"/>
      <c r="X170" s="779" t="s">
        <v>757</v>
      </c>
      <c r="Y170" s="779" t="s">
        <v>166</v>
      </c>
      <c r="Z170" s="610" t="e">
        <f>-Input_PL_IncentiveMaxAdj_LenderPaidComp+Input_PL_MaxPriceBase_MN_05PP+Input_PL_Incentive_MN+Input_PL_IncentiveMaxAdj_MN</f>
        <v>#NAME?</v>
      </c>
      <c r="AA170" s="611" t="e" cm="1">
        <f t="array" ref="AA170">[1]!Input_MaxPriceNet_MN_05PP</f>
        <v>#NAME?</v>
      </c>
      <c r="AC170" s="1182" t="s">
        <v>2053</v>
      </c>
      <c r="AD170" s="1182" t="s">
        <v>3886</v>
      </c>
      <c r="AE170" s="1182" t="s">
        <v>2044</v>
      </c>
      <c r="AF170" s="1185" t="s">
        <v>2063</v>
      </c>
      <c r="AG170" s="1187" t="str">
        <f>IF(Input_State="CO",Structure!AF170,"")</f>
        <v/>
      </c>
      <c r="AH170" s="1172" t="str">
        <f>IF(AG170="","",IF(AC170="Disclosure",MAX(AH$104:AH169)+1,""))</f>
        <v/>
      </c>
      <c r="AI170" s="1173" t="str">
        <f t="shared" si="152"/>
        <v/>
      </c>
      <c r="AJ170" s="1174" t="str">
        <f>IF(AG170="","",IF(AC170="SubmissionRequired",MAX(AJ$104:AJ169)+1,""))</f>
        <v/>
      </c>
      <c r="AK170" s="1176" t="str">
        <f t="shared" si="153"/>
        <v/>
      </c>
      <c r="AL170" s="1177" t="str">
        <f>IF(AG170="","",IF(AC170="SubmissionRecommended",MAX(AL$104:AL169)+1,""))</f>
        <v/>
      </c>
      <c r="AM170" s="1179" t="str">
        <f t="shared" si="154"/>
        <v/>
      </c>
      <c r="AN170" s="1318" t="str">
        <f>IF(AG170="","",IF(AC170="DocType",MAX(AN$104:AN169)+1,""))</f>
        <v/>
      </c>
      <c r="AO170" s="1320" t="str">
        <f t="shared" si="155"/>
        <v/>
      </c>
      <c r="AP170" s="514" t="s">
        <v>76</v>
      </c>
      <c r="AV170" s="1267" t="s">
        <v>2130</v>
      </c>
      <c r="AW170" s="1238" t="s">
        <v>2163</v>
      </c>
      <c r="AX170" s="1239" t="str">
        <f t="shared" si="148"/>
        <v>PE_007.4900000000</v>
      </c>
      <c r="AY170" s="1240">
        <f>[1]!PE_R17</f>
        <v>7.49</v>
      </c>
      <c r="AZ170" s="1240">
        <f>[1]!PE_ARM05_P17+Input_PL_Incentive_PE</f>
        <v>101.875</v>
      </c>
      <c r="BA170" s="1240">
        <f>[1]!PE_FRM30_P17+Input_PL_Incentive_PE</f>
        <v>101.875</v>
      </c>
      <c r="BB170" s="1239">
        <f t="shared" si="150"/>
        <v>101.875</v>
      </c>
      <c r="BC170" s="1239" t="str">
        <f t="shared" si="149"/>
        <v>PE_101.8750000000</v>
      </c>
      <c r="BD170" s="1239"/>
      <c r="BE170" s="1268" t="s">
        <v>2180</v>
      </c>
    </row>
    <row r="171" spans="13:57" ht="9.6" customHeight="1" x14ac:dyDescent="0.2">
      <c r="M171" s="1595" t="s">
        <v>2958</v>
      </c>
      <c r="N171" s="1595" t="s">
        <v>2810</v>
      </c>
      <c r="O171" s="1595" t="s">
        <v>2948</v>
      </c>
      <c r="P171" s="515"/>
      <c r="Q171" s="515"/>
      <c r="R171" s="515"/>
      <c r="S171" s="515"/>
      <c r="T171" s="515"/>
      <c r="AC171" s="1182" t="s">
        <v>2537</v>
      </c>
      <c r="AD171" s="1182" t="s">
        <v>3886</v>
      </c>
      <c r="AE171" s="1182" t="s">
        <v>1640</v>
      </c>
      <c r="AF171" s="1185" t="s">
        <v>2527</v>
      </c>
      <c r="AG171" s="1187" t="str">
        <f>IF(Input_DocType=Structure!AE171,Structure!AF171,"")</f>
        <v>Full documentation of non-employment income (SSI, pension, alimony, child support, trust income, etc.)</v>
      </c>
      <c r="AH171" s="1172" t="str">
        <f>IF(AG171="","",IF(AC171="Disclosure",MAX(AH$104:AH170)+1,""))</f>
        <v/>
      </c>
      <c r="AI171" s="1173" t="str">
        <f t="shared" si="152"/>
        <v/>
      </c>
      <c r="AJ171" s="1174" t="str">
        <f>IF(AG171="","",IF(AC171="SubmissionRequired",MAX(AJ$104:AJ170)+1,""))</f>
        <v/>
      </c>
      <c r="AK171" s="1176" t="str">
        <f t="shared" si="153"/>
        <v/>
      </c>
      <c r="AL171" s="1177" t="str">
        <f>IF(AG171="","",IF(AC171="SubmissionRecommended",MAX(AL$104:AL170)+1,""))</f>
        <v/>
      </c>
      <c r="AM171" s="1179" t="str">
        <f t="shared" si="154"/>
        <v/>
      </c>
      <c r="AN171" s="1318">
        <f>IF(AG171="","",IF(AC171="DocType",MAX(AN$104:AN170)+1,""))</f>
        <v>1</v>
      </c>
      <c r="AO171" s="1320" t="str">
        <f t="shared" si="155"/>
        <v/>
      </c>
      <c r="AP171" s="514" t="s">
        <v>76</v>
      </c>
      <c r="AV171" s="1267" t="s">
        <v>2130</v>
      </c>
      <c r="AW171" s="1238" t="s">
        <v>2163</v>
      </c>
      <c r="AX171" s="1239" t="str">
        <f t="shared" si="148"/>
        <v>PE_007.3750000000</v>
      </c>
      <c r="AY171" s="1240">
        <f>[1]!PE_R18</f>
        <v>7.375</v>
      </c>
      <c r="AZ171" s="1240">
        <f>[1]!PE_ARM05_P18+Input_PL_Incentive_PE</f>
        <v>101.5625</v>
      </c>
      <c r="BA171" s="1240">
        <f>[1]!PE_FRM30_P18+Input_PL_Incentive_PE</f>
        <v>101.5625</v>
      </c>
      <c r="BB171" s="1239">
        <f t="shared" si="150"/>
        <v>101.5625</v>
      </c>
      <c r="BC171" s="1239" t="str">
        <f t="shared" si="149"/>
        <v>PE_101.5625000000</v>
      </c>
      <c r="BD171" s="1239"/>
      <c r="BE171" s="1268" t="s">
        <v>2181</v>
      </c>
    </row>
    <row r="172" spans="13:57" ht="9.6" customHeight="1" x14ac:dyDescent="0.2">
      <c r="M172" s="1595" t="s">
        <v>2959</v>
      </c>
      <c r="N172" s="1595" t="s">
        <v>2810</v>
      </c>
      <c r="O172" s="1595" t="s">
        <v>2950</v>
      </c>
      <c r="P172" s="515"/>
      <c r="Q172" s="515"/>
      <c r="R172" s="515"/>
      <c r="S172" s="515"/>
      <c r="T172" s="515"/>
      <c r="AC172" s="1182" t="s">
        <v>2537</v>
      </c>
      <c r="AD172" s="1182" t="s">
        <v>3886</v>
      </c>
      <c r="AE172" s="1182" t="s">
        <v>1640</v>
      </c>
      <c r="AF172" s="1185" t="s">
        <v>2528</v>
      </c>
      <c r="AG172" s="1187" t="str">
        <f>IF(Input_DocType=Structure!AE172,Structure!AF172,"")</f>
        <v>2yrs W2s or personal returns, 1mo recent paystubs (Wage earners only)</v>
      </c>
      <c r="AH172" s="1172" t="str">
        <f>IF(AG172="","",IF(AC172="Disclosure",MAX(AH$104:AH171)+1,""))</f>
        <v/>
      </c>
      <c r="AI172" s="1173" t="str">
        <f t="shared" si="152"/>
        <v/>
      </c>
      <c r="AJ172" s="1174" t="str">
        <f>IF(AG172="","",IF(AC172="SubmissionRequired",MAX(AJ$104:AJ171)+1,""))</f>
        <v/>
      </c>
      <c r="AK172" s="1176" t="str">
        <f t="shared" si="153"/>
        <v/>
      </c>
      <c r="AL172" s="1177" t="str">
        <f>IF(AG172="","",IF(AC172="SubmissionRecommended",MAX(AL$104:AL171)+1,""))</f>
        <v/>
      </c>
      <c r="AM172" s="1179" t="str">
        <f t="shared" si="154"/>
        <v/>
      </c>
      <c r="AN172" s="1318">
        <f>IF(AG172="","",IF(AC172="DocType",MAX(AN$104:AN171)+1,""))</f>
        <v>2</v>
      </c>
      <c r="AO172" s="1320" t="str">
        <f t="shared" si="155"/>
        <v/>
      </c>
      <c r="AP172" s="514" t="s">
        <v>76</v>
      </c>
      <c r="AV172" s="1267" t="s">
        <v>2130</v>
      </c>
      <c r="AW172" s="1238" t="s">
        <v>2163</v>
      </c>
      <c r="AX172" s="1239" t="str">
        <f t="shared" si="148"/>
        <v>PE_007.2500000000</v>
      </c>
      <c r="AY172" s="1240">
        <f>[1]!PE_R19</f>
        <v>7.25</v>
      </c>
      <c r="AZ172" s="1240">
        <f>[1]!PE_ARM05_P19+Input_PL_Incentive_PE</f>
        <v>101.21875</v>
      </c>
      <c r="BA172" s="1240">
        <f>[1]!PE_FRM30_P19+Input_PL_Incentive_PE</f>
        <v>101.21875</v>
      </c>
      <c r="BB172" s="1239">
        <f t="shared" si="150"/>
        <v>101.21875</v>
      </c>
      <c r="BC172" s="1239" t="str">
        <f t="shared" si="149"/>
        <v>PE_101.2187500000</v>
      </c>
      <c r="BD172" s="1239"/>
      <c r="BE172" s="1268" t="s">
        <v>2182</v>
      </c>
    </row>
    <row r="173" spans="13:57" ht="9.6" customHeight="1" x14ac:dyDescent="0.2">
      <c r="M173" s="1595" t="s">
        <v>2960</v>
      </c>
      <c r="N173" s="1595" t="s">
        <v>2810</v>
      </c>
      <c r="O173" s="1595" t="s">
        <v>2952</v>
      </c>
      <c r="P173" s="515"/>
      <c r="Q173" s="515"/>
      <c r="R173" s="515"/>
      <c r="S173" s="515"/>
      <c r="T173" s="515"/>
      <c r="Y173" s="807" t="s">
        <v>64</v>
      </c>
      <c r="Z173" s="808" t="s">
        <v>359</v>
      </c>
      <c r="AA173" s="809" t="s">
        <v>261</v>
      </c>
      <c r="AC173" s="1182" t="s">
        <v>2537</v>
      </c>
      <c r="AD173" s="1182" t="s">
        <v>3886</v>
      </c>
      <c r="AE173" s="1182" t="s">
        <v>1640</v>
      </c>
      <c r="AF173" s="1185" t="s">
        <v>2529</v>
      </c>
      <c r="AG173" s="1187" t="str">
        <f>IF(Input_DocType=Structure!AE173,Structure!AF173,"")</f>
        <v>2yrs personal and business returns, YTD P&amp;L (Self-employed only)</v>
      </c>
      <c r="AH173" s="1172" t="str">
        <f>IF(AG173="","",IF(AC173="Disclosure",MAX(AH$104:AH172)+1,""))</f>
        <v/>
      </c>
      <c r="AI173" s="1173" t="str">
        <f t="shared" si="152"/>
        <v/>
      </c>
      <c r="AJ173" s="1174" t="str">
        <f>IF(AG173="","",IF(AC173="SubmissionRequired",MAX(AJ$104:AJ172)+1,""))</f>
        <v/>
      </c>
      <c r="AK173" s="1176" t="str">
        <f t="shared" si="153"/>
        <v/>
      </c>
      <c r="AL173" s="1177" t="str">
        <f>IF(AG173="","",IF(AC173="SubmissionRecommended",MAX(AL$104:AL172)+1,""))</f>
        <v/>
      </c>
      <c r="AM173" s="1179" t="str">
        <f t="shared" si="154"/>
        <v/>
      </c>
      <c r="AN173" s="1318">
        <f>IF(AG173="","",IF(AC173="DocType",MAX(AN$104:AN172)+1,""))</f>
        <v>3</v>
      </c>
      <c r="AO173" s="1320" t="str">
        <f t="shared" si="155"/>
        <v/>
      </c>
      <c r="AP173" s="514" t="s">
        <v>76</v>
      </c>
      <c r="AV173" s="1267" t="s">
        <v>2130</v>
      </c>
      <c r="AW173" s="1238" t="s">
        <v>2163</v>
      </c>
      <c r="AX173" s="1239" t="str">
        <f t="shared" si="148"/>
        <v>PE_007.1250000000</v>
      </c>
      <c r="AY173" s="1240">
        <f>[1]!PE_R20</f>
        <v>7.125</v>
      </c>
      <c r="AZ173" s="1240">
        <f>[1]!PE_ARM05_P20+Input_PL_Incentive_PE</f>
        <v>100.8125</v>
      </c>
      <c r="BA173" s="1240">
        <f>[1]!PE_FRM30_P20+Input_PL_Incentive_PE</f>
        <v>100.8125</v>
      </c>
      <c r="BB173" s="1239">
        <f t="shared" si="150"/>
        <v>100.8125</v>
      </c>
      <c r="BC173" s="1239" t="str">
        <f t="shared" si="149"/>
        <v>PE_100.8125000000</v>
      </c>
      <c r="BD173" s="1239"/>
      <c r="BE173" s="1268" t="s">
        <v>2183</v>
      </c>
    </row>
    <row r="174" spans="13:57" ht="9.6" customHeight="1" x14ac:dyDescent="0.2">
      <c r="M174" s="1595" t="s">
        <v>2961</v>
      </c>
      <c r="N174" s="1595" t="s">
        <v>2810</v>
      </c>
      <c r="O174" s="1595" t="s">
        <v>2954</v>
      </c>
      <c r="P174" s="515"/>
      <c r="Q174" s="515"/>
      <c r="R174" s="515"/>
      <c r="S174" s="515"/>
      <c r="T174" s="515"/>
      <c r="X174" s="815" t="s">
        <v>82</v>
      </c>
      <c r="Y174" s="524" t="str">
        <f t="shared" ref="Y174" si="156">IF(IFERROR(FIND(X174,INDEX(List_State_All,MATCH(Input_State,List_State,0),6)),0)&gt;0,X174,"")</f>
        <v>No Prepay</v>
      </c>
      <c r="Z174" s="816">
        <f>IF(Y174="","",MAX(Z$173:Z173)+1)</f>
        <v>1</v>
      </c>
      <c r="AA174" s="817" t="s">
        <v>82</v>
      </c>
      <c r="AC174" s="1182" t="s">
        <v>2537</v>
      </c>
      <c r="AD174" s="1182" t="s">
        <v>3886</v>
      </c>
      <c r="AE174" s="1182" t="s">
        <v>1640</v>
      </c>
      <c r="AF174" s="1185" t="s">
        <v>2543</v>
      </c>
      <c r="AG174" s="1187" t="str">
        <f>IF(Input_DocType=Structure!AE174,Structure!AF174,"")</f>
        <v>4506C [Signed by borrower(s)]</v>
      </c>
      <c r="AH174" s="1172" t="str">
        <f>IF(AG174="","",IF(AC174="Disclosure",MAX(AH$104:AH173)+1,""))</f>
        <v/>
      </c>
      <c r="AI174" s="1173" t="str">
        <f t="shared" si="152"/>
        <v/>
      </c>
      <c r="AJ174" s="1174" t="str">
        <f>IF(AG174="","",IF(AC174="SubmissionRequired",MAX(AJ$104:AJ173)+1,""))</f>
        <v/>
      </c>
      <c r="AK174" s="1176" t="str">
        <f t="shared" si="153"/>
        <v/>
      </c>
      <c r="AL174" s="1177" t="str">
        <f>IF(AG174="","",IF(AC174="SubmissionRecommended",MAX(AL$104:AL173)+1,""))</f>
        <v/>
      </c>
      <c r="AM174" s="1179" t="str">
        <f t="shared" si="154"/>
        <v/>
      </c>
      <c r="AN174" s="1318">
        <f>IF(AG174="","",IF(AC174="DocType",MAX(AN$104:AN173)+1,""))</f>
        <v>4</v>
      </c>
      <c r="AO174" s="1320" t="str">
        <f t="shared" si="155"/>
        <v/>
      </c>
      <c r="AP174" s="514" t="s">
        <v>76</v>
      </c>
      <c r="AV174" s="1267" t="s">
        <v>2130</v>
      </c>
      <c r="AW174" s="1238" t="s">
        <v>2163</v>
      </c>
      <c r="AX174" s="1239" t="str">
        <f t="shared" si="148"/>
        <v>PE_006.9900000000</v>
      </c>
      <c r="AY174" s="1240">
        <f>[1]!PE_R21</f>
        <v>6.99</v>
      </c>
      <c r="AZ174" s="1240">
        <f>[1]!PE_ARM05_P21+Input_PL_Incentive_PE</f>
        <v>100.375</v>
      </c>
      <c r="BA174" s="1240">
        <f>[1]!PE_FRM30_P21+Input_PL_Incentive_PE</f>
        <v>100.375</v>
      </c>
      <c r="BB174" s="1239">
        <f t="shared" si="150"/>
        <v>100.375</v>
      </c>
      <c r="BC174" s="1239" t="str">
        <f t="shared" si="149"/>
        <v>PE_100.3750000000</v>
      </c>
      <c r="BD174" s="1239"/>
      <c r="BE174" s="1268" t="s">
        <v>2184</v>
      </c>
    </row>
    <row r="175" spans="13:57" ht="9.6" customHeight="1" x14ac:dyDescent="0.2">
      <c r="M175" s="1595" t="s">
        <v>2962</v>
      </c>
      <c r="N175" s="1595" t="s">
        <v>181</v>
      </c>
      <c r="O175" s="1595" t="s">
        <v>2963</v>
      </c>
      <c r="P175" s="515"/>
      <c r="Q175" s="515"/>
      <c r="R175" s="515"/>
      <c r="S175" s="515"/>
      <c r="T175" s="515"/>
      <c r="X175" s="819" t="s">
        <v>76</v>
      </c>
      <c r="Y175" s="820" t="str">
        <f t="shared" ref="Y175:Y185" si="157">IF(IFERROR(FIND(X175,INDEX(List_State_All,MATCH(Input_State,List_State,0),6)),0)&gt;0,X175,"")</f>
        <v xml:space="preserve"> </v>
      </c>
      <c r="Z175" s="821">
        <f>IF(Y175="","",MAX(Z$173:Z174)+1)</f>
        <v>2</v>
      </c>
      <c r="AA175" s="822" t="s">
        <v>76</v>
      </c>
      <c r="AC175" s="1182" t="s">
        <v>2537</v>
      </c>
      <c r="AD175" s="1182" t="s">
        <v>3886</v>
      </c>
      <c r="AE175" s="1182" t="s">
        <v>1641</v>
      </c>
      <c r="AF175" s="1185" t="s">
        <v>2527</v>
      </c>
      <c r="AG175" s="1187" t="str">
        <f>IF(Input_DocType=Structure!AE175,Structure!AF175,"")</f>
        <v/>
      </c>
      <c r="AH175" s="1172" t="str">
        <f>IF(AG175="","",IF(AC175="Disclosure",MAX(AH$104:AH174)+1,""))</f>
        <v/>
      </c>
      <c r="AI175" s="1173" t="str">
        <f t="shared" si="152"/>
        <v/>
      </c>
      <c r="AJ175" s="1174" t="str">
        <f>IF(AG175="","",IF(AC175="SubmissionRequired",MAX(AJ$104:AJ174)+1,""))</f>
        <v/>
      </c>
      <c r="AK175" s="1176" t="str">
        <f t="shared" si="153"/>
        <v/>
      </c>
      <c r="AL175" s="1177" t="str">
        <f>IF(AG175="","",IF(AC175="SubmissionRecommended",MAX(AL$104:AL174)+1,""))</f>
        <v/>
      </c>
      <c r="AM175" s="1179" t="str">
        <f t="shared" si="154"/>
        <v/>
      </c>
      <c r="AN175" s="1318" t="str">
        <f>IF(AG175="","",IF(AC175="DocType",MAX(AN$104:AN174)+1,""))</f>
        <v/>
      </c>
      <c r="AO175" s="1320" t="str">
        <f t="shared" si="155"/>
        <v/>
      </c>
      <c r="AP175" s="514" t="s">
        <v>76</v>
      </c>
      <c r="AV175" s="1267" t="s">
        <v>2130</v>
      </c>
      <c r="AW175" s="1238" t="s">
        <v>2163</v>
      </c>
      <c r="AX175" s="1239" t="str">
        <f t="shared" si="148"/>
        <v>PE_006.8750000000</v>
      </c>
      <c r="AY175" s="1240">
        <f>[1]!PE_R22</f>
        <v>6.875</v>
      </c>
      <c r="AZ175" s="1240">
        <f>[1]!PE_ARM05_P22+Input_PL_Incentive_PE</f>
        <v>99.875</v>
      </c>
      <c r="BA175" s="1240">
        <f>[1]!PE_FRM30_P22+Input_PL_Incentive_PE</f>
        <v>99.875</v>
      </c>
      <c r="BB175" s="1239">
        <f t="shared" si="150"/>
        <v>99.875</v>
      </c>
      <c r="BC175" s="1239" t="str">
        <f t="shared" si="149"/>
        <v>PE_099.8750000000</v>
      </c>
      <c r="BD175" s="1239"/>
      <c r="BE175" s="1268" t="s">
        <v>2185</v>
      </c>
    </row>
    <row r="176" spans="13:57" ht="9.6" customHeight="1" x14ac:dyDescent="0.2">
      <c r="M176" s="1595" t="s">
        <v>2964</v>
      </c>
      <c r="N176" s="1595" t="s">
        <v>181</v>
      </c>
      <c r="O176" s="1595" t="s">
        <v>2965</v>
      </c>
      <c r="P176" s="515"/>
      <c r="Q176" s="515"/>
      <c r="R176" s="515"/>
      <c r="S176" s="515"/>
      <c r="T176" s="515"/>
      <c r="X176" s="823" t="s">
        <v>2658</v>
      </c>
      <c r="Y176" s="824" t="str">
        <f t="shared" si="157"/>
        <v>5yr Prepay_Standard</v>
      </c>
      <c r="Z176" s="825">
        <f>IF(Y176="","",MAX(Z$173:Z175)+1)</f>
        <v>3</v>
      </c>
      <c r="AA176" s="826" t="s">
        <v>2658</v>
      </c>
      <c r="AC176" s="1182" t="s">
        <v>2537</v>
      </c>
      <c r="AD176" s="1182" t="s">
        <v>3886</v>
      </c>
      <c r="AE176" s="1182" t="s">
        <v>1641</v>
      </c>
      <c r="AF176" s="1185" t="s">
        <v>2530</v>
      </c>
      <c r="AG176" s="1187" t="str">
        <f>IF(Input_DocType=Structure!AE176,Structure!AF176,"")</f>
        <v/>
      </c>
      <c r="AH176" s="1172" t="str">
        <f>IF(AG176="","",IF(AC176="Disclosure",MAX(AH$104:AH175)+1,""))</f>
        <v/>
      </c>
      <c r="AI176" s="1173" t="str">
        <f t="shared" si="152"/>
        <v/>
      </c>
      <c r="AJ176" s="1174" t="str">
        <f>IF(AG176="","",IF(AC176="SubmissionRequired",MAX(AJ$104:AJ175)+1,""))</f>
        <v/>
      </c>
      <c r="AK176" s="1176" t="str">
        <f t="shared" si="153"/>
        <v/>
      </c>
      <c r="AL176" s="1177" t="str">
        <f>IF(AG176="","",IF(AC176="SubmissionRecommended",MAX(AL$104:AL175)+1,""))</f>
        <v/>
      </c>
      <c r="AM176" s="1179" t="str">
        <f t="shared" si="154"/>
        <v/>
      </c>
      <c r="AN176" s="1318" t="str">
        <f>IF(AG176="","",IF(AC176="DocType",MAX(AN$104:AN175)+1,""))</f>
        <v/>
      </c>
      <c r="AO176" s="1320" t="str">
        <f t="shared" si="155"/>
        <v/>
      </c>
      <c r="AP176" s="514" t="s">
        <v>76</v>
      </c>
      <c r="AV176" s="1267" t="s">
        <v>2130</v>
      </c>
      <c r="AW176" s="1238" t="s">
        <v>2163</v>
      </c>
      <c r="AX176" s="1239" t="str">
        <f t="shared" si="148"/>
        <v>PE_006.7500000000</v>
      </c>
      <c r="AY176" s="1240">
        <f>[1]!PE_R23</f>
        <v>6.75</v>
      </c>
      <c r="AZ176" s="1240">
        <f>[1]!PE_ARM05_P23+Input_PL_Incentive_PE</f>
        <v>99.3125</v>
      </c>
      <c r="BA176" s="1240">
        <f>[1]!PE_FRM30_P23+Input_PL_Incentive_PE</f>
        <v>99.3125</v>
      </c>
      <c r="BB176" s="1239">
        <f t="shared" si="150"/>
        <v>99.3125</v>
      </c>
      <c r="BC176" s="1239" t="str">
        <f t="shared" si="149"/>
        <v>PE_099.3125000000</v>
      </c>
      <c r="BD176" s="1239"/>
      <c r="BE176" s="1268" t="s">
        <v>2186</v>
      </c>
    </row>
    <row r="177" spans="13:57" ht="9.6" customHeight="1" x14ac:dyDescent="0.2">
      <c r="M177" s="1595" t="s">
        <v>2966</v>
      </c>
      <c r="N177" s="1595" t="s">
        <v>181</v>
      </c>
      <c r="O177" s="1595" t="s">
        <v>2967</v>
      </c>
      <c r="P177" s="515"/>
      <c r="Q177" s="515"/>
      <c r="R177" s="515"/>
      <c r="S177" s="515"/>
      <c r="T177" s="515"/>
      <c r="X177" s="829" t="s">
        <v>2657</v>
      </c>
      <c r="Y177" s="830" t="str">
        <f t="shared" si="157"/>
        <v>4yr Prepay_Standard</v>
      </c>
      <c r="Z177" s="831">
        <f>IF(Y177="","",MAX(Z$173:Z176)+1)</f>
        <v>4</v>
      </c>
      <c r="AA177" s="832" t="s">
        <v>2657</v>
      </c>
      <c r="AC177" s="1182" t="s">
        <v>2537</v>
      </c>
      <c r="AD177" s="1182" t="s">
        <v>3886</v>
      </c>
      <c r="AE177" s="1182" t="s">
        <v>1641</v>
      </c>
      <c r="AF177" s="1185" t="s">
        <v>2531</v>
      </c>
      <c r="AG177" s="1187" t="str">
        <f>IF(Input_DocType=Structure!AE177,Structure!AF177,"")</f>
        <v/>
      </c>
      <c r="AH177" s="1172" t="str">
        <f>IF(AG177="","",IF(AC177="Disclosure",MAX(AH$104:AH176)+1,""))</f>
        <v/>
      </c>
      <c r="AI177" s="1173" t="str">
        <f t="shared" si="152"/>
        <v/>
      </c>
      <c r="AJ177" s="1174" t="str">
        <f>IF(AG177="","",IF(AC177="SubmissionRequired",MAX(AJ$104:AJ176)+1,""))</f>
        <v/>
      </c>
      <c r="AK177" s="1176" t="str">
        <f t="shared" si="153"/>
        <v/>
      </c>
      <c r="AL177" s="1177" t="str">
        <f>IF(AG177="","",IF(AC177="SubmissionRecommended",MAX(AL$104:AL176)+1,""))</f>
        <v/>
      </c>
      <c r="AM177" s="1179" t="str">
        <f t="shared" si="154"/>
        <v/>
      </c>
      <c r="AN177" s="1318" t="str">
        <f>IF(AG177="","",IF(AC177="DocType",MAX(AN$104:AN176)+1,""))</f>
        <v/>
      </c>
      <c r="AO177" s="1320" t="str">
        <f t="shared" si="155"/>
        <v/>
      </c>
      <c r="AP177" s="514" t="s">
        <v>76</v>
      </c>
      <c r="AV177" s="1267" t="s">
        <v>2130</v>
      </c>
      <c r="AW177" s="1238" t="s">
        <v>2163</v>
      </c>
      <c r="AX177" s="1239" t="str">
        <f t="shared" si="148"/>
        <v>PE_006.6250000000</v>
      </c>
      <c r="AY177" s="1240">
        <f>[1]!PE_R24</f>
        <v>6.625</v>
      </c>
      <c r="AZ177" s="1240">
        <f>[1]!PE_ARM05_P24+Input_PL_Incentive_PE</f>
        <v>98.6875</v>
      </c>
      <c r="BA177" s="1240">
        <f>[1]!PE_FRM30_P24+Input_PL_Incentive_PE</f>
        <v>98.6875</v>
      </c>
      <c r="BB177" s="1239">
        <f t="shared" si="150"/>
        <v>98.6875</v>
      </c>
      <c r="BC177" s="1239" t="str">
        <f t="shared" si="149"/>
        <v>PE_098.6875000000</v>
      </c>
      <c r="BD177" s="1239"/>
      <c r="BE177" s="1268" t="s">
        <v>2187</v>
      </c>
    </row>
    <row r="178" spans="13:57" ht="9.6" customHeight="1" x14ac:dyDescent="0.2">
      <c r="M178" s="1595" t="s">
        <v>2968</v>
      </c>
      <c r="N178" s="1595" t="s">
        <v>181</v>
      </c>
      <c r="O178" s="1595" t="s">
        <v>2969</v>
      </c>
      <c r="P178" s="515"/>
      <c r="Q178" s="515"/>
      <c r="R178" s="515"/>
      <c r="S178" s="515"/>
      <c r="T178" s="515"/>
      <c r="X178" s="829" t="s">
        <v>2656</v>
      </c>
      <c r="Y178" s="830" t="str">
        <f t="shared" si="157"/>
        <v>3yr Prepay_Standard</v>
      </c>
      <c r="Z178" s="831">
        <f>IF(Y178="","",MAX(Z$173:Z177)+1)</f>
        <v>5</v>
      </c>
      <c r="AA178" s="832" t="s">
        <v>2656</v>
      </c>
      <c r="AC178" s="1182" t="s">
        <v>2537</v>
      </c>
      <c r="AD178" s="1182" t="s">
        <v>3886</v>
      </c>
      <c r="AE178" s="1182" t="s">
        <v>1641</v>
      </c>
      <c r="AF178" s="1185" t="s">
        <v>2543</v>
      </c>
      <c r="AG178" s="1187" t="str">
        <f>IF(Input_DocType=Structure!AE178,Structure!AF178,"")</f>
        <v/>
      </c>
      <c r="AH178" s="1172" t="str">
        <f>IF(AG178="","",IF(AC178="Disclosure",MAX(AH$104:AH177)+1,""))</f>
        <v/>
      </c>
      <c r="AI178" s="1173" t="str">
        <f t="shared" si="152"/>
        <v/>
      </c>
      <c r="AJ178" s="1174" t="str">
        <f>IF(AG178="","",IF(AC178="SubmissionRequired",MAX(AJ$104:AJ177)+1,""))</f>
        <v/>
      </c>
      <c r="AK178" s="1176" t="str">
        <f t="shared" si="153"/>
        <v/>
      </c>
      <c r="AL178" s="1177" t="str">
        <f>IF(AG178="","",IF(AC178="SubmissionRecommended",MAX(AL$104:AL177)+1,""))</f>
        <v/>
      </c>
      <c r="AM178" s="1179" t="str">
        <f t="shared" si="154"/>
        <v/>
      </c>
      <c r="AN178" s="1318" t="str">
        <f>IF(AG178="","",IF(AC178="DocType",MAX(AN$104:AN177)+1,""))</f>
        <v/>
      </c>
      <c r="AO178" s="1320" t="str">
        <f t="shared" si="155"/>
        <v/>
      </c>
      <c r="AP178" s="514" t="s">
        <v>76</v>
      </c>
      <c r="AS178" s="514" t="e">
        <f>Input_PL_Incentive_PN</f>
        <v>#N/A</v>
      </c>
      <c r="AV178" s="1267" t="s">
        <v>2130</v>
      </c>
      <c r="AW178" s="1238" t="s">
        <v>2163</v>
      </c>
      <c r="AX178" s="1239" t="str">
        <f t="shared" si="148"/>
        <v>PE_006.4900000000</v>
      </c>
      <c r="AY178" s="1240">
        <f>[1]!PE_R25</f>
        <v>6.49</v>
      </c>
      <c r="AZ178" s="1240">
        <f>[1]!PE_ARM05_P25+Input_PL_Incentive_PE</f>
        <v>98.0625</v>
      </c>
      <c r="BA178" s="1240">
        <f>[1]!PE_FRM30_P25+Input_PL_Incentive_PE</f>
        <v>98.0625</v>
      </c>
      <c r="BB178" s="1239">
        <f t="shared" si="150"/>
        <v>98.0625</v>
      </c>
      <c r="BC178" s="1239" t="str">
        <f t="shared" si="149"/>
        <v>PE_098.0625000000</v>
      </c>
      <c r="BD178" s="1239"/>
      <c r="BE178" s="1268" t="s">
        <v>2188</v>
      </c>
    </row>
    <row r="179" spans="13:57" ht="9.6" customHeight="1" x14ac:dyDescent="0.2">
      <c r="M179" s="1595" t="s">
        <v>2970</v>
      </c>
      <c r="N179" s="1595" t="s">
        <v>181</v>
      </c>
      <c r="O179" s="1595" t="s">
        <v>2971</v>
      </c>
      <c r="P179" s="515"/>
      <c r="Q179" s="515"/>
      <c r="R179" s="515"/>
      <c r="S179" s="515"/>
      <c r="T179" s="515"/>
      <c r="X179" s="829" t="s">
        <v>2655</v>
      </c>
      <c r="Y179" s="830" t="str">
        <f t="shared" si="157"/>
        <v>2yr Prepay_Standard</v>
      </c>
      <c r="Z179" s="831">
        <f>IF(Y179="","",MAX(Z$173:Z178)+1)</f>
        <v>6</v>
      </c>
      <c r="AA179" s="832" t="s">
        <v>2655</v>
      </c>
      <c r="AC179" s="1182" t="s">
        <v>2537</v>
      </c>
      <c r="AD179" s="1182" t="s">
        <v>3886</v>
      </c>
      <c r="AE179" s="1182" t="s">
        <v>186</v>
      </c>
      <c r="AF179" s="1185" t="s">
        <v>2527</v>
      </c>
      <c r="AG179" s="1187" t="str">
        <f>IF(Input_DocType=Structure!AE179,Structure!AF179,"")</f>
        <v/>
      </c>
      <c r="AH179" s="1172" t="str">
        <f>IF(AG179="","",IF(AC179="Disclosure",MAX(AH$104:AH178)+1,""))</f>
        <v/>
      </c>
      <c r="AI179" s="1173" t="str">
        <f t="shared" si="152"/>
        <v/>
      </c>
      <c r="AJ179" s="1174" t="str">
        <f>IF(AG179="","",IF(AC179="SubmissionRequired",MAX(AJ$104:AJ178)+1,""))</f>
        <v/>
      </c>
      <c r="AK179" s="1176" t="str">
        <f t="shared" si="153"/>
        <v/>
      </c>
      <c r="AL179" s="1177" t="str">
        <f>IF(AG179="","",IF(AC179="SubmissionRecommended",MAX(AL$104:AL178)+1,""))</f>
        <v/>
      </c>
      <c r="AM179" s="1179" t="str">
        <f t="shared" si="154"/>
        <v/>
      </c>
      <c r="AN179" s="1318" t="str">
        <f>IF(AG179="","",IF(AC179="DocType",MAX(AN$104:AN178)+1,""))</f>
        <v/>
      </c>
      <c r="AO179" s="1320" t="str">
        <f t="shared" si="155"/>
        <v/>
      </c>
      <c r="AP179" s="514" t="s">
        <v>76</v>
      </c>
      <c r="AV179" s="1267" t="s">
        <v>2130</v>
      </c>
      <c r="AW179" s="1238" t="s">
        <v>2163</v>
      </c>
      <c r="AX179" s="1239" t="str">
        <f t="shared" si="148"/>
        <v>PE_006.3750000000</v>
      </c>
      <c r="AY179" s="1240">
        <f>[1]!PE_R26</f>
        <v>6.375</v>
      </c>
      <c r="AZ179" s="1240">
        <f>[1]!PE_ARM05_P26+Input_PL_Incentive_PE</f>
        <v>97.4375</v>
      </c>
      <c r="BA179" s="1240">
        <f>[1]!PE_FRM30_P26+Input_PL_Incentive_PE</f>
        <v>97.4375</v>
      </c>
      <c r="BB179" s="1239">
        <f t="shared" si="150"/>
        <v>97.4375</v>
      </c>
      <c r="BC179" s="1239" t="str">
        <f t="shared" si="149"/>
        <v>PE_097.4375000000</v>
      </c>
      <c r="BD179" s="1239"/>
      <c r="BE179" s="1268" t="s">
        <v>2189</v>
      </c>
    </row>
    <row r="180" spans="13:57" ht="9.6" customHeight="1" x14ac:dyDescent="0.2">
      <c r="M180" s="1595" t="s">
        <v>2972</v>
      </c>
      <c r="N180" s="1595" t="s">
        <v>181</v>
      </c>
      <c r="O180" s="1595" t="s">
        <v>2973</v>
      </c>
      <c r="P180" s="515"/>
      <c r="Q180" s="515"/>
      <c r="R180" s="515"/>
      <c r="S180" s="515"/>
      <c r="T180" s="515"/>
      <c r="X180" s="835" t="s">
        <v>2654</v>
      </c>
      <c r="Y180" s="836" t="str">
        <f t="shared" si="157"/>
        <v>1yr Prepay_Standard</v>
      </c>
      <c r="Z180" s="837">
        <f>IF(Y180="","",MAX(Z$173:Z179)+1)</f>
        <v>7</v>
      </c>
      <c r="AA180" s="838" t="s">
        <v>2654</v>
      </c>
      <c r="AC180" s="1182" t="s">
        <v>2537</v>
      </c>
      <c r="AD180" s="1182" t="s">
        <v>3886</v>
      </c>
      <c r="AE180" s="1182" t="s">
        <v>186</v>
      </c>
      <c r="AF180" s="1185" t="s">
        <v>2532</v>
      </c>
      <c r="AG180" s="1187" t="str">
        <f>IF(Input_DocType=Structure!AE180,Structure!AF180,"")</f>
        <v/>
      </c>
      <c r="AH180" s="1172" t="str">
        <f>IF(AG180="","",IF(AC180="Disclosure",MAX(AH$104:AH179)+1,""))</f>
        <v/>
      </c>
      <c r="AI180" s="1173" t="str">
        <f t="shared" si="152"/>
        <v/>
      </c>
      <c r="AJ180" s="1174" t="str">
        <f>IF(AG180="","",IF(AC180="SubmissionRequired",MAX(AJ$104:AJ179)+1,""))</f>
        <v/>
      </c>
      <c r="AK180" s="1176" t="str">
        <f t="shared" si="153"/>
        <v/>
      </c>
      <c r="AL180" s="1177" t="str">
        <f>IF(AG180="","",IF(AC180="SubmissionRecommended",MAX(AL$104:AL179)+1,""))</f>
        <v/>
      </c>
      <c r="AM180" s="1179" t="str">
        <f t="shared" si="154"/>
        <v/>
      </c>
      <c r="AN180" s="1318" t="str">
        <f>IF(AG180="","",IF(AC180="DocType",MAX(AN$104:AN179)+1,""))</f>
        <v/>
      </c>
      <c r="AO180" s="1320" t="str">
        <f t="shared" si="155"/>
        <v/>
      </c>
      <c r="AP180" s="514" t="s">
        <v>76</v>
      </c>
      <c r="AV180" s="1269" t="s">
        <v>2130</v>
      </c>
      <c r="AW180" s="1270" t="s">
        <v>2163</v>
      </c>
      <c r="AX180" s="1271" t="str">
        <f t="shared" si="148"/>
        <v>PE_006.2500000000</v>
      </c>
      <c r="AY180" s="1272">
        <f>[1]!PE_R27</f>
        <v>6.25</v>
      </c>
      <c r="AZ180" s="1272">
        <f>[1]!PE_ARM05_P27+Input_PL_Incentive_PE</f>
        <v>96.8125</v>
      </c>
      <c r="BA180" s="1272">
        <f>[1]!PE_FRM30_P27+Input_PL_Incentive_PE</f>
        <v>96.8125</v>
      </c>
      <c r="BB180" s="1271">
        <f t="shared" ref="BB180" si="158">IF(INDEX(List_AmortTermAll,MATCH(Input_AmortTerm,List_AmortTerm,0),3)=1,AZ180,IF(INDEX(List_AmortTermAll,MATCH(Input_AmortTerm,List_AmortTerm,0),3)=2,BA180,#N/A))</f>
        <v>96.8125</v>
      </c>
      <c r="BC180" s="1271" t="str">
        <f t="shared" si="149"/>
        <v>PE_096.8125000000</v>
      </c>
      <c r="BD180" s="1271"/>
      <c r="BE180" s="1273" t="s">
        <v>2610</v>
      </c>
    </row>
    <row r="181" spans="13:57" ht="9.6" customHeight="1" x14ac:dyDescent="0.2">
      <c r="M181" s="1595" t="s">
        <v>2974</v>
      </c>
      <c r="N181" s="1595" t="s">
        <v>181</v>
      </c>
      <c r="O181" s="1595" t="s">
        <v>2975</v>
      </c>
      <c r="P181" s="515"/>
      <c r="Q181" s="515"/>
      <c r="R181" s="515"/>
      <c r="S181" s="515"/>
      <c r="T181" s="515"/>
      <c r="X181" s="842" t="s">
        <v>732</v>
      </c>
      <c r="Y181" s="843" t="str">
        <f t="shared" si="157"/>
        <v>5yr Prepay_5Pct</v>
      </c>
      <c r="Z181" s="844">
        <f>IF(Y181="","",MAX(Z$173:Z180)+1)</f>
        <v>8</v>
      </c>
      <c r="AA181" s="584" t="s">
        <v>732</v>
      </c>
      <c r="AC181" s="1182" t="s">
        <v>2537</v>
      </c>
      <c r="AD181" s="1182" t="s">
        <v>3886</v>
      </c>
      <c r="AE181" s="1182" t="s">
        <v>186</v>
      </c>
      <c r="AF181" s="1185" t="s">
        <v>2533</v>
      </c>
      <c r="AG181" s="1187" t="str">
        <f>IF(Input_DocType=Structure!AE181,Structure!AF181,"")</f>
        <v/>
      </c>
      <c r="AH181" s="1172" t="str">
        <f>IF(AG181="","",IF(AC181="Disclosure",MAX(AH$104:AH180)+1,""))</f>
        <v/>
      </c>
      <c r="AI181" s="1173" t="str">
        <f t="shared" si="152"/>
        <v/>
      </c>
      <c r="AJ181" s="1174" t="str">
        <f>IF(AG181="","",IF(AC181="SubmissionRequired",MAX(AJ$104:AJ180)+1,""))</f>
        <v/>
      </c>
      <c r="AK181" s="1176" t="str">
        <f t="shared" si="153"/>
        <v/>
      </c>
      <c r="AL181" s="1177" t="str">
        <f>IF(AG181="","",IF(AC181="SubmissionRecommended",MAX(AL$104:AL180)+1,""))</f>
        <v/>
      </c>
      <c r="AM181" s="1179" t="str">
        <f t="shared" si="154"/>
        <v/>
      </c>
      <c r="AN181" s="1318" t="str">
        <f>IF(AG181="","",IF(AC181="DocType",MAX(AN$104:AN180)+1,""))</f>
        <v/>
      </c>
      <c r="AO181" s="1320" t="str">
        <f t="shared" si="155"/>
        <v/>
      </c>
      <c r="AP181" s="514" t="s">
        <v>76</v>
      </c>
      <c r="AV181" s="1246" t="s">
        <v>1534</v>
      </c>
      <c r="AW181" s="1247" t="s">
        <v>1250</v>
      </c>
      <c r="AX181" s="1248" t="str">
        <f t="shared" ref="AX181:AX221" si="159">"IT_"&amp;RIGHT("000"&amp;TRUNC(Lookup_NoteRate),3)&amp;TEXT(Lookup_NoteRate-TRUNC(Lookup_NoteRate),".0000000000")</f>
        <v>IT_013.8750000000</v>
      </c>
      <c r="AY181" s="1249">
        <f>[1]!IR_R01</f>
        <v>13.875</v>
      </c>
      <c r="AZ181" s="1250">
        <f>[1]!IR_ARM05_P01+Input_PL_Incentive_IR</f>
        <v>-2</v>
      </c>
      <c r="BA181" s="1250">
        <f>[1]!IR_FRM30_P01+Input_PL_Incentive_IR</f>
        <v>111.375</v>
      </c>
      <c r="BB181" s="1248">
        <f t="shared" ref="BB181:BB183" si="160">IF(INDEX(List_AmortTermAll,MATCH(Input_AmortTerm,List_AmortTerm,0),3)=1,AZ181,IF(INDEX(List_AmortTermAll,MATCH(Input_AmortTerm,List_AmortTerm,0),3)=2,BA181,#N/A))</f>
        <v>111.375</v>
      </c>
      <c r="BC181" s="1248" t="str">
        <f t="shared" ref="BC181:BC221" si="161">"IT_"&amp;RIGHT("000"&amp;TRUNC(Lookup_PriceText),3)&amp;TEXT(Lookup_PriceText-TRUNC(Lookup_PriceText),".0000000000")</f>
        <v>IT_111.3750000000</v>
      </c>
      <c r="BD181" s="1248"/>
      <c r="BE181" s="1251" t="s">
        <v>1910</v>
      </c>
    </row>
    <row r="182" spans="13:57" ht="9.6" customHeight="1" x14ac:dyDescent="0.2">
      <c r="M182" s="1595" t="s">
        <v>2976</v>
      </c>
      <c r="N182" s="1595" t="s">
        <v>181</v>
      </c>
      <c r="O182" s="1595" t="s">
        <v>2963</v>
      </c>
      <c r="P182" s="515"/>
      <c r="Q182" s="515"/>
      <c r="R182" s="515"/>
      <c r="S182" s="515"/>
      <c r="T182" s="515"/>
      <c r="X182" s="829" t="s">
        <v>733</v>
      </c>
      <c r="Y182" s="830" t="str">
        <f t="shared" si="157"/>
        <v>4yr Prepay_5Pct</v>
      </c>
      <c r="Z182" s="831">
        <f>IF(Y182="","",MAX(Z$173:Z181)+1)</f>
        <v>9</v>
      </c>
      <c r="AA182" s="832" t="s">
        <v>733</v>
      </c>
      <c r="AC182" s="1182" t="s">
        <v>2537</v>
      </c>
      <c r="AD182" s="1182" t="s">
        <v>3886</v>
      </c>
      <c r="AE182" s="1182" t="s">
        <v>188</v>
      </c>
      <c r="AF182" s="1185" t="s">
        <v>2527</v>
      </c>
      <c r="AG182" s="1187" t="str">
        <f>IF(Input_DocType=Structure!AE182,Structure!AF182,"")</f>
        <v/>
      </c>
      <c r="AH182" s="1172" t="str">
        <f>IF(AG182="","",IF(AC182="Disclosure",MAX(AH$104:AH181)+1,""))</f>
        <v/>
      </c>
      <c r="AI182" s="1173" t="str">
        <f t="shared" si="152"/>
        <v/>
      </c>
      <c r="AJ182" s="1174" t="str">
        <f>IF(AG182="","",IF(AC182="SubmissionRequired",MAX(AJ$104:AJ181)+1,""))</f>
        <v/>
      </c>
      <c r="AK182" s="1176" t="str">
        <f t="shared" si="153"/>
        <v/>
      </c>
      <c r="AL182" s="1177" t="str">
        <f>IF(AG182="","",IF(AC182="SubmissionRecommended",MAX(AL$104:AL181)+1,""))</f>
        <v/>
      </c>
      <c r="AM182" s="1179" t="str">
        <f t="shared" si="154"/>
        <v/>
      </c>
      <c r="AN182" s="1318" t="str">
        <f>IF(AG182="","",IF(AC182="DocType",MAX(AN$104:AN181)+1,""))</f>
        <v/>
      </c>
      <c r="AO182" s="1320" t="str">
        <f t="shared" si="155"/>
        <v/>
      </c>
      <c r="AP182" s="514" t="s">
        <v>76</v>
      </c>
      <c r="AV182" s="1252" t="s">
        <v>1534</v>
      </c>
      <c r="AW182" s="1237" t="s">
        <v>1250</v>
      </c>
      <c r="AX182" s="1234" t="str">
        <f t="shared" si="159"/>
        <v>IT_013.7500000000</v>
      </c>
      <c r="AY182" s="1235">
        <f>[1]!IR_R02</f>
        <v>13.75</v>
      </c>
      <c r="AZ182" s="1236">
        <f>[1]!IR_ARM05_P02+Input_PL_Incentive_IR</f>
        <v>-2</v>
      </c>
      <c r="BA182" s="1236">
        <f>[1]!IR_FRM30_P02+Input_PL_Incentive_IR</f>
        <v>111.25</v>
      </c>
      <c r="BB182" s="1234">
        <f t="shared" ref="BB182" si="162">IF(INDEX(List_AmortTermAll,MATCH(Input_AmortTerm,List_AmortTerm,0),3)=1,AZ182,IF(INDEX(List_AmortTermAll,MATCH(Input_AmortTerm,List_AmortTerm,0),3)=2,BA182,#N/A))</f>
        <v>111.25</v>
      </c>
      <c r="BC182" s="1234" t="str">
        <f t="shared" si="161"/>
        <v>IT_111.2500000000</v>
      </c>
      <c r="BD182" s="1234"/>
      <c r="BE182" s="1253" t="s">
        <v>1911</v>
      </c>
    </row>
    <row r="183" spans="13:57" ht="9.6" customHeight="1" x14ac:dyDescent="0.2">
      <c r="M183" s="1595" t="s">
        <v>2977</v>
      </c>
      <c r="N183" s="1595" t="s">
        <v>181</v>
      </c>
      <c r="O183" s="1595" t="s">
        <v>2965</v>
      </c>
      <c r="X183" s="829" t="s">
        <v>734</v>
      </c>
      <c r="Y183" s="830" t="str">
        <f t="shared" si="157"/>
        <v>3yr Prepay_5Pct</v>
      </c>
      <c r="Z183" s="831">
        <f>IF(Y183="","",MAX(Z$173:Z182)+1)</f>
        <v>10</v>
      </c>
      <c r="AA183" s="832" t="s">
        <v>734</v>
      </c>
      <c r="AC183" s="1182" t="s">
        <v>2537</v>
      </c>
      <c r="AD183" s="1182" t="s">
        <v>3886</v>
      </c>
      <c r="AE183" s="1182" t="s">
        <v>188</v>
      </c>
      <c r="AF183" s="1185" t="s">
        <v>2057</v>
      </c>
      <c r="AG183" s="1187" t="str">
        <f>IF(Input_DocType=Structure!AE183,Structure!AF183,"")</f>
        <v/>
      </c>
      <c r="AH183" s="1172" t="str">
        <f>IF(AG183="","",IF(AC183="Disclosure",MAX(AH$104:AH182)+1,""))</f>
        <v/>
      </c>
      <c r="AI183" s="1173" t="str">
        <f t="shared" si="152"/>
        <v/>
      </c>
      <c r="AJ183" s="1174" t="str">
        <f>IF(AG183="","",IF(AC183="SubmissionRequired",MAX(AJ$104:AJ182)+1,""))</f>
        <v/>
      </c>
      <c r="AK183" s="1176" t="str">
        <f t="shared" si="153"/>
        <v/>
      </c>
      <c r="AL183" s="1177" t="str">
        <f>IF(AG183="","",IF(AC183="SubmissionRecommended",MAX(AL$104:AL182)+1,""))</f>
        <v/>
      </c>
      <c r="AM183" s="1179" t="str">
        <f t="shared" si="154"/>
        <v/>
      </c>
      <c r="AN183" s="1318" t="str">
        <f>IF(AG183="","",IF(AC183="DocType",MAX(AN$104:AN182)+1,""))</f>
        <v/>
      </c>
      <c r="AO183" s="1320" t="str">
        <f t="shared" si="155"/>
        <v/>
      </c>
      <c r="AP183" s="514" t="s">
        <v>76</v>
      </c>
      <c r="AV183" s="1252" t="s">
        <v>1534</v>
      </c>
      <c r="AW183" s="1237" t="s">
        <v>1250</v>
      </c>
      <c r="AX183" s="1234" t="str">
        <f t="shared" si="159"/>
        <v>IT_013.6250000000</v>
      </c>
      <c r="AY183" s="1235">
        <f>[1]!IR_R03</f>
        <v>13.625</v>
      </c>
      <c r="AZ183" s="1236">
        <f>[1]!IR_ARM05_P03+Input_PL_Incentive_IR</f>
        <v>-2</v>
      </c>
      <c r="BA183" s="1236">
        <f>[1]!IR_FRM30_P03+Input_PL_Incentive_IR</f>
        <v>111.125</v>
      </c>
      <c r="BB183" s="1234">
        <f t="shared" si="160"/>
        <v>111.125</v>
      </c>
      <c r="BC183" s="1234" t="str">
        <f t="shared" si="161"/>
        <v>IT_111.1250000000</v>
      </c>
      <c r="BD183" s="1234"/>
      <c r="BE183" s="1253" t="s">
        <v>1912</v>
      </c>
    </row>
    <row r="184" spans="13:57" ht="9.6" customHeight="1" x14ac:dyDescent="0.2">
      <c r="M184" s="1595" t="s">
        <v>2978</v>
      </c>
      <c r="N184" s="1595" t="s">
        <v>181</v>
      </c>
      <c r="O184" s="1595" t="s">
        <v>2967</v>
      </c>
      <c r="X184" s="829" t="s">
        <v>735</v>
      </c>
      <c r="Y184" s="830" t="str">
        <f t="shared" si="157"/>
        <v>2yr Prepay_5Pct</v>
      </c>
      <c r="Z184" s="831">
        <f>IF(Y184="","",MAX(Z$173:Z183)+1)</f>
        <v>11</v>
      </c>
      <c r="AA184" s="832" t="s">
        <v>735</v>
      </c>
      <c r="AC184" s="1182" t="s">
        <v>2537</v>
      </c>
      <c r="AD184" s="1182" t="s">
        <v>3886</v>
      </c>
      <c r="AE184" s="1182" t="s">
        <v>188</v>
      </c>
      <c r="AF184" s="1185" t="s">
        <v>2534</v>
      </c>
      <c r="AG184" s="1187" t="str">
        <f>IF(Input_DocType=Structure!AE184,Structure!AF184,"")</f>
        <v/>
      </c>
      <c r="AH184" s="1172" t="str">
        <f>IF(AG184="","",IF(AC184="Disclosure",MAX(AH$104:AH183)+1,""))</f>
        <v/>
      </c>
      <c r="AI184" s="1173" t="str">
        <f t="shared" si="152"/>
        <v/>
      </c>
      <c r="AJ184" s="1174" t="str">
        <f>IF(AG184="","",IF(AC184="SubmissionRequired",MAX(AJ$104:AJ183)+1,""))</f>
        <v/>
      </c>
      <c r="AK184" s="1176" t="str">
        <f t="shared" si="153"/>
        <v/>
      </c>
      <c r="AL184" s="1177" t="str">
        <f>IF(AG184="","",IF(AC184="SubmissionRecommended",MAX(AL$104:AL183)+1,""))</f>
        <v/>
      </c>
      <c r="AM184" s="1179" t="str">
        <f t="shared" si="154"/>
        <v/>
      </c>
      <c r="AN184" s="1318" t="str">
        <f>IF(AG184="","",IF(AC184="DocType",MAX(AN$104:AN183)+1,""))</f>
        <v/>
      </c>
      <c r="AO184" s="1320" t="str">
        <f t="shared" si="155"/>
        <v/>
      </c>
      <c r="AP184" s="514" t="s">
        <v>76</v>
      </c>
      <c r="AV184" s="1252" t="s">
        <v>1534</v>
      </c>
      <c r="AW184" s="1237" t="s">
        <v>1250</v>
      </c>
      <c r="AX184" s="1234" t="str">
        <f t="shared" si="159"/>
        <v>IT_013.5000000000</v>
      </c>
      <c r="AY184" s="1235">
        <f>[1]!IR_R04</f>
        <v>13.5</v>
      </c>
      <c r="AZ184" s="1236">
        <f>[1]!IR_ARM05_P04+Input_PL_Incentive_IR</f>
        <v>-2</v>
      </c>
      <c r="BA184" s="1236">
        <f>[1]!IR_FRM30_P04+Input_PL_Incentive_IR</f>
        <v>111</v>
      </c>
      <c r="BB184" s="1234">
        <f t="shared" ref="BB184:BB221" si="163">IF(INDEX(List_AmortTermAll,MATCH(Input_AmortTerm,List_AmortTerm,0),3)=1,AZ184,IF(INDEX(List_AmortTermAll,MATCH(Input_AmortTerm,List_AmortTerm,0),3)=2,BA184,#N/A))</f>
        <v>111</v>
      </c>
      <c r="BC184" s="1234" t="str">
        <f t="shared" si="161"/>
        <v>IT_111.0000000000</v>
      </c>
      <c r="BD184" s="1234"/>
      <c r="BE184" s="1253" t="s">
        <v>1913</v>
      </c>
    </row>
    <row r="185" spans="13:57" ht="9.6" customHeight="1" x14ac:dyDescent="0.2">
      <c r="M185" s="1595" t="s">
        <v>2979</v>
      </c>
      <c r="N185" s="1595" t="s">
        <v>181</v>
      </c>
      <c r="O185" s="1595" t="s">
        <v>2969</v>
      </c>
      <c r="X185" s="856" t="s">
        <v>736</v>
      </c>
      <c r="Y185" s="857" t="str">
        <f t="shared" si="157"/>
        <v>1yr Prepay_5Pct</v>
      </c>
      <c r="Z185" s="858">
        <f>IF(Y185="","",MAX(Z$173:Z184)+1)</f>
        <v>12</v>
      </c>
      <c r="AA185" s="838" t="s">
        <v>736</v>
      </c>
      <c r="AC185" s="1182" t="s">
        <v>2537</v>
      </c>
      <c r="AD185" s="1182" t="s">
        <v>3886</v>
      </c>
      <c r="AE185" s="1182" t="s">
        <v>188</v>
      </c>
      <c r="AF185" s="1185" t="s">
        <v>2540</v>
      </c>
      <c r="AG185" s="1187" t="str">
        <f>IF(Input_DocType=Structure!AE185,Structure!AF185,"")</f>
        <v/>
      </c>
      <c r="AH185" s="1172" t="str">
        <f>IF(AG185="","",IF(AC185="Disclosure",MAX(AH$104:AH184)+1,""))</f>
        <v/>
      </c>
      <c r="AI185" s="1173" t="str">
        <f t="shared" si="152"/>
        <v/>
      </c>
      <c r="AJ185" s="1174" t="str">
        <f>IF(AG185="","",IF(AC185="SubmissionRequired",MAX(AJ$104:AJ184)+1,""))</f>
        <v/>
      </c>
      <c r="AK185" s="1176" t="str">
        <f t="shared" si="153"/>
        <v/>
      </c>
      <c r="AL185" s="1177" t="str">
        <f>IF(AG185="","",IF(AC185="SubmissionRecommended",MAX(AL$104:AL184)+1,""))</f>
        <v/>
      </c>
      <c r="AM185" s="1179" t="str">
        <f t="shared" si="154"/>
        <v/>
      </c>
      <c r="AN185" s="1318" t="str">
        <f>IF(AG185="","",IF(AC185="DocType",MAX(AN$104:AN184)+1,""))</f>
        <v/>
      </c>
      <c r="AO185" s="1320" t="str">
        <f t="shared" si="155"/>
        <v/>
      </c>
      <c r="AP185" s="514" t="s">
        <v>76</v>
      </c>
      <c r="AV185" s="1252" t="s">
        <v>1534</v>
      </c>
      <c r="AW185" s="1237" t="s">
        <v>1250</v>
      </c>
      <c r="AX185" s="1234" t="str">
        <f t="shared" si="159"/>
        <v>IT_013.3750000000</v>
      </c>
      <c r="AY185" s="1235">
        <f>[1]!IR_R05</f>
        <v>13.375</v>
      </c>
      <c r="AZ185" s="1236">
        <f>[1]!IR_ARM05_P05+Input_PL_Incentive_IR</f>
        <v>-2</v>
      </c>
      <c r="BA185" s="1236">
        <f>[1]!IR_FRM30_P05+Input_PL_Incentive_IR</f>
        <v>110.875</v>
      </c>
      <c r="BB185" s="1234">
        <f t="shared" si="163"/>
        <v>110.875</v>
      </c>
      <c r="BC185" s="1234" t="str">
        <f t="shared" si="161"/>
        <v>IT_110.8750000000</v>
      </c>
      <c r="BD185" s="1234"/>
      <c r="BE185" s="1253" t="s">
        <v>1914</v>
      </c>
    </row>
    <row r="186" spans="13:57" ht="9.6" customHeight="1" x14ac:dyDescent="0.2">
      <c r="M186" s="1595" t="s">
        <v>2980</v>
      </c>
      <c r="N186" s="1595" t="s">
        <v>181</v>
      </c>
      <c r="O186" s="1595" t="s">
        <v>2971</v>
      </c>
      <c r="X186" s="842" t="s">
        <v>737</v>
      </c>
      <c r="Y186" s="843" t="str">
        <f>IF(Input_RateSheet_Type="Master",IF(IFERROR(FIND(X186,INDEX(List_State_All,MATCH(Input_State,List_State,0),6)),0)&gt;0,X186,""),"")</f>
        <v/>
      </c>
      <c r="Z186" s="844" t="str">
        <f>IF(Y186="","",MAX(Z$173:Z185)+1)</f>
        <v/>
      </c>
      <c r="AA186" s="584" t="s">
        <v>737</v>
      </c>
      <c r="AC186" s="1182" t="s">
        <v>2537</v>
      </c>
      <c r="AD186" s="1182" t="s">
        <v>3886</v>
      </c>
      <c r="AE186" s="1182" t="s">
        <v>190</v>
      </c>
      <c r="AF186" s="1185" t="s">
        <v>2527</v>
      </c>
      <c r="AG186" s="1187" t="str">
        <f>IF(Input_DocType=Structure!AE186,Structure!AF186,"")</f>
        <v/>
      </c>
      <c r="AH186" s="1172" t="str">
        <f>IF(AG186="","",IF(AC186="Disclosure",MAX(AH$104:AH185)+1,""))</f>
        <v/>
      </c>
      <c r="AI186" s="1173" t="str">
        <f t="shared" si="152"/>
        <v/>
      </c>
      <c r="AJ186" s="1174" t="str">
        <f>IF(AG186="","",IF(AC186="SubmissionRequired",MAX(AJ$104:AJ185)+1,""))</f>
        <v/>
      </c>
      <c r="AK186" s="1176" t="str">
        <f t="shared" si="153"/>
        <v/>
      </c>
      <c r="AL186" s="1177" t="str">
        <f>IF(AG186="","",IF(AC186="SubmissionRecommended",MAX(AL$104:AL185)+1,""))</f>
        <v/>
      </c>
      <c r="AM186" s="1179" t="str">
        <f t="shared" si="154"/>
        <v/>
      </c>
      <c r="AN186" s="1318" t="str">
        <f>IF(AG186="","",IF(AC186="DocType",MAX(AN$104:AN185)+1,""))</f>
        <v/>
      </c>
      <c r="AO186" s="1320" t="str">
        <f t="shared" si="155"/>
        <v/>
      </c>
      <c r="AP186" s="514" t="s">
        <v>76</v>
      </c>
      <c r="AV186" s="1252" t="s">
        <v>1534</v>
      </c>
      <c r="AW186" s="1237" t="s">
        <v>1250</v>
      </c>
      <c r="AX186" s="1234" t="str">
        <f t="shared" si="159"/>
        <v>IT_013.2500000000</v>
      </c>
      <c r="AY186" s="1235">
        <f>[1]!IR_R06</f>
        <v>13.25</v>
      </c>
      <c r="AZ186" s="1236">
        <f>[1]!IR_ARM05_P06+Input_PL_Incentive_IR</f>
        <v>-2</v>
      </c>
      <c r="BA186" s="1236">
        <f>[1]!IR_FRM30_P06+Input_PL_Incentive_IR</f>
        <v>110.75</v>
      </c>
      <c r="BB186" s="1234">
        <f t="shared" si="163"/>
        <v>110.75</v>
      </c>
      <c r="BC186" s="1234" t="str">
        <f t="shared" si="161"/>
        <v>IT_110.7500000000</v>
      </c>
      <c r="BD186" s="1234"/>
      <c r="BE186" s="1253" t="s">
        <v>1915</v>
      </c>
    </row>
    <row r="187" spans="13:57" ht="9.6" customHeight="1" x14ac:dyDescent="0.2">
      <c r="M187" s="1595" t="s">
        <v>2981</v>
      </c>
      <c r="N187" s="1595" t="s">
        <v>181</v>
      </c>
      <c r="O187" s="1595" t="s">
        <v>2973</v>
      </c>
      <c r="X187" s="860" t="s">
        <v>738</v>
      </c>
      <c r="Y187" s="861" t="str">
        <f>IF(Input_RateSheet_Type="Master",IF(IFERROR(FIND(X187,INDEX(List_State_All,MATCH(Input_State,List_State,0),6)),0)&gt;0,X187,""),"")</f>
        <v/>
      </c>
      <c r="Z187" s="862" t="str">
        <f>IF(Y187="","",MAX(Z$173:Z186)+1)</f>
        <v/>
      </c>
      <c r="AA187" s="832" t="s">
        <v>738</v>
      </c>
      <c r="AC187" s="1182" t="s">
        <v>2537</v>
      </c>
      <c r="AD187" s="1182" t="s">
        <v>3886</v>
      </c>
      <c r="AE187" s="1182" t="s">
        <v>190</v>
      </c>
      <c r="AF187" s="1185" t="s">
        <v>2541</v>
      </c>
      <c r="AG187" s="1187" t="str">
        <f>IF(Input_DocType=Structure!AE187,Structure!AF187,"")</f>
        <v/>
      </c>
      <c r="AH187" s="1172" t="str">
        <f>IF(AG187="","",IF(AC187="Disclosure",MAX(AH$104:AH186)+1,""))</f>
        <v/>
      </c>
      <c r="AI187" s="1173" t="str">
        <f t="shared" si="152"/>
        <v/>
      </c>
      <c r="AJ187" s="1174" t="str">
        <f>IF(AG187="","",IF(AC187="SubmissionRequired",MAX(AJ$104:AJ186)+1,""))</f>
        <v/>
      </c>
      <c r="AK187" s="1176" t="str">
        <f t="shared" si="153"/>
        <v/>
      </c>
      <c r="AL187" s="1177" t="str">
        <f>IF(AG187="","",IF(AC187="SubmissionRecommended",MAX(AL$104:AL186)+1,""))</f>
        <v/>
      </c>
      <c r="AM187" s="1179" t="str">
        <f t="shared" si="154"/>
        <v/>
      </c>
      <c r="AN187" s="1318" t="str">
        <f>IF(AG187="","",IF(AC187="DocType",MAX(AN$104:AN186)+1,""))</f>
        <v/>
      </c>
      <c r="AO187" s="1320" t="str">
        <f t="shared" si="155"/>
        <v/>
      </c>
      <c r="AP187" s="514" t="s">
        <v>76</v>
      </c>
      <c r="AV187" s="1252" t="s">
        <v>1534</v>
      </c>
      <c r="AW187" s="1237" t="s">
        <v>1250</v>
      </c>
      <c r="AX187" s="1234" t="str">
        <f t="shared" si="159"/>
        <v>IT_013.1250000000</v>
      </c>
      <c r="AY187" s="1235">
        <f>[1]!IR_R07</f>
        <v>13.125</v>
      </c>
      <c r="AZ187" s="1236">
        <f>[1]!IR_ARM05_P07+Input_PL_Incentive_IR</f>
        <v>-2</v>
      </c>
      <c r="BA187" s="1236">
        <f>[1]!IR_FRM30_P07+Input_PL_Incentive_IR</f>
        <v>110.5</v>
      </c>
      <c r="BB187" s="1234">
        <f t="shared" si="163"/>
        <v>110.5</v>
      </c>
      <c r="BC187" s="1234" t="str">
        <f t="shared" si="161"/>
        <v>IT_110.5000000000</v>
      </c>
      <c r="BD187" s="1234"/>
      <c r="BE187" s="1253" t="s">
        <v>1916</v>
      </c>
    </row>
    <row r="188" spans="13:57" ht="9.6" customHeight="1" x14ac:dyDescent="0.2">
      <c r="M188" s="1595" t="s">
        <v>2982</v>
      </c>
      <c r="N188" s="1595" t="s">
        <v>181</v>
      </c>
      <c r="O188" s="1595" t="s">
        <v>2975</v>
      </c>
      <c r="X188" s="860" t="s">
        <v>739</v>
      </c>
      <c r="Y188" s="861" t="str">
        <f>IF(Input_RateSheet_Type="Master",IF(IFERROR(FIND(X188,INDEX(List_State_All,MATCH(Input_State,List_State,0),6)),0)&gt;0,X188,""),"")</f>
        <v/>
      </c>
      <c r="Z188" s="862" t="str">
        <f>IF(Y188="","",MAX(Z$173:Z187)+1)</f>
        <v/>
      </c>
      <c r="AA188" s="832" t="s">
        <v>739</v>
      </c>
      <c r="AC188" s="1182" t="s">
        <v>2537</v>
      </c>
      <c r="AD188" s="1182" t="s">
        <v>3886</v>
      </c>
      <c r="AE188" s="1182" t="s">
        <v>190</v>
      </c>
      <c r="AF188" s="1185" t="s">
        <v>2535</v>
      </c>
      <c r="AG188" s="1187" t="str">
        <f>IF(Input_DocType=Structure!AE188,Structure!AF188,"")</f>
        <v/>
      </c>
      <c r="AH188" s="1172" t="str">
        <f>IF(AG188="","",IF(AC188="Disclosure",MAX(AH$104:AH187)+1,""))</f>
        <v/>
      </c>
      <c r="AI188" s="1173" t="str">
        <f t="shared" si="152"/>
        <v/>
      </c>
      <c r="AJ188" s="1174" t="str">
        <f>IF(AG188="","",IF(AC188="SubmissionRequired",MAX(AJ$104:AJ187)+1,""))</f>
        <v/>
      </c>
      <c r="AK188" s="1176" t="str">
        <f t="shared" si="153"/>
        <v/>
      </c>
      <c r="AL188" s="1177" t="str">
        <f>IF(AG188="","",IF(AC188="SubmissionRecommended",MAX(AL$104:AL187)+1,""))</f>
        <v/>
      </c>
      <c r="AM188" s="1179" t="str">
        <f t="shared" si="154"/>
        <v/>
      </c>
      <c r="AN188" s="1318" t="str">
        <f>IF(AG188="","",IF(AC188="DocType",MAX(AN$104:AN187)+1,""))</f>
        <v/>
      </c>
      <c r="AO188" s="1320" t="str">
        <f t="shared" si="155"/>
        <v/>
      </c>
      <c r="AP188" s="514" t="s">
        <v>76</v>
      </c>
      <c r="AV188" s="1252" t="s">
        <v>1534</v>
      </c>
      <c r="AW188" s="1237" t="s">
        <v>1250</v>
      </c>
      <c r="AX188" s="1234" t="str">
        <f t="shared" si="159"/>
        <v>IT_013.0000000000</v>
      </c>
      <c r="AY188" s="1235">
        <f>[1]!IR_R08</f>
        <v>13</v>
      </c>
      <c r="AZ188" s="1236">
        <f>[1]!IR_ARM05_P08+Input_PL_Incentive_IR</f>
        <v>-2</v>
      </c>
      <c r="BA188" s="1236">
        <f>[1]!IR_FRM30_P08+Input_PL_Incentive_IR</f>
        <v>110.25</v>
      </c>
      <c r="BB188" s="1234">
        <f t="shared" si="163"/>
        <v>110.25</v>
      </c>
      <c r="BC188" s="1234" t="str">
        <f t="shared" si="161"/>
        <v>IT_110.2500000000</v>
      </c>
      <c r="BD188" s="1234"/>
      <c r="BE188" s="1253" t="s">
        <v>1917</v>
      </c>
    </row>
    <row r="189" spans="13:57" ht="9.6" customHeight="1" x14ac:dyDescent="0.2">
      <c r="M189" s="1595" t="s">
        <v>2983</v>
      </c>
      <c r="N189" s="1595" t="s">
        <v>181</v>
      </c>
      <c r="O189" s="1595" t="s">
        <v>2984</v>
      </c>
      <c r="X189" s="860" t="s">
        <v>740</v>
      </c>
      <c r="Y189" s="861" t="str">
        <f>IF(Input_RateSheet_Type="Master",IF(IFERROR(FIND(X189,INDEX(List_State_All,MATCH(Input_State,List_State,0),6)),0)&gt;0,X189,""),"")</f>
        <v/>
      </c>
      <c r="Z189" s="862" t="str">
        <f>IF(Y189="","",MAX(Z$173:Z188)+1)</f>
        <v/>
      </c>
      <c r="AA189" s="832" t="s">
        <v>740</v>
      </c>
      <c r="AC189" s="1182" t="s">
        <v>2537</v>
      </c>
      <c r="AD189" s="1182" t="s">
        <v>3886</v>
      </c>
      <c r="AE189" s="1182" t="s">
        <v>190</v>
      </c>
      <c r="AF189" s="1185" t="s">
        <v>1792</v>
      </c>
      <c r="AG189" s="1187" t="str">
        <f>IF(Input_DocType=Structure!AE189,Structure!AF189,"")</f>
        <v/>
      </c>
      <c r="AH189" s="1172" t="str">
        <f>IF(AG189="","",IF(AC189="Disclosure",MAX(AH$104:AH188)+1,""))</f>
        <v/>
      </c>
      <c r="AI189" s="1173" t="str">
        <f t="shared" si="152"/>
        <v/>
      </c>
      <c r="AJ189" s="1174" t="str">
        <f>IF(AG189="","",IF(AC189="SubmissionRequired",MAX(AJ$104:AJ188)+1,""))</f>
        <v/>
      </c>
      <c r="AK189" s="1176" t="str">
        <f t="shared" si="153"/>
        <v/>
      </c>
      <c r="AL189" s="1177" t="str">
        <f>IF(AG189="","",IF(AC189="SubmissionRecommended",MAX(AL$104:AL188)+1,""))</f>
        <v/>
      </c>
      <c r="AM189" s="1179" t="str">
        <f t="shared" si="154"/>
        <v/>
      </c>
      <c r="AN189" s="1318" t="str">
        <f>IF(AG189="","",IF(AC189="DocType",MAX(AN$104:AN188)+1,""))</f>
        <v/>
      </c>
      <c r="AO189" s="1320" t="str">
        <f t="shared" si="155"/>
        <v/>
      </c>
      <c r="AP189" s="514" t="s">
        <v>76</v>
      </c>
      <c r="AV189" s="1252" t="s">
        <v>1534</v>
      </c>
      <c r="AW189" s="1237" t="s">
        <v>1250</v>
      </c>
      <c r="AX189" s="1234" t="str">
        <f t="shared" si="159"/>
        <v>IT_012.8750000000</v>
      </c>
      <c r="AY189" s="1235">
        <f>[1]!IR_R09</f>
        <v>12.875</v>
      </c>
      <c r="AZ189" s="1236">
        <f>[1]!IR_ARM05_P09+Input_PL_Incentive_IR</f>
        <v>-2</v>
      </c>
      <c r="BA189" s="1236">
        <f>[1]!IR_FRM30_P09+Input_PL_Incentive_IR</f>
        <v>110</v>
      </c>
      <c r="BB189" s="1234">
        <f t="shared" si="163"/>
        <v>110</v>
      </c>
      <c r="BC189" s="1234" t="str">
        <f t="shared" si="161"/>
        <v>IT_110.0000000000</v>
      </c>
      <c r="BD189" s="1234"/>
      <c r="BE189" s="1253" t="s">
        <v>1918</v>
      </c>
    </row>
    <row r="190" spans="13:57" ht="9.6" customHeight="1" x14ac:dyDescent="0.2">
      <c r="M190" s="1595" t="s">
        <v>2985</v>
      </c>
      <c r="N190" s="1595" t="s">
        <v>181</v>
      </c>
      <c r="O190" s="1595" t="s">
        <v>2986</v>
      </c>
      <c r="X190" s="835" t="s">
        <v>741</v>
      </c>
      <c r="Y190" s="836" t="str">
        <f>IF(Input_RateSheet_Type="Master",IF(IFERROR(FIND(X190,INDEX(List_State_All,MATCH(Input_State,List_State,0),6)),0)&gt;0,X190,""),"")</f>
        <v/>
      </c>
      <c r="Z190" s="837" t="str">
        <f>IF(Y190="","",MAX(Z$173:Z189)+1)</f>
        <v/>
      </c>
      <c r="AA190" s="838" t="s">
        <v>741</v>
      </c>
      <c r="AC190" s="1182" t="s">
        <v>2537</v>
      </c>
      <c r="AD190" s="1182" t="s">
        <v>3886</v>
      </c>
      <c r="AE190" s="1182" t="s">
        <v>247</v>
      </c>
      <c r="AF190" s="1185" t="s">
        <v>2527</v>
      </c>
      <c r="AG190" s="1187" t="str">
        <f>IF(Input_DocType=Structure!AE190,Structure!AF190,"")</f>
        <v/>
      </c>
      <c r="AH190" s="1172" t="str">
        <f>IF(AG190="","",IF(AC190="Disclosure",MAX(AH$104:AH189)+1,""))</f>
        <v/>
      </c>
      <c r="AI190" s="1173" t="str">
        <f t="shared" si="152"/>
        <v/>
      </c>
      <c r="AJ190" s="1174" t="str">
        <f>IF(AG190="","",IF(AC190="SubmissionRequired",MAX(AJ$104:AJ189)+1,""))</f>
        <v/>
      </c>
      <c r="AK190" s="1176" t="str">
        <f t="shared" si="153"/>
        <v/>
      </c>
      <c r="AL190" s="1177" t="str">
        <f>IF(AG190="","",IF(AC190="SubmissionRecommended",MAX(AL$104:AL189)+1,""))</f>
        <v/>
      </c>
      <c r="AM190" s="1179" t="str">
        <f t="shared" si="154"/>
        <v/>
      </c>
      <c r="AN190" s="1318" t="str">
        <f>IF(AG190="","",IF(AC190="DocType",MAX(AN$104:AN189)+1,""))</f>
        <v/>
      </c>
      <c r="AO190" s="1320" t="str">
        <f t="shared" si="155"/>
        <v/>
      </c>
      <c r="AP190" s="514" t="s">
        <v>76</v>
      </c>
      <c r="AV190" s="1252" t="s">
        <v>1534</v>
      </c>
      <c r="AW190" s="1237" t="s">
        <v>1250</v>
      </c>
      <c r="AX190" s="1234" t="str">
        <f t="shared" si="159"/>
        <v>IT_012.7500000000</v>
      </c>
      <c r="AY190" s="1235">
        <f>[1]!IR_R10</f>
        <v>12.75</v>
      </c>
      <c r="AZ190" s="1236">
        <f>[1]!IR_ARM05_P10+Input_PL_Incentive_IR</f>
        <v>-2</v>
      </c>
      <c r="BA190" s="1236">
        <f>[1]!IR_FRM30_P10+Input_PL_Incentive_IR</f>
        <v>109.75</v>
      </c>
      <c r="BB190" s="1234">
        <f t="shared" si="163"/>
        <v>109.75</v>
      </c>
      <c r="BC190" s="1234" t="str">
        <f t="shared" si="161"/>
        <v>IT_109.7500000000</v>
      </c>
      <c r="BD190" s="1234"/>
      <c r="BE190" s="1253" t="s">
        <v>1919</v>
      </c>
    </row>
    <row r="191" spans="13:57" ht="9.6" customHeight="1" x14ac:dyDescent="0.2">
      <c r="M191" s="1595" t="s">
        <v>2987</v>
      </c>
      <c r="N191" s="1595" t="s">
        <v>181</v>
      </c>
      <c r="O191" s="1595" t="s">
        <v>2988</v>
      </c>
      <c r="AC191" s="1182" t="s">
        <v>2537</v>
      </c>
      <c r="AD191" s="1182" t="s">
        <v>3886</v>
      </c>
      <c r="AE191" s="1182" t="s">
        <v>247</v>
      </c>
      <c r="AF191" s="1185" t="s">
        <v>2536</v>
      </c>
      <c r="AG191" s="1187" t="str">
        <f>IF(Input_DocType=Structure!AE191,Structure!AF191,"")</f>
        <v/>
      </c>
      <c r="AH191" s="1172" t="str">
        <f>IF(AG191="","",IF(AC191="Disclosure",MAX(AH$104:AH190)+1,""))</f>
        <v/>
      </c>
      <c r="AI191" s="1173" t="str">
        <f t="shared" si="152"/>
        <v/>
      </c>
      <c r="AJ191" s="1174" t="str">
        <f>IF(AG191="","",IF(AC191="SubmissionRequired",MAX(AJ$104:AJ190)+1,""))</f>
        <v/>
      </c>
      <c r="AK191" s="1176" t="str">
        <f t="shared" si="153"/>
        <v/>
      </c>
      <c r="AL191" s="1177" t="str">
        <f>IF(AG191="","",IF(AC191="SubmissionRecommended",MAX(AL$104:AL190)+1,""))</f>
        <v/>
      </c>
      <c r="AM191" s="1179" t="str">
        <f t="shared" si="154"/>
        <v/>
      </c>
      <c r="AN191" s="1318" t="str">
        <f>IF(AG191="","",IF(AC191="DocType",MAX(AN$104:AN190)+1,""))</f>
        <v/>
      </c>
      <c r="AO191" s="1320" t="str">
        <f t="shared" si="155"/>
        <v/>
      </c>
      <c r="AP191" s="514" t="s">
        <v>76</v>
      </c>
      <c r="AV191" s="1252" t="s">
        <v>1534</v>
      </c>
      <c r="AW191" s="1237" t="s">
        <v>1250</v>
      </c>
      <c r="AX191" s="1234" t="str">
        <f t="shared" si="159"/>
        <v>IT_012.6250000000</v>
      </c>
      <c r="AY191" s="1235">
        <f>[1]!IR_R11</f>
        <v>12.625</v>
      </c>
      <c r="AZ191" s="1236">
        <f>[1]!IR_ARM05_P11+Input_PL_Incentive_IR</f>
        <v>-2</v>
      </c>
      <c r="BA191" s="1236">
        <f>[1]!IR_FRM30_P11+Input_PL_Incentive_IR</f>
        <v>109.5</v>
      </c>
      <c r="BB191" s="1234">
        <f t="shared" si="163"/>
        <v>109.5</v>
      </c>
      <c r="BC191" s="1234" t="str">
        <f t="shared" si="161"/>
        <v>IT_109.5000000000</v>
      </c>
      <c r="BD191" s="1234"/>
      <c r="BE191" s="1253" t="s">
        <v>1920</v>
      </c>
    </row>
    <row r="192" spans="13:57" ht="9.6" customHeight="1" x14ac:dyDescent="0.2">
      <c r="M192" s="1595" t="s">
        <v>2989</v>
      </c>
      <c r="N192" s="1595" t="s">
        <v>181</v>
      </c>
      <c r="O192" s="1595" t="s">
        <v>2990</v>
      </c>
      <c r="AC192" s="1182" t="s">
        <v>2537</v>
      </c>
      <c r="AD192" s="1182" t="s">
        <v>3886</v>
      </c>
      <c r="AE192" s="1182" t="s">
        <v>466</v>
      </c>
      <c r="AF192" s="1185" t="s">
        <v>2527</v>
      </c>
      <c r="AG192" s="1187" t="str">
        <f>IF(Input_DocType=Structure!AE192,Structure!AF192,"")</f>
        <v/>
      </c>
      <c r="AH192" s="1172" t="str">
        <f>IF(AG192="","",IF(AC192="Disclosure",MAX(AH$104:AH191)+1,""))</f>
        <v/>
      </c>
      <c r="AI192" s="1173" t="str">
        <f t="shared" si="152"/>
        <v/>
      </c>
      <c r="AJ192" s="1174" t="str">
        <f>IF(AG192="","",IF(AC192="SubmissionRequired",MAX(AJ$104:AJ191)+1,""))</f>
        <v/>
      </c>
      <c r="AK192" s="1176" t="str">
        <f t="shared" si="153"/>
        <v/>
      </c>
      <c r="AL192" s="1177" t="str">
        <f>IF(AG192="","",IF(AC192="SubmissionRecommended",MAX(AL$104:AL191)+1,""))</f>
        <v/>
      </c>
      <c r="AM192" s="1179" t="str">
        <f t="shared" si="154"/>
        <v/>
      </c>
      <c r="AN192" s="1318" t="str">
        <f>IF(AG192="","",IF(AC192="DocType",MAX(AN$104:AN191)+1,""))</f>
        <v/>
      </c>
      <c r="AO192" s="1320" t="str">
        <f t="shared" si="155"/>
        <v/>
      </c>
      <c r="AP192" s="514" t="s">
        <v>76</v>
      </c>
      <c r="AV192" s="1252" t="s">
        <v>1534</v>
      </c>
      <c r="AW192" s="1237" t="s">
        <v>1250</v>
      </c>
      <c r="AX192" s="1234" t="str">
        <f t="shared" si="159"/>
        <v>IT_012.5000000000</v>
      </c>
      <c r="AY192" s="1235">
        <f>[1]!IR_R12</f>
        <v>12.5</v>
      </c>
      <c r="AZ192" s="1236">
        <f>[1]!IR_ARM05_P12+Input_PL_Incentive_IR</f>
        <v>-2</v>
      </c>
      <c r="BA192" s="1236">
        <f>[1]!IR_FRM30_P12+Input_PL_Incentive_IR</f>
        <v>109.25</v>
      </c>
      <c r="BB192" s="1234">
        <f t="shared" si="163"/>
        <v>109.25</v>
      </c>
      <c r="BC192" s="1234" t="str">
        <f t="shared" si="161"/>
        <v>IT_109.2500000000</v>
      </c>
      <c r="BD192" s="1234"/>
      <c r="BE192" s="1253" t="s">
        <v>1921</v>
      </c>
    </row>
    <row r="193" spans="13:66" ht="9.6" customHeight="1" x14ac:dyDescent="0.2">
      <c r="M193" s="1595" t="s">
        <v>2991</v>
      </c>
      <c r="N193" s="1595" t="s">
        <v>181</v>
      </c>
      <c r="O193" s="1595" t="s">
        <v>2992</v>
      </c>
      <c r="AC193" s="1182" t="s">
        <v>2537</v>
      </c>
      <c r="AD193" s="1182" t="s">
        <v>3886</v>
      </c>
      <c r="AE193" s="1182" t="s">
        <v>466</v>
      </c>
      <c r="AF193" s="1185" t="s">
        <v>2534</v>
      </c>
      <c r="AG193" s="1187" t="str">
        <f>IF(Input_DocType=Structure!AE193,Structure!AF193,"")</f>
        <v/>
      </c>
      <c r="AH193" s="1172" t="str">
        <f>IF(AG193="","",IF(AC193="Disclosure",MAX(AH$104:AH192)+1,""))</f>
        <v/>
      </c>
      <c r="AI193" s="1173" t="str">
        <f t="shared" si="152"/>
        <v/>
      </c>
      <c r="AJ193" s="1174" t="str">
        <f>IF(AG193="","",IF(AC193="SubmissionRequired",MAX(AJ$104:AJ192)+1,""))</f>
        <v/>
      </c>
      <c r="AK193" s="1176" t="str">
        <f t="shared" si="153"/>
        <v/>
      </c>
      <c r="AL193" s="1177" t="str">
        <f>IF(AG193="","",IF(AC193="SubmissionRecommended",MAX(AL$104:AL192)+1,""))</f>
        <v/>
      </c>
      <c r="AM193" s="1179" t="str">
        <f t="shared" si="154"/>
        <v/>
      </c>
      <c r="AN193" s="1318" t="str">
        <f>IF(AG193="","",IF(AC193="DocType",MAX(AN$104:AN192)+1,""))</f>
        <v/>
      </c>
      <c r="AO193" s="1320" t="str">
        <f t="shared" si="155"/>
        <v/>
      </c>
      <c r="AP193" s="514" t="s">
        <v>76</v>
      </c>
      <c r="AV193" s="1252" t="s">
        <v>1534</v>
      </c>
      <c r="AW193" s="1237" t="s">
        <v>1250</v>
      </c>
      <c r="AX193" s="1234" t="str">
        <f t="shared" si="159"/>
        <v>IT_012.3750000000</v>
      </c>
      <c r="AY193" s="1235">
        <f>[1]!IR_R13</f>
        <v>12.375</v>
      </c>
      <c r="AZ193" s="1236">
        <f>[1]!IR_ARM05_P13+Input_PL_Incentive_IR</f>
        <v>-2</v>
      </c>
      <c r="BA193" s="1236">
        <f>[1]!IR_FRM30_P13+Input_PL_Incentive_IR</f>
        <v>109</v>
      </c>
      <c r="BB193" s="1234">
        <f t="shared" si="163"/>
        <v>109</v>
      </c>
      <c r="BC193" s="1234" t="str">
        <f t="shared" si="161"/>
        <v>IT_109.0000000000</v>
      </c>
      <c r="BD193" s="1234"/>
      <c r="BE193" s="1253" t="s">
        <v>1922</v>
      </c>
    </row>
    <row r="194" spans="13:66" ht="9.6" customHeight="1" x14ac:dyDescent="0.2">
      <c r="M194" s="1595" t="s">
        <v>2993</v>
      </c>
      <c r="N194" s="1595" t="s">
        <v>181</v>
      </c>
      <c r="O194" s="1595" t="s">
        <v>2984</v>
      </c>
      <c r="AC194" s="1182" t="s">
        <v>2537</v>
      </c>
      <c r="AD194" s="1182" t="s">
        <v>3886</v>
      </c>
      <c r="AE194" s="1182" t="s">
        <v>466</v>
      </c>
      <c r="AF194" s="1185" t="s">
        <v>2542</v>
      </c>
      <c r="AG194" s="1187" t="str">
        <f>IF(Input_DocType=Structure!AE194,Structure!AF194,"")</f>
        <v/>
      </c>
      <c r="AH194" s="1172" t="str">
        <f>IF(AG194="","",IF(AC194="Disclosure",MAX(AH$104:AH193)+1,""))</f>
        <v/>
      </c>
      <c r="AI194" s="1173" t="str">
        <f t="shared" si="152"/>
        <v/>
      </c>
      <c r="AJ194" s="1174" t="str">
        <f>IF(AG194="","",IF(AC194="SubmissionRequired",MAX(AJ$104:AJ193)+1,""))</f>
        <v/>
      </c>
      <c r="AK194" s="1176" t="str">
        <f t="shared" si="153"/>
        <v/>
      </c>
      <c r="AL194" s="1177" t="str">
        <f>IF(AG194="","",IF(AC194="SubmissionRecommended",MAX(AL$104:AL193)+1,""))</f>
        <v/>
      </c>
      <c r="AM194" s="1179" t="str">
        <f t="shared" si="154"/>
        <v/>
      </c>
      <c r="AN194" s="1318" t="str">
        <f>IF(AG194="","",IF(AC194="DocType",MAX(AN$104:AN193)+1,""))</f>
        <v/>
      </c>
      <c r="AO194" s="1320" t="str">
        <f t="shared" si="155"/>
        <v/>
      </c>
      <c r="AP194" s="514" t="s">
        <v>76</v>
      </c>
      <c r="AV194" s="1252" t="s">
        <v>1534</v>
      </c>
      <c r="AW194" s="1237" t="s">
        <v>1250</v>
      </c>
      <c r="AX194" s="1234" t="str">
        <f t="shared" si="159"/>
        <v>IT_012.2500000000</v>
      </c>
      <c r="AY194" s="1235">
        <f>[1]!IR_R14</f>
        <v>12.25</v>
      </c>
      <c r="AZ194" s="1236">
        <f>[1]!IR_ARM05_P14+Input_PL_Incentive_IR</f>
        <v>-2</v>
      </c>
      <c r="BA194" s="1236">
        <f>[1]!IR_FRM30_P14+Input_PL_Incentive_IR</f>
        <v>108.75</v>
      </c>
      <c r="BB194" s="1234">
        <f t="shared" si="163"/>
        <v>108.75</v>
      </c>
      <c r="BC194" s="1234" t="str">
        <f t="shared" si="161"/>
        <v>IT_108.7500000000</v>
      </c>
      <c r="BD194" s="1234"/>
      <c r="BE194" s="1253" t="s">
        <v>1923</v>
      </c>
    </row>
    <row r="195" spans="13:66" ht="9.6" customHeight="1" x14ac:dyDescent="0.2">
      <c r="M195" s="1595" t="s">
        <v>2994</v>
      </c>
      <c r="N195" s="1595" t="s">
        <v>181</v>
      </c>
      <c r="O195" s="1595" t="s">
        <v>2986</v>
      </c>
      <c r="AC195" s="1182" t="s">
        <v>2537</v>
      </c>
      <c r="AD195" s="1182" t="s">
        <v>3886</v>
      </c>
      <c r="AE195" s="1182" t="s">
        <v>466</v>
      </c>
      <c r="AF195" s="1185" t="s">
        <v>2538</v>
      </c>
      <c r="AG195" s="1187" t="str">
        <f>IF(Input_DocType=Structure!AE195,Structure!AF195,"")</f>
        <v/>
      </c>
      <c r="AH195" s="1172" t="str">
        <f>IF(AG195="","",IF(AC195="Disclosure",MAX(AH$104:AH194)+1,""))</f>
        <v/>
      </c>
      <c r="AI195" s="1173" t="str">
        <f t="shared" si="152"/>
        <v/>
      </c>
      <c r="AJ195" s="1174" t="str">
        <f>IF(AG195="","",IF(AC195="SubmissionRequired",MAX(AJ$104:AJ194)+1,""))</f>
        <v/>
      </c>
      <c r="AK195" s="1176" t="str">
        <f t="shared" si="153"/>
        <v/>
      </c>
      <c r="AL195" s="1177" t="str">
        <f>IF(AG195="","",IF(AC195="SubmissionRecommended",MAX(AL$104:AL194)+1,""))</f>
        <v/>
      </c>
      <c r="AM195" s="1179" t="str">
        <f t="shared" si="154"/>
        <v/>
      </c>
      <c r="AN195" s="1318" t="str">
        <f>IF(AG195="","",IF(AC195="DocType",MAX(AN$104:AN194)+1,""))</f>
        <v/>
      </c>
      <c r="AO195" s="1320" t="str">
        <f t="shared" si="155"/>
        <v/>
      </c>
      <c r="AP195" s="514" t="s">
        <v>76</v>
      </c>
      <c r="AV195" s="1252" t="s">
        <v>1534</v>
      </c>
      <c r="AW195" s="1237" t="s">
        <v>1250</v>
      </c>
      <c r="AX195" s="1234" t="str">
        <f t="shared" si="159"/>
        <v>IT_012.1250000000</v>
      </c>
      <c r="AY195" s="1235">
        <f>[1]!IR_R15</f>
        <v>12.125</v>
      </c>
      <c r="AZ195" s="1236">
        <f>[1]!IR_ARM05_P15+Input_PL_Incentive_IR</f>
        <v>-2</v>
      </c>
      <c r="BA195" s="1236">
        <f>[1]!IR_FRM30_P15+Input_PL_Incentive_IR</f>
        <v>108.5</v>
      </c>
      <c r="BB195" s="1234">
        <f t="shared" si="163"/>
        <v>108.5</v>
      </c>
      <c r="BC195" s="1234" t="str">
        <f t="shared" si="161"/>
        <v>IT_108.5000000000</v>
      </c>
      <c r="BD195" s="1234"/>
      <c r="BE195" s="1253" t="s">
        <v>1924</v>
      </c>
    </row>
    <row r="196" spans="13:66" ht="9.6" customHeight="1" x14ac:dyDescent="0.2">
      <c r="M196" s="1595" t="s">
        <v>2995</v>
      </c>
      <c r="N196" s="1595" t="s">
        <v>181</v>
      </c>
      <c r="O196" s="1595" t="s">
        <v>2988</v>
      </c>
      <c r="AC196" s="1182" t="s">
        <v>2537</v>
      </c>
      <c r="AD196" s="1182" t="s">
        <v>3886</v>
      </c>
      <c r="AE196" s="1182" t="s">
        <v>469</v>
      </c>
      <c r="AF196" s="1185" t="s">
        <v>2527</v>
      </c>
      <c r="AG196" s="1187" t="str">
        <f>IF(Input_DocType=Structure!AE196,Structure!AF196,"")</f>
        <v/>
      </c>
      <c r="AH196" s="1172" t="str">
        <f>IF(AG196="","",IF(AC196="Disclosure",MAX(AH$104:AH195)+1,""))</f>
        <v/>
      </c>
      <c r="AI196" s="1173" t="str">
        <f t="shared" si="152"/>
        <v/>
      </c>
      <c r="AJ196" s="1174" t="str">
        <f>IF(AG196="","",IF(AC196="SubmissionRequired",MAX(AJ$104:AJ195)+1,""))</f>
        <v/>
      </c>
      <c r="AK196" s="1176" t="str">
        <f t="shared" si="153"/>
        <v/>
      </c>
      <c r="AL196" s="1177" t="str">
        <f>IF(AG196="","",IF(AC196="SubmissionRecommended",MAX(AL$104:AL195)+1,""))</f>
        <v/>
      </c>
      <c r="AM196" s="1179" t="str">
        <f t="shared" si="154"/>
        <v/>
      </c>
      <c r="AN196" s="1318" t="str">
        <f>IF(AG196="","",IF(AC196="DocType",MAX(AN$104:AN195)+1,""))</f>
        <v/>
      </c>
      <c r="AO196" s="1320" t="str">
        <f t="shared" si="155"/>
        <v/>
      </c>
      <c r="AP196" s="514" t="s">
        <v>76</v>
      </c>
      <c r="AV196" s="1252" t="s">
        <v>1534</v>
      </c>
      <c r="AW196" s="1237" t="s">
        <v>1250</v>
      </c>
      <c r="AX196" s="1234" t="str">
        <f t="shared" si="159"/>
        <v>IT_012.0000000000</v>
      </c>
      <c r="AY196" s="1235">
        <f>[1]!IR_R16</f>
        <v>12</v>
      </c>
      <c r="AZ196" s="1236">
        <f>[1]!IR_ARM05_P16+Input_PL_Incentive_IR</f>
        <v>-2</v>
      </c>
      <c r="BA196" s="1236">
        <f>[1]!IR_FRM30_P16+Input_PL_Incentive_IR</f>
        <v>108.25</v>
      </c>
      <c r="BB196" s="1234">
        <f t="shared" si="163"/>
        <v>108.25</v>
      </c>
      <c r="BC196" s="1234" t="str">
        <f t="shared" si="161"/>
        <v>IT_108.2500000000</v>
      </c>
      <c r="BD196" s="1234"/>
      <c r="BE196" s="1253" t="s">
        <v>1925</v>
      </c>
    </row>
    <row r="197" spans="13:66" ht="9.6" customHeight="1" x14ac:dyDescent="0.2">
      <c r="M197" s="1595" t="s">
        <v>2996</v>
      </c>
      <c r="N197" s="1595" t="s">
        <v>181</v>
      </c>
      <c r="O197" s="1595" t="s">
        <v>2990</v>
      </c>
      <c r="AC197" s="1182" t="s">
        <v>2537</v>
      </c>
      <c r="AD197" s="1182" t="s">
        <v>3886</v>
      </c>
      <c r="AE197" s="1182" t="s">
        <v>469</v>
      </c>
      <c r="AF197" s="1185" t="s">
        <v>2539</v>
      </c>
      <c r="AG197" s="1187" t="str">
        <f>IF(Input_DocType=Structure!AE197,Structure!AF197,"")</f>
        <v/>
      </c>
      <c r="AH197" s="1172" t="str">
        <f>IF(AG197="","",IF(AC197="Disclosure",MAX(AH$104:AH196)+1,""))</f>
        <v/>
      </c>
      <c r="AI197" s="1173" t="str">
        <f t="shared" si="152"/>
        <v/>
      </c>
      <c r="AJ197" s="1174" t="str">
        <f>IF(AG197="","",IF(AC197="SubmissionRequired",MAX(AJ$104:AJ196)+1,""))</f>
        <v/>
      </c>
      <c r="AK197" s="1176" t="str">
        <f t="shared" si="153"/>
        <v/>
      </c>
      <c r="AL197" s="1177" t="str">
        <f>IF(AG197="","",IF(AC197="SubmissionRecommended",MAX(AL$104:AL196)+1,""))</f>
        <v/>
      </c>
      <c r="AM197" s="1179" t="str">
        <f t="shared" si="154"/>
        <v/>
      </c>
      <c r="AN197" s="1318" t="str">
        <f>IF(AG197="","",IF(AC197="DocType",MAX(AN$104:AN196)+1,""))</f>
        <v/>
      </c>
      <c r="AO197" s="1320" t="str">
        <f t="shared" si="155"/>
        <v/>
      </c>
      <c r="AP197" s="514" t="s">
        <v>76</v>
      </c>
      <c r="AV197" s="1252" t="s">
        <v>1534</v>
      </c>
      <c r="AW197" s="1237" t="s">
        <v>1250</v>
      </c>
      <c r="AX197" s="1234" t="str">
        <f t="shared" si="159"/>
        <v>IT_011.8750000000</v>
      </c>
      <c r="AY197" s="1235">
        <f>[1]!IR_R17</f>
        <v>11.875</v>
      </c>
      <c r="AZ197" s="1236">
        <f>[1]!IR_ARM05_P17+Input_PL_Incentive_IR</f>
        <v>-2</v>
      </c>
      <c r="BA197" s="1236">
        <f>[1]!IR_FRM30_P17+Input_PL_Incentive_IR</f>
        <v>108</v>
      </c>
      <c r="BB197" s="1234">
        <f t="shared" si="163"/>
        <v>108</v>
      </c>
      <c r="BC197" s="1234" t="str">
        <f t="shared" si="161"/>
        <v>IT_108.0000000000</v>
      </c>
      <c r="BD197" s="1234"/>
      <c r="BE197" s="1253" t="s">
        <v>1926</v>
      </c>
    </row>
    <row r="198" spans="13:66" ht="9.6" customHeight="1" x14ac:dyDescent="0.2">
      <c r="M198" s="1595" t="s">
        <v>2997</v>
      </c>
      <c r="N198" s="1595" t="s">
        <v>181</v>
      </c>
      <c r="O198" s="1595" t="s">
        <v>2992</v>
      </c>
      <c r="AC198" s="1180"/>
      <c r="AD198" s="1180"/>
      <c r="AE198" s="1180"/>
      <c r="AF198" s="691"/>
      <c r="AG198" s="1194"/>
      <c r="AH198" s="1172" t="str">
        <f>IF(AG198="","",IF(AC198="Disclosure",MAX(AH$104:AH197)+1,""))</f>
        <v/>
      </c>
      <c r="AI198" s="1173" t="str">
        <f t="shared" si="152"/>
        <v/>
      </c>
      <c r="AJ198" s="1174" t="str">
        <f>IF(AG198="","",IF(AC198="SubmissionRequired",MAX(AJ$104:AJ197)+1,""))</f>
        <v/>
      </c>
      <c r="AK198" s="1176" t="str">
        <f t="shared" si="153"/>
        <v/>
      </c>
      <c r="AL198" s="1177" t="str">
        <f>IF(AG198="","",IF(AC198="SubmissionRecommended",MAX(AL$104:AL197)+1,""))</f>
        <v/>
      </c>
      <c r="AM198" s="1179" t="str">
        <f t="shared" si="154"/>
        <v/>
      </c>
      <c r="AN198" s="1318" t="str">
        <f>IF(AG198="","",IF(AC198="DocType",MAX(AN$104:AN197)+1,""))</f>
        <v/>
      </c>
      <c r="AO198" s="1320" t="str">
        <f t="shared" si="155"/>
        <v/>
      </c>
      <c r="AP198" s="514" t="s">
        <v>76</v>
      </c>
      <c r="AV198" s="1252" t="s">
        <v>1534</v>
      </c>
      <c r="AW198" s="1237" t="s">
        <v>1250</v>
      </c>
      <c r="AX198" s="1234" t="str">
        <f t="shared" si="159"/>
        <v>IT_011.7500000000</v>
      </c>
      <c r="AY198" s="1235">
        <f>[1]!IR_R18</f>
        <v>11.75</v>
      </c>
      <c r="AZ198" s="1236">
        <f>[1]!IR_ARM05_P18+Input_PL_Incentive_IR</f>
        <v>-2</v>
      </c>
      <c r="BA198" s="1236">
        <f>[1]!IR_FRM30_P18+Input_PL_Incentive_IR</f>
        <v>107.75</v>
      </c>
      <c r="BB198" s="1234">
        <f t="shared" si="163"/>
        <v>107.75</v>
      </c>
      <c r="BC198" s="1234" t="str">
        <f t="shared" si="161"/>
        <v>IT_107.7500000000</v>
      </c>
      <c r="BD198" s="1234"/>
      <c r="BE198" s="1253" t="s">
        <v>1927</v>
      </c>
    </row>
    <row r="199" spans="13:66" ht="9.6" customHeight="1" x14ac:dyDescent="0.2">
      <c r="M199" s="1595" t="s">
        <v>2998</v>
      </c>
      <c r="N199" s="1595" t="s">
        <v>181</v>
      </c>
      <c r="O199" s="1595" t="s">
        <v>2999</v>
      </c>
      <c r="AV199" s="1252" t="s">
        <v>1534</v>
      </c>
      <c r="AW199" s="1237" t="s">
        <v>1250</v>
      </c>
      <c r="AX199" s="1234" t="str">
        <f t="shared" si="159"/>
        <v>IT_011.6250000000</v>
      </c>
      <c r="AY199" s="1235">
        <f>[1]!IR_R19</f>
        <v>11.625</v>
      </c>
      <c r="AZ199" s="1236">
        <f>[1]!IR_ARM05_P19+Input_PL_Incentive_IR</f>
        <v>-2</v>
      </c>
      <c r="BA199" s="1236">
        <f>[1]!IR_FRM30_P19+Input_PL_Incentive_IR</f>
        <v>107.5</v>
      </c>
      <c r="BB199" s="1234">
        <f t="shared" si="163"/>
        <v>107.5</v>
      </c>
      <c r="BC199" s="1234" t="str">
        <f t="shared" si="161"/>
        <v>IT_107.5000000000</v>
      </c>
      <c r="BD199" s="1234"/>
      <c r="BE199" s="1253" t="s">
        <v>1928</v>
      </c>
    </row>
    <row r="200" spans="13:66" ht="9.6" customHeight="1" x14ac:dyDescent="0.2">
      <c r="M200" s="1595" t="s">
        <v>3000</v>
      </c>
      <c r="N200" s="1595" t="s">
        <v>181</v>
      </c>
      <c r="O200" s="1595" t="s">
        <v>3001</v>
      </c>
      <c r="AV200" s="1252" t="s">
        <v>1534</v>
      </c>
      <c r="AW200" s="1237" t="s">
        <v>1250</v>
      </c>
      <c r="AX200" s="1234" t="str">
        <f t="shared" si="159"/>
        <v>IT_011.5000000000</v>
      </c>
      <c r="AY200" s="1235">
        <f>[1]!IR_R20</f>
        <v>11.5</v>
      </c>
      <c r="AZ200" s="1236">
        <f>[1]!IR_ARM05_P20+Input_PL_Incentive_IR</f>
        <v>-2</v>
      </c>
      <c r="BA200" s="1236">
        <f>[1]!IR_FRM30_P20+Input_PL_Incentive_IR</f>
        <v>107.25</v>
      </c>
      <c r="BB200" s="1234">
        <f t="shared" si="163"/>
        <v>107.25</v>
      </c>
      <c r="BC200" s="1234" t="str">
        <f t="shared" si="161"/>
        <v>IT_107.2500000000</v>
      </c>
      <c r="BD200" s="1234"/>
      <c r="BE200" s="1253" t="s">
        <v>1929</v>
      </c>
    </row>
    <row r="201" spans="13:66" ht="9.6" customHeight="1" x14ac:dyDescent="0.2">
      <c r="M201" s="1595" t="s">
        <v>3002</v>
      </c>
      <c r="N201" s="1595" t="s">
        <v>181</v>
      </c>
      <c r="O201" s="1595" t="s">
        <v>3003</v>
      </c>
      <c r="AV201" s="1252" t="s">
        <v>1534</v>
      </c>
      <c r="AW201" s="1237" t="s">
        <v>1250</v>
      </c>
      <c r="AX201" s="1234" t="str">
        <f t="shared" si="159"/>
        <v>IT_011.3750000000</v>
      </c>
      <c r="AY201" s="1235">
        <f>[1]!IR_R21</f>
        <v>11.375</v>
      </c>
      <c r="AZ201" s="1236">
        <f>[1]!IR_ARM05_P21+Input_PL_Incentive_IR</f>
        <v>-2</v>
      </c>
      <c r="BA201" s="1236">
        <f>[1]!IR_FRM30_P21+Input_PL_Incentive_IR</f>
        <v>107</v>
      </c>
      <c r="BB201" s="1234">
        <f t="shared" si="163"/>
        <v>107</v>
      </c>
      <c r="BC201" s="1234" t="str">
        <f t="shared" si="161"/>
        <v>IT_107.0000000000</v>
      </c>
      <c r="BD201" s="1234"/>
      <c r="BE201" s="1253" t="s">
        <v>1930</v>
      </c>
    </row>
    <row r="202" spans="13:66" ht="9.6" customHeight="1" x14ac:dyDescent="0.2">
      <c r="M202" s="1595" t="s">
        <v>3004</v>
      </c>
      <c r="N202" s="1595" t="s">
        <v>181</v>
      </c>
      <c r="O202" s="1595" t="s">
        <v>3005</v>
      </c>
      <c r="AV202" s="1252" t="s">
        <v>1534</v>
      </c>
      <c r="AW202" s="1237" t="s">
        <v>1250</v>
      </c>
      <c r="AX202" s="1234" t="str">
        <f t="shared" si="159"/>
        <v>IT_011.2500000000</v>
      </c>
      <c r="AY202" s="1235">
        <f>[1]!IR_R22</f>
        <v>11.25</v>
      </c>
      <c r="AZ202" s="1236">
        <f>[1]!IR_ARM05_P22+Input_PL_Incentive_IR</f>
        <v>-2</v>
      </c>
      <c r="BA202" s="1236">
        <f>[1]!IR_FRM30_P22+Input_PL_Incentive_IR</f>
        <v>106.75</v>
      </c>
      <c r="BB202" s="1234">
        <f t="shared" si="163"/>
        <v>106.75</v>
      </c>
      <c r="BC202" s="1234" t="str">
        <f t="shared" si="161"/>
        <v>IT_106.7500000000</v>
      </c>
      <c r="BD202" s="1234"/>
      <c r="BE202" s="1253" t="s">
        <v>1931</v>
      </c>
    </row>
    <row r="203" spans="13:66" ht="9.6" customHeight="1" x14ac:dyDescent="0.2">
      <c r="M203" s="1595" t="s">
        <v>3006</v>
      </c>
      <c r="N203" s="1595" t="s">
        <v>181</v>
      </c>
      <c r="O203" s="1595" t="s">
        <v>3007</v>
      </c>
      <c r="AV203" s="1252" t="s">
        <v>1534</v>
      </c>
      <c r="AW203" s="1237" t="s">
        <v>1250</v>
      </c>
      <c r="AX203" s="1234" t="str">
        <f t="shared" si="159"/>
        <v>IT_011.1250000000</v>
      </c>
      <c r="AY203" s="1235">
        <f>[1]!IR_R23</f>
        <v>11.125</v>
      </c>
      <c r="AZ203" s="1236">
        <f>[1]!IR_ARM05_P23+Input_PL_Incentive_IR</f>
        <v>-2</v>
      </c>
      <c r="BA203" s="1236">
        <f>[1]!IR_FRM30_P23+Input_PL_Incentive_IR</f>
        <v>106.5</v>
      </c>
      <c r="BB203" s="1234">
        <f t="shared" si="163"/>
        <v>106.5</v>
      </c>
      <c r="BC203" s="1234" t="str">
        <f t="shared" si="161"/>
        <v>IT_106.5000000000</v>
      </c>
      <c r="BD203" s="1234"/>
      <c r="BE203" s="1253" t="s">
        <v>1932</v>
      </c>
    </row>
    <row r="204" spans="13:66" ht="9.6" customHeight="1" x14ac:dyDescent="0.2">
      <c r="M204" s="1595" t="s">
        <v>3008</v>
      </c>
      <c r="N204" s="1595" t="s">
        <v>181</v>
      </c>
      <c r="O204" s="1595" t="s">
        <v>3009</v>
      </c>
      <c r="AV204" s="1252" t="s">
        <v>1534</v>
      </c>
      <c r="AW204" s="1237" t="s">
        <v>1250</v>
      </c>
      <c r="AX204" s="1234" t="str">
        <f t="shared" si="159"/>
        <v>IT_011.0000000000</v>
      </c>
      <c r="AY204" s="1235">
        <f>[1]!IR_R24</f>
        <v>11</v>
      </c>
      <c r="AZ204" s="1236">
        <f>[1]!IR_ARM05_P24+Input_PL_Incentive_IR</f>
        <v>-2</v>
      </c>
      <c r="BA204" s="1236">
        <f>[1]!IR_FRM30_P24+Input_PL_Incentive_IR</f>
        <v>106.25</v>
      </c>
      <c r="BB204" s="1234">
        <f t="shared" ref="BB204:BB220" si="164">IF(INDEX(List_AmortTermAll,MATCH(Input_AmortTerm,List_AmortTerm,0),3)=1,AZ204,IF(INDEX(List_AmortTermAll,MATCH(Input_AmortTerm,List_AmortTerm,0),3)=2,BA204,#N/A))</f>
        <v>106.25</v>
      </c>
      <c r="BC204" s="1234" t="str">
        <f t="shared" si="161"/>
        <v>IT_106.2500000000</v>
      </c>
      <c r="BD204" s="1234"/>
      <c r="BE204" s="1253" t="s">
        <v>1933</v>
      </c>
    </row>
    <row r="205" spans="13:66" ht="9.6" customHeight="1" x14ac:dyDescent="0.2">
      <c r="M205" s="1595" t="s">
        <v>3010</v>
      </c>
      <c r="N205" s="1595" t="s">
        <v>181</v>
      </c>
      <c r="O205" s="1595" t="s">
        <v>2999</v>
      </c>
      <c r="AV205" s="1252" t="s">
        <v>1534</v>
      </c>
      <c r="AW205" s="1237" t="s">
        <v>1250</v>
      </c>
      <c r="AX205" s="1234" t="str">
        <f t="shared" si="159"/>
        <v>IT_010.8750000000</v>
      </c>
      <c r="AY205" s="1235">
        <f>[1]!IR_R25</f>
        <v>10.875</v>
      </c>
      <c r="AZ205" s="1236">
        <f>[1]!IR_ARM05_P25+Input_PL_Incentive_IR</f>
        <v>-2</v>
      </c>
      <c r="BA205" s="1236">
        <f>[1]!IR_FRM30_P25+Input_PL_Incentive_IR</f>
        <v>106</v>
      </c>
      <c r="BB205" s="1234">
        <f t="shared" si="164"/>
        <v>106</v>
      </c>
      <c r="BC205" s="1234" t="str">
        <f t="shared" si="161"/>
        <v>IT_106.0000000000</v>
      </c>
      <c r="BD205" s="1234"/>
      <c r="BE205" s="1253" t="s">
        <v>1934</v>
      </c>
    </row>
    <row r="206" spans="13:66" ht="9.6" customHeight="1" x14ac:dyDescent="0.2">
      <c r="M206" s="1595" t="s">
        <v>3011</v>
      </c>
      <c r="N206" s="1595" t="s">
        <v>181</v>
      </c>
      <c r="O206" s="1595" t="s">
        <v>3001</v>
      </c>
      <c r="AV206" s="1252" t="s">
        <v>1534</v>
      </c>
      <c r="AW206" s="1237" t="s">
        <v>1250</v>
      </c>
      <c r="AX206" s="1234" t="str">
        <f t="shared" si="159"/>
        <v>IT_010.7500000000</v>
      </c>
      <c r="AY206" s="1235">
        <f>[1]!IR_R26</f>
        <v>10.75</v>
      </c>
      <c r="AZ206" s="1236">
        <f>[1]!IR_ARM05_P26+Input_PL_Incentive_IR</f>
        <v>-2</v>
      </c>
      <c r="BA206" s="1236">
        <f>[1]!IR_FRM30_P26+Input_PL_Incentive_IR</f>
        <v>105.75</v>
      </c>
      <c r="BB206" s="1234">
        <f t="shared" si="164"/>
        <v>105.75</v>
      </c>
      <c r="BC206" s="1234" t="str">
        <f t="shared" si="161"/>
        <v>IT_105.7500000000</v>
      </c>
      <c r="BD206" s="1234"/>
      <c r="BE206" s="1253" t="s">
        <v>1935</v>
      </c>
    </row>
    <row r="207" spans="13:66" ht="9.6" customHeight="1" x14ac:dyDescent="0.2">
      <c r="M207" s="1595" t="s">
        <v>3012</v>
      </c>
      <c r="N207" s="1595" t="s">
        <v>181</v>
      </c>
      <c r="O207" s="1595" t="s">
        <v>3003</v>
      </c>
      <c r="AV207" s="1252" t="s">
        <v>1534</v>
      </c>
      <c r="AW207" s="1237" t="s">
        <v>1250</v>
      </c>
      <c r="AX207" s="1234" t="str">
        <f t="shared" si="159"/>
        <v>IT_010.6250000000</v>
      </c>
      <c r="AY207" s="1235">
        <f>[1]!IR_R27</f>
        <v>10.625</v>
      </c>
      <c r="AZ207" s="1236">
        <f>[1]!IR_ARM05_P27+Input_PL_Incentive_IR</f>
        <v>-2</v>
      </c>
      <c r="BA207" s="1236">
        <f>[1]!IR_FRM30_P27+Input_PL_Incentive_IR</f>
        <v>105.5</v>
      </c>
      <c r="BB207" s="1234">
        <f t="shared" si="164"/>
        <v>105.5</v>
      </c>
      <c r="BC207" s="1234" t="str">
        <f t="shared" si="161"/>
        <v>IT_105.5000000000</v>
      </c>
      <c r="BD207" s="1234"/>
      <c r="BE207" s="1253" t="s">
        <v>1936</v>
      </c>
    </row>
    <row r="208" spans="13:66" ht="9.6" customHeight="1" x14ac:dyDescent="0.2">
      <c r="M208" s="1595" t="s">
        <v>3013</v>
      </c>
      <c r="N208" s="1595" t="s">
        <v>181</v>
      </c>
      <c r="O208" s="1595" t="s">
        <v>3005</v>
      </c>
      <c r="AV208" s="1252" t="s">
        <v>1534</v>
      </c>
      <c r="AW208" s="1237" t="s">
        <v>1250</v>
      </c>
      <c r="AX208" s="1234" t="str">
        <f t="shared" si="159"/>
        <v>IT_010.5000000000</v>
      </c>
      <c r="AY208" s="1235">
        <f>[1]!IR_R28</f>
        <v>10.5</v>
      </c>
      <c r="AZ208" s="1236">
        <f>[1]!IR_ARM05_P28+Input_PL_Incentive_IR</f>
        <v>-2</v>
      </c>
      <c r="BA208" s="1236">
        <f>[1]!IR_FRM30_P28+Input_PL_Incentive_IR</f>
        <v>105.25</v>
      </c>
      <c r="BB208" s="1234">
        <f t="shared" si="164"/>
        <v>105.25</v>
      </c>
      <c r="BC208" s="1234" t="str">
        <f t="shared" si="161"/>
        <v>IT_105.2500000000</v>
      </c>
      <c r="BD208" s="1234"/>
      <c r="BE208" s="1253" t="s">
        <v>1937</v>
      </c>
      <c r="BG208" s="515"/>
      <c r="BH208" s="515"/>
      <c r="BI208" s="515"/>
      <c r="BJ208" s="515"/>
      <c r="BK208" s="515"/>
      <c r="BL208" s="515"/>
      <c r="BM208" s="515"/>
      <c r="BN208" s="515"/>
    </row>
    <row r="209" spans="13:66" ht="9.6" customHeight="1" x14ac:dyDescent="0.2">
      <c r="M209" s="1595" t="s">
        <v>3014</v>
      </c>
      <c r="N209" s="1595" t="s">
        <v>181</v>
      </c>
      <c r="O209" s="1595" t="s">
        <v>3007</v>
      </c>
      <c r="AV209" s="1252" t="s">
        <v>1534</v>
      </c>
      <c r="AW209" s="1237" t="s">
        <v>1250</v>
      </c>
      <c r="AX209" s="1234" t="str">
        <f t="shared" si="159"/>
        <v>IT_010.3750000000</v>
      </c>
      <c r="AY209" s="1235">
        <f>[1]!IR_R29</f>
        <v>10.375</v>
      </c>
      <c r="AZ209" s="1236">
        <f>[1]!IR_ARM05_P29+Input_PL_Incentive_IR</f>
        <v>-2</v>
      </c>
      <c r="BA209" s="1236">
        <f>[1]!IR_FRM30_P29+Input_PL_Incentive_IR</f>
        <v>105</v>
      </c>
      <c r="BB209" s="1234">
        <f t="shared" si="164"/>
        <v>105</v>
      </c>
      <c r="BC209" s="1234" t="str">
        <f t="shared" si="161"/>
        <v>IT_105.0000000000</v>
      </c>
      <c r="BD209" s="1234"/>
      <c r="BE209" s="1253" t="s">
        <v>1938</v>
      </c>
      <c r="BG209" s="515"/>
      <c r="BH209" s="515"/>
      <c r="BI209" s="515"/>
      <c r="BJ209" s="515"/>
      <c r="BK209" s="515"/>
      <c r="BL209" s="515"/>
      <c r="BM209" s="515"/>
      <c r="BN209" s="515"/>
    </row>
    <row r="210" spans="13:66" ht="9.6" customHeight="1" x14ac:dyDescent="0.2">
      <c r="M210" s="1595" t="s">
        <v>3015</v>
      </c>
      <c r="N210" s="1596" t="s">
        <v>181</v>
      </c>
      <c r="O210" s="1595" t="s">
        <v>3009</v>
      </c>
      <c r="AV210" s="1252" t="s">
        <v>1534</v>
      </c>
      <c r="AW210" s="1237" t="s">
        <v>1250</v>
      </c>
      <c r="AX210" s="1234" t="str">
        <f t="shared" si="159"/>
        <v>IT_010.2500000000</v>
      </c>
      <c r="AY210" s="1235">
        <f>[1]!IR_R30</f>
        <v>10.25</v>
      </c>
      <c r="AZ210" s="1236">
        <f>[1]!IR_ARM05_P30+Input_PL_Incentive_IR</f>
        <v>-2</v>
      </c>
      <c r="BA210" s="1236">
        <f>[1]!IR_FRM30_P30+Input_PL_Incentive_IR</f>
        <v>104.75</v>
      </c>
      <c r="BB210" s="1234">
        <f t="shared" si="164"/>
        <v>104.75</v>
      </c>
      <c r="BC210" s="1234" t="str">
        <f t="shared" si="161"/>
        <v>IT_104.7500000000</v>
      </c>
      <c r="BD210" s="1234"/>
      <c r="BE210" s="1253" t="s">
        <v>1939</v>
      </c>
      <c r="BG210" s="515"/>
      <c r="BH210" s="515"/>
      <c r="BI210" s="515"/>
      <c r="BJ210" s="515"/>
      <c r="BK210" s="515"/>
      <c r="BL210" s="515"/>
      <c r="BM210" s="515"/>
      <c r="BN210" s="515"/>
    </row>
    <row r="211" spans="13:66" ht="9.6" customHeight="1" x14ac:dyDescent="0.2">
      <c r="M211" s="1375" t="s">
        <v>1535</v>
      </c>
      <c r="N211" s="1376" t="s">
        <v>3872</v>
      </c>
      <c r="AV211" s="1252" t="s">
        <v>1534</v>
      </c>
      <c r="AW211" s="1237" t="s">
        <v>1250</v>
      </c>
      <c r="AX211" s="1234" t="str">
        <f t="shared" si="159"/>
        <v>IT_010.1250000000</v>
      </c>
      <c r="AY211" s="1235">
        <f>[1]!IR_R31</f>
        <v>10.125</v>
      </c>
      <c r="AZ211" s="1236">
        <f>[1]!IR_ARM05_P31+Input_PL_Incentive_IR</f>
        <v>-2</v>
      </c>
      <c r="BA211" s="1236">
        <f>[1]!IR_FRM30_P31+Input_PL_Incentive_IR</f>
        <v>104.5</v>
      </c>
      <c r="BB211" s="1234">
        <f t="shared" si="164"/>
        <v>104.5</v>
      </c>
      <c r="BC211" s="1234" t="str">
        <f t="shared" si="161"/>
        <v>IT_104.5000000000</v>
      </c>
      <c r="BD211" s="1234"/>
      <c r="BE211" s="1253" t="s">
        <v>1940</v>
      </c>
      <c r="BG211" s="515"/>
      <c r="BH211" s="515"/>
      <c r="BI211" s="515"/>
      <c r="BJ211" s="515"/>
      <c r="BK211" s="515"/>
      <c r="BL211" s="515"/>
      <c r="BM211" s="515"/>
      <c r="BN211" s="515"/>
    </row>
    <row r="212" spans="13:66" ht="9.6" customHeight="1" x14ac:dyDescent="0.2">
      <c r="M212" s="1377" t="s">
        <v>1536</v>
      </c>
      <c r="N212" s="1378" t="s">
        <v>3872</v>
      </c>
      <c r="AV212" s="1252" t="s">
        <v>1534</v>
      </c>
      <c r="AW212" s="1237" t="s">
        <v>1250</v>
      </c>
      <c r="AX212" s="1234" t="str">
        <f t="shared" si="159"/>
        <v>IT_010.0000000000</v>
      </c>
      <c r="AY212" s="1235">
        <f>[1]!IR_R32</f>
        <v>10</v>
      </c>
      <c r="AZ212" s="1236">
        <f>[1]!IR_ARM05_P32+Input_PL_Incentive_IR</f>
        <v>-2</v>
      </c>
      <c r="BA212" s="1236">
        <f>[1]!IR_FRM30_P32+Input_PL_Incentive_IR</f>
        <v>104.125</v>
      </c>
      <c r="BB212" s="1234">
        <f t="shared" si="164"/>
        <v>104.125</v>
      </c>
      <c r="BC212" s="1234" t="str">
        <f t="shared" si="161"/>
        <v>IT_104.1250000000</v>
      </c>
      <c r="BD212" s="1234"/>
      <c r="BE212" s="1253" t="s">
        <v>1941</v>
      </c>
      <c r="BG212" s="515"/>
      <c r="BH212" s="515"/>
      <c r="BI212" s="515"/>
      <c r="BJ212" s="515"/>
      <c r="BK212" s="515"/>
      <c r="BL212" s="515"/>
      <c r="BM212" s="515"/>
      <c r="BN212" s="515"/>
    </row>
    <row r="213" spans="13:66" ht="9.6" customHeight="1" x14ac:dyDescent="0.2">
      <c r="M213" s="1379" t="s">
        <v>1537</v>
      </c>
      <c r="N213" s="1380" t="s">
        <v>3872</v>
      </c>
      <c r="AV213" s="1252" t="s">
        <v>1534</v>
      </c>
      <c r="AW213" s="1237" t="s">
        <v>1250</v>
      </c>
      <c r="AX213" s="1234" t="str">
        <f t="shared" si="159"/>
        <v>IT_009.8750000000</v>
      </c>
      <c r="AY213" s="1235">
        <f>[1]!IR_R33</f>
        <v>9.875</v>
      </c>
      <c r="AZ213" s="1236">
        <f>[1]!IR_ARM05_P33+Input_PL_Incentive_IR</f>
        <v>-2</v>
      </c>
      <c r="BA213" s="1236">
        <f>[1]!IR_FRM30_P33+Input_PL_Incentive_IR</f>
        <v>103.75</v>
      </c>
      <c r="BB213" s="1234">
        <f t="shared" si="164"/>
        <v>103.75</v>
      </c>
      <c r="BC213" s="1234" t="str">
        <f t="shared" si="161"/>
        <v>IT_103.7500000000</v>
      </c>
      <c r="BD213" s="1234"/>
      <c r="BE213" s="1253" t="s">
        <v>1942</v>
      </c>
      <c r="BG213" s="515"/>
      <c r="BH213" s="515"/>
      <c r="BI213" s="515"/>
      <c r="BJ213" s="515"/>
      <c r="BK213" s="515"/>
      <c r="BL213" s="515"/>
      <c r="BM213" s="515"/>
      <c r="BN213" s="515"/>
    </row>
    <row r="214" spans="13:66" ht="9.6" customHeight="1" x14ac:dyDescent="0.2">
      <c r="M214" s="1379" t="s">
        <v>1562</v>
      </c>
      <c r="N214" s="1380" t="s">
        <v>3872</v>
      </c>
      <c r="AB214" s="515"/>
      <c r="AP214" s="515"/>
      <c r="AQ214" s="515"/>
      <c r="AR214" s="515"/>
      <c r="AS214" s="515"/>
      <c r="AT214" s="515"/>
      <c r="AU214" s="515"/>
      <c r="AV214" s="1252" t="s">
        <v>1534</v>
      </c>
      <c r="AW214" s="1237" t="s">
        <v>1250</v>
      </c>
      <c r="AX214" s="1234" t="str">
        <f t="shared" si="159"/>
        <v>IT_009.7500000000</v>
      </c>
      <c r="AY214" s="1235">
        <f>[1]!IR_R34</f>
        <v>9.75</v>
      </c>
      <c r="AZ214" s="1236">
        <f>[1]!IR_ARM05_P34+Input_PL_Incentive_IR</f>
        <v>-2</v>
      </c>
      <c r="BA214" s="1236">
        <f>[1]!IR_FRM30_P34+Input_PL_Incentive_IR</f>
        <v>103.375</v>
      </c>
      <c r="BB214" s="1234">
        <f t="shared" si="164"/>
        <v>103.375</v>
      </c>
      <c r="BC214" s="1234" t="str">
        <f t="shared" si="161"/>
        <v>IT_103.3750000000</v>
      </c>
      <c r="BD214" s="1234"/>
      <c r="BE214" s="1253" t="s">
        <v>1943</v>
      </c>
      <c r="BG214" s="515"/>
      <c r="BH214" s="515"/>
      <c r="BI214" s="515"/>
      <c r="BJ214" s="515"/>
      <c r="BK214" s="515"/>
      <c r="BL214" s="515"/>
      <c r="BM214" s="515"/>
      <c r="BN214" s="515"/>
    </row>
    <row r="215" spans="13:66" ht="9.6" customHeight="1" x14ac:dyDescent="0.2">
      <c r="M215" s="1377" t="s">
        <v>1538</v>
      </c>
      <c r="N215" s="1381" t="s">
        <v>3872</v>
      </c>
      <c r="AB215" s="515"/>
      <c r="AP215" s="515"/>
      <c r="AQ215" s="515"/>
      <c r="AR215" s="515"/>
      <c r="AS215" s="515"/>
      <c r="AT215" s="515"/>
      <c r="AU215" s="515"/>
      <c r="AV215" s="1252" t="s">
        <v>1534</v>
      </c>
      <c r="AW215" s="1237" t="s">
        <v>1250</v>
      </c>
      <c r="AX215" s="1234" t="str">
        <f t="shared" si="159"/>
        <v>IT_009.6250000000</v>
      </c>
      <c r="AY215" s="1235">
        <f>[1]!IR_R35</f>
        <v>9.625</v>
      </c>
      <c r="AZ215" s="1236">
        <f>[1]!IR_ARM05_P35+Input_PL_Incentive_IR</f>
        <v>-2</v>
      </c>
      <c r="BA215" s="1236">
        <f>[1]!IR_FRM30_P35+Input_PL_Incentive_IR</f>
        <v>103</v>
      </c>
      <c r="BB215" s="1234">
        <f t="shared" si="164"/>
        <v>103</v>
      </c>
      <c r="BC215" s="1234" t="str">
        <f t="shared" si="161"/>
        <v>IT_103.0000000000</v>
      </c>
      <c r="BD215" s="1234"/>
      <c r="BE215" s="1253" t="s">
        <v>1944</v>
      </c>
      <c r="BG215" s="515"/>
      <c r="BH215" s="515"/>
      <c r="BI215" s="515"/>
      <c r="BJ215" s="515"/>
      <c r="BK215" s="515"/>
      <c r="BL215" s="515"/>
      <c r="BM215" s="515"/>
      <c r="BN215" s="515"/>
    </row>
    <row r="216" spans="13:66" ht="9.6" customHeight="1" x14ac:dyDescent="0.2">
      <c r="M216" s="1382" t="s">
        <v>1539</v>
      </c>
      <c r="N216" s="1383" t="s">
        <v>3872</v>
      </c>
      <c r="W216" s="515"/>
      <c r="AB216" s="515"/>
      <c r="AP216" s="515"/>
      <c r="AQ216" s="515"/>
      <c r="AR216" s="515"/>
      <c r="AS216" s="515"/>
      <c r="AT216" s="515"/>
      <c r="AU216" s="515"/>
      <c r="AV216" s="1252" t="s">
        <v>1534</v>
      </c>
      <c r="AW216" s="1237" t="s">
        <v>1250</v>
      </c>
      <c r="AX216" s="1234" t="str">
        <f t="shared" si="159"/>
        <v>IT_009.5000000000</v>
      </c>
      <c r="AY216" s="1235">
        <f>[1]!IR_R36</f>
        <v>9.5</v>
      </c>
      <c r="AZ216" s="1236">
        <f>[1]!IR_ARM05_P36+Input_PL_Incentive_IR</f>
        <v>-2</v>
      </c>
      <c r="BA216" s="1236">
        <f>[1]!IR_FRM30_P36+Input_PL_Incentive_IR</f>
        <v>102.625</v>
      </c>
      <c r="BB216" s="1234">
        <f t="shared" si="164"/>
        <v>102.625</v>
      </c>
      <c r="BC216" s="1234" t="str">
        <f t="shared" si="161"/>
        <v>IT_102.6250000000</v>
      </c>
      <c r="BD216" s="1234"/>
      <c r="BE216" s="1253" t="s">
        <v>1945</v>
      </c>
      <c r="BG216" s="515"/>
      <c r="BH216" s="515"/>
      <c r="BI216" s="515"/>
      <c r="BJ216" s="515"/>
      <c r="BK216" s="515"/>
      <c r="BL216" s="515"/>
      <c r="BM216" s="515"/>
      <c r="BN216" s="515"/>
    </row>
    <row r="217" spans="13:66" ht="9.6" customHeight="1" x14ac:dyDescent="0.2">
      <c r="M217" s="1384" t="s">
        <v>2115</v>
      </c>
      <c r="N217" s="1385" t="s">
        <v>2118</v>
      </c>
      <c r="W217" s="515"/>
      <c r="AB217" s="515"/>
      <c r="AP217" s="515"/>
      <c r="AQ217" s="515"/>
      <c r="AR217" s="515"/>
      <c r="AS217" s="515"/>
      <c r="AT217" s="515"/>
      <c r="AU217" s="515"/>
      <c r="AV217" s="1252" t="s">
        <v>1534</v>
      </c>
      <c r="AW217" s="1237" t="s">
        <v>1250</v>
      </c>
      <c r="AX217" s="1234" t="str">
        <f t="shared" si="159"/>
        <v>IT_009.3750000000</v>
      </c>
      <c r="AY217" s="1235">
        <f>[1]!IR_R37</f>
        <v>9.375</v>
      </c>
      <c r="AZ217" s="1236">
        <f>[1]!IR_ARM05_P37+Input_PL_Incentive_IR</f>
        <v>-2</v>
      </c>
      <c r="BA217" s="1236">
        <f>[1]!IR_FRM30_P37+Input_PL_Incentive_IR</f>
        <v>102.25</v>
      </c>
      <c r="BB217" s="1234">
        <f t="shared" si="164"/>
        <v>102.25</v>
      </c>
      <c r="BC217" s="1234" t="str">
        <f t="shared" si="161"/>
        <v>IT_102.2500000000</v>
      </c>
      <c r="BD217" s="1234"/>
      <c r="BE217" s="1253" t="s">
        <v>1946</v>
      </c>
      <c r="BG217" s="515"/>
      <c r="BH217" s="515"/>
      <c r="BI217" s="515"/>
      <c r="BJ217" s="515"/>
      <c r="BK217" s="515"/>
      <c r="BL217" s="515"/>
      <c r="BM217" s="515"/>
      <c r="BN217" s="515"/>
    </row>
    <row r="218" spans="13:66" ht="9.6" customHeight="1" x14ac:dyDescent="0.2">
      <c r="M218" s="1386" t="s">
        <v>2116</v>
      </c>
      <c r="N218" s="1387" t="s">
        <v>2118</v>
      </c>
      <c r="W218" s="515"/>
      <c r="AB218" s="515"/>
      <c r="AP218" s="515"/>
      <c r="AQ218" s="515"/>
      <c r="AR218" s="515"/>
      <c r="AS218" s="515"/>
      <c r="AT218" s="515"/>
      <c r="AU218" s="515"/>
      <c r="AV218" s="1252" t="s">
        <v>1534</v>
      </c>
      <c r="AW218" s="1237" t="s">
        <v>1250</v>
      </c>
      <c r="AX218" s="1234" t="str">
        <f t="shared" si="159"/>
        <v>IT_009.2500000000</v>
      </c>
      <c r="AY218" s="1235">
        <f>[1]!IR_R38</f>
        <v>9.25</v>
      </c>
      <c r="AZ218" s="1236">
        <f>[1]!IR_ARM05_P38+Input_PL_Incentive_IR</f>
        <v>-2</v>
      </c>
      <c r="BA218" s="1236">
        <f>[1]!IR_FRM30_P38+Input_PL_Incentive_IR</f>
        <v>101.875</v>
      </c>
      <c r="BB218" s="1234">
        <f t="shared" si="164"/>
        <v>101.875</v>
      </c>
      <c r="BC218" s="1234" t="str">
        <f t="shared" si="161"/>
        <v>IT_101.8750000000</v>
      </c>
      <c r="BD218" s="1234"/>
      <c r="BE218" s="1253" t="s">
        <v>1947</v>
      </c>
      <c r="BG218" s="515"/>
      <c r="BH218" s="515"/>
      <c r="BI218" s="515"/>
      <c r="BJ218" s="515"/>
      <c r="BK218" s="515"/>
      <c r="BL218" s="515"/>
      <c r="BM218" s="515"/>
      <c r="BN218" s="515"/>
    </row>
    <row r="219" spans="13:66" ht="9.6" customHeight="1" x14ac:dyDescent="0.2">
      <c r="M219" s="1386" t="s">
        <v>2117</v>
      </c>
      <c r="N219" s="1387" t="s">
        <v>2118</v>
      </c>
      <c r="W219" s="515"/>
      <c r="AB219" s="515"/>
      <c r="AP219" s="515"/>
      <c r="AQ219" s="515"/>
      <c r="AR219" s="515"/>
      <c r="AS219" s="515"/>
      <c r="AT219" s="515"/>
      <c r="AU219" s="515"/>
      <c r="AV219" s="1252" t="s">
        <v>1534</v>
      </c>
      <c r="AW219" s="1237" t="s">
        <v>1250</v>
      </c>
      <c r="AX219" s="1234" t="str">
        <f t="shared" si="159"/>
        <v>IT_009.1250000000</v>
      </c>
      <c r="AY219" s="1235">
        <f>[1]!IR_R39</f>
        <v>9.125</v>
      </c>
      <c r="AZ219" s="1236">
        <f>[1]!IR_ARM05_P39+Input_PL_Incentive_IR</f>
        <v>-2</v>
      </c>
      <c r="BA219" s="1236">
        <f>[1]!IR_FRM30_P39+Input_PL_Incentive_IR</f>
        <v>101.375</v>
      </c>
      <c r="BB219" s="1234">
        <f t="shared" si="164"/>
        <v>101.375</v>
      </c>
      <c r="BC219" s="1234" t="str">
        <f t="shared" si="161"/>
        <v>IT_101.3750000000</v>
      </c>
      <c r="BD219" s="1234"/>
      <c r="BE219" s="1253" t="s">
        <v>1948</v>
      </c>
      <c r="BG219" s="515"/>
      <c r="BH219" s="515"/>
      <c r="BI219" s="515"/>
      <c r="BJ219" s="515"/>
      <c r="BK219" s="515"/>
      <c r="BL219" s="515"/>
      <c r="BM219" s="515"/>
      <c r="BN219" s="515"/>
    </row>
    <row r="220" spans="13:66" ht="9.6" customHeight="1" x14ac:dyDescent="0.2">
      <c r="M220" s="1388" t="s">
        <v>3535</v>
      </c>
      <c r="N220" s="1389" t="s">
        <v>2118</v>
      </c>
      <c r="W220" s="515"/>
      <c r="AB220" s="515"/>
      <c r="AP220" s="515"/>
      <c r="AQ220" s="515"/>
      <c r="AR220" s="515"/>
      <c r="AS220" s="515"/>
      <c r="AT220" s="515"/>
      <c r="AU220" s="515"/>
      <c r="AV220" s="1252" t="s">
        <v>1534</v>
      </c>
      <c r="AW220" s="1237" t="s">
        <v>1250</v>
      </c>
      <c r="AX220" s="1234" t="str">
        <f t="shared" si="159"/>
        <v>IT_009.0000000000</v>
      </c>
      <c r="AY220" s="1235">
        <f>[1]!IR_R40</f>
        <v>9</v>
      </c>
      <c r="AZ220" s="1236">
        <f>[1]!IR_ARM05_P40+Input_PL_Incentive_IR</f>
        <v>-2</v>
      </c>
      <c r="BA220" s="1236">
        <f>[1]!IR_FRM30_P40+Input_PL_Incentive_IR</f>
        <v>100.875</v>
      </c>
      <c r="BB220" s="1234">
        <f t="shared" si="164"/>
        <v>100.875</v>
      </c>
      <c r="BC220" s="1234" t="str">
        <f t="shared" si="161"/>
        <v>IT_100.8750000000</v>
      </c>
      <c r="BD220" s="1234"/>
      <c r="BE220" s="1253" t="s">
        <v>1949</v>
      </c>
      <c r="BG220" s="515"/>
      <c r="BH220" s="515"/>
      <c r="BI220" s="515"/>
      <c r="BJ220" s="515"/>
      <c r="BK220" s="515"/>
      <c r="BL220" s="515"/>
      <c r="BM220" s="515"/>
      <c r="BN220" s="515"/>
    </row>
    <row r="221" spans="13:66" ht="9.6" customHeight="1" x14ac:dyDescent="0.2">
      <c r="M221" s="1390" t="s">
        <v>1540</v>
      </c>
      <c r="N221" s="1391" t="s">
        <v>3921</v>
      </c>
      <c r="W221" s="515"/>
      <c r="AB221" s="515"/>
      <c r="AP221" s="515"/>
      <c r="AQ221" s="515"/>
      <c r="AR221" s="515"/>
      <c r="AS221" s="515"/>
      <c r="AT221" s="515"/>
      <c r="AU221" s="515"/>
      <c r="AV221" s="1252" t="s">
        <v>1534</v>
      </c>
      <c r="AW221" s="1237" t="s">
        <v>1250</v>
      </c>
      <c r="AX221" s="1234" t="str">
        <f t="shared" si="159"/>
        <v>IT_008.8750000000</v>
      </c>
      <c r="AY221" s="1235">
        <f>[1]!IR_R41</f>
        <v>8.875</v>
      </c>
      <c r="AZ221" s="1236">
        <f>[1]!IR_ARM05_P41+Input_PL_Incentive_IR</f>
        <v>-2</v>
      </c>
      <c r="BA221" s="1236">
        <f>[1]!IR_FRM30_P41+Input_PL_Incentive_IR</f>
        <v>100.375</v>
      </c>
      <c r="BB221" s="1234">
        <f t="shared" si="163"/>
        <v>100.375</v>
      </c>
      <c r="BC221" s="1234" t="str">
        <f t="shared" si="161"/>
        <v>IT_100.3750000000</v>
      </c>
      <c r="BD221" s="1234"/>
      <c r="BE221" s="1253" t="s">
        <v>1950</v>
      </c>
      <c r="BG221" s="515"/>
      <c r="BH221" s="515"/>
      <c r="BI221" s="515"/>
      <c r="BJ221" s="515"/>
      <c r="BK221" s="515"/>
      <c r="BL221" s="515"/>
      <c r="BM221" s="515"/>
      <c r="BN221" s="515"/>
    </row>
    <row r="222" spans="13:66" ht="9.6" customHeight="1" x14ac:dyDescent="0.2">
      <c r="M222" s="1392" t="s">
        <v>1541</v>
      </c>
      <c r="N222" s="1393" t="s">
        <v>3921</v>
      </c>
      <c r="W222" s="515"/>
      <c r="AB222" s="515"/>
      <c r="AP222" s="515"/>
      <c r="AQ222" s="515"/>
      <c r="AR222" s="515"/>
      <c r="AS222" s="515"/>
      <c r="AT222" s="515"/>
      <c r="AU222" s="515"/>
      <c r="AV222" s="1254" t="s">
        <v>379</v>
      </c>
      <c r="AW222" s="1245" t="s">
        <v>482</v>
      </c>
      <c r="AX222" s="1234" t="str">
        <f t="shared" ref="AX222:AX247" si="165">"IN_"&amp;RIGHT("000"&amp;TRUNC(Lookup_NoteRate),3)&amp;TEXT(Lookup_NoteRate-TRUNC(Lookup_NoteRate),".0000000000")</f>
        <v>IN_009.8750000000</v>
      </c>
      <c r="AY222" s="1235">
        <f>[1]!IN_R01</f>
        <v>9.875</v>
      </c>
      <c r="AZ222" s="1236" t="e">
        <f>[1]!IN_ARM05_P01+Input_PL_Incentive_IN</f>
        <v>#N/A</v>
      </c>
      <c r="BA222" s="1236" t="e">
        <f>[1]!IN_FRM30_P01+Input_PL_Incentive_IN</f>
        <v>#N/A</v>
      </c>
      <c r="BB222" s="1234" t="e">
        <f t="shared" ref="BB222:BB244" si="166">IF(INDEX(List_AmortTermAll,MATCH(Input_AmortTerm,List_AmortTerm,0),3)=1,AZ222,IF(INDEX(List_AmortTermAll,MATCH(Input_AmortTerm,List_AmortTerm,0),3)=2,BA222,#N/A))</f>
        <v>#N/A</v>
      </c>
      <c r="BC222" s="1234" t="e">
        <f t="shared" ref="BC222:BC247" si="167">"IN_"&amp;RIGHT("000"&amp;TRUNC(Lookup_PriceText),3)&amp;TEXT(Lookup_PriceText-TRUNC(Lookup_PriceText),".0000000000")</f>
        <v>#N/A</v>
      </c>
      <c r="BD222" s="1234"/>
      <c r="BE222" s="1255" t="s">
        <v>1951</v>
      </c>
      <c r="BG222" s="515"/>
      <c r="BH222" s="515"/>
      <c r="BI222" s="515"/>
      <c r="BJ222" s="515"/>
      <c r="BK222" s="515"/>
      <c r="BL222" s="515"/>
      <c r="BM222" s="515"/>
      <c r="BN222" s="515"/>
    </row>
    <row r="223" spans="13:66" ht="9.6" customHeight="1" x14ac:dyDescent="0.2">
      <c r="M223" s="1394" t="s">
        <v>1542</v>
      </c>
      <c r="N223" s="1395" t="s">
        <v>3921</v>
      </c>
      <c r="W223" s="515"/>
      <c r="AB223" s="515"/>
      <c r="AP223" s="515"/>
      <c r="AQ223" s="515"/>
      <c r="AR223" s="515"/>
      <c r="AS223" s="515"/>
      <c r="AT223" s="515"/>
      <c r="AU223" s="515"/>
      <c r="AV223" s="1254" t="s">
        <v>379</v>
      </c>
      <c r="AW223" s="1245" t="s">
        <v>482</v>
      </c>
      <c r="AX223" s="1234" t="str">
        <f t="shared" si="165"/>
        <v>IN_009.7500000000</v>
      </c>
      <c r="AY223" s="1235">
        <f>[1]!IN_R02</f>
        <v>9.75</v>
      </c>
      <c r="AZ223" s="1236" t="e">
        <f>[1]!IN_ARM05_P02+Input_PL_Incentive_IN</f>
        <v>#N/A</v>
      </c>
      <c r="BA223" s="1236" t="e">
        <f>[1]!IN_FRM30_P02+Input_PL_Incentive_IN</f>
        <v>#N/A</v>
      </c>
      <c r="BB223" s="1234" t="e">
        <f t="shared" ref="BB223" si="168">IF(INDEX(List_AmortTermAll,MATCH(Input_AmortTerm,List_AmortTerm,0),3)=1,AZ223,IF(INDEX(List_AmortTermAll,MATCH(Input_AmortTerm,List_AmortTerm,0),3)=2,BA223,#N/A))</f>
        <v>#N/A</v>
      </c>
      <c r="BC223" s="1234" t="e">
        <f t="shared" si="167"/>
        <v>#N/A</v>
      </c>
      <c r="BD223" s="1234"/>
      <c r="BE223" s="1255" t="s">
        <v>1952</v>
      </c>
      <c r="BG223" s="515"/>
      <c r="BH223" s="515"/>
      <c r="BI223" s="515"/>
      <c r="BJ223" s="515"/>
      <c r="BK223" s="515"/>
      <c r="BL223" s="515"/>
      <c r="BM223" s="515"/>
      <c r="BN223" s="515"/>
    </row>
    <row r="224" spans="13:66" ht="9.6" customHeight="1" x14ac:dyDescent="0.2">
      <c r="M224" s="1394" t="s">
        <v>1563</v>
      </c>
      <c r="N224" s="1395" t="s">
        <v>3921</v>
      </c>
      <c r="W224" s="515"/>
      <c r="AB224" s="515"/>
      <c r="AP224" s="515"/>
      <c r="AQ224" s="515"/>
      <c r="AR224" s="515"/>
      <c r="AS224" s="515"/>
      <c r="AT224" s="515"/>
      <c r="AU224" s="515"/>
      <c r="AV224" s="1254" t="s">
        <v>379</v>
      </c>
      <c r="AW224" s="1245" t="s">
        <v>482</v>
      </c>
      <c r="AX224" s="1234" t="str">
        <f t="shared" si="165"/>
        <v>IN_009.6250000000</v>
      </c>
      <c r="AY224" s="1235">
        <f>[1]!IN_R03</f>
        <v>9.625</v>
      </c>
      <c r="AZ224" s="1236" t="e">
        <f>[1]!IN_ARM05_P03+Input_PL_Incentive_IN</f>
        <v>#N/A</v>
      </c>
      <c r="BA224" s="1236" t="e">
        <f>[1]!IN_FRM30_P03+Input_PL_Incentive_IN</f>
        <v>#N/A</v>
      </c>
      <c r="BB224" s="1234" t="e">
        <f t="shared" si="166"/>
        <v>#N/A</v>
      </c>
      <c r="BC224" s="1234" t="e">
        <f t="shared" si="167"/>
        <v>#N/A</v>
      </c>
      <c r="BD224" s="1234"/>
      <c r="BE224" s="1255" t="s">
        <v>1953</v>
      </c>
      <c r="BG224" s="515"/>
      <c r="BH224" s="515"/>
      <c r="BI224" s="515"/>
      <c r="BJ224" s="515"/>
      <c r="BK224" s="515"/>
      <c r="BL224" s="515"/>
      <c r="BM224" s="515"/>
      <c r="BN224" s="515"/>
    </row>
    <row r="225" spans="13:66" ht="9.6" customHeight="1" x14ac:dyDescent="0.2">
      <c r="M225" s="1396" t="s">
        <v>1543</v>
      </c>
      <c r="N225" s="1393" t="s">
        <v>3921</v>
      </c>
      <c r="W225" s="515"/>
      <c r="AB225" s="515"/>
      <c r="AP225" s="515"/>
      <c r="AQ225" s="515"/>
      <c r="AR225" s="515"/>
      <c r="AS225" s="515"/>
      <c r="AT225" s="515"/>
      <c r="AU225" s="515"/>
      <c r="AV225" s="1254" t="s">
        <v>379</v>
      </c>
      <c r="AW225" s="1245" t="s">
        <v>482</v>
      </c>
      <c r="AX225" s="1234" t="str">
        <f t="shared" si="165"/>
        <v>IN_009.5000000000</v>
      </c>
      <c r="AY225" s="1235">
        <f>[1]!IN_R04</f>
        <v>9.5</v>
      </c>
      <c r="AZ225" s="1236" t="e">
        <f>[1]!IN_ARM05_P04+Input_PL_Incentive_IN</f>
        <v>#N/A</v>
      </c>
      <c r="BA225" s="1236" t="e">
        <f>[1]!IN_FRM30_P04+Input_PL_Incentive_IN</f>
        <v>#N/A</v>
      </c>
      <c r="BB225" s="1234" t="e">
        <f t="shared" si="166"/>
        <v>#N/A</v>
      </c>
      <c r="BC225" s="1234" t="e">
        <f t="shared" si="167"/>
        <v>#N/A</v>
      </c>
      <c r="BD225" s="1234"/>
      <c r="BE225" s="1255" t="s">
        <v>1954</v>
      </c>
      <c r="BG225" s="515"/>
      <c r="BH225" s="515"/>
      <c r="BI225" s="515"/>
      <c r="BJ225" s="515"/>
      <c r="BK225" s="515"/>
      <c r="BL225" s="515"/>
      <c r="BM225" s="515"/>
      <c r="BN225" s="515"/>
    </row>
    <row r="226" spans="13:66" ht="9.6" customHeight="1" x14ac:dyDescent="0.2">
      <c r="M226" s="1397" t="s">
        <v>1544</v>
      </c>
      <c r="N226" s="1398" t="s">
        <v>3921</v>
      </c>
      <c r="W226" s="515"/>
      <c r="AB226" s="515"/>
      <c r="AP226" s="515"/>
      <c r="AQ226" s="515"/>
      <c r="AR226" s="515"/>
      <c r="AS226" s="515"/>
      <c r="AT226" s="515"/>
      <c r="AU226" s="515"/>
      <c r="AV226" s="1254" t="s">
        <v>379</v>
      </c>
      <c r="AW226" s="1245" t="s">
        <v>482</v>
      </c>
      <c r="AX226" s="1234" t="str">
        <f t="shared" si="165"/>
        <v>IN_009.3750000000</v>
      </c>
      <c r="AY226" s="1235">
        <f>[1]!IN_R05</f>
        <v>9.375</v>
      </c>
      <c r="AZ226" s="1236" t="e">
        <f>[1]!IN_ARM05_P05+Input_PL_Incentive_IN</f>
        <v>#N/A</v>
      </c>
      <c r="BA226" s="1236" t="e">
        <f>[1]!IN_FRM30_P05+Input_PL_Incentive_IN</f>
        <v>#N/A</v>
      </c>
      <c r="BB226" s="1234" t="e">
        <f t="shared" si="166"/>
        <v>#N/A</v>
      </c>
      <c r="BC226" s="1234" t="e">
        <f t="shared" si="167"/>
        <v>#N/A</v>
      </c>
      <c r="BD226" s="1234"/>
      <c r="BE226" s="1255" t="s">
        <v>1955</v>
      </c>
      <c r="BG226" s="515"/>
      <c r="BH226" s="515"/>
      <c r="BI226" s="515"/>
      <c r="BJ226" s="515"/>
      <c r="BK226" s="515"/>
      <c r="BL226" s="515"/>
      <c r="BM226" s="515"/>
      <c r="BN226" s="515"/>
    </row>
    <row r="227" spans="13:66" ht="9.6" customHeight="1" x14ac:dyDescent="0.2">
      <c r="W227" s="515"/>
      <c r="AB227" s="515"/>
      <c r="AP227" s="515"/>
      <c r="AQ227" s="515"/>
      <c r="AR227" s="515"/>
      <c r="AS227" s="515"/>
      <c r="AT227" s="515"/>
      <c r="AU227" s="515"/>
      <c r="AV227" s="1254" t="s">
        <v>379</v>
      </c>
      <c r="AW227" s="1245" t="s">
        <v>482</v>
      </c>
      <c r="AX227" s="1234" t="str">
        <f t="shared" si="165"/>
        <v>IN_009.2500000000</v>
      </c>
      <c r="AY227" s="1235">
        <f>[1]!IN_R06</f>
        <v>9.25</v>
      </c>
      <c r="AZ227" s="1236" t="e">
        <f>[1]!IN_ARM05_P06+Input_PL_Incentive_IN</f>
        <v>#N/A</v>
      </c>
      <c r="BA227" s="1236" t="e">
        <f>[1]!IN_FRM30_P06+Input_PL_Incentive_IN</f>
        <v>#N/A</v>
      </c>
      <c r="BB227" s="1234" t="e">
        <f t="shared" si="166"/>
        <v>#N/A</v>
      </c>
      <c r="BC227" s="1234" t="e">
        <f t="shared" si="167"/>
        <v>#N/A</v>
      </c>
      <c r="BD227" s="1234"/>
      <c r="BE227" s="1255" t="s">
        <v>1956</v>
      </c>
      <c r="BG227" s="515"/>
      <c r="BH227" s="515"/>
      <c r="BI227" s="515"/>
      <c r="BJ227" s="515"/>
      <c r="BK227" s="515"/>
      <c r="BL227" s="515"/>
      <c r="BM227" s="515"/>
      <c r="BN227" s="515"/>
    </row>
    <row r="228" spans="13:66" ht="9.6" customHeight="1" x14ac:dyDescent="0.2">
      <c r="W228" s="515"/>
      <c r="AB228" s="515"/>
      <c r="AP228" s="515"/>
      <c r="AQ228" s="515"/>
      <c r="AR228" s="515"/>
      <c r="AS228" s="515"/>
      <c r="AT228" s="515"/>
      <c r="AU228" s="515"/>
      <c r="AV228" s="1254" t="s">
        <v>379</v>
      </c>
      <c r="AW228" s="1245" t="s">
        <v>482</v>
      </c>
      <c r="AX228" s="1234" t="str">
        <f t="shared" si="165"/>
        <v>IN_009.1250000000</v>
      </c>
      <c r="AY228" s="1235">
        <f>[1]!IN_R07</f>
        <v>9.125</v>
      </c>
      <c r="AZ228" s="1236" t="e">
        <f>[1]!IN_ARM05_P07+Input_PL_Incentive_IN</f>
        <v>#N/A</v>
      </c>
      <c r="BA228" s="1236" t="e">
        <f>[1]!IN_FRM30_P07+Input_PL_Incentive_IN</f>
        <v>#N/A</v>
      </c>
      <c r="BB228" s="1234" t="e">
        <f t="shared" si="166"/>
        <v>#N/A</v>
      </c>
      <c r="BC228" s="1234" t="e">
        <f t="shared" si="167"/>
        <v>#N/A</v>
      </c>
      <c r="BD228" s="1234"/>
      <c r="BE228" s="1255" t="s">
        <v>1957</v>
      </c>
      <c r="BG228" s="515"/>
      <c r="BH228" s="515"/>
      <c r="BI228" s="515"/>
      <c r="BJ228" s="515"/>
      <c r="BK228" s="515"/>
      <c r="BL228" s="515"/>
      <c r="BM228" s="515"/>
      <c r="BN228" s="515"/>
    </row>
    <row r="229" spans="13:66" ht="9.6" customHeight="1" x14ac:dyDescent="0.2">
      <c r="W229" s="515"/>
      <c r="AB229" s="515"/>
      <c r="AP229" s="515"/>
      <c r="AQ229" s="515"/>
      <c r="AR229" s="515"/>
      <c r="AS229" s="515"/>
      <c r="AT229" s="515"/>
      <c r="AU229" s="515"/>
      <c r="AV229" s="1254" t="s">
        <v>379</v>
      </c>
      <c r="AW229" s="1245" t="s">
        <v>482</v>
      </c>
      <c r="AX229" s="1234" t="str">
        <f t="shared" si="165"/>
        <v>IN_009.0000000000</v>
      </c>
      <c r="AY229" s="1235">
        <f>[1]!IN_R08</f>
        <v>9</v>
      </c>
      <c r="AZ229" s="1236" t="e">
        <f>[1]!IN_ARM05_P08+Input_PL_Incentive_IN</f>
        <v>#N/A</v>
      </c>
      <c r="BA229" s="1236" t="e">
        <f>[1]!IN_FRM30_P08+Input_PL_Incentive_IN</f>
        <v>#N/A</v>
      </c>
      <c r="BB229" s="1234" t="e">
        <f t="shared" si="166"/>
        <v>#N/A</v>
      </c>
      <c r="BC229" s="1234" t="e">
        <f t="shared" si="167"/>
        <v>#N/A</v>
      </c>
      <c r="BD229" s="1234"/>
      <c r="BE229" s="1255" t="s">
        <v>1958</v>
      </c>
      <c r="BG229" s="515"/>
      <c r="BH229" s="515"/>
      <c r="BI229" s="515"/>
      <c r="BJ229" s="515"/>
      <c r="BK229" s="515"/>
      <c r="BL229" s="515"/>
      <c r="BM229" s="515"/>
      <c r="BN229" s="515"/>
    </row>
    <row r="230" spans="13:66" ht="9.6" customHeight="1" x14ac:dyDescent="0.2">
      <c r="W230" s="515"/>
      <c r="AB230" s="515"/>
      <c r="AP230" s="515"/>
      <c r="AQ230" s="515"/>
      <c r="AR230" s="515"/>
      <c r="AS230" s="515"/>
      <c r="AT230" s="515"/>
      <c r="AU230" s="515"/>
      <c r="AV230" s="1254" t="s">
        <v>379</v>
      </c>
      <c r="AW230" s="1245" t="s">
        <v>482</v>
      </c>
      <c r="AX230" s="1234" t="str">
        <f t="shared" si="165"/>
        <v>IN_008.8750000000</v>
      </c>
      <c r="AY230" s="1235">
        <f>[1]!IN_R09</f>
        <v>8.875</v>
      </c>
      <c r="AZ230" s="1236" t="e">
        <f>[1]!IN_ARM05_P09+Input_PL_Incentive_IN</f>
        <v>#N/A</v>
      </c>
      <c r="BA230" s="1236" t="e">
        <f>[1]!IN_FRM30_P09+Input_PL_Incentive_IN</f>
        <v>#N/A</v>
      </c>
      <c r="BB230" s="1234" t="e">
        <f t="shared" si="166"/>
        <v>#N/A</v>
      </c>
      <c r="BC230" s="1234" t="e">
        <f t="shared" si="167"/>
        <v>#N/A</v>
      </c>
      <c r="BD230" s="1234"/>
      <c r="BE230" s="1255" t="s">
        <v>1959</v>
      </c>
      <c r="BG230" s="515"/>
      <c r="BH230" s="515"/>
      <c r="BI230" s="515"/>
      <c r="BJ230" s="515"/>
      <c r="BK230" s="515"/>
      <c r="BL230" s="515"/>
      <c r="BM230" s="515"/>
      <c r="BN230" s="515"/>
    </row>
    <row r="231" spans="13:66" ht="9.6" customHeight="1" x14ac:dyDescent="0.2">
      <c r="W231" s="515"/>
      <c r="AB231" s="515"/>
      <c r="AP231" s="515"/>
      <c r="AQ231" s="515"/>
      <c r="AR231" s="515"/>
      <c r="AS231" s="515"/>
      <c r="AT231" s="515"/>
      <c r="AU231" s="515"/>
      <c r="AV231" s="1254" t="s">
        <v>379</v>
      </c>
      <c r="AW231" s="1245" t="s">
        <v>482</v>
      </c>
      <c r="AX231" s="1234" t="str">
        <f t="shared" si="165"/>
        <v>IN_008.7500000000</v>
      </c>
      <c r="AY231" s="1235">
        <f>[1]!IN_R10</f>
        <v>8.75</v>
      </c>
      <c r="AZ231" s="1236" t="e">
        <f>[1]!IN_ARM05_P10+Input_PL_Incentive_IN</f>
        <v>#N/A</v>
      </c>
      <c r="BA231" s="1236" t="e">
        <f>[1]!IN_FRM30_P10+Input_PL_Incentive_IN</f>
        <v>#N/A</v>
      </c>
      <c r="BB231" s="1234" t="e">
        <f t="shared" si="166"/>
        <v>#N/A</v>
      </c>
      <c r="BC231" s="1234" t="e">
        <f t="shared" si="167"/>
        <v>#N/A</v>
      </c>
      <c r="BD231" s="1234"/>
      <c r="BE231" s="1255" t="s">
        <v>1960</v>
      </c>
      <c r="BG231" s="515"/>
      <c r="BH231" s="515"/>
      <c r="BI231" s="515"/>
      <c r="BJ231" s="515"/>
      <c r="BK231" s="515"/>
      <c r="BL231" s="515"/>
      <c r="BM231" s="515"/>
      <c r="BN231" s="515"/>
    </row>
    <row r="232" spans="13:66" ht="9.6" customHeight="1" x14ac:dyDescent="0.2">
      <c r="W232" s="515"/>
      <c r="AB232" s="515"/>
      <c r="AP232" s="515"/>
      <c r="AQ232" s="515"/>
      <c r="AR232" s="515"/>
      <c r="AS232" s="515"/>
      <c r="AT232" s="515"/>
      <c r="AU232" s="515"/>
      <c r="AV232" s="1254" t="s">
        <v>379</v>
      </c>
      <c r="AW232" s="1245" t="s">
        <v>482</v>
      </c>
      <c r="AX232" s="1234" t="str">
        <f t="shared" si="165"/>
        <v>IN_008.6250000000</v>
      </c>
      <c r="AY232" s="1235">
        <f>[1]!IN_R11</f>
        <v>8.625</v>
      </c>
      <c r="AZ232" s="1236" t="e">
        <f>[1]!IN_ARM05_P11+Input_PL_Incentive_IN</f>
        <v>#N/A</v>
      </c>
      <c r="BA232" s="1236" t="e">
        <f>[1]!IN_FRM30_P11+Input_PL_Incentive_IN</f>
        <v>#N/A</v>
      </c>
      <c r="BB232" s="1234" t="e">
        <f t="shared" si="166"/>
        <v>#N/A</v>
      </c>
      <c r="BC232" s="1234" t="e">
        <f t="shared" si="167"/>
        <v>#N/A</v>
      </c>
      <c r="BD232" s="1234"/>
      <c r="BE232" s="1255" t="s">
        <v>1961</v>
      </c>
      <c r="BG232" s="515"/>
      <c r="BH232" s="515"/>
      <c r="BI232" s="515"/>
      <c r="BJ232" s="515"/>
      <c r="BK232" s="515"/>
      <c r="BL232" s="515"/>
      <c r="BM232" s="515"/>
      <c r="BN232" s="515"/>
    </row>
    <row r="233" spans="13:66" ht="9.6" customHeight="1" x14ac:dyDescent="0.2">
      <c r="W233" s="515"/>
      <c r="AB233" s="515"/>
      <c r="AP233" s="515"/>
      <c r="AQ233" s="515"/>
      <c r="AR233" s="515"/>
      <c r="AS233" s="515"/>
      <c r="AT233" s="515"/>
      <c r="AU233" s="515"/>
      <c r="AV233" s="1254" t="s">
        <v>379</v>
      </c>
      <c r="AW233" s="1245" t="s">
        <v>482</v>
      </c>
      <c r="AX233" s="1234" t="str">
        <f t="shared" si="165"/>
        <v>IN_008.5000000000</v>
      </c>
      <c r="AY233" s="1235">
        <f>[1]!IN_R12</f>
        <v>8.5</v>
      </c>
      <c r="AZ233" s="1236" t="e">
        <f>[1]!IN_ARM05_P12+Input_PL_Incentive_IN</f>
        <v>#N/A</v>
      </c>
      <c r="BA233" s="1236" t="e">
        <f>[1]!IN_FRM30_P12+Input_PL_Incentive_IN</f>
        <v>#N/A</v>
      </c>
      <c r="BB233" s="1234" t="e">
        <f t="shared" si="166"/>
        <v>#N/A</v>
      </c>
      <c r="BC233" s="1234" t="e">
        <f t="shared" si="167"/>
        <v>#N/A</v>
      </c>
      <c r="BD233" s="1234"/>
      <c r="BE233" s="1255" t="s">
        <v>1962</v>
      </c>
      <c r="BG233" s="515"/>
      <c r="BH233" s="515"/>
      <c r="BI233" s="515"/>
      <c r="BJ233" s="515"/>
      <c r="BK233" s="515"/>
      <c r="BL233" s="515"/>
      <c r="BM233" s="515"/>
      <c r="BN233" s="515"/>
    </row>
    <row r="234" spans="13:66" ht="9.6" customHeight="1" x14ac:dyDescent="0.2">
      <c r="W234" s="515"/>
      <c r="AB234" s="515"/>
      <c r="AP234" s="515"/>
      <c r="AQ234" s="515"/>
      <c r="AR234" s="515"/>
      <c r="AS234" s="515"/>
      <c r="AT234" s="515"/>
      <c r="AU234" s="515"/>
      <c r="AV234" s="1254" t="s">
        <v>379</v>
      </c>
      <c r="AW234" s="1245" t="s">
        <v>482</v>
      </c>
      <c r="AX234" s="1234" t="str">
        <f t="shared" si="165"/>
        <v>IN_008.3750000000</v>
      </c>
      <c r="AY234" s="1235">
        <f>[1]!IN_R13</f>
        <v>8.375</v>
      </c>
      <c r="AZ234" s="1236" t="e">
        <f>[1]!IN_ARM05_P13+Input_PL_Incentive_IN</f>
        <v>#N/A</v>
      </c>
      <c r="BA234" s="1236" t="e">
        <f>[1]!IN_FRM30_P13+Input_PL_Incentive_IN</f>
        <v>#N/A</v>
      </c>
      <c r="BB234" s="1234" t="e">
        <f t="shared" si="166"/>
        <v>#N/A</v>
      </c>
      <c r="BC234" s="1234" t="e">
        <f t="shared" si="167"/>
        <v>#N/A</v>
      </c>
      <c r="BD234" s="1234"/>
      <c r="BE234" s="1255" t="s">
        <v>1963</v>
      </c>
      <c r="BG234" s="515"/>
      <c r="BH234" s="515"/>
      <c r="BI234" s="515"/>
      <c r="BJ234" s="515"/>
      <c r="BK234" s="515"/>
      <c r="BL234" s="515"/>
      <c r="BM234" s="515"/>
      <c r="BN234" s="515"/>
    </row>
    <row r="235" spans="13:66" ht="9.6" customHeight="1" x14ac:dyDescent="0.2">
      <c r="W235" s="515"/>
      <c r="AB235" s="515"/>
      <c r="AP235" s="515"/>
      <c r="AQ235" s="515"/>
      <c r="AR235" s="515"/>
      <c r="AS235" s="515"/>
      <c r="AT235" s="515"/>
      <c r="AU235" s="515"/>
      <c r="AV235" s="1254" t="s">
        <v>379</v>
      </c>
      <c r="AW235" s="1245" t="s">
        <v>482</v>
      </c>
      <c r="AX235" s="1234" t="str">
        <f t="shared" si="165"/>
        <v>IN_008.2500000000</v>
      </c>
      <c r="AY235" s="1235">
        <f>[1]!IN_R14</f>
        <v>8.25</v>
      </c>
      <c r="AZ235" s="1236" t="e">
        <f>[1]!IN_ARM05_P14+Input_PL_Incentive_IN</f>
        <v>#N/A</v>
      </c>
      <c r="BA235" s="1236" t="e">
        <f>[1]!IN_FRM30_P14+Input_PL_Incentive_IN</f>
        <v>#N/A</v>
      </c>
      <c r="BB235" s="1234" t="e">
        <f t="shared" si="166"/>
        <v>#N/A</v>
      </c>
      <c r="BC235" s="1234" t="e">
        <f t="shared" si="167"/>
        <v>#N/A</v>
      </c>
      <c r="BD235" s="1234"/>
      <c r="BE235" s="1255" t="s">
        <v>1964</v>
      </c>
      <c r="BG235" s="515"/>
      <c r="BH235" s="515"/>
      <c r="BI235" s="515"/>
      <c r="BJ235" s="515"/>
      <c r="BK235" s="515"/>
      <c r="BL235" s="515"/>
      <c r="BM235" s="515"/>
      <c r="BN235" s="515"/>
    </row>
    <row r="236" spans="13:66" ht="9.6" customHeight="1" x14ac:dyDescent="0.2">
      <c r="W236" s="515"/>
      <c r="AB236" s="515"/>
      <c r="AP236" s="515"/>
      <c r="AQ236" s="515"/>
      <c r="AR236" s="515"/>
      <c r="AS236" s="515"/>
      <c r="AT236" s="515"/>
      <c r="AU236" s="515"/>
      <c r="AV236" s="1254" t="s">
        <v>379</v>
      </c>
      <c r="AW236" s="1245" t="s">
        <v>482</v>
      </c>
      <c r="AX236" s="1234" t="str">
        <f t="shared" si="165"/>
        <v>IN_008.1250000000</v>
      </c>
      <c r="AY236" s="1235">
        <f>[1]!IN_R15</f>
        <v>8.125</v>
      </c>
      <c r="AZ236" s="1236" t="e">
        <f>[1]!IN_ARM05_P15+Input_PL_Incentive_IN</f>
        <v>#N/A</v>
      </c>
      <c r="BA236" s="1236" t="e">
        <f>[1]!IN_FRM30_P15+Input_PL_Incentive_IN</f>
        <v>#N/A</v>
      </c>
      <c r="BB236" s="1234" t="e">
        <f t="shared" si="166"/>
        <v>#N/A</v>
      </c>
      <c r="BC236" s="1234" t="e">
        <f t="shared" si="167"/>
        <v>#N/A</v>
      </c>
      <c r="BD236" s="1234"/>
      <c r="BE236" s="1255" t="s">
        <v>1965</v>
      </c>
      <c r="BG236" s="515"/>
      <c r="BH236" s="515"/>
      <c r="BI236" s="515"/>
      <c r="BJ236" s="515"/>
      <c r="BK236" s="515"/>
      <c r="BL236" s="515"/>
      <c r="BM236" s="515"/>
      <c r="BN236" s="515"/>
    </row>
    <row r="237" spans="13:66" ht="9.6" customHeight="1" x14ac:dyDescent="0.2">
      <c r="W237" s="515"/>
      <c r="AB237" s="515"/>
      <c r="AP237" s="515"/>
      <c r="AQ237" s="515"/>
      <c r="AR237" s="515"/>
      <c r="AS237" s="515"/>
      <c r="AT237" s="515"/>
      <c r="AU237" s="515"/>
      <c r="AV237" s="1254" t="s">
        <v>379</v>
      </c>
      <c r="AW237" s="1245" t="s">
        <v>482</v>
      </c>
      <c r="AX237" s="1234" t="str">
        <f t="shared" si="165"/>
        <v>IN_008.0000000000</v>
      </c>
      <c r="AY237" s="1235">
        <f>[1]!IN_R16</f>
        <v>8</v>
      </c>
      <c r="AZ237" s="1236" t="e">
        <f>[1]!IN_ARM05_P16+Input_PL_Incentive_IN</f>
        <v>#N/A</v>
      </c>
      <c r="BA237" s="1236" t="e">
        <f>[1]!IN_FRM30_P16+Input_PL_Incentive_IN</f>
        <v>#N/A</v>
      </c>
      <c r="BB237" s="1234" t="e">
        <f t="shared" si="166"/>
        <v>#N/A</v>
      </c>
      <c r="BC237" s="1234" t="e">
        <f t="shared" si="167"/>
        <v>#N/A</v>
      </c>
      <c r="BD237" s="1234"/>
      <c r="BE237" s="1255" t="s">
        <v>1966</v>
      </c>
      <c r="BG237" s="515"/>
      <c r="BH237" s="515"/>
      <c r="BI237" s="515"/>
      <c r="BJ237" s="515"/>
      <c r="BK237" s="515"/>
      <c r="BL237" s="515"/>
      <c r="BM237" s="515"/>
      <c r="BN237" s="515"/>
    </row>
    <row r="238" spans="13:66" ht="9.6" customHeight="1" x14ac:dyDescent="0.2">
      <c r="W238" s="515"/>
      <c r="AB238" s="515"/>
      <c r="AP238" s="515"/>
      <c r="AQ238" s="515"/>
      <c r="AR238" s="515"/>
      <c r="AS238" s="515"/>
      <c r="AT238" s="515"/>
      <c r="AU238" s="515"/>
      <c r="AV238" s="1254" t="s">
        <v>379</v>
      </c>
      <c r="AW238" s="1245" t="s">
        <v>482</v>
      </c>
      <c r="AX238" s="1234" t="str">
        <f t="shared" si="165"/>
        <v>IN_007.8750000000</v>
      </c>
      <c r="AY238" s="1235">
        <f>[1]!IN_R17</f>
        <v>7.875</v>
      </c>
      <c r="AZ238" s="1236" t="e">
        <f>[1]!IN_ARM05_P17+Input_PL_Incentive_IN</f>
        <v>#N/A</v>
      </c>
      <c r="BA238" s="1236" t="e">
        <f>[1]!IN_FRM30_P17+Input_PL_Incentive_IN</f>
        <v>#N/A</v>
      </c>
      <c r="BB238" s="1234" t="e">
        <f t="shared" si="166"/>
        <v>#N/A</v>
      </c>
      <c r="BC238" s="1234" t="e">
        <f t="shared" si="167"/>
        <v>#N/A</v>
      </c>
      <c r="BD238" s="1234"/>
      <c r="BE238" s="1255" t="s">
        <v>1967</v>
      </c>
      <c r="BG238" s="515"/>
      <c r="BH238" s="515"/>
      <c r="BI238" s="515"/>
      <c r="BJ238" s="515"/>
      <c r="BK238" s="515"/>
      <c r="BL238" s="515"/>
      <c r="BM238" s="515"/>
      <c r="BN238" s="515"/>
    </row>
    <row r="239" spans="13:66" ht="9.6" customHeight="1" x14ac:dyDescent="0.2">
      <c r="W239" s="515"/>
      <c r="AB239" s="515"/>
      <c r="AP239" s="515"/>
      <c r="AQ239" s="515"/>
      <c r="AR239" s="515"/>
      <c r="AS239" s="515"/>
      <c r="AT239" s="515"/>
      <c r="AU239" s="515"/>
      <c r="AV239" s="1254" t="s">
        <v>379</v>
      </c>
      <c r="AW239" s="1245" t="s">
        <v>482</v>
      </c>
      <c r="AX239" s="1234" t="str">
        <f t="shared" si="165"/>
        <v>IN_007.7500000000</v>
      </c>
      <c r="AY239" s="1235">
        <f>[1]!IN_R18</f>
        <v>7.75</v>
      </c>
      <c r="AZ239" s="1236" t="e">
        <f>[1]!IN_ARM05_P18+Input_PL_Incentive_IN</f>
        <v>#N/A</v>
      </c>
      <c r="BA239" s="1236" t="e">
        <f>[1]!IN_FRM30_P18+Input_PL_Incentive_IN</f>
        <v>#N/A</v>
      </c>
      <c r="BB239" s="1234" t="e">
        <f t="shared" si="166"/>
        <v>#N/A</v>
      </c>
      <c r="BC239" s="1234" t="e">
        <f t="shared" si="167"/>
        <v>#N/A</v>
      </c>
      <c r="BD239" s="1234"/>
      <c r="BE239" s="1255" t="s">
        <v>1968</v>
      </c>
      <c r="BG239" s="515"/>
      <c r="BH239" s="515"/>
      <c r="BI239" s="515"/>
      <c r="BJ239" s="515"/>
      <c r="BK239" s="515"/>
      <c r="BL239" s="515"/>
      <c r="BM239" s="515"/>
      <c r="BN239" s="515"/>
    </row>
    <row r="240" spans="13:66" ht="9.6" customHeight="1" x14ac:dyDescent="0.2">
      <c r="W240" s="515"/>
      <c r="AB240" s="515"/>
      <c r="AP240" s="515"/>
      <c r="AQ240" s="515"/>
      <c r="AR240" s="515"/>
      <c r="AS240" s="515"/>
      <c r="AT240" s="515"/>
      <c r="AU240" s="515"/>
      <c r="AV240" s="1254" t="s">
        <v>379</v>
      </c>
      <c r="AW240" s="1245" t="s">
        <v>482</v>
      </c>
      <c r="AX240" s="1234" t="str">
        <f t="shared" si="165"/>
        <v>IN_007.6250000000</v>
      </c>
      <c r="AY240" s="1235">
        <f>[1]!IN_R19</f>
        <v>7.625</v>
      </c>
      <c r="AZ240" s="1236" t="e">
        <f>[1]!IN_ARM05_P19+Input_PL_Incentive_IN</f>
        <v>#N/A</v>
      </c>
      <c r="BA240" s="1236" t="e">
        <f>[1]!IN_FRM30_P19+Input_PL_Incentive_IN</f>
        <v>#N/A</v>
      </c>
      <c r="BB240" s="1234" t="e">
        <f t="shared" si="166"/>
        <v>#N/A</v>
      </c>
      <c r="BC240" s="1234" t="e">
        <f t="shared" si="167"/>
        <v>#N/A</v>
      </c>
      <c r="BD240" s="1234"/>
      <c r="BE240" s="1255" t="s">
        <v>1969</v>
      </c>
      <c r="BG240" s="515"/>
      <c r="BH240" s="515"/>
      <c r="BI240" s="515"/>
      <c r="BJ240" s="515"/>
      <c r="BK240" s="515"/>
      <c r="BL240" s="515"/>
      <c r="BM240" s="515"/>
      <c r="BN240" s="515"/>
    </row>
    <row r="241" spans="13:66" ht="9.6" customHeight="1" x14ac:dyDescent="0.2">
      <c r="W241" s="515"/>
      <c r="AB241" s="515"/>
      <c r="AP241" s="515"/>
      <c r="AQ241" s="515"/>
      <c r="AR241" s="515"/>
      <c r="AS241" s="515"/>
      <c r="AT241" s="515"/>
      <c r="AU241" s="515"/>
      <c r="AV241" s="1254" t="s">
        <v>379</v>
      </c>
      <c r="AW241" s="1245" t="s">
        <v>482</v>
      </c>
      <c r="AX241" s="1234" t="str">
        <f t="shared" si="165"/>
        <v>IN_007.5000000000</v>
      </c>
      <c r="AY241" s="1235">
        <f>[1]!IN_R20</f>
        <v>7.5</v>
      </c>
      <c r="AZ241" s="1236" t="e">
        <f>[1]!IN_ARM05_P20+Input_PL_Incentive_IN</f>
        <v>#N/A</v>
      </c>
      <c r="BA241" s="1236" t="e">
        <f>[1]!IN_FRM30_P20+Input_PL_Incentive_IN</f>
        <v>#N/A</v>
      </c>
      <c r="BB241" s="1234" t="e">
        <f t="shared" si="166"/>
        <v>#N/A</v>
      </c>
      <c r="BC241" s="1234" t="e">
        <f t="shared" si="167"/>
        <v>#N/A</v>
      </c>
      <c r="BD241" s="1234"/>
      <c r="BE241" s="1255" t="s">
        <v>1970</v>
      </c>
      <c r="BG241" s="515"/>
      <c r="BH241" s="515"/>
      <c r="BI241" s="515"/>
      <c r="BJ241" s="515"/>
      <c r="BK241" s="515"/>
      <c r="BL241" s="515"/>
      <c r="BM241" s="515"/>
      <c r="BN241" s="515"/>
    </row>
    <row r="242" spans="13:66" ht="9.6" customHeight="1" x14ac:dyDescent="0.2">
      <c r="W242" s="515"/>
      <c r="AB242" s="515"/>
      <c r="AP242" s="515"/>
      <c r="AQ242" s="515"/>
      <c r="AR242" s="515"/>
      <c r="AS242" s="515"/>
      <c r="AT242" s="515"/>
      <c r="AU242" s="515"/>
      <c r="AV242" s="1254" t="s">
        <v>379</v>
      </c>
      <c r="AW242" s="1245" t="s">
        <v>482</v>
      </c>
      <c r="AX242" s="1234" t="str">
        <f t="shared" si="165"/>
        <v>IN_007.3750000000</v>
      </c>
      <c r="AY242" s="1235">
        <f>[1]!IN_R21</f>
        <v>7.375</v>
      </c>
      <c r="AZ242" s="1236" t="e">
        <f>[1]!IN_ARM05_P21+Input_PL_Incentive_IN</f>
        <v>#N/A</v>
      </c>
      <c r="BA242" s="1236" t="e">
        <f>[1]!IN_FRM30_P21+Input_PL_Incentive_IN</f>
        <v>#N/A</v>
      </c>
      <c r="BB242" s="1234" t="e">
        <f t="shared" si="166"/>
        <v>#N/A</v>
      </c>
      <c r="BC242" s="1234" t="e">
        <f t="shared" si="167"/>
        <v>#N/A</v>
      </c>
      <c r="BD242" s="1234"/>
      <c r="BE242" s="1255" t="s">
        <v>1971</v>
      </c>
      <c r="BG242" s="515"/>
      <c r="BH242" s="515"/>
      <c r="BI242" s="515"/>
      <c r="BJ242" s="515"/>
      <c r="BK242" s="515"/>
      <c r="BL242" s="515"/>
      <c r="BM242" s="515"/>
      <c r="BN242" s="515"/>
    </row>
    <row r="243" spans="13:66" ht="9.6" customHeight="1" x14ac:dyDescent="0.2">
      <c r="W243" s="515"/>
      <c r="AB243" s="515"/>
      <c r="AP243" s="515"/>
      <c r="AQ243" s="515"/>
      <c r="AR243" s="515"/>
      <c r="AS243" s="515"/>
      <c r="AT243" s="515"/>
      <c r="AU243" s="515"/>
      <c r="AV243" s="1254" t="s">
        <v>379</v>
      </c>
      <c r="AW243" s="1245" t="s">
        <v>482</v>
      </c>
      <c r="AX243" s="1234" t="str">
        <f t="shared" si="165"/>
        <v>IN_007.2500000000</v>
      </c>
      <c r="AY243" s="1235">
        <f>[1]!IN_R22</f>
        <v>7.25</v>
      </c>
      <c r="AZ243" s="1236" t="e">
        <f>[1]!IN_ARM05_P22+Input_PL_Incentive_IN</f>
        <v>#N/A</v>
      </c>
      <c r="BA243" s="1236" t="e">
        <f>[1]!IN_FRM30_P22+Input_PL_Incentive_IN</f>
        <v>#N/A</v>
      </c>
      <c r="BB243" s="1234" t="e">
        <f t="shared" si="166"/>
        <v>#N/A</v>
      </c>
      <c r="BC243" s="1234" t="e">
        <f t="shared" si="167"/>
        <v>#N/A</v>
      </c>
      <c r="BD243" s="1234"/>
      <c r="BE243" s="1255" t="s">
        <v>1972</v>
      </c>
      <c r="BG243" s="515"/>
      <c r="BH243" s="515"/>
      <c r="BI243" s="515"/>
      <c r="BJ243" s="515"/>
      <c r="BK243" s="515"/>
      <c r="BL243" s="515"/>
      <c r="BM243" s="515"/>
      <c r="BN243" s="515"/>
    </row>
    <row r="244" spans="13:66" ht="9.6" customHeight="1" x14ac:dyDescent="0.2">
      <c r="W244" s="515"/>
      <c r="AB244" s="515"/>
      <c r="AP244" s="515"/>
      <c r="AQ244" s="515"/>
      <c r="AR244" s="515"/>
      <c r="AS244" s="515"/>
      <c r="AT244" s="515"/>
      <c r="AU244" s="515"/>
      <c r="AV244" s="1254" t="s">
        <v>379</v>
      </c>
      <c r="AW244" s="1245" t="s">
        <v>482</v>
      </c>
      <c r="AX244" s="1234" t="str">
        <f t="shared" si="165"/>
        <v>IN_007.1250000000</v>
      </c>
      <c r="AY244" s="1235">
        <f>[1]!IN_R23</f>
        <v>7.125</v>
      </c>
      <c r="AZ244" s="1236" t="e">
        <f>[1]!IN_ARM05_P23+Input_PL_Incentive_IN</f>
        <v>#N/A</v>
      </c>
      <c r="BA244" s="1236" t="e">
        <f>[1]!IN_FRM30_P23+Input_PL_Incentive_IN</f>
        <v>#N/A</v>
      </c>
      <c r="BB244" s="1234" t="e">
        <f t="shared" si="166"/>
        <v>#N/A</v>
      </c>
      <c r="BC244" s="1234" t="e">
        <f t="shared" si="167"/>
        <v>#N/A</v>
      </c>
      <c r="BD244" s="1234"/>
      <c r="BE244" s="1255" t="s">
        <v>1973</v>
      </c>
      <c r="BG244" s="515"/>
      <c r="BH244" s="515"/>
      <c r="BI244" s="515"/>
      <c r="BJ244" s="515"/>
      <c r="BK244" s="515"/>
      <c r="BL244" s="515"/>
      <c r="BM244" s="515"/>
      <c r="BN244" s="515"/>
    </row>
    <row r="245" spans="13:66" ht="9.6" customHeight="1" x14ac:dyDescent="0.2">
      <c r="W245" s="515"/>
      <c r="AB245" s="515"/>
      <c r="AP245" s="515"/>
      <c r="AQ245" s="515"/>
      <c r="AR245" s="515"/>
      <c r="AS245" s="515"/>
      <c r="AT245" s="515"/>
      <c r="AU245" s="515"/>
      <c r="AV245" s="1254" t="s">
        <v>379</v>
      </c>
      <c r="AW245" s="1245" t="s">
        <v>482</v>
      </c>
      <c r="AX245" s="1234" t="str">
        <f t="shared" si="165"/>
        <v>IN_007.0000000000</v>
      </c>
      <c r="AY245" s="1235">
        <f>[1]!IN_R24</f>
        <v>7</v>
      </c>
      <c r="AZ245" s="1236" t="e">
        <f>[1]!IN_ARM05_P24+Input_PL_Incentive_IN</f>
        <v>#N/A</v>
      </c>
      <c r="BA245" s="1236" t="e">
        <f>[1]!IN_FRM30_P24+Input_PL_Incentive_IN</f>
        <v>#N/A</v>
      </c>
      <c r="BB245" s="1234" t="e">
        <f t="shared" ref="BB245:BB247" si="169">IF(INDEX(List_AmortTermAll,MATCH(Input_AmortTerm,List_AmortTerm,0),3)=1,AZ245,IF(INDEX(List_AmortTermAll,MATCH(Input_AmortTerm,List_AmortTerm,0),3)=2,BA245,#N/A))</f>
        <v>#N/A</v>
      </c>
      <c r="BC245" s="1234" t="e">
        <f t="shared" si="167"/>
        <v>#N/A</v>
      </c>
      <c r="BD245" s="1234"/>
      <c r="BE245" s="1255" t="s">
        <v>1974</v>
      </c>
      <c r="BG245" s="515"/>
      <c r="BH245" s="515"/>
      <c r="BI245" s="515"/>
      <c r="BJ245" s="515"/>
      <c r="BK245" s="515"/>
      <c r="BL245" s="515"/>
      <c r="BM245" s="515"/>
      <c r="BN245" s="515"/>
    </row>
    <row r="246" spans="13:66" ht="9.6" customHeight="1" x14ac:dyDescent="0.2">
      <c r="W246" s="515"/>
      <c r="AB246" s="515"/>
      <c r="AP246" s="515"/>
      <c r="AQ246" s="515"/>
      <c r="AR246" s="515"/>
      <c r="AS246" s="515"/>
      <c r="AT246" s="515"/>
      <c r="AU246" s="515"/>
      <c r="AV246" s="1254" t="s">
        <v>379</v>
      </c>
      <c r="AW246" s="1245" t="s">
        <v>482</v>
      </c>
      <c r="AX246" s="1234" t="str">
        <f t="shared" si="165"/>
        <v>IN_006.8750000000</v>
      </c>
      <c r="AY246" s="1235">
        <f>[1]!IN_R25</f>
        <v>6.875</v>
      </c>
      <c r="AZ246" s="1236" t="e">
        <f>[1]!IN_ARM05_P25+Input_PL_Incentive_IN</f>
        <v>#N/A</v>
      </c>
      <c r="BA246" s="1236" t="e">
        <f>[1]!IN_FRM30_P25+Input_PL_Incentive_IN</f>
        <v>#N/A</v>
      </c>
      <c r="BB246" s="1234" t="e">
        <f t="shared" si="169"/>
        <v>#N/A</v>
      </c>
      <c r="BC246" s="1234" t="e">
        <f t="shared" si="167"/>
        <v>#N/A</v>
      </c>
      <c r="BD246" s="1234"/>
      <c r="BE246" s="1255" t="s">
        <v>1975</v>
      </c>
      <c r="BG246" s="515"/>
      <c r="BH246" s="515"/>
      <c r="BI246" s="515"/>
      <c r="BJ246" s="515"/>
      <c r="BK246" s="515"/>
      <c r="BL246" s="515"/>
      <c r="BM246" s="515"/>
      <c r="BN246" s="515"/>
    </row>
    <row r="247" spans="13:66" ht="9.6" customHeight="1" x14ac:dyDescent="0.2">
      <c r="W247" s="515"/>
      <c r="AB247" s="515"/>
      <c r="AP247" s="515"/>
      <c r="AQ247" s="515"/>
      <c r="AR247" s="515"/>
      <c r="AS247" s="515"/>
      <c r="AT247" s="515"/>
      <c r="AU247" s="515"/>
      <c r="AV247" s="1256" t="s">
        <v>379</v>
      </c>
      <c r="AW247" s="1257" t="s">
        <v>482</v>
      </c>
      <c r="AX247" s="1258" t="str">
        <f t="shared" si="165"/>
        <v>IN_006.7500000000</v>
      </c>
      <c r="AY247" s="1259">
        <f>[1]!IN_R26</f>
        <v>6.75</v>
      </c>
      <c r="AZ247" s="1260" t="e">
        <f>[1]!IN_ARM05_P26+Input_PL_Incentive_IN</f>
        <v>#N/A</v>
      </c>
      <c r="BA247" s="1260" t="e">
        <f>[1]!IN_FRM30_P26+Input_PL_Incentive_IN</f>
        <v>#N/A</v>
      </c>
      <c r="BB247" s="1258" t="e">
        <f t="shared" si="169"/>
        <v>#N/A</v>
      </c>
      <c r="BC247" s="1258" t="e">
        <f t="shared" si="167"/>
        <v>#N/A</v>
      </c>
      <c r="BD247" s="1258"/>
      <c r="BE247" s="1261" t="s">
        <v>1976</v>
      </c>
      <c r="BG247" s="515"/>
      <c r="BH247" s="515"/>
      <c r="BI247" s="515"/>
      <c r="BJ247" s="515"/>
      <c r="BK247" s="515"/>
      <c r="BL247" s="515"/>
      <c r="BM247" s="515"/>
      <c r="BN247" s="515"/>
    </row>
    <row r="248" spans="13:66" ht="9.6" customHeight="1" x14ac:dyDescent="0.2">
      <c r="W248" s="515"/>
      <c r="AB248" s="515"/>
      <c r="AP248" s="515"/>
      <c r="AQ248" s="515"/>
      <c r="AR248" s="515"/>
      <c r="AS248" s="515"/>
      <c r="AT248" s="515"/>
      <c r="AU248" s="515"/>
      <c r="AV248" s="1262" t="s">
        <v>2131</v>
      </c>
      <c r="AW248" s="1263" t="s">
        <v>2216</v>
      </c>
      <c r="AX248" s="1264" t="str">
        <f t="shared" ref="AX248:AX274" si="170">"IE_"&amp;RIGHT("000"&amp;TRUNC(Lookup_NoteRate),3)&amp;TEXT(Lookup_NoteRate-TRUNC(Lookup_NoteRate),".0000000000")</f>
        <v>IE_009.5000000000</v>
      </c>
      <c r="AY248" s="1265">
        <f>[1]!IE_R01</f>
        <v>9.5</v>
      </c>
      <c r="AZ248" s="1265">
        <f>[1]!IE_ARM05_P01+Input_PL_Incentive_IE</f>
        <v>105.375</v>
      </c>
      <c r="BA248" s="1265">
        <f>[1]!IE_FRM30_P01+Input_PL_Incentive_IE</f>
        <v>105.375</v>
      </c>
      <c r="BB248" s="1264">
        <f t="shared" ref="BB248:BB273" si="171">IF(INDEX(List_AmortTermAll,MATCH(Input_AmortTerm,List_AmortTerm,0),3)=1,AZ248,IF(INDEX(List_AmortTermAll,MATCH(Input_AmortTerm,List_AmortTerm,0),3)=2,BA248,#N/A))</f>
        <v>105.375</v>
      </c>
      <c r="BC248" s="1264" t="str">
        <f t="shared" ref="BC248:BC274" si="172">"IE_"&amp;RIGHT("000"&amp;TRUNC(Lookup_PriceText),3)&amp;TEXT(Lookup_PriceText-TRUNC(Lookup_PriceText),".0000000000")</f>
        <v>IE_105.3750000000</v>
      </c>
      <c r="BD248" s="1264"/>
      <c r="BE248" s="1266" t="s">
        <v>2190</v>
      </c>
      <c r="BG248" s="515"/>
      <c r="BH248" s="515"/>
      <c r="BI248" s="515"/>
      <c r="BJ248" s="515"/>
      <c r="BK248" s="515"/>
      <c r="BL248" s="515"/>
      <c r="BM248" s="515"/>
      <c r="BN248" s="515"/>
    </row>
    <row r="249" spans="13:66" ht="9.6" customHeight="1" x14ac:dyDescent="0.2">
      <c r="W249" s="515"/>
      <c r="AB249" s="515"/>
      <c r="AP249" s="515"/>
      <c r="AQ249" s="515"/>
      <c r="AR249" s="515"/>
      <c r="AS249" s="515"/>
      <c r="AT249" s="515"/>
      <c r="AU249" s="515"/>
      <c r="AV249" s="1267" t="s">
        <v>2131</v>
      </c>
      <c r="AW249" s="1238" t="s">
        <v>2216</v>
      </c>
      <c r="AX249" s="1239" t="str">
        <f t="shared" si="170"/>
        <v>IE_009.3750000000</v>
      </c>
      <c r="AY249" s="1240">
        <f>[1]!IE_R02</f>
        <v>9.375</v>
      </c>
      <c r="AZ249" s="1240">
        <f>[1]!IE_ARM05_P02+Input_PL_Incentive_IE</f>
        <v>105.25</v>
      </c>
      <c r="BA249" s="1240">
        <f>[1]!IE_FRM30_P02+Input_PL_Incentive_IE</f>
        <v>105.25</v>
      </c>
      <c r="BB249" s="1239">
        <f t="shared" si="171"/>
        <v>105.25</v>
      </c>
      <c r="BC249" s="1239" t="str">
        <f t="shared" si="172"/>
        <v>IE_105.2500000000</v>
      </c>
      <c r="BD249" s="1239"/>
      <c r="BE249" s="1268" t="s">
        <v>2191</v>
      </c>
      <c r="BG249" s="515"/>
      <c r="BH249" s="515"/>
      <c r="BI249" s="515"/>
      <c r="BJ249" s="515"/>
      <c r="BK249" s="515"/>
      <c r="BL249" s="515"/>
      <c r="BM249" s="515"/>
      <c r="BN249" s="515"/>
    </row>
    <row r="250" spans="13:66" ht="9.6" customHeight="1" x14ac:dyDescent="0.2">
      <c r="W250" s="515"/>
      <c r="AB250" s="515"/>
      <c r="AP250" s="515"/>
      <c r="AQ250" s="515"/>
      <c r="AR250" s="515"/>
      <c r="AS250" s="515"/>
      <c r="AT250" s="515"/>
      <c r="AU250" s="515"/>
      <c r="AV250" s="1267" t="s">
        <v>2131</v>
      </c>
      <c r="AW250" s="1238" t="s">
        <v>2216</v>
      </c>
      <c r="AX250" s="1239" t="str">
        <f t="shared" si="170"/>
        <v>IE_009.2500000000</v>
      </c>
      <c r="AY250" s="1240">
        <f>[1]!IE_R03</f>
        <v>9.25</v>
      </c>
      <c r="AZ250" s="1240">
        <f>[1]!IE_ARM05_P03+Input_PL_Incentive_IE</f>
        <v>105.125</v>
      </c>
      <c r="BA250" s="1240">
        <f>[1]!IE_FRM30_P03+Input_PL_Incentive_IE</f>
        <v>105.125</v>
      </c>
      <c r="BB250" s="1239">
        <f t="shared" si="171"/>
        <v>105.125</v>
      </c>
      <c r="BC250" s="1239" t="str">
        <f t="shared" si="172"/>
        <v>IE_105.1250000000</v>
      </c>
      <c r="BD250" s="1239"/>
      <c r="BE250" s="1268" t="s">
        <v>2192</v>
      </c>
      <c r="BG250" s="515"/>
      <c r="BH250" s="515"/>
      <c r="BI250" s="515"/>
      <c r="BJ250" s="515"/>
      <c r="BK250" s="515"/>
      <c r="BL250" s="515"/>
      <c r="BM250" s="515"/>
      <c r="BN250" s="515"/>
    </row>
    <row r="251" spans="13:66" ht="9.6" customHeight="1" x14ac:dyDescent="0.2">
      <c r="W251" s="515"/>
      <c r="AB251" s="515"/>
      <c r="AP251" s="515"/>
      <c r="AQ251" s="515"/>
      <c r="AR251" s="515"/>
      <c r="AS251" s="515"/>
      <c r="AT251" s="515"/>
      <c r="AU251" s="515"/>
      <c r="AV251" s="1267" t="s">
        <v>2131</v>
      </c>
      <c r="AW251" s="1238" t="s">
        <v>2216</v>
      </c>
      <c r="AX251" s="1239" t="str">
        <f t="shared" si="170"/>
        <v>IE_009.1250000000</v>
      </c>
      <c r="AY251" s="1240">
        <f>[1]!IE_R04</f>
        <v>9.125</v>
      </c>
      <c r="AZ251" s="1240">
        <f>[1]!IE_ARM05_P04+Input_PL_Incentive_IE</f>
        <v>105</v>
      </c>
      <c r="BA251" s="1240">
        <f>[1]!IE_FRM30_P04+Input_PL_Incentive_IE</f>
        <v>105</v>
      </c>
      <c r="BB251" s="1239">
        <f t="shared" si="171"/>
        <v>105</v>
      </c>
      <c r="BC251" s="1239" t="str">
        <f t="shared" si="172"/>
        <v>IE_105.0000000000</v>
      </c>
      <c r="BD251" s="1239"/>
      <c r="BE251" s="1268" t="s">
        <v>2193</v>
      </c>
      <c r="BG251" s="515"/>
      <c r="BH251" s="515"/>
      <c r="BI251" s="515"/>
      <c r="BJ251" s="515"/>
      <c r="BK251" s="515"/>
      <c r="BL251" s="515"/>
      <c r="BM251" s="515"/>
      <c r="BN251" s="515"/>
    </row>
    <row r="252" spans="13:66" ht="9.6" customHeight="1" x14ac:dyDescent="0.2">
      <c r="W252" s="515"/>
      <c r="AB252" s="515"/>
      <c r="AP252" s="515"/>
      <c r="AQ252" s="515"/>
      <c r="AR252" s="515"/>
      <c r="AS252" s="515"/>
      <c r="AT252" s="515"/>
      <c r="AU252" s="515"/>
      <c r="AV252" s="1267" t="s">
        <v>2131</v>
      </c>
      <c r="AW252" s="1238" t="s">
        <v>2216</v>
      </c>
      <c r="AX252" s="1239" t="str">
        <f t="shared" si="170"/>
        <v>IE_009.0000000000</v>
      </c>
      <c r="AY252" s="1240">
        <f>[1]!IE_R05</f>
        <v>9</v>
      </c>
      <c r="AZ252" s="1240">
        <f>[1]!IE_ARM05_P05+Input_PL_Incentive_IE</f>
        <v>104.875</v>
      </c>
      <c r="BA252" s="1240">
        <f>[1]!IE_FRM30_P05+Input_PL_Incentive_IE</f>
        <v>104.875</v>
      </c>
      <c r="BB252" s="1239">
        <f t="shared" si="171"/>
        <v>104.875</v>
      </c>
      <c r="BC252" s="1239" t="str">
        <f t="shared" si="172"/>
        <v>IE_104.8750000000</v>
      </c>
      <c r="BD252" s="1239"/>
      <c r="BE252" s="1268" t="s">
        <v>2194</v>
      </c>
      <c r="BG252" s="515"/>
      <c r="BH252" s="515"/>
      <c r="BI252" s="515"/>
      <c r="BJ252" s="515"/>
      <c r="BK252" s="515"/>
      <c r="BL252" s="515"/>
      <c r="BM252" s="515"/>
      <c r="BN252" s="515"/>
    </row>
    <row r="253" spans="13:66" ht="9.6" customHeight="1" x14ac:dyDescent="0.2">
      <c r="W253" s="515"/>
      <c r="AB253" s="515"/>
      <c r="AP253" s="515"/>
      <c r="AQ253" s="515"/>
      <c r="AR253" s="515"/>
      <c r="AS253" s="515"/>
      <c r="AT253" s="515"/>
      <c r="AU253" s="515"/>
      <c r="AV253" s="1267" t="s">
        <v>2131</v>
      </c>
      <c r="AW253" s="1238" t="s">
        <v>2216</v>
      </c>
      <c r="AX253" s="1239" t="str">
        <f t="shared" si="170"/>
        <v>IE_008.8750000000</v>
      </c>
      <c r="AY253" s="1240">
        <f>[1]!IE_R06</f>
        <v>8.875</v>
      </c>
      <c r="AZ253" s="1240">
        <f>[1]!IE_ARM05_P06+Input_PL_Incentive_IE</f>
        <v>104.625</v>
      </c>
      <c r="BA253" s="1240">
        <f>[1]!IE_FRM30_P06+Input_PL_Incentive_IE</f>
        <v>104.625</v>
      </c>
      <c r="BB253" s="1239">
        <f t="shared" si="171"/>
        <v>104.625</v>
      </c>
      <c r="BC253" s="1239" t="str">
        <f t="shared" si="172"/>
        <v>IE_104.6250000000</v>
      </c>
      <c r="BD253" s="1239"/>
      <c r="BE253" s="1268" t="s">
        <v>2195</v>
      </c>
      <c r="BG253" s="515"/>
      <c r="BH253" s="515"/>
      <c r="BI253" s="515"/>
      <c r="BJ253" s="515"/>
      <c r="BK253" s="515"/>
      <c r="BL253" s="515"/>
      <c r="BM253" s="515"/>
      <c r="BN253" s="515"/>
    </row>
    <row r="254" spans="13:66" ht="9.6" customHeight="1" x14ac:dyDescent="0.2">
      <c r="M254" s="515"/>
      <c r="N254" s="515"/>
      <c r="W254" s="515"/>
      <c r="AB254" s="515"/>
      <c r="AP254" s="515"/>
      <c r="AQ254" s="515"/>
      <c r="AR254" s="515"/>
      <c r="AS254" s="515"/>
      <c r="AT254" s="515"/>
      <c r="AU254" s="515"/>
      <c r="AV254" s="1267" t="s">
        <v>2131</v>
      </c>
      <c r="AW254" s="1238" t="s">
        <v>2216</v>
      </c>
      <c r="AX254" s="1239" t="str">
        <f t="shared" si="170"/>
        <v>IE_008.7500000000</v>
      </c>
      <c r="AY254" s="1240">
        <f>[1]!IE_R07</f>
        <v>8.75</v>
      </c>
      <c r="AZ254" s="1240">
        <f>[1]!IE_ARM05_P07+Input_PL_Incentive_IE</f>
        <v>104.375</v>
      </c>
      <c r="BA254" s="1240">
        <f>[1]!IE_FRM30_P07+Input_PL_Incentive_IE</f>
        <v>104.375</v>
      </c>
      <c r="BB254" s="1239">
        <f t="shared" si="171"/>
        <v>104.375</v>
      </c>
      <c r="BC254" s="1239" t="str">
        <f t="shared" si="172"/>
        <v>IE_104.3750000000</v>
      </c>
      <c r="BD254" s="1239"/>
      <c r="BE254" s="1268" t="s">
        <v>2196</v>
      </c>
      <c r="BG254" s="515"/>
      <c r="BH254" s="515"/>
      <c r="BI254" s="515"/>
      <c r="BJ254" s="515"/>
      <c r="BK254" s="515"/>
      <c r="BL254" s="515"/>
      <c r="BM254" s="515"/>
      <c r="BN254" s="515"/>
    </row>
    <row r="255" spans="13:66" ht="9.6" customHeight="1" x14ac:dyDescent="0.2">
      <c r="M255" s="515"/>
      <c r="N255" s="515"/>
      <c r="W255" s="515"/>
      <c r="AB255" s="515"/>
      <c r="AP255" s="515"/>
      <c r="AQ255" s="515"/>
      <c r="AR255" s="515"/>
      <c r="AS255" s="515"/>
      <c r="AT255" s="515"/>
      <c r="AU255" s="515"/>
      <c r="AV255" s="1267" t="s">
        <v>2131</v>
      </c>
      <c r="AW255" s="1238" t="s">
        <v>2216</v>
      </c>
      <c r="AX255" s="1239" t="str">
        <f t="shared" si="170"/>
        <v>IE_008.6250000000</v>
      </c>
      <c r="AY255" s="1240">
        <f>[1]!IE_R08</f>
        <v>8.625</v>
      </c>
      <c r="AZ255" s="1240">
        <f>[1]!IE_ARM05_P08+Input_PL_Incentive_IE</f>
        <v>104.125</v>
      </c>
      <c r="BA255" s="1240">
        <f>[1]!IE_FRM30_P08+Input_PL_Incentive_IE</f>
        <v>104.125</v>
      </c>
      <c r="BB255" s="1239">
        <f t="shared" si="171"/>
        <v>104.125</v>
      </c>
      <c r="BC255" s="1239" t="str">
        <f t="shared" si="172"/>
        <v>IE_104.1250000000</v>
      </c>
      <c r="BD255" s="1239"/>
      <c r="BE255" s="1268" t="s">
        <v>2197</v>
      </c>
      <c r="BG255" s="515"/>
      <c r="BH255" s="515"/>
      <c r="BI255" s="515"/>
      <c r="BJ255" s="515"/>
      <c r="BK255" s="515"/>
      <c r="BL255" s="515"/>
      <c r="BM255" s="515"/>
      <c r="BN255" s="515"/>
    </row>
    <row r="256" spans="13:66" ht="9.6" customHeight="1" x14ac:dyDescent="0.2">
      <c r="M256" s="515"/>
      <c r="N256" s="515"/>
      <c r="W256" s="515"/>
      <c r="AB256" s="515"/>
      <c r="AP256" s="515"/>
      <c r="AQ256" s="515"/>
      <c r="AR256" s="515"/>
      <c r="AS256" s="515"/>
      <c r="AT256" s="515"/>
      <c r="AU256" s="515"/>
      <c r="AV256" s="1267" t="s">
        <v>2131</v>
      </c>
      <c r="AW256" s="1238" t="s">
        <v>2216</v>
      </c>
      <c r="AX256" s="1239" t="str">
        <f t="shared" si="170"/>
        <v>IE_008.5000000000</v>
      </c>
      <c r="AY256" s="1240">
        <f>[1]!IE_R09</f>
        <v>8.5</v>
      </c>
      <c r="AZ256" s="1240">
        <f>[1]!IE_ARM05_P09+Input_PL_Incentive_IE</f>
        <v>103.875</v>
      </c>
      <c r="BA256" s="1240">
        <f>[1]!IE_FRM30_P09+Input_PL_Incentive_IE</f>
        <v>103.875</v>
      </c>
      <c r="BB256" s="1239">
        <f t="shared" si="171"/>
        <v>103.875</v>
      </c>
      <c r="BC256" s="1239" t="str">
        <f t="shared" si="172"/>
        <v>IE_103.8750000000</v>
      </c>
      <c r="BD256" s="1239"/>
      <c r="BE256" s="1268" t="s">
        <v>2198</v>
      </c>
      <c r="BG256" s="515"/>
      <c r="BH256" s="515"/>
      <c r="BI256" s="515"/>
      <c r="BJ256" s="515"/>
      <c r="BK256" s="515"/>
      <c r="BL256" s="515"/>
      <c r="BM256" s="515"/>
      <c r="BN256" s="515"/>
    </row>
    <row r="257" spans="13:66" ht="9.6" customHeight="1" x14ac:dyDescent="0.2">
      <c r="M257" s="515"/>
      <c r="N257" s="515"/>
      <c r="W257" s="515"/>
      <c r="AB257" s="515"/>
      <c r="AP257" s="515"/>
      <c r="AQ257" s="515"/>
      <c r="AR257" s="515"/>
      <c r="AS257" s="515"/>
      <c r="AT257" s="515"/>
      <c r="AU257" s="515"/>
      <c r="AV257" s="1267" t="s">
        <v>2131</v>
      </c>
      <c r="AW257" s="1238" t="s">
        <v>2216</v>
      </c>
      <c r="AX257" s="1239" t="str">
        <f t="shared" si="170"/>
        <v>IE_008.3750000000</v>
      </c>
      <c r="AY257" s="1240">
        <f>[1]!IE_R10</f>
        <v>8.375</v>
      </c>
      <c r="AZ257" s="1240">
        <f>[1]!IE_ARM05_P10+Input_PL_Incentive_IE</f>
        <v>103.625</v>
      </c>
      <c r="BA257" s="1240">
        <f>[1]!IE_FRM30_P10+Input_PL_Incentive_IE</f>
        <v>103.625</v>
      </c>
      <c r="BB257" s="1239">
        <f t="shared" si="171"/>
        <v>103.625</v>
      </c>
      <c r="BC257" s="1239" t="str">
        <f t="shared" si="172"/>
        <v>IE_103.6250000000</v>
      </c>
      <c r="BD257" s="1239"/>
      <c r="BE257" s="1268" t="s">
        <v>2199</v>
      </c>
      <c r="BG257" s="515"/>
      <c r="BH257" s="515"/>
      <c r="BI257" s="515"/>
      <c r="BJ257" s="515"/>
      <c r="BK257" s="515"/>
      <c r="BL257" s="515"/>
      <c r="BM257" s="515"/>
      <c r="BN257" s="515"/>
    </row>
    <row r="258" spans="13:66" ht="9.6" customHeight="1" x14ac:dyDescent="0.2">
      <c r="W258" s="515"/>
      <c r="AB258" s="515"/>
      <c r="AP258" s="515"/>
      <c r="AQ258" s="515"/>
      <c r="AR258" s="515"/>
      <c r="AS258" s="515"/>
      <c r="AT258" s="515"/>
      <c r="AU258" s="515"/>
      <c r="AV258" s="1267" t="s">
        <v>2131</v>
      </c>
      <c r="AW258" s="1238" t="s">
        <v>2216</v>
      </c>
      <c r="AX258" s="1239" t="str">
        <f t="shared" si="170"/>
        <v>IE_008.2500000000</v>
      </c>
      <c r="AY258" s="1240">
        <f>[1]!IE_R11</f>
        <v>8.25</v>
      </c>
      <c r="AZ258" s="1240">
        <f>[1]!IE_ARM05_P11+Input_PL_Incentive_IE</f>
        <v>103.375</v>
      </c>
      <c r="BA258" s="1240">
        <f>[1]!IE_FRM30_P11+Input_PL_Incentive_IE</f>
        <v>103.375</v>
      </c>
      <c r="BB258" s="1239">
        <f t="shared" si="171"/>
        <v>103.375</v>
      </c>
      <c r="BC258" s="1239" t="str">
        <f t="shared" si="172"/>
        <v>IE_103.3750000000</v>
      </c>
      <c r="BD258" s="1239"/>
      <c r="BE258" s="1268" t="s">
        <v>2200</v>
      </c>
      <c r="BG258" s="515"/>
      <c r="BH258" s="515"/>
      <c r="BI258" s="515"/>
      <c r="BJ258" s="515"/>
      <c r="BK258" s="515"/>
      <c r="BL258" s="515"/>
      <c r="BM258" s="515"/>
      <c r="BN258" s="515"/>
    </row>
    <row r="259" spans="13:66" ht="9.6" customHeight="1" x14ac:dyDescent="0.2">
      <c r="W259" s="515"/>
      <c r="AB259" s="515"/>
      <c r="AP259" s="515"/>
      <c r="AQ259" s="515"/>
      <c r="AR259" s="515"/>
      <c r="AS259" s="515"/>
      <c r="AT259" s="515"/>
      <c r="AU259" s="515"/>
      <c r="AV259" s="1267" t="s">
        <v>2131</v>
      </c>
      <c r="AW259" s="1238" t="s">
        <v>2216</v>
      </c>
      <c r="AX259" s="1239" t="str">
        <f t="shared" si="170"/>
        <v>IE_008.1250000000</v>
      </c>
      <c r="AY259" s="1240">
        <f>[1]!IE_R12</f>
        <v>8.125</v>
      </c>
      <c r="AZ259" s="1240">
        <f>[1]!IE_ARM05_P12+Input_PL_Incentive_IE</f>
        <v>103.125</v>
      </c>
      <c r="BA259" s="1240">
        <f>[1]!IE_FRM30_P12+Input_PL_Incentive_IE</f>
        <v>103.125</v>
      </c>
      <c r="BB259" s="1239">
        <f t="shared" si="171"/>
        <v>103.125</v>
      </c>
      <c r="BC259" s="1239" t="str">
        <f t="shared" si="172"/>
        <v>IE_103.1250000000</v>
      </c>
      <c r="BD259" s="1239"/>
      <c r="BE259" s="1268" t="s">
        <v>2201</v>
      </c>
      <c r="BG259" s="515"/>
      <c r="BH259" s="515"/>
      <c r="BI259" s="515"/>
      <c r="BJ259" s="515"/>
      <c r="BK259" s="515"/>
      <c r="BL259" s="515"/>
      <c r="BM259" s="515"/>
      <c r="BN259" s="515"/>
    </row>
    <row r="260" spans="13:66" ht="9.6" customHeight="1" x14ac:dyDescent="0.2">
      <c r="W260" s="515"/>
      <c r="AB260" s="515"/>
      <c r="AP260" s="515"/>
      <c r="AQ260" s="515"/>
      <c r="AR260" s="515"/>
      <c r="AS260" s="515"/>
      <c r="AT260" s="515"/>
      <c r="AU260" s="515"/>
      <c r="AV260" s="1267" t="s">
        <v>2131</v>
      </c>
      <c r="AW260" s="1238" t="s">
        <v>2216</v>
      </c>
      <c r="AX260" s="1239" t="str">
        <f t="shared" si="170"/>
        <v>IE_008.0000000000</v>
      </c>
      <c r="AY260" s="1240">
        <f>[1]!IE_R13</f>
        <v>8</v>
      </c>
      <c r="AZ260" s="1240">
        <f>[1]!IE_ARM05_P13+Input_PL_Incentive_IE</f>
        <v>102.875</v>
      </c>
      <c r="BA260" s="1240">
        <f>[1]!IE_FRM30_P13+Input_PL_Incentive_IE</f>
        <v>102.875</v>
      </c>
      <c r="BB260" s="1239">
        <f t="shared" si="171"/>
        <v>102.875</v>
      </c>
      <c r="BC260" s="1239" t="str">
        <f t="shared" si="172"/>
        <v>IE_102.8750000000</v>
      </c>
      <c r="BD260" s="1239"/>
      <c r="BE260" s="1268" t="s">
        <v>2202</v>
      </c>
      <c r="BG260" s="515"/>
      <c r="BH260" s="515"/>
      <c r="BI260" s="515"/>
      <c r="BJ260" s="515"/>
      <c r="BK260" s="515"/>
      <c r="BL260" s="515"/>
      <c r="BM260" s="515"/>
      <c r="BN260" s="515"/>
    </row>
    <row r="261" spans="13:66" ht="9.6" customHeight="1" x14ac:dyDescent="0.2">
      <c r="W261" s="515"/>
      <c r="AB261" s="515"/>
      <c r="AP261" s="515"/>
      <c r="AQ261" s="515"/>
      <c r="AR261" s="515"/>
      <c r="AS261" s="515"/>
      <c r="AT261" s="515"/>
      <c r="AU261" s="515"/>
      <c r="AV261" s="1267" t="s">
        <v>2131</v>
      </c>
      <c r="AW261" s="1238" t="s">
        <v>2216</v>
      </c>
      <c r="AX261" s="1239" t="str">
        <f t="shared" si="170"/>
        <v>IE_007.8750000000</v>
      </c>
      <c r="AY261" s="1240">
        <f>[1]!IE_R14</f>
        <v>7.875</v>
      </c>
      <c r="AZ261" s="1240">
        <f>[1]!IE_ARM05_P14+Input_PL_Incentive_IE</f>
        <v>102.625</v>
      </c>
      <c r="BA261" s="1240">
        <f>[1]!IE_FRM30_P14+Input_PL_Incentive_IE</f>
        <v>102.625</v>
      </c>
      <c r="BB261" s="1239">
        <f t="shared" si="171"/>
        <v>102.625</v>
      </c>
      <c r="BC261" s="1239" t="str">
        <f t="shared" si="172"/>
        <v>IE_102.6250000000</v>
      </c>
      <c r="BD261" s="1239"/>
      <c r="BE261" s="1268" t="s">
        <v>2203</v>
      </c>
      <c r="BG261" s="515"/>
      <c r="BH261" s="515"/>
      <c r="BI261" s="515"/>
      <c r="BJ261" s="515"/>
      <c r="BK261" s="515"/>
      <c r="BL261" s="515"/>
      <c r="BM261" s="515"/>
      <c r="BN261" s="515"/>
    </row>
    <row r="262" spans="13:66" ht="9.6" customHeight="1" x14ac:dyDescent="0.2">
      <c r="W262" s="515"/>
      <c r="AB262" s="515"/>
      <c r="AP262" s="515"/>
      <c r="AQ262" s="515"/>
      <c r="AR262" s="515"/>
      <c r="AS262" s="515"/>
      <c r="AT262" s="515"/>
      <c r="AU262" s="515"/>
      <c r="AV262" s="1267" t="s">
        <v>2131</v>
      </c>
      <c r="AW262" s="1238" t="s">
        <v>2216</v>
      </c>
      <c r="AX262" s="1239" t="str">
        <f t="shared" si="170"/>
        <v>IE_007.7500000000</v>
      </c>
      <c r="AY262" s="1240">
        <f>[1]!IE_R15</f>
        <v>7.75</v>
      </c>
      <c r="AZ262" s="1240">
        <f>[1]!IE_ARM05_P15+Input_PL_Incentive_IE</f>
        <v>102.375</v>
      </c>
      <c r="BA262" s="1240">
        <f>[1]!IE_FRM30_P15+Input_PL_Incentive_IE</f>
        <v>102.375</v>
      </c>
      <c r="BB262" s="1239">
        <f t="shared" si="171"/>
        <v>102.375</v>
      </c>
      <c r="BC262" s="1239" t="str">
        <f t="shared" si="172"/>
        <v>IE_102.3750000000</v>
      </c>
      <c r="BD262" s="1239"/>
      <c r="BE262" s="1268" t="s">
        <v>2204</v>
      </c>
      <c r="BG262" s="515"/>
      <c r="BH262" s="515"/>
      <c r="BI262" s="515"/>
      <c r="BJ262" s="515"/>
      <c r="BK262" s="515"/>
      <c r="BL262" s="515"/>
      <c r="BM262" s="515"/>
      <c r="BN262" s="515"/>
    </row>
    <row r="263" spans="13:66" ht="9.6" customHeight="1" x14ac:dyDescent="0.2">
      <c r="W263" s="515"/>
      <c r="AB263" s="515"/>
      <c r="AP263" s="515"/>
      <c r="AQ263" s="515"/>
      <c r="AR263" s="515"/>
      <c r="AS263" s="515"/>
      <c r="AT263" s="515"/>
      <c r="AU263" s="515"/>
      <c r="AV263" s="1267" t="s">
        <v>2131</v>
      </c>
      <c r="AW263" s="1238" t="s">
        <v>2216</v>
      </c>
      <c r="AX263" s="1239" t="str">
        <f t="shared" si="170"/>
        <v>IE_007.6250000000</v>
      </c>
      <c r="AY263" s="1240">
        <f>[1]!IE_R16</f>
        <v>7.625</v>
      </c>
      <c r="AZ263" s="1240">
        <f>[1]!IE_ARM05_P16+Input_PL_Incentive_IE</f>
        <v>102.125</v>
      </c>
      <c r="BA263" s="1240">
        <f>[1]!IE_FRM30_P16+Input_PL_Incentive_IE</f>
        <v>102.125</v>
      </c>
      <c r="BB263" s="1239">
        <f t="shared" si="171"/>
        <v>102.125</v>
      </c>
      <c r="BC263" s="1239" t="str">
        <f t="shared" si="172"/>
        <v>IE_102.1250000000</v>
      </c>
      <c r="BD263" s="1239"/>
      <c r="BE263" s="1268" t="s">
        <v>2205</v>
      </c>
      <c r="BG263" s="515"/>
      <c r="BH263" s="515"/>
      <c r="BI263" s="515"/>
      <c r="BJ263" s="515"/>
      <c r="BK263" s="515"/>
      <c r="BL263" s="515"/>
      <c r="BM263" s="515"/>
      <c r="BN263" s="515"/>
    </row>
    <row r="264" spans="13:66" ht="9.6" customHeight="1" x14ac:dyDescent="0.2">
      <c r="W264" s="515"/>
      <c r="AB264" s="515"/>
      <c r="AO264" s="515"/>
      <c r="AP264" s="515"/>
      <c r="AQ264" s="515"/>
      <c r="AR264" s="515"/>
      <c r="AS264" s="515"/>
      <c r="AT264" s="515"/>
      <c r="AU264" s="515"/>
      <c r="AV264" s="1267" t="s">
        <v>2131</v>
      </c>
      <c r="AW264" s="1238" t="s">
        <v>2216</v>
      </c>
      <c r="AX264" s="1239" t="str">
        <f t="shared" si="170"/>
        <v>IE_007.4900000000</v>
      </c>
      <c r="AY264" s="1240">
        <f>[1]!IE_R17</f>
        <v>7.49</v>
      </c>
      <c r="AZ264" s="1240">
        <f>[1]!IE_ARM05_P17+Input_PL_Incentive_IE</f>
        <v>101.875</v>
      </c>
      <c r="BA264" s="1240">
        <f>[1]!IE_FRM30_P17+Input_PL_Incentive_IE</f>
        <v>101.875</v>
      </c>
      <c r="BB264" s="1239">
        <f t="shared" si="171"/>
        <v>101.875</v>
      </c>
      <c r="BC264" s="1239" t="str">
        <f t="shared" si="172"/>
        <v>IE_101.8750000000</v>
      </c>
      <c r="BD264" s="1239"/>
      <c r="BE264" s="1268" t="s">
        <v>2206</v>
      </c>
    </row>
    <row r="265" spans="13:66" ht="9.6" customHeight="1" x14ac:dyDescent="0.2">
      <c r="W265" s="515"/>
      <c r="AB265" s="515"/>
      <c r="AO265" s="515"/>
      <c r="AP265" s="515"/>
      <c r="AQ265" s="515"/>
      <c r="AR265" s="515"/>
      <c r="AS265" s="515"/>
      <c r="AT265" s="515"/>
      <c r="AU265" s="515"/>
      <c r="AV265" s="1267" t="s">
        <v>2131</v>
      </c>
      <c r="AW265" s="1238" t="s">
        <v>2216</v>
      </c>
      <c r="AX265" s="1239" t="str">
        <f t="shared" si="170"/>
        <v>IE_007.3750000000</v>
      </c>
      <c r="AY265" s="1240">
        <f>[1]!IE_R18</f>
        <v>7.375</v>
      </c>
      <c r="AZ265" s="1240">
        <f>[1]!IE_ARM05_P18+Input_PL_Incentive_IE</f>
        <v>101.5625</v>
      </c>
      <c r="BA265" s="1240">
        <f>[1]!IE_FRM30_P18+Input_PL_Incentive_IE</f>
        <v>101.5625</v>
      </c>
      <c r="BB265" s="1239">
        <f t="shared" si="171"/>
        <v>101.5625</v>
      </c>
      <c r="BC265" s="1239" t="str">
        <f t="shared" si="172"/>
        <v>IE_101.5625000000</v>
      </c>
      <c r="BD265" s="1239"/>
      <c r="BE265" s="1268" t="s">
        <v>2207</v>
      </c>
    </row>
    <row r="266" spans="13:66" ht="9.6" customHeight="1" x14ac:dyDescent="0.2">
      <c r="W266" s="515"/>
      <c r="AB266" s="515"/>
      <c r="AO266" s="515"/>
      <c r="AP266" s="515"/>
      <c r="AQ266" s="515"/>
      <c r="AR266" s="515"/>
      <c r="AS266" s="515"/>
      <c r="AT266" s="515"/>
      <c r="AU266" s="515"/>
      <c r="AV266" s="1267" t="s">
        <v>2131</v>
      </c>
      <c r="AW266" s="1238" t="s">
        <v>2216</v>
      </c>
      <c r="AX266" s="1239" t="str">
        <f t="shared" si="170"/>
        <v>IE_007.2500000000</v>
      </c>
      <c r="AY266" s="1240">
        <f>[1]!IE_R19</f>
        <v>7.25</v>
      </c>
      <c r="AZ266" s="1240">
        <f>[1]!IE_ARM05_P19+Input_PL_Incentive_IE</f>
        <v>101.21875</v>
      </c>
      <c r="BA266" s="1240">
        <f>[1]!IE_FRM30_P19+Input_PL_Incentive_IE</f>
        <v>101.21875</v>
      </c>
      <c r="BB266" s="1239">
        <f t="shared" si="171"/>
        <v>101.21875</v>
      </c>
      <c r="BC266" s="1239" t="str">
        <f t="shared" si="172"/>
        <v>IE_101.2187500000</v>
      </c>
      <c r="BD266" s="1239"/>
      <c r="BE266" s="1268" t="s">
        <v>2208</v>
      </c>
    </row>
    <row r="267" spans="13:66" ht="9.6" customHeight="1" x14ac:dyDescent="0.2">
      <c r="W267" s="515"/>
      <c r="AB267" s="515"/>
      <c r="AO267" s="515"/>
      <c r="AP267" s="515"/>
      <c r="AQ267" s="515"/>
      <c r="AR267" s="515"/>
      <c r="AS267" s="515"/>
      <c r="AT267" s="515"/>
      <c r="AU267" s="515"/>
      <c r="AV267" s="1267" t="s">
        <v>2131</v>
      </c>
      <c r="AW267" s="1238" t="s">
        <v>2216</v>
      </c>
      <c r="AX267" s="1239" t="str">
        <f t="shared" si="170"/>
        <v>IE_007.1250000000</v>
      </c>
      <c r="AY267" s="1240">
        <f>[1]!IE_R20</f>
        <v>7.125</v>
      </c>
      <c r="AZ267" s="1240">
        <f>[1]!IE_ARM05_P20+Input_PL_Incentive_IE</f>
        <v>100.8125</v>
      </c>
      <c r="BA267" s="1240">
        <f>[1]!IE_FRM30_P20+Input_PL_Incentive_IE</f>
        <v>100.8125</v>
      </c>
      <c r="BB267" s="1239">
        <f t="shared" si="171"/>
        <v>100.8125</v>
      </c>
      <c r="BC267" s="1239" t="str">
        <f t="shared" si="172"/>
        <v>IE_100.8125000000</v>
      </c>
      <c r="BD267" s="1239"/>
      <c r="BE267" s="1268" t="s">
        <v>2209</v>
      </c>
    </row>
    <row r="268" spans="13:66" ht="9.6" customHeight="1" x14ac:dyDescent="0.2">
      <c r="W268" s="515"/>
      <c r="AB268" s="515"/>
      <c r="AO268" s="515"/>
      <c r="AP268" s="515"/>
      <c r="AQ268" s="515"/>
      <c r="AR268" s="515"/>
      <c r="AS268" s="515"/>
      <c r="AT268" s="515"/>
      <c r="AU268" s="515"/>
      <c r="AV268" s="1267" t="s">
        <v>2131</v>
      </c>
      <c r="AW268" s="1238" t="s">
        <v>2216</v>
      </c>
      <c r="AX268" s="1239" t="str">
        <f t="shared" si="170"/>
        <v>IE_006.9900000000</v>
      </c>
      <c r="AY268" s="1240">
        <f>[1]!IE_R21</f>
        <v>6.99</v>
      </c>
      <c r="AZ268" s="1240">
        <f>[1]!IE_ARM05_P21+Input_PL_Incentive_IE</f>
        <v>100.375</v>
      </c>
      <c r="BA268" s="1240">
        <f>[1]!IE_FRM30_P21+Input_PL_Incentive_IE</f>
        <v>100.375</v>
      </c>
      <c r="BB268" s="1239">
        <f t="shared" si="171"/>
        <v>100.375</v>
      </c>
      <c r="BC268" s="1239" t="str">
        <f t="shared" si="172"/>
        <v>IE_100.3750000000</v>
      </c>
      <c r="BD268" s="1239"/>
      <c r="BE268" s="1268" t="s">
        <v>2210</v>
      </c>
    </row>
    <row r="269" spans="13:66" ht="9.6" customHeight="1" x14ac:dyDescent="0.2">
      <c r="W269" s="515"/>
      <c r="AB269" s="515"/>
      <c r="AO269" s="515"/>
      <c r="AP269" s="515"/>
      <c r="AQ269" s="515"/>
      <c r="AR269" s="515"/>
      <c r="AS269" s="515"/>
      <c r="AT269" s="515"/>
      <c r="AU269" s="515"/>
      <c r="AV269" s="1267" t="s">
        <v>2131</v>
      </c>
      <c r="AW269" s="1238" t="s">
        <v>2216</v>
      </c>
      <c r="AX269" s="1239" t="str">
        <f t="shared" si="170"/>
        <v>IE_006.8750000000</v>
      </c>
      <c r="AY269" s="1240">
        <f>[1]!IE_R22</f>
        <v>6.875</v>
      </c>
      <c r="AZ269" s="1240">
        <f>[1]!IE_ARM05_P22+Input_PL_Incentive_IE</f>
        <v>99.875</v>
      </c>
      <c r="BA269" s="1240">
        <f>[1]!IE_FRM30_P22+Input_PL_Incentive_IE</f>
        <v>99.875</v>
      </c>
      <c r="BB269" s="1239">
        <f t="shared" si="171"/>
        <v>99.875</v>
      </c>
      <c r="BC269" s="1239" t="str">
        <f t="shared" si="172"/>
        <v>IE_099.8750000000</v>
      </c>
      <c r="BD269" s="1239"/>
      <c r="BE269" s="1268" t="s">
        <v>2211</v>
      </c>
    </row>
    <row r="270" spans="13:66" ht="9.6" customHeight="1" x14ac:dyDescent="0.2">
      <c r="W270" s="515"/>
      <c r="AV270" s="1267" t="s">
        <v>2131</v>
      </c>
      <c r="AW270" s="1238" t="s">
        <v>2216</v>
      </c>
      <c r="AX270" s="1239" t="str">
        <f t="shared" si="170"/>
        <v>IE_006.7500000000</v>
      </c>
      <c r="AY270" s="1240">
        <f>[1]!IE_R23</f>
        <v>6.75</v>
      </c>
      <c r="AZ270" s="1240">
        <f>[1]!IE_ARM05_P23+Input_PL_Incentive_IE</f>
        <v>99.3125</v>
      </c>
      <c r="BA270" s="1240">
        <f>[1]!IE_FRM30_P23+Input_PL_Incentive_IE</f>
        <v>99.3125</v>
      </c>
      <c r="BB270" s="1239">
        <f t="shared" si="171"/>
        <v>99.3125</v>
      </c>
      <c r="BC270" s="1239" t="str">
        <f t="shared" si="172"/>
        <v>IE_099.3125000000</v>
      </c>
      <c r="BD270" s="1239"/>
      <c r="BE270" s="1268" t="s">
        <v>2212</v>
      </c>
    </row>
    <row r="271" spans="13:66" ht="9.6" customHeight="1" x14ac:dyDescent="0.2">
      <c r="W271" s="515"/>
      <c r="AV271" s="1267" t="s">
        <v>2131</v>
      </c>
      <c r="AW271" s="1238" t="s">
        <v>2216</v>
      </c>
      <c r="AX271" s="1239" t="str">
        <f t="shared" si="170"/>
        <v>IE_006.6250000000</v>
      </c>
      <c r="AY271" s="1240">
        <f>[1]!IE_R24</f>
        <v>6.625</v>
      </c>
      <c r="AZ271" s="1240">
        <f>[1]!IE_ARM05_P24+Input_PL_Incentive_IE</f>
        <v>98.6875</v>
      </c>
      <c r="BA271" s="1240">
        <f>[1]!IE_FRM30_P24+Input_PL_Incentive_IE</f>
        <v>98.6875</v>
      </c>
      <c r="BB271" s="1239">
        <f t="shared" si="171"/>
        <v>98.6875</v>
      </c>
      <c r="BC271" s="1239" t="str">
        <f t="shared" si="172"/>
        <v>IE_098.6875000000</v>
      </c>
      <c r="BD271" s="1239"/>
      <c r="BE271" s="1268" t="s">
        <v>2213</v>
      </c>
    </row>
    <row r="272" spans="13:66" ht="9.6" customHeight="1" x14ac:dyDescent="0.2">
      <c r="AV272" s="1267" t="s">
        <v>2131</v>
      </c>
      <c r="AW272" s="1238" t="s">
        <v>2216</v>
      </c>
      <c r="AX272" s="1239" t="str">
        <f t="shared" si="170"/>
        <v>IE_006.4900000000</v>
      </c>
      <c r="AY272" s="1240">
        <f>[1]!IE_R25</f>
        <v>6.49</v>
      </c>
      <c r="AZ272" s="1240">
        <f>[1]!IE_ARM05_P25+Input_PL_Incentive_IE</f>
        <v>98.0625</v>
      </c>
      <c r="BA272" s="1240">
        <f>[1]!IE_FRM30_P25+Input_PL_Incentive_IE</f>
        <v>98.0625</v>
      </c>
      <c r="BB272" s="1239">
        <f t="shared" si="171"/>
        <v>98.0625</v>
      </c>
      <c r="BC272" s="1239" t="str">
        <f t="shared" si="172"/>
        <v>IE_098.0625000000</v>
      </c>
      <c r="BD272" s="1239"/>
      <c r="BE272" s="1268" t="s">
        <v>2214</v>
      </c>
    </row>
    <row r="273" spans="48:57" ht="9.6" customHeight="1" x14ac:dyDescent="0.2">
      <c r="AV273" s="1267" t="s">
        <v>2131</v>
      </c>
      <c r="AW273" s="1238" t="s">
        <v>2216</v>
      </c>
      <c r="AX273" s="1239" t="str">
        <f t="shared" si="170"/>
        <v>IE_006.3750000000</v>
      </c>
      <c r="AY273" s="1240">
        <f>[1]!IE_R26</f>
        <v>6.375</v>
      </c>
      <c r="AZ273" s="1240">
        <f>[1]!IE_ARM05_P26+Input_PL_Incentive_IE</f>
        <v>97.4375</v>
      </c>
      <c r="BA273" s="1240">
        <f>[1]!IE_FRM30_P26+Input_PL_Incentive_IE</f>
        <v>97.4375</v>
      </c>
      <c r="BB273" s="1239">
        <f t="shared" si="171"/>
        <v>97.4375</v>
      </c>
      <c r="BC273" s="1239" t="str">
        <f t="shared" si="172"/>
        <v>IE_097.4375000000</v>
      </c>
      <c r="BD273" s="1239"/>
      <c r="BE273" s="1268" t="s">
        <v>2215</v>
      </c>
    </row>
    <row r="274" spans="48:57" ht="9.6" customHeight="1" x14ac:dyDescent="0.2">
      <c r="AV274" s="1269" t="s">
        <v>2131</v>
      </c>
      <c r="AW274" s="1270" t="s">
        <v>2216</v>
      </c>
      <c r="AX274" s="1271" t="str">
        <f t="shared" si="170"/>
        <v>IE_006.2500000000</v>
      </c>
      <c r="AY274" s="1272">
        <f>[1]!IE_R27</f>
        <v>6.25</v>
      </c>
      <c r="AZ274" s="1272">
        <f>[1]!IE_ARM05_P27+Input_PL_Incentive_IE</f>
        <v>96.8125</v>
      </c>
      <c r="BA274" s="1272">
        <f>[1]!IE_FRM30_P27+Input_PL_Incentive_IE</f>
        <v>96.8125</v>
      </c>
      <c r="BB274" s="1271">
        <f t="shared" ref="BB274:BB296" si="173">IF(INDEX(List_AmortTermAll,MATCH(Input_AmortTerm,List_AmortTerm,0),3)=1,AZ274,IF(INDEX(List_AmortTermAll,MATCH(Input_AmortTerm,List_AmortTerm,0),3)=2,BA274,#N/A))</f>
        <v>96.8125</v>
      </c>
      <c r="BC274" s="1271" t="str">
        <f t="shared" si="172"/>
        <v>IE_096.8125000000</v>
      </c>
      <c r="BD274" s="1271"/>
      <c r="BE274" s="1273" t="s">
        <v>2609</v>
      </c>
    </row>
    <row r="275" spans="48:57" ht="9.6" customHeight="1" x14ac:dyDescent="0.2">
      <c r="AV275" s="1337" t="s">
        <v>374</v>
      </c>
      <c r="AW275" s="1338" t="s">
        <v>2555</v>
      </c>
      <c r="AX275" s="1339" t="str">
        <f t="shared" ref="AX275:AX296" si="174">"DE_"&amp;RIGHT("000"&amp;TRUNC(Lookup_NoteRate),3)&amp;TEXT(Lookup_NoteRate-TRUNC(Lookup_NoteRate),".0000000000")</f>
        <v>DE_009.2500000000</v>
      </c>
      <c r="AY275" s="1340">
        <f>[1]!DE_R01</f>
        <v>9.25</v>
      </c>
      <c r="AZ275" s="1340">
        <f>[1]!DE_ARM05_P01+Input_PL_Incentive_DE</f>
        <v>105.5625</v>
      </c>
      <c r="BA275" s="1340">
        <f>[1]!DE_FRM30_P01+Input_PL_Incentive_DE</f>
        <v>105.5625</v>
      </c>
      <c r="BB275" s="1339">
        <f t="shared" si="173"/>
        <v>105.5625</v>
      </c>
      <c r="BC275" s="1339" t="str">
        <f t="shared" ref="BC275:BC296" si="175">"DE_"&amp;RIGHT("000"&amp;TRUNC(Lookup_PriceText),3)&amp;TEXT(Lookup_PriceText-TRUNC(Lookup_PriceText),".0000000000")</f>
        <v>DE_105.5625000000</v>
      </c>
      <c r="BD275" s="1339"/>
      <c r="BE275" s="1341" t="s">
        <v>2556</v>
      </c>
    </row>
    <row r="276" spans="48:57" ht="9.6" customHeight="1" x14ac:dyDescent="0.2">
      <c r="AV276" s="1342" t="s">
        <v>374</v>
      </c>
      <c r="AW276" s="1343" t="s">
        <v>2555</v>
      </c>
      <c r="AX276" s="1344" t="str">
        <f t="shared" si="174"/>
        <v>DE_009.1250000000</v>
      </c>
      <c r="AY276" s="1345">
        <f>[1]!DE_R02</f>
        <v>9.125</v>
      </c>
      <c r="AZ276" s="1345">
        <f>[1]!DE_ARM05_P02+Input_PL_Incentive_DE</f>
        <v>105.4375</v>
      </c>
      <c r="BA276" s="1345">
        <f>[1]!DE_FRM30_P02+Input_PL_Incentive_DE</f>
        <v>105.4375</v>
      </c>
      <c r="BB276" s="1344">
        <f t="shared" si="173"/>
        <v>105.4375</v>
      </c>
      <c r="BC276" s="1344" t="str">
        <f t="shared" si="175"/>
        <v>DE_105.4375000000</v>
      </c>
      <c r="BD276" s="1344"/>
      <c r="BE276" s="1346" t="s">
        <v>2557</v>
      </c>
    </row>
    <row r="277" spans="48:57" ht="9.6" customHeight="1" x14ac:dyDescent="0.2">
      <c r="AV277" s="1342" t="s">
        <v>374</v>
      </c>
      <c r="AW277" s="1343" t="s">
        <v>2555</v>
      </c>
      <c r="AX277" s="1344" t="str">
        <f t="shared" si="174"/>
        <v>DE_009.0000000000</v>
      </c>
      <c r="AY277" s="1345">
        <f>[1]!DE_R03</f>
        <v>9</v>
      </c>
      <c r="AZ277" s="1345">
        <f>[1]!DE_ARM05_P03+Input_PL_Incentive_DE</f>
        <v>105.3125</v>
      </c>
      <c r="BA277" s="1345">
        <f>[1]!DE_FRM30_P03+Input_PL_Incentive_DE</f>
        <v>105.3125</v>
      </c>
      <c r="BB277" s="1344">
        <f t="shared" si="173"/>
        <v>105.3125</v>
      </c>
      <c r="BC277" s="1344" t="str">
        <f t="shared" si="175"/>
        <v>DE_105.3125000000</v>
      </c>
      <c r="BD277" s="1344"/>
      <c r="BE277" s="1346" t="s">
        <v>2558</v>
      </c>
    </row>
    <row r="278" spans="48:57" ht="9.6" customHeight="1" x14ac:dyDescent="0.2">
      <c r="AV278" s="1342" t="s">
        <v>374</v>
      </c>
      <c r="AW278" s="1343" t="s">
        <v>2555</v>
      </c>
      <c r="AX278" s="1344" t="str">
        <f t="shared" si="174"/>
        <v>DE_008.8750000000</v>
      </c>
      <c r="AY278" s="1345">
        <f>[1]!DE_R04</f>
        <v>8.875</v>
      </c>
      <c r="AZ278" s="1345">
        <f>[1]!DE_ARM05_P04+Input_PL_Incentive_DE</f>
        <v>105.1875</v>
      </c>
      <c r="BA278" s="1345">
        <f>[1]!DE_FRM30_P04+Input_PL_Incentive_DE</f>
        <v>105.1875</v>
      </c>
      <c r="BB278" s="1344">
        <f t="shared" si="173"/>
        <v>105.1875</v>
      </c>
      <c r="BC278" s="1344" t="str">
        <f t="shared" si="175"/>
        <v>DE_105.1875000000</v>
      </c>
      <c r="BD278" s="1344"/>
      <c r="BE278" s="1346" t="s">
        <v>2559</v>
      </c>
    </row>
    <row r="279" spans="48:57" ht="9.6" customHeight="1" x14ac:dyDescent="0.2">
      <c r="AV279" s="1342" t="s">
        <v>374</v>
      </c>
      <c r="AW279" s="1343" t="s">
        <v>2555</v>
      </c>
      <c r="AX279" s="1344" t="str">
        <f t="shared" si="174"/>
        <v>DE_008.7500000000</v>
      </c>
      <c r="AY279" s="1345">
        <f>[1]!DE_R05</f>
        <v>8.75</v>
      </c>
      <c r="AZ279" s="1345">
        <f>[1]!DE_ARM05_P05+Input_PL_Incentive_DE</f>
        <v>105.0625</v>
      </c>
      <c r="BA279" s="1345">
        <f>[1]!DE_FRM30_P05+Input_PL_Incentive_DE</f>
        <v>105.0625</v>
      </c>
      <c r="BB279" s="1344">
        <f t="shared" si="173"/>
        <v>105.0625</v>
      </c>
      <c r="BC279" s="1344" t="str">
        <f t="shared" si="175"/>
        <v>DE_105.0625000000</v>
      </c>
      <c r="BD279" s="1344"/>
      <c r="BE279" s="1346" t="s">
        <v>2560</v>
      </c>
    </row>
    <row r="280" spans="48:57" ht="9.6" customHeight="1" x14ac:dyDescent="0.2">
      <c r="AV280" s="1342" t="s">
        <v>374</v>
      </c>
      <c r="AW280" s="1343" t="s">
        <v>2555</v>
      </c>
      <c r="AX280" s="1344" t="str">
        <f t="shared" si="174"/>
        <v>DE_008.6250000000</v>
      </c>
      <c r="AY280" s="1345">
        <f>[1]!DE_R06</f>
        <v>8.625</v>
      </c>
      <c r="AZ280" s="1345">
        <f>[1]!DE_ARM05_P06+Input_PL_Incentive_DE</f>
        <v>104.9375</v>
      </c>
      <c r="BA280" s="1345">
        <f>[1]!DE_FRM30_P06+Input_PL_Incentive_DE</f>
        <v>104.9375</v>
      </c>
      <c r="BB280" s="1344">
        <f t="shared" si="173"/>
        <v>104.9375</v>
      </c>
      <c r="BC280" s="1344" t="str">
        <f t="shared" si="175"/>
        <v>DE_104.9375000000</v>
      </c>
      <c r="BD280" s="1344"/>
      <c r="BE280" s="1346" t="s">
        <v>2561</v>
      </c>
    </row>
    <row r="281" spans="48:57" ht="9.6" customHeight="1" x14ac:dyDescent="0.2">
      <c r="AV281" s="1342" t="s">
        <v>374</v>
      </c>
      <c r="AW281" s="1343" t="s">
        <v>2555</v>
      </c>
      <c r="AX281" s="1344" t="str">
        <f t="shared" si="174"/>
        <v>DE_008.5000000000</v>
      </c>
      <c r="AY281" s="1345">
        <f>[1]!DE_R07</f>
        <v>8.5</v>
      </c>
      <c r="AZ281" s="1345">
        <f>[1]!DE_ARM05_P07+Input_PL_Incentive_DE</f>
        <v>104.6875</v>
      </c>
      <c r="BA281" s="1345">
        <f>[1]!DE_FRM30_P07+Input_PL_Incentive_DE</f>
        <v>104.6875</v>
      </c>
      <c r="BB281" s="1344">
        <f t="shared" si="173"/>
        <v>104.6875</v>
      </c>
      <c r="BC281" s="1344" t="str">
        <f t="shared" si="175"/>
        <v>DE_104.6875000000</v>
      </c>
      <c r="BD281" s="1344"/>
      <c r="BE281" s="1346" t="s">
        <v>2562</v>
      </c>
    </row>
    <row r="282" spans="48:57" ht="9.6" customHeight="1" x14ac:dyDescent="0.2">
      <c r="AV282" s="1342" t="s">
        <v>374</v>
      </c>
      <c r="AW282" s="1343" t="s">
        <v>2555</v>
      </c>
      <c r="AX282" s="1344" t="str">
        <f t="shared" si="174"/>
        <v>DE_008.3750000000</v>
      </c>
      <c r="AY282" s="1345">
        <f>[1]!DE_R08</f>
        <v>8.375</v>
      </c>
      <c r="AZ282" s="1345">
        <f>[1]!DE_ARM05_P08+Input_PL_Incentive_DE</f>
        <v>104.4375</v>
      </c>
      <c r="BA282" s="1345">
        <f>[1]!DE_FRM30_P08+Input_PL_Incentive_DE</f>
        <v>104.4375</v>
      </c>
      <c r="BB282" s="1344">
        <f t="shared" si="173"/>
        <v>104.4375</v>
      </c>
      <c r="BC282" s="1344" t="str">
        <f t="shared" si="175"/>
        <v>DE_104.4375000000</v>
      </c>
      <c r="BD282" s="1344"/>
      <c r="BE282" s="1346" t="s">
        <v>2563</v>
      </c>
    </row>
    <row r="283" spans="48:57" ht="9.6" customHeight="1" x14ac:dyDescent="0.2">
      <c r="AV283" s="1342" t="s">
        <v>374</v>
      </c>
      <c r="AW283" s="1343" t="s">
        <v>2555</v>
      </c>
      <c r="AX283" s="1344" t="str">
        <f t="shared" si="174"/>
        <v>DE_008.2500000000</v>
      </c>
      <c r="AY283" s="1345">
        <f>[1]!DE_R09</f>
        <v>8.25</v>
      </c>
      <c r="AZ283" s="1345">
        <f>[1]!DE_ARM05_P09+Input_PL_Incentive_DE</f>
        <v>104.1875</v>
      </c>
      <c r="BA283" s="1345">
        <f>[1]!DE_FRM30_P09+Input_PL_Incentive_DE</f>
        <v>104.1875</v>
      </c>
      <c r="BB283" s="1344">
        <f t="shared" si="173"/>
        <v>104.1875</v>
      </c>
      <c r="BC283" s="1344" t="str">
        <f t="shared" si="175"/>
        <v>DE_104.1875000000</v>
      </c>
      <c r="BD283" s="1344"/>
      <c r="BE283" s="1346" t="s">
        <v>2564</v>
      </c>
    </row>
    <row r="284" spans="48:57" ht="9.6" customHeight="1" x14ac:dyDescent="0.2">
      <c r="AV284" s="1342" t="s">
        <v>374</v>
      </c>
      <c r="AW284" s="1343" t="s">
        <v>2555</v>
      </c>
      <c r="AX284" s="1344" t="str">
        <f t="shared" si="174"/>
        <v>DE_008.1250000000</v>
      </c>
      <c r="AY284" s="1345">
        <f>[1]!DE_R10</f>
        <v>8.125</v>
      </c>
      <c r="AZ284" s="1345">
        <f>[1]!DE_ARM05_P10+Input_PL_Incentive_DE</f>
        <v>103.875</v>
      </c>
      <c r="BA284" s="1345">
        <f>[1]!DE_FRM30_P10+Input_PL_Incentive_DE</f>
        <v>103.875</v>
      </c>
      <c r="BB284" s="1344">
        <f t="shared" si="173"/>
        <v>103.875</v>
      </c>
      <c r="BC284" s="1344" t="str">
        <f t="shared" si="175"/>
        <v>DE_103.8750000000</v>
      </c>
      <c r="BD284" s="1344"/>
      <c r="BE284" s="1346" t="s">
        <v>2565</v>
      </c>
    </row>
    <row r="285" spans="48:57" ht="9.6" customHeight="1" x14ac:dyDescent="0.2">
      <c r="AV285" s="1342" t="s">
        <v>374</v>
      </c>
      <c r="AW285" s="1343" t="s">
        <v>2555</v>
      </c>
      <c r="AX285" s="1344" t="str">
        <f t="shared" si="174"/>
        <v>DE_008.0000000000</v>
      </c>
      <c r="AY285" s="1345">
        <f>[1]!DE_R11</f>
        <v>8</v>
      </c>
      <c r="AZ285" s="1345">
        <f>[1]!DE_ARM05_P11+Input_PL_Incentive_DE</f>
        <v>103.5625</v>
      </c>
      <c r="BA285" s="1345">
        <f>[1]!DE_FRM30_P11+Input_PL_Incentive_DE</f>
        <v>103.5625</v>
      </c>
      <c r="BB285" s="1344">
        <f t="shared" si="173"/>
        <v>103.5625</v>
      </c>
      <c r="BC285" s="1344" t="str">
        <f t="shared" si="175"/>
        <v>DE_103.5625000000</v>
      </c>
      <c r="BD285" s="1344"/>
      <c r="BE285" s="1346" t="s">
        <v>2566</v>
      </c>
    </row>
    <row r="286" spans="48:57" ht="9.6" customHeight="1" x14ac:dyDescent="0.2">
      <c r="AV286" s="1342" t="s">
        <v>374</v>
      </c>
      <c r="AW286" s="1343" t="s">
        <v>2555</v>
      </c>
      <c r="AX286" s="1344" t="str">
        <f t="shared" si="174"/>
        <v>DE_007.8750000000</v>
      </c>
      <c r="AY286" s="1345">
        <f>[1]!DE_R12</f>
        <v>7.875</v>
      </c>
      <c r="AZ286" s="1345">
        <f>[1]!DE_ARM05_P12+Input_PL_Incentive_DE</f>
        <v>103.25</v>
      </c>
      <c r="BA286" s="1345">
        <f>[1]!DE_FRM30_P12+Input_PL_Incentive_DE</f>
        <v>103.25</v>
      </c>
      <c r="BB286" s="1344">
        <f t="shared" si="173"/>
        <v>103.25</v>
      </c>
      <c r="BC286" s="1344" t="str">
        <f t="shared" si="175"/>
        <v>DE_103.2500000000</v>
      </c>
      <c r="BD286" s="1344"/>
      <c r="BE286" s="1346" t="s">
        <v>2567</v>
      </c>
    </row>
    <row r="287" spans="48:57" ht="9.6" customHeight="1" x14ac:dyDescent="0.2">
      <c r="AV287" s="1342" t="s">
        <v>374</v>
      </c>
      <c r="AW287" s="1343" t="s">
        <v>2555</v>
      </c>
      <c r="AX287" s="1344" t="str">
        <f t="shared" si="174"/>
        <v>DE_007.7500000000</v>
      </c>
      <c r="AY287" s="1345">
        <f>[1]!DE_R13</f>
        <v>7.75</v>
      </c>
      <c r="AZ287" s="1345">
        <f>[1]!DE_ARM05_P13+Input_PL_Incentive_DE</f>
        <v>102.9375</v>
      </c>
      <c r="BA287" s="1345">
        <f>[1]!DE_FRM30_P13+Input_PL_Incentive_DE</f>
        <v>102.9375</v>
      </c>
      <c r="BB287" s="1344">
        <f t="shared" si="173"/>
        <v>102.9375</v>
      </c>
      <c r="BC287" s="1344" t="str">
        <f t="shared" si="175"/>
        <v>DE_102.9375000000</v>
      </c>
      <c r="BD287" s="1344"/>
      <c r="BE287" s="1346" t="s">
        <v>2568</v>
      </c>
    </row>
    <row r="288" spans="48:57" ht="9.6" customHeight="1" x14ac:dyDescent="0.2">
      <c r="AV288" s="1342" t="s">
        <v>374</v>
      </c>
      <c r="AW288" s="1343" t="s">
        <v>2555</v>
      </c>
      <c r="AX288" s="1344" t="str">
        <f t="shared" si="174"/>
        <v>DE_007.6250000000</v>
      </c>
      <c r="AY288" s="1345">
        <f>[1]!DE_R14</f>
        <v>7.625</v>
      </c>
      <c r="AZ288" s="1345">
        <f>[1]!DE_ARM05_P14+Input_PL_Incentive_DE</f>
        <v>102.625</v>
      </c>
      <c r="BA288" s="1345">
        <f>[1]!DE_FRM30_P14+Input_PL_Incentive_DE</f>
        <v>102.625</v>
      </c>
      <c r="BB288" s="1344">
        <f t="shared" si="173"/>
        <v>102.625</v>
      </c>
      <c r="BC288" s="1344" t="str">
        <f t="shared" si="175"/>
        <v>DE_102.6250000000</v>
      </c>
      <c r="BD288" s="1344"/>
      <c r="BE288" s="1346" t="s">
        <v>2569</v>
      </c>
    </row>
    <row r="289" spans="48:57" ht="9.6" customHeight="1" x14ac:dyDescent="0.2">
      <c r="AV289" s="1342" t="s">
        <v>374</v>
      </c>
      <c r="AW289" s="1343" t="s">
        <v>2555</v>
      </c>
      <c r="AX289" s="1344" t="str">
        <f t="shared" si="174"/>
        <v>DE_007.4900000000</v>
      </c>
      <c r="AY289" s="1345">
        <f>[1]!DE_R15</f>
        <v>7.49</v>
      </c>
      <c r="AZ289" s="1345">
        <f>[1]!DE_ARM05_P15+Input_PL_Incentive_DE</f>
        <v>102.25</v>
      </c>
      <c r="BA289" s="1345">
        <f>[1]!DE_FRM30_P15+Input_PL_Incentive_DE</f>
        <v>102.25</v>
      </c>
      <c r="BB289" s="1344">
        <f t="shared" si="173"/>
        <v>102.25</v>
      </c>
      <c r="BC289" s="1344" t="str">
        <f t="shared" si="175"/>
        <v>DE_102.2500000000</v>
      </c>
      <c r="BD289" s="1344"/>
      <c r="BE289" s="1346" t="s">
        <v>2570</v>
      </c>
    </row>
    <row r="290" spans="48:57" ht="9.6" customHeight="1" x14ac:dyDescent="0.2">
      <c r="AV290" s="1342" t="s">
        <v>374</v>
      </c>
      <c r="AW290" s="1343" t="s">
        <v>2555</v>
      </c>
      <c r="AX290" s="1344" t="str">
        <f t="shared" si="174"/>
        <v>DE_007.3750000000</v>
      </c>
      <c r="AY290" s="1345">
        <f>[1]!DE_R16</f>
        <v>7.375</v>
      </c>
      <c r="AZ290" s="1345">
        <f>[1]!DE_ARM05_P16+Input_PL_Incentive_DE</f>
        <v>101.875</v>
      </c>
      <c r="BA290" s="1345">
        <f>[1]!DE_FRM30_P16+Input_PL_Incentive_DE</f>
        <v>101.875</v>
      </c>
      <c r="BB290" s="1344">
        <f t="shared" si="173"/>
        <v>101.875</v>
      </c>
      <c r="BC290" s="1344" t="str">
        <f t="shared" si="175"/>
        <v>DE_101.8750000000</v>
      </c>
      <c r="BD290" s="1344"/>
      <c r="BE290" s="1346" t="s">
        <v>2571</v>
      </c>
    </row>
    <row r="291" spans="48:57" ht="9.6" customHeight="1" x14ac:dyDescent="0.2">
      <c r="AV291" s="1342" t="s">
        <v>374</v>
      </c>
      <c r="AW291" s="1343" t="s">
        <v>2555</v>
      </c>
      <c r="AX291" s="1344" t="str">
        <f t="shared" si="174"/>
        <v>DE_007.2500000000</v>
      </c>
      <c r="AY291" s="1345">
        <f>[1]!DE_R17</f>
        <v>7.25</v>
      </c>
      <c r="AZ291" s="1345">
        <f>[1]!DE_ARM05_P17+Input_PL_Incentive_DE</f>
        <v>101.4375</v>
      </c>
      <c r="BA291" s="1345">
        <f>[1]!DE_FRM30_P17+Input_PL_Incentive_DE</f>
        <v>101.4375</v>
      </c>
      <c r="BB291" s="1344">
        <f t="shared" si="173"/>
        <v>101.4375</v>
      </c>
      <c r="BC291" s="1344" t="str">
        <f t="shared" si="175"/>
        <v>DE_101.4375000000</v>
      </c>
      <c r="BD291" s="1344"/>
      <c r="BE291" s="1346" t="s">
        <v>2572</v>
      </c>
    </row>
    <row r="292" spans="48:57" ht="9.6" customHeight="1" x14ac:dyDescent="0.2">
      <c r="AV292" s="1342" t="s">
        <v>374</v>
      </c>
      <c r="AW292" s="1343" t="s">
        <v>2555</v>
      </c>
      <c r="AX292" s="1344" t="str">
        <f t="shared" si="174"/>
        <v>DE_007.1250000000</v>
      </c>
      <c r="AY292" s="1345">
        <f>[1]!DE_R18</f>
        <v>7.125</v>
      </c>
      <c r="AZ292" s="1345">
        <f>[1]!DE_ARM05_P18+Input_PL_Incentive_DE</f>
        <v>100.9375</v>
      </c>
      <c r="BA292" s="1345">
        <f>[1]!DE_FRM30_P18+Input_PL_Incentive_DE</f>
        <v>100.9375</v>
      </c>
      <c r="BB292" s="1344">
        <f t="shared" si="173"/>
        <v>100.9375</v>
      </c>
      <c r="BC292" s="1344" t="str">
        <f t="shared" si="175"/>
        <v>DE_100.9375000000</v>
      </c>
      <c r="BD292" s="1344"/>
      <c r="BE292" s="1346" t="s">
        <v>2573</v>
      </c>
    </row>
    <row r="293" spans="48:57" ht="9.6" customHeight="1" x14ac:dyDescent="0.2">
      <c r="AV293" s="1342" t="s">
        <v>374</v>
      </c>
      <c r="AW293" s="1343" t="s">
        <v>2555</v>
      </c>
      <c r="AX293" s="1344" t="str">
        <f t="shared" si="174"/>
        <v>DE_006.9900000000</v>
      </c>
      <c r="AY293" s="1345">
        <f>[1]!DE_R19</f>
        <v>6.99</v>
      </c>
      <c r="AZ293" s="1345">
        <f>[1]!DE_ARM05_P19+Input_PL_Incentive_DE</f>
        <v>100.4375</v>
      </c>
      <c r="BA293" s="1345">
        <f>[1]!DE_FRM30_P19+Input_PL_Incentive_DE</f>
        <v>100.4375</v>
      </c>
      <c r="BB293" s="1344">
        <f t="shared" si="173"/>
        <v>100.4375</v>
      </c>
      <c r="BC293" s="1344" t="str">
        <f t="shared" si="175"/>
        <v>DE_100.4375000000</v>
      </c>
      <c r="BD293" s="1344"/>
      <c r="BE293" s="1346" t="s">
        <v>2574</v>
      </c>
    </row>
    <row r="294" spans="48:57" ht="9.6" customHeight="1" x14ac:dyDescent="0.2">
      <c r="AV294" s="1342" t="s">
        <v>374</v>
      </c>
      <c r="AW294" s="1343" t="s">
        <v>2555</v>
      </c>
      <c r="AX294" s="1344" t="str">
        <f t="shared" si="174"/>
        <v>DE_006.8750000000</v>
      </c>
      <c r="AY294" s="1345">
        <f>[1]!DE_R20</f>
        <v>6.875</v>
      </c>
      <c r="AZ294" s="1345">
        <f>[1]!DE_ARM05_P20+Input_PL_Incentive_DE</f>
        <v>99.875</v>
      </c>
      <c r="BA294" s="1345">
        <f>[1]!DE_FRM30_P20+Input_PL_Incentive_DE</f>
        <v>99.875</v>
      </c>
      <c r="BB294" s="1344">
        <f t="shared" si="173"/>
        <v>99.875</v>
      </c>
      <c r="BC294" s="1344" t="str">
        <f t="shared" si="175"/>
        <v>DE_099.8750000000</v>
      </c>
      <c r="BD294" s="1344"/>
      <c r="BE294" s="1346" t="s">
        <v>2575</v>
      </c>
    </row>
    <row r="295" spans="48:57" ht="9.6" customHeight="1" x14ac:dyDescent="0.2">
      <c r="AV295" s="1342" t="s">
        <v>374</v>
      </c>
      <c r="AW295" s="1343" t="s">
        <v>2555</v>
      </c>
      <c r="AX295" s="1344" t="str">
        <f t="shared" si="174"/>
        <v>DE_006.7500000000</v>
      </c>
      <c r="AY295" s="1345">
        <f>[1]!DE_R21</f>
        <v>6.75</v>
      </c>
      <c r="AZ295" s="1345">
        <f>[1]!DE_ARM05_P21+Input_PL_Incentive_DE</f>
        <v>99.3125</v>
      </c>
      <c r="BA295" s="1345">
        <f>[1]!DE_FRM30_P21+Input_PL_Incentive_DE</f>
        <v>99.3125</v>
      </c>
      <c r="BB295" s="1344">
        <f t="shared" si="173"/>
        <v>99.3125</v>
      </c>
      <c r="BC295" s="1344" t="str">
        <f t="shared" si="175"/>
        <v>DE_099.3125000000</v>
      </c>
      <c r="BD295" s="1344"/>
      <c r="BE295" s="1346" t="s">
        <v>2576</v>
      </c>
    </row>
    <row r="296" spans="48:57" ht="9.6" customHeight="1" x14ac:dyDescent="0.2">
      <c r="AV296" s="1342" t="s">
        <v>374</v>
      </c>
      <c r="AW296" s="1343" t="s">
        <v>2555</v>
      </c>
      <c r="AX296" s="1344" t="str">
        <f t="shared" si="174"/>
        <v>DE_006.6250000000</v>
      </c>
      <c r="AY296" s="1345">
        <f>[1]!DE_R22</f>
        <v>6.625</v>
      </c>
      <c r="AZ296" s="1345">
        <f>[1]!DE_ARM05_P22+Input_PL_Incentive_DE</f>
        <v>98.6875</v>
      </c>
      <c r="BA296" s="1345">
        <f>[1]!DE_FRM30_P22+Input_PL_Incentive_DE</f>
        <v>98.6875</v>
      </c>
      <c r="BB296" s="1344">
        <f t="shared" si="173"/>
        <v>98.6875</v>
      </c>
      <c r="BC296" s="1344" t="str">
        <f t="shared" si="175"/>
        <v>DE_098.6875000000</v>
      </c>
      <c r="BD296" s="1344"/>
      <c r="BE296" s="1346" t="s">
        <v>2577</v>
      </c>
    </row>
    <row r="297" spans="48:57" ht="9.6" customHeight="1" x14ac:dyDescent="0.2">
      <c r="AV297" s="1342" t="s">
        <v>374</v>
      </c>
      <c r="AW297" s="1343" t="s">
        <v>2555</v>
      </c>
      <c r="AX297" s="1344" t="str">
        <f>"DE_"&amp;RIGHT("000"&amp;TRUNC(Lookup_NoteRate),3)&amp;TEXT(Lookup_NoteRate-TRUNC(Lookup_NoteRate),".0000000000")</f>
        <v>DE_006.4900000000</v>
      </c>
      <c r="AY297" s="1345">
        <f>[1]!DE_R23</f>
        <v>6.49</v>
      </c>
      <c r="AZ297" s="1345">
        <f>[1]!DE_ARM05_P23+Input_PL_Incentive_DE</f>
        <v>98.0625</v>
      </c>
      <c r="BA297" s="1345">
        <f>[1]!DE_FRM30_P23+Input_PL_Incentive_DE</f>
        <v>98.0625</v>
      </c>
      <c r="BB297" s="1344">
        <f>IF(INDEX(List_AmortTermAll,MATCH(Input_AmortTerm,List_AmortTerm,0),3)=1,AZ297,IF(INDEX(List_AmortTermAll,MATCH(Input_AmortTerm,List_AmortTerm,0),3)=2,BA297,#N/A))</f>
        <v>98.0625</v>
      </c>
      <c r="BC297" s="1344" t="str">
        <f>"DE_"&amp;RIGHT("000"&amp;TRUNC(Lookup_PriceText),3)&amp;TEXT(Lookup_PriceText-TRUNC(Lookup_PriceText),".0000000000")</f>
        <v>DE_098.0625000000</v>
      </c>
      <c r="BD297" s="1344"/>
      <c r="BE297" s="1346" t="s">
        <v>2578</v>
      </c>
    </row>
    <row r="298" spans="48:57" ht="9.6" customHeight="1" x14ac:dyDescent="0.2">
      <c r="AV298" s="1698" t="s">
        <v>2735</v>
      </c>
      <c r="AW298" s="1699" t="s">
        <v>3049</v>
      </c>
      <c r="AX298" s="1248" t="str">
        <f t="shared" ref="AX298:AX323" si="176">"XP_"&amp;RIGHT("000"&amp;TRUNC(Lookup_NoteRate),3)&amp;TEXT(Lookup_NoteRate-TRUNC(Lookup_NoteRate),".0000000000")</f>
        <v>XP_009.7500000000</v>
      </c>
      <c r="AY298" s="1702">
        <f>[1]!XP_R01</f>
        <v>9.75</v>
      </c>
      <c r="AZ298" s="1250">
        <f>[1]!XP_ARM05_P01+Input_PL_Incentive_XP</f>
        <v>106.181</v>
      </c>
      <c r="BA298" s="1250">
        <f>[1]!XP_FRM30_P01+Input_PL_Incentive_XP</f>
        <v>106.331</v>
      </c>
      <c r="BB298" s="1248">
        <f t="shared" ref="BB298:BB323" si="177">IF(INDEX(List_AmortTermAll,MATCH(Input_AmortTerm,List_AmortTerm,0),3)=1,AZ298,IF(INDEX(List_AmortTermAll,MATCH(Input_AmortTerm,List_AmortTerm,0),3)=2,BA298,#N/A))</f>
        <v>106.331</v>
      </c>
      <c r="BC298" s="1248" t="str">
        <f t="shared" ref="BC298:BC323" si="178">"XP_"&amp;RIGHT("000"&amp;TRUNC(Lookup_PriceText),3)&amp;TEXT(Lookup_PriceText-TRUNC(Lookup_PriceText),".0000000000")</f>
        <v>XP_106.3310000000</v>
      </c>
      <c r="BD298" s="1248"/>
      <c r="BE298" s="1704" t="s">
        <v>3063</v>
      </c>
    </row>
    <row r="299" spans="48:57" ht="9.6" customHeight="1" x14ac:dyDescent="0.2">
      <c r="AV299" s="1700" t="s">
        <v>2735</v>
      </c>
      <c r="AW299" s="1701" t="s">
        <v>3049</v>
      </c>
      <c r="AX299" s="1234" t="str">
        <f t="shared" si="176"/>
        <v>XP_009.6250000000</v>
      </c>
      <c r="AY299" s="1703">
        <f>[1]!XP_R02</f>
        <v>9.625</v>
      </c>
      <c r="AZ299" s="1236">
        <f>[1]!XP_ARM05_P03+Input_PL_Incentive_XP</f>
        <v>105.931</v>
      </c>
      <c r="BA299" s="1236">
        <f>[1]!XP_FRM30_P02+Input_PL_Incentive_XP</f>
        <v>106.206</v>
      </c>
      <c r="BB299" s="1234">
        <f t="shared" si="177"/>
        <v>106.206</v>
      </c>
      <c r="BC299" s="1234" t="str">
        <f t="shared" si="178"/>
        <v>XP_106.2060000000</v>
      </c>
      <c r="BD299" s="1234"/>
      <c r="BE299" s="1705" t="s">
        <v>3064</v>
      </c>
    </row>
    <row r="300" spans="48:57" ht="9.6" customHeight="1" x14ac:dyDescent="0.2">
      <c r="AV300" s="1700" t="s">
        <v>2735</v>
      </c>
      <c r="AW300" s="1701" t="s">
        <v>3049</v>
      </c>
      <c r="AX300" s="1234" t="str">
        <f t="shared" si="176"/>
        <v>XP_009.5000000000</v>
      </c>
      <c r="AY300" s="1703">
        <f>[1]!XP_R03</f>
        <v>9.5</v>
      </c>
      <c r="AZ300" s="1236">
        <f>[1]!XP_ARM05_P03+Input_PL_Incentive_XP</f>
        <v>105.931</v>
      </c>
      <c r="BA300" s="1236">
        <f>[1]!XP_FRM30_P03+Input_PL_Incentive_XP</f>
        <v>106.081</v>
      </c>
      <c r="BB300" s="1234">
        <f t="shared" si="177"/>
        <v>106.081</v>
      </c>
      <c r="BC300" s="1234" t="str">
        <f t="shared" si="178"/>
        <v>XP_106.0810000000</v>
      </c>
      <c r="BD300" s="1234"/>
      <c r="BE300" s="1705" t="s">
        <v>3065</v>
      </c>
    </row>
    <row r="301" spans="48:57" ht="9.6" customHeight="1" x14ac:dyDescent="0.2">
      <c r="AV301" s="1700" t="s">
        <v>2735</v>
      </c>
      <c r="AW301" s="1701" t="s">
        <v>3049</v>
      </c>
      <c r="AX301" s="1234" t="str">
        <f t="shared" si="176"/>
        <v>XP_009.3750000000</v>
      </c>
      <c r="AY301" s="1703">
        <f>[1]!XP_R04</f>
        <v>9.375</v>
      </c>
      <c r="AZ301" s="1236">
        <f>[1]!XP_ARM05_P04+Input_PL_Incentive_XP</f>
        <v>105.74299999999999</v>
      </c>
      <c r="BA301" s="1236">
        <f>[1]!XP_FRM30_P04+Input_PL_Incentive_XP</f>
        <v>105.893</v>
      </c>
      <c r="BB301" s="1234">
        <f t="shared" si="177"/>
        <v>105.893</v>
      </c>
      <c r="BC301" s="1234" t="str">
        <f t="shared" si="178"/>
        <v>XP_105.8930000000</v>
      </c>
      <c r="BD301" s="1234"/>
      <c r="BE301" s="1705" t="s">
        <v>3066</v>
      </c>
    </row>
    <row r="302" spans="48:57" ht="9.6" customHeight="1" x14ac:dyDescent="0.2">
      <c r="AV302" s="1700" t="s">
        <v>2735</v>
      </c>
      <c r="AW302" s="1701" t="s">
        <v>3049</v>
      </c>
      <c r="AX302" s="1234" t="str">
        <f t="shared" si="176"/>
        <v>XP_009.2500000000</v>
      </c>
      <c r="AY302" s="1703">
        <f>[1]!XP_R05</f>
        <v>9.25</v>
      </c>
      <c r="AZ302" s="1236">
        <f>[1]!XP_ARM05_P05+Input_PL_Incentive_XP</f>
        <v>105.556</v>
      </c>
      <c r="BA302" s="1236">
        <f>[1]!XP_FRM30_P05+Input_PL_Incentive_XP</f>
        <v>105.706</v>
      </c>
      <c r="BB302" s="1234">
        <f t="shared" si="177"/>
        <v>105.706</v>
      </c>
      <c r="BC302" s="1234" t="str">
        <f t="shared" si="178"/>
        <v>XP_105.7060000000</v>
      </c>
      <c r="BD302" s="1234"/>
      <c r="BE302" s="1705" t="s">
        <v>3067</v>
      </c>
    </row>
    <row r="303" spans="48:57" ht="9.6" customHeight="1" x14ac:dyDescent="0.2">
      <c r="AV303" s="1700" t="s">
        <v>2735</v>
      </c>
      <c r="AW303" s="1701" t="s">
        <v>3049</v>
      </c>
      <c r="AX303" s="1234" t="str">
        <f t="shared" si="176"/>
        <v>XP_009.1250000000</v>
      </c>
      <c r="AY303" s="1703">
        <f>[1]!XP_R06</f>
        <v>9.125</v>
      </c>
      <c r="AZ303" s="1236">
        <f>[1]!XP_ARM05_P06+Input_PL_Incentive_XP</f>
        <v>105.36799999999999</v>
      </c>
      <c r="BA303" s="1236">
        <f>[1]!XP_FRM30_P06+Input_PL_Incentive_XP</f>
        <v>105.518</v>
      </c>
      <c r="BB303" s="1234">
        <f t="shared" si="177"/>
        <v>105.518</v>
      </c>
      <c r="BC303" s="1234" t="str">
        <f t="shared" si="178"/>
        <v>XP_105.5180000000</v>
      </c>
      <c r="BD303" s="1234"/>
      <c r="BE303" s="1705" t="s">
        <v>3068</v>
      </c>
    </row>
    <row r="304" spans="48:57" ht="9.6" customHeight="1" x14ac:dyDescent="0.2">
      <c r="AV304" s="1700" t="s">
        <v>2735</v>
      </c>
      <c r="AW304" s="1701" t="s">
        <v>3049</v>
      </c>
      <c r="AX304" s="1234" t="str">
        <f t="shared" si="176"/>
        <v>XP_009.0000000000</v>
      </c>
      <c r="AY304" s="1703">
        <f>[1]!XP_R07</f>
        <v>9</v>
      </c>
      <c r="AZ304" s="1236">
        <f>[1]!XP_ARM05_P07+Input_PL_Incentive_XP</f>
        <v>105.181</v>
      </c>
      <c r="BA304" s="1236">
        <f>[1]!XP_FRM30_P07+Input_PL_Incentive_XP</f>
        <v>105.331</v>
      </c>
      <c r="BB304" s="1234">
        <f t="shared" si="177"/>
        <v>105.331</v>
      </c>
      <c r="BC304" s="1234" t="str">
        <f t="shared" si="178"/>
        <v>XP_105.3310000000</v>
      </c>
      <c r="BD304" s="1234"/>
      <c r="BE304" s="1705" t="s">
        <v>3069</v>
      </c>
    </row>
    <row r="305" spans="24:57" ht="9.6" customHeight="1" x14ac:dyDescent="0.2">
      <c r="AV305" s="1700" t="s">
        <v>2735</v>
      </c>
      <c r="AW305" s="1701" t="s">
        <v>3049</v>
      </c>
      <c r="AX305" s="1234" t="str">
        <f t="shared" si="176"/>
        <v>XP_008.8750000000</v>
      </c>
      <c r="AY305" s="1703">
        <f>[1]!XP_R08</f>
        <v>8.875</v>
      </c>
      <c r="AZ305" s="1236">
        <f>[1]!XP_ARM05_P08+Input_PL_Incentive_XP</f>
        <v>104.931</v>
      </c>
      <c r="BA305" s="1236">
        <f>[1]!XP_FRM30_P08+Input_PL_Incentive_XP</f>
        <v>105.081</v>
      </c>
      <c r="BB305" s="1234">
        <f t="shared" si="177"/>
        <v>105.081</v>
      </c>
      <c r="BC305" s="1234" t="str">
        <f t="shared" si="178"/>
        <v>XP_105.0810000000</v>
      </c>
      <c r="BD305" s="1234"/>
      <c r="BE305" s="1705" t="s">
        <v>3070</v>
      </c>
    </row>
    <row r="306" spans="24:57" ht="9.6" customHeight="1" x14ac:dyDescent="0.2">
      <c r="AV306" s="1700" t="s">
        <v>2735</v>
      </c>
      <c r="AW306" s="1701" t="s">
        <v>3049</v>
      </c>
      <c r="AX306" s="1234" t="str">
        <f t="shared" si="176"/>
        <v>XP_008.7500000000</v>
      </c>
      <c r="AY306" s="1703">
        <f>[1]!XP_R09</f>
        <v>8.75</v>
      </c>
      <c r="AZ306" s="1236">
        <f>[1]!XP_ARM05_P09+Input_PL_Incentive_XP</f>
        <v>104.681</v>
      </c>
      <c r="BA306" s="1236">
        <f>[1]!XP_FRM30_P09+Input_PL_Incentive_XP</f>
        <v>104.831</v>
      </c>
      <c r="BB306" s="1234">
        <f t="shared" si="177"/>
        <v>104.831</v>
      </c>
      <c r="BC306" s="1234" t="str">
        <f t="shared" si="178"/>
        <v>XP_104.8310000000</v>
      </c>
      <c r="BD306" s="1234"/>
      <c r="BE306" s="1705" t="s">
        <v>3071</v>
      </c>
    </row>
    <row r="307" spans="24:57" ht="9.6" customHeight="1" x14ac:dyDescent="0.2">
      <c r="AV307" s="1700" t="s">
        <v>2735</v>
      </c>
      <c r="AW307" s="1701" t="s">
        <v>3049</v>
      </c>
      <c r="AX307" s="1234" t="str">
        <f t="shared" si="176"/>
        <v>XP_008.6250000000</v>
      </c>
      <c r="AY307" s="1703">
        <f>[1]!XP_R10</f>
        <v>8.625</v>
      </c>
      <c r="AZ307" s="1236">
        <f>[1]!XP_ARM05_P10+Input_PL_Incentive_XP</f>
        <v>104.431</v>
      </c>
      <c r="BA307" s="1236">
        <f>[1]!XP_FRM30_P10+Input_PL_Incentive_XP</f>
        <v>104.581</v>
      </c>
      <c r="BB307" s="1234">
        <f t="shared" si="177"/>
        <v>104.581</v>
      </c>
      <c r="BC307" s="1234" t="str">
        <f t="shared" si="178"/>
        <v>XP_104.5810000000</v>
      </c>
      <c r="BD307" s="1234"/>
      <c r="BE307" s="1705" t="s">
        <v>3072</v>
      </c>
    </row>
    <row r="308" spans="24:57" ht="9.6" customHeight="1" x14ac:dyDescent="0.2">
      <c r="AV308" s="1700" t="s">
        <v>2735</v>
      </c>
      <c r="AW308" s="1701" t="s">
        <v>3049</v>
      </c>
      <c r="AX308" s="1234" t="str">
        <f t="shared" si="176"/>
        <v>XP_008.5000000000</v>
      </c>
      <c r="AY308" s="1703">
        <f>[1]!XP_R11</f>
        <v>8.5</v>
      </c>
      <c r="AZ308" s="1236">
        <f>[1]!XP_ARM05_P11+Input_PL_Incentive_XP</f>
        <v>104.181</v>
      </c>
      <c r="BA308" s="1236">
        <f>[1]!XP_FRM30_P11+Input_PL_Incentive_XP</f>
        <v>104.331</v>
      </c>
      <c r="BB308" s="1234">
        <f t="shared" si="177"/>
        <v>104.331</v>
      </c>
      <c r="BC308" s="1234" t="str">
        <f t="shared" si="178"/>
        <v>XP_104.3310000000</v>
      </c>
      <c r="BD308" s="1234"/>
      <c r="BE308" s="1705" t="s">
        <v>3073</v>
      </c>
    </row>
    <row r="309" spans="24:57" ht="9.6" customHeight="1" x14ac:dyDescent="0.2">
      <c r="AV309" s="1700" t="s">
        <v>2735</v>
      </c>
      <c r="AW309" s="1701" t="s">
        <v>3049</v>
      </c>
      <c r="AX309" s="1234" t="str">
        <f t="shared" si="176"/>
        <v>XP_008.3750000000</v>
      </c>
      <c r="AY309" s="1703">
        <f>[1]!XP_R12</f>
        <v>8.375</v>
      </c>
      <c r="AZ309" s="1236">
        <f>[1]!XP_ARM05_P12+Input_PL_Incentive_XP</f>
        <v>103.931</v>
      </c>
      <c r="BA309" s="1236">
        <f>[1]!XP_FRM30_P12+Input_PL_Incentive_XP</f>
        <v>104.081</v>
      </c>
      <c r="BB309" s="1234">
        <f t="shared" si="177"/>
        <v>104.081</v>
      </c>
      <c r="BC309" s="1234" t="str">
        <f t="shared" si="178"/>
        <v>XP_104.0810000000</v>
      </c>
      <c r="BD309" s="1234"/>
      <c r="BE309" s="1705" t="s">
        <v>3074</v>
      </c>
    </row>
    <row r="310" spans="24:57" ht="9.6" customHeight="1" x14ac:dyDescent="0.2">
      <c r="AV310" s="1700" t="s">
        <v>2735</v>
      </c>
      <c r="AW310" s="1701" t="s">
        <v>3049</v>
      </c>
      <c r="AX310" s="1234" t="str">
        <f t="shared" si="176"/>
        <v>XP_008.2500000000</v>
      </c>
      <c r="AY310" s="1703">
        <f>[1]!XP_R13</f>
        <v>8.25</v>
      </c>
      <c r="AZ310" s="1236">
        <f>[1]!XP_ARM05_P13+Input_PL_Incentive_XP</f>
        <v>103.681</v>
      </c>
      <c r="BA310" s="1236">
        <f>[1]!XP_FRM30_P13+Input_PL_Incentive_XP</f>
        <v>103.831</v>
      </c>
      <c r="BB310" s="1234">
        <f t="shared" si="177"/>
        <v>103.831</v>
      </c>
      <c r="BC310" s="1234" t="str">
        <f t="shared" si="178"/>
        <v>XP_103.8310000000</v>
      </c>
      <c r="BD310" s="1234"/>
      <c r="BE310" s="1705" t="s">
        <v>3075</v>
      </c>
    </row>
    <row r="311" spans="24:57" ht="9.6" customHeight="1" x14ac:dyDescent="0.2">
      <c r="AV311" s="1700" t="s">
        <v>2735</v>
      </c>
      <c r="AW311" s="1701" t="s">
        <v>3049</v>
      </c>
      <c r="AX311" s="1234" t="str">
        <f t="shared" si="176"/>
        <v>XP_008.1250000000</v>
      </c>
      <c r="AY311" s="1703">
        <f>[1]!XP_R14</f>
        <v>8.125</v>
      </c>
      <c r="AZ311" s="1236">
        <f>[1]!XP_ARM05_P14+Input_PL_Incentive_XP</f>
        <v>103.431</v>
      </c>
      <c r="BA311" s="1236">
        <f>[1]!XP_FRM30_P14+Input_PL_Incentive_XP</f>
        <v>103.581</v>
      </c>
      <c r="BB311" s="1234">
        <f t="shared" si="177"/>
        <v>103.581</v>
      </c>
      <c r="BC311" s="1234" t="str">
        <f t="shared" si="178"/>
        <v>XP_103.5810000000</v>
      </c>
      <c r="BD311" s="1234"/>
      <c r="BE311" s="1705" t="s">
        <v>3076</v>
      </c>
    </row>
    <row r="312" spans="24:57" ht="9.6" customHeight="1" x14ac:dyDescent="0.2">
      <c r="AV312" s="1700" t="s">
        <v>2735</v>
      </c>
      <c r="AW312" s="1701" t="s">
        <v>3049</v>
      </c>
      <c r="AX312" s="1234" t="str">
        <f t="shared" si="176"/>
        <v>XP_008.0000000000</v>
      </c>
      <c r="AY312" s="1703">
        <f>[1]!XP_R15</f>
        <v>8</v>
      </c>
      <c r="AZ312" s="1236">
        <f>[1]!XP_ARM05_P15+Input_PL_Incentive_XP</f>
        <v>103.181</v>
      </c>
      <c r="BA312" s="1236">
        <f>[1]!XP_FRM30_P15+Input_PL_Incentive_XP</f>
        <v>103.331</v>
      </c>
      <c r="BB312" s="1234">
        <f t="shared" si="177"/>
        <v>103.331</v>
      </c>
      <c r="BC312" s="1234" t="str">
        <f t="shared" si="178"/>
        <v>XP_103.3310000000</v>
      </c>
      <c r="BD312" s="1234"/>
      <c r="BE312" s="1705" t="s">
        <v>3077</v>
      </c>
    </row>
    <row r="313" spans="24:57" ht="9.6" customHeight="1" x14ac:dyDescent="0.2">
      <c r="X313" s="515"/>
      <c r="Y313" s="515"/>
      <c r="Z313" s="515"/>
      <c r="AA313" s="515"/>
      <c r="AV313" s="1700" t="s">
        <v>2735</v>
      </c>
      <c r="AW313" s="1701" t="s">
        <v>3049</v>
      </c>
      <c r="AX313" s="1234" t="str">
        <f t="shared" si="176"/>
        <v>XP_007.8750000000</v>
      </c>
      <c r="AY313" s="1703">
        <f>[1]!XP_R16</f>
        <v>7.875</v>
      </c>
      <c r="AZ313" s="1236">
        <f>[1]!XP_ARM05_P16+Input_PL_Incentive_XP</f>
        <v>102.86799999999999</v>
      </c>
      <c r="BA313" s="1236">
        <f>[1]!XP_FRM30_P16+Input_PL_Incentive_XP</f>
        <v>103.018</v>
      </c>
      <c r="BB313" s="1234">
        <f t="shared" si="177"/>
        <v>103.018</v>
      </c>
      <c r="BC313" s="1234" t="str">
        <f t="shared" si="178"/>
        <v>XP_103.0180000000</v>
      </c>
      <c r="BD313" s="1234"/>
      <c r="BE313" s="1705" t="s">
        <v>3078</v>
      </c>
    </row>
    <row r="314" spans="24:57" ht="9.6" customHeight="1" x14ac:dyDescent="0.2">
      <c r="X314" s="515"/>
      <c r="Y314" s="515"/>
      <c r="Z314" s="515"/>
      <c r="AA314" s="515"/>
      <c r="AV314" s="1700" t="s">
        <v>2735</v>
      </c>
      <c r="AW314" s="1701" t="s">
        <v>3049</v>
      </c>
      <c r="AX314" s="1234" t="str">
        <f t="shared" si="176"/>
        <v>XP_007.7500000000</v>
      </c>
      <c r="AY314" s="1703">
        <f>[1]!XP_R17</f>
        <v>7.75</v>
      </c>
      <c r="AZ314" s="1236">
        <f>[1]!XP_ARM05_P17+Input_PL_Incentive_XP</f>
        <v>102.524</v>
      </c>
      <c r="BA314" s="1236">
        <f>[1]!XP_FRM30_P17+Input_PL_Incentive_XP</f>
        <v>102.67400000000001</v>
      </c>
      <c r="BB314" s="1234">
        <f t="shared" si="177"/>
        <v>102.67400000000001</v>
      </c>
      <c r="BC314" s="1234" t="str">
        <f t="shared" si="178"/>
        <v>XP_102.6740000000</v>
      </c>
      <c r="BD314" s="1234"/>
      <c r="BE314" s="1705" t="s">
        <v>3079</v>
      </c>
    </row>
    <row r="315" spans="24:57" ht="9.6" customHeight="1" x14ac:dyDescent="0.2">
      <c r="X315" s="515"/>
      <c r="Y315" s="515"/>
      <c r="Z315" s="515"/>
      <c r="AA315" s="515"/>
      <c r="AV315" s="1700" t="s">
        <v>2735</v>
      </c>
      <c r="AW315" s="1701" t="s">
        <v>3049</v>
      </c>
      <c r="AX315" s="1234" t="str">
        <f t="shared" si="176"/>
        <v>XP_007.6250000000</v>
      </c>
      <c r="AY315" s="1703">
        <f>[1]!XP_R18</f>
        <v>7.625</v>
      </c>
      <c r="AZ315" s="1236">
        <f>[1]!XP_ARM05_P18+Input_PL_Incentive_XP</f>
        <v>102.181</v>
      </c>
      <c r="BA315" s="1236">
        <f>[1]!XP_FRM30_P18+Input_PL_Incentive_XP</f>
        <v>102.331</v>
      </c>
      <c r="BB315" s="1234">
        <f t="shared" si="177"/>
        <v>102.331</v>
      </c>
      <c r="BC315" s="1234" t="str">
        <f t="shared" si="178"/>
        <v>XP_102.3310000000</v>
      </c>
      <c r="BD315" s="1234"/>
      <c r="BE315" s="1705" t="s">
        <v>3080</v>
      </c>
    </row>
    <row r="316" spans="24:57" ht="9.6" customHeight="1" x14ac:dyDescent="0.2">
      <c r="X316" s="515"/>
      <c r="Y316" s="515"/>
      <c r="Z316" s="515"/>
      <c r="AA316" s="515"/>
      <c r="AV316" s="1700" t="s">
        <v>2735</v>
      </c>
      <c r="AW316" s="1701" t="s">
        <v>3049</v>
      </c>
      <c r="AX316" s="1234" t="str">
        <f t="shared" si="176"/>
        <v>XP_007.5000000000</v>
      </c>
      <c r="AY316" s="1703">
        <f>[1]!XP_R19</f>
        <v>7.5</v>
      </c>
      <c r="AZ316" s="1236">
        <f>[1]!XP_ARM05_P19+Input_PL_Incentive_XP</f>
        <v>101.83799999999999</v>
      </c>
      <c r="BA316" s="1236">
        <f>[1]!XP_FRM30_P19+Input_PL_Incentive_XP</f>
        <v>101.988</v>
      </c>
      <c r="BB316" s="1234">
        <f t="shared" si="177"/>
        <v>101.988</v>
      </c>
      <c r="BC316" s="1234" t="str">
        <f t="shared" si="178"/>
        <v>XP_101.9880000000</v>
      </c>
      <c r="BD316" s="1234"/>
      <c r="BE316" s="1705" t="s">
        <v>3081</v>
      </c>
    </row>
    <row r="317" spans="24:57" ht="9.6" customHeight="1" x14ac:dyDescent="0.2">
      <c r="X317" s="515"/>
      <c r="Y317" s="515"/>
      <c r="Z317" s="515"/>
      <c r="AA317" s="515"/>
      <c r="AV317" s="1700" t="s">
        <v>2735</v>
      </c>
      <c r="AW317" s="1701" t="s">
        <v>3049</v>
      </c>
      <c r="AX317" s="1234" t="str">
        <f t="shared" si="176"/>
        <v>XP_007.3750000000</v>
      </c>
      <c r="AY317" s="1703">
        <f>[1]!XP_R20</f>
        <v>7.375</v>
      </c>
      <c r="AZ317" s="1236">
        <f>[1]!XP_ARM05_P20+Input_PL_Incentive_XP</f>
        <v>101.46299999999999</v>
      </c>
      <c r="BA317" s="1236">
        <f>[1]!XP_FRM30_P20+Input_PL_Incentive_XP</f>
        <v>101.613</v>
      </c>
      <c r="BB317" s="1234">
        <f t="shared" si="177"/>
        <v>101.613</v>
      </c>
      <c r="BC317" s="1234" t="str">
        <f t="shared" si="178"/>
        <v>XP_101.6130000000</v>
      </c>
      <c r="BD317" s="1234"/>
      <c r="BE317" s="1705" t="s">
        <v>3082</v>
      </c>
    </row>
    <row r="318" spans="24:57" ht="9.6" customHeight="1" x14ac:dyDescent="0.2">
      <c r="X318" s="515"/>
      <c r="Y318" s="515"/>
      <c r="Z318" s="515"/>
      <c r="AA318" s="515"/>
      <c r="AV318" s="1700" t="s">
        <v>2735</v>
      </c>
      <c r="AW318" s="1701" t="s">
        <v>3049</v>
      </c>
      <c r="AX318" s="1234" t="str">
        <f t="shared" si="176"/>
        <v>XP_007.2500000000</v>
      </c>
      <c r="AY318" s="1703">
        <f>[1]!XP_R21</f>
        <v>7.25</v>
      </c>
      <c r="AZ318" s="1236">
        <f>[1]!XP_ARM05_P21+Input_PL_Incentive_XP</f>
        <v>101.057</v>
      </c>
      <c r="BA318" s="1236">
        <f>[1]!XP_FRM30_P21+Input_PL_Incentive_XP</f>
        <v>101.20699999999999</v>
      </c>
      <c r="BB318" s="1234">
        <f t="shared" si="177"/>
        <v>101.20699999999999</v>
      </c>
      <c r="BC318" s="1234" t="str">
        <f t="shared" si="178"/>
        <v>XP_101.2070000000</v>
      </c>
      <c r="BD318" s="1234"/>
      <c r="BE318" s="1705" t="s">
        <v>3083</v>
      </c>
    </row>
    <row r="319" spans="24:57" ht="9.6" customHeight="1" x14ac:dyDescent="0.2">
      <c r="X319" s="515"/>
      <c r="Y319" s="515"/>
      <c r="Z319" s="515"/>
      <c r="AA319" s="515"/>
      <c r="AV319" s="1700" t="s">
        <v>2735</v>
      </c>
      <c r="AW319" s="1701" t="s">
        <v>3049</v>
      </c>
      <c r="AX319" s="1234" t="str">
        <f t="shared" si="176"/>
        <v>XP_007.1250000000</v>
      </c>
      <c r="AY319" s="1703">
        <f>[1]!XP_R22</f>
        <v>7.125</v>
      </c>
      <c r="AZ319" s="1236">
        <f>[1]!XP_ARM05_P22+Input_PL_Incentive_XP</f>
        <v>100.619</v>
      </c>
      <c r="BA319" s="1236">
        <f>[1]!XP_FRM30_P22+Input_PL_Incentive_XP</f>
        <v>100.76900000000001</v>
      </c>
      <c r="BB319" s="1234">
        <f t="shared" si="177"/>
        <v>100.76900000000001</v>
      </c>
      <c r="BC319" s="1234" t="str">
        <f t="shared" si="178"/>
        <v>XP_100.7690000000</v>
      </c>
      <c r="BD319" s="1234"/>
      <c r="BE319" s="1705" t="s">
        <v>3084</v>
      </c>
    </row>
    <row r="320" spans="24:57" ht="9.6" customHeight="1" x14ac:dyDescent="0.2">
      <c r="X320" s="515"/>
      <c r="Y320" s="515"/>
      <c r="Z320" s="515"/>
      <c r="AA320" s="515"/>
      <c r="AV320" s="1700" t="s">
        <v>2735</v>
      </c>
      <c r="AW320" s="1701" t="s">
        <v>3049</v>
      </c>
      <c r="AX320" s="1234" t="str">
        <f t="shared" si="176"/>
        <v>XP_007.0000000000</v>
      </c>
      <c r="AY320" s="1703">
        <f>[1]!XP_R23</f>
        <v>7</v>
      </c>
      <c r="AZ320" s="1236">
        <f>[1]!XP_ARM05_P23+Input_PL_Incentive_XP</f>
        <v>100.151</v>
      </c>
      <c r="BA320" s="1236">
        <f>[1]!XP_FRM30_P23+Input_PL_Incentive_XP</f>
        <v>100.301</v>
      </c>
      <c r="BB320" s="1234">
        <f t="shared" si="177"/>
        <v>100.301</v>
      </c>
      <c r="BC320" s="1234" t="str">
        <f t="shared" si="178"/>
        <v>XP_100.3010000000</v>
      </c>
      <c r="BD320" s="1234"/>
      <c r="BE320" s="1705" t="s">
        <v>3085</v>
      </c>
    </row>
    <row r="321" spans="24:57" ht="9.6" customHeight="1" x14ac:dyDescent="0.2">
      <c r="X321" s="515"/>
      <c r="Y321" s="515"/>
      <c r="Z321" s="515"/>
      <c r="AA321" s="515"/>
      <c r="AV321" s="1700" t="s">
        <v>2735</v>
      </c>
      <c r="AW321" s="1701" t="s">
        <v>3049</v>
      </c>
      <c r="AX321" s="1234" t="str">
        <f t="shared" si="176"/>
        <v>XP_006.8750000000</v>
      </c>
      <c r="AY321" s="1703">
        <f>[1]!XP_R24</f>
        <v>6.875</v>
      </c>
      <c r="AZ321" s="1236">
        <f>[1]!XP_ARM05_P24+Input_PL_Incentive_XP</f>
        <v>99.587999999999994</v>
      </c>
      <c r="BA321" s="1236">
        <f>[1]!XP_FRM30_P24+Input_PL_Incentive_XP</f>
        <v>99.738</v>
      </c>
      <c r="BB321" s="1234">
        <f t="shared" si="177"/>
        <v>99.738</v>
      </c>
      <c r="BC321" s="1234" t="str">
        <f t="shared" si="178"/>
        <v>XP_099.7380000000</v>
      </c>
      <c r="BD321" s="1234"/>
      <c r="BE321" s="1705" t="s">
        <v>3086</v>
      </c>
    </row>
    <row r="322" spans="24:57" ht="9.6" customHeight="1" x14ac:dyDescent="0.2">
      <c r="X322" s="515"/>
      <c r="Y322" s="515"/>
      <c r="Z322" s="515"/>
      <c r="AA322" s="515"/>
      <c r="AV322" s="1700" t="s">
        <v>2735</v>
      </c>
      <c r="AW322" s="1701" t="s">
        <v>3049</v>
      </c>
      <c r="AX322" s="1234" t="str">
        <f t="shared" si="176"/>
        <v>XP_006.7500000000</v>
      </c>
      <c r="AY322" s="1703">
        <f>[1]!XP_R25</f>
        <v>6.75</v>
      </c>
      <c r="AZ322" s="1236">
        <f>[1]!XP_ARM05_P25+Input_PL_Incentive_XP</f>
        <v>99.025999999999996</v>
      </c>
      <c r="BA322" s="1236">
        <f>[1]!XP_FRM30_P25+Input_PL_Incentive_XP</f>
        <v>99.176000000000002</v>
      </c>
      <c r="BB322" s="1234">
        <f t="shared" si="177"/>
        <v>99.176000000000002</v>
      </c>
      <c r="BC322" s="1234" t="str">
        <f t="shared" si="178"/>
        <v>XP_099.1760000000</v>
      </c>
      <c r="BD322" s="1234"/>
      <c r="BE322" s="1705" t="s">
        <v>3087</v>
      </c>
    </row>
    <row r="323" spans="24:57" ht="9.6" customHeight="1" x14ac:dyDescent="0.2">
      <c r="X323" s="515"/>
      <c r="Y323" s="515"/>
      <c r="Z323" s="515"/>
      <c r="AA323" s="515"/>
      <c r="AV323" s="1700" t="s">
        <v>2735</v>
      </c>
      <c r="AW323" s="1701" t="s">
        <v>3049</v>
      </c>
      <c r="AX323" s="1234" t="str">
        <f t="shared" si="176"/>
        <v>XP_006.6250000000</v>
      </c>
      <c r="AY323" s="1703">
        <f>[1]!XP_R26</f>
        <v>6.625</v>
      </c>
      <c r="AZ323" s="1236">
        <f>[1]!XP_ARM05_P26+Input_PL_Incentive_XP</f>
        <v>98.432000000000002</v>
      </c>
      <c r="BA323" s="1236">
        <f>[1]!XP_FRM30_P26+Input_PL_Incentive_XP</f>
        <v>98.581999999999994</v>
      </c>
      <c r="BB323" s="1234">
        <f t="shared" si="177"/>
        <v>98.581999999999994</v>
      </c>
      <c r="BC323" s="1234" t="str">
        <f t="shared" si="178"/>
        <v>XP_098.5820000000</v>
      </c>
      <c r="BD323" s="1234"/>
      <c r="BE323" s="1705" t="s">
        <v>3088</v>
      </c>
    </row>
    <row r="324" spans="24:57" ht="9.6" customHeight="1" x14ac:dyDescent="0.2">
      <c r="X324" s="515"/>
      <c r="Y324" s="515"/>
      <c r="Z324" s="515"/>
      <c r="AA324" s="515"/>
      <c r="AV324" s="1698" t="s">
        <v>3017</v>
      </c>
      <c r="AW324" s="1699" t="s">
        <v>3051</v>
      </c>
      <c r="AX324" s="1248" t="str">
        <f t="shared" ref="AX324:AX349" si="179">"YP_"&amp;RIGHT("000"&amp;TRUNC(Lookup_NoteRate),3)&amp;TEXT(Lookup_NoteRate-TRUNC(Lookup_NoteRate),".0000000000")</f>
        <v>YP_009.7500000000</v>
      </c>
      <c r="AY324" s="1702">
        <f>[1]!YP_R01</f>
        <v>9.75</v>
      </c>
      <c r="AZ324" s="1250">
        <f>[1]!YP_ARM05_P01+Input_PL_Incentive_XP</f>
        <v>106.181</v>
      </c>
      <c r="BA324" s="1250">
        <f>[1]!YP_FRM30_P01+Input_PL_Incentive_XP</f>
        <v>106.331</v>
      </c>
      <c r="BB324" s="1248">
        <f t="shared" ref="BB324:BB372" si="180">IF(INDEX(List_AmortTermAll,MATCH(Input_AmortTerm,List_AmortTerm,0),3)=1,AZ324,IF(INDEX(List_AmortTermAll,MATCH(Input_AmortTerm,List_AmortTerm,0),3)=2,BA324,#N/A))</f>
        <v>106.331</v>
      </c>
      <c r="BC324" s="1248" t="str">
        <f t="shared" ref="BC324:BC349" si="181">"YP_"&amp;RIGHT("000"&amp;TRUNC(Lookup_PriceText),3)&amp;TEXT(Lookup_PriceText-TRUNC(Lookup_PriceText),".0000000000")</f>
        <v>YP_106.3310000000</v>
      </c>
      <c r="BD324" s="1248"/>
      <c r="BE324" s="1704" t="s">
        <v>3089</v>
      </c>
    </row>
    <row r="325" spans="24:57" ht="9.6" customHeight="1" x14ac:dyDescent="0.2">
      <c r="X325" s="515"/>
      <c r="Y325" s="515"/>
      <c r="Z325" s="515"/>
      <c r="AA325" s="515"/>
      <c r="AV325" s="1700" t="s">
        <v>3017</v>
      </c>
      <c r="AW325" s="1701" t="s">
        <v>3051</v>
      </c>
      <c r="AX325" s="1234" t="str">
        <f t="shared" si="179"/>
        <v>YP_009.6250000000</v>
      </c>
      <c r="AY325" s="1703">
        <f>[1]!YP_R02</f>
        <v>9.625</v>
      </c>
      <c r="AZ325" s="1236">
        <f>[1]!YP_ARM05_P03+Input_PL_Incentive_XP</f>
        <v>105.931</v>
      </c>
      <c r="BA325" s="1236">
        <f>[1]!YP_FRM30_P02+Input_PL_Incentive_XP</f>
        <v>106.206</v>
      </c>
      <c r="BB325" s="1234">
        <f t="shared" si="180"/>
        <v>106.206</v>
      </c>
      <c r="BC325" s="1234" t="str">
        <f t="shared" si="181"/>
        <v>YP_106.2060000000</v>
      </c>
      <c r="BD325" s="1234"/>
      <c r="BE325" s="1705" t="s">
        <v>3090</v>
      </c>
    </row>
    <row r="326" spans="24:57" ht="9.6" customHeight="1" x14ac:dyDescent="0.2">
      <c r="X326" s="515"/>
      <c r="Y326" s="515"/>
      <c r="Z326" s="515"/>
      <c r="AA326" s="515"/>
      <c r="AV326" s="1700" t="s">
        <v>3017</v>
      </c>
      <c r="AW326" s="1701" t="s">
        <v>3051</v>
      </c>
      <c r="AX326" s="1234" t="str">
        <f t="shared" si="179"/>
        <v>YP_009.5000000000</v>
      </c>
      <c r="AY326" s="1703">
        <f>[1]!YP_R03</f>
        <v>9.5</v>
      </c>
      <c r="AZ326" s="1236">
        <f>[1]!YP_ARM05_P03+Input_PL_Incentive_XP</f>
        <v>105.931</v>
      </c>
      <c r="BA326" s="1236">
        <f>[1]!YP_FRM30_P03+Input_PL_Incentive_XP</f>
        <v>106.081</v>
      </c>
      <c r="BB326" s="1234">
        <f t="shared" si="180"/>
        <v>106.081</v>
      </c>
      <c r="BC326" s="1234" t="str">
        <f t="shared" si="181"/>
        <v>YP_106.0810000000</v>
      </c>
      <c r="BD326" s="1234"/>
      <c r="BE326" s="1705" t="s">
        <v>3091</v>
      </c>
    </row>
    <row r="327" spans="24:57" ht="9.6" customHeight="1" x14ac:dyDescent="0.2">
      <c r="X327" s="515"/>
      <c r="Y327" s="515"/>
      <c r="Z327" s="515"/>
      <c r="AA327" s="515"/>
      <c r="AV327" s="1700" t="s">
        <v>3017</v>
      </c>
      <c r="AW327" s="1701" t="s">
        <v>3051</v>
      </c>
      <c r="AX327" s="1234" t="str">
        <f t="shared" si="179"/>
        <v>YP_009.3750000000</v>
      </c>
      <c r="AY327" s="1703">
        <f>[1]!YP_R04</f>
        <v>9.375</v>
      </c>
      <c r="AZ327" s="1236">
        <f>[1]!YP_ARM05_P04+Input_PL_Incentive_XP</f>
        <v>105.74299999999999</v>
      </c>
      <c r="BA327" s="1236">
        <f>[1]!YP_FRM30_P04+Input_PL_Incentive_XP</f>
        <v>105.893</v>
      </c>
      <c r="BB327" s="1234">
        <f t="shared" si="180"/>
        <v>105.893</v>
      </c>
      <c r="BC327" s="1234" t="str">
        <f t="shared" si="181"/>
        <v>YP_105.8930000000</v>
      </c>
      <c r="BD327" s="1234"/>
      <c r="BE327" s="1705" t="s">
        <v>3092</v>
      </c>
    </row>
    <row r="328" spans="24:57" ht="9.6" customHeight="1" x14ac:dyDescent="0.2">
      <c r="X328" s="515"/>
      <c r="Y328" s="515"/>
      <c r="Z328" s="515"/>
      <c r="AA328" s="515"/>
      <c r="AV328" s="1700" t="s">
        <v>3017</v>
      </c>
      <c r="AW328" s="1701" t="s">
        <v>3051</v>
      </c>
      <c r="AX328" s="1234" t="str">
        <f t="shared" si="179"/>
        <v>YP_009.2500000000</v>
      </c>
      <c r="AY328" s="1703">
        <f>[1]!YP_R05</f>
        <v>9.25</v>
      </c>
      <c r="AZ328" s="1236">
        <f>[1]!YP_ARM05_P05+Input_PL_Incentive_XP</f>
        <v>105.556</v>
      </c>
      <c r="BA328" s="1236">
        <f>[1]!YP_FRM30_P05+Input_PL_Incentive_XP</f>
        <v>105.706</v>
      </c>
      <c r="BB328" s="1234">
        <f t="shared" si="180"/>
        <v>105.706</v>
      </c>
      <c r="BC328" s="1234" t="str">
        <f t="shared" si="181"/>
        <v>YP_105.7060000000</v>
      </c>
      <c r="BD328" s="1234"/>
      <c r="BE328" s="1705" t="s">
        <v>3093</v>
      </c>
    </row>
    <row r="329" spans="24:57" ht="9.6" customHeight="1" x14ac:dyDescent="0.2">
      <c r="X329" s="515"/>
      <c r="Y329" s="515"/>
      <c r="Z329" s="515"/>
      <c r="AA329" s="515"/>
      <c r="AV329" s="1700" t="s">
        <v>3017</v>
      </c>
      <c r="AW329" s="1701" t="s">
        <v>3051</v>
      </c>
      <c r="AX329" s="1234" t="str">
        <f t="shared" si="179"/>
        <v>YP_009.1250000000</v>
      </c>
      <c r="AY329" s="1703">
        <f>[1]!YP_R06</f>
        <v>9.125</v>
      </c>
      <c r="AZ329" s="1236">
        <f>[1]!YP_ARM05_P06+Input_PL_Incentive_XP</f>
        <v>105.36799999999999</v>
      </c>
      <c r="BA329" s="1236">
        <f>[1]!YP_FRM30_P06+Input_PL_Incentive_XP</f>
        <v>105.518</v>
      </c>
      <c r="BB329" s="1234">
        <f t="shared" si="180"/>
        <v>105.518</v>
      </c>
      <c r="BC329" s="1234" t="str">
        <f t="shared" si="181"/>
        <v>YP_105.5180000000</v>
      </c>
      <c r="BD329" s="1234"/>
      <c r="BE329" s="1705" t="s">
        <v>3094</v>
      </c>
    </row>
    <row r="330" spans="24:57" ht="9.6" customHeight="1" x14ac:dyDescent="0.2">
      <c r="X330" s="515"/>
      <c r="Y330" s="515"/>
      <c r="Z330" s="515"/>
      <c r="AA330" s="515"/>
      <c r="AV330" s="1700" t="s">
        <v>3017</v>
      </c>
      <c r="AW330" s="1701" t="s">
        <v>3051</v>
      </c>
      <c r="AX330" s="1234" t="str">
        <f t="shared" si="179"/>
        <v>YP_009.0000000000</v>
      </c>
      <c r="AY330" s="1703">
        <f>[1]!YP_R07</f>
        <v>9</v>
      </c>
      <c r="AZ330" s="1236">
        <f>[1]!YP_ARM05_P07+Input_PL_Incentive_XP</f>
        <v>105.181</v>
      </c>
      <c r="BA330" s="1236">
        <f>[1]!YP_FRM30_P07+Input_PL_Incentive_XP</f>
        <v>105.331</v>
      </c>
      <c r="BB330" s="1234">
        <f t="shared" si="180"/>
        <v>105.331</v>
      </c>
      <c r="BC330" s="1234" t="str">
        <f t="shared" si="181"/>
        <v>YP_105.3310000000</v>
      </c>
      <c r="BD330" s="1234"/>
      <c r="BE330" s="1705" t="s">
        <v>3095</v>
      </c>
    </row>
    <row r="331" spans="24:57" ht="9.6" customHeight="1" x14ac:dyDescent="0.2">
      <c r="X331" s="515"/>
      <c r="Y331" s="515"/>
      <c r="Z331" s="515"/>
      <c r="AA331" s="515"/>
      <c r="AV331" s="1700" t="s">
        <v>3017</v>
      </c>
      <c r="AW331" s="1701" t="s">
        <v>3051</v>
      </c>
      <c r="AX331" s="1234" t="str">
        <f t="shared" si="179"/>
        <v>YP_008.8750000000</v>
      </c>
      <c r="AY331" s="1703">
        <f>[1]!YP_R08</f>
        <v>8.875</v>
      </c>
      <c r="AZ331" s="1236">
        <f>[1]!YP_ARM05_P08+Input_PL_Incentive_XP</f>
        <v>104.931</v>
      </c>
      <c r="BA331" s="1236">
        <f>[1]!YP_FRM30_P08+Input_PL_Incentive_XP</f>
        <v>105.081</v>
      </c>
      <c r="BB331" s="1234">
        <f t="shared" si="180"/>
        <v>105.081</v>
      </c>
      <c r="BC331" s="1234" t="str">
        <f t="shared" si="181"/>
        <v>YP_105.0810000000</v>
      </c>
      <c r="BD331" s="1234"/>
      <c r="BE331" s="1705" t="s">
        <v>3096</v>
      </c>
    </row>
    <row r="332" spans="24:57" ht="9.6" customHeight="1" x14ac:dyDescent="0.2">
      <c r="X332" s="515"/>
      <c r="Y332" s="515"/>
      <c r="Z332" s="515"/>
      <c r="AA332" s="515"/>
      <c r="AV332" s="1700" t="s">
        <v>3017</v>
      </c>
      <c r="AW332" s="1701" t="s">
        <v>3051</v>
      </c>
      <c r="AX332" s="1234" t="str">
        <f t="shared" si="179"/>
        <v>YP_008.7500000000</v>
      </c>
      <c r="AY332" s="1703">
        <f>[1]!YP_R09</f>
        <v>8.75</v>
      </c>
      <c r="AZ332" s="1236">
        <f>[1]!YP_ARM05_P09+Input_PL_Incentive_XP</f>
        <v>104.681</v>
      </c>
      <c r="BA332" s="1236">
        <f>[1]!YP_FRM30_P09+Input_PL_Incentive_XP</f>
        <v>104.831</v>
      </c>
      <c r="BB332" s="1234">
        <f t="shared" si="180"/>
        <v>104.831</v>
      </c>
      <c r="BC332" s="1234" t="str">
        <f t="shared" si="181"/>
        <v>YP_104.8310000000</v>
      </c>
      <c r="BD332" s="1234"/>
      <c r="BE332" s="1705" t="s">
        <v>3097</v>
      </c>
    </row>
    <row r="333" spans="24:57" ht="9.6" customHeight="1" x14ac:dyDescent="0.2">
      <c r="X333" s="515"/>
      <c r="Y333" s="515"/>
      <c r="Z333" s="515"/>
      <c r="AA333" s="515"/>
      <c r="AV333" s="1700" t="s">
        <v>3017</v>
      </c>
      <c r="AW333" s="1701" t="s">
        <v>3051</v>
      </c>
      <c r="AX333" s="1234" t="str">
        <f t="shared" si="179"/>
        <v>YP_008.6250000000</v>
      </c>
      <c r="AY333" s="1703">
        <f>[1]!YP_R10</f>
        <v>8.625</v>
      </c>
      <c r="AZ333" s="1236">
        <f>[1]!YP_ARM05_P10+Input_PL_Incentive_XP</f>
        <v>104.431</v>
      </c>
      <c r="BA333" s="1236">
        <f>[1]!YP_FRM30_P10+Input_PL_Incentive_XP</f>
        <v>104.581</v>
      </c>
      <c r="BB333" s="1234">
        <f t="shared" si="180"/>
        <v>104.581</v>
      </c>
      <c r="BC333" s="1234" t="str">
        <f t="shared" si="181"/>
        <v>YP_104.5810000000</v>
      </c>
      <c r="BD333" s="1234"/>
      <c r="BE333" s="1705" t="s">
        <v>3098</v>
      </c>
    </row>
    <row r="334" spans="24:57" ht="9.6" customHeight="1" x14ac:dyDescent="0.2">
      <c r="X334" s="515"/>
      <c r="Y334" s="515"/>
      <c r="Z334" s="515"/>
      <c r="AA334" s="515"/>
      <c r="AV334" s="1700" t="s">
        <v>3017</v>
      </c>
      <c r="AW334" s="1701" t="s">
        <v>3051</v>
      </c>
      <c r="AX334" s="1234" t="str">
        <f t="shared" si="179"/>
        <v>YP_008.5000000000</v>
      </c>
      <c r="AY334" s="1703">
        <f>[1]!YP_R11</f>
        <v>8.5</v>
      </c>
      <c r="AZ334" s="1236">
        <f>[1]!YP_ARM05_P11+Input_PL_Incentive_XP</f>
        <v>104.181</v>
      </c>
      <c r="BA334" s="1236">
        <f>[1]!YP_FRM30_P11+Input_PL_Incentive_XP</f>
        <v>104.331</v>
      </c>
      <c r="BB334" s="1234">
        <f t="shared" si="180"/>
        <v>104.331</v>
      </c>
      <c r="BC334" s="1234" t="str">
        <f t="shared" si="181"/>
        <v>YP_104.3310000000</v>
      </c>
      <c r="BD334" s="1234"/>
      <c r="BE334" s="1705" t="s">
        <v>3099</v>
      </c>
    </row>
    <row r="335" spans="24:57" ht="9.6" customHeight="1" x14ac:dyDescent="0.2">
      <c r="X335" s="515"/>
      <c r="Y335" s="515"/>
      <c r="Z335" s="515"/>
      <c r="AA335" s="515"/>
      <c r="AV335" s="1700" t="s">
        <v>3017</v>
      </c>
      <c r="AW335" s="1701" t="s">
        <v>3051</v>
      </c>
      <c r="AX335" s="1234" t="str">
        <f t="shared" si="179"/>
        <v>YP_008.3750000000</v>
      </c>
      <c r="AY335" s="1703">
        <f>[1]!YP_R12</f>
        <v>8.375</v>
      </c>
      <c r="AZ335" s="1236">
        <f>[1]!YP_ARM05_P12+Input_PL_Incentive_XP</f>
        <v>103.931</v>
      </c>
      <c r="BA335" s="1236">
        <f>[1]!YP_FRM30_P12+Input_PL_Incentive_XP</f>
        <v>104.081</v>
      </c>
      <c r="BB335" s="1234">
        <f t="shared" si="180"/>
        <v>104.081</v>
      </c>
      <c r="BC335" s="1234" t="str">
        <f t="shared" si="181"/>
        <v>YP_104.0810000000</v>
      </c>
      <c r="BD335" s="1234"/>
      <c r="BE335" s="1705" t="s">
        <v>3100</v>
      </c>
    </row>
    <row r="336" spans="24:57" ht="9.6" customHeight="1" x14ac:dyDescent="0.2">
      <c r="X336" s="515"/>
      <c r="Y336" s="515"/>
      <c r="Z336" s="515"/>
      <c r="AA336" s="515"/>
      <c r="AV336" s="1700" t="s">
        <v>3017</v>
      </c>
      <c r="AW336" s="1701" t="s">
        <v>3051</v>
      </c>
      <c r="AX336" s="1234" t="str">
        <f t="shared" si="179"/>
        <v>YP_008.2500000000</v>
      </c>
      <c r="AY336" s="1703">
        <f>[1]!YP_R13</f>
        <v>8.25</v>
      </c>
      <c r="AZ336" s="1236">
        <f>[1]!YP_ARM05_P13+Input_PL_Incentive_XP</f>
        <v>103.681</v>
      </c>
      <c r="BA336" s="1236">
        <f>[1]!YP_FRM30_P13+Input_PL_Incentive_XP</f>
        <v>103.831</v>
      </c>
      <c r="BB336" s="1234">
        <f t="shared" si="180"/>
        <v>103.831</v>
      </c>
      <c r="BC336" s="1234" t="str">
        <f t="shared" si="181"/>
        <v>YP_103.8310000000</v>
      </c>
      <c r="BD336" s="1234"/>
      <c r="BE336" s="1705" t="s">
        <v>3101</v>
      </c>
    </row>
    <row r="337" spans="24:57" ht="9.6" customHeight="1" x14ac:dyDescent="0.2">
      <c r="X337" s="515"/>
      <c r="Y337" s="515"/>
      <c r="Z337" s="515"/>
      <c r="AA337" s="515"/>
      <c r="AV337" s="1700" t="s">
        <v>3017</v>
      </c>
      <c r="AW337" s="1701" t="s">
        <v>3051</v>
      </c>
      <c r="AX337" s="1234" t="str">
        <f t="shared" si="179"/>
        <v>YP_008.1250000000</v>
      </c>
      <c r="AY337" s="1703">
        <f>[1]!YP_R14</f>
        <v>8.125</v>
      </c>
      <c r="AZ337" s="1236">
        <f>[1]!YP_ARM05_P14+Input_PL_Incentive_XP</f>
        <v>103.431</v>
      </c>
      <c r="BA337" s="1236">
        <f>[1]!YP_FRM30_P14+Input_PL_Incentive_XP</f>
        <v>103.581</v>
      </c>
      <c r="BB337" s="1234">
        <f t="shared" si="180"/>
        <v>103.581</v>
      </c>
      <c r="BC337" s="1234" t="str">
        <f t="shared" si="181"/>
        <v>YP_103.5810000000</v>
      </c>
      <c r="BD337" s="1234"/>
      <c r="BE337" s="1705" t="s">
        <v>3102</v>
      </c>
    </row>
    <row r="338" spans="24:57" ht="9.6" customHeight="1" x14ac:dyDescent="0.2">
      <c r="X338" s="515"/>
      <c r="Y338" s="515"/>
      <c r="Z338" s="515"/>
      <c r="AA338" s="515"/>
      <c r="AV338" s="1700" t="s">
        <v>3017</v>
      </c>
      <c r="AW338" s="1701" t="s">
        <v>3051</v>
      </c>
      <c r="AX338" s="1234" t="str">
        <f t="shared" si="179"/>
        <v>YP_008.0000000000</v>
      </c>
      <c r="AY338" s="1703">
        <f>[1]!YP_R15</f>
        <v>8</v>
      </c>
      <c r="AZ338" s="1236">
        <f>[1]!YP_ARM05_P15+Input_PL_Incentive_XP</f>
        <v>103.181</v>
      </c>
      <c r="BA338" s="1236">
        <f>[1]!YP_FRM30_P15+Input_PL_Incentive_XP</f>
        <v>103.331</v>
      </c>
      <c r="BB338" s="1234">
        <f t="shared" si="180"/>
        <v>103.331</v>
      </c>
      <c r="BC338" s="1234" t="str">
        <f t="shared" si="181"/>
        <v>YP_103.3310000000</v>
      </c>
      <c r="BD338" s="1234"/>
      <c r="BE338" s="1705" t="s">
        <v>3103</v>
      </c>
    </row>
    <row r="339" spans="24:57" ht="9.6" customHeight="1" x14ac:dyDescent="0.2">
      <c r="X339" s="515"/>
      <c r="Y339" s="515"/>
      <c r="Z339" s="515"/>
      <c r="AA339" s="515"/>
      <c r="AV339" s="1700" t="s">
        <v>3017</v>
      </c>
      <c r="AW339" s="1701" t="s">
        <v>3051</v>
      </c>
      <c r="AX339" s="1234" t="str">
        <f t="shared" si="179"/>
        <v>YP_007.8750000000</v>
      </c>
      <c r="AY339" s="1703">
        <f>[1]!YP_R16</f>
        <v>7.875</v>
      </c>
      <c r="AZ339" s="1236">
        <f>[1]!YP_ARM05_P16+Input_PL_Incentive_XP</f>
        <v>102.86799999999999</v>
      </c>
      <c r="BA339" s="1236">
        <f>[1]!YP_FRM30_P16+Input_PL_Incentive_XP</f>
        <v>103.018</v>
      </c>
      <c r="BB339" s="1234">
        <f t="shared" si="180"/>
        <v>103.018</v>
      </c>
      <c r="BC339" s="1234" t="str">
        <f t="shared" si="181"/>
        <v>YP_103.0180000000</v>
      </c>
      <c r="BD339" s="1234"/>
      <c r="BE339" s="1705" t="s">
        <v>3104</v>
      </c>
    </row>
    <row r="340" spans="24:57" ht="9.6" customHeight="1" x14ac:dyDescent="0.2">
      <c r="X340" s="515"/>
      <c r="Y340" s="515"/>
      <c r="Z340" s="515"/>
      <c r="AA340" s="515"/>
      <c r="AV340" s="1700" t="s">
        <v>3017</v>
      </c>
      <c r="AW340" s="1701" t="s">
        <v>3051</v>
      </c>
      <c r="AX340" s="1234" t="str">
        <f t="shared" si="179"/>
        <v>YP_007.7500000000</v>
      </c>
      <c r="AY340" s="1703">
        <f>[1]!YP_R17</f>
        <v>7.75</v>
      </c>
      <c r="AZ340" s="1236">
        <f>[1]!YP_ARM05_P17+Input_PL_Incentive_XP</f>
        <v>102.524</v>
      </c>
      <c r="BA340" s="1236">
        <f>[1]!YP_FRM30_P17+Input_PL_Incentive_XP</f>
        <v>102.67400000000001</v>
      </c>
      <c r="BB340" s="1234">
        <f t="shared" si="180"/>
        <v>102.67400000000001</v>
      </c>
      <c r="BC340" s="1234" t="str">
        <f t="shared" si="181"/>
        <v>YP_102.6740000000</v>
      </c>
      <c r="BD340" s="1234"/>
      <c r="BE340" s="1705" t="s">
        <v>3105</v>
      </c>
    </row>
    <row r="341" spans="24:57" ht="9.6" customHeight="1" x14ac:dyDescent="0.2">
      <c r="X341" s="515"/>
      <c r="Y341" s="515"/>
      <c r="Z341" s="515"/>
      <c r="AA341" s="515"/>
      <c r="AV341" s="1700" t="s">
        <v>3017</v>
      </c>
      <c r="AW341" s="1701" t="s">
        <v>3051</v>
      </c>
      <c r="AX341" s="1234" t="str">
        <f t="shared" si="179"/>
        <v>YP_007.6250000000</v>
      </c>
      <c r="AY341" s="1703">
        <f>[1]!YP_R18</f>
        <v>7.625</v>
      </c>
      <c r="AZ341" s="1236">
        <f>[1]!YP_ARM05_P18+Input_PL_Incentive_XP</f>
        <v>102.181</v>
      </c>
      <c r="BA341" s="1236">
        <f>[1]!YP_FRM30_P18+Input_PL_Incentive_XP</f>
        <v>102.331</v>
      </c>
      <c r="BB341" s="1234">
        <f t="shared" si="180"/>
        <v>102.331</v>
      </c>
      <c r="BC341" s="1234" t="str">
        <f t="shared" si="181"/>
        <v>YP_102.3310000000</v>
      </c>
      <c r="BD341" s="1234"/>
      <c r="BE341" s="1705" t="s">
        <v>3106</v>
      </c>
    </row>
    <row r="342" spans="24:57" ht="9.6" customHeight="1" x14ac:dyDescent="0.2">
      <c r="X342" s="515"/>
      <c r="Y342" s="515"/>
      <c r="Z342" s="515"/>
      <c r="AA342" s="515"/>
      <c r="AV342" s="1700" t="s">
        <v>3017</v>
      </c>
      <c r="AW342" s="1701" t="s">
        <v>3051</v>
      </c>
      <c r="AX342" s="1234" t="str">
        <f t="shared" si="179"/>
        <v>YP_007.5000000000</v>
      </c>
      <c r="AY342" s="1703">
        <f>[1]!YP_R19</f>
        <v>7.5</v>
      </c>
      <c r="AZ342" s="1236">
        <f>[1]!YP_ARM05_P19+Input_PL_Incentive_XP</f>
        <v>101.83799999999999</v>
      </c>
      <c r="BA342" s="1236">
        <f>[1]!YP_FRM30_P19+Input_PL_Incentive_XP</f>
        <v>101.988</v>
      </c>
      <c r="BB342" s="1234">
        <f t="shared" si="180"/>
        <v>101.988</v>
      </c>
      <c r="BC342" s="1234" t="str">
        <f t="shared" si="181"/>
        <v>YP_101.9880000000</v>
      </c>
      <c r="BD342" s="1234"/>
      <c r="BE342" s="1705" t="s">
        <v>3107</v>
      </c>
    </row>
    <row r="343" spans="24:57" ht="9.6" customHeight="1" x14ac:dyDescent="0.2">
      <c r="X343" s="515"/>
      <c r="Y343" s="515"/>
      <c r="Z343" s="515"/>
      <c r="AA343" s="515"/>
      <c r="AV343" s="1700" t="s">
        <v>3017</v>
      </c>
      <c r="AW343" s="1701" t="s">
        <v>3051</v>
      </c>
      <c r="AX343" s="1234" t="str">
        <f t="shared" si="179"/>
        <v>YP_007.3750000000</v>
      </c>
      <c r="AY343" s="1703">
        <f>[1]!YP_R20</f>
        <v>7.375</v>
      </c>
      <c r="AZ343" s="1236">
        <f>[1]!YP_ARM05_P20+Input_PL_Incentive_XP</f>
        <v>101.46299999999999</v>
      </c>
      <c r="BA343" s="1236">
        <f>[1]!YP_FRM30_P20+Input_PL_Incentive_XP</f>
        <v>101.613</v>
      </c>
      <c r="BB343" s="1234">
        <f t="shared" si="180"/>
        <v>101.613</v>
      </c>
      <c r="BC343" s="1234" t="str">
        <f t="shared" si="181"/>
        <v>YP_101.6130000000</v>
      </c>
      <c r="BD343" s="1234"/>
      <c r="BE343" s="1705" t="s">
        <v>3108</v>
      </c>
    </row>
    <row r="344" spans="24:57" ht="9.6" customHeight="1" x14ac:dyDescent="0.2">
      <c r="X344" s="515"/>
      <c r="Y344" s="515"/>
      <c r="Z344" s="515"/>
      <c r="AA344" s="515"/>
      <c r="AV344" s="1700" t="s">
        <v>3017</v>
      </c>
      <c r="AW344" s="1701" t="s">
        <v>3051</v>
      </c>
      <c r="AX344" s="1234" t="str">
        <f t="shared" si="179"/>
        <v>YP_007.2500000000</v>
      </c>
      <c r="AY344" s="1703">
        <f>[1]!YP_R21</f>
        <v>7.25</v>
      </c>
      <c r="AZ344" s="1236">
        <f>[1]!YP_ARM05_P21+Input_PL_Incentive_XP</f>
        <v>101.057</v>
      </c>
      <c r="BA344" s="1236">
        <f>[1]!YP_FRM30_P21+Input_PL_Incentive_XP</f>
        <v>101.20699999999999</v>
      </c>
      <c r="BB344" s="1234">
        <f t="shared" si="180"/>
        <v>101.20699999999999</v>
      </c>
      <c r="BC344" s="1234" t="str">
        <f t="shared" si="181"/>
        <v>YP_101.2070000000</v>
      </c>
      <c r="BD344" s="1234"/>
      <c r="BE344" s="1705" t="s">
        <v>3109</v>
      </c>
    </row>
    <row r="345" spans="24:57" ht="9.6" customHeight="1" x14ac:dyDescent="0.2">
      <c r="X345" s="515"/>
      <c r="Y345" s="515"/>
      <c r="Z345" s="515"/>
      <c r="AA345" s="515"/>
      <c r="AV345" s="1700" t="s">
        <v>3017</v>
      </c>
      <c r="AW345" s="1701" t="s">
        <v>3051</v>
      </c>
      <c r="AX345" s="1234" t="str">
        <f t="shared" si="179"/>
        <v>YP_007.1250000000</v>
      </c>
      <c r="AY345" s="1703">
        <f>[1]!YP_R22</f>
        <v>7.125</v>
      </c>
      <c r="AZ345" s="1236">
        <f>[1]!YP_ARM05_P22+Input_PL_Incentive_XP</f>
        <v>100.619</v>
      </c>
      <c r="BA345" s="1236">
        <f>[1]!YP_FRM30_P22+Input_PL_Incentive_XP</f>
        <v>100.76900000000001</v>
      </c>
      <c r="BB345" s="1234">
        <f t="shared" si="180"/>
        <v>100.76900000000001</v>
      </c>
      <c r="BC345" s="1234" t="str">
        <f t="shared" si="181"/>
        <v>YP_100.7690000000</v>
      </c>
      <c r="BD345" s="1234"/>
      <c r="BE345" s="1705" t="s">
        <v>3110</v>
      </c>
    </row>
    <row r="346" spans="24:57" ht="9.6" customHeight="1" x14ac:dyDescent="0.2">
      <c r="X346" s="515"/>
      <c r="Y346" s="515"/>
      <c r="Z346" s="515"/>
      <c r="AA346" s="515"/>
      <c r="AV346" s="1700" t="s">
        <v>3017</v>
      </c>
      <c r="AW346" s="1701" t="s">
        <v>3051</v>
      </c>
      <c r="AX346" s="1234" t="str">
        <f t="shared" si="179"/>
        <v>YP_007.0000000000</v>
      </c>
      <c r="AY346" s="1703">
        <f>[1]!YP_R23</f>
        <v>7</v>
      </c>
      <c r="AZ346" s="1236">
        <f>[1]!YP_ARM05_P23+Input_PL_Incentive_XP</f>
        <v>100.151</v>
      </c>
      <c r="BA346" s="1236">
        <f>[1]!YP_FRM30_P23+Input_PL_Incentive_XP</f>
        <v>100.301</v>
      </c>
      <c r="BB346" s="1234">
        <f t="shared" si="180"/>
        <v>100.301</v>
      </c>
      <c r="BC346" s="1234" t="str">
        <f t="shared" si="181"/>
        <v>YP_100.3010000000</v>
      </c>
      <c r="BD346" s="1234"/>
      <c r="BE346" s="1705" t="s">
        <v>3111</v>
      </c>
    </row>
    <row r="347" spans="24:57" ht="9.6" customHeight="1" x14ac:dyDescent="0.2">
      <c r="X347" s="515"/>
      <c r="Y347" s="515"/>
      <c r="Z347" s="515"/>
      <c r="AA347" s="515"/>
      <c r="AV347" s="1700" t="s">
        <v>3017</v>
      </c>
      <c r="AW347" s="1701" t="s">
        <v>3051</v>
      </c>
      <c r="AX347" s="1234" t="str">
        <f t="shared" si="179"/>
        <v>YP_006.8750000000</v>
      </c>
      <c r="AY347" s="1703">
        <f>[1]!YP_R24</f>
        <v>6.875</v>
      </c>
      <c r="AZ347" s="1236">
        <f>[1]!YP_ARM05_P24+Input_PL_Incentive_XP</f>
        <v>99.587999999999994</v>
      </c>
      <c r="BA347" s="1236">
        <f>[1]!YP_FRM30_P24+Input_PL_Incentive_XP</f>
        <v>99.738</v>
      </c>
      <c r="BB347" s="1234">
        <f t="shared" si="180"/>
        <v>99.738</v>
      </c>
      <c r="BC347" s="1234" t="str">
        <f t="shared" si="181"/>
        <v>YP_099.7380000000</v>
      </c>
      <c r="BD347" s="1234"/>
      <c r="BE347" s="1705" t="s">
        <v>3112</v>
      </c>
    </row>
    <row r="348" spans="24:57" ht="9.6" customHeight="1" x14ac:dyDescent="0.2">
      <c r="X348" s="515"/>
      <c r="Y348" s="515"/>
      <c r="Z348" s="515"/>
      <c r="AA348" s="515"/>
      <c r="AV348" s="1700" t="s">
        <v>3017</v>
      </c>
      <c r="AW348" s="1701" t="s">
        <v>3051</v>
      </c>
      <c r="AX348" s="1234" t="str">
        <f t="shared" si="179"/>
        <v>YP_006.7500000000</v>
      </c>
      <c r="AY348" s="1703">
        <f>[1]!YP_R25</f>
        <v>6.75</v>
      </c>
      <c r="AZ348" s="1236">
        <f>[1]!YP_ARM05_P25+Input_PL_Incentive_XP</f>
        <v>99.025999999999996</v>
      </c>
      <c r="BA348" s="1236">
        <f>[1]!YP_FRM30_P25+Input_PL_Incentive_XP</f>
        <v>99.176000000000002</v>
      </c>
      <c r="BB348" s="1234">
        <f t="shared" si="180"/>
        <v>99.176000000000002</v>
      </c>
      <c r="BC348" s="1234" t="str">
        <f t="shared" si="181"/>
        <v>YP_099.1760000000</v>
      </c>
      <c r="BD348" s="1234"/>
      <c r="BE348" s="1705" t="s">
        <v>3113</v>
      </c>
    </row>
    <row r="349" spans="24:57" ht="9.6" customHeight="1" x14ac:dyDescent="0.2">
      <c r="X349" s="515"/>
      <c r="Y349" s="515"/>
      <c r="Z349" s="515"/>
      <c r="AA349" s="515"/>
      <c r="AV349" s="1700" t="s">
        <v>3017</v>
      </c>
      <c r="AW349" s="1701" t="s">
        <v>3051</v>
      </c>
      <c r="AX349" s="1234" t="str">
        <f t="shared" si="179"/>
        <v>YP_006.6250000000</v>
      </c>
      <c r="AY349" s="1703">
        <f>[1]!YP_R26</f>
        <v>6.625</v>
      </c>
      <c r="AZ349" s="1236">
        <f>[1]!YP_ARM05_P26+Input_PL_Incentive_XP</f>
        <v>98.432000000000002</v>
      </c>
      <c r="BA349" s="1236">
        <f>[1]!YP_FRM30_P26+Input_PL_Incentive_XP</f>
        <v>98.581999999999994</v>
      </c>
      <c r="BB349" s="1234">
        <f t="shared" si="180"/>
        <v>98.581999999999994</v>
      </c>
      <c r="BC349" s="1234" t="str">
        <f t="shared" si="181"/>
        <v>YP_098.5820000000</v>
      </c>
      <c r="BD349" s="1234"/>
      <c r="BE349" s="1705" t="s">
        <v>3114</v>
      </c>
    </row>
    <row r="350" spans="24:57" ht="9.6" customHeight="1" x14ac:dyDescent="0.2">
      <c r="X350" s="515"/>
      <c r="Y350" s="515"/>
      <c r="Z350" s="515"/>
      <c r="AA350" s="515"/>
      <c r="AV350" s="1706" t="s">
        <v>2736</v>
      </c>
      <c r="AW350" s="1707" t="s">
        <v>3050</v>
      </c>
      <c r="AX350" s="1248" t="str">
        <f t="shared" ref="AX350:AX375" si="182">"XX_"&amp;RIGHT("000"&amp;TRUNC(Lookup_NoteRate),3)&amp;TEXT(Lookup_NoteRate-TRUNC(Lookup_NoteRate),".0000000000")</f>
        <v>XX_009.7500000000</v>
      </c>
      <c r="AY350" s="1710">
        <f>[1]!XX_R01</f>
        <v>9.75</v>
      </c>
      <c r="AZ350" s="1250">
        <f>[1]!XX_ARM05_P01+Input_PL_Incentive_XX</f>
        <v>106.181</v>
      </c>
      <c r="BA350" s="1250">
        <f>[1]!XX_FRM30_P01+Input_PL_Incentive_XX</f>
        <v>106.331</v>
      </c>
      <c r="BB350" s="1248">
        <f t="shared" si="180"/>
        <v>106.331</v>
      </c>
      <c r="BC350" s="1248" t="str">
        <f t="shared" ref="BC350:BC375" si="183">"XX_"&amp;RIGHT("000"&amp;TRUNC(Lookup_PriceText),3)&amp;TEXT(Lookup_PriceText-TRUNC(Lookup_PriceText),".0000000000")</f>
        <v>XX_106.3310000000</v>
      </c>
      <c r="BD350" s="1248"/>
      <c r="BE350" s="1712" t="s">
        <v>3115</v>
      </c>
    </row>
    <row r="351" spans="24:57" ht="9.6" customHeight="1" x14ac:dyDescent="0.2">
      <c r="X351" s="515"/>
      <c r="Y351" s="515"/>
      <c r="Z351" s="515"/>
      <c r="AA351" s="515"/>
      <c r="AV351" s="1708" t="s">
        <v>2736</v>
      </c>
      <c r="AW351" s="1709" t="s">
        <v>3050</v>
      </c>
      <c r="AX351" s="1234" t="str">
        <f t="shared" si="182"/>
        <v>XX_009.6250000000</v>
      </c>
      <c r="AY351" s="1711">
        <f>[1]!XX_R02</f>
        <v>9.625</v>
      </c>
      <c r="AZ351" s="1236">
        <f>[1]!XX_ARM05_P03+Input_PL_Incentive_XX</f>
        <v>105.931</v>
      </c>
      <c r="BA351" s="1236">
        <f>[1]!XX_FRM30_P02+Input_PL_Incentive_XX</f>
        <v>106.206</v>
      </c>
      <c r="BB351" s="1234">
        <f t="shared" si="180"/>
        <v>106.206</v>
      </c>
      <c r="BC351" s="1234" t="str">
        <f t="shared" si="183"/>
        <v>XX_106.2060000000</v>
      </c>
      <c r="BD351" s="1234"/>
      <c r="BE351" s="1713" t="s">
        <v>3116</v>
      </c>
    </row>
    <row r="352" spans="24:57" ht="9.6" customHeight="1" x14ac:dyDescent="0.2">
      <c r="X352" s="515"/>
      <c r="Y352" s="515"/>
      <c r="Z352" s="515"/>
      <c r="AA352" s="515"/>
      <c r="AV352" s="1708" t="s">
        <v>2736</v>
      </c>
      <c r="AW352" s="1709" t="s">
        <v>3050</v>
      </c>
      <c r="AX352" s="1234" t="str">
        <f t="shared" si="182"/>
        <v>XX_009.5000000000</v>
      </c>
      <c r="AY352" s="1711">
        <f>[1]!XX_R03</f>
        <v>9.5</v>
      </c>
      <c r="AZ352" s="1236">
        <f>[1]!XX_ARM05_P03+Input_PL_Incentive_XX</f>
        <v>105.931</v>
      </c>
      <c r="BA352" s="1236">
        <f>[1]!XX_FRM30_P03+Input_PL_Incentive_XX</f>
        <v>106.081</v>
      </c>
      <c r="BB352" s="1234">
        <f t="shared" si="180"/>
        <v>106.081</v>
      </c>
      <c r="BC352" s="1234" t="str">
        <f t="shared" si="183"/>
        <v>XX_106.0810000000</v>
      </c>
      <c r="BD352" s="1234"/>
      <c r="BE352" s="1713" t="s">
        <v>3117</v>
      </c>
    </row>
    <row r="353" spans="24:57" ht="9.6" customHeight="1" x14ac:dyDescent="0.2">
      <c r="X353" s="515"/>
      <c r="Y353" s="515"/>
      <c r="Z353" s="515"/>
      <c r="AA353" s="515"/>
      <c r="AV353" s="1708" t="s">
        <v>2736</v>
      </c>
      <c r="AW353" s="1709" t="s">
        <v>3050</v>
      </c>
      <c r="AX353" s="1234" t="str">
        <f t="shared" si="182"/>
        <v>XX_009.3750000000</v>
      </c>
      <c r="AY353" s="1711">
        <f>[1]!XX_R04</f>
        <v>9.375</v>
      </c>
      <c r="AZ353" s="1236">
        <f>[1]!XX_ARM05_P04+Input_PL_Incentive_XX</f>
        <v>105.74299999999999</v>
      </c>
      <c r="BA353" s="1236">
        <f>[1]!XX_FRM30_P04+Input_PL_Incentive_XX</f>
        <v>105.893</v>
      </c>
      <c r="BB353" s="1234">
        <f t="shared" si="180"/>
        <v>105.893</v>
      </c>
      <c r="BC353" s="1234" t="str">
        <f t="shared" si="183"/>
        <v>XX_105.8930000000</v>
      </c>
      <c r="BD353" s="1234"/>
      <c r="BE353" s="1713" t="s">
        <v>3118</v>
      </c>
    </row>
    <row r="354" spans="24:57" ht="9.6" customHeight="1" x14ac:dyDescent="0.2">
      <c r="X354" s="515"/>
      <c r="Y354" s="515"/>
      <c r="Z354" s="515"/>
      <c r="AA354" s="515"/>
      <c r="AV354" s="1708" t="s">
        <v>2736</v>
      </c>
      <c r="AW354" s="1709" t="s">
        <v>3050</v>
      </c>
      <c r="AX354" s="1234" t="str">
        <f t="shared" si="182"/>
        <v>XX_009.2500000000</v>
      </c>
      <c r="AY354" s="1711">
        <f>[1]!XX_R05</f>
        <v>9.25</v>
      </c>
      <c r="AZ354" s="1236">
        <f>[1]!XX_ARM05_P05+Input_PL_Incentive_XX</f>
        <v>105.556</v>
      </c>
      <c r="BA354" s="1236">
        <f>[1]!XX_FRM30_P05+Input_PL_Incentive_XX</f>
        <v>105.706</v>
      </c>
      <c r="BB354" s="1234">
        <f t="shared" si="180"/>
        <v>105.706</v>
      </c>
      <c r="BC354" s="1234" t="str">
        <f t="shared" si="183"/>
        <v>XX_105.7060000000</v>
      </c>
      <c r="BD354" s="1234"/>
      <c r="BE354" s="1713" t="s">
        <v>3119</v>
      </c>
    </row>
    <row r="355" spans="24:57" ht="9.6" customHeight="1" x14ac:dyDescent="0.2">
      <c r="X355" s="515"/>
      <c r="Y355" s="515"/>
      <c r="Z355" s="515"/>
      <c r="AA355" s="515"/>
      <c r="AV355" s="1708" t="s">
        <v>2736</v>
      </c>
      <c r="AW355" s="1709" t="s">
        <v>3050</v>
      </c>
      <c r="AX355" s="1234" t="str">
        <f t="shared" si="182"/>
        <v>XX_009.1250000000</v>
      </c>
      <c r="AY355" s="1711">
        <f>[1]!XX_R06</f>
        <v>9.125</v>
      </c>
      <c r="AZ355" s="1236">
        <f>[1]!XX_ARM05_P06+Input_PL_Incentive_XX</f>
        <v>105.36799999999999</v>
      </c>
      <c r="BA355" s="1236">
        <f>[1]!XX_FRM30_P06+Input_PL_Incentive_XX</f>
        <v>105.518</v>
      </c>
      <c r="BB355" s="1234">
        <f t="shared" si="180"/>
        <v>105.518</v>
      </c>
      <c r="BC355" s="1234" t="str">
        <f t="shared" si="183"/>
        <v>XX_105.5180000000</v>
      </c>
      <c r="BD355" s="1234"/>
      <c r="BE355" s="1713" t="s">
        <v>3120</v>
      </c>
    </row>
    <row r="356" spans="24:57" ht="9.6" customHeight="1" x14ac:dyDescent="0.2">
      <c r="X356" s="515"/>
      <c r="Y356" s="515"/>
      <c r="Z356" s="515"/>
      <c r="AA356" s="515"/>
      <c r="AV356" s="1708" t="s">
        <v>2736</v>
      </c>
      <c r="AW356" s="1709" t="s">
        <v>3050</v>
      </c>
      <c r="AX356" s="1234" t="str">
        <f t="shared" si="182"/>
        <v>XX_009.0000000000</v>
      </c>
      <c r="AY356" s="1711">
        <f>[1]!XX_R07</f>
        <v>9</v>
      </c>
      <c r="AZ356" s="1236">
        <f>[1]!XX_ARM05_P07+Input_PL_Incentive_XX</f>
        <v>105.181</v>
      </c>
      <c r="BA356" s="1236">
        <f>[1]!XX_FRM30_P07+Input_PL_Incentive_XX</f>
        <v>105.331</v>
      </c>
      <c r="BB356" s="1234">
        <f t="shared" si="180"/>
        <v>105.331</v>
      </c>
      <c r="BC356" s="1234" t="str">
        <f t="shared" si="183"/>
        <v>XX_105.3310000000</v>
      </c>
      <c r="BD356" s="1234"/>
      <c r="BE356" s="1713" t="s">
        <v>3121</v>
      </c>
    </row>
    <row r="357" spans="24:57" ht="9.6" customHeight="1" x14ac:dyDescent="0.2">
      <c r="X357" s="515"/>
      <c r="Y357" s="515"/>
      <c r="Z357" s="515"/>
      <c r="AA357" s="515"/>
      <c r="AV357" s="1708" t="s">
        <v>2736</v>
      </c>
      <c r="AW357" s="1709" t="s">
        <v>3050</v>
      </c>
      <c r="AX357" s="1234" t="str">
        <f t="shared" si="182"/>
        <v>XX_008.8750000000</v>
      </c>
      <c r="AY357" s="1711">
        <f>[1]!XX_R08</f>
        <v>8.875</v>
      </c>
      <c r="AZ357" s="1236">
        <f>[1]!XX_ARM05_P08+Input_PL_Incentive_XX</f>
        <v>104.931</v>
      </c>
      <c r="BA357" s="1236">
        <f>[1]!XX_FRM30_P08+Input_PL_Incentive_XX</f>
        <v>105.081</v>
      </c>
      <c r="BB357" s="1234">
        <f t="shared" si="180"/>
        <v>105.081</v>
      </c>
      <c r="BC357" s="1234" t="str">
        <f t="shared" si="183"/>
        <v>XX_105.0810000000</v>
      </c>
      <c r="BD357" s="1234"/>
      <c r="BE357" s="1713" t="s">
        <v>3122</v>
      </c>
    </row>
    <row r="358" spans="24:57" ht="9.6" customHeight="1" x14ac:dyDescent="0.2">
      <c r="X358" s="515"/>
      <c r="Y358" s="515"/>
      <c r="Z358" s="515"/>
      <c r="AA358" s="515"/>
      <c r="AV358" s="1708" t="s">
        <v>2736</v>
      </c>
      <c r="AW358" s="1709" t="s">
        <v>3050</v>
      </c>
      <c r="AX358" s="1234" t="str">
        <f t="shared" si="182"/>
        <v>XX_008.7500000000</v>
      </c>
      <c r="AY358" s="1711">
        <f>[1]!XX_R09</f>
        <v>8.75</v>
      </c>
      <c r="AZ358" s="1236">
        <f>[1]!XX_ARM05_P09+Input_PL_Incentive_XX</f>
        <v>104.681</v>
      </c>
      <c r="BA358" s="1236">
        <f>[1]!XX_FRM30_P09+Input_PL_Incentive_XX</f>
        <v>104.831</v>
      </c>
      <c r="BB358" s="1234">
        <f t="shared" si="180"/>
        <v>104.831</v>
      </c>
      <c r="BC358" s="1234" t="str">
        <f t="shared" si="183"/>
        <v>XX_104.8310000000</v>
      </c>
      <c r="BD358" s="1234"/>
      <c r="BE358" s="1713" t="s">
        <v>3123</v>
      </c>
    </row>
    <row r="359" spans="24:57" ht="9.6" customHeight="1" x14ac:dyDescent="0.2">
      <c r="X359" s="515"/>
      <c r="Y359" s="515"/>
      <c r="Z359" s="515"/>
      <c r="AA359" s="515"/>
      <c r="AV359" s="1708" t="s">
        <v>2736</v>
      </c>
      <c r="AW359" s="1709" t="s">
        <v>3050</v>
      </c>
      <c r="AX359" s="1234" t="str">
        <f t="shared" si="182"/>
        <v>XX_008.6250000000</v>
      </c>
      <c r="AY359" s="1711">
        <f>[1]!XX_R10</f>
        <v>8.625</v>
      </c>
      <c r="AZ359" s="1236">
        <f>[1]!XX_ARM05_P10+Input_PL_Incentive_XX</f>
        <v>104.431</v>
      </c>
      <c r="BA359" s="1236">
        <f>[1]!XX_FRM30_P10+Input_PL_Incentive_XX</f>
        <v>104.581</v>
      </c>
      <c r="BB359" s="1234">
        <f t="shared" si="180"/>
        <v>104.581</v>
      </c>
      <c r="BC359" s="1234" t="str">
        <f t="shared" si="183"/>
        <v>XX_104.5810000000</v>
      </c>
      <c r="BD359" s="1234"/>
      <c r="BE359" s="1713" t="s">
        <v>3124</v>
      </c>
    </row>
    <row r="360" spans="24:57" ht="9.6" customHeight="1" x14ac:dyDescent="0.2">
      <c r="X360" s="515"/>
      <c r="Y360" s="515"/>
      <c r="Z360" s="515"/>
      <c r="AA360" s="515"/>
      <c r="AV360" s="1708" t="s">
        <v>2736</v>
      </c>
      <c r="AW360" s="1709" t="s">
        <v>3050</v>
      </c>
      <c r="AX360" s="1234" t="str">
        <f t="shared" si="182"/>
        <v>XX_008.5000000000</v>
      </c>
      <c r="AY360" s="1711">
        <f>[1]!XX_R11</f>
        <v>8.5</v>
      </c>
      <c r="AZ360" s="1236">
        <f>[1]!XX_ARM05_P11+Input_PL_Incentive_XX</f>
        <v>104.181</v>
      </c>
      <c r="BA360" s="1236">
        <f>[1]!XX_FRM30_P11+Input_PL_Incentive_XX</f>
        <v>104.331</v>
      </c>
      <c r="BB360" s="1234">
        <f t="shared" si="180"/>
        <v>104.331</v>
      </c>
      <c r="BC360" s="1234" t="str">
        <f t="shared" si="183"/>
        <v>XX_104.3310000000</v>
      </c>
      <c r="BD360" s="1234"/>
      <c r="BE360" s="1713" t="s">
        <v>3125</v>
      </c>
    </row>
    <row r="361" spans="24:57" ht="9.6" customHeight="1" x14ac:dyDescent="0.2">
      <c r="X361" s="515"/>
      <c r="Y361" s="515"/>
      <c r="Z361" s="515"/>
      <c r="AA361" s="515"/>
      <c r="AV361" s="1708" t="s">
        <v>2736</v>
      </c>
      <c r="AW361" s="1709" t="s">
        <v>3050</v>
      </c>
      <c r="AX361" s="1234" t="str">
        <f t="shared" si="182"/>
        <v>XX_008.3750000000</v>
      </c>
      <c r="AY361" s="1711">
        <f>[1]!XX_R12</f>
        <v>8.375</v>
      </c>
      <c r="AZ361" s="1236">
        <f>[1]!XX_ARM05_P12+Input_PL_Incentive_XX</f>
        <v>103.931</v>
      </c>
      <c r="BA361" s="1236">
        <f>[1]!XX_FRM30_P12+Input_PL_Incentive_XX</f>
        <v>104.081</v>
      </c>
      <c r="BB361" s="1234">
        <f t="shared" si="180"/>
        <v>104.081</v>
      </c>
      <c r="BC361" s="1234" t="str">
        <f t="shared" si="183"/>
        <v>XX_104.0810000000</v>
      </c>
      <c r="BD361" s="1234"/>
      <c r="BE361" s="1713" t="s">
        <v>3126</v>
      </c>
    </row>
    <row r="362" spans="24:57" ht="9.6" customHeight="1" x14ac:dyDescent="0.2">
      <c r="X362" s="515"/>
      <c r="Y362" s="515"/>
      <c r="Z362" s="515"/>
      <c r="AA362" s="515"/>
      <c r="AV362" s="1708" t="s">
        <v>2736</v>
      </c>
      <c r="AW362" s="1709" t="s">
        <v>3050</v>
      </c>
      <c r="AX362" s="1234" t="str">
        <f t="shared" si="182"/>
        <v>XX_008.2500000000</v>
      </c>
      <c r="AY362" s="1711">
        <f>[1]!XX_R13</f>
        <v>8.25</v>
      </c>
      <c r="AZ362" s="1236">
        <f>[1]!XX_ARM05_P13+Input_PL_Incentive_XX</f>
        <v>103.681</v>
      </c>
      <c r="BA362" s="1236">
        <f>[1]!XX_FRM30_P13+Input_PL_Incentive_XX</f>
        <v>103.831</v>
      </c>
      <c r="BB362" s="1234">
        <f t="shared" si="180"/>
        <v>103.831</v>
      </c>
      <c r="BC362" s="1234" t="str">
        <f t="shared" si="183"/>
        <v>XX_103.8310000000</v>
      </c>
      <c r="BD362" s="1234"/>
      <c r="BE362" s="1713" t="s">
        <v>3127</v>
      </c>
    </row>
    <row r="363" spans="24:57" ht="9.6" customHeight="1" x14ac:dyDescent="0.2">
      <c r="X363" s="515"/>
      <c r="Y363" s="515"/>
      <c r="Z363" s="515"/>
      <c r="AA363" s="515"/>
      <c r="AV363" s="1708" t="s">
        <v>2736</v>
      </c>
      <c r="AW363" s="1709" t="s">
        <v>3050</v>
      </c>
      <c r="AX363" s="1234" t="str">
        <f t="shared" si="182"/>
        <v>XX_008.1250000000</v>
      </c>
      <c r="AY363" s="1711">
        <f>[1]!XX_R14</f>
        <v>8.125</v>
      </c>
      <c r="AZ363" s="1236">
        <f>[1]!XX_ARM05_P14+Input_PL_Incentive_XX</f>
        <v>103.431</v>
      </c>
      <c r="BA363" s="1236">
        <f>[1]!XX_FRM30_P14+Input_PL_Incentive_XX</f>
        <v>103.581</v>
      </c>
      <c r="BB363" s="1234">
        <f t="shared" si="180"/>
        <v>103.581</v>
      </c>
      <c r="BC363" s="1234" t="str">
        <f t="shared" si="183"/>
        <v>XX_103.5810000000</v>
      </c>
      <c r="BD363" s="1234"/>
      <c r="BE363" s="1713" t="s">
        <v>3128</v>
      </c>
    </row>
    <row r="364" spans="24:57" ht="9.6" customHeight="1" x14ac:dyDescent="0.2">
      <c r="X364" s="515"/>
      <c r="Y364" s="515"/>
      <c r="Z364" s="515"/>
      <c r="AA364" s="515"/>
      <c r="AV364" s="1708" t="s">
        <v>2736</v>
      </c>
      <c r="AW364" s="1709" t="s">
        <v>3050</v>
      </c>
      <c r="AX364" s="1234" t="str">
        <f t="shared" si="182"/>
        <v>XX_008.0000000000</v>
      </c>
      <c r="AY364" s="1711">
        <f>[1]!XX_R15</f>
        <v>8</v>
      </c>
      <c r="AZ364" s="1236">
        <f>[1]!XX_ARM05_P15+Input_PL_Incentive_XX</f>
        <v>103.181</v>
      </c>
      <c r="BA364" s="1236">
        <f>[1]!XX_FRM30_P15+Input_PL_Incentive_XX</f>
        <v>103.331</v>
      </c>
      <c r="BB364" s="1234">
        <f t="shared" si="180"/>
        <v>103.331</v>
      </c>
      <c r="BC364" s="1234" t="str">
        <f t="shared" si="183"/>
        <v>XX_103.3310000000</v>
      </c>
      <c r="BD364" s="1234"/>
      <c r="BE364" s="1713" t="s">
        <v>3129</v>
      </c>
    </row>
    <row r="365" spans="24:57" ht="9.6" customHeight="1" x14ac:dyDescent="0.2">
      <c r="X365" s="515"/>
      <c r="Y365" s="515"/>
      <c r="Z365" s="515"/>
      <c r="AA365" s="515"/>
      <c r="AV365" s="1708" t="s">
        <v>2736</v>
      </c>
      <c r="AW365" s="1709" t="s">
        <v>3050</v>
      </c>
      <c r="AX365" s="1234" t="str">
        <f t="shared" si="182"/>
        <v>XX_007.8750000000</v>
      </c>
      <c r="AY365" s="1711">
        <f>[1]!XX_R16</f>
        <v>7.875</v>
      </c>
      <c r="AZ365" s="1236">
        <f>[1]!XX_ARM05_P16+Input_PL_Incentive_XX</f>
        <v>102.86799999999999</v>
      </c>
      <c r="BA365" s="1236">
        <f>[1]!XX_FRM30_P16+Input_PL_Incentive_XX</f>
        <v>103.018</v>
      </c>
      <c r="BB365" s="1234">
        <f t="shared" si="180"/>
        <v>103.018</v>
      </c>
      <c r="BC365" s="1234" t="str">
        <f t="shared" si="183"/>
        <v>XX_103.0180000000</v>
      </c>
      <c r="BD365" s="1234"/>
      <c r="BE365" s="1713" t="s">
        <v>3130</v>
      </c>
    </row>
    <row r="366" spans="24:57" ht="9.6" customHeight="1" x14ac:dyDescent="0.2">
      <c r="X366" s="515"/>
      <c r="Y366" s="515"/>
      <c r="Z366" s="515"/>
      <c r="AA366" s="515"/>
      <c r="AV366" s="1708" t="s">
        <v>2736</v>
      </c>
      <c r="AW366" s="1709" t="s">
        <v>3050</v>
      </c>
      <c r="AX366" s="1234" t="str">
        <f t="shared" si="182"/>
        <v>XX_007.7500000000</v>
      </c>
      <c r="AY366" s="1711">
        <f>[1]!XX_R17</f>
        <v>7.75</v>
      </c>
      <c r="AZ366" s="1236">
        <f>[1]!XX_ARM05_P17+Input_PL_Incentive_XX</f>
        <v>102.524</v>
      </c>
      <c r="BA366" s="1236">
        <f>[1]!XX_FRM30_P17+Input_PL_Incentive_XX</f>
        <v>102.67400000000001</v>
      </c>
      <c r="BB366" s="1234">
        <f t="shared" si="180"/>
        <v>102.67400000000001</v>
      </c>
      <c r="BC366" s="1234" t="str">
        <f t="shared" si="183"/>
        <v>XX_102.6740000000</v>
      </c>
      <c r="BD366" s="1234"/>
      <c r="BE366" s="1713" t="s">
        <v>3131</v>
      </c>
    </row>
    <row r="367" spans="24:57" ht="9.6" customHeight="1" x14ac:dyDescent="0.2">
      <c r="X367" s="515"/>
      <c r="Y367" s="515"/>
      <c r="Z367" s="515"/>
      <c r="AA367" s="515"/>
      <c r="AV367" s="1708" t="s">
        <v>2736</v>
      </c>
      <c r="AW367" s="1709" t="s">
        <v>3050</v>
      </c>
      <c r="AX367" s="1234" t="str">
        <f t="shared" si="182"/>
        <v>XX_007.6250000000</v>
      </c>
      <c r="AY367" s="1711">
        <f>[1]!XX_R18</f>
        <v>7.625</v>
      </c>
      <c r="AZ367" s="1236">
        <f>[1]!XX_ARM05_P18+Input_PL_Incentive_XX</f>
        <v>102.181</v>
      </c>
      <c r="BA367" s="1236">
        <f>[1]!XX_FRM30_P18+Input_PL_Incentive_XX</f>
        <v>102.331</v>
      </c>
      <c r="BB367" s="1234">
        <f t="shared" si="180"/>
        <v>102.331</v>
      </c>
      <c r="BC367" s="1234" t="str">
        <f t="shared" si="183"/>
        <v>XX_102.3310000000</v>
      </c>
      <c r="BD367" s="1234"/>
      <c r="BE367" s="1713" t="s">
        <v>3132</v>
      </c>
    </row>
    <row r="368" spans="24:57" ht="9.6" customHeight="1" x14ac:dyDescent="0.2">
      <c r="X368" s="515"/>
      <c r="Y368" s="515"/>
      <c r="Z368" s="515"/>
      <c r="AA368" s="515"/>
      <c r="AV368" s="1708" t="s">
        <v>2736</v>
      </c>
      <c r="AW368" s="1709" t="s">
        <v>3050</v>
      </c>
      <c r="AX368" s="1234" t="str">
        <f t="shared" si="182"/>
        <v>XX_007.5000000000</v>
      </c>
      <c r="AY368" s="1711">
        <f>[1]!XX_R19</f>
        <v>7.5</v>
      </c>
      <c r="AZ368" s="1236">
        <f>[1]!XX_ARM05_P19+Input_PL_Incentive_XX</f>
        <v>101.83799999999999</v>
      </c>
      <c r="BA368" s="1236">
        <f>[1]!XX_FRM30_P19+Input_PL_Incentive_XX</f>
        <v>101.988</v>
      </c>
      <c r="BB368" s="1234">
        <f t="shared" si="180"/>
        <v>101.988</v>
      </c>
      <c r="BC368" s="1234" t="str">
        <f t="shared" si="183"/>
        <v>XX_101.9880000000</v>
      </c>
      <c r="BD368" s="1234"/>
      <c r="BE368" s="1713" t="s">
        <v>3133</v>
      </c>
    </row>
    <row r="369" spans="48:57" ht="9.6" customHeight="1" x14ac:dyDescent="0.2">
      <c r="AV369" s="1708" t="s">
        <v>2736</v>
      </c>
      <c r="AW369" s="1709" t="s">
        <v>3050</v>
      </c>
      <c r="AX369" s="1234" t="str">
        <f t="shared" si="182"/>
        <v>XX_007.3750000000</v>
      </c>
      <c r="AY369" s="1711">
        <f>[1]!XX_R20</f>
        <v>7.375</v>
      </c>
      <c r="AZ369" s="1236">
        <f>[1]!XX_ARM05_P20+Input_PL_Incentive_XX</f>
        <v>101.46299999999999</v>
      </c>
      <c r="BA369" s="1236">
        <f>[1]!XX_FRM30_P20+Input_PL_Incentive_XX</f>
        <v>101.613</v>
      </c>
      <c r="BB369" s="1234">
        <f t="shared" si="180"/>
        <v>101.613</v>
      </c>
      <c r="BC369" s="1234" t="str">
        <f t="shared" si="183"/>
        <v>XX_101.6130000000</v>
      </c>
      <c r="BD369" s="1234"/>
      <c r="BE369" s="1713" t="s">
        <v>3134</v>
      </c>
    </row>
    <row r="370" spans="48:57" ht="9.6" customHeight="1" x14ac:dyDescent="0.2">
      <c r="AV370" s="1708" t="s">
        <v>2736</v>
      </c>
      <c r="AW370" s="1709" t="s">
        <v>3050</v>
      </c>
      <c r="AX370" s="1234" t="str">
        <f t="shared" si="182"/>
        <v>XX_007.2500000000</v>
      </c>
      <c r="AY370" s="1711">
        <f>[1]!XX_R21</f>
        <v>7.25</v>
      </c>
      <c r="AZ370" s="1236">
        <f>[1]!XX_ARM05_P21+Input_PL_Incentive_XX</f>
        <v>101.057</v>
      </c>
      <c r="BA370" s="1236">
        <f>[1]!XX_FRM30_P21+Input_PL_Incentive_XX</f>
        <v>101.20699999999999</v>
      </c>
      <c r="BB370" s="1234">
        <f t="shared" si="180"/>
        <v>101.20699999999999</v>
      </c>
      <c r="BC370" s="1234" t="str">
        <f t="shared" si="183"/>
        <v>XX_101.2070000000</v>
      </c>
      <c r="BD370" s="1234"/>
      <c r="BE370" s="1713" t="s">
        <v>3135</v>
      </c>
    </row>
    <row r="371" spans="48:57" ht="9.6" customHeight="1" x14ac:dyDescent="0.2">
      <c r="AV371" s="1708" t="s">
        <v>2736</v>
      </c>
      <c r="AW371" s="1709" t="s">
        <v>3050</v>
      </c>
      <c r="AX371" s="1234" t="str">
        <f t="shared" si="182"/>
        <v>XX_007.1250000000</v>
      </c>
      <c r="AY371" s="1711">
        <f>[1]!XX_R22</f>
        <v>7.125</v>
      </c>
      <c r="AZ371" s="1236">
        <f>[1]!XX_ARM05_P22+Input_PL_Incentive_XX</f>
        <v>100.619</v>
      </c>
      <c r="BA371" s="1236">
        <f>[1]!XX_FRM30_P22+Input_PL_Incentive_XX</f>
        <v>100.76900000000001</v>
      </c>
      <c r="BB371" s="1234">
        <f t="shared" si="180"/>
        <v>100.76900000000001</v>
      </c>
      <c r="BC371" s="1234" t="str">
        <f t="shared" si="183"/>
        <v>XX_100.7690000000</v>
      </c>
      <c r="BD371" s="1234"/>
      <c r="BE371" s="1713" t="s">
        <v>3136</v>
      </c>
    </row>
    <row r="372" spans="48:57" ht="9.6" customHeight="1" x14ac:dyDescent="0.2">
      <c r="AV372" s="1708" t="s">
        <v>2736</v>
      </c>
      <c r="AW372" s="1709" t="s">
        <v>3050</v>
      </c>
      <c r="AX372" s="1234" t="str">
        <f t="shared" si="182"/>
        <v>XX_007.0000000000</v>
      </c>
      <c r="AY372" s="1711">
        <f>[1]!XX_R23</f>
        <v>7</v>
      </c>
      <c r="AZ372" s="1236">
        <f>[1]!XX_ARM05_P23+Input_PL_Incentive_XX</f>
        <v>100.151</v>
      </c>
      <c r="BA372" s="1236">
        <f>[1]!XX_FRM30_P23+Input_PL_Incentive_XX</f>
        <v>100.301</v>
      </c>
      <c r="BB372" s="1234">
        <f t="shared" si="180"/>
        <v>100.301</v>
      </c>
      <c r="BC372" s="1234" t="str">
        <f t="shared" si="183"/>
        <v>XX_100.3010000000</v>
      </c>
      <c r="BD372" s="1234"/>
      <c r="BE372" s="1713" t="s">
        <v>3137</v>
      </c>
    </row>
    <row r="373" spans="48:57" ht="9.6" customHeight="1" x14ac:dyDescent="0.2">
      <c r="AV373" s="1708" t="s">
        <v>2736</v>
      </c>
      <c r="AW373" s="1709" t="s">
        <v>3050</v>
      </c>
      <c r="AX373" s="1234" t="str">
        <f t="shared" si="182"/>
        <v>XX_006.8750000000</v>
      </c>
      <c r="AY373" s="1711">
        <f>[1]!XX_R24</f>
        <v>6.875</v>
      </c>
      <c r="AZ373" s="1236">
        <f>[1]!XX_ARM05_P24+Input_PL_Incentive_XX</f>
        <v>99.587999999999994</v>
      </c>
      <c r="BA373" s="1236">
        <f>[1]!XX_FRM30_P24+Input_PL_Incentive_XX</f>
        <v>99.738</v>
      </c>
      <c r="BB373" s="1234">
        <f t="shared" ref="BB373:BB430" si="184">IF(INDEX(List_AmortTermAll,MATCH(Input_AmortTerm,List_AmortTerm,0),3)=1,AZ373,IF(INDEX(List_AmortTermAll,MATCH(Input_AmortTerm,List_AmortTerm,0),3)=2,BA373,#N/A))</f>
        <v>99.738</v>
      </c>
      <c r="BC373" s="1234" t="str">
        <f t="shared" si="183"/>
        <v>XX_099.7380000000</v>
      </c>
      <c r="BD373" s="1234"/>
      <c r="BE373" s="1713" t="s">
        <v>3138</v>
      </c>
    </row>
    <row r="374" spans="48:57" ht="9.6" customHeight="1" x14ac:dyDescent="0.2">
      <c r="AV374" s="1708" t="s">
        <v>2736</v>
      </c>
      <c r="AW374" s="1709" t="s">
        <v>3050</v>
      </c>
      <c r="AX374" s="1234" t="str">
        <f t="shared" si="182"/>
        <v>XX_006.7500000000</v>
      </c>
      <c r="AY374" s="1711">
        <f>[1]!XX_R25</f>
        <v>6.75</v>
      </c>
      <c r="AZ374" s="1236">
        <f>[1]!XX_ARM05_P25+Input_PL_Incentive_XX</f>
        <v>99.025999999999996</v>
      </c>
      <c r="BA374" s="1236">
        <f>[1]!XX_FRM30_P25+Input_PL_Incentive_XX</f>
        <v>99.176000000000002</v>
      </c>
      <c r="BB374" s="1234">
        <f t="shared" si="184"/>
        <v>99.176000000000002</v>
      </c>
      <c r="BC374" s="1234" t="str">
        <f t="shared" si="183"/>
        <v>XX_099.1760000000</v>
      </c>
      <c r="BD374" s="1234"/>
      <c r="BE374" s="1713" t="s">
        <v>3139</v>
      </c>
    </row>
    <row r="375" spans="48:57" ht="9.6" customHeight="1" x14ac:dyDescent="0.2">
      <c r="AV375" s="1708" t="s">
        <v>2736</v>
      </c>
      <c r="AW375" s="1709" t="s">
        <v>3050</v>
      </c>
      <c r="AX375" s="1234" t="str">
        <f t="shared" si="182"/>
        <v>XX_006.6250000000</v>
      </c>
      <c r="AY375" s="1711">
        <f>[1]!XX_R26</f>
        <v>6.625</v>
      </c>
      <c r="AZ375" s="1236">
        <f>[1]!XX_ARM05_P26+Input_PL_Incentive_XX</f>
        <v>98.432000000000002</v>
      </c>
      <c r="BA375" s="1236">
        <f>[1]!XX_FRM30_P26+Input_PL_Incentive_XX</f>
        <v>98.581999999999994</v>
      </c>
      <c r="BB375" s="1234">
        <f t="shared" si="184"/>
        <v>98.581999999999994</v>
      </c>
      <c r="BC375" s="1234" t="str">
        <f t="shared" si="183"/>
        <v>XX_098.5820000000</v>
      </c>
      <c r="BD375" s="1234"/>
      <c r="BE375" s="1713" t="s">
        <v>3140</v>
      </c>
    </row>
    <row r="376" spans="48:57" ht="9.6" customHeight="1" x14ac:dyDescent="0.2">
      <c r="AV376" s="1706" t="s">
        <v>3021</v>
      </c>
      <c r="AW376" s="1707" t="s">
        <v>3052</v>
      </c>
      <c r="AX376" s="1248" t="str">
        <f t="shared" ref="AX376:AX401" si="185">"YX_"&amp;RIGHT("000"&amp;TRUNC(Lookup_NoteRate),3)&amp;TEXT(Lookup_NoteRate-TRUNC(Lookup_NoteRate),".0000000000")</f>
        <v>YX_009.7500000000</v>
      </c>
      <c r="AY376" s="1710">
        <f>[1]!YX_R01</f>
        <v>9.75</v>
      </c>
      <c r="AZ376" s="1250">
        <f>[1]!YX_ARM05_P01+Input_PL_Incentive_XX</f>
        <v>106.181</v>
      </c>
      <c r="BA376" s="1250">
        <f>[1]!YX_FRM30_P01+Input_PL_Incentive_XX</f>
        <v>106.331</v>
      </c>
      <c r="BB376" s="1248">
        <f t="shared" si="184"/>
        <v>106.331</v>
      </c>
      <c r="BC376" s="1248" t="str">
        <f t="shared" ref="BC376:BC401" si="186">"YX_"&amp;RIGHT("000"&amp;TRUNC(Lookup_PriceText),3)&amp;TEXT(Lookup_PriceText-TRUNC(Lookup_PriceText),".0000000000")</f>
        <v>YX_106.3310000000</v>
      </c>
      <c r="BD376" s="1248"/>
      <c r="BE376" s="1712" t="s">
        <v>3141</v>
      </c>
    </row>
    <row r="377" spans="48:57" ht="9.6" customHeight="1" x14ac:dyDescent="0.2">
      <c r="AV377" s="1708" t="s">
        <v>3021</v>
      </c>
      <c r="AW377" s="1709" t="s">
        <v>3052</v>
      </c>
      <c r="AX377" s="1234" t="str">
        <f t="shared" si="185"/>
        <v>YX_009.6250000000</v>
      </c>
      <c r="AY377" s="1711">
        <f>[1]!YX_R02</f>
        <v>9.625</v>
      </c>
      <c r="AZ377" s="1236">
        <f>[1]!YX_ARM05_P03+Input_PL_Incentive_XX</f>
        <v>105.931</v>
      </c>
      <c r="BA377" s="1236">
        <f>[1]!YX_FRM30_P02+Input_PL_Incentive_XX</f>
        <v>106.206</v>
      </c>
      <c r="BB377" s="1234">
        <f t="shared" si="184"/>
        <v>106.206</v>
      </c>
      <c r="BC377" s="1234" t="str">
        <f t="shared" si="186"/>
        <v>YX_106.2060000000</v>
      </c>
      <c r="BD377" s="1234"/>
      <c r="BE377" s="1713" t="s">
        <v>3142</v>
      </c>
    </row>
    <row r="378" spans="48:57" ht="9.6" customHeight="1" x14ac:dyDescent="0.2">
      <c r="AV378" s="1708" t="s">
        <v>3021</v>
      </c>
      <c r="AW378" s="1709" t="s">
        <v>3052</v>
      </c>
      <c r="AX378" s="1234" t="str">
        <f t="shared" si="185"/>
        <v>YX_009.5000000000</v>
      </c>
      <c r="AY378" s="1711">
        <f>[1]!YX_R03</f>
        <v>9.5</v>
      </c>
      <c r="AZ378" s="1236">
        <f>[1]!YX_ARM05_P03+Input_PL_Incentive_XX</f>
        <v>105.931</v>
      </c>
      <c r="BA378" s="1236">
        <f>[1]!YX_FRM30_P03+Input_PL_Incentive_XX</f>
        <v>106.081</v>
      </c>
      <c r="BB378" s="1234">
        <f t="shared" si="184"/>
        <v>106.081</v>
      </c>
      <c r="BC378" s="1234" t="str">
        <f t="shared" si="186"/>
        <v>YX_106.0810000000</v>
      </c>
      <c r="BD378" s="1234"/>
      <c r="BE378" s="1713" t="s">
        <v>3143</v>
      </c>
    </row>
    <row r="379" spans="48:57" ht="9.6" customHeight="1" x14ac:dyDescent="0.2">
      <c r="AV379" s="1708" t="s">
        <v>3021</v>
      </c>
      <c r="AW379" s="1709" t="s">
        <v>3052</v>
      </c>
      <c r="AX379" s="1234" t="str">
        <f t="shared" si="185"/>
        <v>YX_009.3750000000</v>
      </c>
      <c r="AY379" s="1711">
        <f>[1]!YX_R04</f>
        <v>9.375</v>
      </c>
      <c r="AZ379" s="1236">
        <f>[1]!YX_ARM05_P04+Input_PL_Incentive_XX</f>
        <v>105.74299999999999</v>
      </c>
      <c r="BA379" s="1236">
        <f>[1]!YX_FRM30_P04+Input_PL_Incentive_XX</f>
        <v>105.893</v>
      </c>
      <c r="BB379" s="1234">
        <f t="shared" si="184"/>
        <v>105.893</v>
      </c>
      <c r="BC379" s="1234" t="str">
        <f t="shared" si="186"/>
        <v>YX_105.8930000000</v>
      </c>
      <c r="BD379" s="1234"/>
      <c r="BE379" s="1713" t="s">
        <v>3144</v>
      </c>
    </row>
    <row r="380" spans="48:57" ht="9.6" customHeight="1" x14ac:dyDescent="0.2">
      <c r="AV380" s="1708" t="s">
        <v>3021</v>
      </c>
      <c r="AW380" s="1709" t="s">
        <v>3052</v>
      </c>
      <c r="AX380" s="1234" t="str">
        <f t="shared" si="185"/>
        <v>YX_009.2500000000</v>
      </c>
      <c r="AY380" s="1711">
        <f>[1]!YX_R05</f>
        <v>9.25</v>
      </c>
      <c r="AZ380" s="1236">
        <f>[1]!YX_ARM05_P05+Input_PL_Incentive_XX</f>
        <v>105.556</v>
      </c>
      <c r="BA380" s="1236">
        <f>[1]!YX_FRM30_P05+Input_PL_Incentive_XX</f>
        <v>105.706</v>
      </c>
      <c r="BB380" s="1234">
        <f t="shared" si="184"/>
        <v>105.706</v>
      </c>
      <c r="BC380" s="1234" t="str">
        <f t="shared" si="186"/>
        <v>YX_105.7060000000</v>
      </c>
      <c r="BD380" s="1234"/>
      <c r="BE380" s="1713" t="s">
        <v>3145</v>
      </c>
    </row>
    <row r="381" spans="48:57" ht="9.6" customHeight="1" x14ac:dyDescent="0.2">
      <c r="AV381" s="1708" t="s">
        <v>3021</v>
      </c>
      <c r="AW381" s="1709" t="s">
        <v>3052</v>
      </c>
      <c r="AX381" s="1234" t="str">
        <f t="shared" si="185"/>
        <v>YX_009.1250000000</v>
      </c>
      <c r="AY381" s="1711">
        <f>[1]!YX_R06</f>
        <v>9.125</v>
      </c>
      <c r="AZ381" s="1236">
        <f>[1]!YX_ARM05_P06+Input_PL_Incentive_XX</f>
        <v>105.36799999999999</v>
      </c>
      <c r="BA381" s="1236">
        <f>[1]!YX_FRM30_P06+Input_PL_Incentive_XX</f>
        <v>105.518</v>
      </c>
      <c r="BB381" s="1234">
        <f t="shared" si="184"/>
        <v>105.518</v>
      </c>
      <c r="BC381" s="1234" t="str">
        <f t="shared" si="186"/>
        <v>YX_105.5180000000</v>
      </c>
      <c r="BD381" s="1234"/>
      <c r="BE381" s="1713" t="s">
        <v>3146</v>
      </c>
    </row>
    <row r="382" spans="48:57" ht="9.6" customHeight="1" x14ac:dyDescent="0.2">
      <c r="AV382" s="1708" t="s">
        <v>3021</v>
      </c>
      <c r="AW382" s="1709" t="s">
        <v>3052</v>
      </c>
      <c r="AX382" s="1234" t="str">
        <f t="shared" si="185"/>
        <v>YX_009.0000000000</v>
      </c>
      <c r="AY382" s="1711">
        <f>[1]!YX_R07</f>
        <v>9</v>
      </c>
      <c r="AZ382" s="1236">
        <f>[1]!YX_ARM05_P07+Input_PL_Incentive_XX</f>
        <v>105.181</v>
      </c>
      <c r="BA382" s="1236">
        <f>[1]!YX_FRM30_P07+Input_PL_Incentive_XX</f>
        <v>105.331</v>
      </c>
      <c r="BB382" s="1234">
        <f t="shared" si="184"/>
        <v>105.331</v>
      </c>
      <c r="BC382" s="1234" t="str">
        <f t="shared" si="186"/>
        <v>YX_105.3310000000</v>
      </c>
      <c r="BD382" s="1234"/>
      <c r="BE382" s="1713" t="s">
        <v>3147</v>
      </c>
    </row>
    <row r="383" spans="48:57" ht="9.6" customHeight="1" x14ac:dyDescent="0.2">
      <c r="AV383" s="1708" t="s">
        <v>3021</v>
      </c>
      <c r="AW383" s="1709" t="s">
        <v>3052</v>
      </c>
      <c r="AX383" s="1234" t="str">
        <f t="shared" si="185"/>
        <v>YX_008.8750000000</v>
      </c>
      <c r="AY383" s="1711">
        <f>[1]!YX_R08</f>
        <v>8.875</v>
      </c>
      <c r="AZ383" s="1236">
        <f>[1]!YX_ARM05_P08+Input_PL_Incentive_XX</f>
        <v>104.931</v>
      </c>
      <c r="BA383" s="1236">
        <f>[1]!YX_FRM30_P08+Input_PL_Incentive_XX</f>
        <v>105.081</v>
      </c>
      <c r="BB383" s="1234">
        <f t="shared" si="184"/>
        <v>105.081</v>
      </c>
      <c r="BC383" s="1234" t="str">
        <f t="shared" si="186"/>
        <v>YX_105.0810000000</v>
      </c>
      <c r="BD383" s="1234"/>
      <c r="BE383" s="1713" t="s">
        <v>3148</v>
      </c>
    </row>
    <row r="384" spans="48:57" ht="9.6" customHeight="1" x14ac:dyDescent="0.2">
      <c r="AV384" s="1708" t="s">
        <v>3021</v>
      </c>
      <c r="AW384" s="1709" t="s">
        <v>3052</v>
      </c>
      <c r="AX384" s="1234" t="str">
        <f t="shared" si="185"/>
        <v>YX_008.7500000000</v>
      </c>
      <c r="AY384" s="1711">
        <f>[1]!YX_R09</f>
        <v>8.75</v>
      </c>
      <c r="AZ384" s="1236">
        <f>[1]!YX_ARM05_P09+Input_PL_Incentive_XX</f>
        <v>104.681</v>
      </c>
      <c r="BA384" s="1236">
        <f>[1]!YX_FRM30_P09+Input_PL_Incentive_XX</f>
        <v>104.831</v>
      </c>
      <c r="BB384" s="1234">
        <f t="shared" si="184"/>
        <v>104.831</v>
      </c>
      <c r="BC384" s="1234" t="str">
        <f t="shared" si="186"/>
        <v>YX_104.8310000000</v>
      </c>
      <c r="BD384" s="1234"/>
      <c r="BE384" s="1713" t="s">
        <v>3149</v>
      </c>
    </row>
    <row r="385" spans="48:57" ht="9.6" customHeight="1" x14ac:dyDescent="0.2">
      <c r="AV385" s="1708" t="s">
        <v>3021</v>
      </c>
      <c r="AW385" s="1709" t="s">
        <v>3052</v>
      </c>
      <c r="AX385" s="1234" t="str">
        <f t="shared" si="185"/>
        <v>YX_008.6250000000</v>
      </c>
      <c r="AY385" s="1711">
        <f>[1]!YX_R10</f>
        <v>8.625</v>
      </c>
      <c r="AZ385" s="1236">
        <f>[1]!YX_ARM05_P10+Input_PL_Incentive_XX</f>
        <v>104.431</v>
      </c>
      <c r="BA385" s="1236">
        <f>[1]!YX_FRM30_P10+Input_PL_Incentive_XX</f>
        <v>104.581</v>
      </c>
      <c r="BB385" s="1234">
        <f t="shared" si="184"/>
        <v>104.581</v>
      </c>
      <c r="BC385" s="1234" t="str">
        <f t="shared" si="186"/>
        <v>YX_104.5810000000</v>
      </c>
      <c r="BD385" s="1234"/>
      <c r="BE385" s="1713" t="s">
        <v>3150</v>
      </c>
    </row>
    <row r="386" spans="48:57" ht="9.6" customHeight="1" x14ac:dyDescent="0.2">
      <c r="AV386" s="1708" t="s">
        <v>3021</v>
      </c>
      <c r="AW386" s="1709" t="s">
        <v>3052</v>
      </c>
      <c r="AX386" s="1234" t="str">
        <f t="shared" si="185"/>
        <v>YX_008.5000000000</v>
      </c>
      <c r="AY386" s="1711">
        <f>[1]!YX_R11</f>
        <v>8.5</v>
      </c>
      <c r="AZ386" s="1236">
        <f>[1]!YX_ARM05_P11+Input_PL_Incentive_XX</f>
        <v>104.181</v>
      </c>
      <c r="BA386" s="1236">
        <f>[1]!YX_FRM30_P11+Input_PL_Incentive_XX</f>
        <v>104.331</v>
      </c>
      <c r="BB386" s="1234">
        <f t="shared" si="184"/>
        <v>104.331</v>
      </c>
      <c r="BC386" s="1234" t="str">
        <f t="shared" si="186"/>
        <v>YX_104.3310000000</v>
      </c>
      <c r="BD386" s="1234"/>
      <c r="BE386" s="1713" t="s">
        <v>3151</v>
      </c>
    </row>
    <row r="387" spans="48:57" ht="9.6" customHeight="1" x14ac:dyDescent="0.2">
      <c r="AV387" s="1708" t="s">
        <v>3021</v>
      </c>
      <c r="AW387" s="1709" t="s">
        <v>3052</v>
      </c>
      <c r="AX387" s="1234" t="str">
        <f t="shared" si="185"/>
        <v>YX_008.3750000000</v>
      </c>
      <c r="AY387" s="1711">
        <f>[1]!YX_R12</f>
        <v>8.375</v>
      </c>
      <c r="AZ387" s="1236">
        <f>[1]!YX_ARM05_P12+Input_PL_Incentive_XX</f>
        <v>103.931</v>
      </c>
      <c r="BA387" s="1236">
        <f>[1]!YX_FRM30_P12+Input_PL_Incentive_XX</f>
        <v>104.081</v>
      </c>
      <c r="BB387" s="1234">
        <f t="shared" si="184"/>
        <v>104.081</v>
      </c>
      <c r="BC387" s="1234" t="str">
        <f t="shared" si="186"/>
        <v>YX_104.0810000000</v>
      </c>
      <c r="BD387" s="1234"/>
      <c r="BE387" s="1713" t="s">
        <v>3152</v>
      </c>
    </row>
    <row r="388" spans="48:57" ht="9.6" customHeight="1" x14ac:dyDescent="0.2">
      <c r="AV388" s="1708" t="s">
        <v>3021</v>
      </c>
      <c r="AW388" s="1709" t="s">
        <v>3052</v>
      </c>
      <c r="AX388" s="1234" t="str">
        <f t="shared" si="185"/>
        <v>YX_008.2500000000</v>
      </c>
      <c r="AY388" s="1711">
        <f>[1]!YX_R13</f>
        <v>8.25</v>
      </c>
      <c r="AZ388" s="1236">
        <f>[1]!YX_ARM05_P13+Input_PL_Incentive_XX</f>
        <v>103.681</v>
      </c>
      <c r="BA388" s="1236">
        <f>[1]!YX_FRM30_P13+Input_PL_Incentive_XX</f>
        <v>103.831</v>
      </c>
      <c r="BB388" s="1234">
        <f t="shared" si="184"/>
        <v>103.831</v>
      </c>
      <c r="BC388" s="1234" t="str">
        <f t="shared" si="186"/>
        <v>YX_103.8310000000</v>
      </c>
      <c r="BD388" s="1234"/>
      <c r="BE388" s="1713" t="s">
        <v>3153</v>
      </c>
    </row>
    <row r="389" spans="48:57" ht="9.6" customHeight="1" x14ac:dyDescent="0.2">
      <c r="AV389" s="1708" t="s">
        <v>3021</v>
      </c>
      <c r="AW389" s="1709" t="s">
        <v>3052</v>
      </c>
      <c r="AX389" s="1234" t="str">
        <f t="shared" si="185"/>
        <v>YX_008.1250000000</v>
      </c>
      <c r="AY389" s="1711">
        <f>[1]!YX_R14</f>
        <v>8.125</v>
      </c>
      <c r="AZ389" s="1236">
        <f>[1]!YX_ARM05_P14+Input_PL_Incentive_XX</f>
        <v>103.431</v>
      </c>
      <c r="BA389" s="1236">
        <f>[1]!YX_FRM30_P14+Input_PL_Incentive_XX</f>
        <v>103.581</v>
      </c>
      <c r="BB389" s="1234">
        <f t="shared" si="184"/>
        <v>103.581</v>
      </c>
      <c r="BC389" s="1234" t="str">
        <f t="shared" si="186"/>
        <v>YX_103.5810000000</v>
      </c>
      <c r="BD389" s="1234"/>
      <c r="BE389" s="1713" t="s">
        <v>3154</v>
      </c>
    </row>
    <row r="390" spans="48:57" ht="9.6" customHeight="1" x14ac:dyDescent="0.2">
      <c r="AV390" s="1708" t="s">
        <v>3021</v>
      </c>
      <c r="AW390" s="1709" t="s">
        <v>3052</v>
      </c>
      <c r="AX390" s="1234" t="str">
        <f t="shared" si="185"/>
        <v>YX_008.0000000000</v>
      </c>
      <c r="AY390" s="1711">
        <f>[1]!YX_R15</f>
        <v>8</v>
      </c>
      <c r="AZ390" s="1236">
        <f>[1]!YX_ARM05_P15+Input_PL_Incentive_XX</f>
        <v>103.181</v>
      </c>
      <c r="BA390" s="1236">
        <f>[1]!YX_FRM30_P15+Input_PL_Incentive_XX</f>
        <v>103.331</v>
      </c>
      <c r="BB390" s="1234">
        <f t="shared" si="184"/>
        <v>103.331</v>
      </c>
      <c r="BC390" s="1234" t="str">
        <f t="shared" si="186"/>
        <v>YX_103.3310000000</v>
      </c>
      <c r="BD390" s="1234"/>
      <c r="BE390" s="1713" t="s">
        <v>3155</v>
      </c>
    </row>
    <row r="391" spans="48:57" ht="9.6" customHeight="1" x14ac:dyDescent="0.2">
      <c r="AV391" s="1708" t="s">
        <v>3021</v>
      </c>
      <c r="AW391" s="1709" t="s">
        <v>3052</v>
      </c>
      <c r="AX391" s="1234" t="str">
        <f t="shared" si="185"/>
        <v>YX_007.8750000000</v>
      </c>
      <c r="AY391" s="1711">
        <f>[1]!YX_R16</f>
        <v>7.875</v>
      </c>
      <c r="AZ391" s="1236">
        <f>[1]!YX_ARM05_P16+Input_PL_Incentive_XX</f>
        <v>102.86799999999999</v>
      </c>
      <c r="BA391" s="1236">
        <f>[1]!YX_FRM30_P16+Input_PL_Incentive_XX</f>
        <v>103.018</v>
      </c>
      <c r="BB391" s="1234">
        <f t="shared" si="184"/>
        <v>103.018</v>
      </c>
      <c r="BC391" s="1234" t="str">
        <f t="shared" si="186"/>
        <v>YX_103.0180000000</v>
      </c>
      <c r="BD391" s="1234"/>
      <c r="BE391" s="1713" t="s">
        <v>3156</v>
      </c>
    </row>
    <row r="392" spans="48:57" ht="9.6" customHeight="1" x14ac:dyDescent="0.2">
      <c r="AV392" s="1708" t="s">
        <v>3021</v>
      </c>
      <c r="AW392" s="1709" t="s">
        <v>3052</v>
      </c>
      <c r="AX392" s="1234" t="str">
        <f t="shared" si="185"/>
        <v>YX_007.7500000000</v>
      </c>
      <c r="AY392" s="1711">
        <f>[1]!YX_R17</f>
        <v>7.75</v>
      </c>
      <c r="AZ392" s="1236">
        <f>[1]!YX_ARM05_P17+Input_PL_Incentive_XX</f>
        <v>102.524</v>
      </c>
      <c r="BA392" s="1236">
        <f>[1]!YX_FRM30_P17+Input_PL_Incentive_XX</f>
        <v>102.67400000000001</v>
      </c>
      <c r="BB392" s="1234">
        <f t="shared" si="184"/>
        <v>102.67400000000001</v>
      </c>
      <c r="BC392" s="1234" t="str">
        <f t="shared" si="186"/>
        <v>YX_102.6740000000</v>
      </c>
      <c r="BD392" s="1234"/>
      <c r="BE392" s="1713" t="s">
        <v>3157</v>
      </c>
    </row>
    <row r="393" spans="48:57" ht="9.6" customHeight="1" x14ac:dyDescent="0.2">
      <c r="AV393" s="1708" t="s">
        <v>3021</v>
      </c>
      <c r="AW393" s="1709" t="s">
        <v>3052</v>
      </c>
      <c r="AX393" s="1234" t="str">
        <f t="shared" si="185"/>
        <v>YX_007.6250000000</v>
      </c>
      <c r="AY393" s="1711">
        <f>[1]!YX_R18</f>
        <v>7.625</v>
      </c>
      <c r="AZ393" s="1236">
        <f>[1]!YX_ARM05_P18+Input_PL_Incentive_XX</f>
        <v>102.181</v>
      </c>
      <c r="BA393" s="1236">
        <f>[1]!YX_FRM30_P18+Input_PL_Incentive_XX</f>
        <v>102.331</v>
      </c>
      <c r="BB393" s="1234">
        <f t="shared" si="184"/>
        <v>102.331</v>
      </c>
      <c r="BC393" s="1234" t="str">
        <f t="shared" si="186"/>
        <v>YX_102.3310000000</v>
      </c>
      <c r="BD393" s="1234"/>
      <c r="BE393" s="1713" t="s">
        <v>3158</v>
      </c>
    </row>
    <row r="394" spans="48:57" ht="9.6" customHeight="1" x14ac:dyDescent="0.2">
      <c r="AV394" s="1708" t="s">
        <v>3021</v>
      </c>
      <c r="AW394" s="1709" t="s">
        <v>3052</v>
      </c>
      <c r="AX394" s="1234" t="str">
        <f t="shared" si="185"/>
        <v>YX_007.5000000000</v>
      </c>
      <c r="AY394" s="1711">
        <f>[1]!YX_R19</f>
        <v>7.5</v>
      </c>
      <c r="AZ394" s="1236">
        <f>[1]!YX_ARM05_P19+Input_PL_Incentive_XX</f>
        <v>101.83799999999999</v>
      </c>
      <c r="BA394" s="1236">
        <f>[1]!YX_FRM30_P19+Input_PL_Incentive_XX</f>
        <v>101.988</v>
      </c>
      <c r="BB394" s="1234">
        <f t="shared" si="184"/>
        <v>101.988</v>
      </c>
      <c r="BC394" s="1234" t="str">
        <f t="shared" si="186"/>
        <v>YX_101.9880000000</v>
      </c>
      <c r="BD394" s="1234"/>
      <c r="BE394" s="1713" t="s">
        <v>3159</v>
      </c>
    </row>
    <row r="395" spans="48:57" ht="9.6" customHeight="1" x14ac:dyDescent="0.2">
      <c r="AV395" s="1708" t="s">
        <v>3021</v>
      </c>
      <c r="AW395" s="1709" t="s">
        <v>3052</v>
      </c>
      <c r="AX395" s="1234" t="str">
        <f t="shared" si="185"/>
        <v>YX_007.3750000000</v>
      </c>
      <c r="AY395" s="1711">
        <f>[1]!YX_R20</f>
        <v>7.375</v>
      </c>
      <c r="AZ395" s="1236">
        <f>[1]!YX_ARM05_P20+Input_PL_Incentive_XX</f>
        <v>101.46299999999999</v>
      </c>
      <c r="BA395" s="1236">
        <f>[1]!YX_FRM30_P20+Input_PL_Incentive_XX</f>
        <v>101.613</v>
      </c>
      <c r="BB395" s="1234">
        <f t="shared" si="184"/>
        <v>101.613</v>
      </c>
      <c r="BC395" s="1234" t="str">
        <f t="shared" si="186"/>
        <v>YX_101.6130000000</v>
      </c>
      <c r="BD395" s="1234"/>
      <c r="BE395" s="1713" t="s">
        <v>3160</v>
      </c>
    </row>
    <row r="396" spans="48:57" ht="9.6" customHeight="1" x14ac:dyDescent="0.2">
      <c r="AV396" s="1708" t="s">
        <v>3021</v>
      </c>
      <c r="AW396" s="1709" t="s">
        <v>3052</v>
      </c>
      <c r="AX396" s="1234" t="str">
        <f t="shared" si="185"/>
        <v>YX_007.2500000000</v>
      </c>
      <c r="AY396" s="1711">
        <f>[1]!YX_R21</f>
        <v>7.25</v>
      </c>
      <c r="AZ396" s="1236">
        <f>[1]!YX_ARM05_P21+Input_PL_Incentive_XX</f>
        <v>101.057</v>
      </c>
      <c r="BA396" s="1236">
        <f>[1]!YX_FRM30_P21+Input_PL_Incentive_XX</f>
        <v>101.20699999999999</v>
      </c>
      <c r="BB396" s="1234">
        <f t="shared" si="184"/>
        <v>101.20699999999999</v>
      </c>
      <c r="BC396" s="1234" t="str">
        <f t="shared" si="186"/>
        <v>YX_101.2070000000</v>
      </c>
      <c r="BD396" s="1234"/>
      <c r="BE396" s="1713" t="s">
        <v>3161</v>
      </c>
    </row>
    <row r="397" spans="48:57" ht="9.6" customHeight="1" x14ac:dyDescent="0.2">
      <c r="AV397" s="1708" t="s">
        <v>3021</v>
      </c>
      <c r="AW397" s="1709" t="s">
        <v>3052</v>
      </c>
      <c r="AX397" s="1234" t="str">
        <f t="shared" si="185"/>
        <v>YX_007.1250000000</v>
      </c>
      <c r="AY397" s="1711">
        <f>[1]!YX_R22</f>
        <v>7.125</v>
      </c>
      <c r="AZ397" s="1236">
        <f>[1]!YX_ARM05_P22+Input_PL_Incentive_XX</f>
        <v>100.619</v>
      </c>
      <c r="BA397" s="1236">
        <f>[1]!YX_FRM30_P22+Input_PL_Incentive_XX</f>
        <v>100.76900000000001</v>
      </c>
      <c r="BB397" s="1234">
        <f t="shared" si="184"/>
        <v>100.76900000000001</v>
      </c>
      <c r="BC397" s="1234" t="str">
        <f t="shared" si="186"/>
        <v>YX_100.7690000000</v>
      </c>
      <c r="BD397" s="1234"/>
      <c r="BE397" s="1713" t="s">
        <v>3162</v>
      </c>
    </row>
    <row r="398" spans="48:57" ht="9.6" customHeight="1" x14ac:dyDescent="0.2">
      <c r="AV398" s="1708" t="s">
        <v>3021</v>
      </c>
      <c r="AW398" s="1709" t="s">
        <v>3052</v>
      </c>
      <c r="AX398" s="1234" t="str">
        <f t="shared" si="185"/>
        <v>YX_007.0000000000</v>
      </c>
      <c r="AY398" s="1711">
        <f>[1]!YX_R23</f>
        <v>7</v>
      </c>
      <c r="AZ398" s="1236">
        <f>[1]!YX_ARM05_P23+Input_PL_Incentive_XX</f>
        <v>100.151</v>
      </c>
      <c r="BA398" s="1236">
        <f>[1]!YX_FRM30_P23+Input_PL_Incentive_XX</f>
        <v>100.301</v>
      </c>
      <c r="BB398" s="1234">
        <f t="shared" si="184"/>
        <v>100.301</v>
      </c>
      <c r="BC398" s="1234" t="str">
        <f t="shared" si="186"/>
        <v>YX_100.3010000000</v>
      </c>
      <c r="BD398" s="1234"/>
      <c r="BE398" s="1713" t="s">
        <v>3163</v>
      </c>
    </row>
    <row r="399" spans="48:57" ht="9.6" customHeight="1" x14ac:dyDescent="0.2">
      <c r="AV399" s="1708" t="s">
        <v>3021</v>
      </c>
      <c r="AW399" s="1709" t="s">
        <v>3052</v>
      </c>
      <c r="AX399" s="1234" t="str">
        <f t="shared" si="185"/>
        <v>YX_006.8750000000</v>
      </c>
      <c r="AY399" s="1711">
        <f>[1]!YX_R24</f>
        <v>6.875</v>
      </c>
      <c r="AZ399" s="1236">
        <f>[1]!YX_ARM05_P24+Input_PL_Incentive_XX</f>
        <v>99.587999999999994</v>
      </c>
      <c r="BA399" s="1236">
        <f>[1]!YX_FRM30_P24+Input_PL_Incentive_XX</f>
        <v>99.738</v>
      </c>
      <c r="BB399" s="1234">
        <f t="shared" si="184"/>
        <v>99.738</v>
      </c>
      <c r="BC399" s="1234" t="str">
        <f t="shared" si="186"/>
        <v>YX_099.7380000000</v>
      </c>
      <c r="BD399" s="1234"/>
      <c r="BE399" s="1713" t="s">
        <v>3164</v>
      </c>
    </row>
    <row r="400" spans="48:57" ht="9.6" customHeight="1" x14ac:dyDescent="0.2">
      <c r="AV400" s="1708" t="s">
        <v>3021</v>
      </c>
      <c r="AW400" s="1709" t="s">
        <v>3052</v>
      </c>
      <c r="AX400" s="1234" t="str">
        <f t="shared" si="185"/>
        <v>YX_006.7500000000</v>
      </c>
      <c r="AY400" s="1711">
        <f>[1]!YX_R25</f>
        <v>6.75</v>
      </c>
      <c r="AZ400" s="1236">
        <f>[1]!YX_ARM05_P25+Input_PL_Incentive_XX</f>
        <v>99.025999999999996</v>
      </c>
      <c r="BA400" s="1236">
        <f>[1]!YX_FRM30_P25+Input_PL_Incentive_XX</f>
        <v>99.176000000000002</v>
      </c>
      <c r="BB400" s="1234">
        <f t="shared" si="184"/>
        <v>99.176000000000002</v>
      </c>
      <c r="BC400" s="1234" t="str">
        <f t="shared" si="186"/>
        <v>YX_099.1760000000</v>
      </c>
      <c r="BD400" s="1234"/>
      <c r="BE400" s="1713" t="s">
        <v>3165</v>
      </c>
    </row>
    <row r="401" spans="48:57" ht="9.6" customHeight="1" x14ac:dyDescent="0.2">
      <c r="AV401" s="1708" t="s">
        <v>3021</v>
      </c>
      <c r="AW401" s="1709" t="s">
        <v>3052</v>
      </c>
      <c r="AX401" s="1234" t="str">
        <f t="shared" si="185"/>
        <v>YX_006.6250000000</v>
      </c>
      <c r="AY401" s="1711">
        <f>[1]!YX_R26</f>
        <v>6.625</v>
      </c>
      <c r="AZ401" s="1236">
        <f>[1]!YX_ARM05_P26+Input_PL_Incentive_XX</f>
        <v>98.432000000000002</v>
      </c>
      <c r="BA401" s="1236">
        <f>[1]!YX_FRM30_P26+Input_PL_Incentive_XX</f>
        <v>98.581999999999994</v>
      </c>
      <c r="BB401" s="1234">
        <f t="shared" si="184"/>
        <v>98.581999999999994</v>
      </c>
      <c r="BC401" s="1234" t="str">
        <f t="shared" si="186"/>
        <v>YX_098.5820000000</v>
      </c>
      <c r="BD401" s="1234"/>
      <c r="BE401" s="1713" t="s">
        <v>3166</v>
      </c>
    </row>
    <row r="402" spans="48:57" ht="9.6" customHeight="1" x14ac:dyDescent="0.2">
      <c r="AV402" s="1714" t="s">
        <v>3018</v>
      </c>
      <c r="AW402" s="1715" t="s">
        <v>3053</v>
      </c>
      <c r="AX402" s="1248" t="str">
        <f t="shared" ref="AX402:AX430" si="187">"YF_"&amp;RIGHT("000"&amp;TRUNC(Lookup_NoteRate),3)&amp;TEXT(Lookup_NoteRate-TRUNC(Lookup_NoteRate),".0000000000")</f>
        <v>YF_010.2500000000</v>
      </c>
      <c r="AY402" s="1718">
        <f>[1]!YF_R01</f>
        <v>10.25</v>
      </c>
      <c r="AZ402" s="1250">
        <f>[1]!YF_ARM05_P01+Input_PL_Incentive_XF</f>
        <v>110.175</v>
      </c>
      <c r="BA402" s="1250">
        <f>[1]!YF_FRM30_P01+Input_PL_Incentive_XF</f>
        <v>110.02500000000001</v>
      </c>
      <c r="BB402" s="1248">
        <f t="shared" si="184"/>
        <v>110.02500000000001</v>
      </c>
      <c r="BC402" s="1248" t="str">
        <f t="shared" ref="BC402:BC430" si="188">"YF_"&amp;RIGHT("000"&amp;TRUNC(Lookup_PriceText),3)&amp;TEXT(Lookup_PriceText-TRUNC(Lookup_PriceText),".0000000000")</f>
        <v>YF_110.0250000000</v>
      </c>
      <c r="BD402" s="1248"/>
      <c r="BE402" s="1720" t="s">
        <v>3227</v>
      </c>
    </row>
    <row r="403" spans="48:57" ht="9.6" customHeight="1" x14ac:dyDescent="0.2">
      <c r="AV403" s="1716" t="s">
        <v>3018</v>
      </c>
      <c r="AW403" s="1717" t="s">
        <v>3053</v>
      </c>
      <c r="AX403" s="1234" t="str">
        <f t="shared" si="187"/>
        <v>YF_010.1250000000</v>
      </c>
      <c r="AY403" s="1719">
        <f>[1]!YF_R02</f>
        <v>10.125</v>
      </c>
      <c r="AZ403" s="1236">
        <f>[1]!YF_ARM05_P03+Input_PL_Incentive_XF</f>
        <v>109.675</v>
      </c>
      <c r="BA403" s="1236">
        <f>[1]!YF_FRM30_P02+Input_PL_Incentive_XF</f>
        <v>109.77500000000001</v>
      </c>
      <c r="BB403" s="1234">
        <f t="shared" si="184"/>
        <v>109.77500000000001</v>
      </c>
      <c r="BC403" s="1234" t="str">
        <f t="shared" si="188"/>
        <v>YF_109.7750000000</v>
      </c>
      <c r="BD403" s="1234"/>
      <c r="BE403" s="1721" t="s">
        <v>3228</v>
      </c>
    </row>
    <row r="404" spans="48:57" ht="9.6" customHeight="1" x14ac:dyDescent="0.2">
      <c r="AV404" s="1716" t="s">
        <v>3018</v>
      </c>
      <c r="AW404" s="1717" t="s">
        <v>3053</v>
      </c>
      <c r="AX404" s="1234" t="str">
        <f t="shared" si="187"/>
        <v>YF_010.0000000000</v>
      </c>
      <c r="AY404" s="1719">
        <f>[1]!YF_R03</f>
        <v>10</v>
      </c>
      <c r="AZ404" s="1236">
        <f>[1]!YF_ARM05_P03+Input_PL_Incentive_XF</f>
        <v>109.675</v>
      </c>
      <c r="BA404" s="1236">
        <f>[1]!YF_FRM30_P03+Input_PL_Incentive_XF</f>
        <v>109.52500000000001</v>
      </c>
      <c r="BB404" s="1234">
        <f t="shared" si="184"/>
        <v>109.52500000000001</v>
      </c>
      <c r="BC404" s="1234" t="str">
        <f t="shared" si="188"/>
        <v>YF_109.5250000000</v>
      </c>
      <c r="BD404" s="1234"/>
      <c r="BE404" s="1721" t="s">
        <v>3229</v>
      </c>
    </row>
    <row r="405" spans="48:57" ht="9.6" customHeight="1" x14ac:dyDescent="0.2">
      <c r="AV405" s="1716" t="s">
        <v>3018</v>
      </c>
      <c r="AW405" s="1717" t="s">
        <v>3053</v>
      </c>
      <c r="AX405" s="1234" t="str">
        <f t="shared" si="187"/>
        <v>YF_009.8750000000</v>
      </c>
      <c r="AY405" s="1719">
        <f>[1]!YF_R04</f>
        <v>9.875</v>
      </c>
      <c r="AZ405" s="1236">
        <f>[1]!YF_ARM05_P04+Input_PL_Incentive_XF</f>
        <v>109.425</v>
      </c>
      <c r="BA405" s="1236">
        <f>[1]!YF_FRM30_P04+Input_PL_Incentive_XF</f>
        <v>109.27500000000001</v>
      </c>
      <c r="BB405" s="1234">
        <f t="shared" si="184"/>
        <v>109.27500000000001</v>
      </c>
      <c r="BC405" s="1234" t="str">
        <f t="shared" si="188"/>
        <v>YF_109.2750000000</v>
      </c>
      <c r="BD405" s="1234"/>
      <c r="BE405" s="1721" t="s">
        <v>3230</v>
      </c>
    </row>
    <row r="406" spans="48:57" ht="9.6" customHeight="1" x14ac:dyDescent="0.2">
      <c r="AV406" s="1716" t="s">
        <v>3018</v>
      </c>
      <c r="AW406" s="1717" t="s">
        <v>3053</v>
      </c>
      <c r="AX406" s="1234" t="str">
        <f t="shared" si="187"/>
        <v>YF_009.7500000000</v>
      </c>
      <c r="AY406" s="1719">
        <f>[1]!YF_R05</f>
        <v>9.75</v>
      </c>
      <c r="AZ406" s="1236">
        <f>[1]!YF_ARM05_P05+Input_PL_Incentive_XF</f>
        <v>109.175</v>
      </c>
      <c r="BA406" s="1236">
        <f>[1]!YF_FRM30_P05+Input_PL_Incentive_XF</f>
        <v>109.02500000000001</v>
      </c>
      <c r="BB406" s="1234">
        <f t="shared" si="184"/>
        <v>109.02500000000001</v>
      </c>
      <c r="BC406" s="1234" t="str">
        <f t="shared" si="188"/>
        <v>YF_109.0250000000</v>
      </c>
      <c r="BD406" s="1234"/>
      <c r="BE406" s="1721" t="s">
        <v>3231</v>
      </c>
    </row>
    <row r="407" spans="48:57" ht="9.6" customHeight="1" x14ac:dyDescent="0.2">
      <c r="AV407" s="1716" t="s">
        <v>3018</v>
      </c>
      <c r="AW407" s="1717" t="s">
        <v>3053</v>
      </c>
      <c r="AX407" s="1234" t="str">
        <f t="shared" si="187"/>
        <v>YF_009.6250000000</v>
      </c>
      <c r="AY407" s="1719">
        <f>[1]!YF_R06</f>
        <v>9.625</v>
      </c>
      <c r="AZ407" s="1236">
        <f>[1]!YF_ARM05_P06+Input_PL_Incentive_XF</f>
        <v>108.925</v>
      </c>
      <c r="BA407" s="1236">
        <f>[1]!YF_FRM30_P06+Input_PL_Incentive_XF</f>
        <v>108.77500000000001</v>
      </c>
      <c r="BB407" s="1234">
        <f t="shared" si="184"/>
        <v>108.77500000000001</v>
      </c>
      <c r="BC407" s="1234" t="str">
        <f t="shared" si="188"/>
        <v>YF_108.7750000000</v>
      </c>
      <c r="BD407" s="1234"/>
      <c r="BE407" s="1721" t="s">
        <v>3232</v>
      </c>
    </row>
    <row r="408" spans="48:57" ht="9.6" customHeight="1" x14ac:dyDescent="0.2">
      <c r="AV408" s="1716" t="s">
        <v>3018</v>
      </c>
      <c r="AW408" s="1717" t="s">
        <v>3053</v>
      </c>
      <c r="AX408" s="1234" t="str">
        <f t="shared" si="187"/>
        <v>YF_009.5000000000</v>
      </c>
      <c r="AY408" s="1719">
        <f>[1]!YF_R07</f>
        <v>9.5</v>
      </c>
      <c r="AZ408" s="1236">
        <f>[1]!YF_ARM05_P07+Input_PL_Incentive_XF</f>
        <v>108.675</v>
      </c>
      <c r="BA408" s="1236">
        <f>[1]!YF_FRM30_P07+Input_PL_Incentive_XF</f>
        <v>108.52500000000001</v>
      </c>
      <c r="BB408" s="1234">
        <f t="shared" si="184"/>
        <v>108.52500000000001</v>
      </c>
      <c r="BC408" s="1234" t="str">
        <f t="shared" si="188"/>
        <v>YF_108.5250000000</v>
      </c>
      <c r="BD408" s="1234"/>
      <c r="BE408" s="1721" t="s">
        <v>3233</v>
      </c>
    </row>
    <row r="409" spans="48:57" ht="9.6" customHeight="1" x14ac:dyDescent="0.2">
      <c r="AV409" s="1716" t="s">
        <v>3018</v>
      </c>
      <c r="AW409" s="1717" t="s">
        <v>3053</v>
      </c>
      <c r="AX409" s="1234" t="str">
        <f t="shared" si="187"/>
        <v>YF_009.3750000000</v>
      </c>
      <c r="AY409" s="1719">
        <f>[1]!YF_R08</f>
        <v>9.375</v>
      </c>
      <c r="AZ409" s="1236">
        <f>[1]!YF_ARM05_P08+Input_PL_Incentive_XF</f>
        <v>108.425</v>
      </c>
      <c r="BA409" s="1236">
        <f>[1]!YF_FRM30_P08+Input_PL_Incentive_XF</f>
        <v>108.27500000000001</v>
      </c>
      <c r="BB409" s="1234">
        <f t="shared" si="184"/>
        <v>108.27500000000001</v>
      </c>
      <c r="BC409" s="1234" t="str">
        <f t="shared" si="188"/>
        <v>YF_108.2750000000</v>
      </c>
      <c r="BD409" s="1234"/>
      <c r="BE409" s="1721" t="s">
        <v>3234</v>
      </c>
    </row>
    <row r="410" spans="48:57" ht="9.6" customHeight="1" x14ac:dyDescent="0.2">
      <c r="AV410" s="1716" t="s">
        <v>3018</v>
      </c>
      <c r="AW410" s="1717" t="s">
        <v>3053</v>
      </c>
      <c r="AX410" s="1234" t="str">
        <f t="shared" si="187"/>
        <v>YF_009.2500000000</v>
      </c>
      <c r="AY410" s="1719">
        <f>[1]!YF_R09</f>
        <v>9.25</v>
      </c>
      <c r="AZ410" s="1236">
        <f>[1]!YF_ARM05_P09+Input_PL_Incentive_XF</f>
        <v>108.113</v>
      </c>
      <c r="BA410" s="1236">
        <f>[1]!YF_FRM30_P09+Input_PL_Incentive_XF</f>
        <v>107.96299999999999</v>
      </c>
      <c r="BB410" s="1234">
        <f t="shared" si="184"/>
        <v>107.96299999999999</v>
      </c>
      <c r="BC410" s="1234" t="str">
        <f t="shared" si="188"/>
        <v>YF_107.9630000000</v>
      </c>
      <c r="BD410" s="1234"/>
      <c r="BE410" s="1721" t="s">
        <v>3235</v>
      </c>
    </row>
    <row r="411" spans="48:57" ht="9.6" customHeight="1" x14ac:dyDescent="0.2">
      <c r="AV411" s="1716" t="s">
        <v>3018</v>
      </c>
      <c r="AW411" s="1717" t="s">
        <v>3053</v>
      </c>
      <c r="AX411" s="1234" t="str">
        <f t="shared" si="187"/>
        <v>YF_009.1250000000</v>
      </c>
      <c r="AY411" s="1719">
        <f>[1]!YF_R10</f>
        <v>9.125</v>
      </c>
      <c r="AZ411" s="1236">
        <f>[1]!YF_ARM05_P10+Input_PL_Incentive_XF</f>
        <v>107.738</v>
      </c>
      <c r="BA411" s="1236">
        <f>[1]!YF_FRM30_P10+Input_PL_Incentive_XF</f>
        <v>107.58799999999999</v>
      </c>
      <c r="BB411" s="1234">
        <f t="shared" si="184"/>
        <v>107.58799999999999</v>
      </c>
      <c r="BC411" s="1234" t="str">
        <f t="shared" si="188"/>
        <v>YF_107.5880000000</v>
      </c>
      <c r="BD411" s="1234"/>
      <c r="BE411" s="1721" t="s">
        <v>3236</v>
      </c>
    </row>
    <row r="412" spans="48:57" ht="9.6" customHeight="1" x14ac:dyDescent="0.2">
      <c r="AV412" s="1716" t="s">
        <v>3018</v>
      </c>
      <c r="AW412" s="1717" t="s">
        <v>3053</v>
      </c>
      <c r="AX412" s="1234" t="str">
        <f t="shared" si="187"/>
        <v>YF_009.0000000000</v>
      </c>
      <c r="AY412" s="1719">
        <f>[1]!YF_R11</f>
        <v>9</v>
      </c>
      <c r="AZ412" s="1236">
        <f>[1]!YF_ARM05_P11+Input_PL_Incentive_XF</f>
        <v>107.363</v>
      </c>
      <c r="BA412" s="1236">
        <f>[1]!YF_FRM30_P11+Input_PL_Incentive_XF</f>
        <v>107.21299999999999</v>
      </c>
      <c r="BB412" s="1234">
        <f t="shared" si="184"/>
        <v>107.21299999999999</v>
      </c>
      <c r="BC412" s="1234" t="str">
        <f t="shared" si="188"/>
        <v>YF_107.2130000000</v>
      </c>
      <c r="BD412" s="1234"/>
      <c r="BE412" s="1721" t="s">
        <v>3237</v>
      </c>
    </row>
    <row r="413" spans="48:57" ht="9.6" customHeight="1" x14ac:dyDescent="0.2">
      <c r="AV413" s="1716" t="s">
        <v>3018</v>
      </c>
      <c r="AW413" s="1717" t="s">
        <v>3053</v>
      </c>
      <c r="AX413" s="1234" t="str">
        <f t="shared" si="187"/>
        <v>YF_008.8750000000</v>
      </c>
      <c r="AY413" s="1719">
        <f>[1]!YF_R12</f>
        <v>8.875</v>
      </c>
      <c r="AZ413" s="1236">
        <f>[1]!YF_ARM05_P12+Input_PL_Incentive_XF</f>
        <v>106.988</v>
      </c>
      <c r="BA413" s="1236">
        <f>[1]!YF_FRM30_P12+Input_PL_Incentive_XF</f>
        <v>106.83799999999999</v>
      </c>
      <c r="BB413" s="1234">
        <f t="shared" si="184"/>
        <v>106.83799999999999</v>
      </c>
      <c r="BC413" s="1234" t="str">
        <f t="shared" si="188"/>
        <v>YF_106.8380000000</v>
      </c>
      <c r="BD413" s="1234"/>
      <c r="BE413" s="1721" t="s">
        <v>3238</v>
      </c>
    </row>
    <row r="414" spans="48:57" ht="9.6" customHeight="1" x14ac:dyDescent="0.2">
      <c r="AV414" s="1716" t="s">
        <v>3018</v>
      </c>
      <c r="AW414" s="1717" t="s">
        <v>3053</v>
      </c>
      <c r="AX414" s="1234" t="str">
        <f t="shared" si="187"/>
        <v>YF_008.7500000000</v>
      </c>
      <c r="AY414" s="1719">
        <f>[1]!YF_R13</f>
        <v>8.75</v>
      </c>
      <c r="AZ414" s="1236">
        <f>[1]!YF_ARM05_P13+Input_PL_Incentive_XF</f>
        <v>106.613</v>
      </c>
      <c r="BA414" s="1236">
        <f>[1]!YF_FRM30_P13+Input_PL_Incentive_XF</f>
        <v>106.46299999999999</v>
      </c>
      <c r="BB414" s="1234">
        <f t="shared" si="184"/>
        <v>106.46299999999999</v>
      </c>
      <c r="BC414" s="1234" t="str">
        <f t="shared" si="188"/>
        <v>YF_106.4630000000</v>
      </c>
      <c r="BD414" s="1234"/>
      <c r="BE414" s="1721" t="s">
        <v>3239</v>
      </c>
    </row>
    <row r="415" spans="48:57" ht="9.6" customHeight="1" x14ac:dyDescent="0.2">
      <c r="AV415" s="1716" t="s">
        <v>3018</v>
      </c>
      <c r="AW415" s="1717" t="s">
        <v>3053</v>
      </c>
      <c r="AX415" s="1234" t="str">
        <f t="shared" si="187"/>
        <v>YF_008.6250000000</v>
      </c>
      <c r="AY415" s="1719">
        <f>[1]!YF_R14</f>
        <v>8.625</v>
      </c>
      <c r="AZ415" s="1236">
        <f>[1]!YF_ARM05_P14+Input_PL_Incentive_XF</f>
        <v>106.238</v>
      </c>
      <c r="BA415" s="1236">
        <f>[1]!YF_FRM30_P14+Input_PL_Incentive_XF</f>
        <v>106.08799999999999</v>
      </c>
      <c r="BB415" s="1234">
        <f t="shared" si="184"/>
        <v>106.08799999999999</v>
      </c>
      <c r="BC415" s="1234" t="str">
        <f t="shared" si="188"/>
        <v>YF_106.0880000000</v>
      </c>
      <c r="BD415" s="1234"/>
      <c r="BE415" s="1721" t="s">
        <v>3240</v>
      </c>
    </row>
    <row r="416" spans="48:57" ht="9.6" customHeight="1" x14ac:dyDescent="0.2">
      <c r="AV416" s="1716" t="s">
        <v>3018</v>
      </c>
      <c r="AW416" s="1717" t="s">
        <v>3053</v>
      </c>
      <c r="AX416" s="1234" t="str">
        <f t="shared" si="187"/>
        <v>YF_008.5000000000</v>
      </c>
      <c r="AY416" s="1719">
        <f>[1]!YF_R15</f>
        <v>8.5</v>
      </c>
      <c r="AZ416" s="1236">
        <f>[1]!YF_ARM05_P15+Input_PL_Incentive_XF</f>
        <v>105.863</v>
      </c>
      <c r="BA416" s="1236">
        <f>[1]!YF_FRM30_P15+Input_PL_Incentive_XF</f>
        <v>105.71299999999999</v>
      </c>
      <c r="BB416" s="1234">
        <f t="shared" si="184"/>
        <v>105.71299999999999</v>
      </c>
      <c r="BC416" s="1234" t="str">
        <f t="shared" si="188"/>
        <v>YF_105.7130000000</v>
      </c>
      <c r="BD416" s="1234"/>
      <c r="BE416" s="1721" t="s">
        <v>3241</v>
      </c>
    </row>
    <row r="417" spans="48:57" ht="9.6" customHeight="1" x14ac:dyDescent="0.2">
      <c r="AV417" s="1716" t="s">
        <v>3018</v>
      </c>
      <c r="AW417" s="1717" t="s">
        <v>3053</v>
      </c>
      <c r="AX417" s="1234" t="str">
        <f t="shared" si="187"/>
        <v>YF_008.3750000000</v>
      </c>
      <c r="AY417" s="1719">
        <f>[1]!YF_R16</f>
        <v>8.375</v>
      </c>
      <c r="AZ417" s="1236">
        <f>[1]!YF_ARM05_P16+Input_PL_Incentive_XF</f>
        <v>105.488</v>
      </c>
      <c r="BA417" s="1236">
        <f>[1]!YF_FRM30_P16+Input_PL_Incentive_XF</f>
        <v>105.33799999999999</v>
      </c>
      <c r="BB417" s="1234">
        <f t="shared" si="184"/>
        <v>105.33799999999999</v>
      </c>
      <c r="BC417" s="1234" t="str">
        <f t="shared" si="188"/>
        <v>YF_105.3380000000</v>
      </c>
      <c r="BD417" s="1234"/>
      <c r="BE417" s="1721" t="s">
        <v>3242</v>
      </c>
    </row>
    <row r="418" spans="48:57" ht="9.6" customHeight="1" x14ac:dyDescent="0.2">
      <c r="AV418" s="1716" t="s">
        <v>3018</v>
      </c>
      <c r="AW418" s="1717" t="s">
        <v>3053</v>
      </c>
      <c r="AX418" s="1234" t="str">
        <f t="shared" si="187"/>
        <v>YF_008.2500000000</v>
      </c>
      <c r="AY418" s="1719">
        <f>[1]!YF_R17</f>
        <v>8.25</v>
      </c>
      <c r="AZ418" s="1236">
        <f>[1]!YF_ARM05_P17+Input_PL_Incentive_XF</f>
        <v>105.113</v>
      </c>
      <c r="BA418" s="1236">
        <f>[1]!YF_FRM30_P17+Input_PL_Incentive_XF</f>
        <v>104.96299999999999</v>
      </c>
      <c r="BB418" s="1234">
        <f t="shared" si="184"/>
        <v>104.96299999999999</v>
      </c>
      <c r="BC418" s="1234" t="str">
        <f t="shared" si="188"/>
        <v>YF_104.9630000000</v>
      </c>
      <c r="BD418" s="1234"/>
      <c r="BE418" s="1721" t="s">
        <v>3243</v>
      </c>
    </row>
    <row r="419" spans="48:57" ht="9.6" customHeight="1" x14ac:dyDescent="0.2">
      <c r="AV419" s="1716" t="s">
        <v>3018</v>
      </c>
      <c r="AW419" s="1717" t="s">
        <v>3053</v>
      </c>
      <c r="AX419" s="1234" t="str">
        <f t="shared" si="187"/>
        <v>YF_008.1250000000</v>
      </c>
      <c r="AY419" s="1719">
        <f>[1]!YF_R18</f>
        <v>8.125</v>
      </c>
      <c r="AZ419" s="1236">
        <f>[1]!YF_ARM05_P18+Input_PL_Incentive_XF</f>
        <v>104.738</v>
      </c>
      <c r="BA419" s="1236">
        <f>[1]!YF_FRM30_P18+Input_PL_Incentive_XF</f>
        <v>104.58799999999999</v>
      </c>
      <c r="BB419" s="1234">
        <f t="shared" si="184"/>
        <v>104.58799999999999</v>
      </c>
      <c r="BC419" s="1234" t="str">
        <f t="shared" si="188"/>
        <v>YF_104.5880000000</v>
      </c>
      <c r="BD419" s="1234"/>
      <c r="BE419" s="1721" t="s">
        <v>3244</v>
      </c>
    </row>
    <row r="420" spans="48:57" ht="9.6" customHeight="1" x14ac:dyDescent="0.2">
      <c r="AV420" s="1716" t="s">
        <v>3018</v>
      </c>
      <c r="AW420" s="1717" t="s">
        <v>3053</v>
      </c>
      <c r="AX420" s="1234" t="str">
        <f t="shared" si="187"/>
        <v>YF_008.0000000000</v>
      </c>
      <c r="AY420" s="1719">
        <f>[1]!YF_R19</f>
        <v>8</v>
      </c>
      <c r="AZ420" s="1236">
        <f>[1]!YF_ARM05_P19+Input_PL_Incentive_XF</f>
        <v>104.363</v>
      </c>
      <c r="BA420" s="1236">
        <f>[1]!YF_FRM30_P19+Input_PL_Incentive_XF</f>
        <v>104.21299999999999</v>
      </c>
      <c r="BB420" s="1234">
        <f t="shared" si="184"/>
        <v>104.21299999999999</v>
      </c>
      <c r="BC420" s="1234" t="str">
        <f t="shared" si="188"/>
        <v>YF_104.2130000000</v>
      </c>
      <c r="BD420" s="1234"/>
      <c r="BE420" s="1721" t="s">
        <v>3245</v>
      </c>
    </row>
    <row r="421" spans="48:57" ht="9.6" customHeight="1" x14ac:dyDescent="0.2">
      <c r="AV421" s="1716" t="s">
        <v>3018</v>
      </c>
      <c r="AW421" s="1717" t="s">
        <v>3053</v>
      </c>
      <c r="AX421" s="1234" t="str">
        <f t="shared" si="187"/>
        <v>YF_007.8750000000</v>
      </c>
      <c r="AY421" s="1719">
        <f>[1]!YF_R20</f>
        <v>7.875</v>
      </c>
      <c r="AZ421" s="1236">
        <f>[1]!YF_ARM05_P20+Input_PL_Incentive_XF</f>
        <v>103.988</v>
      </c>
      <c r="BA421" s="1236">
        <f>[1]!YF_FRM30_P20+Input_PL_Incentive_XF</f>
        <v>103.83799999999999</v>
      </c>
      <c r="BB421" s="1234">
        <f t="shared" si="184"/>
        <v>103.83799999999999</v>
      </c>
      <c r="BC421" s="1234" t="str">
        <f t="shared" si="188"/>
        <v>YF_103.8380000000</v>
      </c>
      <c r="BD421" s="1234"/>
      <c r="BE421" s="1721" t="s">
        <v>3246</v>
      </c>
    </row>
    <row r="422" spans="48:57" ht="9.6" customHeight="1" x14ac:dyDescent="0.2">
      <c r="AV422" s="1716" t="s">
        <v>3018</v>
      </c>
      <c r="AW422" s="1717" t="s">
        <v>3053</v>
      </c>
      <c r="AX422" s="1234" t="str">
        <f t="shared" si="187"/>
        <v>YF_007.7500000000</v>
      </c>
      <c r="AY422" s="1719">
        <f>[1]!YF_R21</f>
        <v>7.75</v>
      </c>
      <c r="AZ422" s="1236">
        <f>[1]!YF_ARM05_P21+Input_PL_Incentive_XF</f>
        <v>103.55</v>
      </c>
      <c r="BA422" s="1236">
        <f>[1]!YF_FRM30_P21+Input_PL_Incentive_XF</f>
        <v>103.4</v>
      </c>
      <c r="BB422" s="1234">
        <f t="shared" si="184"/>
        <v>103.4</v>
      </c>
      <c r="BC422" s="1234" t="str">
        <f t="shared" si="188"/>
        <v>YF_103.4000000000</v>
      </c>
      <c r="BD422" s="1234"/>
      <c r="BE422" s="1721" t="s">
        <v>3247</v>
      </c>
    </row>
    <row r="423" spans="48:57" ht="9.6" customHeight="1" x14ac:dyDescent="0.2">
      <c r="AV423" s="1716" t="s">
        <v>3018</v>
      </c>
      <c r="AW423" s="1717" t="s">
        <v>3053</v>
      </c>
      <c r="AX423" s="1234" t="str">
        <f t="shared" si="187"/>
        <v>YF_007.6250000000</v>
      </c>
      <c r="AY423" s="1719">
        <f>[1]!YF_R22</f>
        <v>7.625</v>
      </c>
      <c r="AZ423" s="1236">
        <f>[1]!YF_ARM05_P22+Input_PL_Incentive_XF</f>
        <v>103.113</v>
      </c>
      <c r="BA423" s="1236">
        <f>[1]!YF_FRM30_P22+Input_PL_Incentive_XF</f>
        <v>102.96299999999999</v>
      </c>
      <c r="BB423" s="1234">
        <f t="shared" si="184"/>
        <v>102.96299999999999</v>
      </c>
      <c r="BC423" s="1234" t="str">
        <f t="shared" si="188"/>
        <v>YF_102.9630000000</v>
      </c>
      <c r="BD423" s="1234"/>
      <c r="BE423" s="1721" t="s">
        <v>3248</v>
      </c>
    </row>
    <row r="424" spans="48:57" ht="9.6" customHeight="1" x14ac:dyDescent="0.2">
      <c r="AV424" s="1716" t="s">
        <v>3018</v>
      </c>
      <c r="AW424" s="1717" t="s">
        <v>3053</v>
      </c>
      <c r="AX424" s="1234" t="str">
        <f t="shared" si="187"/>
        <v>YF_007.5000000000</v>
      </c>
      <c r="AY424" s="1719">
        <f>[1]!YF_R23</f>
        <v>7.5</v>
      </c>
      <c r="AZ424" s="1236">
        <f>[1]!YF_ARM05_P23+Input_PL_Incentive_XF</f>
        <v>102.675</v>
      </c>
      <c r="BA424" s="1236">
        <f>[1]!YF_FRM30_P23+Input_PL_Incentive_XF</f>
        <v>102.52500000000001</v>
      </c>
      <c r="BB424" s="1234">
        <f t="shared" si="184"/>
        <v>102.52500000000001</v>
      </c>
      <c r="BC424" s="1234" t="str">
        <f t="shared" si="188"/>
        <v>YF_102.5250000000</v>
      </c>
      <c r="BD424" s="1234"/>
      <c r="BE424" s="1721" t="s">
        <v>3249</v>
      </c>
    </row>
    <row r="425" spans="48:57" ht="9.6" customHeight="1" x14ac:dyDescent="0.2">
      <c r="AV425" s="1716" t="s">
        <v>3018</v>
      </c>
      <c r="AW425" s="1717" t="s">
        <v>3053</v>
      </c>
      <c r="AX425" s="1234" t="str">
        <f t="shared" si="187"/>
        <v>YF_007.3750000000</v>
      </c>
      <c r="AY425" s="1719">
        <f>[1]!YF_R24</f>
        <v>7.375</v>
      </c>
      <c r="AZ425" s="1236">
        <f>[1]!YF_ARM05_P24+Input_PL_Incentive_XF</f>
        <v>102.175</v>
      </c>
      <c r="BA425" s="1236">
        <f>[1]!YF_FRM30_P24+Input_PL_Incentive_XF</f>
        <v>102.02500000000001</v>
      </c>
      <c r="BB425" s="1234">
        <f t="shared" si="184"/>
        <v>102.02500000000001</v>
      </c>
      <c r="BC425" s="1234" t="str">
        <f t="shared" si="188"/>
        <v>YF_102.0250000000</v>
      </c>
      <c r="BD425" s="1234"/>
      <c r="BE425" s="1721" t="s">
        <v>3250</v>
      </c>
    </row>
    <row r="426" spans="48:57" ht="9.6" customHeight="1" x14ac:dyDescent="0.2">
      <c r="AV426" s="1716" t="s">
        <v>3018</v>
      </c>
      <c r="AW426" s="1717" t="s">
        <v>3053</v>
      </c>
      <c r="AX426" s="1234" t="str">
        <f t="shared" si="187"/>
        <v>YF_007.2500000000</v>
      </c>
      <c r="AY426" s="1719">
        <f>[1]!YF_R25</f>
        <v>7.25</v>
      </c>
      <c r="AZ426" s="1236">
        <f>[1]!YF_ARM05_P25+Input_PL_Incentive_XF</f>
        <v>101.51300000000001</v>
      </c>
      <c r="BA426" s="1236">
        <f>[1]!YF_FRM30_P25+Input_PL_Incentive_XF</f>
        <v>101.363</v>
      </c>
      <c r="BB426" s="1234">
        <f t="shared" si="184"/>
        <v>101.363</v>
      </c>
      <c r="BC426" s="1234" t="str">
        <f t="shared" si="188"/>
        <v>YF_101.3630000000</v>
      </c>
      <c r="BD426" s="1234"/>
      <c r="BE426" s="1721" t="s">
        <v>3251</v>
      </c>
    </row>
    <row r="427" spans="48:57" ht="9.6" customHeight="1" x14ac:dyDescent="0.2">
      <c r="AV427" s="1716" t="s">
        <v>3018</v>
      </c>
      <c r="AW427" s="1717" t="s">
        <v>3053</v>
      </c>
      <c r="AX427" s="1234" t="str">
        <f t="shared" si="187"/>
        <v>YF_007.1250000000</v>
      </c>
      <c r="AY427" s="1719">
        <f>[1]!YF_R26</f>
        <v>7.125</v>
      </c>
      <c r="AZ427" s="1236">
        <f>[1]!YF_ARM05_P26+Input_PL_Incentive_XF</f>
        <v>100.85</v>
      </c>
      <c r="BA427" s="1236">
        <f>[1]!YF_FRM30_P26+Input_PL_Incentive_XF</f>
        <v>100.7</v>
      </c>
      <c r="BB427" s="1234">
        <f t="shared" si="184"/>
        <v>100.7</v>
      </c>
      <c r="BC427" s="1234" t="str">
        <f t="shared" si="188"/>
        <v>YF_100.7000000000</v>
      </c>
      <c r="BD427" s="1234"/>
      <c r="BE427" s="1721" t="s">
        <v>3252</v>
      </c>
    </row>
    <row r="428" spans="48:57" ht="9.6" customHeight="1" x14ac:dyDescent="0.2">
      <c r="AV428" s="1716" t="s">
        <v>3018</v>
      </c>
      <c r="AW428" s="1717" t="s">
        <v>3053</v>
      </c>
      <c r="AX428" s="1234" t="str">
        <f t="shared" si="187"/>
        <v>YF_007.0000000000</v>
      </c>
      <c r="AY428" s="1719">
        <f>[1]!YF_R27</f>
        <v>7</v>
      </c>
      <c r="AZ428" s="1236">
        <f>[1]!YF_ARM05_P27+Input_PL_Incentive_XF</f>
        <v>100.08799999999999</v>
      </c>
      <c r="BA428" s="1236">
        <f>[1]!YF_FRM30_P27+Input_PL_Incentive_XF</f>
        <v>99.938000000000002</v>
      </c>
      <c r="BB428" s="1234">
        <f t="shared" si="184"/>
        <v>99.938000000000002</v>
      </c>
      <c r="BC428" s="1234" t="str">
        <f t="shared" si="188"/>
        <v>YF_099.9380000000</v>
      </c>
      <c r="BD428" s="1234"/>
      <c r="BE428" s="1721" t="s">
        <v>3253</v>
      </c>
    </row>
    <row r="429" spans="48:57" ht="9.6" customHeight="1" x14ac:dyDescent="0.2">
      <c r="AV429" s="1716" t="s">
        <v>3018</v>
      </c>
      <c r="AW429" s="1717" t="s">
        <v>3053</v>
      </c>
      <c r="AX429" s="1234" t="str">
        <f t="shared" si="187"/>
        <v>YF_006.8750000000</v>
      </c>
      <c r="AY429" s="1719">
        <f>[1]!YF_R28</f>
        <v>6.875</v>
      </c>
      <c r="AZ429" s="1236">
        <f>[1]!YF_ARM05_P28+Input_PL_Incentive_XF</f>
        <v>99.424999999999997</v>
      </c>
      <c r="BA429" s="1236">
        <f>[1]!YF_FRM30_P28+Input_PL_Incentive_XF</f>
        <v>99.275000000000006</v>
      </c>
      <c r="BB429" s="1234">
        <f t="shared" si="184"/>
        <v>99.275000000000006</v>
      </c>
      <c r="BC429" s="1234" t="str">
        <f t="shared" si="188"/>
        <v>YF_099.2750000000</v>
      </c>
      <c r="BD429" s="1234"/>
      <c r="BE429" s="1721" t="s">
        <v>3254</v>
      </c>
    </row>
    <row r="430" spans="48:57" ht="9.6" customHeight="1" x14ac:dyDescent="0.2">
      <c r="AV430" s="1716" t="s">
        <v>3018</v>
      </c>
      <c r="AW430" s="1717" t="s">
        <v>3053</v>
      </c>
      <c r="AX430" s="1234" t="str">
        <f t="shared" si="187"/>
        <v>YF_006.7500000000</v>
      </c>
      <c r="AY430" s="1719">
        <f>[1]!YF_R29</f>
        <v>6.75</v>
      </c>
      <c r="AZ430" s="1236">
        <f>[1]!YF_ARM05_P29+Input_PL_Incentive_XF</f>
        <v>98.763000000000005</v>
      </c>
      <c r="BA430" s="1236">
        <f>[1]!YF_FRM30_P29+Input_PL_Incentive_XF</f>
        <v>98.613</v>
      </c>
      <c r="BB430" s="1234">
        <f t="shared" si="184"/>
        <v>98.613</v>
      </c>
      <c r="BC430" s="1234" t="str">
        <f t="shared" si="188"/>
        <v>YF_098.6130000000</v>
      </c>
      <c r="BD430" s="1234"/>
      <c r="BE430" s="1721" t="s">
        <v>3255</v>
      </c>
    </row>
    <row r="431" spans="48:57" ht="9.6" customHeight="1" x14ac:dyDescent="0.2">
      <c r="AV431" s="1714" t="s">
        <v>3019</v>
      </c>
      <c r="AW431" s="1715" t="s">
        <v>3054</v>
      </c>
      <c r="AX431" s="1248" t="str">
        <f t="shared" ref="AX431:AX459" si="189">"YM_"&amp;RIGHT("000"&amp;TRUNC(Lookup_NoteRate),3)&amp;TEXT(Lookup_NoteRate-TRUNC(Lookup_NoteRate),".0000000000")</f>
        <v>YM_011.2500000000</v>
      </c>
      <c r="AY431" s="1718">
        <f>[1]!YM_R01</f>
        <v>11.25</v>
      </c>
      <c r="AZ431" s="1250">
        <f>[1]!YM_ARM05_P01+Input_PL_Incentive_XM</f>
        <v>110.97499999999999</v>
      </c>
      <c r="BA431" s="1250">
        <f>[1]!YM_FRM30_P01+Input_PL_Incentive_XM</f>
        <v>109.825</v>
      </c>
      <c r="BB431" s="1248">
        <f t="shared" ref="BB431:BB459" si="190">IF(INDEX(List_AmortTermAll,MATCH(Input_AmortTerm,List_AmortTerm,0),3)=1,AZ431,IF(INDEX(List_AmortTermAll,MATCH(Input_AmortTerm,List_AmortTerm,0),3)=2,BA431,#N/A))</f>
        <v>109.825</v>
      </c>
      <c r="BC431" s="1248" t="str">
        <f t="shared" ref="BC431:BC459" si="191">"YM_"&amp;RIGHT("000"&amp;TRUNC(Lookup_PriceText),3)&amp;TEXT(Lookup_PriceText-TRUNC(Lookup_PriceText),".0000000000")</f>
        <v>YM_109.8250000000</v>
      </c>
      <c r="BD431" s="1248"/>
      <c r="BE431" s="1720" t="s">
        <v>3167</v>
      </c>
    </row>
    <row r="432" spans="48:57" ht="9.6" customHeight="1" x14ac:dyDescent="0.2">
      <c r="AV432" s="1716" t="s">
        <v>3019</v>
      </c>
      <c r="AW432" s="1717" t="s">
        <v>3054</v>
      </c>
      <c r="AX432" s="1234" t="str">
        <f t="shared" si="189"/>
        <v>YM_011.1250000000</v>
      </c>
      <c r="AY432" s="1719">
        <f>[1]!YM_R02</f>
        <v>11.125</v>
      </c>
      <c r="AZ432" s="1236">
        <f>[1]!YM_ARM05_P03+Input_PL_Incentive_XM</f>
        <v>110.175</v>
      </c>
      <c r="BA432" s="1236">
        <f>[1]!YM_FRM30_P02+Input_PL_Incentive_XM</f>
        <v>109.425</v>
      </c>
      <c r="BB432" s="1234">
        <f t="shared" si="190"/>
        <v>109.425</v>
      </c>
      <c r="BC432" s="1234" t="str">
        <f t="shared" si="191"/>
        <v>YM_109.4250000000</v>
      </c>
      <c r="BD432" s="1234"/>
      <c r="BE432" s="1721" t="s">
        <v>3168</v>
      </c>
    </row>
    <row r="433" spans="48:57" ht="9.6" customHeight="1" x14ac:dyDescent="0.2">
      <c r="AV433" s="1716" t="s">
        <v>3019</v>
      </c>
      <c r="AW433" s="1717" t="s">
        <v>3054</v>
      </c>
      <c r="AX433" s="1234" t="str">
        <f t="shared" si="189"/>
        <v>YM_011.0000000000</v>
      </c>
      <c r="AY433" s="1719">
        <f>[1]!YM_R03</f>
        <v>11</v>
      </c>
      <c r="AZ433" s="1236">
        <f>[1]!YM_ARM05_P03+Input_PL_Incentive_XM</f>
        <v>110.175</v>
      </c>
      <c r="BA433" s="1236">
        <f>[1]!YM_FRM30_P03+Input_PL_Incentive_XM</f>
        <v>109.02500000000001</v>
      </c>
      <c r="BB433" s="1234">
        <f t="shared" si="190"/>
        <v>109.02500000000001</v>
      </c>
      <c r="BC433" s="1234" t="str">
        <f t="shared" si="191"/>
        <v>YM_109.0250000000</v>
      </c>
      <c r="BD433" s="1234"/>
      <c r="BE433" s="1721" t="s">
        <v>3169</v>
      </c>
    </row>
    <row r="434" spans="48:57" ht="9.6" customHeight="1" x14ac:dyDescent="0.2">
      <c r="AV434" s="1716" t="s">
        <v>3019</v>
      </c>
      <c r="AW434" s="1717" t="s">
        <v>3054</v>
      </c>
      <c r="AX434" s="1234" t="str">
        <f t="shared" si="189"/>
        <v>YM_010.8750000000</v>
      </c>
      <c r="AY434" s="1719">
        <f>[1]!YM_R04</f>
        <v>10.875</v>
      </c>
      <c r="AZ434" s="1236">
        <f>[1]!YM_ARM05_P04+Input_PL_Incentive_XM</f>
        <v>109.77500000000001</v>
      </c>
      <c r="BA434" s="1236">
        <f>[1]!YM_FRM30_P04+Input_PL_Incentive_XM</f>
        <v>108.625</v>
      </c>
      <c r="BB434" s="1234">
        <f t="shared" si="190"/>
        <v>108.625</v>
      </c>
      <c r="BC434" s="1234" t="str">
        <f t="shared" si="191"/>
        <v>YM_108.6250000000</v>
      </c>
      <c r="BD434" s="1234"/>
      <c r="BE434" s="1721" t="s">
        <v>3170</v>
      </c>
    </row>
    <row r="435" spans="48:57" ht="9.6" customHeight="1" x14ac:dyDescent="0.2">
      <c r="AV435" s="1716" t="s">
        <v>3019</v>
      </c>
      <c r="AW435" s="1717" t="s">
        <v>3054</v>
      </c>
      <c r="AX435" s="1234" t="str">
        <f t="shared" si="189"/>
        <v>YM_010.7500000000</v>
      </c>
      <c r="AY435" s="1719">
        <f>[1]!YM_R05</f>
        <v>10.75</v>
      </c>
      <c r="AZ435" s="1236">
        <f>[1]!YM_ARM05_P05+Input_PL_Incentive_XM</f>
        <v>109.375</v>
      </c>
      <c r="BA435" s="1236">
        <f>[1]!YM_FRM30_P05+Input_PL_Incentive_XM</f>
        <v>108.22499999999999</v>
      </c>
      <c r="BB435" s="1234">
        <f t="shared" si="190"/>
        <v>108.22499999999999</v>
      </c>
      <c r="BC435" s="1234" t="str">
        <f t="shared" si="191"/>
        <v>YM_108.2250000000</v>
      </c>
      <c r="BD435" s="1234"/>
      <c r="BE435" s="1721" t="s">
        <v>3171</v>
      </c>
    </row>
    <row r="436" spans="48:57" ht="9.6" customHeight="1" x14ac:dyDescent="0.2">
      <c r="AV436" s="1716" t="s">
        <v>3019</v>
      </c>
      <c r="AW436" s="1717" t="s">
        <v>3054</v>
      </c>
      <c r="AX436" s="1234" t="str">
        <f t="shared" si="189"/>
        <v>YM_010.6250000000</v>
      </c>
      <c r="AY436" s="1719">
        <f>[1]!YM_R06</f>
        <v>10.625</v>
      </c>
      <c r="AZ436" s="1236">
        <f>[1]!YM_ARM05_P06+Input_PL_Incentive_XM</f>
        <v>108.97499999999999</v>
      </c>
      <c r="BA436" s="1236">
        <f>[1]!YM_FRM30_P06+Input_PL_Incentive_XM</f>
        <v>107.825</v>
      </c>
      <c r="BB436" s="1234">
        <f t="shared" si="190"/>
        <v>107.825</v>
      </c>
      <c r="BC436" s="1234" t="str">
        <f t="shared" si="191"/>
        <v>YM_107.8250000000</v>
      </c>
      <c r="BD436" s="1234"/>
      <c r="BE436" s="1721" t="s">
        <v>3172</v>
      </c>
    </row>
    <row r="437" spans="48:57" ht="9.6" customHeight="1" x14ac:dyDescent="0.2">
      <c r="AV437" s="1716" t="s">
        <v>3019</v>
      </c>
      <c r="AW437" s="1717" t="s">
        <v>3054</v>
      </c>
      <c r="AX437" s="1234" t="str">
        <f t="shared" si="189"/>
        <v>YM_010.5000000000</v>
      </c>
      <c r="AY437" s="1719">
        <f>[1]!YM_R07</f>
        <v>10.5</v>
      </c>
      <c r="AZ437" s="1236">
        <f>[1]!YM_ARM05_P07+Input_PL_Incentive_XM</f>
        <v>108.575</v>
      </c>
      <c r="BA437" s="1236">
        <f>[1]!YM_FRM30_P07+Input_PL_Incentive_XM</f>
        <v>107.425</v>
      </c>
      <c r="BB437" s="1234">
        <f t="shared" si="190"/>
        <v>107.425</v>
      </c>
      <c r="BC437" s="1234" t="str">
        <f t="shared" si="191"/>
        <v>YM_107.4250000000</v>
      </c>
      <c r="BD437" s="1234"/>
      <c r="BE437" s="1721" t="s">
        <v>3173</v>
      </c>
    </row>
    <row r="438" spans="48:57" ht="9.6" customHeight="1" x14ac:dyDescent="0.2">
      <c r="AV438" s="1716" t="s">
        <v>3019</v>
      </c>
      <c r="AW438" s="1717" t="s">
        <v>3054</v>
      </c>
      <c r="AX438" s="1234" t="str">
        <f t="shared" si="189"/>
        <v>YM_010.3750000000</v>
      </c>
      <c r="AY438" s="1719">
        <f>[1]!YM_R08</f>
        <v>10.375</v>
      </c>
      <c r="AZ438" s="1236">
        <f>[1]!YM_ARM05_P08+Input_PL_Incentive_XM</f>
        <v>108.175</v>
      </c>
      <c r="BA438" s="1236">
        <f>[1]!YM_FRM30_P08+Input_PL_Incentive_XM</f>
        <v>107.02500000000001</v>
      </c>
      <c r="BB438" s="1234">
        <f t="shared" si="190"/>
        <v>107.02500000000001</v>
      </c>
      <c r="BC438" s="1234" t="str">
        <f t="shared" si="191"/>
        <v>YM_107.0250000000</v>
      </c>
      <c r="BD438" s="1234"/>
      <c r="BE438" s="1721" t="s">
        <v>3174</v>
      </c>
    </row>
    <row r="439" spans="48:57" ht="9.6" customHeight="1" x14ac:dyDescent="0.2">
      <c r="AV439" s="1716" t="s">
        <v>3019</v>
      </c>
      <c r="AW439" s="1717" t="s">
        <v>3054</v>
      </c>
      <c r="AX439" s="1234" t="str">
        <f t="shared" si="189"/>
        <v>YM_010.2500000000</v>
      </c>
      <c r="AY439" s="1719">
        <f>[1]!YM_R09</f>
        <v>10.25</v>
      </c>
      <c r="AZ439" s="1236">
        <f>[1]!YM_ARM05_P09+Input_PL_Incentive_XM</f>
        <v>107.71299999999999</v>
      </c>
      <c r="BA439" s="1236">
        <f>[1]!YM_FRM30_P09+Input_PL_Incentive_XM</f>
        <v>106.563</v>
      </c>
      <c r="BB439" s="1234">
        <f t="shared" si="190"/>
        <v>106.563</v>
      </c>
      <c r="BC439" s="1234" t="str">
        <f t="shared" si="191"/>
        <v>YM_106.5630000000</v>
      </c>
      <c r="BD439" s="1234"/>
      <c r="BE439" s="1721" t="s">
        <v>3175</v>
      </c>
    </row>
    <row r="440" spans="48:57" ht="9.6" customHeight="1" x14ac:dyDescent="0.2">
      <c r="AV440" s="1716" t="s">
        <v>3019</v>
      </c>
      <c r="AW440" s="1717" t="s">
        <v>3054</v>
      </c>
      <c r="AX440" s="1234" t="str">
        <f t="shared" si="189"/>
        <v>YM_010.1250000000</v>
      </c>
      <c r="AY440" s="1719">
        <f>[1]!YM_R10</f>
        <v>10.125</v>
      </c>
      <c r="AZ440" s="1236">
        <f>[1]!YM_ARM05_P10+Input_PL_Incentive_XM</f>
        <v>107.188</v>
      </c>
      <c r="BA440" s="1236">
        <f>[1]!YM_FRM30_P10+Input_PL_Incentive_XM</f>
        <v>106.038</v>
      </c>
      <c r="BB440" s="1234">
        <f t="shared" si="190"/>
        <v>106.038</v>
      </c>
      <c r="BC440" s="1234" t="str">
        <f t="shared" si="191"/>
        <v>YM_106.0380000000</v>
      </c>
      <c r="BD440" s="1234"/>
      <c r="BE440" s="1721" t="s">
        <v>3176</v>
      </c>
    </row>
    <row r="441" spans="48:57" ht="9.6" customHeight="1" x14ac:dyDescent="0.2">
      <c r="AV441" s="1716" t="s">
        <v>3019</v>
      </c>
      <c r="AW441" s="1717" t="s">
        <v>3054</v>
      </c>
      <c r="AX441" s="1234" t="str">
        <f t="shared" si="189"/>
        <v>YM_010.0000000000</v>
      </c>
      <c r="AY441" s="1719">
        <f>[1]!YM_R11</f>
        <v>10</v>
      </c>
      <c r="AZ441" s="1236">
        <f>[1]!YM_ARM05_P11+Input_PL_Incentive_XM</f>
        <v>106.663</v>
      </c>
      <c r="BA441" s="1236">
        <f>[1]!YM_FRM30_P11+Input_PL_Incentive_XM</f>
        <v>105.51300000000001</v>
      </c>
      <c r="BB441" s="1234">
        <f t="shared" si="190"/>
        <v>105.51300000000001</v>
      </c>
      <c r="BC441" s="1234" t="str">
        <f t="shared" si="191"/>
        <v>YM_105.5130000000</v>
      </c>
      <c r="BD441" s="1234"/>
      <c r="BE441" s="1721" t="s">
        <v>3177</v>
      </c>
    </row>
    <row r="442" spans="48:57" ht="9.6" customHeight="1" x14ac:dyDescent="0.2">
      <c r="AV442" s="1716" t="s">
        <v>3019</v>
      </c>
      <c r="AW442" s="1717" t="s">
        <v>3054</v>
      </c>
      <c r="AX442" s="1234" t="str">
        <f t="shared" si="189"/>
        <v>YM_009.8750000000</v>
      </c>
      <c r="AY442" s="1719">
        <f>[1]!YM_R12</f>
        <v>9.875</v>
      </c>
      <c r="AZ442" s="1236">
        <f>[1]!YM_ARM05_P12+Input_PL_Incentive_XM</f>
        <v>106.13800000000001</v>
      </c>
      <c r="BA442" s="1236">
        <f>[1]!YM_FRM30_P12+Input_PL_Incentive_XM</f>
        <v>104.988</v>
      </c>
      <c r="BB442" s="1234">
        <f t="shared" si="190"/>
        <v>104.988</v>
      </c>
      <c r="BC442" s="1234" t="str">
        <f t="shared" si="191"/>
        <v>YM_104.9880000000</v>
      </c>
      <c r="BD442" s="1234"/>
      <c r="BE442" s="1721" t="s">
        <v>3178</v>
      </c>
    </row>
    <row r="443" spans="48:57" ht="9.6" customHeight="1" x14ac:dyDescent="0.2">
      <c r="AV443" s="1716" t="s">
        <v>3019</v>
      </c>
      <c r="AW443" s="1717" t="s">
        <v>3054</v>
      </c>
      <c r="AX443" s="1234" t="str">
        <f t="shared" si="189"/>
        <v>YM_009.7500000000</v>
      </c>
      <c r="AY443" s="1719">
        <f>[1]!YM_R13</f>
        <v>9.75</v>
      </c>
      <c r="AZ443" s="1236">
        <f>[1]!YM_ARM05_P13+Input_PL_Incentive_XM</f>
        <v>105.613</v>
      </c>
      <c r="BA443" s="1236">
        <f>[1]!YM_FRM30_P13+Input_PL_Incentive_XM</f>
        <v>104.46299999999999</v>
      </c>
      <c r="BB443" s="1234">
        <f t="shared" si="190"/>
        <v>104.46299999999999</v>
      </c>
      <c r="BC443" s="1234" t="str">
        <f t="shared" si="191"/>
        <v>YM_104.4630000000</v>
      </c>
      <c r="BD443" s="1234"/>
      <c r="BE443" s="1721" t="s">
        <v>3179</v>
      </c>
    </row>
    <row r="444" spans="48:57" ht="9.6" customHeight="1" x14ac:dyDescent="0.2">
      <c r="AV444" s="1716" t="s">
        <v>3019</v>
      </c>
      <c r="AW444" s="1717" t="s">
        <v>3054</v>
      </c>
      <c r="AX444" s="1234" t="str">
        <f t="shared" si="189"/>
        <v>YM_009.6250000000</v>
      </c>
      <c r="AY444" s="1719">
        <f>[1]!YM_R14</f>
        <v>9.625</v>
      </c>
      <c r="AZ444" s="1236">
        <f>[1]!YM_ARM05_P14+Input_PL_Incentive_XM</f>
        <v>105.08799999999999</v>
      </c>
      <c r="BA444" s="1236">
        <f>[1]!YM_FRM30_P14+Input_PL_Incentive_XM</f>
        <v>103.938</v>
      </c>
      <c r="BB444" s="1234">
        <f t="shared" si="190"/>
        <v>103.938</v>
      </c>
      <c r="BC444" s="1234" t="str">
        <f t="shared" si="191"/>
        <v>YM_103.9380000000</v>
      </c>
      <c r="BD444" s="1234"/>
      <c r="BE444" s="1721" t="s">
        <v>3180</v>
      </c>
    </row>
    <row r="445" spans="48:57" ht="9.6" customHeight="1" x14ac:dyDescent="0.2">
      <c r="AV445" s="1716" t="s">
        <v>3019</v>
      </c>
      <c r="AW445" s="1717" t="s">
        <v>3054</v>
      </c>
      <c r="AX445" s="1234" t="str">
        <f t="shared" si="189"/>
        <v>YM_009.5000000000</v>
      </c>
      <c r="AY445" s="1719">
        <f>[1]!YM_R15</f>
        <v>9.5</v>
      </c>
      <c r="AZ445" s="1236">
        <f>[1]!YM_ARM05_P15+Input_PL_Incentive_XM</f>
        <v>104.563</v>
      </c>
      <c r="BA445" s="1236">
        <f>[1]!YM_FRM30_P15+Input_PL_Incentive_XM</f>
        <v>103.413</v>
      </c>
      <c r="BB445" s="1234">
        <f t="shared" si="190"/>
        <v>103.413</v>
      </c>
      <c r="BC445" s="1234" t="str">
        <f t="shared" si="191"/>
        <v>YM_103.4130000000</v>
      </c>
      <c r="BD445" s="1234"/>
      <c r="BE445" s="1721" t="s">
        <v>3181</v>
      </c>
    </row>
    <row r="446" spans="48:57" ht="9.6" customHeight="1" x14ac:dyDescent="0.2">
      <c r="AV446" s="1716" t="s">
        <v>3019</v>
      </c>
      <c r="AW446" s="1717" t="s">
        <v>3054</v>
      </c>
      <c r="AX446" s="1234" t="str">
        <f t="shared" si="189"/>
        <v>YM_009.3750000000</v>
      </c>
      <c r="AY446" s="1719">
        <f>[1]!YM_R16</f>
        <v>9.375</v>
      </c>
      <c r="AZ446" s="1236">
        <f>[1]!YM_ARM05_P16+Input_PL_Incentive_XM</f>
        <v>104.038</v>
      </c>
      <c r="BA446" s="1236">
        <f>[1]!YM_FRM30_P16+Input_PL_Incentive_XM</f>
        <v>102.88800000000001</v>
      </c>
      <c r="BB446" s="1234">
        <f t="shared" si="190"/>
        <v>102.88800000000001</v>
      </c>
      <c r="BC446" s="1234" t="str">
        <f t="shared" si="191"/>
        <v>YM_102.8880000000</v>
      </c>
      <c r="BD446" s="1234"/>
      <c r="BE446" s="1721" t="s">
        <v>3182</v>
      </c>
    </row>
    <row r="447" spans="48:57" ht="9.6" customHeight="1" x14ac:dyDescent="0.2">
      <c r="AV447" s="1716" t="s">
        <v>3019</v>
      </c>
      <c r="AW447" s="1717" t="s">
        <v>3054</v>
      </c>
      <c r="AX447" s="1234" t="str">
        <f t="shared" si="189"/>
        <v>YM_009.2500000000</v>
      </c>
      <c r="AY447" s="1719">
        <f>[1]!YM_R17</f>
        <v>9.25</v>
      </c>
      <c r="AZ447" s="1236">
        <f>[1]!YM_ARM05_P17+Input_PL_Incentive_XM</f>
        <v>103.51300000000001</v>
      </c>
      <c r="BA447" s="1236">
        <f>[1]!YM_FRM30_P17+Input_PL_Incentive_XM</f>
        <v>102.363</v>
      </c>
      <c r="BB447" s="1234">
        <f t="shared" si="190"/>
        <v>102.363</v>
      </c>
      <c r="BC447" s="1234" t="str">
        <f t="shared" si="191"/>
        <v>YM_102.3630000000</v>
      </c>
      <c r="BD447" s="1234"/>
      <c r="BE447" s="1721" t="s">
        <v>3183</v>
      </c>
    </row>
    <row r="448" spans="48:57" ht="9.6" customHeight="1" x14ac:dyDescent="0.2">
      <c r="AV448" s="1716" t="s">
        <v>3019</v>
      </c>
      <c r="AW448" s="1717" t="s">
        <v>3054</v>
      </c>
      <c r="AX448" s="1234" t="str">
        <f t="shared" si="189"/>
        <v>YM_009.1250000000</v>
      </c>
      <c r="AY448" s="1719">
        <f>[1]!YM_R18</f>
        <v>9.125</v>
      </c>
      <c r="AZ448" s="1236">
        <f>[1]!YM_ARM05_P18+Input_PL_Incentive_XM</f>
        <v>102.988</v>
      </c>
      <c r="BA448" s="1236">
        <f>[1]!YM_FRM30_P18+Input_PL_Incentive_XM</f>
        <v>101.83799999999999</v>
      </c>
      <c r="BB448" s="1234">
        <f t="shared" si="190"/>
        <v>101.83799999999999</v>
      </c>
      <c r="BC448" s="1234" t="str">
        <f t="shared" si="191"/>
        <v>YM_101.8380000000</v>
      </c>
      <c r="BD448" s="1234"/>
      <c r="BE448" s="1721" t="s">
        <v>3184</v>
      </c>
    </row>
    <row r="449" spans="48:57" ht="9.6" customHeight="1" x14ac:dyDescent="0.2">
      <c r="AV449" s="1716" t="s">
        <v>3019</v>
      </c>
      <c r="AW449" s="1717" t="s">
        <v>3054</v>
      </c>
      <c r="AX449" s="1234" t="str">
        <f t="shared" si="189"/>
        <v>YM_009.0000000000</v>
      </c>
      <c r="AY449" s="1719">
        <f>[1]!YM_R19</f>
        <v>9</v>
      </c>
      <c r="AZ449" s="1236">
        <f>[1]!YM_ARM05_P19+Input_PL_Incentive_XM</f>
        <v>102.46299999999999</v>
      </c>
      <c r="BA449" s="1236">
        <f>[1]!YM_FRM30_P19+Input_PL_Incentive_XM</f>
        <v>101.313</v>
      </c>
      <c r="BB449" s="1234">
        <f t="shared" si="190"/>
        <v>101.313</v>
      </c>
      <c r="BC449" s="1234" t="str">
        <f t="shared" si="191"/>
        <v>YM_101.3130000000</v>
      </c>
      <c r="BD449" s="1234"/>
      <c r="BE449" s="1721" t="s">
        <v>3185</v>
      </c>
    </row>
    <row r="450" spans="48:57" ht="9.6" customHeight="1" x14ac:dyDescent="0.2">
      <c r="AV450" s="1716" t="s">
        <v>3019</v>
      </c>
      <c r="AW450" s="1717" t="s">
        <v>3054</v>
      </c>
      <c r="AX450" s="1234" t="str">
        <f t="shared" si="189"/>
        <v>YM_008.8750000000</v>
      </c>
      <c r="AY450" s="1719">
        <f>[1]!YM_R20</f>
        <v>8.875</v>
      </c>
      <c r="AZ450" s="1236">
        <f>[1]!YM_ARM05_P20+Input_PL_Incentive_XM</f>
        <v>101.938</v>
      </c>
      <c r="BA450" s="1236">
        <f>[1]!YM_FRM30_P20+Input_PL_Incentive_XM</f>
        <v>100.788</v>
      </c>
      <c r="BB450" s="1234">
        <f t="shared" si="190"/>
        <v>100.788</v>
      </c>
      <c r="BC450" s="1234" t="str">
        <f t="shared" si="191"/>
        <v>YM_100.7880000000</v>
      </c>
      <c r="BD450" s="1234"/>
      <c r="BE450" s="1721" t="s">
        <v>3186</v>
      </c>
    </row>
    <row r="451" spans="48:57" ht="9.6" customHeight="1" x14ac:dyDescent="0.2">
      <c r="AV451" s="1716" t="s">
        <v>3019</v>
      </c>
      <c r="AW451" s="1717" t="s">
        <v>3054</v>
      </c>
      <c r="AX451" s="1234" t="str">
        <f t="shared" si="189"/>
        <v>YM_008.7500000000</v>
      </c>
      <c r="AY451" s="1719">
        <f>[1]!YM_R21</f>
        <v>8.75</v>
      </c>
      <c r="AZ451" s="1236">
        <f>[1]!YM_ARM05_P21+Input_PL_Incentive_XM</f>
        <v>101.35</v>
      </c>
      <c r="BA451" s="1236">
        <f>[1]!YM_FRM30_P21+Input_PL_Incentive_XM</f>
        <v>100.2</v>
      </c>
      <c r="BB451" s="1234">
        <f t="shared" si="190"/>
        <v>100.2</v>
      </c>
      <c r="BC451" s="1234" t="str">
        <f t="shared" si="191"/>
        <v>YM_100.2000000000</v>
      </c>
      <c r="BD451" s="1234"/>
      <c r="BE451" s="1721" t="s">
        <v>3187</v>
      </c>
    </row>
    <row r="452" spans="48:57" ht="9.6" customHeight="1" x14ac:dyDescent="0.2">
      <c r="AV452" s="1716" t="s">
        <v>3019</v>
      </c>
      <c r="AW452" s="1717" t="s">
        <v>3054</v>
      </c>
      <c r="AX452" s="1234" t="str">
        <f t="shared" si="189"/>
        <v>YM_008.6250000000</v>
      </c>
      <c r="AY452" s="1719">
        <f>[1]!YM_R22</f>
        <v>8.625</v>
      </c>
      <c r="AZ452" s="1236">
        <f>[1]!YM_ARM05_P22+Input_PL_Incentive_XM</f>
        <v>100.76300000000001</v>
      </c>
      <c r="BA452" s="1236">
        <f>[1]!YM_FRM30_P22+Input_PL_Incentive_XM</f>
        <v>99.613</v>
      </c>
      <c r="BB452" s="1234">
        <f t="shared" si="190"/>
        <v>99.613</v>
      </c>
      <c r="BC452" s="1234" t="str">
        <f t="shared" si="191"/>
        <v>YM_099.6130000000</v>
      </c>
      <c r="BD452" s="1234"/>
      <c r="BE452" s="1721" t="s">
        <v>3188</v>
      </c>
    </row>
    <row r="453" spans="48:57" ht="9.6" customHeight="1" x14ac:dyDescent="0.2">
      <c r="AV453" s="1716" t="s">
        <v>3019</v>
      </c>
      <c r="AW453" s="1717" t="s">
        <v>3054</v>
      </c>
      <c r="AX453" s="1234" t="str">
        <f t="shared" si="189"/>
        <v>YM_008.5000000000</v>
      </c>
      <c r="AY453" s="1719">
        <f>[1]!YM_R23</f>
        <v>8.5</v>
      </c>
      <c r="AZ453" s="1236">
        <f>[1]!YM_ARM05_P23+Input_PL_Incentive_XM</f>
        <v>100.47499999999999</v>
      </c>
      <c r="BA453" s="1236">
        <f>[1]!YM_FRM30_P23+Input_PL_Incentive_XM</f>
        <v>99.325000000000003</v>
      </c>
      <c r="BB453" s="1234">
        <f t="shared" si="190"/>
        <v>99.325000000000003</v>
      </c>
      <c r="BC453" s="1234" t="str">
        <f t="shared" si="191"/>
        <v>YM_099.3250000000</v>
      </c>
      <c r="BD453" s="1234"/>
      <c r="BE453" s="1721" t="s">
        <v>3189</v>
      </c>
    </row>
    <row r="454" spans="48:57" ht="9.6" customHeight="1" x14ac:dyDescent="0.2">
      <c r="AV454" s="1716" t="s">
        <v>3019</v>
      </c>
      <c r="AW454" s="1717" t="s">
        <v>3054</v>
      </c>
      <c r="AX454" s="1234" t="str">
        <f t="shared" si="189"/>
        <v>YM_008.3750000000</v>
      </c>
      <c r="AY454" s="1719">
        <f>[1]!YM_R24</f>
        <v>8.375</v>
      </c>
      <c r="AZ454" s="1236">
        <f>[1]!YM_ARM05_P24+Input_PL_Incentive_XM</f>
        <v>100.188</v>
      </c>
      <c r="BA454" s="1236">
        <f>[1]!YM_FRM30_P24+Input_PL_Incentive_XM</f>
        <v>99.037999999999997</v>
      </c>
      <c r="BB454" s="1234">
        <f t="shared" si="190"/>
        <v>99.037999999999997</v>
      </c>
      <c r="BC454" s="1234" t="str">
        <f t="shared" si="191"/>
        <v>YM_099.0380000000</v>
      </c>
      <c r="BD454" s="1234"/>
      <c r="BE454" s="1721" t="s">
        <v>3190</v>
      </c>
    </row>
    <row r="455" spans="48:57" ht="9.6" customHeight="1" x14ac:dyDescent="0.2">
      <c r="AV455" s="1716" t="s">
        <v>3019</v>
      </c>
      <c r="AW455" s="1717" t="s">
        <v>3054</v>
      </c>
      <c r="AX455" s="1234" t="str">
        <f t="shared" si="189"/>
        <v>YM_008.2500000000</v>
      </c>
      <c r="AY455" s="1719">
        <f>[1]!YM_R25</f>
        <v>8.25</v>
      </c>
      <c r="AZ455" s="1236">
        <f>[1]!YM_ARM05_P25+Input_PL_Incentive_XM</f>
        <v>99.287999999999997</v>
      </c>
      <c r="BA455" s="1236">
        <f>[1]!YM_FRM30_P25+Input_PL_Incentive_XM</f>
        <v>98.138000000000005</v>
      </c>
      <c r="BB455" s="1234">
        <f t="shared" si="190"/>
        <v>98.138000000000005</v>
      </c>
      <c r="BC455" s="1234" t="str">
        <f t="shared" si="191"/>
        <v>YM_098.1380000000</v>
      </c>
      <c r="BD455" s="1234"/>
      <c r="BE455" s="1721" t="s">
        <v>3191</v>
      </c>
    </row>
    <row r="456" spans="48:57" ht="9.6" customHeight="1" x14ac:dyDescent="0.2">
      <c r="AV456" s="1716" t="s">
        <v>3019</v>
      </c>
      <c r="AW456" s="1717" t="s">
        <v>3054</v>
      </c>
      <c r="AX456" s="1234" t="str">
        <f t="shared" si="189"/>
        <v>YM_008.1250000000</v>
      </c>
      <c r="AY456" s="1719">
        <f>[1]!YM_R26</f>
        <v>8.125</v>
      </c>
      <c r="AZ456" s="1236">
        <f>[1]!YM_ARM05_P26+Input_PL_Incentive_XM</f>
        <v>98.625</v>
      </c>
      <c r="BA456" s="1236">
        <f>[1]!YM_FRM30_P26+Input_PL_Incentive_XM</f>
        <v>97.474999999999994</v>
      </c>
      <c r="BB456" s="1234">
        <f t="shared" si="190"/>
        <v>97.474999999999994</v>
      </c>
      <c r="BC456" s="1234" t="str">
        <f t="shared" si="191"/>
        <v>YM_097.4750000000</v>
      </c>
      <c r="BD456" s="1234"/>
      <c r="BE456" s="1721" t="s">
        <v>3192</v>
      </c>
    </row>
    <row r="457" spans="48:57" ht="9.6" customHeight="1" x14ac:dyDescent="0.2">
      <c r="AV457" s="1716" t="s">
        <v>3019</v>
      </c>
      <c r="AW457" s="1717" t="s">
        <v>3054</v>
      </c>
      <c r="AX457" s="1234" t="str">
        <f t="shared" si="189"/>
        <v>YM_008.0000000000</v>
      </c>
      <c r="AY457" s="1719">
        <f>[1]!YM_R27</f>
        <v>8</v>
      </c>
      <c r="AZ457" s="1236">
        <f>[1]!YM_ARM05_P27+Input_PL_Incentive_XM</f>
        <v>97.863</v>
      </c>
      <c r="BA457" s="1236">
        <f>[1]!YM_FRM30_P27+Input_PL_Incentive_XM</f>
        <v>96.712999999999994</v>
      </c>
      <c r="BB457" s="1234">
        <f t="shared" si="190"/>
        <v>96.712999999999994</v>
      </c>
      <c r="BC457" s="1234" t="str">
        <f t="shared" si="191"/>
        <v>YM_096.7130000000</v>
      </c>
      <c r="BD457" s="1234"/>
      <c r="BE457" s="1721" t="s">
        <v>3193</v>
      </c>
    </row>
    <row r="458" spans="48:57" ht="9.6" customHeight="1" x14ac:dyDescent="0.2">
      <c r="AV458" s="1716" t="s">
        <v>3019</v>
      </c>
      <c r="AW458" s="1717" t="s">
        <v>3054</v>
      </c>
      <c r="AX458" s="1234" t="str">
        <f t="shared" si="189"/>
        <v>YM_007.8750000000</v>
      </c>
      <c r="AY458" s="1719">
        <f>[1]!YM_R28</f>
        <v>7.875</v>
      </c>
      <c r="AZ458" s="1236">
        <f>[1]!YM_ARM05_P28+Input_PL_Incentive_XM</f>
        <v>97.2</v>
      </c>
      <c r="BA458" s="1236">
        <f>[1]!YM_FRM30_P28+Input_PL_Incentive_XM</f>
        <v>96.05</v>
      </c>
      <c r="BB458" s="1234">
        <f t="shared" si="190"/>
        <v>96.05</v>
      </c>
      <c r="BC458" s="1234" t="str">
        <f t="shared" si="191"/>
        <v>YM_096.0500000000</v>
      </c>
      <c r="BD458" s="1234"/>
      <c r="BE458" s="1721" t="s">
        <v>3194</v>
      </c>
    </row>
    <row r="459" spans="48:57" ht="9.6" customHeight="1" x14ac:dyDescent="0.2">
      <c r="AV459" s="1716" t="s">
        <v>3019</v>
      </c>
      <c r="AW459" s="1717" t="s">
        <v>3054</v>
      </c>
      <c r="AX459" s="1234" t="str">
        <f t="shared" si="189"/>
        <v>YM_007.7500000000</v>
      </c>
      <c r="AY459" s="1719">
        <f>[1]!YM_R29</f>
        <v>7.75</v>
      </c>
      <c r="AZ459" s="1236">
        <f>[1]!YM_ARM05_P29+Input_PL_Incentive_XM</f>
        <v>96.537999999999997</v>
      </c>
      <c r="BA459" s="1236">
        <f>[1]!YM_FRM30_P29+Input_PL_Incentive_XM</f>
        <v>95.388000000000005</v>
      </c>
      <c r="BB459" s="1234">
        <f t="shared" si="190"/>
        <v>95.388000000000005</v>
      </c>
      <c r="BC459" s="1234" t="str">
        <f t="shared" si="191"/>
        <v>YM_095.3880000000</v>
      </c>
      <c r="BD459" s="1234"/>
      <c r="BE459" s="1721" t="s">
        <v>3195</v>
      </c>
    </row>
    <row r="460" spans="48:57" ht="9.6" customHeight="1" x14ac:dyDescent="0.2">
      <c r="AV460" s="1714" t="s">
        <v>3020</v>
      </c>
      <c r="AW460" s="1715" t="s">
        <v>3055</v>
      </c>
      <c r="AX460" s="1248" t="str">
        <f t="shared" ref="AX460:AX490" si="192">"YN_"&amp;RIGHT("000"&amp;TRUNC(Lookup_NoteRate),3)&amp;TEXT(Lookup_NoteRate-TRUNC(Lookup_NoteRate),".0000000000")</f>
        <v>YN_010.5000000000</v>
      </c>
      <c r="AY460" s="1718">
        <f>[1]!YN_R01</f>
        <v>10.5</v>
      </c>
      <c r="AZ460" s="1250">
        <f>[1]!YN_ARM05_P01+Input_PL_Incentive_XN</f>
        <v>110.175</v>
      </c>
      <c r="BA460" s="1250">
        <f>[1]!YN_FRM30_P01+Input_PL_Incentive_XN</f>
        <v>110.02500000000001</v>
      </c>
      <c r="BB460" s="1248">
        <f t="shared" ref="BB460:BB490" si="193">IF(INDEX(List_AmortTermAll,MATCH(Input_AmortTerm,List_AmortTerm,0),3)=1,AZ460,IF(INDEX(List_AmortTermAll,MATCH(Input_AmortTerm,List_AmortTerm,0),3)=2,BA460,#N/A))</f>
        <v>110.02500000000001</v>
      </c>
      <c r="BC460" s="1248" t="str">
        <f t="shared" ref="BC460:BC490" si="194">"YN_"&amp;RIGHT("000"&amp;TRUNC(Lookup_PriceText),3)&amp;TEXT(Lookup_PriceText-TRUNC(Lookup_PriceText),".0000000000")</f>
        <v>YN_110.0250000000</v>
      </c>
      <c r="BD460" s="1248"/>
      <c r="BE460" s="1720" t="s">
        <v>3196</v>
      </c>
    </row>
    <row r="461" spans="48:57" ht="9.6" customHeight="1" x14ac:dyDescent="0.2">
      <c r="AV461" s="1716" t="s">
        <v>3020</v>
      </c>
      <c r="AW461" s="1717" t="s">
        <v>3055</v>
      </c>
      <c r="AX461" s="1234" t="str">
        <f t="shared" si="192"/>
        <v>YN_010.3750000000</v>
      </c>
      <c r="AY461" s="1719">
        <f>[1]!YN_R02</f>
        <v>10.375</v>
      </c>
      <c r="AZ461" s="1236">
        <f>[1]!YN_ARM05_P03+Input_PL_Incentive_XN</f>
        <v>109.675</v>
      </c>
      <c r="BA461" s="1236">
        <f>[1]!YN_FRM30_P02+Input_PL_Incentive_XN</f>
        <v>109.77500000000001</v>
      </c>
      <c r="BB461" s="1234">
        <f t="shared" si="193"/>
        <v>109.77500000000001</v>
      </c>
      <c r="BC461" s="1234" t="str">
        <f t="shared" si="194"/>
        <v>YN_109.7750000000</v>
      </c>
      <c r="BD461" s="1234"/>
      <c r="BE461" s="1721" t="s">
        <v>3197</v>
      </c>
    </row>
    <row r="462" spans="48:57" ht="9.6" customHeight="1" x14ac:dyDescent="0.2">
      <c r="AV462" s="1716" t="s">
        <v>3020</v>
      </c>
      <c r="AW462" s="1717" t="s">
        <v>3055</v>
      </c>
      <c r="AX462" s="1234" t="str">
        <f t="shared" si="192"/>
        <v>YN_010.2500000000</v>
      </c>
      <c r="AY462" s="1719">
        <f>[1]!YN_R03</f>
        <v>10.25</v>
      </c>
      <c r="AZ462" s="1236">
        <f>[1]!YN_ARM05_P03+Input_PL_Incentive_XN</f>
        <v>109.675</v>
      </c>
      <c r="BA462" s="1236">
        <f>[1]!YN_FRM30_P03+Input_PL_Incentive_XN</f>
        <v>109.52500000000001</v>
      </c>
      <c r="BB462" s="1234">
        <f t="shared" si="193"/>
        <v>109.52500000000001</v>
      </c>
      <c r="BC462" s="1234" t="str">
        <f t="shared" si="194"/>
        <v>YN_109.5250000000</v>
      </c>
      <c r="BD462" s="1234"/>
      <c r="BE462" s="1721" t="s">
        <v>3198</v>
      </c>
    </row>
    <row r="463" spans="48:57" ht="9.6" customHeight="1" x14ac:dyDescent="0.2">
      <c r="AV463" s="1716" t="s">
        <v>3020</v>
      </c>
      <c r="AW463" s="1717" t="s">
        <v>3055</v>
      </c>
      <c r="AX463" s="1234" t="str">
        <f t="shared" si="192"/>
        <v>YN_010.1250000000</v>
      </c>
      <c r="AY463" s="1719">
        <f>[1]!YN_R04</f>
        <v>10.125</v>
      </c>
      <c r="AZ463" s="1236">
        <f>[1]!YN_ARM05_P04+Input_PL_Incentive_XN</f>
        <v>109.425</v>
      </c>
      <c r="BA463" s="1236">
        <f>[1]!YN_FRM30_P04+Input_PL_Incentive_XN</f>
        <v>109.27500000000001</v>
      </c>
      <c r="BB463" s="1234">
        <f t="shared" si="193"/>
        <v>109.27500000000001</v>
      </c>
      <c r="BC463" s="1234" t="str">
        <f t="shared" si="194"/>
        <v>YN_109.2750000000</v>
      </c>
      <c r="BD463" s="1234"/>
      <c r="BE463" s="1721" t="s">
        <v>3199</v>
      </c>
    </row>
    <row r="464" spans="48:57" ht="9.6" customHeight="1" x14ac:dyDescent="0.2">
      <c r="AV464" s="1716" t="s">
        <v>3020</v>
      </c>
      <c r="AW464" s="1717" t="s">
        <v>3055</v>
      </c>
      <c r="AX464" s="1234" t="str">
        <f t="shared" si="192"/>
        <v>YN_010.0000000000</v>
      </c>
      <c r="AY464" s="1719">
        <f>[1]!YN_R05</f>
        <v>10</v>
      </c>
      <c r="AZ464" s="1236">
        <f>[1]!YN_ARM05_P05+Input_PL_Incentive_XN</f>
        <v>109.175</v>
      </c>
      <c r="BA464" s="1236">
        <f>[1]!YN_FRM30_P05+Input_PL_Incentive_XN</f>
        <v>109.02500000000001</v>
      </c>
      <c r="BB464" s="1234">
        <f t="shared" si="193"/>
        <v>109.02500000000001</v>
      </c>
      <c r="BC464" s="1234" t="str">
        <f t="shared" si="194"/>
        <v>YN_109.0250000000</v>
      </c>
      <c r="BD464" s="1234"/>
      <c r="BE464" s="1721" t="s">
        <v>3200</v>
      </c>
    </row>
    <row r="465" spans="48:57" ht="9.6" customHeight="1" x14ac:dyDescent="0.2">
      <c r="AV465" s="1716" t="s">
        <v>3020</v>
      </c>
      <c r="AW465" s="1717" t="s">
        <v>3055</v>
      </c>
      <c r="AX465" s="1234" t="str">
        <f t="shared" si="192"/>
        <v>YN_009.8750000000</v>
      </c>
      <c r="AY465" s="1719">
        <f>[1]!YN_R06</f>
        <v>9.875</v>
      </c>
      <c r="AZ465" s="1236">
        <f>[1]!YN_ARM05_P06+Input_PL_Incentive_XN</f>
        <v>108.925</v>
      </c>
      <c r="BA465" s="1236">
        <f>[1]!YN_FRM30_P06+Input_PL_Incentive_XN</f>
        <v>108.77500000000001</v>
      </c>
      <c r="BB465" s="1234">
        <f t="shared" si="193"/>
        <v>108.77500000000001</v>
      </c>
      <c r="BC465" s="1234" t="str">
        <f t="shared" si="194"/>
        <v>YN_108.7750000000</v>
      </c>
      <c r="BD465" s="1234"/>
      <c r="BE465" s="1721" t="s">
        <v>3201</v>
      </c>
    </row>
    <row r="466" spans="48:57" ht="9.6" customHeight="1" x14ac:dyDescent="0.2">
      <c r="AV466" s="1716" t="s">
        <v>3020</v>
      </c>
      <c r="AW466" s="1717" t="s">
        <v>3055</v>
      </c>
      <c r="AX466" s="1234" t="str">
        <f t="shared" si="192"/>
        <v>YN_009.7500000000</v>
      </c>
      <c r="AY466" s="1719">
        <f>[1]!YN_R07</f>
        <v>9.75</v>
      </c>
      <c r="AZ466" s="1236">
        <f>[1]!YN_ARM05_P07+Input_PL_Incentive_XN</f>
        <v>108.675</v>
      </c>
      <c r="BA466" s="1236">
        <f>[1]!YN_FRM30_P07+Input_PL_Incentive_XN</f>
        <v>108.52500000000001</v>
      </c>
      <c r="BB466" s="1234">
        <f t="shared" si="193"/>
        <v>108.52500000000001</v>
      </c>
      <c r="BC466" s="1234" t="str">
        <f t="shared" si="194"/>
        <v>YN_108.5250000000</v>
      </c>
      <c r="BD466" s="1234"/>
      <c r="BE466" s="1721" t="s">
        <v>3202</v>
      </c>
    </row>
    <row r="467" spans="48:57" ht="9.6" customHeight="1" x14ac:dyDescent="0.2">
      <c r="AV467" s="1716" t="s">
        <v>3020</v>
      </c>
      <c r="AW467" s="1717" t="s">
        <v>3055</v>
      </c>
      <c r="AX467" s="1234" t="str">
        <f t="shared" si="192"/>
        <v>YN_009.6250000000</v>
      </c>
      <c r="AY467" s="1719">
        <f>[1]!YN_R08</f>
        <v>9.625</v>
      </c>
      <c r="AZ467" s="1236">
        <f>[1]!YN_ARM05_P08+Input_PL_Incentive_XN</f>
        <v>108.425</v>
      </c>
      <c r="BA467" s="1236">
        <f>[1]!YN_FRM30_P08+Input_PL_Incentive_XN</f>
        <v>108.27500000000001</v>
      </c>
      <c r="BB467" s="1234">
        <f t="shared" si="193"/>
        <v>108.27500000000001</v>
      </c>
      <c r="BC467" s="1234" t="str">
        <f t="shared" si="194"/>
        <v>YN_108.2750000000</v>
      </c>
      <c r="BD467" s="1234"/>
      <c r="BE467" s="1721" t="s">
        <v>3203</v>
      </c>
    </row>
    <row r="468" spans="48:57" ht="9.6" customHeight="1" x14ac:dyDescent="0.2">
      <c r="AV468" s="1716" t="s">
        <v>3020</v>
      </c>
      <c r="AW468" s="1717" t="s">
        <v>3055</v>
      </c>
      <c r="AX468" s="1234" t="str">
        <f t="shared" si="192"/>
        <v>YN_009.5000000000</v>
      </c>
      <c r="AY468" s="1719">
        <f>[1]!YN_R09</f>
        <v>9.5</v>
      </c>
      <c r="AZ468" s="1236">
        <f>[1]!YN_ARM05_P09+Input_PL_Incentive_XN</f>
        <v>108.175</v>
      </c>
      <c r="BA468" s="1236">
        <f>[1]!YN_FRM30_P09+Input_PL_Incentive_XN</f>
        <v>108.02500000000001</v>
      </c>
      <c r="BB468" s="1234">
        <f t="shared" si="193"/>
        <v>108.02500000000001</v>
      </c>
      <c r="BC468" s="1234" t="str">
        <f t="shared" si="194"/>
        <v>YN_108.0250000000</v>
      </c>
      <c r="BD468" s="1234"/>
      <c r="BE468" s="1721" t="s">
        <v>3204</v>
      </c>
    </row>
    <row r="469" spans="48:57" ht="9.6" customHeight="1" x14ac:dyDescent="0.2">
      <c r="AV469" s="1716" t="s">
        <v>3020</v>
      </c>
      <c r="AW469" s="1717" t="s">
        <v>3055</v>
      </c>
      <c r="AX469" s="1234" t="str">
        <f t="shared" si="192"/>
        <v>YN_009.3750000000</v>
      </c>
      <c r="AY469" s="1719">
        <f>[1]!YN_R10</f>
        <v>9.375</v>
      </c>
      <c r="AZ469" s="1236">
        <f>[1]!YN_ARM05_P10+Input_PL_Incentive_XN</f>
        <v>107.925</v>
      </c>
      <c r="BA469" s="1236">
        <f>[1]!YN_FRM30_P10+Input_PL_Incentive_XN</f>
        <v>107.77500000000001</v>
      </c>
      <c r="BB469" s="1234">
        <f t="shared" si="193"/>
        <v>107.77500000000001</v>
      </c>
      <c r="BC469" s="1234" t="str">
        <f t="shared" si="194"/>
        <v>YN_107.7750000000</v>
      </c>
      <c r="BD469" s="1234"/>
      <c r="BE469" s="1721" t="s">
        <v>3205</v>
      </c>
    </row>
    <row r="470" spans="48:57" ht="9.6" customHeight="1" x14ac:dyDescent="0.2">
      <c r="AV470" s="1716" t="s">
        <v>3020</v>
      </c>
      <c r="AW470" s="1717" t="s">
        <v>3055</v>
      </c>
      <c r="AX470" s="1234" t="str">
        <f t="shared" si="192"/>
        <v>YN_009.2500000000</v>
      </c>
      <c r="AY470" s="1719">
        <f>[1]!YN_R11</f>
        <v>9.25</v>
      </c>
      <c r="AZ470" s="1236">
        <f>[1]!YN_ARM05_P11+Input_PL_Incentive_XN</f>
        <v>107.613</v>
      </c>
      <c r="BA470" s="1236">
        <f>[1]!YN_FRM30_P11+Input_PL_Incentive_XN</f>
        <v>107.46299999999999</v>
      </c>
      <c r="BB470" s="1234">
        <f t="shared" si="193"/>
        <v>107.46299999999999</v>
      </c>
      <c r="BC470" s="1234" t="str">
        <f t="shared" si="194"/>
        <v>YN_107.4630000000</v>
      </c>
      <c r="BD470" s="1234"/>
      <c r="BE470" s="1721" t="s">
        <v>3206</v>
      </c>
    </row>
    <row r="471" spans="48:57" ht="9.6" customHeight="1" x14ac:dyDescent="0.2">
      <c r="AV471" s="1716" t="s">
        <v>3020</v>
      </c>
      <c r="AW471" s="1717" t="s">
        <v>3055</v>
      </c>
      <c r="AX471" s="1234" t="str">
        <f t="shared" si="192"/>
        <v>YN_009.1250000000</v>
      </c>
      <c r="AY471" s="1719">
        <f>[1]!YN_R12</f>
        <v>9.125</v>
      </c>
      <c r="AZ471" s="1236">
        <f>[1]!YN_ARM05_P12+Input_PL_Incentive_XN</f>
        <v>107.238</v>
      </c>
      <c r="BA471" s="1236">
        <f>[1]!YN_FRM30_P12+Input_PL_Incentive_XN</f>
        <v>107.08799999999999</v>
      </c>
      <c r="BB471" s="1234">
        <f t="shared" si="193"/>
        <v>107.08799999999999</v>
      </c>
      <c r="BC471" s="1234" t="str">
        <f t="shared" si="194"/>
        <v>YN_107.0880000000</v>
      </c>
      <c r="BD471" s="1234"/>
      <c r="BE471" s="1721" t="s">
        <v>3207</v>
      </c>
    </row>
    <row r="472" spans="48:57" ht="9.6" customHeight="1" x14ac:dyDescent="0.2">
      <c r="AV472" s="1716" t="s">
        <v>3020</v>
      </c>
      <c r="AW472" s="1717" t="s">
        <v>3055</v>
      </c>
      <c r="AX472" s="1234" t="str">
        <f t="shared" si="192"/>
        <v>YN_009.0000000000</v>
      </c>
      <c r="AY472" s="1719">
        <f>[1]!YN_R13</f>
        <v>9</v>
      </c>
      <c r="AZ472" s="1236">
        <f>[1]!YN_ARM05_P13+Input_PL_Incentive_XN</f>
        <v>106.863</v>
      </c>
      <c r="BA472" s="1236">
        <f>[1]!YN_FRM30_P13+Input_PL_Incentive_XN</f>
        <v>106.71299999999999</v>
      </c>
      <c r="BB472" s="1234">
        <f t="shared" si="193"/>
        <v>106.71299999999999</v>
      </c>
      <c r="BC472" s="1234" t="str">
        <f t="shared" si="194"/>
        <v>YN_106.7130000000</v>
      </c>
      <c r="BD472" s="1234"/>
      <c r="BE472" s="1721" t="s">
        <v>3208</v>
      </c>
    </row>
    <row r="473" spans="48:57" ht="9.6" customHeight="1" x14ac:dyDescent="0.2">
      <c r="AV473" s="1716" t="s">
        <v>3020</v>
      </c>
      <c r="AW473" s="1717" t="s">
        <v>3055</v>
      </c>
      <c r="AX473" s="1234" t="str">
        <f t="shared" si="192"/>
        <v>YN_008.8750000000</v>
      </c>
      <c r="AY473" s="1719">
        <f>[1]!YN_R14</f>
        <v>8.875</v>
      </c>
      <c r="AZ473" s="1236">
        <f>[1]!YN_ARM05_P14+Input_PL_Incentive_XN</f>
        <v>106.488</v>
      </c>
      <c r="BA473" s="1236">
        <f>[1]!YN_FRM30_P14+Input_PL_Incentive_XN</f>
        <v>106.33799999999999</v>
      </c>
      <c r="BB473" s="1234">
        <f t="shared" si="193"/>
        <v>106.33799999999999</v>
      </c>
      <c r="BC473" s="1234" t="str">
        <f t="shared" si="194"/>
        <v>YN_106.3380000000</v>
      </c>
      <c r="BD473" s="1234"/>
      <c r="BE473" s="1721" t="s">
        <v>3209</v>
      </c>
    </row>
    <row r="474" spans="48:57" ht="9.6" customHeight="1" x14ac:dyDescent="0.2">
      <c r="AV474" s="1716" t="s">
        <v>3020</v>
      </c>
      <c r="AW474" s="1717" t="s">
        <v>3055</v>
      </c>
      <c r="AX474" s="1234" t="str">
        <f t="shared" si="192"/>
        <v>YN_008.7500000000</v>
      </c>
      <c r="AY474" s="1719">
        <f>[1]!YN_R15</f>
        <v>8.75</v>
      </c>
      <c r="AZ474" s="1236">
        <f>[1]!YN_ARM05_P15+Input_PL_Incentive_XN</f>
        <v>106.113</v>
      </c>
      <c r="BA474" s="1236">
        <f>[1]!YN_FRM30_P15+Input_PL_Incentive_XN</f>
        <v>105.96299999999999</v>
      </c>
      <c r="BB474" s="1234">
        <f t="shared" si="193"/>
        <v>105.96299999999999</v>
      </c>
      <c r="BC474" s="1234" t="str">
        <f t="shared" si="194"/>
        <v>YN_105.9630000000</v>
      </c>
      <c r="BD474" s="1234"/>
      <c r="BE474" s="1721" t="s">
        <v>3210</v>
      </c>
    </row>
    <row r="475" spans="48:57" ht="9.6" customHeight="1" x14ac:dyDescent="0.2">
      <c r="AV475" s="1716" t="s">
        <v>3020</v>
      </c>
      <c r="AW475" s="1717" t="s">
        <v>3055</v>
      </c>
      <c r="AX475" s="1234" t="str">
        <f t="shared" si="192"/>
        <v>YN_008.6250000000</v>
      </c>
      <c r="AY475" s="1719">
        <f>[1]!YN_R16</f>
        <v>8.625</v>
      </c>
      <c r="AZ475" s="1236">
        <f>[1]!YN_ARM05_P16+Input_PL_Incentive_XN</f>
        <v>105.738</v>
      </c>
      <c r="BA475" s="1236">
        <f>[1]!YN_FRM30_P16+Input_PL_Incentive_XN</f>
        <v>105.58799999999999</v>
      </c>
      <c r="BB475" s="1234">
        <f t="shared" si="193"/>
        <v>105.58799999999999</v>
      </c>
      <c r="BC475" s="1234" t="str">
        <f t="shared" si="194"/>
        <v>YN_105.5880000000</v>
      </c>
      <c r="BD475" s="1234"/>
      <c r="BE475" s="1721" t="s">
        <v>3211</v>
      </c>
    </row>
    <row r="476" spans="48:57" ht="9.6" customHeight="1" x14ac:dyDescent="0.2">
      <c r="AV476" s="1716" t="s">
        <v>3020</v>
      </c>
      <c r="AW476" s="1717" t="s">
        <v>3055</v>
      </c>
      <c r="AX476" s="1234" t="str">
        <f t="shared" si="192"/>
        <v>YN_008.5000000000</v>
      </c>
      <c r="AY476" s="1719">
        <f>[1]!YN_R17</f>
        <v>8.5</v>
      </c>
      <c r="AZ476" s="1236">
        <f>[1]!YN_ARM05_P17+Input_PL_Incentive_XN</f>
        <v>105.363</v>
      </c>
      <c r="BA476" s="1236">
        <f>[1]!YN_FRM30_P17+Input_PL_Incentive_XN</f>
        <v>105.21299999999999</v>
      </c>
      <c r="BB476" s="1234">
        <f t="shared" si="193"/>
        <v>105.21299999999999</v>
      </c>
      <c r="BC476" s="1234" t="str">
        <f t="shared" si="194"/>
        <v>YN_105.2130000000</v>
      </c>
      <c r="BD476" s="1234"/>
      <c r="BE476" s="1721" t="s">
        <v>3212</v>
      </c>
    </row>
    <row r="477" spans="48:57" ht="9.6" customHeight="1" x14ac:dyDescent="0.2">
      <c r="AV477" s="1716" t="s">
        <v>3020</v>
      </c>
      <c r="AW477" s="1717" t="s">
        <v>3055</v>
      </c>
      <c r="AX477" s="1234" t="str">
        <f t="shared" si="192"/>
        <v>YN_008.3750000000</v>
      </c>
      <c r="AY477" s="1719">
        <f>[1]!YN_R18</f>
        <v>8.375</v>
      </c>
      <c r="AZ477" s="1236">
        <f>[1]!YN_ARM05_P18+Input_PL_Incentive_XN</f>
        <v>104.988</v>
      </c>
      <c r="BA477" s="1236">
        <f>[1]!YN_FRM30_P18+Input_PL_Incentive_XN</f>
        <v>104.83799999999999</v>
      </c>
      <c r="BB477" s="1234">
        <f t="shared" si="193"/>
        <v>104.83799999999999</v>
      </c>
      <c r="BC477" s="1234" t="str">
        <f t="shared" si="194"/>
        <v>YN_104.8380000000</v>
      </c>
      <c r="BD477" s="1234"/>
      <c r="BE477" s="1721" t="s">
        <v>3213</v>
      </c>
    </row>
    <row r="478" spans="48:57" ht="9.6" customHeight="1" x14ac:dyDescent="0.2">
      <c r="AV478" s="1716" t="s">
        <v>3020</v>
      </c>
      <c r="AW478" s="1717" t="s">
        <v>3055</v>
      </c>
      <c r="AX478" s="1234" t="str">
        <f t="shared" si="192"/>
        <v>YN_008.2500000000</v>
      </c>
      <c r="AY478" s="1719">
        <f>[1]!YN_R19</f>
        <v>8.25</v>
      </c>
      <c r="AZ478" s="1236">
        <f>[1]!YN_ARM05_P19+Input_PL_Incentive_XN</f>
        <v>104.613</v>
      </c>
      <c r="BA478" s="1236">
        <f>[1]!YN_FRM30_P19+Input_PL_Incentive_XN</f>
        <v>104.46299999999999</v>
      </c>
      <c r="BB478" s="1234">
        <f t="shared" si="193"/>
        <v>104.46299999999999</v>
      </c>
      <c r="BC478" s="1234" t="str">
        <f t="shared" si="194"/>
        <v>YN_104.4630000000</v>
      </c>
      <c r="BD478" s="1234"/>
      <c r="BE478" s="1721" t="s">
        <v>3214</v>
      </c>
    </row>
    <row r="479" spans="48:57" ht="9.6" customHeight="1" x14ac:dyDescent="0.2">
      <c r="AV479" s="1716" t="s">
        <v>3020</v>
      </c>
      <c r="AW479" s="1717" t="s">
        <v>3055</v>
      </c>
      <c r="AX479" s="1234" t="str">
        <f t="shared" si="192"/>
        <v>YN_008.1250000000</v>
      </c>
      <c r="AY479" s="1719">
        <f>[1]!YN_R20</f>
        <v>8.125</v>
      </c>
      <c r="AZ479" s="1236">
        <f>[1]!YN_ARM05_P20+Input_PL_Incentive_XN</f>
        <v>104.238</v>
      </c>
      <c r="BA479" s="1236">
        <f>[1]!YN_FRM30_P20+Input_PL_Incentive_XN</f>
        <v>104.08799999999999</v>
      </c>
      <c r="BB479" s="1234">
        <f t="shared" si="193"/>
        <v>104.08799999999999</v>
      </c>
      <c r="BC479" s="1234" t="str">
        <f t="shared" si="194"/>
        <v>YN_104.0880000000</v>
      </c>
      <c r="BD479" s="1234"/>
      <c r="BE479" s="1721" t="s">
        <v>3215</v>
      </c>
    </row>
    <row r="480" spans="48:57" ht="9.6" customHeight="1" x14ac:dyDescent="0.2">
      <c r="AV480" s="1716" t="s">
        <v>3020</v>
      </c>
      <c r="AW480" s="1717" t="s">
        <v>3055</v>
      </c>
      <c r="AX480" s="1234" t="str">
        <f t="shared" si="192"/>
        <v>YN_008.0000000000</v>
      </c>
      <c r="AY480" s="1719">
        <f>[1]!YN_R21</f>
        <v>8</v>
      </c>
      <c r="AZ480" s="1236">
        <f>[1]!YN_ARM05_P21+Input_PL_Incentive_XN</f>
        <v>103.863</v>
      </c>
      <c r="BA480" s="1236">
        <f>[1]!YN_FRM30_P21+Input_PL_Incentive_XN</f>
        <v>103.71299999999999</v>
      </c>
      <c r="BB480" s="1234">
        <f t="shared" si="193"/>
        <v>103.71299999999999</v>
      </c>
      <c r="BC480" s="1234" t="str">
        <f t="shared" si="194"/>
        <v>YN_103.7130000000</v>
      </c>
      <c r="BD480" s="1234"/>
      <c r="BE480" s="1721" t="s">
        <v>3216</v>
      </c>
    </row>
    <row r="481" spans="48:57" ht="9.6" customHeight="1" x14ac:dyDescent="0.2">
      <c r="AV481" s="1716" t="s">
        <v>3020</v>
      </c>
      <c r="AW481" s="1717" t="s">
        <v>3055</v>
      </c>
      <c r="AX481" s="1234" t="str">
        <f t="shared" si="192"/>
        <v>YN_007.8750000000</v>
      </c>
      <c r="AY481" s="1719">
        <f>[1]!YN_R22</f>
        <v>7.875</v>
      </c>
      <c r="AZ481" s="1236">
        <f>[1]!YN_ARM05_P22+Input_PL_Incentive_XN</f>
        <v>103.488</v>
      </c>
      <c r="BA481" s="1236">
        <f>[1]!YN_FRM30_P22+Input_PL_Incentive_XN</f>
        <v>103.33799999999999</v>
      </c>
      <c r="BB481" s="1234">
        <f t="shared" si="193"/>
        <v>103.33799999999999</v>
      </c>
      <c r="BC481" s="1234" t="str">
        <f t="shared" si="194"/>
        <v>YN_103.3380000000</v>
      </c>
      <c r="BD481" s="1234"/>
      <c r="BE481" s="1721" t="s">
        <v>3217</v>
      </c>
    </row>
    <row r="482" spans="48:57" ht="9.6" customHeight="1" x14ac:dyDescent="0.2">
      <c r="AV482" s="1716" t="s">
        <v>3020</v>
      </c>
      <c r="AW482" s="1717" t="s">
        <v>3055</v>
      </c>
      <c r="AX482" s="1234" t="str">
        <f t="shared" si="192"/>
        <v>YN_007.7500000000</v>
      </c>
      <c r="AY482" s="1719">
        <f>[1]!YN_R23</f>
        <v>7.75</v>
      </c>
      <c r="AZ482" s="1236">
        <f>[1]!YN_ARM05_P23+Input_PL_Incentive_XN</f>
        <v>103.05</v>
      </c>
      <c r="BA482" s="1236">
        <f>[1]!YN_FRM30_P23+Input_PL_Incentive_XN</f>
        <v>102.9</v>
      </c>
      <c r="BB482" s="1234">
        <f t="shared" si="193"/>
        <v>102.9</v>
      </c>
      <c r="BC482" s="1234" t="str">
        <f t="shared" si="194"/>
        <v>YN_102.9000000000</v>
      </c>
      <c r="BD482" s="1234"/>
      <c r="BE482" s="1721" t="s">
        <v>3218</v>
      </c>
    </row>
    <row r="483" spans="48:57" ht="9.6" customHeight="1" x14ac:dyDescent="0.2">
      <c r="AV483" s="1716" t="s">
        <v>3020</v>
      </c>
      <c r="AW483" s="1717" t="s">
        <v>3055</v>
      </c>
      <c r="AX483" s="1234" t="str">
        <f t="shared" si="192"/>
        <v>YN_007.6250000000</v>
      </c>
      <c r="AY483" s="1719">
        <f>[1]!YN_R24</f>
        <v>7.625</v>
      </c>
      <c r="AZ483" s="1236">
        <f>[1]!YN_ARM05_P24+Input_PL_Incentive_XN</f>
        <v>102.613</v>
      </c>
      <c r="BA483" s="1236">
        <f>[1]!YN_FRM30_P24+Input_PL_Incentive_XN</f>
        <v>102.46299999999999</v>
      </c>
      <c r="BB483" s="1234">
        <f t="shared" si="193"/>
        <v>102.46299999999999</v>
      </c>
      <c r="BC483" s="1234" t="str">
        <f t="shared" si="194"/>
        <v>YN_102.4630000000</v>
      </c>
      <c r="BD483" s="1234"/>
      <c r="BE483" s="1721" t="s">
        <v>3219</v>
      </c>
    </row>
    <row r="484" spans="48:57" ht="9.6" customHeight="1" x14ac:dyDescent="0.2">
      <c r="AV484" s="1716" t="s">
        <v>3020</v>
      </c>
      <c r="AW484" s="1717" t="s">
        <v>3055</v>
      </c>
      <c r="AX484" s="1234" t="str">
        <f t="shared" si="192"/>
        <v>YN_007.5000000000</v>
      </c>
      <c r="AY484" s="1719">
        <f>[1]!YN_R25</f>
        <v>7.5</v>
      </c>
      <c r="AZ484" s="1236">
        <f>[1]!YN_ARM05_P25+Input_PL_Incentive_XN</f>
        <v>102.175</v>
      </c>
      <c r="BA484" s="1236">
        <f>[1]!YN_FRM30_P25+Input_PL_Incentive_XN</f>
        <v>102.02500000000001</v>
      </c>
      <c r="BB484" s="1234">
        <f t="shared" si="193"/>
        <v>102.02500000000001</v>
      </c>
      <c r="BC484" s="1234" t="str">
        <f t="shared" si="194"/>
        <v>YN_102.0250000000</v>
      </c>
      <c r="BD484" s="1234"/>
      <c r="BE484" s="1721" t="s">
        <v>3220</v>
      </c>
    </row>
    <row r="485" spans="48:57" ht="9.6" customHeight="1" x14ac:dyDescent="0.2">
      <c r="AV485" s="1716" t="s">
        <v>3020</v>
      </c>
      <c r="AW485" s="1717" t="s">
        <v>3055</v>
      </c>
      <c r="AX485" s="1234" t="str">
        <f t="shared" si="192"/>
        <v>YN_007.3750000000</v>
      </c>
      <c r="AY485" s="1719">
        <f>[1]!YN_R26</f>
        <v>7.375</v>
      </c>
      <c r="AZ485" s="1236">
        <f>[1]!YN_ARM05_P26+Input_PL_Incentive_XN</f>
        <v>101.675</v>
      </c>
      <c r="BA485" s="1236">
        <f>[1]!YN_FRM30_P26+Input_PL_Incentive_XN</f>
        <v>101.52500000000001</v>
      </c>
      <c r="BB485" s="1234">
        <f t="shared" si="193"/>
        <v>101.52500000000001</v>
      </c>
      <c r="BC485" s="1234" t="str">
        <f t="shared" si="194"/>
        <v>YN_101.5250000000</v>
      </c>
      <c r="BD485" s="1234"/>
      <c r="BE485" s="1721" t="s">
        <v>3221</v>
      </c>
    </row>
    <row r="486" spans="48:57" ht="9.6" customHeight="1" x14ac:dyDescent="0.2">
      <c r="AV486" s="1716" t="s">
        <v>3020</v>
      </c>
      <c r="AW486" s="1717" t="s">
        <v>3055</v>
      </c>
      <c r="AX486" s="1234" t="str">
        <f t="shared" si="192"/>
        <v>YN_007.2500000000</v>
      </c>
      <c r="AY486" s="1719">
        <f>[1]!YN_R27</f>
        <v>7.25</v>
      </c>
      <c r="AZ486" s="1236">
        <f>[1]!YN_ARM05_P27+Input_PL_Incentive_XN</f>
        <v>101.01300000000001</v>
      </c>
      <c r="BA486" s="1236">
        <f>[1]!YN_FRM30_P27+Input_PL_Incentive_XN</f>
        <v>100.863</v>
      </c>
      <c r="BB486" s="1234">
        <f t="shared" si="193"/>
        <v>100.863</v>
      </c>
      <c r="BC486" s="1234" t="str">
        <f t="shared" si="194"/>
        <v>YN_100.8630000000</v>
      </c>
      <c r="BD486" s="1234"/>
      <c r="BE486" s="1721" t="s">
        <v>3222</v>
      </c>
    </row>
    <row r="487" spans="48:57" ht="9.6" customHeight="1" x14ac:dyDescent="0.2">
      <c r="AV487" s="1716" t="s">
        <v>3020</v>
      </c>
      <c r="AW487" s="1717" t="s">
        <v>3055</v>
      </c>
      <c r="AX487" s="1234" t="str">
        <f t="shared" si="192"/>
        <v>YN_007.1250000000</v>
      </c>
      <c r="AY487" s="1719">
        <f>[1]!YN_R28</f>
        <v>7.125</v>
      </c>
      <c r="AZ487" s="1236">
        <f>[1]!YN_ARM05_P28+Input_PL_Incentive_XN</f>
        <v>100.35</v>
      </c>
      <c r="BA487" s="1236">
        <f>[1]!YN_FRM30_P28+Input_PL_Incentive_XN</f>
        <v>100.2</v>
      </c>
      <c r="BB487" s="1234">
        <f t="shared" si="193"/>
        <v>100.2</v>
      </c>
      <c r="BC487" s="1234" t="str">
        <f t="shared" si="194"/>
        <v>YN_100.2000000000</v>
      </c>
      <c r="BD487" s="1234"/>
      <c r="BE487" s="1721" t="s">
        <v>3223</v>
      </c>
    </row>
    <row r="488" spans="48:57" ht="9.6" customHeight="1" x14ac:dyDescent="0.2">
      <c r="AV488" s="1716" t="s">
        <v>3020</v>
      </c>
      <c r="AW488" s="1717" t="s">
        <v>3055</v>
      </c>
      <c r="AX488" s="1234" t="str">
        <f t="shared" si="192"/>
        <v>YN_007.0000000000</v>
      </c>
      <c r="AY488" s="1719">
        <f>[1]!YN_R29</f>
        <v>7</v>
      </c>
      <c r="AZ488" s="1236">
        <f>[1]!YN_ARM05_P29+Input_PL_Incentive_XN</f>
        <v>99.587999999999994</v>
      </c>
      <c r="BA488" s="1236">
        <f>[1]!YN_FRM30_P29+Input_PL_Incentive_XN</f>
        <v>99.438000000000002</v>
      </c>
      <c r="BB488" s="1234">
        <f t="shared" si="193"/>
        <v>99.438000000000002</v>
      </c>
      <c r="BC488" s="1234" t="str">
        <f t="shared" si="194"/>
        <v>YN_099.4380000000</v>
      </c>
      <c r="BD488" s="1234"/>
      <c r="BE488" s="1721" t="s">
        <v>3224</v>
      </c>
    </row>
    <row r="489" spans="48:57" ht="9.6" customHeight="1" x14ac:dyDescent="0.2">
      <c r="AV489" s="1716" t="s">
        <v>3020</v>
      </c>
      <c r="AW489" s="1717" t="s">
        <v>3055</v>
      </c>
      <c r="AX489" s="1234" t="str">
        <f t="shared" si="192"/>
        <v>YN_006.8750000000</v>
      </c>
      <c r="AY489" s="1719">
        <f>[1]!YN_R30</f>
        <v>6.875</v>
      </c>
      <c r="AZ489" s="1236">
        <f>[1]!YN_ARM05_P30+Input_PL_Incentive_XN</f>
        <v>98.924999999999997</v>
      </c>
      <c r="BA489" s="1236">
        <f>[1]!YN_FRM30_P30+Input_PL_Incentive_XN</f>
        <v>98.775000000000006</v>
      </c>
      <c r="BB489" s="1234">
        <f t="shared" si="193"/>
        <v>98.775000000000006</v>
      </c>
      <c r="BC489" s="1234" t="str">
        <f t="shared" si="194"/>
        <v>YN_098.7750000000</v>
      </c>
      <c r="BD489" s="1234"/>
      <c r="BE489" s="1721" t="s">
        <v>3225</v>
      </c>
    </row>
    <row r="490" spans="48:57" ht="9.6" customHeight="1" x14ac:dyDescent="0.2">
      <c r="AV490" s="1716" t="s">
        <v>3020</v>
      </c>
      <c r="AW490" s="1717" t="s">
        <v>3055</v>
      </c>
      <c r="AX490" s="1234" t="str">
        <f t="shared" si="192"/>
        <v>YN_006.7500000000</v>
      </c>
      <c r="AY490" s="1719">
        <f>[1]!YN_R31</f>
        <v>6.75</v>
      </c>
      <c r="AZ490" s="1236">
        <f>[1]!YN_ARM05_P31+Input_PL_Incentive_XN</f>
        <v>98.263000000000005</v>
      </c>
      <c r="BA490" s="1236">
        <f>[1]!YN_FRM30_P31+Input_PL_Incentive_XN</f>
        <v>98.113</v>
      </c>
      <c r="BB490" s="1234">
        <f t="shared" si="193"/>
        <v>98.113</v>
      </c>
      <c r="BC490" s="1234" t="str">
        <f t="shared" si="194"/>
        <v>YN_098.1130000000</v>
      </c>
      <c r="BD490" s="1234"/>
      <c r="BE490" s="1721" t="s">
        <v>3226</v>
      </c>
    </row>
    <row r="491" spans="48:57" ht="9.6" customHeight="1" x14ac:dyDescent="0.2">
      <c r="AV491" s="1693"/>
      <c r="AW491" s="1694"/>
      <c r="AX491" s="1695"/>
      <c r="AY491" s="1696"/>
      <c r="AZ491" s="1696"/>
      <c r="BA491" s="1696"/>
      <c r="BB491" s="1695"/>
      <c r="BC491" s="1695"/>
      <c r="BD491" s="1695"/>
      <c r="BE491" s="1697"/>
    </row>
    <row r="537" spans="54:54" x14ac:dyDescent="0.2">
      <c r="BB537" s="896"/>
    </row>
    <row r="538" spans="54:54" x14ac:dyDescent="0.2">
      <c r="BB538" s="896"/>
    </row>
  </sheetData>
  <sheetProtection algorithmName="SHA-512" hashValue="YJTY3z874jMhBGEtnQO59AvJCIWX8bLq1y+clJzJVZLEiRA4akO18r7Ou8PxrTw7LK7RP0J6u+B/aoORCIsOng==" saltValue="epozKvTAsd+jLsX1FNPcdA==" spinCount="100000" sheet="1" objects="1" scenarios="1"/>
  <sortState xmlns:xlrd2="http://schemas.microsoft.com/office/spreadsheetml/2017/richdata2" ref="AB144:AF169">
    <sortCondition ref="AB144:AB169"/>
  </sortState>
  <mergeCells count="18">
    <mergeCell ref="AC103:AD103"/>
    <mergeCell ref="AV1:BE2"/>
    <mergeCell ref="I20:I21"/>
    <mergeCell ref="R72:S72"/>
    <mergeCell ref="AF51:AG51"/>
    <mergeCell ref="C49:K49"/>
    <mergeCell ref="B10:K10"/>
    <mergeCell ref="M2:U2"/>
    <mergeCell ref="AQ2:AT2"/>
    <mergeCell ref="B9:K9"/>
    <mergeCell ref="B2:K2"/>
    <mergeCell ref="X2:AA2"/>
    <mergeCell ref="AC2:AN2"/>
    <mergeCell ref="BO3:BP3"/>
    <mergeCell ref="BQ3:BS3"/>
    <mergeCell ref="BG3:BN3"/>
    <mergeCell ref="BV3:CE3"/>
    <mergeCell ref="BG2:CE2"/>
  </mergeCells>
  <phoneticPr fontId="10" type="noConversion"/>
  <conditionalFormatting sqref="E12:E13">
    <cfRule type="expression" dxfId="35" priority="333">
      <formula>ISERROR(E12)</formula>
    </cfRule>
  </conditionalFormatting>
  <conditionalFormatting sqref="F11:F12">
    <cfRule type="expression" dxfId="34" priority="409">
      <formula>ISERROR(F11)</formula>
    </cfRule>
  </conditionalFormatting>
  <conditionalFormatting sqref="F13:G13">
    <cfRule type="expression" dxfId="33" priority="162">
      <formula>ISERROR(F13)</formula>
    </cfRule>
  </conditionalFormatting>
  <conditionalFormatting sqref="G12">
    <cfRule type="expression" dxfId="32" priority="411">
      <formula>ISERROR(G12)</formula>
    </cfRule>
  </conditionalFormatting>
  <conditionalFormatting sqref="G46">
    <cfRule type="expression" dxfId="31" priority="336">
      <formula>ISERROR(G46)</formula>
    </cfRule>
  </conditionalFormatting>
  <conditionalFormatting sqref="H13:H14 J14">
    <cfRule type="expression" dxfId="30" priority="416">
      <formula>H13&lt;&gt;0</formula>
    </cfRule>
  </conditionalFormatting>
  <conditionalFormatting sqref="H13:H14">
    <cfRule type="expression" dxfId="29" priority="417">
      <formula>ISERROR(H13)</formula>
    </cfRule>
  </conditionalFormatting>
  <conditionalFormatting sqref="H96:H97">
    <cfRule type="expression" dxfId="28" priority="19">
      <formula>ISERROR(H96)</formula>
    </cfRule>
  </conditionalFormatting>
  <conditionalFormatting sqref="I11">
    <cfRule type="expression" dxfId="27" priority="1">
      <formula>ISERROR(I11)</formula>
    </cfRule>
  </conditionalFormatting>
  <conditionalFormatting sqref="J12:J14">
    <cfRule type="expression" dxfId="26" priority="2">
      <formula>ISERROR(J12)</formula>
    </cfRule>
  </conditionalFormatting>
  <conditionalFormatting sqref="J17:J42 H17:H43">
    <cfRule type="expression" dxfId="25" priority="8">
      <formula>H17&lt;&gt;0</formula>
    </cfRule>
  </conditionalFormatting>
  <conditionalFormatting sqref="J17:J42 H17:H46">
    <cfRule type="expression" dxfId="24" priority="9">
      <formula>ISERROR(H17)</formula>
    </cfRule>
  </conditionalFormatting>
  <conditionalFormatting sqref="J43:K43">
    <cfRule type="expression" dxfId="23" priority="397">
      <formula>J43&lt;&gt;0</formula>
    </cfRule>
  </conditionalFormatting>
  <conditionalFormatting sqref="J43:K46">
    <cfRule type="expression" dxfId="22" priority="398">
      <formula>ISERROR(J43)</formula>
    </cfRule>
  </conditionalFormatting>
  <conditionalFormatting sqref="K33">
    <cfRule type="expression" dxfId="21" priority="66">
      <formula>ISERROR(K33)</formula>
    </cfRule>
    <cfRule type="expression" dxfId="20" priority="65">
      <formula>K33&lt;&gt;0</formula>
    </cfRule>
  </conditionalFormatting>
  <conditionalFormatting sqref="K40:K41">
    <cfRule type="expression" dxfId="19" priority="56">
      <formula>K40&lt;&gt;0</formula>
    </cfRule>
  </conditionalFormatting>
  <conditionalFormatting sqref="K40:K42">
    <cfRule type="expression" dxfId="18" priority="55">
      <formula>ISERROR(K40)</formula>
    </cfRule>
  </conditionalFormatting>
  <conditionalFormatting sqref="AF103">
    <cfRule type="expression" dxfId="17" priority="58">
      <formula>Input_Product = "InvestPointSelect"</formula>
    </cfRule>
    <cfRule type="expression" dxfId="16" priority="59">
      <formula>Input_Product = "PrimePointSelect"</formula>
    </cfRule>
    <cfRule type="expression" dxfId="15" priority="60">
      <formula>Input_Product = "InvestPointVantage"</formula>
    </cfRule>
    <cfRule type="expression" dxfId="14" priority="61">
      <formula>Input_Product = "MultiPoint"</formula>
    </cfRule>
    <cfRule type="expression" dxfId="13" priority="62">
      <formula>Input_Product = "InvestPoint"</formula>
    </cfRule>
    <cfRule type="expression" dxfId="12" priority="63">
      <formula>Input_Product = "PrimePoint"</formula>
    </cfRule>
    <cfRule type="expression" dxfId="11" priority="64">
      <formula>Input_Product = "PrimePointVantage"</formula>
    </cfRule>
  </conditionalFormatting>
  <conditionalFormatting sqref="AJ57:AJ59">
    <cfRule type="expression" dxfId="10" priority="13">
      <formula>ISERROR(AJ57)</formula>
    </cfRule>
    <cfRule type="expression" dxfId="9" priority="12">
      <formula>AJ57&lt;&gt;0</formula>
    </cfRule>
  </conditionalFormatting>
  <conditionalFormatting sqref="AR42">
    <cfRule type="cellIs" dxfId="8" priority="386" operator="between">
      <formula>101</formula>
      <formula>101.5</formula>
    </cfRule>
  </conditionalFormatting>
  <conditionalFormatting sqref="AR48:AR52">
    <cfRule type="cellIs" dxfId="7" priority="76" operator="between">
      <formula>101</formula>
      <formula>101.5</formula>
    </cfRule>
  </conditionalFormatting>
  <conditionalFormatting sqref="AR56:AR57">
    <cfRule type="cellIs" dxfId="6" priority="385" operator="between">
      <formula>101</formula>
      <formula>101.5</formula>
    </cfRule>
  </conditionalFormatting>
  <conditionalFormatting sqref="AR60">
    <cfRule type="cellIs" dxfId="5" priority="445" operator="between">
      <formula>101</formula>
      <formula>101.5</formula>
    </cfRule>
  </conditionalFormatting>
  <conditionalFormatting sqref="AR85">
    <cfRule type="cellIs" dxfId="4" priority="7" operator="between">
      <formula>101</formula>
      <formula>101.5</formula>
    </cfRule>
  </conditionalFormatting>
  <conditionalFormatting sqref="AS189">
    <cfRule type="expression" dxfId="3" priority="30">
      <formula>ISERROR(AS189)</formula>
    </cfRule>
  </conditionalFormatting>
  <dataValidations disablePrompts="1" count="4">
    <dataValidation type="list" allowBlank="1" showInputMessage="1" showErrorMessage="1" sqref="E4" xr:uid="{B1BD9D04-767E-4671-B0E8-1250EDF39D5A}">
      <formula1>"Standard, Master"</formula1>
    </dataValidation>
    <dataValidation type="list" allowBlank="1" showInputMessage="1" showErrorMessage="1" sqref="E5" xr:uid="{02E9D6BD-E26E-43DD-82E6-E8DBF86CEE37}">
      <formula1>"Restriction, NoRestriction"</formula1>
    </dataValidation>
    <dataValidation type="list" allowBlank="1" showInputMessage="1" showErrorMessage="1" sqref="E6" xr:uid="{56FA7DC8-7D01-4DC5-BD2D-DE6E856D2BC7}">
      <formula1>"DollarPrice,Points"</formula1>
    </dataValidation>
    <dataValidation type="list" allowBlank="1" showInputMessage="1" showErrorMessage="1" sqref="AF103" xr:uid="{91AD2302-CF98-471C-8199-503D2474FFA4}">
      <formula1>"All,Internal,External"</formula1>
    </dataValidation>
  </dataValidations>
  <hyperlinks>
    <hyperlink ref="AS81" r:id="rId1" xr:uid="{22B0F8EC-DFC0-4799-A012-A1D2CD77C7A5}"/>
  </hyperlinks>
  <pageMargins left="0.7" right="0.7" top="0.75" bottom="0.75" header="0.3" footer="0.3"/>
  <pageSetup orientation="portrait" r:id="rId2"/>
  <ignoredErrors>
    <ignoredError sqref="BH14 BH11 BH39 BH36 BH19" formula="1"/>
    <ignoredError sqref="T38 N175:N21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CC31F-0139-4966-9628-00693876B07A}">
  <sheetPr codeName="Sheet8"/>
  <dimension ref="A1:DJ1856"/>
  <sheetViews>
    <sheetView showGridLines="0" zoomScaleNormal="100" workbookViewId="0">
      <pane xSplit="3" ySplit="6" topLeftCell="R1267" activePane="bottomRight" state="frozen"/>
      <selection activeCell="K6" sqref="B6:K15"/>
      <selection pane="topRight" activeCell="K6" sqref="B6:K15"/>
      <selection pane="bottomLeft" activeCell="K6" sqref="B6:K15"/>
      <selection pane="bottomRight" activeCell="K6" sqref="B6:K15"/>
    </sheetView>
  </sheetViews>
  <sheetFormatPr defaultColWidth="8.85546875" defaultRowHeight="15" x14ac:dyDescent="0.25"/>
  <cols>
    <col min="1" max="1" width="5.7109375" style="2" bestFit="1" customWidth="1"/>
    <col min="2" max="2" width="9.85546875" style="2" bestFit="1" customWidth="1"/>
    <col min="3" max="3" width="17.140625" style="2" bestFit="1" customWidth="1"/>
    <col min="4" max="4" width="7.85546875" style="2" customWidth="1"/>
    <col min="5" max="5" width="5.5703125" style="2" customWidth="1"/>
    <col min="6" max="6" width="5.7109375" style="2" customWidth="1"/>
    <col min="7" max="7" width="7.28515625" style="2" customWidth="1"/>
    <col min="8" max="8" width="10.7109375" style="2" customWidth="1"/>
    <col min="9" max="9" width="21.7109375" style="2" bestFit="1" customWidth="1"/>
    <col min="10" max="10" width="3.42578125" style="2" customWidth="1"/>
    <col min="11" max="11" width="19.140625" style="2" customWidth="1"/>
    <col min="12" max="12" width="16.42578125" style="2" customWidth="1"/>
    <col min="13" max="13" width="15.140625" style="2" customWidth="1"/>
    <col min="14" max="14" width="11.28515625" style="2" customWidth="1"/>
    <col min="15" max="15" width="15.42578125" style="2" customWidth="1"/>
    <col min="16" max="16" width="8.5703125" style="2" bestFit="1" customWidth="1"/>
    <col min="17" max="17" width="15.140625" style="2" bestFit="1" customWidth="1"/>
    <col min="18" max="18" width="9.140625" style="2" customWidth="1"/>
    <col min="19" max="19" width="9.140625" style="2" bestFit="1" customWidth="1"/>
    <col min="20" max="20" width="6.28515625" style="2" bestFit="1" customWidth="1"/>
    <col min="21" max="21" width="9.140625" style="2" bestFit="1" customWidth="1"/>
    <col min="22" max="23" width="5.28515625" style="2" customWidth="1"/>
    <col min="24" max="25" width="5.7109375" style="2" customWidth="1"/>
    <col min="26" max="27" width="4.5703125" style="2" customWidth="1"/>
    <col min="28" max="28" width="5.85546875" style="2" customWidth="1"/>
    <col min="29" max="29" width="5.85546875" style="2" bestFit="1" customWidth="1"/>
    <col min="30" max="30" width="4.85546875" style="2" customWidth="1"/>
    <col min="31" max="31" width="5.7109375" style="2" customWidth="1"/>
    <col min="32" max="32" width="3.140625" style="2" customWidth="1"/>
    <col min="33" max="53" width="4.5703125" style="2" customWidth="1"/>
    <col min="54" max="54" width="7" style="2" bestFit="1" customWidth="1"/>
    <col min="55" max="55" width="7.7109375" style="2" customWidth="1"/>
    <col min="56" max="56" width="6.85546875" style="2" customWidth="1"/>
    <col min="57" max="57" width="7.28515625" style="2" customWidth="1"/>
    <col min="58" max="59" width="1.85546875" style="2" customWidth="1"/>
    <col min="60" max="60" width="4.7109375" style="2" customWidth="1"/>
    <col min="61" max="61" width="8.140625" style="2" customWidth="1"/>
    <col min="62" max="88" width="4.7109375" style="2" customWidth="1"/>
    <col min="89" max="89" width="5.140625" style="514" customWidth="1"/>
    <col min="90" max="90" width="7.7109375" style="514" bestFit="1" customWidth="1"/>
    <col min="91" max="114" width="9.140625"/>
    <col min="115" max="115" width="4.28515625" style="2" bestFit="1" customWidth="1"/>
    <col min="116" max="116" width="3.140625" style="2" bestFit="1" customWidth="1"/>
    <col min="117" max="117" width="3.5703125" style="2" bestFit="1" customWidth="1"/>
    <col min="118" max="118" width="4.28515625" style="2" bestFit="1" customWidth="1"/>
    <col min="119" max="120" width="8.85546875" style="2"/>
    <col min="121" max="121" width="17.140625" style="2" bestFit="1" customWidth="1"/>
    <col min="122" max="16384" width="8.85546875" style="2"/>
  </cols>
  <sheetData>
    <row r="1" spans="1:89" ht="10.15" customHeight="1" x14ac:dyDescent="0.25">
      <c r="A1" s="183" t="e" cm="1" vm="2">
        <f t="array" aca="1" ref="A1" ca="1">Elig_All</f>
        <v>#VALUE!</v>
      </c>
      <c r="B1" s="2781" t="s">
        <v>301</v>
      </c>
      <c r="C1" s="2782"/>
      <c r="D1" s="2782"/>
      <c r="E1" s="2782"/>
      <c r="F1" s="2782"/>
      <c r="G1" s="2782"/>
      <c r="H1" s="2782"/>
      <c r="I1" s="2782"/>
      <c r="J1" s="2782"/>
      <c r="K1" s="2782"/>
      <c r="L1" s="2782"/>
      <c r="M1" s="2782"/>
      <c r="N1" s="2782"/>
      <c r="O1" s="2782"/>
      <c r="P1" s="2782"/>
      <c r="Q1" s="2782"/>
      <c r="R1" s="2782"/>
      <c r="S1" s="2782"/>
      <c r="T1" s="2782"/>
      <c r="U1" s="2782"/>
      <c r="V1" s="2782"/>
      <c r="W1" s="2782"/>
      <c r="X1" s="2782"/>
      <c r="Y1" s="2782"/>
      <c r="Z1" s="2782"/>
      <c r="AA1" s="2782"/>
      <c r="AB1" s="2782"/>
      <c r="AC1" s="2782"/>
      <c r="AD1" s="2782"/>
      <c r="AE1" s="2782"/>
      <c r="AF1" s="2783"/>
      <c r="AG1" s="2783"/>
      <c r="AH1" s="2783"/>
      <c r="AI1" s="2783"/>
      <c r="AJ1" s="2783"/>
      <c r="AK1" s="2783"/>
      <c r="AL1" s="2783"/>
      <c r="AM1" s="2783"/>
      <c r="AN1" s="2783"/>
      <c r="AO1" s="2783"/>
      <c r="AP1" s="2783"/>
      <c r="AQ1" s="2783"/>
      <c r="AR1" s="2783"/>
      <c r="AS1" s="2783"/>
      <c r="AT1" s="2783"/>
      <c r="AU1" s="2783"/>
      <c r="AV1" s="2783"/>
      <c r="AW1" s="2783"/>
      <c r="AX1" s="2783"/>
      <c r="AY1" s="2783"/>
      <c r="AZ1" s="2783"/>
      <c r="BA1" s="2783"/>
      <c r="BB1" s="2783"/>
      <c r="BC1" s="2784"/>
      <c r="BE1" s="177">
        <f>INDEX(Elig_All,MATCH(Elig_FindMatrixMatch_LTVMax,Elig_ID,0),27)</f>
        <v>0</v>
      </c>
      <c r="BH1" s="2" t="e" cm="1" vm="3">
        <f t="array" aca="1" ref="BH1" ca="1">Elig_MatchCountMultResults</f>
        <v>#VALUE!</v>
      </c>
      <c r="BI1" s="2" t="e" cm="1" vm="4">
        <f t="array" aca="1" ref="BI1" ca="1">Elig_All_TestMatch</f>
        <v>#VALUE!</v>
      </c>
      <c r="BJ1" s="2" t="str">
        <f>Elig_FindMatrixMatch_All</f>
        <v>NSO0001</v>
      </c>
      <c r="BO1" s="2" t="s">
        <v>1311</v>
      </c>
      <c r="BW1" s="125">
        <f>IF(AND(Input_Product=Elig!$C1,Elig_MatchAll_Ct&lt;22,$BC1=(Elig_MatchAll_Ct-1),AU1=0),R1&amp;"-"&amp;S1,0)</f>
        <v>0</v>
      </c>
      <c r="BX1" s="124"/>
      <c r="BY1" s="125">
        <f>IF(AND(Input_Product=Elig!$C1,Elig_MatchAll_Ct&lt;22,$BC1=(Elig_MatchAll_Ct-1),AV1=0),T1&amp;"-"&amp;U1,0)</f>
        <v>0</v>
      </c>
      <c r="BZ1" s="124"/>
      <c r="CA1" s="125">
        <f>IF(AND(Input_Product=Elig!$C1,Elig_MatchAll_Ct&lt;22,$BC1=(Elig_MatchAll_Ct-1),AW1=0),V1&amp;"-"&amp;W1,0)</f>
        <v>0</v>
      </c>
      <c r="CB1" s="124"/>
      <c r="CC1" s="125">
        <f>IF(AND(Input_Product=Elig!$C1,Elig_MatchAll_Ct&lt;22,$BC1=(Elig_MatchAll_Ct-1),AX1=0),X1&amp;"-"&amp;Y1,0)</f>
        <v>0</v>
      </c>
      <c r="CD1" s="124"/>
      <c r="CE1" s="125">
        <f>IF(AND(Input_Product=Elig!$C1,Elig_MatchAll_Ct&lt;22,$BC1=(Elig_MatchAll_Ct-1),AY1=0),Z1&amp;"-"&amp;AA1,0)</f>
        <v>0</v>
      </c>
      <c r="CF1" s="124"/>
      <c r="CG1" s="125">
        <f>IF(AND(Input_Product=Elig!$C1,Elig_MatchAll_Ct&lt;22,$BC1=(Elig_MatchAll_Ct-1),AZ1=0),AB1&amp;"-"&amp;AC1,0)</f>
        <v>0</v>
      </c>
      <c r="CH1" s="124"/>
      <c r="CI1" s="125">
        <f>IF(AND(Input_Product=Elig!$C1,Elig_MatchAll_Ct&lt;22,$BC1=(Elig_MatchAll_Ct-1),BA1=0),AD1&amp;"-"&amp;BA1,0)</f>
        <v>0</v>
      </c>
      <c r="CK1" s="514" t="str">
        <f>Input_Name_Product16</f>
        <v xml:space="preserve"> </v>
      </c>
    </row>
    <row r="2" spans="1:89" ht="18" customHeight="1" x14ac:dyDescent="0.25">
      <c r="B2" s="182" t="s">
        <v>357</v>
      </c>
      <c r="C2" s="182" t="str">
        <f>INDEX(Elig_All,MATCH(Elig_FindMatrixMatch_LTVMax,Elig_ID,0),2)</f>
        <v>Second OO</v>
      </c>
      <c r="D2" s="182" t="str">
        <f>INDEX(Elig_All,MATCH(Elig_FindMatrixMatch_LTVMax,Elig_ID,0),3)</f>
        <v>10yr Fixed, 15yr Fixed, 20yr Fixed, 30yr Fixed</v>
      </c>
      <c r="E2" s="182" t="str">
        <f>INDEX(Elig_All,MATCH(Elig_FindMatrixMatch_LTVMax,Elig_ID,0),4)</f>
        <v>Full Amortization</v>
      </c>
      <c r="F2" s="182" t="str">
        <f>INDEX(Elig_All,MATCH(Elig_FindMatrixMatch_LTVMax,Elig_ID,0),5)</f>
        <v>OOC</v>
      </c>
      <c r="G2" s="182" t="str">
        <f>INDEX(Elig_All,MATCH(Elig_FindMatrixMatch_LTVMax,Elig_ID,0),6)</f>
        <v>01, 02</v>
      </c>
      <c r="H2" s="182" t="str">
        <f>INDEX(Elig_All,MATCH(Elig_FindMatrixMatch_LTVMax,Elig_ID,0),7)</f>
        <v>No Bank Stmt</v>
      </c>
      <c r="I2" s="182" t="str">
        <f>INDEX(Elig_All,MATCH(Elig_FindMatrixMatch_LTVMax,Elig_ID,0),8)</f>
        <v>Purchase, Rate-Term, Cash-Out</v>
      </c>
      <c r="J2" s="182" t="str">
        <f>INDEX(Elig_All,MATCH(Elig_FindMatrixMatch_LTVMax,Elig_ID,0),9)</f>
        <v>AK, AL, AR, AZ, CA, CO, CT, DC, DE, FL, GA, HI, IA, ID, IL, IN, KS, KY, LA, MA, MD, ME, MI, MN, MO, MS, MT, NC, ND, NE, NH, NJ, NM, NV, NY, OH, OK, OR, PA, RI, SC, SD, TN, TX, UT, VA, VT, WA, WI, WV, WY</v>
      </c>
      <c r="K2" s="182" t="str">
        <f>INDEX(Elig_All,MATCH(Elig_FindMatrixMatch_LTVMax,Elig_ID,0),10)</f>
        <v>SF, DP, PD, CS, CW, TH, RW, MD, 2U, 3U, 4U, RL</v>
      </c>
      <c r="L2" s="182" t="str">
        <f>INDEX(Elig_All,MATCH(Elig_FindMatrixMatch_LTVMax,Elig_ID,0),11)</f>
        <v>NoLatesx24, NoLatesx12</v>
      </c>
      <c r="M2" s="182" t="str">
        <f>INDEX(Elig_All,MATCH(Elig_FindMatrixMatch_LTVMax,Elig_ID,0),12)</f>
        <v>No Events 48mo+</v>
      </c>
      <c r="N2" s="182" t="str">
        <f>INDEX(Elig_All,MATCH(Elig_FindMatrixMatch_LTVMax,Elig_ID,0),13)</f>
        <v>No Prepay</v>
      </c>
      <c r="O2" s="182" t="str">
        <f>INDEX(Elig_All,MATCH(Elig_FindMatrixMatch_LTVMax,Elig_ID,0),14)</f>
        <v>US Citizen, Permanent Resident Alien, Non-Permanent Resident Alien</v>
      </c>
      <c r="P2" s="182" t="str">
        <f>INDEX(Elig_All,MATCH(Elig_FindMatrixMatch_LTVMax,Elig_ID,0),15)</f>
        <v>N, Y</v>
      </c>
      <c r="Q2" s="182" t="str">
        <f>INDEX(Elig_All,MATCH(Elig_FindMatrixMatch_LTVMax,Elig_ID,0),16)</f>
        <v>No Escrows, Escrows</v>
      </c>
      <c r="R2" s="182">
        <f>INDEX(Elig_All,MATCH(Elig_FindMatrixMatch_LTVMax,Elig_ID,0),17)</f>
        <v>50000</v>
      </c>
      <c r="S2" s="182">
        <f>INDEX(Elig_All,MATCH(Elig_FindMatrixMatch_LTVMax,Elig_ID,0),18)</f>
        <v>350000</v>
      </c>
      <c r="T2" s="182">
        <f>INDEX(Elig_All,MATCH(Elig_FindMatrixMatch_LTVMax,Elig_ID,0),19)</f>
        <v>0</v>
      </c>
      <c r="U2" s="182">
        <f>INDEX(Elig_All,MATCH(Elig_FindMatrixMatch_LTVMax,Elig_ID,0),20)</f>
        <v>350000</v>
      </c>
      <c r="V2" s="182">
        <f>INDEX(Elig_All,MATCH(Elig_FindMatrixMatch_LTVMax,Elig_ID,0),21)</f>
        <v>0</v>
      </c>
      <c r="W2" s="182">
        <f>INDEX(Elig_All,MATCH(Elig_FindMatrixMatch_LTVMax,Elig_ID,0),22)</f>
        <v>50</v>
      </c>
      <c r="X2" s="182">
        <f>INDEX(Elig_All,MATCH(Elig_FindMatrixMatch_LTVMax,Elig_ID,0),23)</f>
        <v>0</v>
      </c>
      <c r="Y2" s="182">
        <f>INDEX(Elig_All,MATCH(Elig_FindMatrixMatch_LTVMax,Elig_ID,0),24)</f>
        <v>999</v>
      </c>
      <c r="Z2" s="182">
        <f>INDEX(Elig_All,MATCH(Elig_FindMatrixMatch_LTVMax,Elig_ID,0),25)</f>
        <v>720</v>
      </c>
      <c r="AA2" s="182">
        <f>INDEX(Elig_All,MATCH(Elig_FindMatrixMatch_LTVMax,Elig_ID,0),26)</f>
        <v>999</v>
      </c>
      <c r="AB2" s="182">
        <f>INDEX(Elig_All,MATCH(Elig_FindMatrixMatch_LTVMax,Elig_ID,0),27)</f>
        <v>0</v>
      </c>
      <c r="AC2" s="182">
        <f>INDEX(Elig_All,MATCH(Elig_FindMatrixMatch_LTVMax,Elig_ID,0),28)</f>
        <v>999999</v>
      </c>
      <c r="AD2" s="182">
        <f>INDEX(Elig_All,MATCH(Elig_FindMatrixMatch_LTVMax,Elig_ID,0),29)</f>
        <v>0</v>
      </c>
      <c r="AE2" s="182">
        <f>INDEX(Elig_All,MATCH(Elig_FindMatrixMatch_LTVMax,Elig_ID,0),30)</f>
        <v>90</v>
      </c>
      <c r="BB2" s="126" t="s">
        <v>448</v>
      </c>
      <c r="BC2" s="127" t="s">
        <v>449</v>
      </c>
      <c r="BD2" s="127" t="s">
        <v>451</v>
      </c>
      <c r="BG2" s="26"/>
      <c r="BI2" s="2" t="str">
        <f>Elig_FindMatrixMatch_All</f>
        <v>NSO0001</v>
      </c>
      <c r="BW2" s="123" t="str">
        <f>MIN(BW4:BW1633)&amp;"-"&amp;MAX(BX4:BX1633)</f>
        <v>0-0</v>
      </c>
      <c r="BY2" s="123" t="str">
        <f>MIN(BY4:BY1633)&amp;"-"&amp;MAX(BZ4:BZ1633)</f>
        <v>0-0</v>
      </c>
      <c r="CA2" s="123" t="str">
        <f>MIN(CA4:CA1633)&amp;"-"&amp;MAX(CB4:CB1633)</f>
        <v>0-0</v>
      </c>
      <c r="CC2" s="123" t="str">
        <f>MIN(CC4:CC1633)&amp;"-"&amp;MAX(CD4:CD1633)</f>
        <v>0-0</v>
      </c>
      <c r="CE2" s="123" t="str">
        <f>MIN(CE4:CE1633)&amp;"-"&amp;MAX(CF4:CF1633)</f>
        <v>0-0</v>
      </c>
      <c r="CG2" s="123" t="str">
        <f>MIN(CG4:CG1633)&amp;"-"&amp;MAX(CH4:CH1633)</f>
        <v>0-0</v>
      </c>
      <c r="CI2" s="123" t="str">
        <f>MIN(CI4:CI1633)&amp;"-"&amp;MAX(CJ4:CJ1633)</f>
        <v>0-0</v>
      </c>
    </row>
    <row r="3" spans="1:89" ht="10.15" customHeight="1" x14ac:dyDescent="0.25">
      <c r="B3" s="179" t="e" cm="1" vm="5">
        <f t="array" aca="1" ref="B3" ca="1">Elig_ID</f>
        <v>#VALUE!</v>
      </c>
      <c r="C3" s="179" t="e" cm="1" vm="6">
        <f t="array" aca="1" ref="C3" ca="1">Elig_Product</f>
        <v>#VALUE!</v>
      </c>
      <c r="D3" s="180" t="e" cm="1" vm="6">
        <f t="array" aca="1" ref="D3" ca="1">Elig_AmortTerm</f>
        <v>#VALUE!</v>
      </c>
      <c r="E3" s="180" t="e" cm="1" vm="6">
        <f t="array" aca="1" ref="E3" ca="1">Elig_AmortType</f>
        <v>#VALUE!</v>
      </c>
      <c r="F3" s="180" t="e" cm="1" vm="6">
        <f t="array" aca="1" ref="F3" ca="1">Elig_Occupancy</f>
        <v>#VALUE!</v>
      </c>
      <c r="G3" s="180" t="e" cm="1" vm="6">
        <f t="array" aca="1" ref="G3" ca="1">Elig_DocType</f>
        <v>#VALUE!</v>
      </c>
      <c r="H3" s="180" t="e" cm="1" vm="6">
        <f t="array" aca="1" ref="H3" ca="1">Elig_BankStmt</f>
        <v>#VALUE!</v>
      </c>
      <c r="I3" s="180" t="e" cm="1" vm="6">
        <f t="array" aca="1" ref="I3" ca="1">Elig_Purpose</f>
        <v>#VALUE!</v>
      </c>
      <c r="J3" s="180" t="e" cm="1" vm="6">
        <f t="array" aca="1" ref="J3" ca="1">Elig_State</f>
        <v>#VALUE!</v>
      </c>
      <c r="K3" s="180" t="e" cm="1" vm="6">
        <f t="array" aca="1" ref="K3" ca="1">Elig_PropType</f>
        <v>#VALUE!</v>
      </c>
      <c r="L3" s="180" t="e" cm="1" vm="6">
        <f t="array" aca="1" ref="L3" ca="1">Elig_CreditHistory</f>
        <v>#VALUE!</v>
      </c>
      <c r="M3" s="180" t="e" cm="1" vm="6">
        <f t="array" aca="1" ref="M3" ca="1">Elig_HousingHistory</f>
        <v>#VALUE!</v>
      </c>
      <c r="N3" s="180" t="e" cm="1" vm="6">
        <f t="array" aca="1" ref="N3" ca="1">Elig_PrepayPenalty</f>
        <v>#VALUE!</v>
      </c>
      <c r="O3" s="180" t="e" cm="1" vm="6">
        <f t="array" aca="1" ref="O3" ca="1">Elig_Citizenship</f>
        <v>#VALUE!</v>
      </c>
      <c r="P3" s="180" t="e" cm="1" vm="6">
        <f t="array" aca="1" ref="P3" ca="1">Elig_FirstTimeHomeBuyer</f>
        <v>#VALUE!</v>
      </c>
      <c r="Q3" s="180" t="e" cm="1" vm="6">
        <f t="array" aca="1" ref="Q3" ca="1">Elig_Servicing</f>
        <v>#VALUE!</v>
      </c>
      <c r="R3" s="180" t="e" cm="1" vm="6">
        <f t="array" aca="1" ref="R3" ca="1">Elig_LoanAmt_Min</f>
        <v>#VALUE!</v>
      </c>
      <c r="S3" s="180" t="e" cm="1" vm="6">
        <f t="array" aca="1" ref="S3" ca="1">Elig_LoanAmt_Max</f>
        <v>#VALUE!</v>
      </c>
      <c r="T3" s="180" t="e" cm="1" vm="6">
        <f t="array" aca="1" ref="T3" ca="1">Elig_CashoutAmt_Min</f>
        <v>#VALUE!</v>
      </c>
      <c r="U3" s="180" t="e" cm="1" vm="6">
        <f t="array" aca="1" ref="U3" ca="1">Elig_CashoutAmt_Max</f>
        <v>#VALUE!</v>
      </c>
      <c r="V3" s="180" t="e" cm="1" vm="6">
        <f t="array" aca="1" ref="V3" ca="1">Elig_DTI_Min</f>
        <v>#VALUE!</v>
      </c>
      <c r="W3" s="180" t="e" cm="1" vm="6">
        <f t="array" aca="1" ref="W3" ca="1">Elig_DTI_Max</f>
        <v>#VALUE!</v>
      </c>
      <c r="X3" s="180" t="e" cm="1" vm="6">
        <f t="array" aca="1" ref="X3" ca="1">Elig_DSCR_Min</f>
        <v>#VALUE!</v>
      </c>
      <c r="Y3" s="180" t="e" cm="1" vm="6">
        <f t="array" aca="1" ref="Y3" ca="1">Elig_DSCR_Max</f>
        <v>#VALUE!</v>
      </c>
      <c r="Z3" s="180" t="e" cm="1" vm="6">
        <f t="array" aca="1" ref="Z3" ca="1">Elig_CreditScore_Min</f>
        <v>#VALUE!</v>
      </c>
      <c r="AA3" s="180" t="e" cm="1" vm="6">
        <f t="array" aca="1" ref="AA3" ca="1">Elig_CreditScore_Max</f>
        <v>#VALUE!</v>
      </c>
      <c r="AB3" s="180" t="e" cm="1" vm="6">
        <f t="array" aca="1" ref="AB3" ca="1">Elig_Reserves_Min</f>
        <v>#VALUE!</v>
      </c>
      <c r="AC3" s="180" t="e" cm="1" vm="6">
        <f t="array" aca="1" ref="AC3" ca="1">Elig_Reserves_Max</f>
        <v>#VALUE!</v>
      </c>
      <c r="AD3" s="180" t="e" cm="1" vm="6">
        <f t="array" aca="1" ref="AD3" ca="1">Elig_LTV_Min</f>
        <v>#VALUE!</v>
      </c>
      <c r="AE3" s="181" t="e" cm="1" vm="6">
        <f t="array" aca="1" ref="AE3" ca="1">Elig_LTV_Max</f>
        <v>#VALUE!</v>
      </c>
      <c r="AF3" s="2785" t="s">
        <v>1312</v>
      </c>
      <c r="AG3" s="2786"/>
      <c r="AH3" s="2786"/>
      <c r="AI3" s="2786"/>
      <c r="AJ3" s="2786"/>
      <c r="AK3" s="2786"/>
      <c r="AL3" s="2786"/>
      <c r="AM3" s="2786"/>
      <c r="AN3" s="2786"/>
      <c r="AO3" s="2786"/>
      <c r="AP3" s="2786"/>
      <c r="AQ3" s="2786"/>
      <c r="AR3" s="2786"/>
      <c r="AS3" s="2786"/>
      <c r="AT3" s="2786"/>
      <c r="AU3" s="2786"/>
      <c r="AV3" s="2786"/>
      <c r="AW3" s="2786"/>
      <c r="AX3" s="2786"/>
      <c r="AY3" s="2786"/>
      <c r="AZ3" s="2786"/>
      <c r="BA3" s="2787"/>
      <c r="BC3" s="177">
        <f>INDEX(Elig_All,MATCH(Elig_FindMatrixMatch_LTVMax,Elig_ID,0),30)</f>
        <v>90</v>
      </c>
      <c r="BD3" s="39" t="s">
        <v>450</v>
      </c>
      <c r="BM3" s="2" t="str">
        <f>Result_Msg2_LLPA_BankStmt</f>
        <v/>
      </c>
      <c r="BW3" s="2" t="str" cm="1">
        <f t="array" ref="BW3">MIN(IF(BW7:BW1633=0,"",BW7:BW1633))&amp;"-"&amp;MAX(IF(BX7:BX1633=0,"",BX7:BX1633))</f>
        <v>0-0</v>
      </c>
      <c r="BY3" s="2" t="str" cm="1">
        <f t="array" ref="BY3">MIN(IF(BY7:BY1633=0,"",BY7:BY1633))&amp;"-"&amp;MAX(IF(BZ7:BZ1633=0,"",BZ7:BZ1633))</f>
        <v>0-0</v>
      </c>
      <c r="CA3" s="2" t="str" cm="1">
        <f t="array" ref="CA3">MIN(IF(CA7:CA1633=0,"",CA7:CA1633))&amp;"-"&amp;MAX(IF(CB7:CB1633=0,"",CB7:CB1633))</f>
        <v>0-0</v>
      </c>
      <c r="CC3" s="2" t="str" cm="1">
        <f t="array" ref="CC3">MIN(IF(CC7:CC1633=0,"",CC7:CC1633))&amp;"-"&amp;MAX(IF(CD7:CD1633=0,"",CD7:CD1633))</f>
        <v>0-0</v>
      </c>
      <c r="CE3" s="2" t="str" cm="1">
        <f t="array" ref="CE3">MIN(IF(CE7:CE1633=0,"",CE7:CE1633))&amp;"-"&amp;MAX(IF(CF7:CF1633=0,"",CF7:CF1633))</f>
        <v>0-0</v>
      </c>
      <c r="CG3" s="2" t="str" cm="1">
        <f t="array" ref="CG3">MIN(IF(CG7:CG1633=0,"",CG7:CG1633))&amp;"-"&amp;MAX(IF(CH7:CH1633=0,"",CH7:CH1633))</f>
        <v>0-0</v>
      </c>
      <c r="CI3" s="2" t="str" cm="1">
        <f t="array" ref="CI3">MIN(IF(CI7:CI1633=0,"",CI7:CI1633))&amp;"-"&amp;MAX(IF(CJ7:CJ1633=0,"",CJ7:CJ1633))</f>
        <v>0-0</v>
      </c>
    </row>
    <row r="4" spans="1:89" ht="10.15" customHeight="1" x14ac:dyDescent="0.25">
      <c r="C4" s="2790" t="s">
        <v>263</v>
      </c>
      <c r="D4" s="2791"/>
      <c r="E4" s="2791"/>
      <c r="F4" s="2791"/>
      <c r="G4" s="2791"/>
      <c r="H4" s="2791"/>
      <c r="I4" s="2791"/>
      <c r="J4" s="2791"/>
      <c r="K4" s="2791"/>
      <c r="L4" s="2791"/>
      <c r="M4" s="2791"/>
      <c r="N4" s="2791"/>
      <c r="O4" s="2791"/>
      <c r="P4" s="2791"/>
      <c r="Q4" s="2791"/>
      <c r="R4" s="2791"/>
      <c r="S4" s="2791"/>
      <c r="T4" s="2791"/>
      <c r="U4" s="2791"/>
      <c r="V4" s="2791"/>
      <c r="W4" s="2791"/>
      <c r="X4" s="2791"/>
      <c r="Y4" s="2791"/>
      <c r="Z4" s="2791"/>
      <c r="AA4" s="2791"/>
      <c r="AB4" s="2791"/>
      <c r="AC4" s="2791"/>
      <c r="AD4" s="2791"/>
      <c r="AE4" s="2791"/>
      <c r="AF4" s="190">
        <f>INDEX(Elig_All_TestMatch,MATCH(Elig_FindMatrixMatch_All,Elig_ID,0),31)</f>
        <v>1</v>
      </c>
      <c r="AG4" s="190">
        <f>INDEX(Elig_All_TestMatch,MATCH(Elig_FindMatrixMatch_All,Elig_ID,0),32)</f>
        <v>1</v>
      </c>
      <c r="AH4" s="190">
        <f>INDEX(Elig_All_TestMatch,MATCH(Elig_FindMatrixMatch_All,Elig_ID,0),33)</f>
        <v>1</v>
      </c>
      <c r="AI4" s="190">
        <f>INDEX(Elig_All_TestMatch,MATCH(Elig_FindMatrixMatch_All,Elig_ID,0),34)</f>
        <v>1</v>
      </c>
      <c r="AJ4" s="190">
        <f>INDEX(Elig_All_TestMatch,MATCH(Elig_FindMatrixMatch_All,Elig_ID,0),35)</f>
        <v>1</v>
      </c>
      <c r="AK4" s="190">
        <f>INDEX(Elig_All_TestMatch,MATCH(Elig_FindMatrixMatch_All,Elig_ID,0),36)</f>
        <v>1</v>
      </c>
      <c r="AL4" s="190">
        <f>INDEX(Elig_All_TestMatch,MATCH(Elig_FindMatrixMatch_All,Elig_ID,0),37)</f>
        <v>1</v>
      </c>
      <c r="AM4" s="190">
        <f>INDEX(Elig_All_TestMatch,MATCH(Elig_FindMatrixMatch_All,Elig_ID,0),38)</f>
        <v>1</v>
      </c>
      <c r="AN4" s="190">
        <f>INDEX(Elig_All_TestMatch,MATCH(Elig_FindMatrixMatch_All,Elig_ID,0),39)</f>
        <v>1</v>
      </c>
      <c r="AO4" s="190">
        <f>INDEX(Elig_All_TestMatch,MATCH(Elig_FindMatrixMatch_All,Elig_ID,0),40)</f>
        <v>1</v>
      </c>
      <c r="AP4" s="190">
        <f>INDEX(Elig_All_TestMatch,MATCH(Elig_FindMatrixMatch_All,Elig_ID,0),41)</f>
        <v>1</v>
      </c>
      <c r="AQ4" s="190">
        <f>INDEX(Elig_All_TestMatch,MATCH(Elig_FindMatrixMatch_All,Elig_ID,0),42)</f>
        <v>1</v>
      </c>
      <c r="AR4" s="190">
        <f>INDEX(Elig_All_TestMatch,MATCH(Elig_FindMatrixMatch_All,Elig_ID,0),43)</f>
        <v>1</v>
      </c>
      <c r="AS4" s="190">
        <f>INDEX(Elig_All_TestMatch,MATCH(Elig_FindMatrixMatch_All,Elig_ID,0),44)</f>
        <v>1</v>
      </c>
      <c r="AT4" s="190">
        <f>INDEX(Elig_All_TestMatch,MATCH(Elig_FindMatrixMatch_All,Elig_ID,0),45)</f>
        <v>1</v>
      </c>
      <c r="AU4" s="190">
        <f>INDEX(Elig_All_TestMatch,MATCH(Elig_FindMatrixMatch_All,Elig_ID,0),46)</f>
        <v>1</v>
      </c>
      <c r="AV4" s="190">
        <f>INDEX(Elig_All_TestMatch,MATCH(Elig_FindMatrixMatch_All,Elig_ID,0),47)</f>
        <v>1</v>
      </c>
      <c r="AW4" s="190">
        <f>INDEX(Elig_All_TestMatch,MATCH(Elig_FindMatrixMatch_All,Elig_ID,0),48)</f>
        <v>1</v>
      </c>
      <c r="AX4" s="190">
        <f>INDEX(Elig_All_TestMatch,MATCH(Elig_FindMatrixMatch_All,Elig_ID,0),49)</f>
        <v>1</v>
      </c>
      <c r="AY4" s="190">
        <f>INDEX(Elig_All_TestMatch,MATCH(Elig_FindMatrixMatch_All,Elig_ID,0),50)</f>
        <v>1</v>
      </c>
      <c r="AZ4" s="190">
        <f>INDEX(Elig_All_TestMatch,MATCH(Elig_FindMatrixMatch_All,Elig_ID,0),51)</f>
        <v>1</v>
      </c>
      <c r="BA4" s="190">
        <f>INDEX(Elig_All_TestMatch,MATCH(Elig_FindMatrixMatch_All,Elig_ID,0),52)</f>
        <v>1</v>
      </c>
      <c r="BB4" s="159" t="str">
        <f>IFERROR(INDEX(Elig_ID,MATCH(22,Elig_MatchCount,0)),0)</f>
        <v>NSO0001</v>
      </c>
      <c r="BC4" s="160" t="str">
        <f>IFERROR(INDEX(Elig_ID,MATCH(21,Elig_MatchCountLTV,0)),0)</f>
        <v>NSO0001</v>
      </c>
      <c r="BD4" s="161" t="str">
        <f>IFERROR(INDEX(Elig_ID,MATCH(21,Elig_MatchCount,0)),0)</f>
        <v>NQO0007</v>
      </c>
      <c r="BH4" s="123"/>
      <c r="BI4" s="123"/>
      <c r="BJ4" s="123"/>
      <c r="BK4" s="123"/>
      <c r="BL4" s="123"/>
      <c r="BM4" s="123"/>
      <c r="BN4" s="123"/>
      <c r="BO4" s="123" t="str">
        <f>IF(Result_Msg2_LLPA_State&lt;&gt;"","Ineligible State","")</f>
        <v/>
      </c>
      <c r="BP4" s="123"/>
      <c r="BQ4" s="123"/>
      <c r="BR4" s="123"/>
      <c r="BS4" s="123"/>
      <c r="BT4" s="123"/>
      <c r="BU4" s="123"/>
      <c r="BV4" s="123"/>
      <c r="BX4" s="123" t="str" cm="1">
        <f t="array" ref="BX4">MIN(IF(BW6:BW1633=0,"",BW6:BW1633))&amp;"-"&amp;MAX(IF(BX6:BX1633=0,"",BX6:BX1633))</f>
        <v>0-0</v>
      </c>
      <c r="BZ4" s="123" t="str" cm="1">
        <f t="array" ref="BZ4">MIN(IF(BY6:BY1633=0,"",BY6:BY1633))&amp;"-"&amp;MAX(IF(BZ6:BZ1633=0,"",BZ6:BZ1633))</f>
        <v>0-0</v>
      </c>
      <c r="CB4" s="123" t="str" cm="1">
        <f t="array" ref="CB4">MIN(IF(CA6:CA1633=0,"",CA6:CA1633))&amp;"-"&amp;MAX(IF(CB6:CB1633=0,"",CB6:CB1633))</f>
        <v>0-0</v>
      </c>
      <c r="CD4" s="123" t="str" cm="1">
        <f t="array" ref="CD4">MIN(IF(CC6:CC1633=0,"",CC6:CC1633))&amp;"-"&amp;MAX(IF(CD6:CD1633=0,"",CD6:CD1633))</f>
        <v>0-0</v>
      </c>
      <c r="CF4" s="123" t="str" cm="1">
        <f t="array" ref="CF4">MIN(IF(CE6:CE1633=0,"",CE6:CE1633))&amp;"-"&amp;MAX(IF(CF6:CF1633=0,"",CF6:CF1633))</f>
        <v>0-0</v>
      </c>
      <c r="CH4" s="123" t="str" cm="1">
        <f t="array" ref="CH4">MIN(IF(CG6:CG1633=0,"",CG6:CG1633))&amp;"-"&amp;MAX(IF(CH6:CH1633=0,"",CH6:CH1633))</f>
        <v>0-0</v>
      </c>
      <c r="CJ4" s="123" t="str" cm="1">
        <f t="array" ref="CJ4">MIN(IF(CI6:CI1633=0,"",CI6:CI1633))&amp;"-"&amp;MAX(IF(CJ6:CJ1633=0,"",CJ6:CJ1633))</f>
        <v>0-0</v>
      </c>
    </row>
    <row r="5" spans="1:89" ht="10.15" customHeight="1" x14ac:dyDescent="0.25">
      <c r="C5" s="2792" t="s">
        <v>261</v>
      </c>
      <c r="D5" s="2793"/>
      <c r="E5" s="2793"/>
      <c r="F5" s="2793"/>
      <c r="G5" s="2793"/>
      <c r="H5" s="2793"/>
      <c r="I5" s="2794"/>
      <c r="J5" s="23"/>
      <c r="K5" s="23"/>
      <c r="L5" s="23"/>
      <c r="M5" s="23"/>
      <c r="N5" s="23"/>
      <c r="O5" s="23"/>
      <c r="P5" s="23"/>
      <c r="Q5" s="23"/>
      <c r="R5" s="2795" t="s">
        <v>262</v>
      </c>
      <c r="S5" s="2796"/>
      <c r="T5" s="2796"/>
      <c r="U5" s="2796"/>
      <c r="V5" s="2796"/>
      <c r="W5" s="2796"/>
      <c r="X5" s="2796"/>
      <c r="Y5" s="2796"/>
      <c r="Z5" s="2796"/>
      <c r="AA5" s="2796"/>
      <c r="AB5" s="2796"/>
      <c r="AC5" s="2796"/>
      <c r="AD5" s="2796"/>
      <c r="AE5" s="2797"/>
      <c r="AF5" s="2798" t="s">
        <v>288</v>
      </c>
      <c r="AG5" s="2799"/>
      <c r="AH5" s="2799"/>
      <c r="AI5" s="2799"/>
      <c r="AJ5" s="2799"/>
      <c r="AK5" s="2799"/>
      <c r="AL5" s="2799"/>
      <c r="AM5" s="2799"/>
      <c r="AN5" s="2799"/>
      <c r="AO5" s="2799"/>
      <c r="AP5" s="2799"/>
      <c r="AQ5" s="2799"/>
      <c r="AR5" s="2799"/>
      <c r="AS5" s="2799"/>
      <c r="AT5" s="2799"/>
      <c r="AU5" s="2799"/>
      <c r="AV5" s="2799"/>
      <c r="AW5" s="2799"/>
      <c r="AX5" s="2799"/>
      <c r="AY5" s="2799"/>
      <c r="AZ5" s="2799"/>
      <c r="BA5" s="2800"/>
      <c r="BB5" s="162">
        <f>IFERROR(MATCH(22,Elig_MatchCount,0),0)</f>
        <v>620</v>
      </c>
      <c r="BC5" s="163">
        <f>IFERROR(MATCH(21,Elig_MatchCountLTV,0),0)</f>
        <v>620</v>
      </c>
      <c r="BD5" s="162">
        <f>IFERROR(MATCH(21,Elig_MatchCountMult,0),0)</f>
        <v>7</v>
      </c>
      <c r="BH5" s="123" t="str">
        <f t="shared" ref="BH5:BV5" si="0">IFERROR(INDEX(BH$7:BH$1633,MATCH("*",BH$7:BH$1633,0),1),"")</f>
        <v/>
      </c>
      <c r="BI5" s="123" t="str">
        <f t="shared" si="0"/>
        <v/>
      </c>
      <c r="BJ5" s="123" t="str">
        <f t="shared" si="0"/>
        <v/>
      </c>
      <c r="BK5" s="123" t="str">
        <f t="shared" si="0"/>
        <v/>
      </c>
      <c r="BL5" s="123" t="str">
        <f t="shared" si="0"/>
        <v/>
      </c>
      <c r="BM5" s="123" t="str">
        <f t="shared" si="0"/>
        <v/>
      </c>
      <c r="BN5" s="123" t="str">
        <f t="shared" si="0"/>
        <v/>
      </c>
      <c r="BO5" s="123" t="str">
        <f t="shared" si="0"/>
        <v/>
      </c>
      <c r="BP5" s="123" t="str">
        <f t="shared" si="0"/>
        <v/>
      </c>
      <c r="BQ5" s="123" t="str">
        <f t="shared" si="0"/>
        <v/>
      </c>
      <c r="BR5" s="123" t="str">
        <f t="shared" si="0"/>
        <v/>
      </c>
      <c r="BS5" s="123" t="str">
        <f t="shared" si="0"/>
        <v/>
      </c>
      <c r="BT5" s="123" t="str">
        <f t="shared" si="0"/>
        <v/>
      </c>
      <c r="BU5" s="123" t="str">
        <f t="shared" si="0"/>
        <v/>
      </c>
      <c r="BV5" s="123" t="str">
        <f t="shared" si="0"/>
        <v/>
      </c>
      <c r="BW5" s="123">
        <f>IF(BX5="0-0","",BX5)</f>
        <v>0</v>
      </c>
      <c r="BX5" s="123" cm="1">
        <f t="array" ref="BX5">MAX(IF(BX7:BX1633=0,"",BX7:BX1633))</f>
        <v>0</v>
      </c>
      <c r="BY5" s="178">
        <f>IF(BZ5="0-0","",BZ5)</f>
        <v>0</v>
      </c>
      <c r="BZ5" s="123" cm="1">
        <f t="array" ref="BZ5">MAX(IF(BZ7:BZ1633=0,"",BZ7:BZ1633))</f>
        <v>0</v>
      </c>
      <c r="CA5" s="178">
        <f>IF(CB5="0-0","",CB5)</f>
        <v>0</v>
      </c>
      <c r="CB5" s="123" cm="1">
        <f t="array" ref="CB5">MAX(IF(CB7:CB1633=0,"",CB7:CB1633))</f>
        <v>0</v>
      </c>
      <c r="CC5" s="178">
        <f>IF(CD5="0-0","",CD5)</f>
        <v>0</v>
      </c>
      <c r="CD5" s="123" cm="1">
        <f t="array" ref="CD5">MIN(IF(CC7:CC1633=0,"",CC7:CC1633))</f>
        <v>0</v>
      </c>
      <c r="CE5" s="178">
        <f>IF(CF5="0-0","",CF5)</f>
        <v>0</v>
      </c>
      <c r="CF5" s="123" cm="1">
        <f t="array" ref="CF5">MIN(IF(CE7:CE1633=0,"",CE7:CE1633))</f>
        <v>0</v>
      </c>
      <c r="CG5" s="178">
        <f>IF(CH5="0-0","",CH5)</f>
        <v>0</v>
      </c>
      <c r="CH5" s="123" cm="1">
        <f t="array" ref="CH5">MIN(IF(CG7:CG1633=0,"",CG7:CG1633))</f>
        <v>0</v>
      </c>
      <c r="CI5" s="178">
        <f>IF(CJ5="0-0","",CJ5)</f>
        <v>0</v>
      </c>
      <c r="CJ5" s="123" cm="1">
        <f t="array" ref="CJ5">MAX(IF(CJ7:CJ1633=0,"",CJ7:CJ1633))</f>
        <v>0</v>
      </c>
    </row>
    <row r="6" spans="1:89" ht="24.6" customHeight="1" x14ac:dyDescent="0.25">
      <c r="B6" s="231" t="s">
        <v>114</v>
      </c>
      <c r="C6" s="185" t="s">
        <v>259</v>
      </c>
      <c r="D6" s="186" t="s">
        <v>42</v>
      </c>
      <c r="E6" s="187" t="s">
        <v>168</v>
      </c>
      <c r="F6" s="188" t="s">
        <v>260</v>
      </c>
      <c r="G6" s="188" t="s">
        <v>72</v>
      </c>
      <c r="H6" s="188" t="s">
        <v>81</v>
      </c>
      <c r="I6" s="188" t="s">
        <v>33</v>
      </c>
      <c r="J6" s="188" t="s">
        <v>40</v>
      </c>
      <c r="K6" s="188" t="s">
        <v>348</v>
      </c>
      <c r="L6" s="188" t="s">
        <v>44</v>
      </c>
      <c r="M6" s="184" t="s">
        <v>225</v>
      </c>
      <c r="N6" s="184" t="s">
        <v>65</v>
      </c>
      <c r="O6" s="184" t="s">
        <v>46</v>
      </c>
      <c r="P6" s="184" t="s">
        <v>298</v>
      </c>
      <c r="Q6" s="184" t="s">
        <v>48</v>
      </c>
      <c r="R6" s="184" t="s">
        <v>264</v>
      </c>
      <c r="S6" s="184" t="s">
        <v>265</v>
      </c>
      <c r="T6" s="184" t="s">
        <v>295</v>
      </c>
      <c r="U6" s="184" t="s">
        <v>296</v>
      </c>
      <c r="V6" s="184" t="s">
        <v>266</v>
      </c>
      <c r="W6" s="184" t="s">
        <v>267</v>
      </c>
      <c r="X6" s="184" t="s">
        <v>279</v>
      </c>
      <c r="Y6" s="184" t="s">
        <v>280</v>
      </c>
      <c r="Z6" s="184" t="s">
        <v>268</v>
      </c>
      <c r="AA6" s="184" t="s">
        <v>269</v>
      </c>
      <c r="AB6" s="184" t="s">
        <v>272</v>
      </c>
      <c r="AC6" s="189" t="s">
        <v>273</v>
      </c>
      <c r="AD6" s="184" t="s">
        <v>270</v>
      </c>
      <c r="AE6" s="184" t="s">
        <v>271</v>
      </c>
      <c r="AF6" s="31" t="s">
        <v>259</v>
      </c>
      <c r="AG6" s="32" t="s">
        <v>42</v>
      </c>
      <c r="AH6" s="32" t="s">
        <v>168</v>
      </c>
      <c r="AI6" s="33" t="s">
        <v>260</v>
      </c>
      <c r="AJ6" s="33" t="s">
        <v>72</v>
      </c>
      <c r="AK6" s="33" t="s">
        <v>447</v>
      </c>
      <c r="AL6" s="33" t="s">
        <v>33</v>
      </c>
      <c r="AM6" s="33" t="s">
        <v>40</v>
      </c>
      <c r="AN6" s="33" t="s">
        <v>348</v>
      </c>
      <c r="AO6" s="34" t="s">
        <v>292</v>
      </c>
      <c r="AP6" s="33" t="s">
        <v>225</v>
      </c>
      <c r="AQ6" s="33" t="s">
        <v>65</v>
      </c>
      <c r="AR6" s="33" t="s">
        <v>46</v>
      </c>
      <c r="AS6" s="33" t="s">
        <v>293</v>
      </c>
      <c r="AT6" s="34" t="s">
        <v>48</v>
      </c>
      <c r="AU6" s="35" t="s">
        <v>275</v>
      </c>
      <c r="AV6" s="35" t="s">
        <v>297</v>
      </c>
      <c r="AW6" s="35" t="s">
        <v>14</v>
      </c>
      <c r="AX6" s="36" t="s">
        <v>62</v>
      </c>
      <c r="AY6" s="35" t="s">
        <v>276</v>
      </c>
      <c r="AZ6" s="37" t="s">
        <v>277</v>
      </c>
      <c r="BA6" s="38" t="s">
        <v>24</v>
      </c>
      <c r="BB6" s="164">
        <f>MAX(Elig_MatchCount)</f>
        <v>22</v>
      </c>
      <c r="BC6" s="165">
        <f>MAX(Elig_MatchCountLTV)</f>
        <v>21</v>
      </c>
      <c r="BD6" s="166">
        <f>MAX(Elig_MatchCountMult)</f>
        <v>21</v>
      </c>
      <c r="BE6" s="191" t="str">
        <f>""</f>
        <v/>
      </c>
      <c r="BH6" s="184" t="s">
        <v>259</v>
      </c>
      <c r="BI6" s="184" t="s">
        <v>42</v>
      </c>
      <c r="BJ6" s="184" t="s">
        <v>168</v>
      </c>
      <c r="BK6" s="184" t="s">
        <v>260</v>
      </c>
      <c r="BL6" s="184" t="s">
        <v>72</v>
      </c>
      <c r="BM6" s="184" t="s">
        <v>81</v>
      </c>
      <c r="BN6" s="184" t="s">
        <v>33</v>
      </c>
      <c r="BO6" s="184" t="s">
        <v>40</v>
      </c>
      <c r="BP6" s="184" t="s">
        <v>348</v>
      </c>
      <c r="BQ6" s="184" t="s">
        <v>44</v>
      </c>
      <c r="BR6" s="184" t="s">
        <v>225</v>
      </c>
      <c r="BS6" s="184" t="s">
        <v>65</v>
      </c>
      <c r="BT6" s="184" t="s">
        <v>46</v>
      </c>
      <c r="BU6" s="184" t="s">
        <v>298</v>
      </c>
      <c r="BV6" s="184" t="s">
        <v>48</v>
      </c>
      <c r="BW6" s="2788" t="str">
        <f>R6</f>
        <v>Loan Amt Min</v>
      </c>
      <c r="BX6" s="2789"/>
      <c r="BY6" s="2788" t="str">
        <f>T6</f>
        <v>Cashout Amt Min</v>
      </c>
      <c r="BZ6" s="2789"/>
      <c r="CA6" s="2788" t="str">
        <f>V6</f>
        <v>DTI Min</v>
      </c>
      <c r="CB6" s="2789"/>
      <c r="CC6" s="2788" t="str">
        <f>X6</f>
        <v>DSCR Min</v>
      </c>
      <c r="CD6" s="2789"/>
      <c r="CE6" s="2788" t="str">
        <f>Z6</f>
        <v>CS Min</v>
      </c>
      <c r="CF6" s="2789"/>
      <c r="CG6" s="2788" t="str">
        <f>AB6</f>
        <v>Reserves Min</v>
      </c>
      <c r="CH6" s="2789"/>
      <c r="CI6" s="2788" t="str">
        <f>AD6</f>
        <v>LTV Min</v>
      </c>
      <c r="CJ6" s="2789"/>
    </row>
    <row r="7" spans="1:89" ht="10.15" customHeight="1" x14ac:dyDescent="0.25">
      <c r="B7" s="1911" t="s">
        <v>767</v>
      </c>
      <c r="C7" s="130" t="str">
        <f t="shared" ref="C7:C82" si="1">Input_Name_Product1</f>
        <v>NonQM OO</v>
      </c>
      <c r="D7" s="131" t="s">
        <v>3885</v>
      </c>
      <c r="E7" s="131" t="s">
        <v>167</v>
      </c>
      <c r="F7" s="131" t="s">
        <v>331</v>
      </c>
      <c r="G7" s="131" t="s">
        <v>303</v>
      </c>
      <c r="H7" s="131" t="s">
        <v>136</v>
      </c>
      <c r="I7" s="132" t="s">
        <v>274</v>
      </c>
      <c r="J7" s="132" t="s">
        <v>1311</v>
      </c>
      <c r="K7" s="132" t="s">
        <v>1631</v>
      </c>
      <c r="L7" s="2130" t="s">
        <v>3920</v>
      </c>
      <c r="M7" s="131" t="s">
        <v>4203</v>
      </c>
      <c r="N7" s="131" t="s">
        <v>82</v>
      </c>
      <c r="O7" s="131" t="s">
        <v>310</v>
      </c>
      <c r="P7" s="131" t="s">
        <v>291</v>
      </c>
      <c r="Q7" s="131" t="s">
        <v>294</v>
      </c>
      <c r="R7" s="229">
        <v>100000</v>
      </c>
      <c r="S7" s="132">
        <v>1000000</v>
      </c>
      <c r="T7" s="132">
        <v>0</v>
      </c>
      <c r="U7" s="132">
        <v>0</v>
      </c>
      <c r="V7" s="132">
        <v>0</v>
      </c>
      <c r="W7" s="132">
        <v>55</v>
      </c>
      <c r="X7" s="132">
        <v>0</v>
      </c>
      <c r="Y7" s="132">
        <v>999</v>
      </c>
      <c r="Z7" s="133">
        <v>720</v>
      </c>
      <c r="AA7" s="133">
        <v>999</v>
      </c>
      <c r="AB7" s="133">
        <v>3</v>
      </c>
      <c r="AC7" s="133">
        <v>999999</v>
      </c>
      <c r="AD7" s="132">
        <v>0</v>
      </c>
      <c r="AE7" s="132">
        <v>90</v>
      </c>
      <c r="AF7" s="167" cm="1">
        <f t="array" ref="AF7:AF1633">IF(Input_Product=Elig_Product,1,0)</f>
        <v>0</v>
      </c>
      <c r="AG7" s="168" cm="1">
        <f t="array" ref="AG7:AG1633">IF(IFERROR(FIND(Input_AmortTerm,Elig_AmortTerm),0)&gt;0,1,0)</f>
        <v>1</v>
      </c>
      <c r="AH7" s="168" cm="1">
        <f t="array" ref="AH7:AH1633">IF(IFERROR(FIND(Input_AmortType,Elig_AmortType),0)&gt;0,1,0)</f>
        <v>1</v>
      </c>
      <c r="AI7" s="168" cm="1">
        <f t="array" ref="AI7:AI1633">IF(IFERROR(FIND(INDEX(List_OccupancyAll,MATCH(Input_Occupancy,List_Occupancy,0),2),Elig_Occupancy),0)&gt;0,1,0)</f>
        <v>1</v>
      </c>
      <c r="AJ7" s="168" cm="1">
        <f t="array" ref="AJ7:AJ1633">IF(IFERROR(FIND(Input_DocTypeCode,Elig_DocType),0)&gt;0,1,0)</f>
        <v>1</v>
      </c>
      <c r="AK7" s="168" cm="1">
        <f t="array" ref="AK7:AK1633">IF(IFERROR(FIND(Input_BankStmt,Elig_BankStmt),0)&gt;0,1,0)</f>
        <v>1</v>
      </c>
      <c r="AL7" s="168" cm="1">
        <f t="array" ref="AL7:AL1633">IF(IFERROR(FIND(Input_Purpose,Elig_Purpose),0)&gt;0,1,0)</f>
        <v>0</v>
      </c>
      <c r="AM7" s="168" cm="1">
        <f t="array" ref="AM7:AM1633">IF(IFERROR(FIND(Input_State,Elig_State),0)&gt;0,1,0)</f>
        <v>1</v>
      </c>
      <c r="AN7" s="168" cm="1">
        <f t="array" ref="AN7:AN1633">IF(IFERROR(FIND(Lookup_Property,Elig_PropType),0)&gt;0,1,0)</f>
        <v>1</v>
      </c>
      <c r="AO7" s="168" cm="1">
        <f t="array" ref="AO7:AO1633">IF(IFERROR(FIND(Input_HousingHistory,Elig_HousingHistory),0)&gt;0,1,0)</f>
        <v>1</v>
      </c>
      <c r="AP7" s="168" cm="1">
        <f t="array" ref="AP7:AP1633">IF(IFERROR(FIND(Input_CreditHistory,Elig_CreditHistory),0)&gt;0,1,0)</f>
        <v>1</v>
      </c>
      <c r="AQ7" s="168" cm="1">
        <f t="array" ref="AQ7:AQ1633">IF(IFERROR(FIND(Input_PrepayPenalty,Elig_PrepayPenalty),0)&gt;0,1,0)</f>
        <v>1</v>
      </c>
      <c r="AR7" s="168" cm="1">
        <f t="array" ref="AR7:AR1633">IF(IFERROR(FIND(Input_Citizenship,Elig_Citizenship),0)&gt;0,1,0)</f>
        <v>1</v>
      </c>
      <c r="AS7" s="168" cm="1">
        <f t="array" ref="AS7:AS1633">IF(IFERROR(FIND(Input_FirstTimeHomeBuyer,Elig_FirstTimeHomeBuyer),0)&gt;0,1,0)</f>
        <v>1</v>
      </c>
      <c r="AT7" s="168" cm="1">
        <f t="array" ref="AT7:AT1633">IF(IFERROR(FIND(Input_Servicing,Elig_Servicing),0)&gt;0,1,0)</f>
        <v>1</v>
      </c>
      <c r="AU7" s="168">
        <f t="shared" ref="AU7:AU64" si="2">IF(AND(Input_LoanAmt&gt;=Elig_LoanAmt_Min,Input_LoanAmt&lt;=Elig_LoanAmt_Max),1,0)</f>
        <v>1</v>
      </c>
      <c r="AV7" s="168">
        <f t="shared" ref="AV7:AV64" si="3">IF(AND(Input_CashoutAmt&gt;=Elig_CashoutAmt_Min,Input_CashoutAmt&lt;=Elig_CashoutAmt_Max),1,0)</f>
        <v>0</v>
      </c>
      <c r="AW7" s="168">
        <f t="shared" ref="AW7:AW64" si="4">IF(AND(Input_DTI&gt;=Elig_DTI_Min,Input_DTI&lt;=Elig_DTI_Max),1,0)</f>
        <v>1</v>
      </c>
      <c r="AX7" s="168">
        <f t="shared" ref="AX7:AX88" si="5">IF(AND(Input_DSCR&gt;=Elig_DSCR_Min,Input_DSCR&lt;=Elig_DSCR_Max),1,0)</f>
        <v>1</v>
      </c>
      <c r="AY7" s="168">
        <f t="shared" ref="AY7:AY64" si="6">IF(AND(Input_CreditScore&gt;=Elig_CreditScore_Min,Input_CreditScore&lt;=Elig_CreditScore_Max),1,0)</f>
        <v>1</v>
      </c>
      <c r="AZ7" s="168">
        <f t="shared" ref="AZ7:AZ64" si="7">IF(AND(Input_ReservesMonths&gt;=Elig_Reserves_Min,Input_ReservesMonths&lt;=Elig_Reserves_Max),1,0)</f>
        <v>1</v>
      </c>
      <c r="BA7" s="169">
        <f t="shared" ref="BA7:BA64" si="8">IF(AND(Input_LTV&gt;=Elig_LTV_Min,Input_LTV&lt;=Elig_LTV_Max),1,0)</f>
        <v>1</v>
      </c>
      <c r="BB7" s="173">
        <f t="shared" ref="BB7:BB8" si="9">SUM(AF7:BA7)</f>
        <v>19</v>
      </c>
      <c r="BC7" s="174">
        <f t="shared" ref="BC7:BC8" si="10">SUM(AF7:AZ7)</f>
        <v>18</v>
      </c>
      <c r="BD7" s="174">
        <f t="shared" ref="BD7:BD8" si="11">SUM(AG7:BA7)</f>
        <v>19</v>
      </c>
      <c r="BE7" s="239" t="str">
        <f t="shared" ref="BE7:BE70" si="12">IF(BD7=21,C7,"")</f>
        <v/>
      </c>
      <c r="BH7" s="192">
        <f>IF(AND(Input_Product=Elig!$C7,Elig_MatchAll_Ct&lt;22,$BC7=(Elig_MatchAll_Ct-1),AF7=0),C7,0)</f>
        <v>0</v>
      </c>
      <c r="BI7" s="193">
        <f>IF(AND(Input_Product=Elig!$C7,Elig_MatchAll_Ct&lt;22,$BC7=(Elig_MatchAll_Ct-1),AG7=0),D7,0)</f>
        <v>0</v>
      </c>
      <c r="BJ7" s="193">
        <f>IF(AND(Input_Product=Elig!$C7,Elig_MatchAll_Ct&lt;22,$BC7=(Elig_MatchAll_Ct-1),AH7=0),E7,0)</f>
        <v>0</v>
      </c>
      <c r="BK7" s="193">
        <f>IF(AND(Input_Product=Elig!$C7,Elig_MatchAll_Ct&lt;22,$BC7=(Elig_MatchAll_Ct-1),AI7=0),F7,0)</f>
        <v>0</v>
      </c>
      <c r="BL7" s="193">
        <f>IF(AND(Input_Product=Elig!$C7,Elig_MatchAll_Ct&lt;22,$BC7=(Elig_MatchAll_Ct-1),AJ7=0),G7,0)</f>
        <v>0</v>
      </c>
      <c r="BM7" s="193">
        <f>IF(AND(Input_Product=Elig!$C7,Elig_MatchAll_Ct&lt;22,$BC7=(Elig_MatchAll_Ct-1),AK7=0),H7,0)</f>
        <v>0</v>
      </c>
      <c r="BN7" s="193">
        <f>IF(AND(Input_Product=Elig!$C7,Elig_MatchAll_Ct&lt;22,$BC7=(Elig_MatchAll_Ct-1),AL7=0),I7,0)</f>
        <v>0</v>
      </c>
      <c r="BO7" s="193">
        <f>IF(AND(Input_Product=Elig!$C7,Elig_MatchAll_Ct&lt;22,$BC7=(Elig_MatchAll_Ct-1),AM7=0),J7,0)</f>
        <v>0</v>
      </c>
      <c r="BP7" s="193">
        <f>IF(AND(Input_Product=Elig!$C7,Elig_MatchAll_Ct&lt;22,$BC7=(Elig_MatchAll_Ct-1),AN7=0),K7,0)</f>
        <v>0</v>
      </c>
      <c r="BQ7" s="193">
        <f>IF(AND(Input_Product=Elig!$C7,Elig_MatchAll_Ct&lt;22,$BC7=(Elig_MatchAll_Ct-1),AP7=0),L7,0)</f>
        <v>0</v>
      </c>
      <c r="BR7" s="193">
        <f>IF(AND(Input_Product=Elig!$C7,Elig_MatchAll_Ct&lt;22,$BC7=(Elig_MatchAll_Ct-1),AO7=0),M7,0)</f>
        <v>0</v>
      </c>
      <c r="BS7" s="193">
        <f>IF(AND(Input_Product=Elig!$C7,Elig_MatchAll_Ct&lt;22,$BC7=(Elig_MatchAll_Ct-1),AQ7=0),N7,0)</f>
        <v>0</v>
      </c>
      <c r="BT7" s="193">
        <f>IF(AND(Input_Product=Elig!$C7,Elig_MatchAll_Ct&lt;22,$BC7=(Elig_MatchAll_Ct-1),AR7=0),O7,0)</f>
        <v>0</v>
      </c>
      <c r="BU7" s="193">
        <f>IF(AND(Input_Product=Elig!$C7,Elig_MatchAll_Ct&lt;22,$BC7=(Elig_MatchAll_Ct-1),AS7=0),P7,0)</f>
        <v>0</v>
      </c>
      <c r="BV7" s="194">
        <f>IF(AND(Input_Product=Elig!$C7,Elig_MatchAll_Ct&lt;22,$BC7=(Elig_MatchAll_Ct-1),AT7=0),Q7,0)</f>
        <v>0</v>
      </c>
      <c r="BW7" s="195">
        <f>IF(AND(Input_Product=Elig!$C7,Elig_MatchAll_Ct&lt;22,$BC7=(Elig_MatchAll_Ct-1),AU7=0),R7,0)</f>
        <v>0</v>
      </c>
      <c r="BX7" s="196">
        <f>IF(AND(Input_Product=Elig!$C7,Elig_MatchAll_Ct&lt;22,$BC7=(Elig_MatchAll_Ct-1),AU7=0),S7,0)</f>
        <v>0</v>
      </c>
      <c r="BY7" s="195">
        <f>IF(AND(Input_Product=Elig!$C7,Elig_MatchAll_Ct&lt;22,$BC7=(Elig_MatchAll_Ct-1),AV7=0),T7,0)</f>
        <v>0</v>
      </c>
      <c r="BZ7" s="196">
        <f>IF(AND(Input_Product=Elig!$C7,Elig_MatchAll_Ct&lt;22,$BC7=(Elig_MatchAll_Ct-1),AV7=0),U7,0)</f>
        <v>0</v>
      </c>
      <c r="CA7" s="195">
        <f>IF(AND(Input_Product=Elig!$C7,Elig_MatchAll_Ct&lt;22,$BC7=(Elig_MatchAll_Ct-1),AW7=0),V7,0)</f>
        <v>0</v>
      </c>
      <c r="CB7" s="196">
        <f>IF(AND(Input_Product=Elig!$C7,Elig_MatchAll_Ct&lt;22,$BC7=(Elig_MatchAll_Ct-1),AW7=0),W7,0)</f>
        <v>0</v>
      </c>
      <c r="CC7" s="195">
        <f>IF(AND(Input_Product=Elig!$C7,Elig_MatchAll_Ct&lt;22,$BC7=(Elig_MatchAll_Ct-1),AX7=0),X7,0)</f>
        <v>0</v>
      </c>
      <c r="CD7" s="196">
        <f>IF(AND(Input_Product=Elig!$C7,Elig_MatchAll_Ct&lt;22,$BC7=(Elig_MatchAll_Ct-1),AX7=0),Y7,0)</f>
        <v>0</v>
      </c>
      <c r="CE7" s="195">
        <f>IF(AND(Input_LTV&lt;=AE7,Input_Product=Elig!$C7,Elig_MatchAll_Ct&lt;22,$BC7=(Elig_MatchAll_Ct-1),AY7=0),Z7,0)</f>
        <v>0</v>
      </c>
      <c r="CF7" s="196">
        <f>IF(AND(Input_LTV&lt;=AE7,Input_Product=Elig!$C7,Elig_MatchAll_Ct&lt;22,$BC7=(Elig_MatchAll_Ct-1),AY7=0),AA7,0)</f>
        <v>0</v>
      </c>
      <c r="CG7" s="195">
        <f>IF(AND(Input_Product=Elig!$C7,Elig_MatchAll_Ct&lt;22,$BC7=(Elig_MatchAll_Ct-1),AZ7=0),AB7,0)</f>
        <v>0</v>
      </c>
      <c r="CH7" s="196">
        <f>IF(AND(Input_Product=Elig!$C7,Elig_MatchAll_Ct&lt;22,$BC7=(Elig_MatchAll_Ct-1),AZ7=0),AC7,0)</f>
        <v>0</v>
      </c>
      <c r="CI7" s="195">
        <f>IF(AND(Input_Product=Elig!$C7,Elig_MatchAll_Ct&lt;22,$BC7=(Elig_MatchAll_Ct-1),BA7=0),AD7,0)</f>
        <v>0</v>
      </c>
      <c r="CJ7" s="197">
        <f>IF(AND(Input_Product=Elig!$C7,Elig_MatchAll_Ct&lt;22,$BC7=(Elig_MatchAll_Ct-1),BA7=0),AE7,0)</f>
        <v>0</v>
      </c>
    </row>
    <row r="8" spans="1:89" ht="10.15" customHeight="1" x14ac:dyDescent="0.25">
      <c r="B8" s="1912" t="s">
        <v>768</v>
      </c>
      <c r="C8" s="134" t="str">
        <f t="shared" si="1"/>
        <v>NonQM OO</v>
      </c>
      <c r="D8" s="135" t="s">
        <v>3885</v>
      </c>
      <c r="E8" s="135" t="s">
        <v>167</v>
      </c>
      <c r="F8" s="135" t="s">
        <v>331</v>
      </c>
      <c r="G8" s="135" t="s">
        <v>303</v>
      </c>
      <c r="H8" s="135" t="s">
        <v>136</v>
      </c>
      <c r="I8" s="136" t="s">
        <v>274</v>
      </c>
      <c r="J8" s="136" t="s">
        <v>1311</v>
      </c>
      <c r="K8" s="136" t="s">
        <v>1631</v>
      </c>
      <c r="L8" s="221" t="s">
        <v>3920</v>
      </c>
      <c r="M8" s="135" t="s">
        <v>4203</v>
      </c>
      <c r="N8" s="135" t="s">
        <v>82</v>
      </c>
      <c r="O8" s="135" t="s">
        <v>310</v>
      </c>
      <c r="P8" s="135" t="s">
        <v>291</v>
      </c>
      <c r="Q8" s="135" t="s">
        <v>294</v>
      </c>
      <c r="R8" s="221">
        <v>100000</v>
      </c>
      <c r="S8" s="135">
        <v>1000000</v>
      </c>
      <c r="T8" s="135">
        <v>0</v>
      </c>
      <c r="U8" s="135">
        <v>0</v>
      </c>
      <c r="V8" s="135">
        <v>0</v>
      </c>
      <c r="W8" s="135">
        <v>55</v>
      </c>
      <c r="X8" s="135">
        <v>0</v>
      </c>
      <c r="Y8" s="135">
        <v>999</v>
      </c>
      <c r="Z8" s="137">
        <v>700</v>
      </c>
      <c r="AA8" s="137">
        <v>719</v>
      </c>
      <c r="AB8" s="137">
        <v>3</v>
      </c>
      <c r="AC8" s="137">
        <v>999999</v>
      </c>
      <c r="AD8" s="135">
        <v>0</v>
      </c>
      <c r="AE8" s="135">
        <v>90</v>
      </c>
      <c r="AF8" s="170">
        <v>0</v>
      </c>
      <c r="AG8" s="171">
        <v>1</v>
      </c>
      <c r="AH8" s="171">
        <v>1</v>
      </c>
      <c r="AI8" s="171">
        <v>1</v>
      </c>
      <c r="AJ8" s="171">
        <v>1</v>
      </c>
      <c r="AK8" s="171">
        <v>1</v>
      </c>
      <c r="AL8" s="171">
        <v>0</v>
      </c>
      <c r="AM8" s="171">
        <v>1</v>
      </c>
      <c r="AN8" s="171">
        <v>1</v>
      </c>
      <c r="AO8" s="171">
        <v>1</v>
      </c>
      <c r="AP8" s="171">
        <v>1</v>
      </c>
      <c r="AQ8" s="171">
        <v>1</v>
      </c>
      <c r="AR8" s="171">
        <v>1</v>
      </c>
      <c r="AS8" s="171">
        <v>1</v>
      </c>
      <c r="AT8" s="171">
        <v>1</v>
      </c>
      <c r="AU8" s="171">
        <f t="shared" si="2"/>
        <v>1</v>
      </c>
      <c r="AV8" s="171">
        <f t="shared" si="3"/>
        <v>0</v>
      </c>
      <c r="AW8" s="171">
        <f t="shared" si="4"/>
        <v>1</v>
      </c>
      <c r="AX8" s="171">
        <f t="shared" si="5"/>
        <v>1</v>
      </c>
      <c r="AY8" s="171">
        <f t="shared" si="6"/>
        <v>0</v>
      </c>
      <c r="AZ8" s="171">
        <f t="shared" si="7"/>
        <v>1</v>
      </c>
      <c r="BA8" s="172">
        <f t="shared" si="8"/>
        <v>1</v>
      </c>
      <c r="BB8" s="175">
        <f t="shared" si="9"/>
        <v>18</v>
      </c>
      <c r="BC8" s="176">
        <f t="shared" si="10"/>
        <v>17</v>
      </c>
      <c r="BD8" s="176">
        <f t="shared" si="11"/>
        <v>18</v>
      </c>
      <c r="BE8" s="240" t="str">
        <f t="shared" si="12"/>
        <v/>
      </c>
      <c r="BH8" s="198">
        <f>IF(AND(Input_Product=Elig!$C8,Elig_MatchAll_Ct&lt;22,$BC8=(Elig_MatchAll_Ct-1),AF8=0),C8,0)</f>
        <v>0</v>
      </c>
      <c r="BI8" s="199">
        <f>IF(AND(Input_Product=Elig!$C8,Elig_MatchAll_Ct&lt;22,$BC8=(Elig_MatchAll_Ct-1),AG8=0),D8,0)</f>
        <v>0</v>
      </c>
      <c r="BJ8" s="199">
        <f>IF(AND(Input_Product=Elig!$C8,Elig_MatchAll_Ct&lt;22,$BC8=(Elig_MatchAll_Ct-1),AH8=0),E8,0)</f>
        <v>0</v>
      </c>
      <c r="BK8" s="199">
        <f>IF(AND(Input_Product=Elig!$C8,Elig_MatchAll_Ct&lt;22,$BC8=(Elig_MatchAll_Ct-1),AI8=0),F8,0)</f>
        <v>0</v>
      </c>
      <c r="BL8" s="199">
        <f>IF(AND(Input_Product=Elig!$C8,Elig_MatchAll_Ct&lt;22,$BC8=(Elig_MatchAll_Ct-1),AJ8=0),G8,0)</f>
        <v>0</v>
      </c>
      <c r="BM8" s="199">
        <f>IF(AND(Input_Product=Elig!$C8,Elig_MatchAll_Ct&lt;22,$BC8=(Elig_MatchAll_Ct-1),AK8=0),H8,0)</f>
        <v>0</v>
      </c>
      <c r="BN8" s="199">
        <f>IF(AND(Input_Product=Elig!$C8,Elig_MatchAll_Ct&lt;22,$BC8=(Elig_MatchAll_Ct-1),AL8=0),I8,0)</f>
        <v>0</v>
      </c>
      <c r="BO8" s="199">
        <f>IF(AND(Input_Product=Elig!$C8,Elig_MatchAll_Ct&lt;22,$BC8=(Elig_MatchAll_Ct-1),AM8=0),J8,0)</f>
        <v>0</v>
      </c>
      <c r="BP8" s="199">
        <f>IF(AND(Input_Product=Elig!$C8,Elig_MatchAll_Ct&lt;22,$BC8=(Elig_MatchAll_Ct-1),AN8=0),K8,0)</f>
        <v>0</v>
      </c>
      <c r="BQ8" s="199">
        <f>IF(AND(Input_Product=Elig!$C8,Elig_MatchAll_Ct&lt;22,$BC8=(Elig_MatchAll_Ct-1),AP8=0),L8,0)</f>
        <v>0</v>
      </c>
      <c r="BR8" s="199">
        <f>IF(AND(Input_Product=Elig!$C8,Elig_MatchAll_Ct&lt;22,$BC8=(Elig_MatchAll_Ct-1),AO8=0),M8,0)</f>
        <v>0</v>
      </c>
      <c r="BS8" s="199">
        <f>IF(AND(Input_Product=Elig!$C8,Elig_MatchAll_Ct&lt;22,$BC8=(Elig_MatchAll_Ct-1),AQ8=0),N8,0)</f>
        <v>0</v>
      </c>
      <c r="BT8" s="199">
        <f>IF(AND(Input_Product=Elig!$C8,Elig_MatchAll_Ct&lt;22,$BC8=(Elig_MatchAll_Ct-1),AR8=0),O8,0)</f>
        <v>0</v>
      </c>
      <c r="BU8" s="199">
        <f>IF(AND(Input_Product=Elig!$C8,Elig_MatchAll_Ct&lt;22,$BC8=(Elig_MatchAll_Ct-1),AS8=0),P8,0)</f>
        <v>0</v>
      </c>
      <c r="BV8" s="200">
        <f>IF(AND(Input_Product=Elig!$C8,Elig_MatchAll_Ct&lt;22,$BC8=(Elig_MatchAll_Ct-1),AT8=0),Q8,0)</f>
        <v>0</v>
      </c>
      <c r="BW8" s="201">
        <f>IF(AND(Input_Product=Elig!$C8,Elig_MatchAll_Ct&lt;22,$BC8=(Elig_MatchAll_Ct-1),AU8=0),R8,0)</f>
        <v>0</v>
      </c>
      <c r="BX8" s="202">
        <f>IF(AND(Input_Product=Elig!$C8,Elig_MatchAll_Ct&lt;22,$BC8=(Elig_MatchAll_Ct-1),AU8=0),S8,0)</f>
        <v>0</v>
      </c>
      <c r="BY8" s="201">
        <f>IF(AND(Input_Product=Elig!$C8,Elig_MatchAll_Ct&lt;22,$BC8=(Elig_MatchAll_Ct-1),AV8=0),T8,0)</f>
        <v>0</v>
      </c>
      <c r="BZ8" s="202">
        <f>IF(AND(Input_Product=Elig!$C8,Elig_MatchAll_Ct&lt;22,$BC8=(Elig_MatchAll_Ct-1),AV8=0),U8,0)</f>
        <v>0</v>
      </c>
      <c r="CA8" s="201">
        <f>IF(AND(Input_Product=Elig!$C8,Elig_MatchAll_Ct&lt;22,$BC8=(Elig_MatchAll_Ct-1),AW8=0),V8,0)</f>
        <v>0</v>
      </c>
      <c r="CB8" s="202">
        <f>IF(AND(Input_Product=Elig!$C8,Elig_MatchAll_Ct&lt;22,$BC8=(Elig_MatchAll_Ct-1),AW8=0),W8,0)</f>
        <v>0</v>
      </c>
      <c r="CC8" s="201">
        <f>IF(AND(Input_Product=Elig!$C8,Elig_MatchAll_Ct&lt;22,$BC8=(Elig_MatchAll_Ct-1),AX8=0),X8,0)</f>
        <v>0</v>
      </c>
      <c r="CD8" s="202">
        <f>IF(AND(Input_Product=Elig!$C8,Elig_MatchAll_Ct&lt;22,$BC8=(Elig_MatchAll_Ct-1),AX8=0),Y8,0)</f>
        <v>0</v>
      </c>
      <c r="CE8" s="201">
        <f>IF(AND(Input_LTV&lt;=AE8,Input_Product=Elig!$C8,Elig_MatchAll_Ct&lt;22,$BC8=(Elig_MatchAll_Ct-1),AY8=0),Z8,0)</f>
        <v>0</v>
      </c>
      <c r="CF8" s="202">
        <f>IF(AND(Input_LTV&lt;=AE8,Input_Product=Elig!$C8,Elig_MatchAll_Ct&lt;22,$BC8=(Elig_MatchAll_Ct-1),AY8=0),AA8,0)</f>
        <v>0</v>
      </c>
      <c r="CG8" s="201">
        <f>IF(AND(Input_Product=Elig!$C8,Elig_MatchAll_Ct&lt;22,$BC8=(Elig_MatchAll_Ct-1),AZ8=0),AB8,0)</f>
        <v>0</v>
      </c>
      <c r="CH8" s="202">
        <f>IF(AND(Input_Product=Elig!$C8,Elig_MatchAll_Ct&lt;22,$BC8=(Elig_MatchAll_Ct-1),AZ8=0),AC8,0)</f>
        <v>0</v>
      </c>
      <c r="CI8" s="201">
        <f>IF(AND(Input_Product=Elig!$C8,Elig_MatchAll_Ct&lt;22,$BC8=(Elig_MatchAll_Ct-1),BA8=0),AD8,0)</f>
        <v>0</v>
      </c>
      <c r="CJ8" s="203">
        <f>IF(AND(Input_Product=Elig!$C8,Elig_MatchAll_Ct&lt;22,$BC8=(Elig_MatchAll_Ct-1),BA8=0),AE8,0)</f>
        <v>0</v>
      </c>
    </row>
    <row r="9" spans="1:89" ht="10.15" customHeight="1" x14ac:dyDescent="0.25">
      <c r="B9" s="1912" t="s">
        <v>769</v>
      </c>
      <c r="C9" s="134" t="str">
        <f t="shared" si="1"/>
        <v>NonQM OO</v>
      </c>
      <c r="D9" s="135" t="s">
        <v>3885</v>
      </c>
      <c r="E9" s="135" t="s">
        <v>167</v>
      </c>
      <c r="F9" s="135" t="s">
        <v>331</v>
      </c>
      <c r="G9" s="135" t="s">
        <v>303</v>
      </c>
      <c r="H9" s="135" t="s">
        <v>136</v>
      </c>
      <c r="I9" s="136" t="s">
        <v>274</v>
      </c>
      <c r="J9" s="136" t="s">
        <v>1311</v>
      </c>
      <c r="K9" s="136" t="s">
        <v>1631</v>
      </c>
      <c r="L9" s="221" t="s">
        <v>3920</v>
      </c>
      <c r="M9" s="135" t="s">
        <v>4203</v>
      </c>
      <c r="N9" s="135" t="s">
        <v>82</v>
      </c>
      <c r="O9" s="135" t="s">
        <v>310</v>
      </c>
      <c r="P9" s="135" t="s">
        <v>291</v>
      </c>
      <c r="Q9" s="135" t="s">
        <v>294</v>
      </c>
      <c r="R9" s="221">
        <v>100000</v>
      </c>
      <c r="S9" s="135">
        <v>1000000</v>
      </c>
      <c r="T9" s="135">
        <v>0</v>
      </c>
      <c r="U9" s="135">
        <v>0</v>
      </c>
      <c r="V9" s="135">
        <v>0</v>
      </c>
      <c r="W9" s="135">
        <v>55</v>
      </c>
      <c r="X9" s="135">
        <v>0</v>
      </c>
      <c r="Y9" s="135">
        <v>999</v>
      </c>
      <c r="Z9" s="137">
        <v>680</v>
      </c>
      <c r="AA9" s="137">
        <v>699</v>
      </c>
      <c r="AB9" s="137">
        <v>3</v>
      </c>
      <c r="AC9" s="137">
        <v>999999</v>
      </c>
      <c r="AD9" s="135">
        <v>0</v>
      </c>
      <c r="AE9" s="221">
        <v>90</v>
      </c>
      <c r="AF9" s="170">
        <v>0</v>
      </c>
      <c r="AG9" s="171">
        <v>1</v>
      </c>
      <c r="AH9" s="171">
        <v>1</v>
      </c>
      <c r="AI9" s="171">
        <v>1</v>
      </c>
      <c r="AJ9" s="171">
        <v>1</v>
      </c>
      <c r="AK9" s="171">
        <v>1</v>
      </c>
      <c r="AL9" s="171">
        <v>0</v>
      </c>
      <c r="AM9" s="171">
        <v>1</v>
      </c>
      <c r="AN9" s="171">
        <v>1</v>
      </c>
      <c r="AO9" s="171">
        <v>1</v>
      </c>
      <c r="AP9" s="171">
        <v>1</v>
      </c>
      <c r="AQ9" s="171">
        <v>1</v>
      </c>
      <c r="AR9" s="171">
        <v>1</v>
      </c>
      <c r="AS9" s="171">
        <v>1</v>
      </c>
      <c r="AT9" s="171">
        <v>1</v>
      </c>
      <c r="AU9" s="171">
        <f t="shared" si="2"/>
        <v>1</v>
      </c>
      <c r="AV9" s="171">
        <f t="shared" si="3"/>
        <v>0</v>
      </c>
      <c r="AW9" s="171">
        <f t="shared" si="4"/>
        <v>1</v>
      </c>
      <c r="AX9" s="171">
        <f t="shared" si="5"/>
        <v>1</v>
      </c>
      <c r="AY9" s="171">
        <f t="shared" si="6"/>
        <v>0</v>
      </c>
      <c r="AZ9" s="171">
        <f t="shared" si="7"/>
        <v>1</v>
      </c>
      <c r="BA9" s="172">
        <f t="shared" si="8"/>
        <v>1</v>
      </c>
      <c r="BB9" s="175">
        <f t="shared" ref="BB9:BB13" si="13">SUM(AF9:BA9)</f>
        <v>18</v>
      </c>
      <c r="BC9" s="176">
        <f t="shared" ref="BC9:BC13" si="14">SUM(AF9:AZ9)</f>
        <v>17</v>
      </c>
      <c r="BD9" s="176">
        <f t="shared" ref="BD9:BD13" si="15">SUM(AG9:BA9)</f>
        <v>18</v>
      </c>
      <c r="BE9" s="240" t="str">
        <f t="shared" si="12"/>
        <v/>
      </c>
      <c r="BH9" s="198">
        <f>IF(AND(Input_Product=Elig!$C9,Elig_MatchAll_Ct&lt;22,$BC9=(Elig_MatchAll_Ct-1),AF9=0),C9,0)</f>
        <v>0</v>
      </c>
      <c r="BI9" s="199">
        <f>IF(AND(Input_Product=Elig!$C9,Elig_MatchAll_Ct&lt;22,$BC9=(Elig_MatchAll_Ct-1),AG9=0),D9,0)</f>
        <v>0</v>
      </c>
      <c r="BJ9" s="199">
        <f>IF(AND(Input_Product=Elig!$C9,Elig_MatchAll_Ct&lt;22,$BC9=(Elig_MatchAll_Ct-1),AH9=0),E9,0)</f>
        <v>0</v>
      </c>
      <c r="BK9" s="199">
        <f>IF(AND(Input_Product=Elig!$C9,Elig_MatchAll_Ct&lt;22,$BC9=(Elig_MatchAll_Ct-1),AI9=0),F9,0)</f>
        <v>0</v>
      </c>
      <c r="BL9" s="199">
        <f>IF(AND(Input_Product=Elig!$C9,Elig_MatchAll_Ct&lt;22,$BC9=(Elig_MatchAll_Ct-1),AJ9=0),G9,0)</f>
        <v>0</v>
      </c>
      <c r="BM9" s="199">
        <f>IF(AND(Input_Product=Elig!$C9,Elig_MatchAll_Ct&lt;22,$BC9=(Elig_MatchAll_Ct-1),AK9=0),H9,0)</f>
        <v>0</v>
      </c>
      <c r="BN9" s="199">
        <f>IF(AND(Input_Product=Elig!$C9,Elig_MatchAll_Ct&lt;22,$BC9=(Elig_MatchAll_Ct-1),AL9=0),I9,0)</f>
        <v>0</v>
      </c>
      <c r="BO9" s="199">
        <f>IF(AND(Input_Product=Elig!$C9,Elig_MatchAll_Ct&lt;22,$BC9=(Elig_MatchAll_Ct-1),AM9=0),J9,0)</f>
        <v>0</v>
      </c>
      <c r="BP9" s="199">
        <f>IF(AND(Input_Product=Elig!$C9,Elig_MatchAll_Ct&lt;22,$BC9=(Elig_MatchAll_Ct-1),AN9=0),K9,0)</f>
        <v>0</v>
      </c>
      <c r="BQ9" s="199">
        <f>IF(AND(Input_Product=Elig!$C9,Elig_MatchAll_Ct&lt;22,$BC9=(Elig_MatchAll_Ct-1),AP9=0),L9,0)</f>
        <v>0</v>
      </c>
      <c r="BR9" s="199">
        <f>IF(AND(Input_Product=Elig!$C9,Elig_MatchAll_Ct&lt;22,$BC9=(Elig_MatchAll_Ct-1),AO9=0),M9,0)</f>
        <v>0</v>
      </c>
      <c r="BS9" s="199">
        <f>IF(AND(Input_Product=Elig!$C9,Elig_MatchAll_Ct&lt;22,$BC9=(Elig_MatchAll_Ct-1),AQ9=0),N9,0)</f>
        <v>0</v>
      </c>
      <c r="BT9" s="199">
        <f>IF(AND(Input_Product=Elig!$C9,Elig_MatchAll_Ct&lt;22,$BC9=(Elig_MatchAll_Ct-1),AR9=0),O9,0)</f>
        <v>0</v>
      </c>
      <c r="BU9" s="199">
        <f>IF(AND(Input_Product=Elig!$C9,Elig_MatchAll_Ct&lt;22,$BC9=(Elig_MatchAll_Ct-1),AS9=0),P9,0)</f>
        <v>0</v>
      </c>
      <c r="BV9" s="200">
        <f>IF(AND(Input_Product=Elig!$C9,Elig_MatchAll_Ct&lt;22,$BC9=(Elig_MatchAll_Ct-1),AT9=0),Q9,0)</f>
        <v>0</v>
      </c>
      <c r="BW9" s="201">
        <f>IF(AND(Input_Product=Elig!$C9,Elig_MatchAll_Ct&lt;22,$BC9=(Elig_MatchAll_Ct-1),AU9=0),R9,0)</f>
        <v>0</v>
      </c>
      <c r="BX9" s="202">
        <f>IF(AND(Input_Product=Elig!$C9,Elig_MatchAll_Ct&lt;22,$BC9=(Elig_MatchAll_Ct-1),AU9=0),S9,0)</f>
        <v>0</v>
      </c>
      <c r="BY9" s="201">
        <f>IF(AND(Input_Product=Elig!$C9,Elig_MatchAll_Ct&lt;22,$BC9=(Elig_MatchAll_Ct-1),AV9=0),T9,0)</f>
        <v>0</v>
      </c>
      <c r="BZ9" s="202">
        <f>IF(AND(Input_Product=Elig!$C9,Elig_MatchAll_Ct&lt;22,$BC9=(Elig_MatchAll_Ct-1),AV9=0),U9,0)</f>
        <v>0</v>
      </c>
      <c r="CA9" s="201">
        <f>IF(AND(Input_Product=Elig!$C9,Elig_MatchAll_Ct&lt;22,$BC9=(Elig_MatchAll_Ct-1),AW9=0),V9,0)</f>
        <v>0</v>
      </c>
      <c r="CB9" s="202">
        <f>IF(AND(Input_Product=Elig!$C9,Elig_MatchAll_Ct&lt;22,$BC9=(Elig_MatchAll_Ct-1),AW9=0),W9,0)</f>
        <v>0</v>
      </c>
      <c r="CC9" s="201">
        <f>IF(AND(Input_Product=Elig!$C9,Elig_MatchAll_Ct&lt;22,$BC9=(Elig_MatchAll_Ct-1),AX9=0),X9,0)</f>
        <v>0</v>
      </c>
      <c r="CD9" s="202">
        <f>IF(AND(Input_Product=Elig!$C9,Elig_MatchAll_Ct&lt;22,$BC9=(Elig_MatchAll_Ct-1),AX9=0),Y9,0)</f>
        <v>0</v>
      </c>
      <c r="CE9" s="201">
        <f>IF(AND(Input_LTV&lt;=AE9,Input_Product=Elig!$C9,Elig_MatchAll_Ct&lt;22,$BC9=(Elig_MatchAll_Ct-1),AY9=0),Z9,0)</f>
        <v>0</v>
      </c>
      <c r="CF9" s="202">
        <f>IF(AND(Input_LTV&lt;=AE9,Input_Product=Elig!$C9,Elig_MatchAll_Ct&lt;22,$BC9=(Elig_MatchAll_Ct-1),AY9=0),AA9,0)</f>
        <v>0</v>
      </c>
      <c r="CG9" s="201">
        <f>IF(AND(Input_Product=Elig!$C9,Elig_MatchAll_Ct&lt;22,$BC9=(Elig_MatchAll_Ct-1),AZ9=0),AB9,0)</f>
        <v>0</v>
      </c>
      <c r="CH9" s="202">
        <f>IF(AND(Input_Product=Elig!$C9,Elig_MatchAll_Ct&lt;22,$BC9=(Elig_MatchAll_Ct-1),AZ9=0),AC9,0)</f>
        <v>0</v>
      </c>
      <c r="CI9" s="201">
        <f>IF(AND(Input_Product=Elig!$C9,Elig_MatchAll_Ct&lt;22,$BC9=(Elig_MatchAll_Ct-1),BA9=0),AD9,0)</f>
        <v>0</v>
      </c>
      <c r="CJ9" s="203">
        <f>IF(AND(Input_Product=Elig!$C9,Elig_MatchAll_Ct&lt;22,$BC9=(Elig_MatchAll_Ct-1),BA9=0),AE9,0)</f>
        <v>0</v>
      </c>
    </row>
    <row r="10" spans="1:89" ht="10.15" customHeight="1" x14ac:dyDescent="0.25">
      <c r="B10" s="1912" t="s">
        <v>770</v>
      </c>
      <c r="C10" s="134" t="str">
        <f t="shared" si="1"/>
        <v>NonQM OO</v>
      </c>
      <c r="D10" s="135" t="s">
        <v>3885</v>
      </c>
      <c r="E10" s="135" t="s">
        <v>167</v>
      </c>
      <c r="F10" s="135" t="s">
        <v>331</v>
      </c>
      <c r="G10" s="135" t="s">
        <v>303</v>
      </c>
      <c r="H10" s="135" t="s">
        <v>136</v>
      </c>
      <c r="I10" s="135" t="s">
        <v>274</v>
      </c>
      <c r="J10" s="135" t="s">
        <v>1311</v>
      </c>
      <c r="K10" s="135" t="s">
        <v>1631</v>
      </c>
      <c r="L10" s="221" t="s">
        <v>3920</v>
      </c>
      <c r="M10" s="135" t="s">
        <v>4203</v>
      </c>
      <c r="N10" s="135" t="s">
        <v>82</v>
      </c>
      <c r="O10" s="135" t="s">
        <v>310</v>
      </c>
      <c r="P10" s="135" t="s">
        <v>291</v>
      </c>
      <c r="Q10" s="135" t="s">
        <v>294</v>
      </c>
      <c r="R10" s="221">
        <v>100000</v>
      </c>
      <c r="S10" s="135">
        <v>1000000</v>
      </c>
      <c r="T10" s="135">
        <v>0</v>
      </c>
      <c r="U10" s="135">
        <v>0</v>
      </c>
      <c r="V10" s="135">
        <v>0</v>
      </c>
      <c r="W10" s="135">
        <v>55</v>
      </c>
      <c r="X10" s="135">
        <v>0</v>
      </c>
      <c r="Y10" s="135">
        <v>999</v>
      </c>
      <c r="Z10" s="137">
        <v>660</v>
      </c>
      <c r="AA10" s="137">
        <v>679</v>
      </c>
      <c r="AB10" s="137">
        <v>3</v>
      </c>
      <c r="AC10" s="137">
        <v>999999</v>
      </c>
      <c r="AD10" s="135">
        <v>0</v>
      </c>
      <c r="AE10" s="135">
        <v>80</v>
      </c>
      <c r="AF10" s="170">
        <v>0</v>
      </c>
      <c r="AG10" s="171">
        <v>1</v>
      </c>
      <c r="AH10" s="171">
        <v>1</v>
      </c>
      <c r="AI10" s="171">
        <v>1</v>
      </c>
      <c r="AJ10" s="171">
        <v>1</v>
      </c>
      <c r="AK10" s="171">
        <v>1</v>
      </c>
      <c r="AL10" s="171">
        <v>0</v>
      </c>
      <c r="AM10" s="171">
        <v>1</v>
      </c>
      <c r="AN10" s="171">
        <v>1</v>
      </c>
      <c r="AO10" s="171">
        <v>1</v>
      </c>
      <c r="AP10" s="171">
        <v>1</v>
      </c>
      <c r="AQ10" s="171">
        <v>1</v>
      </c>
      <c r="AR10" s="171">
        <v>1</v>
      </c>
      <c r="AS10" s="171">
        <v>1</v>
      </c>
      <c r="AT10" s="171">
        <v>1</v>
      </c>
      <c r="AU10" s="171">
        <f t="shared" si="2"/>
        <v>1</v>
      </c>
      <c r="AV10" s="171">
        <f t="shared" si="3"/>
        <v>0</v>
      </c>
      <c r="AW10" s="171">
        <f t="shared" si="4"/>
        <v>1</v>
      </c>
      <c r="AX10" s="171">
        <f t="shared" si="5"/>
        <v>1</v>
      </c>
      <c r="AY10" s="171">
        <f t="shared" si="6"/>
        <v>0</v>
      </c>
      <c r="AZ10" s="171">
        <f t="shared" si="7"/>
        <v>1</v>
      </c>
      <c r="BA10" s="172">
        <f t="shared" si="8"/>
        <v>1</v>
      </c>
      <c r="BB10" s="175">
        <f t="shared" si="13"/>
        <v>18</v>
      </c>
      <c r="BC10" s="176">
        <f t="shared" si="14"/>
        <v>17</v>
      </c>
      <c r="BD10" s="176">
        <f t="shared" si="15"/>
        <v>18</v>
      </c>
      <c r="BE10" s="240" t="str">
        <f t="shared" si="12"/>
        <v/>
      </c>
      <c r="BH10" s="198">
        <f>IF(AND(Input_Product=Elig!$C10,Elig_MatchAll_Ct&lt;22,$BC10=(Elig_MatchAll_Ct-1),AF10=0),C10,0)</f>
        <v>0</v>
      </c>
      <c r="BI10" s="199">
        <f>IF(AND(Input_Product=Elig!$C10,Elig_MatchAll_Ct&lt;22,$BC10=(Elig_MatchAll_Ct-1),AG10=0),D10,0)</f>
        <v>0</v>
      </c>
      <c r="BJ10" s="199">
        <f>IF(AND(Input_Product=Elig!$C10,Elig_MatchAll_Ct&lt;22,$BC10=(Elig_MatchAll_Ct-1),AH10=0),E10,0)</f>
        <v>0</v>
      </c>
      <c r="BK10" s="199">
        <f>IF(AND(Input_Product=Elig!$C10,Elig_MatchAll_Ct&lt;22,$BC10=(Elig_MatchAll_Ct-1),AI10=0),F10,0)</f>
        <v>0</v>
      </c>
      <c r="BL10" s="199">
        <f>IF(AND(Input_Product=Elig!$C10,Elig_MatchAll_Ct&lt;22,$BC10=(Elig_MatchAll_Ct-1),AJ10=0),G10,0)</f>
        <v>0</v>
      </c>
      <c r="BM10" s="199">
        <f>IF(AND(Input_Product=Elig!$C10,Elig_MatchAll_Ct&lt;22,$BC10=(Elig_MatchAll_Ct-1),AK10=0),H10,0)</f>
        <v>0</v>
      </c>
      <c r="BN10" s="199">
        <f>IF(AND(Input_Product=Elig!$C10,Elig_MatchAll_Ct&lt;22,$BC10=(Elig_MatchAll_Ct-1),AL10=0),I10,0)</f>
        <v>0</v>
      </c>
      <c r="BO10" s="199">
        <f>IF(AND(Input_Product=Elig!$C10,Elig_MatchAll_Ct&lt;22,$BC10=(Elig_MatchAll_Ct-1),AM10=0),J10,0)</f>
        <v>0</v>
      </c>
      <c r="BP10" s="199">
        <f>IF(AND(Input_Product=Elig!$C10,Elig_MatchAll_Ct&lt;22,$BC10=(Elig_MatchAll_Ct-1),AN10=0),K10,0)</f>
        <v>0</v>
      </c>
      <c r="BQ10" s="199">
        <f>IF(AND(Input_Product=Elig!$C10,Elig_MatchAll_Ct&lt;22,$BC10=(Elig_MatchAll_Ct-1),AP10=0),L10,0)</f>
        <v>0</v>
      </c>
      <c r="BR10" s="199">
        <f>IF(AND(Input_Product=Elig!$C10,Elig_MatchAll_Ct&lt;22,$BC10=(Elig_MatchAll_Ct-1),AO10=0),M10,0)</f>
        <v>0</v>
      </c>
      <c r="BS10" s="199">
        <f>IF(AND(Input_Product=Elig!$C10,Elig_MatchAll_Ct&lt;22,$BC10=(Elig_MatchAll_Ct-1),AQ10=0),N10,0)</f>
        <v>0</v>
      </c>
      <c r="BT10" s="199">
        <f>IF(AND(Input_Product=Elig!$C10,Elig_MatchAll_Ct&lt;22,$BC10=(Elig_MatchAll_Ct-1),AR10=0),O10,0)</f>
        <v>0</v>
      </c>
      <c r="BU10" s="199">
        <f>IF(AND(Input_Product=Elig!$C10,Elig_MatchAll_Ct&lt;22,$BC10=(Elig_MatchAll_Ct-1),AS10=0),P10,0)</f>
        <v>0</v>
      </c>
      <c r="BV10" s="200">
        <f>IF(AND(Input_Product=Elig!$C10,Elig_MatchAll_Ct&lt;22,$BC10=(Elig_MatchAll_Ct-1),AT10=0),Q10,0)</f>
        <v>0</v>
      </c>
      <c r="BW10" s="201">
        <f>IF(AND(Input_Product=Elig!$C10,Elig_MatchAll_Ct&lt;22,$BC10=(Elig_MatchAll_Ct-1),AU10=0),R10,0)</f>
        <v>0</v>
      </c>
      <c r="BX10" s="202">
        <f>IF(AND(Input_Product=Elig!$C10,Elig_MatchAll_Ct&lt;22,$BC10=(Elig_MatchAll_Ct-1),AU10=0),S10,0)</f>
        <v>0</v>
      </c>
      <c r="BY10" s="201">
        <f>IF(AND(Input_Product=Elig!$C10,Elig_MatchAll_Ct&lt;22,$BC10=(Elig_MatchAll_Ct-1),AV10=0),T10,0)</f>
        <v>0</v>
      </c>
      <c r="BZ10" s="202">
        <f>IF(AND(Input_Product=Elig!$C10,Elig_MatchAll_Ct&lt;22,$BC10=(Elig_MatchAll_Ct-1),AV10=0),U10,0)</f>
        <v>0</v>
      </c>
      <c r="CA10" s="201">
        <f>IF(AND(Input_Product=Elig!$C10,Elig_MatchAll_Ct&lt;22,$BC10=(Elig_MatchAll_Ct-1),AW10=0),V10,0)</f>
        <v>0</v>
      </c>
      <c r="CB10" s="202">
        <f>IF(AND(Input_Product=Elig!$C10,Elig_MatchAll_Ct&lt;22,$BC10=(Elig_MatchAll_Ct-1),AW10=0),W10,0)</f>
        <v>0</v>
      </c>
      <c r="CC10" s="201">
        <f>IF(AND(Input_Product=Elig!$C10,Elig_MatchAll_Ct&lt;22,$BC10=(Elig_MatchAll_Ct-1),AX10=0),X10,0)</f>
        <v>0</v>
      </c>
      <c r="CD10" s="202">
        <f>IF(AND(Input_Product=Elig!$C10,Elig_MatchAll_Ct&lt;22,$BC10=(Elig_MatchAll_Ct-1),AX10=0),Y10,0)</f>
        <v>0</v>
      </c>
      <c r="CE10" s="201">
        <f>IF(AND(Input_LTV&lt;=AE10,Input_Product=Elig!$C10,Elig_MatchAll_Ct&lt;22,$BC10=(Elig_MatchAll_Ct-1),AY10=0),Z10,0)</f>
        <v>0</v>
      </c>
      <c r="CF10" s="202">
        <f>IF(AND(Input_LTV&lt;=AE10,Input_Product=Elig!$C10,Elig_MatchAll_Ct&lt;22,$BC10=(Elig_MatchAll_Ct-1),AY10=0),AA10,0)</f>
        <v>0</v>
      </c>
      <c r="CG10" s="201">
        <f>IF(AND(Input_Product=Elig!$C10,Elig_MatchAll_Ct&lt;22,$BC10=(Elig_MatchAll_Ct-1),AZ10=0),AB10,0)</f>
        <v>0</v>
      </c>
      <c r="CH10" s="202">
        <f>IF(AND(Input_Product=Elig!$C10,Elig_MatchAll_Ct&lt;22,$BC10=(Elig_MatchAll_Ct-1),AZ10=0),AC10,0)</f>
        <v>0</v>
      </c>
      <c r="CI10" s="201">
        <f>IF(AND(Input_Product=Elig!$C10,Elig_MatchAll_Ct&lt;22,$BC10=(Elig_MatchAll_Ct-1),BA10=0),AD10,0)</f>
        <v>0</v>
      </c>
      <c r="CJ10" s="203">
        <f>IF(AND(Input_Product=Elig!$C10,Elig_MatchAll_Ct&lt;22,$BC10=(Elig_MatchAll_Ct-1),BA10=0),AE10,0)</f>
        <v>0</v>
      </c>
    </row>
    <row r="11" spans="1:89" ht="10.15" customHeight="1" x14ac:dyDescent="0.25">
      <c r="B11" s="1912" t="s">
        <v>771</v>
      </c>
      <c r="C11" s="134" t="str">
        <f t="shared" si="1"/>
        <v>NonQM OO</v>
      </c>
      <c r="D11" s="135" t="s">
        <v>3885</v>
      </c>
      <c r="E11" s="135" t="s">
        <v>167</v>
      </c>
      <c r="F11" s="135" t="s">
        <v>331</v>
      </c>
      <c r="G11" s="135" t="s">
        <v>303</v>
      </c>
      <c r="H11" s="135" t="s">
        <v>136</v>
      </c>
      <c r="I11" s="135" t="s">
        <v>274</v>
      </c>
      <c r="J11" s="135" t="s">
        <v>1311</v>
      </c>
      <c r="K11" s="135" t="s">
        <v>1631</v>
      </c>
      <c r="L11" s="221" t="s">
        <v>3920</v>
      </c>
      <c r="M11" s="135" t="s">
        <v>4203</v>
      </c>
      <c r="N11" s="135" t="s">
        <v>82</v>
      </c>
      <c r="O11" s="135" t="s">
        <v>310</v>
      </c>
      <c r="P11" s="135" t="s">
        <v>291</v>
      </c>
      <c r="Q11" s="135" t="s">
        <v>294</v>
      </c>
      <c r="R11" s="221">
        <v>100000</v>
      </c>
      <c r="S11" s="135">
        <v>1000000</v>
      </c>
      <c r="T11" s="135">
        <v>0</v>
      </c>
      <c r="U11" s="135">
        <v>0</v>
      </c>
      <c r="V11" s="135">
        <v>0</v>
      </c>
      <c r="W11" s="135">
        <v>55</v>
      </c>
      <c r="X11" s="135">
        <v>0</v>
      </c>
      <c r="Y11" s="135">
        <v>999</v>
      </c>
      <c r="Z11" s="137">
        <v>640</v>
      </c>
      <c r="AA11" s="137">
        <v>659</v>
      </c>
      <c r="AB11" s="137">
        <v>3</v>
      </c>
      <c r="AC11" s="137">
        <v>999999</v>
      </c>
      <c r="AD11" s="135">
        <v>0</v>
      </c>
      <c r="AE11" s="221">
        <v>80</v>
      </c>
      <c r="AF11" s="170">
        <v>0</v>
      </c>
      <c r="AG11" s="171">
        <v>1</v>
      </c>
      <c r="AH11" s="171">
        <v>1</v>
      </c>
      <c r="AI11" s="171">
        <v>1</v>
      </c>
      <c r="AJ11" s="171">
        <v>1</v>
      </c>
      <c r="AK11" s="171">
        <v>1</v>
      </c>
      <c r="AL11" s="171">
        <v>0</v>
      </c>
      <c r="AM11" s="171">
        <v>1</v>
      </c>
      <c r="AN11" s="171">
        <v>1</v>
      </c>
      <c r="AO11" s="171">
        <v>1</v>
      </c>
      <c r="AP11" s="171">
        <v>1</v>
      </c>
      <c r="AQ11" s="171">
        <v>1</v>
      </c>
      <c r="AR11" s="171">
        <v>1</v>
      </c>
      <c r="AS11" s="171">
        <v>1</v>
      </c>
      <c r="AT11" s="171">
        <v>1</v>
      </c>
      <c r="AU11" s="171">
        <f t="shared" si="2"/>
        <v>1</v>
      </c>
      <c r="AV11" s="171">
        <f t="shared" si="3"/>
        <v>0</v>
      </c>
      <c r="AW11" s="171">
        <f t="shared" si="4"/>
        <v>1</v>
      </c>
      <c r="AX11" s="171">
        <f t="shared" si="5"/>
        <v>1</v>
      </c>
      <c r="AY11" s="171">
        <f t="shared" si="6"/>
        <v>0</v>
      </c>
      <c r="AZ11" s="171">
        <f t="shared" si="7"/>
        <v>1</v>
      </c>
      <c r="BA11" s="172">
        <f t="shared" si="8"/>
        <v>1</v>
      </c>
      <c r="BB11" s="175">
        <f t="shared" si="13"/>
        <v>18</v>
      </c>
      <c r="BC11" s="176">
        <f t="shared" si="14"/>
        <v>17</v>
      </c>
      <c r="BD11" s="176">
        <f t="shared" si="15"/>
        <v>18</v>
      </c>
      <c r="BE11" s="240" t="str">
        <f t="shared" si="12"/>
        <v/>
      </c>
      <c r="BH11" s="198">
        <f>IF(AND(Input_Product=Elig!$C11,Elig_MatchAll_Ct&lt;22,$BC11=(Elig_MatchAll_Ct-1),AF11=0),C11,0)</f>
        <v>0</v>
      </c>
      <c r="BI11" s="199">
        <f>IF(AND(Input_Product=Elig!$C11,Elig_MatchAll_Ct&lt;22,$BC11=(Elig_MatchAll_Ct-1),AG11=0),D11,0)</f>
        <v>0</v>
      </c>
      <c r="BJ11" s="199">
        <f>IF(AND(Input_Product=Elig!$C11,Elig_MatchAll_Ct&lt;22,$BC11=(Elig_MatchAll_Ct-1),AH11=0),E11,0)</f>
        <v>0</v>
      </c>
      <c r="BK11" s="199">
        <f>IF(AND(Input_Product=Elig!$C11,Elig_MatchAll_Ct&lt;22,$BC11=(Elig_MatchAll_Ct-1),AI11=0),F11,0)</f>
        <v>0</v>
      </c>
      <c r="BL11" s="199">
        <f>IF(AND(Input_Product=Elig!$C11,Elig_MatchAll_Ct&lt;22,$BC11=(Elig_MatchAll_Ct-1),AJ11=0),G11,0)</f>
        <v>0</v>
      </c>
      <c r="BM11" s="199">
        <f>IF(AND(Input_Product=Elig!$C11,Elig_MatchAll_Ct&lt;22,$BC11=(Elig_MatchAll_Ct-1),AK11=0),H11,0)</f>
        <v>0</v>
      </c>
      <c r="BN11" s="199">
        <f>IF(AND(Input_Product=Elig!$C11,Elig_MatchAll_Ct&lt;22,$BC11=(Elig_MatchAll_Ct-1),AL11=0),I11,0)</f>
        <v>0</v>
      </c>
      <c r="BO11" s="199">
        <f>IF(AND(Input_Product=Elig!$C11,Elig_MatchAll_Ct&lt;22,$BC11=(Elig_MatchAll_Ct-1),AM11=0),J11,0)</f>
        <v>0</v>
      </c>
      <c r="BP11" s="199">
        <f>IF(AND(Input_Product=Elig!$C11,Elig_MatchAll_Ct&lt;22,$BC11=(Elig_MatchAll_Ct-1),AN11=0),K11,0)</f>
        <v>0</v>
      </c>
      <c r="BQ11" s="199">
        <f>IF(AND(Input_Product=Elig!$C11,Elig_MatchAll_Ct&lt;22,$BC11=(Elig_MatchAll_Ct-1),AP11=0),L11,0)</f>
        <v>0</v>
      </c>
      <c r="BR11" s="199">
        <f>IF(AND(Input_Product=Elig!$C11,Elig_MatchAll_Ct&lt;22,$BC11=(Elig_MatchAll_Ct-1),AO11=0),M11,0)</f>
        <v>0</v>
      </c>
      <c r="BS11" s="199">
        <f>IF(AND(Input_Product=Elig!$C11,Elig_MatchAll_Ct&lt;22,$BC11=(Elig_MatchAll_Ct-1),AQ11=0),N11,0)</f>
        <v>0</v>
      </c>
      <c r="BT11" s="199">
        <f>IF(AND(Input_Product=Elig!$C11,Elig_MatchAll_Ct&lt;22,$BC11=(Elig_MatchAll_Ct-1),AR11=0),O11,0)</f>
        <v>0</v>
      </c>
      <c r="BU11" s="199">
        <f>IF(AND(Input_Product=Elig!$C11,Elig_MatchAll_Ct&lt;22,$BC11=(Elig_MatchAll_Ct-1),AS11=0),P11,0)</f>
        <v>0</v>
      </c>
      <c r="BV11" s="200">
        <f>IF(AND(Input_Product=Elig!$C11,Elig_MatchAll_Ct&lt;22,$BC11=(Elig_MatchAll_Ct-1),AT11=0),Q11,0)</f>
        <v>0</v>
      </c>
      <c r="BW11" s="201">
        <f>IF(AND(Input_Product=Elig!$C11,Elig_MatchAll_Ct&lt;22,$BC11=(Elig_MatchAll_Ct-1),AU11=0),R11,0)</f>
        <v>0</v>
      </c>
      <c r="BX11" s="202">
        <f>IF(AND(Input_Product=Elig!$C11,Elig_MatchAll_Ct&lt;22,$BC11=(Elig_MatchAll_Ct-1),AU11=0),S11,0)</f>
        <v>0</v>
      </c>
      <c r="BY11" s="201">
        <f>IF(AND(Input_Product=Elig!$C11,Elig_MatchAll_Ct&lt;22,$BC11=(Elig_MatchAll_Ct-1),AV11=0),T11,0)</f>
        <v>0</v>
      </c>
      <c r="BZ11" s="202">
        <f>IF(AND(Input_Product=Elig!$C11,Elig_MatchAll_Ct&lt;22,$BC11=(Elig_MatchAll_Ct-1),AV11=0),U11,0)</f>
        <v>0</v>
      </c>
      <c r="CA11" s="201">
        <f>IF(AND(Input_Product=Elig!$C11,Elig_MatchAll_Ct&lt;22,$BC11=(Elig_MatchAll_Ct-1),AW11=0),V11,0)</f>
        <v>0</v>
      </c>
      <c r="CB11" s="202">
        <f>IF(AND(Input_Product=Elig!$C11,Elig_MatchAll_Ct&lt;22,$BC11=(Elig_MatchAll_Ct-1),AW11=0),W11,0)</f>
        <v>0</v>
      </c>
      <c r="CC11" s="201">
        <f>IF(AND(Input_Product=Elig!$C11,Elig_MatchAll_Ct&lt;22,$BC11=(Elig_MatchAll_Ct-1),AX11=0),X11,0)</f>
        <v>0</v>
      </c>
      <c r="CD11" s="202">
        <f>IF(AND(Input_Product=Elig!$C11,Elig_MatchAll_Ct&lt;22,$BC11=(Elig_MatchAll_Ct-1),AX11=0),Y11,0)</f>
        <v>0</v>
      </c>
      <c r="CE11" s="201">
        <f>IF(AND(Input_LTV&lt;=AE11,Input_Product=Elig!$C11,Elig_MatchAll_Ct&lt;22,$BC11=(Elig_MatchAll_Ct-1),AY11=0),Z11,0)</f>
        <v>0</v>
      </c>
      <c r="CF11" s="202">
        <f>IF(AND(Input_LTV&lt;=AE11,Input_Product=Elig!$C11,Elig_MatchAll_Ct&lt;22,$BC11=(Elig_MatchAll_Ct-1),AY11=0),AA11,0)</f>
        <v>0</v>
      </c>
      <c r="CG11" s="201">
        <f>IF(AND(Input_Product=Elig!$C11,Elig_MatchAll_Ct&lt;22,$BC11=(Elig_MatchAll_Ct-1),AZ11=0),AB11,0)</f>
        <v>0</v>
      </c>
      <c r="CH11" s="202">
        <f>IF(AND(Input_Product=Elig!$C11,Elig_MatchAll_Ct&lt;22,$BC11=(Elig_MatchAll_Ct-1),AZ11=0),AC11,0)</f>
        <v>0</v>
      </c>
      <c r="CI11" s="201">
        <f>IF(AND(Input_Product=Elig!$C11,Elig_MatchAll_Ct&lt;22,$BC11=(Elig_MatchAll_Ct-1),BA11=0),AD11,0)</f>
        <v>0</v>
      </c>
      <c r="CJ11" s="203">
        <f>IF(AND(Input_Product=Elig!$C11,Elig_MatchAll_Ct&lt;22,$BC11=(Elig_MatchAll_Ct-1),BA11=0),AE11,0)</f>
        <v>0</v>
      </c>
    </row>
    <row r="12" spans="1:89" ht="10.15" customHeight="1" x14ac:dyDescent="0.25">
      <c r="B12" s="1912" t="s">
        <v>772</v>
      </c>
      <c r="C12" s="138" t="str">
        <f t="shared" si="1"/>
        <v>NonQM OO</v>
      </c>
      <c r="D12" s="139" t="s">
        <v>3885</v>
      </c>
      <c r="E12" s="139" t="s">
        <v>167</v>
      </c>
      <c r="F12" s="139" t="s">
        <v>331</v>
      </c>
      <c r="G12" s="139" t="s">
        <v>303</v>
      </c>
      <c r="H12" s="139" t="s">
        <v>136</v>
      </c>
      <c r="I12" s="139" t="s">
        <v>274</v>
      </c>
      <c r="J12" s="139" t="s">
        <v>1311</v>
      </c>
      <c r="K12" s="139" t="s">
        <v>1631</v>
      </c>
      <c r="L12" s="310" t="s">
        <v>3920</v>
      </c>
      <c r="M12" s="139" t="s">
        <v>4203</v>
      </c>
      <c r="N12" s="139" t="s">
        <v>82</v>
      </c>
      <c r="O12" s="139" t="s">
        <v>310</v>
      </c>
      <c r="P12" s="139" t="s">
        <v>291</v>
      </c>
      <c r="Q12" s="139" t="s">
        <v>294</v>
      </c>
      <c r="R12" s="310">
        <v>100000</v>
      </c>
      <c r="S12" s="139">
        <v>1000000</v>
      </c>
      <c r="T12" s="139">
        <v>0</v>
      </c>
      <c r="U12" s="139">
        <v>0</v>
      </c>
      <c r="V12" s="139">
        <v>0</v>
      </c>
      <c r="W12" s="139">
        <v>55</v>
      </c>
      <c r="X12" s="139">
        <v>0</v>
      </c>
      <c r="Y12" s="139">
        <v>999</v>
      </c>
      <c r="Z12" s="140">
        <v>620</v>
      </c>
      <c r="AA12" s="140">
        <v>639</v>
      </c>
      <c r="AB12" s="140">
        <v>3</v>
      </c>
      <c r="AC12" s="140">
        <v>999999</v>
      </c>
      <c r="AD12" s="139">
        <v>0</v>
      </c>
      <c r="AE12" s="310">
        <v>80</v>
      </c>
      <c r="AF12" s="170">
        <v>0</v>
      </c>
      <c r="AG12" s="171">
        <v>1</v>
      </c>
      <c r="AH12" s="171">
        <v>1</v>
      </c>
      <c r="AI12" s="171">
        <v>1</v>
      </c>
      <c r="AJ12" s="171">
        <v>1</v>
      </c>
      <c r="AK12" s="171">
        <v>1</v>
      </c>
      <c r="AL12" s="171">
        <v>0</v>
      </c>
      <c r="AM12" s="171">
        <v>1</v>
      </c>
      <c r="AN12" s="171">
        <v>1</v>
      </c>
      <c r="AO12" s="171">
        <v>1</v>
      </c>
      <c r="AP12" s="171">
        <v>1</v>
      </c>
      <c r="AQ12" s="171">
        <v>1</v>
      </c>
      <c r="AR12" s="171">
        <v>1</v>
      </c>
      <c r="AS12" s="171">
        <v>1</v>
      </c>
      <c r="AT12" s="171">
        <v>1</v>
      </c>
      <c r="AU12" s="171">
        <f t="shared" si="2"/>
        <v>1</v>
      </c>
      <c r="AV12" s="171">
        <f t="shared" si="3"/>
        <v>0</v>
      </c>
      <c r="AW12" s="171">
        <f t="shared" si="4"/>
        <v>1</v>
      </c>
      <c r="AX12" s="171">
        <f t="shared" si="5"/>
        <v>1</v>
      </c>
      <c r="AY12" s="171">
        <f t="shared" si="6"/>
        <v>0</v>
      </c>
      <c r="AZ12" s="171">
        <f t="shared" si="7"/>
        <v>1</v>
      </c>
      <c r="BA12" s="172">
        <f t="shared" si="8"/>
        <v>1</v>
      </c>
      <c r="BB12" s="175">
        <f t="shared" si="13"/>
        <v>18</v>
      </c>
      <c r="BC12" s="176">
        <f t="shared" si="14"/>
        <v>17</v>
      </c>
      <c r="BD12" s="176">
        <f t="shared" si="15"/>
        <v>18</v>
      </c>
      <c r="BE12" s="240" t="str">
        <f t="shared" si="12"/>
        <v/>
      </c>
      <c r="BH12" s="204">
        <f>IF(AND(Input_Product=Elig!$C12,Elig_MatchAll_Ct&lt;22,$BC12=(Elig_MatchAll_Ct-1),AF12=0),C12,0)</f>
        <v>0</v>
      </c>
      <c r="BI12" s="205">
        <f>IF(AND(Input_Product=Elig!$C12,Elig_MatchAll_Ct&lt;22,$BC12=(Elig_MatchAll_Ct-1),AG12=0),D12,0)</f>
        <v>0</v>
      </c>
      <c r="BJ12" s="205">
        <f>IF(AND(Input_Product=Elig!$C12,Elig_MatchAll_Ct&lt;22,$BC12=(Elig_MatchAll_Ct-1),AH12=0),E12,0)</f>
        <v>0</v>
      </c>
      <c r="BK12" s="205">
        <f>IF(AND(Input_Product=Elig!$C12,Elig_MatchAll_Ct&lt;22,$BC12=(Elig_MatchAll_Ct-1),AI12=0),F12,0)</f>
        <v>0</v>
      </c>
      <c r="BL12" s="205">
        <f>IF(AND(Input_Product=Elig!$C12,Elig_MatchAll_Ct&lt;22,$BC12=(Elig_MatchAll_Ct-1),AJ12=0),G12,0)</f>
        <v>0</v>
      </c>
      <c r="BM12" s="205">
        <f>IF(AND(Input_Product=Elig!$C12,Elig_MatchAll_Ct&lt;22,$BC12=(Elig_MatchAll_Ct-1),AK12=0),H12,0)</f>
        <v>0</v>
      </c>
      <c r="BN12" s="205">
        <f>IF(AND(Input_Product=Elig!$C12,Elig_MatchAll_Ct&lt;22,$BC12=(Elig_MatchAll_Ct-1),AL12=0),I12,0)</f>
        <v>0</v>
      </c>
      <c r="BO12" s="205">
        <f>IF(AND(Input_Product=Elig!$C12,Elig_MatchAll_Ct&lt;22,$BC12=(Elig_MatchAll_Ct-1),AM12=0),J12,0)</f>
        <v>0</v>
      </c>
      <c r="BP12" s="205">
        <f>IF(AND(Input_Product=Elig!$C12,Elig_MatchAll_Ct&lt;22,$BC12=(Elig_MatchAll_Ct-1),AN12=0),K12,0)</f>
        <v>0</v>
      </c>
      <c r="BQ12" s="205">
        <f>IF(AND(Input_Product=Elig!$C12,Elig_MatchAll_Ct&lt;22,$BC12=(Elig_MatchAll_Ct-1),AP12=0),L12,0)</f>
        <v>0</v>
      </c>
      <c r="BR12" s="205">
        <f>IF(AND(Input_Product=Elig!$C12,Elig_MatchAll_Ct&lt;22,$BC12=(Elig_MatchAll_Ct-1),AO12=0),M12,0)</f>
        <v>0</v>
      </c>
      <c r="BS12" s="205">
        <f>IF(AND(Input_Product=Elig!$C12,Elig_MatchAll_Ct&lt;22,$BC12=(Elig_MatchAll_Ct-1),AQ12=0),N12,0)</f>
        <v>0</v>
      </c>
      <c r="BT12" s="205">
        <f>IF(AND(Input_Product=Elig!$C12,Elig_MatchAll_Ct&lt;22,$BC12=(Elig_MatchAll_Ct-1),AR12=0),O12,0)</f>
        <v>0</v>
      </c>
      <c r="BU12" s="205">
        <f>IF(AND(Input_Product=Elig!$C12,Elig_MatchAll_Ct&lt;22,$BC12=(Elig_MatchAll_Ct-1),AS12=0),P12,0)</f>
        <v>0</v>
      </c>
      <c r="BV12" s="206">
        <f>IF(AND(Input_Product=Elig!$C12,Elig_MatchAll_Ct&lt;22,$BC12=(Elig_MatchAll_Ct-1),AT12=0),Q12,0)</f>
        <v>0</v>
      </c>
      <c r="BW12" s="207">
        <f>IF(AND(Input_Product=Elig!$C12,Elig_MatchAll_Ct&lt;22,$BC12=(Elig_MatchAll_Ct-1),AU12=0),R12,0)</f>
        <v>0</v>
      </c>
      <c r="BX12" s="208">
        <f>IF(AND(Input_Product=Elig!$C12,Elig_MatchAll_Ct&lt;22,$BC12=(Elig_MatchAll_Ct-1),AU12=0),S12,0)</f>
        <v>0</v>
      </c>
      <c r="BY12" s="207">
        <f>IF(AND(Input_Product=Elig!$C12,Elig_MatchAll_Ct&lt;22,$BC12=(Elig_MatchAll_Ct-1),AV12=0),T12,0)</f>
        <v>0</v>
      </c>
      <c r="BZ12" s="208">
        <f>IF(AND(Input_Product=Elig!$C12,Elig_MatchAll_Ct&lt;22,$BC12=(Elig_MatchAll_Ct-1),AV12=0),U12,0)</f>
        <v>0</v>
      </c>
      <c r="CA12" s="207">
        <f>IF(AND(Input_Product=Elig!$C12,Elig_MatchAll_Ct&lt;22,$BC12=(Elig_MatchAll_Ct-1),AW12=0),V12,0)</f>
        <v>0</v>
      </c>
      <c r="CB12" s="208">
        <f>IF(AND(Input_Product=Elig!$C12,Elig_MatchAll_Ct&lt;22,$BC12=(Elig_MatchAll_Ct-1),AW12=0),W12,0)</f>
        <v>0</v>
      </c>
      <c r="CC12" s="207">
        <f>IF(AND(Input_Product=Elig!$C12,Elig_MatchAll_Ct&lt;22,$BC12=(Elig_MatchAll_Ct-1),AX12=0),X12,0)</f>
        <v>0</v>
      </c>
      <c r="CD12" s="208">
        <f>IF(AND(Input_Product=Elig!$C12,Elig_MatchAll_Ct&lt;22,$BC12=(Elig_MatchAll_Ct-1),AX12=0),Y12,0)</f>
        <v>0</v>
      </c>
      <c r="CE12" s="207">
        <f>IF(AND(Input_LTV&lt;=AE12,Input_Product=Elig!$C12,Elig_MatchAll_Ct&lt;22,$BC12=(Elig_MatchAll_Ct-1),AY12=0),Z12,0)</f>
        <v>0</v>
      </c>
      <c r="CF12" s="208">
        <f>IF(AND(Input_LTV&lt;=AE12,Input_Product=Elig!$C12,Elig_MatchAll_Ct&lt;22,$BC12=(Elig_MatchAll_Ct-1),AY12=0),AA12,0)</f>
        <v>0</v>
      </c>
      <c r="CG12" s="207">
        <f>IF(AND(Input_Product=Elig!$C12,Elig_MatchAll_Ct&lt;22,$BC12=(Elig_MatchAll_Ct-1),AZ12=0),AB12,0)</f>
        <v>0</v>
      </c>
      <c r="CH12" s="208">
        <f>IF(AND(Input_Product=Elig!$C12,Elig_MatchAll_Ct&lt;22,$BC12=(Elig_MatchAll_Ct-1),AZ12=0),AC12,0)</f>
        <v>0</v>
      </c>
      <c r="CI12" s="207">
        <f>IF(AND(Input_Product=Elig!$C12,Elig_MatchAll_Ct&lt;22,$BC12=(Elig_MatchAll_Ct-1),BA12=0),AD12,0)</f>
        <v>0</v>
      </c>
      <c r="CJ12" s="209">
        <f>IF(AND(Input_Product=Elig!$C12,Elig_MatchAll_Ct&lt;22,$BC12=(Elig_MatchAll_Ct-1),BA12=0),AE12,0)</f>
        <v>0</v>
      </c>
    </row>
    <row r="13" spans="1:89" ht="10.15" customHeight="1" x14ac:dyDescent="0.25">
      <c r="B13" s="1912" t="s">
        <v>773</v>
      </c>
      <c r="C13" s="141" t="str">
        <f t="shared" si="1"/>
        <v>NonQM OO</v>
      </c>
      <c r="D13" s="142" t="s">
        <v>3885</v>
      </c>
      <c r="E13" s="143" t="s">
        <v>167</v>
      </c>
      <c r="F13" s="143" t="s">
        <v>331</v>
      </c>
      <c r="G13" s="143" t="s">
        <v>303</v>
      </c>
      <c r="H13" s="143" t="s">
        <v>136</v>
      </c>
      <c r="I13" s="142" t="s">
        <v>16</v>
      </c>
      <c r="J13" s="142" t="s">
        <v>1311</v>
      </c>
      <c r="K13" s="142" t="s">
        <v>1631</v>
      </c>
      <c r="L13" s="2131" t="s">
        <v>3920</v>
      </c>
      <c r="M13" s="143" t="s">
        <v>4203</v>
      </c>
      <c r="N13" s="143" t="s">
        <v>82</v>
      </c>
      <c r="O13" s="143" t="s">
        <v>310</v>
      </c>
      <c r="P13" s="143" t="s">
        <v>291</v>
      </c>
      <c r="Q13" s="143" t="s">
        <v>294</v>
      </c>
      <c r="R13" s="320">
        <v>100000</v>
      </c>
      <c r="S13" s="142">
        <v>1000000</v>
      </c>
      <c r="T13" s="142">
        <v>0</v>
      </c>
      <c r="U13" s="142">
        <f>S13</f>
        <v>1000000</v>
      </c>
      <c r="V13" s="142">
        <v>0</v>
      </c>
      <c r="W13" s="142">
        <v>55</v>
      </c>
      <c r="X13" s="142">
        <v>0</v>
      </c>
      <c r="Y13" s="142">
        <v>999</v>
      </c>
      <c r="Z13" s="144">
        <v>720</v>
      </c>
      <c r="AA13" s="144">
        <v>999</v>
      </c>
      <c r="AB13" s="144">
        <v>3</v>
      </c>
      <c r="AC13" s="144">
        <v>999999</v>
      </c>
      <c r="AD13" s="142">
        <v>0</v>
      </c>
      <c r="AE13" s="142">
        <v>80</v>
      </c>
      <c r="AF13" s="170">
        <v>0</v>
      </c>
      <c r="AG13" s="171">
        <v>1</v>
      </c>
      <c r="AH13" s="171">
        <v>1</v>
      </c>
      <c r="AI13" s="171">
        <v>1</v>
      </c>
      <c r="AJ13" s="171">
        <v>1</v>
      </c>
      <c r="AK13" s="171">
        <v>1</v>
      </c>
      <c r="AL13" s="171">
        <v>1</v>
      </c>
      <c r="AM13" s="171">
        <v>1</v>
      </c>
      <c r="AN13" s="171">
        <v>1</v>
      </c>
      <c r="AO13" s="171">
        <v>1</v>
      </c>
      <c r="AP13" s="171">
        <v>1</v>
      </c>
      <c r="AQ13" s="171">
        <v>1</v>
      </c>
      <c r="AR13" s="171">
        <v>1</v>
      </c>
      <c r="AS13" s="171">
        <v>1</v>
      </c>
      <c r="AT13" s="171">
        <v>1</v>
      </c>
      <c r="AU13" s="171">
        <f t="shared" si="2"/>
        <v>1</v>
      </c>
      <c r="AV13" s="171">
        <f t="shared" si="3"/>
        <v>1</v>
      </c>
      <c r="AW13" s="171">
        <f t="shared" si="4"/>
        <v>1</v>
      </c>
      <c r="AX13" s="171">
        <f t="shared" si="5"/>
        <v>1</v>
      </c>
      <c r="AY13" s="171">
        <f t="shared" si="6"/>
        <v>1</v>
      </c>
      <c r="AZ13" s="171">
        <f t="shared" si="7"/>
        <v>1</v>
      </c>
      <c r="BA13" s="172">
        <f t="shared" si="8"/>
        <v>1</v>
      </c>
      <c r="BB13" s="175">
        <f t="shared" si="13"/>
        <v>21</v>
      </c>
      <c r="BC13" s="176">
        <f t="shared" si="14"/>
        <v>20</v>
      </c>
      <c r="BD13" s="176">
        <f t="shared" si="15"/>
        <v>21</v>
      </c>
      <c r="BE13" s="240" t="str">
        <f t="shared" si="12"/>
        <v>NonQM OO</v>
      </c>
      <c r="BH13" s="192">
        <f>IF(AND(Input_Product=Elig!$C13,Elig_MatchAll_Ct&lt;22,$BC13=(Elig_MatchAll_Ct-1),AF13=0),C13,0)</f>
        <v>0</v>
      </c>
      <c r="BI13" s="193">
        <f>IF(AND(Input_Product=Elig!$C13,Elig_MatchAll_Ct&lt;22,$BC13=(Elig_MatchAll_Ct-1),AG13=0),D13,0)</f>
        <v>0</v>
      </c>
      <c r="BJ13" s="193">
        <f>IF(AND(Input_Product=Elig!$C13,Elig_MatchAll_Ct&lt;22,$BC13=(Elig_MatchAll_Ct-1),AH13=0),E13,0)</f>
        <v>0</v>
      </c>
      <c r="BK13" s="193">
        <f>IF(AND(Input_Product=Elig!$C13,Elig_MatchAll_Ct&lt;22,$BC13=(Elig_MatchAll_Ct-1),AI13=0),F13,0)</f>
        <v>0</v>
      </c>
      <c r="BL13" s="193">
        <f>IF(AND(Input_Product=Elig!$C13,Elig_MatchAll_Ct&lt;22,$BC13=(Elig_MatchAll_Ct-1),AJ13=0),G13,0)</f>
        <v>0</v>
      </c>
      <c r="BM13" s="193">
        <f>IF(AND(Input_Product=Elig!$C13,Elig_MatchAll_Ct&lt;22,$BC13=(Elig_MatchAll_Ct-1),AK13=0),H13,0)</f>
        <v>0</v>
      </c>
      <c r="BN13" s="193">
        <f>IF(AND(Input_Product=Elig!$C13,Elig_MatchAll_Ct&lt;22,$BC13=(Elig_MatchAll_Ct-1),AL13=0),I13,0)</f>
        <v>0</v>
      </c>
      <c r="BO13" s="193">
        <f>IF(AND(Input_Product=Elig!$C13,Elig_MatchAll_Ct&lt;22,$BC13=(Elig_MatchAll_Ct-1),AM13=0),J13,0)</f>
        <v>0</v>
      </c>
      <c r="BP13" s="193">
        <f>IF(AND(Input_Product=Elig!$C13,Elig_MatchAll_Ct&lt;22,$BC13=(Elig_MatchAll_Ct-1),AN13=0),K13,0)</f>
        <v>0</v>
      </c>
      <c r="BQ13" s="193">
        <f>IF(AND(Input_Product=Elig!$C13,Elig_MatchAll_Ct&lt;22,$BC13=(Elig_MatchAll_Ct-1),AP13=0),L13,0)</f>
        <v>0</v>
      </c>
      <c r="BR13" s="193">
        <f>IF(AND(Input_Product=Elig!$C13,Elig_MatchAll_Ct&lt;22,$BC13=(Elig_MatchAll_Ct-1),AO13=0),M13,0)</f>
        <v>0</v>
      </c>
      <c r="BS13" s="193">
        <f>IF(AND(Input_Product=Elig!$C13,Elig_MatchAll_Ct&lt;22,$BC13=(Elig_MatchAll_Ct-1),AQ13=0),N13,0)</f>
        <v>0</v>
      </c>
      <c r="BT13" s="193">
        <f>IF(AND(Input_Product=Elig!$C13,Elig_MatchAll_Ct&lt;22,$BC13=(Elig_MatchAll_Ct-1),AR13=0),O13,0)</f>
        <v>0</v>
      </c>
      <c r="BU13" s="193">
        <f>IF(AND(Input_Product=Elig!$C13,Elig_MatchAll_Ct&lt;22,$BC13=(Elig_MatchAll_Ct-1),AS13=0),P13,0)</f>
        <v>0</v>
      </c>
      <c r="BV13" s="194">
        <f>IF(AND(Input_Product=Elig!$C13,Elig_MatchAll_Ct&lt;22,$BC13=(Elig_MatchAll_Ct-1),AT13=0),Q13,0)</f>
        <v>0</v>
      </c>
      <c r="BW13" s="195">
        <f>IF(AND(Input_Product=Elig!$C13,Elig_MatchAll_Ct&lt;22,$BC13=(Elig_MatchAll_Ct-1),AU13=0),R13,0)</f>
        <v>0</v>
      </c>
      <c r="BX13" s="196">
        <f>IF(AND(Input_Product=Elig!$C13,Elig_MatchAll_Ct&lt;22,$BC13=(Elig_MatchAll_Ct-1),AU13=0),S13,0)</f>
        <v>0</v>
      </c>
      <c r="BY13" s="195">
        <f>IF(AND(Input_Product=Elig!$C13,Elig_MatchAll_Ct&lt;22,$BC13=(Elig_MatchAll_Ct-1),AV13=0),T13,0)</f>
        <v>0</v>
      </c>
      <c r="BZ13" s="196">
        <f>IF(AND(Input_Product=Elig!$C13,Elig_MatchAll_Ct&lt;22,$BC13=(Elig_MatchAll_Ct-1),AV13=0),U13,0)</f>
        <v>0</v>
      </c>
      <c r="CA13" s="195">
        <f>IF(AND(Input_Product=Elig!$C13,Elig_MatchAll_Ct&lt;22,$BC13=(Elig_MatchAll_Ct-1),AW13=0),V13,0)</f>
        <v>0</v>
      </c>
      <c r="CB13" s="196">
        <f>IF(AND(Input_Product=Elig!$C13,Elig_MatchAll_Ct&lt;22,$BC13=(Elig_MatchAll_Ct-1),AW13=0),W13,0)</f>
        <v>0</v>
      </c>
      <c r="CC13" s="195">
        <f>IF(AND(Input_Product=Elig!$C13,Elig_MatchAll_Ct&lt;22,$BC13=(Elig_MatchAll_Ct-1),AX13=0),X13,0)</f>
        <v>0</v>
      </c>
      <c r="CD13" s="196">
        <f>IF(AND(Input_Product=Elig!$C13,Elig_MatchAll_Ct&lt;22,$BC13=(Elig_MatchAll_Ct-1),AX13=0),Y13,0)</f>
        <v>0</v>
      </c>
      <c r="CE13" s="195">
        <f>IF(AND(Input_LTV&lt;=AE13,Input_Product=Elig!$C13,Elig_MatchAll_Ct&lt;22,$BC13=(Elig_MatchAll_Ct-1),AY13=0),Z13,0)</f>
        <v>0</v>
      </c>
      <c r="CF13" s="196">
        <f>IF(AND(Input_LTV&lt;=AE13,Input_Product=Elig!$C13,Elig_MatchAll_Ct&lt;22,$BC13=(Elig_MatchAll_Ct-1),AY13=0),AA13,0)</f>
        <v>0</v>
      </c>
      <c r="CG13" s="195">
        <f>IF(AND(Input_Product=Elig!$C13,Elig_MatchAll_Ct&lt;22,$BC13=(Elig_MatchAll_Ct-1),AZ13=0),AB13,0)</f>
        <v>0</v>
      </c>
      <c r="CH13" s="196">
        <f>IF(AND(Input_Product=Elig!$C13,Elig_MatchAll_Ct&lt;22,$BC13=(Elig_MatchAll_Ct-1),AZ13=0),AC13,0)</f>
        <v>0</v>
      </c>
      <c r="CI13" s="195">
        <f>IF(AND(Input_Product=Elig!$C13,Elig_MatchAll_Ct&lt;22,$BC13=(Elig_MatchAll_Ct-1),BA13=0),AD13,0)</f>
        <v>0</v>
      </c>
      <c r="CJ13" s="197">
        <f>IF(AND(Input_Product=Elig!$C13,Elig_MatchAll_Ct&lt;22,$BC13=(Elig_MatchAll_Ct-1),BA13=0),AE13,0)</f>
        <v>0</v>
      </c>
    </row>
    <row r="14" spans="1:89" ht="10.15" customHeight="1" x14ac:dyDescent="0.25">
      <c r="B14" s="1912" t="s">
        <v>774</v>
      </c>
      <c r="C14" s="134" t="str">
        <f t="shared" si="1"/>
        <v>NonQM OO</v>
      </c>
      <c r="D14" s="135" t="s">
        <v>3885</v>
      </c>
      <c r="E14" s="135" t="s">
        <v>167</v>
      </c>
      <c r="F14" s="135" t="s">
        <v>331</v>
      </c>
      <c r="G14" s="135" t="s">
        <v>303</v>
      </c>
      <c r="H14" s="135" t="s">
        <v>136</v>
      </c>
      <c r="I14" s="136" t="s">
        <v>16</v>
      </c>
      <c r="J14" s="136" t="s">
        <v>1311</v>
      </c>
      <c r="K14" s="136" t="s">
        <v>1631</v>
      </c>
      <c r="L14" s="221" t="s">
        <v>3920</v>
      </c>
      <c r="M14" s="135" t="s">
        <v>4203</v>
      </c>
      <c r="N14" s="135" t="s">
        <v>82</v>
      </c>
      <c r="O14" s="135" t="s">
        <v>310</v>
      </c>
      <c r="P14" s="135" t="s">
        <v>291</v>
      </c>
      <c r="Q14" s="135" t="s">
        <v>294</v>
      </c>
      <c r="R14" s="221">
        <v>100000</v>
      </c>
      <c r="S14" s="135">
        <v>1000000</v>
      </c>
      <c r="T14" s="135">
        <v>0</v>
      </c>
      <c r="U14" s="135">
        <f t="shared" ref="U14:U18" si="16">S14</f>
        <v>1000000</v>
      </c>
      <c r="V14" s="135">
        <v>0</v>
      </c>
      <c r="W14" s="135">
        <v>55</v>
      </c>
      <c r="X14" s="135">
        <v>0</v>
      </c>
      <c r="Y14" s="135">
        <v>999</v>
      </c>
      <c r="Z14" s="137">
        <v>700</v>
      </c>
      <c r="AA14" s="137">
        <v>719</v>
      </c>
      <c r="AB14" s="137">
        <v>3</v>
      </c>
      <c r="AC14" s="137">
        <v>999999</v>
      </c>
      <c r="AD14" s="135">
        <v>0</v>
      </c>
      <c r="AE14" s="135">
        <v>80</v>
      </c>
      <c r="AF14" s="170">
        <v>0</v>
      </c>
      <c r="AG14" s="171">
        <v>1</v>
      </c>
      <c r="AH14" s="171">
        <v>1</v>
      </c>
      <c r="AI14" s="171">
        <v>1</v>
      </c>
      <c r="AJ14" s="171">
        <v>1</v>
      </c>
      <c r="AK14" s="171">
        <v>1</v>
      </c>
      <c r="AL14" s="171">
        <v>1</v>
      </c>
      <c r="AM14" s="171">
        <v>1</v>
      </c>
      <c r="AN14" s="171">
        <v>1</v>
      </c>
      <c r="AO14" s="171">
        <v>1</v>
      </c>
      <c r="AP14" s="171">
        <v>1</v>
      </c>
      <c r="AQ14" s="171">
        <v>1</v>
      </c>
      <c r="AR14" s="171">
        <v>1</v>
      </c>
      <c r="AS14" s="171">
        <v>1</v>
      </c>
      <c r="AT14" s="171">
        <v>1</v>
      </c>
      <c r="AU14" s="171">
        <f t="shared" si="2"/>
        <v>1</v>
      </c>
      <c r="AV14" s="171">
        <f t="shared" si="3"/>
        <v>1</v>
      </c>
      <c r="AW14" s="171">
        <f t="shared" si="4"/>
        <v>1</v>
      </c>
      <c r="AX14" s="171">
        <f t="shared" si="5"/>
        <v>1</v>
      </c>
      <c r="AY14" s="171">
        <f t="shared" si="6"/>
        <v>0</v>
      </c>
      <c r="AZ14" s="171">
        <f t="shared" si="7"/>
        <v>1</v>
      </c>
      <c r="BA14" s="172">
        <f t="shared" si="8"/>
        <v>1</v>
      </c>
      <c r="BB14" s="175">
        <f t="shared" ref="BB14:BB71" si="17">SUM(AF14:BA14)</f>
        <v>20</v>
      </c>
      <c r="BC14" s="176">
        <f t="shared" ref="BC14:BC71" si="18">SUM(AF14:AZ14)</f>
        <v>19</v>
      </c>
      <c r="BD14" s="176">
        <f t="shared" ref="BD14:BD71" si="19">SUM(AG14:BA14)</f>
        <v>20</v>
      </c>
      <c r="BE14" s="240" t="str">
        <f t="shared" si="12"/>
        <v/>
      </c>
      <c r="BH14" s="198">
        <f>IF(AND(Input_Product=Elig!$C14,Elig_MatchAll_Ct&lt;22,$BC14=(Elig_MatchAll_Ct-1),AF14=0),C14,0)</f>
        <v>0</v>
      </c>
      <c r="BI14" s="199">
        <f>IF(AND(Input_Product=Elig!$C14,Elig_MatchAll_Ct&lt;22,$BC14=(Elig_MatchAll_Ct-1),AG14=0),D14,0)</f>
        <v>0</v>
      </c>
      <c r="BJ14" s="199">
        <f>IF(AND(Input_Product=Elig!$C14,Elig_MatchAll_Ct&lt;22,$BC14=(Elig_MatchAll_Ct-1),AH14=0),E14,0)</f>
        <v>0</v>
      </c>
      <c r="BK14" s="199">
        <f>IF(AND(Input_Product=Elig!$C14,Elig_MatchAll_Ct&lt;22,$BC14=(Elig_MatchAll_Ct-1),AI14=0),F14,0)</f>
        <v>0</v>
      </c>
      <c r="BL14" s="199">
        <f>IF(AND(Input_Product=Elig!$C14,Elig_MatchAll_Ct&lt;22,$BC14=(Elig_MatchAll_Ct-1),AJ14=0),G14,0)</f>
        <v>0</v>
      </c>
      <c r="BM14" s="199">
        <f>IF(AND(Input_Product=Elig!$C14,Elig_MatchAll_Ct&lt;22,$BC14=(Elig_MatchAll_Ct-1),AK14=0),H14,0)</f>
        <v>0</v>
      </c>
      <c r="BN14" s="199">
        <f>IF(AND(Input_Product=Elig!$C14,Elig_MatchAll_Ct&lt;22,$BC14=(Elig_MatchAll_Ct-1),AL14=0),I14,0)</f>
        <v>0</v>
      </c>
      <c r="BO14" s="199">
        <f>IF(AND(Input_Product=Elig!$C14,Elig_MatchAll_Ct&lt;22,$BC14=(Elig_MatchAll_Ct-1),AM14=0),J14,0)</f>
        <v>0</v>
      </c>
      <c r="BP14" s="199">
        <f>IF(AND(Input_Product=Elig!$C14,Elig_MatchAll_Ct&lt;22,$BC14=(Elig_MatchAll_Ct-1),AN14=0),K14,0)</f>
        <v>0</v>
      </c>
      <c r="BQ14" s="199">
        <f>IF(AND(Input_Product=Elig!$C14,Elig_MatchAll_Ct&lt;22,$BC14=(Elig_MatchAll_Ct-1),AP14=0),L14,0)</f>
        <v>0</v>
      </c>
      <c r="BR14" s="199">
        <f>IF(AND(Input_Product=Elig!$C14,Elig_MatchAll_Ct&lt;22,$BC14=(Elig_MatchAll_Ct-1),AO14=0),M14,0)</f>
        <v>0</v>
      </c>
      <c r="BS14" s="199">
        <f>IF(AND(Input_Product=Elig!$C14,Elig_MatchAll_Ct&lt;22,$BC14=(Elig_MatchAll_Ct-1),AQ14=0),N14,0)</f>
        <v>0</v>
      </c>
      <c r="BT14" s="199">
        <f>IF(AND(Input_Product=Elig!$C14,Elig_MatchAll_Ct&lt;22,$BC14=(Elig_MatchAll_Ct-1),AR14=0),O14,0)</f>
        <v>0</v>
      </c>
      <c r="BU14" s="199">
        <f>IF(AND(Input_Product=Elig!$C14,Elig_MatchAll_Ct&lt;22,$BC14=(Elig_MatchAll_Ct-1),AS14=0),P14,0)</f>
        <v>0</v>
      </c>
      <c r="BV14" s="200">
        <f>IF(AND(Input_Product=Elig!$C14,Elig_MatchAll_Ct&lt;22,$BC14=(Elig_MatchAll_Ct-1),AT14=0),Q14,0)</f>
        <v>0</v>
      </c>
      <c r="BW14" s="201">
        <f>IF(AND(Input_Product=Elig!$C14,Elig_MatchAll_Ct&lt;22,$BC14=(Elig_MatchAll_Ct-1),AU14=0),R14,0)</f>
        <v>0</v>
      </c>
      <c r="BX14" s="202">
        <f>IF(AND(Input_Product=Elig!$C14,Elig_MatchAll_Ct&lt;22,$BC14=(Elig_MatchAll_Ct-1),AU14=0),S14,0)</f>
        <v>0</v>
      </c>
      <c r="BY14" s="201">
        <f>IF(AND(Input_Product=Elig!$C14,Elig_MatchAll_Ct&lt;22,$BC14=(Elig_MatchAll_Ct-1),AV14=0),T14,0)</f>
        <v>0</v>
      </c>
      <c r="BZ14" s="202">
        <f>IF(AND(Input_Product=Elig!$C14,Elig_MatchAll_Ct&lt;22,$BC14=(Elig_MatchAll_Ct-1),AV14=0),U14,0)</f>
        <v>0</v>
      </c>
      <c r="CA14" s="201">
        <f>IF(AND(Input_Product=Elig!$C14,Elig_MatchAll_Ct&lt;22,$BC14=(Elig_MatchAll_Ct-1),AW14=0),V14,0)</f>
        <v>0</v>
      </c>
      <c r="CB14" s="202">
        <f>IF(AND(Input_Product=Elig!$C14,Elig_MatchAll_Ct&lt;22,$BC14=(Elig_MatchAll_Ct-1),AW14=0),W14,0)</f>
        <v>0</v>
      </c>
      <c r="CC14" s="201">
        <f>IF(AND(Input_Product=Elig!$C14,Elig_MatchAll_Ct&lt;22,$BC14=(Elig_MatchAll_Ct-1),AX14=0),X14,0)</f>
        <v>0</v>
      </c>
      <c r="CD14" s="202">
        <f>IF(AND(Input_Product=Elig!$C14,Elig_MatchAll_Ct&lt;22,$BC14=(Elig_MatchAll_Ct-1),AX14=0),Y14,0)</f>
        <v>0</v>
      </c>
      <c r="CE14" s="201">
        <f>IF(AND(Input_LTV&lt;=AE14,Input_Product=Elig!$C14,Elig_MatchAll_Ct&lt;22,$BC14=(Elig_MatchAll_Ct-1),AY14=0),Z14,0)</f>
        <v>0</v>
      </c>
      <c r="CF14" s="202">
        <f>IF(AND(Input_LTV&lt;=AE14,Input_Product=Elig!$C14,Elig_MatchAll_Ct&lt;22,$BC14=(Elig_MatchAll_Ct-1),AY14=0),AA14,0)</f>
        <v>0</v>
      </c>
      <c r="CG14" s="201">
        <f>IF(AND(Input_Product=Elig!$C14,Elig_MatchAll_Ct&lt;22,$BC14=(Elig_MatchAll_Ct-1),AZ14=0),AB14,0)</f>
        <v>0</v>
      </c>
      <c r="CH14" s="202">
        <f>IF(AND(Input_Product=Elig!$C14,Elig_MatchAll_Ct&lt;22,$BC14=(Elig_MatchAll_Ct-1),AZ14=0),AC14,0)</f>
        <v>0</v>
      </c>
      <c r="CI14" s="201">
        <f>IF(AND(Input_Product=Elig!$C14,Elig_MatchAll_Ct&lt;22,$BC14=(Elig_MatchAll_Ct-1),BA14=0),AD14,0)</f>
        <v>0</v>
      </c>
      <c r="CJ14" s="203">
        <f>IF(AND(Input_Product=Elig!$C14,Elig_MatchAll_Ct&lt;22,$BC14=(Elig_MatchAll_Ct-1),BA14=0),AE14,0)</f>
        <v>0</v>
      </c>
    </row>
    <row r="15" spans="1:89" ht="10.15" customHeight="1" x14ac:dyDescent="0.25">
      <c r="B15" s="1912" t="s">
        <v>775</v>
      </c>
      <c r="C15" s="134" t="str">
        <f t="shared" si="1"/>
        <v>NonQM OO</v>
      </c>
      <c r="D15" s="135" t="s">
        <v>3885</v>
      </c>
      <c r="E15" s="135" t="s">
        <v>167</v>
      </c>
      <c r="F15" s="135" t="s">
        <v>331</v>
      </c>
      <c r="G15" s="135" t="s">
        <v>303</v>
      </c>
      <c r="H15" s="135" t="s">
        <v>136</v>
      </c>
      <c r="I15" s="136" t="s">
        <v>16</v>
      </c>
      <c r="J15" s="136" t="s">
        <v>1311</v>
      </c>
      <c r="K15" s="136" t="s">
        <v>1631</v>
      </c>
      <c r="L15" s="221" t="s">
        <v>3920</v>
      </c>
      <c r="M15" s="135" t="s">
        <v>4203</v>
      </c>
      <c r="N15" s="135" t="s">
        <v>82</v>
      </c>
      <c r="O15" s="135" t="s">
        <v>310</v>
      </c>
      <c r="P15" s="135" t="s">
        <v>291</v>
      </c>
      <c r="Q15" s="135" t="s">
        <v>294</v>
      </c>
      <c r="R15" s="221">
        <v>100000</v>
      </c>
      <c r="S15" s="135">
        <v>1000000</v>
      </c>
      <c r="T15" s="135">
        <v>0</v>
      </c>
      <c r="U15" s="135">
        <f t="shared" si="16"/>
        <v>1000000</v>
      </c>
      <c r="V15" s="135">
        <v>0</v>
      </c>
      <c r="W15" s="135">
        <v>55</v>
      </c>
      <c r="X15" s="135">
        <v>0</v>
      </c>
      <c r="Y15" s="135">
        <v>999</v>
      </c>
      <c r="Z15" s="137">
        <v>680</v>
      </c>
      <c r="AA15" s="137">
        <v>699</v>
      </c>
      <c r="AB15" s="137">
        <v>3</v>
      </c>
      <c r="AC15" s="137">
        <v>999999</v>
      </c>
      <c r="AD15" s="135">
        <v>0</v>
      </c>
      <c r="AE15" s="135">
        <v>80</v>
      </c>
      <c r="AF15" s="170">
        <v>0</v>
      </c>
      <c r="AG15" s="171">
        <v>1</v>
      </c>
      <c r="AH15" s="171">
        <v>1</v>
      </c>
      <c r="AI15" s="171">
        <v>1</v>
      </c>
      <c r="AJ15" s="171">
        <v>1</v>
      </c>
      <c r="AK15" s="171">
        <v>1</v>
      </c>
      <c r="AL15" s="171">
        <v>1</v>
      </c>
      <c r="AM15" s="171">
        <v>1</v>
      </c>
      <c r="AN15" s="171">
        <v>1</v>
      </c>
      <c r="AO15" s="171">
        <v>1</v>
      </c>
      <c r="AP15" s="171">
        <v>1</v>
      </c>
      <c r="AQ15" s="171">
        <v>1</v>
      </c>
      <c r="AR15" s="171">
        <v>1</v>
      </c>
      <c r="AS15" s="171">
        <v>1</v>
      </c>
      <c r="AT15" s="171">
        <v>1</v>
      </c>
      <c r="AU15" s="171">
        <f t="shared" si="2"/>
        <v>1</v>
      </c>
      <c r="AV15" s="171">
        <f t="shared" si="3"/>
        <v>1</v>
      </c>
      <c r="AW15" s="171">
        <f t="shared" si="4"/>
        <v>1</v>
      </c>
      <c r="AX15" s="171">
        <f t="shared" si="5"/>
        <v>1</v>
      </c>
      <c r="AY15" s="171">
        <f t="shared" si="6"/>
        <v>0</v>
      </c>
      <c r="AZ15" s="171">
        <f t="shared" si="7"/>
        <v>1</v>
      </c>
      <c r="BA15" s="172">
        <f t="shared" si="8"/>
        <v>1</v>
      </c>
      <c r="BB15" s="175">
        <f t="shared" si="17"/>
        <v>20</v>
      </c>
      <c r="BC15" s="176">
        <f t="shared" si="18"/>
        <v>19</v>
      </c>
      <c r="BD15" s="176">
        <f t="shared" si="19"/>
        <v>20</v>
      </c>
      <c r="BE15" s="240" t="str">
        <f t="shared" si="12"/>
        <v/>
      </c>
      <c r="BH15" s="198">
        <f>IF(AND(Input_Product=Elig!$C15,Elig_MatchAll_Ct&lt;22,$BC15=(Elig_MatchAll_Ct-1),AF15=0),C15,0)</f>
        <v>0</v>
      </c>
      <c r="BI15" s="199">
        <f>IF(AND(Input_Product=Elig!$C15,Elig_MatchAll_Ct&lt;22,$BC15=(Elig_MatchAll_Ct-1),AG15=0),D15,0)</f>
        <v>0</v>
      </c>
      <c r="BJ15" s="199">
        <f>IF(AND(Input_Product=Elig!$C15,Elig_MatchAll_Ct&lt;22,$BC15=(Elig_MatchAll_Ct-1),AH15=0),E15,0)</f>
        <v>0</v>
      </c>
      <c r="BK15" s="199">
        <f>IF(AND(Input_Product=Elig!$C15,Elig_MatchAll_Ct&lt;22,$BC15=(Elig_MatchAll_Ct-1),AI15=0),F15,0)</f>
        <v>0</v>
      </c>
      <c r="BL15" s="199">
        <f>IF(AND(Input_Product=Elig!$C15,Elig_MatchAll_Ct&lt;22,$BC15=(Elig_MatchAll_Ct-1),AJ15=0),G15,0)</f>
        <v>0</v>
      </c>
      <c r="BM15" s="199">
        <f>IF(AND(Input_Product=Elig!$C15,Elig_MatchAll_Ct&lt;22,$BC15=(Elig_MatchAll_Ct-1),AK15=0),H15,0)</f>
        <v>0</v>
      </c>
      <c r="BN15" s="199">
        <f>IF(AND(Input_Product=Elig!$C15,Elig_MatchAll_Ct&lt;22,$BC15=(Elig_MatchAll_Ct-1),AL15=0),I15,0)</f>
        <v>0</v>
      </c>
      <c r="BO15" s="199">
        <f>IF(AND(Input_Product=Elig!$C15,Elig_MatchAll_Ct&lt;22,$BC15=(Elig_MatchAll_Ct-1),AM15=0),J15,0)</f>
        <v>0</v>
      </c>
      <c r="BP15" s="199">
        <f>IF(AND(Input_Product=Elig!$C15,Elig_MatchAll_Ct&lt;22,$BC15=(Elig_MatchAll_Ct-1),AN15=0),K15,0)</f>
        <v>0</v>
      </c>
      <c r="BQ15" s="199">
        <f>IF(AND(Input_Product=Elig!$C15,Elig_MatchAll_Ct&lt;22,$BC15=(Elig_MatchAll_Ct-1),AP15=0),L15,0)</f>
        <v>0</v>
      </c>
      <c r="BR15" s="199">
        <f>IF(AND(Input_Product=Elig!$C15,Elig_MatchAll_Ct&lt;22,$BC15=(Elig_MatchAll_Ct-1),AO15=0),M15,0)</f>
        <v>0</v>
      </c>
      <c r="BS15" s="199">
        <f>IF(AND(Input_Product=Elig!$C15,Elig_MatchAll_Ct&lt;22,$BC15=(Elig_MatchAll_Ct-1),AQ15=0),N15,0)</f>
        <v>0</v>
      </c>
      <c r="BT15" s="199">
        <f>IF(AND(Input_Product=Elig!$C15,Elig_MatchAll_Ct&lt;22,$BC15=(Elig_MatchAll_Ct-1),AR15=0),O15,0)</f>
        <v>0</v>
      </c>
      <c r="BU15" s="199">
        <f>IF(AND(Input_Product=Elig!$C15,Elig_MatchAll_Ct&lt;22,$BC15=(Elig_MatchAll_Ct-1),AS15=0),P15,0)</f>
        <v>0</v>
      </c>
      <c r="BV15" s="200">
        <f>IF(AND(Input_Product=Elig!$C15,Elig_MatchAll_Ct&lt;22,$BC15=(Elig_MatchAll_Ct-1),AT15=0),Q15,0)</f>
        <v>0</v>
      </c>
      <c r="BW15" s="201">
        <f>IF(AND(Input_Product=Elig!$C15,Elig_MatchAll_Ct&lt;22,$BC15=(Elig_MatchAll_Ct-1),AU15=0),R15,0)</f>
        <v>0</v>
      </c>
      <c r="BX15" s="202">
        <f>IF(AND(Input_Product=Elig!$C15,Elig_MatchAll_Ct&lt;22,$BC15=(Elig_MatchAll_Ct-1),AU15=0),S15,0)</f>
        <v>0</v>
      </c>
      <c r="BY15" s="201">
        <f>IF(AND(Input_Product=Elig!$C15,Elig_MatchAll_Ct&lt;22,$BC15=(Elig_MatchAll_Ct-1),AV15=0),T15,0)</f>
        <v>0</v>
      </c>
      <c r="BZ15" s="202">
        <f>IF(AND(Input_Product=Elig!$C15,Elig_MatchAll_Ct&lt;22,$BC15=(Elig_MatchAll_Ct-1),AV15=0),U15,0)</f>
        <v>0</v>
      </c>
      <c r="CA15" s="201">
        <f>IF(AND(Input_Product=Elig!$C15,Elig_MatchAll_Ct&lt;22,$BC15=(Elig_MatchAll_Ct-1),AW15=0),V15,0)</f>
        <v>0</v>
      </c>
      <c r="CB15" s="202">
        <f>IF(AND(Input_Product=Elig!$C15,Elig_MatchAll_Ct&lt;22,$BC15=(Elig_MatchAll_Ct-1),AW15=0),W15,0)</f>
        <v>0</v>
      </c>
      <c r="CC15" s="201">
        <f>IF(AND(Input_Product=Elig!$C15,Elig_MatchAll_Ct&lt;22,$BC15=(Elig_MatchAll_Ct-1),AX15=0),X15,0)</f>
        <v>0</v>
      </c>
      <c r="CD15" s="202">
        <f>IF(AND(Input_Product=Elig!$C15,Elig_MatchAll_Ct&lt;22,$BC15=(Elig_MatchAll_Ct-1),AX15=0),Y15,0)</f>
        <v>0</v>
      </c>
      <c r="CE15" s="201">
        <f>IF(AND(Input_LTV&lt;=AE15,Input_Product=Elig!$C15,Elig_MatchAll_Ct&lt;22,$BC15=(Elig_MatchAll_Ct-1),AY15=0),Z15,0)</f>
        <v>0</v>
      </c>
      <c r="CF15" s="202">
        <f>IF(AND(Input_LTV&lt;=AE15,Input_Product=Elig!$C15,Elig_MatchAll_Ct&lt;22,$BC15=(Elig_MatchAll_Ct-1),AY15=0),AA15,0)</f>
        <v>0</v>
      </c>
      <c r="CG15" s="201">
        <f>IF(AND(Input_Product=Elig!$C15,Elig_MatchAll_Ct&lt;22,$BC15=(Elig_MatchAll_Ct-1),AZ15=0),AB15,0)</f>
        <v>0</v>
      </c>
      <c r="CH15" s="202">
        <f>IF(AND(Input_Product=Elig!$C15,Elig_MatchAll_Ct&lt;22,$BC15=(Elig_MatchAll_Ct-1),AZ15=0),AC15,0)</f>
        <v>0</v>
      </c>
      <c r="CI15" s="201">
        <f>IF(AND(Input_Product=Elig!$C15,Elig_MatchAll_Ct&lt;22,$BC15=(Elig_MatchAll_Ct-1),BA15=0),AD15,0)</f>
        <v>0</v>
      </c>
      <c r="CJ15" s="203">
        <f>IF(AND(Input_Product=Elig!$C15,Elig_MatchAll_Ct&lt;22,$BC15=(Elig_MatchAll_Ct-1),BA15=0),AE15,0)</f>
        <v>0</v>
      </c>
    </row>
    <row r="16" spans="1:89" ht="10.15" customHeight="1" x14ac:dyDescent="0.25">
      <c r="B16" s="1912" t="s">
        <v>776</v>
      </c>
      <c r="C16" s="134" t="str">
        <f t="shared" si="1"/>
        <v>NonQM OO</v>
      </c>
      <c r="D16" s="135" t="s">
        <v>3885</v>
      </c>
      <c r="E16" s="135" t="s">
        <v>167</v>
      </c>
      <c r="F16" s="135" t="s">
        <v>331</v>
      </c>
      <c r="G16" s="135" t="s">
        <v>303</v>
      </c>
      <c r="H16" s="135" t="s">
        <v>136</v>
      </c>
      <c r="I16" s="135" t="s">
        <v>16</v>
      </c>
      <c r="J16" s="135" t="s">
        <v>1311</v>
      </c>
      <c r="K16" s="135" t="s">
        <v>1631</v>
      </c>
      <c r="L16" s="221" t="s">
        <v>3920</v>
      </c>
      <c r="M16" s="135" t="s">
        <v>4203</v>
      </c>
      <c r="N16" s="135" t="s">
        <v>82</v>
      </c>
      <c r="O16" s="135" t="s">
        <v>310</v>
      </c>
      <c r="P16" s="135" t="s">
        <v>291</v>
      </c>
      <c r="Q16" s="135" t="s">
        <v>294</v>
      </c>
      <c r="R16" s="221">
        <v>100000</v>
      </c>
      <c r="S16" s="135">
        <v>1000000</v>
      </c>
      <c r="T16" s="135">
        <v>0</v>
      </c>
      <c r="U16" s="135">
        <f t="shared" si="16"/>
        <v>1000000</v>
      </c>
      <c r="V16" s="135">
        <v>0</v>
      </c>
      <c r="W16" s="135">
        <v>55</v>
      </c>
      <c r="X16" s="135">
        <v>0</v>
      </c>
      <c r="Y16" s="135">
        <v>999</v>
      </c>
      <c r="Z16" s="137">
        <v>660</v>
      </c>
      <c r="AA16" s="137">
        <v>679</v>
      </c>
      <c r="AB16" s="137">
        <v>3</v>
      </c>
      <c r="AC16" s="137">
        <v>999999</v>
      </c>
      <c r="AD16" s="135">
        <v>0</v>
      </c>
      <c r="AE16" s="135">
        <v>75</v>
      </c>
      <c r="AF16" s="170">
        <v>0</v>
      </c>
      <c r="AG16" s="171">
        <v>1</v>
      </c>
      <c r="AH16" s="171">
        <v>1</v>
      </c>
      <c r="AI16" s="171">
        <v>1</v>
      </c>
      <c r="AJ16" s="171">
        <v>1</v>
      </c>
      <c r="AK16" s="171">
        <v>1</v>
      </c>
      <c r="AL16" s="171">
        <v>1</v>
      </c>
      <c r="AM16" s="171">
        <v>1</v>
      </c>
      <c r="AN16" s="171">
        <v>1</v>
      </c>
      <c r="AO16" s="171">
        <v>1</v>
      </c>
      <c r="AP16" s="171">
        <v>1</v>
      </c>
      <c r="AQ16" s="171">
        <v>1</v>
      </c>
      <c r="AR16" s="171">
        <v>1</v>
      </c>
      <c r="AS16" s="171">
        <v>1</v>
      </c>
      <c r="AT16" s="171">
        <v>1</v>
      </c>
      <c r="AU16" s="171">
        <f t="shared" si="2"/>
        <v>1</v>
      </c>
      <c r="AV16" s="171">
        <f t="shared" si="3"/>
        <v>1</v>
      </c>
      <c r="AW16" s="171">
        <f t="shared" si="4"/>
        <v>1</v>
      </c>
      <c r="AX16" s="171">
        <f t="shared" si="5"/>
        <v>1</v>
      </c>
      <c r="AY16" s="171">
        <f t="shared" si="6"/>
        <v>0</v>
      </c>
      <c r="AZ16" s="171">
        <f t="shared" si="7"/>
        <v>1</v>
      </c>
      <c r="BA16" s="172">
        <f t="shared" si="8"/>
        <v>1</v>
      </c>
      <c r="BB16" s="175">
        <f t="shared" si="17"/>
        <v>20</v>
      </c>
      <c r="BC16" s="176">
        <f t="shared" si="18"/>
        <v>19</v>
      </c>
      <c r="BD16" s="176">
        <f t="shared" si="19"/>
        <v>20</v>
      </c>
      <c r="BE16" s="240" t="str">
        <f t="shared" si="12"/>
        <v/>
      </c>
      <c r="BH16" s="198">
        <f>IF(AND(Input_Product=Elig!$C16,Elig_MatchAll_Ct&lt;22,$BC16=(Elig_MatchAll_Ct-1),AF16=0),C16,0)</f>
        <v>0</v>
      </c>
      <c r="BI16" s="199">
        <f>IF(AND(Input_Product=Elig!$C16,Elig_MatchAll_Ct&lt;22,$BC16=(Elig_MatchAll_Ct-1),AG16=0),D16,0)</f>
        <v>0</v>
      </c>
      <c r="BJ16" s="199">
        <f>IF(AND(Input_Product=Elig!$C16,Elig_MatchAll_Ct&lt;22,$BC16=(Elig_MatchAll_Ct-1),AH16=0),E16,0)</f>
        <v>0</v>
      </c>
      <c r="BK16" s="199">
        <f>IF(AND(Input_Product=Elig!$C16,Elig_MatchAll_Ct&lt;22,$BC16=(Elig_MatchAll_Ct-1),AI16=0),F16,0)</f>
        <v>0</v>
      </c>
      <c r="BL16" s="199">
        <f>IF(AND(Input_Product=Elig!$C16,Elig_MatchAll_Ct&lt;22,$BC16=(Elig_MatchAll_Ct-1),AJ16=0),G16,0)</f>
        <v>0</v>
      </c>
      <c r="BM16" s="199">
        <f>IF(AND(Input_Product=Elig!$C16,Elig_MatchAll_Ct&lt;22,$BC16=(Elig_MatchAll_Ct-1),AK16=0),H16,0)</f>
        <v>0</v>
      </c>
      <c r="BN16" s="199">
        <f>IF(AND(Input_Product=Elig!$C16,Elig_MatchAll_Ct&lt;22,$BC16=(Elig_MatchAll_Ct-1),AL16=0),I16,0)</f>
        <v>0</v>
      </c>
      <c r="BO16" s="199">
        <f>IF(AND(Input_Product=Elig!$C16,Elig_MatchAll_Ct&lt;22,$BC16=(Elig_MatchAll_Ct-1),AM16=0),J16,0)</f>
        <v>0</v>
      </c>
      <c r="BP16" s="199">
        <f>IF(AND(Input_Product=Elig!$C16,Elig_MatchAll_Ct&lt;22,$BC16=(Elig_MatchAll_Ct-1),AN16=0),K16,0)</f>
        <v>0</v>
      </c>
      <c r="BQ16" s="199">
        <f>IF(AND(Input_Product=Elig!$C16,Elig_MatchAll_Ct&lt;22,$BC16=(Elig_MatchAll_Ct-1),AP16=0),L16,0)</f>
        <v>0</v>
      </c>
      <c r="BR16" s="199">
        <f>IF(AND(Input_Product=Elig!$C16,Elig_MatchAll_Ct&lt;22,$BC16=(Elig_MatchAll_Ct-1),AO16=0),M16,0)</f>
        <v>0</v>
      </c>
      <c r="BS16" s="199">
        <f>IF(AND(Input_Product=Elig!$C16,Elig_MatchAll_Ct&lt;22,$BC16=(Elig_MatchAll_Ct-1),AQ16=0),N16,0)</f>
        <v>0</v>
      </c>
      <c r="BT16" s="199">
        <f>IF(AND(Input_Product=Elig!$C16,Elig_MatchAll_Ct&lt;22,$BC16=(Elig_MatchAll_Ct-1),AR16=0),O16,0)</f>
        <v>0</v>
      </c>
      <c r="BU16" s="199">
        <f>IF(AND(Input_Product=Elig!$C16,Elig_MatchAll_Ct&lt;22,$BC16=(Elig_MatchAll_Ct-1),AS16=0),P16,0)</f>
        <v>0</v>
      </c>
      <c r="BV16" s="200">
        <f>IF(AND(Input_Product=Elig!$C16,Elig_MatchAll_Ct&lt;22,$BC16=(Elig_MatchAll_Ct-1),AT16=0),Q16,0)</f>
        <v>0</v>
      </c>
      <c r="BW16" s="201">
        <f>IF(AND(Input_Product=Elig!$C16,Elig_MatchAll_Ct&lt;22,$BC16=(Elig_MatchAll_Ct-1),AU16=0),R16,0)</f>
        <v>0</v>
      </c>
      <c r="BX16" s="202">
        <f>IF(AND(Input_Product=Elig!$C16,Elig_MatchAll_Ct&lt;22,$BC16=(Elig_MatchAll_Ct-1),AU16=0),S16,0)</f>
        <v>0</v>
      </c>
      <c r="BY16" s="201">
        <f>IF(AND(Input_Product=Elig!$C16,Elig_MatchAll_Ct&lt;22,$BC16=(Elig_MatchAll_Ct-1),AV16=0),T16,0)</f>
        <v>0</v>
      </c>
      <c r="BZ16" s="202">
        <f>IF(AND(Input_Product=Elig!$C16,Elig_MatchAll_Ct&lt;22,$BC16=(Elig_MatchAll_Ct-1),AV16=0),U16,0)</f>
        <v>0</v>
      </c>
      <c r="CA16" s="201">
        <f>IF(AND(Input_Product=Elig!$C16,Elig_MatchAll_Ct&lt;22,$BC16=(Elig_MatchAll_Ct-1),AW16=0),V16,0)</f>
        <v>0</v>
      </c>
      <c r="CB16" s="202">
        <f>IF(AND(Input_Product=Elig!$C16,Elig_MatchAll_Ct&lt;22,$BC16=(Elig_MatchAll_Ct-1),AW16=0),W16,0)</f>
        <v>0</v>
      </c>
      <c r="CC16" s="201">
        <f>IF(AND(Input_Product=Elig!$C16,Elig_MatchAll_Ct&lt;22,$BC16=(Elig_MatchAll_Ct-1),AX16=0),X16,0)</f>
        <v>0</v>
      </c>
      <c r="CD16" s="202">
        <f>IF(AND(Input_Product=Elig!$C16,Elig_MatchAll_Ct&lt;22,$BC16=(Elig_MatchAll_Ct-1),AX16=0),Y16,0)</f>
        <v>0</v>
      </c>
      <c r="CE16" s="201">
        <f>IF(AND(Input_LTV&lt;=AE16,Input_Product=Elig!$C16,Elig_MatchAll_Ct&lt;22,$BC16=(Elig_MatchAll_Ct-1),AY16=0),Z16,0)</f>
        <v>0</v>
      </c>
      <c r="CF16" s="202">
        <f>IF(AND(Input_LTV&lt;=AE16,Input_Product=Elig!$C16,Elig_MatchAll_Ct&lt;22,$BC16=(Elig_MatchAll_Ct-1),AY16=0),AA16,0)</f>
        <v>0</v>
      </c>
      <c r="CG16" s="201">
        <f>IF(AND(Input_Product=Elig!$C16,Elig_MatchAll_Ct&lt;22,$BC16=(Elig_MatchAll_Ct-1),AZ16=0),AB16,0)</f>
        <v>0</v>
      </c>
      <c r="CH16" s="202">
        <f>IF(AND(Input_Product=Elig!$C16,Elig_MatchAll_Ct&lt;22,$BC16=(Elig_MatchAll_Ct-1),AZ16=0),AC16,0)</f>
        <v>0</v>
      </c>
      <c r="CI16" s="201">
        <f>IF(AND(Input_Product=Elig!$C16,Elig_MatchAll_Ct&lt;22,$BC16=(Elig_MatchAll_Ct-1),BA16=0),AD16,0)</f>
        <v>0</v>
      </c>
      <c r="CJ16" s="203">
        <f>IF(AND(Input_Product=Elig!$C16,Elig_MatchAll_Ct&lt;22,$BC16=(Elig_MatchAll_Ct-1),BA16=0),AE16,0)</f>
        <v>0</v>
      </c>
    </row>
    <row r="17" spans="2:88" ht="10.15" customHeight="1" x14ac:dyDescent="0.25">
      <c r="B17" s="1912" t="s">
        <v>777</v>
      </c>
      <c r="C17" s="134" t="str">
        <f t="shared" si="1"/>
        <v>NonQM OO</v>
      </c>
      <c r="D17" s="135" t="s">
        <v>3885</v>
      </c>
      <c r="E17" s="135" t="s">
        <v>167</v>
      </c>
      <c r="F17" s="135" t="s">
        <v>331</v>
      </c>
      <c r="G17" s="135" t="s">
        <v>303</v>
      </c>
      <c r="H17" s="135" t="s">
        <v>136</v>
      </c>
      <c r="I17" s="135" t="s">
        <v>16</v>
      </c>
      <c r="J17" s="135" t="s">
        <v>1311</v>
      </c>
      <c r="K17" s="135" t="s">
        <v>1631</v>
      </c>
      <c r="L17" s="221" t="s">
        <v>3920</v>
      </c>
      <c r="M17" s="135" t="s">
        <v>4203</v>
      </c>
      <c r="N17" s="135" t="s">
        <v>82</v>
      </c>
      <c r="O17" s="135" t="s">
        <v>310</v>
      </c>
      <c r="P17" s="135" t="s">
        <v>291</v>
      </c>
      <c r="Q17" s="135" t="s">
        <v>294</v>
      </c>
      <c r="R17" s="221">
        <v>100000</v>
      </c>
      <c r="S17" s="135">
        <v>1000000</v>
      </c>
      <c r="T17" s="135">
        <v>0</v>
      </c>
      <c r="U17" s="135">
        <f t="shared" si="16"/>
        <v>1000000</v>
      </c>
      <c r="V17" s="135">
        <v>0</v>
      </c>
      <c r="W17" s="135">
        <v>55</v>
      </c>
      <c r="X17" s="135">
        <v>0</v>
      </c>
      <c r="Y17" s="135">
        <v>999</v>
      </c>
      <c r="Z17" s="137">
        <v>640</v>
      </c>
      <c r="AA17" s="137">
        <v>659</v>
      </c>
      <c r="AB17" s="137">
        <v>3</v>
      </c>
      <c r="AC17" s="137">
        <v>999999</v>
      </c>
      <c r="AD17" s="135">
        <v>0</v>
      </c>
      <c r="AE17" s="135">
        <v>70</v>
      </c>
      <c r="AF17" s="170">
        <v>0</v>
      </c>
      <c r="AG17" s="171">
        <v>1</v>
      </c>
      <c r="AH17" s="171">
        <v>1</v>
      </c>
      <c r="AI17" s="171">
        <v>1</v>
      </c>
      <c r="AJ17" s="171">
        <v>1</v>
      </c>
      <c r="AK17" s="171">
        <v>1</v>
      </c>
      <c r="AL17" s="171">
        <v>1</v>
      </c>
      <c r="AM17" s="171">
        <v>1</v>
      </c>
      <c r="AN17" s="171">
        <v>1</v>
      </c>
      <c r="AO17" s="171">
        <v>1</v>
      </c>
      <c r="AP17" s="171">
        <v>1</v>
      </c>
      <c r="AQ17" s="171">
        <v>1</v>
      </c>
      <c r="AR17" s="171">
        <v>1</v>
      </c>
      <c r="AS17" s="171">
        <v>1</v>
      </c>
      <c r="AT17" s="171">
        <v>1</v>
      </c>
      <c r="AU17" s="171">
        <f t="shared" si="2"/>
        <v>1</v>
      </c>
      <c r="AV17" s="171">
        <f t="shared" si="3"/>
        <v>1</v>
      </c>
      <c r="AW17" s="171">
        <f t="shared" si="4"/>
        <v>1</v>
      </c>
      <c r="AX17" s="171">
        <f t="shared" si="5"/>
        <v>1</v>
      </c>
      <c r="AY17" s="171">
        <f t="shared" si="6"/>
        <v>0</v>
      </c>
      <c r="AZ17" s="171">
        <f t="shared" si="7"/>
        <v>1</v>
      </c>
      <c r="BA17" s="172">
        <f t="shared" si="8"/>
        <v>1</v>
      </c>
      <c r="BB17" s="175">
        <f t="shared" si="17"/>
        <v>20</v>
      </c>
      <c r="BC17" s="176">
        <f t="shared" si="18"/>
        <v>19</v>
      </c>
      <c r="BD17" s="176">
        <f t="shared" si="19"/>
        <v>20</v>
      </c>
      <c r="BE17" s="240" t="str">
        <f t="shared" si="12"/>
        <v/>
      </c>
      <c r="BH17" s="198">
        <f>IF(AND(Input_Product=Elig!$C17,Elig_MatchAll_Ct&lt;22,$BC17=(Elig_MatchAll_Ct-1),AF17=0),C17,0)</f>
        <v>0</v>
      </c>
      <c r="BI17" s="199">
        <f>IF(AND(Input_Product=Elig!$C17,Elig_MatchAll_Ct&lt;22,$BC17=(Elig_MatchAll_Ct-1),AG17=0),D17,0)</f>
        <v>0</v>
      </c>
      <c r="BJ17" s="199">
        <f>IF(AND(Input_Product=Elig!$C17,Elig_MatchAll_Ct&lt;22,$BC17=(Elig_MatchAll_Ct-1),AH17=0),E17,0)</f>
        <v>0</v>
      </c>
      <c r="BK17" s="199">
        <f>IF(AND(Input_Product=Elig!$C17,Elig_MatchAll_Ct&lt;22,$BC17=(Elig_MatchAll_Ct-1),AI17=0),F17,0)</f>
        <v>0</v>
      </c>
      <c r="BL17" s="199">
        <f>IF(AND(Input_Product=Elig!$C17,Elig_MatchAll_Ct&lt;22,$BC17=(Elig_MatchAll_Ct-1),AJ17=0),G17,0)</f>
        <v>0</v>
      </c>
      <c r="BM17" s="199">
        <f>IF(AND(Input_Product=Elig!$C17,Elig_MatchAll_Ct&lt;22,$BC17=(Elig_MatchAll_Ct-1),AK17=0),H17,0)</f>
        <v>0</v>
      </c>
      <c r="BN17" s="199">
        <f>IF(AND(Input_Product=Elig!$C17,Elig_MatchAll_Ct&lt;22,$BC17=(Elig_MatchAll_Ct-1),AL17=0),I17,0)</f>
        <v>0</v>
      </c>
      <c r="BO17" s="199">
        <f>IF(AND(Input_Product=Elig!$C17,Elig_MatchAll_Ct&lt;22,$BC17=(Elig_MatchAll_Ct-1),AM17=0),J17,0)</f>
        <v>0</v>
      </c>
      <c r="BP17" s="199">
        <f>IF(AND(Input_Product=Elig!$C17,Elig_MatchAll_Ct&lt;22,$BC17=(Elig_MatchAll_Ct-1),AN17=0),K17,0)</f>
        <v>0</v>
      </c>
      <c r="BQ17" s="199">
        <f>IF(AND(Input_Product=Elig!$C17,Elig_MatchAll_Ct&lt;22,$BC17=(Elig_MatchAll_Ct-1),AP17=0),L17,0)</f>
        <v>0</v>
      </c>
      <c r="BR17" s="199">
        <f>IF(AND(Input_Product=Elig!$C17,Elig_MatchAll_Ct&lt;22,$BC17=(Elig_MatchAll_Ct-1),AO17=0),M17,0)</f>
        <v>0</v>
      </c>
      <c r="BS17" s="199">
        <f>IF(AND(Input_Product=Elig!$C17,Elig_MatchAll_Ct&lt;22,$BC17=(Elig_MatchAll_Ct-1),AQ17=0),N17,0)</f>
        <v>0</v>
      </c>
      <c r="BT17" s="199">
        <f>IF(AND(Input_Product=Elig!$C17,Elig_MatchAll_Ct&lt;22,$BC17=(Elig_MatchAll_Ct-1),AR17=0),O17,0)</f>
        <v>0</v>
      </c>
      <c r="BU17" s="199">
        <f>IF(AND(Input_Product=Elig!$C17,Elig_MatchAll_Ct&lt;22,$BC17=(Elig_MatchAll_Ct-1),AS17=0),P17,0)</f>
        <v>0</v>
      </c>
      <c r="BV17" s="200">
        <f>IF(AND(Input_Product=Elig!$C17,Elig_MatchAll_Ct&lt;22,$BC17=(Elig_MatchAll_Ct-1),AT17=0),Q17,0)</f>
        <v>0</v>
      </c>
      <c r="BW17" s="201">
        <f>IF(AND(Input_Product=Elig!$C17,Elig_MatchAll_Ct&lt;22,$BC17=(Elig_MatchAll_Ct-1),AU17=0),R17,0)</f>
        <v>0</v>
      </c>
      <c r="BX17" s="202">
        <f>IF(AND(Input_Product=Elig!$C17,Elig_MatchAll_Ct&lt;22,$BC17=(Elig_MatchAll_Ct-1),AU17=0),S17,0)</f>
        <v>0</v>
      </c>
      <c r="BY17" s="201">
        <f>IF(AND(Input_Product=Elig!$C17,Elig_MatchAll_Ct&lt;22,$BC17=(Elig_MatchAll_Ct-1),AV17=0),T17,0)</f>
        <v>0</v>
      </c>
      <c r="BZ17" s="202">
        <f>IF(AND(Input_Product=Elig!$C17,Elig_MatchAll_Ct&lt;22,$BC17=(Elig_MatchAll_Ct-1),AV17=0),U17,0)</f>
        <v>0</v>
      </c>
      <c r="CA17" s="201">
        <f>IF(AND(Input_Product=Elig!$C17,Elig_MatchAll_Ct&lt;22,$BC17=(Elig_MatchAll_Ct-1),AW17=0),V17,0)</f>
        <v>0</v>
      </c>
      <c r="CB17" s="202">
        <f>IF(AND(Input_Product=Elig!$C17,Elig_MatchAll_Ct&lt;22,$BC17=(Elig_MatchAll_Ct-1),AW17=0),W17,0)</f>
        <v>0</v>
      </c>
      <c r="CC17" s="201">
        <f>IF(AND(Input_Product=Elig!$C17,Elig_MatchAll_Ct&lt;22,$BC17=(Elig_MatchAll_Ct-1),AX17=0),X17,0)</f>
        <v>0</v>
      </c>
      <c r="CD17" s="202">
        <f>IF(AND(Input_Product=Elig!$C17,Elig_MatchAll_Ct&lt;22,$BC17=(Elig_MatchAll_Ct-1),AX17=0),Y17,0)</f>
        <v>0</v>
      </c>
      <c r="CE17" s="201">
        <f>IF(AND(Input_LTV&lt;=AE17,Input_Product=Elig!$C17,Elig_MatchAll_Ct&lt;22,$BC17=(Elig_MatchAll_Ct-1),AY17=0),Z17,0)</f>
        <v>0</v>
      </c>
      <c r="CF17" s="202">
        <f>IF(AND(Input_LTV&lt;=AE17,Input_Product=Elig!$C17,Elig_MatchAll_Ct&lt;22,$BC17=(Elig_MatchAll_Ct-1),AY17=0),AA17,0)</f>
        <v>0</v>
      </c>
      <c r="CG17" s="201">
        <f>IF(AND(Input_Product=Elig!$C17,Elig_MatchAll_Ct&lt;22,$BC17=(Elig_MatchAll_Ct-1),AZ17=0),AB17,0)</f>
        <v>0</v>
      </c>
      <c r="CH17" s="202">
        <f>IF(AND(Input_Product=Elig!$C17,Elig_MatchAll_Ct&lt;22,$BC17=(Elig_MatchAll_Ct-1),AZ17=0),AC17,0)</f>
        <v>0</v>
      </c>
      <c r="CI17" s="201">
        <f>IF(AND(Input_Product=Elig!$C17,Elig_MatchAll_Ct&lt;22,$BC17=(Elig_MatchAll_Ct-1),BA17=0),AD17,0)</f>
        <v>0</v>
      </c>
      <c r="CJ17" s="203">
        <f>IF(AND(Input_Product=Elig!$C17,Elig_MatchAll_Ct&lt;22,$BC17=(Elig_MatchAll_Ct-1),BA17=0),AE17,0)</f>
        <v>0</v>
      </c>
    </row>
    <row r="18" spans="2:88" ht="10.15" customHeight="1" x14ac:dyDescent="0.25">
      <c r="B18" s="1912" t="s">
        <v>778</v>
      </c>
      <c r="C18" s="138" t="str">
        <f t="shared" si="1"/>
        <v>NonQM OO</v>
      </c>
      <c r="D18" s="139" t="s">
        <v>3885</v>
      </c>
      <c r="E18" s="139" t="s">
        <v>167</v>
      </c>
      <c r="F18" s="139" t="s">
        <v>331</v>
      </c>
      <c r="G18" s="139" t="s">
        <v>303</v>
      </c>
      <c r="H18" s="139" t="s">
        <v>136</v>
      </c>
      <c r="I18" s="139" t="s">
        <v>16</v>
      </c>
      <c r="J18" s="139" t="s">
        <v>1311</v>
      </c>
      <c r="K18" s="139" t="s">
        <v>1631</v>
      </c>
      <c r="L18" s="310" t="s">
        <v>3920</v>
      </c>
      <c r="M18" s="139" t="s">
        <v>4203</v>
      </c>
      <c r="N18" s="139" t="s">
        <v>82</v>
      </c>
      <c r="O18" s="139" t="s">
        <v>310</v>
      </c>
      <c r="P18" s="139" t="s">
        <v>291</v>
      </c>
      <c r="Q18" s="139" t="s">
        <v>294</v>
      </c>
      <c r="R18" s="310">
        <v>100000</v>
      </c>
      <c r="S18" s="139">
        <v>1000000</v>
      </c>
      <c r="T18" s="139">
        <v>0</v>
      </c>
      <c r="U18" s="139">
        <f t="shared" si="16"/>
        <v>1000000</v>
      </c>
      <c r="V18" s="139">
        <v>0</v>
      </c>
      <c r="W18" s="139">
        <v>55</v>
      </c>
      <c r="X18" s="139">
        <v>0</v>
      </c>
      <c r="Y18" s="139">
        <v>999</v>
      </c>
      <c r="Z18" s="140">
        <v>620</v>
      </c>
      <c r="AA18" s="140">
        <v>639</v>
      </c>
      <c r="AB18" s="140">
        <v>3</v>
      </c>
      <c r="AC18" s="140">
        <v>999999</v>
      </c>
      <c r="AD18" s="139">
        <v>0</v>
      </c>
      <c r="AE18" s="310">
        <v>70</v>
      </c>
      <c r="AF18" s="170">
        <v>0</v>
      </c>
      <c r="AG18" s="171">
        <v>1</v>
      </c>
      <c r="AH18" s="171">
        <v>1</v>
      </c>
      <c r="AI18" s="171">
        <v>1</v>
      </c>
      <c r="AJ18" s="171">
        <v>1</v>
      </c>
      <c r="AK18" s="171">
        <v>1</v>
      </c>
      <c r="AL18" s="171">
        <v>1</v>
      </c>
      <c r="AM18" s="171">
        <v>1</v>
      </c>
      <c r="AN18" s="171">
        <v>1</v>
      </c>
      <c r="AO18" s="171">
        <v>1</v>
      </c>
      <c r="AP18" s="171">
        <v>1</v>
      </c>
      <c r="AQ18" s="171">
        <v>1</v>
      </c>
      <c r="AR18" s="171">
        <v>1</v>
      </c>
      <c r="AS18" s="171">
        <v>1</v>
      </c>
      <c r="AT18" s="171">
        <v>1</v>
      </c>
      <c r="AU18" s="171">
        <f t="shared" si="2"/>
        <v>1</v>
      </c>
      <c r="AV18" s="171">
        <f t="shared" si="3"/>
        <v>1</v>
      </c>
      <c r="AW18" s="171">
        <f t="shared" si="4"/>
        <v>1</v>
      </c>
      <c r="AX18" s="171">
        <f t="shared" si="5"/>
        <v>1</v>
      </c>
      <c r="AY18" s="171">
        <f t="shared" si="6"/>
        <v>0</v>
      </c>
      <c r="AZ18" s="171">
        <f t="shared" si="7"/>
        <v>1</v>
      </c>
      <c r="BA18" s="172">
        <f t="shared" si="8"/>
        <v>1</v>
      </c>
      <c r="BB18" s="175">
        <f t="shared" si="17"/>
        <v>20</v>
      </c>
      <c r="BC18" s="176">
        <f t="shared" si="18"/>
        <v>19</v>
      </c>
      <c r="BD18" s="176">
        <f t="shared" si="19"/>
        <v>20</v>
      </c>
      <c r="BE18" s="240" t="str">
        <f t="shared" si="12"/>
        <v/>
      </c>
      <c r="BH18" s="204">
        <f>IF(AND(Input_Product=Elig!$C18,Elig_MatchAll_Ct&lt;22,$BC18=(Elig_MatchAll_Ct-1),AF18=0),C18,0)</f>
        <v>0</v>
      </c>
      <c r="BI18" s="205">
        <f>IF(AND(Input_Product=Elig!$C18,Elig_MatchAll_Ct&lt;22,$BC18=(Elig_MatchAll_Ct-1),AG18=0),D18,0)</f>
        <v>0</v>
      </c>
      <c r="BJ18" s="205">
        <f>IF(AND(Input_Product=Elig!$C18,Elig_MatchAll_Ct&lt;22,$BC18=(Elig_MatchAll_Ct-1),AH18=0),E18,0)</f>
        <v>0</v>
      </c>
      <c r="BK18" s="205">
        <f>IF(AND(Input_Product=Elig!$C18,Elig_MatchAll_Ct&lt;22,$BC18=(Elig_MatchAll_Ct-1),AI18=0),F18,0)</f>
        <v>0</v>
      </c>
      <c r="BL18" s="205">
        <f>IF(AND(Input_Product=Elig!$C18,Elig_MatchAll_Ct&lt;22,$BC18=(Elig_MatchAll_Ct-1),AJ18=0),G18,0)</f>
        <v>0</v>
      </c>
      <c r="BM18" s="205">
        <f>IF(AND(Input_Product=Elig!$C18,Elig_MatchAll_Ct&lt;22,$BC18=(Elig_MatchAll_Ct-1),AK18=0),H18,0)</f>
        <v>0</v>
      </c>
      <c r="BN18" s="205">
        <f>IF(AND(Input_Product=Elig!$C18,Elig_MatchAll_Ct&lt;22,$BC18=(Elig_MatchAll_Ct-1),AL18=0),I18,0)</f>
        <v>0</v>
      </c>
      <c r="BO18" s="205">
        <f>IF(AND(Input_Product=Elig!$C18,Elig_MatchAll_Ct&lt;22,$BC18=(Elig_MatchAll_Ct-1),AM18=0),J18,0)</f>
        <v>0</v>
      </c>
      <c r="BP18" s="205">
        <f>IF(AND(Input_Product=Elig!$C18,Elig_MatchAll_Ct&lt;22,$BC18=(Elig_MatchAll_Ct-1),AN18=0),K18,0)</f>
        <v>0</v>
      </c>
      <c r="BQ18" s="205">
        <f>IF(AND(Input_Product=Elig!$C18,Elig_MatchAll_Ct&lt;22,$BC18=(Elig_MatchAll_Ct-1),AP18=0),L18,0)</f>
        <v>0</v>
      </c>
      <c r="BR18" s="205">
        <f>IF(AND(Input_Product=Elig!$C18,Elig_MatchAll_Ct&lt;22,$BC18=(Elig_MatchAll_Ct-1),AO18=0),M18,0)</f>
        <v>0</v>
      </c>
      <c r="BS18" s="205">
        <f>IF(AND(Input_Product=Elig!$C18,Elig_MatchAll_Ct&lt;22,$BC18=(Elig_MatchAll_Ct-1),AQ18=0),N18,0)</f>
        <v>0</v>
      </c>
      <c r="BT18" s="205">
        <f>IF(AND(Input_Product=Elig!$C18,Elig_MatchAll_Ct&lt;22,$BC18=(Elig_MatchAll_Ct-1),AR18=0),O18,0)</f>
        <v>0</v>
      </c>
      <c r="BU18" s="205">
        <f>IF(AND(Input_Product=Elig!$C18,Elig_MatchAll_Ct&lt;22,$BC18=(Elig_MatchAll_Ct-1),AS18=0),P18,0)</f>
        <v>0</v>
      </c>
      <c r="BV18" s="206">
        <f>IF(AND(Input_Product=Elig!$C18,Elig_MatchAll_Ct&lt;22,$BC18=(Elig_MatchAll_Ct-1),AT18=0),Q18,0)</f>
        <v>0</v>
      </c>
      <c r="BW18" s="207">
        <f>IF(AND(Input_Product=Elig!$C18,Elig_MatchAll_Ct&lt;22,$BC18=(Elig_MatchAll_Ct-1),AU18=0),R18,0)</f>
        <v>0</v>
      </c>
      <c r="BX18" s="208">
        <f>IF(AND(Input_Product=Elig!$C18,Elig_MatchAll_Ct&lt;22,$BC18=(Elig_MatchAll_Ct-1),AU18=0),S18,0)</f>
        <v>0</v>
      </c>
      <c r="BY18" s="207">
        <f>IF(AND(Input_Product=Elig!$C18,Elig_MatchAll_Ct&lt;22,$BC18=(Elig_MatchAll_Ct-1),AV18=0),T18,0)</f>
        <v>0</v>
      </c>
      <c r="BZ18" s="208">
        <f>IF(AND(Input_Product=Elig!$C18,Elig_MatchAll_Ct&lt;22,$BC18=(Elig_MatchAll_Ct-1),AV18=0),U18,0)</f>
        <v>0</v>
      </c>
      <c r="CA18" s="207">
        <f>IF(AND(Input_Product=Elig!$C18,Elig_MatchAll_Ct&lt;22,$BC18=(Elig_MatchAll_Ct-1),AW18=0),V18,0)</f>
        <v>0</v>
      </c>
      <c r="CB18" s="208">
        <f>IF(AND(Input_Product=Elig!$C18,Elig_MatchAll_Ct&lt;22,$BC18=(Elig_MatchAll_Ct-1),AW18=0),W18,0)</f>
        <v>0</v>
      </c>
      <c r="CC18" s="207">
        <f>IF(AND(Input_Product=Elig!$C18,Elig_MatchAll_Ct&lt;22,$BC18=(Elig_MatchAll_Ct-1),AX18=0),X18,0)</f>
        <v>0</v>
      </c>
      <c r="CD18" s="208">
        <f>IF(AND(Input_Product=Elig!$C18,Elig_MatchAll_Ct&lt;22,$BC18=(Elig_MatchAll_Ct-1),AX18=0),Y18,0)</f>
        <v>0</v>
      </c>
      <c r="CE18" s="207">
        <f>IF(AND(Input_LTV&lt;=AE18,Input_Product=Elig!$C18,Elig_MatchAll_Ct&lt;22,$BC18=(Elig_MatchAll_Ct-1),AY18=0),Z18,0)</f>
        <v>0</v>
      </c>
      <c r="CF18" s="208">
        <f>IF(AND(Input_LTV&lt;=AE18,Input_Product=Elig!$C18,Elig_MatchAll_Ct&lt;22,$BC18=(Elig_MatchAll_Ct-1),AY18=0),AA18,0)</f>
        <v>0</v>
      </c>
      <c r="CG18" s="207">
        <f>IF(AND(Input_Product=Elig!$C18,Elig_MatchAll_Ct&lt;22,$BC18=(Elig_MatchAll_Ct-1),AZ18=0),AB18,0)</f>
        <v>0</v>
      </c>
      <c r="CH18" s="208">
        <f>IF(AND(Input_Product=Elig!$C18,Elig_MatchAll_Ct&lt;22,$BC18=(Elig_MatchAll_Ct-1),AZ18=0),AC18,0)</f>
        <v>0</v>
      </c>
      <c r="CI18" s="207">
        <f>IF(AND(Input_Product=Elig!$C18,Elig_MatchAll_Ct&lt;22,$BC18=(Elig_MatchAll_Ct-1),BA18=0),AD18,0)</f>
        <v>0</v>
      </c>
      <c r="CJ18" s="209">
        <f>IF(AND(Input_Product=Elig!$C18,Elig_MatchAll_Ct&lt;22,$BC18=(Elig_MatchAll_Ct-1),BA18=0),AE18,0)</f>
        <v>0</v>
      </c>
    </row>
    <row r="19" spans="2:88" ht="10.15" customHeight="1" x14ac:dyDescent="0.25">
      <c r="B19" s="1912" t="s">
        <v>779</v>
      </c>
      <c r="C19" s="141" t="str">
        <f t="shared" si="1"/>
        <v>NonQM OO</v>
      </c>
      <c r="D19" s="142" t="s">
        <v>3885</v>
      </c>
      <c r="E19" s="143" t="s">
        <v>167</v>
      </c>
      <c r="F19" s="143" t="s">
        <v>331</v>
      </c>
      <c r="G19" s="143" t="s">
        <v>304</v>
      </c>
      <c r="H19" s="143" t="s">
        <v>446</v>
      </c>
      <c r="I19" s="142" t="s">
        <v>274</v>
      </c>
      <c r="J19" s="142" t="s">
        <v>1311</v>
      </c>
      <c r="K19" s="142" t="s">
        <v>1631</v>
      </c>
      <c r="L19" s="2131" t="s">
        <v>3920</v>
      </c>
      <c r="M19" s="143" t="s">
        <v>4203</v>
      </c>
      <c r="N19" s="143" t="s">
        <v>82</v>
      </c>
      <c r="O19" s="143" t="s">
        <v>310</v>
      </c>
      <c r="P19" s="143" t="s">
        <v>291</v>
      </c>
      <c r="Q19" s="143" t="s">
        <v>294</v>
      </c>
      <c r="R19" s="320">
        <v>100000</v>
      </c>
      <c r="S19" s="142">
        <v>1000000</v>
      </c>
      <c r="T19" s="142">
        <v>0</v>
      </c>
      <c r="U19" s="142">
        <v>0</v>
      </c>
      <c r="V19" s="142">
        <v>0</v>
      </c>
      <c r="W19" s="142">
        <v>55</v>
      </c>
      <c r="X19" s="142">
        <v>0</v>
      </c>
      <c r="Y19" s="142">
        <v>999</v>
      </c>
      <c r="Z19" s="144">
        <v>720</v>
      </c>
      <c r="AA19" s="144">
        <v>999</v>
      </c>
      <c r="AB19" s="144">
        <v>3</v>
      </c>
      <c r="AC19" s="144">
        <v>999999</v>
      </c>
      <c r="AD19" s="142">
        <v>0</v>
      </c>
      <c r="AE19" s="142">
        <v>90</v>
      </c>
      <c r="AF19" s="170">
        <v>0</v>
      </c>
      <c r="AG19" s="171">
        <v>1</v>
      </c>
      <c r="AH19" s="171">
        <v>1</v>
      </c>
      <c r="AI19" s="171">
        <v>1</v>
      </c>
      <c r="AJ19" s="171">
        <v>0</v>
      </c>
      <c r="AK19" s="171">
        <v>0</v>
      </c>
      <c r="AL19" s="171">
        <v>0</v>
      </c>
      <c r="AM19" s="171">
        <v>1</v>
      </c>
      <c r="AN19" s="171">
        <v>1</v>
      </c>
      <c r="AO19" s="171">
        <v>1</v>
      </c>
      <c r="AP19" s="171">
        <v>1</v>
      </c>
      <c r="AQ19" s="171">
        <v>1</v>
      </c>
      <c r="AR19" s="171">
        <v>1</v>
      </c>
      <c r="AS19" s="171">
        <v>1</v>
      </c>
      <c r="AT19" s="171">
        <v>1</v>
      </c>
      <c r="AU19" s="171">
        <f t="shared" si="2"/>
        <v>1</v>
      </c>
      <c r="AV19" s="171">
        <f t="shared" si="3"/>
        <v>0</v>
      </c>
      <c r="AW19" s="171">
        <f t="shared" si="4"/>
        <v>1</v>
      </c>
      <c r="AX19" s="171">
        <f t="shared" si="5"/>
        <v>1</v>
      </c>
      <c r="AY19" s="171">
        <f t="shared" si="6"/>
        <v>1</v>
      </c>
      <c r="AZ19" s="171">
        <f t="shared" si="7"/>
        <v>1</v>
      </c>
      <c r="BA19" s="172">
        <f t="shared" si="8"/>
        <v>1</v>
      </c>
      <c r="BB19" s="175">
        <f t="shared" si="17"/>
        <v>17</v>
      </c>
      <c r="BC19" s="176">
        <f t="shared" si="18"/>
        <v>16</v>
      </c>
      <c r="BD19" s="176">
        <f t="shared" si="19"/>
        <v>17</v>
      </c>
      <c r="BE19" s="240" t="str">
        <f t="shared" si="12"/>
        <v/>
      </c>
      <c r="BH19" s="192">
        <f>IF(AND(Input_Product=Elig!$C19,Elig_MatchAll_Ct&lt;22,$BC19=(Elig_MatchAll_Ct-1),AF19=0),C19,0)</f>
        <v>0</v>
      </c>
      <c r="BI19" s="193">
        <f>IF(AND(Input_Product=Elig!$C19,Elig_MatchAll_Ct&lt;22,$BC19=(Elig_MatchAll_Ct-1),AG19=0),D19,0)</f>
        <v>0</v>
      </c>
      <c r="BJ19" s="193">
        <f>IF(AND(Input_Product=Elig!$C19,Elig_MatchAll_Ct&lt;22,$BC19=(Elig_MatchAll_Ct-1),AH19=0),E19,0)</f>
        <v>0</v>
      </c>
      <c r="BK19" s="193">
        <f>IF(AND(Input_Product=Elig!$C19,Elig_MatchAll_Ct&lt;22,$BC19=(Elig_MatchAll_Ct-1),AI19=0),F19,0)</f>
        <v>0</v>
      </c>
      <c r="BL19" s="193">
        <f>IF(AND(Input_Product=Elig!$C19,Elig_MatchAll_Ct&lt;22,$BC19=(Elig_MatchAll_Ct-1),AJ19=0),G19,0)</f>
        <v>0</v>
      </c>
      <c r="BM19" s="193">
        <f>IF(AND(Input_Product=Elig!$C19,Elig_MatchAll_Ct&lt;22,$BC19=(Elig_MatchAll_Ct-1),AK19=0),H19,0)</f>
        <v>0</v>
      </c>
      <c r="BN19" s="193">
        <f>IF(AND(Input_Product=Elig!$C19,Elig_MatchAll_Ct&lt;22,$BC19=(Elig_MatchAll_Ct-1),AL19=0),I19,0)</f>
        <v>0</v>
      </c>
      <c r="BO19" s="193">
        <f>IF(AND(Input_Product=Elig!$C19,Elig_MatchAll_Ct&lt;22,$BC19=(Elig_MatchAll_Ct-1),AM19=0),J19,0)</f>
        <v>0</v>
      </c>
      <c r="BP19" s="193">
        <f>IF(AND(Input_Product=Elig!$C19,Elig_MatchAll_Ct&lt;22,$BC19=(Elig_MatchAll_Ct-1),AN19=0),K19,0)</f>
        <v>0</v>
      </c>
      <c r="BQ19" s="193">
        <f>IF(AND(Input_Product=Elig!$C19,Elig_MatchAll_Ct&lt;22,$BC19=(Elig_MatchAll_Ct-1),AP19=0),L19,0)</f>
        <v>0</v>
      </c>
      <c r="BR19" s="193">
        <f>IF(AND(Input_Product=Elig!$C19,Elig_MatchAll_Ct&lt;22,$BC19=(Elig_MatchAll_Ct-1),AO19=0),M19,0)</f>
        <v>0</v>
      </c>
      <c r="BS19" s="193">
        <f>IF(AND(Input_Product=Elig!$C19,Elig_MatchAll_Ct&lt;22,$BC19=(Elig_MatchAll_Ct-1),AQ19=0),N19,0)</f>
        <v>0</v>
      </c>
      <c r="BT19" s="193">
        <f>IF(AND(Input_Product=Elig!$C19,Elig_MatchAll_Ct&lt;22,$BC19=(Elig_MatchAll_Ct-1),AR19=0),O19,0)</f>
        <v>0</v>
      </c>
      <c r="BU19" s="193">
        <f>IF(AND(Input_Product=Elig!$C19,Elig_MatchAll_Ct&lt;22,$BC19=(Elig_MatchAll_Ct-1),AS19=0),P19,0)</f>
        <v>0</v>
      </c>
      <c r="BV19" s="194">
        <f>IF(AND(Input_Product=Elig!$C19,Elig_MatchAll_Ct&lt;22,$BC19=(Elig_MatchAll_Ct-1),AT19=0),Q19,0)</f>
        <v>0</v>
      </c>
      <c r="BW19" s="195">
        <f>IF(AND(Input_Product=Elig!$C19,Elig_MatchAll_Ct&lt;22,$BC19=(Elig_MatchAll_Ct-1),AU19=0),R19,0)</f>
        <v>0</v>
      </c>
      <c r="BX19" s="196">
        <f>IF(AND(Input_Product=Elig!$C19,Elig_MatchAll_Ct&lt;22,$BC19=(Elig_MatchAll_Ct-1),AU19=0),S19,0)</f>
        <v>0</v>
      </c>
      <c r="BY19" s="195">
        <f>IF(AND(Input_Product=Elig!$C19,Elig_MatchAll_Ct&lt;22,$BC19=(Elig_MatchAll_Ct-1),AV19=0),T19,0)</f>
        <v>0</v>
      </c>
      <c r="BZ19" s="196">
        <f>IF(AND(Input_Product=Elig!$C19,Elig_MatchAll_Ct&lt;22,$BC19=(Elig_MatchAll_Ct-1),AV19=0),U19,0)</f>
        <v>0</v>
      </c>
      <c r="CA19" s="195">
        <f>IF(AND(Input_Product=Elig!$C19,Elig_MatchAll_Ct&lt;22,$BC19=(Elig_MatchAll_Ct-1),AW19=0),V19,0)</f>
        <v>0</v>
      </c>
      <c r="CB19" s="196">
        <f>IF(AND(Input_Product=Elig!$C19,Elig_MatchAll_Ct&lt;22,$BC19=(Elig_MatchAll_Ct-1),AW19=0),W19,0)</f>
        <v>0</v>
      </c>
      <c r="CC19" s="195">
        <f>IF(AND(Input_Product=Elig!$C19,Elig_MatchAll_Ct&lt;22,$BC19=(Elig_MatchAll_Ct-1),AX19=0),X19,0)</f>
        <v>0</v>
      </c>
      <c r="CD19" s="196">
        <f>IF(AND(Input_Product=Elig!$C19,Elig_MatchAll_Ct&lt;22,$BC19=(Elig_MatchAll_Ct-1),AX19=0),Y19,0)</f>
        <v>0</v>
      </c>
      <c r="CE19" s="195">
        <f>IF(AND(Input_LTV&lt;=AE19,Input_Product=Elig!$C19,Elig_MatchAll_Ct&lt;22,$BC19=(Elig_MatchAll_Ct-1),AY19=0),Z19,0)</f>
        <v>0</v>
      </c>
      <c r="CF19" s="196">
        <f>IF(AND(Input_LTV&lt;=AE19,Input_Product=Elig!$C19,Elig_MatchAll_Ct&lt;22,$BC19=(Elig_MatchAll_Ct-1),AY19=0),AA19,0)</f>
        <v>0</v>
      </c>
      <c r="CG19" s="195">
        <f>IF(AND(Input_Product=Elig!$C19,Elig_MatchAll_Ct&lt;22,$BC19=(Elig_MatchAll_Ct-1),AZ19=0),AB19,0)</f>
        <v>0</v>
      </c>
      <c r="CH19" s="196">
        <f>IF(AND(Input_Product=Elig!$C19,Elig_MatchAll_Ct&lt;22,$BC19=(Elig_MatchAll_Ct-1),AZ19=0),AC19,0)</f>
        <v>0</v>
      </c>
      <c r="CI19" s="195">
        <f>IF(AND(Input_Product=Elig!$C19,Elig_MatchAll_Ct&lt;22,$BC19=(Elig_MatchAll_Ct-1),BA19=0),AD19,0)</f>
        <v>0</v>
      </c>
      <c r="CJ19" s="197">
        <f>IF(AND(Input_Product=Elig!$C19,Elig_MatchAll_Ct&lt;22,$BC19=(Elig_MatchAll_Ct-1),BA19=0),AE19,0)</f>
        <v>0</v>
      </c>
    </row>
    <row r="20" spans="2:88" ht="10.15" customHeight="1" x14ac:dyDescent="0.25">
      <c r="B20" s="1912" t="s">
        <v>780</v>
      </c>
      <c r="C20" s="134" t="str">
        <f t="shared" si="1"/>
        <v>NonQM OO</v>
      </c>
      <c r="D20" s="135" t="s">
        <v>3885</v>
      </c>
      <c r="E20" s="135" t="s">
        <v>167</v>
      </c>
      <c r="F20" s="135" t="s">
        <v>331</v>
      </c>
      <c r="G20" s="135" t="s">
        <v>304</v>
      </c>
      <c r="H20" s="135" t="s">
        <v>446</v>
      </c>
      <c r="I20" s="136" t="s">
        <v>274</v>
      </c>
      <c r="J20" s="136" t="s">
        <v>1311</v>
      </c>
      <c r="K20" s="136" t="s">
        <v>1631</v>
      </c>
      <c r="L20" s="221" t="s">
        <v>3920</v>
      </c>
      <c r="M20" s="135" t="s">
        <v>4203</v>
      </c>
      <c r="N20" s="135" t="s">
        <v>82</v>
      </c>
      <c r="O20" s="135" t="s">
        <v>310</v>
      </c>
      <c r="P20" s="135" t="s">
        <v>291</v>
      </c>
      <c r="Q20" s="135" t="s">
        <v>294</v>
      </c>
      <c r="R20" s="221">
        <v>100000</v>
      </c>
      <c r="S20" s="135">
        <v>1000000</v>
      </c>
      <c r="T20" s="135">
        <v>0</v>
      </c>
      <c r="U20" s="135">
        <v>0</v>
      </c>
      <c r="V20" s="135">
        <v>0</v>
      </c>
      <c r="W20" s="135">
        <v>55</v>
      </c>
      <c r="X20" s="135">
        <v>0</v>
      </c>
      <c r="Y20" s="135">
        <v>999</v>
      </c>
      <c r="Z20" s="137">
        <v>700</v>
      </c>
      <c r="AA20" s="137">
        <v>719</v>
      </c>
      <c r="AB20" s="137">
        <v>3</v>
      </c>
      <c r="AC20" s="137">
        <v>999999</v>
      </c>
      <c r="AD20" s="135">
        <v>0</v>
      </c>
      <c r="AE20" s="135">
        <v>90</v>
      </c>
      <c r="AF20" s="170">
        <v>0</v>
      </c>
      <c r="AG20" s="171">
        <v>1</v>
      </c>
      <c r="AH20" s="171">
        <v>1</v>
      </c>
      <c r="AI20" s="171">
        <v>1</v>
      </c>
      <c r="AJ20" s="171">
        <v>0</v>
      </c>
      <c r="AK20" s="171">
        <v>0</v>
      </c>
      <c r="AL20" s="171">
        <v>0</v>
      </c>
      <c r="AM20" s="171">
        <v>1</v>
      </c>
      <c r="AN20" s="171">
        <v>1</v>
      </c>
      <c r="AO20" s="171">
        <v>1</v>
      </c>
      <c r="AP20" s="171">
        <v>1</v>
      </c>
      <c r="AQ20" s="171">
        <v>1</v>
      </c>
      <c r="AR20" s="171">
        <v>1</v>
      </c>
      <c r="AS20" s="171">
        <v>1</v>
      </c>
      <c r="AT20" s="171">
        <v>1</v>
      </c>
      <c r="AU20" s="171">
        <f t="shared" si="2"/>
        <v>1</v>
      </c>
      <c r="AV20" s="171">
        <f t="shared" si="3"/>
        <v>0</v>
      </c>
      <c r="AW20" s="171">
        <f t="shared" si="4"/>
        <v>1</v>
      </c>
      <c r="AX20" s="171">
        <f t="shared" si="5"/>
        <v>1</v>
      </c>
      <c r="AY20" s="171">
        <f t="shared" si="6"/>
        <v>0</v>
      </c>
      <c r="AZ20" s="171">
        <f t="shared" si="7"/>
        <v>1</v>
      </c>
      <c r="BA20" s="172">
        <f t="shared" si="8"/>
        <v>1</v>
      </c>
      <c r="BB20" s="175">
        <f t="shared" si="17"/>
        <v>16</v>
      </c>
      <c r="BC20" s="176">
        <f t="shared" si="18"/>
        <v>15</v>
      </c>
      <c r="BD20" s="176">
        <f t="shared" si="19"/>
        <v>16</v>
      </c>
      <c r="BE20" s="240" t="str">
        <f t="shared" si="12"/>
        <v/>
      </c>
      <c r="BH20" s="198">
        <f>IF(AND(Input_Product=Elig!$C20,Elig_MatchAll_Ct&lt;22,$BC20=(Elig_MatchAll_Ct-1),AF20=0),C20,0)</f>
        <v>0</v>
      </c>
      <c r="BI20" s="199">
        <f>IF(AND(Input_Product=Elig!$C20,Elig_MatchAll_Ct&lt;22,$BC20=(Elig_MatchAll_Ct-1),AG20=0),D20,0)</f>
        <v>0</v>
      </c>
      <c r="BJ20" s="199">
        <f>IF(AND(Input_Product=Elig!$C20,Elig_MatchAll_Ct&lt;22,$BC20=(Elig_MatchAll_Ct-1),AH20=0),E20,0)</f>
        <v>0</v>
      </c>
      <c r="BK20" s="199">
        <f>IF(AND(Input_Product=Elig!$C20,Elig_MatchAll_Ct&lt;22,$BC20=(Elig_MatchAll_Ct-1),AI20=0),F20,0)</f>
        <v>0</v>
      </c>
      <c r="BL20" s="199">
        <f>IF(AND(Input_Product=Elig!$C20,Elig_MatchAll_Ct&lt;22,$BC20=(Elig_MatchAll_Ct-1),AJ20=0),G20,0)</f>
        <v>0</v>
      </c>
      <c r="BM20" s="199">
        <f>IF(AND(Input_Product=Elig!$C20,Elig_MatchAll_Ct&lt;22,$BC20=(Elig_MatchAll_Ct-1),AK20=0),H20,0)</f>
        <v>0</v>
      </c>
      <c r="BN20" s="199">
        <f>IF(AND(Input_Product=Elig!$C20,Elig_MatchAll_Ct&lt;22,$BC20=(Elig_MatchAll_Ct-1),AL20=0),I20,0)</f>
        <v>0</v>
      </c>
      <c r="BO20" s="199">
        <f>IF(AND(Input_Product=Elig!$C20,Elig_MatchAll_Ct&lt;22,$BC20=(Elig_MatchAll_Ct-1),AM20=0),J20,0)</f>
        <v>0</v>
      </c>
      <c r="BP20" s="199">
        <f>IF(AND(Input_Product=Elig!$C20,Elig_MatchAll_Ct&lt;22,$BC20=(Elig_MatchAll_Ct-1),AN20=0),K20,0)</f>
        <v>0</v>
      </c>
      <c r="BQ20" s="199">
        <f>IF(AND(Input_Product=Elig!$C20,Elig_MatchAll_Ct&lt;22,$BC20=(Elig_MatchAll_Ct-1),AP20=0),L20,0)</f>
        <v>0</v>
      </c>
      <c r="BR20" s="199">
        <f>IF(AND(Input_Product=Elig!$C20,Elig_MatchAll_Ct&lt;22,$BC20=(Elig_MatchAll_Ct-1),AO20=0),M20,0)</f>
        <v>0</v>
      </c>
      <c r="BS20" s="199">
        <f>IF(AND(Input_Product=Elig!$C20,Elig_MatchAll_Ct&lt;22,$BC20=(Elig_MatchAll_Ct-1),AQ20=0),N20,0)</f>
        <v>0</v>
      </c>
      <c r="BT20" s="199">
        <f>IF(AND(Input_Product=Elig!$C20,Elig_MatchAll_Ct&lt;22,$BC20=(Elig_MatchAll_Ct-1),AR20=0),O20,0)</f>
        <v>0</v>
      </c>
      <c r="BU20" s="199">
        <f>IF(AND(Input_Product=Elig!$C20,Elig_MatchAll_Ct&lt;22,$BC20=(Elig_MatchAll_Ct-1),AS20=0),P20,0)</f>
        <v>0</v>
      </c>
      <c r="BV20" s="200">
        <f>IF(AND(Input_Product=Elig!$C20,Elig_MatchAll_Ct&lt;22,$BC20=(Elig_MatchAll_Ct-1),AT20=0),Q20,0)</f>
        <v>0</v>
      </c>
      <c r="BW20" s="201">
        <f>IF(AND(Input_Product=Elig!$C20,Elig_MatchAll_Ct&lt;22,$BC20=(Elig_MatchAll_Ct-1),AU20=0),R20,0)</f>
        <v>0</v>
      </c>
      <c r="BX20" s="202">
        <f>IF(AND(Input_Product=Elig!$C20,Elig_MatchAll_Ct&lt;22,$BC20=(Elig_MatchAll_Ct-1),AU20=0),S20,0)</f>
        <v>0</v>
      </c>
      <c r="BY20" s="201">
        <f>IF(AND(Input_Product=Elig!$C20,Elig_MatchAll_Ct&lt;22,$BC20=(Elig_MatchAll_Ct-1),AV20=0),T20,0)</f>
        <v>0</v>
      </c>
      <c r="BZ20" s="202">
        <f>IF(AND(Input_Product=Elig!$C20,Elig_MatchAll_Ct&lt;22,$BC20=(Elig_MatchAll_Ct-1),AV20=0),U20,0)</f>
        <v>0</v>
      </c>
      <c r="CA20" s="201">
        <f>IF(AND(Input_Product=Elig!$C20,Elig_MatchAll_Ct&lt;22,$BC20=(Elig_MatchAll_Ct-1),AW20=0),V20,0)</f>
        <v>0</v>
      </c>
      <c r="CB20" s="202">
        <f>IF(AND(Input_Product=Elig!$C20,Elig_MatchAll_Ct&lt;22,$BC20=(Elig_MatchAll_Ct-1),AW20=0),W20,0)</f>
        <v>0</v>
      </c>
      <c r="CC20" s="201">
        <f>IF(AND(Input_Product=Elig!$C20,Elig_MatchAll_Ct&lt;22,$BC20=(Elig_MatchAll_Ct-1),AX20=0),X20,0)</f>
        <v>0</v>
      </c>
      <c r="CD20" s="202">
        <f>IF(AND(Input_Product=Elig!$C20,Elig_MatchAll_Ct&lt;22,$BC20=(Elig_MatchAll_Ct-1),AX20=0),Y20,0)</f>
        <v>0</v>
      </c>
      <c r="CE20" s="201">
        <f>IF(AND(Input_LTV&lt;=AE20,Input_Product=Elig!$C20,Elig_MatchAll_Ct&lt;22,$BC20=(Elig_MatchAll_Ct-1),AY20=0),Z20,0)</f>
        <v>0</v>
      </c>
      <c r="CF20" s="202">
        <f>IF(AND(Input_LTV&lt;=AE20,Input_Product=Elig!$C20,Elig_MatchAll_Ct&lt;22,$BC20=(Elig_MatchAll_Ct-1),AY20=0),AA20,0)</f>
        <v>0</v>
      </c>
      <c r="CG20" s="201">
        <f>IF(AND(Input_Product=Elig!$C20,Elig_MatchAll_Ct&lt;22,$BC20=(Elig_MatchAll_Ct-1),AZ20=0),AB20,0)</f>
        <v>0</v>
      </c>
      <c r="CH20" s="202">
        <f>IF(AND(Input_Product=Elig!$C20,Elig_MatchAll_Ct&lt;22,$BC20=(Elig_MatchAll_Ct-1),AZ20=0),AC20,0)</f>
        <v>0</v>
      </c>
      <c r="CI20" s="201">
        <f>IF(AND(Input_Product=Elig!$C20,Elig_MatchAll_Ct&lt;22,$BC20=(Elig_MatchAll_Ct-1),BA20=0),AD20,0)</f>
        <v>0</v>
      </c>
      <c r="CJ20" s="203">
        <f>IF(AND(Input_Product=Elig!$C20,Elig_MatchAll_Ct&lt;22,$BC20=(Elig_MatchAll_Ct-1),BA20=0),AE20,0)</f>
        <v>0</v>
      </c>
    </row>
    <row r="21" spans="2:88" ht="10.15" customHeight="1" x14ac:dyDescent="0.25">
      <c r="B21" s="1912" t="s">
        <v>781</v>
      </c>
      <c r="C21" s="134" t="str">
        <f t="shared" si="1"/>
        <v>NonQM OO</v>
      </c>
      <c r="D21" s="135" t="s">
        <v>3885</v>
      </c>
      <c r="E21" s="135" t="s">
        <v>167</v>
      </c>
      <c r="F21" s="135" t="s">
        <v>331</v>
      </c>
      <c r="G21" s="135" t="s">
        <v>304</v>
      </c>
      <c r="H21" s="135" t="s">
        <v>446</v>
      </c>
      <c r="I21" s="136" t="s">
        <v>274</v>
      </c>
      <c r="J21" s="136" t="s">
        <v>1311</v>
      </c>
      <c r="K21" s="136" t="s">
        <v>1631</v>
      </c>
      <c r="L21" s="221" t="s">
        <v>3920</v>
      </c>
      <c r="M21" s="135" t="s">
        <v>4203</v>
      </c>
      <c r="N21" s="135" t="s">
        <v>82</v>
      </c>
      <c r="O21" s="135" t="s">
        <v>310</v>
      </c>
      <c r="P21" s="135" t="s">
        <v>291</v>
      </c>
      <c r="Q21" s="135" t="s">
        <v>294</v>
      </c>
      <c r="R21" s="221">
        <v>100000</v>
      </c>
      <c r="S21" s="135">
        <v>1000000</v>
      </c>
      <c r="T21" s="135">
        <v>0</v>
      </c>
      <c r="U21" s="135">
        <v>0</v>
      </c>
      <c r="V21" s="135">
        <v>0</v>
      </c>
      <c r="W21" s="135">
        <v>55</v>
      </c>
      <c r="X21" s="135">
        <v>0</v>
      </c>
      <c r="Y21" s="135">
        <v>999</v>
      </c>
      <c r="Z21" s="137">
        <v>680</v>
      </c>
      <c r="AA21" s="137">
        <v>699</v>
      </c>
      <c r="AB21" s="137">
        <v>3</v>
      </c>
      <c r="AC21" s="137">
        <v>999999</v>
      </c>
      <c r="AD21" s="135">
        <v>0</v>
      </c>
      <c r="AE21" s="221">
        <v>90</v>
      </c>
      <c r="AF21" s="170">
        <v>0</v>
      </c>
      <c r="AG21" s="171">
        <v>1</v>
      </c>
      <c r="AH21" s="171">
        <v>1</v>
      </c>
      <c r="AI21" s="171">
        <v>1</v>
      </c>
      <c r="AJ21" s="171">
        <v>0</v>
      </c>
      <c r="AK21" s="171">
        <v>0</v>
      </c>
      <c r="AL21" s="171">
        <v>0</v>
      </c>
      <c r="AM21" s="171">
        <v>1</v>
      </c>
      <c r="AN21" s="171">
        <v>1</v>
      </c>
      <c r="AO21" s="171">
        <v>1</v>
      </c>
      <c r="AP21" s="171">
        <v>1</v>
      </c>
      <c r="AQ21" s="171">
        <v>1</v>
      </c>
      <c r="AR21" s="171">
        <v>1</v>
      </c>
      <c r="AS21" s="171">
        <v>1</v>
      </c>
      <c r="AT21" s="171">
        <v>1</v>
      </c>
      <c r="AU21" s="171">
        <f t="shared" si="2"/>
        <v>1</v>
      </c>
      <c r="AV21" s="171">
        <f t="shared" si="3"/>
        <v>0</v>
      </c>
      <c r="AW21" s="171">
        <f t="shared" si="4"/>
        <v>1</v>
      </c>
      <c r="AX21" s="171">
        <f t="shared" si="5"/>
        <v>1</v>
      </c>
      <c r="AY21" s="171">
        <f t="shared" si="6"/>
        <v>0</v>
      </c>
      <c r="AZ21" s="171">
        <f t="shared" si="7"/>
        <v>1</v>
      </c>
      <c r="BA21" s="172">
        <f t="shared" si="8"/>
        <v>1</v>
      </c>
      <c r="BB21" s="175">
        <f t="shared" si="17"/>
        <v>16</v>
      </c>
      <c r="BC21" s="176">
        <f t="shared" si="18"/>
        <v>15</v>
      </c>
      <c r="BD21" s="176">
        <f t="shared" si="19"/>
        <v>16</v>
      </c>
      <c r="BE21" s="240" t="str">
        <f t="shared" si="12"/>
        <v/>
      </c>
      <c r="BH21" s="198">
        <f>IF(AND(Input_Product=Elig!$C21,Elig_MatchAll_Ct&lt;22,$BC21=(Elig_MatchAll_Ct-1),AF21=0),C21,0)</f>
        <v>0</v>
      </c>
      <c r="BI21" s="199">
        <f>IF(AND(Input_Product=Elig!$C21,Elig_MatchAll_Ct&lt;22,$BC21=(Elig_MatchAll_Ct-1),AG21=0),D21,0)</f>
        <v>0</v>
      </c>
      <c r="BJ21" s="199">
        <f>IF(AND(Input_Product=Elig!$C21,Elig_MatchAll_Ct&lt;22,$BC21=(Elig_MatchAll_Ct-1),AH21=0),E21,0)</f>
        <v>0</v>
      </c>
      <c r="BK21" s="199">
        <f>IF(AND(Input_Product=Elig!$C21,Elig_MatchAll_Ct&lt;22,$BC21=(Elig_MatchAll_Ct-1),AI21=0),F21,0)</f>
        <v>0</v>
      </c>
      <c r="BL21" s="199">
        <f>IF(AND(Input_Product=Elig!$C21,Elig_MatchAll_Ct&lt;22,$BC21=(Elig_MatchAll_Ct-1),AJ21=0),G21,0)</f>
        <v>0</v>
      </c>
      <c r="BM21" s="199">
        <f>IF(AND(Input_Product=Elig!$C21,Elig_MatchAll_Ct&lt;22,$BC21=(Elig_MatchAll_Ct-1),AK21=0),H21,0)</f>
        <v>0</v>
      </c>
      <c r="BN21" s="199">
        <f>IF(AND(Input_Product=Elig!$C21,Elig_MatchAll_Ct&lt;22,$BC21=(Elig_MatchAll_Ct-1),AL21=0),I21,0)</f>
        <v>0</v>
      </c>
      <c r="BO21" s="199">
        <f>IF(AND(Input_Product=Elig!$C21,Elig_MatchAll_Ct&lt;22,$BC21=(Elig_MatchAll_Ct-1),AM21=0),J21,0)</f>
        <v>0</v>
      </c>
      <c r="BP21" s="199">
        <f>IF(AND(Input_Product=Elig!$C21,Elig_MatchAll_Ct&lt;22,$BC21=(Elig_MatchAll_Ct-1),AN21=0),K21,0)</f>
        <v>0</v>
      </c>
      <c r="BQ21" s="199">
        <f>IF(AND(Input_Product=Elig!$C21,Elig_MatchAll_Ct&lt;22,$BC21=(Elig_MatchAll_Ct-1),AP21=0),L21,0)</f>
        <v>0</v>
      </c>
      <c r="BR21" s="199">
        <f>IF(AND(Input_Product=Elig!$C21,Elig_MatchAll_Ct&lt;22,$BC21=(Elig_MatchAll_Ct-1),AO21=0),M21,0)</f>
        <v>0</v>
      </c>
      <c r="BS21" s="199">
        <f>IF(AND(Input_Product=Elig!$C21,Elig_MatchAll_Ct&lt;22,$BC21=(Elig_MatchAll_Ct-1),AQ21=0),N21,0)</f>
        <v>0</v>
      </c>
      <c r="BT21" s="199">
        <f>IF(AND(Input_Product=Elig!$C21,Elig_MatchAll_Ct&lt;22,$BC21=(Elig_MatchAll_Ct-1),AR21=0),O21,0)</f>
        <v>0</v>
      </c>
      <c r="BU21" s="199">
        <f>IF(AND(Input_Product=Elig!$C21,Elig_MatchAll_Ct&lt;22,$BC21=(Elig_MatchAll_Ct-1),AS21=0),P21,0)</f>
        <v>0</v>
      </c>
      <c r="BV21" s="200">
        <f>IF(AND(Input_Product=Elig!$C21,Elig_MatchAll_Ct&lt;22,$BC21=(Elig_MatchAll_Ct-1),AT21=0),Q21,0)</f>
        <v>0</v>
      </c>
      <c r="BW21" s="201">
        <f>IF(AND(Input_Product=Elig!$C21,Elig_MatchAll_Ct&lt;22,$BC21=(Elig_MatchAll_Ct-1),AU21=0),R21,0)</f>
        <v>0</v>
      </c>
      <c r="BX21" s="202">
        <f>IF(AND(Input_Product=Elig!$C21,Elig_MatchAll_Ct&lt;22,$BC21=(Elig_MatchAll_Ct-1),AU21=0),S21,0)</f>
        <v>0</v>
      </c>
      <c r="BY21" s="201">
        <f>IF(AND(Input_Product=Elig!$C21,Elig_MatchAll_Ct&lt;22,$BC21=(Elig_MatchAll_Ct-1),AV21=0),T21,0)</f>
        <v>0</v>
      </c>
      <c r="BZ21" s="202">
        <f>IF(AND(Input_Product=Elig!$C21,Elig_MatchAll_Ct&lt;22,$BC21=(Elig_MatchAll_Ct-1),AV21=0),U21,0)</f>
        <v>0</v>
      </c>
      <c r="CA21" s="201">
        <f>IF(AND(Input_Product=Elig!$C21,Elig_MatchAll_Ct&lt;22,$BC21=(Elig_MatchAll_Ct-1),AW21=0),V21,0)</f>
        <v>0</v>
      </c>
      <c r="CB21" s="202">
        <f>IF(AND(Input_Product=Elig!$C21,Elig_MatchAll_Ct&lt;22,$BC21=(Elig_MatchAll_Ct-1),AW21=0),W21,0)</f>
        <v>0</v>
      </c>
      <c r="CC21" s="201">
        <f>IF(AND(Input_Product=Elig!$C21,Elig_MatchAll_Ct&lt;22,$BC21=(Elig_MatchAll_Ct-1),AX21=0),X21,0)</f>
        <v>0</v>
      </c>
      <c r="CD21" s="202">
        <f>IF(AND(Input_Product=Elig!$C21,Elig_MatchAll_Ct&lt;22,$BC21=(Elig_MatchAll_Ct-1),AX21=0),Y21,0)</f>
        <v>0</v>
      </c>
      <c r="CE21" s="201">
        <f>IF(AND(Input_LTV&lt;=AE21,Input_Product=Elig!$C21,Elig_MatchAll_Ct&lt;22,$BC21=(Elig_MatchAll_Ct-1),AY21=0),Z21,0)</f>
        <v>0</v>
      </c>
      <c r="CF21" s="202">
        <f>IF(AND(Input_LTV&lt;=AE21,Input_Product=Elig!$C21,Elig_MatchAll_Ct&lt;22,$BC21=(Elig_MatchAll_Ct-1),AY21=0),AA21,0)</f>
        <v>0</v>
      </c>
      <c r="CG21" s="201">
        <f>IF(AND(Input_Product=Elig!$C21,Elig_MatchAll_Ct&lt;22,$BC21=(Elig_MatchAll_Ct-1),AZ21=0),AB21,0)</f>
        <v>0</v>
      </c>
      <c r="CH21" s="202">
        <f>IF(AND(Input_Product=Elig!$C21,Elig_MatchAll_Ct&lt;22,$BC21=(Elig_MatchAll_Ct-1),AZ21=0),AC21,0)</f>
        <v>0</v>
      </c>
      <c r="CI21" s="201">
        <f>IF(AND(Input_Product=Elig!$C21,Elig_MatchAll_Ct&lt;22,$BC21=(Elig_MatchAll_Ct-1),BA21=0),AD21,0)</f>
        <v>0</v>
      </c>
      <c r="CJ21" s="203">
        <f>IF(AND(Input_Product=Elig!$C21,Elig_MatchAll_Ct&lt;22,$BC21=(Elig_MatchAll_Ct-1),BA21=0),AE21,0)</f>
        <v>0</v>
      </c>
    </row>
    <row r="22" spans="2:88" ht="10.15" customHeight="1" x14ac:dyDescent="0.25">
      <c r="B22" s="1912" t="s">
        <v>782</v>
      </c>
      <c r="C22" s="134" t="str">
        <f t="shared" si="1"/>
        <v>NonQM OO</v>
      </c>
      <c r="D22" s="135" t="s">
        <v>3885</v>
      </c>
      <c r="E22" s="135" t="s">
        <v>167</v>
      </c>
      <c r="F22" s="135" t="s">
        <v>331</v>
      </c>
      <c r="G22" s="135" t="s">
        <v>304</v>
      </c>
      <c r="H22" s="135" t="s">
        <v>446</v>
      </c>
      <c r="I22" s="135" t="s">
        <v>274</v>
      </c>
      <c r="J22" s="135" t="s">
        <v>1311</v>
      </c>
      <c r="K22" s="135" t="s">
        <v>1631</v>
      </c>
      <c r="L22" s="221" t="s">
        <v>3920</v>
      </c>
      <c r="M22" s="135" t="s">
        <v>4203</v>
      </c>
      <c r="N22" s="135" t="s">
        <v>82</v>
      </c>
      <c r="O22" s="135" t="s">
        <v>310</v>
      </c>
      <c r="P22" s="135" t="s">
        <v>291</v>
      </c>
      <c r="Q22" s="135" t="s">
        <v>294</v>
      </c>
      <c r="R22" s="221">
        <v>100000</v>
      </c>
      <c r="S22" s="135">
        <v>1000000</v>
      </c>
      <c r="T22" s="135">
        <v>0</v>
      </c>
      <c r="U22" s="135">
        <v>0</v>
      </c>
      <c r="V22" s="135">
        <v>0</v>
      </c>
      <c r="W22" s="135">
        <v>55</v>
      </c>
      <c r="X22" s="135">
        <v>0</v>
      </c>
      <c r="Y22" s="135">
        <v>999</v>
      </c>
      <c r="Z22" s="137">
        <v>660</v>
      </c>
      <c r="AA22" s="137">
        <v>679</v>
      </c>
      <c r="AB22" s="137">
        <v>3</v>
      </c>
      <c r="AC22" s="137">
        <v>999999</v>
      </c>
      <c r="AD22" s="135">
        <v>0</v>
      </c>
      <c r="AE22" s="135">
        <v>80</v>
      </c>
      <c r="AF22" s="170">
        <v>0</v>
      </c>
      <c r="AG22" s="171">
        <v>1</v>
      </c>
      <c r="AH22" s="171">
        <v>1</v>
      </c>
      <c r="AI22" s="171">
        <v>1</v>
      </c>
      <c r="AJ22" s="171">
        <v>0</v>
      </c>
      <c r="AK22" s="171">
        <v>0</v>
      </c>
      <c r="AL22" s="171">
        <v>0</v>
      </c>
      <c r="AM22" s="171">
        <v>1</v>
      </c>
      <c r="AN22" s="171">
        <v>1</v>
      </c>
      <c r="AO22" s="171">
        <v>1</v>
      </c>
      <c r="AP22" s="171">
        <v>1</v>
      </c>
      <c r="AQ22" s="171">
        <v>1</v>
      </c>
      <c r="AR22" s="171">
        <v>1</v>
      </c>
      <c r="AS22" s="171">
        <v>1</v>
      </c>
      <c r="AT22" s="171">
        <v>1</v>
      </c>
      <c r="AU22" s="171">
        <f t="shared" si="2"/>
        <v>1</v>
      </c>
      <c r="AV22" s="171">
        <f t="shared" si="3"/>
        <v>0</v>
      </c>
      <c r="AW22" s="171">
        <f t="shared" si="4"/>
        <v>1</v>
      </c>
      <c r="AX22" s="171">
        <f t="shared" si="5"/>
        <v>1</v>
      </c>
      <c r="AY22" s="171">
        <f t="shared" si="6"/>
        <v>0</v>
      </c>
      <c r="AZ22" s="171">
        <f t="shared" si="7"/>
        <v>1</v>
      </c>
      <c r="BA22" s="172">
        <f t="shared" si="8"/>
        <v>1</v>
      </c>
      <c r="BB22" s="175">
        <f t="shared" si="17"/>
        <v>16</v>
      </c>
      <c r="BC22" s="176">
        <f t="shared" si="18"/>
        <v>15</v>
      </c>
      <c r="BD22" s="176">
        <f t="shared" si="19"/>
        <v>16</v>
      </c>
      <c r="BE22" s="240" t="str">
        <f t="shared" si="12"/>
        <v/>
      </c>
      <c r="BH22" s="198">
        <f>IF(AND(Input_Product=Elig!$C22,Elig_MatchAll_Ct&lt;22,$BC22=(Elig_MatchAll_Ct-1),AF22=0),C22,0)</f>
        <v>0</v>
      </c>
      <c r="BI22" s="199">
        <f>IF(AND(Input_Product=Elig!$C22,Elig_MatchAll_Ct&lt;22,$BC22=(Elig_MatchAll_Ct-1),AG22=0),D22,0)</f>
        <v>0</v>
      </c>
      <c r="BJ22" s="199">
        <f>IF(AND(Input_Product=Elig!$C22,Elig_MatchAll_Ct&lt;22,$BC22=(Elig_MatchAll_Ct-1),AH22=0),E22,0)</f>
        <v>0</v>
      </c>
      <c r="BK22" s="199">
        <f>IF(AND(Input_Product=Elig!$C22,Elig_MatchAll_Ct&lt;22,$BC22=(Elig_MatchAll_Ct-1),AI22=0),F22,0)</f>
        <v>0</v>
      </c>
      <c r="BL22" s="199">
        <f>IF(AND(Input_Product=Elig!$C22,Elig_MatchAll_Ct&lt;22,$BC22=(Elig_MatchAll_Ct-1),AJ22=0),G22,0)</f>
        <v>0</v>
      </c>
      <c r="BM22" s="199">
        <f>IF(AND(Input_Product=Elig!$C22,Elig_MatchAll_Ct&lt;22,$BC22=(Elig_MatchAll_Ct-1),AK22=0),H22,0)</f>
        <v>0</v>
      </c>
      <c r="BN22" s="199">
        <f>IF(AND(Input_Product=Elig!$C22,Elig_MatchAll_Ct&lt;22,$BC22=(Elig_MatchAll_Ct-1),AL22=0),I22,0)</f>
        <v>0</v>
      </c>
      <c r="BO22" s="199">
        <f>IF(AND(Input_Product=Elig!$C22,Elig_MatchAll_Ct&lt;22,$BC22=(Elig_MatchAll_Ct-1),AM22=0),J22,0)</f>
        <v>0</v>
      </c>
      <c r="BP22" s="199">
        <f>IF(AND(Input_Product=Elig!$C22,Elig_MatchAll_Ct&lt;22,$BC22=(Elig_MatchAll_Ct-1),AN22=0),K22,0)</f>
        <v>0</v>
      </c>
      <c r="BQ22" s="199">
        <f>IF(AND(Input_Product=Elig!$C22,Elig_MatchAll_Ct&lt;22,$BC22=(Elig_MatchAll_Ct-1),AP22=0),L22,0)</f>
        <v>0</v>
      </c>
      <c r="BR22" s="199">
        <f>IF(AND(Input_Product=Elig!$C22,Elig_MatchAll_Ct&lt;22,$BC22=(Elig_MatchAll_Ct-1),AO22=0),M22,0)</f>
        <v>0</v>
      </c>
      <c r="BS22" s="199">
        <f>IF(AND(Input_Product=Elig!$C22,Elig_MatchAll_Ct&lt;22,$BC22=(Elig_MatchAll_Ct-1),AQ22=0),N22,0)</f>
        <v>0</v>
      </c>
      <c r="BT22" s="199">
        <f>IF(AND(Input_Product=Elig!$C22,Elig_MatchAll_Ct&lt;22,$BC22=(Elig_MatchAll_Ct-1),AR22=0),O22,0)</f>
        <v>0</v>
      </c>
      <c r="BU22" s="199">
        <f>IF(AND(Input_Product=Elig!$C22,Elig_MatchAll_Ct&lt;22,$BC22=(Elig_MatchAll_Ct-1),AS22=0),P22,0)</f>
        <v>0</v>
      </c>
      <c r="BV22" s="200">
        <f>IF(AND(Input_Product=Elig!$C22,Elig_MatchAll_Ct&lt;22,$BC22=(Elig_MatchAll_Ct-1),AT22=0),Q22,0)</f>
        <v>0</v>
      </c>
      <c r="BW22" s="201">
        <f>IF(AND(Input_Product=Elig!$C22,Elig_MatchAll_Ct&lt;22,$BC22=(Elig_MatchAll_Ct-1),AU22=0),R22,0)</f>
        <v>0</v>
      </c>
      <c r="BX22" s="202">
        <f>IF(AND(Input_Product=Elig!$C22,Elig_MatchAll_Ct&lt;22,$BC22=(Elig_MatchAll_Ct-1),AU22=0),S22,0)</f>
        <v>0</v>
      </c>
      <c r="BY22" s="201">
        <f>IF(AND(Input_Product=Elig!$C22,Elig_MatchAll_Ct&lt;22,$BC22=(Elig_MatchAll_Ct-1),AV22=0),T22,0)</f>
        <v>0</v>
      </c>
      <c r="BZ22" s="202">
        <f>IF(AND(Input_Product=Elig!$C22,Elig_MatchAll_Ct&lt;22,$BC22=(Elig_MatchAll_Ct-1),AV22=0),U22,0)</f>
        <v>0</v>
      </c>
      <c r="CA22" s="201">
        <f>IF(AND(Input_Product=Elig!$C22,Elig_MatchAll_Ct&lt;22,$BC22=(Elig_MatchAll_Ct-1),AW22=0),V22,0)</f>
        <v>0</v>
      </c>
      <c r="CB22" s="202">
        <f>IF(AND(Input_Product=Elig!$C22,Elig_MatchAll_Ct&lt;22,$BC22=(Elig_MatchAll_Ct-1),AW22=0),W22,0)</f>
        <v>0</v>
      </c>
      <c r="CC22" s="201">
        <f>IF(AND(Input_Product=Elig!$C22,Elig_MatchAll_Ct&lt;22,$BC22=(Elig_MatchAll_Ct-1),AX22=0),X22,0)</f>
        <v>0</v>
      </c>
      <c r="CD22" s="202">
        <f>IF(AND(Input_Product=Elig!$C22,Elig_MatchAll_Ct&lt;22,$BC22=(Elig_MatchAll_Ct-1),AX22=0),Y22,0)</f>
        <v>0</v>
      </c>
      <c r="CE22" s="201">
        <f>IF(AND(Input_LTV&lt;=AE22,Input_Product=Elig!$C22,Elig_MatchAll_Ct&lt;22,$BC22=(Elig_MatchAll_Ct-1),AY22=0),Z22,0)</f>
        <v>0</v>
      </c>
      <c r="CF22" s="202">
        <f>IF(AND(Input_LTV&lt;=AE22,Input_Product=Elig!$C22,Elig_MatchAll_Ct&lt;22,$BC22=(Elig_MatchAll_Ct-1),AY22=0),AA22,0)</f>
        <v>0</v>
      </c>
      <c r="CG22" s="201">
        <f>IF(AND(Input_Product=Elig!$C22,Elig_MatchAll_Ct&lt;22,$BC22=(Elig_MatchAll_Ct-1),AZ22=0),AB22,0)</f>
        <v>0</v>
      </c>
      <c r="CH22" s="202">
        <f>IF(AND(Input_Product=Elig!$C22,Elig_MatchAll_Ct&lt;22,$BC22=(Elig_MatchAll_Ct-1),AZ22=0),AC22,0)</f>
        <v>0</v>
      </c>
      <c r="CI22" s="201">
        <f>IF(AND(Input_Product=Elig!$C22,Elig_MatchAll_Ct&lt;22,$BC22=(Elig_MatchAll_Ct-1),BA22=0),AD22,0)</f>
        <v>0</v>
      </c>
      <c r="CJ22" s="203">
        <f>IF(AND(Input_Product=Elig!$C22,Elig_MatchAll_Ct&lt;22,$BC22=(Elig_MatchAll_Ct-1),BA22=0),AE22,0)</f>
        <v>0</v>
      </c>
    </row>
    <row r="23" spans="2:88" ht="10.15" customHeight="1" x14ac:dyDescent="0.25">
      <c r="B23" s="1912" t="s">
        <v>783</v>
      </c>
      <c r="C23" s="134" t="str">
        <f t="shared" si="1"/>
        <v>NonQM OO</v>
      </c>
      <c r="D23" s="135" t="s">
        <v>3885</v>
      </c>
      <c r="E23" s="135" t="s">
        <v>167</v>
      </c>
      <c r="F23" s="135" t="s">
        <v>331</v>
      </c>
      <c r="G23" s="135" t="s">
        <v>304</v>
      </c>
      <c r="H23" s="135" t="s">
        <v>446</v>
      </c>
      <c r="I23" s="135" t="s">
        <v>274</v>
      </c>
      <c r="J23" s="135" t="s">
        <v>1311</v>
      </c>
      <c r="K23" s="135" t="s">
        <v>1631</v>
      </c>
      <c r="L23" s="221" t="s">
        <v>3920</v>
      </c>
      <c r="M23" s="135" t="s">
        <v>4203</v>
      </c>
      <c r="N23" s="135" t="s">
        <v>82</v>
      </c>
      <c r="O23" s="135" t="s">
        <v>310</v>
      </c>
      <c r="P23" s="135" t="s">
        <v>291</v>
      </c>
      <c r="Q23" s="135" t="s">
        <v>294</v>
      </c>
      <c r="R23" s="221">
        <v>100000</v>
      </c>
      <c r="S23" s="135">
        <v>1000000</v>
      </c>
      <c r="T23" s="135">
        <v>0</v>
      </c>
      <c r="U23" s="135">
        <v>0</v>
      </c>
      <c r="V23" s="135">
        <v>0</v>
      </c>
      <c r="W23" s="135">
        <v>55</v>
      </c>
      <c r="X23" s="135">
        <v>0</v>
      </c>
      <c r="Y23" s="135">
        <v>999</v>
      </c>
      <c r="Z23" s="137">
        <v>640</v>
      </c>
      <c r="AA23" s="137">
        <v>659</v>
      </c>
      <c r="AB23" s="137">
        <v>3</v>
      </c>
      <c r="AC23" s="137">
        <v>999999</v>
      </c>
      <c r="AD23" s="135">
        <v>0</v>
      </c>
      <c r="AE23" s="221">
        <v>80</v>
      </c>
      <c r="AF23" s="170">
        <v>0</v>
      </c>
      <c r="AG23" s="171">
        <v>1</v>
      </c>
      <c r="AH23" s="171">
        <v>1</v>
      </c>
      <c r="AI23" s="171">
        <v>1</v>
      </c>
      <c r="AJ23" s="171">
        <v>0</v>
      </c>
      <c r="AK23" s="171">
        <v>0</v>
      </c>
      <c r="AL23" s="171">
        <v>0</v>
      </c>
      <c r="AM23" s="171">
        <v>1</v>
      </c>
      <c r="AN23" s="171">
        <v>1</v>
      </c>
      <c r="AO23" s="171">
        <v>1</v>
      </c>
      <c r="AP23" s="171">
        <v>1</v>
      </c>
      <c r="AQ23" s="171">
        <v>1</v>
      </c>
      <c r="AR23" s="171">
        <v>1</v>
      </c>
      <c r="AS23" s="171">
        <v>1</v>
      </c>
      <c r="AT23" s="171">
        <v>1</v>
      </c>
      <c r="AU23" s="171">
        <f t="shared" si="2"/>
        <v>1</v>
      </c>
      <c r="AV23" s="171">
        <f t="shared" si="3"/>
        <v>0</v>
      </c>
      <c r="AW23" s="171">
        <f t="shared" si="4"/>
        <v>1</v>
      </c>
      <c r="AX23" s="171">
        <f t="shared" si="5"/>
        <v>1</v>
      </c>
      <c r="AY23" s="171">
        <f t="shared" si="6"/>
        <v>0</v>
      </c>
      <c r="AZ23" s="171">
        <f t="shared" si="7"/>
        <v>1</v>
      </c>
      <c r="BA23" s="172">
        <f t="shared" si="8"/>
        <v>1</v>
      </c>
      <c r="BB23" s="175">
        <f t="shared" si="17"/>
        <v>16</v>
      </c>
      <c r="BC23" s="176">
        <f t="shared" si="18"/>
        <v>15</v>
      </c>
      <c r="BD23" s="176">
        <f t="shared" si="19"/>
        <v>16</v>
      </c>
      <c r="BE23" s="240" t="str">
        <f t="shared" si="12"/>
        <v/>
      </c>
      <c r="BH23" s="198">
        <f>IF(AND(Input_Product=Elig!$C23,Elig_MatchAll_Ct&lt;22,$BC23=(Elig_MatchAll_Ct-1),AF23=0),C23,0)</f>
        <v>0</v>
      </c>
      <c r="BI23" s="199">
        <f>IF(AND(Input_Product=Elig!$C23,Elig_MatchAll_Ct&lt;22,$BC23=(Elig_MatchAll_Ct-1),AG23=0),D23,0)</f>
        <v>0</v>
      </c>
      <c r="BJ23" s="199">
        <f>IF(AND(Input_Product=Elig!$C23,Elig_MatchAll_Ct&lt;22,$BC23=(Elig_MatchAll_Ct-1),AH23=0),E23,0)</f>
        <v>0</v>
      </c>
      <c r="BK23" s="199">
        <f>IF(AND(Input_Product=Elig!$C23,Elig_MatchAll_Ct&lt;22,$BC23=(Elig_MatchAll_Ct-1),AI23=0),F23,0)</f>
        <v>0</v>
      </c>
      <c r="BL23" s="199">
        <f>IF(AND(Input_Product=Elig!$C23,Elig_MatchAll_Ct&lt;22,$BC23=(Elig_MatchAll_Ct-1),AJ23=0),G23,0)</f>
        <v>0</v>
      </c>
      <c r="BM23" s="199">
        <f>IF(AND(Input_Product=Elig!$C23,Elig_MatchAll_Ct&lt;22,$BC23=(Elig_MatchAll_Ct-1),AK23=0),H23,0)</f>
        <v>0</v>
      </c>
      <c r="BN23" s="199">
        <f>IF(AND(Input_Product=Elig!$C23,Elig_MatchAll_Ct&lt;22,$BC23=(Elig_MatchAll_Ct-1),AL23=0),I23,0)</f>
        <v>0</v>
      </c>
      <c r="BO23" s="199">
        <f>IF(AND(Input_Product=Elig!$C23,Elig_MatchAll_Ct&lt;22,$BC23=(Elig_MatchAll_Ct-1),AM23=0),J23,0)</f>
        <v>0</v>
      </c>
      <c r="BP23" s="199">
        <f>IF(AND(Input_Product=Elig!$C23,Elig_MatchAll_Ct&lt;22,$BC23=(Elig_MatchAll_Ct-1),AN23=0),K23,0)</f>
        <v>0</v>
      </c>
      <c r="BQ23" s="199">
        <f>IF(AND(Input_Product=Elig!$C23,Elig_MatchAll_Ct&lt;22,$BC23=(Elig_MatchAll_Ct-1),AP23=0),L23,0)</f>
        <v>0</v>
      </c>
      <c r="BR23" s="199">
        <f>IF(AND(Input_Product=Elig!$C23,Elig_MatchAll_Ct&lt;22,$BC23=(Elig_MatchAll_Ct-1),AO23=0),M23,0)</f>
        <v>0</v>
      </c>
      <c r="BS23" s="199">
        <f>IF(AND(Input_Product=Elig!$C23,Elig_MatchAll_Ct&lt;22,$BC23=(Elig_MatchAll_Ct-1),AQ23=0),N23,0)</f>
        <v>0</v>
      </c>
      <c r="BT23" s="199">
        <f>IF(AND(Input_Product=Elig!$C23,Elig_MatchAll_Ct&lt;22,$BC23=(Elig_MatchAll_Ct-1),AR23=0),O23,0)</f>
        <v>0</v>
      </c>
      <c r="BU23" s="199">
        <f>IF(AND(Input_Product=Elig!$C23,Elig_MatchAll_Ct&lt;22,$BC23=(Elig_MatchAll_Ct-1),AS23=0),P23,0)</f>
        <v>0</v>
      </c>
      <c r="BV23" s="200">
        <f>IF(AND(Input_Product=Elig!$C23,Elig_MatchAll_Ct&lt;22,$BC23=(Elig_MatchAll_Ct-1),AT23=0),Q23,0)</f>
        <v>0</v>
      </c>
      <c r="BW23" s="201">
        <f>IF(AND(Input_Product=Elig!$C23,Elig_MatchAll_Ct&lt;22,$BC23=(Elig_MatchAll_Ct-1),AU23=0),R23,0)</f>
        <v>0</v>
      </c>
      <c r="BX23" s="202">
        <f>IF(AND(Input_Product=Elig!$C23,Elig_MatchAll_Ct&lt;22,$BC23=(Elig_MatchAll_Ct-1),AU23=0),S23,0)</f>
        <v>0</v>
      </c>
      <c r="BY23" s="201">
        <f>IF(AND(Input_Product=Elig!$C23,Elig_MatchAll_Ct&lt;22,$BC23=(Elig_MatchAll_Ct-1),AV23=0),T23,0)</f>
        <v>0</v>
      </c>
      <c r="BZ23" s="202">
        <f>IF(AND(Input_Product=Elig!$C23,Elig_MatchAll_Ct&lt;22,$BC23=(Elig_MatchAll_Ct-1),AV23=0),U23,0)</f>
        <v>0</v>
      </c>
      <c r="CA23" s="201">
        <f>IF(AND(Input_Product=Elig!$C23,Elig_MatchAll_Ct&lt;22,$BC23=(Elig_MatchAll_Ct-1),AW23=0),V23,0)</f>
        <v>0</v>
      </c>
      <c r="CB23" s="202">
        <f>IF(AND(Input_Product=Elig!$C23,Elig_MatchAll_Ct&lt;22,$BC23=(Elig_MatchAll_Ct-1),AW23=0),W23,0)</f>
        <v>0</v>
      </c>
      <c r="CC23" s="201">
        <f>IF(AND(Input_Product=Elig!$C23,Elig_MatchAll_Ct&lt;22,$BC23=(Elig_MatchAll_Ct-1),AX23=0),X23,0)</f>
        <v>0</v>
      </c>
      <c r="CD23" s="202">
        <f>IF(AND(Input_Product=Elig!$C23,Elig_MatchAll_Ct&lt;22,$BC23=(Elig_MatchAll_Ct-1),AX23=0),Y23,0)</f>
        <v>0</v>
      </c>
      <c r="CE23" s="201">
        <f>IF(AND(Input_LTV&lt;=AE23,Input_Product=Elig!$C23,Elig_MatchAll_Ct&lt;22,$BC23=(Elig_MatchAll_Ct-1),AY23=0),Z23,0)</f>
        <v>0</v>
      </c>
      <c r="CF23" s="202">
        <f>IF(AND(Input_LTV&lt;=AE23,Input_Product=Elig!$C23,Elig_MatchAll_Ct&lt;22,$BC23=(Elig_MatchAll_Ct-1),AY23=0),AA23,0)</f>
        <v>0</v>
      </c>
      <c r="CG23" s="201">
        <f>IF(AND(Input_Product=Elig!$C23,Elig_MatchAll_Ct&lt;22,$BC23=(Elig_MatchAll_Ct-1),AZ23=0),AB23,0)</f>
        <v>0</v>
      </c>
      <c r="CH23" s="202">
        <f>IF(AND(Input_Product=Elig!$C23,Elig_MatchAll_Ct&lt;22,$BC23=(Elig_MatchAll_Ct-1),AZ23=0),AC23,0)</f>
        <v>0</v>
      </c>
      <c r="CI23" s="201">
        <f>IF(AND(Input_Product=Elig!$C23,Elig_MatchAll_Ct&lt;22,$BC23=(Elig_MatchAll_Ct-1),BA23=0),AD23,0)</f>
        <v>0</v>
      </c>
      <c r="CJ23" s="203">
        <f>IF(AND(Input_Product=Elig!$C23,Elig_MatchAll_Ct&lt;22,$BC23=(Elig_MatchAll_Ct-1),BA23=0),AE23,0)</f>
        <v>0</v>
      </c>
    </row>
    <row r="24" spans="2:88" ht="10.15" customHeight="1" x14ac:dyDescent="0.25">
      <c r="B24" s="1912" t="s">
        <v>784</v>
      </c>
      <c r="C24" s="138" t="str">
        <f t="shared" si="1"/>
        <v>NonQM OO</v>
      </c>
      <c r="D24" s="139" t="s">
        <v>3885</v>
      </c>
      <c r="E24" s="139" t="s">
        <v>167</v>
      </c>
      <c r="F24" s="139" t="s">
        <v>331</v>
      </c>
      <c r="G24" s="139" t="s">
        <v>304</v>
      </c>
      <c r="H24" s="139" t="s">
        <v>446</v>
      </c>
      <c r="I24" s="139" t="s">
        <v>274</v>
      </c>
      <c r="J24" s="139" t="s">
        <v>1311</v>
      </c>
      <c r="K24" s="139" t="s">
        <v>1631</v>
      </c>
      <c r="L24" s="310" t="s">
        <v>3920</v>
      </c>
      <c r="M24" s="139" t="s">
        <v>4203</v>
      </c>
      <c r="N24" s="139" t="s">
        <v>82</v>
      </c>
      <c r="O24" s="139" t="s">
        <v>310</v>
      </c>
      <c r="P24" s="139" t="s">
        <v>291</v>
      </c>
      <c r="Q24" s="139" t="s">
        <v>294</v>
      </c>
      <c r="R24" s="310">
        <v>100000</v>
      </c>
      <c r="S24" s="139">
        <v>1000000</v>
      </c>
      <c r="T24" s="139">
        <v>0</v>
      </c>
      <c r="U24" s="139">
        <v>0</v>
      </c>
      <c r="V24" s="139">
        <v>0</v>
      </c>
      <c r="W24" s="139">
        <v>55</v>
      </c>
      <c r="X24" s="139">
        <v>0</v>
      </c>
      <c r="Y24" s="139">
        <v>999</v>
      </c>
      <c r="Z24" s="140">
        <v>620</v>
      </c>
      <c r="AA24" s="140">
        <v>639</v>
      </c>
      <c r="AB24" s="140">
        <v>3</v>
      </c>
      <c r="AC24" s="140">
        <v>999999</v>
      </c>
      <c r="AD24" s="139">
        <v>0</v>
      </c>
      <c r="AE24" s="310">
        <v>80</v>
      </c>
      <c r="AF24" s="170">
        <v>0</v>
      </c>
      <c r="AG24" s="171">
        <v>1</v>
      </c>
      <c r="AH24" s="171">
        <v>1</v>
      </c>
      <c r="AI24" s="171">
        <v>1</v>
      </c>
      <c r="AJ24" s="171">
        <v>0</v>
      </c>
      <c r="AK24" s="171">
        <v>0</v>
      </c>
      <c r="AL24" s="171">
        <v>0</v>
      </c>
      <c r="AM24" s="171">
        <v>1</v>
      </c>
      <c r="AN24" s="171">
        <v>1</v>
      </c>
      <c r="AO24" s="171">
        <v>1</v>
      </c>
      <c r="AP24" s="171">
        <v>1</v>
      </c>
      <c r="AQ24" s="171">
        <v>1</v>
      </c>
      <c r="AR24" s="171">
        <v>1</v>
      </c>
      <c r="AS24" s="171">
        <v>1</v>
      </c>
      <c r="AT24" s="171">
        <v>1</v>
      </c>
      <c r="AU24" s="171">
        <f t="shared" si="2"/>
        <v>1</v>
      </c>
      <c r="AV24" s="171">
        <f t="shared" si="3"/>
        <v>0</v>
      </c>
      <c r="AW24" s="171">
        <f t="shared" si="4"/>
        <v>1</v>
      </c>
      <c r="AX24" s="171">
        <f t="shared" si="5"/>
        <v>1</v>
      </c>
      <c r="AY24" s="171">
        <f t="shared" si="6"/>
        <v>0</v>
      </c>
      <c r="AZ24" s="171">
        <f t="shared" si="7"/>
        <v>1</v>
      </c>
      <c r="BA24" s="172">
        <f t="shared" si="8"/>
        <v>1</v>
      </c>
      <c r="BB24" s="175">
        <f t="shared" si="17"/>
        <v>16</v>
      </c>
      <c r="BC24" s="176">
        <f t="shared" si="18"/>
        <v>15</v>
      </c>
      <c r="BD24" s="176">
        <f t="shared" si="19"/>
        <v>16</v>
      </c>
      <c r="BE24" s="240" t="str">
        <f t="shared" si="12"/>
        <v/>
      </c>
      <c r="BH24" s="204">
        <f>IF(AND(Input_Product=Elig!$C24,Elig_MatchAll_Ct&lt;22,$BC24=(Elig_MatchAll_Ct-1),AF24=0),C24,0)</f>
        <v>0</v>
      </c>
      <c r="BI24" s="205">
        <f>IF(AND(Input_Product=Elig!$C24,Elig_MatchAll_Ct&lt;22,$BC24=(Elig_MatchAll_Ct-1),AG24=0),D24,0)</f>
        <v>0</v>
      </c>
      <c r="BJ24" s="205">
        <f>IF(AND(Input_Product=Elig!$C24,Elig_MatchAll_Ct&lt;22,$BC24=(Elig_MatchAll_Ct-1),AH24=0),E24,0)</f>
        <v>0</v>
      </c>
      <c r="BK24" s="205">
        <f>IF(AND(Input_Product=Elig!$C24,Elig_MatchAll_Ct&lt;22,$BC24=(Elig_MatchAll_Ct-1),AI24=0),F24,0)</f>
        <v>0</v>
      </c>
      <c r="BL24" s="205">
        <f>IF(AND(Input_Product=Elig!$C24,Elig_MatchAll_Ct&lt;22,$BC24=(Elig_MatchAll_Ct-1),AJ24=0),G24,0)</f>
        <v>0</v>
      </c>
      <c r="BM24" s="205">
        <f>IF(AND(Input_Product=Elig!$C24,Elig_MatchAll_Ct&lt;22,$BC24=(Elig_MatchAll_Ct-1),AK24=0),H24,0)</f>
        <v>0</v>
      </c>
      <c r="BN24" s="205">
        <f>IF(AND(Input_Product=Elig!$C24,Elig_MatchAll_Ct&lt;22,$BC24=(Elig_MatchAll_Ct-1),AL24=0),I24,0)</f>
        <v>0</v>
      </c>
      <c r="BO24" s="205">
        <f>IF(AND(Input_Product=Elig!$C24,Elig_MatchAll_Ct&lt;22,$BC24=(Elig_MatchAll_Ct-1),AM24=0),J24,0)</f>
        <v>0</v>
      </c>
      <c r="BP24" s="205">
        <f>IF(AND(Input_Product=Elig!$C24,Elig_MatchAll_Ct&lt;22,$BC24=(Elig_MatchAll_Ct-1),AN24=0),K24,0)</f>
        <v>0</v>
      </c>
      <c r="BQ24" s="205">
        <f>IF(AND(Input_Product=Elig!$C24,Elig_MatchAll_Ct&lt;22,$BC24=(Elig_MatchAll_Ct-1),AP24=0),L24,0)</f>
        <v>0</v>
      </c>
      <c r="BR24" s="205">
        <f>IF(AND(Input_Product=Elig!$C24,Elig_MatchAll_Ct&lt;22,$BC24=(Elig_MatchAll_Ct-1),AO24=0),M24,0)</f>
        <v>0</v>
      </c>
      <c r="BS24" s="205">
        <f>IF(AND(Input_Product=Elig!$C24,Elig_MatchAll_Ct&lt;22,$BC24=(Elig_MatchAll_Ct-1),AQ24=0),N24,0)</f>
        <v>0</v>
      </c>
      <c r="BT24" s="205">
        <f>IF(AND(Input_Product=Elig!$C24,Elig_MatchAll_Ct&lt;22,$BC24=(Elig_MatchAll_Ct-1),AR24=0),O24,0)</f>
        <v>0</v>
      </c>
      <c r="BU24" s="205">
        <f>IF(AND(Input_Product=Elig!$C24,Elig_MatchAll_Ct&lt;22,$BC24=(Elig_MatchAll_Ct-1),AS24=0),P24,0)</f>
        <v>0</v>
      </c>
      <c r="BV24" s="206">
        <f>IF(AND(Input_Product=Elig!$C24,Elig_MatchAll_Ct&lt;22,$BC24=(Elig_MatchAll_Ct-1),AT24=0),Q24,0)</f>
        <v>0</v>
      </c>
      <c r="BW24" s="207">
        <f>IF(AND(Input_Product=Elig!$C24,Elig_MatchAll_Ct&lt;22,$BC24=(Elig_MatchAll_Ct-1),AU24=0),R24,0)</f>
        <v>0</v>
      </c>
      <c r="BX24" s="208">
        <f>IF(AND(Input_Product=Elig!$C24,Elig_MatchAll_Ct&lt;22,$BC24=(Elig_MatchAll_Ct-1),AU24=0),S24,0)</f>
        <v>0</v>
      </c>
      <c r="BY24" s="207">
        <f>IF(AND(Input_Product=Elig!$C24,Elig_MatchAll_Ct&lt;22,$BC24=(Elig_MatchAll_Ct-1),AV24=0),T24,0)</f>
        <v>0</v>
      </c>
      <c r="BZ24" s="208">
        <f>IF(AND(Input_Product=Elig!$C24,Elig_MatchAll_Ct&lt;22,$BC24=(Elig_MatchAll_Ct-1),AV24=0),U24,0)</f>
        <v>0</v>
      </c>
      <c r="CA24" s="207">
        <f>IF(AND(Input_Product=Elig!$C24,Elig_MatchAll_Ct&lt;22,$BC24=(Elig_MatchAll_Ct-1),AW24=0),V24,0)</f>
        <v>0</v>
      </c>
      <c r="CB24" s="208">
        <f>IF(AND(Input_Product=Elig!$C24,Elig_MatchAll_Ct&lt;22,$BC24=(Elig_MatchAll_Ct-1),AW24=0),W24,0)</f>
        <v>0</v>
      </c>
      <c r="CC24" s="207">
        <f>IF(AND(Input_Product=Elig!$C24,Elig_MatchAll_Ct&lt;22,$BC24=(Elig_MatchAll_Ct-1),AX24=0),X24,0)</f>
        <v>0</v>
      </c>
      <c r="CD24" s="208">
        <f>IF(AND(Input_Product=Elig!$C24,Elig_MatchAll_Ct&lt;22,$BC24=(Elig_MatchAll_Ct-1),AX24=0),Y24,0)</f>
        <v>0</v>
      </c>
      <c r="CE24" s="207">
        <f>IF(AND(Input_LTV&lt;=AE24,Input_Product=Elig!$C24,Elig_MatchAll_Ct&lt;22,$BC24=(Elig_MatchAll_Ct-1),AY24=0),Z24,0)</f>
        <v>0</v>
      </c>
      <c r="CF24" s="208">
        <f>IF(AND(Input_LTV&lt;=AE24,Input_Product=Elig!$C24,Elig_MatchAll_Ct&lt;22,$BC24=(Elig_MatchAll_Ct-1),AY24=0),AA24,0)</f>
        <v>0</v>
      </c>
      <c r="CG24" s="207">
        <f>IF(AND(Input_Product=Elig!$C24,Elig_MatchAll_Ct&lt;22,$BC24=(Elig_MatchAll_Ct-1),AZ24=0),AB24,0)</f>
        <v>0</v>
      </c>
      <c r="CH24" s="208">
        <f>IF(AND(Input_Product=Elig!$C24,Elig_MatchAll_Ct&lt;22,$BC24=(Elig_MatchAll_Ct-1),AZ24=0),AC24,0)</f>
        <v>0</v>
      </c>
      <c r="CI24" s="207">
        <f>IF(AND(Input_Product=Elig!$C24,Elig_MatchAll_Ct&lt;22,$BC24=(Elig_MatchAll_Ct-1),BA24=0),AD24,0)</f>
        <v>0</v>
      </c>
      <c r="CJ24" s="209">
        <f>IF(AND(Input_Product=Elig!$C24,Elig_MatchAll_Ct&lt;22,$BC24=(Elig_MatchAll_Ct-1),BA24=0),AE24,0)</f>
        <v>0</v>
      </c>
    </row>
    <row r="25" spans="2:88" ht="10.15" customHeight="1" x14ac:dyDescent="0.25">
      <c r="B25" s="1912" t="s">
        <v>785</v>
      </c>
      <c r="C25" s="141" t="str">
        <f t="shared" si="1"/>
        <v>NonQM OO</v>
      </c>
      <c r="D25" s="142" t="s">
        <v>3885</v>
      </c>
      <c r="E25" s="143" t="s">
        <v>167</v>
      </c>
      <c r="F25" s="143" t="s">
        <v>331</v>
      </c>
      <c r="G25" s="143" t="s">
        <v>304</v>
      </c>
      <c r="H25" s="143" t="s">
        <v>446</v>
      </c>
      <c r="I25" s="142" t="s">
        <v>16</v>
      </c>
      <c r="J25" s="142" t="s">
        <v>1311</v>
      </c>
      <c r="K25" s="142" t="s">
        <v>1631</v>
      </c>
      <c r="L25" s="2131" t="s">
        <v>3920</v>
      </c>
      <c r="M25" s="143" t="s">
        <v>4203</v>
      </c>
      <c r="N25" s="143" t="s">
        <v>82</v>
      </c>
      <c r="O25" s="143" t="s">
        <v>310</v>
      </c>
      <c r="P25" s="143" t="s">
        <v>291</v>
      </c>
      <c r="Q25" s="143" t="s">
        <v>294</v>
      </c>
      <c r="R25" s="320">
        <v>100000</v>
      </c>
      <c r="S25" s="142">
        <v>1000000</v>
      </c>
      <c r="T25" s="142">
        <v>0</v>
      </c>
      <c r="U25" s="142">
        <f t="shared" ref="U25:U30" si="20">S25</f>
        <v>1000000</v>
      </c>
      <c r="V25" s="142">
        <v>0</v>
      </c>
      <c r="W25" s="142">
        <v>55</v>
      </c>
      <c r="X25" s="142">
        <v>0</v>
      </c>
      <c r="Y25" s="142">
        <v>999</v>
      </c>
      <c r="Z25" s="144">
        <v>720</v>
      </c>
      <c r="AA25" s="144">
        <v>999</v>
      </c>
      <c r="AB25" s="144">
        <v>3</v>
      </c>
      <c r="AC25" s="144">
        <v>999999</v>
      </c>
      <c r="AD25" s="142">
        <v>0</v>
      </c>
      <c r="AE25" s="142">
        <v>80</v>
      </c>
      <c r="AF25" s="170">
        <v>0</v>
      </c>
      <c r="AG25" s="171">
        <v>1</v>
      </c>
      <c r="AH25" s="171">
        <v>1</v>
      </c>
      <c r="AI25" s="171">
        <v>1</v>
      </c>
      <c r="AJ25" s="171">
        <v>0</v>
      </c>
      <c r="AK25" s="171">
        <v>0</v>
      </c>
      <c r="AL25" s="171">
        <v>1</v>
      </c>
      <c r="AM25" s="171">
        <v>1</v>
      </c>
      <c r="AN25" s="171">
        <v>1</v>
      </c>
      <c r="AO25" s="171">
        <v>1</v>
      </c>
      <c r="AP25" s="171">
        <v>1</v>
      </c>
      <c r="AQ25" s="171">
        <v>1</v>
      </c>
      <c r="AR25" s="171">
        <v>1</v>
      </c>
      <c r="AS25" s="171">
        <v>1</v>
      </c>
      <c r="AT25" s="171">
        <v>1</v>
      </c>
      <c r="AU25" s="171">
        <f t="shared" si="2"/>
        <v>1</v>
      </c>
      <c r="AV25" s="171">
        <f t="shared" si="3"/>
        <v>1</v>
      </c>
      <c r="AW25" s="171">
        <f t="shared" si="4"/>
        <v>1</v>
      </c>
      <c r="AX25" s="171">
        <f t="shared" si="5"/>
        <v>1</v>
      </c>
      <c r="AY25" s="171">
        <f t="shared" si="6"/>
        <v>1</v>
      </c>
      <c r="AZ25" s="171">
        <f t="shared" si="7"/>
        <v>1</v>
      </c>
      <c r="BA25" s="172">
        <f t="shared" si="8"/>
        <v>1</v>
      </c>
      <c r="BB25" s="175">
        <f t="shared" si="17"/>
        <v>19</v>
      </c>
      <c r="BC25" s="176">
        <f t="shared" si="18"/>
        <v>18</v>
      </c>
      <c r="BD25" s="176">
        <f t="shared" si="19"/>
        <v>19</v>
      </c>
      <c r="BE25" s="240" t="str">
        <f t="shared" si="12"/>
        <v/>
      </c>
      <c r="BH25" s="192">
        <f>IF(AND(Input_Product=Elig!$C25,Elig_MatchAll_Ct&lt;22,$BC25=(Elig_MatchAll_Ct-1),AF25=0),C25,0)</f>
        <v>0</v>
      </c>
      <c r="BI25" s="193">
        <f>IF(AND(Input_Product=Elig!$C25,Elig_MatchAll_Ct&lt;22,$BC25=(Elig_MatchAll_Ct-1),AG25=0),D25,0)</f>
        <v>0</v>
      </c>
      <c r="BJ25" s="193">
        <f>IF(AND(Input_Product=Elig!$C25,Elig_MatchAll_Ct&lt;22,$BC25=(Elig_MatchAll_Ct-1),AH25=0),E25,0)</f>
        <v>0</v>
      </c>
      <c r="BK25" s="193">
        <f>IF(AND(Input_Product=Elig!$C25,Elig_MatchAll_Ct&lt;22,$BC25=(Elig_MatchAll_Ct-1),AI25=0),F25,0)</f>
        <v>0</v>
      </c>
      <c r="BL25" s="193">
        <f>IF(AND(Input_Product=Elig!$C25,Elig_MatchAll_Ct&lt;22,$BC25=(Elig_MatchAll_Ct-1),AJ25=0),G25,0)</f>
        <v>0</v>
      </c>
      <c r="BM25" s="193">
        <f>IF(AND(Input_Product=Elig!$C25,Elig_MatchAll_Ct&lt;22,$BC25=(Elig_MatchAll_Ct-1),AK25=0),H25,0)</f>
        <v>0</v>
      </c>
      <c r="BN25" s="193">
        <f>IF(AND(Input_Product=Elig!$C25,Elig_MatchAll_Ct&lt;22,$BC25=(Elig_MatchAll_Ct-1),AL25=0),I25,0)</f>
        <v>0</v>
      </c>
      <c r="BO25" s="193">
        <f>IF(AND(Input_Product=Elig!$C25,Elig_MatchAll_Ct&lt;22,$BC25=(Elig_MatchAll_Ct-1),AM25=0),J25,0)</f>
        <v>0</v>
      </c>
      <c r="BP25" s="193">
        <f>IF(AND(Input_Product=Elig!$C25,Elig_MatchAll_Ct&lt;22,$BC25=(Elig_MatchAll_Ct-1),AN25=0),K25,0)</f>
        <v>0</v>
      </c>
      <c r="BQ25" s="193">
        <f>IF(AND(Input_Product=Elig!$C25,Elig_MatchAll_Ct&lt;22,$BC25=(Elig_MatchAll_Ct-1),AP25=0),L25,0)</f>
        <v>0</v>
      </c>
      <c r="BR25" s="193">
        <f>IF(AND(Input_Product=Elig!$C25,Elig_MatchAll_Ct&lt;22,$BC25=(Elig_MatchAll_Ct-1),AO25=0),M25,0)</f>
        <v>0</v>
      </c>
      <c r="BS25" s="193">
        <f>IF(AND(Input_Product=Elig!$C25,Elig_MatchAll_Ct&lt;22,$BC25=(Elig_MatchAll_Ct-1),AQ25=0),N25,0)</f>
        <v>0</v>
      </c>
      <c r="BT25" s="193">
        <f>IF(AND(Input_Product=Elig!$C25,Elig_MatchAll_Ct&lt;22,$BC25=(Elig_MatchAll_Ct-1),AR25=0),O25,0)</f>
        <v>0</v>
      </c>
      <c r="BU25" s="193">
        <f>IF(AND(Input_Product=Elig!$C25,Elig_MatchAll_Ct&lt;22,$BC25=(Elig_MatchAll_Ct-1),AS25=0),P25,0)</f>
        <v>0</v>
      </c>
      <c r="BV25" s="194">
        <f>IF(AND(Input_Product=Elig!$C25,Elig_MatchAll_Ct&lt;22,$BC25=(Elig_MatchAll_Ct-1),AT25=0),Q25,0)</f>
        <v>0</v>
      </c>
      <c r="BW25" s="195">
        <f>IF(AND(Input_Product=Elig!$C25,Elig_MatchAll_Ct&lt;22,$BC25=(Elig_MatchAll_Ct-1),AU25=0),R25,0)</f>
        <v>0</v>
      </c>
      <c r="BX25" s="196">
        <f>IF(AND(Input_Product=Elig!$C25,Elig_MatchAll_Ct&lt;22,$BC25=(Elig_MatchAll_Ct-1),AU25=0),S25,0)</f>
        <v>0</v>
      </c>
      <c r="BY25" s="195">
        <f>IF(AND(Input_Product=Elig!$C25,Elig_MatchAll_Ct&lt;22,$BC25=(Elig_MatchAll_Ct-1),AV25=0),T25,0)</f>
        <v>0</v>
      </c>
      <c r="BZ25" s="196">
        <f>IF(AND(Input_Product=Elig!$C25,Elig_MatchAll_Ct&lt;22,$BC25=(Elig_MatchAll_Ct-1),AV25=0),U25,0)</f>
        <v>0</v>
      </c>
      <c r="CA25" s="195">
        <f>IF(AND(Input_Product=Elig!$C25,Elig_MatchAll_Ct&lt;22,$BC25=(Elig_MatchAll_Ct-1),AW25=0),V25,0)</f>
        <v>0</v>
      </c>
      <c r="CB25" s="196">
        <f>IF(AND(Input_Product=Elig!$C25,Elig_MatchAll_Ct&lt;22,$BC25=(Elig_MatchAll_Ct-1),AW25=0),W25,0)</f>
        <v>0</v>
      </c>
      <c r="CC25" s="195">
        <f>IF(AND(Input_Product=Elig!$C25,Elig_MatchAll_Ct&lt;22,$BC25=(Elig_MatchAll_Ct-1),AX25=0),X25,0)</f>
        <v>0</v>
      </c>
      <c r="CD25" s="196">
        <f>IF(AND(Input_Product=Elig!$C25,Elig_MatchAll_Ct&lt;22,$BC25=(Elig_MatchAll_Ct-1),AX25=0),Y25,0)</f>
        <v>0</v>
      </c>
      <c r="CE25" s="195">
        <f>IF(AND(Input_LTV&lt;=AE25,Input_Product=Elig!$C25,Elig_MatchAll_Ct&lt;22,$BC25=(Elig_MatchAll_Ct-1),AY25=0),Z25,0)</f>
        <v>0</v>
      </c>
      <c r="CF25" s="196">
        <f>IF(AND(Input_LTV&lt;=AE25,Input_Product=Elig!$C25,Elig_MatchAll_Ct&lt;22,$BC25=(Elig_MatchAll_Ct-1),AY25=0),AA25,0)</f>
        <v>0</v>
      </c>
      <c r="CG25" s="195">
        <f>IF(AND(Input_Product=Elig!$C25,Elig_MatchAll_Ct&lt;22,$BC25=(Elig_MatchAll_Ct-1),AZ25=0),AB25,0)</f>
        <v>0</v>
      </c>
      <c r="CH25" s="196">
        <f>IF(AND(Input_Product=Elig!$C25,Elig_MatchAll_Ct&lt;22,$BC25=(Elig_MatchAll_Ct-1),AZ25=0),AC25,0)</f>
        <v>0</v>
      </c>
      <c r="CI25" s="195">
        <f>IF(AND(Input_Product=Elig!$C25,Elig_MatchAll_Ct&lt;22,$BC25=(Elig_MatchAll_Ct-1),BA25=0),AD25,0)</f>
        <v>0</v>
      </c>
      <c r="CJ25" s="197">
        <f>IF(AND(Input_Product=Elig!$C25,Elig_MatchAll_Ct&lt;22,$BC25=(Elig_MatchAll_Ct-1),BA25=0),AE25,0)</f>
        <v>0</v>
      </c>
    </row>
    <row r="26" spans="2:88" ht="10.15" customHeight="1" x14ac:dyDescent="0.25">
      <c r="B26" s="1912" t="s">
        <v>786</v>
      </c>
      <c r="C26" s="134" t="str">
        <f t="shared" si="1"/>
        <v>NonQM OO</v>
      </c>
      <c r="D26" s="135" t="s">
        <v>3885</v>
      </c>
      <c r="E26" s="135" t="s">
        <v>167</v>
      </c>
      <c r="F26" s="135" t="s">
        <v>331</v>
      </c>
      <c r="G26" s="135" t="s">
        <v>304</v>
      </c>
      <c r="H26" s="135" t="s">
        <v>446</v>
      </c>
      <c r="I26" s="136" t="s">
        <v>16</v>
      </c>
      <c r="J26" s="136" t="s">
        <v>1311</v>
      </c>
      <c r="K26" s="136" t="s">
        <v>1631</v>
      </c>
      <c r="L26" s="221" t="s">
        <v>3920</v>
      </c>
      <c r="M26" s="135" t="s">
        <v>4203</v>
      </c>
      <c r="N26" s="135" t="s">
        <v>82</v>
      </c>
      <c r="O26" s="135" t="s">
        <v>310</v>
      </c>
      <c r="P26" s="135" t="s">
        <v>291</v>
      </c>
      <c r="Q26" s="135" t="s">
        <v>294</v>
      </c>
      <c r="R26" s="221">
        <v>100000</v>
      </c>
      <c r="S26" s="135">
        <v>1000000</v>
      </c>
      <c r="T26" s="135">
        <v>0</v>
      </c>
      <c r="U26" s="135">
        <f t="shared" si="20"/>
        <v>1000000</v>
      </c>
      <c r="V26" s="135">
        <v>0</v>
      </c>
      <c r="W26" s="135">
        <v>55</v>
      </c>
      <c r="X26" s="135">
        <v>0</v>
      </c>
      <c r="Y26" s="135">
        <v>999</v>
      </c>
      <c r="Z26" s="137">
        <v>700</v>
      </c>
      <c r="AA26" s="137">
        <v>719</v>
      </c>
      <c r="AB26" s="137">
        <v>3</v>
      </c>
      <c r="AC26" s="137">
        <v>999999</v>
      </c>
      <c r="AD26" s="135">
        <v>0</v>
      </c>
      <c r="AE26" s="135">
        <v>80</v>
      </c>
      <c r="AF26" s="170">
        <v>0</v>
      </c>
      <c r="AG26" s="171">
        <v>1</v>
      </c>
      <c r="AH26" s="171">
        <v>1</v>
      </c>
      <c r="AI26" s="171">
        <v>1</v>
      </c>
      <c r="AJ26" s="171">
        <v>0</v>
      </c>
      <c r="AK26" s="171">
        <v>0</v>
      </c>
      <c r="AL26" s="171">
        <v>1</v>
      </c>
      <c r="AM26" s="171">
        <v>1</v>
      </c>
      <c r="AN26" s="171">
        <v>1</v>
      </c>
      <c r="AO26" s="171">
        <v>1</v>
      </c>
      <c r="AP26" s="171">
        <v>1</v>
      </c>
      <c r="AQ26" s="171">
        <v>1</v>
      </c>
      <c r="AR26" s="171">
        <v>1</v>
      </c>
      <c r="AS26" s="171">
        <v>1</v>
      </c>
      <c r="AT26" s="171">
        <v>1</v>
      </c>
      <c r="AU26" s="171">
        <f t="shared" si="2"/>
        <v>1</v>
      </c>
      <c r="AV26" s="171">
        <f t="shared" si="3"/>
        <v>1</v>
      </c>
      <c r="AW26" s="171">
        <f t="shared" si="4"/>
        <v>1</v>
      </c>
      <c r="AX26" s="171">
        <f t="shared" si="5"/>
        <v>1</v>
      </c>
      <c r="AY26" s="171">
        <f t="shared" si="6"/>
        <v>0</v>
      </c>
      <c r="AZ26" s="171">
        <f t="shared" si="7"/>
        <v>1</v>
      </c>
      <c r="BA26" s="172">
        <f t="shared" si="8"/>
        <v>1</v>
      </c>
      <c r="BB26" s="175">
        <f t="shared" si="17"/>
        <v>18</v>
      </c>
      <c r="BC26" s="176">
        <f t="shared" si="18"/>
        <v>17</v>
      </c>
      <c r="BD26" s="176">
        <f t="shared" si="19"/>
        <v>18</v>
      </c>
      <c r="BE26" s="240" t="str">
        <f t="shared" si="12"/>
        <v/>
      </c>
      <c r="BH26" s="198">
        <f>IF(AND(Input_Product=Elig!$C26,Elig_MatchAll_Ct&lt;22,$BC26=(Elig_MatchAll_Ct-1),AF26=0),C26,0)</f>
        <v>0</v>
      </c>
      <c r="BI26" s="199">
        <f>IF(AND(Input_Product=Elig!$C26,Elig_MatchAll_Ct&lt;22,$BC26=(Elig_MatchAll_Ct-1),AG26=0),D26,0)</f>
        <v>0</v>
      </c>
      <c r="BJ26" s="199">
        <f>IF(AND(Input_Product=Elig!$C26,Elig_MatchAll_Ct&lt;22,$BC26=(Elig_MatchAll_Ct-1),AH26=0),E26,0)</f>
        <v>0</v>
      </c>
      <c r="BK26" s="199">
        <f>IF(AND(Input_Product=Elig!$C26,Elig_MatchAll_Ct&lt;22,$BC26=(Elig_MatchAll_Ct-1),AI26=0),F26,0)</f>
        <v>0</v>
      </c>
      <c r="BL26" s="199">
        <f>IF(AND(Input_Product=Elig!$C26,Elig_MatchAll_Ct&lt;22,$BC26=(Elig_MatchAll_Ct-1),AJ26=0),G26,0)</f>
        <v>0</v>
      </c>
      <c r="BM26" s="199">
        <f>IF(AND(Input_Product=Elig!$C26,Elig_MatchAll_Ct&lt;22,$BC26=(Elig_MatchAll_Ct-1),AK26=0),H26,0)</f>
        <v>0</v>
      </c>
      <c r="BN26" s="199">
        <f>IF(AND(Input_Product=Elig!$C26,Elig_MatchAll_Ct&lt;22,$BC26=(Elig_MatchAll_Ct-1),AL26=0),I26,0)</f>
        <v>0</v>
      </c>
      <c r="BO26" s="199">
        <f>IF(AND(Input_Product=Elig!$C26,Elig_MatchAll_Ct&lt;22,$BC26=(Elig_MatchAll_Ct-1),AM26=0),J26,0)</f>
        <v>0</v>
      </c>
      <c r="BP26" s="199">
        <f>IF(AND(Input_Product=Elig!$C26,Elig_MatchAll_Ct&lt;22,$BC26=(Elig_MatchAll_Ct-1),AN26=0),K26,0)</f>
        <v>0</v>
      </c>
      <c r="BQ26" s="199">
        <f>IF(AND(Input_Product=Elig!$C26,Elig_MatchAll_Ct&lt;22,$BC26=(Elig_MatchAll_Ct-1),AP26=0),L26,0)</f>
        <v>0</v>
      </c>
      <c r="BR26" s="199">
        <f>IF(AND(Input_Product=Elig!$C26,Elig_MatchAll_Ct&lt;22,$BC26=(Elig_MatchAll_Ct-1),AO26=0),M26,0)</f>
        <v>0</v>
      </c>
      <c r="BS26" s="199">
        <f>IF(AND(Input_Product=Elig!$C26,Elig_MatchAll_Ct&lt;22,$BC26=(Elig_MatchAll_Ct-1),AQ26=0),N26,0)</f>
        <v>0</v>
      </c>
      <c r="BT26" s="199">
        <f>IF(AND(Input_Product=Elig!$C26,Elig_MatchAll_Ct&lt;22,$BC26=(Elig_MatchAll_Ct-1),AR26=0),O26,0)</f>
        <v>0</v>
      </c>
      <c r="BU26" s="199">
        <f>IF(AND(Input_Product=Elig!$C26,Elig_MatchAll_Ct&lt;22,$BC26=(Elig_MatchAll_Ct-1),AS26=0),P26,0)</f>
        <v>0</v>
      </c>
      <c r="BV26" s="200">
        <f>IF(AND(Input_Product=Elig!$C26,Elig_MatchAll_Ct&lt;22,$BC26=(Elig_MatchAll_Ct-1),AT26=0),Q26,0)</f>
        <v>0</v>
      </c>
      <c r="BW26" s="201">
        <f>IF(AND(Input_Product=Elig!$C26,Elig_MatchAll_Ct&lt;22,$BC26=(Elig_MatchAll_Ct-1),AU26=0),R26,0)</f>
        <v>0</v>
      </c>
      <c r="BX26" s="202">
        <f>IF(AND(Input_Product=Elig!$C26,Elig_MatchAll_Ct&lt;22,$BC26=(Elig_MatchAll_Ct-1),AU26=0),S26,0)</f>
        <v>0</v>
      </c>
      <c r="BY26" s="201">
        <f>IF(AND(Input_Product=Elig!$C26,Elig_MatchAll_Ct&lt;22,$BC26=(Elig_MatchAll_Ct-1),AV26=0),T26,0)</f>
        <v>0</v>
      </c>
      <c r="BZ26" s="202">
        <f>IF(AND(Input_Product=Elig!$C26,Elig_MatchAll_Ct&lt;22,$BC26=(Elig_MatchAll_Ct-1),AV26=0),U26,0)</f>
        <v>0</v>
      </c>
      <c r="CA26" s="201">
        <f>IF(AND(Input_Product=Elig!$C26,Elig_MatchAll_Ct&lt;22,$BC26=(Elig_MatchAll_Ct-1),AW26=0),V26,0)</f>
        <v>0</v>
      </c>
      <c r="CB26" s="202">
        <f>IF(AND(Input_Product=Elig!$C26,Elig_MatchAll_Ct&lt;22,$BC26=(Elig_MatchAll_Ct-1),AW26=0),W26,0)</f>
        <v>0</v>
      </c>
      <c r="CC26" s="201">
        <f>IF(AND(Input_Product=Elig!$C26,Elig_MatchAll_Ct&lt;22,$BC26=(Elig_MatchAll_Ct-1),AX26=0),X26,0)</f>
        <v>0</v>
      </c>
      <c r="CD26" s="202">
        <f>IF(AND(Input_Product=Elig!$C26,Elig_MatchAll_Ct&lt;22,$BC26=(Elig_MatchAll_Ct-1),AX26=0),Y26,0)</f>
        <v>0</v>
      </c>
      <c r="CE26" s="201">
        <f>IF(AND(Input_LTV&lt;=AE26,Input_Product=Elig!$C26,Elig_MatchAll_Ct&lt;22,$BC26=(Elig_MatchAll_Ct-1),AY26=0),Z26,0)</f>
        <v>0</v>
      </c>
      <c r="CF26" s="202">
        <f>IF(AND(Input_LTV&lt;=AE26,Input_Product=Elig!$C26,Elig_MatchAll_Ct&lt;22,$BC26=(Elig_MatchAll_Ct-1),AY26=0),AA26,0)</f>
        <v>0</v>
      </c>
      <c r="CG26" s="201">
        <f>IF(AND(Input_Product=Elig!$C26,Elig_MatchAll_Ct&lt;22,$BC26=(Elig_MatchAll_Ct-1),AZ26=0),AB26,0)</f>
        <v>0</v>
      </c>
      <c r="CH26" s="202">
        <f>IF(AND(Input_Product=Elig!$C26,Elig_MatchAll_Ct&lt;22,$BC26=(Elig_MatchAll_Ct-1),AZ26=0),AC26,0)</f>
        <v>0</v>
      </c>
      <c r="CI26" s="201">
        <f>IF(AND(Input_Product=Elig!$C26,Elig_MatchAll_Ct&lt;22,$BC26=(Elig_MatchAll_Ct-1),BA26=0),AD26,0)</f>
        <v>0</v>
      </c>
      <c r="CJ26" s="203">
        <f>IF(AND(Input_Product=Elig!$C26,Elig_MatchAll_Ct&lt;22,$BC26=(Elig_MatchAll_Ct-1),BA26=0),AE26,0)</f>
        <v>0</v>
      </c>
    </row>
    <row r="27" spans="2:88" ht="10.15" customHeight="1" x14ac:dyDescent="0.25">
      <c r="B27" s="1912" t="s">
        <v>787</v>
      </c>
      <c r="C27" s="134" t="str">
        <f t="shared" si="1"/>
        <v>NonQM OO</v>
      </c>
      <c r="D27" s="135" t="s">
        <v>3885</v>
      </c>
      <c r="E27" s="135" t="s">
        <v>167</v>
      </c>
      <c r="F27" s="135" t="s">
        <v>331</v>
      </c>
      <c r="G27" s="135" t="s">
        <v>304</v>
      </c>
      <c r="H27" s="135" t="s">
        <v>446</v>
      </c>
      <c r="I27" s="136" t="s">
        <v>16</v>
      </c>
      <c r="J27" s="136" t="s">
        <v>1311</v>
      </c>
      <c r="K27" s="136" t="s">
        <v>1631</v>
      </c>
      <c r="L27" s="221" t="s">
        <v>3920</v>
      </c>
      <c r="M27" s="135" t="s">
        <v>4203</v>
      </c>
      <c r="N27" s="135" t="s">
        <v>82</v>
      </c>
      <c r="O27" s="135" t="s">
        <v>310</v>
      </c>
      <c r="P27" s="135" t="s">
        <v>291</v>
      </c>
      <c r="Q27" s="135" t="s">
        <v>294</v>
      </c>
      <c r="R27" s="221">
        <v>100000</v>
      </c>
      <c r="S27" s="135">
        <v>1000000</v>
      </c>
      <c r="T27" s="135">
        <v>0</v>
      </c>
      <c r="U27" s="135">
        <f t="shared" si="20"/>
        <v>1000000</v>
      </c>
      <c r="V27" s="135">
        <v>0</v>
      </c>
      <c r="W27" s="135">
        <v>55</v>
      </c>
      <c r="X27" s="135">
        <v>0</v>
      </c>
      <c r="Y27" s="135">
        <v>999</v>
      </c>
      <c r="Z27" s="137">
        <v>680</v>
      </c>
      <c r="AA27" s="137">
        <v>699</v>
      </c>
      <c r="AB27" s="137">
        <v>3</v>
      </c>
      <c r="AC27" s="137">
        <v>999999</v>
      </c>
      <c r="AD27" s="135">
        <v>0</v>
      </c>
      <c r="AE27" s="135">
        <v>80</v>
      </c>
      <c r="AF27" s="170">
        <v>0</v>
      </c>
      <c r="AG27" s="171">
        <v>1</v>
      </c>
      <c r="AH27" s="171">
        <v>1</v>
      </c>
      <c r="AI27" s="171">
        <v>1</v>
      </c>
      <c r="AJ27" s="171">
        <v>0</v>
      </c>
      <c r="AK27" s="171">
        <v>0</v>
      </c>
      <c r="AL27" s="171">
        <v>1</v>
      </c>
      <c r="AM27" s="171">
        <v>1</v>
      </c>
      <c r="AN27" s="171">
        <v>1</v>
      </c>
      <c r="AO27" s="171">
        <v>1</v>
      </c>
      <c r="AP27" s="171">
        <v>1</v>
      </c>
      <c r="AQ27" s="171">
        <v>1</v>
      </c>
      <c r="AR27" s="171">
        <v>1</v>
      </c>
      <c r="AS27" s="171">
        <v>1</v>
      </c>
      <c r="AT27" s="171">
        <v>1</v>
      </c>
      <c r="AU27" s="171">
        <f t="shared" si="2"/>
        <v>1</v>
      </c>
      <c r="AV27" s="171">
        <f t="shared" si="3"/>
        <v>1</v>
      </c>
      <c r="AW27" s="171">
        <f t="shared" si="4"/>
        <v>1</v>
      </c>
      <c r="AX27" s="171">
        <f t="shared" si="5"/>
        <v>1</v>
      </c>
      <c r="AY27" s="171">
        <f t="shared" si="6"/>
        <v>0</v>
      </c>
      <c r="AZ27" s="171">
        <f t="shared" si="7"/>
        <v>1</v>
      </c>
      <c r="BA27" s="172">
        <f t="shared" si="8"/>
        <v>1</v>
      </c>
      <c r="BB27" s="175">
        <f t="shared" si="17"/>
        <v>18</v>
      </c>
      <c r="BC27" s="176">
        <f t="shared" si="18"/>
        <v>17</v>
      </c>
      <c r="BD27" s="176">
        <f t="shared" si="19"/>
        <v>18</v>
      </c>
      <c r="BE27" s="240" t="str">
        <f t="shared" si="12"/>
        <v/>
      </c>
      <c r="BH27" s="198">
        <f>IF(AND(Input_Product=Elig!$C27,Elig_MatchAll_Ct&lt;22,$BC27=(Elig_MatchAll_Ct-1),AF27=0),C27,0)</f>
        <v>0</v>
      </c>
      <c r="BI27" s="199">
        <f>IF(AND(Input_Product=Elig!$C27,Elig_MatchAll_Ct&lt;22,$BC27=(Elig_MatchAll_Ct-1),AG27=0),D27,0)</f>
        <v>0</v>
      </c>
      <c r="BJ27" s="199">
        <f>IF(AND(Input_Product=Elig!$C27,Elig_MatchAll_Ct&lt;22,$BC27=(Elig_MatchAll_Ct-1),AH27=0),E27,0)</f>
        <v>0</v>
      </c>
      <c r="BK27" s="199">
        <f>IF(AND(Input_Product=Elig!$C27,Elig_MatchAll_Ct&lt;22,$BC27=(Elig_MatchAll_Ct-1),AI27=0),F27,0)</f>
        <v>0</v>
      </c>
      <c r="BL27" s="199">
        <f>IF(AND(Input_Product=Elig!$C27,Elig_MatchAll_Ct&lt;22,$BC27=(Elig_MatchAll_Ct-1),AJ27=0),G27,0)</f>
        <v>0</v>
      </c>
      <c r="BM27" s="199">
        <f>IF(AND(Input_Product=Elig!$C27,Elig_MatchAll_Ct&lt;22,$BC27=(Elig_MatchAll_Ct-1),AK27=0),H27,0)</f>
        <v>0</v>
      </c>
      <c r="BN27" s="199">
        <f>IF(AND(Input_Product=Elig!$C27,Elig_MatchAll_Ct&lt;22,$BC27=(Elig_MatchAll_Ct-1),AL27=0),I27,0)</f>
        <v>0</v>
      </c>
      <c r="BO27" s="199">
        <f>IF(AND(Input_Product=Elig!$C27,Elig_MatchAll_Ct&lt;22,$BC27=(Elig_MatchAll_Ct-1),AM27=0),J27,0)</f>
        <v>0</v>
      </c>
      <c r="BP27" s="199">
        <f>IF(AND(Input_Product=Elig!$C27,Elig_MatchAll_Ct&lt;22,$BC27=(Elig_MatchAll_Ct-1),AN27=0),K27,0)</f>
        <v>0</v>
      </c>
      <c r="BQ27" s="199">
        <f>IF(AND(Input_Product=Elig!$C27,Elig_MatchAll_Ct&lt;22,$BC27=(Elig_MatchAll_Ct-1),AP27=0),L27,0)</f>
        <v>0</v>
      </c>
      <c r="BR27" s="199">
        <f>IF(AND(Input_Product=Elig!$C27,Elig_MatchAll_Ct&lt;22,$BC27=(Elig_MatchAll_Ct-1),AO27=0),M27,0)</f>
        <v>0</v>
      </c>
      <c r="BS27" s="199">
        <f>IF(AND(Input_Product=Elig!$C27,Elig_MatchAll_Ct&lt;22,$BC27=(Elig_MatchAll_Ct-1),AQ27=0),N27,0)</f>
        <v>0</v>
      </c>
      <c r="BT27" s="199">
        <f>IF(AND(Input_Product=Elig!$C27,Elig_MatchAll_Ct&lt;22,$BC27=(Elig_MatchAll_Ct-1),AR27=0),O27,0)</f>
        <v>0</v>
      </c>
      <c r="BU27" s="199">
        <f>IF(AND(Input_Product=Elig!$C27,Elig_MatchAll_Ct&lt;22,$BC27=(Elig_MatchAll_Ct-1),AS27=0),P27,0)</f>
        <v>0</v>
      </c>
      <c r="BV27" s="200">
        <f>IF(AND(Input_Product=Elig!$C27,Elig_MatchAll_Ct&lt;22,$BC27=(Elig_MatchAll_Ct-1),AT27=0),Q27,0)</f>
        <v>0</v>
      </c>
      <c r="BW27" s="201">
        <f>IF(AND(Input_Product=Elig!$C27,Elig_MatchAll_Ct&lt;22,$BC27=(Elig_MatchAll_Ct-1),AU27=0),R27,0)</f>
        <v>0</v>
      </c>
      <c r="BX27" s="202">
        <f>IF(AND(Input_Product=Elig!$C27,Elig_MatchAll_Ct&lt;22,$BC27=(Elig_MatchAll_Ct-1),AU27=0),S27,0)</f>
        <v>0</v>
      </c>
      <c r="BY27" s="201">
        <f>IF(AND(Input_Product=Elig!$C27,Elig_MatchAll_Ct&lt;22,$BC27=(Elig_MatchAll_Ct-1),AV27=0),T27,0)</f>
        <v>0</v>
      </c>
      <c r="BZ27" s="202">
        <f>IF(AND(Input_Product=Elig!$C27,Elig_MatchAll_Ct&lt;22,$BC27=(Elig_MatchAll_Ct-1),AV27=0),U27,0)</f>
        <v>0</v>
      </c>
      <c r="CA27" s="201">
        <f>IF(AND(Input_Product=Elig!$C27,Elig_MatchAll_Ct&lt;22,$BC27=(Elig_MatchAll_Ct-1),AW27=0),V27,0)</f>
        <v>0</v>
      </c>
      <c r="CB27" s="202">
        <f>IF(AND(Input_Product=Elig!$C27,Elig_MatchAll_Ct&lt;22,$BC27=(Elig_MatchAll_Ct-1),AW27=0),W27,0)</f>
        <v>0</v>
      </c>
      <c r="CC27" s="201">
        <f>IF(AND(Input_Product=Elig!$C27,Elig_MatchAll_Ct&lt;22,$BC27=(Elig_MatchAll_Ct-1),AX27=0),X27,0)</f>
        <v>0</v>
      </c>
      <c r="CD27" s="202">
        <f>IF(AND(Input_Product=Elig!$C27,Elig_MatchAll_Ct&lt;22,$BC27=(Elig_MatchAll_Ct-1),AX27=0),Y27,0)</f>
        <v>0</v>
      </c>
      <c r="CE27" s="201">
        <f>IF(AND(Input_LTV&lt;=AE27,Input_Product=Elig!$C27,Elig_MatchAll_Ct&lt;22,$BC27=(Elig_MatchAll_Ct-1),AY27=0),Z27,0)</f>
        <v>0</v>
      </c>
      <c r="CF27" s="202">
        <f>IF(AND(Input_LTV&lt;=AE27,Input_Product=Elig!$C27,Elig_MatchAll_Ct&lt;22,$BC27=(Elig_MatchAll_Ct-1),AY27=0),AA27,0)</f>
        <v>0</v>
      </c>
      <c r="CG27" s="201">
        <f>IF(AND(Input_Product=Elig!$C27,Elig_MatchAll_Ct&lt;22,$BC27=(Elig_MatchAll_Ct-1),AZ27=0),AB27,0)</f>
        <v>0</v>
      </c>
      <c r="CH27" s="202">
        <f>IF(AND(Input_Product=Elig!$C27,Elig_MatchAll_Ct&lt;22,$BC27=(Elig_MatchAll_Ct-1),AZ27=0),AC27,0)</f>
        <v>0</v>
      </c>
      <c r="CI27" s="201">
        <f>IF(AND(Input_Product=Elig!$C27,Elig_MatchAll_Ct&lt;22,$BC27=(Elig_MatchAll_Ct-1),BA27=0),AD27,0)</f>
        <v>0</v>
      </c>
      <c r="CJ27" s="203">
        <f>IF(AND(Input_Product=Elig!$C27,Elig_MatchAll_Ct&lt;22,$BC27=(Elig_MatchAll_Ct-1),BA27=0),AE27,0)</f>
        <v>0</v>
      </c>
    </row>
    <row r="28" spans="2:88" ht="10.15" customHeight="1" x14ac:dyDescent="0.25">
      <c r="B28" s="1912" t="s">
        <v>788</v>
      </c>
      <c r="C28" s="134" t="str">
        <f t="shared" si="1"/>
        <v>NonQM OO</v>
      </c>
      <c r="D28" s="135" t="s">
        <v>3885</v>
      </c>
      <c r="E28" s="135" t="s">
        <v>167</v>
      </c>
      <c r="F28" s="135" t="s">
        <v>331</v>
      </c>
      <c r="G28" s="135" t="s">
        <v>304</v>
      </c>
      <c r="H28" s="135" t="s">
        <v>446</v>
      </c>
      <c r="I28" s="135" t="s">
        <v>16</v>
      </c>
      <c r="J28" s="135" t="s">
        <v>1311</v>
      </c>
      <c r="K28" s="135" t="s">
        <v>1631</v>
      </c>
      <c r="L28" s="221" t="s">
        <v>3920</v>
      </c>
      <c r="M28" s="135" t="s">
        <v>4203</v>
      </c>
      <c r="N28" s="135" t="s">
        <v>82</v>
      </c>
      <c r="O28" s="135" t="s">
        <v>310</v>
      </c>
      <c r="P28" s="135" t="s">
        <v>291</v>
      </c>
      <c r="Q28" s="135" t="s">
        <v>294</v>
      </c>
      <c r="R28" s="221">
        <v>100000</v>
      </c>
      <c r="S28" s="135">
        <v>1000000</v>
      </c>
      <c r="T28" s="135">
        <v>0</v>
      </c>
      <c r="U28" s="135">
        <f t="shared" si="20"/>
        <v>1000000</v>
      </c>
      <c r="V28" s="135">
        <v>0</v>
      </c>
      <c r="W28" s="135">
        <v>55</v>
      </c>
      <c r="X28" s="135">
        <v>0</v>
      </c>
      <c r="Y28" s="135">
        <v>999</v>
      </c>
      <c r="Z28" s="137">
        <v>660</v>
      </c>
      <c r="AA28" s="137">
        <v>679</v>
      </c>
      <c r="AB28" s="137">
        <v>3</v>
      </c>
      <c r="AC28" s="137">
        <v>999999</v>
      </c>
      <c r="AD28" s="135">
        <v>0</v>
      </c>
      <c r="AE28" s="135">
        <v>75</v>
      </c>
      <c r="AF28" s="170">
        <v>0</v>
      </c>
      <c r="AG28" s="171">
        <v>1</v>
      </c>
      <c r="AH28" s="171">
        <v>1</v>
      </c>
      <c r="AI28" s="171">
        <v>1</v>
      </c>
      <c r="AJ28" s="171">
        <v>0</v>
      </c>
      <c r="AK28" s="171">
        <v>0</v>
      </c>
      <c r="AL28" s="171">
        <v>1</v>
      </c>
      <c r="AM28" s="171">
        <v>1</v>
      </c>
      <c r="AN28" s="171">
        <v>1</v>
      </c>
      <c r="AO28" s="171">
        <v>1</v>
      </c>
      <c r="AP28" s="171">
        <v>1</v>
      </c>
      <c r="AQ28" s="171">
        <v>1</v>
      </c>
      <c r="AR28" s="171">
        <v>1</v>
      </c>
      <c r="AS28" s="171">
        <v>1</v>
      </c>
      <c r="AT28" s="171">
        <v>1</v>
      </c>
      <c r="AU28" s="171">
        <f t="shared" si="2"/>
        <v>1</v>
      </c>
      <c r="AV28" s="171">
        <f t="shared" si="3"/>
        <v>1</v>
      </c>
      <c r="AW28" s="171">
        <f t="shared" si="4"/>
        <v>1</v>
      </c>
      <c r="AX28" s="171">
        <f t="shared" si="5"/>
        <v>1</v>
      </c>
      <c r="AY28" s="171">
        <f t="shared" si="6"/>
        <v>0</v>
      </c>
      <c r="AZ28" s="171">
        <f t="shared" si="7"/>
        <v>1</v>
      </c>
      <c r="BA28" s="172">
        <f t="shared" si="8"/>
        <v>1</v>
      </c>
      <c r="BB28" s="175">
        <f t="shared" si="17"/>
        <v>18</v>
      </c>
      <c r="BC28" s="176">
        <f t="shared" si="18"/>
        <v>17</v>
      </c>
      <c r="BD28" s="176">
        <f t="shared" si="19"/>
        <v>18</v>
      </c>
      <c r="BE28" s="240" t="str">
        <f t="shared" si="12"/>
        <v/>
      </c>
      <c r="BH28" s="198">
        <f>IF(AND(Input_Product=Elig!$C28,Elig_MatchAll_Ct&lt;22,$BC28=(Elig_MatchAll_Ct-1),AF28=0),C28,0)</f>
        <v>0</v>
      </c>
      <c r="BI28" s="199">
        <f>IF(AND(Input_Product=Elig!$C28,Elig_MatchAll_Ct&lt;22,$BC28=(Elig_MatchAll_Ct-1),AG28=0),D28,0)</f>
        <v>0</v>
      </c>
      <c r="BJ28" s="199">
        <f>IF(AND(Input_Product=Elig!$C28,Elig_MatchAll_Ct&lt;22,$BC28=(Elig_MatchAll_Ct-1),AH28=0),E28,0)</f>
        <v>0</v>
      </c>
      <c r="BK28" s="199">
        <f>IF(AND(Input_Product=Elig!$C28,Elig_MatchAll_Ct&lt;22,$BC28=(Elig_MatchAll_Ct-1),AI28=0),F28,0)</f>
        <v>0</v>
      </c>
      <c r="BL28" s="199">
        <f>IF(AND(Input_Product=Elig!$C28,Elig_MatchAll_Ct&lt;22,$BC28=(Elig_MatchAll_Ct-1),AJ28=0),G28,0)</f>
        <v>0</v>
      </c>
      <c r="BM28" s="199">
        <f>IF(AND(Input_Product=Elig!$C28,Elig_MatchAll_Ct&lt;22,$BC28=(Elig_MatchAll_Ct-1),AK28=0),H28,0)</f>
        <v>0</v>
      </c>
      <c r="BN28" s="199">
        <f>IF(AND(Input_Product=Elig!$C28,Elig_MatchAll_Ct&lt;22,$BC28=(Elig_MatchAll_Ct-1),AL28=0),I28,0)</f>
        <v>0</v>
      </c>
      <c r="BO28" s="199">
        <f>IF(AND(Input_Product=Elig!$C28,Elig_MatchAll_Ct&lt;22,$BC28=(Elig_MatchAll_Ct-1),AM28=0),J28,0)</f>
        <v>0</v>
      </c>
      <c r="BP28" s="199">
        <f>IF(AND(Input_Product=Elig!$C28,Elig_MatchAll_Ct&lt;22,$BC28=(Elig_MatchAll_Ct-1),AN28=0),K28,0)</f>
        <v>0</v>
      </c>
      <c r="BQ28" s="199">
        <f>IF(AND(Input_Product=Elig!$C28,Elig_MatchAll_Ct&lt;22,$BC28=(Elig_MatchAll_Ct-1),AP28=0),L28,0)</f>
        <v>0</v>
      </c>
      <c r="BR28" s="199">
        <f>IF(AND(Input_Product=Elig!$C28,Elig_MatchAll_Ct&lt;22,$BC28=(Elig_MatchAll_Ct-1),AO28=0),M28,0)</f>
        <v>0</v>
      </c>
      <c r="BS28" s="199">
        <f>IF(AND(Input_Product=Elig!$C28,Elig_MatchAll_Ct&lt;22,$BC28=(Elig_MatchAll_Ct-1),AQ28=0),N28,0)</f>
        <v>0</v>
      </c>
      <c r="BT28" s="199">
        <f>IF(AND(Input_Product=Elig!$C28,Elig_MatchAll_Ct&lt;22,$BC28=(Elig_MatchAll_Ct-1),AR28=0),O28,0)</f>
        <v>0</v>
      </c>
      <c r="BU28" s="199">
        <f>IF(AND(Input_Product=Elig!$C28,Elig_MatchAll_Ct&lt;22,$BC28=(Elig_MatchAll_Ct-1),AS28=0),P28,0)</f>
        <v>0</v>
      </c>
      <c r="BV28" s="200">
        <f>IF(AND(Input_Product=Elig!$C28,Elig_MatchAll_Ct&lt;22,$BC28=(Elig_MatchAll_Ct-1),AT28=0),Q28,0)</f>
        <v>0</v>
      </c>
      <c r="BW28" s="201">
        <f>IF(AND(Input_Product=Elig!$C28,Elig_MatchAll_Ct&lt;22,$BC28=(Elig_MatchAll_Ct-1),AU28=0),R28,0)</f>
        <v>0</v>
      </c>
      <c r="BX28" s="202">
        <f>IF(AND(Input_Product=Elig!$C28,Elig_MatchAll_Ct&lt;22,$BC28=(Elig_MatchAll_Ct-1),AU28=0),S28,0)</f>
        <v>0</v>
      </c>
      <c r="BY28" s="201">
        <f>IF(AND(Input_Product=Elig!$C28,Elig_MatchAll_Ct&lt;22,$BC28=(Elig_MatchAll_Ct-1),AV28=0),T28,0)</f>
        <v>0</v>
      </c>
      <c r="BZ28" s="202">
        <f>IF(AND(Input_Product=Elig!$C28,Elig_MatchAll_Ct&lt;22,$BC28=(Elig_MatchAll_Ct-1),AV28=0),U28,0)</f>
        <v>0</v>
      </c>
      <c r="CA28" s="201">
        <f>IF(AND(Input_Product=Elig!$C28,Elig_MatchAll_Ct&lt;22,$BC28=(Elig_MatchAll_Ct-1),AW28=0),V28,0)</f>
        <v>0</v>
      </c>
      <c r="CB28" s="202">
        <f>IF(AND(Input_Product=Elig!$C28,Elig_MatchAll_Ct&lt;22,$BC28=(Elig_MatchAll_Ct-1),AW28=0),W28,0)</f>
        <v>0</v>
      </c>
      <c r="CC28" s="201">
        <f>IF(AND(Input_Product=Elig!$C28,Elig_MatchAll_Ct&lt;22,$BC28=(Elig_MatchAll_Ct-1),AX28=0),X28,0)</f>
        <v>0</v>
      </c>
      <c r="CD28" s="202">
        <f>IF(AND(Input_Product=Elig!$C28,Elig_MatchAll_Ct&lt;22,$BC28=(Elig_MatchAll_Ct-1),AX28=0),Y28,0)</f>
        <v>0</v>
      </c>
      <c r="CE28" s="201">
        <f>IF(AND(Input_LTV&lt;=AE28,Input_Product=Elig!$C28,Elig_MatchAll_Ct&lt;22,$BC28=(Elig_MatchAll_Ct-1),AY28=0),Z28,0)</f>
        <v>0</v>
      </c>
      <c r="CF28" s="202">
        <f>IF(AND(Input_LTV&lt;=AE28,Input_Product=Elig!$C28,Elig_MatchAll_Ct&lt;22,$BC28=(Elig_MatchAll_Ct-1),AY28=0),AA28,0)</f>
        <v>0</v>
      </c>
      <c r="CG28" s="201">
        <f>IF(AND(Input_Product=Elig!$C28,Elig_MatchAll_Ct&lt;22,$BC28=(Elig_MatchAll_Ct-1),AZ28=0),AB28,0)</f>
        <v>0</v>
      </c>
      <c r="CH28" s="202">
        <f>IF(AND(Input_Product=Elig!$C28,Elig_MatchAll_Ct&lt;22,$BC28=(Elig_MatchAll_Ct-1),AZ28=0),AC28,0)</f>
        <v>0</v>
      </c>
      <c r="CI28" s="201">
        <f>IF(AND(Input_Product=Elig!$C28,Elig_MatchAll_Ct&lt;22,$BC28=(Elig_MatchAll_Ct-1),BA28=0),AD28,0)</f>
        <v>0</v>
      </c>
      <c r="CJ28" s="203">
        <f>IF(AND(Input_Product=Elig!$C28,Elig_MatchAll_Ct&lt;22,$BC28=(Elig_MatchAll_Ct-1),BA28=0),AE28,0)</f>
        <v>0</v>
      </c>
    </row>
    <row r="29" spans="2:88" ht="10.15" customHeight="1" x14ac:dyDescent="0.25">
      <c r="B29" s="1912" t="s">
        <v>789</v>
      </c>
      <c r="C29" s="134" t="str">
        <f t="shared" si="1"/>
        <v>NonQM OO</v>
      </c>
      <c r="D29" s="135" t="s">
        <v>3885</v>
      </c>
      <c r="E29" s="135" t="s">
        <v>167</v>
      </c>
      <c r="F29" s="135" t="s">
        <v>331</v>
      </c>
      <c r="G29" s="135" t="s">
        <v>304</v>
      </c>
      <c r="H29" s="135" t="s">
        <v>446</v>
      </c>
      <c r="I29" s="135" t="s">
        <v>16</v>
      </c>
      <c r="J29" s="135" t="s">
        <v>1311</v>
      </c>
      <c r="K29" s="135" t="s">
        <v>1631</v>
      </c>
      <c r="L29" s="221" t="s">
        <v>3920</v>
      </c>
      <c r="M29" s="135" t="s">
        <v>4203</v>
      </c>
      <c r="N29" s="135" t="s">
        <v>82</v>
      </c>
      <c r="O29" s="135" t="s">
        <v>310</v>
      </c>
      <c r="P29" s="135" t="s">
        <v>291</v>
      </c>
      <c r="Q29" s="135" t="s">
        <v>294</v>
      </c>
      <c r="R29" s="221">
        <v>100000</v>
      </c>
      <c r="S29" s="135">
        <v>1000000</v>
      </c>
      <c r="T29" s="135">
        <v>0</v>
      </c>
      <c r="U29" s="135">
        <f t="shared" si="20"/>
        <v>1000000</v>
      </c>
      <c r="V29" s="135">
        <v>0</v>
      </c>
      <c r="W29" s="135">
        <v>55</v>
      </c>
      <c r="X29" s="135">
        <v>0</v>
      </c>
      <c r="Y29" s="135">
        <v>999</v>
      </c>
      <c r="Z29" s="137">
        <v>640</v>
      </c>
      <c r="AA29" s="137">
        <v>659</v>
      </c>
      <c r="AB29" s="137">
        <v>3</v>
      </c>
      <c r="AC29" s="137">
        <v>999999</v>
      </c>
      <c r="AD29" s="135">
        <v>0</v>
      </c>
      <c r="AE29" s="135">
        <v>70</v>
      </c>
      <c r="AF29" s="170">
        <v>0</v>
      </c>
      <c r="AG29" s="171">
        <v>1</v>
      </c>
      <c r="AH29" s="171">
        <v>1</v>
      </c>
      <c r="AI29" s="171">
        <v>1</v>
      </c>
      <c r="AJ29" s="171">
        <v>0</v>
      </c>
      <c r="AK29" s="171">
        <v>0</v>
      </c>
      <c r="AL29" s="171">
        <v>1</v>
      </c>
      <c r="AM29" s="171">
        <v>1</v>
      </c>
      <c r="AN29" s="171">
        <v>1</v>
      </c>
      <c r="AO29" s="171">
        <v>1</v>
      </c>
      <c r="AP29" s="171">
        <v>1</v>
      </c>
      <c r="AQ29" s="171">
        <v>1</v>
      </c>
      <c r="AR29" s="171">
        <v>1</v>
      </c>
      <c r="AS29" s="171">
        <v>1</v>
      </c>
      <c r="AT29" s="171">
        <v>1</v>
      </c>
      <c r="AU29" s="171">
        <f t="shared" si="2"/>
        <v>1</v>
      </c>
      <c r="AV29" s="171">
        <f t="shared" si="3"/>
        <v>1</v>
      </c>
      <c r="AW29" s="171">
        <f t="shared" si="4"/>
        <v>1</v>
      </c>
      <c r="AX29" s="171">
        <f t="shared" si="5"/>
        <v>1</v>
      </c>
      <c r="AY29" s="171">
        <f t="shared" si="6"/>
        <v>0</v>
      </c>
      <c r="AZ29" s="171">
        <f t="shared" si="7"/>
        <v>1</v>
      </c>
      <c r="BA29" s="172">
        <f t="shared" si="8"/>
        <v>1</v>
      </c>
      <c r="BB29" s="175">
        <f t="shared" si="17"/>
        <v>18</v>
      </c>
      <c r="BC29" s="176">
        <f t="shared" si="18"/>
        <v>17</v>
      </c>
      <c r="BD29" s="176">
        <f t="shared" si="19"/>
        <v>18</v>
      </c>
      <c r="BE29" s="240" t="str">
        <f t="shared" si="12"/>
        <v/>
      </c>
      <c r="BH29" s="198">
        <f>IF(AND(Input_Product=Elig!$C29,Elig_MatchAll_Ct&lt;22,$BC29=(Elig_MatchAll_Ct-1),AF29=0),C29,0)</f>
        <v>0</v>
      </c>
      <c r="BI29" s="199">
        <f>IF(AND(Input_Product=Elig!$C29,Elig_MatchAll_Ct&lt;22,$BC29=(Elig_MatchAll_Ct-1),AG29=0),D29,0)</f>
        <v>0</v>
      </c>
      <c r="BJ29" s="199">
        <f>IF(AND(Input_Product=Elig!$C29,Elig_MatchAll_Ct&lt;22,$BC29=(Elig_MatchAll_Ct-1),AH29=0),E29,0)</f>
        <v>0</v>
      </c>
      <c r="BK29" s="199">
        <f>IF(AND(Input_Product=Elig!$C29,Elig_MatchAll_Ct&lt;22,$BC29=(Elig_MatchAll_Ct-1),AI29=0),F29,0)</f>
        <v>0</v>
      </c>
      <c r="BL29" s="199">
        <f>IF(AND(Input_Product=Elig!$C29,Elig_MatchAll_Ct&lt;22,$BC29=(Elig_MatchAll_Ct-1),AJ29=0),G29,0)</f>
        <v>0</v>
      </c>
      <c r="BM29" s="199">
        <f>IF(AND(Input_Product=Elig!$C29,Elig_MatchAll_Ct&lt;22,$BC29=(Elig_MatchAll_Ct-1),AK29=0),H29,0)</f>
        <v>0</v>
      </c>
      <c r="BN29" s="199">
        <f>IF(AND(Input_Product=Elig!$C29,Elig_MatchAll_Ct&lt;22,$BC29=(Elig_MatchAll_Ct-1),AL29=0),I29,0)</f>
        <v>0</v>
      </c>
      <c r="BO29" s="199">
        <f>IF(AND(Input_Product=Elig!$C29,Elig_MatchAll_Ct&lt;22,$BC29=(Elig_MatchAll_Ct-1),AM29=0),J29,0)</f>
        <v>0</v>
      </c>
      <c r="BP29" s="199">
        <f>IF(AND(Input_Product=Elig!$C29,Elig_MatchAll_Ct&lt;22,$BC29=(Elig_MatchAll_Ct-1),AN29=0),K29,0)</f>
        <v>0</v>
      </c>
      <c r="BQ29" s="199">
        <f>IF(AND(Input_Product=Elig!$C29,Elig_MatchAll_Ct&lt;22,$BC29=(Elig_MatchAll_Ct-1),AP29=0),L29,0)</f>
        <v>0</v>
      </c>
      <c r="BR29" s="199">
        <f>IF(AND(Input_Product=Elig!$C29,Elig_MatchAll_Ct&lt;22,$BC29=(Elig_MatchAll_Ct-1),AO29=0),M29,0)</f>
        <v>0</v>
      </c>
      <c r="BS29" s="199">
        <f>IF(AND(Input_Product=Elig!$C29,Elig_MatchAll_Ct&lt;22,$BC29=(Elig_MatchAll_Ct-1),AQ29=0),N29,0)</f>
        <v>0</v>
      </c>
      <c r="BT29" s="199">
        <f>IF(AND(Input_Product=Elig!$C29,Elig_MatchAll_Ct&lt;22,$BC29=(Elig_MatchAll_Ct-1),AR29=0),O29,0)</f>
        <v>0</v>
      </c>
      <c r="BU29" s="199">
        <f>IF(AND(Input_Product=Elig!$C29,Elig_MatchAll_Ct&lt;22,$BC29=(Elig_MatchAll_Ct-1),AS29=0),P29,0)</f>
        <v>0</v>
      </c>
      <c r="BV29" s="200">
        <f>IF(AND(Input_Product=Elig!$C29,Elig_MatchAll_Ct&lt;22,$BC29=(Elig_MatchAll_Ct-1),AT29=0),Q29,0)</f>
        <v>0</v>
      </c>
      <c r="BW29" s="201">
        <f>IF(AND(Input_Product=Elig!$C29,Elig_MatchAll_Ct&lt;22,$BC29=(Elig_MatchAll_Ct-1),AU29=0),R29,0)</f>
        <v>0</v>
      </c>
      <c r="BX29" s="202">
        <f>IF(AND(Input_Product=Elig!$C29,Elig_MatchAll_Ct&lt;22,$BC29=(Elig_MatchAll_Ct-1),AU29=0),S29,0)</f>
        <v>0</v>
      </c>
      <c r="BY29" s="201">
        <f>IF(AND(Input_Product=Elig!$C29,Elig_MatchAll_Ct&lt;22,$BC29=(Elig_MatchAll_Ct-1),AV29=0),T29,0)</f>
        <v>0</v>
      </c>
      <c r="BZ29" s="202">
        <f>IF(AND(Input_Product=Elig!$C29,Elig_MatchAll_Ct&lt;22,$BC29=(Elig_MatchAll_Ct-1),AV29=0),U29,0)</f>
        <v>0</v>
      </c>
      <c r="CA29" s="201">
        <f>IF(AND(Input_Product=Elig!$C29,Elig_MatchAll_Ct&lt;22,$BC29=(Elig_MatchAll_Ct-1),AW29=0),V29,0)</f>
        <v>0</v>
      </c>
      <c r="CB29" s="202">
        <f>IF(AND(Input_Product=Elig!$C29,Elig_MatchAll_Ct&lt;22,$BC29=(Elig_MatchAll_Ct-1),AW29=0),W29,0)</f>
        <v>0</v>
      </c>
      <c r="CC29" s="201">
        <f>IF(AND(Input_Product=Elig!$C29,Elig_MatchAll_Ct&lt;22,$BC29=(Elig_MatchAll_Ct-1),AX29=0),X29,0)</f>
        <v>0</v>
      </c>
      <c r="CD29" s="202">
        <f>IF(AND(Input_Product=Elig!$C29,Elig_MatchAll_Ct&lt;22,$BC29=(Elig_MatchAll_Ct-1),AX29=0),Y29,0)</f>
        <v>0</v>
      </c>
      <c r="CE29" s="201">
        <f>IF(AND(Input_LTV&lt;=AE29,Input_Product=Elig!$C29,Elig_MatchAll_Ct&lt;22,$BC29=(Elig_MatchAll_Ct-1),AY29=0),Z29,0)</f>
        <v>0</v>
      </c>
      <c r="CF29" s="202">
        <f>IF(AND(Input_LTV&lt;=AE29,Input_Product=Elig!$C29,Elig_MatchAll_Ct&lt;22,$BC29=(Elig_MatchAll_Ct-1),AY29=0),AA29,0)</f>
        <v>0</v>
      </c>
      <c r="CG29" s="201">
        <f>IF(AND(Input_Product=Elig!$C29,Elig_MatchAll_Ct&lt;22,$BC29=(Elig_MatchAll_Ct-1),AZ29=0),AB29,0)</f>
        <v>0</v>
      </c>
      <c r="CH29" s="202">
        <f>IF(AND(Input_Product=Elig!$C29,Elig_MatchAll_Ct&lt;22,$BC29=(Elig_MatchAll_Ct-1),AZ29=0),AC29,0)</f>
        <v>0</v>
      </c>
      <c r="CI29" s="201">
        <f>IF(AND(Input_Product=Elig!$C29,Elig_MatchAll_Ct&lt;22,$BC29=(Elig_MatchAll_Ct-1),BA29=0),AD29,0)</f>
        <v>0</v>
      </c>
      <c r="CJ29" s="203">
        <f>IF(AND(Input_Product=Elig!$C29,Elig_MatchAll_Ct&lt;22,$BC29=(Elig_MatchAll_Ct-1),BA29=0),AE29,0)</f>
        <v>0</v>
      </c>
    </row>
    <row r="30" spans="2:88" ht="10.15" customHeight="1" x14ac:dyDescent="0.25">
      <c r="B30" s="1912" t="s">
        <v>790</v>
      </c>
      <c r="C30" s="138" t="str">
        <f t="shared" si="1"/>
        <v>NonQM OO</v>
      </c>
      <c r="D30" s="139" t="s">
        <v>3885</v>
      </c>
      <c r="E30" s="139" t="s">
        <v>167</v>
      </c>
      <c r="F30" s="139" t="s">
        <v>331</v>
      </c>
      <c r="G30" s="139" t="s">
        <v>304</v>
      </c>
      <c r="H30" s="139" t="s">
        <v>446</v>
      </c>
      <c r="I30" s="139" t="s">
        <v>16</v>
      </c>
      <c r="J30" s="139" t="s">
        <v>1311</v>
      </c>
      <c r="K30" s="139" t="s">
        <v>1631</v>
      </c>
      <c r="L30" s="310" t="s">
        <v>3920</v>
      </c>
      <c r="M30" s="139" t="s">
        <v>4203</v>
      </c>
      <c r="N30" s="139" t="s">
        <v>82</v>
      </c>
      <c r="O30" s="139" t="s">
        <v>310</v>
      </c>
      <c r="P30" s="139" t="s">
        <v>291</v>
      </c>
      <c r="Q30" s="139" t="s">
        <v>294</v>
      </c>
      <c r="R30" s="310">
        <v>100000</v>
      </c>
      <c r="S30" s="139">
        <v>1000000</v>
      </c>
      <c r="T30" s="139">
        <v>0</v>
      </c>
      <c r="U30" s="139">
        <f t="shared" si="20"/>
        <v>1000000</v>
      </c>
      <c r="V30" s="139">
        <v>0</v>
      </c>
      <c r="W30" s="139">
        <v>55</v>
      </c>
      <c r="X30" s="139">
        <v>0</v>
      </c>
      <c r="Y30" s="139">
        <v>999</v>
      </c>
      <c r="Z30" s="140">
        <v>620</v>
      </c>
      <c r="AA30" s="140">
        <v>639</v>
      </c>
      <c r="AB30" s="140">
        <v>3</v>
      </c>
      <c r="AC30" s="140">
        <v>999999</v>
      </c>
      <c r="AD30" s="139">
        <v>0</v>
      </c>
      <c r="AE30" s="310">
        <v>70</v>
      </c>
      <c r="AF30" s="170">
        <v>0</v>
      </c>
      <c r="AG30" s="171">
        <v>1</v>
      </c>
      <c r="AH30" s="171">
        <v>1</v>
      </c>
      <c r="AI30" s="171">
        <v>1</v>
      </c>
      <c r="AJ30" s="171">
        <v>0</v>
      </c>
      <c r="AK30" s="171">
        <v>0</v>
      </c>
      <c r="AL30" s="171">
        <v>1</v>
      </c>
      <c r="AM30" s="171">
        <v>1</v>
      </c>
      <c r="AN30" s="171">
        <v>1</v>
      </c>
      <c r="AO30" s="171">
        <v>1</v>
      </c>
      <c r="AP30" s="171">
        <v>1</v>
      </c>
      <c r="AQ30" s="171">
        <v>1</v>
      </c>
      <c r="AR30" s="171">
        <v>1</v>
      </c>
      <c r="AS30" s="171">
        <v>1</v>
      </c>
      <c r="AT30" s="171">
        <v>1</v>
      </c>
      <c r="AU30" s="171">
        <f t="shared" si="2"/>
        <v>1</v>
      </c>
      <c r="AV30" s="171">
        <f t="shared" si="3"/>
        <v>1</v>
      </c>
      <c r="AW30" s="171">
        <f t="shared" si="4"/>
        <v>1</v>
      </c>
      <c r="AX30" s="171">
        <f t="shared" si="5"/>
        <v>1</v>
      </c>
      <c r="AY30" s="171">
        <f t="shared" si="6"/>
        <v>0</v>
      </c>
      <c r="AZ30" s="171">
        <f t="shared" si="7"/>
        <v>1</v>
      </c>
      <c r="BA30" s="172">
        <f t="shared" si="8"/>
        <v>1</v>
      </c>
      <c r="BB30" s="175">
        <f t="shared" si="17"/>
        <v>18</v>
      </c>
      <c r="BC30" s="176">
        <f t="shared" si="18"/>
        <v>17</v>
      </c>
      <c r="BD30" s="176">
        <f t="shared" si="19"/>
        <v>18</v>
      </c>
      <c r="BE30" s="240" t="str">
        <f t="shared" si="12"/>
        <v/>
      </c>
      <c r="BH30" s="204">
        <f>IF(AND(Input_Product=Elig!$C30,Elig_MatchAll_Ct&lt;22,$BC30=(Elig_MatchAll_Ct-1),AF30=0),C30,0)</f>
        <v>0</v>
      </c>
      <c r="BI30" s="205">
        <f>IF(AND(Input_Product=Elig!$C30,Elig_MatchAll_Ct&lt;22,$BC30=(Elig_MatchAll_Ct-1),AG30=0),D30,0)</f>
        <v>0</v>
      </c>
      <c r="BJ30" s="205">
        <f>IF(AND(Input_Product=Elig!$C30,Elig_MatchAll_Ct&lt;22,$BC30=(Elig_MatchAll_Ct-1),AH30=0),E30,0)</f>
        <v>0</v>
      </c>
      <c r="BK30" s="205">
        <f>IF(AND(Input_Product=Elig!$C30,Elig_MatchAll_Ct&lt;22,$BC30=(Elig_MatchAll_Ct-1),AI30=0),F30,0)</f>
        <v>0</v>
      </c>
      <c r="BL30" s="205">
        <f>IF(AND(Input_Product=Elig!$C30,Elig_MatchAll_Ct&lt;22,$BC30=(Elig_MatchAll_Ct-1),AJ30=0),G30,0)</f>
        <v>0</v>
      </c>
      <c r="BM30" s="205">
        <f>IF(AND(Input_Product=Elig!$C30,Elig_MatchAll_Ct&lt;22,$BC30=(Elig_MatchAll_Ct-1),AK30=0),H30,0)</f>
        <v>0</v>
      </c>
      <c r="BN30" s="205">
        <f>IF(AND(Input_Product=Elig!$C30,Elig_MatchAll_Ct&lt;22,$BC30=(Elig_MatchAll_Ct-1),AL30=0),I30,0)</f>
        <v>0</v>
      </c>
      <c r="BO30" s="205">
        <f>IF(AND(Input_Product=Elig!$C30,Elig_MatchAll_Ct&lt;22,$BC30=(Elig_MatchAll_Ct-1),AM30=0),J30,0)</f>
        <v>0</v>
      </c>
      <c r="BP30" s="205">
        <f>IF(AND(Input_Product=Elig!$C30,Elig_MatchAll_Ct&lt;22,$BC30=(Elig_MatchAll_Ct-1),AN30=0),K30,0)</f>
        <v>0</v>
      </c>
      <c r="BQ30" s="205">
        <f>IF(AND(Input_Product=Elig!$C30,Elig_MatchAll_Ct&lt;22,$BC30=(Elig_MatchAll_Ct-1),AP30=0),L30,0)</f>
        <v>0</v>
      </c>
      <c r="BR30" s="205">
        <f>IF(AND(Input_Product=Elig!$C30,Elig_MatchAll_Ct&lt;22,$BC30=(Elig_MatchAll_Ct-1),AO30=0),M30,0)</f>
        <v>0</v>
      </c>
      <c r="BS30" s="205">
        <f>IF(AND(Input_Product=Elig!$C30,Elig_MatchAll_Ct&lt;22,$BC30=(Elig_MatchAll_Ct-1),AQ30=0),N30,0)</f>
        <v>0</v>
      </c>
      <c r="BT30" s="205">
        <f>IF(AND(Input_Product=Elig!$C30,Elig_MatchAll_Ct&lt;22,$BC30=(Elig_MatchAll_Ct-1),AR30=0),O30,0)</f>
        <v>0</v>
      </c>
      <c r="BU30" s="205">
        <f>IF(AND(Input_Product=Elig!$C30,Elig_MatchAll_Ct&lt;22,$BC30=(Elig_MatchAll_Ct-1),AS30=0),P30,0)</f>
        <v>0</v>
      </c>
      <c r="BV30" s="206">
        <f>IF(AND(Input_Product=Elig!$C30,Elig_MatchAll_Ct&lt;22,$BC30=(Elig_MatchAll_Ct-1),AT30=0),Q30,0)</f>
        <v>0</v>
      </c>
      <c r="BW30" s="207">
        <f>IF(AND(Input_Product=Elig!$C30,Elig_MatchAll_Ct&lt;22,$BC30=(Elig_MatchAll_Ct-1),AU30=0),R30,0)</f>
        <v>0</v>
      </c>
      <c r="BX30" s="208">
        <f>IF(AND(Input_Product=Elig!$C30,Elig_MatchAll_Ct&lt;22,$BC30=(Elig_MatchAll_Ct-1),AU30=0),S30,0)</f>
        <v>0</v>
      </c>
      <c r="BY30" s="207">
        <f>IF(AND(Input_Product=Elig!$C30,Elig_MatchAll_Ct&lt;22,$BC30=(Elig_MatchAll_Ct-1),AV30=0),T30,0)</f>
        <v>0</v>
      </c>
      <c r="BZ30" s="208">
        <f>IF(AND(Input_Product=Elig!$C30,Elig_MatchAll_Ct&lt;22,$BC30=(Elig_MatchAll_Ct-1),AV30=0),U30,0)</f>
        <v>0</v>
      </c>
      <c r="CA30" s="207">
        <f>IF(AND(Input_Product=Elig!$C30,Elig_MatchAll_Ct&lt;22,$BC30=(Elig_MatchAll_Ct-1),AW30=0),V30,0)</f>
        <v>0</v>
      </c>
      <c r="CB30" s="208">
        <f>IF(AND(Input_Product=Elig!$C30,Elig_MatchAll_Ct&lt;22,$BC30=(Elig_MatchAll_Ct-1),AW30=0),W30,0)</f>
        <v>0</v>
      </c>
      <c r="CC30" s="207">
        <f>IF(AND(Input_Product=Elig!$C30,Elig_MatchAll_Ct&lt;22,$BC30=(Elig_MatchAll_Ct-1),AX30=0),X30,0)</f>
        <v>0</v>
      </c>
      <c r="CD30" s="208">
        <f>IF(AND(Input_Product=Elig!$C30,Elig_MatchAll_Ct&lt;22,$BC30=(Elig_MatchAll_Ct-1),AX30=0),Y30,0)</f>
        <v>0</v>
      </c>
      <c r="CE30" s="207">
        <f>IF(AND(Input_LTV&lt;=AE30,Input_Product=Elig!$C30,Elig_MatchAll_Ct&lt;22,$BC30=(Elig_MatchAll_Ct-1),AY30=0),Z30,0)</f>
        <v>0</v>
      </c>
      <c r="CF30" s="208">
        <f>IF(AND(Input_LTV&lt;=AE30,Input_Product=Elig!$C30,Elig_MatchAll_Ct&lt;22,$BC30=(Elig_MatchAll_Ct-1),AY30=0),AA30,0)</f>
        <v>0</v>
      </c>
      <c r="CG30" s="207">
        <f>IF(AND(Input_Product=Elig!$C30,Elig_MatchAll_Ct&lt;22,$BC30=(Elig_MatchAll_Ct-1),AZ30=0),AB30,0)</f>
        <v>0</v>
      </c>
      <c r="CH30" s="208">
        <f>IF(AND(Input_Product=Elig!$C30,Elig_MatchAll_Ct&lt;22,$BC30=(Elig_MatchAll_Ct-1),AZ30=0),AC30,0)</f>
        <v>0</v>
      </c>
      <c r="CI30" s="207">
        <f>IF(AND(Input_Product=Elig!$C30,Elig_MatchAll_Ct&lt;22,$BC30=(Elig_MatchAll_Ct-1),BA30=0),AD30,0)</f>
        <v>0</v>
      </c>
      <c r="CJ30" s="209">
        <f>IF(AND(Input_Product=Elig!$C30,Elig_MatchAll_Ct&lt;22,$BC30=(Elig_MatchAll_Ct-1),BA30=0),AE30,0)</f>
        <v>0</v>
      </c>
    </row>
    <row r="31" spans="2:88" ht="10.15" customHeight="1" x14ac:dyDescent="0.25">
      <c r="B31" s="1912" t="s">
        <v>791</v>
      </c>
      <c r="C31" s="141" t="str">
        <f t="shared" si="1"/>
        <v>NonQM OO</v>
      </c>
      <c r="D31" s="142" t="s">
        <v>3885</v>
      </c>
      <c r="E31" s="143" t="s">
        <v>167</v>
      </c>
      <c r="F31" s="143" t="s">
        <v>331</v>
      </c>
      <c r="G31" s="143" t="s">
        <v>468</v>
      </c>
      <c r="H31" s="143" t="s">
        <v>136</v>
      </c>
      <c r="I31" s="142" t="s">
        <v>274</v>
      </c>
      <c r="J31" s="142" t="s">
        <v>1311</v>
      </c>
      <c r="K31" s="142" t="s">
        <v>1631</v>
      </c>
      <c r="L31" s="2131" t="s">
        <v>3920</v>
      </c>
      <c r="M31" s="143" t="s">
        <v>4203</v>
      </c>
      <c r="N31" s="143" t="s">
        <v>82</v>
      </c>
      <c r="O31" s="143" t="s">
        <v>310</v>
      </c>
      <c r="P31" s="143" t="s">
        <v>291</v>
      </c>
      <c r="Q31" s="143" t="s">
        <v>294</v>
      </c>
      <c r="R31" s="320">
        <v>100000</v>
      </c>
      <c r="S31" s="142">
        <v>1000000</v>
      </c>
      <c r="T31" s="142">
        <v>0</v>
      </c>
      <c r="U31" s="142">
        <v>0</v>
      </c>
      <c r="V31" s="142">
        <v>0</v>
      </c>
      <c r="W31" s="142">
        <v>55</v>
      </c>
      <c r="X31" s="142">
        <v>0</v>
      </c>
      <c r="Y31" s="142">
        <v>999</v>
      </c>
      <c r="Z31" s="144">
        <v>720</v>
      </c>
      <c r="AA31" s="144">
        <v>999</v>
      </c>
      <c r="AB31" s="144">
        <v>3</v>
      </c>
      <c r="AC31" s="144">
        <v>999999</v>
      </c>
      <c r="AD31" s="142">
        <v>0</v>
      </c>
      <c r="AE31" s="320">
        <v>90</v>
      </c>
      <c r="AF31" s="170">
        <v>0</v>
      </c>
      <c r="AG31" s="171">
        <v>1</v>
      </c>
      <c r="AH31" s="171">
        <v>1</v>
      </c>
      <c r="AI31" s="171">
        <v>1</v>
      </c>
      <c r="AJ31" s="171">
        <v>0</v>
      </c>
      <c r="AK31" s="171">
        <v>1</v>
      </c>
      <c r="AL31" s="171">
        <v>0</v>
      </c>
      <c r="AM31" s="171">
        <v>1</v>
      </c>
      <c r="AN31" s="171">
        <v>1</v>
      </c>
      <c r="AO31" s="171">
        <v>1</v>
      </c>
      <c r="AP31" s="171">
        <v>1</v>
      </c>
      <c r="AQ31" s="171">
        <v>1</v>
      </c>
      <c r="AR31" s="171">
        <v>1</v>
      </c>
      <c r="AS31" s="171">
        <v>1</v>
      </c>
      <c r="AT31" s="171">
        <v>1</v>
      </c>
      <c r="AU31" s="171">
        <f t="shared" si="2"/>
        <v>1</v>
      </c>
      <c r="AV31" s="171">
        <f t="shared" si="3"/>
        <v>0</v>
      </c>
      <c r="AW31" s="171">
        <f t="shared" si="4"/>
        <v>1</v>
      </c>
      <c r="AX31" s="171">
        <f t="shared" si="5"/>
        <v>1</v>
      </c>
      <c r="AY31" s="171">
        <f t="shared" si="6"/>
        <v>1</v>
      </c>
      <c r="AZ31" s="171">
        <f t="shared" si="7"/>
        <v>1</v>
      </c>
      <c r="BA31" s="172">
        <f t="shared" si="8"/>
        <v>1</v>
      </c>
      <c r="BB31" s="175">
        <f t="shared" si="17"/>
        <v>18</v>
      </c>
      <c r="BC31" s="176">
        <f t="shared" si="18"/>
        <v>17</v>
      </c>
      <c r="BD31" s="176">
        <f t="shared" si="19"/>
        <v>18</v>
      </c>
      <c r="BE31" s="240" t="str">
        <f t="shared" si="12"/>
        <v/>
      </c>
      <c r="BH31" s="192">
        <f>IF(AND(Input_Product=Elig!$C31,Elig_MatchAll_Ct&lt;22,$BC31=(Elig_MatchAll_Ct-1),AF31=0),C31,0)</f>
        <v>0</v>
      </c>
      <c r="BI31" s="193">
        <f>IF(AND(Input_Product=Elig!$C31,Elig_MatchAll_Ct&lt;22,$BC31=(Elig_MatchAll_Ct-1),AG31=0),D31,0)</f>
        <v>0</v>
      </c>
      <c r="BJ31" s="193">
        <f>IF(AND(Input_Product=Elig!$C31,Elig_MatchAll_Ct&lt;22,$BC31=(Elig_MatchAll_Ct-1),AH31=0),E31,0)</f>
        <v>0</v>
      </c>
      <c r="BK31" s="193">
        <f>IF(AND(Input_Product=Elig!$C31,Elig_MatchAll_Ct&lt;22,$BC31=(Elig_MatchAll_Ct-1),AI31=0),F31,0)</f>
        <v>0</v>
      </c>
      <c r="BL31" s="193">
        <f>IF(AND(Input_Product=Elig!$C31,Elig_MatchAll_Ct&lt;22,$BC31=(Elig_MatchAll_Ct-1),AJ31=0),G31,0)</f>
        <v>0</v>
      </c>
      <c r="BM31" s="193">
        <f>IF(AND(Input_Product=Elig!$C31,Elig_MatchAll_Ct&lt;22,$BC31=(Elig_MatchAll_Ct-1),AK31=0),H31,0)</f>
        <v>0</v>
      </c>
      <c r="BN31" s="193">
        <f>IF(AND(Input_Product=Elig!$C31,Elig_MatchAll_Ct&lt;22,$BC31=(Elig_MatchAll_Ct-1),AL31=0),I31,0)</f>
        <v>0</v>
      </c>
      <c r="BO31" s="193">
        <f>IF(AND(Input_Product=Elig!$C31,Elig_MatchAll_Ct&lt;22,$BC31=(Elig_MatchAll_Ct-1),AM31=0),J31,0)</f>
        <v>0</v>
      </c>
      <c r="BP31" s="193">
        <f>IF(AND(Input_Product=Elig!$C31,Elig_MatchAll_Ct&lt;22,$BC31=(Elig_MatchAll_Ct-1),AN31=0),K31,0)</f>
        <v>0</v>
      </c>
      <c r="BQ31" s="193">
        <f>IF(AND(Input_Product=Elig!$C31,Elig_MatchAll_Ct&lt;22,$BC31=(Elig_MatchAll_Ct-1),AP31=0),L31,0)</f>
        <v>0</v>
      </c>
      <c r="BR31" s="193">
        <f>IF(AND(Input_Product=Elig!$C31,Elig_MatchAll_Ct&lt;22,$BC31=(Elig_MatchAll_Ct-1),AO31=0),M31,0)</f>
        <v>0</v>
      </c>
      <c r="BS31" s="193">
        <f>IF(AND(Input_Product=Elig!$C31,Elig_MatchAll_Ct&lt;22,$BC31=(Elig_MatchAll_Ct-1),AQ31=0),N31,0)</f>
        <v>0</v>
      </c>
      <c r="BT31" s="193">
        <f>IF(AND(Input_Product=Elig!$C31,Elig_MatchAll_Ct&lt;22,$BC31=(Elig_MatchAll_Ct-1),AR31=0),O31,0)</f>
        <v>0</v>
      </c>
      <c r="BU31" s="193">
        <f>IF(AND(Input_Product=Elig!$C31,Elig_MatchAll_Ct&lt;22,$BC31=(Elig_MatchAll_Ct-1),AS31=0),P31,0)</f>
        <v>0</v>
      </c>
      <c r="BV31" s="194">
        <f>IF(AND(Input_Product=Elig!$C31,Elig_MatchAll_Ct&lt;22,$BC31=(Elig_MatchAll_Ct-1),AT31=0),Q31,0)</f>
        <v>0</v>
      </c>
      <c r="BW31" s="195">
        <f>IF(AND(Input_Product=Elig!$C31,Elig_MatchAll_Ct&lt;22,$BC31=(Elig_MatchAll_Ct-1),AU31=0),R31,0)</f>
        <v>0</v>
      </c>
      <c r="BX31" s="196">
        <f>IF(AND(Input_Product=Elig!$C31,Elig_MatchAll_Ct&lt;22,$BC31=(Elig_MatchAll_Ct-1),AU31=0),S31,0)</f>
        <v>0</v>
      </c>
      <c r="BY31" s="195">
        <f>IF(AND(Input_Product=Elig!$C31,Elig_MatchAll_Ct&lt;22,$BC31=(Elig_MatchAll_Ct-1),AV31=0),T31,0)</f>
        <v>0</v>
      </c>
      <c r="BZ31" s="196">
        <f>IF(AND(Input_Product=Elig!$C31,Elig_MatchAll_Ct&lt;22,$BC31=(Elig_MatchAll_Ct-1),AV31=0),U31,0)</f>
        <v>0</v>
      </c>
      <c r="CA31" s="195">
        <f>IF(AND(Input_Product=Elig!$C31,Elig_MatchAll_Ct&lt;22,$BC31=(Elig_MatchAll_Ct-1),AW31=0),V31,0)</f>
        <v>0</v>
      </c>
      <c r="CB31" s="196">
        <f>IF(AND(Input_Product=Elig!$C31,Elig_MatchAll_Ct&lt;22,$BC31=(Elig_MatchAll_Ct-1),AW31=0),W31,0)</f>
        <v>0</v>
      </c>
      <c r="CC31" s="195">
        <f>IF(AND(Input_Product=Elig!$C31,Elig_MatchAll_Ct&lt;22,$BC31=(Elig_MatchAll_Ct-1),AX31=0),X31,0)</f>
        <v>0</v>
      </c>
      <c r="CD31" s="196">
        <f>IF(AND(Input_Product=Elig!$C31,Elig_MatchAll_Ct&lt;22,$BC31=(Elig_MatchAll_Ct-1),AX31=0),Y31,0)</f>
        <v>0</v>
      </c>
      <c r="CE31" s="195">
        <f>IF(AND(Input_LTV&lt;=AE31,Input_Product=Elig!$C31,Elig_MatchAll_Ct&lt;22,$BC31=(Elig_MatchAll_Ct-1),AY31=0),Z31,0)</f>
        <v>0</v>
      </c>
      <c r="CF31" s="196">
        <f>IF(AND(Input_LTV&lt;=AE31,Input_Product=Elig!$C31,Elig_MatchAll_Ct&lt;22,$BC31=(Elig_MatchAll_Ct-1),AY31=0),AA31,0)</f>
        <v>0</v>
      </c>
      <c r="CG31" s="195">
        <f>IF(AND(Input_Product=Elig!$C31,Elig_MatchAll_Ct&lt;22,$BC31=(Elig_MatchAll_Ct-1),AZ31=0),AB31,0)</f>
        <v>0</v>
      </c>
      <c r="CH31" s="196">
        <f>IF(AND(Input_Product=Elig!$C31,Elig_MatchAll_Ct&lt;22,$BC31=(Elig_MatchAll_Ct-1),AZ31=0),AC31,0)</f>
        <v>0</v>
      </c>
      <c r="CI31" s="195">
        <f>IF(AND(Input_Product=Elig!$C31,Elig_MatchAll_Ct&lt;22,$BC31=(Elig_MatchAll_Ct-1),BA31=0),AD31,0)</f>
        <v>0</v>
      </c>
      <c r="CJ31" s="197">
        <f>IF(AND(Input_Product=Elig!$C31,Elig_MatchAll_Ct&lt;22,$BC31=(Elig_MatchAll_Ct-1),BA31=0),AE31,0)</f>
        <v>0</v>
      </c>
    </row>
    <row r="32" spans="2:88" ht="10.15" customHeight="1" x14ac:dyDescent="0.25">
      <c r="B32" s="1912" t="s">
        <v>792</v>
      </c>
      <c r="C32" s="134" t="str">
        <f t="shared" si="1"/>
        <v>NonQM OO</v>
      </c>
      <c r="D32" s="135" t="s">
        <v>3885</v>
      </c>
      <c r="E32" s="135" t="s">
        <v>167</v>
      </c>
      <c r="F32" s="135" t="s">
        <v>331</v>
      </c>
      <c r="G32" s="135" t="s">
        <v>468</v>
      </c>
      <c r="H32" s="135" t="s">
        <v>136</v>
      </c>
      <c r="I32" s="136" t="s">
        <v>274</v>
      </c>
      <c r="J32" s="136" t="s">
        <v>1311</v>
      </c>
      <c r="K32" s="136" t="s">
        <v>1631</v>
      </c>
      <c r="L32" s="221" t="s">
        <v>3920</v>
      </c>
      <c r="M32" s="135" t="s">
        <v>4203</v>
      </c>
      <c r="N32" s="135" t="s">
        <v>82</v>
      </c>
      <c r="O32" s="135" t="s">
        <v>310</v>
      </c>
      <c r="P32" s="135" t="s">
        <v>291</v>
      </c>
      <c r="Q32" s="135" t="s">
        <v>294</v>
      </c>
      <c r="R32" s="221">
        <v>100000</v>
      </c>
      <c r="S32" s="135">
        <v>1000000</v>
      </c>
      <c r="T32" s="135">
        <v>0</v>
      </c>
      <c r="U32" s="135">
        <v>0</v>
      </c>
      <c r="V32" s="135">
        <v>0</v>
      </c>
      <c r="W32" s="135">
        <v>55</v>
      </c>
      <c r="X32" s="135">
        <v>0</v>
      </c>
      <c r="Y32" s="135">
        <v>999</v>
      </c>
      <c r="Z32" s="137">
        <v>700</v>
      </c>
      <c r="AA32" s="137">
        <v>719</v>
      </c>
      <c r="AB32" s="137">
        <v>3</v>
      </c>
      <c r="AC32" s="137">
        <v>999999</v>
      </c>
      <c r="AD32" s="135">
        <v>0</v>
      </c>
      <c r="AE32" s="221">
        <v>90</v>
      </c>
      <c r="AF32" s="170">
        <v>0</v>
      </c>
      <c r="AG32" s="171">
        <v>1</v>
      </c>
      <c r="AH32" s="171">
        <v>1</v>
      </c>
      <c r="AI32" s="171">
        <v>1</v>
      </c>
      <c r="AJ32" s="171">
        <v>0</v>
      </c>
      <c r="AK32" s="171">
        <v>1</v>
      </c>
      <c r="AL32" s="171">
        <v>0</v>
      </c>
      <c r="AM32" s="171">
        <v>1</v>
      </c>
      <c r="AN32" s="171">
        <v>1</v>
      </c>
      <c r="AO32" s="171">
        <v>1</v>
      </c>
      <c r="AP32" s="171">
        <v>1</v>
      </c>
      <c r="AQ32" s="171">
        <v>1</v>
      </c>
      <c r="AR32" s="171">
        <v>1</v>
      </c>
      <c r="AS32" s="171">
        <v>1</v>
      </c>
      <c r="AT32" s="171">
        <v>1</v>
      </c>
      <c r="AU32" s="171">
        <f t="shared" si="2"/>
        <v>1</v>
      </c>
      <c r="AV32" s="171">
        <f t="shared" si="3"/>
        <v>0</v>
      </c>
      <c r="AW32" s="171">
        <f t="shared" si="4"/>
        <v>1</v>
      </c>
      <c r="AX32" s="171">
        <f t="shared" si="5"/>
        <v>1</v>
      </c>
      <c r="AY32" s="171">
        <f t="shared" si="6"/>
        <v>0</v>
      </c>
      <c r="AZ32" s="171">
        <f t="shared" si="7"/>
        <v>1</v>
      </c>
      <c r="BA32" s="172">
        <f t="shared" si="8"/>
        <v>1</v>
      </c>
      <c r="BB32" s="175">
        <f t="shared" si="17"/>
        <v>17</v>
      </c>
      <c r="BC32" s="176">
        <f t="shared" si="18"/>
        <v>16</v>
      </c>
      <c r="BD32" s="176">
        <f t="shared" si="19"/>
        <v>17</v>
      </c>
      <c r="BE32" s="240" t="str">
        <f t="shared" si="12"/>
        <v/>
      </c>
      <c r="BH32" s="198">
        <f>IF(AND(Input_Product=Elig!$C32,Elig_MatchAll_Ct&lt;22,$BC32=(Elig_MatchAll_Ct-1),AF32=0),C32,0)</f>
        <v>0</v>
      </c>
      <c r="BI32" s="199">
        <f>IF(AND(Input_Product=Elig!$C32,Elig_MatchAll_Ct&lt;22,$BC32=(Elig_MatchAll_Ct-1),AG32=0),D32,0)</f>
        <v>0</v>
      </c>
      <c r="BJ32" s="199">
        <f>IF(AND(Input_Product=Elig!$C32,Elig_MatchAll_Ct&lt;22,$BC32=(Elig_MatchAll_Ct-1),AH32=0),E32,0)</f>
        <v>0</v>
      </c>
      <c r="BK32" s="199">
        <f>IF(AND(Input_Product=Elig!$C32,Elig_MatchAll_Ct&lt;22,$BC32=(Elig_MatchAll_Ct-1),AI32=0),F32,0)</f>
        <v>0</v>
      </c>
      <c r="BL32" s="199">
        <f>IF(AND(Input_Product=Elig!$C32,Elig_MatchAll_Ct&lt;22,$BC32=(Elig_MatchAll_Ct-1),AJ32=0),G32,0)</f>
        <v>0</v>
      </c>
      <c r="BM32" s="199">
        <f>IF(AND(Input_Product=Elig!$C32,Elig_MatchAll_Ct&lt;22,$BC32=(Elig_MatchAll_Ct-1),AK32=0),H32,0)</f>
        <v>0</v>
      </c>
      <c r="BN32" s="199">
        <f>IF(AND(Input_Product=Elig!$C32,Elig_MatchAll_Ct&lt;22,$BC32=(Elig_MatchAll_Ct-1),AL32=0),I32,0)</f>
        <v>0</v>
      </c>
      <c r="BO32" s="199">
        <f>IF(AND(Input_Product=Elig!$C32,Elig_MatchAll_Ct&lt;22,$BC32=(Elig_MatchAll_Ct-1),AM32=0),J32,0)</f>
        <v>0</v>
      </c>
      <c r="BP32" s="199">
        <f>IF(AND(Input_Product=Elig!$C32,Elig_MatchAll_Ct&lt;22,$BC32=(Elig_MatchAll_Ct-1),AN32=0),K32,0)</f>
        <v>0</v>
      </c>
      <c r="BQ32" s="199">
        <f>IF(AND(Input_Product=Elig!$C32,Elig_MatchAll_Ct&lt;22,$BC32=(Elig_MatchAll_Ct-1),AP32=0),L32,0)</f>
        <v>0</v>
      </c>
      <c r="BR32" s="199">
        <f>IF(AND(Input_Product=Elig!$C32,Elig_MatchAll_Ct&lt;22,$BC32=(Elig_MatchAll_Ct-1),AO32=0),M32,0)</f>
        <v>0</v>
      </c>
      <c r="BS32" s="199">
        <f>IF(AND(Input_Product=Elig!$C32,Elig_MatchAll_Ct&lt;22,$BC32=(Elig_MatchAll_Ct-1),AQ32=0),N32,0)</f>
        <v>0</v>
      </c>
      <c r="BT32" s="199">
        <f>IF(AND(Input_Product=Elig!$C32,Elig_MatchAll_Ct&lt;22,$BC32=(Elig_MatchAll_Ct-1),AR32=0),O32,0)</f>
        <v>0</v>
      </c>
      <c r="BU32" s="199">
        <f>IF(AND(Input_Product=Elig!$C32,Elig_MatchAll_Ct&lt;22,$BC32=(Elig_MatchAll_Ct-1),AS32=0),P32,0)</f>
        <v>0</v>
      </c>
      <c r="BV32" s="200">
        <f>IF(AND(Input_Product=Elig!$C32,Elig_MatchAll_Ct&lt;22,$BC32=(Elig_MatchAll_Ct-1),AT32=0),Q32,0)</f>
        <v>0</v>
      </c>
      <c r="BW32" s="201">
        <f>IF(AND(Input_Product=Elig!$C32,Elig_MatchAll_Ct&lt;22,$BC32=(Elig_MatchAll_Ct-1),AU32=0),R32,0)</f>
        <v>0</v>
      </c>
      <c r="BX32" s="202">
        <f>IF(AND(Input_Product=Elig!$C32,Elig_MatchAll_Ct&lt;22,$BC32=(Elig_MatchAll_Ct-1),AU32=0),S32,0)</f>
        <v>0</v>
      </c>
      <c r="BY32" s="201">
        <f>IF(AND(Input_Product=Elig!$C32,Elig_MatchAll_Ct&lt;22,$BC32=(Elig_MatchAll_Ct-1),AV32=0),T32,0)</f>
        <v>0</v>
      </c>
      <c r="BZ32" s="202">
        <f>IF(AND(Input_Product=Elig!$C32,Elig_MatchAll_Ct&lt;22,$BC32=(Elig_MatchAll_Ct-1),AV32=0),U32,0)</f>
        <v>0</v>
      </c>
      <c r="CA32" s="201">
        <f>IF(AND(Input_Product=Elig!$C32,Elig_MatchAll_Ct&lt;22,$BC32=(Elig_MatchAll_Ct-1),AW32=0),V32,0)</f>
        <v>0</v>
      </c>
      <c r="CB32" s="202">
        <f>IF(AND(Input_Product=Elig!$C32,Elig_MatchAll_Ct&lt;22,$BC32=(Elig_MatchAll_Ct-1),AW32=0),W32,0)</f>
        <v>0</v>
      </c>
      <c r="CC32" s="201">
        <f>IF(AND(Input_Product=Elig!$C32,Elig_MatchAll_Ct&lt;22,$BC32=(Elig_MatchAll_Ct-1),AX32=0),X32,0)</f>
        <v>0</v>
      </c>
      <c r="CD32" s="202">
        <f>IF(AND(Input_Product=Elig!$C32,Elig_MatchAll_Ct&lt;22,$BC32=(Elig_MatchAll_Ct-1),AX32=0),Y32,0)</f>
        <v>0</v>
      </c>
      <c r="CE32" s="201">
        <f>IF(AND(Input_LTV&lt;=AE32,Input_Product=Elig!$C32,Elig_MatchAll_Ct&lt;22,$BC32=(Elig_MatchAll_Ct-1),AY32=0),Z32,0)</f>
        <v>0</v>
      </c>
      <c r="CF32" s="202">
        <f>IF(AND(Input_LTV&lt;=AE32,Input_Product=Elig!$C32,Elig_MatchAll_Ct&lt;22,$BC32=(Elig_MatchAll_Ct-1),AY32=0),AA32,0)</f>
        <v>0</v>
      </c>
      <c r="CG32" s="201">
        <f>IF(AND(Input_Product=Elig!$C32,Elig_MatchAll_Ct&lt;22,$BC32=(Elig_MatchAll_Ct-1),AZ32=0),AB32,0)</f>
        <v>0</v>
      </c>
      <c r="CH32" s="202">
        <f>IF(AND(Input_Product=Elig!$C32,Elig_MatchAll_Ct&lt;22,$BC32=(Elig_MatchAll_Ct-1),AZ32=0),AC32,0)</f>
        <v>0</v>
      </c>
      <c r="CI32" s="201">
        <f>IF(AND(Input_Product=Elig!$C32,Elig_MatchAll_Ct&lt;22,$BC32=(Elig_MatchAll_Ct-1),BA32=0),AD32,0)</f>
        <v>0</v>
      </c>
      <c r="CJ32" s="203">
        <f>IF(AND(Input_Product=Elig!$C32,Elig_MatchAll_Ct&lt;22,$BC32=(Elig_MatchAll_Ct-1),BA32=0),AE32,0)</f>
        <v>0</v>
      </c>
    </row>
    <row r="33" spans="2:88" ht="10.15" customHeight="1" x14ac:dyDescent="0.25">
      <c r="B33" s="1912" t="s">
        <v>793</v>
      </c>
      <c r="C33" s="134" t="str">
        <f t="shared" si="1"/>
        <v>NonQM OO</v>
      </c>
      <c r="D33" s="135" t="s">
        <v>3885</v>
      </c>
      <c r="E33" s="135" t="s">
        <v>167</v>
      </c>
      <c r="F33" s="135" t="s">
        <v>331</v>
      </c>
      <c r="G33" s="135" t="s">
        <v>468</v>
      </c>
      <c r="H33" s="135" t="s">
        <v>136</v>
      </c>
      <c r="I33" s="136" t="s">
        <v>274</v>
      </c>
      <c r="J33" s="136" t="s">
        <v>1311</v>
      </c>
      <c r="K33" s="136" t="s">
        <v>1631</v>
      </c>
      <c r="L33" s="221" t="s">
        <v>3920</v>
      </c>
      <c r="M33" s="135" t="s">
        <v>4203</v>
      </c>
      <c r="N33" s="135" t="s">
        <v>82</v>
      </c>
      <c r="O33" s="135" t="s">
        <v>310</v>
      </c>
      <c r="P33" s="135" t="s">
        <v>291</v>
      </c>
      <c r="Q33" s="135" t="s">
        <v>294</v>
      </c>
      <c r="R33" s="221">
        <v>100000</v>
      </c>
      <c r="S33" s="135">
        <v>1000000</v>
      </c>
      <c r="T33" s="135">
        <v>0</v>
      </c>
      <c r="U33" s="135">
        <v>0</v>
      </c>
      <c r="V33" s="135">
        <v>0</v>
      </c>
      <c r="W33" s="135">
        <v>55</v>
      </c>
      <c r="X33" s="135">
        <v>0</v>
      </c>
      <c r="Y33" s="135">
        <v>999</v>
      </c>
      <c r="Z33" s="137">
        <v>680</v>
      </c>
      <c r="AA33" s="137">
        <v>699</v>
      </c>
      <c r="AB33" s="137">
        <v>3</v>
      </c>
      <c r="AC33" s="137">
        <v>999999</v>
      </c>
      <c r="AD33" s="135">
        <v>0</v>
      </c>
      <c r="AE33" s="221">
        <v>90</v>
      </c>
      <c r="AF33" s="170">
        <v>0</v>
      </c>
      <c r="AG33" s="171">
        <v>1</v>
      </c>
      <c r="AH33" s="171">
        <v>1</v>
      </c>
      <c r="AI33" s="171">
        <v>1</v>
      </c>
      <c r="AJ33" s="171">
        <v>0</v>
      </c>
      <c r="AK33" s="171">
        <v>1</v>
      </c>
      <c r="AL33" s="171">
        <v>0</v>
      </c>
      <c r="AM33" s="171">
        <v>1</v>
      </c>
      <c r="AN33" s="171">
        <v>1</v>
      </c>
      <c r="AO33" s="171">
        <v>1</v>
      </c>
      <c r="AP33" s="171">
        <v>1</v>
      </c>
      <c r="AQ33" s="171">
        <v>1</v>
      </c>
      <c r="AR33" s="171">
        <v>1</v>
      </c>
      <c r="AS33" s="171">
        <v>1</v>
      </c>
      <c r="AT33" s="171">
        <v>1</v>
      </c>
      <c r="AU33" s="171">
        <f t="shared" si="2"/>
        <v>1</v>
      </c>
      <c r="AV33" s="171">
        <f t="shared" si="3"/>
        <v>0</v>
      </c>
      <c r="AW33" s="171">
        <f t="shared" si="4"/>
        <v>1</v>
      </c>
      <c r="AX33" s="171">
        <f t="shared" si="5"/>
        <v>1</v>
      </c>
      <c r="AY33" s="171">
        <f t="shared" si="6"/>
        <v>0</v>
      </c>
      <c r="AZ33" s="171">
        <f t="shared" si="7"/>
        <v>1</v>
      </c>
      <c r="BA33" s="172">
        <f t="shared" si="8"/>
        <v>1</v>
      </c>
      <c r="BB33" s="175">
        <f t="shared" si="17"/>
        <v>17</v>
      </c>
      <c r="BC33" s="176">
        <f t="shared" si="18"/>
        <v>16</v>
      </c>
      <c r="BD33" s="176">
        <f t="shared" si="19"/>
        <v>17</v>
      </c>
      <c r="BE33" s="240" t="str">
        <f t="shared" si="12"/>
        <v/>
      </c>
      <c r="BH33" s="198">
        <f>IF(AND(Input_Product=Elig!$C33,Elig_MatchAll_Ct&lt;22,$BC33=(Elig_MatchAll_Ct-1),AF33=0),C33,0)</f>
        <v>0</v>
      </c>
      <c r="BI33" s="199">
        <f>IF(AND(Input_Product=Elig!$C33,Elig_MatchAll_Ct&lt;22,$BC33=(Elig_MatchAll_Ct-1),AG33=0),D33,0)</f>
        <v>0</v>
      </c>
      <c r="BJ33" s="199">
        <f>IF(AND(Input_Product=Elig!$C33,Elig_MatchAll_Ct&lt;22,$BC33=(Elig_MatchAll_Ct-1),AH33=0),E33,0)</f>
        <v>0</v>
      </c>
      <c r="BK33" s="199">
        <f>IF(AND(Input_Product=Elig!$C33,Elig_MatchAll_Ct&lt;22,$BC33=(Elig_MatchAll_Ct-1),AI33=0),F33,0)</f>
        <v>0</v>
      </c>
      <c r="BL33" s="199">
        <f>IF(AND(Input_Product=Elig!$C33,Elig_MatchAll_Ct&lt;22,$BC33=(Elig_MatchAll_Ct-1),AJ33=0),G33,0)</f>
        <v>0</v>
      </c>
      <c r="BM33" s="199">
        <f>IF(AND(Input_Product=Elig!$C33,Elig_MatchAll_Ct&lt;22,$BC33=(Elig_MatchAll_Ct-1),AK33=0),H33,0)</f>
        <v>0</v>
      </c>
      <c r="BN33" s="199">
        <f>IF(AND(Input_Product=Elig!$C33,Elig_MatchAll_Ct&lt;22,$BC33=(Elig_MatchAll_Ct-1),AL33=0),I33,0)</f>
        <v>0</v>
      </c>
      <c r="BO33" s="199">
        <f>IF(AND(Input_Product=Elig!$C33,Elig_MatchAll_Ct&lt;22,$BC33=(Elig_MatchAll_Ct-1),AM33=0),J33,0)</f>
        <v>0</v>
      </c>
      <c r="BP33" s="199">
        <f>IF(AND(Input_Product=Elig!$C33,Elig_MatchAll_Ct&lt;22,$BC33=(Elig_MatchAll_Ct-1),AN33=0),K33,0)</f>
        <v>0</v>
      </c>
      <c r="BQ33" s="199">
        <f>IF(AND(Input_Product=Elig!$C33,Elig_MatchAll_Ct&lt;22,$BC33=(Elig_MatchAll_Ct-1),AP33=0),L33,0)</f>
        <v>0</v>
      </c>
      <c r="BR33" s="199">
        <f>IF(AND(Input_Product=Elig!$C33,Elig_MatchAll_Ct&lt;22,$BC33=(Elig_MatchAll_Ct-1),AO33=0),M33,0)</f>
        <v>0</v>
      </c>
      <c r="BS33" s="199">
        <f>IF(AND(Input_Product=Elig!$C33,Elig_MatchAll_Ct&lt;22,$BC33=(Elig_MatchAll_Ct-1),AQ33=0),N33,0)</f>
        <v>0</v>
      </c>
      <c r="BT33" s="199">
        <f>IF(AND(Input_Product=Elig!$C33,Elig_MatchAll_Ct&lt;22,$BC33=(Elig_MatchAll_Ct-1),AR33=0),O33,0)</f>
        <v>0</v>
      </c>
      <c r="BU33" s="199">
        <f>IF(AND(Input_Product=Elig!$C33,Elig_MatchAll_Ct&lt;22,$BC33=(Elig_MatchAll_Ct-1),AS33=0),P33,0)</f>
        <v>0</v>
      </c>
      <c r="BV33" s="200">
        <f>IF(AND(Input_Product=Elig!$C33,Elig_MatchAll_Ct&lt;22,$BC33=(Elig_MatchAll_Ct-1),AT33=0),Q33,0)</f>
        <v>0</v>
      </c>
      <c r="BW33" s="201">
        <f>IF(AND(Input_Product=Elig!$C33,Elig_MatchAll_Ct&lt;22,$BC33=(Elig_MatchAll_Ct-1),AU33=0),R33,0)</f>
        <v>0</v>
      </c>
      <c r="BX33" s="202">
        <f>IF(AND(Input_Product=Elig!$C33,Elig_MatchAll_Ct&lt;22,$BC33=(Elig_MatchAll_Ct-1),AU33=0),S33,0)</f>
        <v>0</v>
      </c>
      <c r="BY33" s="201">
        <f>IF(AND(Input_Product=Elig!$C33,Elig_MatchAll_Ct&lt;22,$BC33=(Elig_MatchAll_Ct-1),AV33=0),T33,0)</f>
        <v>0</v>
      </c>
      <c r="BZ33" s="202">
        <f>IF(AND(Input_Product=Elig!$C33,Elig_MatchAll_Ct&lt;22,$BC33=(Elig_MatchAll_Ct-1),AV33=0),U33,0)</f>
        <v>0</v>
      </c>
      <c r="CA33" s="201">
        <f>IF(AND(Input_Product=Elig!$C33,Elig_MatchAll_Ct&lt;22,$BC33=(Elig_MatchAll_Ct-1),AW33=0),V33,0)</f>
        <v>0</v>
      </c>
      <c r="CB33" s="202">
        <f>IF(AND(Input_Product=Elig!$C33,Elig_MatchAll_Ct&lt;22,$BC33=(Elig_MatchAll_Ct-1),AW33=0),W33,0)</f>
        <v>0</v>
      </c>
      <c r="CC33" s="201">
        <f>IF(AND(Input_Product=Elig!$C33,Elig_MatchAll_Ct&lt;22,$BC33=(Elig_MatchAll_Ct-1),AX33=0),X33,0)</f>
        <v>0</v>
      </c>
      <c r="CD33" s="202">
        <f>IF(AND(Input_Product=Elig!$C33,Elig_MatchAll_Ct&lt;22,$BC33=(Elig_MatchAll_Ct-1),AX33=0),Y33,0)</f>
        <v>0</v>
      </c>
      <c r="CE33" s="201">
        <f>IF(AND(Input_LTV&lt;=AE33,Input_Product=Elig!$C33,Elig_MatchAll_Ct&lt;22,$BC33=(Elig_MatchAll_Ct-1),AY33=0),Z33,0)</f>
        <v>0</v>
      </c>
      <c r="CF33" s="202">
        <f>IF(AND(Input_LTV&lt;=AE33,Input_Product=Elig!$C33,Elig_MatchAll_Ct&lt;22,$BC33=(Elig_MatchAll_Ct-1),AY33=0),AA33,0)</f>
        <v>0</v>
      </c>
      <c r="CG33" s="201">
        <f>IF(AND(Input_Product=Elig!$C33,Elig_MatchAll_Ct&lt;22,$BC33=(Elig_MatchAll_Ct-1),AZ33=0),AB33,0)</f>
        <v>0</v>
      </c>
      <c r="CH33" s="202">
        <f>IF(AND(Input_Product=Elig!$C33,Elig_MatchAll_Ct&lt;22,$BC33=(Elig_MatchAll_Ct-1),AZ33=0),AC33,0)</f>
        <v>0</v>
      </c>
      <c r="CI33" s="201">
        <f>IF(AND(Input_Product=Elig!$C33,Elig_MatchAll_Ct&lt;22,$BC33=(Elig_MatchAll_Ct-1),BA33=0),AD33,0)</f>
        <v>0</v>
      </c>
      <c r="CJ33" s="203">
        <f>IF(AND(Input_Product=Elig!$C33,Elig_MatchAll_Ct&lt;22,$BC33=(Elig_MatchAll_Ct-1),BA33=0),AE33,0)</f>
        <v>0</v>
      </c>
    </row>
    <row r="34" spans="2:88" ht="10.15" customHeight="1" x14ac:dyDescent="0.25">
      <c r="B34" s="1912" t="s">
        <v>794</v>
      </c>
      <c r="C34" s="134" t="str">
        <f t="shared" si="1"/>
        <v>NonQM OO</v>
      </c>
      <c r="D34" s="135" t="s">
        <v>3885</v>
      </c>
      <c r="E34" s="135" t="s">
        <v>167</v>
      </c>
      <c r="F34" s="135" t="s">
        <v>331</v>
      </c>
      <c r="G34" s="135" t="s">
        <v>468</v>
      </c>
      <c r="H34" s="135" t="s">
        <v>136</v>
      </c>
      <c r="I34" s="135" t="s">
        <v>274</v>
      </c>
      <c r="J34" s="135" t="s">
        <v>1311</v>
      </c>
      <c r="K34" s="135" t="s">
        <v>1631</v>
      </c>
      <c r="L34" s="221" t="s">
        <v>3920</v>
      </c>
      <c r="M34" s="135" t="s">
        <v>4203</v>
      </c>
      <c r="N34" s="135" t="s">
        <v>82</v>
      </c>
      <c r="O34" s="135" t="s">
        <v>310</v>
      </c>
      <c r="P34" s="135" t="s">
        <v>291</v>
      </c>
      <c r="Q34" s="135" t="s">
        <v>294</v>
      </c>
      <c r="R34" s="221">
        <v>100000</v>
      </c>
      <c r="S34" s="135">
        <v>1000000</v>
      </c>
      <c r="T34" s="135">
        <v>0</v>
      </c>
      <c r="U34" s="135">
        <v>0</v>
      </c>
      <c r="V34" s="135">
        <v>0</v>
      </c>
      <c r="W34" s="135">
        <v>55</v>
      </c>
      <c r="X34" s="135">
        <v>0</v>
      </c>
      <c r="Y34" s="135">
        <v>999</v>
      </c>
      <c r="Z34" s="137">
        <v>660</v>
      </c>
      <c r="AA34" s="137">
        <v>679</v>
      </c>
      <c r="AB34" s="137">
        <v>3</v>
      </c>
      <c r="AC34" s="137">
        <v>999999</v>
      </c>
      <c r="AD34" s="135">
        <v>0</v>
      </c>
      <c r="AE34" s="221">
        <v>80</v>
      </c>
      <c r="AF34" s="170">
        <v>0</v>
      </c>
      <c r="AG34" s="171">
        <v>1</v>
      </c>
      <c r="AH34" s="171">
        <v>1</v>
      </c>
      <c r="AI34" s="171">
        <v>1</v>
      </c>
      <c r="AJ34" s="171">
        <v>0</v>
      </c>
      <c r="AK34" s="171">
        <v>1</v>
      </c>
      <c r="AL34" s="171">
        <v>0</v>
      </c>
      <c r="AM34" s="171">
        <v>1</v>
      </c>
      <c r="AN34" s="171">
        <v>1</v>
      </c>
      <c r="AO34" s="171">
        <v>1</v>
      </c>
      <c r="AP34" s="171">
        <v>1</v>
      </c>
      <c r="AQ34" s="171">
        <v>1</v>
      </c>
      <c r="AR34" s="171">
        <v>1</v>
      </c>
      <c r="AS34" s="171">
        <v>1</v>
      </c>
      <c r="AT34" s="171">
        <v>1</v>
      </c>
      <c r="AU34" s="171">
        <f t="shared" si="2"/>
        <v>1</v>
      </c>
      <c r="AV34" s="171">
        <f t="shared" si="3"/>
        <v>0</v>
      </c>
      <c r="AW34" s="171">
        <f t="shared" si="4"/>
        <v>1</v>
      </c>
      <c r="AX34" s="171">
        <f t="shared" si="5"/>
        <v>1</v>
      </c>
      <c r="AY34" s="171">
        <f t="shared" si="6"/>
        <v>0</v>
      </c>
      <c r="AZ34" s="171">
        <f t="shared" si="7"/>
        <v>1</v>
      </c>
      <c r="BA34" s="172">
        <f t="shared" si="8"/>
        <v>1</v>
      </c>
      <c r="BB34" s="175">
        <f t="shared" si="17"/>
        <v>17</v>
      </c>
      <c r="BC34" s="176">
        <f t="shared" si="18"/>
        <v>16</v>
      </c>
      <c r="BD34" s="176">
        <f t="shared" si="19"/>
        <v>17</v>
      </c>
      <c r="BE34" s="240" t="str">
        <f t="shared" si="12"/>
        <v/>
      </c>
      <c r="BH34" s="198">
        <f>IF(AND(Input_Product=Elig!$C34,Elig_MatchAll_Ct&lt;22,$BC34=(Elig_MatchAll_Ct-1),AF34=0),C34,0)</f>
        <v>0</v>
      </c>
      <c r="BI34" s="199">
        <f>IF(AND(Input_Product=Elig!$C34,Elig_MatchAll_Ct&lt;22,$BC34=(Elig_MatchAll_Ct-1),AG34=0),D34,0)</f>
        <v>0</v>
      </c>
      <c r="BJ34" s="199">
        <f>IF(AND(Input_Product=Elig!$C34,Elig_MatchAll_Ct&lt;22,$BC34=(Elig_MatchAll_Ct-1),AH34=0),E34,0)</f>
        <v>0</v>
      </c>
      <c r="BK34" s="199">
        <f>IF(AND(Input_Product=Elig!$C34,Elig_MatchAll_Ct&lt;22,$BC34=(Elig_MatchAll_Ct-1),AI34=0),F34,0)</f>
        <v>0</v>
      </c>
      <c r="BL34" s="199">
        <f>IF(AND(Input_Product=Elig!$C34,Elig_MatchAll_Ct&lt;22,$BC34=(Elig_MatchAll_Ct-1),AJ34=0),G34,0)</f>
        <v>0</v>
      </c>
      <c r="BM34" s="199">
        <f>IF(AND(Input_Product=Elig!$C34,Elig_MatchAll_Ct&lt;22,$BC34=(Elig_MatchAll_Ct-1),AK34=0),H34,0)</f>
        <v>0</v>
      </c>
      <c r="BN34" s="199">
        <f>IF(AND(Input_Product=Elig!$C34,Elig_MatchAll_Ct&lt;22,$BC34=(Elig_MatchAll_Ct-1),AL34=0),I34,0)</f>
        <v>0</v>
      </c>
      <c r="BO34" s="199">
        <f>IF(AND(Input_Product=Elig!$C34,Elig_MatchAll_Ct&lt;22,$BC34=(Elig_MatchAll_Ct-1),AM34=0),J34,0)</f>
        <v>0</v>
      </c>
      <c r="BP34" s="199">
        <f>IF(AND(Input_Product=Elig!$C34,Elig_MatchAll_Ct&lt;22,$BC34=(Elig_MatchAll_Ct-1),AN34=0),K34,0)</f>
        <v>0</v>
      </c>
      <c r="BQ34" s="199">
        <f>IF(AND(Input_Product=Elig!$C34,Elig_MatchAll_Ct&lt;22,$BC34=(Elig_MatchAll_Ct-1),AP34=0),L34,0)</f>
        <v>0</v>
      </c>
      <c r="BR34" s="199">
        <f>IF(AND(Input_Product=Elig!$C34,Elig_MatchAll_Ct&lt;22,$BC34=(Elig_MatchAll_Ct-1),AO34=0),M34,0)</f>
        <v>0</v>
      </c>
      <c r="BS34" s="199">
        <f>IF(AND(Input_Product=Elig!$C34,Elig_MatchAll_Ct&lt;22,$BC34=(Elig_MatchAll_Ct-1),AQ34=0),N34,0)</f>
        <v>0</v>
      </c>
      <c r="BT34" s="199">
        <f>IF(AND(Input_Product=Elig!$C34,Elig_MatchAll_Ct&lt;22,$BC34=(Elig_MatchAll_Ct-1),AR34=0),O34,0)</f>
        <v>0</v>
      </c>
      <c r="BU34" s="199">
        <f>IF(AND(Input_Product=Elig!$C34,Elig_MatchAll_Ct&lt;22,$BC34=(Elig_MatchAll_Ct-1),AS34=0),P34,0)</f>
        <v>0</v>
      </c>
      <c r="BV34" s="200">
        <f>IF(AND(Input_Product=Elig!$C34,Elig_MatchAll_Ct&lt;22,$BC34=(Elig_MatchAll_Ct-1),AT34=0),Q34,0)</f>
        <v>0</v>
      </c>
      <c r="BW34" s="201">
        <f>IF(AND(Input_Product=Elig!$C34,Elig_MatchAll_Ct&lt;22,$BC34=(Elig_MatchAll_Ct-1),AU34=0),R34,0)</f>
        <v>0</v>
      </c>
      <c r="BX34" s="202">
        <f>IF(AND(Input_Product=Elig!$C34,Elig_MatchAll_Ct&lt;22,$BC34=(Elig_MatchAll_Ct-1),AU34=0),S34,0)</f>
        <v>0</v>
      </c>
      <c r="BY34" s="201">
        <f>IF(AND(Input_Product=Elig!$C34,Elig_MatchAll_Ct&lt;22,$BC34=(Elig_MatchAll_Ct-1),AV34=0),T34,0)</f>
        <v>0</v>
      </c>
      <c r="BZ34" s="202">
        <f>IF(AND(Input_Product=Elig!$C34,Elig_MatchAll_Ct&lt;22,$BC34=(Elig_MatchAll_Ct-1),AV34=0),U34,0)</f>
        <v>0</v>
      </c>
      <c r="CA34" s="201">
        <f>IF(AND(Input_Product=Elig!$C34,Elig_MatchAll_Ct&lt;22,$BC34=(Elig_MatchAll_Ct-1),AW34=0),V34,0)</f>
        <v>0</v>
      </c>
      <c r="CB34" s="202">
        <f>IF(AND(Input_Product=Elig!$C34,Elig_MatchAll_Ct&lt;22,$BC34=(Elig_MatchAll_Ct-1),AW34=0),W34,0)</f>
        <v>0</v>
      </c>
      <c r="CC34" s="201">
        <f>IF(AND(Input_Product=Elig!$C34,Elig_MatchAll_Ct&lt;22,$BC34=(Elig_MatchAll_Ct-1),AX34=0),X34,0)</f>
        <v>0</v>
      </c>
      <c r="CD34" s="202">
        <f>IF(AND(Input_Product=Elig!$C34,Elig_MatchAll_Ct&lt;22,$BC34=(Elig_MatchAll_Ct-1),AX34=0),Y34,0)</f>
        <v>0</v>
      </c>
      <c r="CE34" s="201">
        <f>IF(AND(Input_LTV&lt;=AE34,Input_Product=Elig!$C34,Elig_MatchAll_Ct&lt;22,$BC34=(Elig_MatchAll_Ct-1),AY34=0),Z34,0)</f>
        <v>0</v>
      </c>
      <c r="CF34" s="202">
        <f>IF(AND(Input_LTV&lt;=AE34,Input_Product=Elig!$C34,Elig_MatchAll_Ct&lt;22,$BC34=(Elig_MatchAll_Ct-1),AY34=0),AA34,0)</f>
        <v>0</v>
      </c>
      <c r="CG34" s="201">
        <f>IF(AND(Input_Product=Elig!$C34,Elig_MatchAll_Ct&lt;22,$BC34=(Elig_MatchAll_Ct-1),AZ34=0),AB34,0)</f>
        <v>0</v>
      </c>
      <c r="CH34" s="202">
        <f>IF(AND(Input_Product=Elig!$C34,Elig_MatchAll_Ct&lt;22,$BC34=(Elig_MatchAll_Ct-1),AZ34=0),AC34,0)</f>
        <v>0</v>
      </c>
      <c r="CI34" s="201">
        <f>IF(AND(Input_Product=Elig!$C34,Elig_MatchAll_Ct&lt;22,$BC34=(Elig_MatchAll_Ct-1),BA34=0),AD34,0)</f>
        <v>0</v>
      </c>
      <c r="CJ34" s="203">
        <f>IF(AND(Input_Product=Elig!$C34,Elig_MatchAll_Ct&lt;22,$BC34=(Elig_MatchAll_Ct-1),BA34=0),AE34,0)</f>
        <v>0</v>
      </c>
    </row>
    <row r="35" spans="2:88" ht="10.15" customHeight="1" x14ac:dyDescent="0.25">
      <c r="B35" s="1912" t="s">
        <v>795</v>
      </c>
      <c r="C35" s="134" t="str">
        <f t="shared" si="1"/>
        <v>NonQM OO</v>
      </c>
      <c r="D35" s="135" t="s">
        <v>3885</v>
      </c>
      <c r="E35" s="135" t="s">
        <v>167</v>
      </c>
      <c r="F35" s="135" t="s">
        <v>331</v>
      </c>
      <c r="G35" s="135" t="s">
        <v>468</v>
      </c>
      <c r="H35" s="135" t="s">
        <v>136</v>
      </c>
      <c r="I35" s="135" t="s">
        <v>274</v>
      </c>
      <c r="J35" s="135" t="s">
        <v>1311</v>
      </c>
      <c r="K35" s="135" t="s">
        <v>1631</v>
      </c>
      <c r="L35" s="221" t="s">
        <v>3920</v>
      </c>
      <c r="M35" s="135" t="s">
        <v>4203</v>
      </c>
      <c r="N35" s="135" t="s">
        <v>82</v>
      </c>
      <c r="O35" s="135" t="s">
        <v>310</v>
      </c>
      <c r="P35" s="135" t="s">
        <v>291</v>
      </c>
      <c r="Q35" s="135" t="s">
        <v>294</v>
      </c>
      <c r="R35" s="221">
        <v>100000</v>
      </c>
      <c r="S35" s="135">
        <v>1000000</v>
      </c>
      <c r="T35" s="135">
        <v>0</v>
      </c>
      <c r="U35" s="135">
        <v>0</v>
      </c>
      <c r="V35" s="135">
        <v>0</v>
      </c>
      <c r="W35" s="135">
        <v>55</v>
      </c>
      <c r="X35" s="135">
        <v>0</v>
      </c>
      <c r="Y35" s="135">
        <v>999</v>
      </c>
      <c r="Z35" s="137">
        <v>640</v>
      </c>
      <c r="AA35" s="137">
        <v>659</v>
      </c>
      <c r="AB35" s="137">
        <v>3</v>
      </c>
      <c r="AC35" s="137">
        <v>999999</v>
      </c>
      <c r="AD35" s="135">
        <v>0</v>
      </c>
      <c r="AE35" s="221">
        <v>80</v>
      </c>
      <c r="AF35" s="170">
        <v>0</v>
      </c>
      <c r="AG35" s="171">
        <v>1</v>
      </c>
      <c r="AH35" s="171">
        <v>1</v>
      </c>
      <c r="AI35" s="171">
        <v>1</v>
      </c>
      <c r="AJ35" s="171">
        <v>0</v>
      </c>
      <c r="AK35" s="171">
        <v>1</v>
      </c>
      <c r="AL35" s="171">
        <v>0</v>
      </c>
      <c r="AM35" s="171">
        <v>1</v>
      </c>
      <c r="AN35" s="171">
        <v>1</v>
      </c>
      <c r="AO35" s="171">
        <v>1</v>
      </c>
      <c r="AP35" s="171">
        <v>1</v>
      </c>
      <c r="AQ35" s="171">
        <v>1</v>
      </c>
      <c r="AR35" s="171">
        <v>1</v>
      </c>
      <c r="AS35" s="171">
        <v>1</v>
      </c>
      <c r="AT35" s="171">
        <v>1</v>
      </c>
      <c r="AU35" s="171">
        <f t="shared" si="2"/>
        <v>1</v>
      </c>
      <c r="AV35" s="171">
        <f t="shared" si="3"/>
        <v>0</v>
      </c>
      <c r="AW35" s="171">
        <f t="shared" si="4"/>
        <v>1</v>
      </c>
      <c r="AX35" s="171">
        <f t="shared" si="5"/>
        <v>1</v>
      </c>
      <c r="AY35" s="171">
        <f t="shared" si="6"/>
        <v>0</v>
      </c>
      <c r="AZ35" s="171">
        <f t="shared" si="7"/>
        <v>1</v>
      </c>
      <c r="BA35" s="172">
        <f t="shared" si="8"/>
        <v>1</v>
      </c>
      <c r="BB35" s="175">
        <f t="shared" si="17"/>
        <v>17</v>
      </c>
      <c r="BC35" s="176">
        <f t="shared" si="18"/>
        <v>16</v>
      </c>
      <c r="BD35" s="176">
        <f t="shared" si="19"/>
        <v>17</v>
      </c>
      <c r="BE35" s="240" t="str">
        <f t="shared" si="12"/>
        <v/>
      </c>
      <c r="BH35" s="198">
        <f>IF(AND(Input_Product=Elig!$C35,Elig_MatchAll_Ct&lt;22,$BC35=(Elig_MatchAll_Ct-1),AF35=0),C35,0)</f>
        <v>0</v>
      </c>
      <c r="BI35" s="199">
        <f>IF(AND(Input_Product=Elig!$C35,Elig_MatchAll_Ct&lt;22,$BC35=(Elig_MatchAll_Ct-1),AG35=0),D35,0)</f>
        <v>0</v>
      </c>
      <c r="BJ35" s="199">
        <f>IF(AND(Input_Product=Elig!$C35,Elig_MatchAll_Ct&lt;22,$BC35=(Elig_MatchAll_Ct-1),AH35=0),E35,0)</f>
        <v>0</v>
      </c>
      <c r="BK35" s="199">
        <f>IF(AND(Input_Product=Elig!$C35,Elig_MatchAll_Ct&lt;22,$BC35=(Elig_MatchAll_Ct-1),AI35=0),F35,0)</f>
        <v>0</v>
      </c>
      <c r="BL35" s="199">
        <f>IF(AND(Input_Product=Elig!$C35,Elig_MatchAll_Ct&lt;22,$BC35=(Elig_MatchAll_Ct-1),AJ35=0),G35,0)</f>
        <v>0</v>
      </c>
      <c r="BM35" s="199">
        <f>IF(AND(Input_Product=Elig!$C35,Elig_MatchAll_Ct&lt;22,$BC35=(Elig_MatchAll_Ct-1),AK35=0),H35,0)</f>
        <v>0</v>
      </c>
      <c r="BN35" s="199">
        <f>IF(AND(Input_Product=Elig!$C35,Elig_MatchAll_Ct&lt;22,$BC35=(Elig_MatchAll_Ct-1),AL35=0),I35,0)</f>
        <v>0</v>
      </c>
      <c r="BO35" s="199">
        <f>IF(AND(Input_Product=Elig!$C35,Elig_MatchAll_Ct&lt;22,$BC35=(Elig_MatchAll_Ct-1),AM35=0),J35,0)</f>
        <v>0</v>
      </c>
      <c r="BP35" s="199">
        <f>IF(AND(Input_Product=Elig!$C35,Elig_MatchAll_Ct&lt;22,$BC35=(Elig_MatchAll_Ct-1),AN35=0),K35,0)</f>
        <v>0</v>
      </c>
      <c r="BQ35" s="199">
        <f>IF(AND(Input_Product=Elig!$C35,Elig_MatchAll_Ct&lt;22,$BC35=(Elig_MatchAll_Ct-1),AP35=0),L35,0)</f>
        <v>0</v>
      </c>
      <c r="BR35" s="199">
        <f>IF(AND(Input_Product=Elig!$C35,Elig_MatchAll_Ct&lt;22,$BC35=(Elig_MatchAll_Ct-1),AO35=0),M35,0)</f>
        <v>0</v>
      </c>
      <c r="BS35" s="199">
        <f>IF(AND(Input_Product=Elig!$C35,Elig_MatchAll_Ct&lt;22,$BC35=(Elig_MatchAll_Ct-1),AQ35=0),N35,0)</f>
        <v>0</v>
      </c>
      <c r="BT35" s="199">
        <f>IF(AND(Input_Product=Elig!$C35,Elig_MatchAll_Ct&lt;22,$BC35=(Elig_MatchAll_Ct-1),AR35=0),O35,0)</f>
        <v>0</v>
      </c>
      <c r="BU35" s="199">
        <f>IF(AND(Input_Product=Elig!$C35,Elig_MatchAll_Ct&lt;22,$BC35=(Elig_MatchAll_Ct-1),AS35=0),P35,0)</f>
        <v>0</v>
      </c>
      <c r="BV35" s="200">
        <f>IF(AND(Input_Product=Elig!$C35,Elig_MatchAll_Ct&lt;22,$BC35=(Elig_MatchAll_Ct-1),AT35=0),Q35,0)</f>
        <v>0</v>
      </c>
      <c r="BW35" s="201">
        <f>IF(AND(Input_Product=Elig!$C35,Elig_MatchAll_Ct&lt;22,$BC35=(Elig_MatchAll_Ct-1),AU35=0),R35,0)</f>
        <v>0</v>
      </c>
      <c r="BX35" s="202">
        <f>IF(AND(Input_Product=Elig!$C35,Elig_MatchAll_Ct&lt;22,$BC35=(Elig_MatchAll_Ct-1),AU35=0),S35,0)</f>
        <v>0</v>
      </c>
      <c r="BY35" s="201">
        <f>IF(AND(Input_Product=Elig!$C35,Elig_MatchAll_Ct&lt;22,$BC35=(Elig_MatchAll_Ct-1),AV35=0),T35,0)</f>
        <v>0</v>
      </c>
      <c r="BZ35" s="202">
        <f>IF(AND(Input_Product=Elig!$C35,Elig_MatchAll_Ct&lt;22,$BC35=(Elig_MatchAll_Ct-1),AV35=0),U35,0)</f>
        <v>0</v>
      </c>
      <c r="CA35" s="201">
        <f>IF(AND(Input_Product=Elig!$C35,Elig_MatchAll_Ct&lt;22,$BC35=(Elig_MatchAll_Ct-1),AW35=0),V35,0)</f>
        <v>0</v>
      </c>
      <c r="CB35" s="202">
        <f>IF(AND(Input_Product=Elig!$C35,Elig_MatchAll_Ct&lt;22,$BC35=(Elig_MatchAll_Ct-1),AW35=0),W35,0)</f>
        <v>0</v>
      </c>
      <c r="CC35" s="201">
        <f>IF(AND(Input_Product=Elig!$C35,Elig_MatchAll_Ct&lt;22,$BC35=(Elig_MatchAll_Ct-1),AX35=0),X35,0)</f>
        <v>0</v>
      </c>
      <c r="CD35" s="202">
        <f>IF(AND(Input_Product=Elig!$C35,Elig_MatchAll_Ct&lt;22,$BC35=(Elig_MatchAll_Ct-1),AX35=0),Y35,0)</f>
        <v>0</v>
      </c>
      <c r="CE35" s="201">
        <f>IF(AND(Input_LTV&lt;=AE35,Input_Product=Elig!$C35,Elig_MatchAll_Ct&lt;22,$BC35=(Elig_MatchAll_Ct-1),AY35=0),Z35,0)</f>
        <v>0</v>
      </c>
      <c r="CF35" s="202">
        <f>IF(AND(Input_LTV&lt;=AE35,Input_Product=Elig!$C35,Elig_MatchAll_Ct&lt;22,$BC35=(Elig_MatchAll_Ct-1),AY35=0),AA35,0)</f>
        <v>0</v>
      </c>
      <c r="CG35" s="201">
        <f>IF(AND(Input_Product=Elig!$C35,Elig_MatchAll_Ct&lt;22,$BC35=(Elig_MatchAll_Ct-1),AZ35=0),AB35,0)</f>
        <v>0</v>
      </c>
      <c r="CH35" s="202">
        <f>IF(AND(Input_Product=Elig!$C35,Elig_MatchAll_Ct&lt;22,$BC35=(Elig_MatchAll_Ct-1),AZ35=0),AC35,0)</f>
        <v>0</v>
      </c>
      <c r="CI35" s="201">
        <f>IF(AND(Input_Product=Elig!$C35,Elig_MatchAll_Ct&lt;22,$BC35=(Elig_MatchAll_Ct-1),BA35=0),AD35,0)</f>
        <v>0</v>
      </c>
      <c r="CJ35" s="203">
        <f>IF(AND(Input_Product=Elig!$C35,Elig_MatchAll_Ct&lt;22,$BC35=(Elig_MatchAll_Ct-1),BA35=0),AE35,0)</f>
        <v>0</v>
      </c>
    </row>
    <row r="36" spans="2:88" ht="10.15" customHeight="1" x14ac:dyDescent="0.25">
      <c r="B36" s="1912" t="s">
        <v>796</v>
      </c>
      <c r="C36" s="138" t="str">
        <f t="shared" si="1"/>
        <v>NonQM OO</v>
      </c>
      <c r="D36" s="139" t="s">
        <v>3885</v>
      </c>
      <c r="E36" s="139" t="s">
        <v>167</v>
      </c>
      <c r="F36" s="139" t="s">
        <v>331</v>
      </c>
      <c r="G36" s="139" t="s">
        <v>468</v>
      </c>
      <c r="H36" s="139" t="s">
        <v>136</v>
      </c>
      <c r="I36" s="139" t="s">
        <v>274</v>
      </c>
      <c r="J36" s="139" t="s">
        <v>1311</v>
      </c>
      <c r="K36" s="139" t="s">
        <v>1631</v>
      </c>
      <c r="L36" s="310" t="s">
        <v>3920</v>
      </c>
      <c r="M36" s="139" t="s">
        <v>4203</v>
      </c>
      <c r="N36" s="139" t="s">
        <v>82</v>
      </c>
      <c r="O36" s="139" t="s">
        <v>310</v>
      </c>
      <c r="P36" s="139" t="s">
        <v>291</v>
      </c>
      <c r="Q36" s="139" t="s">
        <v>294</v>
      </c>
      <c r="R36" s="310">
        <v>100000</v>
      </c>
      <c r="S36" s="139">
        <v>1000000</v>
      </c>
      <c r="T36" s="139">
        <v>0</v>
      </c>
      <c r="U36" s="139">
        <v>0</v>
      </c>
      <c r="V36" s="139">
        <v>0</v>
      </c>
      <c r="W36" s="139">
        <v>55</v>
      </c>
      <c r="X36" s="139">
        <v>0</v>
      </c>
      <c r="Y36" s="139">
        <v>999</v>
      </c>
      <c r="Z36" s="140">
        <v>620</v>
      </c>
      <c r="AA36" s="140">
        <v>639</v>
      </c>
      <c r="AB36" s="140">
        <v>3</v>
      </c>
      <c r="AC36" s="140">
        <v>999999</v>
      </c>
      <c r="AD36" s="139">
        <v>0</v>
      </c>
      <c r="AE36" s="310">
        <v>80</v>
      </c>
      <c r="AF36" s="170">
        <v>0</v>
      </c>
      <c r="AG36" s="171">
        <v>1</v>
      </c>
      <c r="AH36" s="171">
        <v>1</v>
      </c>
      <c r="AI36" s="171">
        <v>1</v>
      </c>
      <c r="AJ36" s="171">
        <v>0</v>
      </c>
      <c r="AK36" s="171">
        <v>1</v>
      </c>
      <c r="AL36" s="171">
        <v>0</v>
      </c>
      <c r="AM36" s="171">
        <v>1</v>
      </c>
      <c r="AN36" s="171">
        <v>1</v>
      </c>
      <c r="AO36" s="171">
        <v>1</v>
      </c>
      <c r="AP36" s="171">
        <v>1</v>
      </c>
      <c r="AQ36" s="171">
        <v>1</v>
      </c>
      <c r="AR36" s="171">
        <v>1</v>
      </c>
      <c r="AS36" s="171">
        <v>1</v>
      </c>
      <c r="AT36" s="171">
        <v>1</v>
      </c>
      <c r="AU36" s="171">
        <f t="shared" si="2"/>
        <v>1</v>
      </c>
      <c r="AV36" s="171">
        <f t="shared" si="3"/>
        <v>0</v>
      </c>
      <c r="AW36" s="171">
        <f t="shared" si="4"/>
        <v>1</v>
      </c>
      <c r="AX36" s="171">
        <f t="shared" si="5"/>
        <v>1</v>
      </c>
      <c r="AY36" s="171">
        <f t="shared" si="6"/>
        <v>0</v>
      </c>
      <c r="AZ36" s="171">
        <f t="shared" si="7"/>
        <v>1</v>
      </c>
      <c r="BA36" s="172">
        <f t="shared" si="8"/>
        <v>1</v>
      </c>
      <c r="BB36" s="175">
        <f t="shared" si="17"/>
        <v>17</v>
      </c>
      <c r="BC36" s="176">
        <f t="shared" si="18"/>
        <v>16</v>
      </c>
      <c r="BD36" s="176">
        <f t="shared" si="19"/>
        <v>17</v>
      </c>
      <c r="BE36" s="240" t="str">
        <f t="shared" si="12"/>
        <v/>
      </c>
      <c r="BH36" s="204">
        <f>IF(AND(Input_Product=Elig!$C36,Elig_MatchAll_Ct&lt;22,$BC36=(Elig_MatchAll_Ct-1),AF36=0),C36,0)</f>
        <v>0</v>
      </c>
      <c r="BI36" s="205">
        <f>IF(AND(Input_Product=Elig!$C36,Elig_MatchAll_Ct&lt;22,$BC36=(Elig_MatchAll_Ct-1),AG36=0),D36,0)</f>
        <v>0</v>
      </c>
      <c r="BJ36" s="205">
        <f>IF(AND(Input_Product=Elig!$C36,Elig_MatchAll_Ct&lt;22,$BC36=(Elig_MatchAll_Ct-1),AH36=0),E36,0)</f>
        <v>0</v>
      </c>
      <c r="BK36" s="205">
        <f>IF(AND(Input_Product=Elig!$C36,Elig_MatchAll_Ct&lt;22,$BC36=(Elig_MatchAll_Ct-1),AI36=0),F36,0)</f>
        <v>0</v>
      </c>
      <c r="BL36" s="205">
        <f>IF(AND(Input_Product=Elig!$C36,Elig_MatchAll_Ct&lt;22,$BC36=(Elig_MatchAll_Ct-1),AJ36=0),G36,0)</f>
        <v>0</v>
      </c>
      <c r="BM36" s="205">
        <f>IF(AND(Input_Product=Elig!$C36,Elig_MatchAll_Ct&lt;22,$BC36=(Elig_MatchAll_Ct-1),AK36=0),H36,0)</f>
        <v>0</v>
      </c>
      <c r="BN36" s="205">
        <f>IF(AND(Input_Product=Elig!$C36,Elig_MatchAll_Ct&lt;22,$BC36=(Elig_MatchAll_Ct-1),AL36=0),I36,0)</f>
        <v>0</v>
      </c>
      <c r="BO36" s="205">
        <f>IF(AND(Input_Product=Elig!$C36,Elig_MatchAll_Ct&lt;22,$BC36=(Elig_MatchAll_Ct-1),AM36=0),J36,0)</f>
        <v>0</v>
      </c>
      <c r="BP36" s="205">
        <f>IF(AND(Input_Product=Elig!$C36,Elig_MatchAll_Ct&lt;22,$BC36=(Elig_MatchAll_Ct-1),AN36=0),K36,0)</f>
        <v>0</v>
      </c>
      <c r="BQ36" s="205">
        <f>IF(AND(Input_Product=Elig!$C36,Elig_MatchAll_Ct&lt;22,$BC36=(Elig_MatchAll_Ct-1),AP36=0),L36,0)</f>
        <v>0</v>
      </c>
      <c r="BR36" s="205">
        <f>IF(AND(Input_Product=Elig!$C36,Elig_MatchAll_Ct&lt;22,$BC36=(Elig_MatchAll_Ct-1),AO36=0),M36,0)</f>
        <v>0</v>
      </c>
      <c r="BS36" s="205">
        <f>IF(AND(Input_Product=Elig!$C36,Elig_MatchAll_Ct&lt;22,$BC36=(Elig_MatchAll_Ct-1),AQ36=0),N36,0)</f>
        <v>0</v>
      </c>
      <c r="BT36" s="205">
        <f>IF(AND(Input_Product=Elig!$C36,Elig_MatchAll_Ct&lt;22,$BC36=(Elig_MatchAll_Ct-1),AR36=0),O36,0)</f>
        <v>0</v>
      </c>
      <c r="BU36" s="205">
        <f>IF(AND(Input_Product=Elig!$C36,Elig_MatchAll_Ct&lt;22,$BC36=(Elig_MatchAll_Ct-1),AS36=0),P36,0)</f>
        <v>0</v>
      </c>
      <c r="BV36" s="206">
        <f>IF(AND(Input_Product=Elig!$C36,Elig_MatchAll_Ct&lt;22,$BC36=(Elig_MatchAll_Ct-1),AT36=0),Q36,0)</f>
        <v>0</v>
      </c>
      <c r="BW36" s="207">
        <f>IF(AND(Input_Product=Elig!$C36,Elig_MatchAll_Ct&lt;22,$BC36=(Elig_MatchAll_Ct-1),AU36=0),R36,0)</f>
        <v>0</v>
      </c>
      <c r="BX36" s="208">
        <f>IF(AND(Input_Product=Elig!$C36,Elig_MatchAll_Ct&lt;22,$BC36=(Elig_MatchAll_Ct-1),AU36=0),S36,0)</f>
        <v>0</v>
      </c>
      <c r="BY36" s="207">
        <f>IF(AND(Input_Product=Elig!$C36,Elig_MatchAll_Ct&lt;22,$BC36=(Elig_MatchAll_Ct-1),AV36=0),T36,0)</f>
        <v>0</v>
      </c>
      <c r="BZ36" s="208">
        <f>IF(AND(Input_Product=Elig!$C36,Elig_MatchAll_Ct&lt;22,$BC36=(Elig_MatchAll_Ct-1),AV36=0),U36,0)</f>
        <v>0</v>
      </c>
      <c r="CA36" s="207">
        <f>IF(AND(Input_Product=Elig!$C36,Elig_MatchAll_Ct&lt;22,$BC36=(Elig_MatchAll_Ct-1),AW36=0),V36,0)</f>
        <v>0</v>
      </c>
      <c r="CB36" s="208">
        <f>IF(AND(Input_Product=Elig!$C36,Elig_MatchAll_Ct&lt;22,$BC36=(Elig_MatchAll_Ct-1),AW36=0),W36,0)</f>
        <v>0</v>
      </c>
      <c r="CC36" s="207">
        <f>IF(AND(Input_Product=Elig!$C36,Elig_MatchAll_Ct&lt;22,$BC36=(Elig_MatchAll_Ct-1),AX36=0),X36,0)</f>
        <v>0</v>
      </c>
      <c r="CD36" s="208">
        <f>IF(AND(Input_Product=Elig!$C36,Elig_MatchAll_Ct&lt;22,$BC36=(Elig_MatchAll_Ct-1),AX36=0),Y36,0)</f>
        <v>0</v>
      </c>
      <c r="CE36" s="207">
        <f>IF(AND(Input_LTV&lt;=AE36,Input_Product=Elig!$C36,Elig_MatchAll_Ct&lt;22,$BC36=(Elig_MatchAll_Ct-1),AY36=0),Z36,0)</f>
        <v>0</v>
      </c>
      <c r="CF36" s="208">
        <f>IF(AND(Input_LTV&lt;=AE36,Input_Product=Elig!$C36,Elig_MatchAll_Ct&lt;22,$BC36=(Elig_MatchAll_Ct-1),AY36=0),AA36,0)</f>
        <v>0</v>
      </c>
      <c r="CG36" s="207">
        <f>IF(AND(Input_Product=Elig!$C36,Elig_MatchAll_Ct&lt;22,$BC36=(Elig_MatchAll_Ct-1),AZ36=0),AB36,0)</f>
        <v>0</v>
      </c>
      <c r="CH36" s="208">
        <f>IF(AND(Input_Product=Elig!$C36,Elig_MatchAll_Ct&lt;22,$BC36=(Elig_MatchAll_Ct-1),AZ36=0),AC36,0)</f>
        <v>0</v>
      </c>
      <c r="CI36" s="207">
        <f>IF(AND(Input_Product=Elig!$C36,Elig_MatchAll_Ct&lt;22,$BC36=(Elig_MatchAll_Ct-1),BA36=0),AD36,0)</f>
        <v>0</v>
      </c>
      <c r="CJ36" s="209">
        <f>IF(AND(Input_Product=Elig!$C36,Elig_MatchAll_Ct&lt;22,$BC36=(Elig_MatchAll_Ct-1),BA36=0),AE36,0)</f>
        <v>0</v>
      </c>
    </row>
    <row r="37" spans="2:88" ht="10.15" customHeight="1" x14ac:dyDescent="0.25">
      <c r="B37" s="1912" t="s">
        <v>797</v>
      </c>
      <c r="C37" s="141" t="str">
        <f t="shared" si="1"/>
        <v>NonQM OO</v>
      </c>
      <c r="D37" s="142" t="s">
        <v>3885</v>
      </c>
      <c r="E37" s="143" t="s">
        <v>167</v>
      </c>
      <c r="F37" s="143" t="s">
        <v>331</v>
      </c>
      <c r="G37" s="143" t="s">
        <v>468</v>
      </c>
      <c r="H37" s="143" t="s">
        <v>136</v>
      </c>
      <c r="I37" s="142" t="s">
        <v>16</v>
      </c>
      <c r="J37" s="142" t="s">
        <v>1311</v>
      </c>
      <c r="K37" s="142" t="s">
        <v>1631</v>
      </c>
      <c r="L37" s="2131" t="s">
        <v>3920</v>
      </c>
      <c r="M37" s="143" t="s">
        <v>4203</v>
      </c>
      <c r="N37" s="143" t="s">
        <v>82</v>
      </c>
      <c r="O37" s="143" t="s">
        <v>310</v>
      </c>
      <c r="P37" s="143" t="s">
        <v>291</v>
      </c>
      <c r="Q37" s="143" t="s">
        <v>294</v>
      </c>
      <c r="R37" s="320">
        <v>100000</v>
      </c>
      <c r="S37" s="142">
        <v>1000000</v>
      </c>
      <c r="T37" s="142">
        <v>0</v>
      </c>
      <c r="U37" s="142">
        <f t="shared" ref="U37:U42" si="21">S37</f>
        <v>1000000</v>
      </c>
      <c r="V37" s="142">
        <v>0</v>
      </c>
      <c r="W37" s="142">
        <v>55</v>
      </c>
      <c r="X37" s="142">
        <v>0</v>
      </c>
      <c r="Y37" s="142">
        <v>999</v>
      </c>
      <c r="Z37" s="144">
        <v>720</v>
      </c>
      <c r="AA37" s="144">
        <v>999</v>
      </c>
      <c r="AB37" s="144">
        <v>3</v>
      </c>
      <c r="AC37" s="144">
        <v>999999</v>
      </c>
      <c r="AD37" s="142">
        <v>0</v>
      </c>
      <c r="AE37" s="320">
        <v>80</v>
      </c>
      <c r="AF37" s="170">
        <v>0</v>
      </c>
      <c r="AG37" s="171">
        <v>1</v>
      </c>
      <c r="AH37" s="171">
        <v>1</v>
      </c>
      <c r="AI37" s="171">
        <v>1</v>
      </c>
      <c r="AJ37" s="171">
        <v>0</v>
      </c>
      <c r="AK37" s="171">
        <v>1</v>
      </c>
      <c r="AL37" s="171">
        <v>1</v>
      </c>
      <c r="AM37" s="171">
        <v>1</v>
      </c>
      <c r="AN37" s="171">
        <v>1</v>
      </c>
      <c r="AO37" s="171">
        <v>1</v>
      </c>
      <c r="AP37" s="171">
        <v>1</v>
      </c>
      <c r="AQ37" s="171">
        <v>1</v>
      </c>
      <c r="AR37" s="171">
        <v>1</v>
      </c>
      <c r="AS37" s="171">
        <v>1</v>
      </c>
      <c r="AT37" s="171">
        <v>1</v>
      </c>
      <c r="AU37" s="171">
        <f t="shared" si="2"/>
        <v>1</v>
      </c>
      <c r="AV37" s="171">
        <f t="shared" si="3"/>
        <v>1</v>
      </c>
      <c r="AW37" s="171">
        <f t="shared" si="4"/>
        <v>1</v>
      </c>
      <c r="AX37" s="171">
        <f t="shared" si="5"/>
        <v>1</v>
      </c>
      <c r="AY37" s="171">
        <f t="shared" si="6"/>
        <v>1</v>
      </c>
      <c r="AZ37" s="171">
        <f t="shared" si="7"/>
        <v>1</v>
      </c>
      <c r="BA37" s="172">
        <f t="shared" si="8"/>
        <v>1</v>
      </c>
      <c r="BB37" s="175">
        <f t="shared" si="17"/>
        <v>20</v>
      </c>
      <c r="BC37" s="176">
        <f t="shared" si="18"/>
        <v>19</v>
      </c>
      <c r="BD37" s="176">
        <f t="shared" si="19"/>
        <v>20</v>
      </c>
      <c r="BE37" s="240" t="str">
        <f t="shared" si="12"/>
        <v/>
      </c>
      <c r="BH37" s="192">
        <f>IF(AND(Input_Product=Elig!$C37,Elig_MatchAll_Ct&lt;22,$BC37=(Elig_MatchAll_Ct-1),AF37=0),C37,0)</f>
        <v>0</v>
      </c>
      <c r="BI37" s="193">
        <f>IF(AND(Input_Product=Elig!$C37,Elig_MatchAll_Ct&lt;22,$BC37=(Elig_MatchAll_Ct-1),AG37=0),D37,0)</f>
        <v>0</v>
      </c>
      <c r="BJ37" s="193">
        <f>IF(AND(Input_Product=Elig!$C37,Elig_MatchAll_Ct&lt;22,$BC37=(Elig_MatchAll_Ct-1),AH37=0),E37,0)</f>
        <v>0</v>
      </c>
      <c r="BK37" s="193">
        <f>IF(AND(Input_Product=Elig!$C37,Elig_MatchAll_Ct&lt;22,$BC37=(Elig_MatchAll_Ct-1),AI37=0),F37,0)</f>
        <v>0</v>
      </c>
      <c r="BL37" s="193">
        <f>IF(AND(Input_Product=Elig!$C37,Elig_MatchAll_Ct&lt;22,$BC37=(Elig_MatchAll_Ct-1),AJ37=0),G37,0)</f>
        <v>0</v>
      </c>
      <c r="BM37" s="193">
        <f>IF(AND(Input_Product=Elig!$C37,Elig_MatchAll_Ct&lt;22,$BC37=(Elig_MatchAll_Ct-1),AK37=0),H37,0)</f>
        <v>0</v>
      </c>
      <c r="BN37" s="193">
        <f>IF(AND(Input_Product=Elig!$C37,Elig_MatchAll_Ct&lt;22,$BC37=(Elig_MatchAll_Ct-1),AL37=0),I37,0)</f>
        <v>0</v>
      </c>
      <c r="BO37" s="193">
        <f>IF(AND(Input_Product=Elig!$C37,Elig_MatchAll_Ct&lt;22,$BC37=(Elig_MatchAll_Ct-1),AM37=0),J37,0)</f>
        <v>0</v>
      </c>
      <c r="BP37" s="193">
        <f>IF(AND(Input_Product=Elig!$C37,Elig_MatchAll_Ct&lt;22,$BC37=(Elig_MatchAll_Ct-1),AN37=0),K37,0)</f>
        <v>0</v>
      </c>
      <c r="BQ37" s="193">
        <f>IF(AND(Input_Product=Elig!$C37,Elig_MatchAll_Ct&lt;22,$BC37=(Elig_MatchAll_Ct-1),AP37=0),L37,0)</f>
        <v>0</v>
      </c>
      <c r="BR37" s="193">
        <f>IF(AND(Input_Product=Elig!$C37,Elig_MatchAll_Ct&lt;22,$BC37=(Elig_MatchAll_Ct-1),AO37=0),M37,0)</f>
        <v>0</v>
      </c>
      <c r="BS37" s="193">
        <f>IF(AND(Input_Product=Elig!$C37,Elig_MatchAll_Ct&lt;22,$BC37=(Elig_MatchAll_Ct-1),AQ37=0),N37,0)</f>
        <v>0</v>
      </c>
      <c r="BT37" s="193">
        <f>IF(AND(Input_Product=Elig!$C37,Elig_MatchAll_Ct&lt;22,$BC37=(Elig_MatchAll_Ct-1),AR37=0),O37,0)</f>
        <v>0</v>
      </c>
      <c r="BU37" s="193">
        <f>IF(AND(Input_Product=Elig!$C37,Elig_MatchAll_Ct&lt;22,$BC37=(Elig_MatchAll_Ct-1),AS37=0),P37,0)</f>
        <v>0</v>
      </c>
      <c r="BV37" s="194">
        <f>IF(AND(Input_Product=Elig!$C37,Elig_MatchAll_Ct&lt;22,$BC37=(Elig_MatchAll_Ct-1),AT37=0),Q37,0)</f>
        <v>0</v>
      </c>
      <c r="BW37" s="195">
        <f>IF(AND(Input_Product=Elig!$C37,Elig_MatchAll_Ct&lt;22,$BC37=(Elig_MatchAll_Ct-1),AU37=0),R37,0)</f>
        <v>0</v>
      </c>
      <c r="BX37" s="196">
        <f>IF(AND(Input_Product=Elig!$C37,Elig_MatchAll_Ct&lt;22,$BC37=(Elig_MatchAll_Ct-1),AU37=0),S37,0)</f>
        <v>0</v>
      </c>
      <c r="BY37" s="195">
        <f>IF(AND(Input_Product=Elig!$C37,Elig_MatchAll_Ct&lt;22,$BC37=(Elig_MatchAll_Ct-1),AV37=0),T37,0)</f>
        <v>0</v>
      </c>
      <c r="BZ37" s="196">
        <f>IF(AND(Input_Product=Elig!$C37,Elig_MatchAll_Ct&lt;22,$BC37=(Elig_MatchAll_Ct-1),AV37=0),U37,0)</f>
        <v>0</v>
      </c>
      <c r="CA37" s="195">
        <f>IF(AND(Input_Product=Elig!$C37,Elig_MatchAll_Ct&lt;22,$BC37=(Elig_MatchAll_Ct-1),AW37=0),V37,0)</f>
        <v>0</v>
      </c>
      <c r="CB37" s="196">
        <f>IF(AND(Input_Product=Elig!$C37,Elig_MatchAll_Ct&lt;22,$BC37=(Elig_MatchAll_Ct-1),AW37=0),W37,0)</f>
        <v>0</v>
      </c>
      <c r="CC37" s="195">
        <f>IF(AND(Input_Product=Elig!$C37,Elig_MatchAll_Ct&lt;22,$BC37=(Elig_MatchAll_Ct-1),AX37=0),X37,0)</f>
        <v>0</v>
      </c>
      <c r="CD37" s="196">
        <f>IF(AND(Input_Product=Elig!$C37,Elig_MatchAll_Ct&lt;22,$BC37=(Elig_MatchAll_Ct-1),AX37=0),Y37,0)</f>
        <v>0</v>
      </c>
      <c r="CE37" s="195">
        <f>IF(AND(Input_LTV&lt;=AE37,Input_Product=Elig!$C37,Elig_MatchAll_Ct&lt;22,$BC37=(Elig_MatchAll_Ct-1),AY37=0),Z37,0)</f>
        <v>0</v>
      </c>
      <c r="CF37" s="196">
        <f>IF(AND(Input_LTV&lt;=AE37,Input_Product=Elig!$C37,Elig_MatchAll_Ct&lt;22,$BC37=(Elig_MatchAll_Ct-1),AY37=0),AA37,0)</f>
        <v>0</v>
      </c>
      <c r="CG37" s="195">
        <f>IF(AND(Input_Product=Elig!$C37,Elig_MatchAll_Ct&lt;22,$BC37=(Elig_MatchAll_Ct-1),AZ37=0),AB37,0)</f>
        <v>0</v>
      </c>
      <c r="CH37" s="196">
        <f>IF(AND(Input_Product=Elig!$C37,Elig_MatchAll_Ct&lt;22,$BC37=(Elig_MatchAll_Ct-1),AZ37=0),AC37,0)</f>
        <v>0</v>
      </c>
      <c r="CI37" s="195">
        <f>IF(AND(Input_Product=Elig!$C37,Elig_MatchAll_Ct&lt;22,$BC37=(Elig_MatchAll_Ct-1),BA37=0),AD37,0)</f>
        <v>0</v>
      </c>
      <c r="CJ37" s="197">
        <f>IF(AND(Input_Product=Elig!$C37,Elig_MatchAll_Ct&lt;22,$BC37=(Elig_MatchAll_Ct-1),BA37=0),AE37,0)</f>
        <v>0</v>
      </c>
    </row>
    <row r="38" spans="2:88" ht="10.15" customHeight="1" x14ac:dyDescent="0.25">
      <c r="B38" s="1912" t="s">
        <v>798</v>
      </c>
      <c r="C38" s="134" t="str">
        <f t="shared" si="1"/>
        <v>NonQM OO</v>
      </c>
      <c r="D38" s="135" t="s">
        <v>3885</v>
      </c>
      <c r="E38" s="135" t="s">
        <v>167</v>
      </c>
      <c r="F38" s="135" t="s">
        <v>331</v>
      </c>
      <c r="G38" s="135" t="s">
        <v>468</v>
      </c>
      <c r="H38" s="135" t="s">
        <v>136</v>
      </c>
      <c r="I38" s="136" t="s">
        <v>16</v>
      </c>
      <c r="J38" s="136" t="s">
        <v>1311</v>
      </c>
      <c r="K38" s="136" t="s">
        <v>1631</v>
      </c>
      <c r="L38" s="221" t="s">
        <v>3920</v>
      </c>
      <c r="M38" s="135" t="s">
        <v>4203</v>
      </c>
      <c r="N38" s="135" t="s">
        <v>82</v>
      </c>
      <c r="O38" s="135" t="s">
        <v>310</v>
      </c>
      <c r="P38" s="135" t="s">
        <v>291</v>
      </c>
      <c r="Q38" s="135" t="s">
        <v>294</v>
      </c>
      <c r="R38" s="221">
        <v>100000</v>
      </c>
      <c r="S38" s="135">
        <v>1000000</v>
      </c>
      <c r="T38" s="135">
        <v>0</v>
      </c>
      <c r="U38" s="135">
        <f t="shared" si="21"/>
        <v>1000000</v>
      </c>
      <c r="V38" s="135">
        <v>0</v>
      </c>
      <c r="W38" s="135">
        <v>55</v>
      </c>
      <c r="X38" s="135">
        <v>0</v>
      </c>
      <c r="Y38" s="135">
        <v>999</v>
      </c>
      <c r="Z38" s="137">
        <v>700</v>
      </c>
      <c r="AA38" s="137">
        <v>719</v>
      </c>
      <c r="AB38" s="137">
        <v>3</v>
      </c>
      <c r="AC38" s="137">
        <v>999999</v>
      </c>
      <c r="AD38" s="135">
        <v>0</v>
      </c>
      <c r="AE38" s="221">
        <v>80</v>
      </c>
      <c r="AF38" s="170">
        <v>0</v>
      </c>
      <c r="AG38" s="171">
        <v>1</v>
      </c>
      <c r="AH38" s="171">
        <v>1</v>
      </c>
      <c r="AI38" s="171">
        <v>1</v>
      </c>
      <c r="AJ38" s="171">
        <v>0</v>
      </c>
      <c r="AK38" s="171">
        <v>1</v>
      </c>
      <c r="AL38" s="171">
        <v>1</v>
      </c>
      <c r="AM38" s="171">
        <v>1</v>
      </c>
      <c r="AN38" s="171">
        <v>1</v>
      </c>
      <c r="AO38" s="171">
        <v>1</v>
      </c>
      <c r="AP38" s="171">
        <v>1</v>
      </c>
      <c r="AQ38" s="171">
        <v>1</v>
      </c>
      <c r="AR38" s="171">
        <v>1</v>
      </c>
      <c r="AS38" s="171">
        <v>1</v>
      </c>
      <c r="AT38" s="171">
        <v>1</v>
      </c>
      <c r="AU38" s="171">
        <f t="shared" si="2"/>
        <v>1</v>
      </c>
      <c r="AV38" s="171">
        <f t="shared" si="3"/>
        <v>1</v>
      </c>
      <c r="AW38" s="171">
        <f t="shared" si="4"/>
        <v>1</v>
      </c>
      <c r="AX38" s="171">
        <f t="shared" si="5"/>
        <v>1</v>
      </c>
      <c r="AY38" s="171">
        <f t="shared" si="6"/>
        <v>0</v>
      </c>
      <c r="AZ38" s="171">
        <f t="shared" si="7"/>
        <v>1</v>
      </c>
      <c r="BA38" s="172">
        <f t="shared" si="8"/>
        <v>1</v>
      </c>
      <c r="BB38" s="175">
        <f t="shared" si="17"/>
        <v>19</v>
      </c>
      <c r="BC38" s="176">
        <f t="shared" si="18"/>
        <v>18</v>
      </c>
      <c r="BD38" s="176">
        <f t="shared" si="19"/>
        <v>19</v>
      </c>
      <c r="BE38" s="240" t="str">
        <f t="shared" si="12"/>
        <v/>
      </c>
      <c r="BH38" s="198">
        <f>IF(AND(Input_Product=Elig!$C38,Elig_MatchAll_Ct&lt;22,$BC38=(Elig_MatchAll_Ct-1),AF38=0),C38,0)</f>
        <v>0</v>
      </c>
      <c r="BI38" s="199">
        <f>IF(AND(Input_Product=Elig!$C38,Elig_MatchAll_Ct&lt;22,$BC38=(Elig_MatchAll_Ct-1),AG38=0),D38,0)</f>
        <v>0</v>
      </c>
      <c r="BJ38" s="199">
        <f>IF(AND(Input_Product=Elig!$C38,Elig_MatchAll_Ct&lt;22,$BC38=(Elig_MatchAll_Ct-1),AH38=0),E38,0)</f>
        <v>0</v>
      </c>
      <c r="BK38" s="199">
        <f>IF(AND(Input_Product=Elig!$C38,Elig_MatchAll_Ct&lt;22,$BC38=(Elig_MatchAll_Ct-1),AI38=0),F38,0)</f>
        <v>0</v>
      </c>
      <c r="BL38" s="199">
        <f>IF(AND(Input_Product=Elig!$C38,Elig_MatchAll_Ct&lt;22,$BC38=(Elig_MatchAll_Ct-1),AJ38=0),G38,0)</f>
        <v>0</v>
      </c>
      <c r="BM38" s="199">
        <f>IF(AND(Input_Product=Elig!$C38,Elig_MatchAll_Ct&lt;22,$BC38=(Elig_MatchAll_Ct-1),AK38=0),H38,0)</f>
        <v>0</v>
      </c>
      <c r="BN38" s="199">
        <f>IF(AND(Input_Product=Elig!$C38,Elig_MatchAll_Ct&lt;22,$BC38=(Elig_MatchAll_Ct-1),AL38=0),I38,0)</f>
        <v>0</v>
      </c>
      <c r="BO38" s="199">
        <f>IF(AND(Input_Product=Elig!$C38,Elig_MatchAll_Ct&lt;22,$BC38=(Elig_MatchAll_Ct-1),AM38=0),J38,0)</f>
        <v>0</v>
      </c>
      <c r="BP38" s="199">
        <f>IF(AND(Input_Product=Elig!$C38,Elig_MatchAll_Ct&lt;22,$BC38=(Elig_MatchAll_Ct-1),AN38=0),K38,0)</f>
        <v>0</v>
      </c>
      <c r="BQ38" s="199">
        <f>IF(AND(Input_Product=Elig!$C38,Elig_MatchAll_Ct&lt;22,$BC38=(Elig_MatchAll_Ct-1),AP38=0),L38,0)</f>
        <v>0</v>
      </c>
      <c r="BR38" s="199">
        <f>IF(AND(Input_Product=Elig!$C38,Elig_MatchAll_Ct&lt;22,$BC38=(Elig_MatchAll_Ct-1),AO38=0),M38,0)</f>
        <v>0</v>
      </c>
      <c r="BS38" s="199">
        <f>IF(AND(Input_Product=Elig!$C38,Elig_MatchAll_Ct&lt;22,$BC38=(Elig_MatchAll_Ct-1),AQ38=0),N38,0)</f>
        <v>0</v>
      </c>
      <c r="BT38" s="199">
        <f>IF(AND(Input_Product=Elig!$C38,Elig_MatchAll_Ct&lt;22,$BC38=(Elig_MatchAll_Ct-1),AR38=0),O38,0)</f>
        <v>0</v>
      </c>
      <c r="BU38" s="199">
        <f>IF(AND(Input_Product=Elig!$C38,Elig_MatchAll_Ct&lt;22,$BC38=(Elig_MatchAll_Ct-1),AS38=0),P38,0)</f>
        <v>0</v>
      </c>
      <c r="BV38" s="200">
        <f>IF(AND(Input_Product=Elig!$C38,Elig_MatchAll_Ct&lt;22,$BC38=(Elig_MatchAll_Ct-1),AT38=0),Q38,0)</f>
        <v>0</v>
      </c>
      <c r="BW38" s="201">
        <f>IF(AND(Input_Product=Elig!$C38,Elig_MatchAll_Ct&lt;22,$BC38=(Elig_MatchAll_Ct-1),AU38=0),R38,0)</f>
        <v>0</v>
      </c>
      <c r="BX38" s="202">
        <f>IF(AND(Input_Product=Elig!$C38,Elig_MatchAll_Ct&lt;22,$BC38=(Elig_MatchAll_Ct-1),AU38=0),S38,0)</f>
        <v>0</v>
      </c>
      <c r="BY38" s="201">
        <f>IF(AND(Input_Product=Elig!$C38,Elig_MatchAll_Ct&lt;22,$BC38=(Elig_MatchAll_Ct-1),AV38=0),T38,0)</f>
        <v>0</v>
      </c>
      <c r="BZ38" s="202">
        <f>IF(AND(Input_Product=Elig!$C38,Elig_MatchAll_Ct&lt;22,$BC38=(Elig_MatchAll_Ct-1),AV38=0),U38,0)</f>
        <v>0</v>
      </c>
      <c r="CA38" s="201">
        <f>IF(AND(Input_Product=Elig!$C38,Elig_MatchAll_Ct&lt;22,$BC38=(Elig_MatchAll_Ct-1),AW38=0),V38,0)</f>
        <v>0</v>
      </c>
      <c r="CB38" s="202">
        <f>IF(AND(Input_Product=Elig!$C38,Elig_MatchAll_Ct&lt;22,$BC38=(Elig_MatchAll_Ct-1),AW38=0),W38,0)</f>
        <v>0</v>
      </c>
      <c r="CC38" s="201">
        <f>IF(AND(Input_Product=Elig!$C38,Elig_MatchAll_Ct&lt;22,$BC38=(Elig_MatchAll_Ct-1),AX38=0),X38,0)</f>
        <v>0</v>
      </c>
      <c r="CD38" s="202">
        <f>IF(AND(Input_Product=Elig!$C38,Elig_MatchAll_Ct&lt;22,$BC38=(Elig_MatchAll_Ct-1),AX38=0),Y38,0)</f>
        <v>0</v>
      </c>
      <c r="CE38" s="201">
        <f>IF(AND(Input_LTV&lt;=AE38,Input_Product=Elig!$C38,Elig_MatchAll_Ct&lt;22,$BC38=(Elig_MatchAll_Ct-1),AY38=0),Z38,0)</f>
        <v>0</v>
      </c>
      <c r="CF38" s="202">
        <f>IF(AND(Input_LTV&lt;=AE38,Input_Product=Elig!$C38,Elig_MatchAll_Ct&lt;22,$BC38=(Elig_MatchAll_Ct-1),AY38=0),AA38,0)</f>
        <v>0</v>
      </c>
      <c r="CG38" s="201">
        <f>IF(AND(Input_Product=Elig!$C38,Elig_MatchAll_Ct&lt;22,$BC38=(Elig_MatchAll_Ct-1),AZ38=0),AB38,0)</f>
        <v>0</v>
      </c>
      <c r="CH38" s="202">
        <f>IF(AND(Input_Product=Elig!$C38,Elig_MatchAll_Ct&lt;22,$BC38=(Elig_MatchAll_Ct-1),AZ38=0),AC38,0)</f>
        <v>0</v>
      </c>
      <c r="CI38" s="201">
        <f>IF(AND(Input_Product=Elig!$C38,Elig_MatchAll_Ct&lt;22,$BC38=(Elig_MatchAll_Ct-1),BA38=0),AD38,0)</f>
        <v>0</v>
      </c>
      <c r="CJ38" s="203">
        <f>IF(AND(Input_Product=Elig!$C38,Elig_MatchAll_Ct&lt;22,$BC38=(Elig_MatchAll_Ct-1),BA38=0),AE38,0)</f>
        <v>0</v>
      </c>
    </row>
    <row r="39" spans="2:88" ht="10.15" customHeight="1" x14ac:dyDescent="0.25">
      <c r="B39" s="1912" t="s">
        <v>799</v>
      </c>
      <c r="C39" s="134" t="str">
        <f t="shared" si="1"/>
        <v>NonQM OO</v>
      </c>
      <c r="D39" s="135" t="s">
        <v>3885</v>
      </c>
      <c r="E39" s="135" t="s">
        <v>167</v>
      </c>
      <c r="F39" s="135" t="s">
        <v>331</v>
      </c>
      <c r="G39" s="135" t="s">
        <v>468</v>
      </c>
      <c r="H39" s="135" t="s">
        <v>136</v>
      </c>
      <c r="I39" s="136" t="s">
        <v>16</v>
      </c>
      <c r="J39" s="136" t="s">
        <v>1311</v>
      </c>
      <c r="K39" s="136" t="s">
        <v>1631</v>
      </c>
      <c r="L39" s="221" t="s">
        <v>3920</v>
      </c>
      <c r="M39" s="135" t="s">
        <v>4203</v>
      </c>
      <c r="N39" s="135" t="s">
        <v>82</v>
      </c>
      <c r="O39" s="135" t="s">
        <v>310</v>
      </c>
      <c r="P39" s="135" t="s">
        <v>291</v>
      </c>
      <c r="Q39" s="135" t="s">
        <v>294</v>
      </c>
      <c r="R39" s="221">
        <v>100000</v>
      </c>
      <c r="S39" s="135">
        <v>1000000</v>
      </c>
      <c r="T39" s="135">
        <v>0</v>
      </c>
      <c r="U39" s="135">
        <f t="shared" si="21"/>
        <v>1000000</v>
      </c>
      <c r="V39" s="135">
        <v>0</v>
      </c>
      <c r="W39" s="135">
        <v>55</v>
      </c>
      <c r="X39" s="135">
        <v>0</v>
      </c>
      <c r="Y39" s="135">
        <v>999</v>
      </c>
      <c r="Z39" s="137">
        <v>680</v>
      </c>
      <c r="AA39" s="137">
        <v>699</v>
      </c>
      <c r="AB39" s="137">
        <v>3</v>
      </c>
      <c r="AC39" s="137">
        <v>999999</v>
      </c>
      <c r="AD39" s="135">
        <v>0</v>
      </c>
      <c r="AE39" s="221">
        <v>80</v>
      </c>
      <c r="AF39" s="170">
        <v>0</v>
      </c>
      <c r="AG39" s="171">
        <v>1</v>
      </c>
      <c r="AH39" s="171">
        <v>1</v>
      </c>
      <c r="AI39" s="171">
        <v>1</v>
      </c>
      <c r="AJ39" s="171">
        <v>0</v>
      </c>
      <c r="AK39" s="171">
        <v>1</v>
      </c>
      <c r="AL39" s="171">
        <v>1</v>
      </c>
      <c r="AM39" s="171">
        <v>1</v>
      </c>
      <c r="AN39" s="171">
        <v>1</v>
      </c>
      <c r="AO39" s="171">
        <v>1</v>
      </c>
      <c r="AP39" s="171">
        <v>1</v>
      </c>
      <c r="AQ39" s="171">
        <v>1</v>
      </c>
      <c r="AR39" s="171">
        <v>1</v>
      </c>
      <c r="AS39" s="171">
        <v>1</v>
      </c>
      <c r="AT39" s="171">
        <v>1</v>
      </c>
      <c r="AU39" s="171">
        <f t="shared" si="2"/>
        <v>1</v>
      </c>
      <c r="AV39" s="171">
        <f t="shared" si="3"/>
        <v>1</v>
      </c>
      <c r="AW39" s="171">
        <f t="shared" si="4"/>
        <v>1</v>
      </c>
      <c r="AX39" s="171">
        <f t="shared" si="5"/>
        <v>1</v>
      </c>
      <c r="AY39" s="171">
        <f t="shared" si="6"/>
        <v>0</v>
      </c>
      <c r="AZ39" s="171">
        <f t="shared" si="7"/>
        <v>1</v>
      </c>
      <c r="BA39" s="172">
        <f t="shared" si="8"/>
        <v>1</v>
      </c>
      <c r="BB39" s="175">
        <f t="shared" si="17"/>
        <v>19</v>
      </c>
      <c r="BC39" s="176">
        <f t="shared" si="18"/>
        <v>18</v>
      </c>
      <c r="BD39" s="176">
        <f t="shared" si="19"/>
        <v>19</v>
      </c>
      <c r="BE39" s="240" t="str">
        <f t="shared" si="12"/>
        <v/>
      </c>
      <c r="BH39" s="198">
        <f>IF(AND(Input_Product=Elig!$C39,Elig_MatchAll_Ct&lt;22,$BC39=(Elig_MatchAll_Ct-1),AF39=0),C39,0)</f>
        <v>0</v>
      </c>
      <c r="BI39" s="199">
        <f>IF(AND(Input_Product=Elig!$C39,Elig_MatchAll_Ct&lt;22,$BC39=(Elig_MatchAll_Ct-1),AG39=0),D39,0)</f>
        <v>0</v>
      </c>
      <c r="BJ39" s="199">
        <f>IF(AND(Input_Product=Elig!$C39,Elig_MatchAll_Ct&lt;22,$BC39=(Elig_MatchAll_Ct-1),AH39=0),E39,0)</f>
        <v>0</v>
      </c>
      <c r="BK39" s="199">
        <f>IF(AND(Input_Product=Elig!$C39,Elig_MatchAll_Ct&lt;22,$BC39=(Elig_MatchAll_Ct-1),AI39=0),F39,0)</f>
        <v>0</v>
      </c>
      <c r="BL39" s="199">
        <f>IF(AND(Input_Product=Elig!$C39,Elig_MatchAll_Ct&lt;22,$BC39=(Elig_MatchAll_Ct-1),AJ39=0),G39,0)</f>
        <v>0</v>
      </c>
      <c r="BM39" s="199">
        <f>IF(AND(Input_Product=Elig!$C39,Elig_MatchAll_Ct&lt;22,$BC39=(Elig_MatchAll_Ct-1),AK39=0),H39,0)</f>
        <v>0</v>
      </c>
      <c r="BN39" s="199">
        <f>IF(AND(Input_Product=Elig!$C39,Elig_MatchAll_Ct&lt;22,$BC39=(Elig_MatchAll_Ct-1),AL39=0),I39,0)</f>
        <v>0</v>
      </c>
      <c r="BO39" s="199">
        <f>IF(AND(Input_Product=Elig!$C39,Elig_MatchAll_Ct&lt;22,$BC39=(Elig_MatchAll_Ct-1),AM39=0),J39,0)</f>
        <v>0</v>
      </c>
      <c r="BP39" s="199">
        <f>IF(AND(Input_Product=Elig!$C39,Elig_MatchAll_Ct&lt;22,$BC39=(Elig_MatchAll_Ct-1),AN39=0),K39,0)</f>
        <v>0</v>
      </c>
      <c r="BQ39" s="199">
        <f>IF(AND(Input_Product=Elig!$C39,Elig_MatchAll_Ct&lt;22,$BC39=(Elig_MatchAll_Ct-1),AP39=0),L39,0)</f>
        <v>0</v>
      </c>
      <c r="BR39" s="199">
        <f>IF(AND(Input_Product=Elig!$C39,Elig_MatchAll_Ct&lt;22,$BC39=(Elig_MatchAll_Ct-1),AO39=0),M39,0)</f>
        <v>0</v>
      </c>
      <c r="BS39" s="199">
        <f>IF(AND(Input_Product=Elig!$C39,Elig_MatchAll_Ct&lt;22,$BC39=(Elig_MatchAll_Ct-1),AQ39=0),N39,0)</f>
        <v>0</v>
      </c>
      <c r="BT39" s="199">
        <f>IF(AND(Input_Product=Elig!$C39,Elig_MatchAll_Ct&lt;22,$BC39=(Elig_MatchAll_Ct-1),AR39=0),O39,0)</f>
        <v>0</v>
      </c>
      <c r="BU39" s="199">
        <f>IF(AND(Input_Product=Elig!$C39,Elig_MatchAll_Ct&lt;22,$BC39=(Elig_MatchAll_Ct-1),AS39=0),P39,0)</f>
        <v>0</v>
      </c>
      <c r="BV39" s="200">
        <f>IF(AND(Input_Product=Elig!$C39,Elig_MatchAll_Ct&lt;22,$BC39=(Elig_MatchAll_Ct-1),AT39=0),Q39,0)</f>
        <v>0</v>
      </c>
      <c r="BW39" s="201">
        <f>IF(AND(Input_Product=Elig!$C39,Elig_MatchAll_Ct&lt;22,$BC39=(Elig_MatchAll_Ct-1),AU39=0),R39,0)</f>
        <v>0</v>
      </c>
      <c r="BX39" s="202">
        <f>IF(AND(Input_Product=Elig!$C39,Elig_MatchAll_Ct&lt;22,$BC39=(Elig_MatchAll_Ct-1),AU39=0),S39,0)</f>
        <v>0</v>
      </c>
      <c r="BY39" s="201">
        <f>IF(AND(Input_Product=Elig!$C39,Elig_MatchAll_Ct&lt;22,$BC39=(Elig_MatchAll_Ct-1),AV39=0),T39,0)</f>
        <v>0</v>
      </c>
      <c r="BZ39" s="202">
        <f>IF(AND(Input_Product=Elig!$C39,Elig_MatchAll_Ct&lt;22,$BC39=(Elig_MatchAll_Ct-1),AV39=0),U39,0)</f>
        <v>0</v>
      </c>
      <c r="CA39" s="201">
        <f>IF(AND(Input_Product=Elig!$C39,Elig_MatchAll_Ct&lt;22,$BC39=(Elig_MatchAll_Ct-1),AW39=0),V39,0)</f>
        <v>0</v>
      </c>
      <c r="CB39" s="202">
        <f>IF(AND(Input_Product=Elig!$C39,Elig_MatchAll_Ct&lt;22,$BC39=(Elig_MatchAll_Ct-1),AW39=0),W39,0)</f>
        <v>0</v>
      </c>
      <c r="CC39" s="201">
        <f>IF(AND(Input_Product=Elig!$C39,Elig_MatchAll_Ct&lt;22,$BC39=(Elig_MatchAll_Ct-1),AX39=0),X39,0)</f>
        <v>0</v>
      </c>
      <c r="CD39" s="202">
        <f>IF(AND(Input_Product=Elig!$C39,Elig_MatchAll_Ct&lt;22,$BC39=(Elig_MatchAll_Ct-1),AX39=0),Y39,0)</f>
        <v>0</v>
      </c>
      <c r="CE39" s="201">
        <f>IF(AND(Input_LTV&lt;=AE39,Input_Product=Elig!$C39,Elig_MatchAll_Ct&lt;22,$BC39=(Elig_MatchAll_Ct-1),AY39=0),Z39,0)</f>
        <v>0</v>
      </c>
      <c r="CF39" s="202">
        <f>IF(AND(Input_LTV&lt;=AE39,Input_Product=Elig!$C39,Elig_MatchAll_Ct&lt;22,$BC39=(Elig_MatchAll_Ct-1),AY39=0),AA39,0)</f>
        <v>0</v>
      </c>
      <c r="CG39" s="201">
        <f>IF(AND(Input_Product=Elig!$C39,Elig_MatchAll_Ct&lt;22,$BC39=(Elig_MatchAll_Ct-1),AZ39=0),AB39,0)</f>
        <v>0</v>
      </c>
      <c r="CH39" s="202">
        <f>IF(AND(Input_Product=Elig!$C39,Elig_MatchAll_Ct&lt;22,$BC39=(Elig_MatchAll_Ct-1),AZ39=0),AC39,0)</f>
        <v>0</v>
      </c>
      <c r="CI39" s="201">
        <f>IF(AND(Input_Product=Elig!$C39,Elig_MatchAll_Ct&lt;22,$BC39=(Elig_MatchAll_Ct-1),BA39=0),AD39,0)</f>
        <v>0</v>
      </c>
      <c r="CJ39" s="203">
        <f>IF(AND(Input_Product=Elig!$C39,Elig_MatchAll_Ct&lt;22,$BC39=(Elig_MatchAll_Ct-1),BA39=0),AE39,0)</f>
        <v>0</v>
      </c>
    </row>
    <row r="40" spans="2:88" ht="10.15" customHeight="1" x14ac:dyDescent="0.25">
      <c r="B40" s="1912" t="s">
        <v>800</v>
      </c>
      <c r="C40" s="134" t="str">
        <f t="shared" si="1"/>
        <v>NonQM OO</v>
      </c>
      <c r="D40" s="135" t="s">
        <v>3885</v>
      </c>
      <c r="E40" s="135" t="s">
        <v>167</v>
      </c>
      <c r="F40" s="135" t="s">
        <v>331</v>
      </c>
      <c r="G40" s="135" t="s">
        <v>468</v>
      </c>
      <c r="H40" s="135" t="s">
        <v>136</v>
      </c>
      <c r="I40" s="135" t="s">
        <v>16</v>
      </c>
      <c r="J40" s="135" t="s">
        <v>1311</v>
      </c>
      <c r="K40" s="135" t="s">
        <v>1631</v>
      </c>
      <c r="L40" s="221" t="s">
        <v>3920</v>
      </c>
      <c r="M40" s="135" t="s">
        <v>4203</v>
      </c>
      <c r="N40" s="135" t="s">
        <v>82</v>
      </c>
      <c r="O40" s="135" t="s">
        <v>310</v>
      </c>
      <c r="P40" s="135" t="s">
        <v>291</v>
      </c>
      <c r="Q40" s="135" t="s">
        <v>294</v>
      </c>
      <c r="R40" s="221">
        <v>100000</v>
      </c>
      <c r="S40" s="135">
        <v>1000000</v>
      </c>
      <c r="T40" s="135">
        <v>0</v>
      </c>
      <c r="U40" s="135">
        <f t="shared" si="21"/>
        <v>1000000</v>
      </c>
      <c r="V40" s="135">
        <v>0</v>
      </c>
      <c r="W40" s="135">
        <v>55</v>
      </c>
      <c r="X40" s="135">
        <v>0</v>
      </c>
      <c r="Y40" s="135">
        <v>999</v>
      </c>
      <c r="Z40" s="137">
        <v>660</v>
      </c>
      <c r="AA40" s="137">
        <v>679</v>
      </c>
      <c r="AB40" s="137">
        <v>3</v>
      </c>
      <c r="AC40" s="137">
        <v>999999</v>
      </c>
      <c r="AD40" s="135">
        <v>0</v>
      </c>
      <c r="AE40" s="221">
        <v>75</v>
      </c>
      <c r="AF40" s="170">
        <v>0</v>
      </c>
      <c r="AG40" s="171">
        <v>1</v>
      </c>
      <c r="AH40" s="171">
        <v>1</v>
      </c>
      <c r="AI40" s="171">
        <v>1</v>
      </c>
      <c r="AJ40" s="171">
        <v>0</v>
      </c>
      <c r="AK40" s="171">
        <v>1</v>
      </c>
      <c r="AL40" s="171">
        <v>1</v>
      </c>
      <c r="AM40" s="171">
        <v>1</v>
      </c>
      <c r="AN40" s="171">
        <v>1</v>
      </c>
      <c r="AO40" s="171">
        <v>1</v>
      </c>
      <c r="AP40" s="171">
        <v>1</v>
      </c>
      <c r="AQ40" s="171">
        <v>1</v>
      </c>
      <c r="AR40" s="171">
        <v>1</v>
      </c>
      <c r="AS40" s="171">
        <v>1</v>
      </c>
      <c r="AT40" s="171">
        <v>1</v>
      </c>
      <c r="AU40" s="171">
        <f t="shared" si="2"/>
        <v>1</v>
      </c>
      <c r="AV40" s="171">
        <f t="shared" si="3"/>
        <v>1</v>
      </c>
      <c r="AW40" s="171">
        <f t="shared" si="4"/>
        <v>1</v>
      </c>
      <c r="AX40" s="171">
        <f t="shared" si="5"/>
        <v>1</v>
      </c>
      <c r="AY40" s="171">
        <f t="shared" si="6"/>
        <v>0</v>
      </c>
      <c r="AZ40" s="171">
        <f t="shared" si="7"/>
        <v>1</v>
      </c>
      <c r="BA40" s="172">
        <f t="shared" si="8"/>
        <v>1</v>
      </c>
      <c r="BB40" s="175">
        <f t="shared" si="17"/>
        <v>19</v>
      </c>
      <c r="BC40" s="176">
        <f t="shared" si="18"/>
        <v>18</v>
      </c>
      <c r="BD40" s="176">
        <f t="shared" si="19"/>
        <v>19</v>
      </c>
      <c r="BE40" s="240" t="str">
        <f t="shared" si="12"/>
        <v/>
      </c>
      <c r="BH40" s="198">
        <f>IF(AND(Input_Product=Elig!$C40,Elig_MatchAll_Ct&lt;22,$BC40=(Elig_MatchAll_Ct-1),AF40=0),C40,0)</f>
        <v>0</v>
      </c>
      <c r="BI40" s="199">
        <f>IF(AND(Input_Product=Elig!$C40,Elig_MatchAll_Ct&lt;22,$BC40=(Elig_MatchAll_Ct-1),AG40=0),D40,0)</f>
        <v>0</v>
      </c>
      <c r="BJ40" s="199">
        <f>IF(AND(Input_Product=Elig!$C40,Elig_MatchAll_Ct&lt;22,$BC40=(Elig_MatchAll_Ct-1),AH40=0),E40,0)</f>
        <v>0</v>
      </c>
      <c r="BK40" s="199">
        <f>IF(AND(Input_Product=Elig!$C40,Elig_MatchAll_Ct&lt;22,$BC40=(Elig_MatchAll_Ct-1),AI40=0),F40,0)</f>
        <v>0</v>
      </c>
      <c r="BL40" s="199">
        <f>IF(AND(Input_Product=Elig!$C40,Elig_MatchAll_Ct&lt;22,$BC40=(Elig_MatchAll_Ct-1),AJ40=0),G40,0)</f>
        <v>0</v>
      </c>
      <c r="BM40" s="199">
        <f>IF(AND(Input_Product=Elig!$C40,Elig_MatchAll_Ct&lt;22,$BC40=(Elig_MatchAll_Ct-1),AK40=0),H40,0)</f>
        <v>0</v>
      </c>
      <c r="BN40" s="199">
        <f>IF(AND(Input_Product=Elig!$C40,Elig_MatchAll_Ct&lt;22,$BC40=(Elig_MatchAll_Ct-1),AL40=0),I40,0)</f>
        <v>0</v>
      </c>
      <c r="BO40" s="199">
        <f>IF(AND(Input_Product=Elig!$C40,Elig_MatchAll_Ct&lt;22,$BC40=(Elig_MatchAll_Ct-1),AM40=0),J40,0)</f>
        <v>0</v>
      </c>
      <c r="BP40" s="199">
        <f>IF(AND(Input_Product=Elig!$C40,Elig_MatchAll_Ct&lt;22,$BC40=(Elig_MatchAll_Ct-1),AN40=0),K40,0)</f>
        <v>0</v>
      </c>
      <c r="BQ40" s="199">
        <f>IF(AND(Input_Product=Elig!$C40,Elig_MatchAll_Ct&lt;22,$BC40=(Elig_MatchAll_Ct-1),AP40=0),L40,0)</f>
        <v>0</v>
      </c>
      <c r="BR40" s="199">
        <f>IF(AND(Input_Product=Elig!$C40,Elig_MatchAll_Ct&lt;22,$BC40=(Elig_MatchAll_Ct-1),AO40=0),M40,0)</f>
        <v>0</v>
      </c>
      <c r="BS40" s="199">
        <f>IF(AND(Input_Product=Elig!$C40,Elig_MatchAll_Ct&lt;22,$BC40=(Elig_MatchAll_Ct-1),AQ40=0),N40,0)</f>
        <v>0</v>
      </c>
      <c r="BT40" s="199">
        <f>IF(AND(Input_Product=Elig!$C40,Elig_MatchAll_Ct&lt;22,$BC40=(Elig_MatchAll_Ct-1),AR40=0),O40,0)</f>
        <v>0</v>
      </c>
      <c r="BU40" s="199">
        <f>IF(AND(Input_Product=Elig!$C40,Elig_MatchAll_Ct&lt;22,$BC40=(Elig_MatchAll_Ct-1),AS40=0),P40,0)</f>
        <v>0</v>
      </c>
      <c r="BV40" s="200">
        <f>IF(AND(Input_Product=Elig!$C40,Elig_MatchAll_Ct&lt;22,$BC40=(Elig_MatchAll_Ct-1),AT40=0),Q40,0)</f>
        <v>0</v>
      </c>
      <c r="BW40" s="201">
        <f>IF(AND(Input_Product=Elig!$C40,Elig_MatchAll_Ct&lt;22,$BC40=(Elig_MatchAll_Ct-1),AU40=0),R40,0)</f>
        <v>0</v>
      </c>
      <c r="BX40" s="202">
        <f>IF(AND(Input_Product=Elig!$C40,Elig_MatchAll_Ct&lt;22,$BC40=(Elig_MatchAll_Ct-1),AU40=0),S40,0)</f>
        <v>0</v>
      </c>
      <c r="BY40" s="201">
        <f>IF(AND(Input_Product=Elig!$C40,Elig_MatchAll_Ct&lt;22,$BC40=(Elig_MatchAll_Ct-1),AV40=0),T40,0)</f>
        <v>0</v>
      </c>
      <c r="BZ40" s="202">
        <f>IF(AND(Input_Product=Elig!$C40,Elig_MatchAll_Ct&lt;22,$BC40=(Elig_MatchAll_Ct-1),AV40=0),U40,0)</f>
        <v>0</v>
      </c>
      <c r="CA40" s="201">
        <f>IF(AND(Input_Product=Elig!$C40,Elig_MatchAll_Ct&lt;22,$BC40=(Elig_MatchAll_Ct-1),AW40=0),V40,0)</f>
        <v>0</v>
      </c>
      <c r="CB40" s="202">
        <f>IF(AND(Input_Product=Elig!$C40,Elig_MatchAll_Ct&lt;22,$BC40=(Elig_MatchAll_Ct-1),AW40=0),W40,0)</f>
        <v>0</v>
      </c>
      <c r="CC40" s="201">
        <f>IF(AND(Input_Product=Elig!$C40,Elig_MatchAll_Ct&lt;22,$BC40=(Elig_MatchAll_Ct-1),AX40=0),X40,0)</f>
        <v>0</v>
      </c>
      <c r="CD40" s="202">
        <f>IF(AND(Input_Product=Elig!$C40,Elig_MatchAll_Ct&lt;22,$BC40=(Elig_MatchAll_Ct-1),AX40=0),Y40,0)</f>
        <v>0</v>
      </c>
      <c r="CE40" s="201">
        <f>IF(AND(Input_LTV&lt;=AE40,Input_Product=Elig!$C40,Elig_MatchAll_Ct&lt;22,$BC40=(Elig_MatchAll_Ct-1),AY40=0),Z40,0)</f>
        <v>0</v>
      </c>
      <c r="CF40" s="202">
        <f>IF(AND(Input_LTV&lt;=AE40,Input_Product=Elig!$C40,Elig_MatchAll_Ct&lt;22,$BC40=(Elig_MatchAll_Ct-1),AY40=0),AA40,0)</f>
        <v>0</v>
      </c>
      <c r="CG40" s="201">
        <f>IF(AND(Input_Product=Elig!$C40,Elig_MatchAll_Ct&lt;22,$BC40=(Elig_MatchAll_Ct-1),AZ40=0),AB40,0)</f>
        <v>0</v>
      </c>
      <c r="CH40" s="202">
        <f>IF(AND(Input_Product=Elig!$C40,Elig_MatchAll_Ct&lt;22,$BC40=(Elig_MatchAll_Ct-1),AZ40=0),AC40,0)</f>
        <v>0</v>
      </c>
      <c r="CI40" s="201">
        <f>IF(AND(Input_Product=Elig!$C40,Elig_MatchAll_Ct&lt;22,$BC40=(Elig_MatchAll_Ct-1),BA40=0),AD40,0)</f>
        <v>0</v>
      </c>
      <c r="CJ40" s="203">
        <f>IF(AND(Input_Product=Elig!$C40,Elig_MatchAll_Ct&lt;22,$BC40=(Elig_MatchAll_Ct-1),BA40=0),AE40,0)</f>
        <v>0</v>
      </c>
    </row>
    <row r="41" spans="2:88" ht="10.15" customHeight="1" x14ac:dyDescent="0.25">
      <c r="B41" s="1912" t="s">
        <v>801</v>
      </c>
      <c r="C41" s="134" t="str">
        <f t="shared" si="1"/>
        <v>NonQM OO</v>
      </c>
      <c r="D41" s="135" t="s">
        <v>3885</v>
      </c>
      <c r="E41" s="135" t="s">
        <v>167</v>
      </c>
      <c r="F41" s="135" t="s">
        <v>331</v>
      </c>
      <c r="G41" s="135" t="s">
        <v>468</v>
      </c>
      <c r="H41" s="135" t="s">
        <v>136</v>
      </c>
      <c r="I41" s="135" t="s">
        <v>16</v>
      </c>
      <c r="J41" s="135" t="s">
        <v>1311</v>
      </c>
      <c r="K41" s="135" t="s">
        <v>1631</v>
      </c>
      <c r="L41" s="221" t="s">
        <v>3920</v>
      </c>
      <c r="M41" s="135" t="s">
        <v>4203</v>
      </c>
      <c r="N41" s="135" t="s">
        <v>82</v>
      </c>
      <c r="O41" s="135" t="s">
        <v>310</v>
      </c>
      <c r="P41" s="135" t="s">
        <v>291</v>
      </c>
      <c r="Q41" s="135" t="s">
        <v>294</v>
      </c>
      <c r="R41" s="221">
        <v>100000</v>
      </c>
      <c r="S41" s="135">
        <v>1000000</v>
      </c>
      <c r="T41" s="135">
        <v>0</v>
      </c>
      <c r="U41" s="135">
        <f t="shared" si="21"/>
        <v>1000000</v>
      </c>
      <c r="V41" s="135">
        <v>0</v>
      </c>
      <c r="W41" s="135">
        <v>55</v>
      </c>
      <c r="X41" s="135">
        <v>0</v>
      </c>
      <c r="Y41" s="135">
        <v>999</v>
      </c>
      <c r="Z41" s="137">
        <v>640</v>
      </c>
      <c r="AA41" s="137">
        <v>659</v>
      </c>
      <c r="AB41" s="137">
        <v>3</v>
      </c>
      <c r="AC41" s="137">
        <v>999999</v>
      </c>
      <c r="AD41" s="135">
        <v>0</v>
      </c>
      <c r="AE41" s="221">
        <v>70</v>
      </c>
      <c r="AF41" s="170">
        <v>0</v>
      </c>
      <c r="AG41" s="171">
        <v>1</v>
      </c>
      <c r="AH41" s="171">
        <v>1</v>
      </c>
      <c r="AI41" s="171">
        <v>1</v>
      </c>
      <c r="AJ41" s="171">
        <v>0</v>
      </c>
      <c r="AK41" s="171">
        <v>1</v>
      </c>
      <c r="AL41" s="171">
        <v>1</v>
      </c>
      <c r="AM41" s="171">
        <v>1</v>
      </c>
      <c r="AN41" s="171">
        <v>1</v>
      </c>
      <c r="AO41" s="171">
        <v>1</v>
      </c>
      <c r="AP41" s="171">
        <v>1</v>
      </c>
      <c r="AQ41" s="171">
        <v>1</v>
      </c>
      <c r="AR41" s="171">
        <v>1</v>
      </c>
      <c r="AS41" s="171">
        <v>1</v>
      </c>
      <c r="AT41" s="171">
        <v>1</v>
      </c>
      <c r="AU41" s="171">
        <f t="shared" si="2"/>
        <v>1</v>
      </c>
      <c r="AV41" s="171">
        <f t="shared" si="3"/>
        <v>1</v>
      </c>
      <c r="AW41" s="171">
        <f t="shared" si="4"/>
        <v>1</v>
      </c>
      <c r="AX41" s="171">
        <f t="shared" si="5"/>
        <v>1</v>
      </c>
      <c r="AY41" s="171">
        <f t="shared" si="6"/>
        <v>0</v>
      </c>
      <c r="AZ41" s="171">
        <f t="shared" si="7"/>
        <v>1</v>
      </c>
      <c r="BA41" s="172">
        <f t="shared" si="8"/>
        <v>1</v>
      </c>
      <c r="BB41" s="175">
        <f t="shared" si="17"/>
        <v>19</v>
      </c>
      <c r="BC41" s="176">
        <f t="shared" si="18"/>
        <v>18</v>
      </c>
      <c r="BD41" s="176">
        <f t="shared" si="19"/>
        <v>19</v>
      </c>
      <c r="BE41" s="240" t="str">
        <f t="shared" si="12"/>
        <v/>
      </c>
      <c r="BH41" s="198">
        <f>IF(AND(Input_Product=Elig!$C41,Elig_MatchAll_Ct&lt;22,$BC41=(Elig_MatchAll_Ct-1),AF41=0),C41,0)</f>
        <v>0</v>
      </c>
      <c r="BI41" s="199">
        <f>IF(AND(Input_Product=Elig!$C41,Elig_MatchAll_Ct&lt;22,$BC41=(Elig_MatchAll_Ct-1),AG41=0),D41,0)</f>
        <v>0</v>
      </c>
      <c r="BJ41" s="199">
        <f>IF(AND(Input_Product=Elig!$C41,Elig_MatchAll_Ct&lt;22,$BC41=(Elig_MatchAll_Ct-1),AH41=0),E41,0)</f>
        <v>0</v>
      </c>
      <c r="BK41" s="199">
        <f>IF(AND(Input_Product=Elig!$C41,Elig_MatchAll_Ct&lt;22,$BC41=(Elig_MatchAll_Ct-1),AI41=0),F41,0)</f>
        <v>0</v>
      </c>
      <c r="BL41" s="199">
        <f>IF(AND(Input_Product=Elig!$C41,Elig_MatchAll_Ct&lt;22,$BC41=(Elig_MatchAll_Ct-1),AJ41=0),G41,0)</f>
        <v>0</v>
      </c>
      <c r="BM41" s="199">
        <f>IF(AND(Input_Product=Elig!$C41,Elig_MatchAll_Ct&lt;22,$BC41=(Elig_MatchAll_Ct-1),AK41=0),H41,0)</f>
        <v>0</v>
      </c>
      <c r="BN41" s="199">
        <f>IF(AND(Input_Product=Elig!$C41,Elig_MatchAll_Ct&lt;22,$BC41=(Elig_MatchAll_Ct-1),AL41=0),I41,0)</f>
        <v>0</v>
      </c>
      <c r="BO41" s="199">
        <f>IF(AND(Input_Product=Elig!$C41,Elig_MatchAll_Ct&lt;22,$BC41=(Elig_MatchAll_Ct-1),AM41=0),J41,0)</f>
        <v>0</v>
      </c>
      <c r="BP41" s="199">
        <f>IF(AND(Input_Product=Elig!$C41,Elig_MatchAll_Ct&lt;22,$BC41=(Elig_MatchAll_Ct-1),AN41=0),K41,0)</f>
        <v>0</v>
      </c>
      <c r="BQ41" s="199">
        <f>IF(AND(Input_Product=Elig!$C41,Elig_MatchAll_Ct&lt;22,$BC41=(Elig_MatchAll_Ct-1),AP41=0),L41,0)</f>
        <v>0</v>
      </c>
      <c r="BR41" s="199">
        <f>IF(AND(Input_Product=Elig!$C41,Elig_MatchAll_Ct&lt;22,$BC41=(Elig_MatchAll_Ct-1),AO41=0),M41,0)</f>
        <v>0</v>
      </c>
      <c r="BS41" s="199">
        <f>IF(AND(Input_Product=Elig!$C41,Elig_MatchAll_Ct&lt;22,$BC41=(Elig_MatchAll_Ct-1),AQ41=0),N41,0)</f>
        <v>0</v>
      </c>
      <c r="BT41" s="199">
        <f>IF(AND(Input_Product=Elig!$C41,Elig_MatchAll_Ct&lt;22,$BC41=(Elig_MatchAll_Ct-1),AR41=0),O41,0)</f>
        <v>0</v>
      </c>
      <c r="BU41" s="199">
        <f>IF(AND(Input_Product=Elig!$C41,Elig_MatchAll_Ct&lt;22,$BC41=(Elig_MatchAll_Ct-1),AS41=0),P41,0)</f>
        <v>0</v>
      </c>
      <c r="BV41" s="200">
        <f>IF(AND(Input_Product=Elig!$C41,Elig_MatchAll_Ct&lt;22,$BC41=(Elig_MatchAll_Ct-1),AT41=0),Q41,0)</f>
        <v>0</v>
      </c>
      <c r="BW41" s="201">
        <f>IF(AND(Input_Product=Elig!$C41,Elig_MatchAll_Ct&lt;22,$BC41=(Elig_MatchAll_Ct-1),AU41=0),R41,0)</f>
        <v>0</v>
      </c>
      <c r="BX41" s="202">
        <f>IF(AND(Input_Product=Elig!$C41,Elig_MatchAll_Ct&lt;22,$BC41=(Elig_MatchAll_Ct-1),AU41=0),S41,0)</f>
        <v>0</v>
      </c>
      <c r="BY41" s="201">
        <f>IF(AND(Input_Product=Elig!$C41,Elig_MatchAll_Ct&lt;22,$BC41=(Elig_MatchAll_Ct-1),AV41=0),T41,0)</f>
        <v>0</v>
      </c>
      <c r="BZ41" s="202">
        <f>IF(AND(Input_Product=Elig!$C41,Elig_MatchAll_Ct&lt;22,$BC41=(Elig_MatchAll_Ct-1),AV41=0),U41,0)</f>
        <v>0</v>
      </c>
      <c r="CA41" s="201">
        <f>IF(AND(Input_Product=Elig!$C41,Elig_MatchAll_Ct&lt;22,$BC41=(Elig_MatchAll_Ct-1),AW41=0),V41,0)</f>
        <v>0</v>
      </c>
      <c r="CB41" s="202">
        <f>IF(AND(Input_Product=Elig!$C41,Elig_MatchAll_Ct&lt;22,$BC41=(Elig_MatchAll_Ct-1),AW41=0),W41,0)</f>
        <v>0</v>
      </c>
      <c r="CC41" s="201">
        <f>IF(AND(Input_Product=Elig!$C41,Elig_MatchAll_Ct&lt;22,$BC41=(Elig_MatchAll_Ct-1),AX41=0),X41,0)</f>
        <v>0</v>
      </c>
      <c r="CD41" s="202">
        <f>IF(AND(Input_Product=Elig!$C41,Elig_MatchAll_Ct&lt;22,$BC41=(Elig_MatchAll_Ct-1),AX41=0),Y41,0)</f>
        <v>0</v>
      </c>
      <c r="CE41" s="201">
        <f>IF(AND(Input_LTV&lt;=AE41,Input_Product=Elig!$C41,Elig_MatchAll_Ct&lt;22,$BC41=(Elig_MatchAll_Ct-1),AY41=0),Z41,0)</f>
        <v>0</v>
      </c>
      <c r="CF41" s="202">
        <f>IF(AND(Input_LTV&lt;=AE41,Input_Product=Elig!$C41,Elig_MatchAll_Ct&lt;22,$BC41=(Elig_MatchAll_Ct-1),AY41=0),AA41,0)</f>
        <v>0</v>
      </c>
      <c r="CG41" s="201">
        <f>IF(AND(Input_Product=Elig!$C41,Elig_MatchAll_Ct&lt;22,$BC41=(Elig_MatchAll_Ct-1),AZ41=0),AB41,0)</f>
        <v>0</v>
      </c>
      <c r="CH41" s="202">
        <f>IF(AND(Input_Product=Elig!$C41,Elig_MatchAll_Ct&lt;22,$BC41=(Elig_MatchAll_Ct-1),AZ41=0),AC41,0)</f>
        <v>0</v>
      </c>
      <c r="CI41" s="201">
        <f>IF(AND(Input_Product=Elig!$C41,Elig_MatchAll_Ct&lt;22,$BC41=(Elig_MatchAll_Ct-1),BA41=0),AD41,0)</f>
        <v>0</v>
      </c>
      <c r="CJ41" s="203">
        <f>IF(AND(Input_Product=Elig!$C41,Elig_MatchAll_Ct&lt;22,$BC41=(Elig_MatchAll_Ct-1),BA41=0),AE41,0)</f>
        <v>0</v>
      </c>
    </row>
    <row r="42" spans="2:88" ht="10.15" customHeight="1" x14ac:dyDescent="0.25">
      <c r="B42" s="1912" t="s">
        <v>802</v>
      </c>
      <c r="C42" s="138" t="str">
        <f t="shared" si="1"/>
        <v>NonQM OO</v>
      </c>
      <c r="D42" s="139" t="s">
        <v>3885</v>
      </c>
      <c r="E42" s="139" t="s">
        <v>167</v>
      </c>
      <c r="F42" s="139" t="s">
        <v>331</v>
      </c>
      <c r="G42" s="139" t="s">
        <v>468</v>
      </c>
      <c r="H42" s="139" t="s">
        <v>136</v>
      </c>
      <c r="I42" s="139" t="s">
        <v>16</v>
      </c>
      <c r="J42" s="139" t="s">
        <v>1311</v>
      </c>
      <c r="K42" s="146" t="s">
        <v>1631</v>
      </c>
      <c r="L42" s="310" t="s">
        <v>3920</v>
      </c>
      <c r="M42" s="139" t="s">
        <v>4203</v>
      </c>
      <c r="N42" s="139" t="s">
        <v>82</v>
      </c>
      <c r="O42" s="139" t="s">
        <v>310</v>
      </c>
      <c r="P42" s="139" t="s">
        <v>291</v>
      </c>
      <c r="Q42" s="139" t="s">
        <v>294</v>
      </c>
      <c r="R42" s="310">
        <v>100000</v>
      </c>
      <c r="S42" s="139">
        <v>1000000</v>
      </c>
      <c r="T42" s="139">
        <v>0</v>
      </c>
      <c r="U42" s="139">
        <f t="shared" si="21"/>
        <v>1000000</v>
      </c>
      <c r="V42" s="139">
        <v>0</v>
      </c>
      <c r="W42" s="139">
        <v>55</v>
      </c>
      <c r="X42" s="139">
        <v>0</v>
      </c>
      <c r="Y42" s="139">
        <v>999</v>
      </c>
      <c r="Z42" s="140">
        <v>620</v>
      </c>
      <c r="AA42" s="140">
        <v>639</v>
      </c>
      <c r="AB42" s="140">
        <v>3</v>
      </c>
      <c r="AC42" s="140">
        <v>999999</v>
      </c>
      <c r="AD42" s="139">
        <v>0</v>
      </c>
      <c r="AE42" s="310">
        <v>70</v>
      </c>
      <c r="AF42" s="170">
        <v>0</v>
      </c>
      <c r="AG42" s="171">
        <v>1</v>
      </c>
      <c r="AH42" s="171">
        <v>1</v>
      </c>
      <c r="AI42" s="171">
        <v>1</v>
      </c>
      <c r="AJ42" s="171">
        <v>0</v>
      </c>
      <c r="AK42" s="171">
        <v>1</v>
      </c>
      <c r="AL42" s="171">
        <v>1</v>
      </c>
      <c r="AM42" s="171">
        <v>1</v>
      </c>
      <c r="AN42" s="171">
        <v>1</v>
      </c>
      <c r="AO42" s="171">
        <v>1</v>
      </c>
      <c r="AP42" s="171">
        <v>1</v>
      </c>
      <c r="AQ42" s="171">
        <v>1</v>
      </c>
      <c r="AR42" s="171">
        <v>1</v>
      </c>
      <c r="AS42" s="171">
        <v>1</v>
      </c>
      <c r="AT42" s="171">
        <v>1</v>
      </c>
      <c r="AU42" s="171">
        <f t="shared" si="2"/>
        <v>1</v>
      </c>
      <c r="AV42" s="171">
        <f t="shared" si="3"/>
        <v>1</v>
      </c>
      <c r="AW42" s="171">
        <f t="shared" si="4"/>
        <v>1</v>
      </c>
      <c r="AX42" s="171">
        <f t="shared" si="5"/>
        <v>1</v>
      </c>
      <c r="AY42" s="171">
        <f t="shared" si="6"/>
        <v>0</v>
      </c>
      <c r="AZ42" s="171">
        <f t="shared" si="7"/>
        <v>1</v>
      </c>
      <c r="BA42" s="172">
        <f t="shared" si="8"/>
        <v>1</v>
      </c>
      <c r="BB42" s="175">
        <f t="shared" si="17"/>
        <v>19</v>
      </c>
      <c r="BC42" s="176">
        <f t="shared" si="18"/>
        <v>18</v>
      </c>
      <c r="BD42" s="176">
        <f t="shared" si="19"/>
        <v>19</v>
      </c>
      <c r="BE42" s="240" t="str">
        <f t="shared" si="12"/>
        <v/>
      </c>
      <c r="BH42" s="204">
        <f>IF(AND(Input_Product=Elig!$C42,Elig_MatchAll_Ct&lt;22,$BC42=(Elig_MatchAll_Ct-1),AF42=0),C42,0)</f>
        <v>0</v>
      </c>
      <c r="BI42" s="205">
        <f>IF(AND(Input_Product=Elig!$C42,Elig_MatchAll_Ct&lt;22,$BC42=(Elig_MatchAll_Ct-1),AG42=0),D42,0)</f>
        <v>0</v>
      </c>
      <c r="BJ42" s="205">
        <f>IF(AND(Input_Product=Elig!$C42,Elig_MatchAll_Ct&lt;22,$BC42=(Elig_MatchAll_Ct-1),AH42=0),E42,0)</f>
        <v>0</v>
      </c>
      <c r="BK42" s="205">
        <f>IF(AND(Input_Product=Elig!$C42,Elig_MatchAll_Ct&lt;22,$BC42=(Elig_MatchAll_Ct-1),AI42=0),F42,0)</f>
        <v>0</v>
      </c>
      <c r="BL42" s="205">
        <f>IF(AND(Input_Product=Elig!$C42,Elig_MatchAll_Ct&lt;22,$BC42=(Elig_MatchAll_Ct-1),AJ42=0),G42,0)</f>
        <v>0</v>
      </c>
      <c r="BM42" s="205">
        <f>IF(AND(Input_Product=Elig!$C42,Elig_MatchAll_Ct&lt;22,$BC42=(Elig_MatchAll_Ct-1),AK42=0),H42,0)</f>
        <v>0</v>
      </c>
      <c r="BN42" s="205">
        <f>IF(AND(Input_Product=Elig!$C42,Elig_MatchAll_Ct&lt;22,$BC42=(Elig_MatchAll_Ct-1),AL42=0),I42,0)</f>
        <v>0</v>
      </c>
      <c r="BO42" s="205">
        <f>IF(AND(Input_Product=Elig!$C42,Elig_MatchAll_Ct&lt;22,$BC42=(Elig_MatchAll_Ct-1),AM42=0),J42,0)</f>
        <v>0</v>
      </c>
      <c r="BP42" s="205">
        <f>IF(AND(Input_Product=Elig!$C42,Elig_MatchAll_Ct&lt;22,$BC42=(Elig_MatchAll_Ct-1),AN42=0),K42,0)</f>
        <v>0</v>
      </c>
      <c r="BQ42" s="205">
        <f>IF(AND(Input_Product=Elig!$C42,Elig_MatchAll_Ct&lt;22,$BC42=(Elig_MatchAll_Ct-1),AP42=0),L42,0)</f>
        <v>0</v>
      </c>
      <c r="BR42" s="205">
        <f>IF(AND(Input_Product=Elig!$C42,Elig_MatchAll_Ct&lt;22,$BC42=(Elig_MatchAll_Ct-1),AO42=0),M42,0)</f>
        <v>0</v>
      </c>
      <c r="BS42" s="205">
        <f>IF(AND(Input_Product=Elig!$C42,Elig_MatchAll_Ct&lt;22,$BC42=(Elig_MatchAll_Ct-1),AQ42=0),N42,0)</f>
        <v>0</v>
      </c>
      <c r="BT42" s="205">
        <f>IF(AND(Input_Product=Elig!$C42,Elig_MatchAll_Ct&lt;22,$BC42=(Elig_MatchAll_Ct-1),AR42=0),O42,0)</f>
        <v>0</v>
      </c>
      <c r="BU42" s="205">
        <f>IF(AND(Input_Product=Elig!$C42,Elig_MatchAll_Ct&lt;22,$BC42=(Elig_MatchAll_Ct-1),AS42=0),P42,0)</f>
        <v>0</v>
      </c>
      <c r="BV42" s="206">
        <f>IF(AND(Input_Product=Elig!$C42,Elig_MatchAll_Ct&lt;22,$BC42=(Elig_MatchAll_Ct-1),AT42=0),Q42,0)</f>
        <v>0</v>
      </c>
      <c r="BW42" s="207">
        <f>IF(AND(Input_Product=Elig!$C42,Elig_MatchAll_Ct&lt;22,$BC42=(Elig_MatchAll_Ct-1),AU42=0),R42,0)</f>
        <v>0</v>
      </c>
      <c r="BX42" s="208">
        <f>IF(AND(Input_Product=Elig!$C42,Elig_MatchAll_Ct&lt;22,$BC42=(Elig_MatchAll_Ct-1),AU42=0),S42,0)</f>
        <v>0</v>
      </c>
      <c r="BY42" s="207">
        <f>IF(AND(Input_Product=Elig!$C42,Elig_MatchAll_Ct&lt;22,$BC42=(Elig_MatchAll_Ct-1),AV42=0),T42,0)</f>
        <v>0</v>
      </c>
      <c r="BZ42" s="208">
        <f>IF(AND(Input_Product=Elig!$C42,Elig_MatchAll_Ct&lt;22,$BC42=(Elig_MatchAll_Ct-1),AV42=0),U42,0)</f>
        <v>0</v>
      </c>
      <c r="CA42" s="207">
        <f>IF(AND(Input_Product=Elig!$C42,Elig_MatchAll_Ct&lt;22,$BC42=(Elig_MatchAll_Ct-1),AW42=0),V42,0)</f>
        <v>0</v>
      </c>
      <c r="CB42" s="208">
        <f>IF(AND(Input_Product=Elig!$C42,Elig_MatchAll_Ct&lt;22,$BC42=(Elig_MatchAll_Ct-1),AW42=0),W42,0)</f>
        <v>0</v>
      </c>
      <c r="CC42" s="207">
        <f>IF(AND(Input_Product=Elig!$C42,Elig_MatchAll_Ct&lt;22,$BC42=(Elig_MatchAll_Ct-1),AX42=0),X42,0)</f>
        <v>0</v>
      </c>
      <c r="CD42" s="208">
        <f>IF(AND(Input_Product=Elig!$C42,Elig_MatchAll_Ct&lt;22,$BC42=(Elig_MatchAll_Ct-1),AX42=0),Y42,0)</f>
        <v>0</v>
      </c>
      <c r="CE42" s="207">
        <f>IF(AND(Input_LTV&lt;=AE42,Input_Product=Elig!$C42,Elig_MatchAll_Ct&lt;22,$BC42=(Elig_MatchAll_Ct-1),AY42=0),Z42,0)</f>
        <v>0</v>
      </c>
      <c r="CF42" s="208">
        <f>IF(AND(Input_LTV&lt;=AE42,Input_Product=Elig!$C42,Elig_MatchAll_Ct&lt;22,$BC42=(Elig_MatchAll_Ct-1),AY42=0),AA42,0)</f>
        <v>0</v>
      </c>
      <c r="CG42" s="207">
        <f>IF(AND(Input_Product=Elig!$C42,Elig_MatchAll_Ct&lt;22,$BC42=(Elig_MatchAll_Ct-1),AZ42=0),AB42,0)</f>
        <v>0</v>
      </c>
      <c r="CH42" s="208">
        <f>IF(AND(Input_Product=Elig!$C42,Elig_MatchAll_Ct&lt;22,$BC42=(Elig_MatchAll_Ct-1),AZ42=0),AC42,0)</f>
        <v>0</v>
      </c>
      <c r="CI42" s="207">
        <f>IF(AND(Input_Product=Elig!$C42,Elig_MatchAll_Ct&lt;22,$BC42=(Elig_MatchAll_Ct-1),BA42=0),AD42,0)</f>
        <v>0</v>
      </c>
      <c r="CJ42" s="209">
        <f>IF(AND(Input_Product=Elig!$C42,Elig_MatchAll_Ct&lt;22,$BC42=(Elig_MatchAll_Ct-1),BA42=0),AE42,0)</f>
        <v>0</v>
      </c>
    </row>
    <row r="43" spans="2:88" ht="10.15" customHeight="1" x14ac:dyDescent="0.25">
      <c r="B43" s="1912" t="s">
        <v>3922</v>
      </c>
      <c r="C43" s="147" t="str">
        <f t="shared" si="1"/>
        <v>NonQM OO</v>
      </c>
      <c r="D43" s="148" t="s">
        <v>3885</v>
      </c>
      <c r="E43" s="149" t="s">
        <v>167</v>
      </c>
      <c r="F43" s="149" t="s">
        <v>331</v>
      </c>
      <c r="G43" s="149" t="s">
        <v>179</v>
      </c>
      <c r="H43" s="149" t="s">
        <v>136</v>
      </c>
      <c r="I43" s="148" t="s">
        <v>274</v>
      </c>
      <c r="J43" s="148" t="s">
        <v>1311</v>
      </c>
      <c r="K43" s="148" t="s">
        <v>1631</v>
      </c>
      <c r="L43" s="2132" t="s">
        <v>3920</v>
      </c>
      <c r="M43" s="149" t="s">
        <v>4203</v>
      </c>
      <c r="N43" s="149" t="s">
        <v>82</v>
      </c>
      <c r="O43" s="149" t="s">
        <v>310</v>
      </c>
      <c r="P43" s="149" t="s">
        <v>291</v>
      </c>
      <c r="Q43" s="149" t="s">
        <v>294</v>
      </c>
      <c r="R43" s="322">
        <v>100000</v>
      </c>
      <c r="S43" s="148">
        <v>1000000</v>
      </c>
      <c r="T43" s="148">
        <v>0</v>
      </c>
      <c r="U43" s="148">
        <v>0</v>
      </c>
      <c r="V43" s="148">
        <v>0</v>
      </c>
      <c r="W43" s="148">
        <v>55</v>
      </c>
      <c r="X43" s="148">
        <v>0</v>
      </c>
      <c r="Y43" s="148">
        <v>999</v>
      </c>
      <c r="Z43" s="150">
        <v>720</v>
      </c>
      <c r="AA43" s="150">
        <v>999</v>
      </c>
      <c r="AB43" s="150">
        <v>3</v>
      </c>
      <c r="AC43" s="150">
        <v>999999</v>
      </c>
      <c r="AD43" s="148">
        <v>0</v>
      </c>
      <c r="AE43" s="322">
        <v>80</v>
      </c>
      <c r="AF43" s="170">
        <v>0</v>
      </c>
      <c r="AG43" s="171">
        <v>1</v>
      </c>
      <c r="AH43" s="171">
        <v>1</v>
      </c>
      <c r="AI43" s="171">
        <v>1</v>
      </c>
      <c r="AJ43" s="171">
        <v>0</v>
      </c>
      <c r="AK43" s="171">
        <v>1</v>
      </c>
      <c r="AL43" s="171">
        <v>0</v>
      </c>
      <c r="AM43" s="171">
        <v>1</v>
      </c>
      <c r="AN43" s="171">
        <v>1</v>
      </c>
      <c r="AO43" s="171">
        <v>1</v>
      </c>
      <c r="AP43" s="171">
        <v>1</v>
      </c>
      <c r="AQ43" s="171">
        <v>1</v>
      </c>
      <c r="AR43" s="171">
        <v>1</v>
      </c>
      <c r="AS43" s="171">
        <v>1</v>
      </c>
      <c r="AT43" s="171">
        <v>1</v>
      </c>
      <c r="AU43" s="171">
        <f t="shared" si="2"/>
        <v>1</v>
      </c>
      <c r="AV43" s="171">
        <f t="shared" si="3"/>
        <v>0</v>
      </c>
      <c r="AW43" s="171">
        <f t="shared" si="4"/>
        <v>1</v>
      </c>
      <c r="AX43" s="171">
        <f t="shared" si="5"/>
        <v>1</v>
      </c>
      <c r="AY43" s="171">
        <f t="shared" si="6"/>
        <v>1</v>
      </c>
      <c r="AZ43" s="171">
        <f t="shared" si="7"/>
        <v>1</v>
      </c>
      <c r="BA43" s="172">
        <f t="shared" si="8"/>
        <v>1</v>
      </c>
      <c r="BB43" s="175">
        <f t="shared" si="17"/>
        <v>18</v>
      </c>
      <c r="BC43" s="176">
        <f t="shared" si="18"/>
        <v>17</v>
      </c>
      <c r="BD43" s="176">
        <f t="shared" si="19"/>
        <v>18</v>
      </c>
      <c r="BE43" s="240" t="str">
        <f t="shared" si="12"/>
        <v/>
      </c>
      <c r="BH43" s="192">
        <f>IF(AND(Input_Product=Elig!$C43,Elig_MatchAll_Ct&lt;22,$BC43=(Elig_MatchAll_Ct-1),AF43=0),C43,0)</f>
        <v>0</v>
      </c>
      <c r="BI43" s="193">
        <f>IF(AND(Input_Product=Elig!$C43,Elig_MatchAll_Ct&lt;22,$BC43=(Elig_MatchAll_Ct-1),AG43=0),D43,0)</f>
        <v>0</v>
      </c>
      <c r="BJ43" s="193">
        <f>IF(AND(Input_Product=Elig!$C43,Elig_MatchAll_Ct&lt;22,$BC43=(Elig_MatchAll_Ct-1),AH43=0),E43,0)</f>
        <v>0</v>
      </c>
      <c r="BK43" s="193">
        <f>IF(AND(Input_Product=Elig!$C43,Elig_MatchAll_Ct&lt;22,$BC43=(Elig_MatchAll_Ct-1),AI43=0),F43,0)</f>
        <v>0</v>
      </c>
      <c r="BL43" s="193">
        <f>IF(AND(Input_Product=Elig!$C43,Elig_MatchAll_Ct&lt;22,$BC43=(Elig_MatchAll_Ct-1),AJ43=0),G43,0)</f>
        <v>0</v>
      </c>
      <c r="BM43" s="193">
        <f>IF(AND(Input_Product=Elig!$C43,Elig_MatchAll_Ct&lt;22,$BC43=(Elig_MatchAll_Ct-1),AK43=0),H43,0)</f>
        <v>0</v>
      </c>
      <c r="BN43" s="193">
        <f>IF(AND(Input_Product=Elig!$C43,Elig_MatchAll_Ct&lt;22,$BC43=(Elig_MatchAll_Ct-1),AL43=0),I43,0)</f>
        <v>0</v>
      </c>
      <c r="BO43" s="193">
        <f>IF(AND(Input_Product=Elig!$C43,Elig_MatchAll_Ct&lt;22,$BC43=(Elig_MatchAll_Ct-1),AM43=0),J43,0)</f>
        <v>0</v>
      </c>
      <c r="BP43" s="193">
        <f>IF(AND(Input_Product=Elig!$C43,Elig_MatchAll_Ct&lt;22,$BC43=(Elig_MatchAll_Ct-1),AN43=0),K43,0)</f>
        <v>0</v>
      </c>
      <c r="BQ43" s="193">
        <f>IF(AND(Input_Product=Elig!$C43,Elig_MatchAll_Ct&lt;22,$BC43=(Elig_MatchAll_Ct-1),AP43=0),L43,0)</f>
        <v>0</v>
      </c>
      <c r="BR43" s="193">
        <f>IF(AND(Input_Product=Elig!$C43,Elig_MatchAll_Ct&lt;22,$BC43=(Elig_MatchAll_Ct-1),AO43=0),M43,0)</f>
        <v>0</v>
      </c>
      <c r="BS43" s="193">
        <f>IF(AND(Input_Product=Elig!$C43,Elig_MatchAll_Ct&lt;22,$BC43=(Elig_MatchAll_Ct-1),AQ43=0),N43,0)</f>
        <v>0</v>
      </c>
      <c r="BT43" s="193">
        <f>IF(AND(Input_Product=Elig!$C43,Elig_MatchAll_Ct&lt;22,$BC43=(Elig_MatchAll_Ct-1),AR43=0),O43,0)</f>
        <v>0</v>
      </c>
      <c r="BU43" s="193">
        <f>IF(AND(Input_Product=Elig!$C43,Elig_MatchAll_Ct&lt;22,$BC43=(Elig_MatchAll_Ct-1),AS43=0),P43,0)</f>
        <v>0</v>
      </c>
      <c r="BV43" s="194">
        <f>IF(AND(Input_Product=Elig!$C43,Elig_MatchAll_Ct&lt;22,$BC43=(Elig_MatchAll_Ct-1),AT43=0),Q43,0)</f>
        <v>0</v>
      </c>
      <c r="BW43" s="195">
        <f>IF(AND(Input_Product=Elig!$C43,Elig_MatchAll_Ct&lt;22,$BC43=(Elig_MatchAll_Ct-1),AU43=0),R43,0)</f>
        <v>0</v>
      </c>
      <c r="BX43" s="196">
        <f>IF(AND(Input_Product=Elig!$C43,Elig_MatchAll_Ct&lt;22,$BC43=(Elig_MatchAll_Ct-1),AU43=0),S43,0)</f>
        <v>0</v>
      </c>
      <c r="BY43" s="195">
        <f>IF(AND(Input_Product=Elig!$C43,Elig_MatchAll_Ct&lt;22,$BC43=(Elig_MatchAll_Ct-1),AV43=0),T43,0)</f>
        <v>0</v>
      </c>
      <c r="BZ43" s="196">
        <f>IF(AND(Input_Product=Elig!$C43,Elig_MatchAll_Ct&lt;22,$BC43=(Elig_MatchAll_Ct-1),AV43=0),U43,0)</f>
        <v>0</v>
      </c>
      <c r="CA43" s="195">
        <f>IF(AND(Input_Product=Elig!$C43,Elig_MatchAll_Ct&lt;22,$BC43=(Elig_MatchAll_Ct-1),AW43=0),V43,0)</f>
        <v>0</v>
      </c>
      <c r="CB43" s="196">
        <f>IF(AND(Input_Product=Elig!$C43,Elig_MatchAll_Ct&lt;22,$BC43=(Elig_MatchAll_Ct-1),AW43=0),W43,0)</f>
        <v>0</v>
      </c>
      <c r="CC43" s="195">
        <f>IF(AND(Input_Product=Elig!$C43,Elig_MatchAll_Ct&lt;22,$BC43=(Elig_MatchAll_Ct-1),AX43=0),X43,0)</f>
        <v>0</v>
      </c>
      <c r="CD43" s="196">
        <f>IF(AND(Input_Product=Elig!$C43,Elig_MatchAll_Ct&lt;22,$BC43=(Elig_MatchAll_Ct-1),AX43=0),Y43,0)</f>
        <v>0</v>
      </c>
      <c r="CE43" s="195">
        <f>IF(AND(Input_LTV&lt;=AE43,Input_Product=Elig!$C43,Elig_MatchAll_Ct&lt;22,$BC43=(Elig_MatchAll_Ct-1),AY43=0),Z43,0)</f>
        <v>0</v>
      </c>
      <c r="CF43" s="196">
        <f>IF(AND(Input_LTV&lt;=AE43,Input_Product=Elig!$C43,Elig_MatchAll_Ct&lt;22,$BC43=(Elig_MatchAll_Ct-1),AY43=0),AA43,0)</f>
        <v>0</v>
      </c>
      <c r="CG43" s="195">
        <f>IF(AND(Input_Product=Elig!$C43,Elig_MatchAll_Ct&lt;22,$BC43=(Elig_MatchAll_Ct-1),AZ43=0),AB43,0)</f>
        <v>0</v>
      </c>
      <c r="CH43" s="196">
        <f>IF(AND(Input_Product=Elig!$C43,Elig_MatchAll_Ct&lt;22,$BC43=(Elig_MatchAll_Ct-1),AZ43=0),AC43,0)</f>
        <v>0</v>
      </c>
      <c r="CI43" s="195">
        <f>IF(AND(Input_Product=Elig!$C43,Elig_MatchAll_Ct&lt;22,$BC43=(Elig_MatchAll_Ct-1),BA43=0),AD43,0)</f>
        <v>0</v>
      </c>
      <c r="CJ43" s="197">
        <f>IF(AND(Input_Product=Elig!$C43,Elig_MatchAll_Ct&lt;22,$BC43=(Elig_MatchAll_Ct-1),BA43=0),AE43,0)</f>
        <v>0</v>
      </c>
    </row>
    <row r="44" spans="2:88" ht="10.15" customHeight="1" x14ac:dyDescent="0.25">
      <c r="B44" s="1912" t="s">
        <v>3923</v>
      </c>
      <c r="C44" s="134" t="str">
        <f t="shared" si="1"/>
        <v>NonQM OO</v>
      </c>
      <c r="D44" s="135" t="s">
        <v>3885</v>
      </c>
      <c r="E44" s="135" t="s">
        <v>167</v>
      </c>
      <c r="F44" s="135" t="s">
        <v>331</v>
      </c>
      <c r="G44" s="135" t="s">
        <v>179</v>
      </c>
      <c r="H44" s="135" t="s">
        <v>136</v>
      </c>
      <c r="I44" s="136" t="s">
        <v>274</v>
      </c>
      <c r="J44" s="136" t="s">
        <v>1311</v>
      </c>
      <c r="K44" s="136" t="s">
        <v>1631</v>
      </c>
      <c r="L44" s="221" t="s">
        <v>3920</v>
      </c>
      <c r="M44" s="135" t="s">
        <v>4203</v>
      </c>
      <c r="N44" s="135" t="s">
        <v>82</v>
      </c>
      <c r="O44" s="135" t="s">
        <v>310</v>
      </c>
      <c r="P44" s="135" t="s">
        <v>291</v>
      </c>
      <c r="Q44" s="135" t="s">
        <v>294</v>
      </c>
      <c r="R44" s="221">
        <v>100000</v>
      </c>
      <c r="S44" s="135">
        <v>1000000</v>
      </c>
      <c r="T44" s="135">
        <v>0</v>
      </c>
      <c r="U44" s="135">
        <v>0</v>
      </c>
      <c r="V44" s="135">
        <v>0</v>
      </c>
      <c r="W44" s="135">
        <v>55</v>
      </c>
      <c r="X44" s="135">
        <v>0</v>
      </c>
      <c r="Y44" s="135">
        <v>999</v>
      </c>
      <c r="Z44" s="137">
        <v>700</v>
      </c>
      <c r="AA44" s="137">
        <v>719</v>
      </c>
      <c r="AB44" s="137">
        <v>3</v>
      </c>
      <c r="AC44" s="137">
        <v>999999</v>
      </c>
      <c r="AD44" s="135">
        <v>0</v>
      </c>
      <c r="AE44" s="221">
        <v>80</v>
      </c>
      <c r="AF44" s="170">
        <v>0</v>
      </c>
      <c r="AG44" s="171">
        <v>1</v>
      </c>
      <c r="AH44" s="171">
        <v>1</v>
      </c>
      <c r="AI44" s="171">
        <v>1</v>
      </c>
      <c r="AJ44" s="171">
        <v>0</v>
      </c>
      <c r="AK44" s="171">
        <v>1</v>
      </c>
      <c r="AL44" s="171">
        <v>0</v>
      </c>
      <c r="AM44" s="171">
        <v>1</v>
      </c>
      <c r="AN44" s="171">
        <v>1</v>
      </c>
      <c r="AO44" s="171">
        <v>1</v>
      </c>
      <c r="AP44" s="171">
        <v>1</v>
      </c>
      <c r="AQ44" s="171">
        <v>1</v>
      </c>
      <c r="AR44" s="171">
        <v>1</v>
      </c>
      <c r="AS44" s="171">
        <v>1</v>
      </c>
      <c r="AT44" s="171">
        <v>1</v>
      </c>
      <c r="AU44" s="171">
        <f t="shared" si="2"/>
        <v>1</v>
      </c>
      <c r="AV44" s="171">
        <f t="shared" si="3"/>
        <v>0</v>
      </c>
      <c r="AW44" s="171">
        <f t="shared" si="4"/>
        <v>1</v>
      </c>
      <c r="AX44" s="171">
        <f t="shared" si="5"/>
        <v>1</v>
      </c>
      <c r="AY44" s="171">
        <f t="shared" si="6"/>
        <v>0</v>
      </c>
      <c r="AZ44" s="171">
        <f t="shared" si="7"/>
        <v>1</v>
      </c>
      <c r="BA44" s="172">
        <f t="shared" si="8"/>
        <v>1</v>
      </c>
      <c r="BB44" s="175">
        <f t="shared" si="17"/>
        <v>17</v>
      </c>
      <c r="BC44" s="176">
        <f t="shared" si="18"/>
        <v>16</v>
      </c>
      <c r="BD44" s="176">
        <f t="shared" si="19"/>
        <v>17</v>
      </c>
      <c r="BE44" s="240" t="str">
        <f t="shared" si="12"/>
        <v/>
      </c>
      <c r="BH44" s="198">
        <f>IF(AND(Input_Product=Elig!$C44,Elig_MatchAll_Ct&lt;22,$BC44=(Elig_MatchAll_Ct-1),AF44=0),C44,0)</f>
        <v>0</v>
      </c>
      <c r="BI44" s="199">
        <f>IF(AND(Input_Product=Elig!$C44,Elig_MatchAll_Ct&lt;22,$BC44=(Elig_MatchAll_Ct-1),AG44=0),D44,0)</f>
        <v>0</v>
      </c>
      <c r="BJ44" s="199">
        <f>IF(AND(Input_Product=Elig!$C44,Elig_MatchAll_Ct&lt;22,$BC44=(Elig_MatchAll_Ct-1),AH44=0),E44,0)</f>
        <v>0</v>
      </c>
      <c r="BK44" s="199">
        <f>IF(AND(Input_Product=Elig!$C44,Elig_MatchAll_Ct&lt;22,$BC44=(Elig_MatchAll_Ct-1),AI44=0),F44,0)</f>
        <v>0</v>
      </c>
      <c r="BL44" s="199">
        <f>IF(AND(Input_Product=Elig!$C44,Elig_MatchAll_Ct&lt;22,$BC44=(Elig_MatchAll_Ct-1),AJ44=0),G44,0)</f>
        <v>0</v>
      </c>
      <c r="BM44" s="199">
        <f>IF(AND(Input_Product=Elig!$C44,Elig_MatchAll_Ct&lt;22,$BC44=(Elig_MatchAll_Ct-1),AK44=0),H44,0)</f>
        <v>0</v>
      </c>
      <c r="BN44" s="199">
        <f>IF(AND(Input_Product=Elig!$C44,Elig_MatchAll_Ct&lt;22,$BC44=(Elig_MatchAll_Ct-1),AL44=0),I44,0)</f>
        <v>0</v>
      </c>
      <c r="BO44" s="199">
        <f>IF(AND(Input_Product=Elig!$C44,Elig_MatchAll_Ct&lt;22,$BC44=(Elig_MatchAll_Ct-1),AM44=0),J44,0)</f>
        <v>0</v>
      </c>
      <c r="BP44" s="199">
        <f>IF(AND(Input_Product=Elig!$C44,Elig_MatchAll_Ct&lt;22,$BC44=(Elig_MatchAll_Ct-1),AN44=0),K44,0)</f>
        <v>0</v>
      </c>
      <c r="BQ44" s="199">
        <f>IF(AND(Input_Product=Elig!$C44,Elig_MatchAll_Ct&lt;22,$BC44=(Elig_MatchAll_Ct-1),AP44=0),L44,0)</f>
        <v>0</v>
      </c>
      <c r="BR44" s="199">
        <f>IF(AND(Input_Product=Elig!$C44,Elig_MatchAll_Ct&lt;22,$BC44=(Elig_MatchAll_Ct-1),AO44=0),M44,0)</f>
        <v>0</v>
      </c>
      <c r="BS44" s="199">
        <f>IF(AND(Input_Product=Elig!$C44,Elig_MatchAll_Ct&lt;22,$BC44=(Elig_MatchAll_Ct-1),AQ44=0),N44,0)</f>
        <v>0</v>
      </c>
      <c r="BT44" s="199">
        <f>IF(AND(Input_Product=Elig!$C44,Elig_MatchAll_Ct&lt;22,$BC44=(Elig_MatchAll_Ct-1),AR44=0),O44,0)</f>
        <v>0</v>
      </c>
      <c r="BU44" s="199">
        <f>IF(AND(Input_Product=Elig!$C44,Elig_MatchAll_Ct&lt;22,$BC44=(Elig_MatchAll_Ct-1),AS44=0),P44,0)</f>
        <v>0</v>
      </c>
      <c r="BV44" s="200">
        <f>IF(AND(Input_Product=Elig!$C44,Elig_MatchAll_Ct&lt;22,$BC44=(Elig_MatchAll_Ct-1),AT44=0),Q44,0)</f>
        <v>0</v>
      </c>
      <c r="BW44" s="201">
        <f>IF(AND(Input_Product=Elig!$C44,Elig_MatchAll_Ct&lt;22,$BC44=(Elig_MatchAll_Ct-1),AU44=0),R44,0)</f>
        <v>0</v>
      </c>
      <c r="BX44" s="202">
        <f>IF(AND(Input_Product=Elig!$C44,Elig_MatchAll_Ct&lt;22,$BC44=(Elig_MatchAll_Ct-1),AU44=0),S44,0)</f>
        <v>0</v>
      </c>
      <c r="BY44" s="201">
        <f>IF(AND(Input_Product=Elig!$C44,Elig_MatchAll_Ct&lt;22,$BC44=(Elig_MatchAll_Ct-1),AV44=0),T44,0)</f>
        <v>0</v>
      </c>
      <c r="BZ44" s="202">
        <f>IF(AND(Input_Product=Elig!$C44,Elig_MatchAll_Ct&lt;22,$BC44=(Elig_MatchAll_Ct-1),AV44=0),U44,0)</f>
        <v>0</v>
      </c>
      <c r="CA44" s="201">
        <f>IF(AND(Input_Product=Elig!$C44,Elig_MatchAll_Ct&lt;22,$BC44=(Elig_MatchAll_Ct-1),AW44=0),V44,0)</f>
        <v>0</v>
      </c>
      <c r="CB44" s="202">
        <f>IF(AND(Input_Product=Elig!$C44,Elig_MatchAll_Ct&lt;22,$BC44=(Elig_MatchAll_Ct-1),AW44=0),W44,0)</f>
        <v>0</v>
      </c>
      <c r="CC44" s="201">
        <f>IF(AND(Input_Product=Elig!$C44,Elig_MatchAll_Ct&lt;22,$BC44=(Elig_MatchAll_Ct-1),AX44=0),X44,0)</f>
        <v>0</v>
      </c>
      <c r="CD44" s="202">
        <f>IF(AND(Input_Product=Elig!$C44,Elig_MatchAll_Ct&lt;22,$BC44=(Elig_MatchAll_Ct-1),AX44=0),Y44,0)</f>
        <v>0</v>
      </c>
      <c r="CE44" s="201">
        <f>IF(AND(Input_LTV&lt;=AE44,Input_Product=Elig!$C44,Elig_MatchAll_Ct&lt;22,$BC44=(Elig_MatchAll_Ct-1),AY44=0),Z44,0)</f>
        <v>0</v>
      </c>
      <c r="CF44" s="202">
        <f>IF(AND(Input_LTV&lt;=AE44,Input_Product=Elig!$C44,Elig_MatchAll_Ct&lt;22,$BC44=(Elig_MatchAll_Ct-1),AY44=0),AA44,0)</f>
        <v>0</v>
      </c>
      <c r="CG44" s="201">
        <f>IF(AND(Input_Product=Elig!$C44,Elig_MatchAll_Ct&lt;22,$BC44=(Elig_MatchAll_Ct-1),AZ44=0),AB44,0)</f>
        <v>0</v>
      </c>
      <c r="CH44" s="202">
        <f>IF(AND(Input_Product=Elig!$C44,Elig_MatchAll_Ct&lt;22,$BC44=(Elig_MatchAll_Ct-1),AZ44=0),AC44,0)</f>
        <v>0</v>
      </c>
      <c r="CI44" s="201">
        <f>IF(AND(Input_Product=Elig!$C44,Elig_MatchAll_Ct&lt;22,$BC44=(Elig_MatchAll_Ct-1),BA44=0),AD44,0)</f>
        <v>0</v>
      </c>
      <c r="CJ44" s="203">
        <f>IF(AND(Input_Product=Elig!$C44,Elig_MatchAll_Ct&lt;22,$BC44=(Elig_MatchAll_Ct-1),BA44=0),AE44,0)</f>
        <v>0</v>
      </c>
    </row>
    <row r="45" spans="2:88" ht="10.15" customHeight="1" x14ac:dyDescent="0.25">
      <c r="B45" s="1912" t="s">
        <v>3924</v>
      </c>
      <c r="C45" s="134" t="str">
        <f t="shared" si="1"/>
        <v>NonQM OO</v>
      </c>
      <c r="D45" s="135" t="s">
        <v>3885</v>
      </c>
      <c r="E45" s="135" t="s">
        <v>167</v>
      </c>
      <c r="F45" s="135" t="s">
        <v>331</v>
      </c>
      <c r="G45" s="135" t="s">
        <v>179</v>
      </c>
      <c r="H45" s="135" t="s">
        <v>136</v>
      </c>
      <c r="I45" s="136" t="s">
        <v>274</v>
      </c>
      <c r="J45" s="136" t="s">
        <v>1311</v>
      </c>
      <c r="K45" s="136" t="s">
        <v>1631</v>
      </c>
      <c r="L45" s="221" t="s">
        <v>3920</v>
      </c>
      <c r="M45" s="135" t="s">
        <v>4203</v>
      </c>
      <c r="N45" s="135" t="s">
        <v>82</v>
      </c>
      <c r="O45" s="135" t="s">
        <v>310</v>
      </c>
      <c r="P45" s="135" t="s">
        <v>291</v>
      </c>
      <c r="Q45" s="135" t="s">
        <v>294</v>
      </c>
      <c r="R45" s="221">
        <v>100000</v>
      </c>
      <c r="S45" s="135">
        <v>1000000</v>
      </c>
      <c r="T45" s="135">
        <v>0</v>
      </c>
      <c r="U45" s="135">
        <v>0</v>
      </c>
      <c r="V45" s="135">
        <v>0</v>
      </c>
      <c r="W45" s="135">
        <v>55</v>
      </c>
      <c r="X45" s="135">
        <v>0</v>
      </c>
      <c r="Y45" s="135">
        <v>999</v>
      </c>
      <c r="Z45" s="137">
        <v>680</v>
      </c>
      <c r="AA45" s="137">
        <v>699</v>
      </c>
      <c r="AB45" s="137">
        <v>3</v>
      </c>
      <c r="AC45" s="137">
        <v>999999</v>
      </c>
      <c r="AD45" s="135">
        <v>0</v>
      </c>
      <c r="AE45" s="221">
        <v>80</v>
      </c>
      <c r="AF45" s="170">
        <v>0</v>
      </c>
      <c r="AG45" s="171">
        <v>1</v>
      </c>
      <c r="AH45" s="171">
        <v>1</v>
      </c>
      <c r="AI45" s="171">
        <v>1</v>
      </c>
      <c r="AJ45" s="171">
        <v>0</v>
      </c>
      <c r="AK45" s="171">
        <v>1</v>
      </c>
      <c r="AL45" s="171">
        <v>0</v>
      </c>
      <c r="AM45" s="171">
        <v>1</v>
      </c>
      <c r="AN45" s="171">
        <v>1</v>
      </c>
      <c r="AO45" s="171">
        <v>1</v>
      </c>
      <c r="AP45" s="171">
        <v>1</v>
      </c>
      <c r="AQ45" s="171">
        <v>1</v>
      </c>
      <c r="AR45" s="171">
        <v>1</v>
      </c>
      <c r="AS45" s="171">
        <v>1</v>
      </c>
      <c r="AT45" s="171">
        <v>1</v>
      </c>
      <c r="AU45" s="171">
        <f t="shared" si="2"/>
        <v>1</v>
      </c>
      <c r="AV45" s="171">
        <f t="shared" si="3"/>
        <v>0</v>
      </c>
      <c r="AW45" s="171">
        <f t="shared" si="4"/>
        <v>1</v>
      </c>
      <c r="AX45" s="171">
        <f t="shared" si="5"/>
        <v>1</v>
      </c>
      <c r="AY45" s="171">
        <f t="shared" si="6"/>
        <v>0</v>
      </c>
      <c r="AZ45" s="171">
        <f t="shared" si="7"/>
        <v>1</v>
      </c>
      <c r="BA45" s="172">
        <f t="shared" si="8"/>
        <v>1</v>
      </c>
      <c r="BB45" s="175">
        <f t="shared" si="17"/>
        <v>17</v>
      </c>
      <c r="BC45" s="176">
        <f t="shared" si="18"/>
        <v>16</v>
      </c>
      <c r="BD45" s="176">
        <f t="shared" si="19"/>
        <v>17</v>
      </c>
      <c r="BE45" s="240" t="str">
        <f t="shared" si="12"/>
        <v/>
      </c>
      <c r="BH45" s="198">
        <f>IF(AND(Input_Product=Elig!$C45,Elig_MatchAll_Ct&lt;22,$BC45=(Elig_MatchAll_Ct-1),AF45=0),C45,0)</f>
        <v>0</v>
      </c>
      <c r="BI45" s="199">
        <f>IF(AND(Input_Product=Elig!$C45,Elig_MatchAll_Ct&lt;22,$BC45=(Elig_MatchAll_Ct-1),AG45=0),D45,0)</f>
        <v>0</v>
      </c>
      <c r="BJ45" s="199">
        <f>IF(AND(Input_Product=Elig!$C45,Elig_MatchAll_Ct&lt;22,$BC45=(Elig_MatchAll_Ct-1),AH45=0),E45,0)</f>
        <v>0</v>
      </c>
      <c r="BK45" s="199">
        <f>IF(AND(Input_Product=Elig!$C45,Elig_MatchAll_Ct&lt;22,$BC45=(Elig_MatchAll_Ct-1),AI45=0),F45,0)</f>
        <v>0</v>
      </c>
      <c r="BL45" s="199">
        <f>IF(AND(Input_Product=Elig!$C45,Elig_MatchAll_Ct&lt;22,$BC45=(Elig_MatchAll_Ct-1),AJ45=0),G45,0)</f>
        <v>0</v>
      </c>
      <c r="BM45" s="199">
        <f>IF(AND(Input_Product=Elig!$C45,Elig_MatchAll_Ct&lt;22,$BC45=(Elig_MatchAll_Ct-1),AK45=0),H45,0)</f>
        <v>0</v>
      </c>
      <c r="BN45" s="199">
        <f>IF(AND(Input_Product=Elig!$C45,Elig_MatchAll_Ct&lt;22,$BC45=(Elig_MatchAll_Ct-1),AL45=0),I45,0)</f>
        <v>0</v>
      </c>
      <c r="BO45" s="199">
        <f>IF(AND(Input_Product=Elig!$C45,Elig_MatchAll_Ct&lt;22,$BC45=(Elig_MatchAll_Ct-1),AM45=0),J45,0)</f>
        <v>0</v>
      </c>
      <c r="BP45" s="199">
        <f>IF(AND(Input_Product=Elig!$C45,Elig_MatchAll_Ct&lt;22,$BC45=(Elig_MatchAll_Ct-1),AN45=0),K45,0)</f>
        <v>0</v>
      </c>
      <c r="BQ45" s="199">
        <f>IF(AND(Input_Product=Elig!$C45,Elig_MatchAll_Ct&lt;22,$BC45=(Elig_MatchAll_Ct-1),AP45=0),L45,0)</f>
        <v>0</v>
      </c>
      <c r="BR45" s="199">
        <f>IF(AND(Input_Product=Elig!$C45,Elig_MatchAll_Ct&lt;22,$BC45=(Elig_MatchAll_Ct-1),AO45=0),M45,0)</f>
        <v>0</v>
      </c>
      <c r="BS45" s="199">
        <f>IF(AND(Input_Product=Elig!$C45,Elig_MatchAll_Ct&lt;22,$BC45=(Elig_MatchAll_Ct-1),AQ45=0),N45,0)</f>
        <v>0</v>
      </c>
      <c r="BT45" s="199">
        <f>IF(AND(Input_Product=Elig!$C45,Elig_MatchAll_Ct&lt;22,$BC45=(Elig_MatchAll_Ct-1),AR45=0),O45,0)</f>
        <v>0</v>
      </c>
      <c r="BU45" s="199">
        <f>IF(AND(Input_Product=Elig!$C45,Elig_MatchAll_Ct&lt;22,$BC45=(Elig_MatchAll_Ct-1),AS45=0),P45,0)</f>
        <v>0</v>
      </c>
      <c r="BV45" s="200">
        <f>IF(AND(Input_Product=Elig!$C45,Elig_MatchAll_Ct&lt;22,$BC45=(Elig_MatchAll_Ct-1),AT45=0),Q45,0)</f>
        <v>0</v>
      </c>
      <c r="BW45" s="201">
        <f>IF(AND(Input_Product=Elig!$C45,Elig_MatchAll_Ct&lt;22,$BC45=(Elig_MatchAll_Ct-1),AU45=0),R45,0)</f>
        <v>0</v>
      </c>
      <c r="BX45" s="202">
        <f>IF(AND(Input_Product=Elig!$C45,Elig_MatchAll_Ct&lt;22,$BC45=(Elig_MatchAll_Ct-1),AU45=0),S45,0)</f>
        <v>0</v>
      </c>
      <c r="BY45" s="201">
        <f>IF(AND(Input_Product=Elig!$C45,Elig_MatchAll_Ct&lt;22,$BC45=(Elig_MatchAll_Ct-1),AV45=0),T45,0)</f>
        <v>0</v>
      </c>
      <c r="BZ45" s="202">
        <f>IF(AND(Input_Product=Elig!$C45,Elig_MatchAll_Ct&lt;22,$BC45=(Elig_MatchAll_Ct-1),AV45=0),U45,0)</f>
        <v>0</v>
      </c>
      <c r="CA45" s="201">
        <f>IF(AND(Input_Product=Elig!$C45,Elig_MatchAll_Ct&lt;22,$BC45=(Elig_MatchAll_Ct-1),AW45=0),V45,0)</f>
        <v>0</v>
      </c>
      <c r="CB45" s="202">
        <f>IF(AND(Input_Product=Elig!$C45,Elig_MatchAll_Ct&lt;22,$BC45=(Elig_MatchAll_Ct-1),AW45=0),W45,0)</f>
        <v>0</v>
      </c>
      <c r="CC45" s="201">
        <f>IF(AND(Input_Product=Elig!$C45,Elig_MatchAll_Ct&lt;22,$BC45=(Elig_MatchAll_Ct-1),AX45=0),X45,0)</f>
        <v>0</v>
      </c>
      <c r="CD45" s="202">
        <f>IF(AND(Input_Product=Elig!$C45,Elig_MatchAll_Ct&lt;22,$BC45=(Elig_MatchAll_Ct-1),AX45=0),Y45,0)</f>
        <v>0</v>
      </c>
      <c r="CE45" s="201">
        <f>IF(AND(Input_LTV&lt;=AE45,Input_Product=Elig!$C45,Elig_MatchAll_Ct&lt;22,$BC45=(Elig_MatchAll_Ct-1),AY45=0),Z45,0)</f>
        <v>0</v>
      </c>
      <c r="CF45" s="202">
        <f>IF(AND(Input_LTV&lt;=AE45,Input_Product=Elig!$C45,Elig_MatchAll_Ct&lt;22,$BC45=(Elig_MatchAll_Ct-1),AY45=0),AA45,0)</f>
        <v>0</v>
      </c>
      <c r="CG45" s="201">
        <f>IF(AND(Input_Product=Elig!$C45,Elig_MatchAll_Ct&lt;22,$BC45=(Elig_MatchAll_Ct-1),AZ45=0),AB45,0)</f>
        <v>0</v>
      </c>
      <c r="CH45" s="202">
        <f>IF(AND(Input_Product=Elig!$C45,Elig_MatchAll_Ct&lt;22,$BC45=(Elig_MatchAll_Ct-1),AZ45=0),AC45,0)</f>
        <v>0</v>
      </c>
      <c r="CI45" s="201">
        <f>IF(AND(Input_Product=Elig!$C45,Elig_MatchAll_Ct&lt;22,$BC45=(Elig_MatchAll_Ct-1),BA45=0),AD45,0)</f>
        <v>0</v>
      </c>
      <c r="CJ45" s="203">
        <f>IF(AND(Input_Product=Elig!$C45,Elig_MatchAll_Ct&lt;22,$BC45=(Elig_MatchAll_Ct-1),BA45=0),AE45,0)</f>
        <v>0</v>
      </c>
    </row>
    <row r="46" spans="2:88" ht="10.15" customHeight="1" x14ac:dyDescent="0.25">
      <c r="B46" s="1912" t="s">
        <v>3925</v>
      </c>
      <c r="C46" s="147" t="str">
        <f t="shared" si="1"/>
        <v>NonQM OO</v>
      </c>
      <c r="D46" s="148" t="s">
        <v>3885</v>
      </c>
      <c r="E46" s="148" t="s">
        <v>167</v>
      </c>
      <c r="F46" s="148" t="s">
        <v>331</v>
      </c>
      <c r="G46" s="135" t="s">
        <v>179</v>
      </c>
      <c r="H46" s="148" t="s">
        <v>136</v>
      </c>
      <c r="I46" s="149" t="s">
        <v>274</v>
      </c>
      <c r="J46" s="149" t="s">
        <v>1311</v>
      </c>
      <c r="K46" s="149" t="s">
        <v>1631</v>
      </c>
      <c r="L46" s="322" t="s">
        <v>3920</v>
      </c>
      <c r="M46" s="148" t="s">
        <v>4203</v>
      </c>
      <c r="N46" s="148" t="s">
        <v>82</v>
      </c>
      <c r="O46" s="148" t="s">
        <v>310</v>
      </c>
      <c r="P46" s="148" t="s">
        <v>291</v>
      </c>
      <c r="Q46" s="148" t="s">
        <v>294</v>
      </c>
      <c r="R46" s="322">
        <v>100000</v>
      </c>
      <c r="S46" s="148">
        <v>1000000</v>
      </c>
      <c r="T46" s="148">
        <v>0</v>
      </c>
      <c r="U46" s="148">
        <v>0</v>
      </c>
      <c r="V46" s="148">
        <v>0</v>
      </c>
      <c r="W46" s="148">
        <v>55</v>
      </c>
      <c r="X46" s="148">
        <v>0</v>
      </c>
      <c r="Y46" s="148">
        <v>999</v>
      </c>
      <c r="Z46" s="137">
        <v>660</v>
      </c>
      <c r="AA46" s="137">
        <v>679</v>
      </c>
      <c r="AB46" s="137">
        <v>3</v>
      </c>
      <c r="AC46" s="137">
        <v>999999</v>
      </c>
      <c r="AD46" s="135">
        <v>0</v>
      </c>
      <c r="AE46" s="135">
        <v>75</v>
      </c>
      <c r="AF46" s="170">
        <v>0</v>
      </c>
      <c r="AG46" s="171">
        <v>1</v>
      </c>
      <c r="AH46" s="171">
        <v>1</v>
      </c>
      <c r="AI46" s="171">
        <v>1</v>
      </c>
      <c r="AJ46" s="171">
        <v>0</v>
      </c>
      <c r="AK46" s="171">
        <v>1</v>
      </c>
      <c r="AL46" s="171">
        <v>0</v>
      </c>
      <c r="AM46" s="171">
        <v>1</v>
      </c>
      <c r="AN46" s="171">
        <v>1</v>
      </c>
      <c r="AO46" s="171">
        <v>1</v>
      </c>
      <c r="AP46" s="171">
        <v>1</v>
      </c>
      <c r="AQ46" s="171">
        <v>1</v>
      </c>
      <c r="AR46" s="171">
        <v>1</v>
      </c>
      <c r="AS46" s="171">
        <v>1</v>
      </c>
      <c r="AT46" s="171">
        <v>1</v>
      </c>
      <c r="AU46" s="171">
        <f t="shared" si="2"/>
        <v>1</v>
      </c>
      <c r="AV46" s="171">
        <f t="shared" si="3"/>
        <v>0</v>
      </c>
      <c r="AW46" s="171">
        <f t="shared" si="4"/>
        <v>1</v>
      </c>
      <c r="AX46" s="171">
        <f t="shared" si="5"/>
        <v>1</v>
      </c>
      <c r="AY46" s="171">
        <f t="shared" si="6"/>
        <v>0</v>
      </c>
      <c r="AZ46" s="171">
        <f t="shared" si="7"/>
        <v>1</v>
      </c>
      <c r="BA46" s="172">
        <f t="shared" si="8"/>
        <v>1</v>
      </c>
      <c r="BB46" s="175">
        <f t="shared" si="17"/>
        <v>17</v>
      </c>
      <c r="BC46" s="176">
        <f t="shared" si="18"/>
        <v>16</v>
      </c>
      <c r="BD46" s="176">
        <f t="shared" si="19"/>
        <v>17</v>
      </c>
      <c r="BE46" s="240" t="str">
        <f t="shared" si="12"/>
        <v/>
      </c>
      <c r="BH46" s="198">
        <f>IF(AND(Input_Product=Elig!$C46,Elig_MatchAll_Ct&lt;22,$BC46=(Elig_MatchAll_Ct-1),AF46=0),C46,0)</f>
        <v>0</v>
      </c>
      <c r="BI46" s="199">
        <f>IF(AND(Input_Product=Elig!$C46,Elig_MatchAll_Ct&lt;22,$BC46=(Elig_MatchAll_Ct-1),AG46=0),D46,0)</f>
        <v>0</v>
      </c>
      <c r="BJ46" s="199">
        <f>IF(AND(Input_Product=Elig!$C46,Elig_MatchAll_Ct&lt;22,$BC46=(Elig_MatchAll_Ct-1),AH46=0),E46,0)</f>
        <v>0</v>
      </c>
      <c r="BK46" s="199">
        <f>IF(AND(Input_Product=Elig!$C46,Elig_MatchAll_Ct&lt;22,$BC46=(Elig_MatchAll_Ct-1),AI46=0),F46,0)</f>
        <v>0</v>
      </c>
      <c r="BL46" s="199">
        <f>IF(AND(Input_Product=Elig!$C46,Elig_MatchAll_Ct&lt;22,$BC46=(Elig_MatchAll_Ct-1),AJ46=0),G46,0)</f>
        <v>0</v>
      </c>
      <c r="BM46" s="199">
        <f>IF(AND(Input_Product=Elig!$C46,Elig_MatchAll_Ct&lt;22,$BC46=(Elig_MatchAll_Ct-1),AK46=0),H46,0)</f>
        <v>0</v>
      </c>
      <c r="BN46" s="199">
        <f>IF(AND(Input_Product=Elig!$C46,Elig_MatchAll_Ct&lt;22,$BC46=(Elig_MatchAll_Ct-1),AL46=0),I46,0)</f>
        <v>0</v>
      </c>
      <c r="BO46" s="199">
        <f>IF(AND(Input_Product=Elig!$C46,Elig_MatchAll_Ct&lt;22,$BC46=(Elig_MatchAll_Ct-1),AM46=0),J46,0)</f>
        <v>0</v>
      </c>
      <c r="BP46" s="199">
        <f>IF(AND(Input_Product=Elig!$C46,Elig_MatchAll_Ct&lt;22,$BC46=(Elig_MatchAll_Ct-1),AN46=0),K46,0)</f>
        <v>0</v>
      </c>
      <c r="BQ46" s="199">
        <f>IF(AND(Input_Product=Elig!$C46,Elig_MatchAll_Ct&lt;22,$BC46=(Elig_MatchAll_Ct-1),AP46=0),L46,0)</f>
        <v>0</v>
      </c>
      <c r="BR46" s="199">
        <f>IF(AND(Input_Product=Elig!$C46,Elig_MatchAll_Ct&lt;22,$BC46=(Elig_MatchAll_Ct-1),AO46=0),M46,0)</f>
        <v>0</v>
      </c>
      <c r="BS46" s="199">
        <f>IF(AND(Input_Product=Elig!$C46,Elig_MatchAll_Ct&lt;22,$BC46=(Elig_MatchAll_Ct-1),AQ46=0),N46,0)</f>
        <v>0</v>
      </c>
      <c r="BT46" s="199">
        <f>IF(AND(Input_Product=Elig!$C46,Elig_MatchAll_Ct&lt;22,$BC46=(Elig_MatchAll_Ct-1),AR46=0),O46,0)</f>
        <v>0</v>
      </c>
      <c r="BU46" s="199">
        <f>IF(AND(Input_Product=Elig!$C46,Elig_MatchAll_Ct&lt;22,$BC46=(Elig_MatchAll_Ct-1),AS46=0),P46,0)</f>
        <v>0</v>
      </c>
      <c r="BV46" s="200">
        <f>IF(AND(Input_Product=Elig!$C46,Elig_MatchAll_Ct&lt;22,$BC46=(Elig_MatchAll_Ct-1),AT46=0),Q46,0)</f>
        <v>0</v>
      </c>
      <c r="BW46" s="201">
        <f>IF(AND(Input_Product=Elig!$C46,Elig_MatchAll_Ct&lt;22,$BC46=(Elig_MatchAll_Ct-1),AU46=0),R46,0)</f>
        <v>0</v>
      </c>
      <c r="BX46" s="202">
        <f>IF(AND(Input_Product=Elig!$C46,Elig_MatchAll_Ct&lt;22,$BC46=(Elig_MatchAll_Ct-1),AU46=0),S46,0)</f>
        <v>0</v>
      </c>
      <c r="BY46" s="201">
        <f>IF(AND(Input_Product=Elig!$C46,Elig_MatchAll_Ct&lt;22,$BC46=(Elig_MatchAll_Ct-1),AV46=0),T46,0)</f>
        <v>0</v>
      </c>
      <c r="BZ46" s="202">
        <f>IF(AND(Input_Product=Elig!$C46,Elig_MatchAll_Ct&lt;22,$BC46=(Elig_MatchAll_Ct-1),AV46=0),U46,0)</f>
        <v>0</v>
      </c>
      <c r="CA46" s="201">
        <f>IF(AND(Input_Product=Elig!$C46,Elig_MatchAll_Ct&lt;22,$BC46=(Elig_MatchAll_Ct-1),AW46=0),V46,0)</f>
        <v>0</v>
      </c>
      <c r="CB46" s="202">
        <f>IF(AND(Input_Product=Elig!$C46,Elig_MatchAll_Ct&lt;22,$BC46=(Elig_MatchAll_Ct-1),AW46=0),W46,0)</f>
        <v>0</v>
      </c>
      <c r="CC46" s="201">
        <f>IF(AND(Input_Product=Elig!$C46,Elig_MatchAll_Ct&lt;22,$BC46=(Elig_MatchAll_Ct-1),AX46=0),X46,0)</f>
        <v>0</v>
      </c>
      <c r="CD46" s="202">
        <f>IF(AND(Input_Product=Elig!$C46,Elig_MatchAll_Ct&lt;22,$BC46=(Elig_MatchAll_Ct-1),AX46=0),Y46,0)</f>
        <v>0</v>
      </c>
      <c r="CE46" s="201">
        <f>IF(AND(Input_LTV&lt;=AE46,Input_Product=Elig!$C46,Elig_MatchAll_Ct&lt;22,$BC46=(Elig_MatchAll_Ct-1),AY46=0),Z46,0)</f>
        <v>0</v>
      </c>
      <c r="CF46" s="202">
        <f>IF(AND(Input_LTV&lt;=AE46,Input_Product=Elig!$C46,Elig_MatchAll_Ct&lt;22,$BC46=(Elig_MatchAll_Ct-1),AY46=0),AA46,0)</f>
        <v>0</v>
      </c>
      <c r="CG46" s="201">
        <f>IF(AND(Input_Product=Elig!$C46,Elig_MatchAll_Ct&lt;22,$BC46=(Elig_MatchAll_Ct-1),AZ46=0),AB46,0)</f>
        <v>0</v>
      </c>
      <c r="CH46" s="202">
        <f>IF(AND(Input_Product=Elig!$C46,Elig_MatchAll_Ct&lt;22,$BC46=(Elig_MatchAll_Ct-1),AZ46=0),AC46,0)</f>
        <v>0</v>
      </c>
      <c r="CI46" s="201">
        <f>IF(AND(Input_Product=Elig!$C46,Elig_MatchAll_Ct&lt;22,$BC46=(Elig_MatchAll_Ct-1),BA46=0),AD46,0)</f>
        <v>0</v>
      </c>
      <c r="CJ46" s="203">
        <f>IF(AND(Input_Product=Elig!$C46,Elig_MatchAll_Ct&lt;22,$BC46=(Elig_MatchAll_Ct-1),BA46=0),AE46,0)</f>
        <v>0</v>
      </c>
    </row>
    <row r="47" spans="2:88" ht="10.15" customHeight="1" x14ac:dyDescent="0.25">
      <c r="B47" s="1912" t="s">
        <v>3926</v>
      </c>
      <c r="C47" s="147" t="str">
        <f t="shared" si="1"/>
        <v>NonQM OO</v>
      </c>
      <c r="D47" s="148" t="s">
        <v>3885</v>
      </c>
      <c r="E47" s="148" t="s">
        <v>167</v>
      </c>
      <c r="F47" s="148" t="s">
        <v>331</v>
      </c>
      <c r="G47" s="135" t="s">
        <v>179</v>
      </c>
      <c r="H47" s="148" t="s">
        <v>136</v>
      </c>
      <c r="I47" s="149" t="s">
        <v>274</v>
      </c>
      <c r="J47" s="149" t="s">
        <v>1311</v>
      </c>
      <c r="K47" s="149" t="s">
        <v>1631</v>
      </c>
      <c r="L47" s="322" t="s">
        <v>3920</v>
      </c>
      <c r="M47" s="148" t="s">
        <v>4203</v>
      </c>
      <c r="N47" s="148" t="s">
        <v>82</v>
      </c>
      <c r="O47" s="148" t="s">
        <v>310</v>
      </c>
      <c r="P47" s="148" t="s">
        <v>291</v>
      </c>
      <c r="Q47" s="148" t="s">
        <v>294</v>
      </c>
      <c r="R47" s="322">
        <v>100000</v>
      </c>
      <c r="S47" s="148">
        <v>1000000</v>
      </c>
      <c r="T47" s="148">
        <v>0</v>
      </c>
      <c r="U47" s="148">
        <v>0</v>
      </c>
      <c r="V47" s="148">
        <v>0</v>
      </c>
      <c r="W47" s="148">
        <v>55</v>
      </c>
      <c r="X47" s="148">
        <v>0</v>
      </c>
      <c r="Y47" s="148">
        <v>999</v>
      </c>
      <c r="Z47" s="137">
        <v>640</v>
      </c>
      <c r="AA47" s="137">
        <v>659</v>
      </c>
      <c r="AB47" s="137">
        <v>3</v>
      </c>
      <c r="AC47" s="137">
        <v>999999</v>
      </c>
      <c r="AD47" s="135">
        <v>0</v>
      </c>
      <c r="AE47" s="135">
        <v>-999</v>
      </c>
      <c r="AF47" s="170">
        <v>0</v>
      </c>
      <c r="AG47" s="171">
        <v>1</v>
      </c>
      <c r="AH47" s="171">
        <v>1</v>
      </c>
      <c r="AI47" s="171">
        <v>1</v>
      </c>
      <c r="AJ47" s="171">
        <v>0</v>
      </c>
      <c r="AK47" s="171">
        <v>1</v>
      </c>
      <c r="AL47" s="171">
        <v>0</v>
      </c>
      <c r="AM47" s="171">
        <v>1</v>
      </c>
      <c r="AN47" s="171">
        <v>1</v>
      </c>
      <c r="AO47" s="171">
        <v>1</v>
      </c>
      <c r="AP47" s="171">
        <v>1</v>
      </c>
      <c r="AQ47" s="171">
        <v>1</v>
      </c>
      <c r="AR47" s="171">
        <v>1</v>
      </c>
      <c r="AS47" s="171">
        <v>1</v>
      </c>
      <c r="AT47" s="171">
        <v>1</v>
      </c>
      <c r="AU47" s="171">
        <f t="shared" si="2"/>
        <v>1</v>
      </c>
      <c r="AV47" s="171">
        <f t="shared" si="3"/>
        <v>0</v>
      </c>
      <c r="AW47" s="171">
        <f t="shared" si="4"/>
        <v>1</v>
      </c>
      <c r="AX47" s="171">
        <f t="shared" si="5"/>
        <v>1</v>
      </c>
      <c r="AY47" s="171">
        <f t="shared" si="6"/>
        <v>0</v>
      </c>
      <c r="AZ47" s="171">
        <f t="shared" si="7"/>
        <v>1</v>
      </c>
      <c r="BA47" s="172">
        <f t="shared" si="8"/>
        <v>0</v>
      </c>
      <c r="BB47" s="175">
        <f t="shared" si="17"/>
        <v>16</v>
      </c>
      <c r="BC47" s="176">
        <f t="shared" si="18"/>
        <v>16</v>
      </c>
      <c r="BD47" s="176">
        <f t="shared" si="19"/>
        <v>16</v>
      </c>
      <c r="BE47" s="240" t="str">
        <f t="shared" si="12"/>
        <v/>
      </c>
      <c r="BH47" s="198">
        <f>IF(AND(Input_Product=Elig!$C47,Elig_MatchAll_Ct&lt;22,$BC47=(Elig_MatchAll_Ct-1),AF47=0),C47,0)</f>
        <v>0</v>
      </c>
      <c r="BI47" s="199">
        <f>IF(AND(Input_Product=Elig!$C47,Elig_MatchAll_Ct&lt;22,$BC47=(Elig_MatchAll_Ct-1),AG47=0),D47,0)</f>
        <v>0</v>
      </c>
      <c r="BJ47" s="199">
        <f>IF(AND(Input_Product=Elig!$C47,Elig_MatchAll_Ct&lt;22,$BC47=(Elig_MatchAll_Ct-1),AH47=0),E47,0)</f>
        <v>0</v>
      </c>
      <c r="BK47" s="199">
        <f>IF(AND(Input_Product=Elig!$C47,Elig_MatchAll_Ct&lt;22,$BC47=(Elig_MatchAll_Ct-1),AI47=0),F47,0)</f>
        <v>0</v>
      </c>
      <c r="BL47" s="199">
        <f>IF(AND(Input_Product=Elig!$C47,Elig_MatchAll_Ct&lt;22,$BC47=(Elig_MatchAll_Ct-1),AJ47=0),G47,0)</f>
        <v>0</v>
      </c>
      <c r="BM47" s="199">
        <f>IF(AND(Input_Product=Elig!$C47,Elig_MatchAll_Ct&lt;22,$BC47=(Elig_MatchAll_Ct-1),AK47=0),H47,0)</f>
        <v>0</v>
      </c>
      <c r="BN47" s="199">
        <f>IF(AND(Input_Product=Elig!$C47,Elig_MatchAll_Ct&lt;22,$BC47=(Elig_MatchAll_Ct-1),AL47=0),I47,0)</f>
        <v>0</v>
      </c>
      <c r="BO47" s="199">
        <f>IF(AND(Input_Product=Elig!$C47,Elig_MatchAll_Ct&lt;22,$BC47=(Elig_MatchAll_Ct-1),AM47=0),J47,0)</f>
        <v>0</v>
      </c>
      <c r="BP47" s="199">
        <f>IF(AND(Input_Product=Elig!$C47,Elig_MatchAll_Ct&lt;22,$BC47=(Elig_MatchAll_Ct-1),AN47=0),K47,0)</f>
        <v>0</v>
      </c>
      <c r="BQ47" s="199">
        <f>IF(AND(Input_Product=Elig!$C47,Elig_MatchAll_Ct&lt;22,$BC47=(Elig_MatchAll_Ct-1),AP47=0),L47,0)</f>
        <v>0</v>
      </c>
      <c r="BR47" s="199">
        <f>IF(AND(Input_Product=Elig!$C47,Elig_MatchAll_Ct&lt;22,$BC47=(Elig_MatchAll_Ct-1),AO47=0),M47,0)</f>
        <v>0</v>
      </c>
      <c r="BS47" s="199">
        <f>IF(AND(Input_Product=Elig!$C47,Elig_MatchAll_Ct&lt;22,$BC47=(Elig_MatchAll_Ct-1),AQ47=0),N47,0)</f>
        <v>0</v>
      </c>
      <c r="BT47" s="199">
        <f>IF(AND(Input_Product=Elig!$C47,Elig_MatchAll_Ct&lt;22,$BC47=(Elig_MatchAll_Ct-1),AR47=0),O47,0)</f>
        <v>0</v>
      </c>
      <c r="BU47" s="199">
        <f>IF(AND(Input_Product=Elig!$C47,Elig_MatchAll_Ct&lt;22,$BC47=(Elig_MatchAll_Ct-1),AS47=0),P47,0)</f>
        <v>0</v>
      </c>
      <c r="BV47" s="200">
        <f>IF(AND(Input_Product=Elig!$C47,Elig_MatchAll_Ct&lt;22,$BC47=(Elig_MatchAll_Ct-1),AT47=0),Q47,0)</f>
        <v>0</v>
      </c>
      <c r="BW47" s="201">
        <f>IF(AND(Input_Product=Elig!$C47,Elig_MatchAll_Ct&lt;22,$BC47=(Elig_MatchAll_Ct-1),AU47=0),R47,0)</f>
        <v>0</v>
      </c>
      <c r="BX47" s="202">
        <f>IF(AND(Input_Product=Elig!$C47,Elig_MatchAll_Ct&lt;22,$BC47=(Elig_MatchAll_Ct-1),AU47=0),S47,0)</f>
        <v>0</v>
      </c>
      <c r="BY47" s="201">
        <f>IF(AND(Input_Product=Elig!$C47,Elig_MatchAll_Ct&lt;22,$BC47=(Elig_MatchAll_Ct-1),AV47=0),T47,0)</f>
        <v>0</v>
      </c>
      <c r="BZ47" s="202">
        <f>IF(AND(Input_Product=Elig!$C47,Elig_MatchAll_Ct&lt;22,$BC47=(Elig_MatchAll_Ct-1),AV47=0),U47,0)</f>
        <v>0</v>
      </c>
      <c r="CA47" s="201">
        <f>IF(AND(Input_Product=Elig!$C47,Elig_MatchAll_Ct&lt;22,$BC47=(Elig_MatchAll_Ct-1),AW47=0),V47,0)</f>
        <v>0</v>
      </c>
      <c r="CB47" s="202">
        <f>IF(AND(Input_Product=Elig!$C47,Elig_MatchAll_Ct&lt;22,$BC47=(Elig_MatchAll_Ct-1),AW47=0),W47,0)</f>
        <v>0</v>
      </c>
      <c r="CC47" s="201">
        <f>IF(AND(Input_Product=Elig!$C47,Elig_MatchAll_Ct&lt;22,$BC47=(Elig_MatchAll_Ct-1),AX47=0),X47,0)</f>
        <v>0</v>
      </c>
      <c r="CD47" s="202">
        <f>IF(AND(Input_Product=Elig!$C47,Elig_MatchAll_Ct&lt;22,$BC47=(Elig_MatchAll_Ct-1),AX47=0),Y47,0)</f>
        <v>0</v>
      </c>
      <c r="CE47" s="201">
        <f>IF(AND(Input_LTV&lt;=AE47,Input_Product=Elig!$C47,Elig_MatchAll_Ct&lt;22,$BC47=(Elig_MatchAll_Ct-1),AY47=0),Z47,0)</f>
        <v>0</v>
      </c>
      <c r="CF47" s="202">
        <f>IF(AND(Input_LTV&lt;=AE47,Input_Product=Elig!$C47,Elig_MatchAll_Ct&lt;22,$BC47=(Elig_MatchAll_Ct-1),AY47=0),AA47,0)</f>
        <v>0</v>
      </c>
      <c r="CG47" s="201">
        <f>IF(AND(Input_Product=Elig!$C47,Elig_MatchAll_Ct&lt;22,$BC47=(Elig_MatchAll_Ct-1),AZ47=0),AB47,0)</f>
        <v>0</v>
      </c>
      <c r="CH47" s="202">
        <f>IF(AND(Input_Product=Elig!$C47,Elig_MatchAll_Ct&lt;22,$BC47=(Elig_MatchAll_Ct-1),AZ47=0),AC47,0)</f>
        <v>0</v>
      </c>
      <c r="CI47" s="201">
        <f>IF(AND(Input_Product=Elig!$C47,Elig_MatchAll_Ct&lt;22,$BC47=(Elig_MatchAll_Ct-1),BA47=0),AD47,0)</f>
        <v>0</v>
      </c>
      <c r="CJ47" s="203">
        <f>IF(AND(Input_Product=Elig!$C47,Elig_MatchAll_Ct&lt;22,$BC47=(Elig_MatchAll_Ct-1),BA47=0),AE47,0)</f>
        <v>0</v>
      </c>
    </row>
    <row r="48" spans="2:88" ht="10.15" customHeight="1" x14ac:dyDescent="0.25">
      <c r="B48" s="1912" t="s">
        <v>3927</v>
      </c>
      <c r="C48" s="147" t="str">
        <f t="shared" si="1"/>
        <v>NonQM OO</v>
      </c>
      <c r="D48" s="148" t="s">
        <v>3885</v>
      </c>
      <c r="E48" s="148" t="s">
        <v>167</v>
      </c>
      <c r="F48" s="148" t="s">
        <v>331</v>
      </c>
      <c r="G48" s="135" t="s">
        <v>179</v>
      </c>
      <c r="H48" s="148" t="s">
        <v>136</v>
      </c>
      <c r="I48" s="149" t="s">
        <v>274</v>
      </c>
      <c r="J48" s="149" t="s">
        <v>1311</v>
      </c>
      <c r="K48" s="149" t="s">
        <v>1631</v>
      </c>
      <c r="L48" s="322" t="s">
        <v>3920</v>
      </c>
      <c r="M48" s="148" t="s">
        <v>4203</v>
      </c>
      <c r="N48" s="148" t="s">
        <v>82</v>
      </c>
      <c r="O48" s="148" t="s">
        <v>310</v>
      </c>
      <c r="P48" s="148" t="s">
        <v>291</v>
      </c>
      <c r="Q48" s="148" t="s">
        <v>294</v>
      </c>
      <c r="R48" s="322">
        <v>100000</v>
      </c>
      <c r="S48" s="148">
        <v>1000000</v>
      </c>
      <c r="T48" s="148">
        <v>0</v>
      </c>
      <c r="U48" s="148">
        <v>0</v>
      </c>
      <c r="V48" s="148">
        <v>0</v>
      </c>
      <c r="W48" s="148">
        <v>55</v>
      </c>
      <c r="X48" s="148">
        <v>0</v>
      </c>
      <c r="Y48" s="148">
        <v>999</v>
      </c>
      <c r="Z48" s="140">
        <v>620</v>
      </c>
      <c r="AA48" s="140">
        <v>639</v>
      </c>
      <c r="AB48" s="140">
        <v>3</v>
      </c>
      <c r="AC48" s="140">
        <v>999999</v>
      </c>
      <c r="AD48" s="139">
        <v>0</v>
      </c>
      <c r="AE48" s="139">
        <v>-999</v>
      </c>
      <c r="AF48" s="170">
        <v>0</v>
      </c>
      <c r="AG48" s="171">
        <v>1</v>
      </c>
      <c r="AH48" s="171">
        <v>1</v>
      </c>
      <c r="AI48" s="171">
        <v>1</v>
      </c>
      <c r="AJ48" s="171">
        <v>0</v>
      </c>
      <c r="AK48" s="171">
        <v>1</v>
      </c>
      <c r="AL48" s="171">
        <v>0</v>
      </c>
      <c r="AM48" s="171">
        <v>1</v>
      </c>
      <c r="AN48" s="171">
        <v>1</v>
      </c>
      <c r="AO48" s="171">
        <v>1</v>
      </c>
      <c r="AP48" s="171">
        <v>1</v>
      </c>
      <c r="AQ48" s="171">
        <v>1</v>
      </c>
      <c r="AR48" s="171">
        <v>1</v>
      </c>
      <c r="AS48" s="171">
        <v>1</v>
      </c>
      <c r="AT48" s="171">
        <v>1</v>
      </c>
      <c r="AU48" s="171">
        <f t="shared" si="2"/>
        <v>1</v>
      </c>
      <c r="AV48" s="171">
        <f t="shared" si="3"/>
        <v>0</v>
      </c>
      <c r="AW48" s="171">
        <f t="shared" si="4"/>
        <v>1</v>
      </c>
      <c r="AX48" s="171">
        <f t="shared" si="5"/>
        <v>1</v>
      </c>
      <c r="AY48" s="171">
        <f t="shared" si="6"/>
        <v>0</v>
      </c>
      <c r="AZ48" s="171">
        <f t="shared" si="7"/>
        <v>1</v>
      </c>
      <c r="BA48" s="172">
        <f t="shared" si="8"/>
        <v>0</v>
      </c>
      <c r="BB48" s="175">
        <f t="shared" si="17"/>
        <v>16</v>
      </c>
      <c r="BC48" s="176">
        <f t="shared" si="18"/>
        <v>16</v>
      </c>
      <c r="BD48" s="176">
        <f t="shared" si="19"/>
        <v>16</v>
      </c>
      <c r="BE48" s="240" t="str">
        <f t="shared" si="12"/>
        <v/>
      </c>
      <c r="BH48" s="204">
        <f>IF(AND(Input_Product=Elig!$C48,Elig_MatchAll_Ct&lt;22,$BC48=(Elig_MatchAll_Ct-1),AF48=0),C48,0)</f>
        <v>0</v>
      </c>
      <c r="BI48" s="205">
        <f>IF(AND(Input_Product=Elig!$C48,Elig_MatchAll_Ct&lt;22,$BC48=(Elig_MatchAll_Ct-1),AG48=0),D48,0)</f>
        <v>0</v>
      </c>
      <c r="BJ48" s="205">
        <f>IF(AND(Input_Product=Elig!$C48,Elig_MatchAll_Ct&lt;22,$BC48=(Elig_MatchAll_Ct-1),AH48=0),E48,0)</f>
        <v>0</v>
      </c>
      <c r="BK48" s="205">
        <f>IF(AND(Input_Product=Elig!$C48,Elig_MatchAll_Ct&lt;22,$BC48=(Elig_MatchAll_Ct-1),AI48=0),F48,0)</f>
        <v>0</v>
      </c>
      <c r="BL48" s="205">
        <f>IF(AND(Input_Product=Elig!$C48,Elig_MatchAll_Ct&lt;22,$BC48=(Elig_MatchAll_Ct-1),AJ48=0),G48,0)</f>
        <v>0</v>
      </c>
      <c r="BM48" s="205">
        <f>IF(AND(Input_Product=Elig!$C48,Elig_MatchAll_Ct&lt;22,$BC48=(Elig_MatchAll_Ct-1),AK48=0),H48,0)</f>
        <v>0</v>
      </c>
      <c r="BN48" s="205">
        <f>IF(AND(Input_Product=Elig!$C48,Elig_MatchAll_Ct&lt;22,$BC48=(Elig_MatchAll_Ct-1),AL48=0),I48,0)</f>
        <v>0</v>
      </c>
      <c r="BO48" s="205">
        <f>IF(AND(Input_Product=Elig!$C48,Elig_MatchAll_Ct&lt;22,$BC48=(Elig_MatchAll_Ct-1),AM48=0),J48,0)</f>
        <v>0</v>
      </c>
      <c r="BP48" s="205">
        <f>IF(AND(Input_Product=Elig!$C48,Elig_MatchAll_Ct&lt;22,$BC48=(Elig_MatchAll_Ct-1),AN48=0),K48,0)</f>
        <v>0</v>
      </c>
      <c r="BQ48" s="205">
        <f>IF(AND(Input_Product=Elig!$C48,Elig_MatchAll_Ct&lt;22,$BC48=(Elig_MatchAll_Ct-1),AP48=0),L48,0)</f>
        <v>0</v>
      </c>
      <c r="BR48" s="205">
        <f>IF(AND(Input_Product=Elig!$C48,Elig_MatchAll_Ct&lt;22,$BC48=(Elig_MatchAll_Ct-1),AO48=0),M48,0)</f>
        <v>0</v>
      </c>
      <c r="BS48" s="205">
        <f>IF(AND(Input_Product=Elig!$C48,Elig_MatchAll_Ct&lt;22,$BC48=(Elig_MatchAll_Ct-1),AQ48=0),N48,0)</f>
        <v>0</v>
      </c>
      <c r="BT48" s="205">
        <f>IF(AND(Input_Product=Elig!$C48,Elig_MatchAll_Ct&lt;22,$BC48=(Elig_MatchAll_Ct-1),AR48=0),O48,0)</f>
        <v>0</v>
      </c>
      <c r="BU48" s="205">
        <f>IF(AND(Input_Product=Elig!$C48,Elig_MatchAll_Ct&lt;22,$BC48=(Elig_MatchAll_Ct-1),AS48=0),P48,0)</f>
        <v>0</v>
      </c>
      <c r="BV48" s="206">
        <f>IF(AND(Input_Product=Elig!$C48,Elig_MatchAll_Ct&lt;22,$BC48=(Elig_MatchAll_Ct-1),AT48=0),Q48,0)</f>
        <v>0</v>
      </c>
      <c r="BW48" s="207">
        <f>IF(AND(Input_Product=Elig!$C48,Elig_MatchAll_Ct&lt;22,$BC48=(Elig_MatchAll_Ct-1),AU48=0),R48,0)</f>
        <v>0</v>
      </c>
      <c r="BX48" s="208">
        <f>IF(AND(Input_Product=Elig!$C48,Elig_MatchAll_Ct&lt;22,$BC48=(Elig_MatchAll_Ct-1),AU48=0),S48,0)</f>
        <v>0</v>
      </c>
      <c r="BY48" s="207">
        <f>IF(AND(Input_Product=Elig!$C48,Elig_MatchAll_Ct&lt;22,$BC48=(Elig_MatchAll_Ct-1),AV48=0),T48,0)</f>
        <v>0</v>
      </c>
      <c r="BZ48" s="208">
        <f>IF(AND(Input_Product=Elig!$C48,Elig_MatchAll_Ct&lt;22,$BC48=(Elig_MatchAll_Ct-1),AV48=0),U48,0)</f>
        <v>0</v>
      </c>
      <c r="CA48" s="207">
        <f>IF(AND(Input_Product=Elig!$C48,Elig_MatchAll_Ct&lt;22,$BC48=(Elig_MatchAll_Ct-1),AW48=0),V48,0)</f>
        <v>0</v>
      </c>
      <c r="CB48" s="208">
        <f>IF(AND(Input_Product=Elig!$C48,Elig_MatchAll_Ct&lt;22,$BC48=(Elig_MatchAll_Ct-1),AW48=0),W48,0)</f>
        <v>0</v>
      </c>
      <c r="CC48" s="207">
        <f>IF(AND(Input_Product=Elig!$C48,Elig_MatchAll_Ct&lt;22,$BC48=(Elig_MatchAll_Ct-1),AX48=0),X48,0)</f>
        <v>0</v>
      </c>
      <c r="CD48" s="208">
        <f>IF(AND(Input_Product=Elig!$C48,Elig_MatchAll_Ct&lt;22,$BC48=(Elig_MatchAll_Ct-1),AX48=0),Y48,0)</f>
        <v>0</v>
      </c>
      <c r="CE48" s="207">
        <f>IF(AND(Input_LTV&lt;=AE48,Input_Product=Elig!$C48,Elig_MatchAll_Ct&lt;22,$BC48=(Elig_MatchAll_Ct-1),AY48=0),Z48,0)</f>
        <v>0</v>
      </c>
      <c r="CF48" s="208">
        <f>IF(AND(Input_LTV&lt;=AE48,Input_Product=Elig!$C48,Elig_MatchAll_Ct&lt;22,$BC48=(Elig_MatchAll_Ct-1),AY48=0),AA48,0)</f>
        <v>0</v>
      </c>
      <c r="CG48" s="207">
        <f>IF(AND(Input_Product=Elig!$C48,Elig_MatchAll_Ct&lt;22,$BC48=(Elig_MatchAll_Ct-1),AZ48=0),AB48,0)</f>
        <v>0</v>
      </c>
      <c r="CH48" s="208">
        <f>IF(AND(Input_Product=Elig!$C48,Elig_MatchAll_Ct&lt;22,$BC48=(Elig_MatchAll_Ct-1),AZ48=0),AC48,0)</f>
        <v>0</v>
      </c>
      <c r="CI48" s="207">
        <f>IF(AND(Input_Product=Elig!$C48,Elig_MatchAll_Ct&lt;22,$BC48=(Elig_MatchAll_Ct-1),BA48=0),AD48,0)</f>
        <v>0</v>
      </c>
      <c r="CJ48" s="209">
        <f>IF(AND(Input_Product=Elig!$C48,Elig_MatchAll_Ct&lt;22,$BC48=(Elig_MatchAll_Ct-1),BA48=0),AE48,0)</f>
        <v>0</v>
      </c>
    </row>
    <row r="49" spans="2:88" ht="10.15" customHeight="1" x14ac:dyDescent="0.25">
      <c r="B49" s="1912" t="s">
        <v>803</v>
      </c>
      <c r="C49" s="141" t="str">
        <f t="shared" si="1"/>
        <v>NonQM OO</v>
      </c>
      <c r="D49" s="142" t="s">
        <v>3885</v>
      </c>
      <c r="E49" s="143" t="s">
        <v>167</v>
      </c>
      <c r="F49" s="143" t="s">
        <v>331</v>
      </c>
      <c r="G49" s="143" t="s">
        <v>179</v>
      </c>
      <c r="H49" s="143" t="s">
        <v>136</v>
      </c>
      <c r="I49" s="142" t="s">
        <v>16</v>
      </c>
      <c r="J49" s="142" t="s">
        <v>1311</v>
      </c>
      <c r="K49" s="142" t="s">
        <v>1631</v>
      </c>
      <c r="L49" s="2131" t="s">
        <v>3920</v>
      </c>
      <c r="M49" s="143" t="s">
        <v>4203</v>
      </c>
      <c r="N49" s="143" t="s">
        <v>82</v>
      </c>
      <c r="O49" s="143" t="s">
        <v>310</v>
      </c>
      <c r="P49" s="143" t="s">
        <v>291</v>
      </c>
      <c r="Q49" s="143" t="s">
        <v>294</v>
      </c>
      <c r="R49" s="320">
        <v>100000</v>
      </c>
      <c r="S49" s="142">
        <v>1000000</v>
      </c>
      <c r="T49" s="142">
        <v>0</v>
      </c>
      <c r="U49" s="142">
        <f t="shared" ref="U49:U54" si="22">S49</f>
        <v>1000000</v>
      </c>
      <c r="V49" s="142">
        <v>0</v>
      </c>
      <c r="W49" s="142">
        <v>55</v>
      </c>
      <c r="X49" s="142">
        <v>0</v>
      </c>
      <c r="Y49" s="142">
        <v>999</v>
      </c>
      <c r="Z49" s="144">
        <v>720</v>
      </c>
      <c r="AA49" s="144">
        <v>999</v>
      </c>
      <c r="AB49" s="144">
        <v>3</v>
      </c>
      <c r="AC49" s="144">
        <v>999999</v>
      </c>
      <c r="AD49" s="142">
        <v>0</v>
      </c>
      <c r="AE49" s="320">
        <v>75</v>
      </c>
      <c r="AF49" s="170">
        <v>0</v>
      </c>
      <c r="AG49" s="171">
        <v>1</v>
      </c>
      <c r="AH49" s="171">
        <v>1</v>
      </c>
      <c r="AI49" s="171">
        <v>1</v>
      </c>
      <c r="AJ49" s="171">
        <v>0</v>
      </c>
      <c r="AK49" s="171">
        <v>1</v>
      </c>
      <c r="AL49" s="171">
        <v>1</v>
      </c>
      <c r="AM49" s="171">
        <v>1</v>
      </c>
      <c r="AN49" s="171">
        <v>1</v>
      </c>
      <c r="AO49" s="171">
        <v>1</v>
      </c>
      <c r="AP49" s="171">
        <v>1</v>
      </c>
      <c r="AQ49" s="171">
        <v>1</v>
      </c>
      <c r="AR49" s="171">
        <v>1</v>
      </c>
      <c r="AS49" s="171">
        <v>1</v>
      </c>
      <c r="AT49" s="171">
        <v>1</v>
      </c>
      <c r="AU49" s="171">
        <f t="shared" si="2"/>
        <v>1</v>
      </c>
      <c r="AV49" s="171">
        <f t="shared" si="3"/>
        <v>1</v>
      </c>
      <c r="AW49" s="171">
        <f t="shared" si="4"/>
        <v>1</v>
      </c>
      <c r="AX49" s="171">
        <f t="shared" si="5"/>
        <v>1</v>
      </c>
      <c r="AY49" s="171">
        <f t="shared" si="6"/>
        <v>1</v>
      </c>
      <c r="AZ49" s="171">
        <f t="shared" si="7"/>
        <v>1</v>
      </c>
      <c r="BA49" s="172">
        <f t="shared" si="8"/>
        <v>1</v>
      </c>
      <c r="BB49" s="175">
        <f t="shared" si="17"/>
        <v>20</v>
      </c>
      <c r="BC49" s="176">
        <f t="shared" si="18"/>
        <v>19</v>
      </c>
      <c r="BD49" s="176">
        <f t="shared" si="19"/>
        <v>20</v>
      </c>
      <c r="BE49" s="240" t="str">
        <f t="shared" si="12"/>
        <v/>
      </c>
      <c r="BH49" s="192">
        <f>IF(AND(Input_Product=Elig!$C49,Elig_MatchAll_Ct&lt;22,$BC49=(Elig_MatchAll_Ct-1),AF49=0),C49,0)</f>
        <v>0</v>
      </c>
      <c r="BI49" s="193">
        <f>IF(AND(Input_Product=Elig!$C49,Elig_MatchAll_Ct&lt;22,$BC49=(Elig_MatchAll_Ct-1),AG49=0),D49,0)</f>
        <v>0</v>
      </c>
      <c r="BJ49" s="193">
        <f>IF(AND(Input_Product=Elig!$C49,Elig_MatchAll_Ct&lt;22,$BC49=(Elig_MatchAll_Ct-1),AH49=0),E49,0)</f>
        <v>0</v>
      </c>
      <c r="BK49" s="193">
        <f>IF(AND(Input_Product=Elig!$C49,Elig_MatchAll_Ct&lt;22,$BC49=(Elig_MatchAll_Ct-1),AI49=0),F49,0)</f>
        <v>0</v>
      </c>
      <c r="BL49" s="193">
        <f>IF(AND(Input_Product=Elig!$C49,Elig_MatchAll_Ct&lt;22,$BC49=(Elig_MatchAll_Ct-1),AJ49=0),G49,0)</f>
        <v>0</v>
      </c>
      <c r="BM49" s="193">
        <f>IF(AND(Input_Product=Elig!$C49,Elig_MatchAll_Ct&lt;22,$BC49=(Elig_MatchAll_Ct-1),AK49=0),H49,0)</f>
        <v>0</v>
      </c>
      <c r="BN49" s="193">
        <f>IF(AND(Input_Product=Elig!$C49,Elig_MatchAll_Ct&lt;22,$BC49=(Elig_MatchAll_Ct-1),AL49=0),I49,0)</f>
        <v>0</v>
      </c>
      <c r="BO49" s="193">
        <f>IF(AND(Input_Product=Elig!$C49,Elig_MatchAll_Ct&lt;22,$BC49=(Elig_MatchAll_Ct-1),AM49=0),J49,0)</f>
        <v>0</v>
      </c>
      <c r="BP49" s="193">
        <f>IF(AND(Input_Product=Elig!$C49,Elig_MatchAll_Ct&lt;22,$BC49=(Elig_MatchAll_Ct-1),AN49=0),K49,0)</f>
        <v>0</v>
      </c>
      <c r="BQ49" s="193">
        <f>IF(AND(Input_Product=Elig!$C49,Elig_MatchAll_Ct&lt;22,$BC49=(Elig_MatchAll_Ct-1),AP49=0),L49,0)</f>
        <v>0</v>
      </c>
      <c r="BR49" s="193">
        <f>IF(AND(Input_Product=Elig!$C49,Elig_MatchAll_Ct&lt;22,$BC49=(Elig_MatchAll_Ct-1),AO49=0),M49,0)</f>
        <v>0</v>
      </c>
      <c r="BS49" s="193">
        <f>IF(AND(Input_Product=Elig!$C49,Elig_MatchAll_Ct&lt;22,$BC49=(Elig_MatchAll_Ct-1),AQ49=0),N49,0)</f>
        <v>0</v>
      </c>
      <c r="BT49" s="193">
        <f>IF(AND(Input_Product=Elig!$C49,Elig_MatchAll_Ct&lt;22,$BC49=(Elig_MatchAll_Ct-1),AR49=0),O49,0)</f>
        <v>0</v>
      </c>
      <c r="BU49" s="193">
        <f>IF(AND(Input_Product=Elig!$C49,Elig_MatchAll_Ct&lt;22,$BC49=(Elig_MatchAll_Ct-1),AS49=0),P49,0)</f>
        <v>0</v>
      </c>
      <c r="BV49" s="194">
        <f>IF(AND(Input_Product=Elig!$C49,Elig_MatchAll_Ct&lt;22,$BC49=(Elig_MatchAll_Ct-1),AT49=0),Q49,0)</f>
        <v>0</v>
      </c>
      <c r="BW49" s="195">
        <f>IF(AND(Input_Product=Elig!$C49,Elig_MatchAll_Ct&lt;22,$BC49=(Elig_MatchAll_Ct-1),AU49=0),R49,0)</f>
        <v>0</v>
      </c>
      <c r="BX49" s="196">
        <f>IF(AND(Input_Product=Elig!$C49,Elig_MatchAll_Ct&lt;22,$BC49=(Elig_MatchAll_Ct-1),AU49=0),S49,0)</f>
        <v>0</v>
      </c>
      <c r="BY49" s="195">
        <f>IF(AND(Input_Product=Elig!$C49,Elig_MatchAll_Ct&lt;22,$BC49=(Elig_MatchAll_Ct-1),AV49=0),T49,0)</f>
        <v>0</v>
      </c>
      <c r="BZ49" s="196">
        <f>IF(AND(Input_Product=Elig!$C49,Elig_MatchAll_Ct&lt;22,$BC49=(Elig_MatchAll_Ct-1),AV49=0),U49,0)</f>
        <v>0</v>
      </c>
      <c r="CA49" s="195">
        <f>IF(AND(Input_Product=Elig!$C49,Elig_MatchAll_Ct&lt;22,$BC49=(Elig_MatchAll_Ct-1),AW49=0),V49,0)</f>
        <v>0</v>
      </c>
      <c r="CB49" s="196">
        <f>IF(AND(Input_Product=Elig!$C49,Elig_MatchAll_Ct&lt;22,$BC49=(Elig_MatchAll_Ct-1),AW49=0),W49,0)</f>
        <v>0</v>
      </c>
      <c r="CC49" s="195">
        <f>IF(AND(Input_Product=Elig!$C49,Elig_MatchAll_Ct&lt;22,$BC49=(Elig_MatchAll_Ct-1),AX49=0),X49,0)</f>
        <v>0</v>
      </c>
      <c r="CD49" s="196">
        <f>IF(AND(Input_Product=Elig!$C49,Elig_MatchAll_Ct&lt;22,$BC49=(Elig_MatchAll_Ct-1),AX49=0),Y49,0)</f>
        <v>0</v>
      </c>
      <c r="CE49" s="195">
        <f>IF(AND(Input_LTV&lt;=AE49,Input_Product=Elig!$C49,Elig_MatchAll_Ct&lt;22,$BC49=(Elig_MatchAll_Ct-1),AY49=0),Z49,0)</f>
        <v>0</v>
      </c>
      <c r="CF49" s="196">
        <f>IF(AND(Input_LTV&lt;=AE49,Input_Product=Elig!$C49,Elig_MatchAll_Ct&lt;22,$BC49=(Elig_MatchAll_Ct-1),AY49=0),AA49,0)</f>
        <v>0</v>
      </c>
      <c r="CG49" s="195">
        <f>IF(AND(Input_Product=Elig!$C49,Elig_MatchAll_Ct&lt;22,$BC49=(Elig_MatchAll_Ct-1),AZ49=0),AB49,0)</f>
        <v>0</v>
      </c>
      <c r="CH49" s="196">
        <f>IF(AND(Input_Product=Elig!$C49,Elig_MatchAll_Ct&lt;22,$BC49=(Elig_MatchAll_Ct-1),AZ49=0),AC49,0)</f>
        <v>0</v>
      </c>
      <c r="CI49" s="195">
        <f>IF(AND(Input_Product=Elig!$C49,Elig_MatchAll_Ct&lt;22,$BC49=(Elig_MatchAll_Ct-1),BA49=0),AD49,0)</f>
        <v>0</v>
      </c>
      <c r="CJ49" s="197">
        <f>IF(AND(Input_Product=Elig!$C49,Elig_MatchAll_Ct&lt;22,$BC49=(Elig_MatchAll_Ct-1),BA49=0),AE49,0)</f>
        <v>0</v>
      </c>
    </row>
    <row r="50" spans="2:88" ht="10.15" customHeight="1" x14ac:dyDescent="0.25">
      <c r="B50" s="1912" t="s">
        <v>804</v>
      </c>
      <c r="C50" s="134" t="str">
        <f t="shared" si="1"/>
        <v>NonQM OO</v>
      </c>
      <c r="D50" s="135" t="s">
        <v>3885</v>
      </c>
      <c r="E50" s="135" t="s">
        <v>167</v>
      </c>
      <c r="F50" s="135" t="s">
        <v>331</v>
      </c>
      <c r="G50" s="135" t="s">
        <v>179</v>
      </c>
      <c r="H50" s="135" t="s">
        <v>136</v>
      </c>
      <c r="I50" s="136" t="s">
        <v>16</v>
      </c>
      <c r="J50" s="136" t="s">
        <v>1311</v>
      </c>
      <c r="K50" s="136" t="s">
        <v>1631</v>
      </c>
      <c r="L50" s="221" t="s">
        <v>3920</v>
      </c>
      <c r="M50" s="135" t="s">
        <v>4203</v>
      </c>
      <c r="N50" s="135" t="s">
        <v>82</v>
      </c>
      <c r="O50" s="135" t="s">
        <v>310</v>
      </c>
      <c r="P50" s="135" t="s">
        <v>291</v>
      </c>
      <c r="Q50" s="135" t="s">
        <v>294</v>
      </c>
      <c r="R50" s="221">
        <v>100000</v>
      </c>
      <c r="S50" s="135">
        <v>1000000</v>
      </c>
      <c r="T50" s="135">
        <v>0</v>
      </c>
      <c r="U50" s="135">
        <f t="shared" si="22"/>
        <v>1000000</v>
      </c>
      <c r="V50" s="135">
        <v>0</v>
      </c>
      <c r="W50" s="135">
        <v>55</v>
      </c>
      <c r="X50" s="135">
        <v>0</v>
      </c>
      <c r="Y50" s="135">
        <v>999</v>
      </c>
      <c r="Z50" s="137">
        <v>700</v>
      </c>
      <c r="AA50" s="137">
        <v>719</v>
      </c>
      <c r="AB50" s="137">
        <v>3</v>
      </c>
      <c r="AC50" s="137">
        <v>999999</v>
      </c>
      <c r="AD50" s="135">
        <v>0</v>
      </c>
      <c r="AE50" s="221">
        <v>75</v>
      </c>
      <c r="AF50" s="170">
        <v>0</v>
      </c>
      <c r="AG50" s="171">
        <v>1</v>
      </c>
      <c r="AH50" s="171">
        <v>1</v>
      </c>
      <c r="AI50" s="171">
        <v>1</v>
      </c>
      <c r="AJ50" s="171">
        <v>0</v>
      </c>
      <c r="AK50" s="171">
        <v>1</v>
      </c>
      <c r="AL50" s="171">
        <v>1</v>
      </c>
      <c r="AM50" s="171">
        <v>1</v>
      </c>
      <c r="AN50" s="171">
        <v>1</v>
      </c>
      <c r="AO50" s="171">
        <v>1</v>
      </c>
      <c r="AP50" s="171">
        <v>1</v>
      </c>
      <c r="AQ50" s="171">
        <v>1</v>
      </c>
      <c r="AR50" s="171">
        <v>1</v>
      </c>
      <c r="AS50" s="171">
        <v>1</v>
      </c>
      <c r="AT50" s="171">
        <v>1</v>
      </c>
      <c r="AU50" s="171">
        <f t="shared" si="2"/>
        <v>1</v>
      </c>
      <c r="AV50" s="171">
        <f t="shared" si="3"/>
        <v>1</v>
      </c>
      <c r="AW50" s="171">
        <f t="shared" si="4"/>
        <v>1</v>
      </c>
      <c r="AX50" s="171">
        <f t="shared" si="5"/>
        <v>1</v>
      </c>
      <c r="AY50" s="171">
        <f t="shared" si="6"/>
        <v>0</v>
      </c>
      <c r="AZ50" s="171">
        <f t="shared" si="7"/>
        <v>1</v>
      </c>
      <c r="BA50" s="172">
        <f t="shared" si="8"/>
        <v>1</v>
      </c>
      <c r="BB50" s="175">
        <f t="shared" si="17"/>
        <v>19</v>
      </c>
      <c r="BC50" s="176">
        <f t="shared" si="18"/>
        <v>18</v>
      </c>
      <c r="BD50" s="176">
        <f t="shared" si="19"/>
        <v>19</v>
      </c>
      <c r="BE50" s="240" t="str">
        <f t="shared" si="12"/>
        <v/>
      </c>
      <c r="BH50" s="198">
        <f>IF(AND(Input_Product=Elig!$C50,Elig_MatchAll_Ct&lt;22,$BC50=(Elig_MatchAll_Ct-1),AF50=0),C50,0)</f>
        <v>0</v>
      </c>
      <c r="BI50" s="199">
        <f>IF(AND(Input_Product=Elig!$C50,Elig_MatchAll_Ct&lt;22,$BC50=(Elig_MatchAll_Ct-1),AG50=0),D50,0)</f>
        <v>0</v>
      </c>
      <c r="BJ50" s="199">
        <f>IF(AND(Input_Product=Elig!$C50,Elig_MatchAll_Ct&lt;22,$BC50=(Elig_MatchAll_Ct-1),AH50=0),E50,0)</f>
        <v>0</v>
      </c>
      <c r="BK50" s="199">
        <f>IF(AND(Input_Product=Elig!$C50,Elig_MatchAll_Ct&lt;22,$BC50=(Elig_MatchAll_Ct-1),AI50=0),F50,0)</f>
        <v>0</v>
      </c>
      <c r="BL50" s="199">
        <f>IF(AND(Input_Product=Elig!$C50,Elig_MatchAll_Ct&lt;22,$BC50=(Elig_MatchAll_Ct-1),AJ50=0),G50,0)</f>
        <v>0</v>
      </c>
      <c r="BM50" s="199">
        <f>IF(AND(Input_Product=Elig!$C50,Elig_MatchAll_Ct&lt;22,$BC50=(Elig_MatchAll_Ct-1),AK50=0),H50,0)</f>
        <v>0</v>
      </c>
      <c r="BN50" s="199">
        <f>IF(AND(Input_Product=Elig!$C50,Elig_MatchAll_Ct&lt;22,$BC50=(Elig_MatchAll_Ct-1),AL50=0),I50,0)</f>
        <v>0</v>
      </c>
      <c r="BO50" s="199">
        <f>IF(AND(Input_Product=Elig!$C50,Elig_MatchAll_Ct&lt;22,$BC50=(Elig_MatchAll_Ct-1),AM50=0),J50,0)</f>
        <v>0</v>
      </c>
      <c r="BP50" s="199">
        <f>IF(AND(Input_Product=Elig!$C50,Elig_MatchAll_Ct&lt;22,$BC50=(Elig_MatchAll_Ct-1),AN50=0),K50,0)</f>
        <v>0</v>
      </c>
      <c r="BQ50" s="199">
        <f>IF(AND(Input_Product=Elig!$C50,Elig_MatchAll_Ct&lt;22,$BC50=(Elig_MatchAll_Ct-1),AP50=0),L50,0)</f>
        <v>0</v>
      </c>
      <c r="BR50" s="199">
        <f>IF(AND(Input_Product=Elig!$C50,Elig_MatchAll_Ct&lt;22,$BC50=(Elig_MatchAll_Ct-1),AO50=0),M50,0)</f>
        <v>0</v>
      </c>
      <c r="BS50" s="199">
        <f>IF(AND(Input_Product=Elig!$C50,Elig_MatchAll_Ct&lt;22,$BC50=(Elig_MatchAll_Ct-1),AQ50=0),N50,0)</f>
        <v>0</v>
      </c>
      <c r="BT50" s="199">
        <f>IF(AND(Input_Product=Elig!$C50,Elig_MatchAll_Ct&lt;22,$BC50=(Elig_MatchAll_Ct-1),AR50=0),O50,0)</f>
        <v>0</v>
      </c>
      <c r="BU50" s="199">
        <f>IF(AND(Input_Product=Elig!$C50,Elig_MatchAll_Ct&lt;22,$BC50=(Elig_MatchAll_Ct-1),AS50=0),P50,0)</f>
        <v>0</v>
      </c>
      <c r="BV50" s="200">
        <f>IF(AND(Input_Product=Elig!$C50,Elig_MatchAll_Ct&lt;22,$BC50=(Elig_MatchAll_Ct-1),AT50=0),Q50,0)</f>
        <v>0</v>
      </c>
      <c r="BW50" s="201">
        <f>IF(AND(Input_Product=Elig!$C50,Elig_MatchAll_Ct&lt;22,$BC50=(Elig_MatchAll_Ct-1),AU50=0),R50,0)</f>
        <v>0</v>
      </c>
      <c r="BX50" s="202">
        <f>IF(AND(Input_Product=Elig!$C50,Elig_MatchAll_Ct&lt;22,$BC50=(Elig_MatchAll_Ct-1),AU50=0),S50,0)</f>
        <v>0</v>
      </c>
      <c r="BY50" s="201">
        <f>IF(AND(Input_Product=Elig!$C50,Elig_MatchAll_Ct&lt;22,$BC50=(Elig_MatchAll_Ct-1),AV50=0),T50,0)</f>
        <v>0</v>
      </c>
      <c r="BZ50" s="202">
        <f>IF(AND(Input_Product=Elig!$C50,Elig_MatchAll_Ct&lt;22,$BC50=(Elig_MatchAll_Ct-1),AV50=0),U50,0)</f>
        <v>0</v>
      </c>
      <c r="CA50" s="201">
        <f>IF(AND(Input_Product=Elig!$C50,Elig_MatchAll_Ct&lt;22,$BC50=(Elig_MatchAll_Ct-1),AW50=0),V50,0)</f>
        <v>0</v>
      </c>
      <c r="CB50" s="202">
        <f>IF(AND(Input_Product=Elig!$C50,Elig_MatchAll_Ct&lt;22,$BC50=(Elig_MatchAll_Ct-1),AW50=0),W50,0)</f>
        <v>0</v>
      </c>
      <c r="CC50" s="201">
        <f>IF(AND(Input_Product=Elig!$C50,Elig_MatchAll_Ct&lt;22,$BC50=(Elig_MatchAll_Ct-1),AX50=0),X50,0)</f>
        <v>0</v>
      </c>
      <c r="CD50" s="202">
        <f>IF(AND(Input_Product=Elig!$C50,Elig_MatchAll_Ct&lt;22,$BC50=(Elig_MatchAll_Ct-1),AX50=0),Y50,0)</f>
        <v>0</v>
      </c>
      <c r="CE50" s="201">
        <f>IF(AND(Input_LTV&lt;=AE50,Input_Product=Elig!$C50,Elig_MatchAll_Ct&lt;22,$BC50=(Elig_MatchAll_Ct-1),AY50=0),Z50,0)</f>
        <v>0</v>
      </c>
      <c r="CF50" s="202">
        <f>IF(AND(Input_LTV&lt;=AE50,Input_Product=Elig!$C50,Elig_MatchAll_Ct&lt;22,$BC50=(Elig_MatchAll_Ct-1),AY50=0),AA50,0)</f>
        <v>0</v>
      </c>
      <c r="CG50" s="201">
        <f>IF(AND(Input_Product=Elig!$C50,Elig_MatchAll_Ct&lt;22,$BC50=(Elig_MatchAll_Ct-1),AZ50=0),AB50,0)</f>
        <v>0</v>
      </c>
      <c r="CH50" s="202">
        <f>IF(AND(Input_Product=Elig!$C50,Elig_MatchAll_Ct&lt;22,$BC50=(Elig_MatchAll_Ct-1),AZ50=0),AC50,0)</f>
        <v>0</v>
      </c>
      <c r="CI50" s="201">
        <f>IF(AND(Input_Product=Elig!$C50,Elig_MatchAll_Ct&lt;22,$BC50=(Elig_MatchAll_Ct-1),BA50=0),AD50,0)</f>
        <v>0</v>
      </c>
      <c r="CJ50" s="203">
        <f>IF(AND(Input_Product=Elig!$C50,Elig_MatchAll_Ct&lt;22,$BC50=(Elig_MatchAll_Ct-1),BA50=0),AE50,0)</f>
        <v>0</v>
      </c>
    </row>
    <row r="51" spans="2:88" ht="10.15" customHeight="1" x14ac:dyDescent="0.25">
      <c r="B51" s="1912" t="s">
        <v>805</v>
      </c>
      <c r="C51" s="134" t="str">
        <f t="shared" si="1"/>
        <v>NonQM OO</v>
      </c>
      <c r="D51" s="135" t="s">
        <v>3885</v>
      </c>
      <c r="E51" s="135" t="s">
        <v>167</v>
      </c>
      <c r="F51" s="135" t="s">
        <v>331</v>
      </c>
      <c r="G51" s="135" t="s">
        <v>179</v>
      </c>
      <c r="H51" s="135" t="s">
        <v>136</v>
      </c>
      <c r="I51" s="136" t="s">
        <v>16</v>
      </c>
      <c r="J51" s="136" t="s">
        <v>1311</v>
      </c>
      <c r="K51" s="136" t="s">
        <v>1631</v>
      </c>
      <c r="L51" s="221" t="s">
        <v>3920</v>
      </c>
      <c r="M51" s="135" t="s">
        <v>4203</v>
      </c>
      <c r="N51" s="135" t="s">
        <v>82</v>
      </c>
      <c r="O51" s="135" t="s">
        <v>310</v>
      </c>
      <c r="P51" s="135" t="s">
        <v>291</v>
      </c>
      <c r="Q51" s="135" t="s">
        <v>294</v>
      </c>
      <c r="R51" s="221">
        <v>100000</v>
      </c>
      <c r="S51" s="135">
        <v>1000000</v>
      </c>
      <c r="T51" s="135">
        <v>0</v>
      </c>
      <c r="U51" s="135">
        <f t="shared" si="22"/>
        <v>1000000</v>
      </c>
      <c r="V51" s="135">
        <v>0</v>
      </c>
      <c r="W51" s="135">
        <v>55</v>
      </c>
      <c r="X51" s="135">
        <v>0</v>
      </c>
      <c r="Y51" s="135">
        <v>999</v>
      </c>
      <c r="Z51" s="137">
        <v>680</v>
      </c>
      <c r="AA51" s="137">
        <v>699</v>
      </c>
      <c r="AB51" s="137">
        <v>3</v>
      </c>
      <c r="AC51" s="137">
        <v>999999</v>
      </c>
      <c r="AD51" s="135">
        <v>0</v>
      </c>
      <c r="AE51" s="135">
        <v>70</v>
      </c>
      <c r="AF51" s="170">
        <v>0</v>
      </c>
      <c r="AG51" s="171">
        <v>1</v>
      </c>
      <c r="AH51" s="171">
        <v>1</v>
      </c>
      <c r="AI51" s="171">
        <v>1</v>
      </c>
      <c r="AJ51" s="171">
        <v>0</v>
      </c>
      <c r="AK51" s="171">
        <v>1</v>
      </c>
      <c r="AL51" s="171">
        <v>1</v>
      </c>
      <c r="AM51" s="171">
        <v>1</v>
      </c>
      <c r="AN51" s="171">
        <v>1</v>
      </c>
      <c r="AO51" s="171">
        <v>1</v>
      </c>
      <c r="AP51" s="171">
        <v>1</v>
      </c>
      <c r="AQ51" s="171">
        <v>1</v>
      </c>
      <c r="AR51" s="171">
        <v>1</v>
      </c>
      <c r="AS51" s="171">
        <v>1</v>
      </c>
      <c r="AT51" s="171">
        <v>1</v>
      </c>
      <c r="AU51" s="171">
        <f t="shared" si="2"/>
        <v>1</v>
      </c>
      <c r="AV51" s="171">
        <f t="shared" si="3"/>
        <v>1</v>
      </c>
      <c r="AW51" s="171">
        <f t="shared" si="4"/>
        <v>1</v>
      </c>
      <c r="AX51" s="171">
        <f t="shared" si="5"/>
        <v>1</v>
      </c>
      <c r="AY51" s="171">
        <f t="shared" si="6"/>
        <v>0</v>
      </c>
      <c r="AZ51" s="171">
        <f t="shared" si="7"/>
        <v>1</v>
      </c>
      <c r="BA51" s="172">
        <f t="shared" si="8"/>
        <v>1</v>
      </c>
      <c r="BB51" s="175">
        <f t="shared" si="17"/>
        <v>19</v>
      </c>
      <c r="BC51" s="176">
        <f t="shared" si="18"/>
        <v>18</v>
      </c>
      <c r="BD51" s="176">
        <f t="shared" si="19"/>
        <v>19</v>
      </c>
      <c r="BE51" s="240" t="str">
        <f t="shared" si="12"/>
        <v/>
      </c>
      <c r="BH51" s="198">
        <f>IF(AND(Input_Product=Elig!$C51,Elig_MatchAll_Ct&lt;22,$BC51=(Elig_MatchAll_Ct-1),AF51=0),C51,0)</f>
        <v>0</v>
      </c>
      <c r="BI51" s="199">
        <f>IF(AND(Input_Product=Elig!$C51,Elig_MatchAll_Ct&lt;22,$BC51=(Elig_MatchAll_Ct-1),AG51=0),D51,0)</f>
        <v>0</v>
      </c>
      <c r="BJ51" s="199">
        <f>IF(AND(Input_Product=Elig!$C51,Elig_MatchAll_Ct&lt;22,$BC51=(Elig_MatchAll_Ct-1),AH51=0),E51,0)</f>
        <v>0</v>
      </c>
      <c r="BK51" s="199">
        <f>IF(AND(Input_Product=Elig!$C51,Elig_MatchAll_Ct&lt;22,$BC51=(Elig_MatchAll_Ct-1),AI51=0),F51,0)</f>
        <v>0</v>
      </c>
      <c r="BL51" s="199">
        <f>IF(AND(Input_Product=Elig!$C51,Elig_MatchAll_Ct&lt;22,$BC51=(Elig_MatchAll_Ct-1),AJ51=0),G51,0)</f>
        <v>0</v>
      </c>
      <c r="BM51" s="199">
        <f>IF(AND(Input_Product=Elig!$C51,Elig_MatchAll_Ct&lt;22,$BC51=(Elig_MatchAll_Ct-1),AK51=0),H51,0)</f>
        <v>0</v>
      </c>
      <c r="BN51" s="199">
        <f>IF(AND(Input_Product=Elig!$C51,Elig_MatchAll_Ct&lt;22,$BC51=(Elig_MatchAll_Ct-1),AL51=0),I51,0)</f>
        <v>0</v>
      </c>
      <c r="BO51" s="199">
        <f>IF(AND(Input_Product=Elig!$C51,Elig_MatchAll_Ct&lt;22,$BC51=(Elig_MatchAll_Ct-1),AM51=0),J51,0)</f>
        <v>0</v>
      </c>
      <c r="BP51" s="199">
        <f>IF(AND(Input_Product=Elig!$C51,Elig_MatchAll_Ct&lt;22,$BC51=(Elig_MatchAll_Ct-1),AN51=0),K51,0)</f>
        <v>0</v>
      </c>
      <c r="BQ51" s="199">
        <f>IF(AND(Input_Product=Elig!$C51,Elig_MatchAll_Ct&lt;22,$BC51=(Elig_MatchAll_Ct-1),AP51=0),L51,0)</f>
        <v>0</v>
      </c>
      <c r="BR51" s="199">
        <f>IF(AND(Input_Product=Elig!$C51,Elig_MatchAll_Ct&lt;22,$BC51=(Elig_MatchAll_Ct-1),AO51=0),M51,0)</f>
        <v>0</v>
      </c>
      <c r="BS51" s="199">
        <f>IF(AND(Input_Product=Elig!$C51,Elig_MatchAll_Ct&lt;22,$BC51=(Elig_MatchAll_Ct-1),AQ51=0),N51,0)</f>
        <v>0</v>
      </c>
      <c r="BT51" s="199">
        <f>IF(AND(Input_Product=Elig!$C51,Elig_MatchAll_Ct&lt;22,$BC51=(Elig_MatchAll_Ct-1),AR51=0),O51,0)</f>
        <v>0</v>
      </c>
      <c r="BU51" s="199">
        <f>IF(AND(Input_Product=Elig!$C51,Elig_MatchAll_Ct&lt;22,$BC51=(Elig_MatchAll_Ct-1),AS51=0),P51,0)</f>
        <v>0</v>
      </c>
      <c r="BV51" s="200">
        <f>IF(AND(Input_Product=Elig!$C51,Elig_MatchAll_Ct&lt;22,$BC51=(Elig_MatchAll_Ct-1),AT51=0),Q51,0)</f>
        <v>0</v>
      </c>
      <c r="BW51" s="201">
        <f>IF(AND(Input_Product=Elig!$C51,Elig_MatchAll_Ct&lt;22,$BC51=(Elig_MatchAll_Ct-1),AU51=0),R51,0)</f>
        <v>0</v>
      </c>
      <c r="BX51" s="202">
        <f>IF(AND(Input_Product=Elig!$C51,Elig_MatchAll_Ct&lt;22,$BC51=(Elig_MatchAll_Ct-1),AU51=0),S51,0)</f>
        <v>0</v>
      </c>
      <c r="BY51" s="201">
        <f>IF(AND(Input_Product=Elig!$C51,Elig_MatchAll_Ct&lt;22,$BC51=(Elig_MatchAll_Ct-1),AV51=0),T51,0)</f>
        <v>0</v>
      </c>
      <c r="BZ51" s="202">
        <f>IF(AND(Input_Product=Elig!$C51,Elig_MatchAll_Ct&lt;22,$BC51=(Elig_MatchAll_Ct-1),AV51=0),U51,0)</f>
        <v>0</v>
      </c>
      <c r="CA51" s="201">
        <f>IF(AND(Input_Product=Elig!$C51,Elig_MatchAll_Ct&lt;22,$BC51=(Elig_MatchAll_Ct-1),AW51=0),V51,0)</f>
        <v>0</v>
      </c>
      <c r="CB51" s="202">
        <f>IF(AND(Input_Product=Elig!$C51,Elig_MatchAll_Ct&lt;22,$BC51=(Elig_MatchAll_Ct-1),AW51=0),W51,0)</f>
        <v>0</v>
      </c>
      <c r="CC51" s="201">
        <f>IF(AND(Input_Product=Elig!$C51,Elig_MatchAll_Ct&lt;22,$BC51=(Elig_MatchAll_Ct-1),AX51=0),X51,0)</f>
        <v>0</v>
      </c>
      <c r="CD51" s="202">
        <f>IF(AND(Input_Product=Elig!$C51,Elig_MatchAll_Ct&lt;22,$BC51=(Elig_MatchAll_Ct-1),AX51=0),Y51,0)</f>
        <v>0</v>
      </c>
      <c r="CE51" s="201">
        <f>IF(AND(Input_LTV&lt;=AE51,Input_Product=Elig!$C51,Elig_MatchAll_Ct&lt;22,$BC51=(Elig_MatchAll_Ct-1),AY51=0),Z51,0)</f>
        <v>0</v>
      </c>
      <c r="CF51" s="202">
        <f>IF(AND(Input_LTV&lt;=AE51,Input_Product=Elig!$C51,Elig_MatchAll_Ct&lt;22,$BC51=(Elig_MatchAll_Ct-1),AY51=0),AA51,0)</f>
        <v>0</v>
      </c>
      <c r="CG51" s="201">
        <f>IF(AND(Input_Product=Elig!$C51,Elig_MatchAll_Ct&lt;22,$BC51=(Elig_MatchAll_Ct-1),AZ51=0),AB51,0)</f>
        <v>0</v>
      </c>
      <c r="CH51" s="202">
        <f>IF(AND(Input_Product=Elig!$C51,Elig_MatchAll_Ct&lt;22,$BC51=(Elig_MatchAll_Ct-1),AZ51=0),AC51,0)</f>
        <v>0</v>
      </c>
      <c r="CI51" s="201">
        <f>IF(AND(Input_Product=Elig!$C51,Elig_MatchAll_Ct&lt;22,$BC51=(Elig_MatchAll_Ct-1),BA51=0),AD51,0)</f>
        <v>0</v>
      </c>
      <c r="CJ51" s="203">
        <f>IF(AND(Input_Product=Elig!$C51,Elig_MatchAll_Ct&lt;22,$BC51=(Elig_MatchAll_Ct-1),BA51=0),AE51,0)</f>
        <v>0</v>
      </c>
    </row>
    <row r="52" spans="2:88" ht="10.15" customHeight="1" x14ac:dyDescent="0.25">
      <c r="B52" s="1912" t="s">
        <v>806</v>
      </c>
      <c r="C52" s="147" t="str">
        <f t="shared" si="1"/>
        <v>NonQM OO</v>
      </c>
      <c r="D52" s="148" t="s">
        <v>3885</v>
      </c>
      <c r="E52" s="148" t="s">
        <v>167</v>
      </c>
      <c r="F52" s="148" t="s">
        <v>331</v>
      </c>
      <c r="G52" s="135" t="s">
        <v>179</v>
      </c>
      <c r="H52" s="148" t="s">
        <v>136</v>
      </c>
      <c r="I52" s="149" t="s">
        <v>16</v>
      </c>
      <c r="J52" s="149" t="s">
        <v>1311</v>
      </c>
      <c r="K52" s="149" t="s">
        <v>1631</v>
      </c>
      <c r="L52" s="322" t="s">
        <v>3920</v>
      </c>
      <c r="M52" s="148" t="s">
        <v>4203</v>
      </c>
      <c r="N52" s="148" t="s">
        <v>82</v>
      </c>
      <c r="O52" s="148" t="s">
        <v>310</v>
      </c>
      <c r="P52" s="148" t="s">
        <v>291</v>
      </c>
      <c r="Q52" s="148" t="s">
        <v>294</v>
      </c>
      <c r="R52" s="322">
        <v>100000</v>
      </c>
      <c r="S52" s="148">
        <v>1000000</v>
      </c>
      <c r="T52" s="148">
        <v>0</v>
      </c>
      <c r="U52" s="148">
        <f t="shared" si="22"/>
        <v>1000000</v>
      </c>
      <c r="V52" s="148">
        <v>0</v>
      </c>
      <c r="W52" s="148">
        <v>55</v>
      </c>
      <c r="X52" s="148">
        <v>0</v>
      </c>
      <c r="Y52" s="148">
        <v>999</v>
      </c>
      <c r="Z52" s="137">
        <v>660</v>
      </c>
      <c r="AA52" s="137">
        <v>679</v>
      </c>
      <c r="AB52" s="137">
        <v>3</v>
      </c>
      <c r="AC52" s="137">
        <v>999999</v>
      </c>
      <c r="AD52" s="135">
        <v>0</v>
      </c>
      <c r="AE52" s="135">
        <v>70</v>
      </c>
      <c r="AF52" s="170">
        <v>0</v>
      </c>
      <c r="AG52" s="171">
        <v>1</v>
      </c>
      <c r="AH52" s="171">
        <v>1</v>
      </c>
      <c r="AI52" s="171">
        <v>1</v>
      </c>
      <c r="AJ52" s="171">
        <v>0</v>
      </c>
      <c r="AK52" s="171">
        <v>1</v>
      </c>
      <c r="AL52" s="171">
        <v>1</v>
      </c>
      <c r="AM52" s="171">
        <v>1</v>
      </c>
      <c r="AN52" s="171">
        <v>1</v>
      </c>
      <c r="AO52" s="171">
        <v>1</v>
      </c>
      <c r="AP52" s="171">
        <v>1</v>
      </c>
      <c r="AQ52" s="171">
        <v>1</v>
      </c>
      <c r="AR52" s="171">
        <v>1</v>
      </c>
      <c r="AS52" s="171">
        <v>1</v>
      </c>
      <c r="AT52" s="171">
        <v>1</v>
      </c>
      <c r="AU52" s="171">
        <f t="shared" si="2"/>
        <v>1</v>
      </c>
      <c r="AV52" s="171">
        <f t="shared" si="3"/>
        <v>1</v>
      </c>
      <c r="AW52" s="171">
        <f t="shared" si="4"/>
        <v>1</v>
      </c>
      <c r="AX52" s="171">
        <f t="shared" si="5"/>
        <v>1</v>
      </c>
      <c r="AY52" s="171">
        <f t="shared" si="6"/>
        <v>0</v>
      </c>
      <c r="AZ52" s="171">
        <f t="shared" si="7"/>
        <v>1</v>
      </c>
      <c r="BA52" s="172">
        <f t="shared" si="8"/>
        <v>1</v>
      </c>
      <c r="BB52" s="175">
        <f t="shared" si="17"/>
        <v>19</v>
      </c>
      <c r="BC52" s="176">
        <f t="shared" si="18"/>
        <v>18</v>
      </c>
      <c r="BD52" s="176">
        <f t="shared" si="19"/>
        <v>19</v>
      </c>
      <c r="BE52" s="240" t="str">
        <f t="shared" si="12"/>
        <v/>
      </c>
      <c r="BH52" s="198">
        <f>IF(AND(Input_Product=Elig!$C52,Elig_MatchAll_Ct&lt;22,$BC52=(Elig_MatchAll_Ct-1),AF52=0),C52,0)</f>
        <v>0</v>
      </c>
      <c r="BI52" s="199">
        <f>IF(AND(Input_Product=Elig!$C52,Elig_MatchAll_Ct&lt;22,$BC52=(Elig_MatchAll_Ct-1),AG52=0),D52,0)</f>
        <v>0</v>
      </c>
      <c r="BJ52" s="199">
        <f>IF(AND(Input_Product=Elig!$C52,Elig_MatchAll_Ct&lt;22,$BC52=(Elig_MatchAll_Ct-1),AH52=0),E52,0)</f>
        <v>0</v>
      </c>
      <c r="BK52" s="199">
        <f>IF(AND(Input_Product=Elig!$C52,Elig_MatchAll_Ct&lt;22,$BC52=(Elig_MatchAll_Ct-1),AI52=0),F52,0)</f>
        <v>0</v>
      </c>
      <c r="BL52" s="199">
        <f>IF(AND(Input_Product=Elig!$C52,Elig_MatchAll_Ct&lt;22,$BC52=(Elig_MatchAll_Ct-1),AJ52=0),G52,0)</f>
        <v>0</v>
      </c>
      <c r="BM52" s="199">
        <f>IF(AND(Input_Product=Elig!$C52,Elig_MatchAll_Ct&lt;22,$BC52=(Elig_MatchAll_Ct-1),AK52=0),H52,0)</f>
        <v>0</v>
      </c>
      <c r="BN52" s="199">
        <f>IF(AND(Input_Product=Elig!$C52,Elig_MatchAll_Ct&lt;22,$BC52=(Elig_MatchAll_Ct-1),AL52=0),I52,0)</f>
        <v>0</v>
      </c>
      <c r="BO52" s="199">
        <f>IF(AND(Input_Product=Elig!$C52,Elig_MatchAll_Ct&lt;22,$BC52=(Elig_MatchAll_Ct-1),AM52=0),J52,0)</f>
        <v>0</v>
      </c>
      <c r="BP52" s="199">
        <f>IF(AND(Input_Product=Elig!$C52,Elig_MatchAll_Ct&lt;22,$BC52=(Elig_MatchAll_Ct-1),AN52=0),K52,0)</f>
        <v>0</v>
      </c>
      <c r="BQ52" s="199">
        <f>IF(AND(Input_Product=Elig!$C52,Elig_MatchAll_Ct&lt;22,$BC52=(Elig_MatchAll_Ct-1),AP52=0),L52,0)</f>
        <v>0</v>
      </c>
      <c r="BR52" s="199">
        <f>IF(AND(Input_Product=Elig!$C52,Elig_MatchAll_Ct&lt;22,$BC52=(Elig_MatchAll_Ct-1),AO52=0),M52,0)</f>
        <v>0</v>
      </c>
      <c r="BS52" s="199">
        <f>IF(AND(Input_Product=Elig!$C52,Elig_MatchAll_Ct&lt;22,$BC52=(Elig_MatchAll_Ct-1),AQ52=0),N52,0)</f>
        <v>0</v>
      </c>
      <c r="BT52" s="199">
        <f>IF(AND(Input_Product=Elig!$C52,Elig_MatchAll_Ct&lt;22,$BC52=(Elig_MatchAll_Ct-1),AR52=0),O52,0)</f>
        <v>0</v>
      </c>
      <c r="BU52" s="199">
        <f>IF(AND(Input_Product=Elig!$C52,Elig_MatchAll_Ct&lt;22,$BC52=(Elig_MatchAll_Ct-1),AS52=0),P52,0)</f>
        <v>0</v>
      </c>
      <c r="BV52" s="200">
        <f>IF(AND(Input_Product=Elig!$C52,Elig_MatchAll_Ct&lt;22,$BC52=(Elig_MatchAll_Ct-1),AT52=0),Q52,0)</f>
        <v>0</v>
      </c>
      <c r="BW52" s="201">
        <f>IF(AND(Input_Product=Elig!$C52,Elig_MatchAll_Ct&lt;22,$BC52=(Elig_MatchAll_Ct-1),AU52=0),R52,0)</f>
        <v>0</v>
      </c>
      <c r="BX52" s="202">
        <f>IF(AND(Input_Product=Elig!$C52,Elig_MatchAll_Ct&lt;22,$BC52=(Elig_MatchAll_Ct-1),AU52=0),S52,0)</f>
        <v>0</v>
      </c>
      <c r="BY52" s="201">
        <f>IF(AND(Input_Product=Elig!$C52,Elig_MatchAll_Ct&lt;22,$BC52=(Elig_MatchAll_Ct-1),AV52=0),T52,0)</f>
        <v>0</v>
      </c>
      <c r="BZ52" s="202">
        <f>IF(AND(Input_Product=Elig!$C52,Elig_MatchAll_Ct&lt;22,$BC52=(Elig_MatchAll_Ct-1),AV52=0),U52,0)</f>
        <v>0</v>
      </c>
      <c r="CA52" s="201">
        <f>IF(AND(Input_Product=Elig!$C52,Elig_MatchAll_Ct&lt;22,$BC52=(Elig_MatchAll_Ct-1),AW52=0),V52,0)</f>
        <v>0</v>
      </c>
      <c r="CB52" s="202">
        <f>IF(AND(Input_Product=Elig!$C52,Elig_MatchAll_Ct&lt;22,$BC52=(Elig_MatchAll_Ct-1),AW52=0),W52,0)</f>
        <v>0</v>
      </c>
      <c r="CC52" s="201">
        <f>IF(AND(Input_Product=Elig!$C52,Elig_MatchAll_Ct&lt;22,$BC52=(Elig_MatchAll_Ct-1),AX52=0),X52,0)</f>
        <v>0</v>
      </c>
      <c r="CD52" s="202">
        <f>IF(AND(Input_Product=Elig!$C52,Elig_MatchAll_Ct&lt;22,$BC52=(Elig_MatchAll_Ct-1),AX52=0),Y52,0)</f>
        <v>0</v>
      </c>
      <c r="CE52" s="201">
        <f>IF(AND(Input_LTV&lt;=AE52,Input_Product=Elig!$C52,Elig_MatchAll_Ct&lt;22,$BC52=(Elig_MatchAll_Ct-1),AY52=0),Z52,0)</f>
        <v>0</v>
      </c>
      <c r="CF52" s="202">
        <f>IF(AND(Input_LTV&lt;=AE52,Input_Product=Elig!$C52,Elig_MatchAll_Ct&lt;22,$BC52=(Elig_MatchAll_Ct-1),AY52=0),AA52,0)</f>
        <v>0</v>
      </c>
      <c r="CG52" s="201">
        <f>IF(AND(Input_Product=Elig!$C52,Elig_MatchAll_Ct&lt;22,$BC52=(Elig_MatchAll_Ct-1),AZ52=0),AB52,0)</f>
        <v>0</v>
      </c>
      <c r="CH52" s="202">
        <f>IF(AND(Input_Product=Elig!$C52,Elig_MatchAll_Ct&lt;22,$BC52=(Elig_MatchAll_Ct-1),AZ52=0),AC52,0)</f>
        <v>0</v>
      </c>
      <c r="CI52" s="201">
        <f>IF(AND(Input_Product=Elig!$C52,Elig_MatchAll_Ct&lt;22,$BC52=(Elig_MatchAll_Ct-1),BA52=0),AD52,0)</f>
        <v>0</v>
      </c>
      <c r="CJ52" s="203">
        <f>IF(AND(Input_Product=Elig!$C52,Elig_MatchAll_Ct&lt;22,$BC52=(Elig_MatchAll_Ct-1),BA52=0),AE52,0)</f>
        <v>0</v>
      </c>
    </row>
    <row r="53" spans="2:88" ht="10.15" customHeight="1" x14ac:dyDescent="0.25">
      <c r="B53" s="1912" t="s">
        <v>807</v>
      </c>
      <c r="C53" s="147" t="str">
        <f t="shared" si="1"/>
        <v>NonQM OO</v>
      </c>
      <c r="D53" s="148" t="s">
        <v>3885</v>
      </c>
      <c r="E53" s="148" t="s">
        <v>167</v>
      </c>
      <c r="F53" s="148" t="s">
        <v>331</v>
      </c>
      <c r="G53" s="135" t="s">
        <v>179</v>
      </c>
      <c r="H53" s="148" t="s">
        <v>136</v>
      </c>
      <c r="I53" s="149" t="s">
        <v>16</v>
      </c>
      <c r="J53" s="149" t="s">
        <v>1311</v>
      </c>
      <c r="K53" s="149" t="s">
        <v>1631</v>
      </c>
      <c r="L53" s="322" t="s">
        <v>3920</v>
      </c>
      <c r="M53" s="148" t="s">
        <v>4203</v>
      </c>
      <c r="N53" s="148" t="s">
        <v>82</v>
      </c>
      <c r="O53" s="148" t="s">
        <v>310</v>
      </c>
      <c r="P53" s="148" t="s">
        <v>291</v>
      </c>
      <c r="Q53" s="148" t="s">
        <v>294</v>
      </c>
      <c r="R53" s="322">
        <v>100000</v>
      </c>
      <c r="S53" s="148">
        <v>1000000</v>
      </c>
      <c r="T53" s="148">
        <v>0</v>
      </c>
      <c r="U53" s="148">
        <f t="shared" si="22"/>
        <v>1000000</v>
      </c>
      <c r="V53" s="148">
        <v>0</v>
      </c>
      <c r="W53" s="148">
        <v>55</v>
      </c>
      <c r="X53" s="148">
        <v>0</v>
      </c>
      <c r="Y53" s="148">
        <v>999</v>
      </c>
      <c r="Z53" s="137">
        <v>640</v>
      </c>
      <c r="AA53" s="137">
        <v>659</v>
      </c>
      <c r="AB53" s="137">
        <v>3</v>
      </c>
      <c r="AC53" s="137">
        <v>999999</v>
      </c>
      <c r="AD53" s="135">
        <v>0</v>
      </c>
      <c r="AE53" s="135">
        <v>-999</v>
      </c>
      <c r="AF53" s="170">
        <v>0</v>
      </c>
      <c r="AG53" s="171">
        <v>1</v>
      </c>
      <c r="AH53" s="171">
        <v>1</v>
      </c>
      <c r="AI53" s="171">
        <v>1</v>
      </c>
      <c r="AJ53" s="171">
        <v>0</v>
      </c>
      <c r="AK53" s="171">
        <v>1</v>
      </c>
      <c r="AL53" s="171">
        <v>1</v>
      </c>
      <c r="AM53" s="171">
        <v>1</v>
      </c>
      <c r="AN53" s="171">
        <v>1</v>
      </c>
      <c r="AO53" s="171">
        <v>1</v>
      </c>
      <c r="AP53" s="171">
        <v>1</v>
      </c>
      <c r="AQ53" s="171">
        <v>1</v>
      </c>
      <c r="AR53" s="171">
        <v>1</v>
      </c>
      <c r="AS53" s="171">
        <v>1</v>
      </c>
      <c r="AT53" s="171">
        <v>1</v>
      </c>
      <c r="AU53" s="171">
        <f t="shared" si="2"/>
        <v>1</v>
      </c>
      <c r="AV53" s="171">
        <f t="shared" si="3"/>
        <v>1</v>
      </c>
      <c r="AW53" s="171">
        <f t="shared" si="4"/>
        <v>1</v>
      </c>
      <c r="AX53" s="171">
        <f t="shared" si="5"/>
        <v>1</v>
      </c>
      <c r="AY53" s="171">
        <f t="shared" si="6"/>
        <v>0</v>
      </c>
      <c r="AZ53" s="171">
        <f t="shared" si="7"/>
        <v>1</v>
      </c>
      <c r="BA53" s="172">
        <f t="shared" si="8"/>
        <v>0</v>
      </c>
      <c r="BB53" s="175">
        <f t="shared" si="17"/>
        <v>18</v>
      </c>
      <c r="BC53" s="176">
        <f t="shared" si="18"/>
        <v>18</v>
      </c>
      <c r="BD53" s="176">
        <f t="shared" si="19"/>
        <v>18</v>
      </c>
      <c r="BE53" s="240" t="str">
        <f t="shared" si="12"/>
        <v/>
      </c>
      <c r="BH53" s="198">
        <f>IF(AND(Input_Product=Elig!$C53,Elig_MatchAll_Ct&lt;22,$BC53=(Elig_MatchAll_Ct-1),AF53=0),C53,0)</f>
        <v>0</v>
      </c>
      <c r="BI53" s="199">
        <f>IF(AND(Input_Product=Elig!$C53,Elig_MatchAll_Ct&lt;22,$BC53=(Elig_MatchAll_Ct-1),AG53=0),D53,0)</f>
        <v>0</v>
      </c>
      <c r="BJ53" s="199">
        <f>IF(AND(Input_Product=Elig!$C53,Elig_MatchAll_Ct&lt;22,$BC53=(Elig_MatchAll_Ct-1),AH53=0),E53,0)</f>
        <v>0</v>
      </c>
      <c r="BK53" s="199">
        <f>IF(AND(Input_Product=Elig!$C53,Elig_MatchAll_Ct&lt;22,$BC53=(Elig_MatchAll_Ct-1),AI53=0),F53,0)</f>
        <v>0</v>
      </c>
      <c r="BL53" s="199">
        <f>IF(AND(Input_Product=Elig!$C53,Elig_MatchAll_Ct&lt;22,$BC53=(Elig_MatchAll_Ct-1),AJ53=0),G53,0)</f>
        <v>0</v>
      </c>
      <c r="BM53" s="199">
        <f>IF(AND(Input_Product=Elig!$C53,Elig_MatchAll_Ct&lt;22,$BC53=(Elig_MatchAll_Ct-1),AK53=0),H53,0)</f>
        <v>0</v>
      </c>
      <c r="BN53" s="199">
        <f>IF(AND(Input_Product=Elig!$C53,Elig_MatchAll_Ct&lt;22,$BC53=(Elig_MatchAll_Ct-1),AL53=0),I53,0)</f>
        <v>0</v>
      </c>
      <c r="BO53" s="199">
        <f>IF(AND(Input_Product=Elig!$C53,Elig_MatchAll_Ct&lt;22,$BC53=(Elig_MatchAll_Ct-1),AM53=0),J53,0)</f>
        <v>0</v>
      </c>
      <c r="BP53" s="199">
        <f>IF(AND(Input_Product=Elig!$C53,Elig_MatchAll_Ct&lt;22,$BC53=(Elig_MatchAll_Ct-1),AN53=0),K53,0)</f>
        <v>0</v>
      </c>
      <c r="BQ53" s="199">
        <f>IF(AND(Input_Product=Elig!$C53,Elig_MatchAll_Ct&lt;22,$BC53=(Elig_MatchAll_Ct-1),AP53=0),L53,0)</f>
        <v>0</v>
      </c>
      <c r="BR53" s="199">
        <f>IF(AND(Input_Product=Elig!$C53,Elig_MatchAll_Ct&lt;22,$BC53=(Elig_MatchAll_Ct-1),AO53=0),M53,0)</f>
        <v>0</v>
      </c>
      <c r="BS53" s="199">
        <f>IF(AND(Input_Product=Elig!$C53,Elig_MatchAll_Ct&lt;22,$BC53=(Elig_MatchAll_Ct-1),AQ53=0),N53,0)</f>
        <v>0</v>
      </c>
      <c r="BT53" s="199">
        <f>IF(AND(Input_Product=Elig!$C53,Elig_MatchAll_Ct&lt;22,$BC53=(Elig_MatchAll_Ct-1),AR53=0),O53,0)</f>
        <v>0</v>
      </c>
      <c r="BU53" s="199">
        <f>IF(AND(Input_Product=Elig!$C53,Elig_MatchAll_Ct&lt;22,$BC53=(Elig_MatchAll_Ct-1),AS53=0),P53,0)</f>
        <v>0</v>
      </c>
      <c r="BV53" s="200">
        <f>IF(AND(Input_Product=Elig!$C53,Elig_MatchAll_Ct&lt;22,$BC53=(Elig_MatchAll_Ct-1),AT53=0),Q53,0)</f>
        <v>0</v>
      </c>
      <c r="BW53" s="201">
        <f>IF(AND(Input_Product=Elig!$C53,Elig_MatchAll_Ct&lt;22,$BC53=(Elig_MatchAll_Ct-1),AU53=0),R53,0)</f>
        <v>0</v>
      </c>
      <c r="BX53" s="202">
        <f>IF(AND(Input_Product=Elig!$C53,Elig_MatchAll_Ct&lt;22,$BC53=(Elig_MatchAll_Ct-1),AU53=0),S53,0)</f>
        <v>0</v>
      </c>
      <c r="BY53" s="201">
        <f>IF(AND(Input_Product=Elig!$C53,Elig_MatchAll_Ct&lt;22,$BC53=(Elig_MatchAll_Ct-1),AV53=0),T53,0)</f>
        <v>0</v>
      </c>
      <c r="BZ53" s="202">
        <f>IF(AND(Input_Product=Elig!$C53,Elig_MatchAll_Ct&lt;22,$BC53=(Elig_MatchAll_Ct-1),AV53=0),U53,0)</f>
        <v>0</v>
      </c>
      <c r="CA53" s="201">
        <f>IF(AND(Input_Product=Elig!$C53,Elig_MatchAll_Ct&lt;22,$BC53=(Elig_MatchAll_Ct-1),AW53=0),V53,0)</f>
        <v>0</v>
      </c>
      <c r="CB53" s="202">
        <f>IF(AND(Input_Product=Elig!$C53,Elig_MatchAll_Ct&lt;22,$BC53=(Elig_MatchAll_Ct-1),AW53=0),W53,0)</f>
        <v>0</v>
      </c>
      <c r="CC53" s="201">
        <f>IF(AND(Input_Product=Elig!$C53,Elig_MatchAll_Ct&lt;22,$BC53=(Elig_MatchAll_Ct-1),AX53=0),X53,0)</f>
        <v>0</v>
      </c>
      <c r="CD53" s="202">
        <f>IF(AND(Input_Product=Elig!$C53,Elig_MatchAll_Ct&lt;22,$BC53=(Elig_MatchAll_Ct-1),AX53=0),Y53,0)</f>
        <v>0</v>
      </c>
      <c r="CE53" s="201">
        <f>IF(AND(Input_LTV&lt;=AE53,Input_Product=Elig!$C53,Elig_MatchAll_Ct&lt;22,$BC53=(Elig_MatchAll_Ct-1),AY53=0),Z53,0)</f>
        <v>0</v>
      </c>
      <c r="CF53" s="202">
        <f>IF(AND(Input_LTV&lt;=AE53,Input_Product=Elig!$C53,Elig_MatchAll_Ct&lt;22,$BC53=(Elig_MatchAll_Ct-1),AY53=0),AA53,0)</f>
        <v>0</v>
      </c>
      <c r="CG53" s="201">
        <f>IF(AND(Input_Product=Elig!$C53,Elig_MatchAll_Ct&lt;22,$BC53=(Elig_MatchAll_Ct-1),AZ53=0),AB53,0)</f>
        <v>0</v>
      </c>
      <c r="CH53" s="202">
        <f>IF(AND(Input_Product=Elig!$C53,Elig_MatchAll_Ct&lt;22,$BC53=(Elig_MatchAll_Ct-1),AZ53=0),AC53,0)</f>
        <v>0</v>
      </c>
      <c r="CI53" s="201">
        <f>IF(AND(Input_Product=Elig!$C53,Elig_MatchAll_Ct&lt;22,$BC53=(Elig_MatchAll_Ct-1),BA53=0),AD53,0)</f>
        <v>0</v>
      </c>
      <c r="CJ53" s="203">
        <f>IF(AND(Input_Product=Elig!$C53,Elig_MatchAll_Ct&lt;22,$BC53=(Elig_MatchAll_Ct-1),BA53=0),AE53,0)</f>
        <v>0</v>
      </c>
    </row>
    <row r="54" spans="2:88" ht="10.15" customHeight="1" x14ac:dyDescent="0.25">
      <c r="B54" s="1912" t="s">
        <v>808</v>
      </c>
      <c r="C54" s="147" t="str">
        <f t="shared" si="1"/>
        <v>NonQM OO</v>
      </c>
      <c r="D54" s="148" t="s">
        <v>3885</v>
      </c>
      <c r="E54" s="148" t="s">
        <v>167</v>
      </c>
      <c r="F54" s="148" t="s">
        <v>331</v>
      </c>
      <c r="G54" s="135" t="s">
        <v>179</v>
      </c>
      <c r="H54" s="148" t="s">
        <v>136</v>
      </c>
      <c r="I54" s="149" t="s">
        <v>16</v>
      </c>
      <c r="J54" s="149" t="s">
        <v>1311</v>
      </c>
      <c r="K54" s="149" t="s">
        <v>1631</v>
      </c>
      <c r="L54" s="322" t="s">
        <v>3920</v>
      </c>
      <c r="M54" s="148" t="s">
        <v>4203</v>
      </c>
      <c r="N54" s="148" t="s">
        <v>82</v>
      </c>
      <c r="O54" s="148" t="s">
        <v>310</v>
      </c>
      <c r="P54" s="148" t="s">
        <v>291</v>
      </c>
      <c r="Q54" s="148" t="s">
        <v>294</v>
      </c>
      <c r="R54" s="322">
        <v>100000</v>
      </c>
      <c r="S54" s="148">
        <v>1000000</v>
      </c>
      <c r="T54" s="148">
        <v>0</v>
      </c>
      <c r="U54" s="148">
        <f t="shared" si="22"/>
        <v>1000000</v>
      </c>
      <c r="V54" s="148">
        <v>0</v>
      </c>
      <c r="W54" s="148">
        <v>55</v>
      </c>
      <c r="X54" s="148">
        <v>0</v>
      </c>
      <c r="Y54" s="148">
        <v>999</v>
      </c>
      <c r="Z54" s="140">
        <v>620</v>
      </c>
      <c r="AA54" s="140">
        <v>639</v>
      </c>
      <c r="AB54" s="140">
        <v>3</v>
      </c>
      <c r="AC54" s="140">
        <v>999999</v>
      </c>
      <c r="AD54" s="139">
        <v>0</v>
      </c>
      <c r="AE54" s="139">
        <v>-999</v>
      </c>
      <c r="AF54" s="170">
        <v>0</v>
      </c>
      <c r="AG54" s="171">
        <v>1</v>
      </c>
      <c r="AH54" s="171">
        <v>1</v>
      </c>
      <c r="AI54" s="171">
        <v>1</v>
      </c>
      <c r="AJ54" s="171">
        <v>0</v>
      </c>
      <c r="AK54" s="171">
        <v>1</v>
      </c>
      <c r="AL54" s="171">
        <v>1</v>
      </c>
      <c r="AM54" s="171">
        <v>1</v>
      </c>
      <c r="AN54" s="171">
        <v>1</v>
      </c>
      <c r="AO54" s="171">
        <v>1</v>
      </c>
      <c r="AP54" s="171">
        <v>1</v>
      </c>
      <c r="AQ54" s="171">
        <v>1</v>
      </c>
      <c r="AR54" s="171">
        <v>1</v>
      </c>
      <c r="AS54" s="171">
        <v>1</v>
      </c>
      <c r="AT54" s="171">
        <v>1</v>
      </c>
      <c r="AU54" s="171">
        <f t="shared" si="2"/>
        <v>1</v>
      </c>
      <c r="AV54" s="171">
        <f t="shared" si="3"/>
        <v>1</v>
      </c>
      <c r="AW54" s="171">
        <f t="shared" si="4"/>
        <v>1</v>
      </c>
      <c r="AX54" s="171">
        <f t="shared" si="5"/>
        <v>1</v>
      </c>
      <c r="AY54" s="171">
        <f t="shared" si="6"/>
        <v>0</v>
      </c>
      <c r="AZ54" s="171">
        <f t="shared" si="7"/>
        <v>1</v>
      </c>
      <c r="BA54" s="172">
        <f t="shared" si="8"/>
        <v>0</v>
      </c>
      <c r="BB54" s="175">
        <f t="shared" si="17"/>
        <v>18</v>
      </c>
      <c r="BC54" s="176">
        <f t="shared" si="18"/>
        <v>18</v>
      </c>
      <c r="BD54" s="176">
        <f t="shared" si="19"/>
        <v>18</v>
      </c>
      <c r="BE54" s="240" t="str">
        <f t="shared" si="12"/>
        <v/>
      </c>
      <c r="BH54" s="204">
        <f>IF(AND(Input_Product=Elig!$C54,Elig_MatchAll_Ct&lt;22,$BC54=(Elig_MatchAll_Ct-1),AF54=0),C54,0)</f>
        <v>0</v>
      </c>
      <c r="BI54" s="205">
        <f>IF(AND(Input_Product=Elig!$C54,Elig_MatchAll_Ct&lt;22,$BC54=(Elig_MatchAll_Ct-1),AG54=0),D54,0)</f>
        <v>0</v>
      </c>
      <c r="BJ54" s="205">
        <f>IF(AND(Input_Product=Elig!$C54,Elig_MatchAll_Ct&lt;22,$BC54=(Elig_MatchAll_Ct-1),AH54=0),E54,0)</f>
        <v>0</v>
      </c>
      <c r="BK54" s="205">
        <f>IF(AND(Input_Product=Elig!$C54,Elig_MatchAll_Ct&lt;22,$BC54=(Elig_MatchAll_Ct-1),AI54=0),F54,0)</f>
        <v>0</v>
      </c>
      <c r="BL54" s="205">
        <f>IF(AND(Input_Product=Elig!$C54,Elig_MatchAll_Ct&lt;22,$BC54=(Elig_MatchAll_Ct-1),AJ54=0),G54,0)</f>
        <v>0</v>
      </c>
      <c r="BM54" s="205">
        <f>IF(AND(Input_Product=Elig!$C54,Elig_MatchAll_Ct&lt;22,$BC54=(Elig_MatchAll_Ct-1),AK54=0),H54,0)</f>
        <v>0</v>
      </c>
      <c r="BN54" s="205">
        <f>IF(AND(Input_Product=Elig!$C54,Elig_MatchAll_Ct&lt;22,$BC54=(Elig_MatchAll_Ct-1),AL54=0),I54,0)</f>
        <v>0</v>
      </c>
      <c r="BO54" s="205">
        <f>IF(AND(Input_Product=Elig!$C54,Elig_MatchAll_Ct&lt;22,$BC54=(Elig_MatchAll_Ct-1),AM54=0),J54,0)</f>
        <v>0</v>
      </c>
      <c r="BP54" s="205">
        <f>IF(AND(Input_Product=Elig!$C54,Elig_MatchAll_Ct&lt;22,$BC54=(Elig_MatchAll_Ct-1),AN54=0),K54,0)</f>
        <v>0</v>
      </c>
      <c r="BQ54" s="205">
        <f>IF(AND(Input_Product=Elig!$C54,Elig_MatchAll_Ct&lt;22,$BC54=(Elig_MatchAll_Ct-1),AP54=0),L54,0)</f>
        <v>0</v>
      </c>
      <c r="BR54" s="205">
        <f>IF(AND(Input_Product=Elig!$C54,Elig_MatchAll_Ct&lt;22,$BC54=(Elig_MatchAll_Ct-1),AO54=0),M54,0)</f>
        <v>0</v>
      </c>
      <c r="BS54" s="205">
        <f>IF(AND(Input_Product=Elig!$C54,Elig_MatchAll_Ct&lt;22,$BC54=(Elig_MatchAll_Ct-1),AQ54=0),N54,0)</f>
        <v>0</v>
      </c>
      <c r="BT54" s="205">
        <f>IF(AND(Input_Product=Elig!$C54,Elig_MatchAll_Ct&lt;22,$BC54=(Elig_MatchAll_Ct-1),AR54=0),O54,0)</f>
        <v>0</v>
      </c>
      <c r="BU54" s="205">
        <f>IF(AND(Input_Product=Elig!$C54,Elig_MatchAll_Ct&lt;22,$BC54=(Elig_MatchAll_Ct-1),AS54=0),P54,0)</f>
        <v>0</v>
      </c>
      <c r="BV54" s="206">
        <f>IF(AND(Input_Product=Elig!$C54,Elig_MatchAll_Ct&lt;22,$BC54=(Elig_MatchAll_Ct-1),AT54=0),Q54,0)</f>
        <v>0</v>
      </c>
      <c r="BW54" s="207">
        <f>IF(AND(Input_Product=Elig!$C54,Elig_MatchAll_Ct&lt;22,$BC54=(Elig_MatchAll_Ct-1),AU54=0),R54,0)</f>
        <v>0</v>
      </c>
      <c r="BX54" s="208">
        <f>IF(AND(Input_Product=Elig!$C54,Elig_MatchAll_Ct&lt;22,$BC54=(Elig_MatchAll_Ct-1),AU54=0),S54,0)</f>
        <v>0</v>
      </c>
      <c r="BY54" s="207">
        <f>IF(AND(Input_Product=Elig!$C54,Elig_MatchAll_Ct&lt;22,$BC54=(Elig_MatchAll_Ct-1),AV54=0),T54,0)</f>
        <v>0</v>
      </c>
      <c r="BZ54" s="208">
        <f>IF(AND(Input_Product=Elig!$C54,Elig_MatchAll_Ct&lt;22,$BC54=(Elig_MatchAll_Ct-1),AV54=0),U54,0)</f>
        <v>0</v>
      </c>
      <c r="CA54" s="207">
        <f>IF(AND(Input_Product=Elig!$C54,Elig_MatchAll_Ct&lt;22,$BC54=(Elig_MatchAll_Ct-1),AW54=0),V54,0)</f>
        <v>0</v>
      </c>
      <c r="CB54" s="208">
        <f>IF(AND(Input_Product=Elig!$C54,Elig_MatchAll_Ct&lt;22,$BC54=(Elig_MatchAll_Ct-1),AW54=0),W54,0)</f>
        <v>0</v>
      </c>
      <c r="CC54" s="207">
        <f>IF(AND(Input_Product=Elig!$C54,Elig_MatchAll_Ct&lt;22,$BC54=(Elig_MatchAll_Ct-1),AX54=0),X54,0)</f>
        <v>0</v>
      </c>
      <c r="CD54" s="208">
        <f>IF(AND(Input_Product=Elig!$C54,Elig_MatchAll_Ct&lt;22,$BC54=(Elig_MatchAll_Ct-1),AX54=0),Y54,0)</f>
        <v>0</v>
      </c>
      <c r="CE54" s="207">
        <f>IF(AND(Input_LTV&lt;=AE54,Input_Product=Elig!$C54,Elig_MatchAll_Ct&lt;22,$BC54=(Elig_MatchAll_Ct-1),AY54=0),Z54,0)</f>
        <v>0</v>
      </c>
      <c r="CF54" s="208">
        <f>IF(AND(Input_LTV&lt;=AE54,Input_Product=Elig!$C54,Elig_MatchAll_Ct&lt;22,$BC54=(Elig_MatchAll_Ct-1),AY54=0),AA54,0)</f>
        <v>0</v>
      </c>
      <c r="CG54" s="207">
        <f>IF(AND(Input_Product=Elig!$C54,Elig_MatchAll_Ct&lt;22,$BC54=(Elig_MatchAll_Ct-1),AZ54=0),AB54,0)</f>
        <v>0</v>
      </c>
      <c r="CH54" s="208">
        <f>IF(AND(Input_Product=Elig!$C54,Elig_MatchAll_Ct&lt;22,$BC54=(Elig_MatchAll_Ct-1),AZ54=0),AC54,0)</f>
        <v>0</v>
      </c>
      <c r="CI54" s="207">
        <f>IF(AND(Input_Product=Elig!$C54,Elig_MatchAll_Ct&lt;22,$BC54=(Elig_MatchAll_Ct-1),BA54=0),AD54,0)</f>
        <v>0</v>
      </c>
      <c r="CJ54" s="209">
        <f>IF(AND(Input_Product=Elig!$C54,Elig_MatchAll_Ct&lt;22,$BC54=(Elig_MatchAll_Ct-1),BA54=0),AE54,0)</f>
        <v>0</v>
      </c>
    </row>
    <row r="55" spans="2:88" ht="10.15" customHeight="1" x14ac:dyDescent="0.25">
      <c r="B55" s="1912" t="s">
        <v>809</v>
      </c>
      <c r="C55" s="141" t="str">
        <f t="shared" si="1"/>
        <v>NonQM OO</v>
      </c>
      <c r="D55" s="142" t="s">
        <v>3885</v>
      </c>
      <c r="E55" s="143" t="s">
        <v>167</v>
      </c>
      <c r="F55" s="143" t="s">
        <v>331</v>
      </c>
      <c r="G55" s="143" t="s">
        <v>473</v>
      </c>
      <c r="H55" s="143" t="s">
        <v>136</v>
      </c>
      <c r="I55" s="142" t="s">
        <v>274</v>
      </c>
      <c r="J55" s="142" t="s">
        <v>1311</v>
      </c>
      <c r="K55" s="142" t="s">
        <v>1631</v>
      </c>
      <c r="L55" s="2131" t="s">
        <v>3920</v>
      </c>
      <c r="M55" s="143" t="s">
        <v>4203</v>
      </c>
      <c r="N55" s="143" t="s">
        <v>82</v>
      </c>
      <c r="O55" s="143" t="s">
        <v>310</v>
      </c>
      <c r="P55" s="143" t="s">
        <v>291</v>
      </c>
      <c r="Q55" s="143" t="s">
        <v>294</v>
      </c>
      <c r="R55" s="320">
        <v>100000</v>
      </c>
      <c r="S55" s="142">
        <v>1000000</v>
      </c>
      <c r="T55" s="142">
        <v>0</v>
      </c>
      <c r="U55" s="142">
        <v>0</v>
      </c>
      <c r="V55" s="142">
        <v>0</v>
      </c>
      <c r="W55" s="142">
        <v>55</v>
      </c>
      <c r="X55" s="142">
        <v>0</v>
      </c>
      <c r="Y55" s="142">
        <v>999</v>
      </c>
      <c r="Z55" s="144">
        <v>720</v>
      </c>
      <c r="AA55" s="144">
        <v>999</v>
      </c>
      <c r="AB55" s="144">
        <v>3</v>
      </c>
      <c r="AC55" s="144">
        <v>999999</v>
      </c>
      <c r="AD55" s="142">
        <v>0</v>
      </c>
      <c r="AE55" s="142">
        <v>80</v>
      </c>
      <c r="AF55" s="170">
        <v>0</v>
      </c>
      <c r="AG55" s="171">
        <v>1</v>
      </c>
      <c r="AH55" s="171">
        <v>1</v>
      </c>
      <c r="AI55" s="171">
        <v>1</v>
      </c>
      <c r="AJ55" s="171">
        <v>0</v>
      </c>
      <c r="AK55" s="171">
        <v>1</v>
      </c>
      <c r="AL55" s="171">
        <v>0</v>
      </c>
      <c r="AM55" s="171">
        <v>1</v>
      </c>
      <c r="AN55" s="171">
        <v>1</v>
      </c>
      <c r="AO55" s="171">
        <v>1</v>
      </c>
      <c r="AP55" s="171">
        <v>1</v>
      </c>
      <c r="AQ55" s="171">
        <v>1</v>
      </c>
      <c r="AR55" s="171">
        <v>1</v>
      </c>
      <c r="AS55" s="171">
        <v>1</v>
      </c>
      <c r="AT55" s="171">
        <v>1</v>
      </c>
      <c r="AU55" s="171">
        <f t="shared" si="2"/>
        <v>1</v>
      </c>
      <c r="AV55" s="171">
        <f t="shared" si="3"/>
        <v>0</v>
      </c>
      <c r="AW55" s="171">
        <f t="shared" si="4"/>
        <v>1</v>
      </c>
      <c r="AX55" s="171">
        <f t="shared" si="5"/>
        <v>1</v>
      </c>
      <c r="AY55" s="171">
        <f t="shared" si="6"/>
        <v>1</v>
      </c>
      <c r="AZ55" s="171">
        <f t="shared" si="7"/>
        <v>1</v>
      </c>
      <c r="BA55" s="172">
        <f t="shared" si="8"/>
        <v>1</v>
      </c>
      <c r="BB55" s="175">
        <f t="shared" si="17"/>
        <v>18</v>
      </c>
      <c r="BC55" s="176">
        <f t="shared" si="18"/>
        <v>17</v>
      </c>
      <c r="BD55" s="176">
        <f t="shared" si="19"/>
        <v>18</v>
      </c>
      <c r="BE55" s="240" t="str">
        <f t="shared" si="12"/>
        <v/>
      </c>
      <c r="BH55" s="192">
        <f>IF(AND(Input_Product=Elig!$C55,Elig_MatchAll_Ct&lt;22,$BC55=(Elig_MatchAll_Ct-1),AF55=0),C55,0)</f>
        <v>0</v>
      </c>
      <c r="BI55" s="193">
        <f>IF(AND(Input_Product=Elig!$C55,Elig_MatchAll_Ct&lt;22,$BC55=(Elig_MatchAll_Ct-1),AG55=0),D55,0)</f>
        <v>0</v>
      </c>
      <c r="BJ55" s="193">
        <f>IF(AND(Input_Product=Elig!$C55,Elig_MatchAll_Ct&lt;22,$BC55=(Elig_MatchAll_Ct-1),AH55=0),E55,0)</f>
        <v>0</v>
      </c>
      <c r="BK55" s="193">
        <f>IF(AND(Input_Product=Elig!$C55,Elig_MatchAll_Ct&lt;22,$BC55=(Elig_MatchAll_Ct-1),AI55=0),F55,0)</f>
        <v>0</v>
      </c>
      <c r="BL55" s="193">
        <f>IF(AND(Input_Product=Elig!$C55,Elig_MatchAll_Ct&lt;22,$BC55=(Elig_MatchAll_Ct-1),AJ55=0),G55,0)</f>
        <v>0</v>
      </c>
      <c r="BM55" s="193">
        <f>IF(AND(Input_Product=Elig!$C55,Elig_MatchAll_Ct&lt;22,$BC55=(Elig_MatchAll_Ct-1),AK55=0),H55,0)</f>
        <v>0</v>
      </c>
      <c r="BN55" s="193">
        <f>IF(AND(Input_Product=Elig!$C55,Elig_MatchAll_Ct&lt;22,$BC55=(Elig_MatchAll_Ct-1),AL55=0),I55,0)</f>
        <v>0</v>
      </c>
      <c r="BO55" s="193">
        <f>IF(AND(Input_Product=Elig!$C55,Elig_MatchAll_Ct&lt;22,$BC55=(Elig_MatchAll_Ct-1),AM55=0),J55,0)</f>
        <v>0</v>
      </c>
      <c r="BP55" s="193">
        <f>IF(AND(Input_Product=Elig!$C55,Elig_MatchAll_Ct&lt;22,$BC55=(Elig_MatchAll_Ct-1),AN55=0),K55,0)</f>
        <v>0</v>
      </c>
      <c r="BQ55" s="193">
        <f>IF(AND(Input_Product=Elig!$C55,Elig_MatchAll_Ct&lt;22,$BC55=(Elig_MatchAll_Ct-1),AP55=0),L55,0)</f>
        <v>0</v>
      </c>
      <c r="BR55" s="193">
        <f>IF(AND(Input_Product=Elig!$C55,Elig_MatchAll_Ct&lt;22,$BC55=(Elig_MatchAll_Ct-1),AO55=0),M55,0)</f>
        <v>0</v>
      </c>
      <c r="BS55" s="193">
        <f>IF(AND(Input_Product=Elig!$C55,Elig_MatchAll_Ct&lt;22,$BC55=(Elig_MatchAll_Ct-1),AQ55=0),N55,0)</f>
        <v>0</v>
      </c>
      <c r="BT55" s="193">
        <f>IF(AND(Input_Product=Elig!$C55,Elig_MatchAll_Ct&lt;22,$BC55=(Elig_MatchAll_Ct-1),AR55=0),O55,0)</f>
        <v>0</v>
      </c>
      <c r="BU55" s="193">
        <f>IF(AND(Input_Product=Elig!$C55,Elig_MatchAll_Ct&lt;22,$BC55=(Elig_MatchAll_Ct-1),AS55=0),P55,0)</f>
        <v>0</v>
      </c>
      <c r="BV55" s="194">
        <f>IF(AND(Input_Product=Elig!$C55,Elig_MatchAll_Ct&lt;22,$BC55=(Elig_MatchAll_Ct-1),AT55=0),Q55,0)</f>
        <v>0</v>
      </c>
      <c r="BW55" s="195">
        <f>IF(AND(Input_Product=Elig!$C55,Elig_MatchAll_Ct&lt;22,$BC55=(Elig_MatchAll_Ct-1),AU55=0),R55,0)</f>
        <v>0</v>
      </c>
      <c r="BX55" s="196">
        <f>IF(AND(Input_Product=Elig!$C55,Elig_MatchAll_Ct&lt;22,$BC55=(Elig_MatchAll_Ct-1),AU55=0),S55,0)</f>
        <v>0</v>
      </c>
      <c r="BY55" s="195">
        <f>IF(AND(Input_Product=Elig!$C55,Elig_MatchAll_Ct&lt;22,$BC55=(Elig_MatchAll_Ct-1),AV55=0),T55,0)</f>
        <v>0</v>
      </c>
      <c r="BZ55" s="196">
        <f>IF(AND(Input_Product=Elig!$C55,Elig_MatchAll_Ct&lt;22,$BC55=(Elig_MatchAll_Ct-1),AV55=0),U55,0)</f>
        <v>0</v>
      </c>
      <c r="CA55" s="195">
        <f>IF(AND(Input_Product=Elig!$C55,Elig_MatchAll_Ct&lt;22,$BC55=(Elig_MatchAll_Ct-1),AW55=0),V55,0)</f>
        <v>0</v>
      </c>
      <c r="CB55" s="196">
        <f>IF(AND(Input_Product=Elig!$C55,Elig_MatchAll_Ct&lt;22,$BC55=(Elig_MatchAll_Ct-1),AW55=0),W55,0)</f>
        <v>0</v>
      </c>
      <c r="CC55" s="195">
        <f>IF(AND(Input_Product=Elig!$C55,Elig_MatchAll_Ct&lt;22,$BC55=(Elig_MatchAll_Ct-1),AX55=0),X55,0)</f>
        <v>0</v>
      </c>
      <c r="CD55" s="196">
        <f>IF(AND(Input_Product=Elig!$C55,Elig_MatchAll_Ct&lt;22,$BC55=(Elig_MatchAll_Ct-1),AX55=0),Y55,0)</f>
        <v>0</v>
      </c>
      <c r="CE55" s="195">
        <f>IF(AND(Input_LTV&lt;=AE55,Input_Product=Elig!$C55,Elig_MatchAll_Ct&lt;22,$BC55=(Elig_MatchAll_Ct-1),AY55=0),Z55,0)</f>
        <v>0</v>
      </c>
      <c r="CF55" s="196">
        <f>IF(AND(Input_LTV&lt;=AE55,Input_Product=Elig!$C55,Elig_MatchAll_Ct&lt;22,$BC55=(Elig_MatchAll_Ct-1),AY55=0),AA55,0)</f>
        <v>0</v>
      </c>
      <c r="CG55" s="195">
        <f>IF(AND(Input_Product=Elig!$C55,Elig_MatchAll_Ct&lt;22,$BC55=(Elig_MatchAll_Ct-1),AZ55=0),AB55,0)</f>
        <v>0</v>
      </c>
      <c r="CH55" s="196">
        <f>IF(AND(Input_Product=Elig!$C55,Elig_MatchAll_Ct&lt;22,$BC55=(Elig_MatchAll_Ct-1),AZ55=0),AC55,0)</f>
        <v>0</v>
      </c>
      <c r="CI55" s="195">
        <f>IF(AND(Input_Product=Elig!$C55,Elig_MatchAll_Ct&lt;22,$BC55=(Elig_MatchAll_Ct-1),BA55=0),AD55,0)</f>
        <v>0</v>
      </c>
      <c r="CJ55" s="197">
        <f>IF(AND(Input_Product=Elig!$C55,Elig_MatchAll_Ct&lt;22,$BC55=(Elig_MatchAll_Ct-1),BA55=0),AE55,0)</f>
        <v>0</v>
      </c>
    </row>
    <row r="56" spans="2:88" ht="10.15" customHeight="1" x14ac:dyDescent="0.25">
      <c r="B56" s="1912" t="s">
        <v>810</v>
      </c>
      <c r="C56" s="134" t="str">
        <f t="shared" si="1"/>
        <v>NonQM OO</v>
      </c>
      <c r="D56" s="135" t="s">
        <v>3885</v>
      </c>
      <c r="E56" s="135" t="s">
        <v>167</v>
      </c>
      <c r="F56" s="135" t="s">
        <v>331</v>
      </c>
      <c r="G56" s="135" t="s">
        <v>473</v>
      </c>
      <c r="H56" s="135" t="s">
        <v>136</v>
      </c>
      <c r="I56" s="136" t="s">
        <v>274</v>
      </c>
      <c r="J56" s="136" t="s">
        <v>1311</v>
      </c>
      <c r="K56" s="136" t="s">
        <v>1631</v>
      </c>
      <c r="L56" s="221" t="s">
        <v>3920</v>
      </c>
      <c r="M56" s="135" t="s">
        <v>4203</v>
      </c>
      <c r="N56" s="135" t="s">
        <v>82</v>
      </c>
      <c r="O56" s="135" t="s">
        <v>310</v>
      </c>
      <c r="P56" s="135" t="s">
        <v>291</v>
      </c>
      <c r="Q56" s="135" t="s">
        <v>294</v>
      </c>
      <c r="R56" s="221">
        <v>100000</v>
      </c>
      <c r="S56" s="135">
        <v>1000000</v>
      </c>
      <c r="T56" s="135">
        <v>0</v>
      </c>
      <c r="U56" s="135">
        <v>0</v>
      </c>
      <c r="V56" s="135">
        <v>0</v>
      </c>
      <c r="W56" s="135">
        <v>55</v>
      </c>
      <c r="X56" s="135">
        <v>0</v>
      </c>
      <c r="Y56" s="135">
        <v>999</v>
      </c>
      <c r="Z56" s="137">
        <v>700</v>
      </c>
      <c r="AA56" s="137">
        <v>719</v>
      </c>
      <c r="AB56" s="137">
        <v>3</v>
      </c>
      <c r="AC56" s="137">
        <v>999999</v>
      </c>
      <c r="AD56" s="135">
        <v>0</v>
      </c>
      <c r="AE56" s="135">
        <v>80</v>
      </c>
      <c r="AF56" s="170">
        <v>0</v>
      </c>
      <c r="AG56" s="171">
        <v>1</v>
      </c>
      <c r="AH56" s="171">
        <v>1</v>
      </c>
      <c r="AI56" s="171">
        <v>1</v>
      </c>
      <c r="AJ56" s="171">
        <v>0</v>
      </c>
      <c r="AK56" s="171">
        <v>1</v>
      </c>
      <c r="AL56" s="171">
        <v>0</v>
      </c>
      <c r="AM56" s="171">
        <v>1</v>
      </c>
      <c r="AN56" s="171">
        <v>1</v>
      </c>
      <c r="AO56" s="171">
        <v>1</v>
      </c>
      <c r="AP56" s="171">
        <v>1</v>
      </c>
      <c r="AQ56" s="171">
        <v>1</v>
      </c>
      <c r="AR56" s="171">
        <v>1</v>
      </c>
      <c r="AS56" s="171">
        <v>1</v>
      </c>
      <c r="AT56" s="171">
        <v>1</v>
      </c>
      <c r="AU56" s="171">
        <f t="shared" si="2"/>
        <v>1</v>
      </c>
      <c r="AV56" s="171">
        <f t="shared" si="3"/>
        <v>0</v>
      </c>
      <c r="AW56" s="171">
        <f t="shared" si="4"/>
        <v>1</v>
      </c>
      <c r="AX56" s="171">
        <f t="shared" si="5"/>
        <v>1</v>
      </c>
      <c r="AY56" s="171">
        <f t="shared" si="6"/>
        <v>0</v>
      </c>
      <c r="AZ56" s="171">
        <f t="shared" si="7"/>
        <v>1</v>
      </c>
      <c r="BA56" s="172">
        <f t="shared" si="8"/>
        <v>1</v>
      </c>
      <c r="BB56" s="175">
        <f t="shared" si="17"/>
        <v>17</v>
      </c>
      <c r="BC56" s="176">
        <f t="shared" si="18"/>
        <v>16</v>
      </c>
      <c r="BD56" s="176">
        <f t="shared" si="19"/>
        <v>17</v>
      </c>
      <c r="BE56" s="240" t="str">
        <f t="shared" si="12"/>
        <v/>
      </c>
      <c r="BH56" s="198">
        <f>IF(AND(Input_Product=Elig!$C56,Elig_MatchAll_Ct&lt;22,$BC56=(Elig_MatchAll_Ct-1),AF56=0),C56,0)</f>
        <v>0</v>
      </c>
      <c r="BI56" s="199">
        <f>IF(AND(Input_Product=Elig!$C56,Elig_MatchAll_Ct&lt;22,$BC56=(Elig_MatchAll_Ct-1),AG56=0),D56,0)</f>
        <v>0</v>
      </c>
      <c r="BJ56" s="199">
        <f>IF(AND(Input_Product=Elig!$C56,Elig_MatchAll_Ct&lt;22,$BC56=(Elig_MatchAll_Ct-1),AH56=0),E56,0)</f>
        <v>0</v>
      </c>
      <c r="BK56" s="199">
        <f>IF(AND(Input_Product=Elig!$C56,Elig_MatchAll_Ct&lt;22,$BC56=(Elig_MatchAll_Ct-1),AI56=0),F56,0)</f>
        <v>0</v>
      </c>
      <c r="BL56" s="199">
        <f>IF(AND(Input_Product=Elig!$C56,Elig_MatchAll_Ct&lt;22,$BC56=(Elig_MatchAll_Ct-1),AJ56=0),G56,0)</f>
        <v>0</v>
      </c>
      <c r="BM56" s="199">
        <f>IF(AND(Input_Product=Elig!$C56,Elig_MatchAll_Ct&lt;22,$BC56=(Elig_MatchAll_Ct-1),AK56=0),H56,0)</f>
        <v>0</v>
      </c>
      <c r="BN56" s="199">
        <f>IF(AND(Input_Product=Elig!$C56,Elig_MatchAll_Ct&lt;22,$BC56=(Elig_MatchAll_Ct-1),AL56=0),I56,0)</f>
        <v>0</v>
      </c>
      <c r="BO56" s="199">
        <f>IF(AND(Input_Product=Elig!$C56,Elig_MatchAll_Ct&lt;22,$BC56=(Elig_MatchAll_Ct-1),AM56=0),J56,0)</f>
        <v>0</v>
      </c>
      <c r="BP56" s="199">
        <f>IF(AND(Input_Product=Elig!$C56,Elig_MatchAll_Ct&lt;22,$BC56=(Elig_MatchAll_Ct-1),AN56=0),K56,0)</f>
        <v>0</v>
      </c>
      <c r="BQ56" s="199">
        <f>IF(AND(Input_Product=Elig!$C56,Elig_MatchAll_Ct&lt;22,$BC56=(Elig_MatchAll_Ct-1),AP56=0),L56,0)</f>
        <v>0</v>
      </c>
      <c r="BR56" s="199">
        <f>IF(AND(Input_Product=Elig!$C56,Elig_MatchAll_Ct&lt;22,$BC56=(Elig_MatchAll_Ct-1),AO56=0),M56,0)</f>
        <v>0</v>
      </c>
      <c r="BS56" s="199">
        <f>IF(AND(Input_Product=Elig!$C56,Elig_MatchAll_Ct&lt;22,$BC56=(Elig_MatchAll_Ct-1),AQ56=0),N56,0)</f>
        <v>0</v>
      </c>
      <c r="BT56" s="199">
        <f>IF(AND(Input_Product=Elig!$C56,Elig_MatchAll_Ct&lt;22,$BC56=(Elig_MatchAll_Ct-1),AR56=0),O56,0)</f>
        <v>0</v>
      </c>
      <c r="BU56" s="199">
        <f>IF(AND(Input_Product=Elig!$C56,Elig_MatchAll_Ct&lt;22,$BC56=(Elig_MatchAll_Ct-1),AS56=0),P56,0)</f>
        <v>0</v>
      </c>
      <c r="BV56" s="200">
        <f>IF(AND(Input_Product=Elig!$C56,Elig_MatchAll_Ct&lt;22,$BC56=(Elig_MatchAll_Ct-1),AT56=0),Q56,0)</f>
        <v>0</v>
      </c>
      <c r="BW56" s="201">
        <f>IF(AND(Input_Product=Elig!$C56,Elig_MatchAll_Ct&lt;22,$BC56=(Elig_MatchAll_Ct-1),AU56=0),R56,0)</f>
        <v>0</v>
      </c>
      <c r="BX56" s="202">
        <f>IF(AND(Input_Product=Elig!$C56,Elig_MatchAll_Ct&lt;22,$BC56=(Elig_MatchAll_Ct-1),AU56=0),S56,0)</f>
        <v>0</v>
      </c>
      <c r="BY56" s="201">
        <f>IF(AND(Input_Product=Elig!$C56,Elig_MatchAll_Ct&lt;22,$BC56=(Elig_MatchAll_Ct-1),AV56=0),T56,0)</f>
        <v>0</v>
      </c>
      <c r="BZ56" s="202">
        <f>IF(AND(Input_Product=Elig!$C56,Elig_MatchAll_Ct&lt;22,$BC56=(Elig_MatchAll_Ct-1),AV56=0),U56,0)</f>
        <v>0</v>
      </c>
      <c r="CA56" s="201">
        <f>IF(AND(Input_Product=Elig!$C56,Elig_MatchAll_Ct&lt;22,$BC56=(Elig_MatchAll_Ct-1),AW56=0),V56,0)</f>
        <v>0</v>
      </c>
      <c r="CB56" s="202">
        <f>IF(AND(Input_Product=Elig!$C56,Elig_MatchAll_Ct&lt;22,$BC56=(Elig_MatchAll_Ct-1),AW56=0),W56,0)</f>
        <v>0</v>
      </c>
      <c r="CC56" s="201">
        <f>IF(AND(Input_Product=Elig!$C56,Elig_MatchAll_Ct&lt;22,$BC56=(Elig_MatchAll_Ct-1),AX56=0),X56,0)</f>
        <v>0</v>
      </c>
      <c r="CD56" s="202">
        <f>IF(AND(Input_Product=Elig!$C56,Elig_MatchAll_Ct&lt;22,$BC56=(Elig_MatchAll_Ct-1),AX56=0),Y56,0)</f>
        <v>0</v>
      </c>
      <c r="CE56" s="201">
        <f>IF(AND(Input_LTV&lt;=AE56,Input_Product=Elig!$C56,Elig_MatchAll_Ct&lt;22,$BC56=(Elig_MatchAll_Ct-1),AY56=0),Z56,0)</f>
        <v>0</v>
      </c>
      <c r="CF56" s="202">
        <f>IF(AND(Input_LTV&lt;=AE56,Input_Product=Elig!$C56,Elig_MatchAll_Ct&lt;22,$BC56=(Elig_MatchAll_Ct-1),AY56=0),AA56,0)</f>
        <v>0</v>
      </c>
      <c r="CG56" s="201">
        <f>IF(AND(Input_Product=Elig!$C56,Elig_MatchAll_Ct&lt;22,$BC56=(Elig_MatchAll_Ct-1),AZ56=0),AB56,0)</f>
        <v>0</v>
      </c>
      <c r="CH56" s="202">
        <f>IF(AND(Input_Product=Elig!$C56,Elig_MatchAll_Ct&lt;22,$BC56=(Elig_MatchAll_Ct-1),AZ56=0),AC56,0)</f>
        <v>0</v>
      </c>
      <c r="CI56" s="201">
        <f>IF(AND(Input_Product=Elig!$C56,Elig_MatchAll_Ct&lt;22,$BC56=(Elig_MatchAll_Ct-1),BA56=0),AD56,0)</f>
        <v>0</v>
      </c>
      <c r="CJ56" s="203">
        <f>IF(AND(Input_Product=Elig!$C56,Elig_MatchAll_Ct&lt;22,$BC56=(Elig_MatchAll_Ct-1),BA56=0),AE56,0)</f>
        <v>0</v>
      </c>
    </row>
    <row r="57" spans="2:88" ht="10.15" customHeight="1" x14ac:dyDescent="0.25">
      <c r="B57" s="1912" t="s">
        <v>811</v>
      </c>
      <c r="C57" s="134" t="str">
        <f t="shared" si="1"/>
        <v>NonQM OO</v>
      </c>
      <c r="D57" s="135" t="s">
        <v>3885</v>
      </c>
      <c r="E57" s="135" t="s">
        <v>167</v>
      </c>
      <c r="F57" s="135" t="s">
        <v>331</v>
      </c>
      <c r="G57" s="135" t="s">
        <v>473</v>
      </c>
      <c r="H57" s="135" t="s">
        <v>136</v>
      </c>
      <c r="I57" s="136" t="s">
        <v>274</v>
      </c>
      <c r="J57" s="136" t="s">
        <v>1311</v>
      </c>
      <c r="K57" s="136" t="s">
        <v>1631</v>
      </c>
      <c r="L57" s="221" t="s">
        <v>3920</v>
      </c>
      <c r="M57" s="135" t="s">
        <v>4203</v>
      </c>
      <c r="N57" s="135" t="s">
        <v>82</v>
      </c>
      <c r="O57" s="135" t="s">
        <v>310</v>
      </c>
      <c r="P57" s="135" t="s">
        <v>291</v>
      </c>
      <c r="Q57" s="135" t="s">
        <v>294</v>
      </c>
      <c r="R57" s="221">
        <v>100000</v>
      </c>
      <c r="S57" s="135">
        <v>1000000</v>
      </c>
      <c r="T57" s="135">
        <v>0</v>
      </c>
      <c r="U57" s="135">
        <v>0</v>
      </c>
      <c r="V57" s="135">
        <v>0</v>
      </c>
      <c r="W57" s="135">
        <v>55</v>
      </c>
      <c r="X57" s="135">
        <v>0</v>
      </c>
      <c r="Y57" s="135">
        <v>999</v>
      </c>
      <c r="Z57" s="137">
        <v>680</v>
      </c>
      <c r="AA57" s="137">
        <v>699</v>
      </c>
      <c r="AB57" s="137">
        <v>3</v>
      </c>
      <c r="AC57" s="137">
        <v>999999</v>
      </c>
      <c r="AD57" s="135">
        <v>0</v>
      </c>
      <c r="AE57" s="135">
        <v>75</v>
      </c>
      <c r="AF57" s="170">
        <v>0</v>
      </c>
      <c r="AG57" s="171">
        <v>1</v>
      </c>
      <c r="AH57" s="171">
        <v>1</v>
      </c>
      <c r="AI57" s="171">
        <v>1</v>
      </c>
      <c r="AJ57" s="171">
        <v>0</v>
      </c>
      <c r="AK57" s="171">
        <v>1</v>
      </c>
      <c r="AL57" s="171">
        <v>0</v>
      </c>
      <c r="AM57" s="171">
        <v>1</v>
      </c>
      <c r="AN57" s="171">
        <v>1</v>
      </c>
      <c r="AO57" s="171">
        <v>1</v>
      </c>
      <c r="AP57" s="171">
        <v>1</v>
      </c>
      <c r="AQ57" s="171">
        <v>1</v>
      </c>
      <c r="AR57" s="171">
        <v>1</v>
      </c>
      <c r="AS57" s="171">
        <v>1</v>
      </c>
      <c r="AT57" s="171">
        <v>1</v>
      </c>
      <c r="AU57" s="171">
        <f t="shared" si="2"/>
        <v>1</v>
      </c>
      <c r="AV57" s="171">
        <f t="shared" si="3"/>
        <v>0</v>
      </c>
      <c r="AW57" s="171">
        <f t="shared" si="4"/>
        <v>1</v>
      </c>
      <c r="AX57" s="171">
        <f t="shared" si="5"/>
        <v>1</v>
      </c>
      <c r="AY57" s="171">
        <f t="shared" si="6"/>
        <v>0</v>
      </c>
      <c r="AZ57" s="171">
        <f t="shared" si="7"/>
        <v>1</v>
      </c>
      <c r="BA57" s="172">
        <f t="shared" si="8"/>
        <v>1</v>
      </c>
      <c r="BB57" s="175">
        <f t="shared" si="17"/>
        <v>17</v>
      </c>
      <c r="BC57" s="176">
        <f t="shared" si="18"/>
        <v>16</v>
      </c>
      <c r="BD57" s="176">
        <f t="shared" si="19"/>
        <v>17</v>
      </c>
      <c r="BE57" s="240" t="str">
        <f t="shared" si="12"/>
        <v/>
      </c>
      <c r="BH57" s="198">
        <f>IF(AND(Input_Product=Elig!$C57,Elig_MatchAll_Ct&lt;22,$BC57=(Elig_MatchAll_Ct-1),AF57=0),C57,0)</f>
        <v>0</v>
      </c>
      <c r="BI57" s="199">
        <f>IF(AND(Input_Product=Elig!$C57,Elig_MatchAll_Ct&lt;22,$BC57=(Elig_MatchAll_Ct-1),AG57=0),D57,0)</f>
        <v>0</v>
      </c>
      <c r="BJ57" s="199">
        <f>IF(AND(Input_Product=Elig!$C57,Elig_MatchAll_Ct&lt;22,$BC57=(Elig_MatchAll_Ct-1),AH57=0),E57,0)</f>
        <v>0</v>
      </c>
      <c r="BK57" s="199">
        <f>IF(AND(Input_Product=Elig!$C57,Elig_MatchAll_Ct&lt;22,$BC57=(Elig_MatchAll_Ct-1),AI57=0),F57,0)</f>
        <v>0</v>
      </c>
      <c r="BL57" s="199">
        <f>IF(AND(Input_Product=Elig!$C57,Elig_MatchAll_Ct&lt;22,$BC57=(Elig_MatchAll_Ct-1),AJ57=0),G57,0)</f>
        <v>0</v>
      </c>
      <c r="BM57" s="199">
        <f>IF(AND(Input_Product=Elig!$C57,Elig_MatchAll_Ct&lt;22,$BC57=(Elig_MatchAll_Ct-1),AK57=0),H57,0)</f>
        <v>0</v>
      </c>
      <c r="BN57" s="199">
        <f>IF(AND(Input_Product=Elig!$C57,Elig_MatchAll_Ct&lt;22,$BC57=(Elig_MatchAll_Ct-1),AL57=0),I57,0)</f>
        <v>0</v>
      </c>
      <c r="BO57" s="199">
        <f>IF(AND(Input_Product=Elig!$C57,Elig_MatchAll_Ct&lt;22,$BC57=(Elig_MatchAll_Ct-1),AM57=0),J57,0)</f>
        <v>0</v>
      </c>
      <c r="BP57" s="199">
        <f>IF(AND(Input_Product=Elig!$C57,Elig_MatchAll_Ct&lt;22,$BC57=(Elig_MatchAll_Ct-1),AN57=0),K57,0)</f>
        <v>0</v>
      </c>
      <c r="BQ57" s="199">
        <f>IF(AND(Input_Product=Elig!$C57,Elig_MatchAll_Ct&lt;22,$BC57=(Elig_MatchAll_Ct-1),AP57=0),L57,0)</f>
        <v>0</v>
      </c>
      <c r="BR57" s="199">
        <f>IF(AND(Input_Product=Elig!$C57,Elig_MatchAll_Ct&lt;22,$BC57=(Elig_MatchAll_Ct-1),AO57=0),M57,0)</f>
        <v>0</v>
      </c>
      <c r="BS57" s="199">
        <f>IF(AND(Input_Product=Elig!$C57,Elig_MatchAll_Ct&lt;22,$BC57=(Elig_MatchAll_Ct-1),AQ57=0),N57,0)</f>
        <v>0</v>
      </c>
      <c r="BT57" s="199">
        <f>IF(AND(Input_Product=Elig!$C57,Elig_MatchAll_Ct&lt;22,$BC57=(Elig_MatchAll_Ct-1),AR57=0),O57,0)</f>
        <v>0</v>
      </c>
      <c r="BU57" s="199">
        <f>IF(AND(Input_Product=Elig!$C57,Elig_MatchAll_Ct&lt;22,$BC57=(Elig_MatchAll_Ct-1),AS57=0),P57,0)</f>
        <v>0</v>
      </c>
      <c r="BV57" s="200">
        <f>IF(AND(Input_Product=Elig!$C57,Elig_MatchAll_Ct&lt;22,$BC57=(Elig_MatchAll_Ct-1),AT57=0),Q57,0)</f>
        <v>0</v>
      </c>
      <c r="BW57" s="201">
        <f>IF(AND(Input_Product=Elig!$C57,Elig_MatchAll_Ct&lt;22,$BC57=(Elig_MatchAll_Ct-1),AU57=0),R57,0)</f>
        <v>0</v>
      </c>
      <c r="BX57" s="202">
        <f>IF(AND(Input_Product=Elig!$C57,Elig_MatchAll_Ct&lt;22,$BC57=(Elig_MatchAll_Ct-1),AU57=0),S57,0)</f>
        <v>0</v>
      </c>
      <c r="BY57" s="201">
        <f>IF(AND(Input_Product=Elig!$C57,Elig_MatchAll_Ct&lt;22,$BC57=(Elig_MatchAll_Ct-1),AV57=0),T57,0)</f>
        <v>0</v>
      </c>
      <c r="BZ57" s="202">
        <f>IF(AND(Input_Product=Elig!$C57,Elig_MatchAll_Ct&lt;22,$BC57=(Elig_MatchAll_Ct-1),AV57=0),U57,0)</f>
        <v>0</v>
      </c>
      <c r="CA57" s="201">
        <f>IF(AND(Input_Product=Elig!$C57,Elig_MatchAll_Ct&lt;22,$BC57=(Elig_MatchAll_Ct-1),AW57=0),V57,0)</f>
        <v>0</v>
      </c>
      <c r="CB57" s="202">
        <f>IF(AND(Input_Product=Elig!$C57,Elig_MatchAll_Ct&lt;22,$BC57=(Elig_MatchAll_Ct-1),AW57=0),W57,0)</f>
        <v>0</v>
      </c>
      <c r="CC57" s="201">
        <f>IF(AND(Input_Product=Elig!$C57,Elig_MatchAll_Ct&lt;22,$BC57=(Elig_MatchAll_Ct-1),AX57=0),X57,0)</f>
        <v>0</v>
      </c>
      <c r="CD57" s="202">
        <f>IF(AND(Input_Product=Elig!$C57,Elig_MatchAll_Ct&lt;22,$BC57=(Elig_MatchAll_Ct-1),AX57=0),Y57,0)</f>
        <v>0</v>
      </c>
      <c r="CE57" s="201">
        <f>IF(AND(Input_LTV&lt;=AE57,Input_Product=Elig!$C57,Elig_MatchAll_Ct&lt;22,$BC57=(Elig_MatchAll_Ct-1),AY57=0),Z57,0)</f>
        <v>0</v>
      </c>
      <c r="CF57" s="202">
        <f>IF(AND(Input_LTV&lt;=AE57,Input_Product=Elig!$C57,Elig_MatchAll_Ct&lt;22,$BC57=(Elig_MatchAll_Ct-1),AY57=0),AA57,0)</f>
        <v>0</v>
      </c>
      <c r="CG57" s="201">
        <f>IF(AND(Input_Product=Elig!$C57,Elig_MatchAll_Ct&lt;22,$BC57=(Elig_MatchAll_Ct-1),AZ57=0),AB57,0)</f>
        <v>0</v>
      </c>
      <c r="CH57" s="202">
        <f>IF(AND(Input_Product=Elig!$C57,Elig_MatchAll_Ct&lt;22,$BC57=(Elig_MatchAll_Ct-1),AZ57=0),AC57,0)</f>
        <v>0</v>
      </c>
      <c r="CI57" s="201">
        <f>IF(AND(Input_Product=Elig!$C57,Elig_MatchAll_Ct&lt;22,$BC57=(Elig_MatchAll_Ct-1),BA57=0),AD57,0)</f>
        <v>0</v>
      </c>
      <c r="CJ57" s="203">
        <f>IF(AND(Input_Product=Elig!$C57,Elig_MatchAll_Ct&lt;22,$BC57=(Elig_MatchAll_Ct-1),BA57=0),AE57,0)</f>
        <v>0</v>
      </c>
    </row>
    <row r="58" spans="2:88" ht="10.15" customHeight="1" x14ac:dyDescent="0.25">
      <c r="B58" s="1912" t="s">
        <v>812</v>
      </c>
      <c r="C58" s="134" t="str">
        <f t="shared" si="1"/>
        <v>NonQM OO</v>
      </c>
      <c r="D58" s="135" t="s">
        <v>3885</v>
      </c>
      <c r="E58" s="135" t="s">
        <v>167</v>
      </c>
      <c r="F58" s="135" t="s">
        <v>331</v>
      </c>
      <c r="G58" s="135" t="s">
        <v>473</v>
      </c>
      <c r="H58" s="135" t="s">
        <v>136</v>
      </c>
      <c r="I58" s="135" t="s">
        <v>274</v>
      </c>
      <c r="J58" s="135" t="s">
        <v>1311</v>
      </c>
      <c r="K58" s="135" t="s">
        <v>1631</v>
      </c>
      <c r="L58" s="221" t="s">
        <v>3920</v>
      </c>
      <c r="M58" s="135" t="s">
        <v>4203</v>
      </c>
      <c r="N58" s="135" t="s">
        <v>82</v>
      </c>
      <c r="O58" s="135" t="s">
        <v>310</v>
      </c>
      <c r="P58" s="135" t="s">
        <v>291</v>
      </c>
      <c r="Q58" s="135" t="s">
        <v>294</v>
      </c>
      <c r="R58" s="221">
        <v>100000</v>
      </c>
      <c r="S58" s="135">
        <v>1000000</v>
      </c>
      <c r="T58" s="135">
        <v>0</v>
      </c>
      <c r="U58" s="135">
        <v>0</v>
      </c>
      <c r="V58" s="135">
        <v>0</v>
      </c>
      <c r="W58" s="135">
        <v>55</v>
      </c>
      <c r="X58" s="135">
        <v>0</v>
      </c>
      <c r="Y58" s="135">
        <v>999</v>
      </c>
      <c r="Z58" s="137">
        <v>660</v>
      </c>
      <c r="AA58" s="137">
        <v>679</v>
      </c>
      <c r="AB58" s="137">
        <v>3</v>
      </c>
      <c r="AC58" s="137">
        <v>999999</v>
      </c>
      <c r="AD58" s="135">
        <v>0</v>
      </c>
      <c r="AE58" s="135">
        <v>75</v>
      </c>
      <c r="AF58" s="170">
        <v>0</v>
      </c>
      <c r="AG58" s="171">
        <v>1</v>
      </c>
      <c r="AH58" s="171">
        <v>1</v>
      </c>
      <c r="AI58" s="171">
        <v>1</v>
      </c>
      <c r="AJ58" s="171">
        <v>0</v>
      </c>
      <c r="AK58" s="171">
        <v>1</v>
      </c>
      <c r="AL58" s="171">
        <v>0</v>
      </c>
      <c r="AM58" s="171">
        <v>1</v>
      </c>
      <c r="AN58" s="171">
        <v>1</v>
      </c>
      <c r="AO58" s="171">
        <v>1</v>
      </c>
      <c r="AP58" s="171">
        <v>1</v>
      </c>
      <c r="AQ58" s="171">
        <v>1</v>
      </c>
      <c r="AR58" s="171">
        <v>1</v>
      </c>
      <c r="AS58" s="171">
        <v>1</v>
      </c>
      <c r="AT58" s="171">
        <v>1</v>
      </c>
      <c r="AU58" s="171">
        <f t="shared" si="2"/>
        <v>1</v>
      </c>
      <c r="AV58" s="171">
        <f t="shared" si="3"/>
        <v>0</v>
      </c>
      <c r="AW58" s="171">
        <f t="shared" si="4"/>
        <v>1</v>
      </c>
      <c r="AX58" s="171">
        <f t="shared" si="5"/>
        <v>1</v>
      </c>
      <c r="AY58" s="171">
        <f t="shared" si="6"/>
        <v>0</v>
      </c>
      <c r="AZ58" s="171">
        <f t="shared" si="7"/>
        <v>1</v>
      </c>
      <c r="BA58" s="172">
        <f t="shared" si="8"/>
        <v>1</v>
      </c>
      <c r="BB58" s="175">
        <f t="shared" si="17"/>
        <v>17</v>
      </c>
      <c r="BC58" s="176">
        <f t="shared" si="18"/>
        <v>16</v>
      </c>
      <c r="BD58" s="176">
        <f t="shared" si="19"/>
        <v>17</v>
      </c>
      <c r="BE58" s="240" t="str">
        <f t="shared" si="12"/>
        <v/>
      </c>
      <c r="BH58" s="198">
        <f>IF(AND(Input_Product=Elig!$C58,Elig_MatchAll_Ct&lt;22,$BC58=(Elig_MatchAll_Ct-1),AF58=0),C58,0)</f>
        <v>0</v>
      </c>
      <c r="BI58" s="199">
        <f>IF(AND(Input_Product=Elig!$C58,Elig_MatchAll_Ct&lt;22,$BC58=(Elig_MatchAll_Ct-1),AG58=0),D58,0)</f>
        <v>0</v>
      </c>
      <c r="BJ58" s="199">
        <f>IF(AND(Input_Product=Elig!$C58,Elig_MatchAll_Ct&lt;22,$BC58=(Elig_MatchAll_Ct-1),AH58=0),E58,0)</f>
        <v>0</v>
      </c>
      <c r="BK58" s="199">
        <f>IF(AND(Input_Product=Elig!$C58,Elig_MatchAll_Ct&lt;22,$BC58=(Elig_MatchAll_Ct-1),AI58=0),F58,0)</f>
        <v>0</v>
      </c>
      <c r="BL58" s="199">
        <f>IF(AND(Input_Product=Elig!$C58,Elig_MatchAll_Ct&lt;22,$BC58=(Elig_MatchAll_Ct-1),AJ58=0),G58,0)</f>
        <v>0</v>
      </c>
      <c r="BM58" s="199">
        <f>IF(AND(Input_Product=Elig!$C58,Elig_MatchAll_Ct&lt;22,$BC58=(Elig_MatchAll_Ct-1),AK58=0),H58,0)</f>
        <v>0</v>
      </c>
      <c r="BN58" s="199">
        <f>IF(AND(Input_Product=Elig!$C58,Elig_MatchAll_Ct&lt;22,$BC58=(Elig_MatchAll_Ct-1),AL58=0),I58,0)</f>
        <v>0</v>
      </c>
      <c r="BO58" s="199">
        <f>IF(AND(Input_Product=Elig!$C58,Elig_MatchAll_Ct&lt;22,$BC58=(Elig_MatchAll_Ct-1),AM58=0),J58,0)</f>
        <v>0</v>
      </c>
      <c r="BP58" s="199">
        <f>IF(AND(Input_Product=Elig!$C58,Elig_MatchAll_Ct&lt;22,$BC58=(Elig_MatchAll_Ct-1),AN58=0),K58,0)</f>
        <v>0</v>
      </c>
      <c r="BQ58" s="199">
        <f>IF(AND(Input_Product=Elig!$C58,Elig_MatchAll_Ct&lt;22,$BC58=(Elig_MatchAll_Ct-1),AP58=0),L58,0)</f>
        <v>0</v>
      </c>
      <c r="BR58" s="199">
        <f>IF(AND(Input_Product=Elig!$C58,Elig_MatchAll_Ct&lt;22,$BC58=(Elig_MatchAll_Ct-1),AO58=0),M58,0)</f>
        <v>0</v>
      </c>
      <c r="BS58" s="199">
        <f>IF(AND(Input_Product=Elig!$C58,Elig_MatchAll_Ct&lt;22,$BC58=(Elig_MatchAll_Ct-1),AQ58=0),N58,0)</f>
        <v>0</v>
      </c>
      <c r="BT58" s="199">
        <f>IF(AND(Input_Product=Elig!$C58,Elig_MatchAll_Ct&lt;22,$BC58=(Elig_MatchAll_Ct-1),AR58=0),O58,0)</f>
        <v>0</v>
      </c>
      <c r="BU58" s="199">
        <f>IF(AND(Input_Product=Elig!$C58,Elig_MatchAll_Ct&lt;22,$BC58=(Elig_MatchAll_Ct-1),AS58=0),P58,0)</f>
        <v>0</v>
      </c>
      <c r="BV58" s="200">
        <f>IF(AND(Input_Product=Elig!$C58,Elig_MatchAll_Ct&lt;22,$BC58=(Elig_MatchAll_Ct-1),AT58=0),Q58,0)</f>
        <v>0</v>
      </c>
      <c r="BW58" s="201">
        <f>IF(AND(Input_Product=Elig!$C58,Elig_MatchAll_Ct&lt;22,$BC58=(Elig_MatchAll_Ct-1),AU58=0),R58,0)</f>
        <v>0</v>
      </c>
      <c r="BX58" s="202">
        <f>IF(AND(Input_Product=Elig!$C58,Elig_MatchAll_Ct&lt;22,$BC58=(Elig_MatchAll_Ct-1),AU58=0),S58,0)</f>
        <v>0</v>
      </c>
      <c r="BY58" s="201">
        <f>IF(AND(Input_Product=Elig!$C58,Elig_MatchAll_Ct&lt;22,$BC58=(Elig_MatchAll_Ct-1),AV58=0),T58,0)</f>
        <v>0</v>
      </c>
      <c r="BZ58" s="202">
        <f>IF(AND(Input_Product=Elig!$C58,Elig_MatchAll_Ct&lt;22,$BC58=(Elig_MatchAll_Ct-1),AV58=0),U58,0)</f>
        <v>0</v>
      </c>
      <c r="CA58" s="201">
        <f>IF(AND(Input_Product=Elig!$C58,Elig_MatchAll_Ct&lt;22,$BC58=(Elig_MatchAll_Ct-1),AW58=0),V58,0)</f>
        <v>0</v>
      </c>
      <c r="CB58" s="202">
        <f>IF(AND(Input_Product=Elig!$C58,Elig_MatchAll_Ct&lt;22,$BC58=(Elig_MatchAll_Ct-1),AW58=0),W58,0)</f>
        <v>0</v>
      </c>
      <c r="CC58" s="201">
        <f>IF(AND(Input_Product=Elig!$C58,Elig_MatchAll_Ct&lt;22,$BC58=(Elig_MatchAll_Ct-1),AX58=0),X58,0)</f>
        <v>0</v>
      </c>
      <c r="CD58" s="202">
        <f>IF(AND(Input_Product=Elig!$C58,Elig_MatchAll_Ct&lt;22,$BC58=(Elig_MatchAll_Ct-1),AX58=0),Y58,0)</f>
        <v>0</v>
      </c>
      <c r="CE58" s="201">
        <f>IF(AND(Input_LTV&lt;=AE58,Input_Product=Elig!$C58,Elig_MatchAll_Ct&lt;22,$BC58=(Elig_MatchAll_Ct-1),AY58=0),Z58,0)</f>
        <v>0</v>
      </c>
      <c r="CF58" s="202">
        <f>IF(AND(Input_LTV&lt;=AE58,Input_Product=Elig!$C58,Elig_MatchAll_Ct&lt;22,$BC58=(Elig_MatchAll_Ct-1),AY58=0),AA58,0)</f>
        <v>0</v>
      </c>
      <c r="CG58" s="201">
        <f>IF(AND(Input_Product=Elig!$C58,Elig_MatchAll_Ct&lt;22,$BC58=(Elig_MatchAll_Ct-1),AZ58=0),AB58,0)</f>
        <v>0</v>
      </c>
      <c r="CH58" s="202">
        <f>IF(AND(Input_Product=Elig!$C58,Elig_MatchAll_Ct&lt;22,$BC58=(Elig_MatchAll_Ct-1),AZ58=0),AC58,0)</f>
        <v>0</v>
      </c>
      <c r="CI58" s="201">
        <f>IF(AND(Input_Product=Elig!$C58,Elig_MatchAll_Ct&lt;22,$BC58=(Elig_MatchAll_Ct-1),BA58=0),AD58,0)</f>
        <v>0</v>
      </c>
      <c r="CJ58" s="203">
        <f>IF(AND(Input_Product=Elig!$C58,Elig_MatchAll_Ct&lt;22,$BC58=(Elig_MatchAll_Ct-1),BA58=0),AE58,0)</f>
        <v>0</v>
      </c>
    </row>
    <row r="59" spans="2:88" ht="10.15" customHeight="1" x14ac:dyDescent="0.25">
      <c r="B59" s="1912" t="s">
        <v>813</v>
      </c>
      <c r="C59" s="134" t="str">
        <f t="shared" si="1"/>
        <v>NonQM OO</v>
      </c>
      <c r="D59" s="135" t="s">
        <v>3885</v>
      </c>
      <c r="E59" s="135" t="s">
        <v>167</v>
      </c>
      <c r="F59" s="135" t="s">
        <v>331</v>
      </c>
      <c r="G59" s="135" t="s">
        <v>473</v>
      </c>
      <c r="H59" s="135" t="s">
        <v>136</v>
      </c>
      <c r="I59" s="135" t="s">
        <v>274</v>
      </c>
      <c r="J59" s="135" t="s">
        <v>1311</v>
      </c>
      <c r="K59" s="135" t="s">
        <v>1631</v>
      </c>
      <c r="L59" s="221" t="s">
        <v>3920</v>
      </c>
      <c r="M59" s="135" t="s">
        <v>4203</v>
      </c>
      <c r="N59" s="135" t="s">
        <v>82</v>
      </c>
      <c r="O59" s="135" t="s">
        <v>310</v>
      </c>
      <c r="P59" s="135" t="s">
        <v>291</v>
      </c>
      <c r="Q59" s="135" t="s">
        <v>294</v>
      </c>
      <c r="R59" s="221">
        <v>100000</v>
      </c>
      <c r="S59" s="135">
        <v>1000000</v>
      </c>
      <c r="T59" s="135">
        <v>0</v>
      </c>
      <c r="U59" s="135">
        <v>0</v>
      </c>
      <c r="V59" s="135">
        <v>0</v>
      </c>
      <c r="W59" s="135">
        <v>55</v>
      </c>
      <c r="X59" s="135">
        <v>0</v>
      </c>
      <c r="Y59" s="135">
        <v>999</v>
      </c>
      <c r="Z59" s="137">
        <v>640</v>
      </c>
      <c r="AA59" s="137">
        <v>659</v>
      </c>
      <c r="AB59" s="137">
        <v>3</v>
      </c>
      <c r="AC59" s="137">
        <v>999999</v>
      </c>
      <c r="AD59" s="135">
        <v>0</v>
      </c>
      <c r="AE59" s="135">
        <v>-999</v>
      </c>
      <c r="AF59" s="170">
        <v>0</v>
      </c>
      <c r="AG59" s="171">
        <v>1</v>
      </c>
      <c r="AH59" s="171">
        <v>1</v>
      </c>
      <c r="AI59" s="171">
        <v>1</v>
      </c>
      <c r="AJ59" s="171">
        <v>0</v>
      </c>
      <c r="AK59" s="171">
        <v>1</v>
      </c>
      <c r="AL59" s="171">
        <v>0</v>
      </c>
      <c r="AM59" s="171">
        <v>1</v>
      </c>
      <c r="AN59" s="171">
        <v>1</v>
      </c>
      <c r="AO59" s="171">
        <v>1</v>
      </c>
      <c r="AP59" s="171">
        <v>1</v>
      </c>
      <c r="AQ59" s="171">
        <v>1</v>
      </c>
      <c r="AR59" s="171">
        <v>1</v>
      </c>
      <c r="AS59" s="171">
        <v>1</v>
      </c>
      <c r="AT59" s="171">
        <v>1</v>
      </c>
      <c r="AU59" s="171">
        <f t="shared" si="2"/>
        <v>1</v>
      </c>
      <c r="AV59" s="171">
        <f t="shared" si="3"/>
        <v>0</v>
      </c>
      <c r="AW59" s="171">
        <f t="shared" si="4"/>
        <v>1</v>
      </c>
      <c r="AX59" s="171">
        <f t="shared" si="5"/>
        <v>1</v>
      </c>
      <c r="AY59" s="171">
        <f t="shared" si="6"/>
        <v>0</v>
      </c>
      <c r="AZ59" s="171">
        <f t="shared" si="7"/>
        <v>1</v>
      </c>
      <c r="BA59" s="172">
        <f t="shared" si="8"/>
        <v>0</v>
      </c>
      <c r="BB59" s="175">
        <f t="shared" si="17"/>
        <v>16</v>
      </c>
      <c r="BC59" s="176">
        <f t="shared" si="18"/>
        <v>16</v>
      </c>
      <c r="BD59" s="176">
        <f t="shared" si="19"/>
        <v>16</v>
      </c>
      <c r="BE59" s="240" t="str">
        <f t="shared" si="12"/>
        <v/>
      </c>
      <c r="BH59" s="198">
        <f>IF(AND(Input_Product=Elig!$C59,Elig_MatchAll_Ct&lt;22,$BC59=(Elig_MatchAll_Ct-1),AF59=0),C59,0)</f>
        <v>0</v>
      </c>
      <c r="BI59" s="199">
        <f>IF(AND(Input_Product=Elig!$C59,Elig_MatchAll_Ct&lt;22,$BC59=(Elig_MatchAll_Ct-1),AG59=0),D59,0)</f>
        <v>0</v>
      </c>
      <c r="BJ59" s="199">
        <f>IF(AND(Input_Product=Elig!$C59,Elig_MatchAll_Ct&lt;22,$BC59=(Elig_MatchAll_Ct-1),AH59=0),E59,0)</f>
        <v>0</v>
      </c>
      <c r="BK59" s="199">
        <f>IF(AND(Input_Product=Elig!$C59,Elig_MatchAll_Ct&lt;22,$BC59=(Elig_MatchAll_Ct-1),AI59=0),F59,0)</f>
        <v>0</v>
      </c>
      <c r="BL59" s="199">
        <f>IF(AND(Input_Product=Elig!$C59,Elig_MatchAll_Ct&lt;22,$BC59=(Elig_MatchAll_Ct-1),AJ59=0),G59,0)</f>
        <v>0</v>
      </c>
      <c r="BM59" s="199">
        <f>IF(AND(Input_Product=Elig!$C59,Elig_MatchAll_Ct&lt;22,$BC59=(Elig_MatchAll_Ct-1),AK59=0),H59,0)</f>
        <v>0</v>
      </c>
      <c r="BN59" s="199">
        <f>IF(AND(Input_Product=Elig!$C59,Elig_MatchAll_Ct&lt;22,$BC59=(Elig_MatchAll_Ct-1),AL59=0),I59,0)</f>
        <v>0</v>
      </c>
      <c r="BO59" s="199">
        <f>IF(AND(Input_Product=Elig!$C59,Elig_MatchAll_Ct&lt;22,$BC59=(Elig_MatchAll_Ct-1),AM59=0),J59,0)</f>
        <v>0</v>
      </c>
      <c r="BP59" s="199">
        <f>IF(AND(Input_Product=Elig!$C59,Elig_MatchAll_Ct&lt;22,$BC59=(Elig_MatchAll_Ct-1),AN59=0),K59,0)</f>
        <v>0</v>
      </c>
      <c r="BQ59" s="199">
        <f>IF(AND(Input_Product=Elig!$C59,Elig_MatchAll_Ct&lt;22,$BC59=(Elig_MatchAll_Ct-1),AP59=0),L59,0)</f>
        <v>0</v>
      </c>
      <c r="BR59" s="199">
        <f>IF(AND(Input_Product=Elig!$C59,Elig_MatchAll_Ct&lt;22,$BC59=(Elig_MatchAll_Ct-1),AO59=0),M59,0)</f>
        <v>0</v>
      </c>
      <c r="BS59" s="199">
        <f>IF(AND(Input_Product=Elig!$C59,Elig_MatchAll_Ct&lt;22,$BC59=(Elig_MatchAll_Ct-1),AQ59=0),N59,0)</f>
        <v>0</v>
      </c>
      <c r="BT59" s="199">
        <f>IF(AND(Input_Product=Elig!$C59,Elig_MatchAll_Ct&lt;22,$BC59=(Elig_MatchAll_Ct-1),AR59=0),O59,0)</f>
        <v>0</v>
      </c>
      <c r="BU59" s="199">
        <f>IF(AND(Input_Product=Elig!$C59,Elig_MatchAll_Ct&lt;22,$BC59=(Elig_MatchAll_Ct-1),AS59=0),P59,0)</f>
        <v>0</v>
      </c>
      <c r="BV59" s="200">
        <f>IF(AND(Input_Product=Elig!$C59,Elig_MatchAll_Ct&lt;22,$BC59=(Elig_MatchAll_Ct-1),AT59=0),Q59,0)</f>
        <v>0</v>
      </c>
      <c r="BW59" s="201">
        <f>IF(AND(Input_Product=Elig!$C59,Elig_MatchAll_Ct&lt;22,$BC59=(Elig_MatchAll_Ct-1),AU59=0),R59,0)</f>
        <v>0</v>
      </c>
      <c r="BX59" s="202">
        <f>IF(AND(Input_Product=Elig!$C59,Elig_MatchAll_Ct&lt;22,$BC59=(Elig_MatchAll_Ct-1),AU59=0),S59,0)</f>
        <v>0</v>
      </c>
      <c r="BY59" s="201">
        <f>IF(AND(Input_Product=Elig!$C59,Elig_MatchAll_Ct&lt;22,$BC59=(Elig_MatchAll_Ct-1),AV59=0),T59,0)</f>
        <v>0</v>
      </c>
      <c r="BZ59" s="202">
        <f>IF(AND(Input_Product=Elig!$C59,Elig_MatchAll_Ct&lt;22,$BC59=(Elig_MatchAll_Ct-1),AV59=0),U59,0)</f>
        <v>0</v>
      </c>
      <c r="CA59" s="201">
        <f>IF(AND(Input_Product=Elig!$C59,Elig_MatchAll_Ct&lt;22,$BC59=(Elig_MatchAll_Ct-1),AW59=0),V59,0)</f>
        <v>0</v>
      </c>
      <c r="CB59" s="202">
        <f>IF(AND(Input_Product=Elig!$C59,Elig_MatchAll_Ct&lt;22,$BC59=(Elig_MatchAll_Ct-1),AW59=0),W59,0)</f>
        <v>0</v>
      </c>
      <c r="CC59" s="201">
        <f>IF(AND(Input_Product=Elig!$C59,Elig_MatchAll_Ct&lt;22,$BC59=(Elig_MatchAll_Ct-1),AX59=0),X59,0)</f>
        <v>0</v>
      </c>
      <c r="CD59" s="202">
        <f>IF(AND(Input_Product=Elig!$C59,Elig_MatchAll_Ct&lt;22,$BC59=(Elig_MatchAll_Ct-1),AX59=0),Y59,0)</f>
        <v>0</v>
      </c>
      <c r="CE59" s="201">
        <f>IF(AND(Input_LTV&lt;=AE59,Input_Product=Elig!$C59,Elig_MatchAll_Ct&lt;22,$BC59=(Elig_MatchAll_Ct-1),AY59=0),Z59,0)</f>
        <v>0</v>
      </c>
      <c r="CF59" s="202">
        <f>IF(AND(Input_LTV&lt;=AE59,Input_Product=Elig!$C59,Elig_MatchAll_Ct&lt;22,$BC59=(Elig_MatchAll_Ct-1),AY59=0),AA59,0)</f>
        <v>0</v>
      </c>
      <c r="CG59" s="201">
        <f>IF(AND(Input_Product=Elig!$C59,Elig_MatchAll_Ct&lt;22,$BC59=(Elig_MatchAll_Ct-1),AZ59=0),AB59,0)</f>
        <v>0</v>
      </c>
      <c r="CH59" s="202">
        <f>IF(AND(Input_Product=Elig!$C59,Elig_MatchAll_Ct&lt;22,$BC59=(Elig_MatchAll_Ct-1),AZ59=0),AC59,0)</f>
        <v>0</v>
      </c>
      <c r="CI59" s="201">
        <f>IF(AND(Input_Product=Elig!$C59,Elig_MatchAll_Ct&lt;22,$BC59=(Elig_MatchAll_Ct-1),BA59=0),AD59,0)</f>
        <v>0</v>
      </c>
      <c r="CJ59" s="203">
        <f>IF(AND(Input_Product=Elig!$C59,Elig_MatchAll_Ct&lt;22,$BC59=(Elig_MatchAll_Ct-1),BA59=0),AE59,0)</f>
        <v>0</v>
      </c>
    </row>
    <row r="60" spans="2:88" ht="10.15" customHeight="1" x14ac:dyDescent="0.25">
      <c r="B60" s="1912" t="s">
        <v>814</v>
      </c>
      <c r="C60" s="138" t="str">
        <f t="shared" si="1"/>
        <v>NonQM OO</v>
      </c>
      <c r="D60" s="139" t="s">
        <v>3885</v>
      </c>
      <c r="E60" s="139" t="s">
        <v>167</v>
      </c>
      <c r="F60" s="139" t="s">
        <v>331</v>
      </c>
      <c r="G60" s="139" t="s">
        <v>473</v>
      </c>
      <c r="H60" s="139" t="s">
        <v>136</v>
      </c>
      <c r="I60" s="139" t="s">
        <v>274</v>
      </c>
      <c r="J60" s="139" t="s">
        <v>1311</v>
      </c>
      <c r="K60" s="139" t="s">
        <v>1631</v>
      </c>
      <c r="L60" s="310" t="s">
        <v>3920</v>
      </c>
      <c r="M60" s="139" t="s">
        <v>4203</v>
      </c>
      <c r="N60" s="139" t="s">
        <v>82</v>
      </c>
      <c r="O60" s="139" t="s">
        <v>310</v>
      </c>
      <c r="P60" s="139" t="s">
        <v>291</v>
      </c>
      <c r="Q60" s="139" t="s">
        <v>294</v>
      </c>
      <c r="R60" s="310">
        <v>100000</v>
      </c>
      <c r="S60" s="139">
        <v>1000000</v>
      </c>
      <c r="T60" s="139">
        <v>0</v>
      </c>
      <c r="U60" s="139">
        <v>0</v>
      </c>
      <c r="V60" s="139">
        <v>0</v>
      </c>
      <c r="W60" s="139">
        <v>55</v>
      </c>
      <c r="X60" s="139">
        <v>0</v>
      </c>
      <c r="Y60" s="139">
        <v>999</v>
      </c>
      <c r="Z60" s="140">
        <v>620</v>
      </c>
      <c r="AA60" s="140">
        <v>639</v>
      </c>
      <c r="AB60" s="140">
        <v>3</v>
      </c>
      <c r="AC60" s="140">
        <v>999999</v>
      </c>
      <c r="AD60" s="139">
        <v>0</v>
      </c>
      <c r="AE60" s="139">
        <v>-999</v>
      </c>
      <c r="AF60" s="170">
        <v>0</v>
      </c>
      <c r="AG60" s="171">
        <v>1</v>
      </c>
      <c r="AH60" s="171">
        <v>1</v>
      </c>
      <c r="AI60" s="171">
        <v>1</v>
      </c>
      <c r="AJ60" s="171">
        <v>0</v>
      </c>
      <c r="AK60" s="171">
        <v>1</v>
      </c>
      <c r="AL60" s="171">
        <v>0</v>
      </c>
      <c r="AM60" s="171">
        <v>1</v>
      </c>
      <c r="AN60" s="171">
        <v>1</v>
      </c>
      <c r="AO60" s="171">
        <v>1</v>
      </c>
      <c r="AP60" s="171">
        <v>1</v>
      </c>
      <c r="AQ60" s="171">
        <v>1</v>
      </c>
      <c r="AR60" s="171">
        <v>1</v>
      </c>
      <c r="AS60" s="171">
        <v>1</v>
      </c>
      <c r="AT60" s="171">
        <v>1</v>
      </c>
      <c r="AU60" s="171">
        <f t="shared" si="2"/>
        <v>1</v>
      </c>
      <c r="AV60" s="171">
        <f t="shared" si="3"/>
        <v>0</v>
      </c>
      <c r="AW60" s="171">
        <f t="shared" si="4"/>
        <v>1</v>
      </c>
      <c r="AX60" s="171">
        <f t="shared" si="5"/>
        <v>1</v>
      </c>
      <c r="AY60" s="171">
        <f t="shared" si="6"/>
        <v>0</v>
      </c>
      <c r="AZ60" s="171">
        <f t="shared" si="7"/>
        <v>1</v>
      </c>
      <c r="BA60" s="172">
        <f t="shared" si="8"/>
        <v>0</v>
      </c>
      <c r="BB60" s="175">
        <f t="shared" si="17"/>
        <v>16</v>
      </c>
      <c r="BC60" s="176">
        <f t="shared" si="18"/>
        <v>16</v>
      </c>
      <c r="BD60" s="176">
        <f t="shared" si="19"/>
        <v>16</v>
      </c>
      <c r="BE60" s="240" t="str">
        <f t="shared" si="12"/>
        <v/>
      </c>
      <c r="BH60" s="204">
        <f>IF(AND(Input_Product=Elig!$C60,Elig_MatchAll_Ct&lt;22,$BC60=(Elig_MatchAll_Ct-1),AF60=0),C60,0)</f>
        <v>0</v>
      </c>
      <c r="BI60" s="205">
        <f>IF(AND(Input_Product=Elig!$C60,Elig_MatchAll_Ct&lt;22,$BC60=(Elig_MatchAll_Ct-1),AG60=0),D60,0)</f>
        <v>0</v>
      </c>
      <c r="BJ60" s="205">
        <f>IF(AND(Input_Product=Elig!$C60,Elig_MatchAll_Ct&lt;22,$BC60=(Elig_MatchAll_Ct-1),AH60=0),E60,0)</f>
        <v>0</v>
      </c>
      <c r="BK60" s="205">
        <f>IF(AND(Input_Product=Elig!$C60,Elig_MatchAll_Ct&lt;22,$BC60=(Elig_MatchAll_Ct-1),AI60=0),F60,0)</f>
        <v>0</v>
      </c>
      <c r="BL60" s="205">
        <f>IF(AND(Input_Product=Elig!$C60,Elig_MatchAll_Ct&lt;22,$BC60=(Elig_MatchAll_Ct-1),AJ60=0),G60,0)</f>
        <v>0</v>
      </c>
      <c r="BM60" s="205">
        <f>IF(AND(Input_Product=Elig!$C60,Elig_MatchAll_Ct&lt;22,$BC60=(Elig_MatchAll_Ct-1),AK60=0),H60,0)</f>
        <v>0</v>
      </c>
      <c r="BN60" s="205">
        <f>IF(AND(Input_Product=Elig!$C60,Elig_MatchAll_Ct&lt;22,$BC60=(Elig_MatchAll_Ct-1),AL60=0),I60,0)</f>
        <v>0</v>
      </c>
      <c r="BO60" s="205">
        <f>IF(AND(Input_Product=Elig!$C60,Elig_MatchAll_Ct&lt;22,$BC60=(Elig_MatchAll_Ct-1),AM60=0),J60,0)</f>
        <v>0</v>
      </c>
      <c r="BP60" s="205">
        <f>IF(AND(Input_Product=Elig!$C60,Elig_MatchAll_Ct&lt;22,$BC60=(Elig_MatchAll_Ct-1),AN60=0),K60,0)</f>
        <v>0</v>
      </c>
      <c r="BQ60" s="205">
        <f>IF(AND(Input_Product=Elig!$C60,Elig_MatchAll_Ct&lt;22,$BC60=(Elig_MatchAll_Ct-1),AP60=0),L60,0)</f>
        <v>0</v>
      </c>
      <c r="BR60" s="205">
        <f>IF(AND(Input_Product=Elig!$C60,Elig_MatchAll_Ct&lt;22,$BC60=(Elig_MatchAll_Ct-1),AO60=0),M60,0)</f>
        <v>0</v>
      </c>
      <c r="BS60" s="205">
        <f>IF(AND(Input_Product=Elig!$C60,Elig_MatchAll_Ct&lt;22,$BC60=(Elig_MatchAll_Ct-1),AQ60=0),N60,0)</f>
        <v>0</v>
      </c>
      <c r="BT60" s="205">
        <f>IF(AND(Input_Product=Elig!$C60,Elig_MatchAll_Ct&lt;22,$BC60=(Elig_MatchAll_Ct-1),AR60=0),O60,0)</f>
        <v>0</v>
      </c>
      <c r="BU60" s="205">
        <f>IF(AND(Input_Product=Elig!$C60,Elig_MatchAll_Ct&lt;22,$BC60=(Elig_MatchAll_Ct-1),AS60=0),P60,0)</f>
        <v>0</v>
      </c>
      <c r="BV60" s="206">
        <f>IF(AND(Input_Product=Elig!$C60,Elig_MatchAll_Ct&lt;22,$BC60=(Elig_MatchAll_Ct-1),AT60=0),Q60,0)</f>
        <v>0</v>
      </c>
      <c r="BW60" s="207">
        <f>IF(AND(Input_Product=Elig!$C60,Elig_MatchAll_Ct&lt;22,$BC60=(Elig_MatchAll_Ct-1),AU60=0),R60,0)</f>
        <v>0</v>
      </c>
      <c r="BX60" s="208">
        <f>IF(AND(Input_Product=Elig!$C60,Elig_MatchAll_Ct&lt;22,$BC60=(Elig_MatchAll_Ct-1),AU60=0),S60,0)</f>
        <v>0</v>
      </c>
      <c r="BY60" s="207">
        <f>IF(AND(Input_Product=Elig!$C60,Elig_MatchAll_Ct&lt;22,$BC60=(Elig_MatchAll_Ct-1),AV60=0),T60,0)</f>
        <v>0</v>
      </c>
      <c r="BZ60" s="208">
        <f>IF(AND(Input_Product=Elig!$C60,Elig_MatchAll_Ct&lt;22,$BC60=(Elig_MatchAll_Ct-1),AV60=0),U60,0)</f>
        <v>0</v>
      </c>
      <c r="CA60" s="207">
        <f>IF(AND(Input_Product=Elig!$C60,Elig_MatchAll_Ct&lt;22,$BC60=(Elig_MatchAll_Ct-1),AW60=0),V60,0)</f>
        <v>0</v>
      </c>
      <c r="CB60" s="208">
        <f>IF(AND(Input_Product=Elig!$C60,Elig_MatchAll_Ct&lt;22,$BC60=(Elig_MatchAll_Ct-1),AW60=0),W60,0)</f>
        <v>0</v>
      </c>
      <c r="CC60" s="207">
        <f>IF(AND(Input_Product=Elig!$C60,Elig_MatchAll_Ct&lt;22,$BC60=(Elig_MatchAll_Ct-1),AX60=0),X60,0)</f>
        <v>0</v>
      </c>
      <c r="CD60" s="208">
        <f>IF(AND(Input_Product=Elig!$C60,Elig_MatchAll_Ct&lt;22,$BC60=(Elig_MatchAll_Ct-1),AX60=0),Y60,0)</f>
        <v>0</v>
      </c>
      <c r="CE60" s="207">
        <f>IF(AND(Input_LTV&lt;=AE60,Input_Product=Elig!$C60,Elig_MatchAll_Ct&lt;22,$BC60=(Elig_MatchAll_Ct-1),AY60=0),Z60,0)</f>
        <v>0</v>
      </c>
      <c r="CF60" s="208">
        <f>IF(AND(Input_LTV&lt;=AE60,Input_Product=Elig!$C60,Elig_MatchAll_Ct&lt;22,$BC60=(Elig_MatchAll_Ct-1),AY60=0),AA60,0)</f>
        <v>0</v>
      </c>
      <c r="CG60" s="207">
        <f>IF(AND(Input_Product=Elig!$C60,Elig_MatchAll_Ct&lt;22,$BC60=(Elig_MatchAll_Ct-1),AZ60=0),AB60,0)</f>
        <v>0</v>
      </c>
      <c r="CH60" s="208">
        <f>IF(AND(Input_Product=Elig!$C60,Elig_MatchAll_Ct&lt;22,$BC60=(Elig_MatchAll_Ct-1),AZ60=0),AC60,0)</f>
        <v>0</v>
      </c>
      <c r="CI60" s="207">
        <f>IF(AND(Input_Product=Elig!$C60,Elig_MatchAll_Ct&lt;22,$BC60=(Elig_MatchAll_Ct-1),BA60=0),AD60,0)</f>
        <v>0</v>
      </c>
      <c r="CJ60" s="209">
        <f>IF(AND(Input_Product=Elig!$C60,Elig_MatchAll_Ct&lt;22,$BC60=(Elig_MatchAll_Ct-1),BA60=0),AE60,0)</f>
        <v>0</v>
      </c>
    </row>
    <row r="61" spans="2:88" ht="10.15" customHeight="1" x14ac:dyDescent="0.25">
      <c r="B61" s="1912" t="s">
        <v>815</v>
      </c>
      <c r="C61" s="141" t="str">
        <f t="shared" si="1"/>
        <v>NonQM OO</v>
      </c>
      <c r="D61" s="142" t="s">
        <v>3885</v>
      </c>
      <c r="E61" s="143" t="s">
        <v>167</v>
      </c>
      <c r="F61" s="143" t="s">
        <v>331</v>
      </c>
      <c r="G61" s="143" t="s">
        <v>473</v>
      </c>
      <c r="H61" s="143" t="s">
        <v>136</v>
      </c>
      <c r="I61" s="142" t="s">
        <v>16</v>
      </c>
      <c r="J61" s="142" t="s">
        <v>1311</v>
      </c>
      <c r="K61" s="142" t="s">
        <v>1631</v>
      </c>
      <c r="L61" s="2131" t="s">
        <v>3920</v>
      </c>
      <c r="M61" s="143" t="s">
        <v>4203</v>
      </c>
      <c r="N61" s="143" t="s">
        <v>82</v>
      </c>
      <c r="O61" s="143" t="s">
        <v>310</v>
      </c>
      <c r="P61" s="143" t="s">
        <v>291</v>
      </c>
      <c r="Q61" s="143" t="s">
        <v>294</v>
      </c>
      <c r="R61" s="320">
        <v>100000</v>
      </c>
      <c r="S61" s="142">
        <v>1000000</v>
      </c>
      <c r="T61" s="142">
        <v>0</v>
      </c>
      <c r="U61" s="142">
        <f t="shared" ref="U61:U66" si="23">S61</f>
        <v>1000000</v>
      </c>
      <c r="V61" s="142">
        <v>0</v>
      </c>
      <c r="W61" s="142">
        <v>55</v>
      </c>
      <c r="X61" s="142">
        <v>0</v>
      </c>
      <c r="Y61" s="142">
        <v>999</v>
      </c>
      <c r="Z61" s="144">
        <v>720</v>
      </c>
      <c r="AA61" s="144">
        <v>999</v>
      </c>
      <c r="AB61" s="144">
        <v>3</v>
      </c>
      <c r="AC61" s="144">
        <v>999999</v>
      </c>
      <c r="AD61" s="142">
        <v>0</v>
      </c>
      <c r="AE61" s="142">
        <v>75</v>
      </c>
      <c r="AF61" s="170">
        <v>0</v>
      </c>
      <c r="AG61" s="171">
        <v>1</v>
      </c>
      <c r="AH61" s="171">
        <v>1</v>
      </c>
      <c r="AI61" s="171">
        <v>1</v>
      </c>
      <c r="AJ61" s="171">
        <v>0</v>
      </c>
      <c r="AK61" s="171">
        <v>1</v>
      </c>
      <c r="AL61" s="171">
        <v>1</v>
      </c>
      <c r="AM61" s="171">
        <v>1</v>
      </c>
      <c r="AN61" s="171">
        <v>1</v>
      </c>
      <c r="AO61" s="171">
        <v>1</v>
      </c>
      <c r="AP61" s="171">
        <v>1</v>
      </c>
      <c r="AQ61" s="171">
        <v>1</v>
      </c>
      <c r="AR61" s="171">
        <v>1</v>
      </c>
      <c r="AS61" s="171">
        <v>1</v>
      </c>
      <c r="AT61" s="171">
        <v>1</v>
      </c>
      <c r="AU61" s="171">
        <f t="shared" si="2"/>
        <v>1</v>
      </c>
      <c r="AV61" s="171">
        <f t="shared" si="3"/>
        <v>1</v>
      </c>
      <c r="AW61" s="171">
        <f t="shared" si="4"/>
        <v>1</v>
      </c>
      <c r="AX61" s="171">
        <f t="shared" si="5"/>
        <v>1</v>
      </c>
      <c r="AY61" s="171">
        <f t="shared" si="6"/>
        <v>1</v>
      </c>
      <c r="AZ61" s="171">
        <f t="shared" si="7"/>
        <v>1</v>
      </c>
      <c r="BA61" s="172">
        <f t="shared" si="8"/>
        <v>1</v>
      </c>
      <c r="BB61" s="175">
        <f t="shared" si="17"/>
        <v>20</v>
      </c>
      <c r="BC61" s="176">
        <f t="shared" si="18"/>
        <v>19</v>
      </c>
      <c r="BD61" s="176">
        <f t="shared" si="19"/>
        <v>20</v>
      </c>
      <c r="BE61" s="240" t="str">
        <f t="shared" si="12"/>
        <v/>
      </c>
      <c r="BH61" s="192">
        <f>IF(AND(Input_Product=Elig!$C61,Elig_MatchAll_Ct&lt;22,$BC61=(Elig_MatchAll_Ct-1),AF61=0),C61,0)</f>
        <v>0</v>
      </c>
      <c r="BI61" s="193">
        <f>IF(AND(Input_Product=Elig!$C61,Elig_MatchAll_Ct&lt;22,$BC61=(Elig_MatchAll_Ct-1),AG61=0),D61,0)</f>
        <v>0</v>
      </c>
      <c r="BJ61" s="193">
        <f>IF(AND(Input_Product=Elig!$C61,Elig_MatchAll_Ct&lt;22,$BC61=(Elig_MatchAll_Ct-1),AH61=0),E61,0)</f>
        <v>0</v>
      </c>
      <c r="BK61" s="193">
        <f>IF(AND(Input_Product=Elig!$C61,Elig_MatchAll_Ct&lt;22,$BC61=(Elig_MatchAll_Ct-1),AI61=0),F61,0)</f>
        <v>0</v>
      </c>
      <c r="BL61" s="193">
        <f>IF(AND(Input_Product=Elig!$C61,Elig_MatchAll_Ct&lt;22,$BC61=(Elig_MatchAll_Ct-1),AJ61=0),G61,0)</f>
        <v>0</v>
      </c>
      <c r="BM61" s="193">
        <f>IF(AND(Input_Product=Elig!$C61,Elig_MatchAll_Ct&lt;22,$BC61=(Elig_MatchAll_Ct-1),AK61=0),H61,0)</f>
        <v>0</v>
      </c>
      <c r="BN61" s="193">
        <f>IF(AND(Input_Product=Elig!$C61,Elig_MatchAll_Ct&lt;22,$BC61=(Elig_MatchAll_Ct-1),AL61=0),I61,0)</f>
        <v>0</v>
      </c>
      <c r="BO61" s="193">
        <f>IF(AND(Input_Product=Elig!$C61,Elig_MatchAll_Ct&lt;22,$BC61=(Elig_MatchAll_Ct-1),AM61=0),J61,0)</f>
        <v>0</v>
      </c>
      <c r="BP61" s="193">
        <f>IF(AND(Input_Product=Elig!$C61,Elig_MatchAll_Ct&lt;22,$BC61=(Elig_MatchAll_Ct-1),AN61=0),K61,0)</f>
        <v>0</v>
      </c>
      <c r="BQ61" s="193">
        <f>IF(AND(Input_Product=Elig!$C61,Elig_MatchAll_Ct&lt;22,$BC61=(Elig_MatchAll_Ct-1),AP61=0),L61,0)</f>
        <v>0</v>
      </c>
      <c r="BR61" s="193">
        <f>IF(AND(Input_Product=Elig!$C61,Elig_MatchAll_Ct&lt;22,$BC61=(Elig_MatchAll_Ct-1),AO61=0),M61,0)</f>
        <v>0</v>
      </c>
      <c r="BS61" s="193">
        <f>IF(AND(Input_Product=Elig!$C61,Elig_MatchAll_Ct&lt;22,$BC61=(Elig_MatchAll_Ct-1),AQ61=0),N61,0)</f>
        <v>0</v>
      </c>
      <c r="BT61" s="193">
        <f>IF(AND(Input_Product=Elig!$C61,Elig_MatchAll_Ct&lt;22,$BC61=(Elig_MatchAll_Ct-1),AR61=0),O61,0)</f>
        <v>0</v>
      </c>
      <c r="BU61" s="193">
        <f>IF(AND(Input_Product=Elig!$C61,Elig_MatchAll_Ct&lt;22,$BC61=(Elig_MatchAll_Ct-1),AS61=0),P61,0)</f>
        <v>0</v>
      </c>
      <c r="BV61" s="194">
        <f>IF(AND(Input_Product=Elig!$C61,Elig_MatchAll_Ct&lt;22,$BC61=(Elig_MatchAll_Ct-1),AT61=0),Q61,0)</f>
        <v>0</v>
      </c>
      <c r="BW61" s="195">
        <f>IF(AND(Input_Product=Elig!$C61,Elig_MatchAll_Ct&lt;22,$BC61=(Elig_MatchAll_Ct-1),AU61=0),R61,0)</f>
        <v>0</v>
      </c>
      <c r="BX61" s="196">
        <f>IF(AND(Input_Product=Elig!$C61,Elig_MatchAll_Ct&lt;22,$BC61=(Elig_MatchAll_Ct-1),AU61=0),S61,0)</f>
        <v>0</v>
      </c>
      <c r="BY61" s="195">
        <f>IF(AND(Input_Product=Elig!$C61,Elig_MatchAll_Ct&lt;22,$BC61=(Elig_MatchAll_Ct-1),AV61=0),T61,0)</f>
        <v>0</v>
      </c>
      <c r="BZ61" s="196">
        <f>IF(AND(Input_Product=Elig!$C61,Elig_MatchAll_Ct&lt;22,$BC61=(Elig_MatchAll_Ct-1),AV61=0),U61,0)</f>
        <v>0</v>
      </c>
      <c r="CA61" s="195">
        <f>IF(AND(Input_Product=Elig!$C61,Elig_MatchAll_Ct&lt;22,$BC61=(Elig_MatchAll_Ct-1),AW61=0),V61,0)</f>
        <v>0</v>
      </c>
      <c r="CB61" s="196">
        <f>IF(AND(Input_Product=Elig!$C61,Elig_MatchAll_Ct&lt;22,$BC61=(Elig_MatchAll_Ct-1),AW61=0),W61,0)</f>
        <v>0</v>
      </c>
      <c r="CC61" s="195">
        <f>IF(AND(Input_Product=Elig!$C61,Elig_MatchAll_Ct&lt;22,$BC61=(Elig_MatchAll_Ct-1),AX61=0),X61,0)</f>
        <v>0</v>
      </c>
      <c r="CD61" s="196">
        <f>IF(AND(Input_Product=Elig!$C61,Elig_MatchAll_Ct&lt;22,$BC61=(Elig_MatchAll_Ct-1),AX61=0),Y61,0)</f>
        <v>0</v>
      </c>
      <c r="CE61" s="195">
        <f>IF(AND(Input_LTV&lt;=AE61,Input_Product=Elig!$C61,Elig_MatchAll_Ct&lt;22,$BC61=(Elig_MatchAll_Ct-1),AY61=0),Z61,0)</f>
        <v>0</v>
      </c>
      <c r="CF61" s="196">
        <f>IF(AND(Input_LTV&lt;=AE61,Input_Product=Elig!$C61,Elig_MatchAll_Ct&lt;22,$BC61=(Elig_MatchAll_Ct-1),AY61=0),AA61,0)</f>
        <v>0</v>
      </c>
      <c r="CG61" s="195">
        <f>IF(AND(Input_Product=Elig!$C61,Elig_MatchAll_Ct&lt;22,$BC61=(Elig_MatchAll_Ct-1),AZ61=0),AB61,0)</f>
        <v>0</v>
      </c>
      <c r="CH61" s="196">
        <f>IF(AND(Input_Product=Elig!$C61,Elig_MatchAll_Ct&lt;22,$BC61=(Elig_MatchAll_Ct-1),AZ61=0),AC61,0)</f>
        <v>0</v>
      </c>
      <c r="CI61" s="195">
        <f>IF(AND(Input_Product=Elig!$C61,Elig_MatchAll_Ct&lt;22,$BC61=(Elig_MatchAll_Ct-1),BA61=0),AD61,0)</f>
        <v>0</v>
      </c>
      <c r="CJ61" s="197">
        <f>IF(AND(Input_Product=Elig!$C61,Elig_MatchAll_Ct&lt;22,$BC61=(Elig_MatchAll_Ct-1),BA61=0),AE61,0)</f>
        <v>0</v>
      </c>
    </row>
    <row r="62" spans="2:88" ht="10.15" customHeight="1" x14ac:dyDescent="0.25">
      <c r="B62" s="1912" t="s">
        <v>816</v>
      </c>
      <c r="C62" s="134" t="str">
        <f t="shared" si="1"/>
        <v>NonQM OO</v>
      </c>
      <c r="D62" s="135" t="s">
        <v>3885</v>
      </c>
      <c r="E62" s="135" t="s">
        <v>167</v>
      </c>
      <c r="F62" s="135" t="s">
        <v>331</v>
      </c>
      <c r="G62" s="135" t="s">
        <v>473</v>
      </c>
      <c r="H62" s="135" t="s">
        <v>136</v>
      </c>
      <c r="I62" s="136" t="s">
        <v>16</v>
      </c>
      <c r="J62" s="136" t="s">
        <v>1311</v>
      </c>
      <c r="K62" s="136" t="s">
        <v>1631</v>
      </c>
      <c r="L62" s="221" t="s">
        <v>3920</v>
      </c>
      <c r="M62" s="135" t="s">
        <v>4203</v>
      </c>
      <c r="N62" s="135" t="s">
        <v>82</v>
      </c>
      <c r="O62" s="135" t="s">
        <v>310</v>
      </c>
      <c r="P62" s="135" t="s">
        <v>291</v>
      </c>
      <c r="Q62" s="135" t="s">
        <v>294</v>
      </c>
      <c r="R62" s="221">
        <v>100000</v>
      </c>
      <c r="S62" s="135">
        <v>1000000</v>
      </c>
      <c r="T62" s="135">
        <v>0</v>
      </c>
      <c r="U62" s="135">
        <f t="shared" si="23"/>
        <v>1000000</v>
      </c>
      <c r="V62" s="135">
        <v>0</v>
      </c>
      <c r="W62" s="135">
        <v>55</v>
      </c>
      <c r="X62" s="135">
        <v>0</v>
      </c>
      <c r="Y62" s="135">
        <v>999</v>
      </c>
      <c r="Z62" s="137">
        <v>700</v>
      </c>
      <c r="AA62" s="137">
        <v>719</v>
      </c>
      <c r="AB62" s="137">
        <v>3</v>
      </c>
      <c r="AC62" s="137">
        <v>999999</v>
      </c>
      <c r="AD62" s="135">
        <v>0</v>
      </c>
      <c r="AE62" s="135">
        <v>75</v>
      </c>
      <c r="AF62" s="170">
        <v>0</v>
      </c>
      <c r="AG62" s="171">
        <v>1</v>
      </c>
      <c r="AH62" s="171">
        <v>1</v>
      </c>
      <c r="AI62" s="171">
        <v>1</v>
      </c>
      <c r="AJ62" s="171">
        <v>0</v>
      </c>
      <c r="AK62" s="171">
        <v>1</v>
      </c>
      <c r="AL62" s="171">
        <v>1</v>
      </c>
      <c r="AM62" s="171">
        <v>1</v>
      </c>
      <c r="AN62" s="171">
        <v>1</v>
      </c>
      <c r="AO62" s="171">
        <v>1</v>
      </c>
      <c r="AP62" s="171">
        <v>1</v>
      </c>
      <c r="AQ62" s="171">
        <v>1</v>
      </c>
      <c r="AR62" s="171">
        <v>1</v>
      </c>
      <c r="AS62" s="171">
        <v>1</v>
      </c>
      <c r="AT62" s="171">
        <v>1</v>
      </c>
      <c r="AU62" s="171">
        <f t="shared" si="2"/>
        <v>1</v>
      </c>
      <c r="AV62" s="171">
        <f t="shared" si="3"/>
        <v>1</v>
      </c>
      <c r="AW62" s="171">
        <f t="shared" si="4"/>
        <v>1</v>
      </c>
      <c r="AX62" s="171">
        <f t="shared" si="5"/>
        <v>1</v>
      </c>
      <c r="AY62" s="171">
        <f t="shared" si="6"/>
        <v>0</v>
      </c>
      <c r="AZ62" s="171">
        <f t="shared" si="7"/>
        <v>1</v>
      </c>
      <c r="BA62" s="172">
        <f t="shared" si="8"/>
        <v>1</v>
      </c>
      <c r="BB62" s="175">
        <f t="shared" si="17"/>
        <v>19</v>
      </c>
      <c r="BC62" s="176">
        <f t="shared" si="18"/>
        <v>18</v>
      </c>
      <c r="BD62" s="176">
        <f t="shared" si="19"/>
        <v>19</v>
      </c>
      <c r="BE62" s="240" t="str">
        <f t="shared" si="12"/>
        <v/>
      </c>
      <c r="BH62" s="198">
        <f>IF(AND(Input_Product=Elig!$C62,Elig_MatchAll_Ct&lt;22,$BC62=(Elig_MatchAll_Ct-1),AF62=0),C62,0)</f>
        <v>0</v>
      </c>
      <c r="BI62" s="199">
        <f>IF(AND(Input_Product=Elig!$C62,Elig_MatchAll_Ct&lt;22,$BC62=(Elig_MatchAll_Ct-1),AG62=0),D62,0)</f>
        <v>0</v>
      </c>
      <c r="BJ62" s="199">
        <f>IF(AND(Input_Product=Elig!$C62,Elig_MatchAll_Ct&lt;22,$BC62=(Elig_MatchAll_Ct-1),AH62=0),E62,0)</f>
        <v>0</v>
      </c>
      <c r="BK62" s="199">
        <f>IF(AND(Input_Product=Elig!$C62,Elig_MatchAll_Ct&lt;22,$BC62=(Elig_MatchAll_Ct-1),AI62=0),F62,0)</f>
        <v>0</v>
      </c>
      <c r="BL62" s="199">
        <f>IF(AND(Input_Product=Elig!$C62,Elig_MatchAll_Ct&lt;22,$BC62=(Elig_MatchAll_Ct-1),AJ62=0),G62,0)</f>
        <v>0</v>
      </c>
      <c r="BM62" s="199">
        <f>IF(AND(Input_Product=Elig!$C62,Elig_MatchAll_Ct&lt;22,$BC62=(Elig_MatchAll_Ct-1),AK62=0),H62,0)</f>
        <v>0</v>
      </c>
      <c r="BN62" s="199">
        <f>IF(AND(Input_Product=Elig!$C62,Elig_MatchAll_Ct&lt;22,$BC62=(Elig_MatchAll_Ct-1),AL62=0),I62,0)</f>
        <v>0</v>
      </c>
      <c r="BO62" s="199">
        <f>IF(AND(Input_Product=Elig!$C62,Elig_MatchAll_Ct&lt;22,$BC62=(Elig_MatchAll_Ct-1),AM62=0),J62,0)</f>
        <v>0</v>
      </c>
      <c r="BP62" s="199">
        <f>IF(AND(Input_Product=Elig!$C62,Elig_MatchAll_Ct&lt;22,$BC62=(Elig_MatchAll_Ct-1),AN62=0),K62,0)</f>
        <v>0</v>
      </c>
      <c r="BQ62" s="199">
        <f>IF(AND(Input_Product=Elig!$C62,Elig_MatchAll_Ct&lt;22,$BC62=(Elig_MatchAll_Ct-1),AP62=0),L62,0)</f>
        <v>0</v>
      </c>
      <c r="BR62" s="199">
        <f>IF(AND(Input_Product=Elig!$C62,Elig_MatchAll_Ct&lt;22,$BC62=(Elig_MatchAll_Ct-1),AO62=0),M62,0)</f>
        <v>0</v>
      </c>
      <c r="BS62" s="199">
        <f>IF(AND(Input_Product=Elig!$C62,Elig_MatchAll_Ct&lt;22,$BC62=(Elig_MatchAll_Ct-1),AQ62=0),N62,0)</f>
        <v>0</v>
      </c>
      <c r="BT62" s="199">
        <f>IF(AND(Input_Product=Elig!$C62,Elig_MatchAll_Ct&lt;22,$BC62=(Elig_MatchAll_Ct-1),AR62=0),O62,0)</f>
        <v>0</v>
      </c>
      <c r="BU62" s="199">
        <f>IF(AND(Input_Product=Elig!$C62,Elig_MatchAll_Ct&lt;22,$BC62=(Elig_MatchAll_Ct-1),AS62=0),P62,0)</f>
        <v>0</v>
      </c>
      <c r="BV62" s="200">
        <f>IF(AND(Input_Product=Elig!$C62,Elig_MatchAll_Ct&lt;22,$BC62=(Elig_MatchAll_Ct-1),AT62=0),Q62,0)</f>
        <v>0</v>
      </c>
      <c r="BW62" s="201">
        <f>IF(AND(Input_Product=Elig!$C62,Elig_MatchAll_Ct&lt;22,$BC62=(Elig_MatchAll_Ct-1),AU62=0),R62,0)</f>
        <v>0</v>
      </c>
      <c r="BX62" s="202">
        <f>IF(AND(Input_Product=Elig!$C62,Elig_MatchAll_Ct&lt;22,$BC62=(Elig_MatchAll_Ct-1),AU62=0),S62,0)</f>
        <v>0</v>
      </c>
      <c r="BY62" s="201">
        <f>IF(AND(Input_Product=Elig!$C62,Elig_MatchAll_Ct&lt;22,$BC62=(Elig_MatchAll_Ct-1),AV62=0),T62,0)</f>
        <v>0</v>
      </c>
      <c r="BZ62" s="202">
        <f>IF(AND(Input_Product=Elig!$C62,Elig_MatchAll_Ct&lt;22,$BC62=(Elig_MatchAll_Ct-1),AV62=0),U62,0)</f>
        <v>0</v>
      </c>
      <c r="CA62" s="201">
        <f>IF(AND(Input_Product=Elig!$C62,Elig_MatchAll_Ct&lt;22,$BC62=(Elig_MatchAll_Ct-1),AW62=0),V62,0)</f>
        <v>0</v>
      </c>
      <c r="CB62" s="202">
        <f>IF(AND(Input_Product=Elig!$C62,Elig_MatchAll_Ct&lt;22,$BC62=(Elig_MatchAll_Ct-1),AW62=0),W62,0)</f>
        <v>0</v>
      </c>
      <c r="CC62" s="201">
        <f>IF(AND(Input_Product=Elig!$C62,Elig_MatchAll_Ct&lt;22,$BC62=(Elig_MatchAll_Ct-1),AX62=0),X62,0)</f>
        <v>0</v>
      </c>
      <c r="CD62" s="202">
        <f>IF(AND(Input_Product=Elig!$C62,Elig_MatchAll_Ct&lt;22,$BC62=(Elig_MatchAll_Ct-1),AX62=0),Y62,0)</f>
        <v>0</v>
      </c>
      <c r="CE62" s="201">
        <f>IF(AND(Input_LTV&lt;=AE62,Input_Product=Elig!$C62,Elig_MatchAll_Ct&lt;22,$BC62=(Elig_MatchAll_Ct-1),AY62=0),Z62,0)</f>
        <v>0</v>
      </c>
      <c r="CF62" s="202">
        <f>IF(AND(Input_LTV&lt;=AE62,Input_Product=Elig!$C62,Elig_MatchAll_Ct&lt;22,$BC62=(Elig_MatchAll_Ct-1),AY62=0),AA62,0)</f>
        <v>0</v>
      </c>
      <c r="CG62" s="201">
        <f>IF(AND(Input_Product=Elig!$C62,Elig_MatchAll_Ct&lt;22,$BC62=(Elig_MatchAll_Ct-1),AZ62=0),AB62,0)</f>
        <v>0</v>
      </c>
      <c r="CH62" s="202">
        <f>IF(AND(Input_Product=Elig!$C62,Elig_MatchAll_Ct&lt;22,$BC62=(Elig_MatchAll_Ct-1),AZ62=0),AC62,0)</f>
        <v>0</v>
      </c>
      <c r="CI62" s="201">
        <f>IF(AND(Input_Product=Elig!$C62,Elig_MatchAll_Ct&lt;22,$BC62=(Elig_MatchAll_Ct-1),BA62=0),AD62,0)</f>
        <v>0</v>
      </c>
      <c r="CJ62" s="203">
        <f>IF(AND(Input_Product=Elig!$C62,Elig_MatchAll_Ct&lt;22,$BC62=(Elig_MatchAll_Ct-1),BA62=0),AE62,0)</f>
        <v>0</v>
      </c>
    </row>
    <row r="63" spans="2:88" ht="10.15" customHeight="1" x14ac:dyDescent="0.25">
      <c r="B63" s="1912" t="s">
        <v>817</v>
      </c>
      <c r="C63" s="134" t="str">
        <f t="shared" si="1"/>
        <v>NonQM OO</v>
      </c>
      <c r="D63" s="135" t="s">
        <v>3885</v>
      </c>
      <c r="E63" s="135" t="s">
        <v>167</v>
      </c>
      <c r="F63" s="135" t="s">
        <v>331</v>
      </c>
      <c r="G63" s="135" t="s">
        <v>473</v>
      </c>
      <c r="H63" s="135" t="s">
        <v>136</v>
      </c>
      <c r="I63" s="136" t="s">
        <v>16</v>
      </c>
      <c r="J63" s="136" t="s">
        <v>1311</v>
      </c>
      <c r="K63" s="136" t="s">
        <v>1631</v>
      </c>
      <c r="L63" s="221" t="s">
        <v>3920</v>
      </c>
      <c r="M63" s="135" t="s">
        <v>4203</v>
      </c>
      <c r="N63" s="135" t="s">
        <v>82</v>
      </c>
      <c r="O63" s="135" t="s">
        <v>310</v>
      </c>
      <c r="P63" s="135" t="s">
        <v>291</v>
      </c>
      <c r="Q63" s="135" t="s">
        <v>294</v>
      </c>
      <c r="R63" s="221">
        <v>100000</v>
      </c>
      <c r="S63" s="135">
        <v>1000000</v>
      </c>
      <c r="T63" s="135">
        <v>0</v>
      </c>
      <c r="U63" s="135">
        <f t="shared" si="23"/>
        <v>1000000</v>
      </c>
      <c r="V63" s="135">
        <v>0</v>
      </c>
      <c r="W63" s="135">
        <v>55</v>
      </c>
      <c r="X63" s="135">
        <v>0</v>
      </c>
      <c r="Y63" s="135">
        <v>999</v>
      </c>
      <c r="Z63" s="137">
        <v>680</v>
      </c>
      <c r="AA63" s="137">
        <v>699</v>
      </c>
      <c r="AB63" s="137">
        <v>3</v>
      </c>
      <c r="AC63" s="137">
        <v>999999</v>
      </c>
      <c r="AD63" s="135">
        <v>0</v>
      </c>
      <c r="AE63" s="135">
        <v>70</v>
      </c>
      <c r="AF63" s="170">
        <v>0</v>
      </c>
      <c r="AG63" s="171">
        <v>1</v>
      </c>
      <c r="AH63" s="171">
        <v>1</v>
      </c>
      <c r="AI63" s="171">
        <v>1</v>
      </c>
      <c r="AJ63" s="171">
        <v>0</v>
      </c>
      <c r="AK63" s="171">
        <v>1</v>
      </c>
      <c r="AL63" s="171">
        <v>1</v>
      </c>
      <c r="AM63" s="171">
        <v>1</v>
      </c>
      <c r="AN63" s="171">
        <v>1</v>
      </c>
      <c r="AO63" s="171">
        <v>1</v>
      </c>
      <c r="AP63" s="171">
        <v>1</v>
      </c>
      <c r="AQ63" s="171">
        <v>1</v>
      </c>
      <c r="AR63" s="171">
        <v>1</v>
      </c>
      <c r="AS63" s="171">
        <v>1</v>
      </c>
      <c r="AT63" s="171">
        <v>1</v>
      </c>
      <c r="AU63" s="171">
        <f t="shared" si="2"/>
        <v>1</v>
      </c>
      <c r="AV63" s="171">
        <f t="shared" si="3"/>
        <v>1</v>
      </c>
      <c r="AW63" s="171">
        <f t="shared" si="4"/>
        <v>1</v>
      </c>
      <c r="AX63" s="171">
        <f t="shared" si="5"/>
        <v>1</v>
      </c>
      <c r="AY63" s="171">
        <f t="shared" si="6"/>
        <v>0</v>
      </c>
      <c r="AZ63" s="171">
        <f t="shared" si="7"/>
        <v>1</v>
      </c>
      <c r="BA63" s="172">
        <f t="shared" si="8"/>
        <v>1</v>
      </c>
      <c r="BB63" s="175">
        <f t="shared" si="17"/>
        <v>19</v>
      </c>
      <c r="BC63" s="176">
        <f t="shared" si="18"/>
        <v>18</v>
      </c>
      <c r="BD63" s="176">
        <f t="shared" si="19"/>
        <v>19</v>
      </c>
      <c r="BE63" s="240" t="str">
        <f t="shared" si="12"/>
        <v/>
      </c>
      <c r="BH63" s="198">
        <f>IF(AND(Input_Product=Elig!$C63,Elig_MatchAll_Ct&lt;22,$BC63=(Elig_MatchAll_Ct-1),AF63=0),C63,0)</f>
        <v>0</v>
      </c>
      <c r="BI63" s="199">
        <f>IF(AND(Input_Product=Elig!$C63,Elig_MatchAll_Ct&lt;22,$BC63=(Elig_MatchAll_Ct-1),AG63=0),D63,0)</f>
        <v>0</v>
      </c>
      <c r="BJ63" s="199">
        <f>IF(AND(Input_Product=Elig!$C63,Elig_MatchAll_Ct&lt;22,$BC63=(Elig_MatchAll_Ct-1),AH63=0),E63,0)</f>
        <v>0</v>
      </c>
      <c r="BK63" s="199">
        <f>IF(AND(Input_Product=Elig!$C63,Elig_MatchAll_Ct&lt;22,$BC63=(Elig_MatchAll_Ct-1),AI63=0),F63,0)</f>
        <v>0</v>
      </c>
      <c r="BL63" s="199">
        <f>IF(AND(Input_Product=Elig!$C63,Elig_MatchAll_Ct&lt;22,$BC63=(Elig_MatchAll_Ct-1),AJ63=0),G63,0)</f>
        <v>0</v>
      </c>
      <c r="BM63" s="199">
        <f>IF(AND(Input_Product=Elig!$C63,Elig_MatchAll_Ct&lt;22,$BC63=(Elig_MatchAll_Ct-1),AK63=0),H63,0)</f>
        <v>0</v>
      </c>
      <c r="BN63" s="199">
        <f>IF(AND(Input_Product=Elig!$C63,Elig_MatchAll_Ct&lt;22,$BC63=(Elig_MatchAll_Ct-1),AL63=0),I63,0)</f>
        <v>0</v>
      </c>
      <c r="BO63" s="199">
        <f>IF(AND(Input_Product=Elig!$C63,Elig_MatchAll_Ct&lt;22,$BC63=(Elig_MatchAll_Ct-1),AM63=0),J63,0)</f>
        <v>0</v>
      </c>
      <c r="BP63" s="199">
        <f>IF(AND(Input_Product=Elig!$C63,Elig_MatchAll_Ct&lt;22,$BC63=(Elig_MatchAll_Ct-1),AN63=0),K63,0)</f>
        <v>0</v>
      </c>
      <c r="BQ63" s="199">
        <f>IF(AND(Input_Product=Elig!$C63,Elig_MatchAll_Ct&lt;22,$BC63=(Elig_MatchAll_Ct-1),AP63=0),L63,0)</f>
        <v>0</v>
      </c>
      <c r="BR63" s="199">
        <f>IF(AND(Input_Product=Elig!$C63,Elig_MatchAll_Ct&lt;22,$BC63=(Elig_MatchAll_Ct-1),AO63=0),M63,0)</f>
        <v>0</v>
      </c>
      <c r="BS63" s="199">
        <f>IF(AND(Input_Product=Elig!$C63,Elig_MatchAll_Ct&lt;22,$BC63=(Elig_MatchAll_Ct-1),AQ63=0),N63,0)</f>
        <v>0</v>
      </c>
      <c r="BT63" s="199">
        <f>IF(AND(Input_Product=Elig!$C63,Elig_MatchAll_Ct&lt;22,$BC63=(Elig_MatchAll_Ct-1),AR63=0),O63,0)</f>
        <v>0</v>
      </c>
      <c r="BU63" s="199">
        <f>IF(AND(Input_Product=Elig!$C63,Elig_MatchAll_Ct&lt;22,$BC63=(Elig_MatchAll_Ct-1),AS63=0),P63,0)</f>
        <v>0</v>
      </c>
      <c r="BV63" s="200">
        <f>IF(AND(Input_Product=Elig!$C63,Elig_MatchAll_Ct&lt;22,$BC63=(Elig_MatchAll_Ct-1),AT63=0),Q63,0)</f>
        <v>0</v>
      </c>
      <c r="BW63" s="201">
        <f>IF(AND(Input_Product=Elig!$C63,Elig_MatchAll_Ct&lt;22,$BC63=(Elig_MatchAll_Ct-1),AU63=0),R63,0)</f>
        <v>0</v>
      </c>
      <c r="BX63" s="202">
        <f>IF(AND(Input_Product=Elig!$C63,Elig_MatchAll_Ct&lt;22,$BC63=(Elig_MatchAll_Ct-1),AU63=0),S63,0)</f>
        <v>0</v>
      </c>
      <c r="BY63" s="201">
        <f>IF(AND(Input_Product=Elig!$C63,Elig_MatchAll_Ct&lt;22,$BC63=(Elig_MatchAll_Ct-1),AV63=0),T63,0)</f>
        <v>0</v>
      </c>
      <c r="BZ63" s="202">
        <f>IF(AND(Input_Product=Elig!$C63,Elig_MatchAll_Ct&lt;22,$BC63=(Elig_MatchAll_Ct-1),AV63=0),U63,0)</f>
        <v>0</v>
      </c>
      <c r="CA63" s="201">
        <f>IF(AND(Input_Product=Elig!$C63,Elig_MatchAll_Ct&lt;22,$BC63=(Elig_MatchAll_Ct-1),AW63=0),V63,0)</f>
        <v>0</v>
      </c>
      <c r="CB63" s="202">
        <f>IF(AND(Input_Product=Elig!$C63,Elig_MatchAll_Ct&lt;22,$BC63=(Elig_MatchAll_Ct-1),AW63=0),W63,0)</f>
        <v>0</v>
      </c>
      <c r="CC63" s="201">
        <f>IF(AND(Input_Product=Elig!$C63,Elig_MatchAll_Ct&lt;22,$BC63=(Elig_MatchAll_Ct-1),AX63=0),X63,0)</f>
        <v>0</v>
      </c>
      <c r="CD63" s="202">
        <f>IF(AND(Input_Product=Elig!$C63,Elig_MatchAll_Ct&lt;22,$BC63=(Elig_MatchAll_Ct-1),AX63=0),Y63,0)</f>
        <v>0</v>
      </c>
      <c r="CE63" s="201">
        <f>IF(AND(Input_LTV&lt;=AE63,Input_Product=Elig!$C63,Elig_MatchAll_Ct&lt;22,$BC63=(Elig_MatchAll_Ct-1),AY63=0),Z63,0)</f>
        <v>0</v>
      </c>
      <c r="CF63" s="202">
        <f>IF(AND(Input_LTV&lt;=AE63,Input_Product=Elig!$C63,Elig_MatchAll_Ct&lt;22,$BC63=(Elig_MatchAll_Ct-1),AY63=0),AA63,0)</f>
        <v>0</v>
      </c>
      <c r="CG63" s="201">
        <f>IF(AND(Input_Product=Elig!$C63,Elig_MatchAll_Ct&lt;22,$BC63=(Elig_MatchAll_Ct-1),AZ63=0),AB63,0)</f>
        <v>0</v>
      </c>
      <c r="CH63" s="202">
        <f>IF(AND(Input_Product=Elig!$C63,Elig_MatchAll_Ct&lt;22,$BC63=(Elig_MatchAll_Ct-1),AZ63=0),AC63,0)</f>
        <v>0</v>
      </c>
      <c r="CI63" s="201">
        <f>IF(AND(Input_Product=Elig!$C63,Elig_MatchAll_Ct&lt;22,$BC63=(Elig_MatchAll_Ct-1),BA63=0),AD63,0)</f>
        <v>0</v>
      </c>
      <c r="CJ63" s="203">
        <f>IF(AND(Input_Product=Elig!$C63,Elig_MatchAll_Ct&lt;22,$BC63=(Elig_MatchAll_Ct-1),BA63=0),AE63,0)</f>
        <v>0</v>
      </c>
    </row>
    <row r="64" spans="2:88" ht="10.15" customHeight="1" x14ac:dyDescent="0.25">
      <c r="B64" s="1912" t="s">
        <v>818</v>
      </c>
      <c r="C64" s="134" t="str">
        <f t="shared" si="1"/>
        <v>NonQM OO</v>
      </c>
      <c r="D64" s="135" t="s">
        <v>3885</v>
      </c>
      <c r="E64" s="135" t="s">
        <v>167</v>
      </c>
      <c r="F64" s="135" t="s">
        <v>331</v>
      </c>
      <c r="G64" s="135" t="s">
        <v>473</v>
      </c>
      <c r="H64" s="135" t="s">
        <v>136</v>
      </c>
      <c r="I64" s="135" t="s">
        <v>16</v>
      </c>
      <c r="J64" s="135" t="s">
        <v>1311</v>
      </c>
      <c r="K64" s="135" t="s">
        <v>1631</v>
      </c>
      <c r="L64" s="221" t="s">
        <v>3920</v>
      </c>
      <c r="M64" s="135" t="s">
        <v>4203</v>
      </c>
      <c r="N64" s="135" t="s">
        <v>82</v>
      </c>
      <c r="O64" s="135" t="s">
        <v>310</v>
      </c>
      <c r="P64" s="135" t="s">
        <v>291</v>
      </c>
      <c r="Q64" s="135" t="s">
        <v>294</v>
      </c>
      <c r="R64" s="221">
        <v>100000</v>
      </c>
      <c r="S64" s="135">
        <v>1000000</v>
      </c>
      <c r="T64" s="135">
        <v>0</v>
      </c>
      <c r="U64" s="135">
        <f t="shared" si="23"/>
        <v>1000000</v>
      </c>
      <c r="V64" s="135">
        <v>0</v>
      </c>
      <c r="W64" s="135">
        <v>55</v>
      </c>
      <c r="X64" s="135">
        <v>0</v>
      </c>
      <c r="Y64" s="135">
        <v>999</v>
      </c>
      <c r="Z64" s="137">
        <v>660</v>
      </c>
      <c r="AA64" s="137">
        <v>679</v>
      </c>
      <c r="AB64" s="137">
        <v>3</v>
      </c>
      <c r="AC64" s="137">
        <v>999999</v>
      </c>
      <c r="AD64" s="135">
        <v>0</v>
      </c>
      <c r="AE64" s="135">
        <v>70</v>
      </c>
      <c r="AF64" s="170">
        <v>0</v>
      </c>
      <c r="AG64" s="171">
        <v>1</v>
      </c>
      <c r="AH64" s="171">
        <v>1</v>
      </c>
      <c r="AI64" s="171">
        <v>1</v>
      </c>
      <c r="AJ64" s="171">
        <v>0</v>
      </c>
      <c r="AK64" s="171">
        <v>1</v>
      </c>
      <c r="AL64" s="171">
        <v>1</v>
      </c>
      <c r="AM64" s="171">
        <v>1</v>
      </c>
      <c r="AN64" s="171">
        <v>1</v>
      </c>
      <c r="AO64" s="171">
        <v>1</v>
      </c>
      <c r="AP64" s="171">
        <v>1</v>
      </c>
      <c r="AQ64" s="171">
        <v>1</v>
      </c>
      <c r="AR64" s="171">
        <v>1</v>
      </c>
      <c r="AS64" s="171">
        <v>1</v>
      </c>
      <c r="AT64" s="171">
        <v>1</v>
      </c>
      <c r="AU64" s="171">
        <f t="shared" si="2"/>
        <v>1</v>
      </c>
      <c r="AV64" s="171">
        <f t="shared" si="3"/>
        <v>1</v>
      </c>
      <c r="AW64" s="171">
        <f t="shared" si="4"/>
        <v>1</v>
      </c>
      <c r="AX64" s="171">
        <f t="shared" si="5"/>
        <v>1</v>
      </c>
      <c r="AY64" s="171">
        <f t="shared" si="6"/>
        <v>0</v>
      </c>
      <c r="AZ64" s="171">
        <f t="shared" si="7"/>
        <v>1</v>
      </c>
      <c r="BA64" s="172">
        <f t="shared" si="8"/>
        <v>1</v>
      </c>
      <c r="BB64" s="175">
        <f t="shared" si="17"/>
        <v>19</v>
      </c>
      <c r="BC64" s="176">
        <f t="shared" si="18"/>
        <v>18</v>
      </c>
      <c r="BD64" s="176">
        <f t="shared" si="19"/>
        <v>19</v>
      </c>
      <c r="BE64" s="240" t="str">
        <f t="shared" si="12"/>
        <v/>
      </c>
      <c r="BH64" s="198">
        <f>IF(AND(Input_Product=Elig!$C64,Elig_MatchAll_Ct&lt;22,$BC64=(Elig_MatchAll_Ct-1),AF64=0),C64,0)</f>
        <v>0</v>
      </c>
      <c r="BI64" s="199">
        <f>IF(AND(Input_Product=Elig!$C64,Elig_MatchAll_Ct&lt;22,$BC64=(Elig_MatchAll_Ct-1),AG64=0),D64,0)</f>
        <v>0</v>
      </c>
      <c r="BJ64" s="199">
        <f>IF(AND(Input_Product=Elig!$C64,Elig_MatchAll_Ct&lt;22,$BC64=(Elig_MatchAll_Ct-1),AH64=0),E64,0)</f>
        <v>0</v>
      </c>
      <c r="BK64" s="199">
        <f>IF(AND(Input_Product=Elig!$C64,Elig_MatchAll_Ct&lt;22,$BC64=(Elig_MatchAll_Ct-1),AI64=0),F64,0)</f>
        <v>0</v>
      </c>
      <c r="BL64" s="199">
        <f>IF(AND(Input_Product=Elig!$C64,Elig_MatchAll_Ct&lt;22,$BC64=(Elig_MatchAll_Ct-1),AJ64=0),G64,0)</f>
        <v>0</v>
      </c>
      <c r="BM64" s="199">
        <f>IF(AND(Input_Product=Elig!$C64,Elig_MatchAll_Ct&lt;22,$BC64=(Elig_MatchAll_Ct-1),AK64=0),H64,0)</f>
        <v>0</v>
      </c>
      <c r="BN64" s="199">
        <f>IF(AND(Input_Product=Elig!$C64,Elig_MatchAll_Ct&lt;22,$BC64=(Elig_MatchAll_Ct-1),AL64=0),I64,0)</f>
        <v>0</v>
      </c>
      <c r="BO64" s="199">
        <f>IF(AND(Input_Product=Elig!$C64,Elig_MatchAll_Ct&lt;22,$BC64=(Elig_MatchAll_Ct-1),AM64=0),J64,0)</f>
        <v>0</v>
      </c>
      <c r="BP64" s="199">
        <f>IF(AND(Input_Product=Elig!$C64,Elig_MatchAll_Ct&lt;22,$BC64=(Elig_MatchAll_Ct-1),AN64=0),K64,0)</f>
        <v>0</v>
      </c>
      <c r="BQ64" s="199">
        <f>IF(AND(Input_Product=Elig!$C64,Elig_MatchAll_Ct&lt;22,$BC64=(Elig_MatchAll_Ct-1),AP64=0),L64,0)</f>
        <v>0</v>
      </c>
      <c r="BR64" s="199">
        <f>IF(AND(Input_Product=Elig!$C64,Elig_MatchAll_Ct&lt;22,$BC64=(Elig_MatchAll_Ct-1),AO64=0),M64,0)</f>
        <v>0</v>
      </c>
      <c r="BS64" s="199">
        <f>IF(AND(Input_Product=Elig!$C64,Elig_MatchAll_Ct&lt;22,$BC64=(Elig_MatchAll_Ct-1),AQ64=0),N64,0)</f>
        <v>0</v>
      </c>
      <c r="BT64" s="199">
        <f>IF(AND(Input_Product=Elig!$C64,Elig_MatchAll_Ct&lt;22,$BC64=(Elig_MatchAll_Ct-1),AR64=0),O64,0)</f>
        <v>0</v>
      </c>
      <c r="BU64" s="199">
        <f>IF(AND(Input_Product=Elig!$C64,Elig_MatchAll_Ct&lt;22,$BC64=(Elig_MatchAll_Ct-1),AS64=0),P64,0)</f>
        <v>0</v>
      </c>
      <c r="BV64" s="200">
        <f>IF(AND(Input_Product=Elig!$C64,Elig_MatchAll_Ct&lt;22,$BC64=(Elig_MatchAll_Ct-1),AT64=0),Q64,0)</f>
        <v>0</v>
      </c>
      <c r="BW64" s="201">
        <f>IF(AND(Input_Product=Elig!$C64,Elig_MatchAll_Ct&lt;22,$BC64=(Elig_MatchAll_Ct-1),AU64=0),R64,0)</f>
        <v>0</v>
      </c>
      <c r="BX64" s="202">
        <f>IF(AND(Input_Product=Elig!$C64,Elig_MatchAll_Ct&lt;22,$BC64=(Elig_MatchAll_Ct-1),AU64=0),S64,0)</f>
        <v>0</v>
      </c>
      <c r="BY64" s="201">
        <f>IF(AND(Input_Product=Elig!$C64,Elig_MatchAll_Ct&lt;22,$BC64=(Elig_MatchAll_Ct-1),AV64=0),T64,0)</f>
        <v>0</v>
      </c>
      <c r="BZ64" s="202">
        <f>IF(AND(Input_Product=Elig!$C64,Elig_MatchAll_Ct&lt;22,$BC64=(Elig_MatchAll_Ct-1),AV64=0),U64,0)</f>
        <v>0</v>
      </c>
      <c r="CA64" s="201">
        <f>IF(AND(Input_Product=Elig!$C64,Elig_MatchAll_Ct&lt;22,$BC64=(Elig_MatchAll_Ct-1),AW64=0),V64,0)</f>
        <v>0</v>
      </c>
      <c r="CB64" s="202">
        <f>IF(AND(Input_Product=Elig!$C64,Elig_MatchAll_Ct&lt;22,$BC64=(Elig_MatchAll_Ct-1),AW64=0),W64,0)</f>
        <v>0</v>
      </c>
      <c r="CC64" s="201">
        <f>IF(AND(Input_Product=Elig!$C64,Elig_MatchAll_Ct&lt;22,$BC64=(Elig_MatchAll_Ct-1),AX64=0),X64,0)</f>
        <v>0</v>
      </c>
      <c r="CD64" s="202">
        <f>IF(AND(Input_Product=Elig!$C64,Elig_MatchAll_Ct&lt;22,$BC64=(Elig_MatchAll_Ct-1),AX64=0),Y64,0)</f>
        <v>0</v>
      </c>
      <c r="CE64" s="201">
        <f>IF(AND(Input_LTV&lt;=AE64,Input_Product=Elig!$C64,Elig_MatchAll_Ct&lt;22,$BC64=(Elig_MatchAll_Ct-1),AY64=0),Z64,0)</f>
        <v>0</v>
      </c>
      <c r="CF64" s="202">
        <f>IF(AND(Input_LTV&lt;=AE64,Input_Product=Elig!$C64,Elig_MatchAll_Ct&lt;22,$BC64=(Elig_MatchAll_Ct-1),AY64=0),AA64,0)</f>
        <v>0</v>
      </c>
      <c r="CG64" s="201">
        <f>IF(AND(Input_Product=Elig!$C64,Elig_MatchAll_Ct&lt;22,$BC64=(Elig_MatchAll_Ct-1),AZ64=0),AB64,0)</f>
        <v>0</v>
      </c>
      <c r="CH64" s="202">
        <f>IF(AND(Input_Product=Elig!$C64,Elig_MatchAll_Ct&lt;22,$BC64=(Elig_MatchAll_Ct-1),AZ64=0),AC64,0)</f>
        <v>0</v>
      </c>
      <c r="CI64" s="201">
        <f>IF(AND(Input_Product=Elig!$C64,Elig_MatchAll_Ct&lt;22,$BC64=(Elig_MatchAll_Ct-1),BA64=0),AD64,0)</f>
        <v>0</v>
      </c>
      <c r="CJ64" s="203">
        <f>IF(AND(Input_Product=Elig!$C64,Elig_MatchAll_Ct&lt;22,$BC64=(Elig_MatchAll_Ct-1),BA64=0),AE64,0)</f>
        <v>0</v>
      </c>
    </row>
    <row r="65" spans="2:88" ht="10.15" customHeight="1" x14ac:dyDescent="0.25">
      <c r="B65" s="1912" t="s">
        <v>819</v>
      </c>
      <c r="C65" s="134" t="str">
        <f t="shared" si="1"/>
        <v>NonQM OO</v>
      </c>
      <c r="D65" s="135" t="s">
        <v>3885</v>
      </c>
      <c r="E65" s="135" t="s">
        <v>167</v>
      </c>
      <c r="F65" s="135" t="s">
        <v>331</v>
      </c>
      <c r="G65" s="135" t="s">
        <v>473</v>
      </c>
      <c r="H65" s="135" t="s">
        <v>136</v>
      </c>
      <c r="I65" s="135" t="s">
        <v>16</v>
      </c>
      <c r="J65" s="135" t="s">
        <v>1311</v>
      </c>
      <c r="K65" s="135" t="s">
        <v>1631</v>
      </c>
      <c r="L65" s="221" t="s">
        <v>3920</v>
      </c>
      <c r="M65" s="135" t="s">
        <v>4203</v>
      </c>
      <c r="N65" s="135" t="s">
        <v>82</v>
      </c>
      <c r="O65" s="135" t="s">
        <v>310</v>
      </c>
      <c r="P65" s="135" t="s">
        <v>291</v>
      </c>
      <c r="Q65" s="135" t="s">
        <v>294</v>
      </c>
      <c r="R65" s="221">
        <v>100000</v>
      </c>
      <c r="S65" s="135">
        <v>1000000</v>
      </c>
      <c r="T65" s="135">
        <v>0</v>
      </c>
      <c r="U65" s="135">
        <f t="shared" si="23"/>
        <v>1000000</v>
      </c>
      <c r="V65" s="135">
        <v>0</v>
      </c>
      <c r="W65" s="135">
        <v>55</v>
      </c>
      <c r="X65" s="135">
        <v>0</v>
      </c>
      <c r="Y65" s="135">
        <v>999</v>
      </c>
      <c r="Z65" s="137">
        <v>640</v>
      </c>
      <c r="AA65" s="137">
        <v>659</v>
      </c>
      <c r="AB65" s="137">
        <v>3</v>
      </c>
      <c r="AC65" s="137">
        <v>999999</v>
      </c>
      <c r="AD65" s="135">
        <v>0</v>
      </c>
      <c r="AE65" s="135">
        <v>-999</v>
      </c>
      <c r="AF65" s="170">
        <v>0</v>
      </c>
      <c r="AG65" s="171">
        <v>1</v>
      </c>
      <c r="AH65" s="171">
        <v>1</v>
      </c>
      <c r="AI65" s="171">
        <v>1</v>
      </c>
      <c r="AJ65" s="171">
        <v>0</v>
      </c>
      <c r="AK65" s="171">
        <v>1</v>
      </c>
      <c r="AL65" s="171">
        <v>1</v>
      </c>
      <c r="AM65" s="171">
        <v>1</v>
      </c>
      <c r="AN65" s="171">
        <v>1</v>
      </c>
      <c r="AO65" s="171">
        <v>1</v>
      </c>
      <c r="AP65" s="171">
        <v>1</v>
      </c>
      <c r="AQ65" s="171">
        <v>1</v>
      </c>
      <c r="AR65" s="171">
        <v>1</v>
      </c>
      <c r="AS65" s="171">
        <v>1</v>
      </c>
      <c r="AT65" s="171">
        <v>1</v>
      </c>
      <c r="AU65" s="171">
        <f t="shared" ref="AU65:AU122" si="24">IF(AND(Input_LoanAmt&gt;=Elig_LoanAmt_Min,Input_LoanAmt&lt;=Elig_LoanAmt_Max),1,0)</f>
        <v>1</v>
      </c>
      <c r="AV65" s="171">
        <f t="shared" ref="AV65:AV122" si="25">IF(AND(Input_CashoutAmt&gt;=Elig_CashoutAmt_Min,Input_CashoutAmt&lt;=Elig_CashoutAmt_Max),1,0)</f>
        <v>1</v>
      </c>
      <c r="AW65" s="171">
        <f t="shared" ref="AW65:AW122" si="26">IF(AND(Input_DTI&gt;=Elig_DTI_Min,Input_DTI&lt;=Elig_DTI_Max),1,0)</f>
        <v>1</v>
      </c>
      <c r="AX65" s="171">
        <f t="shared" si="5"/>
        <v>1</v>
      </c>
      <c r="AY65" s="171">
        <f t="shared" ref="AY65:AY122" si="27">IF(AND(Input_CreditScore&gt;=Elig_CreditScore_Min,Input_CreditScore&lt;=Elig_CreditScore_Max),1,0)</f>
        <v>0</v>
      </c>
      <c r="AZ65" s="171">
        <f t="shared" ref="AZ65:AZ122" si="28">IF(AND(Input_ReservesMonths&gt;=Elig_Reserves_Min,Input_ReservesMonths&lt;=Elig_Reserves_Max),1,0)</f>
        <v>1</v>
      </c>
      <c r="BA65" s="172">
        <f t="shared" ref="BA65:BA122" si="29">IF(AND(Input_LTV&gt;=Elig_LTV_Min,Input_LTV&lt;=Elig_LTV_Max),1,0)</f>
        <v>0</v>
      </c>
      <c r="BB65" s="175">
        <f t="shared" si="17"/>
        <v>18</v>
      </c>
      <c r="BC65" s="176">
        <f t="shared" si="18"/>
        <v>18</v>
      </c>
      <c r="BD65" s="176">
        <f t="shared" si="19"/>
        <v>18</v>
      </c>
      <c r="BE65" s="240" t="str">
        <f t="shared" si="12"/>
        <v/>
      </c>
      <c r="BH65" s="198">
        <f>IF(AND(Input_Product=Elig!$C65,Elig_MatchAll_Ct&lt;22,$BC65=(Elig_MatchAll_Ct-1),AF65=0),C65,0)</f>
        <v>0</v>
      </c>
      <c r="BI65" s="199">
        <f>IF(AND(Input_Product=Elig!$C65,Elig_MatchAll_Ct&lt;22,$BC65=(Elig_MatchAll_Ct-1),AG65=0),D65,0)</f>
        <v>0</v>
      </c>
      <c r="BJ65" s="199">
        <f>IF(AND(Input_Product=Elig!$C65,Elig_MatchAll_Ct&lt;22,$BC65=(Elig_MatchAll_Ct-1),AH65=0),E65,0)</f>
        <v>0</v>
      </c>
      <c r="BK65" s="199">
        <f>IF(AND(Input_Product=Elig!$C65,Elig_MatchAll_Ct&lt;22,$BC65=(Elig_MatchAll_Ct-1),AI65=0),F65,0)</f>
        <v>0</v>
      </c>
      <c r="BL65" s="199">
        <f>IF(AND(Input_Product=Elig!$C65,Elig_MatchAll_Ct&lt;22,$BC65=(Elig_MatchAll_Ct-1),AJ65=0),G65,0)</f>
        <v>0</v>
      </c>
      <c r="BM65" s="199">
        <f>IF(AND(Input_Product=Elig!$C65,Elig_MatchAll_Ct&lt;22,$BC65=(Elig_MatchAll_Ct-1),AK65=0),H65,0)</f>
        <v>0</v>
      </c>
      <c r="BN65" s="199">
        <f>IF(AND(Input_Product=Elig!$C65,Elig_MatchAll_Ct&lt;22,$BC65=(Elig_MatchAll_Ct-1),AL65=0),I65,0)</f>
        <v>0</v>
      </c>
      <c r="BO65" s="199">
        <f>IF(AND(Input_Product=Elig!$C65,Elig_MatchAll_Ct&lt;22,$BC65=(Elig_MatchAll_Ct-1),AM65=0),J65,0)</f>
        <v>0</v>
      </c>
      <c r="BP65" s="199">
        <f>IF(AND(Input_Product=Elig!$C65,Elig_MatchAll_Ct&lt;22,$BC65=(Elig_MatchAll_Ct-1),AN65=0),K65,0)</f>
        <v>0</v>
      </c>
      <c r="BQ65" s="199">
        <f>IF(AND(Input_Product=Elig!$C65,Elig_MatchAll_Ct&lt;22,$BC65=(Elig_MatchAll_Ct-1),AP65=0),L65,0)</f>
        <v>0</v>
      </c>
      <c r="BR65" s="199">
        <f>IF(AND(Input_Product=Elig!$C65,Elig_MatchAll_Ct&lt;22,$BC65=(Elig_MatchAll_Ct-1),AO65=0),M65,0)</f>
        <v>0</v>
      </c>
      <c r="BS65" s="199">
        <f>IF(AND(Input_Product=Elig!$C65,Elig_MatchAll_Ct&lt;22,$BC65=(Elig_MatchAll_Ct-1),AQ65=0),N65,0)</f>
        <v>0</v>
      </c>
      <c r="BT65" s="199">
        <f>IF(AND(Input_Product=Elig!$C65,Elig_MatchAll_Ct&lt;22,$BC65=(Elig_MatchAll_Ct-1),AR65=0),O65,0)</f>
        <v>0</v>
      </c>
      <c r="BU65" s="199">
        <f>IF(AND(Input_Product=Elig!$C65,Elig_MatchAll_Ct&lt;22,$BC65=(Elig_MatchAll_Ct-1),AS65=0),P65,0)</f>
        <v>0</v>
      </c>
      <c r="BV65" s="200">
        <f>IF(AND(Input_Product=Elig!$C65,Elig_MatchAll_Ct&lt;22,$BC65=(Elig_MatchAll_Ct-1),AT65=0),Q65,0)</f>
        <v>0</v>
      </c>
      <c r="BW65" s="201">
        <f>IF(AND(Input_Product=Elig!$C65,Elig_MatchAll_Ct&lt;22,$BC65=(Elig_MatchAll_Ct-1),AU65=0),R65,0)</f>
        <v>0</v>
      </c>
      <c r="BX65" s="202">
        <f>IF(AND(Input_Product=Elig!$C65,Elig_MatchAll_Ct&lt;22,$BC65=(Elig_MatchAll_Ct-1),AU65=0),S65,0)</f>
        <v>0</v>
      </c>
      <c r="BY65" s="201">
        <f>IF(AND(Input_Product=Elig!$C65,Elig_MatchAll_Ct&lt;22,$BC65=(Elig_MatchAll_Ct-1),AV65=0),T65,0)</f>
        <v>0</v>
      </c>
      <c r="BZ65" s="202">
        <f>IF(AND(Input_Product=Elig!$C65,Elig_MatchAll_Ct&lt;22,$BC65=(Elig_MatchAll_Ct-1),AV65=0),U65,0)</f>
        <v>0</v>
      </c>
      <c r="CA65" s="201">
        <f>IF(AND(Input_Product=Elig!$C65,Elig_MatchAll_Ct&lt;22,$BC65=(Elig_MatchAll_Ct-1),AW65=0),V65,0)</f>
        <v>0</v>
      </c>
      <c r="CB65" s="202">
        <f>IF(AND(Input_Product=Elig!$C65,Elig_MatchAll_Ct&lt;22,$BC65=(Elig_MatchAll_Ct-1),AW65=0),W65,0)</f>
        <v>0</v>
      </c>
      <c r="CC65" s="201">
        <f>IF(AND(Input_Product=Elig!$C65,Elig_MatchAll_Ct&lt;22,$BC65=(Elig_MatchAll_Ct-1),AX65=0),X65,0)</f>
        <v>0</v>
      </c>
      <c r="CD65" s="202">
        <f>IF(AND(Input_Product=Elig!$C65,Elig_MatchAll_Ct&lt;22,$BC65=(Elig_MatchAll_Ct-1),AX65=0),Y65,0)</f>
        <v>0</v>
      </c>
      <c r="CE65" s="201">
        <f>IF(AND(Input_LTV&lt;=AE65,Input_Product=Elig!$C65,Elig_MatchAll_Ct&lt;22,$BC65=(Elig_MatchAll_Ct-1),AY65=0),Z65,0)</f>
        <v>0</v>
      </c>
      <c r="CF65" s="202">
        <f>IF(AND(Input_LTV&lt;=AE65,Input_Product=Elig!$C65,Elig_MatchAll_Ct&lt;22,$BC65=(Elig_MatchAll_Ct-1),AY65=0),AA65,0)</f>
        <v>0</v>
      </c>
      <c r="CG65" s="201">
        <f>IF(AND(Input_Product=Elig!$C65,Elig_MatchAll_Ct&lt;22,$BC65=(Elig_MatchAll_Ct-1),AZ65=0),AB65,0)</f>
        <v>0</v>
      </c>
      <c r="CH65" s="202">
        <f>IF(AND(Input_Product=Elig!$C65,Elig_MatchAll_Ct&lt;22,$BC65=(Elig_MatchAll_Ct-1),AZ65=0),AC65,0)</f>
        <v>0</v>
      </c>
      <c r="CI65" s="201">
        <f>IF(AND(Input_Product=Elig!$C65,Elig_MatchAll_Ct&lt;22,$BC65=(Elig_MatchAll_Ct-1),BA65=0),AD65,0)</f>
        <v>0</v>
      </c>
      <c r="CJ65" s="203">
        <f>IF(AND(Input_Product=Elig!$C65,Elig_MatchAll_Ct&lt;22,$BC65=(Elig_MatchAll_Ct-1),BA65=0),AE65,0)</f>
        <v>0</v>
      </c>
    </row>
    <row r="66" spans="2:88" ht="10.15" customHeight="1" x14ac:dyDescent="0.25">
      <c r="B66" s="1912" t="s">
        <v>820</v>
      </c>
      <c r="C66" s="138" t="str">
        <f t="shared" si="1"/>
        <v>NonQM OO</v>
      </c>
      <c r="D66" s="139" t="s">
        <v>3885</v>
      </c>
      <c r="E66" s="139" t="s">
        <v>167</v>
      </c>
      <c r="F66" s="139" t="s">
        <v>331</v>
      </c>
      <c r="G66" s="139" t="s">
        <v>473</v>
      </c>
      <c r="H66" s="139" t="s">
        <v>136</v>
      </c>
      <c r="I66" s="139" t="s">
        <v>16</v>
      </c>
      <c r="J66" s="139" t="s">
        <v>1311</v>
      </c>
      <c r="K66" s="139" t="s">
        <v>1631</v>
      </c>
      <c r="L66" s="310" t="s">
        <v>3920</v>
      </c>
      <c r="M66" s="139" t="s">
        <v>4203</v>
      </c>
      <c r="N66" s="139" t="s">
        <v>82</v>
      </c>
      <c r="O66" s="139" t="s">
        <v>310</v>
      </c>
      <c r="P66" s="139" t="s">
        <v>291</v>
      </c>
      <c r="Q66" s="139" t="s">
        <v>294</v>
      </c>
      <c r="R66" s="310">
        <v>100000</v>
      </c>
      <c r="S66" s="139">
        <v>1000000</v>
      </c>
      <c r="T66" s="139">
        <v>0</v>
      </c>
      <c r="U66" s="139">
        <f t="shared" si="23"/>
        <v>1000000</v>
      </c>
      <c r="V66" s="139">
        <v>0</v>
      </c>
      <c r="W66" s="139">
        <v>55</v>
      </c>
      <c r="X66" s="139">
        <v>0</v>
      </c>
      <c r="Y66" s="139">
        <v>999</v>
      </c>
      <c r="Z66" s="140">
        <v>620</v>
      </c>
      <c r="AA66" s="140">
        <v>639</v>
      </c>
      <c r="AB66" s="140">
        <v>3</v>
      </c>
      <c r="AC66" s="140">
        <v>999999</v>
      </c>
      <c r="AD66" s="139">
        <v>0</v>
      </c>
      <c r="AE66" s="139">
        <v>-999</v>
      </c>
      <c r="AF66" s="170">
        <v>0</v>
      </c>
      <c r="AG66" s="171">
        <v>1</v>
      </c>
      <c r="AH66" s="171">
        <v>1</v>
      </c>
      <c r="AI66" s="171">
        <v>1</v>
      </c>
      <c r="AJ66" s="171">
        <v>0</v>
      </c>
      <c r="AK66" s="171">
        <v>1</v>
      </c>
      <c r="AL66" s="171">
        <v>1</v>
      </c>
      <c r="AM66" s="171">
        <v>1</v>
      </c>
      <c r="AN66" s="171">
        <v>1</v>
      </c>
      <c r="AO66" s="171">
        <v>1</v>
      </c>
      <c r="AP66" s="171">
        <v>1</v>
      </c>
      <c r="AQ66" s="171">
        <v>1</v>
      </c>
      <c r="AR66" s="171">
        <v>1</v>
      </c>
      <c r="AS66" s="171">
        <v>1</v>
      </c>
      <c r="AT66" s="171">
        <v>1</v>
      </c>
      <c r="AU66" s="171">
        <f t="shared" si="24"/>
        <v>1</v>
      </c>
      <c r="AV66" s="171">
        <f t="shared" si="25"/>
        <v>1</v>
      </c>
      <c r="AW66" s="171">
        <f t="shared" si="26"/>
        <v>1</v>
      </c>
      <c r="AX66" s="171">
        <f t="shared" si="5"/>
        <v>1</v>
      </c>
      <c r="AY66" s="171">
        <f t="shared" si="27"/>
        <v>0</v>
      </c>
      <c r="AZ66" s="171">
        <f t="shared" si="28"/>
        <v>1</v>
      </c>
      <c r="BA66" s="172">
        <f t="shared" si="29"/>
        <v>0</v>
      </c>
      <c r="BB66" s="175">
        <f t="shared" si="17"/>
        <v>18</v>
      </c>
      <c r="BC66" s="176">
        <f t="shared" si="18"/>
        <v>18</v>
      </c>
      <c r="BD66" s="176">
        <f t="shared" si="19"/>
        <v>18</v>
      </c>
      <c r="BE66" s="240" t="str">
        <f t="shared" si="12"/>
        <v/>
      </c>
      <c r="BH66" s="204">
        <f>IF(AND(Input_Product=Elig!$C66,Elig_MatchAll_Ct&lt;22,$BC66=(Elig_MatchAll_Ct-1),AF66=0),C66,0)</f>
        <v>0</v>
      </c>
      <c r="BI66" s="205">
        <f>IF(AND(Input_Product=Elig!$C66,Elig_MatchAll_Ct&lt;22,$BC66=(Elig_MatchAll_Ct-1),AG66=0),D66,0)</f>
        <v>0</v>
      </c>
      <c r="BJ66" s="205">
        <f>IF(AND(Input_Product=Elig!$C66,Elig_MatchAll_Ct&lt;22,$BC66=(Elig_MatchAll_Ct-1),AH66=0),E66,0)</f>
        <v>0</v>
      </c>
      <c r="BK66" s="205">
        <f>IF(AND(Input_Product=Elig!$C66,Elig_MatchAll_Ct&lt;22,$BC66=(Elig_MatchAll_Ct-1),AI66=0),F66,0)</f>
        <v>0</v>
      </c>
      <c r="BL66" s="205">
        <f>IF(AND(Input_Product=Elig!$C66,Elig_MatchAll_Ct&lt;22,$BC66=(Elig_MatchAll_Ct-1),AJ66=0),G66,0)</f>
        <v>0</v>
      </c>
      <c r="BM66" s="205">
        <f>IF(AND(Input_Product=Elig!$C66,Elig_MatchAll_Ct&lt;22,$BC66=(Elig_MatchAll_Ct-1),AK66=0),H66,0)</f>
        <v>0</v>
      </c>
      <c r="BN66" s="205">
        <f>IF(AND(Input_Product=Elig!$C66,Elig_MatchAll_Ct&lt;22,$BC66=(Elig_MatchAll_Ct-1),AL66=0),I66,0)</f>
        <v>0</v>
      </c>
      <c r="BO66" s="205">
        <f>IF(AND(Input_Product=Elig!$C66,Elig_MatchAll_Ct&lt;22,$BC66=(Elig_MatchAll_Ct-1),AM66=0),J66,0)</f>
        <v>0</v>
      </c>
      <c r="BP66" s="205">
        <f>IF(AND(Input_Product=Elig!$C66,Elig_MatchAll_Ct&lt;22,$BC66=(Elig_MatchAll_Ct-1),AN66=0),K66,0)</f>
        <v>0</v>
      </c>
      <c r="BQ66" s="205">
        <f>IF(AND(Input_Product=Elig!$C66,Elig_MatchAll_Ct&lt;22,$BC66=(Elig_MatchAll_Ct-1),AP66=0),L66,0)</f>
        <v>0</v>
      </c>
      <c r="BR66" s="205">
        <f>IF(AND(Input_Product=Elig!$C66,Elig_MatchAll_Ct&lt;22,$BC66=(Elig_MatchAll_Ct-1),AO66=0),M66,0)</f>
        <v>0</v>
      </c>
      <c r="BS66" s="205">
        <f>IF(AND(Input_Product=Elig!$C66,Elig_MatchAll_Ct&lt;22,$BC66=(Elig_MatchAll_Ct-1),AQ66=0),N66,0)</f>
        <v>0</v>
      </c>
      <c r="BT66" s="205">
        <f>IF(AND(Input_Product=Elig!$C66,Elig_MatchAll_Ct&lt;22,$BC66=(Elig_MatchAll_Ct-1),AR66=0),O66,0)</f>
        <v>0</v>
      </c>
      <c r="BU66" s="205">
        <f>IF(AND(Input_Product=Elig!$C66,Elig_MatchAll_Ct&lt;22,$BC66=(Elig_MatchAll_Ct-1),AS66=0),P66,0)</f>
        <v>0</v>
      </c>
      <c r="BV66" s="206">
        <f>IF(AND(Input_Product=Elig!$C66,Elig_MatchAll_Ct&lt;22,$BC66=(Elig_MatchAll_Ct-1),AT66=0),Q66,0)</f>
        <v>0</v>
      </c>
      <c r="BW66" s="207">
        <f>IF(AND(Input_Product=Elig!$C66,Elig_MatchAll_Ct&lt;22,$BC66=(Elig_MatchAll_Ct-1),AU66=0),R66,0)</f>
        <v>0</v>
      </c>
      <c r="BX66" s="208">
        <f>IF(AND(Input_Product=Elig!$C66,Elig_MatchAll_Ct&lt;22,$BC66=(Elig_MatchAll_Ct-1),AU66=0),S66,0)</f>
        <v>0</v>
      </c>
      <c r="BY66" s="207">
        <f>IF(AND(Input_Product=Elig!$C66,Elig_MatchAll_Ct&lt;22,$BC66=(Elig_MatchAll_Ct-1),AV66=0),T66,0)</f>
        <v>0</v>
      </c>
      <c r="BZ66" s="208">
        <f>IF(AND(Input_Product=Elig!$C66,Elig_MatchAll_Ct&lt;22,$BC66=(Elig_MatchAll_Ct-1),AV66=0),U66,0)</f>
        <v>0</v>
      </c>
      <c r="CA66" s="207">
        <f>IF(AND(Input_Product=Elig!$C66,Elig_MatchAll_Ct&lt;22,$BC66=(Elig_MatchAll_Ct-1),AW66=0),V66,0)</f>
        <v>0</v>
      </c>
      <c r="CB66" s="208">
        <f>IF(AND(Input_Product=Elig!$C66,Elig_MatchAll_Ct&lt;22,$BC66=(Elig_MatchAll_Ct-1),AW66=0),W66,0)</f>
        <v>0</v>
      </c>
      <c r="CC66" s="207">
        <f>IF(AND(Input_Product=Elig!$C66,Elig_MatchAll_Ct&lt;22,$BC66=(Elig_MatchAll_Ct-1),AX66=0),X66,0)</f>
        <v>0</v>
      </c>
      <c r="CD66" s="208">
        <f>IF(AND(Input_Product=Elig!$C66,Elig_MatchAll_Ct&lt;22,$BC66=(Elig_MatchAll_Ct-1),AX66=0),Y66,0)</f>
        <v>0</v>
      </c>
      <c r="CE66" s="207">
        <f>IF(AND(Input_LTV&lt;=AE66,Input_Product=Elig!$C66,Elig_MatchAll_Ct&lt;22,$BC66=(Elig_MatchAll_Ct-1),AY66=0),Z66,0)</f>
        <v>0</v>
      </c>
      <c r="CF66" s="208">
        <f>IF(AND(Input_LTV&lt;=AE66,Input_Product=Elig!$C66,Elig_MatchAll_Ct&lt;22,$BC66=(Elig_MatchAll_Ct-1),AY66=0),AA66,0)</f>
        <v>0</v>
      </c>
      <c r="CG66" s="207">
        <f>IF(AND(Input_Product=Elig!$C66,Elig_MatchAll_Ct&lt;22,$BC66=(Elig_MatchAll_Ct-1),AZ66=0),AB66,0)</f>
        <v>0</v>
      </c>
      <c r="CH66" s="208">
        <f>IF(AND(Input_Product=Elig!$C66,Elig_MatchAll_Ct&lt;22,$BC66=(Elig_MatchAll_Ct-1),AZ66=0),AC66,0)</f>
        <v>0</v>
      </c>
      <c r="CI66" s="207">
        <f>IF(AND(Input_Product=Elig!$C66,Elig_MatchAll_Ct&lt;22,$BC66=(Elig_MatchAll_Ct-1),BA66=0),AD66,0)</f>
        <v>0</v>
      </c>
      <c r="CJ66" s="209">
        <f>IF(AND(Input_Product=Elig!$C66,Elig_MatchAll_Ct&lt;22,$BC66=(Elig_MatchAll_Ct-1),BA66=0),AE66,0)</f>
        <v>0</v>
      </c>
    </row>
    <row r="67" spans="2:88" ht="10.15" customHeight="1" x14ac:dyDescent="0.25">
      <c r="B67" s="1912" t="s">
        <v>821</v>
      </c>
      <c r="C67" s="141" t="str">
        <f t="shared" si="1"/>
        <v>NonQM OO</v>
      </c>
      <c r="D67" s="142" t="s">
        <v>3885</v>
      </c>
      <c r="E67" s="143" t="s">
        <v>167</v>
      </c>
      <c r="F67" s="143" t="s">
        <v>331</v>
      </c>
      <c r="G67" s="143" t="s">
        <v>303</v>
      </c>
      <c r="H67" s="143" t="s">
        <v>136</v>
      </c>
      <c r="I67" s="142" t="s">
        <v>274</v>
      </c>
      <c r="J67" s="142" t="s">
        <v>1311</v>
      </c>
      <c r="K67" s="142" t="s">
        <v>1631</v>
      </c>
      <c r="L67" s="2131" t="s">
        <v>3920</v>
      </c>
      <c r="M67" s="143" t="s">
        <v>4203</v>
      </c>
      <c r="N67" s="143" t="s">
        <v>82</v>
      </c>
      <c r="O67" s="143" t="s">
        <v>310</v>
      </c>
      <c r="P67" s="143" t="s">
        <v>291</v>
      </c>
      <c r="Q67" s="143" t="s">
        <v>294</v>
      </c>
      <c r="R67" s="142">
        <v>1000000.01</v>
      </c>
      <c r="S67" s="142">
        <v>1500000</v>
      </c>
      <c r="T67" s="142">
        <v>0</v>
      </c>
      <c r="U67" s="142">
        <v>0</v>
      </c>
      <c r="V67" s="142">
        <v>0</v>
      </c>
      <c r="W67" s="142">
        <v>55</v>
      </c>
      <c r="X67" s="142">
        <v>0</v>
      </c>
      <c r="Y67" s="142">
        <v>999</v>
      </c>
      <c r="Z67" s="144">
        <v>720</v>
      </c>
      <c r="AA67" s="144">
        <v>999</v>
      </c>
      <c r="AB67" s="144">
        <v>6</v>
      </c>
      <c r="AC67" s="144">
        <v>999999</v>
      </c>
      <c r="AD67" s="142">
        <v>0</v>
      </c>
      <c r="AE67" s="320">
        <v>90</v>
      </c>
      <c r="AF67" s="170">
        <v>0</v>
      </c>
      <c r="AG67" s="171">
        <v>1</v>
      </c>
      <c r="AH67" s="171">
        <v>1</v>
      </c>
      <c r="AI67" s="171">
        <v>1</v>
      </c>
      <c r="AJ67" s="171">
        <v>1</v>
      </c>
      <c r="AK67" s="171">
        <v>1</v>
      </c>
      <c r="AL67" s="171">
        <v>0</v>
      </c>
      <c r="AM67" s="171">
        <v>1</v>
      </c>
      <c r="AN67" s="171">
        <v>1</v>
      </c>
      <c r="AO67" s="171">
        <v>1</v>
      </c>
      <c r="AP67" s="171">
        <v>1</v>
      </c>
      <c r="AQ67" s="171">
        <v>1</v>
      </c>
      <c r="AR67" s="171">
        <v>1</v>
      </c>
      <c r="AS67" s="171">
        <v>1</v>
      </c>
      <c r="AT67" s="171">
        <v>1</v>
      </c>
      <c r="AU67" s="171">
        <f t="shared" si="24"/>
        <v>0</v>
      </c>
      <c r="AV67" s="171">
        <f t="shared" si="25"/>
        <v>0</v>
      </c>
      <c r="AW67" s="171">
        <f t="shared" si="26"/>
        <v>1</v>
      </c>
      <c r="AX67" s="171">
        <f t="shared" si="5"/>
        <v>1</v>
      </c>
      <c r="AY67" s="171">
        <f t="shared" si="27"/>
        <v>1</v>
      </c>
      <c r="AZ67" s="171">
        <f t="shared" si="28"/>
        <v>1</v>
      </c>
      <c r="BA67" s="172">
        <f t="shared" si="29"/>
        <v>1</v>
      </c>
      <c r="BB67" s="175">
        <f t="shared" si="17"/>
        <v>18</v>
      </c>
      <c r="BC67" s="176">
        <f t="shared" si="18"/>
        <v>17</v>
      </c>
      <c r="BD67" s="176">
        <f t="shared" si="19"/>
        <v>18</v>
      </c>
      <c r="BE67" s="240" t="str">
        <f t="shared" si="12"/>
        <v/>
      </c>
      <c r="BH67" s="192">
        <f>IF(AND(Input_Product=Elig!$C67,Elig_MatchAll_Ct&lt;22,$BC67=(Elig_MatchAll_Ct-1),AF67=0),C67,0)</f>
        <v>0</v>
      </c>
      <c r="BI67" s="193">
        <f>IF(AND(Input_Product=Elig!$C67,Elig_MatchAll_Ct&lt;22,$BC67=(Elig_MatchAll_Ct-1),AG67=0),D67,0)</f>
        <v>0</v>
      </c>
      <c r="BJ67" s="193">
        <f>IF(AND(Input_Product=Elig!$C67,Elig_MatchAll_Ct&lt;22,$BC67=(Elig_MatchAll_Ct-1),AH67=0),E67,0)</f>
        <v>0</v>
      </c>
      <c r="BK67" s="193">
        <f>IF(AND(Input_Product=Elig!$C67,Elig_MatchAll_Ct&lt;22,$BC67=(Elig_MatchAll_Ct-1),AI67=0),F67,0)</f>
        <v>0</v>
      </c>
      <c r="BL67" s="193">
        <f>IF(AND(Input_Product=Elig!$C67,Elig_MatchAll_Ct&lt;22,$BC67=(Elig_MatchAll_Ct-1),AJ67=0),G67,0)</f>
        <v>0</v>
      </c>
      <c r="BM67" s="193">
        <f>IF(AND(Input_Product=Elig!$C67,Elig_MatchAll_Ct&lt;22,$BC67=(Elig_MatchAll_Ct-1),AK67=0),H67,0)</f>
        <v>0</v>
      </c>
      <c r="BN67" s="193">
        <f>IF(AND(Input_Product=Elig!$C67,Elig_MatchAll_Ct&lt;22,$BC67=(Elig_MatchAll_Ct-1),AL67=0),I67,0)</f>
        <v>0</v>
      </c>
      <c r="BO67" s="193">
        <f>IF(AND(Input_Product=Elig!$C67,Elig_MatchAll_Ct&lt;22,$BC67=(Elig_MatchAll_Ct-1),AM67=0),J67,0)</f>
        <v>0</v>
      </c>
      <c r="BP67" s="193">
        <f>IF(AND(Input_Product=Elig!$C67,Elig_MatchAll_Ct&lt;22,$BC67=(Elig_MatchAll_Ct-1),AN67=0),K67,0)</f>
        <v>0</v>
      </c>
      <c r="BQ67" s="193">
        <f>IF(AND(Input_Product=Elig!$C67,Elig_MatchAll_Ct&lt;22,$BC67=(Elig_MatchAll_Ct-1),AP67=0),L67,0)</f>
        <v>0</v>
      </c>
      <c r="BR67" s="193">
        <f>IF(AND(Input_Product=Elig!$C67,Elig_MatchAll_Ct&lt;22,$BC67=(Elig_MatchAll_Ct-1),AO67=0),M67,0)</f>
        <v>0</v>
      </c>
      <c r="BS67" s="193">
        <f>IF(AND(Input_Product=Elig!$C67,Elig_MatchAll_Ct&lt;22,$BC67=(Elig_MatchAll_Ct-1),AQ67=0),N67,0)</f>
        <v>0</v>
      </c>
      <c r="BT67" s="193">
        <f>IF(AND(Input_Product=Elig!$C67,Elig_MatchAll_Ct&lt;22,$BC67=(Elig_MatchAll_Ct-1),AR67=0),O67,0)</f>
        <v>0</v>
      </c>
      <c r="BU67" s="193">
        <f>IF(AND(Input_Product=Elig!$C67,Elig_MatchAll_Ct&lt;22,$BC67=(Elig_MatchAll_Ct-1),AS67=0),P67,0)</f>
        <v>0</v>
      </c>
      <c r="BV67" s="194">
        <f>IF(AND(Input_Product=Elig!$C67,Elig_MatchAll_Ct&lt;22,$BC67=(Elig_MatchAll_Ct-1),AT67=0),Q67,0)</f>
        <v>0</v>
      </c>
      <c r="BW67" s="195">
        <f>IF(AND(Input_Product=Elig!$C67,Elig_MatchAll_Ct&lt;22,$BC67=(Elig_MatchAll_Ct-1),AU67=0),R67,0)</f>
        <v>0</v>
      </c>
      <c r="BX67" s="196">
        <f>IF(AND(Input_Product=Elig!$C67,Elig_MatchAll_Ct&lt;22,$BC67=(Elig_MatchAll_Ct-1),AU67=0),S67,0)</f>
        <v>0</v>
      </c>
      <c r="BY67" s="195">
        <f>IF(AND(Input_Product=Elig!$C67,Elig_MatchAll_Ct&lt;22,$BC67=(Elig_MatchAll_Ct-1),AV67=0),T67,0)</f>
        <v>0</v>
      </c>
      <c r="BZ67" s="196">
        <f>IF(AND(Input_Product=Elig!$C67,Elig_MatchAll_Ct&lt;22,$BC67=(Elig_MatchAll_Ct-1),AV67=0),U67,0)</f>
        <v>0</v>
      </c>
      <c r="CA67" s="195">
        <f>IF(AND(Input_Product=Elig!$C67,Elig_MatchAll_Ct&lt;22,$BC67=(Elig_MatchAll_Ct-1),AW67=0),V67,0)</f>
        <v>0</v>
      </c>
      <c r="CB67" s="196">
        <f>IF(AND(Input_Product=Elig!$C67,Elig_MatchAll_Ct&lt;22,$BC67=(Elig_MatchAll_Ct-1),AW67=0),W67,0)</f>
        <v>0</v>
      </c>
      <c r="CC67" s="195">
        <f>IF(AND(Input_Product=Elig!$C67,Elig_MatchAll_Ct&lt;22,$BC67=(Elig_MatchAll_Ct-1),AX67=0),X67,0)</f>
        <v>0</v>
      </c>
      <c r="CD67" s="196">
        <f>IF(AND(Input_Product=Elig!$C67,Elig_MatchAll_Ct&lt;22,$BC67=(Elig_MatchAll_Ct-1),AX67=0),Y67,0)</f>
        <v>0</v>
      </c>
      <c r="CE67" s="195">
        <f>IF(AND(Input_LTV&lt;=AE67,Input_Product=Elig!$C67,Elig_MatchAll_Ct&lt;22,$BC67=(Elig_MatchAll_Ct-1),AY67=0),Z67,0)</f>
        <v>0</v>
      </c>
      <c r="CF67" s="196">
        <f>IF(AND(Input_LTV&lt;=AE67,Input_Product=Elig!$C67,Elig_MatchAll_Ct&lt;22,$BC67=(Elig_MatchAll_Ct-1),AY67=0),AA67,0)</f>
        <v>0</v>
      </c>
      <c r="CG67" s="195">
        <f>IF(AND(Input_Product=Elig!$C67,Elig_MatchAll_Ct&lt;22,$BC67=(Elig_MatchAll_Ct-1),AZ67=0),AB67,0)</f>
        <v>0</v>
      </c>
      <c r="CH67" s="196">
        <f>IF(AND(Input_Product=Elig!$C67,Elig_MatchAll_Ct&lt;22,$BC67=(Elig_MatchAll_Ct-1),AZ67=0),AC67,0)</f>
        <v>0</v>
      </c>
      <c r="CI67" s="195">
        <f>IF(AND(Input_Product=Elig!$C67,Elig_MatchAll_Ct&lt;22,$BC67=(Elig_MatchAll_Ct-1),BA67=0),AD67,0)</f>
        <v>0</v>
      </c>
      <c r="CJ67" s="197">
        <f>IF(AND(Input_Product=Elig!$C67,Elig_MatchAll_Ct&lt;22,$BC67=(Elig_MatchAll_Ct-1),BA67=0),AE67,0)</f>
        <v>0</v>
      </c>
    </row>
    <row r="68" spans="2:88" ht="10.15" customHeight="1" x14ac:dyDescent="0.25">
      <c r="B68" s="1912" t="s">
        <v>822</v>
      </c>
      <c r="C68" s="134" t="str">
        <f t="shared" si="1"/>
        <v>NonQM OO</v>
      </c>
      <c r="D68" s="135" t="s">
        <v>3885</v>
      </c>
      <c r="E68" s="135" t="s">
        <v>167</v>
      </c>
      <c r="F68" s="135" t="s">
        <v>331</v>
      </c>
      <c r="G68" s="135" t="s">
        <v>303</v>
      </c>
      <c r="H68" s="135" t="s">
        <v>136</v>
      </c>
      <c r="I68" s="136" t="s">
        <v>274</v>
      </c>
      <c r="J68" s="136" t="s">
        <v>1311</v>
      </c>
      <c r="K68" s="136" t="s">
        <v>1631</v>
      </c>
      <c r="L68" s="221" t="s">
        <v>3920</v>
      </c>
      <c r="M68" s="135" t="s">
        <v>4203</v>
      </c>
      <c r="N68" s="135" t="s">
        <v>82</v>
      </c>
      <c r="O68" s="135" t="s">
        <v>310</v>
      </c>
      <c r="P68" s="135" t="s">
        <v>291</v>
      </c>
      <c r="Q68" s="135" t="s">
        <v>294</v>
      </c>
      <c r="R68" s="135">
        <v>1000000.01</v>
      </c>
      <c r="S68" s="135">
        <v>1500000</v>
      </c>
      <c r="T68" s="135">
        <v>0</v>
      </c>
      <c r="U68" s="135">
        <v>0</v>
      </c>
      <c r="V68" s="135">
        <v>0</v>
      </c>
      <c r="W68" s="135">
        <v>55</v>
      </c>
      <c r="X68" s="135">
        <v>0</v>
      </c>
      <c r="Y68" s="135">
        <v>999</v>
      </c>
      <c r="Z68" s="137">
        <v>700</v>
      </c>
      <c r="AA68" s="137">
        <v>719</v>
      </c>
      <c r="AB68" s="137">
        <v>6</v>
      </c>
      <c r="AC68" s="137">
        <v>999999</v>
      </c>
      <c r="AD68" s="135">
        <v>0</v>
      </c>
      <c r="AE68" s="221">
        <v>90</v>
      </c>
      <c r="AF68" s="170">
        <v>0</v>
      </c>
      <c r="AG68" s="171">
        <v>1</v>
      </c>
      <c r="AH68" s="171">
        <v>1</v>
      </c>
      <c r="AI68" s="171">
        <v>1</v>
      </c>
      <c r="AJ68" s="171">
        <v>1</v>
      </c>
      <c r="AK68" s="171">
        <v>1</v>
      </c>
      <c r="AL68" s="171">
        <v>0</v>
      </c>
      <c r="AM68" s="171">
        <v>1</v>
      </c>
      <c r="AN68" s="171">
        <v>1</v>
      </c>
      <c r="AO68" s="171">
        <v>1</v>
      </c>
      <c r="AP68" s="171">
        <v>1</v>
      </c>
      <c r="AQ68" s="171">
        <v>1</v>
      </c>
      <c r="AR68" s="171">
        <v>1</v>
      </c>
      <c r="AS68" s="171">
        <v>1</v>
      </c>
      <c r="AT68" s="171">
        <v>1</v>
      </c>
      <c r="AU68" s="171">
        <f t="shared" si="24"/>
        <v>0</v>
      </c>
      <c r="AV68" s="171">
        <f t="shared" si="25"/>
        <v>0</v>
      </c>
      <c r="AW68" s="171">
        <f t="shared" si="26"/>
        <v>1</v>
      </c>
      <c r="AX68" s="171">
        <f t="shared" si="5"/>
        <v>1</v>
      </c>
      <c r="AY68" s="171">
        <f t="shared" si="27"/>
        <v>0</v>
      </c>
      <c r="AZ68" s="171">
        <f t="shared" si="28"/>
        <v>1</v>
      </c>
      <c r="BA68" s="172">
        <f t="shared" si="29"/>
        <v>1</v>
      </c>
      <c r="BB68" s="175">
        <f t="shared" si="17"/>
        <v>17</v>
      </c>
      <c r="BC68" s="176">
        <f t="shared" si="18"/>
        <v>16</v>
      </c>
      <c r="BD68" s="176">
        <f t="shared" si="19"/>
        <v>17</v>
      </c>
      <c r="BE68" s="240" t="str">
        <f t="shared" si="12"/>
        <v/>
      </c>
      <c r="BH68" s="198">
        <f>IF(AND(Input_Product=Elig!$C68,Elig_MatchAll_Ct&lt;22,$BC68=(Elig_MatchAll_Ct-1),AF68=0),C68,0)</f>
        <v>0</v>
      </c>
      <c r="BI68" s="199">
        <f>IF(AND(Input_Product=Elig!$C68,Elig_MatchAll_Ct&lt;22,$BC68=(Elig_MatchAll_Ct-1),AG68=0),D68,0)</f>
        <v>0</v>
      </c>
      <c r="BJ68" s="199">
        <f>IF(AND(Input_Product=Elig!$C68,Elig_MatchAll_Ct&lt;22,$BC68=(Elig_MatchAll_Ct-1),AH68=0),E68,0)</f>
        <v>0</v>
      </c>
      <c r="BK68" s="199">
        <f>IF(AND(Input_Product=Elig!$C68,Elig_MatchAll_Ct&lt;22,$BC68=(Elig_MatchAll_Ct-1),AI68=0),F68,0)</f>
        <v>0</v>
      </c>
      <c r="BL68" s="199">
        <f>IF(AND(Input_Product=Elig!$C68,Elig_MatchAll_Ct&lt;22,$BC68=(Elig_MatchAll_Ct-1),AJ68=0),G68,0)</f>
        <v>0</v>
      </c>
      <c r="BM68" s="199">
        <f>IF(AND(Input_Product=Elig!$C68,Elig_MatchAll_Ct&lt;22,$BC68=(Elig_MatchAll_Ct-1),AK68=0),H68,0)</f>
        <v>0</v>
      </c>
      <c r="BN68" s="199">
        <f>IF(AND(Input_Product=Elig!$C68,Elig_MatchAll_Ct&lt;22,$BC68=(Elig_MatchAll_Ct-1),AL68=0),I68,0)</f>
        <v>0</v>
      </c>
      <c r="BO68" s="199">
        <f>IF(AND(Input_Product=Elig!$C68,Elig_MatchAll_Ct&lt;22,$BC68=(Elig_MatchAll_Ct-1),AM68=0),J68,0)</f>
        <v>0</v>
      </c>
      <c r="BP68" s="199">
        <f>IF(AND(Input_Product=Elig!$C68,Elig_MatchAll_Ct&lt;22,$BC68=(Elig_MatchAll_Ct-1),AN68=0),K68,0)</f>
        <v>0</v>
      </c>
      <c r="BQ68" s="199">
        <f>IF(AND(Input_Product=Elig!$C68,Elig_MatchAll_Ct&lt;22,$BC68=(Elig_MatchAll_Ct-1),AP68=0),L68,0)</f>
        <v>0</v>
      </c>
      <c r="BR68" s="199">
        <f>IF(AND(Input_Product=Elig!$C68,Elig_MatchAll_Ct&lt;22,$BC68=(Elig_MatchAll_Ct-1),AO68=0),M68,0)</f>
        <v>0</v>
      </c>
      <c r="BS68" s="199">
        <f>IF(AND(Input_Product=Elig!$C68,Elig_MatchAll_Ct&lt;22,$BC68=(Elig_MatchAll_Ct-1),AQ68=0),N68,0)</f>
        <v>0</v>
      </c>
      <c r="BT68" s="199">
        <f>IF(AND(Input_Product=Elig!$C68,Elig_MatchAll_Ct&lt;22,$BC68=(Elig_MatchAll_Ct-1),AR68=0),O68,0)</f>
        <v>0</v>
      </c>
      <c r="BU68" s="199">
        <f>IF(AND(Input_Product=Elig!$C68,Elig_MatchAll_Ct&lt;22,$BC68=(Elig_MatchAll_Ct-1),AS68=0),P68,0)</f>
        <v>0</v>
      </c>
      <c r="BV68" s="200">
        <f>IF(AND(Input_Product=Elig!$C68,Elig_MatchAll_Ct&lt;22,$BC68=(Elig_MatchAll_Ct-1),AT68=0),Q68,0)</f>
        <v>0</v>
      </c>
      <c r="BW68" s="201">
        <f>IF(AND(Input_Product=Elig!$C68,Elig_MatchAll_Ct&lt;22,$BC68=(Elig_MatchAll_Ct-1),AU68=0),R68,0)</f>
        <v>0</v>
      </c>
      <c r="BX68" s="202">
        <f>IF(AND(Input_Product=Elig!$C68,Elig_MatchAll_Ct&lt;22,$BC68=(Elig_MatchAll_Ct-1),AU68=0),S68,0)</f>
        <v>0</v>
      </c>
      <c r="BY68" s="201">
        <f>IF(AND(Input_Product=Elig!$C68,Elig_MatchAll_Ct&lt;22,$BC68=(Elig_MatchAll_Ct-1),AV68=0),T68,0)</f>
        <v>0</v>
      </c>
      <c r="BZ68" s="202">
        <f>IF(AND(Input_Product=Elig!$C68,Elig_MatchAll_Ct&lt;22,$BC68=(Elig_MatchAll_Ct-1),AV68=0),U68,0)</f>
        <v>0</v>
      </c>
      <c r="CA68" s="201">
        <f>IF(AND(Input_Product=Elig!$C68,Elig_MatchAll_Ct&lt;22,$BC68=(Elig_MatchAll_Ct-1),AW68=0),V68,0)</f>
        <v>0</v>
      </c>
      <c r="CB68" s="202">
        <f>IF(AND(Input_Product=Elig!$C68,Elig_MatchAll_Ct&lt;22,$BC68=(Elig_MatchAll_Ct-1),AW68=0),W68,0)</f>
        <v>0</v>
      </c>
      <c r="CC68" s="201">
        <f>IF(AND(Input_Product=Elig!$C68,Elig_MatchAll_Ct&lt;22,$BC68=(Elig_MatchAll_Ct-1),AX68=0),X68,0)</f>
        <v>0</v>
      </c>
      <c r="CD68" s="202">
        <f>IF(AND(Input_Product=Elig!$C68,Elig_MatchAll_Ct&lt;22,$BC68=(Elig_MatchAll_Ct-1),AX68=0),Y68,0)</f>
        <v>0</v>
      </c>
      <c r="CE68" s="201">
        <f>IF(AND(Input_LTV&lt;=AE68,Input_Product=Elig!$C68,Elig_MatchAll_Ct&lt;22,$BC68=(Elig_MatchAll_Ct-1),AY68=0),Z68,0)</f>
        <v>0</v>
      </c>
      <c r="CF68" s="202">
        <f>IF(AND(Input_LTV&lt;=AE68,Input_Product=Elig!$C68,Elig_MatchAll_Ct&lt;22,$BC68=(Elig_MatchAll_Ct-1),AY68=0),AA68,0)</f>
        <v>0</v>
      </c>
      <c r="CG68" s="201">
        <f>IF(AND(Input_Product=Elig!$C68,Elig_MatchAll_Ct&lt;22,$BC68=(Elig_MatchAll_Ct-1),AZ68=0),AB68,0)</f>
        <v>0</v>
      </c>
      <c r="CH68" s="202">
        <f>IF(AND(Input_Product=Elig!$C68,Elig_MatchAll_Ct&lt;22,$BC68=(Elig_MatchAll_Ct-1),AZ68=0),AC68,0)</f>
        <v>0</v>
      </c>
      <c r="CI68" s="201">
        <f>IF(AND(Input_Product=Elig!$C68,Elig_MatchAll_Ct&lt;22,$BC68=(Elig_MatchAll_Ct-1),BA68=0),AD68,0)</f>
        <v>0</v>
      </c>
      <c r="CJ68" s="203">
        <f>IF(AND(Input_Product=Elig!$C68,Elig_MatchAll_Ct&lt;22,$BC68=(Elig_MatchAll_Ct-1),BA68=0),AE68,0)</f>
        <v>0</v>
      </c>
    </row>
    <row r="69" spans="2:88" ht="10.15" customHeight="1" x14ac:dyDescent="0.25">
      <c r="B69" s="1912" t="s">
        <v>823</v>
      </c>
      <c r="C69" s="134" t="str">
        <f t="shared" si="1"/>
        <v>NonQM OO</v>
      </c>
      <c r="D69" s="135" t="s">
        <v>3885</v>
      </c>
      <c r="E69" s="135" t="s">
        <v>167</v>
      </c>
      <c r="F69" s="135" t="s">
        <v>331</v>
      </c>
      <c r="G69" s="135" t="s">
        <v>303</v>
      </c>
      <c r="H69" s="135" t="s">
        <v>136</v>
      </c>
      <c r="I69" s="136" t="s">
        <v>274</v>
      </c>
      <c r="J69" s="136" t="s">
        <v>1311</v>
      </c>
      <c r="K69" s="136" t="s">
        <v>1631</v>
      </c>
      <c r="L69" s="221" t="s">
        <v>3920</v>
      </c>
      <c r="M69" s="135" t="s">
        <v>4203</v>
      </c>
      <c r="N69" s="135" t="s">
        <v>82</v>
      </c>
      <c r="O69" s="135" t="s">
        <v>310</v>
      </c>
      <c r="P69" s="135" t="s">
        <v>291</v>
      </c>
      <c r="Q69" s="135" t="s">
        <v>294</v>
      </c>
      <c r="R69" s="135">
        <v>1000000.01</v>
      </c>
      <c r="S69" s="135">
        <v>1500000</v>
      </c>
      <c r="T69" s="135">
        <v>0</v>
      </c>
      <c r="U69" s="135">
        <v>0</v>
      </c>
      <c r="V69" s="135">
        <v>0</v>
      </c>
      <c r="W69" s="135">
        <v>55</v>
      </c>
      <c r="X69" s="135">
        <v>0</v>
      </c>
      <c r="Y69" s="135">
        <v>999</v>
      </c>
      <c r="Z69" s="137">
        <v>680</v>
      </c>
      <c r="AA69" s="137">
        <v>699</v>
      </c>
      <c r="AB69" s="137">
        <v>6</v>
      </c>
      <c r="AC69" s="137">
        <v>999999</v>
      </c>
      <c r="AD69" s="135">
        <v>0</v>
      </c>
      <c r="AE69" s="135">
        <v>85</v>
      </c>
      <c r="AF69" s="170">
        <v>0</v>
      </c>
      <c r="AG69" s="171">
        <v>1</v>
      </c>
      <c r="AH69" s="171">
        <v>1</v>
      </c>
      <c r="AI69" s="171">
        <v>1</v>
      </c>
      <c r="AJ69" s="171">
        <v>1</v>
      </c>
      <c r="AK69" s="171">
        <v>1</v>
      </c>
      <c r="AL69" s="171">
        <v>0</v>
      </c>
      <c r="AM69" s="171">
        <v>1</v>
      </c>
      <c r="AN69" s="171">
        <v>1</v>
      </c>
      <c r="AO69" s="171">
        <v>1</v>
      </c>
      <c r="AP69" s="171">
        <v>1</v>
      </c>
      <c r="AQ69" s="171">
        <v>1</v>
      </c>
      <c r="AR69" s="171">
        <v>1</v>
      </c>
      <c r="AS69" s="171">
        <v>1</v>
      </c>
      <c r="AT69" s="171">
        <v>1</v>
      </c>
      <c r="AU69" s="171">
        <f t="shared" si="24"/>
        <v>0</v>
      </c>
      <c r="AV69" s="171">
        <f t="shared" si="25"/>
        <v>0</v>
      </c>
      <c r="AW69" s="171">
        <f t="shared" si="26"/>
        <v>1</v>
      </c>
      <c r="AX69" s="171">
        <f t="shared" si="5"/>
        <v>1</v>
      </c>
      <c r="AY69" s="171">
        <f t="shared" si="27"/>
        <v>0</v>
      </c>
      <c r="AZ69" s="171">
        <f t="shared" si="28"/>
        <v>1</v>
      </c>
      <c r="BA69" s="172">
        <f t="shared" si="29"/>
        <v>1</v>
      </c>
      <c r="BB69" s="175">
        <f t="shared" si="17"/>
        <v>17</v>
      </c>
      <c r="BC69" s="176">
        <f t="shared" si="18"/>
        <v>16</v>
      </c>
      <c r="BD69" s="176">
        <f t="shared" si="19"/>
        <v>17</v>
      </c>
      <c r="BE69" s="240" t="str">
        <f t="shared" si="12"/>
        <v/>
      </c>
      <c r="BH69" s="198">
        <f>IF(AND(Input_Product=Elig!$C69,Elig_MatchAll_Ct&lt;22,$BC69=(Elig_MatchAll_Ct-1),AF69=0),C69,0)</f>
        <v>0</v>
      </c>
      <c r="BI69" s="199">
        <f>IF(AND(Input_Product=Elig!$C69,Elig_MatchAll_Ct&lt;22,$BC69=(Elig_MatchAll_Ct-1),AG69=0),D69,0)</f>
        <v>0</v>
      </c>
      <c r="BJ69" s="199">
        <f>IF(AND(Input_Product=Elig!$C69,Elig_MatchAll_Ct&lt;22,$BC69=(Elig_MatchAll_Ct-1),AH69=0),E69,0)</f>
        <v>0</v>
      </c>
      <c r="BK69" s="199">
        <f>IF(AND(Input_Product=Elig!$C69,Elig_MatchAll_Ct&lt;22,$BC69=(Elig_MatchAll_Ct-1),AI69=0),F69,0)</f>
        <v>0</v>
      </c>
      <c r="BL69" s="199">
        <f>IF(AND(Input_Product=Elig!$C69,Elig_MatchAll_Ct&lt;22,$BC69=(Elig_MatchAll_Ct-1),AJ69=0),G69,0)</f>
        <v>0</v>
      </c>
      <c r="BM69" s="199">
        <f>IF(AND(Input_Product=Elig!$C69,Elig_MatchAll_Ct&lt;22,$BC69=(Elig_MatchAll_Ct-1),AK69=0),H69,0)</f>
        <v>0</v>
      </c>
      <c r="BN69" s="199">
        <f>IF(AND(Input_Product=Elig!$C69,Elig_MatchAll_Ct&lt;22,$BC69=(Elig_MatchAll_Ct-1),AL69=0),I69,0)</f>
        <v>0</v>
      </c>
      <c r="BO69" s="199">
        <f>IF(AND(Input_Product=Elig!$C69,Elig_MatchAll_Ct&lt;22,$BC69=(Elig_MatchAll_Ct-1),AM69=0),J69,0)</f>
        <v>0</v>
      </c>
      <c r="BP69" s="199">
        <f>IF(AND(Input_Product=Elig!$C69,Elig_MatchAll_Ct&lt;22,$BC69=(Elig_MatchAll_Ct-1),AN69=0),K69,0)</f>
        <v>0</v>
      </c>
      <c r="BQ69" s="199">
        <f>IF(AND(Input_Product=Elig!$C69,Elig_MatchAll_Ct&lt;22,$BC69=(Elig_MatchAll_Ct-1),AP69=0),L69,0)</f>
        <v>0</v>
      </c>
      <c r="BR69" s="199">
        <f>IF(AND(Input_Product=Elig!$C69,Elig_MatchAll_Ct&lt;22,$BC69=(Elig_MatchAll_Ct-1),AO69=0),M69,0)</f>
        <v>0</v>
      </c>
      <c r="BS69" s="199">
        <f>IF(AND(Input_Product=Elig!$C69,Elig_MatchAll_Ct&lt;22,$BC69=(Elig_MatchAll_Ct-1),AQ69=0),N69,0)</f>
        <v>0</v>
      </c>
      <c r="BT69" s="199">
        <f>IF(AND(Input_Product=Elig!$C69,Elig_MatchAll_Ct&lt;22,$BC69=(Elig_MatchAll_Ct-1),AR69=0),O69,0)</f>
        <v>0</v>
      </c>
      <c r="BU69" s="199">
        <f>IF(AND(Input_Product=Elig!$C69,Elig_MatchAll_Ct&lt;22,$BC69=(Elig_MatchAll_Ct-1),AS69=0),P69,0)</f>
        <v>0</v>
      </c>
      <c r="BV69" s="200">
        <f>IF(AND(Input_Product=Elig!$C69,Elig_MatchAll_Ct&lt;22,$BC69=(Elig_MatchAll_Ct-1),AT69=0),Q69,0)</f>
        <v>0</v>
      </c>
      <c r="BW69" s="201">
        <f>IF(AND(Input_Product=Elig!$C69,Elig_MatchAll_Ct&lt;22,$BC69=(Elig_MatchAll_Ct-1),AU69=0),R69,0)</f>
        <v>0</v>
      </c>
      <c r="BX69" s="202">
        <f>IF(AND(Input_Product=Elig!$C69,Elig_MatchAll_Ct&lt;22,$BC69=(Elig_MatchAll_Ct-1),AU69=0),S69,0)</f>
        <v>0</v>
      </c>
      <c r="BY69" s="201">
        <f>IF(AND(Input_Product=Elig!$C69,Elig_MatchAll_Ct&lt;22,$BC69=(Elig_MatchAll_Ct-1),AV69=0),T69,0)</f>
        <v>0</v>
      </c>
      <c r="BZ69" s="202">
        <f>IF(AND(Input_Product=Elig!$C69,Elig_MatchAll_Ct&lt;22,$BC69=(Elig_MatchAll_Ct-1),AV69=0),U69,0)</f>
        <v>0</v>
      </c>
      <c r="CA69" s="201">
        <f>IF(AND(Input_Product=Elig!$C69,Elig_MatchAll_Ct&lt;22,$BC69=(Elig_MatchAll_Ct-1),AW69=0),V69,0)</f>
        <v>0</v>
      </c>
      <c r="CB69" s="202">
        <f>IF(AND(Input_Product=Elig!$C69,Elig_MatchAll_Ct&lt;22,$BC69=(Elig_MatchAll_Ct-1),AW69=0),W69,0)</f>
        <v>0</v>
      </c>
      <c r="CC69" s="201">
        <f>IF(AND(Input_Product=Elig!$C69,Elig_MatchAll_Ct&lt;22,$BC69=(Elig_MatchAll_Ct-1),AX69=0),X69,0)</f>
        <v>0</v>
      </c>
      <c r="CD69" s="202">
        <f>IF(AND(Input_Product=Elig!$C69,Elig_MatchAll_Ct&lt;22,$BC69=(Elig_MatchAll_Ct-1),AX69=0),Y69,0)</f>
        <v>0</v>
      </c>
      <c r="CE69" s="201">
        <f>IF(AND(Input_LTV&lt;=AE69,Input_Product=Elig!$C69,Elig_MatchAll_Ct&lt;22,$BC69=(Elig_MatchAll_Ct-1),AY69=0),Z69,0)</f>
        <v>0</v>
      </c>
      <c r="CF69" s="202">
        <f>IF(AND(Input_LTV&lt;=AE69,Input_Product=Elig!$C69,Elig_MatchAll_Ct&lt;22,$BC69=(Elig_MatchAll_Ct-1),AY69=0),AA69,0)</f>
        <v>0</v>
      </c>
      <c r="CG69" s="201">
        <f>IF(AND(Input_Product=Elig!$C69,Elig_MatchAll_Ct&lt;22,$BC69=(Elig_MatchAll_Ct-1),AZ69=0),AB69,0)</f>
        <v>0</v>
      </c>
      <c r="CH69" s="202">
        <f>IF(AND(Input_Product=Elig!$C69,Elig_MatchAll_Ct&lt;22,$BC69=(Elig_MatchAll_Ct-1),AZ69=0),AC69,0)</f>
        <v>0</v>
      </c>
      <c r="CI69" s="201">
        <f>IF(AND(Input_Product=Elig!$C69,Elig_MatchAll_Ct&lt;22,$BC69=(Elig_MatchAll_Ct-1),BA69=0),AD69,0)</f>
        <v>0</v>
      </c>
      <c r="CJ69" s="203">
        <f>IF(AND(Input_Product=Elig!$C69,Elig_MatchAll_Ct&lt;22,$BC69=(Elig_MatchAll_Ct-1),BA69=0),AE69,0)</f>
        <v>0</v>
      </c>
    </row>
    <row r="70" spans="2:88" ht="10.15" customHeight="1" x14ac:dyDescent="0.25">
      <c r="B70" s="1912" t="s">
        <v>824</v>
      </c>
      <c r="C70" s="134" t="str">
        <f t="shared" si="1"/>
        <v>NonQM OO</v>
      </c>
      <c r="D70" s="135" t="s">
        <v>3885</v>
      </c>
      <c r="E70" s="135" t="s">
        <v>167</v>
      </c>
      <c r="F70" s="135" t="s">
        <v>331</v>
      </c>
      <c r="G70" s="135" t="s">
        <v>303</v>
      </c>
      <c r="H70" s="135" t="s">
        <v>136</v>
      </c>
      <c r="I70" s="135" t="s">
        <v>274</v>
      </c>
      <c r="J70" s="135" t="s">
        <v>1311</v>
      </c>
      <c r="K70" s="135" t="s">
        <v>1631</v>
      </c>
      <c r="L70" s="221" t="s">
        <v>3920</v>
      </c>
      <c r="M70" s="135" t="s">
        <v>4203</v>
      </c>
      <c r="N70" s="135" t="s">
        <v>82</v>
      </c>
      <c r="O70" s="135" t="s">
        <v>310</v>
      </c>
      <c r="P70" s="135" t="s">
        <v>291</v>
      </c>
      <c r="Q70" s="135" t="s">
        <v>294</v>
      </c>
      <c r="R70" s="135">
        <v>1000000.01</v>
      </c>
      <c r="S70" s="135">
        <v>1500000</v>
      </c>
      <c r="T70" s="135">
        <v>0</v>
      </c>
      <c r="U70" s="135">
        <v>0</v>
      </c>
      <c r="V70" s="135">
        <v>0</v>
      </c>
      <c r="W70" s="135">
        <v>55</v>
      </c>
      <c r="X70" s="135">
        <v>0</v>
      </c>
      <c r="Y70" s="135">
        <v>999</v>
      </c>
      <c r="Z70" s="137">
        <v>660</v>
      </c>
      <c r="AA70" s="137">
        <v>679</v>
      </c>
      <c r="AB70" s="137">
        <v>6</v>
      </c>
      <c r="AC70" s="137">
        <v>999999</v>
      </c>
      <c r="AD70" s="135">
        <v>0</v>
      </c>
      <c r="AE70" s="135">
        <v>80</v>
      </c>
      <c r="AF70" s="170">
        <v>0</v>
      </c>
      <c r="AG70" s="171">
        <v>1</v>
      </c>
      <c r="AH70" s="171">
        <v>1</v>
      </c>
      <c r="AI70" s="171">
        <v>1</v>
      </c>
      <c r="AJ70" s="171">
        <v>1</v>
      </c>
      <c r="AK70" s="171">
        <v>1</v>
      </c>
      <c r="AL70" s="171">
        <v>0</v>
      </c>
      <c r="AM70" s="171">
        <v>1</v>
      </c>
      <c r="AN70" s="171">
        <v>1</v>
      </c>
      <c r="AO70" s="171">
        <v>1</v>
      </c>
      <c r="AP70" s="171">
        <v>1</v>
      </c>
      <c r="AQ70" s="171">
        <v>1</v>
      </c>
      <c r="AR70" s="171">
        <v>1</v>
      </c>
      <c r="AS70" s="171">
        <v>1</v>
      </c>
      <c r="AT70" s="171">
        <v>1</v>
      </c>
      <c r="AU70" s="171">
        <f t="shared" si="24"/>
        <v>0</v>
      </c>
      <c r="AV70" s="171">
        <f t="shared" si="25"/>
        <v>0</v>
      </c>
      <c r="AW70" s="171">
        <f t="shared" si="26"/>
        <v>1</v>
      </c>
      <c r="AX70" s="171">
        <f t="shared" si="5"/>
        <v>1</v>
      </c>
      <c r="AY70" s="171">
        <f t="shared" si="27"/>
        <v>0</v>
      </c>
      <c r="AZ70" s="171">
        <f t="shared" si="28"/>
        <v>1</v>
      </c>
      <c r="BA70" s="172">
        <f t="shared" si="29"/>
        <v>1</v>
      </c>
      <c r="BB70" s="175">
        <f t="shared" si="17"/>
        <v>17</v>
      </c>
      <c r="BC70" s="176">
        <f t="shared" si="18"/>
        <v>16</v>
      </c>
      <c r="BD70" s="176">
        <f t="shared" si="19"/>
        <v>17</v>
      </c>
      <c r="BE70" s="240" t="str">
        <f t="shared" si="12"/>
        <v/>
      </c>
      <c r="BH70" s="198">
        <f>IF(AND(Input_Product=Elig!$C70,Elig_MatchAll_Ct&lt;22,$BC70=(Elig_MatchAll_Ct-1),AF70=0),C70,0)</f>
        <v>0</v>
      </c>
      <c r="BI70" s="199">
        <f>IF(AND(Input_Product=Elig!$C70,Elig_MatchAll_Ct&lt;22,$BC70=(Elig_MatchAll_Ct-1),AG70=0),D70,0)</f>
        <v>0</v>
      </c>
      <c r="BJ70" s="199">
        <f>IF(AND(Input_Product=Elig!$C70,Elig_MatchAll_Ct&lt;22,$BC70=(Elig_MatchAll_Ct-1),AH70=0),E70,0)</f>
        <v>0</v>
      </c>
      <c r="BK70" s="199">
        <f>IF(AND(Input_Product=Elig!$C70,Elig_MatchAll_Ct&lt;22,$BC70=(Elig_MatchAll_Ct-1),AI70=0),F70,0)</f>
        <v>0</v>
      </c>
      <c r="BL70" s="199">
        <f>IF(AND(Input_Product=Elig!$C70,Elig_MatchAll_Ct&lt;22,$BC70=(Elig_MatchAll_Ct-1),AJ70=0),G70,0)</f>
        <v>0</v>
      </c>
      <c r="BM70" s="199">
        <f>IF(AND(Input_Product=Elig!$C70,Elig_MatchAll_Ct&lt;22,$BC70=(Elig_MatchAll_Ct-1),AK70=0),H70,0)</f>
        <v>0</v>
      </c>
      <c r="BN70" s="199">
        <f>IF(AND(Input_Product=Elig!$C70,Elig_MatchAll_Ct&lt;22,$BC70=(Elig_MatchAll_Ct-1),AL70=0),I70,0)</f>
        <v>0</v>
      </c>
      <c r="BO70" s="199">
        <f>IF(AND(Input_Product=Elig!$C70,Elig_MatchAll_Ct&lt;22,$BC70=(Elig_MatchAll_Ct-1),AM70=0),J70,0)</f>
        <v>0</v>
      </c>
      <c r="BP70" s="199">
        <f>IF(AND(Input_Product=Elig!$C70,Elig_MatchAll_Ct&lt;22,$BC70=(Elig_MatchAll_Ct-1),AN70=0),K70,0)</f>
        <v>0</v>
      </c>
      <c r="BQ70" s="199">
        <f>IF(AND(Input_Product=Elig!$C70,Elig_MatchAll_Ct&lt;22,$BC70=(Elig_MatchAll_Ct-1),AP70=0),L70,0)</f>
        <v>0</v>
      </c>
      <c r="BR70" s="199">
        <f>IF(AND(Input_Product=Elig!$C70,Elig_MatchAll_Ct&lt;22,$BC70=(Elig_MatchAll_Ct-1),AO70=0),M70,0)</f>
        <v>0</v>
      </c>
      <c r="BS70" s="199">
        <f>IF(AND(Input_Product=Elig!$C70,Elig_MatchAll_Ct&lt;22,$BC70=(Elig_MatchAll_Ct-1),AQ70=0),N70,0)</f>
        <v>0</v>
      </c>
      <c r="BT70" s="199">
        <f>IF(AND(Input_Product=Elig!$C70,Elig_MatchAll_Ct&lt;22,$BC70=(Elig_MatchAll_Ct-1),AR70=0),O70,0)</f>
        <v>0</v>
      </c>
      <c r="BU70" s="199">
        <f>IF(AND(Input_Product=Elig!$C70,Elig_MatchAll_Ct&lt;22,$BC70=(Elig_MatchAll_Ct-1),AS70=0),P70,0)</f>
        <v>0</v>
      </c>
      <c r="BV70" s="200">
        <f>IF(AND(Input_Product=Elig!$C70,Elig_MatchAll_Ct&lt;22,$BC70=(Elig_MatchAll_Ct-1),AT70=0),Q70,0)</f>
        <v>0</v>
      </c>
      <c r="BW70" s="201">
        <f>IF(AND(Input_Product=Elig!$C70,Elig_MatchAll_Ct&lt;22,$BC70=(Elig_MatchAll_Ct-1),AU70=0),R70,0)</f>
        <v>0</v>
      </c>
      <c r="BX70" s="202">
        <f>IF(AND(Input_Product=Elig!$C70,Elig_MatchAll_Ct&lt;22,$BC70=(Elig_MatchAll_Ct-1),AU70=0),S70,0)</f>
        <v>0</v>
      </c>
      <c r="BY70" s="201">
        <f>IF(AND(Input_Product=Elig!$C70,Elig_MatchAll_Ct&lt;22,$BC70=(Elig_MatchAll_Ct-1),AV70=0),T70,0)</f>
        <v>0</v>
      </c>
      <c r="BZ70" s="202">
        <f>IF(AND(Input_Product=Elig!$C70,Elig_MatchAll_Ct&lt;22,$BC70=(Elig_MatchAll_Ct-1),AV70=0),U70,0)</f>
        <v>0</v>
      </c>
      <c r="CA70" s="201">
        <f>IF(AND(Input_Product=Elig!$C70,Elig_MatchAll_Ct&lt;22,$BC70=(Elig_MatchAll_Ct-1),AW70=0),V70,0)</f>
        <v>0</v>
      </c>
      <c r="CB70" s="202">
        <f>IF(AND(Input_Product=Elig!$C70,Elig_MatchAll_Ct&lt;22,$BC70=(Elig_MatchAll_Ct-1),AW70=0),W70,0)</f>
        <v>0</v>
      </c>
      <c r="CC70" s="201">
        <f>IF(AND(Input_Product=Elig!$C70,Elig_MatchAll_Ct&lt;22,$BC70=(Elig_MatchAll_Ct-1),AX70=0),X70,0)</f>
        <v>0</v>
      </c>
      <c r="CD70" s="202">
        <f>IF(AND(Input_Product=Elig!$C70,Elig_MatchAll_Ct&lt;22,$BC70=(Elig_MatchAll_Ct-1),AX70=0),Y70,0)</f>
        <v>0</v>
      </c>
      <c r="CE70" s="201">
        <f>IF(AND(Input_LTV&lt;=AE70,Input_Product=Elig!$C70,Elig_MatchAll_Ct&lt;22,$BC70=(Elig_MatchAll_Ct-1),AY70=0),Z70,0)</f>
        <v>0</v>
      </c>
      <c r="CF70" s="202">
        <f>IF(AND(Input_LTV&lt;=AE70,Input_Product=Elig!$C70,Elig_MatchAll_Ct&lt;22,$BC70=(Elig_MatchAll_Ct-1),AY70=0),AA70,0)</f>
        <v>0</v>
      </c>
      <c r="CG70" s="201">
        <f>IF(AND(Input_Product=Elig!$C70,Elig_MatchAll_Ct&lt;22,$BC70=(Elig_MatchAll_Ct-1),AZ70=0),AB70,0)</f>
        <v>0</v>
      </c>
      <c r="CH70" s="202">
        <f>IF(AND(Input_Product=Elig!$C70,Elig_MatchAll_Ct&lt;22,$BC70=(Elig_MatchAll_Ct-1),AZ70=0),AC70,0)</f>
        <v>0</v>
      </c>
      <c r="CI70" s="201">
        <f>IF(AND(Input_Product=Elig!$C70,Elig_MatchAll_Ct&lt;22,$BC70=(Elig_MatchAll_Ct-1),BA70=0),AD70,0)</f>
        <v>0</v>
      </c>
      <c r="CJ70" s="203">
        <f>IF(AND(Input_Product=Elig!$C70,Elig_MatchAll_Ct&lt;22,$BC70=(Elig_MatchAll_Ct-1),BA70=0),AE70,0)</f>
        <v>0</v>
      </c>
    </row>
    <row r="71" spans="2:88" ht="10.15" customHeight="1" x14ac:dyDescent="0.25">
      <c r="B71" s="1912" t="s">
        <v>825</v>
      </c>
      <c r="C71" s="134" t="str">
        <f t="shared" si="1"/>
        <v>NonQM OO</v>
      </c>
      <c r="D71" s="135" t="s">
        <v>3885</v>
      </c>
      <c r="E71" s="135" t="s">
        <v>167</v>
      </c>
      <c r="F71" s="135" t="s">
        <v>331</v>
      </c>
      <c r="G71" s="135" t="s">
        <v>303</v>
      </c>
      <c r="H71" s="135" t="s">
        <v>136</v>
      </c>
      <c r="I71" s="135" t="s">
        <v>274</v>
      </c>
      <c r="J71" s="135" t="s">
        <v>1311</v>
      </c>
      <c r="K71" s="135" t="s">
        <v>1631</v>
      </c>
      <c r="L71" s="221" t="s">
        <v>3920</v>
      </c>
      <c r="M71" s="135" t="s">
        <v>4203</v>
      </c>
      <c r="N71" s="135" t="s">
        <v>82</v>
      </c>
      <c r="O71" s="135" t="s">
        <v>310</v>
      </c>
      <c r="P71" s="135" t="s">
        <v>291</v>
      </c>
      <c r="Q71" s="135" t="s">
        <v>294</v>
      </c>
      <c r="R71" s="135">
        <v>1000000.01</v>
      </c>
      <c r="S71" s="135">
        <v>1500000</v>
      </c>
      <c r="T71" s="135">
        <v>0</v>
      </c>
      <c r="U71" s="135">
        <v>0</v>
      </c>
      <c r="V71" s="135">
        <v>0</v>
      </c>
      <c r="W71" s="135">
        <v>55</v>
      </c>
      <c r="X71" s="135">
        <v>0</v>
      </c>
      <c r="Y71" s="135">
        <v>999</v>
      </c>
      <c r="Z71" s="137">
        <v>640</v>
      </c>
      <c r="AA71" s="137">
        <v>659</v>
      </c>
      <c r="AB71" s="137">
        <v>6</v>
      </c>
      <c r="AC71" s="137">
        <v>999999</v>
      </c>
      <c r="AD71" s="135">
        <v>0</v>
      </c>
      <c r="AE71" s="135">
        <v>70</v>
      </c>
      <c r="AF71" s="170">
        <v>0</v>
      </c>
      <c r="AG71" s="171">
        <v>1</v>
      </c>
      <c r="AH71" s="171">
        <v>1</v>
      </c>
      <c r="AI71" s="171">
        <v>1</v>
      </c>
      <c r="AJ71" s="171">
        <v>1</v>
      </c>
      <c r="AK71" s="171">
        <v>1</v>
      </c>
      <c r="AL71" s="171">
        <v>0</v>
      </c>
      <c r="AM71" s="171">
        <v>1</v>
      </c>
      <c r="AN71" s="171">
        <v>1</v>
      </c>
      <c r="AO71" s="171">
        <v>1</v>
      </c>
      <c r="AP71" s="171">
        <v>1</v>
      </c>
      <c r="AQ71" s="171">
        <v>1</v>
      </c>
      <c r="AR71" s="171">
        <v>1</v>
      </c>
      <c r="AS71" s="171">
        <v>1</v>
      </c>
      <c r="AT71" s="171">
        <v>1</v>
      </c>
      <c r="AU71" s="171">
        <f t="shared" si="24"/>
        <v>0</v>
      </c>
      <c r="AV71" s="171">
        <f t="shared" si="25"/>
        <v>0</v>
      </c>
      <c r="AW71" s="171">
        <f t="shared" si="26"/>
        <v>1</v>
      </c>
      <c r="AX71" s="171">
        <f t="shared" si="5"/>
        <v>1</v>
      </c>
      <c r="AY71" s="171">
        <f t="shared" si="27"/>
        <v>0</v>
      </c>
      <c r="AZ71" s="171">
        <f t="shared" si="28"/>
        <v>1</v>
      </c>
      <c r="BA71" s="172">
        <f t="shared" si="29"/>
        <v>1</v>
      </c>
      <c r="BB71" s="175">
        <f t="shared" si="17"/>
        <v>17</v>
      </c>
      <c r="BC71" s="176">
        <f t="shared" si="18"/>
        <v>16</v>
      </c>
      <c r="BD71" s="176">
        <f t="shared" si="19"/>
        <v>17</v>
      </c>
      <c r="BE71" s="240" t="str">
        <f t="shared" ref="BE71:BE134" si="30">IF(BD71=21,C71,"")</f>
        <v/>
      </c>
      <c r="BH71" s="198">
        <f>IF(AND(Input_Product=Elig!$C71,Elig_MatchAll_Ct&lt;22,$BC71=(Elig_MatchAll_Ct-1),AF71=0),C71,0)</f>
        <v>0</v>
      </c>
      <c r="BI71" s="199">
        <f>IF(AND(Input_Product=Elig!$C71,Elig_MatchAll_Ct&lt;22,$BC71=(Elig_MatchAll_Ct-1),AG71=0),D71,0)</f>
        <v>0</v>
      </c>
      <c r="BJ71" s="199">
        <f>IF(AND(Input_Product=Elig!$C71,Elig_MatchAll_Ct&lt;22,$BC71=(Elig_MatchAll_Ct-1),AH71=0),E71,0)</f>
        <v>0</v>
      </c>
      <c r="BK71" s="199">
        <f>IF(AND(Input_Product=Elig!$C71,Elig_MatchAll_Ct&lt;22,$BC71=(Elig_MatchAll_Ct-1),AI71=0),F71,0)</f>
        <v>0</v>
      </c>
      <c r="BL71" s="199">
        <f>IF(AND(Input_Product=Elig!$C71,Elig_MatchAll_Ct&lt;22,$BC71=(Elig_MatchAll_Ct-1),AJ71=0),G71,0)</f>
        <v>0</v>
      </c>
      <c r="BM71" s="199">
        <f>IF(AND(Input_Product=Elig!$C71,Elig_MatchAll_Ct&lt;22,$BC71=(Elig_MatchAll_Ct-1),AK71=0),H71,0)</f>
        <v>0</v>
      </c>
      <c r="BN71" s="199">
        <f>IF(AND(Input_Product=Elig!$C71,Elig_MatchAll_Ct&lt;22,$BC71=(Elig_MatchAll_Ct-1),AL71=0),I71,0)</f>
        <v>0</v>
      </c>
      <c r="BO71" s="199">
        <f>IF(AND(Input_Product=Elig!$C71,Elig_MatchAll_Ct&lt;22,$BC71=(Elig_MatchAll_Ct-1),AM71=0),J71,0)</f>
        <v>0</v>
      </c>
      <c r="BP71" s="199">
        <f>IF(AND(Input_Product=Elig!$C71,Elig_MatchAll_Ct&lt;22,$BC71=(Elig_MatchAll_Ct-1),AN71=0),K71,0)</f>
        <v>0</v>
      </c>
      <c r="BQ71" s="199">
        <f>IF(AND(Input_Product=Elig!$C71,Elig_MatchAll_Ct&lt;22,$BC71=(Elig_MatchAll_Ct-1),AP71=0),L71,0)</f>
        <v>0</v>
      </c>
      <c r="BR71" s="199">
        <f>IF(AND(Input_Product=Elig!$C71,Elig_MatchAll_Ct&lt;22,$BC71=(Elig_MatchAll_Ct-1),AO71=0),M71,0)</f>
        <v>0</v>
      </c>
      <c r="BS71" s="199">
        <f>IF(AND(Input_Product=Elig!$C71,Elig_MatchAll_Ct&lt;22,$BC71=(Elig_MatchAll_Ct-1),AQ71=0),N71,0)</f>
        <v>0</v>
      </c>
      <c r="BT71" s="199">
        <f>IF(AND(Input_Product=Elig!$C71,Elig_MatchAll_Ct&lt;22,$BC71=(Elig_MatchAll_Ct-1),AR71=0),O71,0)</f>
        <v>0</v>
      </c>
      <c r="BU71" s="199">
        <f>IF(AND(Input_Product=Elig!$C71,Elig_MatchAll_Ct&lt;22,$BC71=(Elig_MatchAll_Ct-1),AS71=0),P71,0)</f>
        <v>0</v>
      </c>
      <c r="BV71" s="200">
        <f>IF(AND(Input_Product=Elig!$C71,Elig_MatchAll_Ct&lt;22,$BC71=(Elig_MatchAll_Ct-1),AT71=0),Q71,0)</f>
        <v>0</v>
      </c>
      <c r="BW71" s="201">
        <f>IF(AND(Input_Product=Elig!$C71,Elig_MatchAll_Ct&lt;22,$BC71=(Elig_MatchAll_Ct-1),AU71=0),R71,0)</f>
        <v>0</v>
      </c>
      <c r="BX71" s="202">
        <f>IF(AND(Input_Product=Elig!$C71,Elig_MatchAll_Ct&lt;22,$BC71=(Elig_MatchAll_Ct-1),AU71=0),S71,0)</f>
        <v>0</v>
      </c>
      <c r="BY71" s="201">
        <f>IF(AND(Input_Product=Elig!$C71,Elig_MatchAll_Ct&lt;22,$BC71=(Elig_MatchAll_Ct-1),AV71=0),T71,0)</f>
        <v>0</v>
      </c>
      <c r="BZ71" s="202">
        <f>IF(AND(Input_Product=Elig!$C71,Elig_MatchAll_Ct&lt;22,$BC71=(Elig_MatchAll_Ct-1),AV71=0),U71,0)</f>
        <v>0</v>
      </c>
      <c r="CA71" s="201">
        <f>IF(AND(Input_Product=Elig!$C71,Elig_MatchAll_Ct&lt;22,$BC71=(Elig_MatchAll_Ct-1),AW71=0),V71,0)</f>
        <v>0</v>
      </c>
      <c r="CB71" s="202">
        <f>IF(AND(Input_Product=Elig!$C71,Elig_MatchAll_Ct&lt;22,$BC71=(Elig_MatchAll_Ct-1),AW71=0),W71,0)</f>
        <v>0</v>
      </c>
      <c r="CC71" s="201">
        <f>IF(AND(Input_Product=Elig!$C71,Elig_MatchAll_Ct&lt;22,$BC71=(Elig_MatchAll_Ct-1),AX71=0),X71,0)</f>
        <v>0</v>
      </c>
      <c r="CD71" s="202">
        <f>IF(AND(Input_Product=Elig!$C71,Elig_MatchAll_Ct&lt;22,$BC71=(Elig_MatchAll_Ct-1),AX71=0),Y71,0)</f>
        <v>0</v>
      </c>
      <c r="CE71" s="201">
        <f>IF(AND(Input_LTV&lt;=AE71,Input_Product=Elig!$C71,Elig_MatchAll_Ct&lt;22,$BC71=(Elig_MatchAll_Ct-1),AY71=0),Z71,0)</f>
        <v>0</v>
      </c>
      <c r="CF71" s="202">
        <f>IF(AND(Input_LTV&lt;=AE71,Input_Product=Elig!$C71,Elig_MatchAll_Ct&lt;22,$BC71=(Elig_MatchAll_Ct-1),AY71=0),AA71,0)</f>
        <v>0</v>
      </c>
      <c r="CG71" s="201">
        <f>IF(AND(Input_Product=Elig!$C71,Elig_MatchAll_Ct&lt;22,$BC71=(Elig_MatchAll_Ct-1),AZ71=0),AB71,0)</f>
        <v>0</v>
      </c>
      <c r="CH71" s="202">
        <f>IF(AND(Input_Product=Elig!$C71,Elig_MatchAll_Ct&lt;22,$BC71=(Elig_MatchAll_Ct-1),AZ71=0),AC71,0)</f>
        <v>0</v>
      </c>
      <c r="CI71" s="201">
        <f>IF(AND(Input_Product=Elig!$C71,Elig_MatchAll_Ct&lt;22,$BC71=(Elig_MatchAll_Ct-1),BA71=0),AD71,0)</f>
        <v>0</v>
      </c>
      <c r="CJ71" s="203">
        <f>IF(AND(Input_Product=Elig!$C71,Elig_MatchAll_Ct&lt;22,$BC71=(Elig_MatchAll_Ct-1),BA71=0),AE71,0)</f>
        <v>0</v>
      </c>
    </row>
    <row r="72" spans="2:88" ht="10.15" customHeight="1" x14ac:dyDescent="0.25">
      <c r="B72" s="1912" t="s">
        <v>826</v>
      </c>
      <c r="C72" s="138" t="str">
        <f t="shared" si="1"/>
        <v>NonQM OO</v>
      </c>
      <c r="D72" s="139" t="s">
        <v>3885</v>
      </c>
      <c r="E72" s="139" t="s">
        <v>167</v>
      </c>
      <c r="F72" s="139" t="s">
        <v>331</v>
      </c>
      <c r="G72" s="139" t="s">
        <v>303</v>
      </c>
      <c r="H72" s="139" t="s">
        <v>136</v>
      </c>
      <c r="I72" s="139" t="s">
        <v>274</v>
      </c>
      <c r="J72" s="139" t="s">
        <v>1311</v>
      </c>
      <c r="K72" s="139" t="s">
        <v>1631</v>
      </c>
      <c r="L72" s="310" t="s">
        <v>3920</v>
      </c>
      <c r="M72" s="139" t="s">
        <v>4203</v>
      </c>
      <c r="N72" s="139" t="s">
        <v>82</v>
      </c>
      <c r="O72" s="139" t="s">
        <v>310</v>
      </c>
      <c r="P72" s="139" t="s">
        <v>291</v>
      </c>
      <c r="Q72" s="139" t="s">
        <v>294</v>
      </c>
      <c r="R72" s="139">
        <v>1000000.01</v>
      </c>
      <c r="S72" s="139">
        <v>1500000</v>
      </c>
      <c r="T72" s="139">
        <v>0</v>
      </c>
      <c r="U72" s="139">
        <v>0</v>
      </c>
      <c r="V72" s="139">
        <v>0</v>
      </c>
      <c r="W72" s="139">
        <v>55</v>
      </c>
      <c r="X72" s="139">
        <v>0</v>
      </c>
      <c r="Y72" s="139">
        <v>999</v>
      </c>
      <c r="Z72" s="140">
        <v>620</v>
      </c>
      <c r="AA72" s="140">
        <v>639</v>
      </c>
      <c r="AB72" s="140">
        <v>6</v>
      </c>
      <c r="AC72" s="140">
        <v>999999</v>
      </c>
      <c r="AD72" s="139">
        <v>0</v>
      </c>
      <c r="AE72" s="310">
        <v>70</v>
      </c>
      <c r="AF72" s="170">
        <v>0</v>
      </c>
      <c r="AG72" s="171">
        <v>1</v>
      </c>
      <c r="AH72" s="171">
        <v>1</v>
      </c>
      <c r="AI72" s="171">
        <v>1</v>
      </c>
      <c r="AJ72" s="171">
        <v>1</v>
      </c>
      <c r="AK72" s="171">
        <v>1</v>
      </c>
      <c r="AL72" s="171">
        <v>0</v>
      </c>
      <c r="AM72" s="171">
        <v>1</v>
      </c>
      <c r="AN72" s="171">
        <v>1</v>
      </c>
      <c r="AO72" s="171">
        <v>1</v>
      </c>
      <c r="AP72" s="171">
        <v>1</v>
      </c>
      <c r="AQ72" s="171">
        <v>1</v>
      </c>
      <c r="AR72" s="171">
        <v>1</v>
      </c>
      <c r="AS72" s="171">
        <v>1</v>
      </c>
      <c r="AT72" s="171">
        <v>1</v>
      </c>
      <c r="AU72" s="171">
        <f t="shared" si="24"/>
        <v>0</v>
      </c>
      <c r="AV72" s="171">
        <f t="shared" si="25"/>
        <v>0</v>
      </c>
      <c r="AW72" s="171">
        <f t="shared" si="26"/>
        <v>1</v>
      </c>
      <c r="AX72" s="171">
        <f t="shared" si="5"/>
        <v>1</v>
      </c>
      <c r="AY72" s="171">
        <f t="shared" si="27"/>
        <v>0</v>
      </c>
      <c r="AZ72" s="171">
        <f t="shared" si="28"/>
        <v>1</v>
      </c>
      <c r="BA72" s="172">
        <f t="shared" si="29"/>
        <v>1</v>
      </c>
      <c r="BB72" s="175">
        <f t="shared" ref="BB72:BB129" si="31">SUM(AF72:BA72)</f>
        <v>17</v>
      </c>
      <c r="BC72" s="176">
        <f t="shared" ref="BC72:BC129" si="32">SUM(AF72:AZ72)</f>
        <v>16</v>
      </c>
      <c r="BD72" s="176">
        <f t="shared" ref="BD72:BD129" si="33">SUM(AG72:BA72)</f>
        <v>17</v>
      </c>
      <c r="BE72" s="240" t="str">
        <f t="shared" si="30"/>
        <v/>
      </c>
      <c r="BH72" s="204">
        <f>IF(AND(Input_Product=Elig!$C72,Elig_MatchAll_Ct&lt;22,$BC72=(Elig_MatchAll_Ct-1),AF72=0),C72,0)</f>
        <v>0</v>
      </c>
      <c r="BI72" s="205">
        <f>IF(AND(Input_Product=Elig!$C72,Elig_MatchAll_Ct&lt;22,$BC72=(Elig_MatchAll_Ct-1),AG72=0),D72,0)</f>
        <v>0</v>
      </c>
      <c r="BJ72" s="205">
        <f>IF(AND(Input_Product=Elig!$C72,Elig_MatchAll_Ct&lt;22,$BC72=(Elig_MatchAll_Ct-1),AH72=0),E72,0)</f>
        <v>0</v>
      </c>
      <c r="BK72" s="205">
        <f>IF(AND(Input_Product=Elig!$C72,Elig_MatchAll_Ct&lt;22,$BC72=(Elig_MatchAll_Ct-1),AI72=0),F72,0)</f>
        <v>0</v>
      </c>
      <c r="BL72" s="205">
        <f>IF(AND(Input_Product=Elig!$C72,Elig_MatchAll_Ct&lt;22,$BC72=(Elig_MatchAll_Ct-1),AJ72=0),G72,0)</f>
        <v>0</v>
      </c>
      <c r="BM72" s="205">
        <f>IF(AND(Input_Product=Elig!$C72,Elig_MatchAll_Ct&lt;22,$BC72=(Elig_MatchAll_Ct-1),AK72=0),H72,0)</f>
        <v>0</v>
      </c>
      <c r="BN72" s="205">
        <f>IF(AND(Input_Product=Elig!$C72,Elig_MatchAll_Ct&lt;22,$BC72=(Elig_MatchAll_Ct-1),AL72=0),I72,0)</f>
        <v>0</v>
      </c>
      <c r="BO72" s="205">
        <f>IF(AND(Input_Product=Elig!$C72,Elig_MatchAll_Ct&lt;22,$BC72=(Elig_MatchAll_Ct-1),AM72=0),J72,0)</f>
        <v>0</v>
      </c>
      <c r="BP72" s="205">
        <f>IF(AND(Input_Product=Elig!$C72,Elig_MatchAll_Ct&lt;22,$BC72=(Elig_MatchAll_Ct-1),AN72=0),K72,0)</f>
        <v>0</v>
      </c>
      <c r="BQ72" s="205">
        <f>IF(AND(Input_Product=Elig!$C72,Elig_MatchAll_Ct&lt;22,$BC72=(Elig_MatchAll_Ct-1),AP72=0),L72,0)</f>
        <v>0</v>
      </c>
      <c r="BR72" s="205">
        <f>IF(AND(Input_Product=Elig!$C72,Elig_MatchAll_Ct&lt;22,$BC72=(Elig_MatchAll_Ct-1),AO72=0),M72,0)</f>
        <v>0</v>
      </c>
      <c r="BS72" s="205">
        <f>IF(AND(Input_Product=Elig!$C72,Elig_MatchAll_Ct&lt;22,$BC72=(Elig_MatchAll_Ct-1),AQ72=0),N72,0)</f>
        <v>0</v>
      </c>
      <c r="BT72" s="205">
        <f>IF(AND(Input_Product=Elig!$C72,Elig_MatchAll_Ct&lt;22,$BC72=(Elig_MatchAll_Ct-1),AR72=0),O72,0)</f>
        <v>0</v>
      </c>
      <c r="BU72" s="205">
        <f>IF(AND(Input_Product=Elig!$C72,Elig_MatchAll_Ct&lt;22,$BC72=(Elig_MatchAll_Ct-1),AS72=0),P72,0)</f>
        <v>0</v>
      </c>
      <c r="BV72" s="206">
        <f>IF(AND(Input_Product=Elig!$C72,Elig_MatchAll_Ct&lt;22,$BC72=(Elig_MatchAll_Ct-1),AT72=0),Q72,0)</f>
        <v>0</v>
      </c>
      <c r="BW72" s="207">
        <f>IF(AND(Input_Product=Elig!$C72,Elig_MatchAll_Ct&lt;22,$BC72=(Elig_MatchAll_Ct-1),AU72=0),R72,0)</f>
        <v>0</v>
      </c>
      <c r="BX72" s="208">
        <f>IF(AND(Input_Product=Elig!$C72,Elig_MatchAll_Ct&lt;22,$BC72=(Elig_MatchAll_Ct-1),AU72=0),S72,0)</f>
        <v>0</v>
      </c>
      <c r="BY72" s="207">
        <f>IF(AND(Input_Product=Elig!$C72,Elig_MatchAll_Ct&lt;22,$BC72=(Elig_MatchAll_Ct-1),AV72=0),T72,0)</f>
        <v>0</v>
      </c>
      <c r="BZ72" s="208">
        <f>IF(AND(Input_Product=Elig!$C72,Elig_MatchAll_Ct&lt;22,$BC72=(Elig_MatchAll_Ct-1),AV72=0),U72,0)</f>
        <v>0</v>
      </c>
      <c r="CA72" s="207">
        <f>IF(AND(Input_Product=Elig!$C72,Elig_MatchAll_Ct&lt;22,$BC72=(Elig_MatchAll_Ct-1),AW72=0),V72,0)</f>
        <v>0</v>
      </c>
      <c r="CB72" s="208">
        <f>IF(AND(Input_Product=Elig!$C72,Elig_MatchAll_Ct&lt;22,$BC72=(Elig_MatchAll_Ct-1),AW72=0),W72,0)</f>
        <v>0</v>
      </c>
      <c r="CC72" s="207">
        <f>IF(AND(Input_Product=Elig!$C72,Elig_MatchAll_Ct&lt;22,$BC72=(Elig_MatchAll_Ct-1),AX72=0),X72,0)</f>
        <v>0</v>
      </c>
      <c r="CD72" s="208">
        <f>IF(AND(Input_Product=Elig!$C72,Elig_MatchAll_Ct&lt;22,$BC72=(Elig_MatchAll_Ct-1),AX72=0),Y72,0)</f>
        <v>0</v>
      </c>
      <c r="CE72" s="207">
        <f>IF(AND(Input_LTV&lt;=AE72,Input_Product=Elig!$C72,Elig_MatchAll_Ct&lt;22,$BC72=(Elig_MatchAll_Ct-1),AY72=0),Z72,0)</f>
        <v>0</v>
      </c>
      <c r="CF72" s="208">
        <f>IF(AND(Input_LTV&lt;=AE72,Input_Product=Elig!$C72,Elig_MatchAll_Ct&lt;22,$BC72=(Elig_MatchAll_Ct-1),AY72=0),AA72,0)</f>
        <v>0</v>
      </c>
      <c r="CG72" s="207">
        <f>IF(AND(Input_Product=Elig!$C72,Elig_MatchAll_Ct&lt;22,$BC72=(Elig_MatchAll_Ct-1),AZ72=0),AB72,0)</f>
        <v>0</v>
      </c>
      <c r="CH72" s="208">
        <f>IF(AND(Input_Product=Elig!$C72,Elig_MatchAll_Ct&lt;22,$BC72=(Elig_MatchAll_Ct-1),AZ72=0),AC72,0)</f>
        <v>0</v>
      </c>
      <c r="CI72" s="207">
        <f>IF(AND(Input_Product=Elig!$C72,Elig_MatchAll_Ct&lt;22,$BC72=(Elig_MatchAll_Ct-1),BA72=0),AD72,0)</f>
        <v>0</v>
      </c>
      <c r="CJ72" s="209">
        <f>IF(AND(Input_Product=Elig!$C72,Elig_MatchAll_Ct&lt;22,$BC72=(Elig_MatchAll_Ct-1),BA72=0),AE72,0)</f>
        <v>0</v>
      </c>
    </row>
    <row r="73" spans="2:88" ht="10.15" customHeight="1" x14ac:dyDescent="0.25">
      <c r="B73" s="1912" t="s">
        <v>827</v>
      </c>
      <c r="C73" s="141" t="str">
        <f t="shared" si="1"/>
        <v>NonQM OO</v>
      </c>
      <c r="D73" s="142" t="s">
        <v>3885</v>
      </c>
      <c r="E73" s="143" t="s">
        <v>167</v>
      </c>
      <c r="F73" s="143" t="s">
        <v>331</v>
      </c>
      <c r="G73" s="143" t="s">
        <v>303</v>
      </c>
      <c r="H73" s="143" t="s">
        <v>136</v>
      </c>
      <c r="I73" s="142" t="s">
        <v>16</v>
      </c>
      <c r="J73" s="142" t="s">
        <v>1311</v>
      </c>
      <c r="K73" s="142" t="s">
        <v>1631</v>
      </c>
      <c r="L73" s="2131" t="s">
        <v>3920</v>
      </c>
      <c r="M73" s="143" t="s">
        <v>4203</v>
      </c>
      <c r="N73" s="143" t="s">
        <v>82</v>
      </c>
      <c r="O73" s="143" t="s">
        <v>310</v>
      </c>
      <c r="P73" s="143" t="s">
        <v>291</v>
      </c>
      <c r="Q73" s="143" t="s">
        <v>294</v>
      </c>
      <c r="R73" s="142">
        <v>1000000.01</v>
      </c>
      <c r="S73" s="142">
        <v>1500000</v>
      </c>
      <c r="T73" s="142">
        <v>0</v>
      </c>
      <c r="U73" s="142">
        <f t="shared" ref="U73:U78" si="34">S73</f>
        <v>1500000</v>
      </c>
      <c r="V73" s="142">
        <v>0</v>
      </c>
      <c r="W73" s="142">
        <v>55</v>
      </c>
      <c r="X73" s="142">
        <v>0</v>
      </c>
      <c r="Y73" s="142">
        <v>999</v>
      </c>
      <c r="Z73" s="144">
        <v>720</v>
      </c>
      <c r="AA73" s="144">
        <v>999</v>
      </c>
      <c r="AB73" s="144">
        <v>6</v>
      </c>
      <c r="AC73" s="144">
        <v>999999</v>
      </c>
      <c r="AD73" s="142">
        <v>0</v>
      </c>
      <c r="AE73" s="142">
        <v>80</v>
      </c>
      <c r="AF73" s="170">
        <v>0</v>
      </c>
      <c r="AG73" s="171">
        <v>1</v>
      </c>
      <c r="AH73" s="171">
        <v>1</v>
      </c>
      <c r="AI73" s="171">
        <v>1</v>
      </c>
      <c r="AJ73" s="171">
        <v>1</v>
      </c>
      <c r="AK73" s="171">
        <v>1</v>
      </c>
      <c r="AL73" s="171">
        <v>1</v>
      </c>
      <c r="AM73" s="171">
        <v>1</v>
      </c>
      <c r="AN73" s="171">
        <v>1</v>
      </c>
      <c r="AO73" s="171">
        <v>1</v>
      </c>
      <c r="AP73" s="171">
        <v>1</v>
      </c>
      <c r="AQ73" s="171">
        <v>1</v>
      </c>
      <c r="AR73" s="171">
        <v>1</v>
      </c>
      <c r="AS73" s="171">
        <v>1</v>
      </c>
      <c r="AT73" s="171">
        <v>1</v>
      </c>
      <c r="AU73" s="171">
        <f t="shared" si="24"/>
        <v>0</v>
      </c>
      <c r="AV73" s="171">
        <f t="shared" si="25"/>
        <v>1</v>
      </c>
      <c r="AW73" s="171">
        <f t="shared" si="26"/>
        <v>1</v>
      </c>
      <c r="AX73" s="171">
        <f t="shared" si="5"/>
        <v>1</v>
      </c>
      <c r="AY73" s="171">
        <f t="shared" si="27"/>
        <v>1</v>
      </c>
      <c r="AZ73" s="171">
        <f t="shared" si="28"/>
        <v>1</v>
      </c>
      <c r="BA73" s="172">
        <f t="shared" si="29"/>
        <v>1</v>
      </c>
      <c r="BB73" s="175">
        <f t="shared" si="31"/>
        <v>20</v>
      </c>
      <c r="BC73" s="176">
        <f t="shared" si="32"/>
        <v>19</v>
      </c>
      <c r="BD73" s="176">
        <f t="shared" si="33"/>
        <v>20</v>
      </c>
      <c r="BE73" s="240" t="str">
        <f t="shared" si="30"/>
        <v/>
      </c>
      <c r="BH73" s="192">
        <f>IF(AND(Input_Product=Elig!$C73,Elig_MatchAll_Ct&lt;22,$BC73=(Elig_MatchAll_Ct-1),AF73=0),C73,0)</f>
        <v>0</v>
      </c>
      <c r="BI73" s="193">
        <f>IF(AND(Input_Product=Elig!$C73,Elig_MatchAll_Ct&lt;22,$BC73=(Elig_MatchAll_Ct-1),AG73=0),D73,0)</f>
        <v>0</v>
      </c>
      <c r="BJ73" s="193">
        <f>IF(AND(Input_Product=Elig!$C73,Elig_MatchAll_Ct&lt;22,$BC73=(Elig_MatchAll_Ct-1),AH73=0),E73,0)</f>
        <v>0</v>
      </c>
      <c r="BK73" s="193">
        <f>IF(AND(Input_Product=Elig!$C73,Elig_MatchAll_Ct&lt;22,$BC73=(Elig_MatchAll_Ct-1),AI73=0),F73,0)</f>
        <v>0</v>
      </c>
      <c r="BL73" s="193">
        <f>IF(AND(Input_Product=Elig!$C73,Elig_MatchAll_Ct&lt;22,$BC73=(Elig_MatchAll_Ct-1),AJ73=0),G73,0)</f>
        <v>0</v>
      </c>
      <c r="BM73" s="193">
        <f>IF(AND(Input_Product=Elig!$C73,Elig_MatchAll_Ct&lt;22,$BC73=(Elig_MatchAll_Ct-1),AK73=0),H73,0)</f>
        <v>0</v>
      </c>
      <c r="BN73" s="193">
        <f>IF(AND(Input_Product=Elig!$C73,Elig_MatchAll_Ct&lt;22,$BC73=(Elig_MatchAll_Ct-1),AL73=0),I73,0)</f>
        <v>0</v>
      </c>
      <c r="BO73" s="193">
        <f>IF(AND(Input_Product=Elig!$C73,Elig_MatchAll_Ct&lt;22,$BC73=(Elig_MatchAll_Ct-1),AM73=0),J73,0)</f>
        <v>0</v>
      </c>
      <c r="BP73" s="193">
        <f>IF(AND(Input_Product=Elig!$C73,Elig_MatchAll_Ct&lt;22,$BC73=(Elig_MatchAll_Ct-1),AN73=0),K73,0)</f>
        <v>0</v>
      </c>
      <c r="BQ73" s="193">
        <f>IF(AND(Input_Product=Elig!$C73,Elig_MatchAll_Ct&lt;22,$BC73=(Elig_MatchAll_Ct-1),AP73=0),L73,0)</f>
        <v>0</v>
      </c>
      <c r="BR73" s="193">
        <f>IF(AND(Input_Product=Elig!$C73,Elig_MatchAll_Ct&lt;22,$BC73=(Elig_MatchAll_Ct-1),AO73=0),M73,0)</f>
        <v>0</v>
      </c>
      <c r="BS73" s="193">
        <f>IF(AND(Input_Product=Elig!$C73,Elig_MatchAll_Ct&lt;22,$BC73=(Elig_MatchAll_Ct-1),AQ73=0),N73,0)</f>
        <v>0</v>
      </c>
      <c r="BT73" s="193">
        <f>IF(AND(Input_Product=Elig!$C73,Elig_MatchAll_Ct&lt;22,$BC73=(Elig_MatchAll_Ct-1),AR73=0),O73,0)</f>
        <v>0</v>
      </c>
      <c r="BU73" s="193">
        <f>IF(AND(Input_Product=Elig!$C73,Elig_MatchAll_Ct&lt;22,$BC73=(Elig_MatchAll_Ct-1),AS73=0),P73,0)</f>
        <v>0</v>
      </c>
      <c r="BV73" s="194">
        <f>IF(AND(Input_Product=Elig!$C73,Elig_MatchAll_Ct&lt;22,$BC73=(Elig_MatchAll_Ct-1),AT73=0),Q73,0)</f>
        <v>0</v>
      </c>
      <c r="BW73" s="195">
        <f>IF(AND(Input_Product=Elig!$C73,Elig_MatchAll_Ct&lt;22,$BC73=(Elig_MatchAll_Ct-1),AU73=0),R73,0)</f>
        <v>0</v>
      </c>
      <c r="BX73" s="196">
        <f>IF(AND(Input_Product=Elig!$C73,Elig_MatchAll_Ct&lt;22,$BC73=(Elig_MatchAll_Ct-1),AU73=0),S73,0)</f>
        <v>0</v>
      </c>
      <c r="BY73" s="195">
        <f>IF(AND(Input_Product=Elig!$C73,Elig_MatchAll_Ct&lt;22,$BC73=(Elig_MatchAll_Ct-1),AV73=0),T73,0)</f>
        <v>0</v>
      </c>
      <c r="BZ73" s="196">
        <f>IF(AND(Input_Product=Elig!$C73,Elig_MatchAll_Ct&lt;22,$BC73=(Elig_MatchAll_Ct-1),AV73=0),U73,0)</f>
        <v>0</v>
      </c>
      <c r="CA73" s="195">
        <f>IF(AND(Input_Product=Elig!$C73,Elig_MatchAll_Ct&lt;22,$BC73=(Elig_MatchAll_Ct-1),AW73=0),V73,0)</f>
        <v>0</v>
      </c>
      <c r="CB73" s="196">
        <f>IF(AND(Input_Product=Elig!$C73,Elig_MatchAll_Ct&lt;22,$BC73=(Elig_MatchAll_Ct-1),AW73=0),W73,0)</f>
        <v>0</v>
      </c>
      <c r="CC73" s="195">
        <f>IF(AND(Input_Product=Elig!$C73,Elig_MatchAll_Ct&lt;22,$BC73=(Elig_MatchAll_Ct-1),AX73=0),X73,0)</f>
        <v>0</v>
      </c>
      <c r="CD73" s="196">
        <f>IF(AND(Input_Product=Elig!$C73,Elig_MatchAll_Ct&lt;22,$BC73=(Elig_MatchAll_Ct-1),AX73=0),Y73,0)</f>
        <v>0</v>
      </c>
      <c r="CE73" s="195">
        <f>IF(AND(Input_LTV&lt;=AE73,Input_Product=Elig!$C73,Elig_MatchAll_Ct&lt;22,$BC73=(Elig_MatchAll_Ct-1),AY73=0),Z73,0)</f>
        <v>0</v>
      </c>
      <c r="CF73" s="196">
        <f>IF(AND(Input_LTV&lt;=AE73,Input_Product=Elig!$C73,Elig_MatchAll_Ct&lt;22,$BC73=(Elig_MatchAll_Ct-1),AY73=0),AA73,0)</f>
        <v>0</v>
      </c>
      <c r="CG73" s="195">
        <f>IF(AND(Input_Product=Elig!$C73,Elig_MatchAll_Ct&lt;22,$BC73=(Elig_MatchAll_Ct-1),AZ73=0),AB73,0)</f>
        <v>0</v>
      </c>
      <c r="CH73" s="196">
        <f>IF(AND(Input_Product=Elig!$C73,Elig_MatchAll_Ct&lt;22,$BC73=(Elig_MatchAll_Ct-1),AZ73=0),AC73,0)</f>
        <v>0</v>
      </c>
      <c r="CI73" s="195">
        <f>IF(AND(Input_Product=Elig!$C73,Elig_MatchAll_Ct&lt;22,$BC73=(Elig_MatchAll_Ct-1),BA73=0),AD73,0)</f>
        <v>0</v>
      </c>
      <c r="CJ73" s="197">
        <f>IF(AND(Input_Product=Elig!$C73,Elig_MatchAll_Ct&lt;22,$BC73=(Elig_MatchAll_Ct-1),BA73=0),AE73,0)</f>
        <v>0</v>
      </c>
    </row>
    <row r="74" spans="2:88" ht="10.15" customHeight="1" x14ac:dyDescent="0.25">
      <c r="B74" s="1912" t="s">
        <v>828</v>
      </c>
      <c r="C74" s="134" t="str">
        <f t="shared" si="1"/>
        <v>NonQM OO</v>
      </c>
      <c r="D74" s="135" t="s">
        <v>3885</v>
      </c>
      <c r="E74" s="135" t="s">
        <v>167</v>
      </c>
      <c r="F74" s="135" t="s">
        <v>331</v>
      </c>
      <c r="G74" s="135" t="s">
        <v>303</v>
      </c>
      <c r="H74" s="135" t="s">
        <v>136</v>
      </c>
      <c r="I74" s="136" t="s">
        <v>16</v>
      </c>
      <c r="J74" s="136" t="s">
        <v>1311</v>
      </c>
      <c r="K74" s="136" t="s">
        <v>1631</v>
      </c>
      <c r="L74" s="221" t="s">
        <v>3920</v>
      </c>
      <c r="M74" s="135" t="s">
        <v>4203</v>
      </c>
      <c r="N74" s="135" t="s">
        <v>82</v>
      </c>
      <c r="O74" s="135" t="s">
        <v>310</v>
      </c>
      <c r="P74" s="135" t="s">
        <v>291</v>
      </c>
      <c r="Q74" s="135" t="s">
        <v>294</v>
      </c>
      <c r="R74" s="135">
        <v>1000000.01</v>
      </c>
      <c r="S74" s="135">
        <v>1500000</v>
      </c>
      <c r="T74" s="135">
        <v>0</v>
      </c>
      <c r="U74" s="135">
        <f t="shared" si="34"/>
        <v>1500000</v>
      </c>
      <c r="V74" s="135">
        <v>0</v>
      </c>
      <c r="W74" s="135">
        <v>55</v>
      </c>
      <c r="X74" s="135">
        <v>0</v>
      </c>
      <c r="Y74" s="135">
        <v>999</v>
      </c>
      <c r="Z74" s="137">
        <v>700</v>
      </c>
      <c r="AA74" s="137">
        <v>719</v>
      </c>
      <c r="AB74" s="137">
        <v>6</v>
      </c>
      <c r="AC74" s="137">
        <v>999999</v>
      </c>
      <c r="AD74" s="135">
        <v>0</v>
      </c>
      <c r="AE74" s="135">
        <v>80</v>
      </c>
      <c r="AF74" s="170">
        <v>0</v>
      </c>
      <c r="AG74" s="171">
        <v>1</v>
      </c>
      <c r="AH74" s="171">
        <v>1</v>
      </c>
      <c r="AI74" s="171">
        <v>1</v>
      </c>
      <c r="AJ74" s="171">
        <v>1</v>
      </c>
      <c r="AK74" s="171">
        <v>1</v>
      </c>
      <c r="AL74" s="171">
        <v>1</v>
      </c>
      <c r="AM74" s="171">
        <v>1</v>
      </c>
      <c r="AN74" s="171">
        <v>1</v>
      </c>
      <c r="AO74" s="171">
        <v>1</v>
      </c>
      <c r="AP74" s="171">
        <v>1</v>
      </c>
      <c r="AQ74" s="171">
        <v>1</v>
      </c>
      <c r="AR74" s="171">
        <v>1</v>
      </c>
      <c r="AS74" s="171">
        <v>1</v>
      </c>
      <c r="AT74" s="171">
        <v>1</v>
      </c>
      <c r="AU74" s="171">
        <f t="shared" si="24"/>
        <v>0</v>
      </c>
      <c r="AV74" s="171">
        <f t="shared" si="25"/>
        <v>1</v>
      </c>
      <c r="AW74" s="171">
        <f t="shared" si="26"/>
        <v>1</v>
      </c>
      <c r="AX74" s="171">
        <f t="shared" si="5"/>
        <v>1</v>
      </c>
      <c r="AY74" s="171">
        <f t="shared" si="27"/>
        <v>0</v>
      </c>
      <c r="AZ74" s="171">
        <f t="shared" si="28"/>
        <v>1</v>
      </c>
      <c r="BA74" s="172">
        <f t="shared" si="29"/>
        <v>1</v>
      </c>
      <c r="BB74" s="175">
        <f t="shared" si="31"/>
        <v>19</v>
      </c>
      <c r="BC74" s="176">
        <f t="shared" si="32"/>
        <v>18</v>
      </c>
      <c r="BD74" s="176">
        <f t="shared" si="33"/>
        <v>19</v>
      </c>
      <c r="BE74" s="240" t="str">
        <f t="shared" si="30"/>
        <v/>
      </c>
      <c r="BH74" s="198">
        <f>IF(AND(Input_Product=Elig!$C74,Elig_MatchAll_Ct&lt;22,$BC74=(Elig_MatchAll_Ct-1),AF74=0),C74,0)</f>
        <v>0</v>
      </c>
      <c r="BI74" s="199">
        <f>IF(AND(Input_Product=Elig!$C74,Elig_MatchAll_Ct&lt;22,$BC74=(Elig_MatchAll_Ct-1),AG74=0),D74,0)</f>
        <v>0</v>
      </c>
      <c r="BJ74" s="199">
        <f>IF(AND(Input_Product=Elig!$C74,Elig_MatchAll_Ct&lt;22,$BC74=(Elig_MatchAll_Ct-1),AH74=0),E74,0)</f>
        <v>0</v>
      </c>
      <c r="BK74" s="199">
        <f>IF(AND(Input_Product=Elig!$C74,Elig_MatchAll_Ct&lt;22,$BC74=(Elig_MatchAll_Ct-1),AI74=0),F74,0)</f>
        <v>0</v>
      </c>
      <c r="BL74" s="199">
        <f>IF(AND(Input_Product=Elig!$C74,Elig_MatchAll_Ct&lt;22,$BC74=(Elig_MatchAll_Ct-1),AJ74=0),G74,0)</f>
        <v>0</v>
      </c>
      <c r="BM74" s="199">
        <f>IF(AND(Input_Product=Elig!$C74,Elig_MatchAll_Ct&lt;22,$BC74=(Elig_MatchAll_Ct-1),AK74=0),H74,0)</f>
        <v>0</v>
      </c>
      <c r="BN74" s="199">
        <f>IF(AND(Input_Product=Elig!$C74,Elig_MatchAll_Ct&lt;22,$BC74=(Elig_MatchAll_Ct-1),AL74=0),I74,0)</f>
        <v>0</v>
      </c>
      <c r="BO74" s="199">
        <f>IF(AND(Input_Product=Elig!$C74,Elig_MatchAll_Ct&lt;22,$BC74=(Elig_MatchAll_Ct-1),AM74=0),J74,0)</f>
        <v>0</v>
      </c>
      <c r="BP74" s="199">
        <f>IF(AND(Input_Product=Elig!$C74,Elig_MatchAll_Ct&lt;22,$BC74=(Elig_MatchAll_Ct-1),AN74=0),K74,0)</f>
        <v>0</v>
      </c>
      <c r="BQ74" s="199">
        <f>IF(AND(Input_Product=Elig!$C74,Elig_MatchAll_Ct&lt;22,$BC74=(Elig_MatchAll_Ct-1),AP74=0),L74,0)</f>
        <v>0</v>
      </c>
      <c r="BR74" s="199">
        <f>IF(AND(Input_Product=Elig!$C74,Elig_MatchAll_Ct&lt;22,$BC74=(Elig_MatchAll_Ct-1),AO74=0),M74,0)</f>
        <v>0</v>
      </c>
      <c r="BS74" s="199">
        <f>IF(AND(Input_Product=Elig!$C74,Elig_MatchAll_Ct&lt;22,$BC74=(Elig_MatchAll_Ct-1),AQ74=0),N74,0)</f>
        <v>0</v>
      </c>
      <c r="BT74" s="199">
        <f>IF(AND(Input_Product=Elig!$C74,Elig_MatchAll_Ct&lt;22,$BC74=(Elig_MatchAll_Ct-1),AR74=0),O74,0)</f>
        <v>0</v>
      </c>
      <c r="BU74" s="199">
        <f>IF(AND(Input_Product=Elig!$C74,Elig_MatchAll_Ct&lt;22,$BC74=(Elig_MatchAll_Ct-1),AS74=0),P74,0)</f>
        <v>0</v>
      </c>
      <c r="BV74" s="200">
        <f>IF(AND(Input_Product=Elig!$C74,Elig_MatchAll_Ct&lt;22,$BC74=(Elig_MatchAll_Ct-1),AT74=0),Q74,0)</f>
        <v>0</v>
      </c>
      <c r="BW74" s="201">
        <f>IF(AND(Input_Product=Elig!$C74,Elig_MatchAll_Ct&lt;22,$BC74=(Elig_MatchAll_Ct-1),AU74=0),R74,0)</f>
        <v>0</v>
      </c>
      <c r="BX74" s="202">
        <f>IF(AND(Input_Product=Elig!$C74,Elig_MatchAll_Ct&lt;22,$BC74=(Elig_MatchAll_Ct-1),AU74=0),S74,0)</f>
        <v>0</v>
      </c>
      <c r="BY74" s="201">
        <f>IF(AND(Input_Product=Elig!$C74,Elig_MatchAll_Ct&lt;22,$BC74=(Elig_MatchAll_Ct-1),AV74=0),T74,0)</f>
        <v>0</v>
      </c>
      <c r="BZ74" s="202">
        <f>IF(AND(Input_Product=Elig!$C74,Elig_MatchAll_Ct&lt;22,$BC74=(Elig_MatchAll_Ct-1),AV74=0),U74,0)</f>
        <v>0</v>
      </c>
      <c r="CA74" s="201">
        <f>IF(AND(Input_Product=Elig!$C74,Elig_MatchAll_Ct&lt;22,$BC74=(Elig_MatchAll_Ct-1),AW74=0),V74,0)</f>
        <v>0</v>
      </c>
      <c r="CB74" s="202">
        <f>IF(AND(Input_Product=Elig!$C74,Elig_MatchAll_Ct&lt;22,$BC74=(Elig_MatchAll_Ct-1),AW74=0),W74,0)</f>
        <v>0</v>
      </c>
      <c r="CC74" s="201">
        <f>IF(AND(Input_Product=Elig!$C74,Elig_MatchAll_Ct&lt;22,$BC74=(Elig_MatchAll_Ct-1),AX74=0),X74,0)</f>
        <v>0</v>
      </c>
      <c r="CD74" s="202">
        <f>IF(AND(Input_Product=Elig!$C74,Elig_MatchAll_Ct&lt;22,$BC74=(Elig_MatchAll_Ct-1),AX74=0),Y74,0)</f>
        <v>0</v>
      </c>
      <c r="CE74" s="201">
        <f>IF(AND(Input_LTV&lt;=AE74,Input_Product=Elig!$C74,Elig_MatchAll_Ct&lt;22,$BC74=(Elig_MatchAll_Ct-1),AY74=0),Z74,0)</f>
        <v>0</v>
      </c>
      <c r="CF74" s="202">
        <f>IF(AND(Input_LTV&lt;=AE74,Input_Product=Elig!$C74,Elig_MatchAll_Ct&lt;22,$BC74=(Elig_MatchAll_Ct-1),AY74=0),AA74,0)</f>
        <v>0</v>
      </c>
      <c r="CG74" s="201">
        <f>IF(AND(Input_Product=Elig!$C74,Elig_MatchAll_Ct&lt;22,$BC74=(Elig_MatchAll_Ct-1),AZ74=0),AB74,0)</f>
        <v>0</v>
      </c>
      <c r="CH74" s="202">
        <f>IF(AND(Input_Product=Elig!$C74,Elig_MatchAll_Ct&lt;22,$BC74=(Elig_MatchAll_Ct-1),AZ74=0),AC74,0)</f>
        <v>0</v>
      </c>
      <c r="CI74" s="201">
        <f>IF(AND(Input_Product=Elig!$C74,Elig_MatchAll_Ct&lt;22,$BC74=(Elig_MatchAll_Ct-1),BA74=0),AD74,0)</f>
        <v>0</v>
      </c>
      <c r="CJ74" s="203">
        <f>IF(AND(Input_Product=Elig!$C74,Elig_MatchAll_Ct&lt;22,$BC74=(Elig_MatchAll_Ct-1),BA74=0),AE74,0)</f>
        <v>0</v>
      </c>
    </row>
    <row r="75" spans="2:88" ht="10.15" customHeight="1" x14ac:dyDescent="0.25">
      <c r="B75" s="1912" t="s">
        <v>829</v>
      </c>
      <c r="C75" s="134" t="str">
        <f t="shared" si="1"/>
        <v>NonQM OO</v>
      </c>
      <c r="D75" s="135" t="s">
        <v>3885</v>
      </c>
      <c r="E75" s="135" t="s">
        <v>167</v>
      </c>
      <c r="F75" s="135" t="s">
        <v>331</v>
      </c>
      <c r="G75" s="135" t="s">
        <v>303</v>
      </c>
      <c r="H75" s="135" t="s">
        <v>136</v>
      </c>
      <c r="I75" s="136" t="s">
        <v>16</v>
      </c>
      <c r="J75" s="136" t="s">
        <v>1311</v>
      </c>
      <c r="K75" s="136" t="s">
        <v>1631</v>
      </c>
      <c r="L75" s="221" t="s">
        <v>3920</v>
      </c>
      <c r="M75" s="135" t="s">
        <v>4203</v>
      </c>
      <c r="N75" s="135" t="s">
        <v>82</v>
      </c>
      <c r="O75" s="135" t="s">
        <v>310</v>
      </c>
      <c r="P75" s="135" t="s">
        <v>291</v>
      </c>
      <c r="Q75" s="135" t="s">
        <v>294</v>
      </c>
      <c r="R75" s="135">
        <v>1000000.01</v>
      </c>
      <c r="S75" s="135">
        <v>1500000</v>
      </c>
      <c r="T75" s="135">
        <v>0</v>
      </c>
      <c r="U75" s="135">
        <f t="shared" si="34"/>
        <v>1500000</v>
      </c>
      <c r="V75" s="135">
        <v>0</v>
      </c>
      <c r="W75" s="135">
        <v>55</v>
      </c>
      <c r="X75" s="135">
        <v>0</v>
      </c>
      <c r="Y75" s="135">
        <v>999</v>
      </c>
      <c r="Z75" s="137">
        <v>680</v>
      </c>
      <c r="AA75" s="137">
        <v>699</v>
      </c>
      <c r="AB75" s="137">
        <v>6</v>
      </c>
      <c r="AC75" s="137">
        <v>999999</v>
      </c>
      <c r="AD75" s="135">
        <v>0</v>
      </c>
      <c r="AE75" s="135">
        <v>75</v>
      </c>
      <c r="AF75" s="170">
        <v>0</v>
      </c>
      <c r="AG75" s="171">
        <v>1</v>
      </c>
      <c r="AH75" s="171">
        <v>1</v>
      </c>
      <c r="AI75" s="171">
        <v>1</v>
      </c>
      <c r="AJ75" s="171">
        <v>1</v>
      </c>
      <c r="AK75" s="171">
        <v>1</v>
      </c>
      <c r="AL75" s="171">
        <v>1</v>
      </c>
      <c r="AM75" s="171">
        <v>1</v>
      </c>
      <c r="AN75" s="171">
        <v>1</v>
      </c>
      <c r="AO75" s="171">
        <v>1</v>
      </c>
      <c r="AP75" s="171">
        <v>1</v>
      </c>
      <c r="AQ75" s="171">
        <v>1</v>
      </c>
      <c r="AR75" s="171">
        <v>1</v>
      </c>
      <c r="AS75" s="171">
        <v>1</v>
      </c>
      <c r="AT75" s="171">
        <v>1</v>
      </c>
      <c r="AU75" s="171">
        <f t="shared" si="24"/>
        <v>0</v>
      </c>
      <c r="AV75" s="171">
        <f t="shared" si="25"/>
        <v>1</v>
      </c>
      <c r="AW75" s="171">
        <f t="shared" si="26"/>
        <v>1</v>
      </c>
      <c r="AX75" s="171">
        <f t="shared" si="5"/>
        <v>1</v>
      </c>
      <c r="AY75" s="171">
        <f t="shared" si="27"/>
        <v>0</v>
      </c>
      <c r="AZ75" s="171">
        <f t="shared" si="28"/>
        <v>1</v>
      </c>
      <c r="BA75" s="172">
        <f t="shared" si="29"/>
        <v>1</v>
      </c>
      <c r="BB75" s="175">
        <f t="shared" si="31"/>
        <v>19</v>
      </c>
      <c r="BC75" s="176">
        <f t="shared" si="32"/>
        <v>18</v>
      </c>
      <c r="BD75" s="176">
        <f t="shared" si="33"/>
        <v>19</v>
      </c>
      <c r="BE75" s="240" t="str">
        <f t="shared" si="30"/>
        <v/>
      </c>
      <c r="BH75" s="198">
        <f>IF(AND(Input_Product=Elig!$C75,Elig_MatchAll_Ct&lt;22,$BC75=(Elig_MatchAll_Ct-1),AF75=0),C75,0)</f>
        <v>0</v>
      </c>
      <c r="BI75" s="199">
        <f>IF(AND(Input_Product=Elig!$C75,Elig_MatchAll_Ct&lt;22,$BC75=(Elig_MatchAll_Ct-1),AG75=0),D75,0)</f>
        <v>0</v>
      </c>
      <c r="BJ75" s="199">
        <f>IF(AND(Input_Product=Elig!$C75,Elig_MatchAll_Ct&lt;22,$BC75=(Elig_MatchAll_Ct-1),AH75=0),E75,0)</f>
        <v>0</v>
      </c>
      <c r="BK75" s="199">
        <f>IF(AND(Input_Product=Elig!$C75,Elig_MatchAll_Ct&lt;22,$BC75=(Elig_MatchAll_Ct-1),AI75=0),F75,0)</f>
        <v>0</v>
      </c>
      <c r="BL75" s="199">
        <f>IF(AND(Input_Product=Elig!$C75,Elig_MatchAll_Ct&lt;22,$BC75=(Elig_MatchAll_Ct-1),AJ75=0),G75,0)</f>
        <v>0</v>
      </c>
      <c r="BM75" s="199">
        <f>IF(AND(Input_Product=Elig!$C75,Elig_MatchAll_Ct&lt;22,$BC75=(Elig_MatchAll_Ct-1),AK75=0),H75,0)</f>
        <v>0</v>
      </c>
      <c r="BN75" s="199">
        <f>IF(AND(Input_Product=Elig!$C75,Elig_MatchAll_Ct&lt;22,$BC75=(Elig_MatchAll_Ct-1),AL75=0),I75,0)</f>
        <v>0</v>
      </c>
      <c r="BO75" s="199">
        <f>IF(AND(Input_Product=Elig!$C75,Elig_MatchAll_Ct&lt;22,$BC75=(Elig_MatchAll_Ct-1),AM75=0),J75,0)</f>
        <v>0</v>
      </c>
      <c r="BP75" s="199">
        <f>IF(AND(Input_Product=Elig!$C75,Elig_MatchAll_Ct&lt;22,$BC75=(Elig_MatchAll_Ct-1),AN75=0),K75,0)</f>
        <v>0</v>
      </c>
      <c r="BQ75" s="199">
        <f>IF(AND(Input_Product=Elig!$C75,Elig_MatchAll_Ct&lt;22,$BC75=(Elig_MatchAll_Ct-1),AP75=0),L75,0)</f>
        <v>0</v>
      </c>
      <c r="BR75" s="199">
        <f>IF(AND(Input_Product=Elig!$C75,Elig_MatchAll_Ct&lt;22,$BC75=(Elig_MatchAll_Ct-1),AO75=0),M75,0)</f>
        <v>0</v>
      </c>
      <c r="BS75" s="199">
        <f>IF(AND(Input_Product=Elig!$C75,Elig_MatchAll_Ct&lt;22,$BC75=(Elig_MatchAll_Ct-1),AQ75=0),N75,0)</f>
        <v>0</v>
      </c>
      <c r="BT75" s="199">
        <f>IF(AND(Input_Product=Elig!$C75,Elig_MatchAll_Ct&lt;22,$BC75=(Elig_MatchAll_Ct-1),AR75=0),O75,0)</f>
        <v>0</v>
      </c>
      <c r="BU75" s="199">
        <f>IF(AND(Input_Product=Elig!$C75,Elig_MatchAll_Ct&lt;22,$BC75=(Elig_MatchAll_Ct-1),AS75=0),P75,0)</f>
        <v>0</v>
      </c>
      <c r="BV75" s="200">
        <f>IF(AND(Input_Product=Elig!$C75,Elig_MatchAll_Ct&lt;22,$BC75=(Elig_MatchAll_Ct-1),AT75=0),Q75,0)</f>
        <v>0</v>
      </c>
      <c r="BW75" s="201">
        <f>IF(AND(Input_Product=Elig!$C75,Elig_MatchAll_Ct&lt;22,$BC75=(Elig_MatchAll_Ct-1),AU75=0),R75,0)</f>
        <v>0</v>
      </c>
      <c r="BX75" s="202">
        <f>IF(AND(Input_Product=Elig!$C75,Elig_MatchAll_Ct&lt;22,$BC75=(Elig_MatchAll_Ct-1),AU75=0),S75,0)</f>
        <v>0</v>
      </c>
      <c r="BY75" s="201">
        <f>IF(AND(Input_Product=Elig!$C75,Elig_MatchAll_Ct&lt;22,$BC75=(Elig_MatchAll_Ct-1),AV75=0),T75,0)</f>
        <v>0</v>
      </c>
      <c r="BZ75" s="202">
        <f>IF(AND(Input_Product=Elig!$C75,Elig_MatchAll_Ct&lt;22,$BC75=(Elig_MatchAll_Ct-1),AV75=0),U75,0)</f>
        <v>0</v>
      </c>
      <c r="CA75" s="201">
        <f>IF(AND(Input_Product=Elig!$C75,Elig_MatchAll_Ct&lt;22,$BC75=(Elig_MatchAll_Ct-1),AW75=0),V75,0)</f>
        <v>0</v>
      </c>
      <c r="CB75" s="202">
        <f>IF(AND(Input_Product=Elig!$C75,Elig_MatchAll_Ct&lt;22,$BC75=(Elig_MatchAll_Ct-1),AW75=0),W75,0)</f>
        <v>0</v>
      </c>
      <c r="CC75" s="201">
        <f>IF(AND(Input_Product=Elig!$C75,Elig_MatchAll_Ct&lt;22,$BC75=(Elig_MatchAll_Ct-1),AX75=0),X75,0)</f>
        <v>0</v>
      </c>
      <c r="CD75" s="202">
        <f>IF(AND(Input_Product=Elig!$C75,Elig_MatchAll_Ct&lt;22,$BC75=(Elig_MatchAll_Ct-1),AX75=0),Y75,0)</f>
        <v>0</v>
      </c>
      <c r="CE75" s="201">
        <f>IF(AND(Input_LTV&lt;=AE75,Input_Product=Elig!$C75,Elig_MatchAll_Ct&lt;22,$BC75=(Elig_MatchAll_Ct-1),AY75=0),Z75,0)</f>
        <v>0</v>
      </c>
      <c r="CF75" s="202">
        <f>IF(AND(Input_LTV&lt;=AE75,Input_Product=Elig!$C75,Elig_MatchAll_Ct&lt;22,$BC75=(Elig_MatchAll_Ct-1),AY75=0),AA75,0)</f>
        <v>0</v>
      </c>
      <c r="CG75" s="201">
        <f>IF(AND(Input_Product=Elig!$C75,Elig_MatchAll_Ct&lt;22,$BC75=(Elig_MatchAll_Ct-1),AZ75=0),AB75,0)</f>
        <v>0</v>
      </c>
      <c r="CH75" s="202">
        <f>IF(AND(Input_Product=Elig!$C75,Elig_MatchAll_Ct&lt;22,$BC75=(Elig_MatchAll_Ct-1),AZ75=0),AC75,0)</f>
        <v>0</v>
      </c>
      <c r="CI75" s="201">
        <f>IF(AND(Input_Product=Elig!$C75,Elig_MatchAll_Ct&lt;22,$BC75=(Elig_MatchAll_Ct-1),BA75=0),AD75,0)</f>
        <v>0</v>
      </c>
      <c r="CJ75" s="203">
        <f>IF(AND(Input_Product=Elig!$C75,Elig_MatchAll_Ct&lt;22,$BC75=(Elig_MatchAll_Ct-1),BA75=0),AE75,0)</f>
        <v>0</v>
      </c>
    </row>
    <row r="76" spans="2:88" ht="10.15" customHeight="1" x14ac:dyDescent="0.25">
      <c r="B76" s="1912" t="s">
        <v>830</v>
      </c>
      <c r="C76" s="134" t="str">
        <f t="shared" si="1"/>
        <v>NonQM OO</v>
      </c>
      <c r="D76" s="135" t="s">
        <v>3885</v>
      </c>
      <c r="E76" s="135" t="s">
        <v>167</v>
      </c>
      <c r="F76" s="135" t="s">
        <v>331</v>
      </c>
      <c r="G76" s="135" t="s">
        <v>303</v>
      </c>
      <c r="H76" s="135" t="s">
        <v>136</v>
      </c>
      <c r="I76" s="135" t="s">
        <v>16</v>
      </c>
      <c r="J76" s="135" t="s">
        <v>1311</v>
      </c>
      <c r="K76" s="135" t="s">
        <v>1631</v>
      </c>
      <c r="L76" s="221" t="s">
        <v>3920</v>
      </c>
      <c r="M76" s="135" t="s">
        <v>4203</v>
      </c>
      <c r="N76" s="135" t="s">
        <v>82</v>
      </c>
      <c r="O76" s="135" t="s">
        <v>310</v>
      </c>
      <c r="P76" s="135" t="s">
        <v>291</v>
      </c>
      <c r="Q76" s="135" t="s">
        <v>294</v>
      </c>
      <c r="R76" s="135">
        <v>1000000.01</v>
      </c>
      <c r="S76" s="135">
        <v>1500000</v>
      </c>
      <c r="T76" s="135">
        <v>0</v>
      </c>
      <c r="U76" s="135">
        <f t="shared" si="34"/>
        <v>1500000</v>
      </c>
      <c r="V76" s="135">
        <v>0</v>
      </c>
      <c r="W76" s="135">
        <v>55</v>
      </c>
      <c r="X76" s="135">
        <v>0</v>
      </c>
      <c r="Y76" s="135">
        <v>999</v>
      </c>
      <c r="Z76" s="137">
        <v>660</v>
      </c>
      <c r="AA76" s="137">
        <v>679</v>
      </c>
      <c r="AB76" s="137">
        <v>6</v>
      </c>
      <c r="AC76" s="137">
        <v>999999</v>
      </c>
      <c r="AD76" s="135">
        <v>0</v>
      </c>
      <c r="AE76" s="135">
        <v>75</v>
      </c>
      <c r="AF76" s="170">
        <v>0</v>
      </c>
      <c r="AG76" s="171">
        <v>1</v>
      </c>
      <c r="AH76" s="171">
        <v>1</v>
      </c>
      <c r="AI76" s="171">
        <v>1</v>
      </c>
      <c r="AJ76" s="171">
        <v>1</v>
      </c>
      <c r="AK76" s="171">
        <v>1</v>
      </c>
      <c r="AL76" s="171">
        <v>1</v>
      </c>
      <c r="AM76" s="171">
        <v>1</v>
      </c>
      <c r="AN76" s="171">
        <v>1</v>
      </c>
      <c r="AO76" s="171">
        <v>1</v>
      </c>
      <c r="AP76" s="171">
        <v>1</v>
      </c>
      <c r="AQ76" s="171">
        <v>1</v>
      </c>
      <c r="AR76" s="171">
        <v>1</v>
      </c>
      <c r="AS76" s="171">
        <v>1</v>
      </c>
      <c r="AT76" s="171">
        <v>1</v>
      </c>
      <c r="AU76" s="171">
        <f t="shared" si="24"/>
        <v>0</v>
      </c>
      <c r="AV76" s="171">
        <f t="shared" si="25"/>
        <v>1</v>
      </c>
      <c r="AW76" s="171">
        <f t="shared" si="26"/>
        <v>1</v>
      </c>
      <c r="AX76" s="171">
        <f t="shared" si="5"/>
        <v>1</v>
      </c>
      <c r="AY76" s="171">
        <f t="shared" si="27"/>
        <v>0</v>
      </c>
      <c r="AZ76" s="171">
        <f t="shared" si="28"/>
        <v>1</v>
      </c>
      <c r="BA76" s="172">
        <f t="shared" si="29"/>
        <v>1</v>
      </c>
      <c r="BB76" s="175">
        <f t="shared" si="31"/>
        <v>19</v>
      </c>
      <c r="BC76" s="176">
        <f t="shared" si="32"/>
        <v>18</v>
      </c>
      <c r="BD76" s="176">
        <f t="shared" si="33"/>
        <v>19</v>
      </c>
      <c r="BE76" s="240" t="str">
        <f t="shared" si="30"/>
        <v/>
      </c>
      <c r="BH76" s="198">
        <f>IF(AND(Input_Product=Elig!$C76,Elig_MatchAll_Ct&lt;22,$BC76=(Elig_MatchAll_Ct-1),AF76=0),C76,0)</f>
        <v>0</v>
      </c>
      <c r="BI76" s="199">
        <f>IF(AND(Input_Product=Elig!$C76,Elig_MatchAll_Ct&lt;22,$BC76=(Elig_MatchAll_Ct-1),AG76=0),D76,0)</f>
        <v>0</v>
      </c>
      <c r="BJ76" s="199">
        <f>IF(AND(Input_Product=Elig!$C76,Elig_MatchAll_Ct&lt;22,$BC76=(Elig_MatchAll_Ct-1),AH76=0),E76,0)</f>
        <v>0</v>
      </c>
      <c r="BK76" s="199">
        <f>IF(AND(Input_Product=Elig!$C76,Elig_MatchAll_Ct&lt;22,$BC76=(Elig_MatchAll_Ct-1),AI76=0),F76,0)</f>
        <v>0</v>
      </c>
      <c r="BL76" s="199">
        <f>IF(AND(Input_Product=Elig!$C76,Elig_MatchAll_Ct&lt;22,$BC76=(Elig_MatchAll_Ct-1),AJ76=0),G76,0)</f>
        <v>0</v>
      </c>
      <c r="BM76" s="199">
        <f>IF(AND(Input_Product=Elig!$C76,Elig_MatchAll_Ct&lt;22,$BC76=(Elig_MatchAll_Ct-1),AK76=0),H76,0)</f>
        <v>0</v>
      </c>
      <c r="BN76" s="199">
        <f>IF(AND(Input_Product=Elig!$C76,Elig_MatchAll_Ct&lt;22,$BC76=(Elig_MatchAll_Ct-1),AL76=0),I76,0)</f>
        <v>0</v>
      </c>
      <c r="BO76" s="199">
        <f>IF(AND(Input_Product=Elig!$C76,Elig_MatchAll_Ct&lt;22,$BC76=(Elig_MatchAll_Ct-1),AM76=0),J76,0)</f>
        <v>0</v>
      </c>
      <c r="BP76" s="199">
        <f>IF(AND(Input_Product=Elig!$C76,Elig_MatchAll_Ct&lt;22,$BC76=(Elig_MatchAll_Ct-1),AN76=0),K76,0)</f>
        <v>0</v>
      </c>
      <c r="BQ76" s="199">
        <f>IF(AND(Input_Product=Elig!$C76,Elig_MatchAll_Ct&lt;22,$BC76=(Elig_MatchAll_Ct-1),AP76=0),L76,0)</f>
        <v>0</v>
      </c>
      <c r="BR76" s="199">
        <f>IF(AND(Input_Product=Elig!$C76,Elig_MatchAll_Ct&lt;22,$BC76=(Elig_MatchAll_Ct-1),AO76=0),M76,0)</f>
        <v>0</v>
      </c>
      <c r="BS76" s="199">
        <f>IF(AND(Input_Product=Elig!$C76,Elig_MatchAll_Ct&lt;22,$BC76=(Elig_MatchAll_Ct-1),AQ76=0),N76,0)</f>
        <v>0</v>
      </c>
      <c r="BT76" s="199">
        <f>IF(AND(Input_Product=Elig!$C76,Elig_MatchAll_Ct&lt;22,$BC76=(Elig_MatchAll_Ct-1),AR76=0),O76,0)</f>
        <v>0</v>
      </c>
      <c r="BU76" s="199">
        <f>IF(AND(Input_Product=Elig!$C76,Elig_MatchAll_Ct&lt;22,$BC76=(Elig_MatchAll_Ct-1),AS76=0),P76,0)</f>
        <v>0</v>
      </c>
      <c r="BV76" s="200">
        <f>IF(AND(Input_Product=Elig!$C76,Elig_MatchAll_Ct&lt;22,$BC76=(Elig_MatchAll_Ct-1),AT76=0),Q76,0)</f>
        <v>0</v>
      </c>
      <c r="BW76" s="201">
        <f>IF(AND(Input_Product=Elig!$C76,Elig_MatchAll_Ct&lt;22,$BC76=(Elig_MatchAll_Ct-1),AU76=0),R76,0)</f>
        <v>0</v>
      </c>
      <c r="BX76" s="202">
        <f>IF(AND(Input_Product=Elig!$C76,Elig_MatchAll_Ct&lt;22,$BC76=(Elig_MatchAll_Ct-1),AU76=0),S76,0)</f>
        <v>0</v>
      </c>
      <c r="BY76" s="201">
        <f>IF(AND(Input_Product=Elig!$C76,Elig_MatchAll_Ct&lt;22,$BC76=(Elig_MatchAll_Ct-1),AV76=0),T76,0)</f>
        <v>0</v>
      </c>
      <c r="BZ76" s="202">
        <f>IF(AND(Input_Product=Elig!$C76,Elig_MatchAll_Ct&lt;22,$BC76=(Elig_MatchAll_Ct-1),AV76=0),U76,0)</f>
        <v>0</v>
      </c>
      <c r="CA76" s="201">
        <f>IF(AND(Input_Product=Elig!$C76,Elig_MatchAll_Ct&lt;22,$BC76=(Elig_MatchAll_Ct-1),AW76=0),V76,0)</f>
        <v>0</v>
      </c>
      <c r="CB76" s="202">
        <f>IF(AND(Input_Product=Elig!$C76,Elig_MatchAll_Ct&lt;22,$BC76=(Elig_MatchAll_Ct-1),AW76=0),W76,0)</f>
        <v>0</v>
      </c>
      <c r="CC76" s="201">
        <f>IF(AND(Input_Product=Elig!$C76,Elig_MatchAll_Ct&lt;22,$BC76=(Elig_MatchAll_Ct-1),AX76=0),X76,0)</f>
        <v>0</v>
      </c>
      <c r="CD76" s="202">
        <f>IF(AND(Input_Product=Elig!$C76,Elig_MatchAll_Ct&lt;22,$BC76=(Elig_MatchAll_Ct-1),AX76=0),Y76,0)</f>
        <v>0</v>
      </c>
      <c r="CE76" s="201">
        <f>IF(AND(Input_LTV&lt;=AE76,Input_Product=Elig!$C76,Elig_MatchAll_Ct&lt;22,$BC76=(Elig_MatchAll_Ct-1),AY76=0),Z76,0)</f>
        <v>0</v>
      </c>
      <c r="CF76" s="202">
        <f>IF(AND(Input_LTV&lt;=AE76,Input_Product=Elig!$C76,Elig_MatchAll_Ct&lt;22,$BC76=(Elig_MatchAll_Ct-1),AY76=0),AA76,0)</f>
        <v>0</v>
      </c>
      <c r="CG76" s="201">
        <f>IF(AND(Input_Product=Elig!$C76,Elig_MatchAll_Ct&lt;22,$BC76=(Elig_MatchAll_Ct-1),AZ76=0),AB76,0)</f>
        <v>0</v>
      </c>
      <c r="CH76" s="202">
        <f>IF(AND(Input_Product=Elig!$C76,Elig_MatchAll_Ct&lt;22,$BC76=(Elig_MatchAll_Ct-1),AZ76=0),AC76,0)</f>
        <v>0</v>
      </c>
      <c r="CI76" s="201">
        <f>IF(AND(Input_Product=Elig!$C76,Elig_MatchAll_Ct&lt;22,$BC76=(Elig_MatchAll_Ct-1),BA76=0),AD76,0)</f>
        <v>0</v>
      </c>
      <c r="CJ76" s="203">
        <f>IF(AND(Input_Product=Elig!$C76,Elig_MatchAll_Ct&lt;22,$BC76=(Elig_MatchAll_Ct-1),BA76=0),AE76,0)</f>
        <v>0</v>
      </c>
    </row>
    <row r="77" spans="2:88" ht="10.15" customHeight="1" x14ac:dyDescent="0.25">
      <c r="B77" s="1912" t="s">
        <v>831</v>
      </c>
      <c r="C77" s="134" t="str">
        <f t="shared" si="1"/>
        <v>NonQM OO</v>
      </c>
      <c r="D77" s="135" t="s">
        <v>3885</v>
      </c>
      <c r="E77" s="135" t="s">
        <v>167</v>
      </c>
      <c r="F77" s="135" t="s">
        <v>331</v>
      </c>
      <c r="G77" s="135" t="s">
        <v>303</v>
      </c>
      <c r="H77" s="135" t="s">
        <v>136</v>
      </c>
      <c r="I77" s="135" t="s">
        <v>16</v>
      </c>
      <c r="J77" s="135" t="s">
        <v>1311</v>
      </c>
      <c r="K77" s="135" t="s">
        <v>1631</v>
      </c>
      <c r="L77" s="221" t="s">
        <v>3920</v>
      </c>
      <c r="M77" s="135" t="s">
        <v>4203</v>
      </c>
      <c r="N77" s="135" t="s">
        <v>82</v>
      </c>
      <c r="O77" s="135" t="s">
        <v>310</v>
      </c>
      <c r="P77" s="135" t="s">
        <v>291</v>
      </c>
      <c r="Q77" s="135" t="s">
        <v>294</v>
      </c>
      <c r="R77" s="135">
        <v>1000000.01</v>
      </c>
      <c r="S77" s="135">
        <v>1500000</v>
      </c>
      <c r="T77" s="135">
        <v>0</v>
      </c>
      <c r="U77" s="135">
        <f t="shared" si="34"/>
        <v>1500000</v>
      </c>
      <c r="V77" s="135">
        <v>0</v>
      </c>
      <c r="W77" s="135">
        <v>55</v>
      </c>
      <c r="X77" s="135">
        <v>0</v>
      </c>
      <c r="Y77" s="135">
        <v>999</v>
      </c>
      <c r="Z77" s="137">
        <v>640</v>
      </c>
      <c r="AA77" s="137">
        <v>659</v>
      </c>
      <c r="AB77" s="137">
        <v>6</v>
      </c>
      <c r="AC77" s="137">
        <v>999999</v>
      </c>
      <c r="AD77" s="135">
        <v>0</v>
      </c>
      <c r="AE77" s="135">
        <v>65</v>
      </c>
      <c r="AF77" s="170">
        <v>0</v>
      </c>
      <c r="AG77" s="171">
        <v>1</v>
      </c>
      <c r="AH77" s="171">
        <v>1</v>
      </c>
      <c r="AI77" s="171">
        <v>1</v>
      </c>
      <c r="AJ77" s="171">
        <v>1</v>
      </c>
      <c r="AK77" s="171">
        <v>1</v>
      </c>
      <c r="AL77" s="171">
        <v>1</v>
      </c>
      <c r="AM77" s="171">
        <v>1</v>
      </c>
      <c r="AN77" s="171">
        <v>1</v>
      </c>
      <c r="AO77" s="171">
        <v>1</v>
      </c>
      <c r="AP77" s="171">
        <v>1</v>
      </c>
      <c r="AQ77" s="171">
        <v>1</v>
      </c>
      <c r="AR77" s="171">
        <v>1</v>
      </c>
      <c r="AS77" s="171">
        <v>1</v>
      </c>
      <c r="AT77" s="171">
        <v>1</v>
      </c>
      <c r="AU77" s="171">
        <f t="shared" si="24"/>
        <v>0</v>
      </c>
      <c r="AV77" s="171">
        <f t="shared" si="25"/>
        <v>1</v>
      </c>
      <c r="AW77" s="171">
        <f t="shared" si="26"/>
        <v>1</v>
      </c>
      <c r="AX77" s="171">
        <f t="shared" si="5"/>
        <v>1</v>
      </c>
      <c r="AY77" s="171">
        <f t="shared" si="27"/>
        <v>0</v>
      </c>
      <c r="AZ77" s="171">
        <f t="shared" si="28"/>
        <v>1</v>
      </c>
      <c r="BA77" s="172">
        <f t="shared" si="29"/>
        <v>1</v>
      </c>
      <c r="BB77" s="175">
        <f t="shared" si="31"/>
        <v>19</v>
      </c>
      <c r="BC77" s="176">
        <f t="shared" si="32"/>
        <v>18</v>
      </c>
      <c r="BD77" s="176">
        <f t="shared" si="33"/>
        <v>19</v>
      </c>
      <c r="BE77" s="240" t="str">
        <f t="shared" si="30"/>
        <v/>
      </c>
      <c r="BH77" s="198">
        <f>IF(AND(Input_Product=Elig!$C77,Elig_MatchAll_Ct&lt;22,$BC77=(Elig_MatchAll_Ct-1),AF77=0),C77,0)</f>
        <v>0</v>
      </c>
      <c r="BI77" s="199">
        <f>IF(AND(Input_Product=Elig!$C77,Elig_MatchAll_Ct&lt;22,$BC77=(Elig_MatchAll_Ct-1),AG77=0),D77,0)</f>
        <v>0</v>
      </c>
      <c r="BJ77" s="199">
        <f>IF(AND(Input_Product=Elig!$C77,Elig_MatchAll_Ct&lt;22,$BC77=(Elig_MatchAll_Ct-1),AH77=0),E77,0)</f>
        <v>0</v>
      </c>
      <c r="BK77" s="199">
        <f>IF(AND(Input_Product=Elig!$C77,Elig_MatchAll_Ct&lt;22,$BC77=(Elig_MatchAll_Ct-1),AI77=0),F77,0)</f>
        <v>0</v>
      </c>
      <c r="BL77" s="199">
        <f>IF(AND(Input_Product=Elig!$C77,Elig_MatchAll_Ct&lt;22,$BC77=(Elig_MatchAll_Ct-1),AJ77=0),G77,0)</f>
        <v>0</v>
      </c>
      <c r="BM77" s="199">
        <f>IF(AND(Input_Product=Elig!$C77,Elig_MatchAll_Ct&lt;22,$BC77=(Elig_MatchAll_Ct-1),AK77=0),H77,0)</f>
        <v>0</v>
      </c>
      <c r="BN77" s="199">
        <f>IF(AND(Input_Product=Elig!$C77,Elig_MatchAll_Ct&lt;22,$BC77=(Elig_MatchAll_Ct-1),AL77=0),I77,0)</f>
        <v>0</v>
      </c>
      <c r="BO77" s="199">
        <f>IF(AND(Input_Product=Elig!$C77,Elig_MatchAll_Ct&lt;22,$BC77=(Elig_MatchAll_Ct-1),AM77=0),J77,0)</f>
        <v>0</v>
      </c>
      <c r="BP77" s="199">
        <f>IF(AND(Input_Product=Elig!$C77,Elig_MatchAll_Ct&lt;22,$BC77=(Elig_MatchAll_Ct-1),AN77=0),K77,0)</f>
        <v>0</v>
      </c>
      <c r="BQ77" s="199">
        <f>IF(AND(Input_Product=Elig!$C77,Elig_MatchAll_Ct&lt;22,$BC77=(Elig_MatchAll_Ct-1),AP77=0),L77,0)</f>
        <v>0</v>
      </c>
      <c r="BR77" s="199">
        <f>IF(AND(Input_Product=Elig!$C77,Elig_MatchAll_Ct&lt;22,$BC77=(Elig_MatchAll_Ct-1),AO77=0),M77,0)</f>
        <v>0</v>
      </c>
      <c r="BS77" s="199">
        <f>IF(AND(Input_Product=Elig!$C77,Elig_MatchAll_Ct&lt;22,$BC77=(Elig_MatchAll_Ct-1),AQ77=0),N77,0)</f>
        <v>0</v>
      </c>
      <c r="BT77" s="199">
        <f>IF(AND(Input_Product=Elig!$C77,Elig_MatchAll_Ct&lt;22,$BC77=(Elig_MatchAll_Ct-1),AR77=0),O77,0)</f>
        <v>0</v>
      </c>
      <c r="BU77" s="199">
        <f>IF(AND(Input_Product=Elig!$C77,Elig_MatchAll_Ct&lt;22,$BC77=(Elig_MatchAll_Ct-1),AS77=0),P77,0)</f>
        <v>0</v>
      </c>
      <c r="BV77" s="200">
        <f>IF(AND(Input_Product=Elig!$C77,Elig_MatchAll_Ct&lt;22,$BC77=(Elig_MatchAll_Ct-1),AT77=0),Q77,0)</f>
        <v>0</v>
      </c>
      <c r="BW77" s="201">
        <f>IF(AND(Input_Product=Elig!$C77,Elig_MatchAll_Ct&lt;22,$BC77=(Elig_MatchAll_Ct-1),AU77=0),R77,0)</f>
        <v>0</v>
      </c>
      <c r="BX77" s="202">
        <f>IF(AND(Input_Product=Elig!$C77,Elig_MatchAll_Ct&lt;22,$BC77=(Elig_MatchAll_Ct-1),AU77=0),S77,0)</f>
        <v>0</v>
      </c>
      <c r="BY77" s="201">
        <f>IF(AND(Input_Product=Elig!$C77,Elig_MatchAll_Ct&lt;22,$BC77=(Elig_MatchAll_Ct-1),AV77=0),T77,0)</f>
        <v>0</v>
      </c>
      <c r="BZ77" s="202">
        <f>IF(AND(Input_Product=Elig!$C77,Elig_MatchAll_Ct&lt;22,$BC77=(Elig_MatchAll_Ct-1),AV77=0),U77,0)</f>
        <v>0</v>
      </c>
      <c r="CA77" s="201">
        <f>IF(AND(Input_Product=Elig!$C77,Elig_MatchAll_Ct&lt;22,$BC77=(Elig_MatchAll_Ct-1),AW77=0),V77,0)</f>
        <v>0</v>
      </c>
      <c r="CB77" s="202">
        <f>IF(AND(Input_Product=Elig!$C77,Elig_MatchAll_Ct&lt;22,$BC77=(Elig_MatchAll_Ct-1),AW77=0),W77,0)</f>
        <v>0</v>
      </c>
      <c r="CC77" s="201">
        <f>IF(AND(Input_Product=Elig!$C77,Elig_MatchAll_Ct&lt;22,$BC77=(Elig_MatchAll_Ct-1),AX77=0),X77,0)</f>
        <v>0</v>
      </c>
      <c r="CD77" s="202">
        <f>IF(AND(Input_Product=Elig!$C77,Elig_MatchAll_Ct&lt;22,$BC77=(Elig_MatchAll_Ct-1),AX77=0),Y77,0)</f>
        <v>0</v>
      </c>
      <c r="CE77" s="201">
        <f>IF(AND(Input_LTV&lt;=AE77,Input_Product=Elig!$C77,Elig_MatchAll_Ct&lt;22,$BC77=(Elig_MatchAll_Ct-1),AY77=0),Z77,0)</f>
        <v>0</v>
      </c>
      <c r="CF77" s="202">
        <f>IF(AND(Input_LTV&lt;=AE77,Input_Product=Elig!$C77,Elig_MatchAll_Ct&lt;22,$BC77=(Elig_MatchAll_Ct-1),AY77=0),AA77,0)</f>
        <v>0</v>
      </c>
      <c r="CG77" s="201">
        <f>IF(AND(Input_Product=Elig!$C77,Elig_MatchAll_Ct&lt;22,$BC77=(Elig_MatchAll_Ct-1),AZ77=0),AB77,0)</f>
        <v>0</v>
      </c>
      <c r="CH77" s="202">
        <f>IF(AND(Input_Product=Elig!$C77,Elig_MatchAll_Ct&lt;22,$BC77=(Elig_MatchAll_Ct-1),AZ77=0),AC77,0)</f>
        <v>0</v>
      </c>
      <c r="CI77" s="201">
        <f>IF(AND(Input_Product=Elig!$C77,Elig_MatchAll_Ct&lt;22,$BC77=(Elig_MatchAll_Ct-1),BA77=0),AD77,0)</f>
        <v>0</v>
      </c>
      <c r="CJ77" s="203">
        <f>IF(AND(Input_Product=Elig!$C77,Elig_MatchAll_Ct&lt;22,$BC77=(Elig_MatchAll_Ct-1),BA77=0),AE77,0)</f>
        <v>0</v>
      </c>
    </row>
    <row r="78" spans="2:88" ht="10.15" customHeight="1" x14ac:dyDescent="0.25">
      <c r="B78" s="1912" t="s">
        <v>832</v>
      </c>
      <c r="C78" s="138" t="str">
        <f t="shared" si="1"/>
        <v>NonQM OO</v>
      </c>
      <c r="D78" s="139" t="s">
        <v>3885</v>
      </c>
      <c r="E78" s="139" t="s">
        <v>167</v>
      </c>
      <c r="F78" s="139" t="s">
        <v>331</v>
      </c>
      <c r="G78" s="139" t="s">
        <v>303</v>
      </c>
      <c r="H78" s="139" t="s">
        <v>136</v>
      </c>
      <c r="I78" s="139" t="s">
        <v>16</v>
      </c>
      <c r="J78" s="139" t="s">
        <v>1311</v>
      </c>
      <c r="K78" s="139" t="s">
        <v>1631</v>
      </c>
      <c r="L78" s="310" t="s">
        <v>3920</v>
      </c>
      <c r="M78" s="139" t="s">
        <v>4203</v>
      </c>
      <c r="N78" s="139" t="s">
        <v>82</v>
      </c>
      <c r="O78" s="139" t="s">
        <v>310</v>
      </c>
      <c r="P78" s="139" t="s">
        <v>291</v>
      </c>
      <c r="Q78" s="139" t="s">
        <v>294</v>
      </c>
      <c r="R78" s="139">
        <v>1000000.01</v>
      </c>
      <c r="S78" s="139">
        <v>1500000</v>
      </c>
      <c r="T78" s="139">
        <v>0</v>
      </c>
      <c r="U78" s="139">
        <f t="shared" si="34"/>
        <v>1500000</v>
      </c>
      <c r="V78" s="139">
        <v>0</v>
      </c>
      <c r="W78" s="139">
        <v>55</v>
      </c>
      <c r="X78" s="139">
        <v>0</v>
      </c>
      <c r="Y78" s="139">
        <v>999</v>
      </c>
      <c r="Z78" s="140">
        <v>620</v>
      </c>
      <c r="AA78" s="140">
        <v>639</v>
      </c>
      <c r="AB78" s="140">
        <v>6</v>
      </c>
      <c r="AC78" s="140">
        <v>999999</v>
      </c>
      <c r="AD78" s="139">
        <v>0</v>
      </c>
      <c r="AE78" s="310">
        <v>65</v>
      </c>
      <c r="AF78" s="170">
        <v>0</v>
      </c>
      <c r="AG78" s="171">
        <v>1</v>
      </c>
      <c r="AH78" s="171">
        <v>1</v>
      </c>
      <c r="AI78" s="171">
        <v>1</v>
      </c>
      <c r="AJ78" s="171">
        <v>1</v>
      </c>
      <c r="AK78" s="171">
        <v>1</v>
      </c>
      <c r="AL78" s="171">
        <v>1</v>
      </c>
      <c r="AM78" s="171">
        <v>1</v>
      </c>
      <c r="AN78" s="171">
        <v>1</v>
      </c>
      <c r="AO78" s="171">
        <v>1</v>
      </c>
      <c r="AP78" s="171">
        <v>1</v>
      </c>
      <c r="AQ78" s="171">
        <v>1</v>
      </c>
      <c r="AR78" s="171">
        <v>1</v>
      </c>
      <c r="AS78" s="171">
        <v>1</v>
      </c>
      <c r="AT78" s="171">
        <v>1</v>
      </c>
      <c r="AU78" s="171">
        <f t="shared" si="24"/>
        <v>0</v>
      </c>
      <c r="AV78" s="171">
        <f t="shared" si="25"/>
        <v>1</v>
      </c>
      <c r="AW78" s="171">
        <f t="shared" si="26"/>
        <v>1</v>
      </c>
      <c r="AX78" s="171">
        <f t="shared" si="5"/>
        <v>1</v>
      </c>
      <c r="AY78" s="171">
        <f t="shared" si="27"/>
        <v>0</v>
      </c>
      <c r="AZ78" s="171">
        <f t="shared" si="28"/>
        <v>1</v>
      </c>
      <c r="BA78" s="172">
        <f t="shared" si="29"/>
        <v>1</v>
      </c>
      <c r="BB78" s="175">
        <f t="shared" si="31"/>
        <v>19</v>
      </c>
      <c r="BC78" s="176">
        <f t="shared" si="32"/>
        <v>18</v>
      </c>
      <c r="BD78" s="176">
        <f t="shared" si="33"/>
        <v>19</v>
      </c>
      <c r="BE78" s="240" t="str">
        <f t="shared" si="30"/>
        <v/>
      </c>
      <c r="BH78" s="204">
        <f>IF(AND(Input_Product=Elig!$C78,Elig_MatchAll_Ct&lt;22,$BC78=(Elig_MatchAll_Ct-1),AF78=0),C78,0)</f>
        <v>0</v>
      </c>
      <c r="BI78" s="205">
        <f>IF(AND(Input_Product=Elig!$C78,Elig_MatchAll_Ct&lt;22,$BC78=(Elig_MatchAll_Ct-1),AG78=0),D78,0)</f>
        <v>0</v>
      </c>
      <c r="BJ78" s="205">
        <f>IF(AND(Input_Product=Elig!$C78,Elig_MatchAll_Ct&lt;22,$BC78=(Elig_MatchAll_Ct-1),AH78=0),E78,0)</f>
        <v>0</v>
      </c>
      <c r="BK78" s="205">
        <f>IF(AND(Input_Product=Elig!$C78,Elig_MatchAll_Ct&lt;22,$BC78=(Elig_MatchAll_Ct-1),AI78=0),F78,0)</f>
        <v>0</v>
      </c>
      <c r="BL78" s="205">
        <f>IF(AND(Input_Product=Elig!$C78,Elig_MatchAll_Ct&lt;22,$BC78=(Elig_MatchAll_Ct-1),AJ78=0),G78,0)</f>
        <v>0</v>
      </c>
      <c r="BM78" s="205">
        <f>IF(AND(Input_Product=Elig!$C78,Elig_MatchAll_Ct&lt;22,$BC78=(Elig_MatchAll_Ct-1),AK78=0),H78,0)</f>
        <v>0</v>
      </c>
      <c r="BN78" s="205">
        <f>IF(AND(Input_Product=Elig!$C78,Elig_MatchAll_Ct&lt;22,$BC78=(Elig_MatchAll_Ct-1),AL78=0),I78,0)</f>
        <v>0</v>
      </c>
      <c r="BO78" s="205">
        <f>IF(AND(Input_Product=Elig!$C78,Elig_MatchAll_Ct&lt;22,$BC78=(Elig_MatchAll_Ct-1),AM78=0),J78,0)</f>
        <v>0</v>
      </c>
      <c r="BP78" s="205">
        <f>IF(AND(Input_Product=Elig!$C78,Elig_MatchAll_Ct&lt;22,$BC78=(Elig_MatchAll_Ct-1),AN78=0),K78,0)</f>
        <v>0</v>
      </c>
      <c r="BQ78" s="205">
        <f>IF(AND(Input_Product=Elig!$C78,Elig_MatchAll_Ct&lt;22,$BC78=(Elig_MatchAll_Ct-1),AP78=0),L78,0)</f>
        <v>0</v>
      </c>
      <c r="BR78" s="205">
        <f>IF(AND(Input_Product=Elig!$C78,Elig_MatchAll_Ct&lt;22,$BC78=(Elig_MatchAll_Ct-1),AO78=0),M78,0)</f>
        <v>0</v>
      </c>
      <c r="BS78" s="205">
        <f>IF(AND(Input_Product=Elig!$C78,Elig_MatchAll_Ct&lt;22,$BC78=(Elig_MatchAll_Ct-1),AQ78=0),N78,0)</f>
        <v>0</v>
      </c>
      <c r="BT78" s="205">
        <f>IF(AND(Input_Product=Elig!$C78,Elig_MatchAll_Ct&lt;22,$BC78=(Elig_MatchAll_Ct-1),AR78=0),O78,0)</f>
        <v>0</v>
      </c>
      <c r="BU78" s="205">
        <f>IF(AND(Input_Product=Elig!$C78,Elig_MatchAll_Ct&lt;22,$BC78=(Elig_MatchAll_Ct-1),AS78=0),P78,0)</f>
        <v>0</v>
      </c>
      <c r="BV78" s="206">
        <f>IF(AND(Input_Product=Elig!$C78,Elig_MatchAll_Ct&lt;22,$BC78=(Elig_MatchAll_Ct-1),AT78=0),Q78,0)</f>
        <v>0</v>
      </c>
      <c r="BW78" s="207">
        <f>IF(AND(Input_Product=Elig!$C78,Elig_MatchAll_Ct&lt;22,$BC78=(Elig_MatchAll_Ct-1),AU78=0),R78,0)</f>
        <v>0</v>
      </c>
      <c r="BX78" s="208">
        <f>IF(AND(Input_Product=Elig!$C78,Elig_MatchAll_Ct&lt;22,$BC78=(Elig_MatchAll_Ct-1),AU78=0),S78,0)</f>
        <v>0</v>
      </c>
      <c r="BY78" s="207">
        <f>IF(AND(Input_Product=Elig!$C78,Elig_MatchAll_Ct&lt;22,$BC78=(Elig_MatchAll_Ct-1),AV78=0),T78,0)</f>
        <v>0</v>
      </c>
      <c r="BZ78" s="208">
        <f>IF(AND(Input_Product=Elig!$C78,Elig_MatchAll_Ct&lt;22,$BC78=(Elig_MatchAll_Ct-1),AV78=0),U78,0)</f>
        <v>0</v>
      </c>
      <c r="CA78" s="207">
        <f>IF(AND(Input_Product=Elig!$C78,Elig_MatchAll_Ct&lt;22,$BC78=(Elig_MatchAll_Ct-1),AW78=0),V78,0)</f>
        <v>0</v>
      </c>
      <c r="CB78" s="208">
        <f>IF(AND(Input_Product=Elig!$C78,Elig_MatchAll_Ct&lt;22,$BC78=(Elig_MatchAll_Ct-1),AW78=0),W78,0)</f>
        <v>0</v>
      </c>
      <c r="CC78" s="207">
        <f>IF(AND(Input_Product=Elig!$C78,Elig_MatchAll_Ct&lt;22,$BC78=(Elig_MatchAll_Ct-1),AX78=0),X78,0)</f>
        <v>0</v>
      </c>
      <c r="CD78" s="208">
        <f>IF(AND(Input_Product=Elig!$C78,Elig_MatchAll_Ct&lt;22,$BC78=(Elig_MatchAll_Ct-1),AX78=0),Y78,0)</f>
        <v>0</v>
      </c>
      <c r="CE78" s="207">
        <f>IF(AND(Input_LTV&lt;=AE78,Input_Product=Elig!$C78,Elig_MatchAll_Ct&lt;22,$BC78=(Elig_MatchAll_Ct-1),AY78=0),Z78,0)</f>
        <v>0</v>
      </c>
      <c r="CF78" s="208">
        <f>IF(AND(Input_LTV&lt;=AE78,Input_Product=Elig!$C78,Elig_MatchAll_Ct&lt;22,$BC78=(Elig_MatchAll_Ct-1),AY78=0),AA78,0)</f>
        <v>0</v>
      </c>
      <c r="CG78" s="207">
        <f>IF(AND(Input_Product=Elig!$C78,Elig_MatchAll_Ct&lt;22,$BC78=(Elig_MatchAll_Ct-1),AZ78=0),AB78,0)</f>
        <v>0</v>
      </c>
      <c r="CH78" s="208">
        <f>IF(AND(Input_Product=Elig!$C78,Elig_MatchAll_Ct&lt;22,$BC78=(Elig_MatchAll_Ct-1),AZ78=0),AC78,0)</f>
        <v>0</v>
      </c>
      <c r="CI78" s="207">
        <f>IF(AND(Input_Product=Elig!$C78,Elig_MatchAll_Ct&lt;22,$BC78=(Elig_MatchAll_Ct-1),BA78=0),AD78,0)</f>
        <v>0</v>
      </c>
      <c r="CJ78" s="209">
        <f>IF(AND(Input_Product=Elig!$C78,Elig_MatchAll_Ct&lt;22,$BC78=(Elig_MatchAll_Ct-1),BA78=0),AE78,0)</f>
        <v>0</v>
      </c>
    </row>
    <row r="79" spans="2:88" ht="10.15" customHeight="1" x14ac:dyDescent="0.25">
      <c r="B79" s="1912" t="s">
        <v>833</v>
      </c>
      <c r="C79" s="141" t="str">
        <f t="shared" si="1"/>
        <v>NonQM OO</v>
      </c>
      <c r="D79" s="142" t="s">
        <v>3885</v>
      </c>
      <c r="E79" s="143" t="s">
        <v>167</v>
      </c>
      <c r="F79" s="143" t="s">
        <v>331</v>
      </c>
      <c r="G79" s="143" t="s">
        <v>304</v>
      </c>
      <c r="H79" s="143" t="s">
        <v>446</v>
      </c>
      <c r="I79" s="142" t="s">
        <v>274</v>
      </c>
      <c r="J79" s="142" t="s">
        <v>1311</v>
      </c>
      <c r="K79" s="142" t="s">
        <v>1631</v>
      </c>
      <c r="L79" s="2131" t="s">
        <v>3920</v>
      </c>
      <c r="M79" s="143" t="s">
        <v>4203</v>
      </c>
      <c r="N79" s="143" t="s">
        <v>82</v>
      </c>
      <c r="O79" s="143" t="s">
        <v>310</v>
      </c>
      <c r="P79" s="143" t="s">
        <v>291</v>
      </c>
      <c r="Q79" s="143" t="s">
        <v>294</v>
      </c>
      <c r="R79" s="142">
        <v>1000000.01</v>
      </c>
      <c r="S79" s="142">
        <v>1500000</v>
      </c>
      <c r="T79" s="142">
        <v>0</v>
      </c>
      <c r="U79" s="142">
        <v>0</v>
      </c>
      <c r="V79" s="142">
        <v>0</v>
      </c>
      <c r="W79" s="142">
        <v>55</v>
      </c>
      <c r="X79" s="142">
        <v>0</v>
      </c>
      <c r="Y79" s="142">
        <v>999</v>
      </c>
      <c r="Z79" s="144">
        <v>720</v>
      </c>
      <c r="AA79" s="144">
        <v>999</v>
      </c>
      <c r="AB79" s="144">
        <v>6</v>
      </c>
      <c r="AC79" s="144">
        <v>999999</v>
      </c>
      <c r="AD79" s="142">
        <v>0</v>
      </c>
      <c r="AE79" s="320">
        <v>90</v>
      </c>
      <c r="AF79" s="170">
        <v>0</v>
      </c>
      <c r="AG79" s="171">
        <v>1</v>
      </c>
      <c r="AH79" s="171">
        <v>1</v>
      </c>
      <c r="AI79" s="171">
        <v>1</v>
      </c>
      <c r="AJ79" s="171">
        <v>0</v>
      </c>
      <c r="AK79" s="171">
        <v>0</v>
      </c>
      <c r="AL79" s="171">
        <v>0</v>
      </c>
      <c r="AM79" s="171">
        <v>1</v>
      </c>
      <c r="AN79" s="171">
        <v>1</v>
      </c>
      <c r="AO79" s="171">
        <v>1</v>
      </c>
      <c r="AP79" s="171">
        <v>1</v>
      </c>
      <c r="AQ79" s="171">
        <v>1</v>
      </c>
      <c r="AR79" s="171">
        <v>1</v>
      </c>
      <c r="AS79" s="171">
        <v>1</v>
      </c>
      <c r="AT79" s="171">
        <v>1</v>
      </c>
      <c r="AU79" s="171">
        <f t="shared" si="24"/>
        <v>0</v>
      </c>
      <c r="AV79" s="171">
        <f t="shared" si="25"/>
        <v>0</v>
      </c>
      <c r="AW79" s="171">
        <f t="shared" si="26"/>
        <v>1</v>
      </c>
      <c r="AX79" s="171">
        <f t="shared" si="5"/>
        <v>1</v>
      </c>
      <c r="AY79" s="171">
        <f t="shared" si="27"/>
        <v>1</v>
      </c>
      <c r="AZ79" s="171">
        <f t="shared" si="28"/>
        <v>1</v>
      </c>
      <c r="BA79" s="172">
        <f t="shared" si="29"/>
        <v>1</v>
      </c>
      <c r="BB79" s="175">
        <f t="shared" si="31"/>
        <v>16</v>
      </c>
      <c r="BC79" s="176">
        <f t="shared" si="32"/>
        <v>15</v>
      </c>
      <c r="BD79" s="176">
        <f t="shared" si="33"/>
        <v>16</v>
      </c>
      <c r="BE79" s="240" t="str">
        <f t="shared" si="30"/>
        <v/>
      </c>
      <c r="BH79" s="192">
        <f>IF(AND(Input_Product=Elig!$C79,Elig_MatchAll_Ct&lt;22,$BC79=(Elig_MatchAll_Ct-1),AF79=0),C79,0)</f>
        <v>0</v>
      </c>
      <c r="BI79" s="193">
        <f>IF(AND(Input_Product=Elig!$C79,Elig_MatchAll_Ct&lt;22,$BC79=(Elig_MatchAll_Ct-1),AG79=0),D79,0)</f>
        <v>0</v>
      </c>
      <c r="BJ79" s="193">
        <f>IF(AND(Input_Product=Elig!$C79,Elig_MatchAll_Ct&lt;22,$BC79=(Elig_MatchAll_Ct-1),AH79=0),E79,0)</f>
        <v>0</v>
      </c>
      <c r="BK79" s="193">
        <f>IF(AND(Input_Product=Elig!$C79,Elig_MatchAll_Ct&lt;22,$BC79=(Elig_MatchAll_Ct-1),AI79=0),F79,0)</f>
        <v>0</v>
      </c>
      <c r="BL79" s="193">
        <f>IF(AND(Input_Product=Elig!$C79,Elig_MatchAll_Ct&lt;22,$BC79=(Elig_MatchAll_Ct-1),AJ79=0),G79,0)</f>
        <v>0</v>
      </c>
      <c r="BM79" s="193">
        <f>IF(AND(Input_Product=Elig!$C79,Elig_MatchAll_Ct&lt;22,$BC79=(Elig_MatchAll_Ct-1),AK79=0),H79,0)</f>
        <v>0</v>
      </c>
      <c r="BN79" s="193">
        <f>IF(AND(Input_Product=Elig!$C79,Elig_MatchAll_Ct&lt;22,$BC79=(Elig_MatchAll_Ct-1),AL79=0),I79,0)</f>
        <v>0</v>
      </c>
      <c r="BO79" s="193">
        <f>IF(AND(Input_Product=Elig!$C79,Elig_MatchAll_Ct&lt;22,$BC79=(Elig_MatchAll_Ct-1),AM79=0),J79,0)</f>
        <v>0</v>
      </c>
      <c r="BP79" s="193">
        <f>IF(AND(Input_Product=Elig!$C79,Elig_MatchAll_Ct&lt;22,$BC79=(Elig_MatchAll_Ct-1),AN79=0),K79,0)</f>
        <v>0</v>
      </c>
      <c r="BQ79" s="193">
        <f>IF(AND(Input_Product=Elig!$C79,Elig_MatchAll_Ct&lt;22,$BC79=(Elig_MatchAll_Ct-1),AP79=0),L79,0)</f>
        <v>0</v>
      </c>
      <c r="BR79" s="193">
        <f>IF(AND(Input_Product=Elig!$C79,Elig_MatchAll_Ct&lt;22,$BC79=(Elig_MatchAll_Ct-1),AO79=0),M79,0)</f>
        <v>0</v>
      </c>
      <c r="BS79" s="193">
        <f>IF(AND(Input_Product=Elig!$C79,Elig_MatchAll_Ct&lt;22,$BC79=(Elig_MatchAll_Ct-1),AQ79=0),N79,0)</f>
        <v>0</v>
      </c>
      <c r="BT79" s="193">
        <f>IF(AND(Input_Product=Elig!$C79,Elig_MatchAll_Ct&lt;22,$BC79=(Elig_MatchAll_Ct-1),AR79=0),O79,0)</f>
        <v>0</v>
      </c>
      <c r="BU79" s="193">
        <f>IF(AND(Input_Product=Elig!$C79,Elig_MatchAll_Ct&lt;22,$BC79=(Elig_MatchAll_Ct-1),AS79=0),P79,0)</f>
        <v>0</v>
      </c>
      <c r="BV79" s="194">
        <f>IF(AND(Input_Product=Elig!$C79,Elig_MatchAll_Ct&lt;22,$BC79=(Elig_MatchAll_Ct-1),AT79=0),Q79,0)</f>
        <v>0</v>
      </c>
      <c r="BW79" s="195">
        <f>IF(AND(Input_Product=Elig!$C79,Elig_MatchAll_Ct&lt;22,$BC79=(Elig_MatchAll_Ct-1),AU79=0),R79,0)</f>
        <v>0</v>
      </c>
      <c r="BX79" s="196">
        <f>IF(AND(Input_Product=Elig!$C79,Elig_MatchAll_Ct&lt;22,$BC79=(Elig_MatchAll_Ct-1),AU79=0),S79,0)</f>
        <v>0</v>
      </c>
      <c r="BY79" s="195">
        <f>IF(AND(Input_Product=Elig!$C79,Elig_MatchAll_Ct&lt;22,$BC79=(Elig_MatchAll_Ct-1),AV79=0),T79,0)</f>
        <v>0</v>
      </c>
      <c r="BZ79" s="196">
        <f>IF(AND(Input_Product=Elig!$C79,Elig_MatchAll_Ct&lt;22,$BC79=(Elig_MatchAll_Ct-1),AV79=0),U79,0)</f>
        <v>0</v>
      </c>
      <c r="CA79" s="195">
        <f>IF(AND(Input_Product=Elig!$C79,Elig_MatchAll_Ct&lt;22,$BC79=(Elig_MatchAll_Ct-1),AW79=0),V79,0)</f>
        <v>0</v>
      </c>
      <c r="CB79" s="196">
        <f>IF(AND(Input_Product=Elig!$C79,Elig_MatchAll_Ct&lt;22,$BC79=(Elig_MatchAll_Ct-1),AW79=0),W79,0)</f>
        <v>0</v>
      </c>
      <c r="CC79" s="195">
        <f>IF(AND(Input_Product=Elig!$C79,Elig_MatchAll_Ct&lt;22,$BC79=(Elig_MatchAll_Ct-1),AX79=0),X79,0)</f>
        <v>0</v>
      </c>
      <c r="CD79" s="196">
        <f>IF(AND(Input_Product=Elig!$C79,Elig_MatchAll_Ct&lt;22,$BC79=(Elig_MatchAll_Ct-1),AX79=0),Y79,0)</f>
        <v>0</v>
      </c>
      <c r="CE79" s="195">
        <f>IF(AND(Input_LTV&lt;=AE79,Input_Product=Elig!$C79,Elig_MatchAll_Ct&lt;22,$BC79=(Elig_MatchAll_Ct-1),AY79=0),Z79,0)</f>
        <v>0</v>
      </c>
      <c r="CF79" s="196">
        <f>IF(AND(Input_LTV&lt;=AE79,Input_Product=Elig!$C79,Elig_MatchAll_Ct&lt;22,$BC79=(Elig_MatchAll_Ct-1),AY79=0),AA79,0)</f>
        <v>0</v>
      </c>
      <c r="CG79" s="195">
        <f>IF(AND(Input_Product=Elig!$C79,Elig_MatchAll_Ct&lt;22,$BC79=(Elig_MatchAll_Ct-1),AZ79=0),AB79,0)</f>
        <v>0</v>
      </c>
      <c r="CH79" s="196">
        <f>IF(AND(Input_Product=Elig!$C79,Elig_MatchAll_Ct&lt;22,$BC79=(Elig_MatchAll_Ct-1),AZ79=0),AC79,0)</f>
        <v>0</v>
      </c>
      <c r="CI79" s="195">
        <f>IF(AND(Input_Product=Elig!$C79,Elig_MatchAll_Ct&lt;22,$BC79=(Elig_MatchAll_Ct-1),BA79=0),AD79,0)</f>
        <v>0</v>
      </c>
      <c r="CJ79" s="197">
        <f>IF(AND(Input_Product=Elig!$C79,Elig_MatchAll_Ct&lt;22,$BC79=(Elig_MatchAll_Ct-1),BA79=0),AE79,0)</f>
        <v>0</v>
      </c>
    </row>
    <row r="80" spans="2:88" ht="10.15" customHeight="1" x14ac:dyDescent="0.25">
      <c r="B80" s="1912" t="s">
        <v>834</v>
      </c>
      <c r="C80" s="134" t="str">
        <f t="shared" si="1"/>
        <v>NonQM OO</v>
      </c>
      <c r="D80" s="135" t="s">
        <v>3885</v>
      </c>
      <c r="E80" s="135" t="s">
        <v>167</v>
      </c>
      <c r="F80" s="135" t="s">
        <v>331</v>
      </c>
      <c r="G80" s="135" t="s">
        <v>304</v>
      </c>
      <c r="H80" s="135" t="s">
        <v>446</v>
      </c>
      <c r="I80" s="136" t="s">
        <v>274</v>
      </c>
      <c r="J80" s="136" t="s">
        <v>1311</v>
      </c>
      <c r="K80" s="136" t="s">
        <v>1631</v>
      </c>
      <c r="L80" s="221" t="s">
        <v>3920</v>
      </c>
      <c r="M80" s="135" t="s">
        <v>4203</v>
      </c>
      <c r="N80" s="135" t="s">
        <v>82</v>
      </c>
      <c r="O80" s="135" t="s">
        <v>310</v>
      </c>
      <c r="P80" s="135" t="s">
        <v>291</v>
      </c>
      <c r="Q80" s="135" t="s">
        <v>294</v>
      </c>
      <c r="R80" s="135">
        <v>1000000.01</v>
      </c>
      <c r="S80" s="135">
        <v>1500000</v>
      </c>
      <c r="T80" s="135">
        <v>0</v>
      </c>
      <c r="U80" s="135">
        <v>0</v>
      </c>
      <c r="V80" s="135">
        <v>0</v>
      </c>
      <c r="W80" s="135">
        <v>55</v>
      </c>
      <c r="X80" s="135">
        <v>0</v>
      </c>
      <c r="Y80" s="135">
        <v>999</v>
      </c>
      <c r="Z80" s="137">
        <v>700</v>
      </c>
      <c r="AA80" s="137">
        <v>719</v>
      </c>
      <c r="AB80" s="137">
        <v>6</v>
      </c>
      <c r="AC80" s="137">
        <v>999999</v>
      </c>
      <c r="AD80" s="135">
        <v>0</v>
      </c>
      <c r="AE80" s="221">
        <v>90</v>
      </c>
      <c r="AF80" s="170">
        <v>0</v>
      </c>
      <c r="AG80" s="171">
        <v>1</v>
      </c>
      <c r="AH80" s="171">
        <v>1</v>
      </c>
      <c r="AI80" s="171">
        <v>1</v>
      </c>
      <c r="AJ80" s="171">
        <v>0</v>
      </c>
      <c r="AK80" s="171">
        <v>0</v>
      </c>
      <c r="AL80" s="171">
        <v>0</v>
      </c>
      <c r="AM80" s="171">
        <v>1</v>
      </c>
      <c r="AN80" s="171">
        <v>1</v>
      </c>
      <c r="AO80" s="171">
        <v>1</v>
      </c>
      <c r="AP80" s="171">
        <v>1</v>
      </c>
      <c r="AQ80" s="171">
        <v>1</v>
      </c>
      <c r="AR80" s="171">
        <v>1</v>
      </c>
      <c r="AS80" s="171">
        <v>1</v>
      </c>
      <c r="AT80" s="171">
        <v>1</v>
      </c>
      <c r="AU80" s="171">
        <f t="shared" si="24"/>
        <v>0</v>
      </c>
      <c r="AV80" s="171">
        <f t="shared" si="25"/>
        <v>0</v>
      </c>
      <c r="AW80" s="171">
        <f t="shared" si="26"/>
        <v>1</v>
      </c>
      <c r="AX80" s="171">
        <f t="shared" si="5"/>
        <v>1</v>
      </c>
      <c r="AY80" s="171">
        <f t="shared" si="27"/>
        <v>0</v>
      </c>
      <c r="AZ80" s="171">
        <f t="shared" si="28"/>
        <v>1</v>
      </c>
      <c r="BA80" s="172">
        <f t="shared" si="29"/>
        <v>1</v>
      </c>
      <c r="BB80" s="175">
        <f t="shared" si="31"/>
        <v>15</v>
      </c>
      <c r="BC80" s="176">
        <f t="shared" si="32"/>
        <v>14</v>
      </c>
      <c r="BD80" s="176">
        <f t="shared" si="33"/>
        <v>15</v>
      </c>
      <c r="BE80" s="240" t="str">
        <f t="shared" si="30"/>
        <v/>
      </c>
      <c r="BH80" s="198">
        <f>IF(AND(Input_Product=Elig!$C80,Elig_MatchAll_Ct&lt;22,$BC80=(Elig_MatchAll_Ct-1),AF80=0),C80,0)</f>
        <v>0</v>
      </c>
      <c r="BI80" s="199">
        <f>IF(AND(Input_Product=Elig!$C80,Elig_MatchAll_Ct&lt;22,$BC80=(Elig_MatchAll_Ct-1),AG80=0),D80,0)</f>
        <v>0</v>
      </c>
      <c r="BJ80" s="199">
        <f>IF(AND(Input_Product=Elig!$C80,Elig_MatchAll_Ct&lt;22,$BC80=(Elig_MatchAll_Ct-1),AH80=0),E80,0)</f>
        <v>0</v>
      </c>
      <c r="BK80" s="199">
        <f>IF(AND(Input_Product=Elig!$C80,Elig_MatchAll_Ct&lt;22,$BC80=(Elig_MatchAll_Ct-1),AI80=0),F80,0)</f>
        <v>0</v>
      </c>
      <c r="BL80" s="199">
        <f>IF(AND(Input_Product=Elig!$C80,Elig_MatchAll_Ct&lt;22,$BC80=(Elig_MatchAll_Ct-1),AJ80=0),G80,0)</f>
        <v>0</v>
      </c>
      <c r="BM80" s="199">
        <f>IF(AND(Input_Product=Elig!$C80,Elig_MatchAll_Ct&lt;22,$BC80=(Elig_MatchAll_Ct-1),AK80=0),H80,0)</f>
        <v>0</v>
      </c>
      <c r="BN80" s="199">
        <f>IF(AND(Input_Product=Elig!$C80,Elig_MatchAll_Ct&lt;22,$BC80=(Elig_MatchAll_Ct-1),AL80=0),I80,0)</f>
        <v>0</v>
      </c>
      <c r="BO80" s="199">
        <f>IF(AND(Input_Product=Elig!$C80,Elig_MatchAll_Ct&lt;22,$BC80=(Elig_MatchAll_Ct-1),AM80=0),J80,0)</f>
        <v>0</v>
      </c>
      <c r="BP80" s="199">
        <f>IF(AND(Input_Product=Elig!$C80,Elig_MatchAll_Ct&lt;22,$BC80=(Elig_MatchAll_Ct-1),AN80=0),K80,0)</f>
        <v>0</v>
      </c>
      <c r="BQ80" s="199">
        <f>IF(AND(Input_Product=Elig!$C80,Elig_MatchAll_Ct&lt;22,$BC80=(Elig_MatchAll_Ct-1),AP80=0),L80,0)</f>
        <v>0</v>
      </c>
      <c r="BR80" s="199">
        <f>IF(AND(Input_Product=Elig!$C80,Elig_MatchAll_Ct&lt;22,$BC80=(Elig_MatchAll_Ct-1),AO80=0),M80,0)</f>
        <v>0</v>
      </c>
      <c r="BS80" s="199">
        <f>IF(AND(Input_Product=Elig!$C80,Elig_MatchAll_Ct&lt;22,$BC80=(Elig_MatchAll_Ct-1),AQ80=0),N80,0)</f>
        <v>0</v>
      </c>
      <c r="BT80" s="199">
        <f>IF(AND(Input_Product=Elig!$C80,Elig_MatchAll_Ct&lt;22,$BC80=(Elig_MatchAll_Ct-1),AR80=0),O80,0)</f>
        <v>0</v>
      </c>
      <c r="BU80" s="199">
        <f>IF(AND(Input_Product=Elig!$C80,Elig_MatchAll_Ct&lt;22,$BC80=(Elig_MatchAll_Ct-1),AS80=0),P80,0)</f>
        <v>0</v>
      </c>
      <c r="BV80" s="200">
        <f>IF(AND(Input_Product=Elig!$C80,Elig_MatchAll_Ct&lt;22,$BC80=(Elig_MatchAll_Ct-1),AT80=0),Q80,0)</f>
        <v>0</v>
      </c>
      <c r="BW80" s="201">
        <f>IF(AND(Input_Product=Elig!$C80,Elig_MatchAll_Ct&lt;22,$BC80=(Elig_MatchAll_Ct-1),AU80=0),R80,0)</f>
        <v>0</v>
      </c>
      <c r="BX80" s="202">
        <f>IF(AND(Input_Product=Elig!$C80,Elig_MatchAll_Ct&lt;22,$BC80=(Elig_MatchAll_Ct-1),AU80=0),S80,0)</f>
        <v>0</v>
      </c>
      <c r="BY80" s="201">
        <f>IF(AND(Input_Product=Elig!$C80,Elig_MatchAll_Ct&lt;22,$BC80=(Elig_MatchAll_Ct-1),AV80=0),T80,0)</f>
        <v>0</v>
      </c>
      <c r="BZ80" s="202">
        <f>IF(AND(Input_Product=Elig!$C80,Elig_MatchAll_Ct&lt;22,$BC80=(Elig_MatchAll_Ct-1),AV80=0),U80,0)</f>
        <v>0</v>
      </c>
      <c r="CA80" s="201">
        <f>IF(AND(Input_Product=Elig!$C80,Elig_MatchAll_Ct&lt;22,$BC80=(Elig_MatchAll_Ct-1),AW80=0),V80,0)</f>
        <v>0</v>
      </c>
      <c r="CB80" s="202">
        <f>IF(AND(Input_Product=Elig!$C80,Elig_MatchAll_Ct&lt;22,$BC80=(Elig_MatchAll_Ct-1),AW80=0),W80,0)</f>
        <v>0</v>
      </c>
      <c r="CC80" s="201">
        <f>IF(AND(Input_Product=Elig!$C80,Elig_MatchAll_Ct&lt;22,$BC80=(Elig_MatchAll_Ct-1),AX80=0),X80,0)</f>
        <v>0</v>
      </c>
      <c r="CD80" s="202">
        <f>IF(AND(Input_Product=Elig!$C80,Elig_MatchAll_Ct&lt;22,$BC80=(Elig_MatchAll_Ct-1),AX80=0),Y80,0)</f>
        <v>0</v>
      </c>
      <c r="CE80" s="201">
        <f>IF(AND(Input_LTV&lt;=AE80,Input_Product=Elig!$C80,Elig_MatchAll_Ct&lt;22,$BC80=(Elig_MatchAll_Ct-1),AY80=0),Z80,0)</f>
        <v>0</v>
      </c>
      <c r="CF80" s="202">
        <f>IF(AND(Input_LTV&lt;=AE80,Input_Product=Elig!$C80,Elig_MatchAll_Ct&lt;22,$BC80=(Elig_MatchAll_Ct-1),AY80=0),AA80,0)</f>
        <v>0</v>
      </c>
      <c r="CG80" s="201">
        <f>IF(AND(Input_Product=Elig!$C80,Elig_MatchAll_Ct&lt;22,$BC80=(Elig_MatchAll_Ct-1),AZ80=0),AB80,0)</f>
        <v>0</v>
      </c>
      <c r="CH80" s="202">
        <f>IF(AND(Input_Product=Elig!$C80,Elig_MatchAll_Ct&lt;22,$BC80=(Elig_MatchAll_Ct-1),AZ80=0),AC80,0)</f>
        <v>0</v>
      </c>
      <c r="CI80" s="201">
        <f>IF(AND(Input_Product=Elig!$C80,Elig_MatchAll_Ct&lt;22,$BC80=(Elig_MatchAll_Ct-1),BA80=0),AD80,0)</f>
        <v>0</v>
      </c>
      <c r="CJ80" s="203">
        <f>IF(AND(Input_Product=Elig!$C80,Elig_MatchAll_Ct&lt;22,$BC80=(Elig_MatchAll_Ct-1),BA80=0),AE80,0)</f>
        <v>0</v>
      </c>
    </row>
    <row r="81" spans="2:88" ht="10.15" customHeight="1" x14ac:dyDescent="0.25">
      <c r="B81" s="1912" t="s">
        <v>835</v>
      </c>
      <c r="C81" s="134" t="str">
        <f t="shared" si="1"/>
        <v>NonQM OO</v>
      </c>
      <c r="D81" s="135" t="s">
        <v>3885</v>
      </c>
      <c r="E81" s="135" t="s">
        <v>167</v>
      </c>
      <c r="F81" s="135" t="s">
        <v>331</v>
      </c>
      <c r="G81" s="135" t="s">
        <v>304</v>
      </c>
      <c r="H81" s="135" t="s">
        <v>446</v>
      </c>
      <c r="I81" s="136" t="s">
        <v>274</v>
      </c>
      <c r="J81" s="136" t="s">
        <v>1311</v>
      </c>
      <c r="K81" s="136" t="s">
        <v>1631</v>
      </c>
      <c r="L81" s="221" t="s">
        <v>3920</v>
      </c>
      <c r="M81" s="135" t="s">
        <v>4203</v>
      </c>
      <c r="N81" s="135" t="s">
        <v>82</v>
      </c>
      <c r="O81" s="135" t="s">
        <v>310</v>
      </c>
      <c r="P81" s="135" t="s">
        <v>291</v>
      </c>
      <c r="Q81" s="135" t="s">
        <v>294</v>
      </c>
      <c r="R81" s="135">
        <v>1000000.01</v>
      </c>
      <c r="S81" s="135">
        <v>1500000</v>
      </c>
      <c r="T81" s="135">
        <v>0</v>
      </c>
      <c r="U81" s="135">
        <v>0</v>
      </c>
      <c r="V81" s="135">
        <v>0</v>
      </c>
      <c r="W81" s="135">
        <v>55</v>
      </c>
      <c r="X81" s="135">
        <v>0</v>
      </c>
      <c r="Y81" s="135">
        <v>999</v>
      </c>
      <c r="Z81" s="137">
        <v>680</v>
      </c>
      <c r="AA81" s="137">
        <v>699</v>
      </c>
      <c r="AB81" s="137">
        <v>6</v>
      </c>
      <c r="AC81" s="137">
        <v>999999</v>
      </c>
      <c r="AD81" s="135">
        <v>0</v>
      </c>
      <c r="AE81" s="135">
        <v>85</v>
      </c>
      <c r="AF81" s="170">
        <v>0</v>
      </c>
      <c r="AG81" s="171">
        <v>1</v>
      </c>
      <c r="AH81" s="171">
        <v>1</v>
      </c>
      <c r="AI81" s="171">
        <v>1</v>
      </c>
      <c r="AJ81" s="171">
        <v>0</v>
      </c>
      <c r="AK81" s="171">
        <v>0</v>
      </c>
      <c r="AL81" s="171">
        <v>0</v>
      </c>
      <c r="AM81" s="171">
        <v>1</v>
      </c>
      <c r="AN81" s="171">
        <v>1</v>
      </c>
      <c r="AO81" s="171">
        <v>1</v>
      </c>
      <c r="AP81" s="171">
        <v>1</v>
      </c>
      <c r="AQ81" s="171">
        <v>1</v>
      </c>
      <c r="AR81" s="171">
        <v>1</v>
      </c>
      <c r="AS81" s="171">
        <v>1</v>
      </c>
      <c r="AT81" s="171">
        <v>1</v>
      </c>
      <c r="AU81" s="171">
        <f t="shared" si="24"/>
        <v>0</v>
      </c>
      <c r="AV81" s="171">
        <f t="shared" si="25"/>
        <v>0</v>
      </c>
      <c r="AW81" s="171">
        <f t="shared" si="26"/>
        <v>1</v>
      </c>
      <c r="AX81" s="171">
        <f t="shared" si="5"/>
        <v>1</v>
      </c>
      <c r="AY81" s="171">
        <f t="shared" si="27"/>
        <v>0</v>
      </c>
      <c r="AZ81" s="171">
        <f t="shared" si="28"/>
        <v>1</v>
      </c>
      <c r="BA81" s="172">
        <f t="shared" si="29"/>
        <v>1</v>
      </c>
      <c r="BB81" s="175">
        <f t="shared" si="31"/>
        <v>15</v>
      </c>
      <c r="BC81" s="176">
        <f t="shared" si="32"/>
        <v>14</v>
      </c>
      <c r="BD81" s="176">
        <f t="shared" si="33"/>
        <v>15</v>
      </c>
      <c r="BE81" s="240" t="str">
        <f t="shared" si="30"/>
        <v/>
      </c>
      <c r="BH81" s="198">
        <f>IF(AND(Input_Product=Elig!$C81,Elig_MatchAll_Ct&lt;22,$BC81=(Elig_MatchAll_Ct-1),AF81=0),C81,0)</f>
        <v>0</v>
      </c>
      <c r="BI81" s="199">
        <f>IF(AND(Input_Product=Elig!$C81,Elig_MatchAll_Ct&lt;22,$BC81=(Elig_MatchAll_Ct-1),AG81=0),D81,0)</f>
        <v>0</v>
      </c>
      <c r="BJ81" s="199">
        <f>IF(AND(Input_Product=Elig!$C81,Elig_MatchAll_Ct&lt;22,$BC81=(Elig_MatchAll_Ct-1),AH81=0),E81,0)</f>
        <v>0</v>
      </c>
      <c r="BK81" s="199">
        <f>IF(AND(Input_Product=Elig!$C81,Elig_MatchAll_Ct&lt;22,$BC81=(Elig_MatchAll_Ct-1),AI81=0),F81,0)</f>
        <v>0</v>
      </c>
      <c r="BL81" s="199">
        <f>IF(AND(Input_Product=Elig!$C81,Elig_MatchAll_Ct&lt;22,$BC81=(Elig_MatchAll_Ct-1),AJ81=0),G81,0)</f>
        <v>0</v>
      </c>
      <c r="BM81" s="199">
        <f>IF(AND(Input_Product=Elig!$C81,Elig_MatchAll_Ct&lt;22,$BC81=(Elig_MatchAll_Ct-1),AK81=0),H81,0)</f>
        <v>0</v>
      </c>
      <c r="BN81" s="199">
        <f>IF(AND(Input_Product=Elig!$C81,Elig_MatchAll_Ct&lt;22,$BC81=(Elig_MatchAll_Ct-1),AL81=0),I81,0)</f>
        <v>0</v>
      </c>
      <c r="BO81" s="199">
        <f>IF(AND(Input_Product=Elig!$C81,Elig_MatchAll_Ct&lt;22,$BC81=(Elig_MatchAll_Ct-1),AM81=0),J81,0)</f>
        <v>0</v>
      </c>
      <c r="BP81" s="199">
        <f>IF(AND(Input_Product=Elig!$C81,Elig_MatchAll_Ct&lt;22,$BC81=(Elig_MatchAll_Ct-1),AN81=0),K81,0)</f>
        <v>0</v>
      </c>
      <c r="BQ81" s="199">
        <f>IF(AND(Input_Product=Elig!$C81,Elig_MatchAll_Ct&lt;22,$BC81=(Elig_MatchAll_Ct-1),AP81=0),L81,0)</f>
        <v>0</v>
      </c>
      <c r="BR81" s="199">
        <f>IF(AND(Input_Product=Elig!$C81,Elig_MatchAll_Ct&lt;22,$BC81=(Elig_MatchAll_Ct-1),AO81=0),M81,0)</f>
        <v>0</v>
      </c>
      <c r="BS81" s="199">
        <f>IF(AND(Input_Product=Elig!$C81,Elig_MatchAll_Ct&lt;22,$BC81=(Elig_MatchAll_Ct-1),AQ81=0),N81,0)</f>
        <v>0</v>
      </c>
      <c r="BT81" s="199">
        <f>IF(AND(Input_Product=Elig!$C81,Elig_MatchAll_Ct&lt;22,$BC81=(Elig_MatchAll_Ct-1),AR81=0),O81,0)</f>
        <v>0</v>
      </c>
      <c r="BU81" s="199">
        <f>IF(AND(Input_Product=Elig!$C81,Elig_MatchAll_Ct&lt;22,$BC81=(Elig_MatchAll_Ct-1),AS81=0),P81,0)</f>
        <v>0</v>
      </c>
      <c r="BV81" s="200">
        <f>IF(AND(Input_Product=Elig!$C81,Elig_MatchAll_Ct&lt;22,$BC81=(Elig_MatchAll_Ct-1),AT81=0),Q81,0)</f>
        <v>0</v>
      </c>
      <c r="BW81" s="201">
        <f>IF(AND(Input_Product=Elig!$C81,Elig_MatchAll_Ct&lt;22,$BC81=(Elig_MatchAll_Ct-1),AU81=0),R81,0)</f>
        <v>0</v>
      </c>
      <c r="BX81" s="202">
        <f>IF(AND(Input_Product=Elig!$C81,Elig_MatchAll_Ct&lt;22,$BC81=(Elig_MatchAll_Ct-1),AU81=0),S81,0)</f>
        <v>0</v>
      </c>
      <c r="BY81" s="201">
        <f>IF(AND(Input_Product=Elig!$C81,Elig_MatchAll_Ct&lt;22,$BC81=(Elig_MatchAll_Ct-1),AV81=0),T81,0)</f>
        <v>0</v>
      </c>
      <c r="BZ81" s="202">
        <f>IF(AND(Input_Product=Elig!$C81,Elig_MatchAll_Ct&lt;22,$BC81=(Elig_MatchAll_Ct-1),AV81=0),U81,0)</f>
        <v>0</v>
      </c>
      <c r="CA81" s="201">
        <f>IF(AND(Input_Product=Elig!$C81,Elig_MatchAll_Ct&lt;22,$BC81=(Elig_MatchAll_Ct-1),AW81=0),V81,0)</f>
        <v>0</v>
      </c>
      <c r="CB81" s="202">
        <f>IF(AND(Input_Product=Elig!$C81,Elig_MatchAll_Ct&lt;22,$BC81=(Elig_MatchAll_Ct-1),AW81=0),W81,0)</f>
        <v>0</v>
      </c>
      <c r="CC81" s="201">
        <f>IF(AND(Input_Product=Elig!$C81,Elig_MatchAll_Ct&lt;22,$BC81=(Elig_MatchAll_Ct-1),AX81=0),X81,0)</f>
        <v>0</v>
      </c>
      <c r="CD81" s="202">
        <f>IF(AND(Input_Product=Elig!$C81,Elig_MatchAll_Ct&lt;22,$BC81=(Elig_MatchAll_Ct-1),AX81=0),Y81,0)</f>
        <v>0</v>
      </c>
      <c r="CE81" s="201">
        <f>IF(AND(Input_LTV&lt;=AE81,Input_Product=Elig!$C81,Elig_MatchAll_Ct&lt;22,$BC81=(Elig_MatchAll_Ct-1),AY81=0),Z81,0)</f>
        <v>0</v>
      </c>
      <c r="CF81" s="202">
        <f>IF(AND(Input_LTV&lt;=AE81,Input_Product=Elig!$C81,Elig_MatchAll_Ct&lt;22,$BC81=(Elig_MatchAll_Ct-1),AY81=0),AA81,0)</f>
        <v>0</v>
      </c>
      <c r="CG81" s="201">
        <f>IF(AND(Input_Product=Elig!$C81,Elig_MatchAll_Ct&lt;22,$BC81=(Elig_MatchAll_Ct-1),AZ81=0),AB81,0)</f>
        <v>0</v>
      </c>
      <c r="CH81" s="202">
        <f>IF(AND(Input_Product=Elig!$C81,Elig_MatchAll_Ct&lt;22,$BC81=(Elig_MatchAll_Ct-1),AZ81=0),AC81,0)</f>
        <v>0</v>
      </c>
      <c r="CI81" s="201">
        <f>IF(AND(Input_Product=Elig!$C81,Elig_MatchAll_Ct&lt;22,$BC81=(Elig_MatchAll_Ct-1),BA81=0),AD81,0)</f>
        <v>0</v>
      </c>
      <c r="CJ81" s="203">
        <f>IF(AND(Input_Product=Elig!$C81,Elig_MatchAll_Ct&lt;22,$BC81=(Elig_MatchAll_Ct-1),BA81=0),AE81,0)</f>
        <v>0</v>
      </c>
    </row>
    <row r="82" spans="2:88" ht="10.15" customHeight="1" x14ac:dyDescent="0.25">
      <c r="B82" s="1912" t="s">
        <v>836</v>
      </c>
      <c r="C82" s="134" t="str">
        <f t="shared" si="1"/>
        <v>NonQM OO</v>
      </c>
      <c r="D82" s="135" t="s">
        <v>3885</v>
      </c>
      <c r="E82" s="135" t="s">
        <v>167</v>
      </c>
      <c r="F82" s="135" t="s">
        <v>331</v>
      </c>
      <c r="G82" s="135" t="s">
        <v>304</v>
      </c>
      <c r="H82" s="135" t="s">
        <v>446</v>
      </c>
      <c r="I82" s="135" t="s">
        <v>274</v>
      </c>
      <c r="J82" s="135" t="s">
        <v>1311</v>
      </c>
      <c r="K82" s="135" t="s">
        <v>1631</v>
      </c>
      <c r="L82" s="221" t="s">
        <v>3920</v>
      </c>
      <c r="M82" s="135" t="s">
        <v>4203</v>
      </c>
      <c r="N82" s="135" t="s">
        <v>82</v>
      </c>
      <c r="O82" s="135" t="s">
        <v>310</v>
      </c>
      <c r="P82" s="135" t="s">
        <v>291</v>
      </c>
      <c r="Q82" s="135" t="s">
        <v>294</v>
      </c>
      <c r="R82" s="135">
        <v>1000000.01</v>
      </c>
      <c r="S82" s="135">
        <v>1500000</v>
      </c>
      <c r="T82" s="135">
        <v>0</v>
      </c>
      <c r="U82" s="135">
        <v>0</v>
      </c>
      <c r="V82" s="135">
        <v>0</v>
      </c>
      <c r="W82" s="135">
        <v>55</v>
      </c>
      <c r="X82" s="135">
        <v>0</v>
      </c>
      <c r="Y82" s="135">
        <v>999</v>
      </c>
      <c r="Z82" s="137">
        <v>660</v>
      </c>
      <c r="AA82" s="137">
        <v>679</v>
      </c>
      <c r="AB82" s="137">
        <v>6</v>
      </c>
      <c r="AC82" s="137">
        <v>999999</v>
      </c>
      <c r="AD82" s="135">
        <v>0</v>
      </c>
      <c r="AE82" s="135">
        <v>80</v>
      </c>
      <c r="AF82" s="170">
        <v>0</v>
      </c>
      <c r="AG82" s="171">
        <v>1</v>
      </c>
      <c r="AH82" s="171">
        <v>1</v>
      </c>
      <c r="AI82" s="171">
        <v>1</v>
      </c>
      <c r="AJ82" s="171">
        <v>0</v>
      </c>
      <c r="AK82" s="171">
        <v>0</v>
      </c>
      <c r="AL82" s="171">
        <v>0</v>
      </c>
      <c r="AM82" s="171">
        <v>1</v>
      </c>
      <c r="AN82" s="171">
        <v>1</v>
      </c>
      <c r="AO82" s="171">
        <v>1</v>
      </c>
      <c r="AP82" s="171">
        <v>1</v>
      </c>
      <c r="AQ82" s="171">
        <v>1</v>
      </c>
      <c r="AR82" s="171">
        <v>1</v>
      </c>
      <c r="AS82" s="171">
        <v>1</v>
      </c>
      <c r="AT82" s="171">
        <v>1</v>
      </c>
      <c r="AU82" s="171">
        <f t="shared" si="24"/>
        <v>0</v>
      </c>
      <c r="AV82" s="171">
        <f t="shared" si="25"/>
        <v>0</v>
      </c>
      <c r="AW82" s="171">
        <f t="shared" si="26"/>
        <v>1</v>
      </c>
      <c r="AX82" s="171">
        <f t="shared" si="5"/>
        <v>1</v>
      </c>
      <c r="AY82" s="171">
        <f t="shared" si="27"/>
        <v>0</v>
      </c>
      <c r="AZ82" s="171">
        <f t="shared" si="28"/>
        <v>1</v>
      </c>
      <c r="BA82" s="172">
        <f t="shared" si="29"/>
        <v>1</v>
      </c>
      <c r="BB82" s="175">
        <f t="shared" si="31"/>
        <v>15</v>
      </c>
      <c r="BC82" s="176">
        <f t="shared" si="32"/>
        <v>14</v>
      </c>
      <c r="BD82" s="176">
        <f t="shared" si="33"/>
        <v>15</v>
      </c>
      <c r="BE82" s="240" t="str">
        <f t="shared" si="30"/>
        <v/>
      </c>
      <c r="BH82" s="198">
        <f>IF(AND(Input_Product=Elig!$C82,Elig_MatchAll_Ct&lt;22,$BC82=(Elig_MatchAll_Ct-1),AF82=0),C82,0)</f>
        <v>0</v>
      </c>
      <c r="BI82" s="199">
        <f>IF(AND(Input_Product=Elig!$C82,Elig_MatchAll_Ct&lt;22,$BC82=(Elig_MatchAll_Ct-1),AG82=0),D82,0)</f>
        <v>0</v>
      </c>
      <c r="BJ82" s="199">
        <f>IF(AND(Input_Product=Elig!$C82,Elig_MatchAll_Ct&lt;22,$BC82=(Elig_MatchAll_Ct-1),AH82=0),E82,0)</f>
        <v>0</v>
      </c>
      <c r="BK82" s="199">
        <f>IF(AND(Input_Product=Elig!$C82,Elig_MatchAll_Ct&lt;22,$BC82=(Elig_MatchAll_Ct-1),AI82=0),F82,0)</f>
        <v>0</v>
      </c>
      <c r="BL82" s="199">
        <f>IF(AND(Input_Product=Elig!$C82,Elig_MatchAll_Ct&lt;22,$BC82=(Elig_MatchAll_Ct-1),AJ82=0),G82,0)</f>
        <v>0</v>
      </c>
      <c r="BM82" s="199">
        <f>IF(AND(Input_Product=Elig!$C82,Elig_MatchAll_Ct&lt;22,$BC82=(Elig_MatchAll_Ct-1),AK82=0),H82,0)</f>
        <v>0</v>
      </c>
      <c r="BN82" s="199">
        <f>IF(AND(Input_Product=Elig!$C82,Elig_MatchAll_Ct&lt;22,$BC82=(Elig_MatchAll_Ct-1),AL82=0),I82,0)</f>
        <v>0</v>
      </c>
      <c r="BO82" s="199">
        <f>IF(AND(Input_Product=Elig!$C82,Elig_MatchAll_Ct&lt;22,$BC82=(Elig_MatchAll_Ct-1),AM82=0),J82,0)</f>
        <v>0</v>
      </c>
      <c r="BP82" s="199">
        <f>IF(AND(Input_Product=Elig!$C82,Elig_MatchAll_Ct&lt;22,$BC82=(Elig_MatchAll_Ct-1),AN82=0),K82,0)</f>
        <v>0</v>
      </c>
      <c r="BQ82" s="199">
        <f>IF(AND(Input_Product=Elig!$C82,Elig_MatchAll_Ct&lt;22,$BC82=(Elig_MatchAll_Ct-1),AP82=0),L82,0)</f>
        <v>0</v>
      </c>
      <c r="BR82" s="199">
        <f>IF(AND(Input_Product=Elig!$C82,Elig_MatchAll_Ct&lt;22,$BC82=(Elig_MatchAll_Ct-1),AO82=0),M82,0)</f>
        <v>0</v>
      </c>
      <c r="BS82" s="199">
        <f>IF(AND(Input_Product=Elig!$C82,Elig_MatchAll_Ct&lt;22,$BC82=(Elig_MatchAll_Ct-1),AQ82=0),N82,0)</f>
        <v>0</v>
      </c>
      <c r="BT82" s="199">
        <f>IF(AND(Input_Product=Elig!$C82,Elig_MatchAll_Ct&lt;22,$BC82=(Elig_MatchAll_Ct-1),AR82=0),O82,0)</f>
        <v>0</v>
      </c>
      <c r="BU82" s="199">
        <f>IF(AND(Input_Product=Elig!$C82,Elig_MatchAll_Ct&lt;22,$BC82=(Elig_MatchAll_Ct-1),AS82=0),P82,0)</f>
        <v>0</v>
      </c>
      <c r="BV82" s="200">
        <f>IF(AND(Input_Product=Elig!$C82,Elig_MatchAll_Ct&lt;22,$BC82=(Elig_MatchAll_Ct-1),AT82=0),Q82,0)</f>
        <v>0</v>
      </c>
      <c r="BW82" s="201">
        <f>IF(AND(Input_Product=Elig!$C82,Elig_MatchAll_Ct&lt;22,$BC82=(Elig_MatchAll_Ct-1),AU82=0),R82,0)</f>
        <v>0</v>
      </c>
      <c r="BX82" s="202">
        <f>IF(AND(Input_Product=Elig!$C82,Elig_MatchAll_Ct&lt;22,$BC82=(Elig_MatchAll_Ct-1),AU82=0),S82,0)</f>
        <v>0</v>
      </c>
      <c r="BY82" s="201">
        <f>IF(AND(Input_Product=Elig!$C82,Elig_MatchAll_Ct&lt;22,$BC82=(Elig_MatchAll_Ct-1),AV82=0),T82,0)</f>
        <v>0</v>
      </c>
      <c r="BZ82" s="202">
        <f>IF(AND(Input_Product=Elig!$C82,Elig_MatchAll_Ct&lt;22,$BC82=(Elig_MatchAll_Ct-1),AV82=0),U82,0)</f>
        <v>0</v>
      </c>
      <c r="CA82" s="201">
        <f>IF(AND(Input_Product=Elig!$C82,Elig_MatchAll_Ct&lt;22,$BC82=(Elig_MatchAll_Ct-1),AW82=0),V82,0)</f>
        <v>0</v>
      </c>
      <c r="CB82" s="202">
        <f>IF(AND(Input_Product=Elig!$C82,Elig_MatchAll_Ct&lt;22,$BC82=(Elig_MatchAll_Ct-1),AW82=0),W82,0)</f>
        <v>0</v>
      </c>
      <c r="CC82" s="201">
        <f>IF(AND(Input_Product=Elig!$C82,Elig_MatchAll_Ct&lt;22,$BC82=(Elig_MatchAll_Ct-1),AX82=0),X82,0)</f>
        <v>0</v>
      </c>
      <c r="CD82" s="202">
        <f>IF(AND(Input_Product=Elig!$C82,Elig_MatchAll_Ct&lt;22,$BC82=(Elig_MatchAll_Ct-1),AX82=0),Y82,0)</f>
        <v>0</v>
      </c>
      <c r="CE82" s="201">
        <f>IF(AND(Input_LTV&lt;=AE82,Input_Product=Elig!$C82,Elig_MatchAll_Ct&lt;22,$BC82=(Elig_MatchAll_Ct-1),AY82=0),Z82,0)</f>
        <v>0</v>
      </c>
      <c r="CF82" s="202">
        <f>IF(AND(Input_LTV&lt;=AE82,Input_Product=Elig!$C82,Elig_MatchAll_Ct&lt;22,$BC82=(Elig_MatchAll_Ct-1),AY82=0),AA82,0)</f>
        <v>0</v>
      </c>
      <c r="CG82" s="201">
        <f>IF(AND(Input_Product=Elig!$C82,Elig_MatchAll_Ct&lt;22,$BC82=(Elig_MatchAll_Ct-1),AZ82=0),AB82,0)</f>
        <v>0</v>
      </c>
      <c r="CH82" s="202">
        <f>IF(AND(Input_Product=Elig!$C82,Elig_MatchAll_Ct&lt;22,$BC82=(Elig_MatchAll_Ct-1),AZ82=0),AC82,0)</f>
        <v>0</v>
      </c>
      <c r="CI82" s="201">
        <f>IF(AND(Input_Product=Elig!$C82,Elig_MatchAll_Ct&lt;22,$BC82=(Elig_MatchAll_Ct-1),BA82=0),AD82,0)</f>
        <v>0</v>
      </c>
      <c r="CJ82" s="203">
        <f>IF(AND(Input_Product=Elig!$C82,Elig_MatchAll_Ct&lt;22,$BC82=(Elig_MatchAll_Ct-1),BA82=0),AE82,0)</f>
        <v>0</v>
      </c>
    </row>
    <row r="83" spans="2:88" ht="10.15" customHeight="1" x14ac:dyDescent="0.25">
      <c r="B83" s="1912" t="s">
        <v>837</v>
      </c>
      <c r="C83" s="134" t="str">
        <f t="shared" ref="C83:C170" si="35">Input_Name_Product1</f>
        <v>NonQM OO</v>
      </c>
      <c r="D83" s="135" t="s">
        <v>3885</v>
      </c>
      <c r="E83" s="135" t="s">
        <v>167</v>
      </c>
      <c r="F83" s="135" t="s">
        <v>331</v>
      </c>
      <c r="G83" s="135" t="s">
        <v>304</v>
      </c>
      <c r="H83" s="135" t="s">
        <v>446</v>
      </c>
      <c r="I83" s="135" t="s">
        <v>274</v>
      </c>
      <c r="J83" s="135" t="s">
        <v>1311</v>
      </c>
      <c r="K83" s="135" t="s">
        <v>1631</v>
      </c>
      <c r="L83" s="221" t="s">
        <v>3920</v>
      </c>
      <c r="M83" s="135" t="s">
        <v>4203</v>
      </c>
      <c r="N83" s="135" t="s">
        <v>82</v>
      </c>
      <c r="O83" s="135" t="s">
        <v>310</v>
      </c>
      <c r="P83" s="135" t="s">
        <v>291</v>
      </c>
      <c r="Q83" s="135" t="s">
        <v>294</v>
      </c>
      <c r="R83" s="135">
        <v>1000000.01</v>
      </c>
      <c r="S83" s="135">
        <v>1500000</v>
      </c>
      <c r="T83" s="135">
        <v>0</v>
      </c>
      <c r="U83" s="135">
        <v>0</v>
      </c>
      <c r="V83" s="135">
        <v>0</v>
      </c>
      <c r="W83" s="135">
        <v>55</v>
      </c>
      <c r="X83" s="135">
        <v>0</v>
      </c>
      <c r="Y83" s="135">
        <v>999</v>
      </c>
      <c r="Z83" s="137">
        <v>640</v>
      </c>
      <c r="AA83" s="137">
        <v>659</v>
      </c>
      <c r="AB83" s="137">
        <v>6</v>
      </c>
      <c r="AC83" s="137">
        <v>999999</v>
      </c>
      <c r="AD83" s="135">
        <v>0</v>
      </c>
      <c r="AE83" s="135">
        <v>70</v>
      </c>
      <c r="AF83" s="170">
        <v>0</v>
      </c>
      <c r="AG83" s="171">
        <v>1</v>
      </c>
      <c r="AH83" s="171">
        <v>1</v>
      </c>
      <c r="AI83" s="171">
        <v>1</v>
      </c>
      <c r="AJ83" s="171">
        <v>0</v>
      </c>
      <c r="AK83" s="171">
        <v>0</v>
      </c>
      <c r="AL83" s="171">
        <v>0</v>
      </c>
      <c r="AM83" s="171">
        <v>1</v>
      </c>
      <c r="AN83" s="171">
        <v>1</v>
      </c>
      <c r="AO83" s="171">
        <v>1</v>
      </c>
      <c r="AP83" s="171">
        <v>1</v>
      </c>
      <c r="AQ83" s="171">
        <v>1</v>
      </c>
      <c r="AR83" s="171">
        <v>1</v>
      </c>
      <c r="AS83" s="171">
        <v>1</v>
      </c>
      <c r="AT83" s="171">
        <v>1</v>
      </c>
      <c r="AU83" s="171">
        <f t="shared" si="24"/>
        <v>0</v>
      </c>
      <c r="AV83" s="171">
        <f t="shared" si="25"/>
        <v>0</v>
      </c>
      <c r="AW83" s="171">
        <f t="shared" si="26"/>
        <v>1</v>
      </c>
      <c r="AX83" s="171">
        <f t="shared" si="5"/>
        <v>1</v>
      </c>
      <c r="AY83" s="171">
        <f t="shared" si="27"/>
        <v>0</v>
      </c>
      <c r="AZ83" s="171">
        <f t="shared" si="28"/>
        <v>1</v>
      </c>
      <c r="BA83" s="172">
        <f t="shared" si="29"/>
        <v>1</v>
      </c>
      <c r="BB83" s="175">
        <f t="shared" si="31"/>
        <v>15</v>
      </c>
      <c r="BC83" s="176">
        <f t="shared" si="32"/>
        <v>14</v>
      </c>
      <c r="BD83" s="176">
        <f t="shared" si="33"/>
        <v>15</v>
      </c>
      <c r="BE83" s="240" t="str">
        <f t="shared" si="30"/>
        <v/>
      </c>
      <c r="BH83" s="198">
        <f>IF(AND(Input_Product=Elig!$C83,Elig_MatchAll_Ct&lt;22,$BC83=(Elig_MatchAll_Ct-1),AF83=0),C83,0)</f>
        <v>0</v>
      </c>
      <c r="BI83" s="199">
        <f>IF(AND(Input_Product=Elig!$C83,Elig_MatchAll_Ct&lt;22,$BC83=(Elig_MatchAll_Ct-1),AG83=0),D83,0)</f>
        <v>0</v>
      </c>
      <c r="BJ83" s="199">
        <f>IF(AND(Input_Product=Elig!$C83,Elig_MatchAll_Ct&lt;22,$BC83=(Elig_MatchAll_Ct-1),AH83=0),E83,0)</f>
        <v>0</v>
      </c>
      <c r="BK83" s="199">
        <f>IF(AND(Input_Product=Elig!$C83,Elig_MatchAll_Ct&lt;22,$BC83=(Elig_MatchAll_Ct-1),AI83=0),F83,0)</f>
        <v>0</v>
      </c>
      <c r="BL83" s="199">
        <f>IF(AND(Input_Product=Elig!$C83,Elig_MatchAll_Ct&lt;22,$BC83=(Elig_MatchAll_Ct-1),AJ83=0),G83,0)</f>
        <v>0</v>
      </c>
      <c r="BM83" s="199">
        <f>IF(AND(Input_Product=Elig!$C83,Elig_MatchAll_Ct&lt;22,$BC83=(Elig_MatchAll_Ct-1),AK83=0),H83,0)</f>
        <v>0</v>
      </c>
      <c r="BN83" s="199">
        <f>IF(AND(Input_Product=Elig!$C83,Elig_MatchAll_Ct&lt;22,$BC83=(Elig_MatchAll_Ct-1),AL83=0),I83,0)</f>
        <v>0</v>
      </c>
      <c r="BO83" s="199">
        <f>IF(AND(Input_Product=Elig!$C83,Elig_MatchAll_Ct&lt;22,$BC83=(Elig_MatchAll_Ct-1),AM83=0),J83,0)</f>
        <v>0</v>
      </c>
      <c r="BP83" s="199">
        <f>IF(AND(Input_Product=Elig!$C83,Elig_MatchAll_Ct&lt;22,$BC83=(Elig_MatchAll_Ct-1),AN83=0),K83,0)</f>
        <v>0</v>
      </c>
      <c r="BQ83" s="199">
        <f>IF(AND(Input_Product=Elig!$C83,Elig_MatchAll_Ct&lt;22,$BC83=(Elig_MatchAll_Ct-1),AP83=0),L83,0)</f>
        <v>0</v>
      </c>
      <c r="BR83" s="199">
        <f>IF(AND(Input_Product=Elig!$C83,Elig_MatchAll_Ct&lt;22,$BC83=(Elig_MatchAll_Ct-1),AO83=0),M83,0)</f>
        <v>0</v>
      </c>
      <c r="BS83" s="199">
        <f>IF(AND(Input_Product=Elig!$C83,Elig_MatchAll_Ct&lt;22,$BC83=(Elig_MatchAll_Ct-1),AQ83=0),N83,0)</f>
        <v>0</v>
      </c>
      <c r="BT83" s="199">
        <f>IF(AND(Input_Product=Elig!$C83,Elig_MatchAll_Ct&lt;22,$BC83=(Elig_MatchAll_Ct-1),AR83=0),O83,0)</f>
        <v>0</v>
      </c>
      <c r="BU83" s="199">
        <f>IF(AND(Input_Product=Elig!$C83,Elig_MatchAll_Ct&lt;22,$BC83=(Elig_MatchAll_Ct-1),AS83=0),P83,0)</f>
        <v>0</v>
      </c>
      <c r="BV83" s="200">
        <f>IF(AND(Input_Product=Elig!$C83,Elig_MatchAll_Ct&lt;22,$BC83=(Elig_MatchAll_Ct-1),AT83=0),Q83,0)</f>
        <v>0</v>
      </c>
      <c r="BW83" s="201">
        <f>IF(AND(Input_Product=Elig!$C83,Elig_MatchAll_Ct&lt;22,$BC83=(Elig_MatchAll_Ct-1),AU83=0),R83,0)</f>
        <v>0</v>
      </c>
      <c r="BX83" s="202">
        <f>IF(AND(Input_Product=Elig!$C83,Elig_MatchAll_Ct&lt;22,$BC83=(Elig_MatchAll_Ct-1),AU83=0),S83,0)</f>
        <v>0</v>
      </c>
      <c r="BY83" s="201">
        <f>IF(AND(Input_Product=Elig!$C83,Elig_MatchAll_Ct&lt;22,$BC83=(Elig_MatchAll_Ct-1),AV83=0),T83,0)</f>
        <v>0</v>
      </c>
      <c r="BZ83" s="202">
        <f>IF(AND(Input_Product=Elig!$C83,Elig_MatchAll_Ct&lt;22,$BC83=(Elig_MatchAll_Ct-1),AV83=0),U83,0)</f>
        <v>0</v>
      </c>
      <c r="CA83" s="201">
        <f>IF(AND(Input_Product=Elig!$C83,Elig_MatchAll_Ct&lt;22,$BC83=(Elig_MatchAll_Ct-1),AW83=0),V83,0)</f>
        <v>0</v>
      </c>
      <c r="CB83" s="202">
        <f>IF(AND(Input_Product=Elig!$C83,Elig_MatchAll_Ct&lt;22,$BC83=(Elig_MatchAll_Ct-1),AW83=0),W83,0)</f>
        <v>0</v>
      </c>
      <c r="CC83" s="201">
        <f>IF(AND(Input_Product=Elig!$C83,Elig_MatchAll_Ct&lt;22,$BC83=(Elig_MatchAll_Ct-1),AX83=0),X83,0)</f>
        <v>0</v>
      </c>
      <c r="CD83" s="202">
        <f>IF(AND(Input_Product=Elig!$C83,Elig_MatchAll_Ct&lt;22,$BC83=(Elig_MatchAll_Ct-1),AX83=0),Y83,0)</f>
        <v>0</v>
      </c>
      <c r="CE83" s="201">
        <f>IF(AND(Input_LTV&lt;=AE83,Input_Product=Elig!$C83,Elig_MatchAll_Ct&lt;22,$BC83=(Elig_MatchAll_Ct-1),AY83=0),Z83,0)</f>
        <v>0</v>
      </c>
      <c r="CF83" s="202">
        <f>IF(AND(Input_LTV&lt;=AE83,Input_Product=Elig!$C83,Elig_MatchAll_Ct&lt;22,$BC83=(Elig_MatchAll_Ct-1),AY83=0),AA83,0)</f>
        <v>0</v>
      </c>
      <c r="CG83" s="201">
        <f>IF(AND(Input_Product=Elig!$C83,Elig_MatchAll_Ct&lt;22,$BC83=(Elig_MatchAll_Ct-1),AZ83=0),AB83,0)</f>
        <v>0</v>
      </c>
      <c r="CH83" s="202">
        <f>IF(AND(Input_Product=Elig!$C83,Elig_MatchAll_Ct&lt;22,$BC83=(Elig_MatchAll_Ct-1),AZ83=0),AC83,0)</f>
        <v>0</v>
      </c>
      <c r="CI83" s="201">
        <f>IF(AND(Input_Product=Elig!$C83,Elig_MatchAll_Ct&lt;22,$BC83=(Elig_MatchAll_Ct-1),BA83=0),AD83,0)</f>
        <v>0</v>
      </c>
      <c r="CJ83" s="203">
        <f>IF(AND(Input_Product=Elig!$C83,Elig_MatchAll_Ct&lt;22,$BC83=(Elig_MatchAll_Ct-1),BA83=0),AE83,0)</f>
        <v>0</v>
      </c>
    </row>
    <row r="84" spans="2:88" ht="10.15" customHeight="1" x14ac:dyDescent="0.25">
      <c r="B84" s="1912" t="s">
        <v>838</v>
      </c>
      <c r="C84" s="138" t="str">
        <f t="shared" si="35"/>
        <v>NonQM OO</v>
      </c>
      <c r="D84" s="139" t="s">
        <v>3885</v>
      </c>
      <c r="E84" s="139" t="s">
        <v>167</v>
      </c>
      <c r="F84" s="139" t="s">
        <v>331</v>
      </c>
      <c r="G84" s="139" t="s">
        <v>304</v>
      </c>
      <c r="H84" s="139" t="s">
        <v>446</v>
      </c>
      <c r="I84" s="139" t="s">
        <v>274</v>
      </c>
      <c r="J84" s="139" t="s">
        <v>1311</v>
      </c>
      <c r="K84" s="139" t="s">
        <v>1631</v>
      </c>
      <c r="L84" s="310" t="s">
        <v>3920</v>
      </c>
      <c r="M84" s="139" t="s">
        <v>4203</v>
      </c>
      <c r="N84" s="139" t="s">
        <v>82</v>
      </c>
      <c r="O84" s="139" t="s">
        <v>310</v>
      </c>
      <c r="P84" s="139" t="s">
        <v>291</v>
      </c>
      <c r="Q84" s="139" t="s">
        <v>294</v>
      </c>
      <c r="R84" s="139">
        <v>1000000.01</v>
      </c>
      <c r="S84" s="139">
        <v>1500000</v>
      </c>
      <c r="T84" s="139">
        <v>0</v>
      </c>
      <c r="U84" s="139">
        <v>0</v>
      </c>
      <c r="V84" s="139">
        <v>0</v>
      </c>
      <c r="W84" s="139">
        <v>55</v>
      </c>
      <c r="X84" s="139">
        <v>0</v>
      </c>
      <c r="Y84" s="139">
        <v>999</v>
      </c>
      <c r="Z84" s="140">
        <v>620</v>
      </c>
      <c r="AA84" s="140">
        <v>639</v>
      </c>
      <c r="AB84" s="140">
        <v>6</v>
      </c>
      <c r="AC84" s="140">
        <v>999999</v>
      </c>
      <c r="AD84" s="139">
        <v>0</v>
      </c>
      <c r="AE84" s="310">
        <v>70</v>
      </c>
      <c r="AF84" s="170">
        <v>0</v>
      </c>
      <c r="AG84" s="171">
        <v>1</v>
      </c>
      <c r="AH84" s="171">
        <v>1</v>
      </c>
      <c r="AI84" s="171">
        <v>1</v>
      </c>
      <c r="AJ84" s="171">
        <v>0</v>
      </c>
      <c r="AK84" s="171">
        <v>0</v>
      </c>
      <c r="AL84" s="171">
        <v>0</v>
      </c>
      <c r="AM84" s="171">
        <v>1</v>
      </c>
      <c r="AN84" s="171">
        <v>1</v>
      </c>
      <c r="AO84" s="171">
        <v>1</v>
      </c>
      <c r="AP84" s="171">
        <v>1</v>
      </c>
      <c r="AQ84" s="171">
        <v>1</v>
      </c>
      <c r="AR84" s="171">
        <v>1</v>
      </c>
      <c r="AS84" s="171">
        <v>1</v>
      </c>
      <c r="AT84" s="171">
        <v>1</v>
      </c>
      <c r="AU84" s="171">
        <f t="shared" si="24"/>
        <v>0</v>
      </c>
      <c r="AV84" s="171">
        <f t="shared" si="25"/>
        <v>0</v>
      </c>
      <c r="AW84" s="171">
        <f t="shared" si="26"/>
        <v>1</v>
      </c>
      <c r="AX84" s="171">
        <f t="shared" si="5"/>
        <v>1</v>
      </c>
      <c r="AY84" s="171">
        <f t="shared" si="27"/>
        <v>0</v>
      </c>
      <c r="AZ84" s="171">
        <f t="shared" si="28"/>
        <v>1</v>
      </c>
      <c r="BA84" s="172">
        <f t="shared" si="29"/>
        <v>1</v>
      </c>
      <c r="BB84" s="175">
        <f t="shared" si="31"/>
        <v>15</v>
      </c>
      <c r="BC84" s="176">
        <f t="shared" si="32"/>
        <v>14</v>
      </c>
      <c r="BD84" s="176">
        <f t="shared" si="33"/>
        <v>15</v>
      </c>
      <c r="BE84" s="240" t="str">
        <f t="shared" si="30"/>
        <v/>
      </c>
      <c r="BH84" s="204">
        <f>IF(AND(Input_Product=Elig!$C84,Elig_MatchAll_Ct&lt;22,$BC84=(Elig_MatchAll_Ct-1),AF84=0),C84,0)</f>
        <v>0</v>
      </c>
      <c r="BI84" s="205">
        <f>IF(AND(Input_Product=Elig!$C84,Elig_MatchAll_Ct&lt;22,$BC84=(Elig_MatchAll_Ct-1),AG84=0),D84,0)</f>
        <v>0</v>
      </c>
      <c r="BJ84" s="205">
        <f>IF(AND(Input_Product=Elig!$C84,Elig_MatchAll_Ct&lt;22,$BC84=(Elig_MatchAll_Ct-1),AH84=0),E84,0)</f>
        <v>0</v>
      </c>
      <c r="BK84" s="205">
        <f>IF(AND(Input_Product=Elig!$C84,Elig_MatchAll_Ct&lt;22,$BC84=(Elig_MatchAll_Ct-1),AI84=0),F84,0)</f>
        <v>0</v>
      </c>
      <c r="BL84" s="205">
        <f>IF(AND(Input_Product=Elig!$C84,Elig_MatchAll_Ct&lt;22,$BC84=(Elig_MatchAll_Ct-1),AJ84=0),G84,0)</f>
        <v>0</v>
      </c>
      <c r="BM84" s="205">
        <f>IF(AND(Input_Product=Elig!$C84,Elig_MatchAll_Ct&lt;22,$BC84=(Elig_MatchAll_Ct-1),AK84=0),H84,0)</f>
        <v>0</v>
      </c>
      <c r="BN84" s="205">
        <f>IF(AND(Input_Product=Elig!$C84,Elig_MatchAll_Ct&lt;22,$BC84=(Elig_MatchAll_Ct-1),AL84=0),I84,0)</f>
        <v>0</v>
      </c>
      <c r="BO84" s="205">
        <f>IF(AND(Input_Product=Elig!$C84,Elig_MatchAll_Ct&lt;22,$BC84=(Elig_MatchAll_Ct-1),AM84=0),J84,0)</f>
        <v>0</v>
      </c>
      <c r="BP84" s="205">
        <f>IF(AND(Input_Product=Elig!$C84,Elig_MatchAll_Ct&lt;22,$BC84=(Elig_MatchAll_Ct-1),AN84=0),K84,0)</f>
        <v>0</v>
      </c>
      <c r="BQ84" s="205">
        <f>IF(AND(Input_Product=Elig!$C84,Elig_MatchAll_Ct&lt;22,$BC84=(Elig_MatchAll_Ct-1),AP84=0),L84,0)</f>
        <v>0</v>
      </c>
      <c r="BR84" s="205">
        <f>IF(AND(Input_Product=Elig!$C84,Elig_MatchAll_Ct&lt;22,$BC84=(Elig_MatchAll_Ct-1),AO84=0),M84,0)</f>
        <v>0</v>
      </c>
      <c r="BS84" s="205">
        <f>IF(AND(Input_Product=Elig!$C84,Elig_MatchAll_Ct&lt;22,$BC84=(Elig_MatchAll_Ct-1),AQ84=0),N84,0)</f>
        <v>0</v>
      </c>
      <c r="BT84" s="205">
        <f>IF(AND(Input_Product=Elig!$C84,Elig_MatchAll_Ct&lt;22,$BC84=(Elig_MatchAll_Ct-1),AR84=0),O84,0)</f>
        <v>0</v>
      </c>
      <c r="BU84" s="205">
        <f>IF(AND(Input_Product=Elig!$C84,Elig_MatchAll_Ct&lt;22,$BC84=(Elig_MatchAll_Ct-1),AS84=0),P84,0)</f>
        <v>0</v>
      </c>
      <c r="BV84" s="206">
        <f>IF(AND(Input_Product=Elig!$C84,Elig_MatchAll_Ct&lt;22,$BC84=(Elig_MatchAll_Ct-1),AT84=0),Q84,0)</f>
        <v>0</v>
      </c>
      <c r="BW84" s="207">
        <f>IF(AND(Input_Product=Elig!$C84,Elig_MatchAll_Ct&lt;22,$BC84=(Elig_MatchAll_Ct-1),AU84=0),R84,0)</f>
        <v>0</v>
      </c>
      <c r="BX84" s="208">
        <f>IF(AND(Input_Product=Elig!$C84,Elig_MatchAll_Ct&lt;22,$BC84=(Elig_MatchAll_Ct-1),AU84=0),S84,0)</f>
        <v>0</v>
      </c>
      <c r="BY84" s="207">
        <f>IF(AND(Input_Product=Elig!$C84,Elig_MatchAll_Ct&lt;22,$BC84=(Elig_MatchAll_Ct-1),AV84=0),T84,0)</f>
        <v>0</v>
      </c>
      <c r="BZ84" s="208">
        <f>IF(AND(Input_Product=Elig!$C84,Elig_MatchAll_Ct&lt;22,$BC84=(Elig_MatchAll_Ct-1),AV84=0),U84,0)</f>
        <v>0</v>
      </c>
      <c r="CA84" s="207">
        <f>IF(AND(Input_Product=Elig!$C84,Elig_MatchAll_Ct&lt;22,$BC84=(Elig_MatchAll_Ct-1),AW84=0),V84,0)</f>
        <v>0</v>
      </c>
      <c r="CB84" s="208">
        <f>IF(AND(Input_Product=Elig!$C84,Elig_MatchAll_Ct&lt;22,$BC84=(Elig_MatchAll_Ct-1),AW84=0),W84,0)</f>
        <v>0</v>
      </c>
      <c r="CC84" s="207">
        <f>IF(AND(Input_Product=Elig!$C84,Elig_MatchAll_Ct&lt;22,$BC84=(Elig_MatchAll_Ct-1),AX84=0),X84,0)</f>
        <v>0</v>
      </c>
      <c r="CD84" s="208">
        <f>IF(AND(Input_Product=Elig!$C84,Elig_MatchAll_Ct&lt;22,$BC84=(Elig_MatchAll_Ct-1),AX84=0),Y84,0)</f>
        <v>0</v>
      </c>
      <c r="CE84" s="207">
        <f>IF(AND(Input_LTV&lt;=AE84,Input_Product=Elig!$C84,Elig_MatchAll_Ct&lt;22,$BC84=(Elig_MatchAll_Ct-1),AY84=0),Z84,0)</f>
        <v>0</v>
      </c>
      <c r="CF84" s="208">
        <f>IF(AND(Input_LTV&lt;=AE84,Input_Product=Elig!$C84,Elig_MatchAll_Ct&lt;22,$BC84=(Elig_MatchAll_Ct-1),AY84=0),AA84,0)</f>
        <v>0</v>
      </c>
      <c r="CG84" s="207">
        <f>IF(AND(Input_Product=Elig!$C84,Elig_MatchAll_Ct&lt;22,$BC84=(Elig_MatchAll_Ct-1),AZ84=0),AB84,0)</f>
        <v>0</v>
      </c>
      <c r="CH84" s="208">
        <f>IF(AND(Input_Product=Elig!$C84,Elig_MatchAll_Ct&lt;22,$BC84=(Elig_MatchAll_Ct-1),AZ84=0),AC84,0)</f>
        <v>0</v>
      </c>
      <c r="CI84" s="207">
        <f>IF(AND(Input_Product=Elig!$C84,Elig_MatchAll_Ct&lt;22,$BC84=(Elig_MatchAll_Ct-1),BA84=0),AD84,0)</f>
        <v>0</v>
      </c>
      <c r="CJ84" s="209">
        <f>IF(AND(Input_Product=Elig!$C84,Elig_MatchAll_Ct&lt;22,$BC84=(Elig_MatchAll_Ct-1),BA84=0),AE84,0)</f>
        <v>0</v>
      </c>
    </row>
    <row r="85" spans="2:88" ht="10.15" customHeight="1" x14ac:dyDescent="0.25">
      <c r="B85" s="1912" t="s">
        <v>839</v>
      </c>
      <c r="C85" s="141" t="str">
        <f t="shared" si="35"/>
        <v>NonQM OO</v>
      </c>
      <c r="D85" s="142" t="s">
        <v>3885</v>
      </c>
      <c r="E85" s="143" t="s">
        <v>167</v>
      </c>
      <c r="F85" s="143" t="s">
        <v>331</v>
      </c>
      <c r="G85" s="143" t="s">
        <v>304</v>
      </c>
      <c r="H85" s="143" t="s">
        <v>446</v>
      </c>
      <c r="I85" s="142" t="s">
        <v>16</v>
      </c>
      <c r="J85" s="142" t="s">
        <v>1311</v>
      </c>
      <c r="K85" s="142" t="s">
        <v>1631</v>
      </c>
      <c r="L85" s="2131" t="s">
        <v>3920</v>
      </c>
      <c r="M85" s="143" t="s">
        <v>4203</v>
      </c>
      <c r="N85" s="143" t="s">
        <v>82</v>
      </c>
      <c r="O85" s="143" t="s">
        <v>310</v>
      </c>
      <c r="P85" s="143" t="s">
        <v>291</v>
      </c>
      <c r="Q85" s="143" t="s">
        <v>294</v>
      </c>
      <c r="R85" s="142">
        <v>1000000.01</v>
      </c>
      <c r="S85" s="142">
        <v>1500000</v>
      </c>
      <c r="T85" s="142">
        <v>0</v>
      </c>
      <c r="U85" s="142">
        <f t="shared" ref="U85:U90" si="36">S85</f>
        <v>1500000</v>
      </c>
      <c r="V85" s="142">
        <v>0</v>
      </c>
      <c r="W85" s="142">
        <v>55</v>
      </c>
      <c r="X85" s="142">
        <v>0</v>
      </c>
      <c r="Y85" s="142">
        <v>999</v>
      </c>
      <c r="Z85" s="144">
        <v>720</v>
      </c>
      <c r="AA85" s="144">
        <v>999</v>
      </c>
      <c r="AB85" s="144">
        <v>6</v>
      </c>
      <c r="AC85" s="144">
        <v>999999</v>
      </c>
      <c r="AD85" s="142">
        <v>0</v>
      </c>
      <c r="AE85" s="142">
        <v>80</v>
      </c>
      <c r="AF85" s="170">
        <v>0</v>
      </c>
      <c r="AG85" s="171">
        <v>1</v>
      </c>
      <c r="AH85" s="171">
        <v>1</v>
      </c>
      <c r="AI85" s="171">
        <v>1</v>
      </c>
      <c r="AJ85" s="171">
        <v>0</v>
      </c>
      <c r="AK85" s="171">
        <v>0</v>
      </c>
      <c r="AL85" s="171">
        <v>1</v>
      </c>
      <c r="AM85" s="171">
        <v>1</v>
      </c>
      <c r="AN85" s="171">
        <v>1</v>
      </c>
      <c r="AO85" s="171">
        <v>1</v>
      </c>
      <c r="AP85" s="171">
        <v>1</v>
      </c>
      <c r="AQ85" s="171">
        <v>1</v>
      </c>
      <c r="AR85" s="171">
        <v>1</v>
      </c>
      <c r="AS85" s="171">
        <v>1</v>
      </c>
      <c r="AT85" s="171">
        <v>1</v>
      </c>
      <c r="AU85" s="171">
        <f t="shared" si="24"/>
        <v>0</v>
      </c>
      <c r="AV85" s="171">
        <f t="shared" si="25"/>
        <v>1</v>
      </c>
      <c r="AW85" s="171">
        <f t="shared" si="26"/>
        <v>1</v>
      </c>
      <c r="AX85" s="171">
        <f t="shared" si="5"/>
        <v>1</v>
      </c>
      <c r="AY85" s="171">
        <f t="shared" si="27"/>
        <v>1</v>
      </c>
      <c r="AZ85" s="171">
        <f t="shared" si="28"/>
        <v>1</v>
      </c>
      <c r="BA85" s="172">
        <f t="shared" si="29"/>
        <v>1</v>
      </c>
      <c r="BB85" s="175">
        <f t="shared" si="31"/>
        <v>18</v>
      </c>
      <c r="BC85" s="176">
        <f t="shared" si="32"/>
        <v>17</v>
      </c>
      <c r="BD85" s="176">
        <f t="shared" si="33"/>
        <v>18</v>
      </c>
      <c r="BE85" s="240" t="str">
        <f t="shared" si="30"/>
        <v/>
      </c>
      <c r="BH85" s="192">
        <f>IF(AND(Input_Product=Elig!$C85,Elig_MatchAll_Ct&lt;22,$BC85=(Elig_MatchAll_Ct-1),AF85=0),C85,0)</f>
        <v>0</v>
      </c>
      <c r="BI85" s="193">
        <f>IF(AND(Input_Product=Elig!$C85,Elig_MatchAll_Ct&lt;22,$BC85=(Elig_MatchAll_Ct-1),AG85=0),D85,0)</f>
        <v>0</v>
      </c>
      <c r="BJ85" s="193">
        <f>IF(AND(Input_Product=Elig!$C85,Elig_MatchAll_Ct&lt;22,$BC85=(Elig_MatchAll_Ct-1),AH85=0),E85,0)</f>
        <v>0</v>
      </c>
      <c r="BK85" s="193">
        <f>IF(AND(Input_Product=Elig!$C85,Elig_MatchAll_Ct&lt;22,$BC85=(Elig_MatchAll_Ct-1),AI85=0),F85,0)</f>
        <v>0</v>
      </c>
      <c r="BL85" s="193">
        <f>IF(AND(Input_Product=Elig!$C85,Elig_MatchAll_Ct&lt;22,$BC85=(Elig_MatchAll_Ct-1),AJ85=0),G85,0)</f>
        <v>0</v>
      </c>
      <c r="BM85" s="193">
        <f>IF(AND(Input_Product=Elig!$C85,Elig_MatchAll_Ct&lt;22,$BC85=(Elig_MatchAll_Ct-1),AK85=0),H85,0)</f>
        <v>0</v>
      </c>
      <c r="BN85" s="193">
        <f>IF(AND(Input_Product=Elig!$C85,Elig_MatchAll_Ct&lt;22,$BC85=(Elig_MatchAll_Ct-1),AL85=0),I85,0)</f>
        <v>0</v>
      </c>
      <c r="BO85" s="193">
        <f>IF(AND(Input_Product=Elig!$C85,Elig_MatchAll_Ct&lt;22,$BC85=(Elig_MatchAll_Ct-1),AM85=0),J85,0)</f>
        <v>0</v>
      </c>
      <c r="BP85" s="193">
        <f>IF(AND(Input_Product=Elig!$C85,Elig_MatchAll_Ct&lt;22,$BC85=(Elig_MatchAll_Ct-1),AN85=0),K85,0)</f>
        <v>0</v>
      </c>
      <c r="BQ85" s="193">
        <f>IF(AND(Input_Product=Elig!$C85,Elig_MatchAll_Ct&lt;22,$BC85=(Elig_MatchAll_Ct-1),AP85=0),L85,0)</f>
        <v>0</v>
      </c>
      <c r="BR85" s="193">
        <f>IF(AND(Input_Product=Elig!$C85,Elig_MatchAll_Ct&lt;22,$BC85=(Elig_MatchAll_Ct-1),AO85=0),M85,0)</f>
        <v>0</v>
      </c>
      <c r="BS85" s="193">
        <f>IF(AND(Input_Product=Elig!$C85,Elig_MatchAll_Ct&lt;22,$BC85=(Elig_MatchAll_Ct-1),AQ85=0),N85,0)</f>
        <v>0</v>
      </c>
      <c r="BT85" s="193">
        <f>IF(AND(Input_Product=Elig!$C85,Elig_MatchAll_Ct&lt;22,$BC85=(Elig_MatchAll_Ct-1),AR85=0),O85,0)</f>
        <v>0</v>
      </c>
      <c r="BU85" s="193">
        <f>IF(AND(Input_Product=Elig!$C85,Elig_MatchAll_Ct&lt;22,$BC85=(Elig_MatchAll_Ct-1),AS85=0),P85,0)</f>
        <v>0</v>
      </c>
      <c r="BV85" s="194">
        <f>IF(AND(Input_Product=Elig!$C85,Elig_MatchAll_Ct&lt;22,$BC85=(Elig_MatchAll_Ct-1),AT85=0),Q85,0)</f>
        <v>0</v>
      </c>
      <c r="BW85" s="195">
        <f>IF(AND(Input_Product=Elig!$C85,Elig_MatchAll_Ct&lt;22,$BC85=(Elig_MatchAll_Ct-1),AU85=0),R85,0)</f>
        <v>0</v>
      </c>
      <c r="BX85" s="196">
        <f>IF(AND(Input_Product=Elig!$C85,Elig_MatchAll_Ct&lt;22,$BC85=(Elig_MatchAll_Ct-1),AU85=0),S85,0)</f>
        <v>0</v>
      </c>
      <c r="BY85" s="195">
        <f>IF(AND(Input_Product=Elig!$C85,Elig_MatchAll_Ct&lt;22,$BC85=(Elig_MatchAll_Ct-1),AV85=0),T85,0)</f>
        <v>0</v>
      </c>
      <c r="BZ85" s="196">
        <f>IF(AND(Input_Product=Elig!$C85,Elig_MatchAll_Ct&lt;22,$BC85=(Elig_MatchAll_Ct-1),AV85=0),U85,0)</f>
        <v>0</v>
      </c>
      <c r="CA85" s="195">
        <f>IF(AND(Input_Product=Elig!$C85,Elig_MatchAll_Ct&lt;22,$BC85=(Elig_MatchAll_Ct-1),AW85=0),V85,0)</f>
        <v>0</v>
      </c>
      <c r="CB85" s="196">
        <f>IF(AND(Input_Product=Elig!$C85,Elig_MatchAll_Ct&lt;22,$BC85=(Elig_MatchAll_Ct-1),AW85=0),W85,0)</f>
        <v>0</v>
      </c>
      <c r="CC85" s="195">
        <f>IF(AND(Input_Product=Elig!$C85,Elig_MatchAll_Ct&lt;22,$BC85=(Elig_MatchAll_Ct-1),AX85=0),X85,0)</f>
        <v>0</v>
      </c>
      <c r="CD85" s="196">
        <f>IF(AND(Input_Product=Elig!$C85,Elig_MatchAll_Ct&lt;22,$BC85=(Elig_MatchAll_Ct-1),AX85=0),Y85,0)</f>
        <v>0</v>
      </c>
      <c r="CE85" s="195">
        <f>IF(AND(Input_LTV&lt;=AE85,Input_Product=Elig!$C85,Elig_MatchAll_Ct&lt;22,$BC85=(Elig_MatchAll_Ct-1),AY85=0),Z85,0)</f>
        <v>0</v>
      </c>
      <c r="CF85" s="196">
        <f>IF(AND(Input_LTV&lt;=AE85,Input_Product=Elig!$C85,Elig_MatchAll_Ct&lt;22,$BC85=(Elig_MatchAll_Ct-1),AY85=0),AA85,0)</f>
        <v>0</v>
      </c>
      <c r="CG85" s="195">
        <f>IF(AND(Input_Product=Elig!$C85,Elig_MatchAll_Ct&lt;22,$BC85=(Elig_MatchAll_Ct-1),AZ85=0),AB85,0)</f>
        <v>0</v>
      </c>
      <c r="CH85" s="196">
        <f>IF(AND(Input_Product=Elig!$C85,Elig_MatchAll_Ct&lt;22,$BC85=(Elig_MatchAll_Ct-1),AZ85=0),AC85,0)</f>
        <v>0</v>
      </c>
      <c r="CI85" s="195">
        <f>IF(AND(Input_Product=Elig!$C85,Elig_MatchAll_Ct&lt;22,$BC85=(Elig_MatchAll_Ct-1),BA85=0),AD85,0)</f>
        <v>0</v>
      </c>
      <c r="CJ85" s="197">
        <f>IF(AND(Input_Product=Elig!$C85,Elig_MatchAll_Ct&lt;22,$BC85=(Elig_MatchAll_Ct-1),BA85=0),AE85,0)</f>
        <v>0</v>
      </c>
    </row>
    <row r="86" spans="2:88" ht="10.15" customHeight="1" x14ac:dyDescent="0.25">
      <c r="B86" s="1912" t="s">
        <v>840</v>
      </c>
      <c r="C86" s="134" t="str">
        <f t="shared" si="35"/>
        <v>NonQM OO</v>
      </c>
      <c r="D86" s="135" t="s">
        <v>3885</v>
      </c>
      <c r="E86" s="135" t="s">
        <v>167</v>
      </c>
      <c r="F86" s="135" t="s">
        <v>331</v>
      </c>
      <c r="G86" s="135" t="s">
        <v>304</v>
      </c>
      <c r="H86" s="135" t="s">
        <v>446</v>
      </c>
      <c r="I86" s="136" t="s">
        <v>16</v>
      </c>
      <c r="J86" s="136" t="s">
        <v>1311</v>
      </c>
      <c r="K86" s="136" t="s">
        <v>1631</v>
      </c>
      <c r="L86" s="221" t="s">
        <v>3920</v>
      </c>
      <c r="M86" s="135" t="s">
        <v>4203</v>
      </c>
      <c r="N86" s="135" t="s">
        <v>82</v>
      </c>
      <c r="O86" s="135" t="s">
        <v>310</v>
      </c>
      <c r="P86" s="135" t="s">
        <v>291</v>
      </c>
      <c r="Q86" s="135" t="s">
        <v>294</v>
      </c>
      <c r="R86" s="135">
        <v>1000000.01</v>
      </c>
      <c r="S86" s="135">
        <v>1500000</v>
      </c>
      <c r="T86" s="135">
        <v>0</v>
      </c>
      <c r="U86" s="135">
        <f t="shared" si="36"/>
        <v>1500000</v>
      </c>
      <c r="V86" s="135">
        <v>0</v>
      </c>
      <c r="W86" s="135">
        <v>55</v>
      </c>
      <c r="X86" s="135">
        <v>0</v>
      </c>
      <c r="Y86" s="135">
        <v>999</v>
      </c>
      <c r="Z86" s="137">
        <v>700</v>
      </c>
      <c r="AA86" s="137">
        <v>719</v>
      </c>
      <c r="AB86" s="137">
        <v>6</v>
      </c>
      <c r="AC86" s="137">
        <v>999999</v>
      </c>
      <c r="AD86" s="135">
        <v>0</v>
      </c>
      <c r="AE86" s="135">
        <v>80</v>
      </c>
      <c r="AF86" s="170">
        <v>0</v>
      </c>
      <c r="AG86" s="171">
        <v>1</v>
      </c>
      <c r="AH86" s="171">
        <v>1</v>
      </c>
      <c r="AI86" s="171">
        <v>1</v>
      </c>
      <c r="AJ86" s="171">
        <v>0</v>
      </c>
      <c r="AK86" s="171">
        <v>0</v>
      </c>
      <c r="AL86" s="171">
        <v>1</v>
      </c>
      <c r="AM86" s="171">
        <v>1</v>
      </c>
      <c r="AN86" s="171">
        <v>1</v>
      </c>
      <c r="AO86" s="171">
        <v>1</v>
      </c>
      <c r="AP86" s="171">
        <v>1</v>
      </c>
      <c r="AQ86" s="171">
        <v>1</v>
      </c>
      <c r="AR86" s="171">
        <v>1</v>
      </c>
      <c r="AS86" s="171">
        <v>1</v>
      </c>
      <c r="AT86" s="171">
        <v>1</v>
      </c>
      <c r="AU86" s="171">
        <f t="shared" si="24"/>
        <v>0</v>
      </c>
      <c r="AV86" s="171">
        <f t="shared" si="25"/>
        <v>1</v>
      </c>
      <c r="AW86" s="171">
        <f t="shared" si="26"/>
        <v>1</v>
      </c>
      <c r="AX86" s="171">
        <f t="shared" si="5"/>
        <v>1</v>
      </c>
      <c r="AY86" s="171">
        <f t="shared" si="27"/>
        <v>0</v>
      </c>
      <c r="AZ86" s="171">
        <f t="shared" si="28"/>
        <v>1</v>
      </c>
      <c r="BA86" s="172">
        <f t="shared" si="29"/>
        <v>1</v>
      </c>
      <c r="BB86" s="175">
        <f t="shared" si="31"/>
        <v>17</v>
      </c>
      <c r="BC86" s="176">
        <f t="shared" si="32"/>
        <v>16</v>
      </c>
      <c r="BD86" s="176">
        <f t="shared" si="33"/>
        <v>17</v>
      </c>
      <c r="BE86" s="240" t="str">
        <f t="shared" si="30"/>
        <v/>
      </c>
      <c r="BH86" s="198">
        <f>IF(AND(Input_Product=Elig!$C86,Elig_MatchAll_Ct&lt;22,$BC86=(Elig_MatchAll_Ct-1),AF86=0),C86,0)</f>
        <v>0</v>
      </c>
      <c r="BI86" s="199">
        <f>IF(AND(Input_Product=Elig!$C86,Elig_MatchAll_Ct&lt;22,$BC86=(Elig_MatchAll_Ct-1),AG86=0),D86,0)</f>
        <v>0</v>
      </c>
      <c r="BJ86" s="199">
        <f>IF(AND(Input_Product=Elig!$C86,Elig_MatchAll_Ct&lt;22,$BC86=(Elig_MatchAll_Ct-1),AH86=0),E86,0)</f>
        <v>0</v>
      </c>
      <c r="BK86" s="199">
        <f>IF(AND(Input_Product=Elig!$C86,Elig_MatchAll_Ct&lt;22,$BC86=(Elig_MatchAll_Ct-1),AI86=0),F86,0)</f>
        <v>0</v>
      </c>
      <c r="BL86" s="199">
        <f>IF(AND(Input_Product=Elig!$C86,Elig_MatchAll_Ct&lt;22,$BC86=(Elig_MatchAll_Ct-1),AJ86=0),G86,0)</f>
        <v>0</v>
      </c>
      <c r="BM86" s="199">
        <f>IF(AND(Input_Product=Elig!$C86,Elig_MatchAll_Ct&lt;22,$BC86=(Elig_MatchAll_Ct-1),AK86=0),H86,0)</f>
        <v>0</v>
      </c>
      <c r="BN86" s="199">
        <f>IF(AND(Input_Product=Elig!$C86,Elig_MatchAll_Ct&lt;22,$BC86=(Elig_MatchAll_Ct-1),AL86=0),I86,0)</f>
        <v>0</v>
      </c>
      <c r="BO86" s="199">
        <f>IF(AND(Input_Product=Elig!$C86,Elig_MatchAll_Ct&lt;22,$BC86=(Elig_MatchAll_Ct-1),AM86=0),J86,0)</f>
        <v>0</v>
      </c>
      <c r="BP86" s="199">
        <f>IF(AND(Input_Product=Elig!$C86,Elig_MatchAll_Ct&lt;22,$BC86=(Elig_MatchAll_Ct-1),AN86=0),K86,0)</f>
        <v>0</v>
      </c>
      <c r="BQ86" s="199">
        <f>IF(AND(Input_Product=Elig!$C86,Elig_MatchAll_Ct&lt;22,$BC86=(Elig_MatchAll_Ct-1),AP86=0),L86,0)</f>
        <v>0</v>
      </c>
      <c r="BR86" s="199">
        <f>IF(AND(Input_Product=Elig!$C86,Elig_MatchAll_Ct&lt;22,$BC86=(Elig_MatchAll_Ct-1),AO86=0),M86,0)</f>
        <v>0</v>
      </c>
      <c r="BS86" s="199">
        <f>IF(AND(Input_Product=Elig!$C86,Elig_MatchAll_Ct&lt;22,$BC86=(Elig_MatchAll_Ct-1),AQ86=0),N86,0)</f>
        <v>0</v>
      </c>
      <c r="BT86" s="199">
        <f>IF(AND(Input_Product=Elig!$C86,Elig_MatchAll_Ct&lt;22,$BC86=(Elig_MatchAll_Ct-1),AR86=0),O86,0)</f>
        <v>0</v>
      </c>
      <c r="BU86" s="199">
        <f>IF(AND(Input_Product=Elig!$C86,Elig_MatchAll_Ct&lt;22,$BC86=(Elig_MatchAll_Ct-1),AS86=0),P86,0)</f>
        <v>0</v>
      </c>
      <c r="BV86" s="200">
        <f>IF(AND(Input_Product=Elig!$C86,Elig_MatchAll_Ct&lt;22,$BC86=(Elig_MatchAll_Ct-1),AT86=0),Q86,0)</f>
        <v>0</v>
      </c>
      <c r="BW86" s="201">
        <f>IF(AND(Input_Product=Elig!$C86,Elig_MatchAll_Ct&lt;22,$BC86=(Elig_MatchAll_Ct-1),AU86=0),R86,0)</f>
        <v>0</v>
      </c>
      <c r="BX86" s="202">
        <f>IF(AND(Input_Product=Elig!$C86,Elig_MatchAll_Ct&lt;22,$BC86=(Elig_MatchAll_Ct-1),AU86=0),S86,0)</f>
        <v>0</v>
      </c>
      <c r="BY86" s="201">
        <f>IF(AND(Input_Product=Elig!$C86,Elig_MatchAll_Ct&lt;22,$BC86=(Elig_MatchAll_Ct-1),AV86=0),T86,0)</f>
        <v>0</v>
      </c>
      <c r="BZ86" s="202">
        <f>IF(AND(Input_Product=Elig!$C86,Elig_MatchAll_Ct&lt;22,$BC86=(Elig_MatchAll_Ct-1),AV86=0),U86,0)</f>
        <v>0</v>
      </c>
      <c r="CA86" s="201">
        <f>IF(AND(Input_Product=Elig!$C86,Elig_MatchAll_Ct&lt;22,$BC86=(Elig_MatchAll_Ct-1),AW86=0),V86,0)</f>
        <v>0</v>
      </c>
      <c r="CB86" s="202">
        <f>IF(AND(Input_Product=Elig!$C86,Elig_MatchAll_Ct&lt;22,$BC86=(Elig_MatchAll_Ct-1),AW86=0),W86,0)</f>
        <v>0</v>
      </c>
      <c r="CC86" s="201">
        <f>IF(AND(Input_Product=Elig!$C86,Elig_MatchAll_Ct&lt;22,$BC86=(Elig_MatchAll_Ct-1),AX86=0),X86,0)</f>
        <v>0</v>
      </c>
      <c r="CD86" s="202">
        <f>IF(AND(Input_Product=Elig!$C86,Elig_MatchAll_Ct&lt;22,$BC86=(Elig_MatchAll_Ct-1),AX86=0),Y86,0)</f>
        <v>0</v>
      </c>
      <c r="CE86" s="201">
        <f>IF(AND(Input_LTV&lt;=AE86,Input_Product=Elig!$C86,Elig_MatchAll_Ct&lt;22,$BC86=(Elig_MatchAll_Ct-1),AY86=0),Z86,0)</f>
        <v>0</v>
      </c>
      <c r="CF86" s="202">
        <f>IF(AND(Input_LTV&lt;=AE86,Input_Product=Elig!$C86,Elig_MatchAll_Ct&lt;22,$BC86=(Elig_MatchAll_Ct-1),AY86=0),AA86,0)</f>
        <v>0</v>
      </c>
      <c r="CG86" s="201">
        <f>IF(AND(Input_Product=Elig!$C86,Elig_MatchAll_Ct&lt;22,$BC86=(Elig_MatchAll_Ct-1),AZ86=0),AB86,0)</f>
        <v>0</v>
      </c>
      <c r="CH86" s="202">
        <f>IF(AND(Input_Product=Elig!$C86,Elig_MatchAll_Ct&lt;22,$BC86=(Elig_MatchAll_Ct-1),AZ86=0),AC86,0)</f>
        <v>0</v>
      </c>
      <c r="CI86" s="201">
        <f>IF(AND(Input_Product=Elig!$C86,Elig_MatchAll_Ct&lt;22,$BC86=(Elig_MatchAll_Ct-1),BA86=0),AD86,0)</f>
        <v>0</v>
      </c>
      <c r="CJ86" s="203">
        <f>IF(AND(Input_Product=Elig!$C86,Elig_MatchAll_Ct&lt;22,$BC86=(Elig_MatchAll_Ct-1),BA86=0),AE86,0)</f>
        <v>0</v>
      </c>
    </row>
    <row r="87" spans="2:88" ht="10.15" customHeight="1" x14ac:dyDescent="0.25">
      <c r="B87" s="1912" t="s">
        <v>841</v>
      </c>
      <c r="C87" s="134" t="str">
        <f t="shared" si="35"/>
        <v>NonQM OO</v>
      </c>
      <c r="D87" s="135" t="s">
        <v>3885</v>
      </c>
      <c r="E87" s="135" t="s">
        <v>167</v>
      </c>
      <c r="F87" s="135" t="s">
        <v>331</v>
      </c>
      <c r="G87" s="135" t="s">
        <v>304</v>
      </c>
      <c r="H87" s="135" t="s">
        <v>446</v>
      </c>
      <c r="I87" s="136" t="s">
        <v>16</v>
      </c>
      <c r="J87" s="136" t="s">
        <v>1311</v>
      </c>
      <c r="K87" s="136" t="s">
        <v>1631</v>
      </c>
      <c r="L87" s="221" t="s">
        <v>3920</v>
      </c>
      <c r="M87" s="135" t="s">
        <v>4203</v>
      </c>
      <c r="N87" s="135" t="s">
        <v>82</v>
      </c>
      <c r="O87" s="135" t="s">
        <v>310</v>
      </c>
      <c r="P87" s="135" t="s">
        <v>291</v>
      </c>
      <c r="Q87" s="135" t="s">
        <v>294</v>
      </c>
      <c r="R87" s="135">
        <v>1000000.01</v>
      </c>
      <c r="S87" s="135">
        <v>1500000</v>
      </c>
      <c r="T87" s="135">
        <v>0</v>
      </c>
      <c r="U87" s="135">
        <f t="shared" si="36"/>
        <v>1500000</v>
      </c>
      <c r="V87" s="135">
        <v>0</v>
      </c>
      <c r="W87" s="135">
        <v>55</v>
      </c>
      <c r="X87" s="135">
        <v>0</v>
      </c>
      <c r="Y87" s="135">
        <v>999</v>
      </c>
      <c r="Z87" s="137">
        <v>680</v>
      </c>
      <c r="AA87" s="137">
        <v>699</v>
      </c>
      <c r="AB87" s="137">
        <v>6</v>
      </c>
      <c r="AC87" s="137">
        <v>999999</v>
      </c>
      <c r="AD87" s="135">
        <v>0</v>
      </c>
      <c r="AE87" s="135">
        <v>75</v>
      </c>
      <c r="AF87" s="170">
        <v>0</v>
      </c>
      <c r="AG87" s="171">
        <v>1</v>
      </c>
      <c r="AH87" s="171">
        <v>1</v>
      </c>
      <c r="AI87" s="171">
        <v>1</v>
      </c>
      <c r="AJ87" s="171">
        <v>0</v>
      </c>
      <c r="AK87" s="171">
        <v>0</v>
      </c>
      <c r="AL87" s="171">
        <v>1</v>
      </c>
      <c r="AM87" s="171">
        <v>1</v>
      </c>
      <c r="AN87" s="171">
        <v>1</v>
      </c>
      <c r="AO87" s="171">
        <v>1</v>
      </c>
      <c r="AP87" s="171">
        <v>1</v>
      </c>
      <c r="AQ87" s="171">
        <v>1</v>
      </c>
      <c r="AR87" s="171">
        <v>1</v>
      </c>
      <c r="AS87" s="171">
        <v>1</v>
      </c>
      <c r="AT87" s="171">
        <v>1</v>
      </c>
      <c r="AU87" s="171">
        <f t="shared" si="24"/>
        <v>0</v>
      </c>
      <c r="AV87" s="171">
        <f t="shared" si="25"/>
        <v>1</v>
      </c>
      <c r="AW87" s="171">
        <f t="shared" si="26"/>
        <v>1</v>
      </c>
      <c r="AX87" s="171">
        <f t="shared" si="5"/>
        <v>1</v>
      </c>
      <c r="AY87" s="171">
        <f t="shared" si="27"/>
        <v>0</v>
      </c>
      <c r="AZ87" s="171">
        <f t="shared" si="28"/>
        <v>1</v>
      </c>
      <c r="BA87" s="172">
        <f t="shared" si="29"/>
        <v>1</v>
      </c>
      <c r="BB87" s="175">
        <f t="shared" si="31"/>
        <v>17</v>
      </c>
      <c r="BC87" s="176">
        <f t="shared" si="32"/>
        <v>16</v>
      </c>
      <c r="BD87" s="176">
        <f t="shared" si="33"/>
        <v>17</v>
      </c>
      <c r="BE87" s="240" t="str">
        <f t="shared" si="30"/>
        <v/>
      </c>
      <c r="BH87" s="198">
        <f>IF(AND(Input_Product=Elig!$C87,Elig_MatchAll_Ct&lt;22,$BC87=(Elig_MatchAll_Ct-1),AF87=0),C87,0)</f>
        <v>0</v>
      </c>
      <c r="BI87" s="199">
        <f>IF(AND(Input_Product=Elig!$C87,Elig_MatchAll_Ct&lt;22,$BC87=(Elig_MatchAll_Ct-1),AG87=0),D87,0)</f>
        <v>0</v>
      </c>
      <c r="BJ87" s="199">
        <f>IF(AND(Input_Product=Elig!$C87,Elig_MatchAll_Ct&lt;22,$BC87=(Elig_MatchAll_Ct-1),AH87=0),E87,0)</f>
        <v>0</v>
      </c>
      <c r="BK87" s="199">
        <f>IF(AND(Input_Product=Elig!$C87,Elig_MatchAll_Ct&lt;22,$BC87=(Elig_MatchAll_Ct-1),AI87=0),F87,0)</f>
        <v>0</v>
      </c>
      <c r="BL87" s="199">
        <f>IF(AND(Input_Product=Elig!$C87,Elig_MatchAll_Ct&lt;22,$BC87=(Elig_MatchAll_Ct-1),AJ87=0),G87,0)</f>
        <v>0</v>
      </c>
      <c r="BM87" s="199">
        <f>IF(AND(Input_Product=Elig!$C87,Elig_MatchAll_Ct&lt;22,$BC87=(Elig_MatchAll_Ct-1),AK87=0),H87,0)</f>
        <v>0</v>
      </c>
      <c r="BN87" s="199">
        <f>IF(AND(Input_Product=Elig!$C87,Elig_MatchAll_Ct&lt;22,$BC87=(Elig_MatchAll_Ct-1),AL87=0),I87,0)</f>
        <v>0</v>
      </c>
      <c r="BO87" s="199">
        <f>IF(AND(Input_Product=Elig!$C87,Elig_MatchAll_Ct&lt;22,$BC87=(Elig_MatchAll_Ct-1),AM87=0),J87,0)</f>
        <v>0</v>
      </c>
      <c r="BP87" s="199">
        <f>IF(AND(Input_Product=Elig!$C87,Elig_MatchAll_Ct&lt;22,$BC87=(Elig_MatchAll_Ct-1),AN87=0),K87,0)</f>
        <v>0</v>
      </c>
      <c r="BQ87" s="199">
        <f>IF(AND(Input_Product=Elig!$C87,Elig_MatchAll_Ct&lt;22,$BC87=(Elig_MatchAll_Ct-1),AP87=0),L87,0)</f>
        <v>0</v>
      </c>
      <c r="BR87" s="199">
        <f>IF(AND(Input_Product=Elig!$C87,Elig_MatchAll_Ct&lt;22,$BC87=(Elig_MatchAll_Ct-1),AO87=0),M87,0)</f>
        <v>0</v>
      </c>
      <c r="BS87" s="199">
        <f>IF(AND(Input_Product=Elig!$C87,Elig_MatchAll_Ct&lt;22,$BC87=(Elig_MatchAll_Ct-1),AQ87=0),N87,0)</f>
        <v>0</v>
      </c>
      <c r="BT87" s="199">
        <f>IF(AND(Input_Product=Elig!$C87,Elig_MatchAll_Ct&lt;22,$BC87=(Elig_MatchAll_Ct-1),AR87=0),O87,0)</f>
        <v>0</v>
      </c>
      <c r="BU87" s="199">
        <f>IF(AND(Input_Product=Elig!$C87,Elig_MatchAll_Ct&lt;22,$BC87=(Elig_MatchAll_Ct-1),AS87=0),P87,0)</f>
        <v>0</v>
      </c>
      <c r="BV87" s="200">
        <f>IF(AND(Input_Product=Elig!$C87,Elig_MatchAll_Ct&lt;22,$BC87=(Elig_MatchAll_Ct-1),AT87=0),Q87,0)</f>
        <v>0</v>
      </c>
      <c r="BW87" s="201">
        <f>IF(AND(Input_Product=Elig!$C87,Elig_MatchAll_Ct&lt;22,$BC87=(Elig_MatchAll_Ct-1),AU87=0),R87,0)</f>
        <v>0</v>
      </c>
      <c r="BX87" s="202">
        <f>IF(AND(Input_Product=Elig!$C87,Elig_MatchAll_Ct&lt;22,$BC87=(Elig_MatchAll_Ct-1),AU87=0),S87,0)</f>
        <v>0</v>
      </c>
      <c r="BY87" s="201">
        <f>IF(AND(Input_Product=Elig!$C87,Elig_MatchAll_Ct&lt;22,$BC87=(Elig_MatchAll_Ct-1),AV87=0),T87,0)</f>
        <v>0</v>
      </c>
      <c r="BZ87" s="202">
        <f>IF(AND(Input_Product=Elig!$C87,Elig_MatchAll_Ct&lt;22,$BC87=(Elig_MatchAll_Ct-1),AV87=0),U87,0)</f>
        <v>0</v>
      </c>
      <c r="CA87" s="201">
        <f>IF(AND(Input_Product=Elig!$C87,Elig_MatchAll_Ct&lt;22,$BC87=(Elig_MatchAll_Ct-1),AW87=0),V87,0)</f>
        <v>0</v>
      </c>
      <c r="CB87" s="202">
        <f>IF(AND(Input_Product=Elig!$C87,Elig_MatchAll_Ct&lt;22,$BC87=(Elig_MatchAll_Ct-1),AW87=0),W87,0)</f>
        <v>0</v>
      </c>
      <c r="CC87" s="201">
        <f>IF(AND(Input_Product=Elig!$C87,Elig_MatchAll_Ct&lt;22,$BC87=(Elig_MatchAll_Ct-1),AX87=0),X87,0)</f>
        <v>0</v>
      </c>
      <c r="CD87" s="202">
        <f>IF(AND(Input_Product=Elig!$C87,Elig_MatchAll_Ct&lt;22,$BC87=(Elig_MatchAll_Ct-1),AX87=0),Y87,0)</f>
        <v>0</v>
      </c>
      <c r="CE87" s="201">
        <f>IF(AND(Input_LTV&lt;=AE87,Input_Product=Elig!$C87,Elig_MatchAll_Ct&lt;22,$BC87=(Elig_MatchAll_Ct-1),AY87=0),Z87,0)</f>
        <v>0</v>
      </c>
      <c r="CF87" s="202">
        <f>IF(AND(Input_LTV&lt;=AE87,Input_Product=Elig!$C87,Elig_MatchAll_Ct&lt;22,$BC87=(Elig_MatchAll_Ct-1),AY87=0),AA87,0)</f>
        <v>0</v>
      </c>
      <c r="CG87" s="201">
        <f>IF(AND(Input_Product=Elig!$C87,Elig_MatchAll_Ct&lt;22,$BC87=(Elig_MatchAll_Ct-1),AZ87=0),AB87,0)</f>
        <v>0</v>
      </c>
      <c r="CH87" s="202">
        <f>IF(AND(Input_Product=Elig!$C87,Elig_MatchAll_Ct&lt;22,$BC87=(Elig_MatchAll_Ct-1),AZ87=0),AC87,0)</f>
        <v>0</v>
      </c>
      <c r="CI87" s="201">
        <f>IF(AND(Input_Product=Elig!$C87,Elig_MatchAll_Ct&lt;22,$BC87=(Elig_MatchAll_Ct-1),BA87=0),AD87,0)</f>
        <v>0</v>
      </c>
      <c r="CJ87" s="203">
        <f>IF(AND(Input_Product=Elig!$C87,Elig_MatchAll_Ct&lt;22,$BC87=(Elig_MatchAll_Ct-1),BA87=0),AE87,0)</f>
        <v>0</v>
      </c>
    </row>
    <row r="88" spans="2:88" ht="10.15" customHeight="1" x14ac:dyDescent="0.25">
      <c r="B88" s="1912" t="s">
        <v>842</v>
      </c>
      <c r="C88" s="134" t="str">
        <f t="shared" si="35"/>
        <v>NonQM OO</v>
      </c>
      <c r="D88" s="135" t="s">
        <v>3885</v>
      </c>
      <c r="E88" s="135" t="s">
        <v>167</v>
      </c>
      <c r="F88" s="135" t="s">
        <v>331</v>
      </c>
      <c r="G88" s="135" t="s">
        <v>304</v>
      </c>
      <c r="H88" s="135" t="s">
        <v>446</v>
      </c>
      <c r="I88" s="135" t="s">
        <v>16</v>
      </c>
      <c r="J88" s="135" t="s">
        <v>1311</v>
      </c>
      <c r="K88" s="135" t="s">
        <v>1631</v>
      </c>
      <c r="L88" s="221" t="s">
        <v>3920</v>
      </c>
      <c r="M88" s="135" t="s">
        <v>4203</v>
      </c>
      <c r="N88" s="135" t="s">
        <v>82</v>
      </c>
      <c r="O88" s="135" t="s">
        <v>310</v>
      </c>
      <c r="P88" s="135" t="s">
        <v>291</v>
      </c>
      <c r="Q88" s="135" t="s">
        <v>294</v>
      </c>
      <c r="R88" s="135">
        <v>1000000.01</v>
      </c>
      <c r="S88" s="135">
        <v>1500000</v>
      </c>
      <c r="T88" s="135">
        <v>0</v>
      </c>
      <c r="U88" s="135">
        <f t="shared" si="36"/>
        <v>1500000</v>
      </c>
      <c r="V88" s="135">
        <v>0</v>
      </c>
      <c r="W88" s="135">
        <v>55</v>
      </c>
      <c r="X88" s="135">
        <v>0</v>
      </c>
      <c r="Y88" s="135">
        <v>999</v>
      </c>
      <c r="Z88" s="137">
        <v>660</v>
      </c>
      <c r="AA88" s="137">
        <v>679</v>
      </c>
      <c r="AB88" s="137">
        <v>6</v>
      </c>
      <c r="AC88" s="137">
        <v>999999</v>
      </c>
      <c r="AD88" s="135">
        <v>0</v>
      </c>
      <c r="AE88" s="135">
        <v>75</v>
      </c>
      <c r="AF88" s="170">
        <v>0</v>
      </c>
      <c r="AG88" s="171">
        <v>1</v>
      </c>
      <c r="AH88" s="171">
        <v>1</v>
      </c>
      <c r="AI88" s="171">
        <v>1</v>
      </c>
      <c r="AJ88" s="171">
        <v>0</v>
      </c>
      <c r="AK88" s="171">
        <v>0</v>
      </c>
      <c r="AL88" s="171">
        <v>1</v>
      </c>
      <c r="AM88" s="171">
        <v>1</v>
      </c>
      <c r="AN88" s="171">
        <v>1</v>
      </c>
      <c r="AO88" s="171">
        <v>1</v>
      </c>
      <c r="AP88" s="171">
        <v>1</v>
      </c>
      <c r="AQ88" s="171">
        <v>1</v>
      </c>
      <c r="AR88" s="171">
        <v>1</v>
      </c>
      <c r="AS88" s="171">
        <v>1</v>
      </c>
      <c r="AT88" s="171">
        <v>1</v>
      </c>
      <c r="AU88" s="171">
        <f t="shared" si="24"/>
        <v>0</v>
      </c>
      <c r="AV88" s="171">
        <f t="shared" si="25"/>
        <v>1</v>
      </c>
      <c r="AW88" s="171">
        <f t="shared" si="26"/>
        <v>1</v>
      </c>
      <c r="AX88" s="171">
        <f t="shared" si="5"/>
        <v>1</v>
      </c>
      <c r="AY88" s="171">
        <f t="shared" si="27"/>
        <v>0</v>
      </c>
      <c r="AZ88" s="171">
        <f t="shared" si="28"/>
        <v>1</v>
      </c>
      <c r="BA88" s="172">
        <f t="shared" si="29"/>
        <v>1</v>
      </c>
      <c r="BB88" s="175">
        <f t="shared" si="31"/>
        <v>17</v>
      </c>
      <c r="BC88" s="176">
        <f t="shared" si="32"/>
        <v>16</v>
      </c>
      <c r="BD88" s="176">
        <f t="shared" si="33"/>
        <v>17</v>
      </c>
      <c r="BE88" s="240" t="str">
        <f t="shared" si="30"/>
        <v/>
      </c>
      <c r="BH88" s="198">
        <f>IF(AND(Input_Product=Elig!$C88,Elig_MatchAll_Ct&lt;22,$BC88=(Elig_MatchAll_Ct-1),AF88=0),C88,0)</f>
        <v>0</v>
      </c>
      <c r="BI88" s="199">
        <f>IF(AND(Input_Product=Elig!$C88,Elig_MatchAll_Ct&lt;22,$BC88=(Elig_MatchAll_Ct-1),AG88=0),D88,0)</f>
        <v>0</v>
      </c>
      <c r="BJ88" s="199">
        <f>IF(AND(Input_Product=Elig!$C88,Elig_MatchAll_Ct&lt;22,$BC88=(Elig_MatchAll_Ct-1),AH88=0),E88,0)</f>
        <v>0</v>
      </c>
      <c r="BK88" s="199">
        <f>IF(AND(Input_Product=Elig!$C88,Elig_MatchAll_Ct&lt;22,$BC88=(Elig_MatchAll_Ct-1),AI88=0),F88,0)</f>
        <v>0</v>
      </c>
      <c r="BL88" s="199">
        <f>IF(AND(Input_Product=Elig!$C88,Elig_MatchAll_Ct&lt;22,$BC88=(Elig_MatchAll_Ct-1),AJ88=0),G88,0)</f>
        <v>0</v>
      </c>
      <c r="BM88" s="199">
        <f>IF(AND(Input_Product=Elig!$C88,Elig_MatchAll_Ct&lt;22,$BC88=(Elig_MatchAll_Ct-1),AK88=0),H88,0)</f>
        <v>0</v>
      </c>
      <c r="BN88" s="199">
        <f>IF(AND(Input_Product=Elig!$C88,Elig_MatchAll_Ct&lt;22,$BC88=(Elig_MatchAll_Ct-1),AL88=0),I88,0)</f>
        <v>0</v>
      </c>
      <c r="BO88" s="199">
        <f>IF(AND(Input_Product=Elig!$C88,Elig_MatchAll_Ct&lt;22,$BC88=(Elig_MatchAll_Ct-1),AM88=0),J88,0)</f>
        <v>0</v>
      </c>
      <c r="BP88" s="199">
        <f>IF(AND(Input_Product=Elig!$C88,Elig_MatchAll_Ct&lt;22,$BC88=(Elig_MatchAll_Ct-1),AN88=0),K88,0)</f>
        <v>0</v>
      </c>
      <c r="BQ88" s="199">
        <f>IF(AND(Input_Product=Elig!$C88,Elig_MatchAll_Ct&lt;22,$BC88=(Elig_MatchAll_Ct-1),AP88=0),L88,0)</f>
        <v>0</v>
      </c>
      <c r="BR88" s="199">
        <f>IF(AND(Input_Product=Elig!$C88,Elig_MatchAll_Ct&lt;22,$BC88=(Elig_MatchAll_Ct-1),AO88=0),M88,0)</f>
        <v>0</v>
      </c>
      <c r="BS88" s="199">
        <f>IF(AND(Input_Product=Elig!$C88,Elig_MatchAll_Ct&lt;22,$BC88=(Elig_MatchAll_Ct-1),AQ88=0),N88,0)</f>
        <v>0</v>
      </c>
      <c r="BT88" s="199">
        <f>IF(AND(Input_Product=Elig!$C88,Elig_MatchAll_Ct&lt;22,$BC88=(Elig_MatchAll_Ct-1),AR88=0),O88,0)</f>
        <v>0</v>
      </c>
      <c r="BU88" s="199">
        <f>IF(AND(Input_Product=Elig!$C88,Elig_MatchAll_Ct&lt;22,$BC88=(Elig_MatchAll_Ct-1),AS88=0),P88,0)</f>
        <v>0</v>
      </c>
      <c r="BV88" s="200">
        <f>IF(AND(Input_Product=Elig!$C88,Elig_MatchAll_Ct&lt;22,$BC88=(Elig_MatchAll_Ct-1),AT88=0),Q88,0)</f>
        <v>0</v>
      </c>
      <c r="BW88" s="201">
        <f>IF(AND(Input_Product=Elig!$C88,Elig_MatchAll_Ct&lt;22,$BC88=(Elig_MatchAll_Ct-1),AU88=0),R88,0)</f>
        <v>0</v>
      </c>
      <c r="BX88" s="202">
        <f>IF(AND(Input_Product=Elig!$C88,Elig_MatchAll_Ct&lt;22,$BC88=(Elig_MatchAll_Ct-1),AU88=0),S88,0)</f>
        <v>0</v>
      </c>
      <c r="BY88" s="201">
        <f>IF(AND(Input_Product=Elig!$C88,Elig_MatchAll_Ct&lt;22,$BC88=(Elig_MatchAll_Ct-1),AV88=0),T88,0)</f>
        <v>0</v>
      </c>
      <c r="BZ88" s="202">
        <f>IF(AND(Input_Product=Elig!$C88,Elig_MatchAll_Ct&lt;22,$BC88=(Elig_MatchAll_Ct-1),AV88=0),U88,0)</f>
        <v>0</v>
      </c>
      <c r="CA88" s="201">
        <f>IF(AND(Input_Product=Elig!$C88,Elig_MatchAll_Ct&lt;22,$BC88=(Elig_MatchAll_Ct-1),AW88=0),V88,0)</f>
        <v>0</v>
      </c>
      <c r="CB88" s="202">
        <f>IF(AND(Input_Product=Elig!$C88,Elig_MatchAll_Ct&lt;22,$BC88=(Elig_MatchAll_Ct-1),AW88=0),W88,0)</f>
        <v>0</v>
      </c>
      <c r="CC88" s="201">
        <f>IF(AND(Input_Product=Elig!$C88,Elig_MatchAll_Ct&lt;22,$BC88=(Elig_MatchAll_Ct-1),AX88=0),X88,0)</f>
        <v>0</v>
      </c>
      <c r="CD88" s="202">
        <f>IF(AND(Input_Product=Elig!$C88,Elig_MatchAll_Ct&lt;22,$BC88=(Elig_MatchAll_Ct-1),AX88=0),Y88,0)</f>
        <v>0</v>
      </c>
      <c r="CE88" s="201">
        <f>IF(AND(Input_LTV&lt;=AE88,Input_Product=Elig!$C88,Elig_MatchAll_Ct&lt;22,$BC88=(Elig_MatchAll_Ct-1),AY88=0),Z88,0)</f>
        <v>0</v>
      </c>
      <c r="CF88" s="202">
        <f>IF(AND(Input_LTV&lt;=AE88,Input_Product=Elig!$C88,Elig_MatchAll_Ct&lt;22,$BC88=(Elig_MatchAll_Ct-1),AY88=0),AA88,0)</f>
        <v>0</v>
      </c>
      <c r="CG88" s="201">
        <f>IF(AND(Input_Product=Elig!$C88,Elig_MatchAll_Ct&lt;22,$BC88=(Elig_MatchAll_Ct-1),AZ88=0),AB88,0)</f>
        <v>0</v>
      </c>
      <c r="CH88" s="202">
        <f>IF(AND(Input_Product=Elig!$C88,Elig_MatchAll_Ct&lt;22,$BC88=(Elig_MatchAll_Ct-1),AZ88=0),AC88,0)</f>
        <v>0</v>
      </c>
      <c r="CI88" s="201">
        <f>IF(AND(Input_Product=Elig!$C88,Elig_MatchAll_Ct&lt;22,$BC88=(Elig_MatchAll_Ct-1),BA88=0),AD88,0)</f>
        <v>0</v>
      </c>
      <c r="CJ88" s="203">
        <f>IF(AND(Input_Product=Elig!$C88,Elig_MatchAll_Ct&lt;22,$BC88=(Elig_MatchAll_Ct-1),BA88=0),AE88,0)</f>
        <v>0</v>
      </c>
    </row>
    <row r="89" spans="2:88" ht="10.15" customHeight="1" x14ac:dyDescent="0.25">
      <c r="B89" s="1912" t="s">
        <v>843</v>
      </c>
      <c r="C89" s="134" t="str">
        <f t="shared" si="35"/>
        <v>NonQM OO</v>
      </c>
      <c r="D89" s="135" t="s">
        <v>3885</v>
      </c>
      <c r="E89" s="135" t="s">
        <v>167</v>
      </c>
      <c r="F89" s="135" t="s">
        <v>331</v>
      </c>
      <c r="G89" s="135" t="s">
        <v>304</v>
      </c>
      <c r="H89" s="135" t="s">
        <v>446</v>
      </c>
      <c r="I89" s="135" t="s">
        <v>16</v>
      </c>
      <c r="J89" s="135" t="s">
        <v>1311</v>
      </c>
      <c r="K89" s="135" t="s">
        <v>1631</v>
      </c>
      <c r="L89" s="221" t="s">
        <v>3920</v>
      </c>
      <c r="M89" s="135" t="s">
        <v>4203</v>
      </c>
      <c r="N89" s="135" t="s">
        <v>82</v>
      </c>
      <c r="O89" s="135" t="s">
        <v>310</v>
      </c>
      <c r="P89" s="135" t="s">
        <v>291</v>
      </c>
      <c r="Q89" s="135" t="s">
        <v>294</v>
      </c>
      <c r="R89" s="135">
        <v>1000000.01</v>
      </c>
      <c r="S89" s="135">
        <v>1500000</v>
      </c>
      <c r="T89" s="135">
        <v>0</v>
      </c>
      <c r="U89" s="135">
        <f t="shared" si="36"/>
        <v>1500000</v>
      </c>
      <c r="V89" s="135">
        <v>0</v>
      </c>
      <c r="W89" s="135">
        <v>55</v>
      </c>
      <c r="X89" s="135">
        <v>0</v>
      </c>
      <c r="Y89" s="135">
        <v>999</v>
      </c>
      <c r="Z89" s="137">
        <v>640</v>
      </c>
      <c r="AA89" s="137">
        <v>659</v>
      </c>
      <c r="AB89" s="137">
        <v>6</v>
      </c>
      <c r="AC89" s="137">
        <v>999999</v>
      </c>
      <c r="AD89" s="135">
        <v>0</v>
      </c>
      <c r="AE89" s="135">
        <v>65</v>
      </c>
      <c r="AF89" s="170">
        <v>0</v>
      </c>
      <c r="AG89" s="171">
        <v>1</v>
      </c>
      <c r="AH89" s="171">
        <v>1</v>
      </c>
      <c r="AI89" s="171">
        <v>1</v>
      </c>
      <c r="AJ89" s="171">
        <v>0</v>
      </c>
      <c r="AK89" s="171">
        <v>0</v>
      </c>
      <c r="AL89" s="171">
        <v>1</v>
      </c>
      <c r="AM89" s="171">
        <v>1</v>
      </c>
      <c r="AN89" s="171">
        <v>1</v>
      </c>
      <c r="AO89" s="171">
        <v>1</v>
      </c>
      <c r="AP89" s="171">
        <v>1</v>
      </c>
      <c r="AQ89" s="171">
        <v>1</v>
      </c>
      <c r="AR89" s="171">
        <v>1</v>
      </c>
      <c r="AS89" s="171">
        <v>1</v>
      </c>
      <c r="AT89" s="171">
        <v>1</v>
      </c>
      <c r="AU89" s="171">
        <f t="shared" si="24"/>
        <v>0</v>
      </c>
      <c r="AV89" s="171">
        <f t="shared" si="25"/>
        <v>1</v>
      </c>
      <c r="AW89" s="171">
        <f t="shared" si="26"/>
        <v>1</v>
      </c>
      <c r="AX89" s="171">
        <f t="shared" ref="AX89:AX146" si="37">IF(AND(Input_DSCR&gt;=Elig_DSCR_Min,Input_DSCR&lt;=Elig_DSCR_Max),1,0)</f>
        <v>1</v>
      </c>
      <c r="AY89" s="171">
        <f t="shared" si="27"/>
        <v>0</v>
      </c>
      <c r="AZ89" s="171">
        <f t="shared" si="28"/>
        <v>1</v>
      </c>
      <c r="BA89" s="172">
        <f t="shared" si="29"/>
        <v>1</v>
      </c>
      <c r="BB89" s="175">
        <f t="shared" si="31"/>
        <v>17</v>
      </c>
      <c r="BC89" s="176">
        <f t="shared" si="32"/>
        <v>16</v>
      </c>
      <c r="BD89" s="176">
        <f t="shared" si="33"/>
        <v>17</v>
      </c>
      <c r="BE89" s="240" t="str">
        <f t="shared" si="30"/>
        <v/>
      </c>
      <c r="BH89" s="198">
        <f>IF(AND(Input_Product=Elig!$C89,Elig_MatchAll_Ct&lt;22,$BC89=(Elig_MatchAll_Ct-1),AF89=0),C89,0)</f>
        <v>0</v>
      </c>
      <c r="BI89" s="199">
        <f>IF(AND(Input_Product=Elig!$C89,Elig_MatchAll_Ct&lt;22,$BC89=(Elig_MatchAll_Ct-1),AG89=0),D89,0)</f>
        <v>0</v>
      </c>
      <c r="BJ89" s="199">
        <f>IF(AND(Input_Product=Elig!$C89,Elig_MatchAll_Ct&lt;22,$BC89=(Elig_MatchAll_Ct-1),AH89=0),E89,0)</f>
        <v>0</v>
      </c>
      <c r="BK89" s="199">
        <f>IF(AND(Input_Product=Elig!$C89,Elig_MatchAll_Ct&lt;22,$BC89=(Elig_MatchAll_Ct-1),AI89=0),F89,0)</f>
        <v>0</v>
      </c>
      <c r="BL89" s="199">
        <f>IF(AND(Input_Product=Elig!$C89,Elig_MatchAll_Ct&lt;22,$BC89=(Elig_MatchAll_Ct-1),AJ89=0),G89,0)</f>
        <v>0</v>
      </c>
      <c r="BM89" s="199">
        <f>IF(AND(Input_Product=Elig!$C89,Elig_MatchAll_Ct&lt;22,$BC89=(Elig_MatchAll_Ct-1),AK89=0),H89,0)</f>
        <v>0</v>
      </c>
      <c r="BN89" s="199">
        <f>IF(AND(Input_Product=Elig!$C89,Elig_MatchAll_Ct&lt;22,$BC89=(Elig_MatchAll_Ct-1),AL89=0),I89,0)</f>
        <v>0</v>
      </c>
      <c r="BO89" s="199">
        <f>IF(AND(Input_Product=Elig!$C89,Elig_MatchAll_Ct&lt;22,$BC89=(Elig_MatchAll_Ct-1),AM89=0),J89,0)</f>
        <v>0</v>
      </c>
      <c r="BP89" s="199">
        <f>IF(AND(Input_Product=Elig!$C89,Elig_MatchAll_Ct&lt;22,$BC89=(Elig_MatchAll_Ct-1),AN89=0),K89,0)</f>
        <v>0</v>
      </c>
      <c r="BQ89" s="199">
        <f>IF(AND(Input_Product=Elig!$C89,Elig_MatchAll_Ct&lt;22,$BC89=(Elig_MatchAll_Ct-1),AP89=0),L89,0)</f>
        <v>0</v>
      </c>
      <c r="BR89" s="199">
        <f>IF(AND(Input_Product=Elig!$C89,Elig_MatchAll_Ct&lt;22,$BC89=(Elig_MatchAll_Ct-1),AO89=0),M89,0)</f>
        <v>0</v>
      </c>
      <c r="BS89" s="199">
        <f>IF(AND(Input_Product=Elig!$C89,Elig_MatchAll_Ct&lt;22,$BC89=(Elig_MatchAll_Ct-1),AQ89=0),N89,0)</f>
        <v>0</v>
      </c>
      <c r="BT89" s="199">
        <f>IF(AND(Input_Product=Elig!$C89,Elig_MatchAll_Ct&lt;22,$BC89=(Elig_MatchAll_Ct-1),AR89=0),O89,0)</f>
        <v>0</v>
      </c>
      <c r="BU89" s="199">
        <f>IF(AND(Input_Product=Elig!$C89,Elig_MatchAll_Ct&lt;22,$BC89=(Elig_MatchAll_Ct-1),AS89=0),P89,0)</f>
        <v>0</v>
      </c>
      <c r="BV89" s="200">
        <f>IF(AND(Input_Product=Elig!$C89,Elig_MatchAll_Ct&lt;22,$BC89=(Elig_MatchAll_Ct-1),AT89=0),Q89,0)</f>
        <v>0</v>
      </c>
      <c r="BW89" s="201">
        <f>IF(AND(Input_Product=Elig!$C89,Elig_MatchAll_Ct&lt;22,$BC89=(Elig_MatchAll_Ct-1),AU89=0),R89,0)</f>
        <v>0</v>
      </c>
      <c r="BX89" s="202">
        <f>IF(AND(Input_Product=Elig!$C89,Elig_MatchAll_Ct&lt;22,$BC89=(Elig_MatchAll_Ct-1),AU89=0),S89,0)</f>
        <v>0</v>
      </c>
      <c r="BY89" s="201">
        <f>IF(AND(Input_Product=Elig!$C89,Elig_MatchAll_Ct&lt;22,$BC89=(Elig_MatchAll_Ct-1),AV89=0),T89,0)</f>
        <v>0</v>
      </c>
      <c r="BZ89" s="202">
        <f>IF(AND(Input_Product=Elig!$C89,Elig_MatchAll_Ct&lt;22,$BC89=(Elig_MatchAll_Ct-1),AV89=0),U89,0)</f>
        <v>0</v>
      </c>
      <c r="CA89" s="201">
        <f>IF(AND(Input_Product=Elig!$C89,Elig_MatchAll_Ct&lt;22,$BC89=(Elig_MatchAll_Ct-1),AW89=0),V89,0)</f>
        <v>0</v>
      </c>
      <c r="CB89" s="202">
        <f>IF(AND(Input_Product=Elig!$C89,Elig_MatchAll_Ct&lt;22,$BC89=(Elig_MatchAll_Ct-1),AW89=0),W89,0)</f>
        <v>0</v>
      </c>
      <c r="CC89" s="201">
        <f>IF(AND(Input_Product=Elig!$C89,Elig_MatchAll_Ct&lt;22,$BC89=(Elig_MatchAll_Ct-1),AX89=0),X89,0)</f>
        <v>0</v>
      </c>
      <c r="CD89" s="202">
        <f>IF(AND(Input_Product=Elig!$C89,Elig_MatchAll_Ct&lt;22,$BC89=(Elig_MatchAll_Ct-1),AX89=0),Y89,0)</f>
        <v>0</v>
      </c>
      <c r="CE89" s="201">
        <f>IF(AND(Input_LTV&lt;=AE89,Input_Product=Elig!$C89,Elig_MatchAll_Ct&lt;22,$BC89=(Elig_MatchAll_Ct-1),AY89=0),Z89,0)</f>
        <v>0</v>
      </c>
      <c r="CF89" s="202">
        <f>IF(AND(Input_LTV&lt;=AE89,Input_Product=Elig!$C89,Elig_MatchAll_Ct&lt;22,$BC89=(Elig_MatchAll_Ct-1),AY89=0),AA89,0)</f>
        <v>0</v>
      </c>
      <c r="CG89" s="201">
        <f>IF(AND(Input_Product=Elig!$C89,Elig_MatchAll_Ct&lt;22,$BC89=(Elig_MatchAll_Ct-1),AZ89=0),AB89,0)</f>
        <v>0</v>
      </c>
      <c r="CH89" s="202">
        <f>IF(AND(Input_Product=Elig!$C89,Elig_MatchAll_Ct&lt;22,$BC89=(Elig_MatchAll_Ct-1),AZ89=0),AC89,0)</f>
        <v>0</v>
      </c>
      <c r="CI89" s="201">
        <f>IF(AND(Input_Product=Elig!$C89,Elig_MatchAll_Ct&lt;22,$BC89=(Elig_MatchAll_Ct-1),BA89=0),AD89,0)</f>
        <v>0</v>
      </c>
      <c r="CJ89" s="203">
        <f>IF(AND(Input_Product=Elig!$C89,Elig_MatchAll_Ct&lt;22,$BC89=(Elig_MatchAll_Ct-1),BA89=0),AE89,0)</f>
        <v>0</v>
      </c>
    </row>
    <row r="90" spans="2:88" ht="10.15" customHeight="1" x14ac:dyDescent="0.25">
      <c r="B90" s="1912" t="s">
        <v>844</v>
      </c>
      <c r="C90" s="138" t="str">
        <f t="shared" si="35"/>
        <v>NonQM OO</v>
      </c>
      <c r="D90" s="139" t="s">
        <v>3885</v>
      </c>
      <c r="E90" s="139" t="s">
        <v>167</v>
      </c>
      <c r="F90" s="139" t="s">
        <v>331</v>
      </c>
      <c r="G90" s="139" t="s">
        <v>304</v>
      </c>
      <c r="H90" s="139" t="s">
        <v>446</v>
      </c>
      <c r="I90" s="139" t="s">
        <v>16</v>
      </c>
      <c r="J90" s="139" t="s">
        <v>1311</v>
      </c>
      <c r="K90" s="139" t="s">
        <v>1631</v>
      </c>
      <c r="L90" s="310" t="s">
        <v>3920</v>
      </c>
      <c r="M90" s="139" t="s">
        <v>4203</v>
      </c>
      <c r="N90" s="139" t="s">
        <v>82</v>
      </c>
      <c r="O90" s="139" t="s">
        <v>310</v>
      </c>
      <c r="P90" s="139" t="s">
        <v>291</v>
      </c>
      <c r="Q90" s="139" t="s">
        <v>294</v>
      </c>
      <c r="R90" s="139">
        <v>1000000.01</v>
      </c>
      <c r="S90" s="139">
        <v>1500000</v>
      </c>
      <c r="T90" s="139">
        <v>0</v>
      </c>
      <c r="U90" s="139">
        <f t="shared" si="36"/>
        <v>1500000</v>
      </c>
      <c r="V90" s="139">
        <v>0</v>
      </c>
      <c r="W90" s="139">
        <v>55</v>
      </c>
      <c r="X90" s="139">
        <v>0</v>
      </c>
      <c r="Y90" s="139">
        <v>999</v>
      </c>
      <c r="Z90" s="140">
        <v>620</v>
      </c>
      <c r="AA90" s="140">
        <v>639</v>
      </c>
      <c r="AB90" s="140">
        <v>6</v>
      </c>
      <c r="AC90" s="140">
        <v>999999</v>
      </c>
      <c r="AD90" s="139">
        <v>0</v>
      </c>
      <c r="AE90" s="310">
        <v>65</v>
      </c>
      <c r="AF90" s="170">
        <v>0</v>
      </c>
      <c r="AG90" s="171">
        <v>1</v>
      </c>
      <c r="AH90" s="171">
        <v>1</v>
      </c>
      <c r="AI90" s="171">
        <v>1</v>
      </c>
      <c r="AJ90" s="171">
        <v>0</v>
      </c>
      <c r="AK90" s="171">
        <v>0</v>
      </c>
      <c r="AL90" s="171">
        <v>1</v>
      </c>
      <c r="AM90" s="171">
        <v>1</v>
      </c>
      <c r="AN90" s="171">
        <v>1</v>
      </c>
      <c r="AO90" s="171">
        <v>1</v>
      </c>
      <c r="AP90" s="171">
        <v>1</v>
      </c>
      <c r="AQ90" s="171">
        <v>1</v>
      </c>
      <c r="AR90" s="171">
        <v>1</v>
      </c>
      <c r="AS90" s="171">
        <v>1</v>
      </c>
      <c r="AT90" s="171">
        <v>1</v>
      </c>
      <c r="AU90" s="171">
        <f t="shared" si="24"/>
        <v>0</v>
      </c>
      <c r="AV90" s="171">
        <f t="shared" si="25"/>
        <v>1</v>
      </c>
      <c r="AW90" s="171">
        <f t="shared" si="26"/>
        <v>1</v>
      </c>
      <c r="AX90" s="171">
        <f t="shared" si="37"/>
        <v>1</v>
      </c>
      <c r="AY90" s="171">
        <f t="shared" si="27"/>
        <v>0</v>
      </c>
      <c r="AZ90" s="171">
        <f t="shared" si="28"/>
        <v>1</v>
      </c>
      <c r="BA90" s="172">
        <f t="shared" si="29"/>
        <v>1</v>
      </c>
      <c r="BB90" s="175">
        <f t="shared" si="31"/>
        <v>17</v>
      </c>
      <c r="BC90" s="176">
        <f t="shared" si="32"/>
        <v>16</v>
      </c>
      <c r="BD90" s="176">
        <f t="shared" si="33"/>
        <v>17</v>
      </c>
      <c r="BE90" s="240" t="str">
        <f t="shared" si="30"/>
        <v/>
      </c>
      <c r="BH90" s="204">
        <f>IF(AND(Input_Product=Elig!$C90,Elig_MatchAll_Ct&lt;22,$BC90=(Elig_MatchAll_Ct-1),AF90=0),C90,0)</f>
        <v>0</v>
      </c>
      <c r="BI90" s="205">
        <f>IF(AND(Input_Product=Elig!$C90,Elig_MatchAll_Ct&lt;22,$BC90=(Elig_MatchAll_Ct-1),AG90=0),D90,0)</f>
        <v>0</v>
      </c>
      <c r="BJ90" s="205">
        <f>IF(AND(Input_Product=Elig!$C90,Elig_MatchAll_Ct&lt;22,$BC90=(Elig_MatchAll_Ct-1),AH90=0),E90,0)</f>
        <v>0</v>
      </c>
      <c r="BK90" s="205">
        <f>IF(AND(Input_Product=Elig!$C90,Elig_MatchAll_Ct&lt;22,$BC90=(Elig_MatchAll_Ct-1),AI90=0),F90,0)</f>
        <v>0</v>
      </c>
      <c r="BL90" s="205">
        <f>IF(AND(Input_Product=Elig!$C90,Elig_MatchAll_Ct&lt;22,$BC90=(Elig_MatchAll_Ct-1),AJ90=0),G90,0)</f>
        <v>0</v>
      </c>
      <c r="BM90" s="205">
        <f>IF(AND(Input_Product=Elig!$C90,Elig_MatchAll_Ct&lt;22,$BC90=(Elig_MatchAll_Ct-1),AK90=0),H90,0)</f>
        <v>0</v>
      </c>
      <c r="BN90" s="205">
        <f>IF(AND(Input_Product=Elig!$C90,Elig_MatchAll_Ct&lt;22,$BC90=(Elig_MatchAll_Ct-1),AL90=0),I90,0)</f>
        <v>0</v>
      </c>
      <c r="BO90" s="205">
        <f>IF(AND(Input_Product=Elig!$C90,Elig_MatchAll_Ct&lt;22,$BC90=(Elig_MatchAll_Ct-1),AM90=0),J90,0)</f>
        <v>0</v>
      </c>
      <c r="BP90" s="205">
        <f>IF(AND(Input_Product=Elig!$C90,Elig_MatchAll_Ct&lt;22,$BC90=(Elig_MatchAll_Ct-1),AN90=0),K90,0)</f>
        <v>0</v>
      </c>
      <c r="BQ90" s="205">
        <f>IF(AND(Input_Product=Elig!$C90,Elig_MatchAll_Ct&lt;22,$BC90=(Elig_MatchAll_Ct-1),AP90=0),L90,0)</f>
        <v>0</v>
      </c>
      <c r="BR90" s="205">
        <f>IF(AND(Input_Product=Elig!$C90,Elig_MatchAll_Ct&lt;22,$BC90=(Elig_MatchAll_Ct-1),AO90=0),M90,0)</f>
        <v>0</v>
      </c>
      <c r="BS90" s="205">
        <f>IF(AND(Input_Product=Elig!$C90,Elig_MatchAll_Ct&lt;22,$BC90=(Elig_MatchAll_Ct-1),AQ90=0),N90,0)</f>
        <v>0</v>
      </c>
      <c r="BT90" s="205">
        <f>IF(AND(Input_Product=Elig!$C90,Elig_MatchAll_Ct&lt;22,$BC90=(Elig_MatchAll_Ct-1),AR90=0),O90,0)</f>
        <v>0</v>
      </c>
      <c r="BU90" s="205">
        <f>IF(AND(Input_Product=Elig!$C90,Elig_MatchAll_Ct&lt;22,$BC90=(Elig_MatchAll_Ct-1),AS90=0),P90,0)</f>
        <v>0</v>
      </c>
      <c r="BV90" s="206">
        <f>IF(AND(Input_Product=Elig!$C90,Elig_MatchAll_Ct&lt;22,$BC90=(Elig_MatchAll_Ct-1),AT90=0),Q90,0)</f>
        <v>0</v>
      </c>
      <c r="BW90" s="207">
        <f>IF(AND(Input_Product=Elig!$C90,Elig_MatchAll_Ct&lt;22,$BC90=(Elig_MatchAll_Ct-1),AU90=0),R90,0)</f>
        <v>0</v>
      </c>
      <c r="BX90" s="208">
        <f>IF(AND(Input_Product=Elig!$C90,Elig_MatchAll_Ct&lt;22,$BC90=(Elig_MatchAll_Ct-1),AU90=0),S90,0)</f>
        <v>0</v>
      </c>
      <c r="BY90" s="207">
        <f>IF(AND(Input_Product=Elig!$C90,Elig_MatchAll_Ct&lt;22,$BC90=(Elig_MatchAll_Ct-1),AV90=0),T90,0)</f>
        <v>0</v>
      </c>
      <c r="BZ90" s="208">
        <f>IF(AND(Input_Product=Elig!$C90,Elig_MatchAll_Ct&lt;22,$BC90=(Elig_MatchAll_Ct-1),AV90=0),U90,0)</f>
        <v>0</v>
      </c>
      <c r="CA90" s="207">
        <f>IF(AND(Input_Product=Elig!$C90,Elig_MatchAll_Ct&lt;22,$BC90=(Elig_MatchAll_Ct-1),AW90=0),V90,0)</f>
        <v>0</v>
      </c>
      <c r="CB90" s="208">
        <f>IF(AND(Input_Product=Elig!$C90,Elig_MatchAll_Ct&lt;22,$BC90=(Elig_MatchAll_Ct-1),AW90=0),W90,0)</f>
        <v>0</v>
      </c>
      <c r="CC90" s="207">
        <f>IF(AND(Input_Product=Elig!$C90,Elig_MatchAll_Ct&lt;22,$BC90=(Elig_MatchAll_Ct-1),AX90=0),X90,0)</f>
        <v>0</v>
      </c>
      <c r="CD90" s="208">
        <f>IF(AND(Input_Product=Elig!$C90,Elig_MatchAll_Ct&lt;22,$BC90=(Elig_MatchAll_Ct-1),AX90=0),Y90,0)</f>
        <v>0</v>
      </c>
      <c r="CE90" s="207">
        <f>IF(AND(Input_LTV&lt;=AE90,Input_Product=Elig!$C90,Elig_MatchAll_Ct&lt;22,$BC90=(Elig_MatchAll_Ct-1),AY90=0),Z90,0)</f>
        <v>0</v>
      </c>
      <c r="CF90" s="208">
        <f>IF(AND(Input_LTV&lt;=AE90,Input_Product=Elig!$C90,Elig_MatchAll_Ct&lt;22,$BC90=(Elig_MatchAll_Ct-1),AY90=0),AA90,0)</f>
        <v>0</v>
      </c>
      <c r="CG90" s="207">
        <f>IF(AND(Input_Product=Elig!$C90,Elig_MatchAll_Ct&lt;22,$BC90=(Elig_MatchAll_Ct-1),AZ90=0),AB90,0)</f>
        <v>0</v>
      </c>
      <c r="CH90" s="208">
        <f>IF(AND(Input_Product=Elig!$C90,Elig_MatchAll_Ct&lt;22,$BC90=(Elig_MatchAll_Ct-1),AZ90=0),AC90,0)</f>
        <v>0</v>
      </c>
      <c r="CI90" s="207">
        <f>IF(AND(Input_Product=Elig!$C90,Elig_MatchAll_Ct&lt;22,$BC90=(Elig_MatchAll_Ct-1),BA90=0),AD90,0)</f>
        <v>0</v>
      </c>
      <c r="CJ90" s="209">
        <f>IF(AND(Input_Product=Elig!$C90,Elig_MatchAll_Ct&lt;22,$BC90=(Elig_MatchAll_Ct-1),BA90=0),AE90,0)</f>
        <v>0</v>
      </c>
    </row>
    <row r="91" spans="2:88" ht="10.15" customHeight="1" x14ac:dyDescent="0.25">
      <c r="B91" s="1912" t="s">
        <v>845</v>
      </c>
      <c r="C91" s="141" t="str">
        <f t="shared" si="35"/>
        <v>NonQM OO</v>
      </c>
      <c r="D91" s="142" t="s">
        <v>3885</v>
      </c>
      <c r="E91" s="143" t="s">
        <v>167</v>
      </c>
      <c r="F91" s="143" t="s">
        <v>331</v>
      </c>
      <c r="G91" s="143" t="s">
        <v>468</v>
      </c>
      <c r="H91" s="143" t="s">
        <v>136</v>
      </c>
      <c r="I91" s="142" t="s">
        <v>274</v>
      </c>
      <c r="J91" s="142" t="s">
        <v>1311</v>
      </c>
      <c r="K91" s="142" t="s">
        <v>1631</v>
      </c>
      <c r="L91" s="2131" t="s">
        <v>3920</v>
      </c>
      <c r="M91" s="143" t="s">
        <v>4203</v>
      </c>
      <c r="N91" s="143" t="s">
        <v>82</v>
      </c>
      <c r="O91" s="143" t="s">
        <v>310</v>
      </c>
      <c r="P91" s="143" t="s">
        <v>291</v>
      </c>
      <c r="Q91" s="143" t="s">
        <v>294</v>
      </c>
      <c r="R91" s="142">
        <v>1000000.01</v>
      </c>
      <c r="S91" s="142">
        <v>1500000</v>
      </c>
      <c r="T91" s="142">
        <v>0</v>
      </c>
      <c r="U91" s="142">
        <v>0</v>
      </c>
      <c r="V91" s="142">
        <v>0</v>
      </c>
      <c r="W91" s="142">
        <v>55</v>
      </c>
      <c r="X91" s="142">
        <v>0</v>
      </c>
      <c r="Y91" s="142">
        <v>999</v>
      </c>
      <c r="Z91" s="144">
        <v>720</v>
      </c>
      <c r="AA91" s="144">
        <v>999</v>
      </c>
      <c r="AB91" s="144">
        <v>6</v>
      </c>
      <c r="AC91" s="144">
        <v>999999</v>
      </c>
      <c r="AD91" s="142">
        <v>0</v>
      </c>
      <c r="AE91" s="320">
        <v>90</v>
      </c>
      <c r="AF91" s="170">
        <v>0</v>
      </c>
      <c r="AG91" s="171">
        <v>1</v>
      </c>
      <c r="AH91" s="171">
        <v>1</v>
      </c>
      <c r="AI91" s="171">
        <v>1</v>
      </c>
      <c r="AJ91" s="171">
        <v>0</v>
      </c>
      <c r="AK91" s="171">
        <v>1</v>
      </c>
      <c r="AL91" s="171">
        <v>0</v>
      </c>
      <c r="AM91" s="171">
        <v>1</v>
      </c>
      <c r="AN91" s="171">
        <v>1</v>
      </c>
      <c r="AO91" s="171">
        <v>1</v>
      </c>
      <c r="AP91" s="171">
        <v>1</v>
      </c>
      <c r="AQ91" s="171">
        <v>1</v>
      </c>
      <c r="AR91" s="171">
        <v>1</v>
      </c>
      <c r="AS91" s="171">
        <v>1</v>
      </c>
      <c r="AT91" s="171">
        <v>1</v>
      </c>
      <c r="AU91" s="171">
        <f t="shared" si="24"/>
        <v>0</v>
      </c>
      <c r="AV91" s="171">
        <f t="shared" si="25"/>
        <v>0</v>
      </c>
      <c r="AW91" s="171">
        <f t="shared" si="26"/>
        <v>1</v>
      </c>
      <c r="AX91" s="171">
        <f t="shared" si="37"/>
        <v>1</v>
      </c>
      <c r="AY91" s="171">
        <f t="shared" si="27"/>
        <v>1</v>
      </c>
      <c r="AZ91" s="171">
        <f t="shared" si="28"/>
        <v>1</v>
      </c>
      <c r="BA91" s="172">
        <f t="shared" si="29"/>
        <v>1</v>
      </c>
      <c r="BB91" s="175">
        <f t="shared" si="31"/>
        <v>17</v>
      </c>
      <c r="BC91" s="176">
        <f t="shared" si="32"/>
        <v>16</v>
      </c>
      <c r="BD91" s="176">
        <f t="shared" si="33"/>
        <v>17</v>
      </c>
      <c r="BE91" s="240" t="str">
        <f t="shared" si="30"/>
        <v/>
      </c>
      <c r="BH91" s="192">
        <f>IF(AND(Input_Product=Elig!$C91,Elig_MatchAll_Ct&lt;22,$BC91=(Elig_MatchAll_Ct-1),AF91=0),C91,0)</f>
        <v>0</v>
      </c>
      <c r="BI91" s="193">
        <f>IF(AND(Input_Product=Elig!$C91,Elig_MatchAll_Ct&lt;22,$BC91=(Elig_MatchAll_Ct-1),AG91=0),D91,0)</f>
        <v>0</v>
      </c>
      <c r="BJ91" s="193">
        <f>IF(AND(Input_Product=Elig!$C91,Elig_MatchAll_Ct&lt;22,$BC91=(Elig_MatchAll_Ct-1),AH91=0),E91,0)</f>
        <v>0</v>
      </c>
      <c r="BK91" s="193">
        <f>IF(AND(Input_Product=Elig!$C91,Elig_MatchAll_Ct&lt;22,$BC91=(Elig_MatchAll_Ct-1),AI91=0),F91,0)</f>
        <v>0</v>
      </c>
      <c r="BL91" s="193">
        <f>IF(AND(Input_Product=Elig!$C91,Elig_MatchAll_Ct&lt;22,$BC91=(Elig_MatchAll_Ct-1),AJ91=0),G91,0)</f>
        <v>0</v>
      </c>
      <c r="BM91" s="193">
        <f>IF(AND(Input_Product=Elig!$C91,Elig_MatchAll_Ct&lt;22,$BC91=(Elig_MatchAll_Ct-1),AK91=0),H91,0)</f>
        <v>0</v>
      </c>
      <c r="BN91" s="193">
        <f>IF(AND(Input_Product=Elig!$C91,Elig_MatchAll_Ct&lt;22,$BC91=(Elig_MatchAll_Ct-1),AL91=0),I91,0)</f>
        <v>0</v>
      </c>
      <c r="BO91" s="193">
        <f>IF(AND(Input_Product=Elig!$C91,Elig_MatchAll_Ct&lt;22,$BC91=(Elig_MatchAll_Ct-1),AM91=0),J91,0)</f>
        <v>0</v>
      </c>
      <c r="BP91" s="193">
        <f>IF(AND(Input_Product=Elig!$C91,Elig_MatchAll_Ct&lt;22,$BC91=(Elig_MatchAll_Ct-1),AN91=0),K91,0)</f>
        <v>0</v>
      </c>
      <c r="BQ91" s="193">
        <f>IF(AND(Input_Product=Elig!$C91,Elig_MatchAll_Ct&lt;22,$BC91=(Elig_MatchAll_Ct-1),AP91=0),L91,0)</f>
        <v>0</v>
      </c>
      <c r="BR91" s="193">
        <f>IF(AND(Input_Product=Elig!$C91,Elig_MatchAll_Ct&lt;22,$BC91=(Elig_MatchAll_Ct-1),AO91=0),M91,0)</f>
        <v>0</v>
      </c>
      <c r="BS91" s="193">
        <f>IF(AND(Input_Product=Elig!$C91,Elig_MatchAll_Ct&lt;22,$BC91=(Elig_MatchAll_Ct-1),AQ91=0),N91,0)</f>
        <v>0</v>
      </c>
      <c r="BT91" s="193">
        <f>IF(AND(Input_Product=Elig!$C91,Elig_MatchAll_Ct&lt;22,$BC91=(Elig_MatchAll_Ct-1),AR91=0),O91,0)</f>
        <v>0</v>
      </c>
      <c r="BU91" s="193">
        <f>IF(AND(Input_Product=Elig!$C91,Elig_MatchAll_Ct&lt;22,$BC91=(Elig_MatchAll_Ct-1),AS91=0),P91,0)</f>
        <v>0</v>
      </c>
      <c r="BV91" s="194">
        <f>IF(AND(Input_Product=Elig!$C91,Elig_MatchAll_Ct&lt;22,$BC91=(Elig_MatchAll_Ct-1),AT91=0),Q91,0)</f>
        <v>0</v>
      </c>
      <c r="BW91" s="195">
        <f>IF(AND(Input_Product=Elig!$C91,Elig_MatchAll_Ct&lt;22,$BC91=(Elig_MatchAll_Ct-1),AU91=0),R91,0)</f>
        <v>0</v>
      </c>
      <c r="BX91" s="196">
        <f>IF(AND(Input_Product=Elig!$C91,Elig_MatchAll_Ct&lt;22,$BC91=(Elig_MatchAll_Ct-1),AU91=0),S91,0)</f>
        <v>0</v>
      </c>
      <c r="BY91" s="195">
        <f>IF(AND(Input_Product=Elig!$C91,Elig_MatchAll_Ct&lt;22,$BC91=(Elig_MatchAll_Ct-1),AV91=0),T91,0)</f>
        <v>0</v>
      </c>
      <c r="BZ91" s="196">
        <f>IF(AND(Input_Product=Elig!$C91,Elig_MatchAll_Ct&lt;22,$BC91=(Elig_MatchAll_Ct-1),AV91=0),U91,0)</f>
        <v>0</v>
      </c>
      <c r="CA91" s="195">
        <f>IF(AND(Input_Product=Elig!$C91,Elig_MatchAll_Ct&lt;22,$BC91=(Elig_MatchAll_Ct-1),AW91=0),V91,0)</f>
        <v>0</v>
      </c>
      <c r="CB91" s="196">
        <f>IF(AND(Input_Product=Elig!$C91,Elig_MatchAll_Ct&lt;22,$BC91=(Elig_MatchAll_Ct-1),AW91=0),W91,0)</f>
        <v>0</v>
      </c>
      <c r="CC91" s="195">
        <f>IF(AND(Input_Product=Elig!$C91,Elig_MatchAll_Ct&lt;22,$BC91=(Elig_MatchAll_Ct-1),AX91=0),X91,0)</f>
        <v>0</v>
      </c>
      <c r="CD91" s="196">
        <f>IF(AND(Input_Product=Elig!$C91,Elig_MatchAll_Ct&lt;22,$BC91=(Elig_MatchAll_Ct-1),AX91=0),Y91,0)</f>
        <v>0</v>
      </c>
      <c r="CE91" s="195">
        <f>IF(AND(Input_LTV&lt;=AE91,Input_Product=Elig!$C91,Elig_MatchAll_Ct&lt;22,$BC91=(Elig_MatchAll_Ct-1),AY91=0),Z91,0)</f>
        <v>0</v>
      </c>
      <c r="CF91" s="196">
        <f>IF(AND(Input_LTV&lt;=AE91,Input_Product=Elig!$C91,Elig_MatchAll_Ct&lt;22,$BC91=(Elig_MatchAll_Ct-1),AY91=0),AA91,0)</f>
        <v>0</v>
      </c>
      <c r="CG91" s="195">
        <f>IF(AND(Input_Product=Elig!$C91,Elig_MatchAll_Ct&lt;22,$BC91=(Elig_MatchAll_Ct-1),AZ91=0),AB91,0)</f>
        <v>0</v>
      </c>
      <c r="CH91" s="196">
        <f>IF(AND(Input_Product=Elig!$C91,Elig_MatchAll_Ct&lt;22,$BC91=(Elig_MatchAll_Ct-1),AZ91=0),AC91,0)</f>
        <v>0</v>
      </c>
      <c r="CI91" s="195">
        <f>IF(AND(Input_Product=Elig!$C91,Elig_MatchAll_Ct&lt;22,$BC91=(Elig_MatchAll_Ct-1),BA91=0),AD91,0)</f>
        <v>0</v>
      </c>
      <c r="CJ91" s="197">
        <f>IF(AND(Input_Product=Elig!$C91,Elig_MatchAll_Ct&lt;22,$BC91=(Elig_MatchAll_Ct-1),BA91=0),AE91,0)</f>
        <v>0</v>
      </c>
    </row>
    <row r="92" spans="2:88" ht="10.15" customHeight="1" x14ac:dyDescent="0.25">
      <c r="B92" s="1912" t="s">
        <v>846</v>
      </c>
      <c r="C92" s="134" t="str">
        <f t="shared" si="35"/>
        <v>NonQM OO</v>
      </c>
      <c r="D92" s="135" t="s">
        <v>3885</v>
      </c>
      <c r="E92" s="135" t="s">
        <v>167</v>
      </c>
      <c r="F92" s="135" t="s">
        <v>331</v>
      </c>
      <c r="G92" s="135" t="s">
        <v>468</v>
      </c>
      <c r="H92" s="135" t="s">
        <v>136</v>
      </c>
      <c r="I92" s="136" t="s">
        <v>274</v>
      </c>
      <c r="J92" s="136" t="s">
        <v>1311</v>
      </c>
      <c r="K92" s="136" t="s">
        <v>1631</v>
      </c>
      <c r="L92" s="221" t="s">
        <v>3920</v>
      </c>
      <c r="M92" s="135" t="s">
        <v>4203</v>
      </c>
      <c r="N92" s="135" t="s">
        <v>82</v>
      </c>
      <c r="O92" s="135" t="s">
        <v>310</v>
      </c>
      <c r="P92" s="135" t="s">
        <v>291</v>
      </c>
      <c r="Q92" s="135" t="s">
        <v>294</v>
      </c>
      <c r="R92" s="135">
        <v>1000000.01</v>
      </c>
      <c r="S92" s="135">
        <v>1500000</v>
      </c>
      <c r="T92" s="135">
        <v>0</v>
      </c>
      <c r="U92" s="135">
        <v>0</v>
      </c>
      <c r="V92" s="135">
        <v>0</v>
      </c>
      <c r="W92" s="135">
        <v>55</v>
      </c>
      <c r="X92" s="135">
        <v>0</v>
      </c>
      <c r="Y92" s="135">
        <v>999</v>
      </c>
      <c r="Z92" s="137">
        <v>700</v>
      </c>
      <c r="AA92" s="137">
        <v>719</v>
      </c>
      <c r="AB92" s="137">
        <v>6</v>
      </c>
      <c r="AC92" s="137">
        <v>999999</v>
      </c>
      <c r="AD92" s="135">
        <v>0</v>
      </c>
      <c r="AE92" s="221">
        <v>90</v>
      </c>
      <c r="AF92" s="170">
        <v>0</v>
      </c>
      <c r="AG92" s="171">
        <v>1</v>
      </c>
      <c r="AH92" s="171">
        <v>1</v>
      </c>
      <c r="AI92" s="171">
        <v>1</v>
      </c>
      <c r="AJ92" s="171">
        <v>0</v>
      </c>
      <c r="AK92" s="171">
        <v>1</v>
      </c>
      <c r="AL92" s="171">
        <v>0</v>
      </c>
      <c r="AM92" s="171">
        <v>1</v>
      </c>
      <c r="AN92" s="171">
        <v>1</v>
      </c>
      <c r="AO92" s="171">
        <v>1</v>
      </c>
      <c r="AP92" s="171">
        <v>1</v>
      </c>
      <c r="AQ92" s="171">
        <v>1</v>
      </c>
      <c r="AR92" s="171">
        <v>1</v>
      </c>
      <c r="AS92" s="171">
        <v>1</v>
      </c>
      <c r="AT92" s="171">
        <v>1</v>
      </c>
      <c r="AU92" s="171">
        <f t="shared" si="24"/>
        <v>0</v>
      </c>
      <c r="AV92" s="171">
        <f t="shared" si="25"/>
        <v>0</v>
      </c>
      <c r="AW92" s="171">
        <f t="shared" si="26"/>
        <v>1</v>
      </c>
      <c r="AX92" s="171">
        <f t="shared" si="37"/>
        <v>1</v>
      </c>
      <c r="AY92" s="171">
        <f t="shared" si="27"/>
        <v>0</v>
      </c>
      <c r="AZ92" s="171">
        <f t="shared" si="28"/>
        <v>1</v>
      </c>
      <c r="BA92" s="172">
        <f t="shared" si="29"/>
        <v>1</v>
      </c>
      <c r="BB92" s="175">
        <f t="shared" si="31"/>
        <v>16</v>
      </c>
      <c r="BC92" s="176">
        <f t="shared" si="32"/>
        <v>15</v>
      </c>
      <c r="BD92" s="176">
        <f t="shared" si="33"/>
        <v>16</v>
      </c>
      <c r="BE92" s="240" t="str">
        <f t="shared" si="30"/>
        <v/>
      </c>
      <c r="BH92" s="198">
        <f>IF(AND(Input_Product=Elig!$C92,Elig_MatchAll_Ct&lt;22,$BC92=(Elig_MatchAll_Ct-1),AF92=0),C92,0)</f>
        <v>0</v>
      </c>
      <c r="BI92" s="199">
        <f>IF(AND(Input_Product=Elig!$C92,Elig_MatchAll_Ct&lt;22,$BC92=(Elig_MatchAll_Ct-1),AG92=0),D92,0)</f>
        <v>0</v>
      </c>
      <c r="BJ92" s="199">
        <f>IF(AND(Input_Product=Elig!$C92,Elig_MatchAll_Ct&lt;22,$BC92=(Elig_MatchAll_Ct-1),AH92=0),E92,0)</f>
        <v>0</v>
      </c>
      <c r="BK92" s="199">
        <f>IF(AND(Input_Product=Elig!$C92,Elig_MatchAll_Ct&lt;22,$BC92=(Elig_MatchAll_Ct-1),AI92=0),F92,0)</f>
        <v>0</v>
      </c>
      <c r="BL92" s="199">
        <f>IF(AND(Input_Product=Elig!$C92,Elig_MatchAll_Ct&lt;22,$BC92=(Elig_MatchAll_Ct-1),AJ92=0),G92,0)</f>
        <v>0</v>
      </c>
      <c r="BM92" s="199">
        <f>IF(AND(Input_Product=Elig!$C92,Elig_MatchAll_Ct&lt;22,$BC92=(Elig_MatchAll_Ct-1),AK92=0),H92,0)</f>
        <v>0</v>
      </c>
      <c r="BN92" s="199">
        <f>IF(AND(Input_Product=Elig!$C92,Elig_MatchAll_Ct&lt;22,$BC92=(Elig_MatchAll_Ct-1),AL92=0),I92,0)</f>
        <v>0</v>
      </c>
      <c r="BO92" s="199">
        <f>IF(AND(Input_Product=Elig!$C92,Elig_MatchAll_Ct&lt;22,$BC92=(Elig_MatchAll_Ct-1),AM92=0),J92,0)</f>
        <v>0</v>
      </c>
      <c r="BP92" s="199">
        <f>IF(AND(Input_Product=Elig!$C92,Elig_MatchAll_Ct&lt;22,$BC92=(Elig_MatchAll_Ct-1),AN92=0),K92,0)</f>
        <v>0</v>
      </c>
      <c r="BQ92" s="199">
        <f>IF(AND(Input_Product=Elig!$C92,Elig_MatchAll_Ct&lt;22,$BC92=(Elig_MatchAll_Ct-1),AP92=0),L92,0)</f>
        <v>0</v>
      </c>
      <c r="BR92" s="199">
        <f>IF(AND(Input_Product=Elig!$C92,Elig_MatchAll_Ct&lt;22,$BC92=(Elig_MatchAll_Ct-1),AO92=0),M92,0)</f>
        <v>0</v>
      </c>
      <c r="BS92" s="199">
        <f>IF(AND(Input_Product=Elig!$C92,Elig_MatchAll_Ct&lt;22,$BC92=(Elig_MatchAll_Ct-1),AQ92=0),N92,0)</f>
        <v>0</v>
      </c>
      <c r="BT92" s="199">
        <f>IF(AND(Input_Product=Elig!$C92,Elig_MatchAll_Ct&lt;22,$BC92=(Elig_MatchAll_Ct-1),AR92=0),O92,0)</f>
        <v>0</v>
      </c>
      <c r="BU92" s="199">
        <f>IF(AND(Input_Product=Elig!$C92,Elig_MatchAll_Ct&lt;22,$BC92=(Elig_MatchAll_Ct-1),AS92=0),P92,0)</f>
        <v>0</v>
      </c>
      <c r="BV92" s="200">
        <f>IF(AND(Input_Product=Elig!$C92,Elig_MatchAll_Ct&lt;22,$BC92=(Elig_MatchAll_Ct-1),AT92=0),Q92,0)</f>
        <v>0</v>
      </c>
      <c r="BW92" s="201">
        <f>IF(AND(Input_Product=Elig!$C92,Elig_MatchAll_Ct&lt;22,$BC92=(Elig_MatchAll_Ct-1),AU92=0),R92,0)</f>
        <v>0</v>
      </c>
      <c r="BX92" s="202">
        <f>IF(AND(Input_Product=Elig!$C92,Elig_MatchAll_Ct&lt;22,$BC92=(Elig_MatchAll_Ct-1),AU92=0),S92,0)</f>
        <v>0</v>
      </c>
      <c r="BY92" s="201">
        <f>IF(AND(Input_Product=Elig!$C92,Elig_MatchAll_Ct&lt;22,$BC92=(Elig_MatchAll_Ct-1),AV92=0),T92,0)</f>
        <v>0</v>
      </c>
      <c r="BZ92" s="202">
        <f>IF(AND(Input_Product=Elig!$C92,Elig_MatchAll_Ct&lt;22,$BC92=(Elig_MatchAll_Ct-1),AV92=0),U92,0)</f>
        <v>0</v>
      </c>
      <c r="CA92" s="201">
        <f>IF(AND(Input_Product=Elig!$C92,Elig_MatchAll_Ct&lt;22,$BC92=(Elig_MatchAll_Ct-1),AW92=0),V92,0)</f>
        <v>0</v>
      </c>
      <c r="CB92" s="202">
        <f>IF(AND(Input_Product=Elig!$C92,Elig_MatchAll_Ct&lt;22,$BC92=(Elig_MatchAll_Ct-1),AW92=0),W92,0)</f>
        <v>0</v>
      </c>
      <c r="CC92" s="201">
        <f>IF(AND(Input_Product=Elig!$C92,Elig_MatchAll_Ct&lt;22,$BC92=(Elig_MatchAll_Ct-1),AX92=0),X92,0)</f>
        <v>0</v>
      </c>
      <c r="CD92" s="202">
        <f>IF(AND(Input_Product=Elig!$C92,Elig_MatchAll_Ct&lt;22,$BC92=(Elig_MatchAll_Ct-1),AX92=0),Y92,0)</f>
        <v>0</v>
      </c>
      <c r="CE92" s="201">
        <f>IF(AND(Input_LTV&lt;=AE92,Input_Product=Elig!$C92,Elig_MatchAll_Ct&lt;22,$BC92=(Elig_MatchAll_Ct-1),AY92=0),Z92,0)</f>
        <v>0</v>
      </c>
      <c r="CF92" s="202">
        <f>IF(AND(Input_LTV&lt;=AE92,Input_Product=Elig!$C92,Elig_MatchAll_Ct&lt;22,$BC92=(Elig_MatchAll_Ct-1),AY92=0),AA92,0)</f>
        <v>0</v>
      </c>
      <c r="CG92" s="201">
        <f>IF(AND(Input_Product=Elig!$C92,Elig_MatchAll_Ct&lt;22,$BC92=(Elig_MatchAll_Ct-1),AZ92=0),AB92,0)</f>
        <v>0</v>
      </c>
      <c r="CH92" s="202">
        <f>IF(AND(Input_Product=Elig!$C92,Elig_MatchAll_Ct&lt;22,$BC92=(Elig_MatchAll_Ct-1),AZ92=0),AC92,0)</f>
        <v>0</v>
      </c>
      <c r="CI92" s="201">
        <f>IF(AND(Input_Product=Elig!$C92,Elig_MatchAll_Ct&lt;22,$BC92=(Elig_MatchAll_Ct-1),BA92=0),AD92,0)</f>
        <v>0</v>
      </c>
      <c r="CJ92" s="203">
        <f>IF(AND(Input_Product=Elig!$C92,Elig_MatchAll_Ct&lt;22,$BC92=(Elig_MatchAll_Ct-1),BA92=0),AE92,0)</f>
        <v>0</v>
      </c>
    </row>
    <row r="93" spans="2:88" ht="10.15" customHeight="1" x14ac:dyDescent="0.25">
      <c r="B93" s="1912" t="s">
        <v>847</v>
      </c>
      <c r="C93" s="134" t="str">
        <f t="shared" si="35"/>
        <v>NonQM OO</v>
      </c>
      <c r="D93" s="135" t="s">
        <v>3885</v>
      </c>
      <c r="E93" s="135" t="s">
        <v>167</v>
      </c>
      <c r="F93" s="135" t="s">
        <v>331</v>
      </c>
      <c r="G93" s="135" t="s">
        <v>468</v>
      </c>
      <c r="H93" s="135" t="s">
        <v>136</v>
      </c>
      <c r="I93" s="136" t="s">
        <v>274</v>
      </c>
      <c r="J93" s="136" t="s">
        <v>1311</v>
      </c>
      <c r="K93" s="136" t="s">
        <v>1631</v>
      </c>
      <c r="L93" s="221" t="s">
        <v>3920</v>
      </c>
      <c r="M93" s="135" t="s">
        <v>4203</v>
      </c>
      <c r="N93" s="135" t="s">
        <v>82</v>
      </c>
      <c r="O93" s="135" t="s">
        <v>310</v>
      </c>
      <c r="P93" s="135" t="s">
        <v>291</v>
      </c>
      <c r="Q93" s="135" t="s">
        <v>294</v>
      </c>
      <c r="R93" s="135">
        <v>1000000.01</v>
      </c>
      <c r="S93" s="135">
        <v>1500000</v>
      </c>
      <c r="T93" s="135">
        <v>0</v>
      </c>
      <c r="U93" s="135">
        <v>0</v>
      </c>
      <c r="V93" s="135">
        <v>0</v>
      </c>
      <c r="W93" s="135">
        <v>55</v>
      </c>
      <c r="X93" s="135">
        <v>0</v>
      </c>
      <c r="Y93" s="135">
        <v>999</v>
      </c>
      <c r="Z93" s="137">
        <v>680</v>
      </c>
      <c r="AA93" s="137">
        <v>699</v>
      </c>
      <c r="AB93" s="137">
        <v>6</v>
      </c>
      <c r="AC93" s="137">
        <v>999999</v>
      </c>
      <c r="AD93" s="135">
        <v>0</v>
      </c>
      <c r="AE93" s="221">
        <v>85</v>
      </c>
      <c r="AF93" s="170">
        <v>0</v>
      </c>
      <c r="AG93" s="171">
        <v>1</v>
      </c>
      <c r="AH93" s="171">
        <v>1</v>
      </c>
      <c r="AI93" s="171">
        <v>1</v>
      </c>
      <c r="AJ93" s="171">
        <v>0</v>
      </c>
      <c r="AK93" s="171">
        <v>1</v>
      </c>
      <c r="AL93" s="171">
        <v>0</v>
      </c>
      <c r="AM93" s="171">
        <v>1</v>
      </c>
      <c r="AN93" s="171">
        <v>1</v>
      </c>
      <c r="AO93" s="171">
        <v>1</v>
      </c>
      <c r="AP93" s="171">
        <v>1</v>
      </c>
      <c r="AQ93" s="171">
        <v>1</v>
      </c>
      <c r="AR93" s="171">
        <v>1</v>
      </c>
      <c r="AS93" s="171">
        <v>1</v>
      </c>
      <c r="AT93" s="171">
        <v>1</v>
      </c>
      <c r="AU93" s="171">
        <f t="shared" si="24"/>
        <v>0</v>
      </c>
      <c r="AV93" s="171">
        <f t="shared" si="25"/>
        <v>0</v>
      </c>
      <c r="AW93" s="171">
        <f t="shared" si="26"/>
        <v>1</v>
      </c>
      <c r="AX93" s="171">
        <f t="shared" si="37"/>
        <v>1</v>
      </c>
      <c r="AY93" s="171">
        <f t="shared" si="27"/>
        <v>0</v>
      </c>
      <c r="AZ93" s="171">
        <f t="shared" si="28"/>
        <v>1</v>
      </c>
      <c r="BA93" s="172">
        <f t="shared" si="29"/>
        <v>1</v>
      </c>
      <c r="BB93" s="175">
        <f t="shared" si="31"/>
        <v>16</v>
      </c>
      <c r="BC93" s="176">
        <f t="shared" si="32"/>
        <v>15</v>
      </c>
      <c r="BD93" s="176">
        <f t="shared" si="33"/>
        <v>16</v>
      </c>
      <c r="BE93" s="240" t="str">
        <f t="shared" si="30"/>
        <v/>
      </c>
      <c r="BH93" s="198">
        <f>IF(AND(Input_Product=Elig!$C93,Elig_MatchAll_Ct&lt;22,$BC93=(Elig_MatchAll_Ct-1),AF93=0),C93,0)</f>
        <v>0</v>
      </c>
      <c r="BI93" s="199">
        <f>IF(AND(Input_Product=Elig!$C93,Elig_MatchAll_Ct&lt;22,$BC93=(Elig_MatchAll_Ct-1),AG93=0),D93,0)</f>
        <v>0</v>
      </c>
      <c r="BJ93" s="199">
        <f>IF(AND(Input_Product=Elig!$C93,Elig_MatchAll_Ct&lt;22,$BC93=(Elig_MatchAll_Ct-1),AH93=0),E93,0)</f>
        <v>0</v>
      </c>
      <c r="BK93" s="199">
        <f>IF(AND(Input_Product=Elig!$C93,Elig_MatchAll_Ct&lt;22,$BC93=(Elig_MatchAll_Ct-1),AI93=0),F93,0)</f>
        <v>0</v>
      </c>
      <c r="BL93" s="199">
        <f>IF(AND(Input_Product=Elig!$C93,Elig_MatchAll_Ct&lt;22,$BC93=(Elig_MatchAll_Ct-1),AJ93=0),G93,0)</f>
        <v>0</v>
      </c>
      <c r="BM93" s="199">
        <f>IF(AND(Input_Product=Elig!$C93,Elig_MatchAll_Ct&lt;22,$BC93=(Elig_MatchAll_Ct-1),AK93=0),H93,0)</f>
        <v>0</v>
      </c>
      <c r="BN93" s="199">
        <f>IF(AND(Input_Product=Elig!$C93,Elig_MatchAll_Ct&lt;22,$BC93=(Elig_MatchAll_Ct-1),AL93=0),I93,0)</f>
        <v>0</v>
      </c>
      <c r="BO93" s="199">
        <f>IF(AND(Input_Product=Elig!$C93,Elig_MatchAll_Ct&lt;22,$BC93=(Elig_MatchAll_Ct-1),AM93=0),J93,0)</f>
        <v>0</v>
      </c>
      <c r="BP93" s="199">
        <f>IF(AND(Input_Product=Elig!$C93,Elig_MatchAll_Ct&lt;22,$BC93=(Elig_MatchAll_Ct-1),AN93=0),K93,0)</f>
        <v>0</v>
      </c>
      <c r="BQ93" s="199">
        <f>IF(AND(Input_Product=Elig!$C93,Elig_MatchAll_Ct&lt;22,$BC93=(Elig_MatchAll_Ct-1),AP93=0),L93,0)</f>
        <v>0</v>
      </c>
      <c r="BR93" s="199">
        <f>IF(AND(Input_Product=Elig!$C93,Elig_MatchAll_Ct&lt;22,$BC93=(Elig_MatchAll_Ct-1),AO93=0),M93,0)</f>
        <v>0</v>
      </c>
      <c r="BS93" s="199">
        <f>IF(AND(Input_Product=Elig!$C93,Elig_MatchAll_Ct&lt;22,$BC93=(Elig_MatchAll_Ct-1),AQ93=0),N93,0)</f>
        <v>0</v>
      </c>
      <c r="BT93" s="199">
        <f>IF(AND(Input_Product=Elig!$C93,Elig_MatchAll_Ct&lt;22,$BC93=(Elig_MatchAll_Ct-1),AR93=0),O93,0)</f>
        <v>0</v>
      </c>
      <c r="BU93" s="199">
        <f>IF(AND(Input_Product=Elig!$C93,Elig_MatchAll_Ct&lt;22,$BC93=(Elig_MatchAll_Ct-1),AS93=0),P93,0)</f>
        <v>0</v>
      </c>
      <c r="BV93" s="200">
        <f>IF(AND(Input_Product=Elig!$C93,Elig_MatchAll_Ct&lt;22,$BC93=(Elig_MatchAll_Ct-1),AT93=0),Q93,0)</f>
        <v>0</v>
      </c>
      <c r="BW93" s="201">
        <f>IF(AND(Input_Product=Elig!$C93,Elig_MatchAll_Ct&lt;22,$BC93=(Elig_MatchAll_Ct-1),AU93=0),R93,0)</f>
        <v>0</v>
      </c>
      <c r="BX93" s="202">
        <f>IF(AND(Input_Product=Elig!$C93,Elig_MatchAll_Ct&lt;22,$BC93=(Elig_MatchAll_Ct-1),AU93=0),S93,0)</f>
        <v>0</v>
      </c>
      <c r="BY93" s="201">
        <f>IF(AND(Input_Product=Elig!$C93,Elig_MatchAll_Ct&lt;22,$BC93=(Elig_MatchAll_Ct-1),AV93=0),T93,0)</f>
        <v>0</v>
      </c>
      <c r="BZ93" s="202">
        <f>IF(AND(Input_Product=Elig!$C93,Elig_MatchAll_Ct&lt;22,$BC93=(Elig_MatchAll_Ct-1),AV93=0),U93,0)</f>
        <v>0</v>
      </c>
      <c r="CA93" s="201">
        <f>IF(AND(Input_Product=Elig!$C93,Elig_MatchAll_Ct&lt;22,$BC93=(Elig_MatchAll_Ct-1),AW93=0),V93,0)</f>
        <v>0</v>
      </c>
      <c r="CB93" s="202">
        <f>IF(AND(Input_Product=Elig!$C93,Elig_MatchAll_Ct&lt;22,$BC93=(Elig_MatchAll_Ct-1),AW93=0),W93,0)</f>
        <v>0</v>
      </c>
      <c r="CC93" s="201">
        <f>IF(AND(Input_Product=Elig!$C93,Elig_MatchAll_Ct&lt;22,$BC93=(Elig_MatchAll_Ct-1),AX93=0),X93,0)</f>
        <v>0</v>
      </c>
      <c r="CD93" s="202">
        <f>IF(AND(Input_Product=Elig!$C93,Elig_MatchAll_Ct&lt;22,$BC93=(Elig_MatchAll_Ct-1),AX93=0),Y93,0)</f>
        <v>0</v>
      </c>
      <c r="CE93" s="201">
        <f>IF(AND(Input_LTV&lt;=AE93,Input_Product=Elig!$C93,Elig_MatchAll_Ct&lt;22,$BC93=(Elig_MatchAll_Ct-1),AY93=0),Z93,0)</f>
        <v>0</v>
      </c>
      <c r="CF93" s="202">
        <f>IF(AND(Input_LTV&lt;=AE93,Input_Product=Elig!$C93,Elig_MatchAll_Ct&lt;22,$BC93=(Elig_MatchAll_Ct-1),AY93=0),AA93,0)</f>
        <v>0</v>
      </c>
      <c r="CG93" s="201">
        <f>IF(AND(Input_Product=Elig!$C93,Elig_MatchAll_Ct&lt;22,$BC93=(Elig_MatchAll_Ct-1),AZ93=0),AB93,0)</f>
        <v>0</v>
      </c>
      <c r="CH93" s="202">
        <f>IF(AND(Input_Product=Elig!$C93,Elig_MatchAll_Ct&lt;22,$BC93=(Elig_MatchAll_Ct-1),AZ93=0),AC93,0)</f>
        <v>0</v>
      </c>
      <c r="CI93" s="201">
        <f>IF(AND(Input_Product=Elig!$C93,Elig_MatchAll_Ct&lt;22,$BC93=(Elig_MatchAll_Ct-1),BA93=0),AD93,0)</f>
        <v>0</v>
      </c>
      <c r="CJ93" s="203">
        <f>IF(AND(Input_Product=Elig!$C93,Elig_MatchAll_Ct&lt;22,$BC93=(Elig_MatchAll_Ct-1),BA93=0),AE93,0)</f>
        <v>0</v>
      </c>
    </row>
    <row r="94" spans="2:88" ht="10.15" customHeight="1" x14ac:dyDescent="0.25">
      <c r="B94" s="1912" t="s">
        <v>848</v>
      </c>
      <c r="C94" s="134" t="str">
        <f t="shared" si="35"/>
        <v>NonQM OO</v>
      </c>
      <c r="D94" s="135" t="s">
        <v>3885</v>
      </c>
      <c r="E94" s="135" t="s">
        <v>167</v>
      </c>
      <c r="F94" s="135" t="s">
        <v>331</v>
      </c>
      <c r="G94" s="135" t="s">
        <v>468</v>
      </c>
      <c r="H94" s="135" t="s">
        <v>136</v>
      </c>
      <c r="I94" s="135" t="s">
        <v>274</v>
      </c>
      <c r="J94" s="135" t="s">
        <v>1311</v>
      </c>
      <c r="K94" s="135" t="s">
        <v>1631</v>
      </c>
      <c r="L94" s="221" t="s">
        <v>3920</v>
      </c>
      <c r="M94" s="135" t="s">
        <v>4203</v>
      </c>
      <c r="N94" s="135" t="s">
        <v>82</v>
      </c>
      <c r="O94" s="135" t="s">
        <v>310</v>
      </c>
      <c r="P94" s="135" t="s">
        <v>291</v>
      </c>
      <c r="Q94" s="135" t="s">
        <v>294</v>
      </c>
      <c r="R94" s="135">
        <v>1000000.01</v>
      </c>
      <c r="S94" s="135">
        <v>1500000</v>
      </c>
      <c r="T94" s="135">
        <v>0</v>
      </c>
      <c r="U94" s="135">
        <v>0</v>
      </c>
      <c r="V94" s="135">
        <v>0</v>
      </c>
      <c r="W94" s="135">
        <v>55</v>
      </c>
      <c r="X94" s="135">
        <v>0</v>
      </c>
      <c r="Y94" s="135">
        <v>999</v>
      </c>
      <c r="Z94" s="137">
        <v>660</v>
      </c>
      <c r="AA94" s="137">
        <v>679</v>
      </c>
      <c r="AB94" s="137">
        <v>6</v>
      </c>
      <c r="AC94" s="137">
        <v>999999</v>
      </c>
      <c r="AD94" s="135">
        <v>0</v>
      </c>
      <c r="AE94" s="221">
        <v>80</v>
      </c>
      <c r="AF94" s="170">
        <v>0</v>
      </c>
      <c r="AG94" s="171">
        <v>1</v>
      </c>
      <c r="AH94" s="171">
        <v>1</v>
      </c>
      <c r="AI94" s="171">
        <v>1</v>
      </c>
      <c r="AJ94" s="171">
        <v>0</v>
      </c>
      <c r="AK94" s="171">
        <v>1</v>
      </c>
      <c r="AL94" s="171">
        <v>0</v>
      </c>
      <c r="AM94" s="171">
        <v>1</v>
      </c>
      <c r="AN94" s="171">
        <v>1</v>
      </c>
      <c r="AO94" s="171">
        <v>1</v>
      </c>
      <c r="AP94" s="171">
        <v>1</v>
      </c>
      <c r="AQ94" s="171">
        <v>1</v>
      </c>
      <c r="AR94" s="171">
        <v>1</v>
      </c>
      <c r="AS94" s="171">
        <v>1</v>
      </c>
      <c r="AT94" s="171">
        <v>1</v>
      </c>
      <c r="AU94" s="171">
        <f t="shared" si="24"/>
        <v>0</v>
      </c>
      <c r="AV94" s="171">
        <f t="shared" si="25"/>
        <v>0</v>
      </c>
      <c r="AW94" s="171">
        <f t="shared" si="26"/>
        <v>1</v>
      </c>
      <c r="AX94" s="171">
        <f t="shared" si="37"/>
        <v>1</v>
      </c>
      <c r="AY94" s="171">
        <f t="shared" si="27"/>
        <v>0</v>
      </c>
      <c r="AZ94" s="171">
        <f t="shared" si="28"/>
        <v>1</v>
      </c>
      <c r="BA94" s="172">
        <f t="shared" si="29"/>
        <v>1</v>
      </c>
      <c r="BB94" s="175">
        <f t="shared" si="31"/>
        <v>16</v>
      </c>
      <c r="BC94" s="176">
        <f t="shared" si="32"/>
        <v>15</v>
      </c>
      <c r="BD94" s="176">
        <f t="shared" si="33"/>
        <v>16</v>
      </c>
      <c r="BE94" s="240" t="str">
        <f t="shared" si="30"/>
        <v/>
      </c>
      <c r="BH94" s="198">
        <f>IF(AND(Input_Product=Elig!$C94,Elig_MatchAll_Ct&lt;22,$BC94=(Elig_MatchAll_Ct-1),AF94=0),C94,0)</f>
        <v>0</v>
      </c>
      <c r="BI94" s="199">
        <f>IF(AND(Input_Product=Elig!$C94,Elig_MatchAll_Ct&lt;22,$BC94=(Elig_MatchAll_Ct-1),AG94=0),D94,0)</f>
        <v>0</v>
      </c>
      <c r="BJ94" s="199">
        <f>IF(AND(Input_Product=Elig!$C94,Elig_MatchAll_Ct&lt;22,$BC94=(Elig_MatchAll_Ct-1),AH94=0),E94,0)</f>
        <v>0</v>
      </c>
      <c r="BK94" s="199">
        <f>IF(AND(Input_Product=Elig!$C94,Elig_MatchAll_Ct&lt;22,$BC94=(Elig_MatchAll_Ct-1),AI94=0),F94,0)</f>
        <v>0</v>
      </c>
      <c r="BL94" s="199">
        <f>IF(AND(Input_Product=Elig!$C94,Elig_MatchAll_Ct&lt;22,$BC94=(Elig_MatchAll_Ct-1),AJ94=0),G94,0)</f>
        <v>0</v>
      </c>
      <c r="BM94" s="199">
        <f>IF(AND(Input_Product=Elig!$C94,Elig_MatchAll_Ct&lt;22,$BC94=(Elig_MatchAll_Ct-1),AK94=0),H94,0)</f>
        <v>0</v>
      </c>
      <c r="BN94" s="199">
        <f>IF(AND(Input_Product=Elig!$C94,Elig_MatchAll_Ct&lt;22,$BC94=(Elig_MatchAll_Ct-1),AL94=0),I94,0)</f>
        <v>0</v>
      </c>
      <c r="BO94" s="199">
        <f>IF(AND(Input_Product=Elig!$C94,Elig_MatchAll_Ct&lt;22,$BC94=(Elig_MatchAll_Ct-1),AM94=0),J94,0)</f>
        <v>0</v>
      </c>
      <c r="BP94" s="199">
        <f>IF(AND(Input_Product=Elig!$C94,Elig_MatchAll_Ct&lt;22,$BC94=(Elig_MatchAll_Ct-1),AN94=0),K94,0)</f>
        <v>0</v>
      </c>
      <c r="BQ94" s="199">
        <f>IF(AND(Input_Product=Elig!$C94,Elig_MatchAll_Ct&lt;22,$BC94=(Elig_MatchAll_Ct-1),AP94=0),L94,0)</f>
        <v>0</v>
      </c>
      <c r="BR94" s="199">
        <f>IF(AND(Input_Product=Elig!$C94,Elig_MatchAll_Ct&lt;22,$BC94=(Elig_MatchAll_Ct-1),AO94=0),M94,0)</f>
        <v>0</v>
      </c>
      <c r="BS94" s="199">
        <f>IF(AND(Input_Product=Elig!$C94,Elig_MatchAll_Ct&lt;22,$BC94=(Elig_MatchAll_Ct-1),AQ94=0),N94,0)</f>
        <v>0</v>
      </c>
      <c r="BT94" s="199">
        <f>IF(AND(Input_Product=Elig!$C94,Elig_MatchAll_Ct&lt;22,$BC94=(Elig_MatchAll_Ct-1),AR94=0),O94,0)</f>
        <v>0</v>
      </c>
      <c r="BU94" s="199">
        <f>IF(AND(Input_Product=Elig!$C94,Elig_MatchAll_Ct&lt;22,$BC94=(Elig_MatchAll_Ct-1),AS94=0),P94,0)</f>
        <v>0</v>
      </c>
      <c r="BV94" s="200">
        <f>IF(AND(Input_Product=Elig!$C94,Elig_MatchAll_Ct&lt;22,$BC94=(Elig_MatchAll_Ct-1),AT94=0),Q94,0)</f>
        <v>0</v>
      </c>
      <c r="BW94" s="201">
        <f>IF(AND(Input_Product=Elig!$C94,Elig_MatchAll_Ct&lt;22,$BC94=(Elig_MatchAll_Ct-1),AU94=0),R94,0)</f>
        <v>0</v>
      </c>
      <c r="BX94" s="202">
        <f>IF(AND(Input_Product=Elig!$C94,Elig_MatchAll_Ct&lt;22,$BC94=(Elig_MatchAll_Ct-1),AU94=0),S94,0)</f>
        <v>0</v>
      </c>
      <c r="BY94" s="201">
        <f>IF(AND(Input_Product=Elig!$C94,Elig_MatchAll_Ct&lt;22,$BC94=(Elig_MatchAll_Ct-1),AV94=0),T94,0)</f>
        <v>0</v>
      </c>
      <c r="BZ94" s="202">
        <f>IF(AND(Input_Product=Elig!$C94,Elig_MatchAll_Ct&lt;22,$BC94=(Elig_MatchAll_Ct-1),AV94=0),U94,0)</f>
        <v>0</v>
      </c>
      <c r="CA94" s="201">
        <f>IF(AND(Input_Product=Elig!$C94,Elig_MatchAll_Ct&lt;22,$BC94=(Elig_MatchAll_Ct-1),AW94=0),V94,0)</f>
        <v>0</v>
      </c>
      <c r="CB94" s="202">
        <f>IF(AND(Input_Product=Elig!$C94,Elig_MatchAll_Ct&lt;22,$BC94=(Elig_MatchAll_Ct-1),AW94=0),W94,0)</f>
        <v>0</v>
      </c>
      <c r="CC94" s="201">
        <f>IF(AND(Input_Product=Elig!$C94,Elig_MatchAll_Ct&lt;22,$BC94=(Elig_MatchAll_Ct-1),AX94=0),X94,0)</f>
        <v>0</v>
      </c>
      <c r="CD94" s="202">
        <f>IF(AND(Input_Product=Elig!$C94,Elig_MatchAll_Ct&lt;22,$BC94=(Elig_MatchAll_Ct-1),AX94=0),Y94,0)</f>
        <v>0</v>
      </c>
      <c r="CE94" s="201">
        <f>IF(AND(Input_LTV&lt;=AE94,Input_Product=Elig!$C94,Elig_MatchAll_Ct&lt;22,$BC94=(Elig_MatchAll_Ct-1),AY94=0),Z94,0)</f>
        <v>0</v>
      </c>
      <c r="CF94" s="202">
        <f>IF(AND(Input_LTV&lt;=AE94,Input_Product=Elig!$C94,Elig_MatchAll_Ct&lt;22,$BC94=(Elig_MatchAll_Ct-1),AY94=0),AA94,0)</f>
        <v>0</v>
      </c>
      <c r="CG94" s="201">
        <f>IF(AND(Input_Product=Elig!$C94,Elig_MatchAll_Ct&lt;22,$BC94=(Elig_MatchAll_Ct-1),AZ94=0),AB94,0)</f>
        <v>0</v>
      </c>
      <c r="CH94" s="202">
        <f>IF(AND(Input_Product=Elig!$C94,Elig_MatchAll_Ct&lt;22,$BC94=(Elig_MatchAll_Ct-1),AZ94=0),AC94,0)</f>
        <v>0</v>
      </c>
      <c r="CI94" s="201">
        <f>IF(AND(Input_Product=Elig!$C94,Elig_MatchAll_Ct&lt;22,$BC94=(Elig_MatchAll_Ct-1),BA94=0),AD94,0)</f>
        <v>0</v>
      </c>
      <c r="CJ94" s="203">
        <f>IF(AND(Input_Product=Elig!$C94,Elig_MatchAll_Ct&lt;22,$BC94=(Elig_MatchAll_Ct-1),BA94=0),AE94,0)</f>
        <v>0</v>
      </c>
    </row>
    <row r="95" spans="2:88" ht="10.15" customHeight="1" x14ac:dyDescent="0.25">
      <c r="B95" s="1912" t="s">
        <v>849</v>
      </c>
      <c r="C95" s="134" t="str">
        <f t="shared" si="35"/>
        <v>NonQM OO</v>
      </c>
      <c r="D95" s="135" t="s">
        <v>3885</v>
      </c>
      <c r="E95" s="135" t="s">
        <v>167</v>
      </c>
      <c r="F95" s="135" t="s">
        <v>331</v>
      </c>
      <c r="G95" s="135" t="s">
        <v>468</v>
      </c>
      <c r="H95" s="135" t="s">
        <v>136</v>
      </c>
      <c r="I95" s="135" t="s">
        <v>274</v>
      </c>
      <c r="J95" s="135" t="s">
        <v>1311</v>
      </c>
      <c r="K95" s="135" t="s">
        <v>1631</v>
      </c>
      <c r="L95" s="221" t="s">
        <v>3920</v>
      </c>
      <c r="M95" s="135" t="s">
        <v>4203</v>
      </c>
      <c r="N95" s="135" t="s">
        <v>82</v>
      </c>
      <c r="O95" s="135" t="s">
        <v>310</v>
      </c>
      <c r="P95" s="135" t="s">
        <v>291</v>
      </c>
      <c r="Q95" s="135" t="s">
        <v>294</v>
      </c>
      <c r="R95" s="135">
        <v>1000000.01</v>
      </c>
      <c r="S95" s="135">
        <v>1500000</v>
      </c>
      <c r="T95" s="135">
        <v>0</v>
      </c>
      <c r="U95" s="135">
        <v>0</v>
      </c>
      <c r="V95" s="135">
        <v>0</v>
      </c>
      <c r="W95" s="135">
        <v>55</v>
      </c>
      <c r="X95" s="135">
        <v>0</v>
      </c>
      <c r="Y95" s="135">
        <v>999</v>
      </c>
      <c r="Z95" s="137">
        <v>640</v>
      </c>
      <c r="AA95" s="137">
        <v>659</v>
      </c>
      <c r="AB95" s="137">
        <v>6</v>
      </c>
      <c r="AC95" s="137">
        <v>999999</v>
      </c>
      <c r="AD95" s="135">
        <v>0</v>
      </c>
      <c r="AE95" s="221">
        <v>70</v>
      </c>
      <c r="AF95" s="170">
        <v>0</v>
      </c>
      <c r="AG95" s="171">
        <v>1</v>
      </c>
      <c r="AH95" s="171">
        <v>1</v>
      </c>
      <c r="AI95" s="171">
        <v>1</v>
      </c>
      <c r="AJ95" s="171">
        <v>0</v>
      </c>
      <c r="AK95" s="171">
        <v>1</v>
      </c>
      <c r="AL95" s="171">
        <v>0</v>
      </c>
      <c r="AM95" s="171">
        <v>1</v>
      </c>
      <c r="AN95" s="171">
        <v>1</v>
      </c>
      <c r="AO95" s="171">
        <v>1</v>
      </c>
      <c r="AP95" s="171">
        <v>1</v>
      </c>
      <c r="AQ95" s="171">
        <v>1</v>
      </c>
      <c r="AR95" s="171">
        <v>1</v>
      </c>
      <c r="AS95" s="171">
        <v>1</v>
      </c>
      <c r="AT95" s="171">
        <v>1</v>
      </c>
      <c r="AU95" s="171">
        <f t="shared" si="24"/>
        <v>0</v>
      </c>
      <c r="AV95" s="171">
        <f t="shared" si="25"/>
        <v>0</v>
      </c>
      <c r="AW95" s="171">
        <f t="shared" si="26"/>
        <v>1</v>
      </c>
      <c r="AX95" s="171">
        <f t="shared" si="37"/>
        <v>1</v>
      </c>
      <c r="AY95" s="171">
        <f t="shared" si="27"/>
        <v>0</v>
      </c>
      <c r="AZ95" s="171">
        <f t="shared" si="28"/>
        <v>1</v>
      </c>
      <c r="BA95" s="172">
        <f t="shared" si="29"/>
        <v>1</v>
      </c>
      <c r="BB95" s="175">
        <f t="shared" si="31"/>
        <v>16</v>
      </c>
      <c r="BC95" s="176">
        <f t="shared" si="32"/>
        <v>15</v>
      </c>
      <c r="BD95" s="176">
        <f t="shared" si="33"/>
        <v>16</v>
      </c>
      <c r="BE95" s="240" t="str">
        <f t="shared" si="30"/>
        <v/>
      </c>
      <c r="BH95" s="198">
        <f>IF(AND(Input_Product=Elig!$C95,Elig_MatchAll_Ct&lt;22,$BC95=(Elig_MatchAll_Ct-1),AF95=0),C95,0)</f>
        <v>0</v>
      </c>
      <c r="BI95" s="199">
        <f>IF(AND(Input_Product=Elig!$C95,Elig_MatchAll_Ct&lt;22,$BC95=(Elig_MatchAll_Ct-1),AG95=0),D95,0)</f>
        <v>0</v>
      </c>
      <c r="BJ95" s="199">
        <f>IF(AND(Input_Product=Elig!$C95,Elig_MatchAll_Ct&lt;22,$BC95=(Elig_MatchAll_Ct-1),AH95=0),E95,0)</f>
        <v>0</v>
      </c>
      <c r="BK95" s="199">
        <f>IF(AND(Input_Product=Elig!$C95,Elig_MatchAll_Ct&lt;22,$BC95=(Elig_MatchAll_Ct-1),AI95=0),F95,0)</f>
        <v>0</v>
      </c>
      <c r="BL95" s="199">
        <f>IF(AND(Input_Product=Elig!$C95,Elig_MatchAll_Ct&lt;22,$BC95=(Elig_MatchAll_Ct-1),AJ95=0),G95,0)</f>
        <v>0</v>
      </c>
      <c r="BM95" s="199">
        <f>IF(AND(Input_Product=Elig!$C95,Elig_MatchAll_Ct&lt;22,$BC95=(Elig_MatchAll_Ct-1),AK95=0),H95,0)</f>
        <v>0</v>
      </c>
      <c r="BN95" s="199">
        <f>IF(AND(Input_Product=Elig!$C95,Elig_MatchAll_Ct&lt;22,$BC95=(Elig_MatchAll_Ct-1),AL95=0),I95,0)</f>
        <v>0</v>
      </c>
      <c r="BO95" s="199">
        <f>IF(AND(Input_Product=Elig!$C95,Elig_MatchAll_Ct&lt;22,$BC95=(Elig_MatchAll_Ct-1),AM95=0),J95,0)</f>
        <v>0</v>
      </c>
      <c r="BP95" s="199">
        <f>IF(AND(Input_Product=Elig!$C95,Elig_MatchAll_Ct&lt;22,$BC95=(Elig_MatchAll_Ct-1),AN95=0),K95,0)</f>
        <v>0</v>
      </c>
      <c r="BQ95" s="199">
        <f>IF(AND(Input_Product=Elig!$C95,Elig_MatchAll_Ct&lt;22,$BC95=(Elig_MatchAll_Ct-1),AP95=0),L95,0)</f>
        <v>0</v>
      </c>
      <c r="BR95" s="199">
        <f>IF(AND(Input_Product=Elig!$C95,Elig_MatchAll_Ct&lt;22,$BC95=(Elig_MatchAll_Ct-1),AO95=0),M95,0)</f>
        <v>0</v>
      </c>
      <c r="BS95" s="199">
        <f>IF(AND(Input_Product=Elig!$C95,Elig_MatchAll_Ct&lt;22,$BC95=(Elig_MatchAll_Ct-1),AQ95=0),N95,0)</f>
        <v>0</v>
      </c>
      <c r="BT95" s="199">
        <f>IF(AND(Input_Product=Elig!$C95,Elig_MatchAll_Ct&lt;22,$BC95=(Elig_MatchAll_Ct-1),AR95=0),O95,0)</f>
        <v>0</v>
      </c>
      <c r="BU95" s="199">
        <f>IF(AND(Input_Product=Elig!$C95,Elig_MatchAll_Ct&lt;22,$BC95=(Elig_MatchAll_Ct-1),AS95=0),P95,0)</f>
        <v>0</v>
      </c>
      <c r="BV95" s="200">
        <f>IF(AND(Input_Product=Elig!$C95,Elig_MatchAll_Ct&lt;22,$BC95=(Elig_MatchAll_Ct-1),AT95=0),Q95,0)</f>
        <v>0</v>
      </c>
      <c r="BW95" s="201">
        <f>IF(AND(Input_Product=Elig!$C95,Elig_MatchAll_Ct&lt;22,$BC95=(Elig_MatchAll_Ct-1),AU95=0),R95,0)</f>
        <v>0</v>
      </c>
      <c r="BX95" s="202">
        <f>IF(AND(Input_Product=Elig!$C95,Elig_MatchAll_Ct&lt;22,$BC95=(Elig_MatchAll_Ct-1),AU95=0),S95,0)</f>
        <v>0</v>
      </c>
      <c r="BY95" s="201">
        <f>IF(AND(Input_Product=Elig!$C95,Elig_MatchAll_Ct&lt;22,$BC95=(Elig_MatchAll_Ct-1),AV95=0),T95,0)</f>
        <v>0</v>
      </c>
      <c r="BZ95" s="202">
        <f>IF(AND(Input_Product=Elig!$C95,Elig_MatchAll_Ct&lt;22,$BC95=(Elig_MatchAll_Ct-1),AV95=0),U95,0)</f>
        <v>0</v>
      </c>
      <c r="CA95" s="201">
        <f>IF(AND(Input_Product=Elig!$C95,Elig_MatchAll_Ct&lt;22,$BC95=(Elig_MatchAll_Ct-1),AW95=0),V95,0)</f>
        <v>0</v>
      </c>
      <c r="CB95" s="202">
        <f>IF(AND(Input_Product=Elig!$C95,Elig_MatchAll_Ct&lt;22,$BC95=(Elig_MatchAll_Ct-1),AW95=0),W95,0)</f>
        <v>0</v>
      </c>
      <c r="CC95" s="201">
        <f>IF(AND(Input_Product=Elig!$C95,Elig_MatchAll_Ct&lt;22,$BC95=(Elig_MatchAll_Ct-1),AX95=0),X95,0)</f>
        <v>0</v>
      </c>
      <c r="CD95" s="202">
        <f>IF(AND(Input_Product=Elig!$C95,Elig_MatchAll_Ct&lt;22,$BC95=(Elig_MatchAll_Ct-1),AX95=0),Y95,0)</f>
        <v>0</v>
      </c>
      <c r="CE95" s="201">
        <f>IF(AND(Input_LTV&lt;=AE95,Input_Product=Elig!$C95,Elig_MatchAll_Ct&lt;22,$BC95=(Elig_MatchAll_Ct-1),AY95=0),Z95,0)</f>
        <v>0</v>
      </c>
      <c r="CF95" s="202">
        <f>IF(AND(Input_LTV&lt;=AE95,Input_Product=Elig!$C95,Elig_MatchAll_Ct&lt;22,$BC95=(Elig_MatchAll_Ct-1),AY95=0),AA95,0)</f>
        <v>0</v>
      </c>
      <c r="CG95" s="201">
        <f>IF(AND(Input_Product=Elig!$C95,Elig_MatchAll_Ct&lt;22,$BC95=(Elig_MatchAll_Ct-1),AZ95=0),AB95,0)</f>
        <v>0</v>
      </c>
      <c r="CH95" s="202">
        <f>IF(AND(Input_Product=Elig!$C95,Elig_MatchAll_Ct&lt;22,$BC95=(Elig_MatchAll_Ct-1),AZ95=0),AC95,0)</f>
        <v>0</v>
      </c>
      <c r="CI95" s="201">
        <f>IF(AND(Input_Product=Elig!$C95,Elig_MatchAll_Ct&lt;22,$BC95=(Elig_MatchAll_Ct-1),BA95=0),AD95,0)</f>
        <v>0</v>
      </c>
      <c r="CJ95" s="203">
        <f>IF(AND(Input_Product=Elig!$C95,Elig_MatchAll_Ct&lt;22,$BC95=(Elig_MatchAll_Ct-1),BA95=0),AE95,0)</f>
        <v>0</v>
      </c>
    </row>
    <row r="96" spans="2:88" ht="10.15" customHeight="1" x14ac:dyDescent="0.25">
      <c r="B96" s="1912" t="s">
        <v>850</v>
      </c>
      <c r="C96" s="138" t="str">
        <f t="shared" si="35"/>
        <v>NonQM OO</v>
      </c>
      <c r="D96" s="139" t="s">
        <v>3885</v>
      </c>
      <c r="E96" s="139" t="s">
        <v>167</v>
      </c>
      <c r="F96" s="139" t="s">
        <v>331</v>
      </c>
      <c r="G96" s="139" t="s">
        <v>468</v>
      </c>
      <c r="H96" s="139" t="s">
        <v>136</v>
      </c>
      <c r="I96" s="139" t="s">
        <v>274</v>
      </c>
      <c r="J96" s="139" t="s">
        <v>1311</v>
      </c>
      <c r="K96" s="139" t="s">
        <v>1631</v>
      </c>
      <c r="L96" s="310" t="s">
        <v>3920</v>
      </c>
      <c r="M96" s="139" t="s">
        <v>4203</v>
      </c>
      <c r="N96" s="139" t="s">
        <v>82</v>
      </c>
      <c r="O96" s="139" t="s">
        <v>310</v>
      </c>
      <c r="P96" s="139" t="s">
        <v>291</v>
      </c>
      <c r="Q96" s="139" t="s">
        <v>294</v>
      </c>
      <c r="R96" s="139">
        <v>1000000.01</v>
      </c>
      <c r="S96" s="139">
        <v>1500000</v>
      </c>
      <c r="T96" s="139">
        <v>0</v>
      </c>
      <c r="U96" s="139">
        <v>0</v>
      </c>
      <c r="V96" s="139">
        <v>0</v>
      </c>
      <c r="W96" s="139">
        <v>55</v>
      </c>
      <c r="X96" s="139">
        <v>0</v>
      </c>
      <c r="Y96" s="139">
        <v>999</v>
      </c>
      <c r="Z96" s="140">
        <v>620</v>
      </c>
      <c r="AA96" s="140">
        <v>639</v>
      </c>
      <c r="AB96" s="140">
        <v>6</v>
      </c>
      <c r="AC96" s="140">
        <v>999999</v>
      </c>
      <c r="AD96" s="139">
        <v>0</v>
      </c>
      <c r="AE96" s="310">
        <v>70</v>
      </c>
      <c r="AF96" s="170">
        <v>0</v>
      </c>
      <c r="AG96" s="171">
        <v>1</v>
      </c>
      <c r="AH96" s="171">
        <v>1</v>
      </c>
      <c r="AI96" s="171">
        <v>1</v>
      </c>
      <c r="AJ96" s="171">
        <v>0</v>
      </c>
      <c r="AK96" s="171">
        <v>1</v>
      </c>
      <c r="AL96" s="171">
        <v>0</v>
      </c>
      <c r="AM96" s="171">
        <v>1</v>
      </c>
      <c r="AN96" s="171">
        <v>1</v>
      </c>
      <c r="AO96" s="171">
        <v>1</v>
      </c>
      <c r="AP96" s="171">
        <v>1</v>
      </c>
      <c r="AQ96" s="171">
        <v>1</v>
      </c>
      <c r="AR96" s="171">
        <v>1</v>
      </c>
      <c r="AS96" s="171">
        <v>1</v>
      </c>
      <c r="AT96" s="171">
        <v>1</v>
      </c>
      <c r="AU96" s="171">
        <f t="shared" si="24"/>
        <v>0</v>
      </c>
      <c r="AV96" s="171">
        <f t="shared" si="25"/>
        <v>0</v>
      </c>
      <c r="AW96" s="171">
        <f t="shared" si="26"/>
        <v>1</v>
      </c>
      <c r="AX96" s="171">
        <f t="shared" si="37"/>
        <v>1</v>
      </c>
      <c r="AY96" s="171">
        <f t="shared" si="27"/>
        <v>0</v>
      </c>
      <c r="AZ96" s="171">
        <f t="shared" si="28"/>
        <v>1</v>
      </c>
      <c r="BA96" s="172">
        <f t="shared" si="29"/>
        <v>1</v>
      </c>
      <c r="BB96" s="175">
        <f t="shared" si="31"/>
        <v>16</v>
      </c>
      <c r="BC96" s="176">
        <f t="shared" si="32"/>
        <v>15</v>
      </c>
      <c r="BD96" s="176">
        <f t="shared" si="33"/>
        <v>16</v>
      </c>
      <c r="BE96" s="240" t="str">
        <f t="shared" si="30"/>
        <v/>
      </c>
      <c r="BH96" s="204">
        <f>IF(AND(Input_Product=Elig!$C96,Elig_MatchAll_Ct&lt;22,$BC96=(Elig_MatchAll_Ct-1),AF96=0),C96,0)</f>
        <v>0</v>
      </c>
      <c r="BI96" s="205">
        <f>IF(AND(Input_Product=Elig!$C96,Elig_MatchAll_Ct&lt;22,$BC96=(Elig_MatchAll_Ct-1),AG96=0),D96,0)</f>
        <v>0</v>
      </c>
      <c r="BJ96" s="205">
        <f>IF(AND(Input_Product=Elig!$C96,Elig_MatchAll_Ct&lt;22,$BC96=(Elig_MatchAll_Ct-1),AH96=0),E96,0)</f>
        <v>0</v>
      </c>
      <c r="BK96" s="205">
        <f>IF(AND(Input_Product=Elig!$C96,Elig_MatchAll_Ct&lt;22,$BC96=(Elig_MatchAll_Ct-1),AI96=0),F96,0)</f>
        <v>0</v>
      </c>
      <c r="BL96" s="205">
        <f>IF(AND(Input_Product=Elig!$C96,Elig_MatchAll_Ct&lt;22,$BC96=(Elig_MatchAll_Ct-1),AJ96=0),G96,0)</f>
        <v>0</v>
      </c>
      <c r="BM96" s="205">
        <f>IF(AND(Input_Product=Elig!$C96,Elig_MatchAll_Ct&lt;22,$BC96=(Elig_MatchAll_Ct-1),AK96=0),H96,0)</f>
        <v>0</v>
      </c>
      <c r="BN96" s="205">
        <f>IF(AND(Input_Product=Elig!$C96,Elig_MatchAll_Ct&lt;22,$BC96=(Elig_MatchAll_Ct-1),AL96=0),I96,0)</f>
        <v>0</v>
      </c>
      <c r="BO96" s="205">
        <f>IF(AND(Input_Product=Elig!$C96,Elig_MatchAll_Ct&lt;22,$BC96=(Elig_MatchAll_Ct-1),AM96=0),J96,0)</f>
        <v>0</v>
      </c>
      <c r="BP96" s="205">
        <f>IF(AND(Input_Product=Elig!$C96,Elig_MatchAll_Ct&lt;22,$BC96=(Elig_MatchAll_Ct-1),AN96=0),K96,0)</f>
        <v>0</v>
      </c>
      <c r="BQ96" s="205">
        <f>IF(AND(Input_Product=Elig!$C96,Elig_MatchAll_Ct&lt;22,$BC96=(Elig_MatchAll_Ct-1),AP96=0),L96,0)</f>
        <v>0</v>
      </c>
      <c r="BR96" s="205">
        <f>IF(AND(Input_Product=Elig!$C96,Elig_MatchAll_Ct&lt;22,$BC96=(Elig_MatchAll_Ct-1),AO96=0),M96,0)</f>
        <v>0</v>
      </c>
      <c r="BS96" s="205">
        <f>IF(AND(Input_Product=Elig!$C96,Elig_MatchAll_Ct&lt;22,$BC96=(Elig_MatchAll_Ct-1),AQ96=0),N96,0)</f>
        <v>0</v>
      </c>
      <c r="BT96" s="205">
        <f>IF(AND(Input_Product=Elig!$C96,Elig_MatchAll_Ct&lt;22,$BC96=(Elig_MatchAll_Ct-1),AR96=0),O96,0)</f>
        <v>0</v>
      </c>
      <c r="BU96" s="205">
        <f>IF(AND(Input_Product=Elig!$C96,Elig_MatchAll_Ct&lt;22,$BC96=(Elig_MatchAll_Ct-1),AS96=0),P96,0)</f>
        <v>0</v>
      </c>
      <c r="BV96" s="206">
        <f>IF(AND(Input_Product=Elig!$C96,Elig_MatchAll_Ct&lt;22,$BC96=(Elig_MatchAll_Ct-1),AT96=0),Q96,0)</f>
        <v>0</v>
      </c>
      <c r="BW96" s="207">
        <f>IF(AND(Input_Product=Elig!$C96,Elig_MatchAll_Ct&lt;22,$BC96=(Elig_MatchAll_Ct-1),AU96=0),R96,0)</f>
        <v>0</v>
      </c>
      <c r="BX96" s="208">
        <f>IF(AND(Input_Product=Elig!$C96,Elig_MatchAll_Ct&lt;22,$BC96=(Elig_MatchAll_Ct-1),AU96=0),S96,0)</f>
        <v>0</v>
      </c>
      <c r="BY96" s="207">
        <f>IF(AND(Input_Product=Elig!$C96,Elig_MatchAll_Ct&lt;22,$BC96=(Elig_MatchAll_Ct-1),AV96=0),T96,0)</f>
        <v>0</v>
      </c>
      <c r="BZ96" s="208">
        <f>IF(AND(Input_Product=Elig!$C96,Elig_MatchAll_Ct&lt;22,$BC96=(Elig_MatchAll_Ct-1),AV96=0),U96,0)</f>
        <v>0</v>
      </c>
      <c r="CA96" s="207">
        <f>IF(AND(Input_Product=Elig!$C96,Elig_MatchAll_Ct&lt;22,$BC96=(Elig_MatchAll_Ct-1),AW96=0),V96,0)</f>
        <v>0</v>
      </c>
      <c r="CB96" s="208">
        <f>IF(AND(Input_Product=Elig!$C96,Elig_MatchAll_Ct&lt;22,$BC96=(Elig_MatchAll_Ct-1),AW96=0),W96,0)</f>
        <v>0</v>
      </c>
      <c r="CC96" s="207">
        <f>IF(AND(Input_Product=Elig!$C96,Elig_MatchAll_Ct&lt;22,$BC96=(Elig_MatchAll_Ct-1),AX96=0),X96,0)</f>
        <v>0</v>
      </c>
      <c r="CD96" s="208">
        <f>IF(AND(Input_Product=Elig!$C96,Elig_MatchAll_Ct&lt;22,$BC96=(Elig_MatchAll_Ct-1),AX96=0),Y96,0)</f>
        <v>0</v>
      </c>
      <c r="CE96" s="207">
        <f>IF(AND(Input_LTV&lt;=AE96,Input_Product=Elig!$C96,Elig_MatchAll_Ct&lt;22,$BC96=(Elig_MatchAll_Ct-1),AY96=0),Z96,0)</f>
        <v>0</v>
      </c>
      <c r="CF96" s="208">
        <f>IF(AND(Input_LTV&lt;=AE96,Input_Product=Elig!$C96,Elig_MatchAll_Ct&lt;22,$BC96=(Elig_MatchAll_Ct-1),AY96=0),AA96,0)</f>
        <v>0</v>
      </c>
      <c r="CG96" s="207">
        <f>IF(AND(Input_Product=Elig!$C96,Elig_MatchAll_Ct&lt;22,$BC96=(Elig_MatchAll_Ct-1),AZ96=0),AB96,0)</f>
        <v>0</v>
      </c>
      <c r="CH96" s="208">
        <f>IF(AND(Input_Product=Elig!$C96,Elig_MatchAll_Ct&lt;22,$BC96=(Elig_MatchAll_Ct-1),AZ96=0),AC96,0)</f>
        <v>0</v>
      </c>
      <c r="CI96" s="207">
        <f>IF(AND(Input_Product=Elig!$C96,Elig_MatchAll_Ct&lt;22,$BC96=(Elig_MatchAll_Ct-1),BA96=0),AD96,0)</f>
        <v>0</v>
      </c>
      <c r="CJ96" s="209">
        <f>IF(AND(Input_Product=Elig!$C96,Elig_MatchAll_Ct&lt;22,$BC96=(Elig_MatchAll_Ct-1),BA96=0),AE96,0)</f>
        <v>0</v>
      </c>
    </row>
    <row r="97" spans="2:88" ht="10.15" customHeight="1" x14ac:dyDescent="0.25">
      <c r="B97" s="1912" t="s">
        <v>851</v>
      </c>
      <c r="C97" s="141" t="str">
        <f t="shared" si="35"/>
        <v>NonQM OO</v>
      </c>
      <c r="D97" s="142" t="s">
        <v>3885</v>
      </c>
      <c r="E97" s="143" t="s">
        <v>167</v>
      </c>
      <c r="F97" s="143" t="s">
        <v>331</v>
      </c>
      <c r="G97" s="143" t="s">
        <v>468</v>
      </c>
      <c r="H97" s="143" t="s">
        <v>136</v>
      </c>
      <c r="I97" s="142" t="s">
        <v>16</v>
      </c>
      <c r="J97" s="142" t="s">
        <v>1311</v>
      </c>
      <c r="K97" s="142" t="s">
        <v>1631</v>
      </c>
      <c r="L97" s="2131" t="s">
        <v>3920</v>
      </c>
      <c r="M97" s="143" t="s">
        <v>4203</v>
      </c>
      <c r="N97" s="143" t="s">
        <v>82</v>
      </c>
      <c r="O97" s="143" t="s">
        <v>310</v>
      </c>
      <c r="P97" s="143" t="s">
        <v>291</v>
      </c>
      <c r="Q97" s="143" t="s">
        <v>294</v>
      </c>
      <c r="R97" s="142">
        <v>1000000.01</v>
      </c>
      <c r="S97" s="142">
        <v>1500000</v>
      </c>
      <c r="T97" s="142">
        <v>0</v>
      </c>
      <c r="U97" s="142">
        <f t="shared" ref="U97:U102" si="38">S97</f>
        <v>1500000</v>
      </c>
      <c r="V97" s="142">
        <v>0</v>
      </c>
      <c r="W97" s="142">
        <v>55</v>
      </c>
      <c r="X97" s="142">
        <v>0</v>
      </c>
      <c r="Y97" s="142">
        <v>999</v>
      </c>
      <c r="Z97" s="144">
        <v>720</v>
      </c>
      <c r="AA97" s="144">
        <v>999</v>
      </c>
      <c r="AB97" s="144">
        <v>6</v>
      </c>
      <c r="AC97" s="144">
        <v>999999</v>
      </c>
      <c r="AD97" s="142">
        <v>0</v>
      </c>
      <c r="AE97" s="320">
        <v>80</v>
      </c>
      <c r="AF97" s="170">
        <v>0</v>
      </c>
      <c r="AG97" s="171">
        <v>1</v>
      </c>
      <c r="AH97" s="171">
        <v>1</v>
      </c>
      <c r="AI97" s="171">
        <v>1</v>
      </c>
      <c r="AJ97" s="171">
        <v>0</v>
      </c>
      <c r="AK97" s="171">
        <v>1</v>
      </c>
      <c r="AL97" s="171">
        <v>1</v>
      </c>
      <c r="AM97" s="171">
        <v>1</v>
      </c>
      <c r="AN97" s="171">
        <v>1</v>
      </c>
      <c r="AO97" s="171">
        <v>1</v>
      </c>
      <c r="AP97" s="171">
        <v>1</v>
      </c>
      <c r="AQ97" s="171">
        <v>1</v>
      </c>
      <c r="AR97" s="171">
        <v>1</v>
      </c>
      <c r="AS97" s="171">
        <v>1</v>
      </c>
      <c r="AT97" s="171">
        <v>1</v>
      </c>
      <c r="AU97" s="171">
        <f t="shared" si="24"/>
        <v>0</v>
      </c>
      <c r="AV97" s="171">
        <f t="shared" si="25"/>
        <v>1</v>
      </c>
      <c r="AW97" s="171">
        <f t="shared" si="26"/>
        <v>1</v>
      </c>
      <c r="AX97" s="171">
        <f t="shared" si="37"/>
        <v>1</v>
      </c>
      <c r="AY97" s="171">
        <f t="shared" si="27"/>
        <v>1</v>
      </c>
      <c r="AZ97" s="171">
        <f t="shared" si="28"/>
        <v>1</v>
      </c>
      <c r="BA97" s="172">
        <f t="shared" si="29"/>
        <v>1</v>
      </c>
      <c r="BB97" s="175">
        <f t="shared" si="31"/>
        <v>19</v>
      </c>
      <c r="BC97" s="176">
        <f t="shared" si="32"/>
        <v>18</v>
      </c>
      <c r="BD97" s="176">
        <f t="shared" si="33"/>
        <v>19</v>
      </c>
      <c r="BE97" s="240" t="str">
        <f t="shared" si="30"/>
        <v/>
      </c>
      <c r="BH97" s="192">
        <f>IF(AND(Input_Product=Elig!$C97,Elig_MatchAll_Ct&lt;22,$BC97=(Elig_MatchAll_Ct-1),AF97=0),C97,0)</f>
        <v>0</v>
      </c>
      <c r="BI97" s="193">
        <f>IF(AND(Input_Product=Elig!$C97,Elig_MatchAll_Ct&lt;22,$BC97=(Elig_MatchAll_Ct-1),AG97=0),D97,0)</f>
        <v>0</v>
      </c>
      <c r="BJ97" s="193">
        <f>IF(AND(Input_Product=Elig!$C97,Elig_MatchAll_Ct&lt;22,$BC97=(Elig_MatchAll_Ct-1),AH97=0),E97,0)</f>
        <v>0</v>
      </c>
      <c r="BK97" s="193">
        <f>IF(AND(Input_Product=Elig!$C97,Elig_MatchAll_Ct&lt;22,$BC97=(Elig_MatchAll_Ct-1),AI97=0),F97,0)</f>
        <v>0</v>
      </c>
      <c r="BL97" s="193">
        <f>IF(AND(Input_Product=Elig!$C97,Elig_MatchAll_Ct&lt;22,$BC97=(Elig_MatchAll_Ct-1),AJ97=0),G97,0)</f>
        <v>0</v>
      </c>
      <c r="BM97" s="193">
        <f>IF(AND(Input_Product=Elig!$C97,Elig_MatchAll_Ct&lt;22,$BC97=(Elig_MatchAll_Ct-1),AK97=0),H97,0)</f>
        <v>0</v>
      </c>
      <c r="BN97" s="193">
        <f>IF(AND(Input_Product=Elig!$C97,Elig_MatchAll_Ct&lt;22,$BC97=(Elig_MatchAll_Ct-1),AL97=0),I97,0)</f>
        <v>0</v>
      </c>
      <c r="BO97" s="193">
        <f>IF(AND(Input_Product=Elig!$C97,Elig_MatchAll_Ct&lt;22,$BC97=(Elig_MatchAll_Ct-1),AM97=0),J97,0)</f>
        <v>0</v>
      </c>
      <c r="BP97" s="193">
        <f>IF(AND(Input_Product=Elig!$C97,Elig_MatchAll_Ct&lt;22,$BC97=(Elig_MatchAll_Ct-1),AN97=0),K97,0)</f>
        <v>0</v>
      </c>
      <c r="BQ97" s="193">
        <f>IF(AND(Input_Product=Elig!$C97,Elig_MatchAll_Ct&lt;22,$BC97=(Elig_MatchAll_Ct-1),AP97=0),L97,0)</f>
        <v>0</v>
      </c>
      <c r="BR97" s="193">
        <f>IF(AND(Input_Product=Elig!$C97,Elig_MatchAll_Ct&lt;22,$BC97=(Elig_MatchAll_Ct-1),AO97=0),M97,0)</f>
        <v>0</v>
      </c>
      <c r="BS97" s="193">
        <f>IF(AND(Input_Product=Elig!$C97,Elig_MatchAll_Ct&lt;22,$BC97=(Elig_MatchAll_Ct-1),AQ97=0),N97,0)</f>
        <v>0</v>
      </c>
      <c r="BT97" s="193">
        <f>IF(AND(Input_Product=Elig!$C97,Elig_MatchAll_Ct&lt;22,$BC97=(Elig_MatchAll_Ct-1),AR97=0),O97,0)</f>
        <v>0</v>
      </c>
      <c r="BU97" s="193">
        <f>IF(AND(Input_Product=Elig!$C97,Elig_MatchAll_Ct&lt;22,$BC97=(Elig_MatchAll_Ct-1),AS97=0),P97,0)</f>
        <v>0</v>
      </c>
      <c r="BV97" s="194">
        <f>IF(AND(Input_Product=Elig!$C97,Elig_MatchAll_Ct&lt;22,$BC97=(Elig_MatchAll_Ct-1),AT97=0),Q97,0)</f>
        <v>0</v>
      </c>
      <c r="BW97" s="195">
        <f>IF(AND(Input_Product=Elig!$C97,Elig_MatchAll_Ct&lt;22,$BC97=(Elig_MatchAll_Ct-1),AU97=0),R97,0)</f>
        <v>0</v>
      </c>
      <c r="BX97" s="196">
        <f>IF(AND(Input_Product=Elig!$C97,Elig_MatchAll_Ct&lt;22,$BC97=(Elig_MatchAll_Ct-1),AU97=0),S97,0)</f>
        <v>0</v>
      </c>
      <c r="BY97" s="195">
        <f>IF(AND(Input_Product=Elig!$C97,Elig_MatchAll_Ct&lt;22,$BC97=(Elig_MatchAll_Ct-1),AV97=0),T97,0)</f>
        <v>0</v>
      </c>
      <c r="BZ97" s="196">
        <f>IF(AND(Input_Product=Elig!$C97,Elig_MatchAll_Ct&lt;22,$BC97=(Elig_MatchAll_Ct-1),AV97=0),U97,0)</f>
        <v>0</v>
      </c>
      <c r="CA97" s="195">
        <f>IF(AND(Input_Product=Elig!$C97,Elig_MatchAll_Ct&lt;22,$BC97=(Elig_MatchAll_Ct-1),AW97=0),V97,0)</f>
        <v>0</v>
      </c>
      <c r="CB97" s="196">
        <f>IF(AND(Input_Product=Elig!$C97,Elig_MatchAll_Ct&lt;22,$BC97=(Elig_MatchAll_Ct-1),AW97=0),W97,0)</f>
        <v>0</v>
      </c>
      <c r="CC97" s="195">
        <f>IF(AND(Input_Product=Elig!$C97,Elig_MatchAll_Ct&lt;22,$BC97=(Elig_MatchAll_Ct-1),AX97=0),X97,0)</f>
        <v>0</v>
      </c>
      <c r="CD97" s="196">
        <f>IF(AND(Input_Product=Elig!$C97,Elig_MatchAll_Ct&lt;22,$BC97=(Elig_MatchAll_Ct-1),AX97=0),Y97,0)</f>
        <v>0</v>
      </c>
      <c r="CE97" s="195">
        <f>IF(AND(Input_LTV&lt;=AE97,Input_Product=Elig!$C97,Elig_MatchAll_Ct&lt;22,$BC97=(Elig_MatchAll_Ct-1),AY97=0),Z97,0)</f>
        <v>0</v>
      </c>
      <c r="CF97" s="196">
        <f>IF(AND(Input_LTV&lt;=AE97,Input_Product=Elig!$C97,Elig_MatchAll_Ct&lt;22,$BC97=(Elig_MatchAll_Ct-1),AY97=0),AA97,0)</f>
        <v>0</v>
      </c>
      <c r="CG97" s="195">
        <f>IF(AND(Input_Product=Elig!$C97,Elig_MatchAll_Ct&lt;22,$BC97=(Elig_MatchAll_Ct-1),AZ97=0),AB97,0)</f>
        <v>0</v>
      </c>
      <c r="CH97" s="196">
        <f>IF(AND(Input_Product=Elig!$C97,Elig_MatchAll_Ct&lt;22,$BC97=(Elig_MatchAll_Ct-1),AZ97=0),AC97,0)</f>
        <v>0</v>
      </c>
      <c r="CI97" s="195">
        <f>IF(AND(Input_Product=Elig!$C97,Elig_MatchAll_Ct&lt;22,$BC97=(Elig_MatchAll_Ct-1),BA97=0),AD97,0)</f>
        <v>0</v>
      </c>
      <c r="CJ97" s="197">
        <f>IF(AND(Input_Product=Elig!$C97,Elig_MatchAll_Ct&lt;22,$BC97=(Elig_MatchAll_Ct-1),BA97=0),AE97,0)</f>
        <v>0</v>
      </c>
    </row>
    <row r="98" spans="2:88" ht="10.15" customHeight="1" x14ac:dyDescent="0.25">
      <c r="B98" s="1912" t="s">
        <v>852</v>
      </c>
      <c r="C98" s="134" t="str">
        <f t="shared" si="35"/>
        <v>NonQM OO</v>
      </c>
      <c r="D98" s="135" t="s">
        <v>3885</v>
      </c>
      <c r="E98" s="135" t="s">
        <v>167</v>
      </c>
      <c r="F98" s="135" t="s">
        <v>331</v>
      </c>
      <c r="G98" s="135" t="s">
        <v>468</v>
      </c>
      <c r="H98" s="135" t="s">
        <v>136</v>
      </c>
      <c r="I98" s="136" t="s">
        <v>16</v>
      </c>
      <c r="J98" s="136" t="s">
        <v>1311</v>
      </c>
      <c r="K98" s="136" t="s">
        <v>1631</v>
      </c>
      <c r="L98" s="221" t="s">
        <v>3920</v>
      </c>
      <c r="M98" s="135" t="s">
        <v>4203</v>
      </c>
      <c r="N98" s="135" t="s">
        <v>82</v>
      </c>
      <c r="O98" s="135" t="s">
        <v>310</v>
      </c>
      <c r="P98" s="135" t="s">
        <v>291</v>
      </c>
      <c r="Q98" s="135" t="s">
        <v>294</v>
      </c>
      <c r="R98" s="135">
        <v>1000000.01</v>
      </c>
      <c r="S98" s="135">
        <v>1500000</v>
      </c>
      <c r="T98" s="135">
        <v>0</v>
      </c>
      <c r="U98" s="135">
        <f t="shared" si="38"/>
        <v>1500000</v>
      </c>
      <c r="V98" s="135">
        <v>0</v>
      </c>
      <c r="W98" s="135">
        <v>55</v>
      </c>
      <c r="X98" s="135">
        <v>0</v>
      </c>
      <c r="Y98" s="135">
        <v>999</v>
      </c>
      <c r="Z98" s="137">
        <v>700</v>
      </c>
      <c r="AA98" s="137">
        <v>719</v>
      </c>
      <c r="AB98" s="137">
        <v>6</v>
      </c>
      <c r="AC98" s="137">
        <v>999999</v>
      </c>
      <c r="AD98" s="135">
        <v>0</v>
      </c>
      <c r="AE98" s="221">
        <v>80</v>
      </c>
      <c r="AF98" s="170">
        <v>0</v>
      </c>
      <c r="AG98" s="171">
        <v>1</v>
      </c>
      <c r="AH98" s="171">
        <v>1</v>
      </c>
      <c r="AI98" s="171">
        <v>1</v>
      </c>
      <c r="AJ98" s="171">
        <v>0</v>
      </c>
      <c r="AK98" s="171">
        <v>1</v>
      </c>
      <c r="AL98" s="171">
        <v>1</v>
      </c>
      <c r="AM98" s="171">
        <v>1</v>
      </c>
      <c r="AN98" s="171">
        <v>1</v>
      </c>
      <c r="AO98" s="171">
        <v>1</v>
      </c>
      <c r="AP98" s="171">
        <v>1</v>
      </c>
      <c r="AQ98" s="171">
        <v>1</v>
      </c>
      <c r="AR98" s="171">
        <v>1</v>
      </c>
      <c r="AS98" s="171">
        <v>1</v>
      </c>
      <c r="AT98" s="171">
        <v>1</v>
      </c>
      <c r="AU98" s="171">
        <f t="shared" si="24"/>
        <v>0</v>
      </c>
      <c r="AV98" s="171">
        <f t="shared" si="25"/>
        <v>1</v>
      </c>
      <c r="AW98" s="171">
        <f t="shared" si="26"/>
        <v>1</v>
      </c>
      <c r="AX98" s="171">
        <f t="shared" si="37"/>
        <v>1</v>
      </c>
      <c r="AY98" s="171">
        <f t="shared" si="27"/>
        <v>0</v>
      </c>
      <c r="AZ98" s="171">
        <f t="shared" si="28"/>
        <v>1</v>
      </c>
      <c r="BA98" s="172">
        <f t="shared" si="29"/>
        <v>1</v>
      </c>
      <c r="BB98" s="175">
        <f t="shared" si="31"/>
        <v>18</v>
      </c>
      <c r="BC98" s="176">
        <f t="shared" si="32"/>
        <v>17</v>
      </c>
      <c r="BD98" s="176">
        <f t="shared" si="33"/>
        <v>18</v>
      </c>
      <c r="BE98" s="240" t="str">
        <f t="shared" si="30"/>
        <v/>
      </c>
      <c r="BH98" s="198">
        <f>IF(AND(Input_Product=Elig!$C98,Elig_MatchAll_Ct&lt;22,$BC98=(Elig_MatchAll_Ct-1),AF98=0),C98,0)</f>
        <v>0</v>
      </c>
      <c r="BI98" s="199">
        <f>IF(AND(Input_Product=Elig!$C98,Elig_MatchAll_Ct&lt;22,$BC98=(Elig_MatchAll_Ct-1),AG98=0),D98,0)</f>
        <v>0</v>
      </c>
      <c r="BJ98" s="199">
        <f>IF(AND(Input_Product=Elig!$C98,Elig_MatchAll_Ct&lt;22,$BC98=(Elig_MatchAll_Ct-1),AH98=0),E98,0)</f>
        <v>0</v>
      </c>
      <c r="BK98" s="199">
        <f>IF(AND(Input_Product=Elig!$C98,Elig_MatchAll_Ct&lt;22,$BC98=(Elig_MatchAll_Ct-1),AI98=0),F98,0)</f>
        <v>0</v>
      </c>
      <c r="BL98" s="199">
        <f>IF(AND(Input_Product=Elig!$C98,Elig_MatchAll_Ct&lt;22,$BC98=(Elig_MatchAll_Ct-1),AJ98=0),G98,0)</f>
        <v>0</v>
      </c>
      <c r="BM98" s="199">
        <f>IF(AND(Input_Product=Elig!$C98,Elig_MatchAll_Ct&lt;22,$BC98=(Elig_MatchAll_Ct-1),AK98=0),H98,0)</f>
        <v>0</v>
      </c>
      <c r="BN98" s="199">
        <f>IF(AND(Input_Product=Elig!$C98,Elig_MatchAll_Ct&lt;22,$BC98=(Elig_MatchAll_Ct-1),AL98=0),I98,0)</f>
        <v>0</v>
      </c>
      <c r="BO98" s="199">
        <f>IF(AND(Input_Product=Elig!$C98,Elig_MatchAll_Ct&lt;22,$BC98=(Elig_MatchAll_Ct-1),AM98=0),J98,0)</f>
        <v>0</v>
      </c>
      <c r="BP98" s="199">
        <f>IF(AND(Input_Product=Elig!$C98,Elig_MatchAll_Ct&lt;22,$BC98=(Elig_MatchAll_Ct-1),AN98=0),K98,0)</f>
        <v>0</v>
      </c>
      <c r="BQ98" s="199">
        <f>IF(AND(Input_Product=Elig!$C98,Elig_MatchAll_Ct&lt;22,$BC98=(Elig_MatchAll_Ct-1),AP98=0),L98,0)</f>
        <v>0</v>
      </c>
      <c r="BR98" s="199">
        <f>IF(AND(Input_Product=Elig!$C98,Elig_MatchAll_Ct&lt;22,$BC98=(Elig_MatchAll_Ct-1),AO98=0),M98,0)</f>
        <v>0</v>
      </c>
      <c r="BS98" s="199">
        <f>IF(AND(Input_Product=Elig!$C98,Elig_MatchAll_Ct&lt;22,$BC98=(Elig_MatchAll_Ct-1),AQ98=0),N98,0)</f>
        <v>0</v>
      </c>
      <c r="BT98" s="199">
        <f>IF(AND(Input_Product=Elig!$C98,Elig_MatchAll_Ct&lt;22,$BC98=(Elig_MatchAll_Ct-1),AR98=0),O98,0)</f>
        <v>0</v>
      </c>
      <c r="BU98" s="199">
        <f>IF(AND(Input_Product=Elig!$C98,Elig_MatchAll_Ct&lt;22,$BC98=(Elig_MatchAll_Ct-1),AS98=0),P98,0)</f>
        <v>0</v>
      </c>
      <c r="BV98" s="200">
        <f>IF(AND(Input_Product=Elig!$C98,Elig_MatchAll_Ct&lt;22,$BC98=(Elig_MatchAll_Ct-1),AT98=0),Q98,0)</f>
        <v>0</v>
      </c>
      <c r="BW98" s="201">
        <f>IF(AND(Input_Product=Elig!$C98,Elig_MatchAll_Ct&lt;22,$BC98=(Elig_MatchAll_Ct-1),AU98=0),R98,0)</f>
        <v>0</v>
      </c>
      <c r="BX98" s="202">
        <f>IF(AND(Input_Product=Elig!$C98,Elig_MatchAll_Ct&lt;22,$BC98=(Elig_MatchAll_Ct-1),AU98=0),S98,0)</f>
        <v>0</v>
      </c>
      <c r="BY98" s="201">
        <f>IF(AND(Input_Product=Elig!$C98,Elig_MatchAll_Ct&lt;22,$BC98=(Elig_MatchAll_Ct-1),AV98=0),T98,0)</f>
        <v>0</v>
      </c>
      <c r="BZ98" s="202">
        <f>IF(AND(Input_Product=Elig!$C98,Elig_MatchAll_Ct&lt;22,$BC98=(Elig_MatchAll_Ct-1),AV98=0),U98,0)</f>
        <v>0</v>
      </c>
      <c r="CA98" s="201">
        <f>IF(AND(Input_Product=Elig!$C98,Elig_MatchAll_Ct&lt;22,$BC98=(Elig_MatchAll_Ct-1),AW98=0),V98,0)</f>
        <v>0</v>
      </c>
      <c r="CB98" s="202">
        <f>IF(AND(Input_Product=Elig!$C98,Elig_MatchAll_Ct&lt;22,$BC98=(Elig_MatchAll_Ct-1),AW98=0),W98,0)</f>
        <v>0</v>
      </c>
      <c r="CC98" s="201">
        <f>IF(AND(Input_Product=Elig!$C98,Elig_MatchAll_Ct&lt;22,$BC98=(Elig_MatchAll_Ct-1),AX98=0),X98,0)</f>
        <v>0</v>
      </c>
      <c r="CD98" s="202">
        <f>IF(AND(Input_Product=Elig!$C98,Elig_MatchAll_Ct&lt;22,$BC98=(Elig_MatchAll_Ct-1),AX98=0),Y98,0)</f>
        <v>0</v>
      </c>
      <c r="CE98" s="201">
        <f>IF(AND(Input_LTV&lt;=AE98,Input_Product=Elig!$C98,Elig_MatchAll_Ct&lt;22,$BC98=(Elig_MatchAll_Ct-1),AY98=0),Z98,0)</f>
        <v>0</v>
      </c>
      <c r="CF98" s="202">
        <f>IF(AND(Input_LTV&lt;=AE98,Input_Product=Elig!$C98,Elig_MatchAll_Ct&lt;22,$BC98=(Elig_MatchAll_Ct-1),AY98=0),AA98,0)</f>
        <v>0</v>
      </c>
      <c r="CG98" s="201">
        <f>IF(AND(Input_Product=Elig!$C98,Elig_MatchAll_Ct&lt;22,$BC98=(Elig_MatchAll_Ct-1),AZ98=0),AB98,0)</f>
        <v>0</v>
      </c>
      <c r="CH98" s="202">
        <f>IF(AND(Input_Product=Elig!$C98,Elig_MatchAll_Ct&lt;22,$BC98=(Elig_MatchAll_Ct-1),AZ98=0),AC98,0)</f>
        <v>0</v>
      </c>
      <c r="CI98" s="201">
        <f>IF(AND(Input_Product=Elig!$C98,Elig_MatchAll_Ct&lt;22,$BC98=(Elig_MatchAll_Ct-1),BA98=0),AD98,0)</f>
        <v>0</v>
      </c>
      <c r="CJ98" s="203">
        <f>IF(AND(Input_Product=Elig!$C98,Elig_MatchAll_Ct&lt;22,$BC98=(Elig_MatchAll_Ct-1),BA98=0),AE98,0)</f>
        <v>0</v>
      </c>
    </row>
    <row r="99" spans="2:88" ht="10.15" customHeight="1" x14ac:dyDescent="0.25">
      <c r="B99" s="1912" t="s">
        <v>853</v>
      </c>
      <c r="C99" s="134" t="str">
        <f t="shared" si="35"/>
        <v>NonQM OO</v>
      </c>
      <c r="D99" s="135" t="s">
        <v>3885</v>
      </c>
      <c r="E99" s="135" t="s">
        <v>167</v>
      </c>
      <c r="F99" s="135" t="s">
        <v>331</v>
      </c>
      <c r="G99" s="135" t="s">
        <v>468</v>
      </c>
      <c r="H99" s="135" t="s">
        <v>136</v>
      </c>
      <c r="I99" s="136" t="s">
        <v>16</v>
      </c>
      <c r="J99" s="136" t="s">
        <v>1311</v>
      </c>
      <c r="K99" s="136" t="s">
        <v>1631</v>
      </c>
      <c r="L99" s="221" t="s">
        <v>3920</v>
      </c>
      <c r="M99" s="135" t="s">
        <v>4203</v>
      </c>
      <c r="N99" s="135" t="s">
        <v>82</v>
      </c>
      <c r="O99" s="135" t="s">
        <v>310</v>
      </c>
      <c r="P99" s="135" t="s">
        <v>291</v>
      </c>
      <c r="Q99" s="135" t="s">
        <v>294</v>
      </c>
      <c r="R99" s="135">
        <v>1000000.01</v>
      </c>
      <c r="S99" s="135">
        <v>1500000</v>
      </c>
      <c r="T99" s="135">
        <v>0</v>
      </c>
      <c r="U99" s="135">
        <f t="shared" si="38"/>
        <v>1500000</v>
      </c>
      <c r="V99" s="135">
        <v>0</v>
      </c>
      <c r="W99" s="135">
        <v>55</v>
      </c>
      <c r="X99" s="135">
        <v>0</v>
      </c>
      <c r="Y99" s="135">
        <v>999</v>
      </c>
      <c r="Z99" s="137">
        <v>680</v>
      </c>
      <c r="AA99" s="137">
        <v>699</v>
      </c>
      <c r="AB99" s="137">
        <v>6</v>
      </c>
      <c r="AC99" s="137">
        <v>999999</v>
      </c>
      <c r="AD99" s="135">
        <v>0</v>
      </c>
      <c r="AE99" s="221">
        <v>75</v>
      </c>
      <c r="AF99" s="170">
        <v>0</v>
      </c>
      <c r="AG99" s="171">
        <v>1</v>
      </c>
      <c r="AH99" s="171">
        <v>1</v>
      </c>
      <c r="AI99" s="171">
        <v>1</v>
      </c>
      <c r="AJ99" s="171">
        <v>0</v>
      </c>
      <c r="AK99" s="171">
        <v>1</v>
      </c>
      <c r="AL99" s="171">
        <v>1</v>
      </c>
      <c r="AM99" s="171">
        <v>1</v>
      </c>
      <c r="AN99" s="171">
        <v>1</v>
      </c>
      <c r="AO99" s="171">
        <v>1</v>
      </c>
      <c r="AP99" s="171">
        <v>1</v>
      </c>
      <c r="AQ99" s="171">
        <v>1</v>
      </c>
      <c r="AR99" s="171">
        <v>1</v>
      </c>
      <c r="AS99" s="171">
        <v>1</v>
      </c>
      <c r="AT99" s="171">
        <v>1</v>
      </c>
      <c r="AU99" s="171">
        <f t="shared" si="24"/>
        <v>0</v>
      </c>
      <c r="AV99" s="171">
        <f t="shared" si="25"/>
        <v>1</v>
      </c>
      <c r="AW99" s="171">
        <f t="shared" si="26"/>
        <v>1</v>
      </c>
      <c r="AX99" s="171">
        <f t="shared" si="37"/>
        <v>1</v>
      </c>
      <c r="AY99" s="171">
        <f t="shared" si="27"/>
        <v>0</v>
      </c>
      <c r="AZ99" s="171">
        <f t="shared" si="28"/>
        <v>1</v>
      </c>
      <c r="BA99" s="172">
        <f t="shared" si="29"/>
        <v>1</v>
      </c>
      <c r="BB99" s="175">
        <f t="shared" si="31"/>
        <v>18</v>
      </c>
      <c r="BC99" s="176">
        <f t="shared" si="32"/>
        <v>17</v>
      </c>
      <c r="BD99" s="176">
        <f t="shared" si="33"/>
        <v>18</v>
      </c>
      <c r="BE99" s="240" t="str">
        <f t="shared" si="30"/>
        <v/>
      </c>
      <c r="BH99" s="198">
        <f>IF(AND(Input_Product=Elig!$C99,Elig_MatchAll_Ct&lt;22,$BC99=(Elig_MatchAll_Ct-1),AF99=0),C99,0)</f>
        <v>0</v>
      </c>
      <c r="BI99" s="199">
        <f>IF(AND(Input_Product=Elig!$C99,Elig_MatchAll_Ct&lt;22,$BC99=(Elig_MatchAll_Ct-1),AG99=0),D99,0)</f>
        <v>0</v>
      </c>
      <c r="BJ99" s="199">
        <f>IF(AND(Input_Product=Elig!$C99,Elig_MatchAll_Ct&lt;22,$BC99=(Elig_MatchAll_Ct-1),AH99=0),E99,0)</f>
        <v>0</v>
      </c>
      <c r="BK99" s="199">
        <f>IF(AND(Input_Product=Elig!$C99,Elig_MatchAll_Ct&lt;22,$BC99=(Elig_MatchAll_Ct-1),AI99=0),F99,0)</f>
        <v>0</v>
      </c>
      <c r="BL99" s="199">
        <f>IF(AND(Input_Product=Elig!$C99,Elig_MatchAll_Ct&lt;22,$BC99=(Elig_MatchAll_Ct-1),AJ99=0),G99,0)</f>
        <v>0</v>
      </c>
      <c r="BM99" s="199">
        <f>IF(AND(Input_Product=Elig!$C99,Elig_MatchAll_Ct&lt;22,$BC99=(Elig_MatchAll_Ct-1),AK99=0),H99,0)</f>
        <v>0</v>
      </c>
      <c r="BN99" s="199">
        <f>IF(AND(Input_Product=Elig!$C99,Elig_MatchAll_Ct&lt;22,$BC99=(Elig_MatchAll_Ct-1),AL99=0),I99,0)</f>
        <v>0</v>
      </c>
      <c r="BO99" s="199">
        <f>IF(AND(Input_Product=Elig!$C99,Elig_MatchAll_Ct&lt;22,$BC99=(Elig_MatchAll_Ct-1),AM99=0),J99,0)</f>
        <v>0</v>
      </c>
      <c r="BP99" s="199">
        <f>IF(AND(Input_Product=Elig!$C99,Elig_MatchAll_Ct&lt;22,$BC99=(Elig_MatchAll_Ct-1),AN99=0),K99,0)</f>
        <v>0</v>
      </c>
      <c r="BQ99" s="199">
        <f>IF(AND(Input_Product=Elig!$C99,Elig_MatchAll_Ct&lt;22,$BC99=(Elig_MatchAll_Ct-1),AP99=0),L99,0)</f>
        <v>0</v>
      </c>
      <c r="BR99" s="199">
        <f>IF(AND(Input_Product=Elig!$C99,Elig_MatchAll_Ct&lt;22,$BC99=(Elig_MatchAll_Ct-1),AO99=0),M99,0)</f>
        <v>0</v>
      </c>
      <c r="BS99" s="199">
        <f>IF(AND(Input_Product=Elig!$C99,Elig_MatchAll_Ct&lt;22,$BC99=(Elig_MatchAll_Ct-1),AQ99=0),N99,0)</f>
        <v>0</v>
      </c>
      <c r="BT99" s="199">
        <f>IF(AND(Input_Product=Elig!$C99,Elig_MatchAll_Ct&lt;22,$BC99=(Elig_MatchAll_Ct-1),AR99=0),O99,0)</f>
        <v>0</v>
      </c>
      <c r="BU99" s="199">
        <f>IF(AND(Input_Product=Elig!$C99,Elig_MatchAll_Ct&lt;22,$BC99=(Elig_MatchAll_Ct-1),AS99=0),P99,0)</f>
        <v>0</v>
      </c>
      <c r="BV99" s="200">
        <f>IF(AND(Input_Product=Elig!$C99,Elig_MatchAll_Ct&lt;22,$BC99=(Elig_MatchAll_Ct-1),AT99=0),Q99,0)</f>
        <v>0</v>
      </c>
      <c r="BW99" s="201">
        <f>IF(AND(Input_Product=Elig!$C99,Elig_MatchAll_Ct&lt;22,$BC99=(Elig_MatchAll_Ct-1),AU99=0),R99,0)</f>
        <v>0</v>
      </c>
      <c r="BX99" s="202">
        <f>IF(AND(Input_Product=Elig!$C99,Elig_MatchAll_Ct&lt;22,$BC99=(Elig_MatchAll_Ct-1),AU99=0),S99,0)</f>
        <v>0</v>
      </c>
      <c r="BY99" s="201">
        <f>IF(AND(Input_Product=Elig!$C99,Elig_MatchAll_Ct&lt;22,$BC99=(Elig_MatchAll_Ct-1),AV99=0),T99,0)</f>
        <v>0</v>
      </c>
      <c r="BZ99" s="202">
        <f>IF(AND(Input_Product=Elig!$C99,Elig_MatchAll_Ct&lt;22,$BC99=(Elig_MatchAll_Ct-1),AV99=0),U99,0)</f>
        <v>0</v>
      </c>
      <c r="CA99" s="201">
        <f>IF(AND(Input_Product=Elig!$C99,Elig_MatchAll_Ct&lt;22,$BC99=(Elig_MatchAll_Ct-1),AW99=0),V99,0)</f>
        <v>0</v>
      </c>
      <c r="CB99" s="202">
        <f>IF(AND(Input_Product=Elig!$C99,Elig_MatchAll_Ct&lt;22,$BC99=(Elig_MatchAll_Ct-1),AW99=0),W99,0)</f>
        <v>0</v>
      </c>
      <c r="CC99" s="201">
        <f>IF(AND(Input_Product=Elig!$C99,Elig_MatchAll_Ct&lt;22,$BC99=(Elig_MatchAll_Ct-1),AX99=0),X99,0)</f>
        <v>0</v>
      </c>
      <c r="CD99" s="202">
        <f>IF(AND(Input_Product=Elig!$C99,Elig_MatchAll_Ct&lt;22,$BC99=(Elig_MatchAll_Ct-1),AX99=0),Y99,0)</f>
        <v>0</v>
      </c>
      <c r="CE99" s="201">
        <f>IF(AND(Input_LTV&lt;=AE99,Input_Product=Elig!$C99,Elig_MatchAll_Ct&lt;22,$BC99=(Elig_MatchAll_Ct-1),AY99=0),Z99,0)</f>
        <v>0</v>
      </c>
      <c r="CF99" s="202">
        <f>IF(AND(Input_LTV&lt;=AE99,Input_Product=Elig!$C99,Elig_MatchAll_Ct&lt;22,$BC99=(Elig_MatchAll_Ct-1),AY99=0),AA99,0)</f>
        <v>0</v>
      </c>
      <c r="CG99" s="201">
        <f>IF(AND(Input_Product=Elig!$C99,Elig_MatchAll_Ct&lt;22,$BC99=(Elig_MatchAll_Ct-1),AZ99=0),AB99,0)</f>
        <v>0</v>
      </c>
      <c r="CH99" s="202">
        <f>IF(AND(Input_Product=Elig!$C99,Elig_MatchAll_Ct&lt;22,$BC99=(Elig_MatchAll_Ct-1),AZ99=0),AC99,0)</f>
        <v>0</v>
      </c>
      <c r="CI99" s="201">
        <f>IF(AND(Input_Product=Elig!$C99,Elig_MatchAll_Ct&lt;22,$BC99=(Elig_MatchAll_Ct-1),BA99=0),AD99,0)</f>
        <v>0</v>
      </c>
      <c r="CJ99" s="203">
        <f>IF(AND(Input_Product=Elig!$C99,Elig_MatchAll_Ct&lt;22,$BC99=(Elig_MatchAll_Ct-1),BA99=0),AE99,0)</f>
        <v>0</v>
      </c>
    </row>
    <row r="100" spans="2:88" ht="10.15" customHeight="1" x14ac:dyDescent="0.25">
      <c r="B100" s="1912" t="s">
        <v>854</v>
      </c>
      <c r="C100" s="134" t="str">
        <f t="shared" si="35"/>
        <v>NonQM OO</v>
      </c>
      <c r="D100" s="135" t="s">
        <v>3885</v>
      </c>
      <c r="E100" s="135" t="s">
        <v>167</v>
      </c>
      <c r="F100" s="135" t="s">
        <v>331</v>
      </c>
      <c r="G100" s="135" t="s">
        <v>468</v>
      </c>
      <c r="H100" s="135" t="s">
        <v>136</v>
      </c>
      <c r="I100" s="135" t="s">
        <v>16</v>
      </c>
      <c r="J100" s="135" t="s">
        <v>1311</v>
      </c>
      <c r="K100" s="135" t="s">
        <v>1631</v>
      </c>
      <c r="L100" s="221" t="s">
        <v>3920</v>
      </c>
      <c r="M100" s="135" t="s">
        <v>4203</v>
      </c>
      <c r="N100" s="135" t="s">
        <v>82</v>
      </c>
      <c r="O100" s="135" t="s">
        <v>310</v>
      </c>
      <c r="P100" s="135" t="s">
        <v>291</v>
      </c>
      <c r="Q100" s="135" t="s">
        <v>294</v>
      </c>
      <c r="R100" s="135">
        <v>1000000.01</v>
      </c>
      <c r="S100" s="135">
        <v>1500000</v>
      </c>
      <c r="T100" s="135">
        <v>0</v>
      </c>
      <c r="U100" s="135">
        <f t="shared" si="38"/>
        <v>1500000</v>
      </c>
      <c r="V100" s="135">
        <v>0</v>
      </c>
      <c r="W100" s="135">
        <v>55</v>
      </c>
      <c r="X100" s="135">
        <v>0</v>
      </c>
      <c r="Y100" s="135">
        <v>999</v>
      </c>
      <c r="Z100" s="137">
        <v>660</v>
      </c>
      <c r="AA100" s="137">
        <v>679</v>
      </c>
      <c r="AB100" s="137">
        <v>6</v>
      </c>
      <c r="AC100" s="137">
        <v>999999</v>
      </c>
      <c r="AD100" s="135">
        <v>0</v>
      </c>
      <c r="AE100" s="221">
        <v>75</v>
      </c>
      <c r="AF100" s="170">
        <v>0</v>
      </c>
      <c r="AG100" s="171">
        <v>1</v>
      </c>
      <c r="AH100" s="171">
        <v>1</v>
      </c>
      <c r="AI100" s="171">
        <v>1</v>
      </c>
      <c r="AJ100" s="171">
        <v>0</v>
      </c>
      <c r="AK100" s="171">
        <v>1</v>
      </c>
      <c r="AL100" s="171">
        <v>1</v>
      </c>
      <c r="AM100" s="171">
        <v>1</v>
      </c>
      <c r="AN100" s="171">
        <v>1</v>
      </c>
      <c r="AO100" s="171">
        <v>1</v>
      </c>
      <c r="AP100" s="171">
        <v>1</v>
      </c>
      <c r="AQ100" s="171">
        <v>1</v>
      </c>
      <c r="AR100" s="171">
        <v>1</v>
      </c>
      <c r="AS100" s="171">
        <v>1</v>
      </c>
      <c r="AT100" s="171">
        <v>1</v>
      </c>
      <c r="AU100" s="171">
        <f t="shared" si="24"/>
        <v>0</v>
      </c>
      <c r="AV100" s="171">
        <f t="shared" si="25"/>
        <v>1</v>
      </c>
      <c r="AW100" s="171">
        <f t="shared" si="26"/>
        <v>1</v>
      </c>
      <c r="AX100" s="171">
        <f t="shared" si="37"/>
        <v>1</v>
      </c>
      <c r="AY100" s="171">
        <f t="shared" si="27"/>
        <v>0</v>
      </c>
      <c r="AZ100" s="171">
        <f t="shared" si="28"/>
        <v>1</v>
      </c>
      <c r="BA100" s="172">
        <f t="shared" si="29"/>
        <v>1</v>
      </c>
      <c r="BB100" s="175">
        <f t="shared" si="31"/>
        <v>18</v>
      </c>
      <c r="BC100" s="176">
        <f t="shared" si="32"/>
        <v>17</v>
      </c>
      <c r="BD100" s="176">
        <f t="shared" si="33"/>
        <v>18</v>
      </c>
      <c r="BE100" s="240" t="str">
        <f t="shared" si="30"/>
        <v/>
      </c>
      <c r="BH100" s="198">
        <f>IF(AND(Input_Product=Elig!$C100,Elig_MatchAll_Ct&lt;22,$BC100=(Elig_MatchAll_Ct-1),AF100=0),C100,0)</f>
        <v>0</v>
      </c>
      <c r="BI100" s="199">
        <f>IF(AND(Input_Product=Elig!$C100,Elig_MatchAll_Ct&lt;22,$BC100=(Elig_MatchAll_Ct-1),AG100=0),D100,0)</f>
        <v>0</v>
      </c>
      <c r="BJ100" s="199">
        <f>IF(AND(Input_Product=Elig!$C100,Elig_MatchAll_Ct&lt;22,$BC100=(Elig_MatchAll_Ct-1),AH100=0),E100,0)</f>
        <v>0</v>
      </c>
      <c r="BK100" s="199">
        <f>IF(AND(Input_Product=Elig!$C100,Elig_MatchAll_Ct&lt;22,$BC100=(Elig_MatchAll_Ct-1),AI100=0),F100,0)</f>
        <v>0</v>
      </c>
      <c r="BL100" s="199">
        <f>IF(AND(Input_Product=Elig!$C100,Elig_MatchAll_Ct&lt;22,$BC100=(Elig_MatchAll_Ct-1),AJ100=0),G100,0)</f>
        <v>0</v>
      </c>
      <c r="BM100" s="199">
        <f>IF(AND(Input_Product=Elig!$C100,Elig_MatchAll_Ct&lt;22,$BC100=(Elig_MatchAll_Ct-1),AK100=0),H100,0)</f>
        <v>0</v>
      </c>
      <c r="BN100" s="199">
        <f>IF(AND(Input_Product=Elig!$C100,Elig_MatchAll_Ct&lt;22,$BC100=(Elig_MatchAll_Ct-1),AL100=0),I100,0)</f>
        <v>0</v>
      </c>
      <c r="BO100" s="199">
        <f>IF(AND(Input_Product=Elig!$C100,Elig_MatchAll_Ct&lt;22,$BC100=(Elig_MatchAll_Ct-1),AM100=0),J100,0)</f>
        <v>0</v>
      </c>
      <c r="BP100" s="199">
        <f>IF(AND(Input_Product=Elig!$C100,Elig_MatchAll_Ct&lt;22,$BC100=(Elig_MatchAll_Ct-1),AN100=0),K100,0)</f>
        <v>0</v>
      </c>
      <c r="BQ100" s="199">
        <f>IF(AND(Input_Product=Elig!$C100,Elig_MatchAll_Ct&lt;22,$BC100=(Elig_MatchAll_Ct-1),AP100=0),L100,0)</f>
        <v>0</v>
      </c>
      <c r="BR100" s="199">
        <f>IF(AND(Input_Product=Elig!$C100,Elig_MatchAll_Ct&lt;22,$BC100=(Elig_MatchAll_Ct-1),AO100=0),M100,0)</f>
        <v>0</v>
      </c>
      <c r="BS100" s="199">
        <f>IF(AND(Input_Product=Elig!$C100,Elig_MatchAll_Ct&lt;22,$BC100=(Elig_MatchAll_Ct-1),AQ100=0),N100,0)</f>
        <v>0</v>
      </c>
      <c r="BT100" s="199">
        <f>IF(AND(Input_Product=Elig!$C100,Elig_MatchAll_Ct&lt;22,$BC100=(Elig_MatchAll_Ct-1),AR100=0),O100,0)</f>
        <v>0</v>
      </c>
      <c r="BU100" s="199">
        <f>IF(AND(Input_Product=Elig!$C100,Elig_MatchAll_Ct&lt;22,$BC100=(Elig_MatchAll_Ct-1),AS100=0),P100,0)</f>
        <v>0</v>
      </c>
      <c r="BV100" s="200">
        <f>IF(AND(Input_Product=Elig!$C100,Elig_MatchAll_Ct&lt;22,$BC100=(Elig_MatchAll_Ct-1),AT100=0),Q100,0)</f>
        <v>0</v>
      </c>
      <c r="BW100" s="201">
        <f>IF(AND(Input_Product=Elig!$C100,Elig_MatchAll_Ct&lt;22,$BC100=(Elig_MatchAll_Ct-1),AU100=0),R100,0)</f>
        <v>0</v>
      </c>
      <c r="BX100" s="202">
        <f>IF(AND(Input_Product=Elig!$C100,Elig_MatchAll_Ct&lt;22,$BC100=(Elig_MatchAll_Ct-1),AU100=0),S100,0)</f>
        <v>0</v>
      </c>
      <c r="BY100" s="201">
        <f>IF(AND(Input_Product=Elig!$C100,Elig_MatchAll_Ct&lt;22,$BC100=(Elig_MatchAll_Ct-1),AV100=0),T100,0)</f>
        <v>0</v>
      </c>
      <c r="BZ100" s="202">
        <f>IF(AND(Input_Product=Elig!$C100,Elig_MatchAll_Ct&lt;22,$BC100=(Elig_MatchAll_Ct-1),AV100=0),U100,0)</f>
        <v>0</v>
      </c>
      <c r="CA100" s="201">
        <f>IF(AND(Input_Product=Elig!$C100,Elig_MatchAll_Ct&lt;22,$BC100=(Elig_MatchAll_Ct-1),AW100=0),V100,0)</f>
        <v>0</v>
      </c>
      <c r="CB100" s="202">
        <f>IF(AND(Input_Product=Elig!$C100,Elig_MatchAll_Ct&lt;22,$BC100=(Elig_MatchAll_Ct-1),AW100=0),W100,0)</f>
        <v>0</v>
      </c>
      <c r="CC100" s="201">
        <f>IF(AND(Input_Product=Elig!$C100,Elig_MatchAll_Ct&lt;22,$BC100=(Elig_MatchAll_Ct-1),AX100=0),X100,0)</f>
        <v>0</v>
      </c>
      <c r="CD100" s="202">
        <f>IF(AND(Input_Product=Elig!$C100,Elig_MatchAll_Ct&lt;22,$BC100=(Elig_MatchAll_Ct-1),AX100=0),Y100,0)</f>
        <v>0</v>
      </c>
      <c r="CE100" s="201">
        <f>IF(AND(Input_LTV&lt;=AE100,Input_Product=Elig!$C100,Elig_MatchAll_Ct&lt;22,$BC100=(Elig_MatchAll_Ct-1),AY100=0),Z100,0)</f>
        <v>0</v>
      </c>
      <c r="CF100" s="202">
        <f>IF(AND(Input_LTV&lt;=AE100,Input_Product=Elig!$C100,Elig_MatchAll_Ct&lt;22,$BC100=(Elig_MatchAll_Ct-1),AY100=0),AA100,0)</f>
        <v>0</v>
      </c>
      <c r="CG100" s="201">
        <f>IF(AND(Input_Product=Elig!$C100,Elig_MatchAll_Ct&lt;22,$BC100=(Elig_MatchAll_Ct-1),AZ100=0),AB100,0)</f>
        <v>0</v>
      </c>
      <c r="CH100" s="202">
        <f>IF(AND(Input_Product=Elig!$C100,Elig_MatchAll_Ct&lt;22,$BC100=(Elig_MatchAll_Ct-1),AZ100=0),AC100,0)</f>
        <v>0</v>
      </c>
      <c r="CI100" s="201">
        <f>IF(AND(Input_Product=Elig!$C100,Elig_MatchAll_Ct&lt;22,$BC100=(Elig_MatchAll_Ct-1),BA100=0),AD100,0)</f>
        <v>0</v>
      </c>
      <c r="CJ100" s="203">
        <f>IF(AND(Input_Product=Elig!$C100,Elig_MatchAll_Ct&lt;22,$BC100=(Elig_MatchAll_Ct-1),BA100=0),AE100,0)</f>
        <v>0</v>
      </c>
    </row>
    <row r="101" spans="2:88" ht="10.15" customHeight="1" x14ac:dyDescent="0.25">
      <c r="B101" s="1912" t="s">
        <v>855</v>
      </c>
      <c r="C101" s="134" t="str">
        <f t="shared" si="35"/>
        <v>NonQM OO</v>
      </c>
      <c r="D101" s="135" t="s">
        <v>3885</v>
      </c>
      <c r="E101" s="135" t="s">
        <v>167</v>
      </c>
      <c r="F101" s="135" t="s">
        <v>331</v>
      </c>
      <c r="G101" s="135" t="s">
        <v>468</v>
      </c>
      <c r="H101" s="135" t="s">
        <v>136</v>
      </c>
      <c r="I101" s="135" t="s">
        <v>16</v>
      </c>
      <c r="J101" s="135" t="s">
        <v>1311</v>
      </c>
      <c r="K101" s="135" t="s">
        <v>1631</v>
      </c>
      <c r="L101" s="221" t="s">
        <v>3920</v>
      </c>
      <c r="M101" s="135" t="s">
        <v>4203</v>
      </c>
      <c r="N101" s="135" t="s">
        <v>82</v>
      </c>
      <c r="O101" s="135" t="s">
        <v>310</v>
      </c>
      <c r="P101" s="135" t="s">
        <v>291</v>
      </c>
      <c r="Q101" s="135" t="s">
        <v>294</v>
      </c>
      <c r="R101" s="135">
        <v>1000000.01</v>
      </c>
      <c r="S101" s="135">
        <v>1500000</v>
      </c>
      <c r="T101" s="135">
        <v>0</v>
      </c>
      <c r="U101" s="135">
        <f t="shared" si="38"/>
        <v>1500000</v>
      </c>
      <c r="V101" s="135">
        <v>0</v>
      </c>
      <c r="W101" s="135">
        <v>55</v>
      </c>
      <c r="X101" s="135">
        <v>0</v>
      </c>
      <c r="Y101" s="135">
        <v>999</v>
      </c>
      <c r="Z101" s="137">
        <v>640</v>
      </c>
      <c r="AA101" s="137">
        <v>659</v>
      </c>
      <c r="AB101" s="137">
        <v>6</v>
      </c>
      <c r="AC101" s="137">
        <v>999999</v>
      </c>
      <c r="AD101" s="135">
        <v>0</v>
      </c>
      <c r="AE101" s="221">
        <v>65</v>
      </c>
      <c r="AF101" s="170">
        <v>0</v>
      </c>
      <c r="AG101" s="171">
        <v>1</v>
      </c>
      <c r="AH101" s="171">
        <v>1</v>
      </c>
      <c r="AI101" s="171">
        <v>1</v>
      </c>
      <c r="AJ101" s="171">
        <v>0</v>
      </c>
      <c r="AK101" s="171">
        <v>1</v>
      </c>
      <c r="AL101" s="171">
        <v>1</v>
      </c>
      <c r="AM101" s="171">
        <v>1</v>
      </c>
      <c r="AN101" s="171">
        <v>1</v>
      </c>
      <c r="AO101" s="171">
        <v>1</v>
      </c>
      <c r="AP101" s="171">
        <v>1</v>
      </c>
      <c r="AQ101" s="171">
        <v>1</v>
      </c>
      <c r="AR101" s="171">
        <v>1</v>
      </c>
      <c r="AS101" s="171">
        <v>1</v>
      </c>
      <c r="AT101" s="171">
        <v>1</v>
      </c>
      <c r="AU101" s="171">
        <f t="shared" si="24"/>
        <v>0</v>
      </c>
      <c r="AV101" s="171">
        <f t="shared" si="25"/>
        <v>1</v>
      </c>
      <c r="AW101" s="171">
        <f t="shared" si="26"/>
        <v>1</v>
      </c>
      <c r="AX101" s="171">
        <f t="shared" si="37"/>
        <v>1</v>
      </c>
      <c r="AY101" s="171">
        <f t="shared" si="27"/>
        <v>0</v>
      </c>
      <c r="AZ101" s="171">
        <f t="shared" si="28"/>
        <v>1</v>
      </c>
      <c r="BA101" s="172">
        <f t="shared" si="29"/>
        <v>1</v>
      </c>
      <c r="BB101" s="175">
        <f t="shared" si="31"/>
        <v>18</v>
      </c>
      <c r="BC101" s="176">
        <f t="shared" si="32"/>
        <v>17</v>
      </c>
      <c r="BD101" s="176">
        <f t="shared" si="33"/>
        <v>18</v>
      </c>
      <c r="BE101" s="240" t="str">
        <f t="shared" si="30"/>
        <v/>
      </c>
      <c r="BH101" s="198">
        <f>IF(AND(Input_Product=Elig!$C101,Elig_MatchAll_Ct&lt;22,$BC101=(Elig_MatchAll_Ct-1),AF101=0),C101,0)</f>
        <v>0</v>
      </c>
      <c r="BI101" s="199">
        <f>IF(AND(Input_Product=Elig!$C101,Elig_MatchAll_Ct&lt;22,$BC101=(Elig_MatchAll_Ct-1),AG101=0),D101,0)</f>
        <v>0</v>
      </c>
      <c r="BJ101" s="199">
        <f>IF(AND(Input_Product=Elig!$C101,Elig_MatchAll_Ct&lt;22,$BC101=(Elig_MatchAll_Ct-1),AH101=0),E101,0)</f>
        <v>0</v>
      </c>
      <c r="BK101" s="199">
        <f>IF(AND(Input_Product=Elig!$C101,Elig_MatchAll_Ct&lt;22,$BC101=(Elig_MatchAll_Ct-1),AI101=0),F101,0)</f>
        <v>0</v>
      </c>
      <c r="BL101" s="199">
        <f>IF(AND(Input_Product=Elig!$C101,Elig_MatchAll_Ct&lt;22,$BC101=(Elig_MatchAll_Ct-1),AJ101=0),G101,0)</f>
        <v>0</v>
      </c>
      <c r="BM101" s="199">
        <f>IF(AND(Input_Product=Elig!$C101,Elig_MatchAll_Ct&lt;22,$BC101=(Elig_MatchAll_Ct-1),AK101=0),H101,0)</f>
        <v>0</v>
      </c>
      <c r="BN101" s="199">
        <f>IF(AND(Input_Product=Elig!$C101,Elig_MatchAll_Ct&lt;22,$BC101=(Elig_MatchAll_Ct-1),AL101=0),I101,0)</f>
        <v>0</v>
      </c>
      <c r="BO101" s="199">
        <f>IF(AND(Input_Product=Elig!$C101,Elig_MatchAll_Ct&lt;22,$BC101=(Elig_MatchAll_Ct-1),AM101=0),J101,0)</f>
        <v>0</v>
      </c>
      <c r="BP101" s="199">
        <f>IF(AND(Input_Product=Elig!$C101,Elig_MatchAll_Ct&lt;22,$BC101=(Elig_MatchAll_Ct-1),AN101=0),K101,0)</f>
        <v>0</v>
      </c>
      <c r="BQ101" s="199">
        <f>IF(AND(Input_Product=Elig!$C101,Elig_MatchAll_Ct&lt;22,$BC101=(Elig_MatchAll_Ct-1),AP101=0),L101,0)</f>
        <v>0</v>
      </c>
      <c r="BR101" s="199">
        <f>IF(AND(Input_Product=Elig!$C101,Elig_MatchAll_Ct&lt;22,$BC101=(Elig_MatchAll_Ct-1),AO101=0),M101,0)</f>
        <v>0</v>
      </c>
      <c r="BS101" s="199">
        <f>IF(AND(Input_Product=Elig!$C101,Elig_MatchAll_Ct&lt;22,$BC101=(Elig_MatchAll_Ct-1),AQ101=0),N101,0)</f>
        <v>0</v>
      </c>
      <c r="BT101" s="199">
        <f>IF(AND(Input_Product=Elig!$C101,Elig_MatchAll_Ct&lt;22,$BC101=(Elig_MatchAll_Ct-1),AR101=0),O101,0)</f>
        <v>0</v>
      </c>
      <c r="BU101" s="199">
        <f>IF(AND(Input_Product=Elig!$C101,Elig_MatchAll_Ct&lt;22,$BC101=(Elig_MatchAll_Ct-1),AS101=0),P101,0)</f>
        <v>0</v>
      </c>
      <c r="BV101" s="200">
        <f>IF(AND(Input_Product=Elig!$C101,Elig_MatchAll_Ct&lt;22,$BC101=(Elig_MatchAll_Ct-1),AT101=0),Q101,0)</f>
        <v>0</v>
      </c>
      <c r="BW101" s="201">
        <f>IF(AND(Input_Product=Elig!$C101,Elig_MatchAll_Ct&lt;22,$BC101=(Elig_MatchAll_Ct-1),AU101=0),R101,0)</f>
        <v>0</v>
      </c>
      <c r="BX101" s="202">
        <f>IF(AND(Input_Product=Elig!$C101,Elig_MatchAll_Ct&lt;22,$BC101=(Elig_MatchAll_Ct-1),AU101=0),S101,0)</f>
        <v>0</v>
      </c>
      <c r="BY101" s="201">
        <f>IF(AND(Input_Product=Elig!$C101,Elig_MatchAll_Ct&lt;22,$BC101=(Elig_MatchAll_Ct-1),AV101=0),T101,0)</f>
        <v>0</v>
      </c>
      <c r="BZ101" s="202">
        <f>IF(AND(Input_Product=Elig!$C101,Elig_MatchAll_Ct&lt;22,$BC101=(Elig_MatchAll_Ct-1),AV101=0),U101,0)</f>
        <v>0</v>
      </c>
      <c r="CA101" s="201">
        <f>IF(AND(Input_Product=Elig!$C101,Elig_MatchAll_Ct&lt;22,$BC101=(Elig_MatchAll_Ct-1),AW101=0),V101,0)</f>
        <v>0</v>
      </c>
      <c r="CB101" s="202">
        <f>IF(AND(Input_Product=Elig!$C101,Elig_MatchAll_Ct&lt;22,$BC101=(Elig_MatchAll_Ct-1),AW101=0),W101,0)</f>
        <v>0</v>
      </c>
      <c r="CC101" s="201">
        <f>IF(AND(Input_Product=Elig!$C101,Elig_MatchAll_Ct&lt;22,$BC101=(Elig_MatchAll_Ct-1),AX101=0),X101,0)</f>
        <v>0</v>
      </c>
      <c r="CD101" s="202">
        <f>IF(AND(Input_Product=Elig!$C101,Elig_MatchAll_Ct&lt;22,$BC101=(Elig_MatchAll_Ct-1),AX101=0),Y101,0)</f>
        <v>0</v>
      </c>
      <c r="CE101" s="201">
        <f>IF(AND(Input_LTV&lt;=AE101,Input_Product=Elig!$C101,Elig_MatchAll_Ct&lt;22,$BC101=(Elig_MatchAll_Ct-1),AY101=0),Z101,0)</f>
        <v>0</v>
      </c>
      <c r="CF101" s="202">
        <f>IF(AND(Input_LTV&lt;=AE101,Input_Product=Elig!$C101,Elig_MatchAll_Ct&lt;22,$BC101=(Elig_MatchAll_Ct-1),AY101=0),AA101,0)</f>
        <v>0</v>
      </c>
      <c r="CG101" s="201">
        <f>IF(AND(Input_Product=Elig!$C101,Elig_MatchAll_Ct&lt;22,$BC101=(Elig_MatchAll_Ct-1),AZ101=0),AB101,0)</f>
        <v>0</v>
      </c>
      <c r="CH101" s="202">
        <f>IF(AND(Input_Product=Elig!$C101,Elig_MatchAll_Ct&lt;22,$BC101=(Elig_MatchAll_Ct-1),AZ101=0),AC101,0)</f>
        <v>0</v>
      </c>
      <c r="CI101" s="201">
        <f>IF(AND(Input_Product=Elig!$C101,Elig_MatchAll_Ct&lt;22,$BC101=(Elig_MatchAll_Ct-1),BA101=0),AD101,0)</f>
        <v>0</v>
      </c>
      <c r="CJ101" s="203">
        <f>IF(AND(Input_Product=Elig!$C101,Elig_MatchAll_Ct&lt;22,$BC101=(Elig_MatchAll_Ct-1),BA101=0),AE101,0)</f>
        <v>0</v>
      </c>
    </row>
    <row r="102" spans="2:88" ht="10.15" customHeight="1" x14ac:dyDescent="0.25">
      <c r="B102" s="1912" t="s">
        <v>856</v>
      </c>
      <c r="C102" s="138" t="str">
        <f t="shared" si="35"/>
        <v>NonQM OO</v>
      </c>
      <c r="D102" s="139" t="s">
        <v>3885</v>
      </c>
      <c r="E102" s="139" t="s">
        <v>167</v>
      </c>
      <c r="F102" s="139" t="s">
        <v>331</v>
      </c>
      <c r="G102" s="139" t="s">
        <v>468</v>
      </c>
      <c r="H102" s="139" t="s">
        <v>136</v>
      </c>
      <c r="I102" s="139" t="s">
        <v>16</v>
      </c>
      <c r="J102" s="139" t="s">
        <v>1311</v>
      </c>
      <c r="K102" s="139" t="s">
        <v>1631</v>
      </c>
      <c r="L102" s="310" t="s">
        <v>3920</v>
      </c>
      <c r="M102" s="139" t="s">
        <v>4203</v>
      </c>
      <c r="N102" s="139" t="s">
        <v>82</v>
      </c>
      <c r="O102" s="139" t="s">
        <v>310</v>
      </c>
      <c r="P102" s="139" t="s">
        <v>291</v>
      </c>
      <c r="Q102" s="139" t="s">
        <v>294</v>
      </c>
      <c r="R102" s="139">
        <v>1000000.01</v>
      </c>
      <c r="S102" s="139">
        <v>1500000</v>
      </c>
      <c r="T102" s="139">
        <v>0</v>
      </c>
      <c r="U102" s="139">
        <f t="shared" si="38"/>
        <v>1500000</v>
      </c>
      <c r="V102" s="139">
        <v>0</v>
      </c>
      <c r="W102" s="139">
        <v>55</v>
      </c>
      <c r="X102" s="139">
        <v>0</v>
      </c>
      <c r="Y102" s="139">
        <v>999</v>
      </c>
      <c r="Z102" s="140">
        <v>620</v>
      </c>
      <c r="AA102" s="140">
        <v>639</v>
      </c>
      <c r="AB102" s="140">
        <v>6</v>
      </c>
      <c r="AC102" s="140">
        <v>999999</v>
      </c>
      <c r="AD102" s="139">
        <v>0</v>
      </c>
      <c r="AE102" s="310">
        <v>65</v>
      </c>
      <c r="AF102" s="170">
        <v>0</v>
      </c>
      <c r="AG102" s="171">
        <v>1</v>
      </c>
      <c r="AH102" s="171">
        <v>1</v>
      </c>
      <c r="AI102" s="171">
        <v>1</v>
      </c>
      <c r="AJ102" s="171">
        <v>0</v>
      </c>
      <c r="AK102" s="171">
        <v>1</v>
      </c>
      <c r="AL102" s="171">
        <v>1</v>
      </c>
      <c r="AM102" s="171">
        <v>1</v>
      </c>
      <c r="AN102" s="171">
        <v>1</v>
      </c>
      <c r="AO102" s="171">
        <v>1</v>
      </c>
      <c r="AP102" s="171">
        <v>1</v>
      </c>
      <c r="AQ102" s="171">
        <v>1</v>
      </c>
      <c r="AR102" s="171">
        <v>1</v>
      </c>
      <c r="AS102" s="171">
        <v>1</v>
      </c>
      <c r="AT102" s="171">
        <v>1</v>
      </c>
      <c r="AU102" s="171">
        <f t="shared" si="24"/>
        <v>0</v>
      </c>
      <c r="AV102" s="171">
        <f t="shared" si="25"/>
        <v>1</v>
      </c>
      <c r="AW102" s="171">
        <f t="shared" si="26"/>
        <v>1</v>
      </c>
      <c r="AX102" s="171">
        <f t="shared" si="37"/>
        <v>1</v>
      </c>
      <c r="AY102" s="171">
        <f t="shared" si="27"/>
        <v>0</v>
      </c>
      <c r="AZ102" s="171">
        <f t="shared" si="28"/>
        <v>1</v>
      </c>
      <c r="BA102" s="172">
        <f t="shared" si="29"/>
        <v>1</v>
      </c>
      <c r="BB102" s="175">
        <f t="shared" si="31"/>
        <v>18</v>
      </c>
      <c r="BC102" s="176">
        <f t="shared" si="32"/>
        <v>17</v>
      </c>
      <c r="BD102" s="176">
        <f t="shared" si="33"/>
        <v>18</v>
      </c>
      <c r="BE102" s="240" t="str">
        <f t="shared" si="30"/>
        <v/>
      </c>
      <c r="BH102" s="204">
        <f>IF(AND(Input_Product=Elig!$C102,Elig_MatchAll_Ct&lt;22,$BC102=(Elig_MatchAll_Ct-1),AF102=0),C102,0)</f>
        <v>0</v>
      </c>
      <c r="BI102" s="205">
        <f>IF(AND(Input_Product=Elig!$C102,Elig_MatchAll_Ct&lt;22,$BC102=(Elig_MatchAll_Ct-1),AG102=0),D102,0)</f>
        <v>0</v>
      </c>
      <c r="BJ102" s="205">
        <f>IF(AND(Input_Product=Elig!$C102,Elig_MatchAll_Ct&lt;22,$BC102=(Elig_MatchAll_Ct-1),AH102=0),E102,0)</f>
        <v>0</v>
      </c>
      <c r="BK102" s="205">
        <f>IF(AND(Input_Product=Elig!$C102,Elig_MatchAll_Ct&lt;22,$BC102=(Elig_MatchAll_Ct-1),AI102=0),F102,0)</f>
        <v>0</v>
      </c>
      <c r="BL102" s="205">
        <f>IF(AND(Input_Product=Elig!$C102,Elig_MatchAll_Ct&lt;22,$BC102=(Elig_MatchAll_Ct-1),AJ102=0),G102,0)</f>
        <v>0</v>
      </c>
      <c r="BM102" s="205">
        <f>IF(AND(Input_Product=Elig!$C102,Elig_MatchAll_Ct&lt;22,$BC102=(Elig_MatchAll_Ct-1),AK102=0),H102,0)</f>
        <v>0</v>
      </c>
      <c r="BN102" s="205">
        <f>IF(AND(Input_Product=Elig!$C102,Elig_MatchAll_Ct&lt;22,$BC102=(Elig_MatchAll_Ct-1),AL102=0),I102,0)</f>
        <v>0</v>
      </c>
      <c r="BO102" s="205">
        <f>IF(AND(Input_Product=Elig!$C102,Elig_MatchAll_Ct&lt;22,$BC102=(Elig_MatchAll_Ct-1),AM102=0),J102,0)</f>
        <v>0</v>
      </c>
      <c r="BP102" s="205">
        <f>IF(AND(Input_Product=Elig!$C102,Elig_MatchAll_Ct&lt;22,$BC102=(Elig_MatchAll_Ct-1),AN102=0),K102,0)</f>
        <v>0</v>
      </c>
      <c r="BQ102" s="205">
        <f>IF(AND(Input_Product=Elig!$C102,Elig_MatchAll_Ct&lt;22,$BC102=(Elig_MatchAll_Ct-1),AP102=0),L102,0)</f>
        <v>0</v>
      </c>
      <c r="BR102" s="205">
        <f>IF(AND(Input_Product=Elig!$C102,Elig_MatchAll_Ct&lt;22,$BC102=(Elig_MatchAll_Ct-1),AO102=0),M102,0)</f>
        <v>0</v>
      </c>
      <c r="BS102" s="205">
        <f>IF(AND(Input_Product=Elig!$C102,Elig_MatchAll_Ct&lt;22,$BC102=(Elig_MatchAll_Ct-1),AQ102=0),N102,0)</f>
        <v>0</v>
      </c>
      <c r="BT102" s="205">
        <f>IF(AND(Input_Product=Elig!$C102,Elig_MatchAll_Ct&lt;22,$BC102=(Elig_MatchAll_Ct-1),AR102=0),O102,0)</f>
        <v>0</v>
      </c>
      <c r="BU102" s="205">
        <f>IF(AND(Input_Product=Elig!$C102,Elig_MatchAll_Ct&lt;22,$BC102=(Elig_MatchAll_Ct-1),AS102=0),P102,0)</f>
        <v>0</v>
      </c>
      <c r="BV102" s="206">
        <f>IF(AND(Input_Product=Elig!$C102,Elig_MatchAll_Ct&lt;22,$BC102=(Elig_MatchAll_Ct-1),AT102=0),Q102,0)</f>
        <v>0</v>
      </c>
      <c r="BW102" s="207">
        <f>IF(AND(Input_Product=Elig!$C102,Elig_MatchAll_Ct&lt;22,$BC102=(Elig_MatchAll_Ct-1),AU102=0),R102,0)</f>
        <v>0</v>
      </c>
      <c r="BX102" s="208">
        <f>IF(AND(Input_Product=Elig!$C102,Elig_MatchAll_Ct&lt;22,$BC102=(Elig_MatchAll_Ct-1),AU102=0),S102,0)</f>
        <v>0</v>
      </c>
      <c r="BY102" s="207">
        <f>IF(AND(Input_Product=Elig!$C102,Elig_MatchAll_Ct&lt;22,$BC102=(Elig_MatchAll_Ct-1),AV102=0),T102,0)</f>
        <v>0</v>
      </c>
      <c r="BZ102" s="208">
        <f>IF(AND(Input_Product=Elig!$C102,Elig_MatchAll_Ct&lt;22,$BC102=(Elig_MatchAll_Ct-1),AV102=0),U102,0)</f>
        <v>0</v>
      </c>
      <c r="CA102" s="207">
        <f>IF(AND(Input_Product=Elig!$C102,Elig_MatchAll_Ct&lt;22,$BC102=(Elig_MatchAll_Ct-1),AW102=0),V102,0)</f>
        <v>0</v>
      </c>
      <c r="CB102" s="208">
        <f>IF(AND(Input_Product=Elig!$C102,Elig_MatchAll_Ct&lt;22,$BC102=(Elig_MatchAll_Ct-1),AW102=0),W102,0)</f>
        <v>0</v>
      </c>
      <c r="CC102" s="207">
        <f>IF(AND(Input_Product=Elig!$C102,Elig_MatchAll_Ct&lt;22,$BC102=(Elig_MatchAll_Ct-1),AX102=0),X102,0)</f>
        <v>0</v>
      </c>
      <c r="CD102" s="208">
        <f>IF(AND(Input_Product=Elig!$C102,Elig_MatchAll_Ct&lt;22,$BC102=(Elig_MatchAll_Ct-1),AX102=0),Y102,0)</f>
        <v>0</v>
      </c>
      <c r="CE102" s="207">
        <f>IF(AND(Input_LTV&lt;=AE102,Input_Product=Elig!$C102,Elig_MatchAll_Ct&lt;22,$BC102=(Elig_MatchAll_Ct-1),AY102=0),Z102,0)</f>
        <v>0</v>
      </c>
      <c r="CF102" s="208">
        <f>IF(AND(Input_LTV&lt;=AE102,Input_Product=Elig!$C102,Elig_MatchAll_Ct&lt;22,$BC102=(Elig_MatchAll_Ct-1),AY102=0),AA102,0)</f>
        <v>0</v>
      </c>
      <c r="CG102" s="207">
        <f>IF(AND(Input_Product=Elig!$C102,Elig_MatchAll_Ct&lt;22,$BC102=(Elig_MatchAll_Ct-1),AZ102=0),AB102,0)</f>
        <v>0</v>
      </c>
      <c r="CH102" s="208">
        <f>IF(AND(Input_Product=Elig!$C102,Elig_MatchAll_Ct&lt;22,$BC102=(Elig_MatchAll_Ct-1),AZ102=0),AC102,0)</f>
        <v>0</v>
      </c>
      <c r="CI102" s="207">
        <f>IF(AND(Input_Product=Elig!$C102,Elig_MatchAll_Ct&lt;22,$BC102=(Elig_MatchAll_Ct-1),BA102=0),AD102,0)</f>
        <v>0</v>
      </c>
      <c r="CJ102" s="209">
        <f>IF(AND(Input_Product=Elig!$C102,Elig_MatchAll_Ct&lt;22,$BC102=(Elig_MatchAll_Ct-1),BA102=0),AE102,0)</f>
        <v>0</v>
      </c>
    </row>
    <row r="103" spans="2:88" ht="10.15" customHeight="1" x14ac:dyDescent="0.25">
      <c r="B103" s="1912" t="s">
        <v>857</v>
      </c>
      <c r="C103" s="141" t="str">
        <f t="shared" si="35"/>
        <v>NonQM OO</v>
      </c>
      <c r="D103" s="142" t="s">
        <v>3885</v>
      </c>
      <c r="E103" s="143" t="s">
        <v>167</v>
      </c>
      <c r="F103" s="143" t="s">
        <v>331</v>
      </c>
      <c r="G103" s="143" t="s">
        <v>179</v>
      </c>
      <c r="H103" s="143" t="s">
        <v>136</v>
      </c>
      <c r="I103" s="142" t="s">
        <v>274</v>
      </c>
      <c r="J103" s="142" t="s">
        <v>1311</v>
      </c>
      <c r="K103" s="142" t="s">
        <v>1631</v>
      </c>
      <c r="L103" s="2131" t="s">
        <v>3920</v>
      </c>
      <c r="M103" s="143" t="s">
        <v>4203</v>
      </c>
      <c r="N103" s="143" t="s">
        <v>82</v>
      </c>
      <c r="O103" s="143" t="s">
        <v>310</v>
      </c>
      <c r="P103" s="143" t="s">
        <v>291</v>
      </c>
      <c r="Q103" s="143" t="s">
        <v>294</v>
      </c>
      <c r="R103" s="142">
        <v>1000000.01</v>
      </c>
      <c r="S103" s="142">
        <v>1500000</v>
      </c>
      <c r="T103" s="142">
        <v>0</v>
      </c>
      <c r="U103" s="142">
        <v>0</v>
      </c>
      <c r="V103" s="142">
        <v>0</v>
      </c>
      <c r="W103" s="142">
        <v>55</v>
      </c>
      <c r="X103" s="142">
        <v>0</v>
      </c>
      <c r="Y103" s="142">
        <v>999</v>
      </c>
      <c r="Z103" s="144">
        <v>720</v>
      </c>
      <c r="AA103" s="144">
        <v>999</v>
      </c>
      <c r="AB103" s="144">
        <v>6</v>
      </c>
      <c r="AC103" s="144">
        <v>999999</v>
      </c>
      <c r="AD103" s="142">
        <v>0</v>
      </c>
      <c r="AE103" s="320">
        <v>80</v>
      </c>
      <c r="AF103" s="170">
        <v>0</v>
      </c>
      <c r="AG103" s="171">
        <v>1</v>
      </c>
      <c r="AH103" s="171">
        <v>1</v>
      </c>
      <c r="AI103" s="171">
        <v>1</v>
      </c>
      <c r="AJ103" s="171">
        <v>0</v>
      </c>
      <c r="AK103" s="171">
        <v>1</v>
      </c>
      <c r="AL103" s="171">
        <v>0</v>
      </c>
      <c r="AM103" s="171">
        <v>1</v>
      </c>
      <c r="AN103" s="171">
        <v>1</v>
      </c>
      <c r="AO103" s="171">
        <v>1</v>
      </c>
      <c r="AP103" s="171">
        <v>1</v>
      </c>
      <c r="AQ103" s="171">
        <v>1</v>
      </c>
      <c r="AR103" s="171">
        <v>1</v>
      </c>
      <c r="AS103" s="171">
        <v>1</v>
      </c>
      <c r="AT103" s="171">
        <v>1</v>
      </c>
      <c r="AU103" s="171">
        <f t="shared" si="24"/>
        <v>0</v>
      </c>
      <c r="AV103" s="171">
        <f t="shared" si="25"/>
        <v>0</v>
      </c>
      <c r="AW103" s="171">
        <f t="shared" si="26"/>
        <v>1</v>
      </c>
      <c r="AX103" s="171">
        <f t="shared" si="37"/>
        <v>1</v>
      </c>
      <c r="AY103" s="171">
        <f t="shared" si="27"/>
        <v>1</v>
      </c>
      <c r="AZ103" s="171">
        <f t="shared" si="28"/>
        <v>1</v>
      </c>
      <c r="BA103" s="172">
        <f t="shared" si="29"/>
        <v>1</v>
      </c>
      <c r="BB103" s="175">
        <f t="shared" si="31"/>
        <v>17</v>
      </c>
      <c r="BC103" s="176">
        <f t="shared" si="32"/>
        <v>16</v>
      </c>
      <c r="BD103" s="176">
        <f t="shared" si="33"/>
        <v>17</v>
      </c>
      <c r="BE103" s="240" t="str">
        <f t="shared" si="30"/>
        <v/>
      </c>
      <c r="BH103" s="192">
        <f>IF(AND(Input_Product=Elig!$C103,Elig_MatchAll_Ct&lt;22,$BC103=(Elig_MatchAll_Ct-1),AF103=0),C103,0)</f>
        <v>0</v>
      </c>
      <c r="BI103" s="193">
        <f>IF(AND(Input_Product=Elig!$C103,Elig_MatchAll_Ct&lt;22,$BC103=(Elig_MatchAll_Ct-1),AG103=0),D103,0)</f>
        <v>0</v>
      </c>
      <c r="BJ103" s="193">
        <f>IF(AND(Input_Product=Elig!$C103,Elig_MatchAll_Ct&lt;22,$BC103=(Elig_MatchAll_Ct-1),AH103=0),E103,0)</f>
        <v>0</v>
      </c>
      <c r="BK103" s="193">
        <f>IF(AND(Input_Product=Elig!$C103,Elig_MatchAll_Ct&lt;22,$BC103=(Elig_MatchAll_Ct-1),AI103=0),F103,0)</f>
        <v>0</v>
      </c>
      <c r="BL103" s="193">
        <f>IF(AND(Input_Product=Elig!$C103,Elig_MatchAll_Ct&lt;22,$BC103=(Elig_MatchAll_Ct-1),AJ103=0),G103,0)</f>
        <v>0</v>
      </c>
      <c r="BM103" s="193">
        <f>IF(AND(Input_Product=Elig!$C103,Elig_MatchAll_Ct&lt;22,$BC103=(Elig_MatchAll_Ct-1),AK103=0),H103,0)</f>
        <v>0</v>
      </c>
      <c r="BN103" s="193">
        <f>IF(AND(Input_Product=Elig!$C103,Elig_MatchAll_Ct&lt;22,$BC103=(Elig_MatchAll_Ct-1),AL103=0),I103,0)</f>
        <v>0</v>
      </c>
      <c r="BO103" s="193">
        <f>IF(AND(Input_Product=Elig!$C103,Elig_MatchAll_Ct&lt;22,$BC103=(Elig_MatchAll_Ct-1),AM103=0),J103,0)</f>
        <v>0</v>
      </c>
      <c r="BP103" s="193">
        <f>IF(AND(Input_Product=Elig!$C103,Elig_MatchAll_Ct&lt;22,$BC103=(Elig_MatchAll_Ct-1),AN103=0),K103,0)</f>
        <v>0</v>
      </c>
      <c r="BQ103" s="193">
        <f>IF(AND(Input_Product=Elig!$C103,Elig_MatchAll_Ct&lt;22,$BC103=(Elig_MatchAll_Ct-1),AP103=0),L103,0)</f>
        <v>0</v>
      </c>
      <c r="BR103" s="193">
        <f>IF(AND(Input_Product=Elig!$C103,Elig_MatchAll_Ct&lt;22,$BC103=(Elig_MatchAll_Ct-1),AO103=0),M103,0)</f>
        <v>0</v>
      </c>
      <c r="BS103" s="193">
        <f>IF(AND(Input_Product=Elig!$C103,Elig_MatchAll_Ct&lt;22,$BC103=(Elig_MatchAll_Ct-1),AQ103=0),N103,0)</f>
        <v>0</v>
      </c>
      <c r="BT103" s="193">
        <f>IF(AND(Input_Product=Elig!$C103,Elig_MatchAll_Ct&lt;22,$BC103=(Elig_MatchAll_Ct-1),AR103=0),O103,0)</f>
        <v>0</v>
      </c>
      <c r="BU103" s="193">
        <f>IF(AND(Input_Product=Elig!$C103,Elig_MatchAll_Ct&lt;22,$BC103=(Elig_MatchAll_Ct-1),AS103=0),P103,0)</f>
        <v>0</v>
      </c>
      <c r="BV103" s="194">
        <f>IF(AND(Input_Product=Elig!$C103,Elig_MatchAll_Ct&lt;22,$BC103=(Elig_MatchAll_Ct-1),AT103=0),Q103,0)</f>
        <v>0</v>
      </c>
      <c r="BW103" s="195">
        <f>IF(AND(Input_Product=Elig!$C103,Elig_MatchAll_Ct&lt;22,$BC103=(Elig_MatchAll_Ct-1),AU103=0),R103,0)</f>
        <v>0</v>
      </c>
      <c r="BX103" s="196">
        <f>IF(AND(Input_Product=Elig!$C103,Elig_MatchAll_Ct&lt;22,$BC103=(Elig_MatchAll_Ct-1),AU103=0),S103,0)</f>
        <v>0</v>
      </c>
      <c r="BY103" s="195">
        <f>IF(AND(Input_Product=Elig!$C103,Elig_MatchAll_Ct&lt;22,$BC103=(Elig_MatchAll_Ct-1),AV103=0),T103,0)</f>
        <v>0</v>
      </c>
      <c r="BZ103" s="196">
        <f>IF(AND(Input_Product=Elig!$C103,Elig_MatchAll_Ct&lt;22,$BC103=(Elig_MatchAll_Ct-1),AV103=0),U103,0)</f>
        <v>0</v>
      </c>
      <c r="CA103" s="195">
        <f>IF(AND(Input_Product=Elig!$C103,Elig_MatchAll_Ct&lt;22,$BC103=(Elig_MatchAll_Ct-1),AW103=0),V103,0)</f>
        <v>0</v>
      </c>
      <c r="CB103" s="196">
        <f>IF(AND(Input_Product=Elig!$C103,Elig_MatchAll_Ct&lt;22,$BC103=(Elig_MatchAll_Ct-1),AW103=0),W103,0)</f>
        <v>0</v>
      </c>
      <c r="CC103" s="195">
        <f>IF(AND(Input_Product=Elig!$C103,Elig_MatchAll_Ct&lt;22,$BC103=(Elig_MatchAll_Ct-1),AX103=0),X103,0)</f>
        <v>0</v>
      </c>
      <c r="CD103" s="196">
        <f>IF(AND(Input_Product=Elig!$C103,Elig_MatchAll_Ct&lt;22,$BC103=(Elig_MatchAll_Ct-1),AX103=0),Y103,0)</f>
        <v>0</v>
      </c>
      <c r="CE103" s="195">
        <f>IF(AND(Input_LTV&lt;=AE103,Input_Product=Elig!$C103,Elig_MatchAll_Ct&lt;22,$BC103=(Elig_MatchAll_Ct-1),AY103=0),Z103,0)</f>
        <v>0</v>
      </c>
      <c r="CF103" s="196">
        <f>IF(AND(Input_LTV&lt;=AE103,Input_Product=Elig!$C103,Elig_MatchAll_Ct&lt;22,$BC103=(Elig_MatchAll_Ct-1),AY103=0),AA103,0)</f>
        <v>0</v>
      </c>
      <c r="CG103" s="195">
        <f>IF(AND(Input_Product=Elig!$C103,Elig_MatchAll_Ct&lt;22,$BC103=(Elig_MatchAll_Ct-1),AZ103=0),AB103,0)</f>
        <v>0</v>
      </c>
      <c r="CH103" s="196">
        <f>IF(AND(Input_Product=Elig!$C103,Elig_MatchAll_Ct&lt;22,$BC103=(Elig_MatchAll_Ct-1),AZ103=0),AC103,0)</f>
        <v>0</v>
      </c>
      <c r="CI103" s="195">
        <f>IF(AND(Input_Product=Elig!$C103,Elig_MatchAll_Ct&lt;22,$BC103=(Elig_MatchAll_Ct-1),BA103=0),AD103,0)</f>
        <v>0</v>
      </c>
      <c r="CJ103" s="197">
        <f>IF(AND(Input_Product=Elig!$C103,Elig_MatchAll_Ct&lt;22,$BC103=(Elig_MatchAll_Ct-1),BA103=0),AE103,0)</f>
        <v>0</v>
      </c>
    </row>
    <row r="104" spans="2:88" ht="10.15" customHeight="1" x14ac:dyDescent="0.25">
      <c r="B104" s="1912" t="s">
        <v>858</v>
      </c>
      <c r="C104" s="134" t="str">
        <f t="shared" si="35"/>
        <v>NonQM OO</v>
      </c>
      <c r="D104" s="135" t="s">
        <v>3885</v>
      </c>
      <c r="E104" s="135" t="s">
        <v>167</v>
      </c>
      <c r="F104" s="135" t="s">
        <v>331</v>
      </c>
      <c r="G104" s="135" t="s">
        <v>179</v>
      </c>
      <c r="H104" s="135" t="s">
        <v>136</v>
      </c>
      <c r="I104" s="136" t="s">
        <v>274</v>
      </c>
      <c r="J104" s="136" t="s">
        <v>1311</v>
      </c>
      <c r="K104" s="136" t="s">
        <v>1631</v>
      </c>
      <c r="L104" s="221" t="s">
        <v>3920</v>
      </c>
      <c r="M104" s="135" t="s">
        <v>4203</v>
      </c>
      <c r="N104" s="135" t="s">
        <v>82</v>
      </c>
      <c r="O104" s="135" t="s">
        <v>310</v>
      </c>
      <c r="P104" s="135" t="s">
        <v>291</v>
      </c>
      <c r="Q104" s="135" t="s">
        <v>294</v>
      </c>
      <c r="R104" s="135">
        <v>1000000.01</v>
      </c>
      <c r="S104" s="135">
        <v>1500000</v>
      </c>
      <c r="T104" s="135">
        <v>0</v>
      </c>
      <c r="U104" s="135">
        <v>0</v>
      </c>
      <c r="V104" s="135">
        <v>0</v>
      </c>
      <c r="W104" s="135">
        <v>55</v>
      </c>
      <c r="X104" s="135">
        <v>0</v>
      </c>
      <c r="Y104" s="135">
        <v>999</v>
      </c>
      <c r="Z104" s="137">
        <v>700</v>
      </c>
      <c r="AA104" s="137">
        <v>719</v>
      </c>
      <c r="AB104" s="137">
        <v>6</v>
      </c>
      <c r="AC104" s="137">
        <v>999999</v>
      </c>
      <c r="AD104" s="135">
        <v>0</v>
      </c>
      <c r="AE104" s="221">
        <v>80</v>
      </c>
      <c r="AF104" s="170">
        <v>0</v>
      </c>
      <c r="AG104" s="171">
        <v>1</v>
      </c>
      <c r="AH104" s="171">
        <v>1</v>
      </c>
      <c r="AI104" s="171">
        <v>1</v>
      </c>
      <c r="AJ104" s="171">
        <v>0</v>
      </c>
      <c r="AK104" s="171">
        <v>1</v>
      </c>
      <c r="AL104" s="171">
        <v>0</v>
      </c>
      <c r="AM104" s="171">
        <v>1</v>
      </c>
      <c r="AN104" s="171">
        <v>1</v>
      </c>
      <c r="AO104" s="171">
        <v>1</v>
      </c>
      <c r="AP104" s="171">
        <v>1</v>
      </c>
      <c r="AQ104" s="171">
        <v>1</v>
      </c>
      <c r="AR104" s="171">
        <v>1</v>
      </c>
      <c r="AS104" s="171">
        <v>1</v>
      </c>
      <c r="AT104" s="171">
        <v>1</v>
      </c>
      <c r="AU104" s="171">
        <f t="shared" si="24"/>
        <v>0</v>
      </c>
      <c r="AV104" s="171">
        <f t="shared" si="25"/>
        <v>0</v>
      </c>
      <c r="AW104" s="171">
        <f t="shared" si="26"/>
        <v>1</v>
      </c>
      <c r="AX104" s="171">
        <f t="shared" si="37"/>
        <v>1</v>
      </c>
      <c r="AY104" s="171">
        <f t="shared" si="27"/>
        <v>0</v>
      </c>
      <c r="AZ104" s="171">
        <f t="shared" si="28"/>
        <v>1</v>
      </c>
      <c r="BA104" s="172">
        <f t="shared" si="29"/>
        <v>1</v>
      </c>
      <c r="BB104" s="175">
        <f t="shared" si="31"/>
        <v>16</v>
      </c>
      <c r="BC104" s="176">
        <f t="shared" si="32"/>
        <v>15</v>
      </c>
      <c r="BD104" s="176">
        <f t="shared" si="33"/>
        <v>16</v>
      </c>
      <c r="BE104" s="240" t="str">
        <f t="shared" si="30"/>
        <v/>
      </c>
      <c r="BH104" s="198">
        <f>IF(AND(Input_Product=Elig!$C104,Elig_MatchAll_Ct&lt;22,$BC104=(Elig_MatchAll_Ct-1),AF104=0),C104,0)</f>
        <v>0</v>
      </c>
      <c r="BI104" s="199">
        <f>IF(AND(Input_Product=Elig!$C104,Elig_MatchAll_Ct&lt;22,$BC104=(Elig_MatchAll_Ct-1),AG104=0),D104,0)</f>
        <v>0</v>
      </c>
      <c r="BJ104" s="199">
        <f>IF(AND(Input_Product=Elig!$C104,Elig_MatchAll_Ct&lt;22,$BC104=(Elig_MatchAll_Ct-1),AH104=0),E104,0)</f>
        <v>0</v>
      </c>
      <c r="BK104" s="199">
        <f>IF(AND(Input_Product=Elig!$C104,Elig_MatchAll_Ct&lt;22,$BC104=(Elig_MatchAll_Ct-1),AI104=0),F104,0)</f>
        <v>0</v>
      </c>
      <c r="BL104" s="199">
        <f>IF(AND(Input_Product=Elig!$C104,Elig_MatchAll_Ct&lt;22,$BC104=(Elig_MatchAll_Ct-1),AJ104=0),G104,0)</f>
        <v>0</v>
      </c>
      <c r="BM104" s="199">
        <f>IF(AND(Input_Product=Elig!$C104,Elig_MatchAll_Ct&lt;22,$BC104=(Elig_MatchAll_Ct-1),AK104=0),H104,0)</f>
        <v>0</v>
      </c>
      <c r="BN104" s="199">
        <f>IF(AND(Input_Product=Elig!$C104,Elig_MatchAll_Ct&lt;22,$BC104=(Elig_MatchAll_Ct-1),AL104=0),I104,0)</f>
        <v>0</v>
      </c>
      <c r="BO104" s="199">
        <f>IF(AND(Input_Product=Elig!$C104,Elig_MatchAll_Ct&lt;22,$BC104=(Elig_MatchAll_Ct-1),AM104=0),J104,0)</f>
        <v>0</v>
      </c>
      <c r="BP104" s="199">
        <f>IF(AND(Input_Product=Elig!$C104,Elig_MatchAll_Ct&lt;22,$BC104=(Elig_MatchAll_Ct-1),AN104=0),K104,0)</f>
        <v>0</v>
      </c>
      <c r="BQ104" s="199">
        <f>IF(AND(Input_Product=Elig!$C104,Elig_MatchAll_Ct&lt;22,$BC104=(Elig_MatchAll_Ct-1),AP104=0),L104,0)</f>
        <v>0</v>
      </c>
      <c r="BR104" s="199">
        <f>IF(AND(Input_Product=Elig!$C104,Elig_MatchAll_Ct&lt;22,$BC104=(Elig_MatchAll_Ct-1),AO104=0),M104,0)</f>
        <v>0</v>
      </c>
      <c r="BS104" s="199">
        <f>IF(AND(Input_Product=Elig!$C104,Elig_MatchAll_Ct&lt;22,$BC104=(Elig_MatchAll_Ct-1),AQ104=0),N104,0)</f>
        <v>0</v>
      </c>
      <c r="BT104" s="199">
        <f>IF(AND(Input_Product=Elig!$C104,Elig_MatchAll_Ct&lt;22,$BC104=(Elig_MatchAll_Ct-1),AR104=0),O104,0)</f>
        <v>0</v>
      </c>
      <c r="BU104" s="199">
        <f>IF(AND(Input_Product=Elig!$C104,Elig_MatchAll_Ct&lt;22,$BC104=(Elig_MatchAll_Ct-1),AS104=0),P104,0)</f>
        <v>0</v>
      </c>
      <c r="BV104" s="200">
        <f>IF(AND(Input_Product=Elig!$C104,Elig_MatchAll_Ct&lt;22,$BC104=(Elig_MatchAll_Ct-1),AT104=0),Q104,0)</f>
        <v>0</v>
      </c>
      <c r="BW104" s="201">
        <f>IF(AND(Input_Product=Elig!$C104,Elig_MatchAll_Ct&lt;22,$BC104=(Elig_MatchAll_Ct-1),AU104=0),R104,0)</f>
        <v>0</v>
      </c>
      <c r="BX104" s="202">
        <f>IF(AND(Input_Product=Elig!$C104,Elig_MatchAll_Ct&lt;22,$BC104=(Elig_MatchAll_Ct-1),AU104=0),S104,0)</f>
        <v>0</v>
      </c>
      <c r="BY104" s="201">
        <f>IF(AND(Input_Product=Elig!$C104,Elig_MatchAll_Ct&lt;22,$BC104=(Elig_MatchAll_Ct-1),AV104=0),T104,0)</f>
        <v>0</v>
      </c>
      <c r="BZ104" s="202">
        <f>IF(AND(Input_Product=Elig!$C104,Elig_MatchAll_Ct&lt;22,$BC104=(Elig_MatchAll_Ct-1),AV104=0),U104,0)</f>
        <v>0</v>
      </c>
      <c r="CA104" s="201">
        <f>IF(AND(Input_Product=Elig!$C104,Elig_MatchAll_Ct&lt;22,$BC104=(Elig_MatchAll_Ct-1),AW104=0),V104,0)</f>
        <v>0</v>
      </c>
      <c r="CB104" s="202">
        <f>IF(AND(Input_Product=Elig!$C104,Elig_MatchAll_Ct&lt;22,$BC104=(Elig_MatchAll_Ct-1),AW104=0),W104,0)</f>
        <v>0</v>
      </c>
      <c r="CC104" s="201">
        <f>IF(AND(Input_Product=Elig!$C104,Elig_MatchAll_Ct&lt;22,$BC104=(Elig_MatchAll_Ct-1),AX104=0),X104,0)</f>
        <v>0</v>
      </c>
      <c r="CD104" s="202">
        <f>IF(AND(Input_Product=Elig!$C104,Elig_MatchAll_Ct&lt;22,$BC104=(Elig_MatchAll_Ct-1),AX104=0),Y104,0)</f>
        <v>0</v>
      </c>
      <c r="CE104" s="201">
        <f>IF(AND(Input_LTV&lt;=AE104,Input_Product=Elig!$C104,Elig_MatchAll_Ct&lt;22,$BC104=(Elig_MatchAll_Ct-1),AY104=0),Z104,0)</f>
        <v>0</v>
      </c>
      <c r="CF104" s="202">
        <f>IF(AND(Input_LTV&lt;=AE104,Input_Product=Elig!$C104,Elig_MatchAll_Ct&lt;22,$BC104=(Elig_MatchAll_Ct-1),AY104=0),AA104,0)</f>
        <v>0</v>
      </c>
      <c r="CG104" s="201">
        <f>IF(AND(Input_Product=Elig!$C104,Elig_MatchAll_Ct&lt;22,$BC104=(Elig_MatchAll_Ct-1),AZ104=0),AB104,0)</f>
        <v>0</v>
      </c>
      <c r="CH104" s="202">
        <f>IF(AND(Input_Product=Elig!$C104,Elig_MatchAll_Ct&lt;22,$BC104=(Elig_MatchAll_Ct-1),AZ104=0),AC104,0)</f>
        <v>0</v>
      </c>
      <c r="CI104" s="201">
        <f>IF(AND(Input_Product=Elig!$C104,Elig_MatchAll_Ct&lt;22,$BC104=(Elig_MatchAll_Ct-1),BA104=0),AD104,0)</f>
        <v>0</v>
      </c>
      <c r="CJ104" s="203">
        <f>IF(AND(Input_Product=Elig!$C104,Elig_MatchAll_Ct&lt;22,$BC104=(Elig_MatchAll_Ct-1),BA104=0),AE104,0)</f>
        <v>0</v>
      </c>
    </row>
    <row r="105" spans="2:88" ht="10.15" customHeight="1" x14ac:dyDescent="0.25">
      <c r="B105" s="1912" t="s">
        <v>859</v>
      </c>
      <c r="C105" s="134" t="str">
        <f t="shared" si="35"/>
        <v>NonQM OO</v>
      </c>
      <c r="D105" s="135" t="s">
        <v>3885</v>
      </c>
      <c r="E105" s="135" t="s">
        <v>167</v>
      </c>
      <c r="F105" s="135" t="s">
        <v>331</v>
      </c>
      <c r="G105" s="135" t="s">
        <v>179</v>
      </c>
      <c r="H105" s="135" t="s">
        <v>136</v>
      </c>
      <c r="I105" s="136" t="s">
        <v>274</v>
      </c>
      <c r="J105" s="136" t="s">
        <v>1311</v>
      </c>
      <c r="K105" s="136" t="s">
        <v>1631</v>
      </c>
      <c r="L105" s="221" t="s">
        <v>3920</v>
      </c>
      <c r="M105" s="135" t="s">
        <v>4203</v>
      </c>
      <c r="N105" s="135" t="s">
        <v>82</v>
      </c>
      <c r="O105" s="135" t="s">
        <v>310</v>
      </c>
      <c r="P105" s="135" t="s">
        <v>291</v>
      </c>
      <c r="Q105" s="135" t="s">
        <v>294</v>
      </c>
      <c r="R105" s="135">
        <v>1000000.01</v>
      </c>
      <c r="S105" s="135">
        <v>1500000</v>
      </c>
      <c r="T105" s="135">
        <v>0</v>
      </c>
      <c r="U105" s="135">
        <v>0</v>
      </c>
      <c r="V105" s="135">
        <v>0</v>
      </c>
      <c r="W105" s="135">
        <v>55</v>
      </c>
      <c r="X105" s="135">
        <v>0</v>
      </c>
      <c r="Y105" s="135">
        <v>999</v>
      </c>
      <c r="Z105" s="137">
        <v>680</v>
      </c>
      <c r="AA105" s="137">
        <v>699</v>
      </c>
      <c r="AB105" s="137">
        <v>6</v>
      </c>
      <c r="AC105" s="137">
        <v>999999</v>
      </c>
      <c r="AD105" s="135">
        <v>0</v>
      </c>
      <c r="AE105" s="135">
        <v>75</v>
      </c>
      <c r="AF105" s="170">
        <v>0</v>
      </c>
      <c r="AG105" s="171">
        <v>1</v>
      </c>
      <c r="AH105" s="171">
        <v>1</v>
      </c>
      <c r="AI105" s="171">
        <v>1</v>
      </c>
      <c r="AJ105" s="171">
        <v>0</v>
      </c>
      <c r="AK105" s="171">
        <v>1</v>
      </c>
      <c r="AL105" s="171">
        <v>0</v>
      </c>
      <c r="AM105" s="171">
        <v>1</v>
      </c>
      <c r="AN105" s="171">
        <v>1</v>
      </c>
      <c r="AO105" s="171">
        <v>1</v>
      </c>
      <c r="AP105" s="171">
        <v>1</v>
      </c>
      <c r="AQ105" s="171">
        <v>1</v>
      </c>
      <c r="AR105" s="171">
        <v>1</v>
      </c>
      <c r="AS105" s="171">
        <v>1</v>
      </c>
      <c r="AT105" s="171">
        <v>1</v>
      </c>
      <c r="AU105" s="171">
        <f t="shared" si="24"/>
        <v>0</v>
      </c>
      <c r="AV105" s="171">
        <f t="shared" si="25"/>
        <v>0</v>
      </c>
      <c r="AW105" s="171">
        <f t="shared" si="26"/>
        <v>1</v>
      </c>
      <c r="AX105" s="171">
        <f t="shared" si="37"/>
        <v>1</v>
      </c>
      <c r="AY105" s="171">
        <f t="shared" si="27"/>
        <v>0</v>
      </c>
      <c r="AZ105" s="171">
        <f t="shared" si="28"/>
        <v>1</v>
      </c>
      <c r="BA105" s="172">
        <f t="shared" si="29"/>
        <v>1</v>
      </c>
      <c r="BB105" s="175">
        <f t="shared" si="31"/>
        <v>16</v>
      </c>
      <c r="BC105" s="176">
        <f t="shared" si="32"/>
        <v>15</v>
      </c>
      <c r="BD105" s="176">
        <f t="shared" si="33"/>
        <v>16</v>
      </c>
      <c r="BE105" s="240" t="str">
        <f t="shared" si="30"/>
        <v/>
      </c>
      <c r="BH105" s="198">
        <f>IF(AND(Input_Product=Elig!$C105,Elig_MatchAll_Ct&lt;22,$BC105=(Elig_MatchAll_Ct-1),AF105=0),C105,0)</f>
        <v>0</v>
      </c>
      <c r="BI105" s="199">
        <f>IF(AND(Input_Product=Elig!$C105,Elig_MatchAll_Ct&lt;22,$BC105=(Elig_MatchAll_Ct-1),AG105=0),D105,0)</f>
        <v>0</v>
      </c>
      <c r="BJ105" s="199">
        <f>IF(AND(Input_Product=Elig!$C105,Elig_MatchAll_Ct&lt;22,$BC105=(Elig_MatchAll_Ct-1),AH105=0),E105,0)</f>
        <v>0</v>
      </c>
      <c r="BK105" s="199">
        <f>IF(AND(Input_Product=Elig!$C105,Elig_MatchAll_Ct&lt;22,$BC105=(Elig_MatchAll_Ct-1),AI105=0),F105,0)</f>
        <v>0</v>
      </c>
      <c r="BL105" s="199">
        <f>IF(AND(Input_Product=Elig!$C105,Elig_MatchAll_Ct&lt;22,$BC105=(Elig_MatchAll_Ct-1),AJ105=0),G105,0)</f>
        <v>0</v>
      </c>
      <c r="BM105" s="199">
        <f>IF(AND(Input_Product=Elig!$C105,Elig_MatchAll_Ct&lt;22,$BC105=(Elig_MatchAll_Ct-1),AK105=0),H105,0)</f>
        <v>0</v>
      </c>
      <c r="BN105" s="199">
        <f>IF(AND(Input_Product=Elig!$C105,Elig_MatchAll_Ct&lt;22,$BC105=(Elig_MatchAll_Ct-1),AL105=0),I105,0)</f>
        <v>0</v>
      </c>
      <c r="BO105" s="199">
        <f>IF(AND(Input_Product=Elig!$C105,Elig_MatchAll_Ct&lt;22,$BC105=(Elig_MatchAll_Ct-1),AM105=0),J105,0)</f>
        <v>0</v>
      </c>
      <c r="BP105" s="199">
        <f>IF(AND(Input_Product=Elig!$C105,Elig_MatchAll_Ct&lt;22,$BC105=(Elig_MatchAll_Ct-1),AN105=0),K105,0)</f>
        <v>0</v>
      </c>
      <c r="BQ105" s="199">
        <f>IF(AND(Input_Product=Elig!$C105,Elig_MatchAll_Ct&lt;22,$BC105=(Elig_MatchAll_Ct-1),AP105=0),L105,0)</f>
        <v>0</v>
      </c>
      <c r="BR105" s="199">
        <f>IF(AND(Input_Product=Elig!$C105,Elig_MatchAll_Ct&lt;22,$BC105=(Elig_MatchAll_Ct-1),AO105=0),M105,0)</f>
        <v>0</v>
      </c>
      <c r="BS105" s="199">
        <f>IF(AND(Input_Product=Elig!$C105,Elig_MatchAll_Ct&lt;22,$BC105=(Elig_MatchAll_Ct-1),AQ105=0),N105,0)</f>
        <v>0</v>
      </c>
      <c r="BT105" s="199">
        <f>IF(AND(Input_Product=Elig!$C105,Elig_MatchAll_Ct&lt;22,$BC105=(Elig_MatchAll_Ct-1),AR105=0),O105,0)</f>
        <v>0</v>
      </c>
      <c r="BU105" s="199">
        <f>IF(AND(Input_Product=Elig!$C105,Elig_MatchAll_Ct&lt;22,$BC105=(Elig_MatchAll_Ct-1),AS105=0),P105,0)</f>
        <v>0</v>
      </c>
      <c r="BV105" s="200">
        <f>IF(AND(Input_Product=Elig!$C105,Elig_MatchAll_Ct&lt;22,$BC105=(Elig_MatchAll_Ct-1),AT105=0),Q105,0)</f>
        <v>0</v>
      </c>
      <c r="BW105" s="201">
        <f>IF(AND(Input_Product=Elig!$C105,Elig_MatchAll_Ct&lt;22,$BC105=(Elig_MatchAll_Ct-1),AU105=0),R105,0)</f>
        <v>0</v>
      </c>
      <c r="BX105" s="202">
        <f>IF(AND(Input_Product=Elig!$C105,Elig_MatchAll_Ct&lt;22,$BC105=(Elig_MatchAll_Ct-1),AU105=0),S105,0)</f>
        <v>0</v>
      </c>
      <c r="BY105" s="201">
        <f>IF(AND(Input_Product=Elig!$C105,Elig_MatchAll_Ct&lt;22,$BC105=(Elig_MatchAll_Ct-1),AV105=0),T105,0)</f>
        <v>0</v>
      </c>
      <c r="BZ105" s="202">
        <f>IF(AND(Input_Product=Elig!$C105,Elig_MatchAll_Ct&lt;22,$BC105=(Elig_MatchAll_Ct-1),AV105=0),U105,0)</f>
        <v>0</v>
      </c>
      <c r="CA105" s="201">
        <f>IF(AND(Input_Product=Elig!$C105,Elig_MatchAll_Ct&lt;22,$BC105=(Elig_MatchAll_Ct-1),AW105=0),V105,0)</f>
        <v>0</v>
      </c>
      <c r="CB105" s="202">
        <f>IF(AND(Input_Product=Elig!$C105,Elig_MatchAll_Ct&lt;22,$BC105=(Elig_MatchAll_Ct-1),AW105=0),W105,0)</f>
        <v>0</v>
      </c>
      <c r="CC105" s="201">
        <f>IF(AND(Input_Product=Elig!$C105,Elig_MatchAll_Ct&lt;22,$BC105=(Elig_MatchAll_Ct-1),AX105=0),X105,0)</f>
        <v>0</v>
      </c>
      <c r="CD105" s="202">
        <f>IF(AND(Input_Product=Elig!$C105,Elig_MatchAll_Ct&lt;22,$BC105=(Elig_MatchAll_Ct-1),AX105=0),Y105,0)</f>
        <v>0</v>
      </c>
      <c r="CE105" s="201">
        <f>IF(AND(Input_LTV&lt;=AE105,Input_Product=Elig!$C105,Elig_MatchAll_Ct&lt;22,$BC105=(Elig_MatchAll_Ct-1),AY105=0),Z105,0)</f>
        <v>0</v>
      </c>
      <c r="CF105" s="202">
        <f>IF(AND(Input_LTV&lt;=AE105,Input_Product=Elig!$C105,Elig_MatchAll_Ct&lt;22,$BC105=(Elig_MatchAll_Ct-1),AY105=0),AA105,0)</f>
        <v>0</v>
      </c>
      <c r="CG105" s="201">
        <f>IF(AND(Input_Product=Elig!$C105,Elig_MatchAll_Ct&lt;22,$BC105=(Elig_MatchAll_Ct-1),AZ105=0),AB105,0)</f>
        <v>0</v>
      </c>
      <c r="CH105" s="202">
        <f>IF(AND(Input_Product=Elig!$C105,Elig_MatchAll_Ct&lt;22,$BC105=(Elig_MatchAll_Ct-1),AZ105=0),AC105,0)</f>
        <v>0</v>
      </c>
      <c r="CI105" s="201">
        <f>IF(AND(Input_Product=Elig!$C105,Elig_MatchAll_Ct&lt;22,$BC105=(Elig_MatchAll_Ct-1),BA105=0),AD105,0)</f>
        <v>0</v>
      </c>
      <c r="CJ105" s="203">
        <f>IF(AND(Input_Product=Elig!$C105,Elig_MatchAll_Ct&lt;22,$BC105=(Elig_MatchAll_Ct-1),BA105=0),AE105,0)</f>
        <v>0</v>
      </c>
    </row>
    <row r="106" spans="2:88" ht="10.15" customHeight="1" x14ac:dyDescent="0.25">
      <c r="B106" s="1912" t="s">
        <v>860</v>
      </c>
      <c r="C106" s="147" t="str">
        <f t="shared" si="35"/>
        <v>NonQM OO</v>
      </c>
      <c r="D106" s="148" t="s">
        <v>3885</v>
      </c>
      <c r="E106" s="148" t="s">
        <v>167</v>
      </c>
      <c r="F106" s="148" t="s">
        <v>331</v>
      </c>
      <c r="G106" s="135" t="s">
        <v>179</v>
      </c>
      <c r="H106" s="148" t="s">
        <v>136</v>
      </c>
      <c r="I106" s="149" t="s">
        <v>274</v>
      </c>
      <c r="J106" s="149" t="s">
        <v>1311</v>
      </c>
      <c r="K106" s="149" t="s">
        <v>1631</v>
      </c>
      <c r="L106" s="322" t="s">
        <v>3920</v>
      </c>
      <c r="M106" s="148" t="s">
        <v>4203</v>
      </c>
      <c r="N106" s="148" t="s">
        <v>82</v>
      </c>
      <c r="O106" s="148" t="s">
        <v>310</v>
      </c>
      <c r="P106" s="148" t="s">
        <v>291</v>
      </c>
      <c r="Q106" s="148" t="s">
        <v>294</v>
      </c>
      <c r="R106" s="135">
        <v>1000000.01</v>
      </c>
      <c r="S106" s="135">
        <v>1500000</v>
      </c>
      <c r="T106" s="148">
        <v>0</v>
      </c>
      <c r="U106" s="148">
        <v>0</v>
      </c>
      <c r="V106" s="148">
        <v>0</v>
      </c>
      <c r="W106" s="148">
        <v>55</v>
      </c>
      <c r="X106" s="148">
        <v>0</v>
      </c>
      <c r="Y106" s="148">
        <v>999</v>
      </c>
      <c r="Z106" s="137">
        <v>660</v>
      </c>
      <c r="AA106" s="137">
        <v>679</v>
      </c>
      <c r="AB106" s="137">
        <v>6</v>
      </c>
      <c r="AC106" s="137">
        <v>999999</v>
      </c>
      <c r="AD106" s="135">
        <v>0</v>
      </c>
      <c r="AE106" s="135">
        <v>75</v>
      </c>
      <c r="AF106" s="170">
        <v>0</v>
      </c>
      <c r="AG106" s="171">
        <v>1</v>
      </c>
      <c r="AH106" s="171">
        <v>1</v>
      </c>
      <c r="AI106" s="171">
        <v>1</v>
      </c>
      <c r="AJ106" s="171">
        <v>0</v>
      </c>
      <c r="AK106" s="171">
        <v>1</v>
      </c>
      <c r="AL106" s="171">
        <v>0</v>
      </c>
      <c r="AM106" s="171">
        <v>1</v>
      </c>
      <c r="AN106" s="171">
        <v>1</v>
      </c>
      <c r="AO106" s="171">
        <v>1</v>
      </c>
      <c r="AP106" s="171">
        <v>1</v>
      </c>
      <c r="AQ106" s="171">
        <v>1</v>
      </c>
      <c r="AR106" s="171">
        <v>1</v>
      </c>
      <c r="AS106" s="171">
        <v>1</v>
      </c>
      <c r="AT106" s="171">
        <v>1</v>
      </c>
      <c r="AU106" s="171">
        <f t="shared" si="24"/>
        <v>0</v>
      </c>
      <c r="AV106" s="171">
        <f t="shared" si="25"/>
        <v>0</v>
      </c>
      <c r="AW106" s="171">
        <f t="shared" si="26"/>
        <v>1</v>
      </c>
      <c r="AX106" s="171">
        <f t="shared" si="37"/>
        <v>1</v>
      </c>
      <c r="AY106" s="171">
        <f t="shared" si="27"/>
        <v>0</v>
      </c>
      <c r="AZ106" s="171">
        <f t="shared" si="28"/>
        <v>1</v>
      </c>
      <c r="BA106" s="172">
        <f t="shared" si="29"/>
        <v>1</v>
      </c>
      <c r="BB106" s="175">
        <f t="shared" si="31"/>
        <v>16</v>
      </c>
      <c r="BC106" s="176">
        <f t="shared" si="32"/>
        <v>15</v>
      </c>
      <c r="BD106" s="176">
        <f t="shared" si="33"/>
        <v>16</v>
      </c>
      <c r="BE106" s="240" t="str">
        <f t="shared" si="30"/>
        <v/>
      </c>
      <c r="BH106" s="198">
        <f>IF(AND(Input_Product=Elig!$C106,Elig_MatchAll_Ct&lt;22,$BC106=(Elig_MatchAll_Ct-1),AF106=0),C106,0)</f>
        <v>0</v>
      </c>
      <c r="BI106" s="199">
        <f>IF(AND(Input_Product=Elig!$C106,Elig_MatchAll_Ct&lt;22,$BC106=(Elig_MatchAll_Ct-1),AG106=0),D106,0)</f>
        <v>0</v>
      </c>
      <c r="BJ106" s="199">
        <f>IF(AND(Input_Product=Elig!$C106,Elig_MatchAll_Ct&lt;22,$BC106=(Elig_MatchAll_Ct-1),AH106=0),E106,0)</f>
        <v>0</v>
      </c>
      <c r="BK106" s="199">
        <f>IF(AND(Input_Product=Elig!$C106,Elig_MatchAll_Ct&lt;22,$BC106=(Elig_MatchAll_Ct-1),AI106=0),F106,0)</f>
        <v>0</v>
      </c>
      <c r="BL106" s="199">
        <f>IF(AND(Input_Product=Elig!$C106,Elig_MatchAll_Ct&lt;22,$BC106=(Elig_MatchAll_Ct-1),AJ106=0),G106,0)</f>
        <v>0</v>
      </c>
      <c r="BM106" s="199">
        <f>IF(AND(Input_Product=Elig!$C106,Elig_MatchAll_Ct&lt;22,$BC106=(Elig_MatchAll_Ct-1),AK106=0),H106,0)</f>
        <v>0</v>
      </c>
      <c r="BN106" s="199">
        <f>IF(AND(Input_Product=Elig!$C106,Elig_MatchAll_Ct&lt;22,$BC106=(Elig_MatchAll_Ct-1),AL106=0),I106,0)</f>
        <v>0</v>
      </c>
      <c r="BO106" s="199">
        <f>IF(AND(Input_Product=Elig!$C106,Elig_MatchAll_Ct&lt;22,$BC106=(Elig_MatchAll_Ct-1),AM106=0),J106,0)</f>
        <v>0</v>
      </c>
      <c r="BP106" s="199">
        <f>IF(AND(Input_Product=Elig!$C106,Elig_MatchAll_Ct&lt;22,$BC106=(Elig_MatchAll_Ct-1),AN106=0),K106,0)</f>
        <v>0</v>
      </c>
      <c r="BQ106" s="199">
        <f>IF(AND(Input_Product=Elig!$C106,Elig_MatchAll_Ct&lt;22,$BC106=(Elig_MatchAll_Ct-1),AP106=0),L106,0)</f>
        <v>0</v>
      </c>
      <c r="BR106" s="199">
        <f>IF(AND(Input_Product=Elig!$C106,Elig_MatchAll_Ct&lt;22,$BC106=(Elig_MatchAll_Ct-1),AO106=0),M106,0)</f>
        <v>0</v>
      </c>
      <c r="BS106" s="199">
        <f>IF(AND(Input_Product=Elig!$C106,Elig_MatchAll_Ct&lt;22,$BC106=(Elig_MatchAll_Ct-1),AQ106=0),N106,0)</f>
        <v>0</v>
      </c>
      <c r="BT106" s="199">
        <f>IF(AND(Input_Product=Elig!$C106,Elig_MatchAll_Ct&lt;22,$BC106=(Elig_MatchAll_Ct-1),AR106=0),O106,0)</f>
        <v>0</v>
      </c>
      <c r="BU106" s="199">
        <f>IF(AND(Input_Product=Elig!$C106,Elig_MatchAll_Ct&lt;22,$BC106=(Elig_MatchAll_Ct-1),AS106=0),P106,0)</f>
        <v>0</v>
      </c>
      <c r="BV106" s="200">
        <f>IF(AND(Input_Product=Elig!$C106,Elig_MatchAll_Ct&lt;22,$BC106=(Elig_MatchAll_Ct-1),AT106=0),Q106,0)</f>
        <v>0</v>
      </c>
      <c r="BW106" s="201">
        <f>IF(AND(Input_Product=Elig!$C106,Elig_MatchAll_Ct&lt;22,$BC106=(Elig_MatchAll_Ct-1),AU106=0),R106,0)</f>
        <v>0</v>
      </c>
      <c r="BX106" s="202">
        <f>IF(AND(Input_Product=Elig!$C106,Elig_MatchAll_Ct&lt;22,$BC106=(Elig_MatchAll_Ct-1),AU106=0),S106,0)</f>
        <v>0</v>
      </c>
      <c r="BY106" s="201">
        <f>IF(AND(Input_Product=Elig!$C106,Elig_MatchAll_Ct&lt;22,$BC106=(Elig_MatchAll_Ct-1),AV106=0),T106,0)</f>
        <v>0</v>
      </c>
      <c r="BZ106" s="202">
        <f>IF(AND(Input_Product=Elig!$C106,Elig_MatchAll_Ct&lt;22,$BC106=(Elig_MatchAll_Ct-1),AV106=0),U106,0)</f>
        <v>0</v>
      </c>
      <c r="CA106" s="201">
        <f>IF(AND(Input_Product=Elig!$C106,Elig_MatchAll_Ct&lt;22,$BC106=(Elig_MatchAll_Ct-1),AW106=0),V106,0)</f>
        <v>0</v>
      </c>
      <c r="CB106" s="202">
        <f>IF(AND(Input_Product=Elig!$C106,Elig_MatchAll_Ct&lt;22,$BC106=(Elig_MatchAll_Ct-1),AW106=0),W106,0)</f>
        <v>0</v>
      </c>
      <c r="CC106" s="201">
        <f>IF(AND(Input_Product=Elig!$C106,Elig_MatchAll_Ct&lt;22,$BC106=(Elig_MatchAll_Ct-1),AX106=0),X106,0)</f>
        <v>0</v>
      </c>
      <c r="CD106" s="202">
        <f>IF(AND(Input_Product=Elig!$C106,Elig_MatchAll_Ct&lt;22,$BC106=(Elig_MatchAll_Ct-1),AX106=0),Y106,0)</f>
        <v>0</v>
      </c>
      <c r="CE106" s="201">
        <f>IF(AND(Input_LTV&lt;=AE106,Input_Product=Elig!$C106,Elig_MatchAll_Ct&lt;22,$BC106=(Elig_MatchAll_Ct-1),AY106=0),Z106,0)</f>
        <v>0</v>
      </c>
      <c r="CF106" s="202">
        <f>IF(AND(Input_LTV&lt;=AE106,Input_Product=Elig!$C106,Elig_MatchAll_Ct&lt;22,$BC106=(Elig_MatchAll_Ct-1),AY106=0),AA106,0)</f>
        <v>0</v>
      </c>
      <c r="CG106" s="201">
        <f>IF(AND(Input_Product=Elig!$C106,Elig_MatchAll_Ct&lt;22,$BC106=(Elig_MatchAll_Ct-1),AZ106=0),AB106,0)</f>
        <v>0</v>
      </c>
      <c r="CH106" s="202">
        <f>IF(AND(Input_Product=Elig!$C106,Elig_MatchAll_Ct&lt;22,$BC106=(Elig_MatchAll_Ct-1),AZ106=0),AC106,0)</f>
        <v>0</v>
      </c>
      <c r="CI106" s="201">
        <f>IF(AND(Input_Product=Elig!$C106,Elig_MatchAll_Ct&lt;22,$BC106=(Elig_MatchAll_Ct-1),BA106=0),AD106,0)</f>
        <v>0</v>
      </c>
      <c r="CJ106" s="203">
        <f>IF(AND(Input_Product=Elig!$C106,Elig_MatchAll_Ct&lt;22,$BC106=(Elig_MatchAll_Ct-1),BA106=0),AE106,0)</f>
        <v>0</v>
      </c>
    </row>
    <row r="107" spans="2:88" ht="10.15" customHeight="1" x14ac:dyDescent="0.25">
      <c r="B107" s="1912" t="s">
        <v>861</v>
      </c>
      <c r="C107" s="147" t="str">
        <f t="shared" si="35"/>
        <v>NonQM OO</v>
      </c>
      <c r="D107" s="148" t="s">
        <v>3885</v>
      </c>
      <c r="E107" s="148" t="s">
        <v>167</v>
      </c>
      <c r="F107" s="148" t="s">
        <v>331</v>
      </c>
      <c r="G107" s="135" t="s">
        <v>179</v>
      </c>
      <c r="H107" s="148" t="s">
        <v>136</v>
      </c>
      <c r="I107" s="149" t="s">
        <v>274</v>
      </c>
      <c r="J107" s="149" t="s">
        <v>1311</v>
      </c>
      <c r="K107" s="149" t="s">
        <v>1631</v>
      </c>
      <c r="L107" s="322" t="s">
        <v>3920</v>
      </c>
      <c r="M107" s="148" t="s">
        <v>4203</v>
      </c>
      <c r="N107" s="148" t="s">
        <v>82</v>
      </c>
      <c r="O107" s="148" t="s">
        <v>310</v>
      </c>
      <c r="P107" s="148" t="s">
        <v>291</v>
      </c>
      <c r="Q107" s="148" t="s">
        <v>294</v>
      </c>
      <c r="R107" s="135">
        <v>1000000.01</v>
      </c>
      <c r="S107" s="135">
        <v>1500000</v>
      </c>
      <c r="T107" s="148">
        <v>0</v>
      </c>
      <c r="U107" s="148">
        <v>0</v>
      </c>
      <c r="V107" s="148">
        <v>0</v>
      </c>
      <c r="W107" s="148">
        <v>55</v>
      </c>
      <c r="X107" s="148">
        <v>0</v>
      </c>
      <c r="Y107" s="148">
        <v>999</v>
      </c>
      <c r="Z107" s="137">
        <v>640</v>
      </c>
      <c r="AA107" s="137">
        <v>659</v>
      </c>
      <c r="AB107" s="137">
        <v>6</v>
      </c>
      <c r="AC107" s="137">
        <v>999999</v>
      </c>
      <c r="AD107" s="135">
        <v>0</v>
      </c>
      <c r="AE107" s="135">
        <v>-999</v>
      </c>
      <c r="AF107" s="170">
        <v>0</v>
      </c>
      <c r="AG107" s="171">
        <v>1</v>
      </c>
      <c r="AH107" s="171">
        <v>1</v>
      </c>
      <c r="AI107" s="171">
        <v>1</v>
      </c>
      <c r="AJ107" s="171">
        <v>0</v>
      </c>
      <c r="AK107" s="171">
        <v>1</v>
      </c>
      <c r="AL107" s="171">
        <v>0</v>
      </c>
      <c r="AM107" s="171">
        <v>1</v>
      </c>
      <c r="AN107" s="171">
        <v>1</v>
      </c>
      <c r="AO107" s="171">
        <v>1</v>
      </c>
      <c r="AP107" s="171">
        <v>1</v>
      </c>
      <c r="AQ107" s="171">
        <v>1</v>
      </c>
      <c r="AR107" s="171">
        <v>1</v>
      </c>
      <c r="AS107" s="171">
        <v>1</v>
      </c>
      <c r="AT107" s="171">
        <v>1</v>
      </c>
      <c r="AU107" s="171">
        <f t="shared" si="24"/>
        <v>0</v>
      </c>
      <c r="AV107" s="171">
        <f t="shared" si="25"/>
        <v>0</v>
      </c>
      <c r="AW107" s="171">
        <f t="shared" si="26"/>
        <v>1</v>
      </c>
      <c r="AX107" s="171">
        <f t="shared" si="37"/>
        <v>1</v>
      </c>
      <c r="AY107" s="171">
        <f t="shared" si="27"/>
        <v>0</v>
      </c>
      <c r="AZ107" s="171">
        <f t="shared" si="28"/>
        <v>1</v>
      </c>
      <c r="BA107" s="172">
        <f t="shared" si="29"/>
        <v>0</v>
      </c>
      <c r="BB107" s="175">
        <f t="shared" si="31"/>
        <v>15</v>
      </c>
      <c r="BC107" s="176">
        <f t="shared" si="32"/>
        <v>15</v>
      </c>
      <c r="BD107" s="176">
        <f t="shared" si="33"/>
        <v>15</v>
      </c>
      <c r="BE107" s="240" t="str">
        <f t="shared" si="30"/>
        <v/>
      </c>
      <c r="BH107" s="198">
        <f>IF(AND(Input_Product=Elig!$C107,Elig_MatchAll_Ct&lt;22,$BC107=(Elig_MatchAll_Ct-1),AF107=0),C107,0)</f>
        <v>0</v>
      </c>
      <c r="BI107" s="199">
        <f>IF(AND(Input_Product=Elig!$C107,Elig_MatchAll_Ct&lt;22,$BC107=(Elig_MatchAll_Ct-1),AG107=0),D107,0)</f>
        <v>0</v>
      </c>
      <c r="BJ107" s="199">
        <f>IF(AND(Input_Product=Elig!$C107,Elig_MatchAll_Ct&lt;22,$BC107=(Elig_MatchAll_Ct-1),AH107=0),E107,0)</f>
        <v>0</v>
      </c>
      <c r="BK107" s="199">
        <f>IF(AND(Input_Product=Elig!$C107,Elig_MatchAll_Ct&lt;22,$BC107=(Elig_MatchAll_Ct-1),AI107=0),F107,0)</f>
        <v>0</v>
      </c>
      <c r="BL107" s="199">
        <f>IF(AND(Input_Product=Elig!$C107,Elig_MatchAll_Ct&lt;22,$BC107=(Elig_MatchAll_Ct-1),AJ107=0),G107,0)</f>
        <v>0</v>
      </c>
      <c r="BM107" s="199">
        <f>IF(AND(Input_Product=Elig!$C107,Elig_MatchAll_Ct&lt;22,$BC107=(Elig_MatchAll_Ct-1),AK107=0),H107,0)</f>
        <v>0</v>
      </c>
      <c r="BN107" s="199">
        <f>IF(AND(Input_Product=Elig!$C107,Elig_MatchAll_Ct&lt;22,$BC107=(Elig_MatchAll_Ct-1),AL107=0),I107,0)</f>
        <v>0</v>
      </c>
      <c r="BO107" s="199">
        <f>IF(AND(Input_Product=Elig!$C107,Elig_MatchAll_Ct&lt;22,$BC107=(Elig_MatchAll_Ct-1),AM107=0),J107,0)</f>
        <v>0</v>
      </c>
      <c r="BP107" s="199">
        <f>IF(AND(Input_Product=Elig!$C107,Elig_MatchAll_Ct&lt;22,$BC107=(Elig_MatchAll_Ct-1),AN107=0),K107,0)</f>
        <v>0</v>
      </c>
      <c r="BQ107" s="199">
        <f>IF(AND(Input_Product=Elig!$C107,Elig_MatchAll_Ct&lt;22,$BC107=(Elig_MatchAll_Ct-1),AP107=0),L107,0)</f>
        <v>0</v>
      </c>
      <c r="BR107" s="199">
        <f>IF(AND(Input_Product=Elig!$C107,Elig_MatchAll_Ct&lt;22,$BC107=(Elig_MatchAll_Ct-1),AO107=0),M107,0)</f>
        <v>0</v>
      </c>
      <c r="BS107" s="199">
        <f>IF(AND(Input_Product=Elig!$C107,Elig_MatchAll_Ct&lt;22,$BC107=(Elig_MatchAll_Ct-1),AQ107=0),N107,0)</f>
        <v>0</v>
      </c>
      <c r="BT107" s="199">
        <f>IF(AND(Input_Product=Elig!$C107,Elig_MatchAll_Ct&lt;22,$BC107=(Elig_MatchAll_Ct-1),AR107=0),O107,0)</f>
        <v>0</v>
      </c>
      <c r="BU107" s="199">
        <f>IF(AND(Input_Product=Elig!$C107,Elig_MatchAll_Ct&lt;22,$BC107=(Elig_MatchAll_Ct-1),AS107=0),P107,0)</f>
        <v>0</v>
      </c>
      <c r="BV107" s="200">
        <f>IF(AND(Input_Product=Elig!$C107,Elig_MatchAll_Ct&lt;22,$BC107=(Elig_MatchAll_Ct-1),AT107=0),Q107,0)</f>
        <v>0</v>
      </c>
      <c r="BW107" s="201">
        <f>IF(AND(Input_Product=Elig!$C107,Elig_MatchAll_Ct&lt;22,$BC107=(Elig_MatchAll_Ct-1),AU107=0),R107,0)</f>
        <v>0</v>
      </c>
      <c r="BX107" s="202">
        <f>IF(AND(Input_Product=Elig!$C107,Elig_MatchAll_Ct&lt;22,$BC107=(Elig_MatchAll_Ct-1),AU107=0),S107,0)</f>
        <v>0</v>
      </c>
      <c r="BY107" s="201">
        <f>IF(AND(Input_Product=Elig!$C107,Elig_MatchAll_Ct&lt;22,$BC107=(Elig_MatchAll_Ct-1),AV107=0),T107,0)</f>
        <v>0</v>
      </c>
      <c r="BZ107" s="202">
        <f>IF(AND(Input_Product=Elig!$C107,Elig_MatchAll_Ct&lt;22,$BC107=(Elig_MatchAll_Ct-1),AV107=0),U107,0)</f>
        <v>0</v>
      </c>
      <c r="CA107" s="201">
        <f>IF(AND(Input_Product=Elig!$C107,Elig_MatchAll_Ct&lt;22,$BC107=(Elig_MatchAll_Ct-1),AW107=0),V107,0)</f>
        <v>0</v>
      </c>
      <c r="CB107" s="202">
        <f>IF(AND(Input_Product=Elig!$C107,Elig_MatchAll_Ct&lt;22,$BC107=(Elig_MatchAll_Ct-1),AW107=0),W107,0)</f>
        <v>0</v>
      </c>
      <c r="CC107" s="201">
        <f>IF(AND(Input_Product=Elig!$C107,Elig_MatchAll_Ct&lt;22,$BC107=(Elig_MatchAll_Ct-1),AX107=0),X107,0)</f>
        <v>0</v>
      </c>
      <c r="CD107" s="202">
        <f>IF(AND(Input_Product=Elig!$C107,Elig_MatchAll_Ct&lt;22,$BC107=(Elig_MatchAll_Ct-1),AX107=0),Y107,0)</f>
        <v>0</v>
      </c>
      <c r="CE107" s="201">
        <f>IF(AND(Input_LTV&lt;=AE107,Input_Product=Elig!$C107,Elig_MatchAll_Ct&lt;22,$BC107=(Elig_MatchAll_Ct-1),AY107=0),Z107,0)</f>
        <v>0</v>
      </c>
      <c r="CF107" s="202">
        <f>IF(AND(Input_LTV&lt;=AE107,Input_Product=Elig!$C107,Elig_MatchAll_Ct&lt;22,$BC107=(Elig_MatchAll_Ct-1),AY107=0),AA107,0)</f>
        <v>0</v>
      </c>
      <c r="CG107" s="201">
        <f>IF(AND(Input_Product=Elig!$C107,Elig_MatchAll_Ct&lt;22,$BC107=(Elig_MatchAll_Ct-1),AZ107=0),AB107,0)</f>
        <v>0</v>
      </c>
      <c r="CH107" s="202">
        <f>IF(AND(Input_Product=Elig!$C107,Elig_MatchAll_Ct&lt;22,$BC107=(Elig_MatchAll_Ct-1),AZ107=0),AC107,0)</f>
        <v>0</v>
      </c>
      <c r="CI107" s="201">
        <f>IF(AND(Input_Product=Elig!$C107,Elig_MatchAll_Ct&lt;22,$BC107=(Elig_MatchAll_Ct-1),BA107=0),AD107,0)</f>
        <v>0</v>
      </c>
      <c r="CJ107" s="203">
        <f>IF(AND(Input_Product=Elig!$C107,Elig_MatchAll_Ct&lt;22,$BC107=(Elig_MatchAll_Ct-1),BA107=0),AE107,0)</f>
        <v>0</v>
      </c>
    </row>
    <row r="108" spans="2:88" ht="10.15" customHeight="1" x14ac:dyDescent="0.25">
      <c r="B108" s="1912" t="s">
        <v>862</v>
      </c>
      <c r="C108" s="147" t="str">
        <f t="shared" si="35"/>
        <v>NonQM OO</v>
      </c>
      <c r="D108" s="148" t="s">
        <v>3885</v>
      </c>
      <c r="E108" s="148" t="s">
        <v>167</v>
      </c>
      <c r="F108" s="148" t="s">
        <v>331</v>
      </c>
      <c r="G108" s="135" t="s">
        <v>179</v>
      </c>
      <c r="H108" s="148" t="s">
        <v>136</v>
      </c>
      <c r="I108" s="149" t="s">
        <v>274</v>
      </c>
      <c r="J108" s="149" t="s">
        <v>1311</v>
      </c>
      <c r="K108" s="149" t="s">
        <v>1631</v>
      </c>
      <c r="L108" s="322" t="s">
        <v>3920</v>
      </c>
      <c r="M108" s="148" t="s">
        <v>4203</v>
      </c>
      <c r="N108" s="148" t="s">
        <v>82</v>
      </c>
      <c r="O108" s="148" t="s">
        <v>310</v>
      </c>
      <c r="P108" s="148" t="s">
        <v>291</v>
      </c>
      <c r="Q108" s="148" t="s">
        <v>294</v>
      </c>
      <c r="R108" s="135">
        <v>1000000.01</v>
      </c>
      <c r="S108" s="135">
        <v>1500000</v>
      </c>
      <c r="T108" s="148">
        <v>0</v>
      </c>
      <c r="U108" s="148">
        <v>0</v>
      </c>
      <c r="V108" s="148">
        <v>0</v>
      </c>
      <c r="W108" s="148">
        <v>55</v>
      </c>
      <c r="X108" s="148">
        <v>0</v>
      </c>
      <c r="Y108" s="148">
        <v>999</v>
      </c>
      <c r="Z108" s="140">
        <v>620</v>
      </c>
      <c r="AA108" s="140">
        <v>639</v>
      </c>
      <c r="AB108" s="140">
        <v>6</v>
      </c>
      <c r="AC108" s="140">
        <v>999999</v>
      </c>
      <c r="AD108" s="139">
        <v>0</v>
      </c>
      <c r="AE108" s="139">
        <v>-999</v>
      </c>
      <c r="AF108" s="170">
        <v>0</v>
      </c>
      <c r="AG108" s="171">
        <v>1</v>
      </c>
      <c r="AH108" s="171">
        <v>1</v>
      </c>
      <c r="AI108" s="171">
        <v>1</v>
      </c>
      <c r="AJ108" s="171">
        <v>0</v>
      </c>
      <c r="AK108" s="171">
        <v>1</v>
      </c>
      <c r="AL108" s="171">
        <v>0</v>
      </c>
      <c r="AM108" s="171">
        <v>1</v>
      </c>
      <c r="AN108" s="171">
        <v>1</v>
      </c>
      <c r="AO108" s="171">
        <v>1</v>
      </c>
      <c r="AP108" s="171">
        <v>1</v>
      </c>
      <c r="AQ108" s="171">
        <v>1</v>
      </c>
      <c r="AR108" s="171">
        <v>1</v>
      </c>
      <c r="AS108" s="171">
        <v>1</v>
      </c>
      <c r="AT108" s="171">
        <v>1</v>
      </c>
      <c r="AU108" s="171">
        <f t="shared" si="24"/>
        <v>0</v>
      </c>
      <c r="AV108" s="171">
        <f t="shared" si="25"/>
        <v>0</v>
      </c>
      <c r="AW108" s="171">
        <f t="shared" si="26"/>
        <v>1</v>
      </c>
      <c r="AX108" s="171">
        <f t="shared" si="37"/>
        <v>1</v>
      </c>
      <c r="AY108" s="171">
        <f t="shared" si="27"/>
        <v>0</v>
      </c>
      <c r="AZ108" s="171">
        <f t="shared" si="28"/>
        <v>1</v>
      </c>
      <c r="BA108" s="172">
        <f t="shared" si="29"/>
        <v>0</v>
      </c>
      <c r="BB108" s="175">
        <f t="shared" si="31"/>
        <v>15</v>
      </c>
      <c r="BC108" s="176">
        <f t="shared" si="32"/>
        <v>15</v>
      </c>
      <c r="BD108" s="176">
        <f t="shared" si="33"/>
        <v>15</v>
      </c>
      <c r="BE108" s="240" t="str">
        <f t="shared" si="30"/>
        <v/>
      </c>
      <c r="BH108" s="204">
        <f>IF(AND(Input_Product=Elig!$C108,Elig_MatchAll_Ct&lt;22,$BC108=(Elig_MatchAll_Ct-1),AF108=0),C108,0)</f>
        <v>0</v>
      </c>
      <c r="BI108" s="205">
        <f>IF(AND(Input_Product=Elig!$C108,Elig_MatchAll_Ct&lt;22,$BC108=(Elig_MatchAll_Ct-1),AG108=0),D108,0)</f>
        <v>0</v>
      </c>
      <c r="BJ108" s="205">
        <f>IF(AND(Input_Product=Elig!$C108,Elig_MatchAll_Ct&lt;22,$BC108=(Elig_MatchAll_Ct-1),AH108=0),E108,0)</f>
        <v>0</v>
      </c>
      <c r="BK108" s="205">
        <f>IF(AND(Input_Product=Elig!$C108,Elig_MatchAll_Ct&lt;22,$BC108=(Elig_MatchAll_Ct-1),AI108=0),F108,0)</f>
        <v>0</v>
      </c>
      <c r="BL108" s="205">
        <f>IF(AND(Input_Product=Elig!$C108,Elig_MatchAll_Ct&lt;22,$BC108=(Elig_MatchAll_Ct-1),AJ108=0),G108,0)</f>
        <v>0</v>
      </c>
      <c r="BM108" s="205">
        <f>IF(AND(Input_Product=Elig!$C108,Elig_MatchAll_Ct&lt;22,$BC108=(Elig_MatchAll_Ct-1),AK108=0),H108,0)</f>
        <v>0</v>
      </c>
      <c r="BN108" s="205">
        <f>IF(AND(Input_Product=Elig!$C108,Elig_MatchAll_Ct&lt;22,$BC108=(Elig_MatchAll_Ct-1),AL108=0),I108,0)</f>
        <v>0</v>
      </c>
      <c r="BO108" s="205">
        <f>IF(AND(Input_Product=Elig!$C108,Elig_MatchAll_Ct&lt;22,$BC108=(Elig_MatchAll_Ct-1),AM108=0),J108,0)</f>
        <v>0</v>
      </c>
      <c r="BP108" s="205">
        <f>IF(AND(Input_Product=Elig!$C108,Elig_MatchAll_Ct&lt;22,$BC108=(Elig_MatchAll_Ct-1),AN108=0),K108,0)</f>
        <v>0</v>
      </c>
      <c r="BQ108" s="205">
        <f>IF(AND(Input_Product=Elig!$C108,Elig_MatchAll_Ct&lt;22,$BC108=(Elig_MatchAll_Ct-1),AP108=0),L108,0)</f>
        <v>0</v>
      </c>
      <c r="BR108" s="205">
        <f>IF(AND(Input_Product=Elig!$C108,Elig_MatchAll_Ct&lt;22,$BC108=(Elig_MatchAll_Ct-1),AO108=0),M108,0)</f>
        <v>0</v>
      </c>
      <c r="BS108" s="205">
        <f>IF(AND(Input_Product=Elig!$C108,Elig_MatchAll_Ct&lt;22,$BC108=(Elig_MatchAll_Ct-1),AQ108=0),N108,0)</f>
        <v>0</v>
      </c>
      <c r="BT108" s="205">
        <f>IF(AND(Input_Product=Elig!$C108,Elig_MatchAll_Ct&lt;22,$BC108=(Elig_MatchAll_Ct-1),AR108=0),O108,0)</f>
        <v>0</v>
      </c>
      <c r="BU108" s="205">
        <f>IF(AND(Input_Product=Elig!$C108,Elig_MatchAll_Ct&lt;22,$BC108=(Elig_MatchAll_Ct-1),AS108=0),P108,0)</f>
        <v>0</v>
      </c>
      <c r="BV108" s="206">
        <f>IF(AND(Input_Product=Elig!$C108,Elig_MatchAll_Ct&lt;22,$BC108=(Elig_MatchAll_Ct-1),AT108=0),Q108,0)</f>
        <v>0</v>
      </c>
      <c r="BW108" s="207">
        <f>IF(AND(Input_Product=Elig!$C108,Elig_MatchAll_Ct&lt;22,$BC108=(Elig_MatchAll_Ct-1),AU108=0),R108,0)</f>
        <v>0</v>
      </c>
      <c r="BX108" s="208">
        <f>IF(AND(Input_Product=Elig!$C108,Elig_MatchAll_Ct&lt;22,$BC108=(Elig_MatchAll_Ct-1),AU108=0),S108,0)</f>
        <v>0</v>
      </c>
      <c r="BY108" s="207">
        <f>IF(AND(Input_Product=Elig!$C108,Elig_MatchAll_Ct&lt;22,$BC108=(Elig_MatchAll_Ct-1),AV108=0),T108,0)</f>
        <v>0</v>
      </c>
      <c r="BZ108" s="208">
        <f>IF(AND(Input_Product=Elig!$C108,Elig_MatchAll_Ct&lt;22,$BC108=(Elig_MatchAll_Ct-1),AV108=0),U108,0)</f>
        <v>0</v>
      </c>
      <c r="CA108" s="207">
        <f>IF(AND(Input_Product=Elig!$C108,Elig_MatchAll_Ct&lt;22,$BC108=(Elig_MatchAll_Ct-1),AW108=0),V108,0)</f>
        <v>0</v>
      </c>
      <c r="CB108" s="208">
        <f>IF(AND(Input_Product=Elig!$C108,Elig_MatchAll_Ct&lt;22,$BC108=(Elig_MatchAll_Ct-1),AW108=0),W108,0)</f>
        <v>0</v>
      </c>
      <c r="CC108" s="207">
        <f>IF(AND(Input_Product=Elig!$C108,Elig_MatchAll_Ct&lt;22,$BC108=(Elig_MatchAll_Ct-1),AX108=0),X108,0)</f>
        <v>0</v>
      </c>
      <c r="CD108" s="208">
        <f>IF(AND(Input_Product=Elig!$C108,Elig_MatchAll_Ct&lt;22,$BC108=(Elig_MatchAll_Ct-1),AX108=0),Y108,0)</f>
        <v>0</v>
      </c>
      <c r="CE108" s="207">
        <f>IF(AND(Input_LTV&lt;=AE108,Input_Product=Elig!$C108,Elig_MatchAll_Ct&lt;22,$BC108=(Elig_MatchAll_Ct-1),AY108=0),Z108,0)</f>
        <v>0</v>
      </c>
      <c r="CF108" s="208">
        <f>IF(AND(Input_LTV&lt;=AE108,Input_Product=Elig!$C108,Elig_MatchAll_Ct&lt;22,$BC108=(Elig_MatchAll_Ct-1),AY108=0),AA108,0)</f>
        <v>0</v>
      </c>
      <c r="CG108" s="207">
        <f>IF(AND(Input_Product=Elig!$C108,Elig_MatchAll_Ct&lt;22,$BC108=(Elig_MatchAll_Ct-1),AZ108=0),AB108,0)</f>
        <v>0</v>
      </c>
      <c r="CH108" s="208">
        <f>IF(AND(Input_Product=Elig!$C108,Elig_MatchAll_Ct&lt;22,$BC108=(Elig_MatchAll_Ct-1),AZ108=0),AC108,0)</f>
        <v>0</v>
      </c>
      <c r="CI108" s="207">
        <f>IF(AND(Input_Product=Elig!$C108,Elig_MatchAll_Ct&lt;22,$BC108=(Elig_MatchAll_Ct-1),BA108=0),AD108,0)</f>
        <v>0</v>
      </c>
      <c r="CJ108" s="209">
        <f>IF(AND(Input_Product=Elig!$C108,Elig_MatchAll_Ct&lt;22,$BC108=(Elig_MatchAll_Ct-1),BA108=0),AE108,0)</f>
        <v>0</v>
      </c>
    </row>
    <row r="109" spans="2:88" ht="10.15" customHeight="1" x14ac:dyDescent="0.25">
      <c r="B109" s="1912" t="s">
        <v>3928</v>
      </c>
      <c r="C109" s="141" t="str">
        <f t="shared" si="35"/>
        <v>NonQM OO</v>
      </c>
      <c r="D109" s="142" t="s">
        <v>3885</v>
      </c>
      <c r="E109" s="143" t="s">
        <v>167</v>
      </c>
      <c r="F109" s="143" t="s">
        <v>331</v>
      </c>
      <c r="G109" s="143" t="s">
        <v>179</v>
      </c>
      <c r="H109" s="143" t="s">
        <v>136</v>
      </c>
      <c r="I109" s="142" t="s">
        <v>16</v>
      </c>
      <c r="J109" s="142" t="s">
        <v>1311</v>
      </c>
      <c r="K109" s="142" t="s">
        <v>1631</v>
      </c>
      <c r="L109" s="2131" t="s">
        <v>3920</v>
      </c>
      <c r="M109" s="143" t="s">
        <v>4203</v>
      </c>
      <c r="N109" s="143" t="s">
        <v>82</v>
      </c>
      <c r="O109" s="143" t="s">
        <v>310</v>
      </c>
      <c r="P109" s="143" t="s">
        <v>291</v>
      </c>
      <c r="Q109" s="143" t="s">
        <v>294</v>
      </c>
      <c r="R109" s="142">
        <v>1000000.01</v>
      </c>
      <c r="S109" s="142">
        <v>1500000</v>
      </c>
      <c r="T109" s="142">
        <v>0</v>
      </c>
      <c r="U109" s="142">
        <f t="shared" ref="U109:U114" si="39">S109</f>
        <v>1500000</v>
      </c>
      <c r="V109" s="142">
        <v>0</v>
      </c>
      <c r="W109" s="142">
        <v>55</v>
      </c>
      <c r="X109" s="142">
        <v>0</v>
      </c>
      <c r="Y109" s="142">
        <v>999</v>
      </c>
      <c r="Z109" s="144">
        <v>720</v>
      </c>
      <c r="AA109" s="144">
        <v>999</v>
      </c>
      <c r="AB109" s="144">
        <v>6</v>
      </c>
      <c r="AC109" s="144">
        <v>999999</v>
      </c>
      <c r="AD109" s="142">
        <v>0</v>
      </c>
      <c r="AE109" s="320">
        <v>75</v>
      </c>
      <c r="AF109" s="170">
        <v>0</v>
      </c>
      <c r="AG109" s="171">
        <v>1</v>
      </c>
      <c r="AH109" s="171">
        <v>1</v>
      </c>
      <c r="AI109" s="171">
        <v>1</v>
      </c>
      <c r="AJ109" s="171">
        <v>0</v>
      </c>
      <c r="AK109" s="171">
        <v>1</v>
      </c>
      <c r="AL109" s="171">
        <v>1</v>
      </c>
      <c r="AM109" s="171">
        <v>1</v>
      </c>
      <c r="AN109" s="171">
        <v>1</v>
      </c>
      <c r="AO109" s="171">
        <v>1</v>
      </c>
      <c r="AP109" s="171">
        <v>1</v>
      </c>
      <c r="AQ109" s="171">
        <v>1</v>
      </c>
      <c r="AR109" s="171">
        <v>1</v>
      </c>
      <c r="AS109" s="171">
        <v>1</v>
      </c>
      <c r="AT109" s="171">
        <v>1</v>
      </c>
      <c r="AU109" s="171">
        <f t="shared" si="24"/>
        <v>0</v>
      </c>
      <c r="AV109" s="171">
        <f t="shared" si="25"/>
        <v>1</v>
      </c>
      <c r="AW109" s="171">
        <f t="shared" si="26"/>
        <v>1</v>
      </c>
      <c r="AX109" s="171">
        <f t="shared" si="37"/>
        <v>1</v>
      </c>
      <c r="AY109" s="171">
        <f t="shared" si="27"/>
        <v>1</v>
      </c>
      <c r="AZ109" s="171">
        <f t="shared" si="28"/>
        <v>1</v>
      </c>
      <c r="BA109" s="172">
        <f t="shared" si="29"/>
        <v>1</v>
      </c>
      <c r="BB109" s="175">
        <f t="shared" si="31"/>
        <v>19</v>
      </c>
      <c r="BC109" s="176">
        <f t="shared" si="32"/>
        <v>18</v>
      </c>
      <c r="BD109" s="176">
        <f t="shared" si="33"/>
        <v>19</v>
      </c>
      <c r="BE109" s="240" t="str">
        <f t="shared" si="30"/>
        <v/>
      </c>
      <c r="BH109" s="192">
        <f>IF(AND(Input_Product=Elig!$C109,Elig_MatchAll_Ct&lt;22,$BC109=(Elig_MatchAll_Ct-1),AF109=0),C109,0)</f>
        <v>0</v>
      </c>
      <c r="BI109" s="193">
        <f>IF(AND(Input_Product=Elig!$C109,Elig_MatchAll_Ct&lt;22,$BC109=(Elig_MatchAll_Ct-1),AG109=0),D109,0)</f>
        <v>0</v>
      </c>
      <c r="BJ109" s="193">
        <f>IF(AND(Input_Product=Elig!$C109,Elig_MatchAll_Ct&lt;22,$BC109=(Elig_MatchAll_Ct-1),AH109=0),E109,0)</f>
        <v>0</v>
      </c>
      <c r="BK109" s="193">
        <f>IF(AND(Input_Product=Elig!$C109,Elig_MatchAll_Ct&lt;22,$BC109=(Elig_MatchAll_Ct-1),AI109=0),F109,0)</f>
        <v>0</v>
      </c>
      <c r="BL109" s="193">
        <f>IF(AND(Input_Product=Elig!$C109,Elig_MatchAll_Ct&lt;22,$BC109=(Elig_MatchAll_Ct-1),AJ109=0),G109,0)</f>
        <v>0</v>
      </c>
      <c r="BM109" s="193">
        <f>IF(AND(Input_Product=Elig!$C109,Elig_MatchAll_Ct&lt;22,$BC109=(Elig_MatchAll_Ct-1),AK109=0),H109,0)</f>
        <v>0</v>
      </c>
      <c r="BN109" s="193">
        <f>IF(AND(Input_Product=Elig!$C109,Elig_MatchAll_Ct&lt;22,$BC109=(Elig_MatchAll_Ct-1),AL109=0),I109,0)</f>
        <v>0</v>
      </c>
      <c r="BO109" s="193">
        <f>IF(AND(Input_Product=Elig!$C109,Elig_MatchAll_Ct&lt;22,$BC109=(Elig_MatchAll_Ct-1),AM109=0),J109,0)</f>
        <v>0</v>
      </c>
      <c r="BP109" s="193">
        <f>IF(AND(Input_Product=Elig!$C109,Elig_MatchAll_Ct&lt;22,$BC109=(Elig_MatchAll_Ct-1),AN109=0),K109,0)</f>
        <v>0</v>
      </c>
      <c r="BQ109" s="193">
        <f>IF(AND(Input_Product=Elig!$C109,Elig_MatchAll_Ct&lt;22,$BC109=(Elig_MatchAll_Ct-1),AP109=0),L109,0)</f>
        <v>0</v>
      </c>
      <c r="BR109" s="193">
        <f>IF(AND(Input_Product=Elig!$C109,Elig_MatchAll_Ct&lt;22,$BC109=(Elig_MatchAll_Ct-1),AO109=0),M109,0)</f>
        <v>0</v>
      </c>
      <c r="BS109" s="193">
        <f>IF(AND(Input_Product=Elig!$C109,Elig_MatchAll_Ct&lt;22,$BC109=(Elig_MatchAll_Ct-1),AQ109=0),N109,0)</f>
        <v>0</v>
      </c>
      <c r="BT109" s="193">
        <f>IF(AND(Input_Product=Elig!$C109,Elig_MatchAll_Ct&lt;22,$BC109=(Elig_MatchAll_Ct-1),AR109=0),O109,0)</f>
        <v>0</v>
      </c>
      <c r="BU109" s="193">
        <f>IF(AND(Input_Product=Elig!$C109,Elig_MatchAll_Ct&lt;22,$BC109=(Elig_MatchAll_Ct-1),AS109=0),P109,0)</f>
        <v>0</v>
      </c>
      <c r="BV109" s="194">
        <f>IF(AND(Input_Product=Elig!$C109,Elig_MatchAll_Ct&lt;22,$BC109=(Elig_MatchAll_Ct-1),AT109=0),Q109,0)</f>
        <v>0</v>
      </c>
      <c r="BW109" s="195">
        <f>IF(AND(Input_Product=Elig!$C109,Elig_MatchAll_Ct&lt;22,$BC109=(Elig_MatchAll_Ct-1),AU109=0),R109,0)</f>
        <v>0</v>
      </c>
      <c r="BX109" s="196">
        <f>IF(AND(Input_Product=Elig!$C109,Elig_MatchAll_Ct&lt;22,$BC109=(Elig_MatchAll_Ct-1),AU109=0),S109,0)</f>
        <v>0</v>
      </c>
      <c r="BY109" s="195">
        <f>IF(AND(Input_Product=Elig!$C109,Elig_MatchAll_Ct&lt;22,$BC109=(Elig_MatchAll_Ct-1),AV109=0),T109,0)</f>
        <v>0</v>
      </c>
      <c r="BZ109" s="196">
        <f>IF(AND(Input_Product=Elig!$C109,Elig_MatchAll_Ct&lt;22,$BC109=(Elig_MatchAll_Ct-1),AV109=0),U109,0)</f>
        <v>0</v>
      </c>
      <c r="CA109" s="195">
        <f>IF(AND(Input_Product=Elig!$C109,Elig_MatchAll_Ct&lt;22,$BC109=(Elig_MatchAll_Ct-1),AW109=0),V109,0)</f>
        <v>0</v>
      </c>
      <c r="CB109" s="196">
        <f>IF(AND(Input_Product=Elig!$C109,Elig_MatchAll_Ct&lt;22,$BC109=(Elig_MatchAll_Ct-1),AW109=0),W109,0)</f>
        <v>0</v>
      </c>
      <c r="CC109" s="195">
        <f>IF(AND(Input_Product=Elig!$C109,Elig_MatchAll_Ct&lt;22,$BC109=(Elig_MatchAll_Ct-1),AX109=0),X109,0)</f>
        <v>0</v>
      </c>
      <c r="CD109" s="196">
        <f>IF(AND(Input_Product=Elig!$C109,Elig_MatchAll_Ct&lt;22,$BC109=(Elig_MatchAll_Ct-1),AX109=0),Y109,0)</f>
        <v>0</v>
      </c>
      <c r="CE109" s="195">
        <f>IF(AND(Input_LTV&lt;=AE109,Input_Product=Elig!$C109,Elig_MatchAll_Ct&lt;22,$BC109=(Elig_MatchAll_Ct-1),AY109=0),Z109,0)</f>
        <v>0</v>
      </c>
      <c r="CF109" s="196">
        <f>IF(AND(Input_LTV&lt;=AE109,Input_Product=Elig!$C109,Elig_MatchAll_Ct&lt;22,$BC109=(Elig_MatchAll_Ct-1),AY109=0),AA109,0)</f>
        <v>0</v>
      </c>
      <c r="CG109" s="195">
        <f>IF(AND(Input_Product=Elig!$C109,Elig_MatchAll_Ct&lt;22,$BC109=(Elig_MatchAll_Ct-1),AZ109=0),AB109,0)</f>
        <v>0</v>
      </c>
      <c r="CH109" s="196">
        <f>IF(AND(Input_Product=Elig!$C109,Elig_MatchAll_Ct&lt;22,$BC109=(Elig_MatchAll_Ct-1),AZ109=0),AC109,0)</f>
        <v>0</v>
      </c>
      <c r="CI109" s="195">
        <f>IF(AND(Input_Product=Elig!$C109,Elig_MatchAll_Ct&lt;22,$BC109=(Elig_MatchAll_Ct-1),BA109=0),AD109,0)</f>
        <v>0</v>
      </c>
      <c r="CJ109" s="197">
        <f>IF(AND(Input_Product=Elig!$C109,Elig_MatchAll_Ct&lt;22,$BC109=(Elig_MatchAll_Ct-1),BA109=0),AE109,0)</f>
        <v>0</v>
      </c>
    </row>
    <row r="110" spans="2:88" ht="10.15" customHeight="1" x14ac:dyDescent="0.25">
      <c r="B110" s="1912" t="s">
        <v>3929</v>
      </c>
      <c r="C110" s="134" t="str">
        <f t="shared" si="35"/>
        <v>NonQM OO</v>
      </c>
      <c r="D110" s="135" t="s">
        <v>3885</v>
      </c>
      <c r="E110" s="135" t="s">
        <v>167</v>
      </c>
      <c r="F110" s="135" t="s">
        <v>331</v>
      </c>
      <c r="G110" s="135" t="s">
        <v>179</v>
      </c>
      <c r="H110" s="135" t="s">
        <v>136</v>
      </c>
      <c r="I110" s="136" t="s">
        <v>16</v>
      </c>
      <c r="J110" s="136" t="s">
        <v>1311</v>
      </c>
      <c r="K110" s="136" t="s">
        <v>1631</v>
      </c>
      <c r="L110" s="221" t="s">
        <v>3920</v>
      </c>
      <c r="M110" s="135" t="s">
        <v>4203</v>
      </c>
      <c r="N110" s="135" t="s">
        <v>82</v>
      </c>
      <c r="O110" s="135" t="s">
        <v>310</v>
      </c>
      <c r="P110" s="135" t="s">
        <v>291</v>
      </c>
      <c r="Q110" s="135" t="s">
        <v>294</v>
      </c>
      <c r="R110" s="135">
        <v>1000000.01</v>
      </c>
      <c r="S110" s="135">
        <v>1500000</v>
      </c>
      <c r="T110" s="135">
        <v>0</v>
      </c>
      <c r="U110" s="135">
        <f t="shared" si="39"/>
        <v>1500000</v>
      </c>
      <c r="V110" s="135">
        <v>0</v>
      </c>
      <c r="W110" s="135">
        <v>55</v>
      </c>
      <c r="X110" s="135">
        <v>0</v>
      </c>
      <c r="Y110" s="135">
        <v>999</v>
      </c>
      <c r="Z110" s="137">
        <v>700</v>
      </c>
      <c r="AA110" s="137">
        <v>719</v>
      </c>
      <c r="AB110" s="137">
        <v>6</v>
      </c>
      <c r="AC110" s="137">
        <v>999999</v>
      </c>
      <c r="AD110" s="135">
        <v>0</v>
      </c>
      <c r="AE110" s="221">
        <v>75</v>
      </c>
      <c r="AF110" s="170">
        <v>0</v>
      </c>
      <c r="AG110" s="171">
        <v>1</v>
      </c>
      <c r="AH110" s="171">
        <v>1</v>
      </c>
      <c r="AI110" s="171">
        <v>1</v>
      </c>
      <c r="AJ110" s="171">
        <v>0</v>
      </c>
      <c r="AK110" s="171">
        <v>1</v>
      </c>
      <c r="AL110" s="171">
        <v>1</v>
      </c>
      <c r="AM110" s="171">
        <v>1</v>
      </c>
      <c r="AN110" s="171">
        <v>1</v>
      </c>
      <c r="AO110" s="171">
        <v>1</v>
      </c>
      <c r="AP110" s="171">
        <v>1</v>
      </c>
      <c r="AQ110" s="171">
        <v>1</v>
      </c>
      <c r="AR110" s="171">
        <v>1</v>
      </c>
      <c r="AS110" s="171">
        <v>1</v>
      </c>
      <c r="AT110" s="171">
        <v>1</v>
      </c>
      <c r="AU110" s="171">
        <f t="shared" si="24"/>
        <v>0</v>
      </c>
      <c r="AV110" s="171">
        <f t="shared" si="25"/>
        <v>1</v>
      </c>
      <c r="AW110" s="171">
        <f t="shared" si="26"/>
        <v>1</v>
      </c>
      <c r="AX110" s="171">
        <f t="shared" si="37"/>
        <v>1</v>
      </c>
      <c r="AY110" s="171">
        <f t="shared" si="27"/>
        <v>0</v>
      </c>
      <c r="AZ110" s="171">
        <f t="shared" si="28"/>
        <v>1</v>
      </c>
      <c r="BA110" s="172">
        <f t="shared" si="29"/>
        <v>1</v>
      </c>
      <c r="BB110" s="175">
        <f t="shared" si="31"/>
        <v>18</v>
      </c>
      <c r="BC110" s="176">
        <f t="shared" si="32"/>
        <v>17</v>
      </c>
      <c r="BD110" s="176">
        <f t="shared" si="33"/>
        <v>18</v>
      </c>
      <c r="BE110" s="240" t="str">
        <f t="shared" si="30"/>
        <v/>
      </c>
      <c r="BH110" s="198">
        <f>IF(AND(Input_Product=Elig!$C110,Elig_MatchAll_Ct&lt;22,$BC110=(Elig_MatchAll_Ct-1),AF110=0),C110,0)</f>
        <v>0</v>
      </c>
      <c r="BI110" s="199">
        <f>IF(AND(Input_Product=Elig!$C110,Elig_MatchAll_Ct&lt;22,$BC110=(Elig_MatchAll_Ct-1),AG110=0),D110,0)</f>
        <v>0</v>
      </c>
      <c r="BJ110" s="199">
        <f>IF(AND(Input_Product=Elig!$C110,Elig_MatchAll_Ct&lt;22,$BC110=(Elig_MatchAll_Ct-1),AH110=0),E110,0)</f>
        <v>0</v>
      </c>
      <c r="BK110" s="199">
        <f>IF(AND(Input_Product=Elig!$C110,Elig_MatchAll_Ct&lt;22,$BC110=(Elig_MatchAll_Ct-1),AI110=0),F110,0)</f>
        <v>0</v>
      </c>
      <c r="BL110" s="199">
        <f>IF(AND(Input_Product=Elig!$C110,Elig_MatchAll_Ct&lt;22,$BC110=(Elig_MatchAll_Ct-1),AJ110=0),G110,0)</f>
        <v>0</v>
      </c>
      <c r="BM110" s="199">
        <f>IF(AND(Input_Product=Elig!$C110,Elig_MatchAll_Ct&lt;22,$BC110=(Elig_MatchAll_Ct-1),AK110=0),H110,0)</f>
        <v>0</v>
      </c>
      <c r="BN110" s="199">
        <f>IF(AND(Input_Product=Elig!$C110,Elig_MatchAll_Ct&lt;22,$BC110=(Elig_MatchAll_Ct-1),AL110=0),I110,0)</f>
        <v>0</v>
      </c>
      <c r="BO110" s="199">
        <f>IF(AND(Input_Product=Elig!$C110,Elig_MatchAll_Ct&lt;22,$BC110=(Elig_MatchAll_Ct-1),AM110=0),J110,0)</f>
        <v>0</v>
      </c>
      <c r="BP110" s="199">
        <f>IF(AND(Input_Product=Elig!$C110,Elig_MatchAll_Ct&lt;22,$BC110=(Elig_MatchAll_Ct-1),AN110=0),K110,0)</f>
        <v>0</v>
      </c>
      <c r="BQ110" s="199">
        <f>IF(AND(Input_Product=Elig!$C110,Elig_MatchAll_Ct&lt;22,$BC110=(Elig_MatchAll_Ct-1),AP110=0),L110,0)</f>
        <v>0</v>
      </c>
      <c r="BR110" s="199">
        <f>IF(AND(Input_Product=Elig!$C110,Elig_MatchAll_Ct&lt;22,$BC110=(Elig_MatchAll_Ct-1),AO110=0),M110,0)</f>
        <v>0</v>
      </c>
      <c r="BS110" s="199">
        <f>IF(AND(Input_Product=Elig!$C110,Elig_MatchAll_Ct&lt;22,$BC110=(Elig_MatchAll_Ct-1),AQ110=0),N110,0)</f>
        <v>0</v>
      </c>
      <c r="BT110" s="199">
        <f>IF(AND(Input_Product=Elig!$C110,Elig_MatchAll_Ct&lt;22,$BC110=(Elig_MatchAll_Ct-1),AR110=0),O110,0)</f>
        <v>0</v>
      </c>
      <c r="BU110" s="199">
        <f>IF(AND(Input_Product=Elig!$C110,Elig_MatchAll_Ct&lt;22,$BC110=(Elig_MatchAll_Ct-1),AS110=0),P110,0)</f>
        <v>0</v>
      </c>
      <c r="BV110" s="200">
        <f>IF(AND(Input_Product=Elig!$C110,Elig_MatchAll_Ct&lt;22,$BC110=(Elig_MatchAll_Ct-1),AT110=0),Q110,0)</f>
        <v>0</v>
      </c>
      <c r="BW110" s="201">
        <f>IF(AND(Input_Product=Elig!$C110,Elig_MatchAll_Ct&lt;22,$BC110=(Elig_MatchAll_Ct-1),AU110=0),R110,0)</f>
        <v>0</v>
      </c>
      <c r="BX110" s="202">
        <f>IF(AND(Input_Product=Elig!$C110,Elig_MatchAll_Ct&lt;22,$BC110=(Elig_MatchAll_Ct-1),AU110=0),S110,0)</f>
        <v>0</v>
      </c>
      <c r="BY110" s="201">
        <f>IF(AND(Input_Product=Elig!$C110,Elig_MatchAll_Ct&lt;22,$BC110=(Elig_MatchAll_Ct-1),AV110=0),T110,0)</f>
        <v>0</v>
      </c>
      <c r="BZ110" s="202">
        <f>IF(AND(Input_Product=Elig!$C110,Elig_MatchAll_Ct&lt;22,$BC110=(Elig_MatchAll_Ct-1),AV110=0),U110,0)</f>
        <v>0</v>
      </c>
      <c r="CA110" s="201">
        <f>IF(AND(Input_Product=Elig!$C110,Elig_MatchAll_Ct&lt;22,$BC110=(Elig_MatchAll_Ct-1),AW110=0),V110,0)</f>
        <v>0</v>
      </c>
      <c r="CB110" s="202">
        <f>IF(AND(Input_Product=Elig!$C110,Elig_MatchAll_Ct&lt;22,$BC110=(Elig_MatchAll_Ct-1),AW110=0),W110,0)</f>
        <v>0</v>
      </c>
      <c r="CC110" s="201">
        <f>IF(AND(Input_Product=Elig!$C110,Elig_MatchAll_Ct&lt;22,$BC110=(Elig_MatchAll_Ct-1),AX110=0),X110,0)</f>
        <v>0</v>
      </c>
      <c r="CD110" s="202">
        <f>IF(AND(Input_Product=Elig!$C110,Elig_MatchAll_Ct&lt;22,$BC110=(Elig_MatchAll_Ct-1),AX110=0),Y110,0)</f>
        <v>0</v>
      </c>
      <c r="CE110" s="201">
        <f>IF(AND(Input_LTV&lt;=AE110,Input_Product=Elig!$C110,Elig_MatchAll_Ct&lt;22,$BC110=(Elig_MatchAll_Ct-1),AY110=0),Z110,0)</f>
        <v>0</v>
      </c>
      <c r="CF110" s="202">
        <f>IF(AND(Input_LTV&lt;=AE110,Input_Product=Elig!$C110,Elig_MatchAll_Ct&lt;22,$BC110=(Elig_MatchAll_Ct-1),AY110=0),AA110,0)</f>
        <v>0</v>
      </c>
      <c r="CG110" s="201">
        <f>IF(AND(Input_Product=Elig!$C110,Elig_MatchAll_Ct&lt;22,$BC110=(Elig_MatchAll_Ct-1),AZ110=0),AB110,0)</f>
        <v>0</v>
      </c>
      <c r="CH110" s="202">
        <f>IF(AND(Input_Product=Elig!$C110,Elig_MatchAll_Ct&lt;22,$BC110=(Elig_MatchAll_Ct-1),AZ110=0),AC110,0)</f>
        <v>0</v>
      </c>
      <c r="CI110" s="201">
        <f>IF(AND(Input_Product=Elig!$C110,Elig_MatchAll_Ct&lt;22,$BC110=(Elig_MatchAll_Ct-1),BA110=0),AD110,0)</f>
        <v>0</v>
      </c>
      <c r="CJ110" s="203">
        <f>IF(AND(Input_Product=Elig!$C110,Elig_MatchAll_Ct&lt;22,$BC110=(Elig_MatchAll_Ct-1),BA110=0),AE110,0)</f>
        <v>0</v>
      </c>
    </row>
    <row r="111" spans="2:88" ht="10.15" customHeight="1" x14ac:dyDescent="0.25">
      <c r="B111" s="1912" t="s">
        <v>3930</v>
      </c>
      <c r="C111" s="134" t="str">
        <f t="shared" si="35"/>
        <v>NonQM OO</v>
      </c>
      <c r="D111" s="135" t="s">
        <v>3885</v>
      </c>
      <c r="E111" s="135" t="s">
        <v>167</v>
      </c>
      <c r="F111" s="135" t="s">
        <v>331</v>
      </c>
      <c r="G111" s="135" t="s">
        <v>179</v>
      </c>
      <c r="H111" s="135" t="s">
        <v>136</v>
      </c>
      <c r="I111" s="136" t="s">
        <v>16</v>
      </c>
      <c r="J111" s="136" t="s">
        <v>1311</v>
      </c>
      <c r="K111" s="136" t="s">
        <v>1631</v>
      </c>
      <c r="L111" s="221" t="s">
        <v>3920</v>
      </c>
      <c r="M111" s="135" t="s">
        <v>4203</v>
      </c>
      <c r="N111" s="135" t="s">
        <v>82</v>
      </c>
      <c r="O111" s="135" t="s">
        <v>310</v>
      </c>
      <c r="P111" s="135" t="s">
        <v>291</v>
      </c>
      <c r="Q111" s="135" t="s">
        <v>294</v>
      </c>
      <c r="R111" s="135">
        <v>1000000.01</v>
      </c>
      <c r="S111" s="135">
        <v>1500000</v>
      </c>
      <c r="T111" s="135">
        <v>0</v>
      </c>
      <c r="U111" s="135">
        <f t="shared" si="39"/>
        <v>1500000</v>
      </c>
      <c r="V111" s="135">
        <v>0</v>
      </c>
      <c r="W111" s="135">
        <v>55</v>
      </c>
      <c r="X111" s="135">
        <v>0</v>
      </c>
      <c r="Y111" s="135">
        <v>999</v>
      </c>
      <c r="Z111" s="137">
        <v>680</v>
      </c>
      <c r="AA111" s="137">
        <v>699</v>
      </c>
      <c r="AB111" s="137">
        <v>6</v>
      </c>
      <c r="AC111" s="137">
        <v>999999</v>
      </c>
      <c r="AD111" s="135">
        <v>0</v>
      </c>
      <c r="AE111" s="135">
        <v>70</v>
      </c>
      <c r="AF111" s="170">
        <v>0</v>
      </c>
      <c r="AG111" s="171">
        <v>1</v>
      </c>
      <c r="AH111" s="171">
        <v>1</v>
      </c>
      <c r="AI111" s="171">
        <v>1</v>
      </c>
      <c r="AJ111" s="171">
        <v>0</v>
      </c>
      <c r="AK111" s="171">
        <v>1</v>
      </c>
      <c r="AL111" s="171">
        <v>1</v>
      </c>
      <c r="AM111" s="171">
        <v>1</v>
      </c>
      <c r="AN111" s="171">
        <v>1</v>
      </c>
      <c r="AO111" s="171">
        <v>1</v>
      </c>
      <c r="AP111" s="171">
        <v>1</v>
      </c>
      <c r="AQ111" s="171">
        <v>1</v>
      </c>
      <c r="AR111" s="171">
        <v>1</v>
      </c>
      <c r="AS111" s="171">
        <v>1</v>
      </c>
      <c r="AT111" s="171">
        <v>1</v>
      </c>
      <c r="AU111" s="171">
        <f t="shared" si="24"/>
        <v>0</v>
      </c>
      <c r="AV111" s="171">
        <f t="shared" si="25"/>
        <v>1</v>
      </c>
      <c r="AW111" s="171">
        <f t="shared" si="26"/>
        <v>1</v>
      </c>
      <c r="AX111" s="171">
        <f t="shared" si="37"/>
        <v>1</v>
      </c>
      <c r="AY111" s="171">
        <f t="shared" si="27"/>
        <v>0</v>
      </c>
      <c r="AZ111" s="171">
        <f t="shared" si="28"/>
        <v>1</v>
      </c>
      <c r="BA111" s="172">
        <f t="shared" si="29"/>
        <v>1</v>
      </c>
      <c r="BB111" s="175">
        <f t="shared" si="31"/>
        <v>18</v>
      </c>
      <c r="BC111" s="176">
        <f t="shared" si="32"/>
        <v>17</v>
      </c>
      <c r="BD111" s="176">
        <f t="shared" si="33"/>
        <v>18</v>
      </c>
      <c r="BE111" s="240" t="str">
        <f t="shared" si="30"/>
        <v/>
      </c>
      <c r="BH111" s="198">
        <f>IF(AND(Input_Product=Elig!$C111,Elig_MatchAll_Ct&lt;22,$BC111=(Elig_MatchAll_Ct-1),AF111=0),C111,0)</f>
        <v>0</v>
      </c>
      <c r="BI111" s="199">
        <f>IF(AND(Input_Product=Elig!$C111,Elig_MatchAll_Ct&lt;22,$BC111=(Elig_MatchAll_Ct-1),AG111=0),D111,0)</f>
        <v>0</v>
      </c>
      <c r="BJ111" s="199">
        <f>IF(AND(Input_Product=Elig!$C111,Elig_MatchAll_Ct&lt;22,$BC111=(Elig_MatchAll_Ct-1),AH111=0),E111,0)</f>
        <v>0</v>
      </c>
      <c r="BK111" s="199">
        <f>IF(AND(Input_Product=Elig!$C111,Elig_MatchAll_Ct&lt;22,$BC111=(Elig_MatchAll_Ct-1),AI111=0),F111,0)</f>
        <v>0</v>
      </c>
      <c r="BL111" s="199">
        <f>IF(AND(Input_Product=Elig!$C111,Elig_MatchAll_Ct&lt;22,$BC111=(Elig_MatchAll_Ct-1),AJ111=0),G111,0)</f>
        <v>0</v>
      </c>
      <c r="BM111" s="199">
        <f>IF(AND(Input_Product=Elig!$C111,Elig_MatchAll_Ct&lt;22,$BC111=(Elig_MatchAll_Ct-1),AK111=0),H111,0)</f>
        <v>0</v>
      </c>
      <c r="BN111" s="199">
        <f>IF(AND(Input_Product=Elig!$C111,Elig_MatchAll_Ct&lt;22,$BC111=(Elig_MatchAll_Ct-1),AL111=0),I111,0)</f>
        <v>0</v>
      </c>
      <c r="BO111" s="199">
        <f>IF(AND(Input_Product=Elig!$C111,Elig_MatchAll_Ct&lt;22,$BC111=(Elig_MatchAll_Ct-1),AM111=0),J111,0)</f>
        <v>0</v>
      </c>
      <c r="BP111" s="199">
        <f>IF(AND(Input_Product=Elig!$C111,Elig_MatchAll_Ct&lt;22,$BC111=(Elig_MatchAll_Ct-1),AN111=0),K111,0)</f>
        <v>0</v>
      </c>
      <c r="BQ111" s="199">
        <f>IF(AND(Input_Product=Elig!$C111,Elig_MatchAll_Ct&lt;22,$BC111=(Elig_MatchAll_Ct-1),AP111=0),L111,0)</f>
        <v>0</v>
      </c>
      <c r="BR111" s="199">
        <f>IF(AND(Input_Product=Elig!$C111,Elig_MatchAll_Ct&lt;22,$BC111=(Elig_MatchAll_Ct-1),AO111=0),M111,0)</f>
        <v>0</v>
      </c>
      <c r="BS111" s="199">
        <f>IF(AND(Input_Product=Elig!$C111,Elig_MatchAll_Ct&lt;22,$BC111=(Elig_MatchAll_Ct-1),AQ111=0),N111,0)</f>
        <v>0</v>
      </c>
      <c r="BT111" s="199">
        <f>IF(AND(Input_Product=Elig!$C111,Elig_MatchAll_Ct&lt;22,$BC111=(Elig_MatchAll_Ct-1),AR111=0),O111,0)</f>
        <v>0</v>
      </c>
      <c r="BU111" s="199">
        <f>IF(AND(Input_Product=Elig!$C111,Elig_MatchAll_Ct&lt;22,$BC111=(Elig_MatchAll_Ct-1),AS111=0),P111,0)</f>
        <v>0</v>
      </c>
      <c r="BV111" s="200">
        <f>IF(AND(Input_Product=Elig!$C111,Elig_MatchAll_Ct&lt;22,$BC111=(Elig_MatchAll_Ct-1),AT111=0),Q111,0)</f>
        <v>0</v>
      </c>
      <c r="BW111" s="201">
        <f>IF(AND(Input_Product=Elig!$C111,Elig_MatchAll_Ct&lt;22,$BC111=(Elig_MatchAll_Ct-1),AU111=0),R111,0)</f>
        <v>0</v>
      </c>
      <c r="BX111" s="202">
        <f>IF(AND(Input_Product=Elig!$C111,Elig_MatchAll_Ct&lt;22,$BC111=(Elig_MatchAll_Ct-1),AU111=0),S111,0)</f>
        <v>0</v>
      </c>
      <c r="BY111" s="201">
        <f>IF(AND(Input_Product=Elig!$C111,Elig_MatchAll_Ct&lt;22,$BC111=(Elig_MatchAll_Ct-1),AV111=0),T111,0)</f>
        <v>0</v>
      </c>
      <c r="BZ111" s="202">
        <f>IF(AND(Input_Product=Elig!$C111,Elig_MatchAll_Ct&lt;22,$BC111=(Elig_MatchAll_Ct-1),AV111=0),U111,0)</f>
        <v>0</v>
      </c>
      <c r="CA111" s="201">
        <f>IF(AND(Input_Product=Elig!$C111,Elig_MatchAll_Ct&lt;22,$BC111=(Elig_MatchAll_Ct-1),AW111=0),V111,0)</f>
        <v>0</v>
      </c>
      <c r="CB111" s="202">
        <f>IF(AND(Input_Product=Elig!$C111,Elig_MatchAll_Ct&lt;22,$BC111=(Elig_MatchAll_Ct-1),AW111=0),W111,0)</f>
        <v>0</v>
      </c>
      <c r="CC111" s="201">
        <f>IF(AND(Input_Product=Elig!$C111,Elig_MatchAll_Ct&lt;22,$BC111=(Elig_MatchAll_Ct-1),AX111=0),X111,0)</f>
        <v>0</v>
      </c>
      <c r="CD111" s="202">
        <f>IF(AND(Input_Product=Elig!$C111,Elig_MatchAll_Ct&lt;22,$BC111=(Elig_MatchAll_Ct-1),AX111=0),Y111,0)</f>
        <v>0</v>
      </c>
      <c r="CE111" s="201">
        <f>IF(AND(Input_LTV&lt;=AE111,Input_Product=Elig!$C111,Elig_MatchAll_Ct&lt;22,$BC111=(Elig_MatchAll_Ct-1),AY111=0),Z111,0)</f>
        <v>0</v>
      </c>
      <c r="CF111" s="202">
        <f>IF(AND(Input_LTV&lt;=AE111,Input_Product=Elig!$C111,Elig_MatchAll_Ct&lt;22,$BC111=(Elig_MatchAll_Ct-1),AY111=0),AA111,0)</f>
        <v>0</v>
      </c>
      <c r="CG111" s="201">
        <f>IF(AND(Input_Product=Elig!$C111,Elig_MatchAll_Ct&lt;22,$BC111=(Elig_MatchAll_Ct-1),AZ111=0),AB111,0)</f>
        <v>0</v>
      </c>
      <c r="CH111" s="202">
        <f>IF(AND(Input_Product=Elig!$C111,Elig_MatchAll_Ct&lt;22,$BC111=(Elig_MatchAll_Ct-1),AZ111=0),AC111,0)</f>
        <v>0</v>
      </c>
      <c r="CI111" s="201">
        <f>IF(AND(Input_Product=Elig!$C111,Elig_MatchAll_Ct&lt;22,$BC111=(Elig_MatchAll_Ct-1),BA111=0),AD111,0)</f>
        <v>0</v>
      </c>
      <c r="CJ111" s="203">
        <f>IF(AND(Input_Product=Elig!$C111,Elig_MatchAll_Ct&lt;22,$BC111=(Elig_MatchAll_Ct-1),BA111=0),AE111,0)</f>
        <v>0</v>
      </c>
    </row>
    <row r="112" spans="2:88" ht="10.15" customHeight="1" x14ac:dyDescent="0.25">
      <c r="B112" s="1912" t="s">
        <v>3931</v>
      </c>
      <c r="C112" s="147" t="str">
        <f t="shared" si="35"/>
        <v>NonQM OO</v>
      </c>
      <c r="D112" s="148" t="s">
        <v>3885</v>
      </c>
      <c r="E112" s="148" t="s">
        <v>167</v>
      </c>
      <c r="F112" s="148" t="s">
        <v>331</v>
      </c>
      <c r="G112" s="135" t="s">
        <v>179</v>
      </c>
      <c r="H112" s="148" t="s">
        <v>136</v>
      </c>
      <c r="I112" s="149" t="s">
        <v>16</v>
      </c>
      <c r="J112" s="149" t="s">
        <v>1311</v>
      </c>
      <c r="K112" s="149" t="s">
        <v>1631</v>
      </c>
      <c r="L112" s="322" t="s">
        <v>3920</v>
      </c>
      <c r="M112" s="148" t="s">
        <v>4203</v>
      </c>
      <c r="N112" s="148" t="s">
        <v>82</v>
      </c>
      <c r="O112" s="148" t="s">
        <v>310</v>
      </c>
      <c r="P112" s="148" t="s">
        <v>291</v>
      </c>
      <c r="Q112" s="148" t="s">
        <v>294</v>
      </c>
      <c r="R112" s="148">
        <v>1000000.01</v>
      </c>
      <c r="S112" s="148">
        <v>1500000</v>
      </c>
      <c r="T112" s="148">
        <v>0</v>
      </c>
      <c r="U112" s="148">
        <f t="shared" si="39"/>
        <v>1500000</v>
      </c>
      <c r="V112" s="148">
        <v>0</v>
      </c>
      <c r="W112" s="148">
        <v>55</v>
      </c>
      <c r="X112" s="148">
        <v>0</v>
      </c>
      <c r="Y112" s="148">
        <v>999</v>
      </c>
      <c r="Z112" s="137">
        <v>660</v>
      </c>
      <c r="AA112" s="137">
        <v>679</v>
      </c>
      <c r="AB112" s="137">
        <v>6</v>
      </c>
      <c r="AC112" s="137">
        <v>999999</v>
      </c>
      <c r="AD112" s="135">
        <v>0</v>
      </c>
      <c r="AE112" s="135">
        <v>65</v>
      </c>
      <c r="AF112" s="170">
        <v>0</v>
      </c>
      <c r="AG112" s="171">
        <v>1</v>
      </c>
      <c r="AH112" s="171">
        <v>1</v>
      </c>
      <c r="AI112" s="171">
        <v>1</v>
      </c>
      <c r="AJ112" s="171">
        <v>0</v>
      </c>
      <c r="AK112" s="171">
        <v>1</v>
      </c>
      <c r="AL112" s="171">
        <v>1</v>
      </c>
      <c r="AM112" s="171">
        <v>1</v>
      </c>
      <c r="AN112" s="171">
        <v>1</v>
      </c>
      <c r="AO112" s="171">
        <v>1</v>
      </c>
      <c r="AP112" s="171">
        <v>1</v>
      </c>
      <c r="AQ112" s="171">
        <v>1</v>
      </c>
      <c r="AR112" s="171">
        <v>1</v>
      </c>
      <c r="AS112" s="171">
        <v>1</v>
      </c>
      <c r="AT112" s="171">
        <v>1</v>
      </c>
      <c r="AU112" s="171">
        <f t="shared" si="24"/>
        <v>0</v>
      </c>
      <c r="AV112" s="171">
        <f t="shared" si="25"/>
        <v>1</v>
      </c>
      <c r="AW112" s="171">
        <f t="shared" si="26"/>
        <v>1</v>
      </c>
      <c r="AX112" s="171">
        <f t="shared" si="37"/>
        <v>1</v>
      </c>
      <c r="AY112" s="171">
        <f t="shared" si="27"/>
        <v>0</v>
      </c>
      <c r="AZ112" s="171">
        <f t="shared" si="28"/>
        <v>1</v>
      </c>
      <c r="BA112" s="172">
        <f t="shared" si="29"/>
        <v>1</v>
      </c>
      <c r="BB112" s="175">
        <f t="shared" si="31"/>
        <v>18</v>
      </c>
      <c r="BC112" s="176">
        <f t="shared" si="32"/>
        <v>17</v>
      </c>
      <c r="BD112" s="176">
        <f t="shared" si="33"/>
        <v>18</v>
      </c>
      <c r="BE112" s="240" t="str">
        <f t="shared" si="30"/>
        <v/>
      </c>
      <c r="BH112" s="198">
        <f>IF(AND(Input_Product=Elig!$C112,Elig_MatchAll_Ct&lt;22,$BC112=(Elig_MatchAll_Ct-1),AF112=0),C112,0)</f>
        <v>0</v>
      </c>
      <c r="BI112" s="199">
        <f>IF(AND(Input_Product=Elig!$C112,Elig_MatchAll_Ct&lt;22,$BC112=(Elig_MatchAll_Ct-1),AG112=0),D112,0)</f>
        <v>0</v>
      </c>
      <c r="BJ112" s="199">
        <f>IF(AND(Input_Product=Elig!$C112,Elig_MatchAll_Ct&lt;22,$BC112=(Elig_MatchAll_Ct-1),AH112=0),E112,0)</f>
        <v>0</v>
      </c>
      <c r="BK112" s="199">
        <f>IF(AND(Input_Product=Elig!$C112,Elig_MatchAll_Ct&lt;22,$BC112=(Elig_MatchAll_Ct-1),AI112=0),F112,0)</f>
        <v>0</v>
      </c>
      <c r="BL112" s="199">
        <f>IF(AND(Input_Product=Elig!$C112,Elig_MatchAll_Ct&lt;22,$BC112=(Elig_MatchAll_Ct-1),AJ112=0),G112,0)</f>
        <v>0</v>
      </c>
      <c r="BM112" s="199">
        <f>IF(AND(Input_Product=Elig!$C112,Elig_MatchAll_Ct&lt;22,$BC112=(Elig_MatchAll_Ct-1),AK112=0),H112,0)</f>
        <v>0</v>
      </c>
      <c r="BN112" s="199">
        <f>IF(AND(Input_Product=Elig!$C112,Elig_MatchAll_Ct&lt;22,$BC112=(Elig_MatchAll_Ct-1),AL112=0),I112,0)</f>
        <v>0</v>
      </c>
      <c r="BO112" s="199">
        <f>IF(AND(Input_Product=Elig!$C112,Elig_MatchAll_Ct&lt;22,$BC112=(Elig_MatchAll_Ct-1),AM112=0),J112,0)</f>
        <v>0</v>
      </c>
      <c r="BP112" s="199">
        <f>IF(AND(Input_Product=Elig!$C112,Elig_MatchAll_Ct&lt;22,$BC112=(Elig_MatchAll_Ct-1),AN112=0),K112,0)</f>
        <v>0</v>
      </c>
      <c r="BQ112" s="199">
        <f>IF(AND(Input_Product=Elig!$C112,Elig_MatchAll_Ct&lt;22,$BC112=(Elig_MatchAll_Ct-1),AP112=0),L112,0)</f>
        <v>0</v>
      </c>
      <c r="BR112" s="199">
        <f>IF(AND(Input_Product=Elig!$C112,Elig_MatchAll_Ct&lt;22,$BC112=(Elig_MatchAll_Ct-1),AO112=0),M112,0)</f>
        <v>0</v>
      </c>
      <c r="BS112" s="199">
        <f>IF(AND(Input_Product=Elig!$C112,Elig_MatchAll_Ct&lt;22,$BC112=(Elig_MatchAll_Ct-1),AQ112=0),N112,0)</f>
        <v>0</v>
      </c>
      <c r="BT112" s="199">
        <f>IF(AND(Input_Product=Elig!$C112,Elig_MatchAll_Ct&lt;22,$BC112=(Elig_MatchAll_Ct-1),AR112=0),O112,0)</f>
        <v>0</v>
      </c>
      <c r="BU112" s="199">
        <f>IF(AND(Input_Product=Elig!$C112,Elig_MatchAll_Ct&lt;22,$BC112=(Elig_MatchAll_Ct-1),AS112=0),P112,0)</f>
        <v>0</v>
      </c>
      <c r="BV112" s="200">
        <f>IF(AND(Input_Product=Elig!$C112,Elig_MatchAll_Ct&lt;22,$BC112=(Elig_MatchAll_Ct-1),AT112=0),Q112,0)</f>
        <v>0</v>
      </c>
      <c r="BW112" s="201">
        <f>IF(AND(Input_Product=Elig!$C112,Elig_MatchAll_Ct&lt;22,$BC112=(Elig_MatchAll_Ct-1),AU112=0),R112,0)</f>
        <v>0</v>
      </c>
      <c r="BX112" s="202">
        <f>IF(AND(Input_Product=Elig!$C112,Elig_MatchAll_Ct&lt;22,$BC112=(Elig_MatchAll_Ct-1),AU112=0),S112,0)</f>
        <v>0</v>
      </c>
      <c r="BY112" s="201">
        <f>IF(AND(Input_Product=Elig!$C112,Elig_MatchAll_Ct&lt;22,$BC112=(Elig_MatchAll_Ct-1),AV112=0),T112,0)</f>
        <v>0</v>
      </c>
      <c r="BZ112" s="202">
        <f>IF(AND(Input_Product=Elig!$C112,Elig_MatchAll_Ct&lt;22,$BC112=(Elig_MatchAll_Ct-1),AV112=0),U112,0)</f>
        <v>0</v>
      </c>
      <c r="CA112" s="201">
        <f>IF(AND(Input_Product=Elig!$C112,Elig_MatchAll_Ct&lt;22,$BC112=(Elig_MatchAll_Ct-1),AW112=0),V112,0)</f>
        <v>0</v>
      </c>
      <c r="CB112" s="202">
        <f>IF(AND(Input_Product=Elig!$C112,Elig_MatchAll_Ct&lt;22,$BC112=(Elig_MatchAll_Ct-1),AW112=0),W112,0)</f>
        <v>0</v>
      </c>
      <c r="CC112" s="201">
        <f>IF(AND(Input_Product=Elig!$C112,Elig_MatchAll_Ct&lt;22,$BC112=(Elig_MatchAll_Ct-1),AX112=0),X112,0)</f>
        <v>0</v>
      </c>
      <c r="CD112" s="202">
        <f>IF(AND(Input_Product=Elig!$C112,Elig_MatchAll_Ct&lt;22,$BC112=(Elig_MatchAll_Ct-1),AX112=0),Y112,0)</f>
        <v>0</v>
      </c>
      <c r="CE112" s="201">
        <f>IF(AND(Input_LTV&lt;=AE112,Input_Product=Elig!$C112,Elig_MatchAll_Ct&lt;22,$BC112=(Elig_MatchAll_Ct-1),AY112=0),Z112,0)</f>
        <v>0</v>
      </c>
      <c r="CF112" s="202">
        <f>IF(AND(Input_LTV&lt;=AE112,Input_Product=Elig!$C112,Elig_MatchAll_Ct&lt;22,$BC112=(Elig_MatchAll_Ct-1),AY112=0),AA112,0)</f>
        <v>0</v>
      </c>
      <c r="CG112" s="201">
        <f>IF(AND(Input_Product=Elig!$C112,Elig_MatchAll_Ct&lt;22,$BC112=(Elig_MatchAll_Ct-1),AZ112=0),AB112,0)</f>
        <v>0</v>
      </c>
      <c r="CH112" s="202">
        <f>IF(AND(Input_Product=Elig!$C112,Elig_MatchAll_Ct&lt;22,$BC112=(Elig_MatchAll_Ct-1),AZ112=0),AC112,0)</f>
        <v>0</v>
      </c>
      <c r="CI112" s="201">
        <f>IF(AND(Input_Product=Elig!$C112,Elig_MatchAll_Ct&lt;22,$BC112=(Elig_MatchAll_Ct-1),BA112=0),AD112,0)</f>
        <v>0</v>
      </c>
      <c r="CJ112" s="203">
        <f>IF(AND(Input_Product=Elig!$C112,Elig_MatchAll_Ct&lt;22,$BC112=(Elig_MatchAll_Ct-1),BA112=0),AE112,0)</f>
        <v>0</v>
      </c>
    </row>
    <row r="113" spans="2:88" ht="10.15" customHeight="1" x14ac:dyDescent="0.25">
      <c r="B113" s="1912" t="s">
        <v>3932</v>
      </c>
      <c r="C113" s="147" t="str">
        <f t="shared" si="35"/>
        <v>NonQM OO</v>
      </c>
      <c r="D113" s="148" t="s">
        <v>3885</v>
      </c>
      <c r="E113" s="148" t="s">
        <v>167</v>
      </c>
      <c r="F113" s="148" t="s">
        <v>331</v>
      </c>
      <c r="G113" s="135" t="s">
        <v>179</v>
      </c>
      <c r="H113" s="148" t="s">
        <v>136</v>
      </c>
      <c r="I113" s="149" t="s">
        <v>16</v>
      </c>
      <c r="J113" s="149" t="s">
        <v>1311</v>
      </c>
      <c r="K113" s="149" t="s">
        <v>1631</v>
      </c>
      <c r="L113" s="322" t="s">
        <v>3920</v>
      </c>
      <c r="M113" s="148" t="s">
        <v>4203</v>
      </c>
      <c r="N113" s="148" t="s">
        <v>82</v>
      </c>
      <c r="O113" s="148" t="s">
        <v>310</v>
      </c>
      <c r="P113" s="148" t="s">
        <v>291</v>
      </c>
      <c r="Q113" s="148" t="s">
        <v>294</v>
      </c>
      <c r="R113" s="148">
        <v>1000000.01</v>
      </c>
      <c r="S113" s="148">
        <v>1500000</v>
      </c>
      <c r="T113" s="148">
        <v>0</v>
      </c>
      <c r="U113" s="148">
        <f t="shared" si="39"/>
        <v>1500000</v>
      </c>
      <c r="V113" s="148">
        <v>0</v>
      </c>
      <c r="W113" s="148">
        <v>55</v>
      </c>
      <c r="X113" s="148">
        <v>0</v>
      </c>
      <c r="Y113" s="148">
        <v>999</v>
      </c>
      <c r="Z113" s="137">
        <v>640</v>
      </c>
      <c r="AA113" s="137">
        <v>659</v>
      </c>
      <c r="AB113" s="137">
        <v>6</v>
      </c>
      <c r="AC113" s="137">
        <v>999999</v>
      </c>
      <c r="AD113" s="135">
        <v>0</v>
      </c>
      <c r="AE113" s="135">
        <v>-999</v>
      </c>
      <c r="AF113" s="170">
        <v>0</v>
      </c>
      <c r="AG113" s="171">
        <v>1</v>
      </c>
      <c r="AH113" s="171">
        <v>1</v>
      </c>
      <c r="AI113" s="171">
        <v>1</v>
      </c>
      <c r="AJ113" s="171">
        <v>0</v>
      </c>
      <c r="AK113" s="171">
        <v>1</v>
      </c>
      <c r="AL113" s="171">
        <v>1</v>
      </c>
      <c r="AM113" s="171">
        <v>1</v>
      </c>
      <c r="AN113" s="171">
        <v>1</v>
      </c>
      <c r="AO113" s="171">
        <v>1</v>
      </c>
      <c r="AP113" s="171">
        <v>1</v>
      </c>
      <c r="AQ113" s="171">
        <v>1</v>
      </c>
      <c r="AR113" s="171">
        <v>1</v>
      </c>
      <c r="AS113" s="171">
        <v>1</v>
      </c>
      <c r="AT113" s="171">
        <v>1</v>
      </c>
      <c r="AU113" s="171">
        <f t="shared" si="24"/>
        <v>0</v>
      </c>
      <c r="AV113" s="171">
        <f t="shared" si="25"/>
        <v>1</v>
      </c>
      <c r="AW113" s="171">
        <f t="shared" si="26"/>
        <v>1</v>
      </c>
      <c r="AX113" s="171">
        <f t="shared" si="37"/>
        <v>1</v>
      </c>
      <c r="AY113" s="171">
        <f t="shared" si="27"/>
        <v>0</v>
      </c>
      <c r="AZ113" s="171">
        <f t="shared" si="28"/>
        <v>1</v>
      </c>
      <c r="BA113" s="172">
        <f t="shared" si="29"/>
        <v>0</v>
      </c>
      <c r="BB113" s="175">
        <f t="shared" si="31"/>
        <v>17</v>
      </c>
      <c r="BC113" s="176">
        <f t="shared" si="32"/>
        <v>17</v>
      </c>
      <c r="BD113" s="176">
        <f t="shared" si="33"/>
        <v>17</v>
      </c>
      <c r="BE113" s="240" t="str">
        <f t="shared" si="30"/>
        <v/>
      </c>
      <c r="BH113" s="198">
        <f>IF(AND(Input_Product=Elig!$C113,Elig_MatchAll_Ct&lt;22,$BC113=(Elig_MatchAll_Ct-1),AF113=0),C113,0)</f>
        <v>0</v>
      </c>
      <c r="BI113" s="199">
        <f>IF(AND(Input_Product=Elig!$C113,Elig_MatchAll_Ct&lt;22,$BC113=(Elig_MatchAll_Ct-1),AG113=0),D113,0)</f>
        <v>0</v>
      </c>
      <c r="BJ113" s="199">
        <f>IF(AND(Input_Product=Elig!$C113,Elig_MatchAll_Ct&lt;22,$BC113=(Elig_MatchAll_Ct-1),AH113=0),E113,0)</f>
        <v>0</v>
      </c>
      <c r="BK113" s="199">
        <f>IF(AND(Input_Product=Elig!$C113,Elig_MatchAll_Ct&lt;22,$BC113=(Elig_MatchAll_Ct-1),AI113=0),F113,0)</f>
        <v>0</v>
      </c>
      <c r="BL113" s="199">
        <f>IF(AND(Input_Product=Elig!$C113,Elig_MatchAll_Ct&lt;22,$BC113=(Elig_MatchAll_Ct-1),AJ113=0),G113,0)</f>
        <v>0</v>
      </c>
      <c r="BM113" s="199">
        <f>IF(AND(Input_Product=Elig!$C113,Elig_MatchAll_Ct&lt;22,$BC113=(Elig_MatchAll_Ct-1),AK113=0),H113,0)</f>
        <v>0</v>
      </c>
      <c r="BN113" s="199">
        <f>IF(AND(Input_Product=Elig!$C113,Elig_MatchAll_Ct&lt;22,$BC113=(Elig_MatchAll_Ct-1),AL113=0),I113,0)</f>
        <v>0</v>
      </c>
      <c r="BO113" s="199">
        <f>IF(AND(Input_Product=Elig!$C113,Elig_MatchAll_Ct&lt;22,$BC113=(Elig_MatchAll_Ct-1),AM113=0),J113,0)</f>
        <v>0</v>
      </c>
      <c r="BP113" s="199">
        <f>IF(AND(Input_Product=Elig!$C113,Elig_MatchAll_Ct&lt;22,$BC113=(Elig_MatchAll_Ct-1),AN113=0),K113,0)</f>
        <v>0</v>
      </c>
      <c r="BQ113" s="199">
        <f>IF(AND(Input_Product=Elig!$C113,Elig_MatchAll_Ct&lt;22,$BC113=(Elig_MatchAll_Ct-1),AP113=0),L113,0)</f>
        <v>0</v>
      </c>
      <c r="BR113" s="199">
        <f>IF(AND(Input_Product=Elig!$C113,Elig_MatchAll_Ct&lt;22,$BC113=(Elig_MatchAll_Ct-1),AO113=0),M113,0)</f>
        <v>0</v>
      </c>
      <c r="BS113" s="199">
        <f>IF(AND(Input_Product=Elig!$C113,Elig_MatchAll_Ct&lt;22,$BC113=(Elig_MatchAll_Ct-1),AQ113=0),N113,0)</f>
        <v>0</v>
      </c>
      <c r="BT113" s="199">
        <f>IF(AND(Input_Product=Elig!$C113,Elig_MatchAll_Ct&lt;22,$BC113=(Elig_MatchAll_Ct-1),AR113=0),O113,0)</f>
        <v>0</v>
      </c>
      <c r="BU113" s="199">
        <f>IF(AND(Input_Product=Elig!$C113,Elig_MatchAll_Ct&lt;22,$BC113=(Elig_MatchAll_Ct-1),AS113=0),P113,0)</f>
        <v>0</v>
      </c>
      <c r="BV113" s="200">
        <f>IF(AND(Input_Product=Elig!$C113,Elig_MatchAll_Ct&lt;22,$BC113=(Elig_MatchAll_Ct-1),AT113=0),Q113,0)</f>
        <v>0</v>
      </c>
      <c r="BW113" s="201">
        <f>IF(AND(Input_Product=Elig!$C113,Elig_MatchAll_Ct&lt;22,$BC113=(Elig_MatchAll_Ct-1),AU113=0),R113,0)</f>
        <v>0</v>
      </c>
      <c r="BX113" s="202">
        <f>IF(AND(Input_Product=Elig!$C113,Elig_MatchAll_Ct&lt;22,$BC113=(Elig_MatchAll_Ct-1),AU113=0),S113,0)</f>
        <v>0</v>
      </c>
      <c r="BY113" s="201">
        <f>IF(AND(Input_Product=Elig!$C113,Elig_MatchAll_Ct&lt;22,$BC113=(Elig_MatchAll_Ct-1),AV113=0),T113,0)</f>
        <v>0</v>
      </c>
      <c r="BZ113" s="202">
        <f>IF(AND(Input_Product=Elig!$C113,Elig_MatchAll_Ct&lt;22,$BC113=(Elig_MatchAll_Ct-1),AV113=0),U113,0)</f>
        <v>0</v>
      </c>
      <c r="CA113" s="201">
        <f>IF(AND(Input_Product=Elig!$C113,Elig_MatchAll_Ct&lt;22,$BC113=(Elig_MatchAll_Ct-1),AW113=0),V113,0)</f>
        <v>0</v>
      </c>
      <c r="CB113" s="202">
        <f>IF(AND(Input_Product=Elig!$C113,Elig_MatchAll_Ct&lt;22,$BC113=(Elig_MatchAll_Ct-1),AW113=0),W113,0)</f>
        <v>0</v>
      </c>
      <c r="CC113" s="201">
        <f>IF(AND(Input_Product=Elig!$C113,Elig_MatchAll_Ct&lt;22,$BC113=(Elig_MatchAll_Ct-1),AX113=0),X113,0)</f>
        <v>0</v>
      </c>
      <c r="CD113" s="202">
        <f>IF(AND(Input_Product=Elig!$C113,Elig_MatchAll_Ct&lt;22,$BC113=(Elig_MatchAll_Ct-1),AX113=0),Y113,0)</f>
        <v>0</v>
      </c>
      <c r="CE113" s="201">
        <f>IF(AND(Input_LTV&lt;=AE113,Input_Product=Elig!$C113,Elig_MatchAll_Ct&lt;22,$BC113=(Elig_MatchAll_Ct-1),AY113=0),Z113,0)</f>
        <v>0</v>
      </c>
      <c r="CF113" s="202">
        <f>IF(AND(Input_LTV&lt;=AE113,Input_Product=Elig!$C113,Elig_MatchAll_Ct&lt;22,$BC113=(Elig_MatchAll_Ct-1),AY113=0),AA113,0)</f>
        <v>0</v>
      </c>
      <c r="CG113" s="201">
        <f>IF(AND(Input_Product=Elig!$C113,Elig_MatchAll_Ct&lt;22,$BC113=(Elig_MatchAll_Ct-1),AZ113=0),AB113,0)</f>
        <v>0</v>
      </c>
      <c r="CH113" s="202">
        <f>IF(AND(Input_Product=Elig!$C113,Elig_MatchAll_Ct&lt;22,$BC113=(Elig_MatchAll_Ct-1),AZ113=0),AC113,0)</f>
        <v>0</v>
      </c>
      <c r="CI113" s="201">
        <f>IF(AND(Input_Product=Elig!$C113,Elig_MatchAll_Ct&lt;22,$BC113=(Elig_MatchAll_Ct-1),BA113=0),AD113,0)</f>
        <v>0</v>
      </c>
      <c r="CJ113" s="203">
        <f>IF(AND(Input_Product=Elig!$C113,Elig_MatchAll_Ct&lt;22,$BC113=(Elig_MatchAll_Ct-1),BA113=0),AE113,0)</f>
        <v>0</v>
      </c>
    </row>
    <row r="114" spans="2:88" ht="10.15" customHeight="1" x14ac:dyDescent="0.25">
      <c r="B114" s="1912" t="s">
        <v>3933</v>
      </c>
      <c r="C114" s="147" t="str">
        <f t="shared" si="35"/>
        <v>NonQM OO</v>
      </c>
      <c r="D114" s="148" t="s">
        <v>3885</v>
      </c>
      <c r="E114" s="148" t="s">
        <v>167</v>
      </c>
      <c r="F114" s="148" t="s">
        <v>331</v>
      </c>
      <c r="G114" s="135" t="s">
        <v>179</v>
      </c>
      <c r="H114" s="148" t="s">
        <v>136</v>
      </c>
      <c r="I114" s="149" t="s">
        <v>16</v>
      </c>
      <c r="J114" s="149" t="s">
        <v>1311</v>
      </c>
      <c r="K114" s="149" t="s">
        <v>1631</v>
      </c>
      <c r="L114" s="322" t="s">
        <v>3920</v>
      </c>
      <c r="M114" s="148" t="s">
        <v>4203</v>
      </c>
      <c r="N114" s="148" t="s">
        <v>82</v>
      </c>
      <c r="O114" s="148" t="s">
        <v>310</v>
      </c>
      <c r="P114" s="148" t="s">
        <v>291</v>
      </c>
      <c r="Q114" s="148" t="s">
        <v>294</v>
      </c>
      <c r="R114" s="148">
        <v>1000000.01</v>
      </c>
      <c r="S114" s="148">
        <v>1500000</v>
      </c>
      <c r="T114" s="148">
        <v>0</v>
      </c>
      <c r="U114" s="148">
        <f t="shared" si="39"/>
        <v>1500000</v>
      </c>
      <c r="V114" s="148">
        <v>0</v>
      </c>
      <c r="W114" s="148">
        <v>55</v>
      </c>
      <c r="X114" s="148">
        <v>0</v>
      </c>
      <c r="Y114" s="148">
        <v>999</v>
      </c>
      <c r="Z114" s="140">
        <v>620</v>
      </c>
      <c r="AA114" s="140">
        <v>639</v>
      </c>
      <c r="AB114" s="140">
        <v>6</v>
      </c>
      <c r="AC114" s="140">
        <v>999999</v>
      </c>
      <c r="AD114" s="139">
        <v>0</v>
      </c>
      <c r="AE114" s="139">
        <v>-999</v>
      </c>
      <c r="AF114" s="170">
        <v>0</v>
      </c>
      <c r="AG114" s="171">
        <v>1</v>
      </c>
      <c r="AH114" s="171">
        <v>1</v>
      </c>
      <c r="AI114" s="171">
        <v>1</v>
      </c>
      <c r="AJ114" s="171">
        <v>0</v>
      </c>
      <c r="AK114" s="171">
        <v>1</v>
      </c>
      <c r="AL114" s="171">
        <v>1</v>
      </c>
      <c r="AM114" s="171">
        <v>1</v>
      </c>
      <c r="AN114" s="171">
        <v>1</v>
      </c>
      <c r="AO114" s="171">
        <v>1</v>
      </c>
      <c r="AP114" s="171">
        <v>1</v>
      </c>
      <c r="AQ114" s="171">
        <v>1</v>
      </c>
      <c r="AR114" s="171">
        <v>1</v>
      </c>
      <c r="AS114" s="171">
        <v>1</v>
      </c>
      <c r="AT114" s="171">
        <v>1</v>
      </c>
      <c r="AU114" s="171">
        <f t="shared" si="24"/>
        <v>0</v>
      </c>
      <c r="AV114" s="171">
        <f t="shared" si="25"/>
        <v>1</v>
      </c>
      <c r="AW114" s="171">
        <f t="shared" si="26"/>
        <v>1</v>
      </c>
      <c r="AX114" s="171">
        <f t="shared" si="37"/>
        <v>1</v>
      </c>
      <c r="AY114" s="171">
        <f t="shared" si="27"/>
        <v>0</v>
      </c>
      <c r="AZ114" s="171">
        <f t="shared" si="28"/>
        <v>1</v>
      </c>
      <c r="BA114" s="172">
        <f t="shared" si="29"/>
        <v>0</v>
      </c>
      <c r="BB114" s="175">
        <f t="shared" si="31"/>
        <v>17</v>
      </c>
      <c r="BC114" s="176">
        <f t="shared" si="32"/>
        <v>17</v>
      </c>
      <c r="BD114" s="176">
        <f t="shared" si="33"/>
        <v>17</v>
      </c>
      <c r="BE114" s="240" t="str">
        <f t="shared" si="30"/>
        <v/>
      </c>
      <c r="BH114" s="204">
        <f>IF(AND(Input_Product=Elig!$C114,Elig_MatchAll_Ct&lt;22,$BC114=(Elig_MatchAll_Ct-1),AF114=0),C114,0)</f>
        <v>0</v>
      </c>
      <c r="BI114" s="205">
        <f>IF(AND(Input_Product=Elig!$C114,Elig_MatchAll_Ct&lt;22,$BC114=(Elig_MatchAll_Ct-1),AG114=0),D114,0)</f>
        <v>0</v>
      </c>
      <c r="BJ114" s="205">
        <f>IF(AND(Input_Product=Elig!$C114,Elig_MatchAll_Ct&lt;22,$BC114=(Elig_MatchAll_Ct-1),AH114=0),E114,0)</f>
        <v>0</v>
      </c>
      <c r="BK114" s="205">
        <f>IF(AND(Input_Product=Elig!$C114,Elig_MatchAll_Ct&lt;22,$BC114=(Elig_MatchAll_Ct-1),AI114=0),F114,0)</f>
        <v>0</v>
      </c>
      <c r="BL114" s="205">
        <f>IF(AND(Input_Product=Elig!$C114,Elig_MatchAll_Ct&lt;22,$BC114=(Elig_MatchAll_Ct-1),AJ114=0),G114,0)</f>
        <v>0</v>
      </c>
      <c r="BM114" s="205">
        <f>IF(AND(Input_Product=Elig!$C114,Elig_MatchAll_Ct&lt;22,$BC114=(Elig_MatchAll_Ct-1),AK114=0),H114,0)</f>
        <v>0</v>
      </c>
      <c r="BN114" s="205">
        <f>IF(AND(Input_Product=Elig!$C114,Elig_MatchAll_Ct&lt;22,$BC114=(Elig_MatchAll_Ct-1),AL114=0),I114,0)</f>
        <v>0</v>
      </c>
      <c r="BO114" s="205">
        <f>IF(AND(Input_Product=Elig!$C114,Elig_MatchAll_Ct&lt;22,$BC114=(Elig_MatchAll_Ct-1),AM114=0),J114,0)</f>
        <v>0</v>
      </c>
      <c r="BP114" s="205">
        <f>IF(AND(Input_Product=Elig!$C114,Elig_MatchAll_Ct&lt;22,$BC114=(Elig_MatchAll_Ct-1),AN114=0),K114,0)</f>
        <v>0</v>
      </c>
      <c r="BQ114" s="205">
        <f>IF(AND(Input_Product=Elig!$C114,Elig_MatchAll_Ct&lt;22,$BC114=(Elig_MatchAll_Ct-1),AP114=0),L114,0)</f>
        <v>0</v>
      </c>
      <c r="BR114" s="205">
        <f>IF(AND(Input_Product=Elig!$C114,Elig_MatchAll_Ct&lt;22,$BC114=(Elig_MatchAll_Ct-1),AO114=0),M114,0)</f>
        <v>0</v>
      </c>
      <c r="BS114" s="205">
        <f>IF(AND(Input_Product=Elig!$C114,Elig_MatchAll_Ct&lt;22,$BC114=(Elig_MatchAll_Ct-1),AQ114=0),N114,0)</f>
        <v>0</v>
      </c>
      <c r="BT114" s="205">
        <f>IF(AND(Input_Product=Elig!$C114,Elig_MatchAll_Ct&lt;22,$BC114=(Elig_MatchAll_Ct-1),AR114=0),O114,0)</f>
        <v>0</v>
      </c>
      <c r="BU114" s="205">
        <f>IF(AND(Input_Product=Elig!$C114,Elig_MatchAll_Ct&lt;22,$BC114=(Elig_MatchAll_Ct-1),AS114=0),P114,0)</f>
        <v>0</v>
      </c>
      <c r="BV114" s="206">
        <f>IF(AND(Input_Product=Elig!$C114,Elig_MatchAll_Ct&lt;22,$BC114=(Elig_MatchAll_Ct-1),AT114=0),Q114,0)</f>
        <v>0</v>
      </c>
      <c r="BW114" s="207">
        <f>IF(AND(Input_Product=Elig!$C114,Elig_MatchAll_Ct&lt;22,$BC114=(Elig_MatchAll_Ct-1),AU114=0),R114,0)</f>
        <v>0</v>
      </c>
      <c r="BX114" s="208">
        <f>IF(AND(Input_Product=Elig!$C114,Elig_MatchAll_Ct&lt;22,$BC114=(Elig_MatchAll_Ct-1),AU114=0),S114,0)</f>
        <v>0</v>
      </c>
      <c r="BY114" s="207">
        <f>IF(AND(Input_Product=Elig!$C114,Elig_MatchAll_Ct&lt;22,$BC114=(Elig_MatchAll_Ct-1),AV114=0),T114,0)</f>
        <v>0</v>
      </c>
      <c r="BZ114" s="208">
        <f>IF(AND(Input_Product=Elig!$C114,Elig_MatchAll_Ct&lt;22,$BC114=(Elig_MatchAll_Ct-1),AV114=0),U114,0)</f>
        <v>0</v>
      </c>
      <c r="CA114" s="207">
        <f>IF(AND(Input_Product=Elig!$C114,Elig_MatchAll_Ct&lt;22,$BC114=(Elig_MatchAll_Ct-1),AW114=0),V114,0)</f>
        <v>0</v>
      </c>
      <c r="CB114" s="208">
        <f>IF(AND(Input_Product=Elig!$C114,Elig_MatchAll_Ct&lt;22,$BC114=(Elig_MatchAll_Ct-1),AW114=0),W114,0)</f>
        <v>0</v>
      </c>
      <c r="CC114" s="207">
        <f>IF(AND(Input_Product=Elig!$C114,Elig_MatchAll_Ct&lt;22,$BC114=(Elig_MatchAll_Ct-1),AX114=0),X114,0)</f>
        <v>0</v>
      </c>
      <c r="CD114" s="208">
        <f>IF(AND(Input_Product=Elig!$C114,Elig_MatchAll_Ct&lt;22,$BC114=(Elig_MatchAll_Ct-1),AX114=0),Y114,0)</f>
        <v>0</v>
      </c>
      <c r="CE114" s="207">
        <f>IF(AND(Input_LTV&lt;=AE114,Input_Product=Elig!$C114,Elig_MatchAll_Ct&lt;22,$BC114=(Elig_MatchAll_Ct-1),AY114=0),Z114,0)</f>
        <v>0</v>
      </c>
      <c r="CF114" s="208">
        <f>IF(AND(Input_LTV&lt;=AE114,Input_Product=Elig!$C114,Elig_MatchAll_Ct&lt;22,$BC114=(Elig_MatchAll_Ct-1),AY114=0),AA114,0)</f>
        <v>0</v>
      </c>
      <c r="CG114" s="207">
        <f>IF(AND(Input_Product=Elig!$C114,Elig_MatchAll_Ct&lt;22,$BC114=(Elig_MatchAll_Ct-1),AZ114=0),AB114,0)</f>
        <v>0</v>
      </c>
      <c r="CH114" s="208">
        <f>IF(AND(Input_Product=Elig!$C114,Elig_MatchAll_Ct&lt;22,$BC114=(Elig_MatchAll_Ct-1),AZ114=0),AC114,0)</f>
        <v>0</v>
      </c>
      <c r="CI114" s="207">
        <f>IF(AND(Input_Product=Elig!$C114,Elig_MatchAll_Ct&lt;22,$BC114=(Elig_MatchAll_Ct-1),BA114=0),AD114,0)</f>
        <v>0</v>
      </c>
      <c r="CJ114" s="209">
        <f>IF(AND(Input_Product=Elig!$C114,Elig_MatchAll_Ct&lt;22,$BC114=(Elig_MatchAll_Ct-1),BA114=0),AE114,0)</f>
        <v>0</v>
      </c>
    </row>
    <row r="115" spans="2:88" ht="10.15" customHeight="1" x14ac:dyDescent="0.25">
      <c r="B115" s="1912" t="s">
        <v>863</v>
      </c>
      <c r="C115" s="141" t="str">
        <f t="shared" si="35"/>
        <v>NonQM OO</v>
      </c>
      <c r="D115" s="142" t="s">
        <v>3885</v>
      </c>
      <c r="E115" s="143" t="s">
        <v>167</v>
      </c>
      <c r="F115" s="143" t="s">
        <v>331</v>
      </c>
      <c r="G115" s="143" t="s">
        <v>473</v>
      </c>
      <c r="H115" s="143" t="s">
        <v>136</v>
      </c>
      <c r="I115" s="142" t="s">
        <v>274</v>
      </c>
      <c r="J115" s="142" t="s">
        <v>1311</v>
      </c>
      <c r="K115" s="142" t="s">
        <v>1631</v>
      </c>
      <c r="L115" s="2131" t="s">
        <v>3920</v>
      </c>
      <c r="M115" s="143" t="s">
        <v>4203</v>
      </c>
      <c r="N115" s="143" t="s">
        <v>82</v>
      </c>
      <c r="O115" s="143" t="s">
        <v>310</v>
      </c>
      <c r="P115" s="143" t="s">
        <v>291</v>
      </c>
      <c r="Q115" s="143" t="s">
        <v>294</v>
      </c>
      <c r="R115" s="142">
        <v>1000000.01</v>
      </c>
      <c r="S115" s="142">
        <v>1500000</v>
      </c>
      <c r="T115" s="142">
        <v>0</v>
      </c>
      <c r="U115" s="142">
        <v>0</v>
      </c>
      <c r="V115" s="142">
        <v>0</v>
      </c>
      <c r="W115" s="142">
        <v>55</v>
      </c>
      <c r="X115" s="142">
        <v>0</v>
      </c>
      <c r="Y115" s="142">
        <v>999</v>
      </c>
      <c r="Z115" s="144">
        <v>720</v>
      </c>
      <c r="AA115" s="144">
        <v>999</v>
      </c>
      <c r="AB115" s="144">
        <v>6</v>
      </c>
      <c r="AC115" s="144">
        <v>999999</v>
      </c>
      <c r="AD115" s="142">
        <v>0</v>
      </c>
      <c r="AE115" s="142">
        <v>80</v>
      </c>
      <c r="AF115" s="170">
        <v>0</v>
      </c>
      <c r="AG115" s="171">
        <v>1</v>
      </c>
      <c r="AH115" s="171">
        <v>1</v>
      </c>
      <c r="AI115" s="171">
        <v>1</v>
      </c>
      <c r="AJ115" s="171">
        <v>0</v>
      </c>
      <c r="AK115" s="171">
        <v>1</v>
      </c>
      <c r="AL115" s="171">
        <v>0</v>
      </c>
      <c r="AM115" s="171">
        <v>1</v>
      </c>
      <c r="AN115" s="171">
        <v>1</v>
      </c>
      <c r="AO115" s="171">
        <v>1</v>
      </c>
      <c r="AP115" s="171">
        <v>1</v>
      </c>
      <c r="AQ115" s="171">
        <v>1</v>
      </c>
      <c r="AR115" s="171">
        <v>1</v>
      </c>
      <c r="AS115" s="171">
        <v>1</v>
      </c>
      <c r="AT115" s="171">
        <v>1</v>
      </c>
      <c r="AU115" s="171">
        <f t="shared" si="24"/>
        <v>0</v>
      </c>
      <c r="AV115" s="171">
        <f t="shared" si="25"/>
        <v>0</v>
      </c>
      <c r="AW115" s="171">
        <f t="shared" si="26"/>
        <v>1</v>
      </c>
      <c r="AX115" s="171">
        <f t="shared" si="37"/>
        <v>1</v>
      </c>
      <c r="AY115" s="171">
        <f t="shared" si="27"/>
        <v>1</v>
      </c>
      <c r="AZ115" s="171">
        <f t="shared" si="28"/>
        <v>1</v>
      </c>
      <c r="BA115" s="172">
        <f t="shared" si="29"/>
        <v>1</v>
      </c>
      <c r="BB115" s="175">
        <f t="shared" si="31"/>
        <v>17</v>
      </c>
      <c r="BC115" s="176">
        <f t="shared" si="32"/>
        <v>16</v>
      </c>
      <c r="BD115" s="176">
        <f t="shared" si="33"/>
        <v>17</v>
      </c>
      <c r="BE115" s="240" t="str">
        <f t="shared" si="30"/>
        <v/>
      </c>
      <c r="BH115" s="192">
        <f>IF(AND(Input_Product=Elig!$C115,Elig_MatchAll_Ct&lt;22,$BC115=(Elig_MatchAll_Ct-1),AF115=0),C115,0)</f>
        <v>0</v>
      </c>
      <c r="BI115" s="193">
        <f>IF(AND(Input_Product=Elig!$C115,Elig_MatchAll_Ct&lt;22,$BC115=(Elig_MatchAll_Ct-1),AG115=0),D115,0)</f>
        <v>0</v>
      </c>
      <c r="BJ115" s="193">
        <f>IF(AND(Input_Product=Elig!$C115,Elig_MatchAll_Ct&lt;22,$BC115=(Elig_MatchAll_Ct-1),AH115=0),E115,0)</f>
        <v>0</v>
      </c>
      <c r="BK115" s="193">
        <f>IF(AND(Input_Product=Elig!$C115,Elig_MatchAll_Ct&lt;22,$BC115=(Elig_MatchAll_Ct-1),AI115=0),F115,0)</f>
        <v>0</v>
      </c>
      <c r="BL115" s="193">
        <f>IF(AND(Input_Product=Elig!$C115,Elig_MatchAll_Ct&lt;22,$BC115=(Elig_MatchAll_Ct-1),AJ115=0),G115,0)</f>
        <v>0</v>
      </c>
      <c r="BM115" s="193">
        <f>IF(AND(Input_Product=Elig!$C115,Elig_MatchAll_Ct&lt;22,$BC115=(Elig_MatchAll_Ct-1),AK115=0),H115,0)</f>
        <v>0</v>
      </c>
      <c r="BN115" s="193">
        <f>IF(AND(Input_Product=Elig!$C115,Elig_MatchAll_Ct&lt;22,$BC115=(Elig_MatchAll_Ct-1),AL115=0),I115,0)</f>
        <v>0</v>
      </c>
      <c r="BO115" s="193">
        <f>IF(AND(Input_Product=Elig!$C115,Elig_MatchAll_Ct&lt;22,$BC115=(Elig_MatchAll_Ct-1),AM115=0),J115,0)</f>
        <v>0</v>
      </c>
      <c r="BP115" s="193">
        <f>IF(AND(Input_Product=Elig!$C115,Elig_MatchAll_Ct&lt;22,$BC115=(Elig_MatchAll_Ct-1),AN115=0),K115,0)</f>
        <v>0</v>
      </c>
      <c r="BQ115" s="193">
        <f>IF(AND(Input_Product=Elig!$C115,Elig_MatchAll_Ct&lt;22,$BC115=(Elig_MatchAll_Ct-1),AP115=0),L115,0)</f>
        <v>0</v>
      </c>
      <c r="BR115" s="193">
        <f>IF(AND(Input_Product=Elig!$C115,Elig_MatchAll_Ct&lt;22,$BC115=(Elig_MatchAll_Ct-1),AO115=0),M115,0)</f>
        <v>0</v>
      </c>
      <c r="BS115" s="193">
        <f>IF(AND(Input_Product=Elig!$C115,Elig_MatchAll_Ct&lt;22,$BC115=(Elig_MatchAll_Ct-1),AQ115=0),N115,0)</f>
        <v>0</v>
      </c>
      <c r="BT115" s="193">
        <f>IF(AND(Input_Product=Elig!$C115,Elig_MatchAll_Ct&lt;22,$BC115=(Elig_MatchAll_Ct-1),AR115=0),O115,0)</f>
        <v>0</v>
      </c>
      <c r="BU115" s="193">
        <f>IF(AND(Input_Product=Elig!$C115,Elig_MatchAll_Ct&lt;22,$BC115=(Elig_MatchAll_Ct-1),AS115=0),P115,0)</f>
        <v>0</v>
      </c>
      <c r="BV115" s="194">
        <f>IF(AND(Input_Product=Elig!$C115,Elig_MatchAll_Ct&lt;22,$BC115=(Elig_MatchAll_Ct-1),AT115=0),Q115,0)</f>
        <v>0</v>
      </c>
      <c r="BW115" s="195">
        <f>IF(AND(Input_Product=Elig!$C115,Elig_MatchAll_Ct&lt;22,$BC115=(Elig_MatchAll_Ct-1),AU115=0),R115,0)</f>
        <v>0</v>
      </c>
      <c r="BX115" s="196">
        <f>IF(AND(Input_Product=Elig!$C115,Elig_MatchAll_Ct&lt;22,$BC115=(Elig_MatchAll_Ct-1),AU115=0),S115,0)</f>
        <v>0</v>
      </c>
      <c r="BY115" s="195">
        <f>IF(AND(Input_Product=Elig!$C115,Elig_MatchAll_Ct&lt;22,$BC115=(Elig_MatchAll_Ct-1),AV115=0),T115,0)</f>
        <v>0</v>
      </c>
      <c r="BZ115" s="196">
        <f>IF(AND(Input_Product=Elig!$C115,Elig_MatchAll_Ct&lt;22,$BC115=(Elig_MatchAll_Ct-1),AV115=0),U115,0)</f>
        <v>0</v>
      </c>
      <c r="CA115" s="195">
        <f>IF(AND(Input_Product=Elig!$C115,Elig_MatchAll_Ct&lt;22,$BC115=(Elig_MatchAll_Ct-1),AW115=0),V115,0)</f>
        <v>0</v>
      </c>
      <c r="CB115" s="196">
        <f>IF(AND(Input_Product=Elig!$C115,Elig_MatchAll_Ct&lt;22,$BC115=(Elig_MatchAll_Ct-1),AW115=0),W115,0)</f>
        <v>0</v>
      </c>
      <c r="CC115" s="195">
        <f>IF(AND(Input_Product=Elig!$C115,Elig_MatchAll_Ct&lt;22,$BC115=(Elig_MatchAll_Ct-1),AX115=0),X115,0)</f>
        <v>0</v>
      </c>
      <c r="CD115" s="196">
        <f>IF(AND(Input_Product=Elig!$C115,Elig_MatchAll_Ct&lt;22,$BC115=(Elig_MatchAll_Ct-1),AX115=0),Y115,0)</f>
        <v>0</v>
      </c>
      <c r="CE115" s="195">
        <f>IF(AND(Input_LTV&lt;=AE115,Input_Product=Elig!$C115,Elig_MatchAll_Ct&lt;22,$BC115=(Elig_MatchAll_Ct-1),AY115=0),Z115,0)</f>
        <v>0</v>
      </c>
      <c r="CF115" s="196">
        <f>IF(AND(Input_LTV&lt;=AE115,Input_Product=Elig!$C115,Elig_MatchAll_Ct&lt;22,$BC115=(Elig_MatchAll_Ct-1),AY115=0),AA115,0)</f>
        <v>0</v>
      </c>
      <c r="CG115" s="195">
        <f>IF(AND(Input_Product=Elig!$C115,Elig_MatchAll_Ct&lt;22,$BC115=(Elig_MatchAll_Ct-1),AZ115=0),AB115,0)</f>
        <v>0</v>
      </c>
      <c r="CH115" s="196">
        <f>IF(AND(Input_Product=Elig!$C115,Elig_MatchAll_Ct&lt;22,$BC115=(Elig_MatchAll_Ct-1),AZ115=0),AC115,0)</f>
        <v>0</v>
      </c>
      <c r="CI115" s="195">
        <f>IF(AND(Input_Product=Elig!$C115,Elig_MatchAll_Ct&lt;22,$BC115=(Elig_MatchAll_Ct-1),BA115=0),AD115,0)</f>
        <v>0</v>
      </c>
      <c r="CJ115" s="197">
        <f>IF(AND(Input_Product=Elig!$C115,Elig_MatchAll_Ct&lt;22,$BC115=(Elig_MatchAll_Ct-1),BA115=0),AE115,0)</f>
        <v>0</v>
      </c>
    </row>
    <row r="116" spans="2:88" ht="10.15" customHeight="1" x14ac:dyDescent="0.25">
      <c r="B116" s="1912" t="s">
        <v>864</v>
      </c>
      <c r="C116" s="134" t="str">
        <f t="shared" si="35"/>
        <v>NonQM OO</v>
      </c>
      <c r="D116" s="135" t="s">
        <v>3885</v>
      </c>
      <c r="E116" s="135" t="s">
        <v>167</v>
      </c>
      <c r="F116" s="135" t="s">
        <v>331</v>
      </c>
      <c r="G116" s="135" t="s">
        <v>473</v>
      </c>
      <c r="H116" s="135" t="s">
        <v>136</v>
      </c>
      <c r="I116" s="136" t="s">
        <v>274</v>
      </c>
      <c r="J116" s="136" t="s">
        <v>1311</v>
      </c>
      <c r="K116" s="136" t="s">
        <v>1631</v>
      </c>
      <c r="L116" s="221" t="s">
        <v>3920</v>
      </c>
      <c r="M116" s="135" t="s">
        <v>4203</v>
      </c>
      <c r="N116" s="135" t="s">
        <v>82</v>
      </c>
      <c r="O116" s="135" t="s">
        <v>310</v>
      </c>
      <c r="P116" s="135" t="s">
        <v>291</v>
      </c>
      <c r="Q116" s="135" t="s">
        <v>294</v>
      </c>
      <c r="R116" s="135">
        <v>1000000.01</v>
      </c>
      <c r="S116" s="135">
        <v>1500000</v>
      </c>
      <c r="T116" s="135">
        <v>0</v>
      </c>
      <c r="U116" s="135">
        <v>0</v>
      </c>
      <c r="V116" s="135">
        <v>0</v>
      </c>
      <c r="W116" s="135">
        <v>55</v>
      </c>
      <c r="X116" s="135">
        <v>0</v>
      </c>
      <c r="Y116" s="135">
        <v>999</v>
      </c>
      <c r="Z116" s="137">
        <v>700</v>
      </c>
      <c r="AA116" s="137">
        <v>719</v>
      </c>
      <c r="AB116" s="137">
        <v>6</v>
      </c>
      <c r="AC116" s="137">
        <v>999999</v>
      </c>
      <c r="AD116" s="135">
        <v>0</v>
      </c>
      <c r="AE116" s="135">
        <v>80</v>
      </c>
      <c r="AF116" s="170">
        <v>0</v>
      </c>
      <c r="AG116" s="171">
        <v>1</v>
      </c>
      <c r="AH116" s="171">
        <v>1</v>
      </c>
      <c r="AI116" s="171">
        <v>1</v>
      </c>
      <c r="AJ116" s="171">
        <v>0</v>
      </c>
      <c r="AK116" s="171">
        <v>1</v>
      </c>
      <c r="AL116" s="171">
        <v>0</v>
      </c>
      <c r="AM116" s="171">
        <v>1</v>
      </c>
      <c r="AN116" s="171">
        <v>1</v>
      </c>
      <c r="AO116" s="171">
        <v>1</v>
      </c>
      <c r="AP116" s="171">
        <v>1</v>
      </c>
      <c r="AQ116" s="171">
        <v>1</v>
      </c>
      <c r="AR116" s="171">
        <v>1</v>
      </c>
      <c r="AS116" s="171">
        <v>1</v>
      </c>
      <c r="AT116" s="171">
        <v>1</v>
      </c>
      <c r="AU116" s="171">
        <f t="shared" si="24"/>
        <v>0</v>
      </c>
      <c r="AV116" s="171">
        <f t="shared" si="25"/>
        <v>0</v>
      </c>
      <c r="AW116" s="171">
        <f t="shared" si="26"/>
        <v>1</v>
      </c>
      <c r="AX116" s="171">
        <f t="shared" si="37"/>
        <v>1</v>
      </c>
      <c r="AY116" s="171">
        <f t="shared" si="27"/>
        <v>0</v>
      </c>
      <c r="AZ116" s="171">
        <f t="shared" si="28"/>
        <v>1</v>
      </c>
      <c r="BA116" s="172">
        <f t="shared" si="29"/>
        <v>1</v>
      </c>
      <c r="BB116" s="175">
        <f t="shared" si="31"/>
        <v>16</v>
      </c>
      <c r="BC116" s="176">
        <f t="shared" si="32"/>
        <v>15</v>
      </c>
      <c r="BD116" s="176">
        <f t="shared" si="33"/>
        <v>16</v>
      </c>
      <c r="BE116" s="240" t="str">
        <f t="shared" si="30"/>
        <v/>
      </c>
      <c r="BH116" s="198">
        <f>IF(AND(Input_Product=Elig!$C116,Elig_MatchAll_Ct&lt;22,$BC116=(Elig_MatchAll_Ct-1),AF116=0),C116,0)</f>
        <v>0</v>
      </c>
      <c r="BI116" s="199">
        <f>IF(AND(Input_Product=Elig!$C116,Elig_MatchAll_Ct&lt;22,$BC116=(Elig_MatchAll_Ct-1),AG116=0),D116,0)</f>
        <v>0</v>
      </c>
      <c r="BJ116" s="199">
        <f>IF(AND(Input_Product=Elig!$C116,Elig_MatchAll_Ct&lt;22,$BC116=(Elig_MatchAll_Ct-1),AH116=0),E116,0)</f>
        <v>0</v>
      </c>
      <c r="BK116" s="199">
        <f>IF(AND(Input_Product=Elig!$C116,Elig_MatchAll_Ct&lt;22,$BC116=(Elig_MatchAll_Ct-1),AI116=0),F116,0)</f>
        <v>0</v>
      </c>
      <c r="BL116" s="199">
        <f>IF(AND(Input_Product=Elig!$C116,Elig_MatchAll_Ct&lt;22,$BC116=(Elig_MatchAll_Ct-1),AJ116=0),G116,0)</f>
        <v>0</v>
      </c>
      <c r="BM116" s="199">
        <f>IF(AND(Input_Product=Elig!$C116,Elig_MatchAll_Ct&lt;22,$BC116=(Elig_MatchAll_Ct-1),AK116=0),H116,0)</f>
        <v>0</v>
      </c>
      <c r="BN116" s="199">
        <f>IF(AND(Input_Product=Elig!$C116,Elig_MatchAll_Ct&lt;22,$BC116=(Elig_MatchAll_Ct-1),AL116=0),I116,0)</f>
        <v>0</v>
      </c>
      <c r="BO116" s="199">
        <f>IF(AND(Input_Product=Elig!$C116,Elig_MatchAll_Ct&lt;22,$BC116=(Elig_MatchAll_Ct-1),AM116=0),J116,0)</f>
        <v>0</v>
      </c>
      <c r="BP116" s="199">
        <f>IF(AND(Input_Product=Elig!$C116,Elig_MatchAll_Ct&lt;22,$BC116=(Elig_MatchAll_Ct-1),AN116=0),K116,0)</f>
        <v>0</v>
      </c>
      <c r="BQ116" s="199">
        <f>IF(AND(Input_Product=Elig!$C116,Elig_MatchAll_Ct&lt;22,$BC116=(Elig_MatchAll_Ct-1),AP116=0),L116,0)</f>
        <v>0</v>
      </c>
      <c r="BR116" s="199">
        <f>IF(AND(Input_Product=Elig!$C116,Elig_MatchAll_Ct&lt;22,$BC116=(Elig_MatchAll_Ct-1),AO116=0),M116,0)</f>
        <v>0</v>
      </c>
      <c r="BS116" s="199">
        <f>IF(AND(Input_Product=Elig!$C116,Elig_MatchAll_Ct&lt;22,$BC116=(Elig_MatchAll_Ct-1),AQ116=0),N116,0)</f>
        <v>0</v>
      </c>
      <c r="BT116" s="199">
        <f>IF(AND(Input_Product=Elig!$C116,Elig_MatchAll_Ct&lt;22,$BC116=(Elig_MatchAll_Ct-1),AR116=0),O116,0)</f>
        <v>0</v>
      </c>
      <c r="BU116" s="199">
        <f>IF(AND(Input_Product=Elig!$C116,Elig_MatchAll_Ct&lt;22,$BC116=(Elig_MatchAll_Ct-1),AS116=0),P116,0)</f>
        <v>0</v>
      </c>
      <c r="BV116" s="200">
        <f>IF(AND(Input_Product=Elig!$C116,Elig_MatchAll_Ct&lt;22,$BC116=(Elig_MatchAll_Ct-1),AT116=0),Q116,0)</f>
        <v>0</v>
      </c>
      <c r="BW116" s="201">
        <f>IF(AND(Input_Product=Elig!$C116,Elig_MatchAll_Ct&lt;22,$BC116=(Elig_MatchAll_Ct-1),AU116=0),R116,0)</f>
        <v>0</v>
      </c>
      <c r="BX116" s="202">
        <f>IF(AND(Input_Product=Elig!$C116,Elig_MatchAll_Ct&lt;22,$BC116=(Elig_MatchAll_Ct-1),AU116=0),S116,0)</f>
        <v>0</v>
      </c>
      <c r="BY116" s="201">
        <f>IF(AND(Input_Product=Elig!$C116,Elig_MatchAll_Ct&lt;22,$BC116=(Elig_MatchAll_Ct-1),AV116=0),T116,0)</f>
        <v>0</v>
      </c>
      <c r="BZ116" s="202">
        <f>IF(AND(Input_Product=Elig!$C116,Elig_MatchAll_Ct&lt;22,$BC116=(Elig_MatchAll_Ct-1),AV116=0),U116,0)</f>
        <v>0</v>
      </c>
      <c r="CA116" s="201">
        <f>IF(AND(Input_Product=Elig!$C116,Elig_MatchAll_Ct&lt;22,$BC116=(Elig_MatchAll_Ct-1),AW116=0),V116,0)</f>
        <v>0</v>
      </c>
      <c r="CB116" s="202">
        <f>IF(AND(Input_Product=Elig!$C116,Elig_MatchAll_Ct&lt;22,$BC116=(Elig_MatchAll_Ct-1),AW116=0),W116,0)</f>
        <v>0</v>
      </c>
      <c r="CC116" s="201">
        <f>IF(AND(Input_Product=Elig!$C116,Elig_MatchAll_Ct&lt;22,$BC116=(Elig_MatchAll_Ct-1),AX116=0),X116,0)</f>
        <v>0</v>
      </c>
      <c r="CD116" s="202">
        <f>IF(AND(Input_Product=Elig!$C116,Elig_MatchAll_Ct&lt;22,$BC116=(Elig_MatchAll_Ct-1),AX116=0),Y116,0)</f>
        <v>0</v>
      </c>
      <c r="CE116" s="201">
        <f>IF(AND(Input_LTV&lt;=AE116,Input_Product=Elig!$C116,Elig_MatchAll_Ct&lt;22,$BC116=(Elig_MatchAll_Ct-1),AY116=0),Z116,0)</f>
        <v>0</v>
      </c>
      <c r="CF116" s="202">
        <f>IF(AND(Input_LTV&lt;=AE116,Input_Product=Elig!$C116,Elig_MatchAll_Ct&lt;22,$BC116=(Elig_MatchAll_Ct-1),AY116=0),AA116,0)</f>
        <v>0</v>
      </c>
      <c r="CG116" s="201">
        <f>IF(AND(Input_Product=Elig!$C116,Elig_MatchAll_Ct&lt;22,$BC116=(Elig_MatchAll_Ct-1),AZ116=0),AB116,0)</f>
        <v>0</v>
      </c>
      <c r="CH116" s="202">
        <f>IF(AND(Input_Product=Elig!$C116,Elig_MatchAll_Ct&lt;22,$BC116=(Elig_MatchAll_Ct-1),AZ116=0),AC116,0)</f>
        <v>0</v>
      </c>
      <c r="CI116" s="201">
        <f>IF(AND(Input_Product=Elig!$C116,Elig_MatchAll_Ct&lt;22,$BC116=(Elig_MatchAll_Ct-1),BA116=0),AD116,0)</f>
        <v>0</v>
      </c>
      <c r="CJ116" s="203">
        <f>IF(AND(Input_Product=Elig!$C116,Elig_MatchAll_Ct&lt;22,$BC116=(Elig_MatchAll_Ct-1),BA116=0),AE116,0)</f>
        <v>0</v>
      </c>
    </row>
    <row r="117" spans="2:88" ht="10.15" customHeight="1" x14ac:dyDescent="0.25">
      <c r="B117" s="1912" t="s">
        <v>865</v>
      </c>
      <c r="C117" s="134" t="str">
        <f t="shared" si="35"/>
        <v>NonQM OO</v>
      </c>
      <c r="D117" s="135" t="s">
        <v>3885</v>
      </c>
      <c r="E117" s="135" t="s">
        <v>167</v>
      </c>
      <c r="F117" s="135" t="s">
        <v>331</v>
      </c>
      <c r="G117" s="135" t="s">
        <v>473</v>
      </c>
      <c r="H117" s="135" t="s">
        <v>136</v>
      </c>
      <c r="I117" s="136" t="s">
        <v>274</v>
      </c>
      <c r="J117" s="136" t="s">
        <v>1311</v>
      </c>
      <c r="K117" s="136" t="s">
        <v>1631</v>
      </c>
      <c r="L117" s="221" t="s">
        <v>3920</v>
      </c>
      <c r="M117" s="135" t="s">
        <v>4203</v>
      </c>
      <c r="N117" s="135" t="s">
        <v>82</v>
      </c>
      <c r="O117" s="135" t="s">
        <v>310</v>
      </c>
      <c r="P117" s="135" t="s">
        <v>291</v>
      </c>
      <c r="Q117" s="135" t="s">
        <v>294</v>
      </c>
      <c r="R117" s="135">
        <v>1000000.01</v>
      </c>
      <c r="S117" s="135">
        <v>1500000</v>
      </c>
      <c r="T117" s="135">
        <v>0</v>
      </c>
      <c r="U117" s="135">
        <v>0</v>
      </c>
      <c r="V117" s="135">
        <v>0</v>
      </c>
      <c r="W117" s="135">
        <v>55</v>
      </c>
      <c r="X117" s="135">
        <v>0</v>
      </c>
      <c r="Y117" s="135">
        <v>999</v>
      </c>
      <c r="Z117" s="137">
        <v>680</v>
      </c>
      <c r="AA117" s="137">
        <v>699</v>
      </c>
      <c r="AB117" s="137">
        <v>6</v>
      </c>
      <c r="AC117" s="137">
        <v>999999</v>
      </c>
      <c r="AD117" s="135">
        <v>0</v>
      </c>
      <c r="AE117" s="135">
        <v>75</v>
      </c>
      <c r="AF117" s="170">
        <v>0</v>
      </c>
      <c r="AG117" s="171">
        <v>1</v>
      </c>
      <c r="AH117" s="171">
        <v>1</v>
      </c>
      <c r="AI117" s="171">
        <v>1</v>
      </c>
      <c r="AJ117" s="171">
        <v>0</v>
      </c>
      <c r="AK117" s="171">
        <v>1</v>
      </c>
      <c r="AL117" s="171">
        <v>0</v>
      </c>
      <c r="AM117" s="171">
        <v>1</v>
      </c>
      <c r="AN117" s="171">
        <v>1</v>
      </c>
      <c r="AO117" s="171">
        <v>1</v>
      </c>
      <c r="AP117" s="171">
        <v>1</v>
      </c>
      <c r="AQ117" s="171">
        <v>1</v>
      </c>
      <c r="AR117" s="171">
        <v>1</v>
      </c>
      <c r="AS117" s="171">
        <v>1</v>
      </c>
      <c r="AT117" s="171">
        <v>1</v>
      </c>
      <c r="AU117" s="171">
        <f t="shared" si="24"/>
        <v>0</v>
      </c>
      <c r="AV117" s="171">
        <f t="shared" si="25"/>
        <v>0</v>
      </c>
      <c r="AW117" s="171">
        <f t="shared" si="26"/>
        <v>1</v>
      </c>
      <c r="AX117" s="171">
        <f t="shared" si="37"/>
        <v>1</v>
      </c>
      <c r="AY117" s="171">
        <f t="shared" si="27"/>
        <v>0</v>
      </c>
      <c r="AZ117" s="171">
        <f t="shared" si="28"/>
        <v>1</v>
      </c>
      <c r="BA117" s="172">
        <f t="shared" si="29"/>
        <v>1</v>
      </c>
      <c r="BB117" s="175">
        <f t="shared" si="31"/>
        <v>16</v>
      </c>
      <c r="BC117" s="176">
        <f t="shared" si="32"/>
        <v>15</v>
      </c>
      <c r="BD117" s="176">
        <f t="shared" si="33"/>
        <v>16</v>
      </c>
      <c r="BE117" s="240" t="str">
        <f t="shared" si="30"/>
        <v/>
      </c>
      <c r="BH117" s="198">
        <f>IF(AND(Input_Product=Elig!$C117,Elig_MatchAll_Ct&lt;22,$BC117=(Elig_MatchAll_Ct-1),AF117=0),C117,0)</f>
        <v>0</v>
      </c>
      <c r="BI117" s="199">
        <f>IF(AND(Input_Product=Elig!$C117,Elig_MatchAll_Ct&lt;22,$BC117=(Elig_MatchAll_Ct-1),AG117=0),D117,0)</f>
        <v>0</v>
      </c>
      <c r="BJ117" s="199">
        <f>IF(AND(Input_Product=Elig!$C117,Elig_MatchAll_Ct&lt;22,$BC117=(Elig_MatchAll_Ct-1),AH117=0),E117,0)</f>
        <v>0</v>
      </c>
      <c r="BK117" s="199">
        <f>IF(AND(Input_Product=Elig!$C117,Elig_MatchAll_Ct&lt;22,$BC117=(Elig_MatchAll_Ct-1),AI117=0),F117,0)</f>
        <v>0</v>
      </c>
      <c r="BL117" s="199">
        <f>IF(AND(Input_Product=Elig!$C117,Elig_MatchAll_Ct&lt;22,$BC117=(Elig_MatchAll_Ct-1),AJ117=0),G117,0)</f>
        <v>0</v>
      </c>
      <c r="BM117" s="199">
        <f>IF(AND(Input_Product=Elig!$C117,Elig_MatchAll_Ct&lt;22,$BC117=(Elig_MatchAll_Ct-1),AK117=0),H117,0)</f>
        <v>0</v>
      </c>
      <c r="BN117" s="199">
        <f>IF(AND(Input_Product=Elig!$C117,Elig_MatchAll_Ct&lt;22,$BC117=(Elig_MatchAll_Ct-1),AL117=0),I117,0)</f>
        <v>0</v>
      </c>
      <c r="BO117" s="199">
        <f>IF(AND(Input_Product=Elig!$C117,Elig_MatchAll_Ct&lt;22,$BC117=(Elig_MatchAll_Ct-1),AM117=0),J117,0)</f>
        <v>0</v>
      </c>
      <c r="BP117" s="199">
        <f>IF(AND(Input_Product=Elig!$C117,Elig_MatchAll_Ct&lt;22,$BC117=(Elig_MatchAll_Ct-1),AN117=0),K117,0)</f>
        <v>0</v>
      </c>
      <c r="BQ117" s="199">
        <f>IF(AND(Input_Product=Elig!$C117,Elig_MatchAll_Ct&lt;22,$BC117=(Elig_MatchAll_Ct-1),AP117=0),L117,0)</f>
        <v>0</v>
      </c>
      <c r="BR117" s="199">
        <f>IF(AND(Input_Product=Elig!$C117,Elig_MatchAll_Ct&lt;22,$BC117=(Elig_MatchAll_Ct-1),AO117=0),M117,0)</f>
        <v>0</v>
      </c>
      <c r="BS117" s="199">
        <f>IF(AND(Input_Product=Elig!$C117,Elig_MatchAll_Ct&lt;22,$BC117=(Elig_MatchAll_Ct-1),AQ117=0),N117,0)</f>
        <v>0</v>
      </c>
      <c r="BT117" s="199">
        <f>IF(AND(Input_Product=Elig!$C117,Elig_MatchAll_Ct&lt;22,$BC117=(Elig_MatchAll_Ct-1),AR117=0),O117,0)</f>
        <v>0</v>
      </c>
      <c r="BU117" s="199">
        <f>IF(AND(Input_Product=Elig!$C117,Elig_MatchAll_Ct&lt;22,$BC117=(Elig_MatchAll_Ct-1),AS117=0),P117,0)</f>
        <v>0</v>
      </c>
      <c r="BV117" s="200">
        <f>IF(AND(Input_Product=Elig!$C117,Elig_MatchAll_Ct&lt;22,$BC117=(Elig_MatchAll_Ct-1),AT117=0),Q117,0)</f>
        <v>0</v>
      </c>
      <c r="BW117" s="201">
        <f>IF(AND(Input_Product=Elig!$C117,Elig_MatchAll_Ct&lt;22,$BC117=(Elig_MatchAll_Ct-1),AU117=0),R117,0)</f>
        <v>0</v>
      </c>
      <c r="BX117" s="202">
        <f>IF(AND(Input_Product=Elig!$C117,Elig_MatchAll_Ct&lt;22,$BC117=(Elig_MatchAll_Ct-1),AU117=0),S117,0)</f>
        <v>0</v>
      </c>
      <c r="BY117" s="201">
        <f>IF(AND(Input_Product=Elig!$C117,Elig_MatchAll_Ct&lt;22,$BC117=(Elig_MatchAll_Ct-1),AV117=0),T117,0)</f>
        <v>0</v>
      </c>
      <c r="BZ117" s="202">
        <f>IF(AND(Input_Product=Elig!$C117,Elig_MatchAll_Ct&lt;22,$BC117=(Elig_MatchAll_Ct-1),AV117=0),U117,0)</f>
        <v>0</v>
      </c>
      <c r="CA117" s="201">
        <f>IF(AND(Input_Product=Elig!$C117,Elig_MatchAll_Ct&lt;22,$BC117=(Elig_MatchAll_Ct-1),AW117=0),V117,0)</f>
        <v>0</v>
      </c>
      <c r="CB117" s="202">
        <f>IF(AND(Input_Product=Elig!$C117,Elig_MatchAll_Ct&lt;22,$BC117=(Elig_MatchAll_Ct-1),AW117=0),W117,0)</f>
        <v>0</v>
      </c>
      <c r="CC117" s="201">
        <f>IF(AND(Input_Product=Elig!$C117,Elig_MatchAll_Ct&lt;22,$BC117=(Elig_MatchAll_Ct-1),AX117=0),X117,0)</f>
        <v>0</v>
      </c>
      <c r="CD117" s="202">
        <f>IF(AND(Input_Product=Elig!$C117,Elig_MatchAll_Ct&lt;22,$BC117=(Elig_MatchAll_Ct-1),AX117=0),Y117,0)</f>
        <v>0</v>
      </c>
      <c r="CE117" s="201">
        <f>IF(AND(Input_LTV&lt;=AE117,Input_Product=Elig!$C117,Elig_MatchAll_Ct&lt;22,$BC117=(Elig_MatchAll_Ct-1),AY117=0),Z117,0)</f>
        <v>0</v>
      </c>
      <c r="CF117" s="202">
        <f>IF(AND(Input_LTV&lt;=AE117,Input_Product=Elig!$C117,Elig_MatchAll_Ct&lt;22,$BC117=(Elig_MatchAll_Ct-1),AY117=0),AA117,0)</f>
        <v>0</v>
      </c>
      <c r="CG117" s="201">
        <f>IF(AND(Input_Product=Elig!$C117,Elig_MatchAll_Ct&lt;22,$BC117=(Elig_MatchAll_Ct-1),AZ117=0),AB117,0)</f>
        <v>0</v>
      </c>
      <c r="CH117" s="202">
        <f>IF(AND(Input_Product=Elig!$C117,Elig_MatchAll_Ct&lt;22,$BC117=(Elig_MatchAll_Ct-1),AZ117=0),AC117,0)</f>
        <v>0</v>
      </c>
      <c r="CI117" s="201">
        <f>IF(AND(Input_Product=Elig!$C117,Elig_MatchAll_Ct&lt;22,$BC117=(Elig_MatchAll_Ct-1),BA117=0),AD117,0)</f>
        <v>0</v>
      </c>
      <c r="CJ117" s="203">
        <f>IF(AND(Input_Product=Elig!$C117,Elig_MatchAll_Ct&lt;22,$BC117=(Elig_MatchAll_Ct-1),BA117=0),AE117,0)</f>
        <v>0</v>
      </c>
    </row>
    <row r="118" spans="2:88" ht="10.15" customHeight="1" x14ac:dyDescent="0.25">
      <c r="B118" s="1912" t="s">
        <v>866</v>
      </c>
      <c r="C118" s="134" t="str">
        <f t="shared" si="35"/>
        <v>NonQM OO</v>
      </c>
      <c r="D118" s="135" t="s">
        <v>3885</v>
      </c>
      <c r="E118" s="135" t="s">
        <v>167</v>
      </c>
      <c r="F118" s="135" t="s">
        <v>331</v>
      </c>
      <c r="G118" s="135" t="s">
        <v>473</v>
      </c>
      <c r="H118" s="135" t="s">
        <v>136</v>
      </c>
      <c r="I118" s="135" t="s">
        <v>274</v>
      </c>
      <c r="J118" s="135" t="s">
        <v>1311</v>
      </c>
      <c r="K118" s="135" t="s">
        <v>1631</v>
      </c>
      <c r="L118" s="221" t="s">
        <v>3920</v>
      </c>
      <c r="M118" s="135" t="s">
        <v>4203</v>
      </c>
      <c r="N118" s="135" t="s">
        <v>82</v>
      </c>
      <c r="O118" s="135" t="s">
        <v>310</v>
      </c>
      <c r="P118" s="135" t="s">
        <v>291</v>
      </c>
      <c r="Q118" s="135" t="s">
        <v>294</v>
      </c>
      <c r="R118" s="135">
        <v>1000000.01</v>
      </c>
      <c r="S118" s="135">
        <v>1500000</v>
      </c>
      <c r="T118" s="135">
        <v>0</v>
      </c>
      <c r="U118" s="135">
        <v>0</v>
      </c>
      <c r="V118" s="135">
        <v>0</v>
      </c>
      <c r="W118" s="135">
        <v>55</v>
      </c>
      <c r="X118" s="135">
        <v>0</v>
      </c>
      <c r="Y118" s="135">
        <v>999</v>
      </c>
      <c r="Z118" s="137">
        <v>660</v>
      </c>
      <c r="AA118" s="137">
        <v>679</v>
      </c>
      <c r="AB118" s="137">
        <v>6</v>
      </c>
      <c r="AC118" s="137">
        <v>999999</v>
      </c>
      <c r="AD118" s="135">
        <v>0</v>
      </c>
      <c r="AE118" s="135">
        <v>75</v>
      </c>
      <c r="AF118" s="170">
        <v>0</v>
      </c>
      <c r="AG118" s="171">
        <v>1</v>
      </c>
      <c r="AH118" s="171">
        <v>1</v>
      </c>
      <c r="AI118" s="171">
        <v>1</v>
      </c>
      <c r="AJ118" s="171">
        <v>0</v>
      </c>
      <c r="AK118" s="171">
        <v>1</v>
      </c>
      <c r="AL118" s="171">
        <v>0</v>
      </c>
      <c r="AM118" s="171">
        <v>1</v>
      </c>
      <c r="AN118" s="171">
        <v>1</v>
      </c>
      <c r="AO118" s="171">
        <v>1</v>
      </c>
      <c r="AP118" s="171">
        <v>1</v>
      </c>
      <c r="AQ118" s="171">
        <v>1</v>
      </c>
      <c r="AR118" s="171">
        <v>1</v>
      </c>
      <c r="AS118" s="171">
        <v>1</v>
      </c>
      <c r="AT118" s="171">
        <v>1</v>
      </c>
      <c r="AU118" s="171">
        <f t="shared" si="24"/>
        <v>0</v>
      </c>
      <c r="AV118" s="171">
        <f t="shared" si="25"/>
        <v>0</v>
      </c>
      <c r="AW118" s="171">
        <f t="shared" si="26"/>
        <v>1</v>
      </c>
      <c r="AX118" s="171">
        <f t="shared" si="37"/>
        <v>1</v>
      </c>
      <c r="AY118" s="171">
        <f t="shared" si="27"/>
        <v>0</v>
      </c>
      <c r="AZ118" s="171">
        <f t="shared" si="28"/>
        <v>1</v>
      </c>
      <c r="BA118" s="172">
        <f t="shared" si="29"/>
        <v>1</v>
      </c>
      <c r="BB118" s="175">
        <f t="shared" si="31"/>
        <v>16</v>
      </c>
      <c r="BC118" s="176">
        <f t="shared" si="32"/>
        <v>15</v>
      </c>
      <c r="BD118" s="176">
        <f t="shared" si="33"/>
        <v>16</v>
      </c>
      <c r="BE118" s="240" t="str">
        <f t="shared" si="30"/>
        <v/>
      </c>
      <c r="BH118" s="198">
        <f>IF(AND(Input_Product=Elig!$C118,Elig_MatchAll_Ct&lt;22,$BC118=(Elig_MatchAll_Ct-1),AF118=0),C118,0)</f>
        <v>0</v>
      </c>
      <c r="BI118" s="199">
        <f>IF(AND(Input_Product=Elig!$C118,Elig_MatchAll_Ct&lt;22,$BC118=(Elig_MatchAll_Ct-1),AG118=0),D118,0)</f>
        <v>0</v>
      </c>
      <c r="BJ118" s="199">
        <f>IF(AND(Input_Product=Elig!$C118,Elig_MatchAll_Ct&lt;22,$BC118=(Elig_MatchAll_Ct-1),AH118=0),E118,0)</f>
        <v>0</v>
      </c>
      <c r="BK118" s="199">
        <f>IF(AND(Input_Product=Elig!$C118,Elig_MatchAll_Ct&lt;22,$BC118=(Elig_MatchAll_Ct-1),AI118=0),F118,0)</f>
        <v>0</v>
      </c>
      <c r="BL118" s="199">
        <f>IF(AND(Input_Product=Elig!$C118,Elig_MatchAll_Ct&lt;22,$BC118=(Elig_MatchAll_Ct-1),AJ118=0),G118,0)</f>
        <v>0</v>
      </c>
      <c r="BM118" s="199">
        <f>IF(AND(Input_Product=Elig!$C118,Elig_MatchAll_Ct&lt;22,$BC118=(Elig_MatchAll_Ct-1),AK118=0),H118,0)</f>
        <v>0</v>
      </c>
      <c r="BN118" s="199">
        <f>IF(AND(Input_Product=Elig!$C118,Elig_MatchAll_Ct&lt;22,$BC118=(Elig_MatchAll_Ct-1),AL118=0),I118,0)</f>
        <v>0</v>
      </c>
      <c r="BO118" s="199">
        <f>IF(AND(Input_Product=Elig!$C118,Elig_MatchAll_Ct&lt;22,$BC118=(Elig_MatchAll_Ct-1),AM118=0),J118,0)</f>
        <v>0</v>
      </c>
      <c r="BP118" s="199">
        <f>IF(AND(Input_Product=Elig!$C118,Elig_MatchAll_Ct&lt;22,$BC118=(Elig_MatchAll_Ct-1),AN118=0),K118,0)</f>
        <v>0</v>
      </c>
      <c r="BQ118" s="199">
        <f>IF(AND(Input_Product=Elig!$C118,Elig_MatchAll_Ct&lt;22,$BC118=(Elig_MatchAll_Ct-1),AP118=0),L118,0)</f>
        <v>0</v>
      </c>
      <c r="BR118" s="199">
        <f>IF(AND(Input_Product=Elig!$C118,Elig_MatchAll_Ct&lt;22,$BC118=(Elig_MatchAll_Ct-1),AO118=0),M118,0)</f>
        <v>0</v>
      </c>
      <c r="BS118" s="199">
        <f>IF(AND(Input_Product=Elig!$C118,Elig_MatchAll_Ct&lt;22,$BC118=(Elig_MatchAll_Ct-1),AQ118=0),N118,0)</f>
        <v>0</v>
      </c>
      <c r="BT118" s="199">
        <f>IF(AND(Input_Product=Elig!$C118,Elig_MatchAll_Ct&lt;22,$BC118=(Elig_MatchAll_Ct-1),AR118=0),O118,0)</f>
        <v>0</v>
      </c>
      <c r="BU118" s="199">
        <f>IF(AND(Input_Product=Elig!$C118,Elig_MatchAll_Ct&lt;22,$BC118=(Elig_MatchAll_Ct-1),AS118=0),P118,0)</f>
        <v>0</v>
      </c>
      <c r="BV118" s="200">
        <f>IF(AND(Input_Product=Elig!$C118,Elig_MatchAll_Ct&lt;22,$BC118=(Elig_MatchAll_Ct-1),AT118=0),Q118,0)</f>
        <v>0</v>
      </c>
      <c r="BW118" s="201">
        <f>IF(AND(Input_Product=Elig!$C118,Elig_MatchAll_Ct&lt;22,$BC118=(Elig_MatchAll_Ct-1),AU118=0),R118,0)</f>
        <v>0</v>
      </c>
      <c r="BX118" s="202">
        <f>IF(AND(Input_Product=Elig!$C118,Elig_MatchAll_Ct&lt;22,$BC118=(Elig_MatchAll_Ct-1),AU118=0),S118,0)</f>
        <v>0</v>
      </c>
      <c r="BY118" s="201">
        <f>IF(AND(Input_Product=Elig!$C118,Elig_MatchAll_Ct&lt;22,$BC118=(Elig_MatchAll_Ct-1),AV118=0),T118,0)</f>
        <v>0</v>
      </c>
      <c r="BZ118" s="202">
        <f>IF(AND(Input_Product=Elig!$C118,Elig_MatchAll_Ct&lt;22,$BC118=(Elig_MatchAll_Ct-1),AV118=0),U118,0)</f>
        <v>0</v>
      </c>
      <c r="CA118" s="201">
        <f>IF(AND(Input_Product=Elig!$C118,Elig_MatchAll_Ct&lt;22,$BC118=(Elig_MatchAll_Ct-1),AW118=0),V118,0)</f>
        <v>0</v>
      </c>
      <c r="CB118" s="202">
        <f>IF(AND(Input_Product=Elig!$C118,Elig_MatchAll_Ct&lt;22,$BC118=(Elig_MatchAll_Ct-1),AW118=0),W118,0)</f>
        <v>0</v>
      </c>
      <c r="CC118" s="201">
        <f>IF(AND(Input_Product=Elig!$C118,Elig_MatchAll_Ct&lt;22,$BC118=(Elig_MatchAll_Ct-1),AX118=0),X118,0)</f>
        <v>0</v>
      </c>
      <c r="CD118" s="202">
        <f>IF(AND(Input_Product=Elig!$C118,Elig_MatchAll_Ct&lt;22,$BC118=(Elig_MatchAll_Ct-1),AX118=0),Y118,0)</f>
        <v>0</v>
      </c>
      <c r="CE118" s="201">
        <f>IF(AND(Input_LTV&lt;=AE118,Input_Product=Elig!$C118,Elig_MatchAll_Ct&lt;22,$BC118=(Elig_MatchAll_Ct-1),AY118=0),Z118,0)</f>
        <v>0</v>
      </c>
      <c r="CF118" s="202">
        <f>IF(AND(Input_LTV&lt;=AE118,Input_Product=Elig!$C118,Elig_MatchAll_Ct&lt;22,$BC118=(Elig_MatchAll_Ct-1),AY118=0),AA118,0)</f>
        <v>0</v>
      </c>
      <c r="CG118" s="201">
        <f>IF(AND(Input_Product=Elig!$C118,Elig_MatchAll_Ct&lt;22,$BC118=(Elig_MatchAll_Ct-1),AZ118=0),AB118,0)</f>
        <v>0</v>
      </c>
      <c r="CH118" s="202">
        <f>IF(AND(Input_Product=Elig!$C118,Elig_MatchAll_Ct&lt;22,$BC118=(Elig_MatchAll_Ct-1),AZ118=0),AC118,0)</f>
        <v>0</v>
      </c>
      <c r="CI118" s="201">
        <f>IF(AND(Input_Product=Elig!$C118,Elig_MatchAll_Ct&lt;22,$BC118=(Elig_MatchAll_Ct-1),BA118=0),AD118,0)</f>
        <v>0</v>
      </c>
      <c r="CJ118" s="203">
        <f>IF(AND(Input_Product=Elig!$C118,Elig_MatchAll_Ct&lt;22,$BC118=(Elig_MatchAll_Ct-1),BA118=0),AE118,0)</f>
        <v>0</v>
      </c>
    </row>
    <row r="119" spans="2:88" ht="10.15" customHeight="1" x14ac:dyDescent="0.25">
      <c r="B119" s="1912" t="s">
        <v>867</v>
      </c>
      <c r="C119" s="134" t="str">
        <f t="shared" si="35"/>
        <v>NonQM OO</v>
      </c>
      <c r="D119" s="135" t="s">
        <v>3885</v>
      </c>
      <c r="E119" s="135" t="s">
        <v>167</v>
      </c>
      <c r="F119" s="135" t="s">
        <v>331</v>
      </c>
      <c r="G119" s="135" t="s">
        <v>473</v>
      </c>
      <c r="H119" s="135" t="s">
        <v>136</v>
      </c>
      <c r="I119" s="135" t="s">
        <v>274</v>
      </c>
      <c r="J119" s="135" t="s">
        <v>1311</v>
      </c>
      <c r="K119" s="135" t="s">
        <v>1631</v>
      </c>
      <c r="L119" s="221" t="s">
        <v>3920</v>
      </c>
      <c r="M119" s="135" t="s">
        <v>4203</v>
      </c>
      <c r="N119" s="135" t="s">
        <v>82</v>
      </c>
      <c r="O119" s="135" t="s">
        <v>310</v>
      </c>
      <c r="P119" s="135" t="s">
        <v>291</v>
      </c>
      <c r="Q119" s="135" t="s">
        <v>294</v>
      </c>
      <c r="R119" s="135">
        <v>1000000.01</v>
      </c>
      <c r="S119" s="135">
        <v>1500000</v>
      </c>
      <c r="T119" s="135">
        <v>0</v>
      </c>
      <c r="U119" s="135">
        <v>0</v>
      </c>
      <c r="V119" s="135">
        <v>0</v>
      </c>
      <c r="W119" s="135">
        <v>55</v>
      </c>
      <c r="X119" s="135">
        <v>0</v>
      </c>
      <c r="Y119" s="135">
        <v>999</v>
      </c>
      <c r="Z119" s="137">
        <v>640</v>
      </c>
      <c r="AA119" s="137">
        <v>659</v>
      </c>
      <c r="AB119" s="137">
        <v>6</v>
      </c>
      <c r="AC119" s="137">
        <v>999999</v>
      </c>
      <c r="AD119" s="135">
        <v>0</v>
      </c>
      <c r="AE119" s="135">
        <v>-999</v>
      </c>
      <c r="AF119" s="170">
        <v>0</v>
      </c>
      <c r="AG119" s="171">
        <v>1</v>
      </c>
      <c r="AH119" s="171">
        <v>1</v>
      </c>
      <c r="AI119" s="171">
        <v>1</v>
      </c>
      <c r="AJ119" s="171">
        <v>0</v>
      </c>
      <c r="AK119" s="171">
        <v>1</v>
      </c>
      <c r="AL119" s="171">
        <v>0</v>
      </c>
      <c r="AM119" s="171">
        <v>1</v>
      </c>
      <c r="AN119" s="171">
        <v>1</v>
      </c>
      <c r="AO119" s="171">
        <v>1</v>
      </c>
      <c r="AP119" s="171">
        <v>1</v>
      </c>
      <c r="AQ119" s="171">
        <v>1</v>
      </c>
      <c r="AR119" s="171">
        <v>1</v>
      </c>
      <c r="AS119" s="171">
        <v>1</v>
      </c>
      <c r="AT119" s="171">
        <v>1</v>
      </c>
      <c r="AU119" s="171">
        <f t="shared" si="24"/>
        <v>0</v>
      </c>
      <c r="AV119" s="171">
        <f t="shared" si="25"/>
        <v>0</v>
      </c>
      <c r="AW119" s="171">
        <f t="shared" si="26"/>
        <v>1</v>
      </c>
      <c r="AX119" s="171">
        <f t="shared" si="37"/>
        <v>1</v>
      </c>
      <c r="AY119" s="171">
        <f t="shared" si="27"/>
        <v>0</v>
      </c>
      <c r="AZ119" s="171">
        <f t="shared" si="28"/>
        <v>1</v>
      </c>
      <c r="BA119" s="172">
        <f t="shared" si="29"/>
        <v>0</v>
      </c>
      <c r="BB119" s="175">
        <f t="shared" si="31"/>
        <v>15</v>
      </c>
      <c r="BC119" s="176">
        <f t="shared" si="32"/>
        <v>15</v>
      </c>
      <c r="BD119" s="176">
        <f t="shared" si="33"/>
        <v>15</v>
      </c>
      <c r="BE119" s="240" t="str">
        <f t="shared" si="30"/>
        <v/>
      </c>
      <c r="BH119" s="198">
        <f>IF(AND(Input_Product=Elig!$C119,Elig_MatchAll_Ct&lt;22,$BC119=(Elig_MatchAll_Ct-1),AF119=0),C119,0)</f>
        <v>0</v>
      </c>
      <c r="BI119" s="199">
        <f>IF(AND(Input_Product=Elig!$C119,Elig_MatchAll_Ct&lt;22,$BC119=(Elig_MatchAll_Ct-1),AG119=0),D119,0)</f>
        <v>0</v>
      </c>
      <c r="BJ119" s="199">
        <f>IF(AND(Input_Product=Elig!$C119,Elig_MatchAll_Ct&lt;22,$BC119=(Elig_MatchAll_Ct-1),AH119=0),E119,0)</f>
        <v>0</v>
      </c>
      <c r="BK119" s="199">
        <f>IF(AND(Input_Product=Elig!$C119,Elig_MatchAll_Ct&lt;22,$BC119=(Elig_MatchAll_Ct-1),AI119=0),F119,0)</f>
        <v>0</v>
      </c>
      <c r="BL119" s="199">
        <f>IF(AND(Input_Product=Elig!$C119,Elig_MatchAll_Ct&lt;22,$BC119=(Elig_MatchAll_Ct-1),AJ119=0),G119,0)</f>
        <v>0</v>
      </c>
      <c r="BM119" s="199">
        <f>IF(AND(Input_Product=Elig!$C119,Elig_MatchAll_Ct&lt;22,$BC119=(Elig_MatchAll_Ct-1),AK119=0),H119,0)</f>
        <v>0</v>
      </c>
      <c r="BN119" s="199">
        <f>IF(AND(Input_Product=Elig!$C119,Elig_MatchAll_Ct&lt;22,$BC119=(Elig_MatchAll_Ct-1),AL119=0),I119,0)</f>
        <v>0</v>
      </c>
      <c r="BO119" s="199">
        <f>IF(AND(Input_Product=Elig!$C119,Elig_MatchAll_Ct&lt;22,$BC119=(Elig_MatchAll_Ct-1),AM119=0),J119,0)</f>
        <v>0</v>
      </c>
      <c r="BP119" s="199">
        <f>IF(AND(Input_Product=Elig!$C119,Elig_MatchAll_Ct&lt;22,$BC119=(Elig_MatchAll_Ct-1),AN119=0),K119,0)</f>
        <v>0</v>
      </c>
      <c r="BQ119" s="199">
        <f>IF(AND(Input_Product=Elig!$C119,Elig_MatchAll_Ct&lt;22,$BC119=(Elig_MatchAll_Ct-1),AP119=0),L119,0)</f>
        <v>0</v>
      </c>
      <c r="BR119" s="199">
        <f>IF(AND(Input_Product=Elig!$C119,Elig_MatchAll_Ct&lt;22,$BC119=(Elig_MatchAll_Ct-1),AO119=0),M119,0)</f>
        <v>0</v>
      </c>
      <c r="BS119" s="199">
        <f>IF(AND(Input_Product=Elig!$C119,Elig_MatchAll_Ct&lt;22,$BC119=(Elig_MatchAll_Ct-1),AQ119=0),N119,0)</f>
        <v>0</v>
      </c>
      <c r="BT119" s="199">
        <f>IF(AND(Input_Product=Elig!$C119,Elig_MatchAll_Ct&lt;22,$BC119=(Elig_MatchAll_Ct-1),AR119=0),O119,0)</f>
        <v>0</v>
      </c>
      <c r="BU119" s="199">
        <f>IF(AND(Input_Product=Elig!$C119,Elig_MatchAll_Ct&lt;22,$BC119=(Elig_MatchAll_Ct-1),AS119=0),P119,0)</f>
        <v>0</v>
      </c>
      <c r="BV119" s="200">
        <f>IF(AND(Input_Product=Elig!$C119,Elig_MatchAll_Ct&lt;22,$BC119=(Elig_MatchAll_Ct-1),AT119=0),Q119,0)</f>
        <v>0</v>
      </c>
      <c r="BW119" s="201">
        <f>IF(AND(Input_Product=Elig!$C119,Elig_MatchAll_Ct&lt;22,$BC119=(Elig_MatchAll_Ct-1),AU119=0),R119,0)</f>
        <v>0</v>
      </c>
      <c r="BX119" s="202">
        <f>IF(AND(Input_Product=Elig!$C119,Elig_MatchAll_Ct&lt;22,$BC119=(Elig_MatchAll_Ct-1),AU119=0),S119,0)</f>
        <v>0</v>
      </c>
      <c r="BY119" s="201">
        <f>IF(AND(Input_Product=Elig!$C119,Elig_MatchAll_Ct&lt;22,$BC119=(Elig_MatchAll_Ct-1),AV119=0),T119,0)</f>
        <v>0</v>
      </c>
      <c r="BZ119" s="202">
        <f>IF(AND(Input_Product=Elig!$C119,Elig_MatchAll_Ct&lt;22,$BC119=(Elig_MatchAll_Ct-1),AV119=0),U119,0)</f>
        <v>0</v>
      </c>
      <c r="CA119" s="201">
        <f>IF(AND(Input_Product=Elig!$C119,Elig_MatchAll_Ct&lt;22,$BC119=(Elig_MatchAll_Ct-1),AW119=0),V119,0)</f>
        <v>0</v>
      </c>
      <c r="CB119" s="202">
        <f>IF(AND(Input_Product=Elig!$C119,Elig_MatchAll_Ct&lt;22,$BC119=(Elig_MatchAll_Ct-1),AW119=0),W119,0)</f>
        <v>0</v>
      </c>
      <c r="CC119" s="201">
        <f>IF(AND(Input_Product=Elig!$C119,Elig_MatchAll_Ct&lt;22,$BC119=(Elig_MatchAll_Ct-1),AX119=0),X119,0)</f>
        <v>0</v>
      </c>
      <c r="CD119" s="202">
        <f>IF(AND(Input_Product=Elig!$C119,Elig_MatchAll_Ct&lt;22,$BC119=(Elig_MatchAll_Ct-1),AX119=0),Y119,0)</f>
        <v>0</v>
      </c>
      <c r="CE119" s="201">
        <f>IF(AND(Input_LTV&lt;=AE119,Input_Product=Elig!$C119,Elig_MatchAll_Ct&lt;22,$BC119=(Elig_MatchAll_Ct-1),AY119=0),Z119,0)</f>
        <v>0</v>
      </c>
      <c r="CF119" s="202">
        <f>IF(AND(Input_LTV&lt;=AE119,Input_Product=Elig!$C119,Elig_MatchAll_Ct&lt;22,$BC119=(Elig_MatchAll_Ct-1),AY119=0),AA119,0)</f>
        <v>0</v>
      </c>
      <c r="CG119" s="201">
        <f>IF(AND(Input_Product=Elig!$C119,Elig_MatchAll_Ct&lt;22,$BC119=(Elig_MatchAll_Ct-1),AZ119=0),AB119,0)</f>
        <v>0</v>
      </c>
      <c r="CH119" s="202">
        <f>IF(AND(Input_Product=Elig!$C119,Elig_MatchAll_Ct&lt;22,$BC119=(Elig_MatchAll_Ct-1),AZ119=0),AC119,0)</f>
        <v>0</v>
      </c>
      <c r="CI119" s="201">
        <f>IF(AND(Input_Product=Elig!$C119,Elig_MatchAll_Ct&lt;22,$BC119=(Elig_MatchAll_Ct-1),BA119=0),AD119,0)</f>
        <v>0</v>
      </c>
      <c r="CJ119" s="203">
        <f>IF(AND(Input_Product=Elig!$C119,Elig_MatchAll_Ct&lt;22,$BC119=(Elig_MatchAll_Ct-1),BA119=0),AE119,0)</f>
        <v>0</v>
      </c>
    </row>
    <row r="120" spans="2:88" ht="10.15" customHeight="1" x14ac:dyDescent="0.25">
      <c r="B120" s="1912" t="s">
        <v>868</v>
      </c>
      <c r="C120" s="138" t="str">
        <f t="shared" si="35"/>
        <v>NonQM OO</v>
      </c>
      <c r="D120" s="139" t="s">
        <v>3885</v>
      </c>
      <c r="E120" s="139" t="s">
        <v>167</v>
      </c>
      <c r="F120" s="139" t="s">
        <v>331</v>
      </c>
      <c r="G120" s="139" t="s">
        <v>473</v>
      </c>
      <c r="H120" s="139" t="s">
        <v>136</v>
      </c>
      <c r="I120" s="139" t="s">
        <v>274</v>
      </c>
      <c r="J120" s="139" t="s">
        <v>1311</v>
      </c>
      <c r="K120" s="139" t="s">
        <v>1631</v>
      </c>
      <c r="L120" s="310" t="s">
        <v>3920</v>
      </c>
      <c r="M120" s="139" t="s">
        <v>4203</v>
      </c>
      <c r="N120" s="139" t="s">
        <v>82</v>
      </c>
      <c r="O120" s="139" t="s">
        <v>310</v>
      </c>
      <c r="P120" s="139" t="s">
        <v>291</v>
      </c>
      <c r="Q120" s="139" t="s">
        <v>294</v>
      </c>
      <c r="R120" s="139">
        <v>1000000.01</v>
      </c>
      <c r="S120" s="139">
        <v>1500000</v>
      </c>
      <c r="T120" s="139">
        <v>0</v>
      </c>
      <c r="U120" s="139">
        <v>0</v>
      </c>
      <c r="V120" s="139">
        <v>0</v>
      </c>
      <c r="W120" s="139">
        <v>55</v>
      </c>
      <c r="X120" s="139">
        <v>0</v>
      </c>
      <c r="Y120" s="139">
        <v>999</v>
      </c>
      <c r="Z120" s="140">
        <v>620</v>
      </c>
      <c r="AA120" s="140">
        <v>639</v>
      </c>
      <c r="AB120" s="140">
        <v>6</v>
      </c>
      <c r="AC120" s="140">
        <v>999999</v>
      </c>
      <c r="AD120" s="139">
        <v>0</v>
      </c>
      <c r="AE120" s="139">
        <v>-999</v>
      </c>
      <c r="AF120" s="170">
        <v>0</v>
      </c>
      <c r="AG120" s="171">
        <v>1</v>
      </c>
      <c r="AH120" s="171">
        <v>1</v>
      </c>
      <c r="AI120" s="171">
        <v>1</v>
      </c>
      <c r="AJ120" s="171">
        <v>0</v>
      </c>
      <c r="AK120" s="171">
        <v>1</v>
      </c>
      <c r="AL120" s="171">
        <v>0</v>
      </c>
      <c r="AM120" s="171">
        <v>1</v>
      </c>
      <c r="AN120" s="171">
        <v>1</v>
      </c>
      <c r="AO120" s="171">
        <v>1</v>
      </c>
      <c r="AP120" s="171">
        <v>1</v>
      </c>
      <c r="AQ120" s="171">
        <v>1</v>
      </c>
      <c r="AR120" s="171">
        <v>1</v>
      </c>
      <c r="AS120" s="171">
        <v>1</v>
      </c>
      <c r="AT120" s="171">
        <v>1</v>
      </c>
      <c r="AU120" s="171">
        <f t="shared" si="24"/>
        <v>0</v>
      </c>
      <c r="AV120" s="171">
        <f t="shared" si="25"/>
        <v>0</v>
      </c>
      <c r="AW120" s="171">
        <f t="shared" si="26"/>
        <v>1</v>
      </c>
      <c r="AX120" s="171">
        <f t="shared" si="37"/>
        <v>1</v>
      </c>
      <c r="AY120" s="171">
        <f t="shared" si="27"/>
        <v>0</v>
      </c>
      <c r="AZ120" s="171">
        <f t="shared" si="28"/>
        <v>1</v>
      </c>
      <c r="BA120" s="172">
        <f t="shared" si="29"/>
        <v>0</v>
      </c>
      <c r="BB120" s="175">
        <f t="shared" si="31"/>
        <v>15</v>
      </c>
      <c r="BC120" s="176">
        <f t="shared" si="32"/>
        <v>15</v>
      </c>
      <c r="BD120" s="176">
        <f t="shared" si="33"/>
        <v>15</v>
      </c>
      <c r="BE120" s="240" t="str">
        <f t="shared" si="30"/>
        <v/>
      </c>
      <c r="BH120" s="204">
        <f>IF(AND(Input_Product=Elig!$C120,Elig_MatchAll_Ct&lt;22,$BC120=(Elig_MatchAll_Ct-1),AF120=0),C120,0)</f>
        <v>0</v>
      </c>
      <c r="BI120" s="205">
        <f>IF(AND(Input_Product=Elig!$C120,Elig_MatchAll_Ct&lt;22,$BC120=(Elig_MatchAll_Ct-1),AG120=0),D120,0)</f>
        <v>0</v>
      </c>
      <c r="BJ120" s="205">
        <f>IF(AND(Input_Product=Elig!$C120,Elig_MatchAll_Ct&lt;22,$BC120=(Elig_MatchAll_Ct-1),AH120=0),E120,0)</f>
        <v>0</v>
      </c>
      <c r="BK120" s="205">
        <f>IF(AND(Input_Product=Elig!$C120,Elig_MatchAll_Ct&lt;22,$BC120=(Elig_MatchAll_Ct-1),AI120=0),F120,0)</f>
        <v>0</v>
      </c>
      <c r="BL120" s="205">
        <f>IF(AND(Input_Product=Elig!$C120,Elig_MatchAll_Ct&lt;22,$BC120=(Elig_MatchAll_Ct-1),AJ120=0),G120,0)</f>
        <v>0</v>
      </c>
      <c r="BM120" s="205">
        <f>IF(AND(Input_Product=Elig!$C120,Elig_MatchAll_Ct&lt;22,$BC120=(Elig_MatchAll_Ct-1),AK120=0),H120,0)</f>
        <v>0</v>
      </c>
      <c r="BN120" s="205">
        <f>IF(AND(Input_Product=Elig!$C120,Elig_MatchAll_Ct&lt;22,$BC120=(Elig_MatchAll_Ct-1),AL120=0),I120,0)</f>
        <v>0</v>
      </c>
      <c r="BO120" s="205">
        <f>IF(AND(Input_Product=Elig!$C120,Elig_MatchAll_Ct&lt;22,$BC120=(Elig_MatchAll_Ct-1),AM120=0),J120,0)</f>
        <v>0</v>
      </c>
      <c r="BP120" s="205">
        <f>IF(AND(Input_Product=Elig!$C120,Elig_MatchAll_Ct&lt;22,$BC120=(Elig_MatchAll_Ct-1),AN120=0),K120,0)</f>
        <v>0</v>
      </c>
      <c r="BQ120" s="205">
        <f>IF(AND(Input_Product=Elig!$C120,Elig_MatchAll_Ct&lt;22,$BC120=(Elig_MatchAll_Ct-1),AP120=0),L120,0)</f>
        <v>0</v>
      </c>
      <c r="BR120" s="205">
        <f>IF(AND(Input_Product=Elig!$C120,Elig_MatchAll_Ct&lt;22,$BC120=(Elig_MatchAll_Ct-1),AO120=0),M120,0)</f>
        <v>0</v>
      </c>
      <c r="BS120" s="205">
        <f>IF(AND(Input_Product=Elig!$C120,Elig_MatchAll_Ct&lt;22,$BC120=(Elig_MatchAll_Ct-1),AQ120=0),N120,0)</f>
        <v>0</v>
      </c>
      <c r="BT120" s="205">
        <f>IF(AND(Input_Product=Elig!$C120,Elig_MatchAll_Ct&lt;22,$BC120=(Elig_MatchAll_Ct-1),AR120=0),O120,0)</f>
        <v>0</v>
      </c>
      <c r="BU120" s="205">
        <f>IF(AND(Input_Product=Elig!$C120,Elig_MatchAll_Ct&lt;22,$BC120=(Elig_MatchAll_Ct-1),AS120=0),P120,0)</f>
        <v>0</v>
      </c>
      <c r="BV120" s="206">
        <f>IF(AND(Input_Product=Elig!$C120,Elig_MatchAll_Ct&lt;22,$BC120=(Elig_MatchAll_Ct-1),AT120=0),Q120,0)</f>
        <v>0</v>
      </c>
      <c r="BW120" s="207">
        <f>IF(AND(Input_Product=Elig!$C120,Elig_MatchAll_Ct&lt;22,$BC120=(Elig_MatchAll_Ct-1),AU120=0),R120,0)</f>
        <v>0</v>
      </c>
      <c r="BX120" s="208">
        <f>IF(AND(Input_Product=Elig!$C120,Elig_MatchAll_Ct&lt;22,$BC120=(Elig_MatchAll_Ct-1),AU120=0),S120,0)</f>
        <v>0</v>
      </c>
      <c r="BY120" s="207">
        <f>IF(AND(Input_Product=Elig!$C120,Elig_MatchAll_Ct&lt;22,$BC120=(Elig_MatchAll_Ct-1),AV120=0),T120,0)</f>
        <v>0</v>
      </c>
      <c r="BZ120" s="208">
        <f>IF(AND(Input_Product=Elig!$C120,Elig_MatchAll_Ct&lt;22,$BC120=(Elig_MatchAll_Ct-1),AV120=0),U120,0)</f>
        <v>0</v>
      </c>
      <c r="CA120" s="207">
        <f>IF(AND(Input_Product=Elig!$C120,Elig_MatchAll_Ct&lt;22,$BC120=(Elig_MatchAll_Ct-1),AW120=0),V120,0)</f>
        <v>0</v>
      </c>
      <c r="CB120" s="208">
        <f>IF(AND(Input_Product=Elig!$C120,Elig_MatchAll_Ct&lt;22,$BC120=(Elig_MatchAll_Ct-1),AW120=0),W120,0)</f>
        <v>0</v>
      </c>
      <c r="CC120" s="207">
        <f>IF(AND(Input_Product=Elig!$C120,Elig_MatchAll_Ct&lt;22,$BC120=(Elig_MatchAll_Ct-1),AX120=0),X120,0)</f>
        <v>0</v>
      </c>
      <c r="CD120" s="208">
        <f>IF(AND(Input_Product=Elig!$C120,Elig_MatchAll_Ct&lt;22,$BC120=(Elig_MatchAll_Ct-1),AX120=0),Y120,0)</f>
        <v>0</v>
      </c>
      <c r="CE120" s="207">
        <f>IF(AND(Input_LTV&lt;=AE120,Input_Product=Elig!$C120,Elig_MatchAll_Ct&lt;22,$BC120=(Elig_MatchAll_Ct-1),AY120=0),Z120,0)</f>
        <v>0</v>
      </c>
      <c r="CF120" s="208">
        <f>IF(AND(Input_LTV&lt;=AE120,Input_Product=Elig!$C120,Elig_MatchAll_Ct&lt;22,$BC120=(Elig_MatchAll_Ct-1),AY120=0),AA120,0)</f>
        <v>0</v>
      </c>
      <c r="CG120" s="207">
        <f>IF(AND(Input_Product=Elig!$C120,Elig_MatchAll_Ct&lt;22,$BC120=(Elig_MatchAll_Ct-1),AZ120=0),AB120,0)</f>
        <v>0</v>
      </c>
      <c r="CH120" s="208">
        <f>IF(AND(Input_Product=Elig!$C120,Elig_MatchAll_Ct&lt;22,$BC120=(Elig_MatchAll_Ct-1),AZ120=0),AC120,0)</f>
        <v>0</v>
      </c>
      <c r="CI120" s="207">
        <f>IF(AND(Input_Product=Elig!$C120,Elig_MatchAll_Ct&lt;22,$BC120=(Elig_MatchAll_Ct-1),BA120=0),AD120,0)</f>
        <v>0</v>
      </c>
      <c r="CJ120" s="209">
        <f>IF(AND(Input_Product=Elig!$C120,Elig_MatchAll_Ct&lt;22,$BC120=(Elig_MatchAll_Ct-1),BA120=0),AE120,0)</f>
        <v>0</v>
      </c>
    </row>
    <row r="121" spans="2:88" ht="10.15" customHeight="1" x14ac:dyDescent="0.25">
      <c r="B121" s="1912" t="s">
        <v>869</v>
      </c>
      <c r="C121" s="141" t="str">
        <f t="shared" si="35"/>
        <v>NonQM OO</v>
      </c>
      <c r="D121" s="142" t="s">
        <v>3885</v>
      </c>
      <c r="E121" s="143" t="s">
        <v>167</v>
      </c>
      <c r="F121" s="143" t="s">
        <v>331</v>
      </c>
      <c r="G121" s="143" t="s">
        <v>473</v>
      </c>
      <c r="H121" s="143" t="s">
        <v>136</v>
      </c>
      <c r="I121" s="142" t="s">
        <v>16</v>
      </c>
      <c r="J121" s="142" t="s">
        <v>1311</v>
      </c>
      <c r="K121" s="142" t="s">
        <v>1631</v>
      </c>
      <c r="L121" s="2131" t="s">
        <v>3920</v>
      </c>
      <c r="M121" s="143" t="s">
        <v>4203</v>
      </c>
      <c r="N121" s="143" t="s">
        <v>82</v>
      </c>
      <c r="O121" s="143" t="s">
        <v>310</v>
      </c>
      <c r="P121" s="143" t="s">
        <v>291</v>
      </c>
      <c r="Q121" s="143" t="s">
        <v>294</v>
      </c>
      <c r="R121" s="142">
        <v>1000000.01</v>
      </c>
      <c r="S121" s="142">
        <v>1500000</v>
      </c>
      <c r="T121" s="142">
        <v>0</v>
      </c>
      <c r="U121" s="142">
        <f t="shared" ref="U121:U126" si="40">S121</f>
        <v>1500000</v>
      </c>
      <c r="V121" s="142">
        <v>0</v>
      </c>
      <c r="W121" s="142">
        <v>55</v>
      </c>
      <c r="X121" s="142">
        <v>0</v>
      </c>
      <c r="Y121" s="142">
        <v>999</v>
      </c>
      <c r="Z121" s="144">
        <v>720</v>
      </c>
      <c r="AA121" s="144">
        <v>999</v>
      </c>
      <c r="AB121" s="144">
        <v>6</v>
      </c>
      <c r="AC121" s="144">
        <v>999999</v>
      </c>
      <c r="AD121" s="142">
        <v>0</v>
      </c>
      <c r="AE121" s="142">
        <v>75</v>
      </c>
      <c r="AF121" s="170">
        <v>0</v>
      </c>
      <c r="AG121" s="171">
        <v>1</v>
      </c>
      <c r="AH121" s="171">
        <v>1</v>
      </c>
      <c r="AI121" s="171">
        <v>1</v>
      </c>
      <c r="AJ121" s="171">
        <v>0</v>
      </c>
      <c r="AK121" s="171">
        <v>1</v>
      </c>
      <c r="AL121" s="171">
        <v>1</v>
      </c>
      <c r="AM121" s="171">
        <v>1</v>
      </c>
      <c r="AN121" s="171">
        <v>1</v>
      </c>
      <c r="AO121" s="171">
        <v>1</v>
      </c>
      <c r="AP121" s="171">
        <v>1</v>
      </c>
      <c r="AQ121" s="171">
        <v>1</v>
      </c>
      <c r="AR121" s="171">
        <v>1</v>
      </c>
      <c r="AS121" s="171">
        <v>1</v>
      </c>
      <c r="AT121" s="171">
        <v>1</v>
      </c>
      <c r="AU121" s="171">
        <f t="shared" si="24"/>
        <v>0</v>
      </c>
      <c r="AV121" s="171">
        <f t="shared" si="25"/>
        <v>1</v>
      </c>
      <c r="AW121" s="171">
        <f t="shared" si="26"/>
        <v>1</v>
      </c>
      <c r="AX121" s="171">
        <f t="shared" si="37"/>
        <v>1</v>
      </c>
      <c r="AY121" s="171">
        <f t="shared" si="27"/>
        <v>1</v>
      </c>
      <c r="AZ121" s="171">
        <f t="shared" si="28"/>
        <v>1</v>
      </c>
      <c r="BA121" s="172">
        <f t="shared" si="29"/>
        <v>1</v>
      </c>
      <c r="BB121" s="175">
        <f t="shared" si="31"/>
        <v>19</v>
      </c>
      <c r="BC121" s="176">
        <f t="shared" si="32"/>
        <v>18</v>
      </c>
      <c r="BD121" s="176">
        <f t="shared" si="33"/>
        <v>19</v>
      </c>
      <c r="BE121" s="240" t="str">
        <f t="shared" si="30"/>
        <v/>
      </c>
      <c r="BH121" s="192">
        <f>IF(AND(Input_Product=Elig!$C121,Elig_MatchAll_Ct&lt;22,$BC121=(Elig_MatchAll_Ct-1),AF121=0),C121,0)</f>
        <v>0</v>
      </c>
      <c r="BI121" s="193">
        <f>IF(AND(Input_Product=Elig!$C121,Elig_MatchAll_Ct&lt;22,$BC121=(Elig_MatchAll_Ct-1),AG121=0),D121,0)</f>
        <v>0</v>
      </c>
      <c r="BJ121" s="193">
        <f>IF(AND(Input_Product=Elig!$C121,Elig_MatchAll_Ct&lt;22,$BC121=(Elig_MatchAll_Ct-1),AH121=0),E121,0)</f>
        <v>0</v>
      </c>
      <c r="BK121" s="193">
        <f>IF(AND(Input_Product=Elig!$C121,Elig_MatchAll_Ct&lt;22,$BC121=(Elig_MatchAll_Ct-1),AI121=0),F121,0)</f>
        <v>0</v>
      </c>
      <c r="BL121" s="193">
        <f>IF(AND(Input_Product=Elig!$C121,Elig_MatchAll_Ct&lt;22,$BC121=(Elig_MatchAll_Ct-1),AJ121=0),G121,0)</f>
        <v>0</v>
      </c>
      <c r="BM121" s="193">
        <f>IF(AND(Input_Product=Elig!$C121,Elig_MatchAll_Ct&lt;22,$BC121=(Elig_MatchAll_Ct-1),AK121=0),H121,0)</f>
        <v>0</v>
      </c>
      <c r="BN121" s="193">
        <f>IF(AND(Input_Product=Elig!$C121,Elig_MatchAll_Ct&lt;22,$BC121=(Elig_MatchAll_Ct-1),AL121=0),I121,0)</f>
        <v>0</v>
      </c>
      <c r="BO121" s="193">
        <f>IF(AND(Input_Product=Elig!$C121,Elig_MatchAll_Ct&lt;22,$BC121=(Elig_MatchAll_Ct-1),AM121=0),J121,0)</f>
        <v>0</v>
      </c>
      <c r="BP121" s="193">
        <f>IF(AND(Input_Product=Elig!$C121,Elig_MatchAll_Ct&lt;22,$BC121=(Elig_MatchAll_Ct-1),AN121=0),K121,0)</f>
        <v>0</v>
      </c>
      <c r="BQ121" s="193">
        <f>IF(AND(Input_Product=Elig!$C121,Elig_MatchAll_Ct&lt;22,$BC121=(Elig_MatchAll_Ct-1),AP121=0),L121,0)</f>
        <v>0</v>
      </c>
      <c r="BR121" s="193">
        <f>IF(AND(Input_Product=Elig!$C121,Elig_MatchAll_Ct&lt;22,$BC121=(Elig_MatchAll_Ct-1),AO121=0),M121,0)</f>
        <v>0</v>
      </c>
      <c r="BS121" s="193">
        <f>IF(AND(Input_Product=Elig!$C121,Elig_MatchAll_Ct&lt;22,$BC121=(Elig_MatchAll_Ct-1),AQ121=0),N121,0)</f>
        <v>0</v>
      </c>
      <c r="BT121" s="193">
        <f>IF(AND(Input_Product=Elig!$C121,Elig_MatchAll_Ct&lt;22,$BC121=(Elig_MatchAll_Ct-1),AR121=0),O121,0)</f>
        <v>0</v>
      </c>
      <c r="BU121" s="193">
        <f>IF(AND(Input_Product=Elig!$C121,Elig_MatchAll_Ct&lt;22,$BC121=(Elig_MatchAll_Ct-1),AS121=0),P121,0)</f>
        <v>0</v>
      </c>
      <c r="BV121" s="194">
        <f>IF(AND(Input_Product=Elig!$C121,Elig_MatchAll_Ct&lt;22,$BC121=(Elig_MatchAll_Ct-1),AT121=0),Q121,0)</f>
        <v>0</v>
      </c>
      <c r="BW121" s="195">
        <f>IF(AND(Input_Product=Elig!$C121,Elig_MatchAll_Ct&lt;22,$BC121=(Elig_MatchAll_Ct-1),AU121=0),R121,0)</f>
        <v>0</v>
      </c>
      <c r="BX121" s="196">
        <f>IF(AND(Input_Product=Elig!$C121,Elig_MatchAll_Ct&lt;22,$BC121=(Elig_MatchAll_Ct-1),AU121=0),S121,0)</f>
        <v>0</v>
      </c>
      <c r="BY121" s="195">
        <f>IF(AND(Input_Product=Elig!$C121,Elig_MatchAll_Ct&lt;22,$BC121=(Elig_MatchAll_Ct-1),AV121=0),T121,0)</f>
        <v>0</v>
      </c>
      <c r="BZ121" s="196">
        <f>IF(AND(Input_Product=Elig!$C121,Elig_MatchAll_Ct&lt;22,$BC121=(Elig_MatchAll_Ct-1),AV121=0),U121,0)</f>
        <v>0</v>
      </c>
      <c r="CA121" s="195">
        <f>IF(AND(Input_Product=Elig!$C121,Elig_MatchAll_Ct&lt;22,$BC121=(Elig_MatchAll_Ct-1),AW121=0),V121,0)</f>
        <v>0</v>
      </c>
      <c r="CB121" s="196">
        <f>IF(AND(Input_Product=Elig!$C121,Elig_MatchAll_Ct&lt;22,$BC121=(Elig_MatchAll_Ct-1),AW121=0),W121,0)</f>
        <v>0</v>
      </c>
      <c r="CC121" s="195">
        <f>IF(AND(Input_Product=Elig!$C121,Elig_MatchAll_Ct&lt;22,$BC121=(Elig_MatchAll_Ct-1),AX121=0),X121,0)</f>
        <v>0</v>
      </c>
      <c r="CD121" s="196">
        <f>IF(AND(Input_Product=Elig!$C121,Elig_MatchAll_Ct&lt;22,$BC121=(Elig_MatchAll_Ct-1),AX121=0),Y121,0)</f>
        <v>0</v>
      </c>
      <c r="CE121" s="195">
        <f>IF(AND(Input_LTV&lt;=AE121,Input_Product=Elig!$C121,Elig_MatchAll_Ct&lt;22,$BC121=(Elig_MatchAll_Ct-1),AY121=0),Z121,0)</f>
        <v>0</v>
      </c>
      <c r="CF121" s="196">
        <f>IF(AND(Input_LTV&lt;=AE121,Input_Product=Elig!$C121,Elig_MatchAll_Ct&lt;22,$BC121=(Elig_MatchAll_Ct-1),AY121=0),AA121,0)</f>
        <v>0</v>
      </c>
      <c r="CG121" s="195">
        <f>IF(AND(Input_Product=Elig!$C121,Elig_MatchAll_Ct&lt;22,$BC121=(Elig_MatchAll_Ct-1),AZ121=0),AB121,0)</f>
        <v>0</v>
      </c>
      <c r="CH121" s="196">
        <f>IF(AND(Input_Product=Elig!$C121,Elig_MatchAll_Ct&lt;22,$BC121=(Elig_MatchAll_Ct-1),AZ121=0),AC121,0)</f>
        <v>0</v>
      </c>
      <c r="CI121" s="195">
        <f>IF(AND(Input_Product=Elig!$C121,Elig_MatchAll_Ct&lt;22,$BC121=(Elig_MatchAll_Ct-1),BA121=0),AD121,0)</f>
        <v>0</v>
      </c>
      <c r="CJ121" s="197">
        <f>IF(AND(Input_Product=Elig!$C121,Elig_MatchAll_Ct&lt;22,$BC121=(Elig_MatchAll_Ct-1),BA121=0),AE121,0)</f>
        <v>0</v>
      </c>
    </row>
    <row r="122" spans="2:88" ht="10.15" customHeight="1" x14ac:dyDescent="0.25">
      <c r="B122" s="1912" t="s">
        <v>870</v>
      </c>
      <c r="C122" s="134" t="str">
        <f t="shared" si="35"/>
        <v>NonQM OO</v>
      </c>
      <c r="D122" s="135" t="s">
        <v>3885</v>
      </c>
      <c r="E122" s="135" t="s">
        <v>167</v>
      </c>
      <c r="F122" s="135" t="s">
        <v>331</v>
      </c>
      <c r="G122" s="135" t="s">
        <v>473</v>
      </c>
      <c r="H122" s="135" t="s">
        <v>136</v>
      </c>
      <c r="I122" s="136" t="s">
        <v>16</v>
      </c>
      <c r="J122" s="136" t="s">
        <v>1311</v>
      </c>
      <c r="K122" s="136" t="s">
        <v>1631</v>
      </c>
      <c r="L122" s="221" t="s">
        <v>3920</v>
      </c>
      <c r="M122" s="135" t="s">
        <v>4203</v>
      </c>
      <c r="N122" s="135" t="s">
        <v>82</v>
      </c>
      <c r="O122" s="135" t="s">
        <v>310</v>
      </c>
      <c r="P122" s="135" t="s">
        <v>291</v>
      </c>
      <c r="Q122" s="135" t="s">
        <v>294</v>
      </c>
      <c r="R122" s="135">
        <v>1000000.01</v>
      </c>
      <c r="S122" s="135">
        <v>1500000</v>
      </c>
      <c r="T122" s="135">
        <v>0</v>
      </c>
      <c r="U122" s="135">
        <f t="shared" si="40"/>
        <v>1500000</v>
      </c>
      <c r="V122" s="135">
        <v>0</v>
      </c>
      <c r="W122" s="135">
        <v>55</v>
      </c>
      <c r="X122" s="135">
        <v>0</v>
      </c>
      <c r="Y122" s="135">
        <v>999</v>
      </c>
      <c r="Z122" s="137">
        <v>700</v>
      </c>
      <c r="AA122" s="137">
        <v>719</v>
      </c>
      <c r="AB122" s="137">
        <v>6</v>
      </c>
      <c r="AC122" s="137">
        <v>999999</v>
      </c>
      <c r="AD122" s="135">
        <v>0</v>
      </c>
      <c r="AE122" s="135">
        <v>75</v>
      </c>
      <c r="AF122" s="170">
        <v>0</v>
      </c>
      <c r="AG122" s="171">
        <v>1</v>
      </c>
      <c r="AH122" s="171">
        <v>1</v>
      </c>
      <c r="AI122" s="171">
        <v>1</v>
      </c>
      <c r="AJ122" s="171">
        <v>0</v>
      </c>
      <c r="AK122" s="171">
        <v>1</v>
      </c>
      <c r="AL122" s="171">
        <v>1</v>
      </c>
      <c r="AM122" s="171">
        <v>1</v>
      </c>
      <c r="AN122" s="171">
        <v>1</v>
      </c>
      <c r="AO122" s="171">
        <v>1</v>
      </c>
      <c r="AP122" s="171">
        <v>1</v>
      </c>
      <c r="AQ122" s="171">
        <v>1</v>
      </c>
      <c r="AR122" s="171">
        <v>1</v>
      </c>
      <c r="AS122" s="171">
        <v>1</v>
      </c>
      <c r="AT122" s="171">
        <v>1</v>
      </c>
      <c r="AU122" s="171">
        <f t="shared" si="24"/>
        <v>0</v>
      </c>
      <c r="AV122" s="171">
        <f t="shared" si="25"/>
        <v>1</v>
      </c>
      <c r="AW122" s="171">
        <f t="shared" si="26"/>
        <v>1</v>
      </c>
      <c r="AX122" s="171">
        <f t="shared" si="37"/>
        <v>1</v>
      </c>
      <c r="AY122" s="171">
        <f t="shared" si="27"/>
        <v>0</v>
      </c>
      <c r="AZ122" s="171">
        <f t="shared" si="28"/>
        <v>1</v>
      </c>
      <c r="BA122" s="172">
        <f t="shared" si="29"/>
        <v>1</v>
      </c>
      <c r="BB122" s="175">
        <f t="shared" si="31"/>
        <v>18</v>
      </c>
      <c r="BC122" s="176">
        <f t="shared" si="32"/>
        <v>17</v>
      </c>
      <c r="BD122" s="176">
        <f t="shared" si="33"/>
        <v>18</v>
      </c>
      <c r="BE122" s="240" t="str">
        <f t="shared" si="30"/>
        <v/>
      </c>
      <c r="BH122" s="198">
        <f>IF(AND(Input_Product=Elig!$C122,Elig_MatchAll_Ct&lt;22,$BC122=(Elig_MatchAll_Ct-1),AF122=0),C122,0)</f>
        <v>0</v>
      </c>
      <c r="BI122" s="199">
        <f>IF(AND(Input_Product=Elig!$C122,Elig_MatchAll_Ct&lt;22,$BC122=(Elig_MatchAll_Ct-1),AG122=0),D122,0)</f>
        <v>0</v>
      </c>
      <c r="BJ122" s="199">
        <f>IF(AND(Input_Product=Elig!$C122,Elig_MatchAll_Ct&lt;22,$BC122=(Elig_MatchAll_Ct-1),AH122=0),E122,0)</f>
        <v>0</v>
      </c>
      <c r="BK122" s="199">
        <f>IF(AND(Input_Product=Elig!$C122,Elig_MatchAll_Ct&lt;22,$BC122=(Elig_MatchAll_Ct-1),AI122=0),F122,0)</f>
        <v>0</v>
      </c>
      <c r="BL122" s="199">
        <f>IF(AND(Input_Product=Elig!$C122,Elig_MatchAll_Ct&lt;22,$BC122=(Elig_MatchAll_Ct-1),AJ122=0),G122,0)</f>
        <v>0</v>
      </c>
      <c r="BM122" s="199">
        <f>IF(AND(Input_Product=Elig!$C122,Elig_MatchAll_Ct&lt;22,$BC122=(Elig_MatchAll_Ct-1),AK122=0),H122,0)</f>
        <v>0</v>
      </c>
      <c r="BN122" s="199">
        <f>IF(AND(Input_Product=Elig!$C122,Elig_MatchAll_Ct&lt;22,$BC122=(Elig_MatchAll_Ct-1),AL122=0),I122,0)</f>
        <v>0</v>
      </c>
      <c r="BO122" s="199">
        <f>IF(AND(Input_Product=Elig!$C122,Elig_MatchAll_Ct&lt;22,$BC122=(Elig_MatchAll_Ct-1),AM122=0),J122,0)</f>
        <v>0</v>
      </c>
      <c r="BP122" s="199">
        <f>IF(AND(Input_Product=Elig!$C122,Elig_MatchAll_Ct&lt;22,$BC122=(Elig_MatchAll_Ct-1),AN122=0),K122,0)</f>
        <v>0</v>
      </c>
      <c r="BQ122" s="199">
        <f>IF(AND(Input_Product=Elig!$C122,Elig_MatchAll_Ct&lt;22,$BC122=(Elig_MatchAll_Ct-1),AP122=0),L122,0)</f>
        <v>0</v>
      </c>
      <c r="BR122" s="199">
        <f>IF(AND(Input_Product=Elig!$C122,Elig_MatchAll_Ct&lt;22,$BC122=(Elig_MatchAll_Ct-1),AO122=0),M122,0)</f>
        <v>0</v>
      </c>
      <c r="BS122" s="199">
        <f>IF(AND(Input_Product=Elig!$C122,Elig_MatchAll_Ct&lt;22,$BC122=(Elig_MatchAll_Ct-1),AQ122=0),N122,0)</f>
        <v>0</v>
      </c>
      <c r="BT122" s="199">
        <f>IF(AND(Input_Product=Elig!$C122,Elig_MatchAll_Ct&lt;22,$BC122=(Elig_MatchAll_Ct-1),AR122=0),O122,0)</f>
        <v>0</v>
      </c>
      <c r="BU122" s="199">
        <f>IF(AND(Input_Product=Elig!$C122,Elig_MatchAll_Ct&lt;22,$BC122=(Elig_MatchAll_Ct-1),AS122=0),P122,0)</f>
        <v>0</v>
      </c>
      <c r="BV122" s="200">
        <f>IF(AND(Input_Product=Elig!$C122,Elig_MatchAll_Ct&lt;22,$BC122=(Elig_MatchAll_Ct-1),AT122=0),Q122,0)</f>
        <v>0</v>
      </c>
      <c r="BW122" s="201">
        <f>IF(AND(Input_Product=Elig!$C122,Elig_MatchAll_Ct&lt;22,$BC122=(Elig_MatchAll_Ct-1),AU122=0),R122,0)</f>
        <v>0</v>
      </c>
      <c r="BX122" s="202">
        <f>IF(AND(Input_Product=Elig!$C122,Elig_MatchAll_Ct&lt;22,$BC122=(Elig_MatchAll_Ct-1),AU122=0),S122,0)</f>
        <v>0</v>
      </c>
      <c r="BY122" s="201">
        <f>IF(AND(Input_Product=Elig!$C122,Elig_MatchAll_Ct&lt;22,$BC122=(Elig_MatchAll_Ct-1),AV122=0),T122,0)</f>
        <v>0</v>
      </c>
      <c r="BZ122" s="202">
        <f>IF(AND(Input_Product=Elig!$C122,Elig_MatchAll_Ct&lt;22,$BC122=(Elig_MatchAll_Ct-1),AV122=0),U122,0)</f>
        <v>0</v>
      </c>
      <c r="CA122" s="201">
        <f>IF(AND(Input_Product=Elig!$C122,Elig_MatchAll_Ct&lt;22,$BC122=(Elig_MatchAll_Ct-1),AW122=0),V122,0)</f>
        <v>0</v>
      </c>
      <c r="CB122" s="202">
        <f>IF(AND(Input_Product=Elig!$C122,Elig_MatchAll_Ct&lt;22,$BC122=(Elig_MatchAll_Ct-1),AW122=0),W122,0)</f>
        <v>0</v>
      </c>
      <c r="CC122" s="201">
        <f>IF(AND(Input_Product=Elig!$C122,Elig_MatchAll_Ct&lt;22,$BC122=(Elig_MatchAll_Ct-1),AX122=0),X122,0)</f>
        <v>0</v>
      </c>
      <c r="CD122" s="202">
        <f>IF(AND(Input_Product=Elig!$C122,Elig_MatchAll_Ct&lt;22,$BC122=(Elig_MatchAll_Ct-1),AX122=0),Y122,0)</f>
        <v>0</v>
      </c>
      <c r="CE122" s="201">
        <f>IF(AND(Input_LTV&lt;=AE122,Input_Product=Elig!$C122,Elig_MatchAll_Ct&lt;22,$BC122=(Elig_MatchAll_Ct-1),AY122=0),Z122,0)</f>
        <v>0</v>
      </c>
      <c r="CF122" s="202">
        <f>IF(AND(Input_LTV&lt;=AE122,Input_Product=Elig!$C122,Elig_MatchAll_Ct&lt;22,$BC122=(Elig_MatchAll_Ct-1),AY122=0),AA122,0)</f>
        <v>0</v>
      </c>
      <c r="CG122" s="201">
        <f>IF(AND(Input_Product=Elig!$C122,Elig_MatchAll_Ct&lt;22,$BC122=(Elig_MatchAll_Ct-1),AZ122=0),AB122,0)</f>
        <v>0</v>
      </c>
      <c r="CH122" s="202">
        <f>IF(AND(Input_Product=Elig!$C122,Elig_MatchAll_Ct&lt;22,$BC122=(Elig_MatchAll_Ct-1),AZ122=0),AC122,0)</f>
        <v>0</v>
      </c>
      <c r="CI122" s="201">
        <f>IF(AND(Input_Product=Elig!$C122,Elig_MatchAll_Ct&lt;22,$BC122=(Elig_MatchAll_Ct-1),BA122=0),AD122,0)</f>
        <v>0</v>
      </c>
      <c r="CJ122" s="203">
        <f>IF(AND(Input_Product=Elig!$C122,Elig_MatchAll_Ct&lt;22,$BC122=(Elig_MatchAll_Ct-1),BA122=0),AE122,0)</f>
        <v>0</v>
      </c>
    </row>
    <row r="123" spans="2:88" ht="10.15" customHeight="1" x14ac:dyDescent="0.25">
      <c r="B123" s="1912" t="s">
        <v>871</v>
      </c>
      <c r="C123" s="134" t="str">
        <f t="shared" si="35"/>
        <v>NonQM OO</v>
      </c>
      <c r="D123" s="135" t="s">
        <v>3885</v>
      </c>
      <c r="E123" s="135" t="s">
        <v>167</v>
      </c>
      <c r="F123" s="135" t="s">
        <v>331</v>
      </c>
      <c r="G123" s="135" t="s">
        <v>473</v>
      </c>
      <c r="H123" s="135" t="s">
        <v>136</v>
      </c>
      <c r="I123" s="136" t="s">
        <v>16</v>
      </c>
      <c r="J123" s="136" t="s">
        <v>1311</v>
      </c>
      <c r="K123" s="136" t="s">
        <v>1631</v>
      </c>
      <c r="L123" s="221" t="s">
        <v>3920</v>
      </c>
      <c r="M123" s="135" t="s">
        <v>4203</v>
      </c>
      <c r="N123" s="135" t="s">
        <v>82</v>
      </c>
      <c r="O123" s="135" t="s">
        <v>310</v>
      </c>
      <c r="P123" s="135" t="s">
        <v>291</v>
      </c>
      <c r="Q123" s="135" t="s">
        <v>294</v>
      </c>
      <c r="R123" s="135">
        <v>1000000.01</v>
      </c>
      <c r="S123" s="135">
        <v>1500000</v>
      </c>
      <c r="T123" s="135">
        <v>0</v>
      </c>
      <c r="U123" s="135">
        <f t="shared" si="40"/>
        <v>1500000</v>
      </c>
      <c r="V123" s="135">
        <v>0</v>
      </c>
      <c r="W123" s="135">
        <v>55</v>
      </c>
      <c r="X123" s="135">
        <v>0</v>
      </c>
      <c r="Y123" s="135">
        <v>999</v>
      </c>
      <c r="Z123" s="137">
        <v>680</v>
      </c>
      <c r="AA123" s="137">
        <v>699</v>
      </c>
      <c r="AB123" s="137">
        <v>6</v>
      </c>
      <c r="AC123" s="137">
        <v>999999</v>
      </c>
      <c r="AD123" s="135">
        <v>0</v>
      </c>
      <c r="AE123" s="135">
        <v>70</v>
      </c>
      <c r="AF123" s="170">
        <v>0</v>
      </c>
      <c r="AG123" s="171">
        <v>1</v>
      </c>
      <c r="AH123" s="171">
        <v>1</v>
      </c>
      <c r="AI123" s="171">
        <v>1</v>
      </c>
      <c r="AJ123" s="171">
        <v>0</v>
      </c>
      <c r="AK123" s="171">
        <v>1</v>
      </c>
      <c r="AL123" s="171">
        <v>1</v>
      </c>
      <c r="AM123" s="171">
        <v>1</v>
      </c>
      <c r="AN123" s="171">
        <v>1</v>
      </c>
      <c r="AO123" s="171">
        <v>1</v>
      </c>
      <c r="AP123" s="171">
        <v>1</v>
      </c>
      <c r="AQ123" s="171">
        <v>1</v>
      </c>
      <c r="AR123" s="171">
        <v>1</v>
      </c>
      <c r="AS123" s="171">
        <v>1</v>
      </c>
      <c r="AT123" s="171">
        <v>1</v>
      </c>
      <c r="AU123" s="171">
        <f t="shared" ref="AU123:AU186" si="41">IF(AND(Input_LoanAmt&gt;=Elig_LoanAmt_Min,Input_LoanAmt&lt;=Elig_LoanAmt_Max),1,0)</f>
        <v>0</v>
      </c>
      <c r="AV123" s="171">
        <f t="shared" ref="AV123:AV186" si="42">IF(AND(Input_CashoutAmt&gt;=Elig_CashoutAmt_Min,Input_CashoutAmt&lt;=Elig_CashoutAmt_Max),1,0)</f>
        <v>1</v>
      </c>
      <c r="AW123" s="171">
        <f t="shared" ref="AW123:AW186" si="43">IF(AND(Input_DTI&gt;=Elig_DTI_Min,Input_DTI&lt;=Elig_DTI_Max),1,0)</f>
        <v>1</v>
      </c>
      <c r="AX123" s="171">
        <f t="shared" si="37"/>
        <v>1</v>
      </c>
      <c r="AY123" s="171">
        <f t="shared" ref="AY123:AY186" si="44">IF(AND(Input_CreditScore&gt;=Elig_CreditScore_Min,Input_CreditScore&lt;=Elig_CreditScore_Max),1,0)</f>
        <v>0</v>
      </c>
      <c r="AZ123" s="171">
        <f t="shared" ref="AZ123:AZ186" si="45">IF(AND(Input_ReservesMonths&gt;=Elig_Reserves_Min,Input_ReservesMonths&lt;=Elig_Reserves_Max),1,0)</f>
        <v>1</v>
      </c>
      <c r="BA123" s="172">
        <f t="shared" ref="BA123:BA186" si="46">IF(AND(Input_LTV&gt;=Elig_LTV_Min,Input_LTV&lt;=Elig_LTV_Max),1,0)</f>
        <v>1</v>
      </c>
      <c r="BB123" s="175">
        <f t="shared" si="31"/>
        <v>18</v>
      </c>
      <c r="BC123" s="176">
        <f t="shared" si="32"/>
        <v>17</v>
      </c>
      <c r="BD123" s="176">
        <f t="shared" si="33"/>
        <v>18</v>
      </c>
      <c r="BE123" s="240" t="str">
        <f t="shared" si="30"/>
        <v/>
      </c>
      <c r="BH123" s="198">
        <f>IF(AND(Input_Product=Elig!$C123,Elig_MatchAll_Ct&lt;22,$BC123=(Elig_MatchAll_Ct-1),AF123=0),C123,0)</f>
        <v>0</v>
      </c>
      <c r="BI123" s="199">
        <f>IF(AND(Input_Product=Elig!$C123,Elig_MatchAll_Ct&lt;22,$BC123=(Elig_MatchAll_Ct-1),AG123=0),D123,0)</f>
        <v>0</v>
      </c>
      <c r="BJ123" s="199">
        <f>IF(AND(Input_Product=Elig!$C123,Elig_MatchAll_Ct&lt;22,$BC123=(Elig_MatchAll_Ct-1),AH123=0),E123,0)</f>
        <v>0</v>
      </c>
      <c r="BK123" s="199">
        <f>IF(AND(Input_Product=Elig!$C123,Elig_MatchAll_Ct&lt;22,$BC123=(Elig_MatchAll_Ct-1),AI123=0),F123,0)</f>
        <v>0</v>
      </c>
      <c r="BL123" s="199">
        <f>IF(AND(Input_Product=Elig!$C123,Elig_MatchAll_Ct&lt;22,$BC123=(Elig_MatchAll_Ct-1),AJ123=0),G123,0)</f>
        <v>0</v>
      </c>
      <c r="BM123" s="199">
        <f>IF(AND(Input_Product=Elig!$C123,Elig_MatchAll_Ct&lt;22,$BC123=(Elig_MatchAll_Ct-1),AK123=0),H123,0)</f>
        <v>0</v>
      </c>
      <c r="BN123" s="199">
        <f>IF(AND(Input_Product=Elig!$C123,Elig_MatchAll_Ct&lt;22,$BC123=(Elig_MatchAll_Ct-1),AL123=0),I123,0)</f>
        <v>0</v>
      </c>
      <c r="BO123" s="199">
        <f>IF(AND(Input_Product=Elig!$C123,Elig_MatchAll_Ct&lt;22,$BC123=(Elig_MatchAll_Ct-1),AM123=0),J123,0)</f>
        <v>0</v>
      </c>
      <c r="BP123" s="199">
        <f>IF(AND(Input_Product=Elig!$C123,Elig_MatchAll_Ct&lt;22,$BC123=(Elig_MatchAll_Ct-1),AN123=0),K123,0)</f>
        <v>0</v>
      </c>
      <c r="BQ123" s="199">
        <f>IF(AND(Input_Product=Elig!$C123,Elig_MatchAll_Ct&lt;22,$BC123=(Elig_MatchAll_Ct-1),AP123=0),L123,0)</f>
        <v>0</v>
      </c>
      <c r="BR123" s="199">
        <f>IF(AND(Input_Product=Elig!$C123,Elig_MatchAll_Ct&lt;22,$BC123=(Elig_MatchAll_Ct-1),AO123=0),M123,0)</f>
        <v>0</v>
      </c>
      <c r="BS123" s="199">
        <f>IF(AND(Input_Product=Elig!$C123,Elig_MatchAll_Ct&lt;22,$BC123=(Elig_MatchAll_Ct-1),AQ123=0),N123,0)</f>
        <v>0</v>
      </c>
      <c r="BT123" s="199">
        <f>IF(AND(Input_Product=Elig!$C123,Elig_MatchAll_Ct&lt;22,$BC123=(Elig_MatchAll_Ct-1),AR123=0),O123,0)</f>
        <v>0</v>
      </c>
      <c r="BU123" s="199">
        <f>IF(AND(Input_Product=Elig!$C123,Elig_MatchAll_Ct&lt;22,$BC123=(Elig_MatchAll_Ct-1),AS123=0),P123,0)</f>
        <v>0</v>
      </c>
      <c r="BV123" s="200">
        <f>IF(AND(Input_Product=Elig!$C123,Elig_MatchAll_Ct&lt;22,$BC123=(Elig_MatchAll_Ct-1),AT123=0),Q123,0)</f>
        <v>0</v>
      </c>
      <c r="BW123" s="201">
        <f>IF(AND(Input_Product=Elig!$C123,Elig_MatchAll_Ct&lt;22,$BC123=(Elig_MatchAll_Ct-1),AU123=0),R123,0)</f>
        <v>0</v>
      </c>
      <c r="BX123" s="202">
        <f>IF(AND(Input_Product=Elig!$C123,Elig_MatchAll_Ct&lt;22,$BC123=(Elig_MatchAll_Ct-1),AU123=0),S123,0)</f>
        <v>0</v>
      </c>
      <c r="BY123" s="201">
        <f>IF(AND(Input_Product=Elig!$C123,Elig_MatchAll_Ct&lt;22,$BC123=(Elig_MatchAll_Ct-1),AV123=0),T123,0)</f>
        <v>0</v>
      </c>
      <c r="BZ123" s="202">
        <f>IF(AND(Input_Product=Elig!$C123,Elig_MatchAll_Ct&lt;22,$BC123=(Elig_MatchAll_Ct-1),AV123=0),U123,0)</f>
        <v>0</v>
      </c>
      <c r="CA123" s="201">
        <f>IF(AND(Input_Product=Elig!$C123,Elig_MatchAll_Ct&lt;22,$BC123=(Elig_MatchAll_Ct-1),AW123=0),V123,0)</f>
        <v>0</v>
      </c>
      <c r="CB123" s="202">
        <f>IF(AND(Input_Product=Elig!$C123,Elig_MatchAll_Ct&lt;22,$BC123=(Elig_MatchAll_Ct-1),AW123=0),W123,0)</f>
        <v>0</v>
      </c>
      <c r="CC123" s="201">
        <f>IF(AND(Input_Product=Elig!$C123,Elig_MatchAll_Ct&lt;22,$BC123=(Elig_MatchAll_Ct-1),AX123=0),X123,0)</f>
        <v>0</v>
      </c>
      <c r="CD123" s="202">
        <f>IF(AND(Input_Product=Elig!$C123,Elig_MatchAll_Ct&lt;22,$BC123=(Elig_MatchAll_Ct-1),AX123=0),Y123,0)</f>
        <v>0</v>
      </c>
      <c r="CE123" s="201">
        <f>IF(AND(Input_LTV&lt;=AE123,Input_Product=Elig!$C123,Elig_MatchAll_Ct&lt;22,$BC123=(Elig_MatchAll_Ct-1),AY123=0),Z123,0)</f>
        <v>0</v>
      </c>
      <c r="CF123" s="202">
        <f>IF(AND(Input_LTV&lt;=AE123,Input_Product=Elig!$C123,Elig_MatchAll_Ct&lt;22,$BC123=(Elig_MatchAll_Ct-1),AY123=0),AA123,0)</f>
        <v>0</v>
      </c>
      <c r="CG123" s="201">
        <f>IF(AND(Input_Product=Elig!$C123,Elig_MatchAll_Ct&lt;22,$BC123=(Elig_MatchAll_Ct-1),AZ123=0),AB123,0)</f>
        <v>0</v>
      </c>
      <c r="CH123" s="202">
        <f>IF(AND(Input_Product=Elig!$C123,Elig_MatchAll_Ct&lt;22,$BC123=(Elig_MatchAll_Ct-1),AZ123=0),AC123,0)</f>
        <v>0</v>
      </c>
      <c r="CI123" s="201">
        <f>IF(AND(Input_Product=Elig!$C123,Elig_MatchAll_Ct&lt;22,$BC123=(Elig_MatchAll_Ct-1),BA123=0),AD123,0)</f>
        <v>0</v>
      </c>
      <c r="CJ123" s="203">
        <f>IF(AND(Input_Product=Elig!$C123,Elig_MatchAll_Ct&lt;22,$BC123=(Elig_MatchAll_Ct-1),BA123=0),AE123,0)</f>
        <v>0</v>
      </c>
    </row>
    <row r="124" spans="2:88" ht="10.15" customHeight="1" x14ac:dyDescent="0.25">
      <c r="B124" s="1912" t="s">
        <v>872</v>
      </c>
      <c r="C124" s="134" t="str">
        <f t="shared" si="35"/>
        <v>NonQM OO</v>
      </c>
      <c r="D124" s="135" t="s">
        <v>3885</v>
      </c>
      <c r="E124" s="135" t="s">
        <v>167</v>
      </c>
      <c r="F124" s="135" t="s">
        <v>331</v>
      </c>
      <c r="G124" s="135" t="s">
        <v>473</v>
      </c>
      <c r="H124" s="135" t="s">
        <v>136</v>
      </c>
      <c r="I124" s="135" t="s">
        <v>16</v>
      </c>
      <c r="J124" s="135" t="s">
        <v>1311</v>
      </c>
      <c r="K124" s="135" t="s">
        <v>1631</v>
      </c>
      <c r="L124" s="221" t="s">
        <v>3920</v>
      </c>
      <c r="M124" s="135" t="s">
        <v>4203</v>
      </c>
      <c r="N124" s="135" t="s">
        <v>82</v>
      </c>
      <c r="O124" s="135" t="s">
        <v>310</v>
      </c>
      <c r="P124" s="135" t="s">
        <v>291</v>
      </c>
      <c r="Q124" s="135" t="s">
        <v>294</v>
      </c>
      <c r="R124" s="135">
        <v>1000000.01</v>
      </c>
      <c r="S124" s="135">
        <v>1500000</v>
      </c>
      <c r="T124" s="135">
        <v>0</v>
      </c>
      <c r="U124" s="135">
        <f t="shared" si="40"/>
        <v>1500000</v>
      </c>
      <c r="V124" s="135">
        <v>0</v>
      </c>
      <c r="W124" s="135">
        <v>55</v>
      </c>
      <c r="X124" s="135">
        <v>0</v>
      </c>
      <c r="Y124" s="135">
        <v>999</v>
      </c>
      <c r="Z124" s="137">
        <v>660</v>
      </c>
      <c r="AA124" s="137">
        <v>679</v>
      </c>
      <c r="AB124" s="137">
        <v>6</v>
      </c>
      <c r="AC124" s="137">
        <v>999999</v>
      </c>
      <c r="AD124" s="135">
        <v>0</v>
      </c>
      <c r="AE124" s="135">
        <v>65</v>
      </c>
      <c r="AF124" s="170">
        <v>0</v>
      </c>
      <c r="AG124" s="171">
        <v>1</v>
      </c>
      <c r="AH124" s="171">
        <v>1</v>
      </c>
      <c r="AI124" s="171">
        <v>1</v>
      </c>
      <c r="AJ124" s="171">
        <v>0</v>
      </c>
      <c r="AK124" s="171">
        <v>1</v>
      </c>
      <c r="AL124" s="171">
        <v>1</v>
      </c>
      <c r="AM124" s="171">
        <v>1</v>
      </c>
      <c r="AN124" s="171">
        <v>1</v>
      </c>
      <c r="AO124" s="171">
        <v>1</v>
      </c>
      <c r="AP124" s="171">
        <v>1</v>
      </c>
      <c r="AQ124" s="171">
        <v>1</v>
      </c>
      <c r="AR124" s="171">
        <v>1</v>
      </c>
      <c r="AS124" s="171">
        <v>1</v>
      </c>
      <c r="AT124" s="171">
        <v>1</v>
      </c>
      <c r="AU124" s="171">
        <f t="shared" si="41"/>
        <v>0</v>
      </c>
      <c r="AV124" s="171">
        <f t="shared" si="42"/>
        <v>1</v>
      </c>
      <c r="AW124" s="171">
        <f t="shared" si="43"/>
        <v>1</v>
      </c>
      <c r="AX124" s="171">
        <f t="shared" si="37"/>
        <v>1</v>
      </c>
      <c r="AY124" s="171">
        <f t="shared" si="44"/>
        <v>0</v>
      </c>
      <c r="AZ124" s="171">
        <f t="shared" si="45"/>
        <v>1</v>
      </c>
      <c r="BA124" s="172">
        <f t="shared" si="46"/>
        <v>1</v>
      </c>
      <c r="BB124" s="175">
        <f t="shared" si="31"/>
        <v>18</v>
      </c>
      <c r="BC124" s="176">
        <f t="shared" si="32"/>
        <v>17</v>
      </c>
      <c r="BD124" s="176">
        <f t="shared" si="33"/>
        <v>18</v>
      </c>
      <c r="BE124" s="240" t="str">
        <f t="shared" si="30"/>
        <v/>
      </c>
      <c r="BH124" s="198">
        <f>IF(AND(Input_Product=Elig!$C124,Elig_MatchAll_Ct&lt;22,$BC124=(Elig_MatchAll_Ct-1),AF124=0),C124,0)</f>
        <v>0</v>
      </c>
      <c r="BI124" s="199">
        <f>IF(AND(Input_Product=Elig!$C124,Elig_MatchAll_Ct&lt;22,$BC124=(Elig_MatchAll_Ct-1),AG124=0),D124,0)</f>
        <v>0</v>
      </c>
      <c r="BJ124" s="199">
        <f>IF(AND(Input_Product=Elig!$C124,Elig_MatchAll_Ct&lt;22,$BC124=(Elig_MatchAll_Ct-1),AH124=0),E124,0)</f>
        <v>0</v>
      </c>
      <c r="BK124" s="199">
        <f>IF(AND(Input_Product=Elig!$C124,Elig_MatchAll_Ct&lt;22,$BC124=(Elig_MatchAll_Ct-1),AI124=0),F124,0)</f>
        <v>0</v>
      </c>
      <c r="BL124" s="199">
        <f>IF(AND(Input_Product=Elig!$C124,Elig_MatchAll_Ct&lt;22,$BC124=(Elig_MatchAll_Ct-1),AJ124=0),G124,0)</f>
        <v>0</v>
      </c>
      <c r="BM124" s="199">
        <f>IF(AND(Input_Product=Elig!$C124,Elig_MatchAll_Ct&lt;22,$BC124=(Elig_MatchAll_Ct-1),AK124=0),H124,0)</f>
        <v>0</v>
      </c>
      <c r="BN124" s="199">
        <f>IF(AND(Input_Product=Elig!$C124,Elig_MatchAll_Ct&lt;22,$BC124=(Elig_MatchAll_Ct-1),AL124=0),I124,0)</f>
        <v>0</v>
      </c>
      <c r="BO124" s="199">
        <f>IF(AND(Input_Product=Elig!$C124,Elig_MatchAll_Ct&lt;22,$BC124=(Elig_MatchAll_Ct-1),AM124=0),J124,0)</f>
        <v>0</v>
      </c>
      <c r="BP124" s="199">
        <f>IF(AND(Input_Product=Elig!$C124,Elig_MatchAll_Ct&lt;22,$BC124=(Elig_MatchAll_Ct-1),AN124=0),K124,0)</f>
        <v>0</v>
      </c>
      <c r="BQ124" s="199">
        <f>IF(AND(Input_Product=Elig!$C124,Elig_MatchAll_Ct&lt;22,$BC124=(Elig_MatchAll_Ct-1),AP124=0),L124,0)</f>
        <v>0</v>
      </c>
      <c r="BR124" s="199">
        <f>IF(AND(Input_Product=Elig!$C124,Elig_MatchAll_Ct&lt;22,$BC124=(Elig_MatchAll_Ct-1),AO124=0),M124,0)</f>
        <v>0</v>
      </c>
      <c r="BS124" s="199">
        <f>IF(AND(Input_Product=Elig!$C124,Elig_MatchAll_Ct&lt;22,$BC124=(Elig_MatchAll_Ct-1),AQ124=0),N124,0)</f>
        <v>0</v>
      </c>
      <c r="BT124" s="199">
        <f>IF(AND(Input_Product=Elig!$C124,Elig_MatchAll_Ct&lt;22,$BC124=(Elig_MatchAll_Ct-1),AR124=0),O124,0)</f>
        <v>0</v>
      </c>
      <c r="BU124" s="199">
        <f>IF(AND(Input_Product=Elig!$C124,Elig_MatchAll_Ct&lt;22,$BC124=(Elig_MatchAll_Ct-1),AS124=0),P124,0)</f>
        <v>0</v>
      </c>
      <c r="BV124" s="200">
        <f>IF(AND(Input_Product=Elig!$C124,Elig_MatchAll_Ct&lt;22,$BC124=(Elig_MatchAll_Ct-1),AT124=0),Q124,0)</f>
        <v>0</v>
      </c>
      <c r="BW124" s="201">
        <f>IF(AND(Input_Product=Elig!$C124,Elig_MatchAll_Ct&lt;22,$BC124=(Elig_MatchAll_Ct-1),AU124=0),R124,0)</f>
        <v>0</v>
      </c>
      <c r="BX124" s="202">
        <f>IF(AND(Input_Product=Elig!$C124,Elig_MatchAll_Ct&lt;22,$BC124=(Elig_MatchAll_Ct-1),AU124=0),S124,0)</f>
        <v>0</v>
      </c>
      <c r="BY124" s="201">
        <f>IF(AND(Input_Product=Elig!$C124,Elig_MatchAll_Ct&lt;22,$BC124=(Elig_MatchAll_Ct-1),AV124=0),T124,0)</f>
        <v>0</v>
      </c>
      <c r="BZ124" s="202">
        <f>IF(AND(Input_Product=Elig!$C124,Elig_MatchAll_Ct&lt;22,$BC124=(Elig_MatchAll_Ct-1),AV124=0),U124,0)</f>
        <v>0</v>
      </c>
      <c r="CA124" s="201">
        <f>IF(AND(Input_Product=Elig!$C124,Elig_MatchAll_Ct&lt;22,$BC124=(Elig_MatchAll_Ct-1),AW124=0),V124,0)</f>
        <v>0</v>
      </c>
      <c r="CB124" s="202">
        <f>IF(AND(Input_Product=Elig!$C124,Elig_MatchAll_Ct&lt;22,$BC124=(Elig_MatchAll_Ct-1),AW124=0),W124,0)</f>
        <v>0</v>
      </c>
      <c r="CC124" s="201">
        <f>IF(AND(Input_Product=Elig!$C124,Elig_MatchAll_Ct&lt;22,$BC124=(Elig_MatchAll_Ct-1),AX124=0),X124,0)</f>
        <v>0</v>
      </c>
      <c r="CD124" s="202">
        <f>IF(AND(Input_Product=Elig!$C124,Elig_MatchAll_Ct&lt;22,$BC124=(Elig_MatchAll_Ct-1),AX124=0),Y124,0)</f>
        <v>0</v>
      </c>
      <c r="CE124" s="201">
        <f>IF(AND(Input_LTV&lt;=AE124,Input_Product=Elig!$C124,Elig_MatchAll_Ct&lt;22,$BC124=(Elig_MatchAll_Ct-1),AY124=0),Z124,0)</f>
        <v>0</v>
      </c>
      <c r="CF124" s="202">
        <f>IF(AND(Input_LTV&lt;=AE124,Input_Product=Elig!$C124,Elig_MatchAll_Ct&lt;22,$BC124=(Elig_MatchAll_Ct-1),AY124=0),AA124,0)</f>
        <v>0</v>
      </c>
      <c r="CG124" s="201">
        <f>IF(AND(Input_Product=Elig!$C124,Elig_MatchAll_Ct&lt;22,$BC124=(Elig_MatchAll_Ct-1),AZ124=0),AB124,0)</f>
        <v>0</v>
      </c>
      <c r="CH124" s="202">
        <f>IF(AND(Input_Product=Elig!$C124,Elig_MatchAll_Ct&lt;22,$BC124=(Elig_MatchAll_Ct-1),AZ124=0),AC124,0)</f>
        <v>0</v>
      </c>
      <c r="CI124" s="201">
        <f>IF(AND(Input_Product=Elig!$C124,Elig_MatchAll_Ct&lt;22,$BC124=(Elig_MatchAll_Ct-1),BA124=0),AD124,0)</f>
        <v>0</v>
      </c>
      <c r="CJ124" s="203">
        <f>IF(AND(Input_Product=Elig!$C124,Elig_MatchAll_Ct&lt;22,$BC124=(Elig_MatchAll_Ct-1),BA124=0),AE124,0)</f>
        <v>0</v>
      </c>
    </row>
    <row r="125" spans="2:88" ht="10.15" customHeight="1" x14ac:dyDescent="0.25">
      <c r="B125" s="1912" t="s">
        <v>873</v>
      </c>
      <c r="C125" s="134" t="str">
        <f t="shared" si="35"/>
        <v>NonQM OO</v>
      </c>
      <c r="D125" s="135" t="s">
        <v>3885</v>
      </c>
      <c r="E125" s="135" t="s">
        <v>167</v>
      </c>
      <c r="F125" s="135" t="s">
        <v>331</v>
      </c>
      <c r="G125" s="135" t="s">
        <v>473</v>
      </c>
      <c r="H125" s="135" t="s">
        <v>136</v>
      </c>
      <c r="I125" s="135" t="s">
        <v>16</v>
      </c>
      <c r="J125" s="135" t="s">
        <v>1311</v>
      </c>
      <c r="K125" s="135" t="s">
        <v>1631</v>
      </c>
      <c r="L125" s="221" t="s">
        <v>3920</v>
      </c>
      <c r="M125" s="135" t="s">
        <v>4203</v>
      </c>
      <c r="N125" s="135" t="s">
        <v>82</v>
      </c>
      <c r="O125" s="135" t="s">
        <v>310</v>
      </c>
      <c r="P125" s="135" t="s">
        <v>291</v>
      </c>
      <c r="Q125" s="135" t="s">
        <v>294</v>
      </c>
      <c r="R125" s="135">
        <v>1000000.01</v>
      </c>
      <c r="S125" s="135">
        <v>1500000</v>
      </c>
      <c r="T125" s="135">
        <v>0</v>
      </c>
      <c r="U125" s="135">
        <f t="shared" si="40"/>
        <v>1500000</v>
      </c>
      <c r="V125" s="135">
        <v>0</v>
      </c>
      <c r="W125" s="135">
        <v>55</v>
      </c>
      <c r="X125" s="135">
        <v>0</v>
      </c>
      <c r="Y125" s="135">
        <v>999</v>
      </c>
      <c r="Z125" s="137">
        <v>640</v>
      </c>
      <c r="AA125" s="137">
        <v>659</v>
      </c>
      <c r="AB125" s="137">
        <v>6</v>
      </c>
      <c r="AC125" s="137">
        <v>999999</v>
      </c>
      <c r="AD125" s="135">
        <v>0</v>
      </c>
      <c r="AE125" s="135">
        <v>-999</v>
      </c>
      <c r="AF125" s="170">
        <v>0</v>
      </c>
      <c r="AG125" s="171">
        <v>1</v>
      </c>
      <c r="AH125" s="171">
        <v>1</v>
      </c>
      <c r="AI125" s="171">
        <v>1</v>
      </c>
      <c r="AJ125" s="171">
        <v>0</v>
      </c>
      <c r="AK125" s="171">
        <v>1</v>
      </c>
      <c r="AL125" s="171">
        <v>1</v>
      </c>
      <c r="AM125" s="171">
        <v>1</v>
      </c>
      <c r="AN125" s="171">
        <v>1</v>
      </c>
      <c r="AO125" s="171">
        <v>1</v>
      </c>
      <c r="AP125" s="171">
        <v>1</v>
      </c>
      <c r="AQ125" s="171">
        <v>1</v>
      </c>
      <c r="AR125" s="171">
        <v>1</v>
      </c>
      <c r="AS125" s="171">
        <v>1</v>
      </c>
      <c r="AT125" s="171">
        <v>1</v>
      </c>
      <c r="AU125" s="171">
        <f t="shared" si="41"/>
        <v>0</v>
      </c>
      <c r="AV125" s="171">
        <f t="shared" si="42"/>
        <v>1</v>
      </c>
      <c r="AW125" s="171">
        <f t="shared" si="43"/>
        <v>1</v>
      </c>
      <c r="AX125" s="171">
        <f t="shared" si="37"/>
        <v>1</v>
      </c>
      <c r="AY125" s="171">
        <f t="shared" si="44"/>
        <v>0</v>
      </c>
      <c r="AZ125" s="171">
        <f t="shared" si="45"/>
        <v>1</v>
      </c>
      <c r="BA125" s="172">
        <f t="shared" si="46"/>
        <v>0</v>
      </c>
      <c r="BB125" s="175">
        <f t="shared" si="31"/>
        <v>17</v>
      </c>
      <c r="BC125" s="176">
        <f t="shared" si="32"/>
        <v>17</v>
      </c>
      <c r="BD125" s="176">
        <f t="shared" si="33"/>
        <v>17</v>
      </c>
      <c r="BE125" s="240" t="str">
        <f t="shared" si="30"/>
        <v/>
      </c>
      <c r="BH125" s="198">
        <f>IF(AND(Input_Product=Elig!$C125,Elig_MatchAll_Ct&lt;22,$BC125=(Elig_MatchAll_Ct-1),AF125=0),C125,0)</f>
        <v>0</v>
      </c>
      <c r="BI125" s="199">
        <f>IF(AND(Input_Product=Elig!$C125,Elig_MatchAll_Ct&lt;22,$BC125=(Elig_MatchAll_Ct-1),AG125=0),D125,0)</f>
        <v>0</v>
      </c>
      <c r="BJ125" s="199">
        <f>IF(AND(Input_Product=Elig!$C125,Elig_MatchAll_Ct&lt;22,$BC125=(Elig_MatchAll_Ct-1),AH125=0),E125,0)</f>
        <v>0</v>
      </c>
      <c r="BK125" s="199">
        <f>IF(AND(Input_Product=Elig!$C125,Elig_MatchAll_Ct&lt;22,$BC125=(Elig_MatchAll_Ct-1),AI125=0),F125,0)</f>
        <v>0</v>
      </c>
      <c r="BL125" s="199">
        <f>IF(AND(Input_Product=Elig!$C125,Elig_MatchAll_Ct&lt;22,$BC125=(Elig_MatchAll_Ct-1),AJ125=0),G125,0)</f>
        <v>0</v>
      </c>
      <c r="BM125" s="199">
        <f>IF(AND(Input_Product=Elig!$C125,Elig_MatchAll_Ct&lt;22,$BC125=(Elig_MatchAll_Ct-1),AK125=0),H125,0)</f>
        <v>0</v>
      </c>
      <c r="BN125" s="199">
        <f>IF(AND(Input_Product=Elig!$C125,Elig_MatchAll_Ct&lt;22,$BC125=(Elig_MatchAll_Ct-1),AL125=0),I125,0)</f>
        <v>0</v>
      </c>
      <c r="BO125" s="199">
        <f>IF(AND(Input_Product=Elig!$C125,Elig_MatchAll_Ct&lt;22,$BC125=(Elig_MatchAll_Ct-1),AM125=0),J125,0)</f>
        <v>0</v>
      </c>
      <c r="BP125" s="199">
        <f>IF(AND(Input_Product=Elig!$C125,Elig_MatchAll_Ct&lt;22,$BC125=(Elig_MatchAll_Ct-1),AN125=0),K125,0)</f>
        <v>0</v>
      </c>
      <c r="BQ125" s="199">
        <f>IF(AND(Input_Product=Elig!$C125,Elig_MatchAll_Ct&lt;22,$BC125=(Elig_MatchAll_Ct-1),AP125=0),L125,0)</f>
        <v>0</v>
      </c>
      <c r="BR125" s="199">
        <f>IF(AND(Input_Product=Elig!$C125,Elig_MatchAll_Ct&lt;22,$BC125=(Elig_MatchAll_Ct-1),AO125=0),M125,0)</f>
        <v>0</v>
      </c>
      <c r="BS125" s="199">
        <f>IF(AND(Input_Product=Elig!$C125,Elig_MatchAll_Ct&lt;22,$BC125=(Elig_MatchAll_Ct-1),AQ125=0),N125,0)</f>
        <v>0</v>
      </c>
      <c r="BT125" s="199">
        <f>IF(AND(Input_Product=Elig!$C125,Elig_MatchAll_Ct&lt;22,$BC125=(Elig_MatchAll_Ct-1),AR125=0),O125,0)</f>
        <v>0</v>
      </c>
      <c r="BU125" s="199">
        <f>IF(AND(Input_Product=Elig!$C125,Elig_MatchAll_Ct&lt;22,$BC125=(Elig_MatchAll_Ct-1),AS125=0),P125,0)</f>
        <v>0</v>
      </c>
      <c r="BV125" s="200">
        <f>IF(AND(Input_Product=Elig!$C125,Elig_MatchAll_Ct&lt;22,$BC125=(Elig_MatchAll_Ct-1),AT125=0),Q125,0)</f>
        <v>0</v>
      </c>
      <c r="BW125" s="201">
        <f>IF(AND(Input_Product=Elig!$C125,Elig_MatchAll_Ct&lt;22,$BC125=(Elig_MatchAll_Ct-1),AU125=0),R125,0)</f>
        <v>0</v>
      </c>
      <c r="BX125" s="202">
        <f>IF(AND(Input_Product=Elig!$C125,Elig_MatchAll_Ct&lt;22,$BC125=(Elig_MatchAll_Ct-1),AU125=0),S125,0)</f>
        <v>0</v>
      </c>
      <c r="BY125" s="201">
        <f>IF(AND(Input_Product=Elig!$C125,Elig_MatchAll_Ct&lt;22,$BC125=(Elig_MatchAll_Ct-1),AV125=0),T125,0)</f>
        <v>0</v>
      </c>
      <c r="BZ125" s="202">
        <f>IF(AND(Input_Product=Elig!$C125,Elig_MatchAll_Ct&lt;22,$BC125=(Elig_MatchAll_Ct-1),AV125=0),U125,0)</f>
        <v>0</v>
      </c>
      <c r="CA125" s="201">
        <f>IF(AND(Input_Product=Elig!$C125,Elig_MatchAll_Ct&lt;22,$BC125=(Elig_MatchAll_Ct-1),AW125=0),V125,0)</f>
        <v>0</v>
      </c>
      <c r="CB125" s="202">
        <f>IF(AND(Input_Product=Elig!$C125,Elig_MatchAll_Ct&lt;22,$BC125=(Elig_MatchAll_Ct-1),AW125=0),W125,0)</f>
        <v>0</v>
      </c>
      <c r="CC125" s="201">
        <f>IF(AND(Input_Product=Elig!$C125,Elig_MatchAll_Ct&lt;22,$BC125=(Elig_MatchAll_Ct-1),AX125=0),X125,0)</f>
        <v>0</v>
      </c>
      <c r="CD125" s="202">
        <f>IF(AND(Input_Product=Elig!$C125,Elig_MatchAll_Ct&lt;22,$BC125=(Elig_MatchAll_Ct-1),AX125=0),Y125,0)</f>
        <v>0</v>
      </c>
      <c r="CE125" s="201">
        <f>IF(AND(Input_LTV&lt;=AE125,Input_Product=Elig!$C125,Elig_MatchAll_Ct&lt;22,$BC125=(Elig_MatchAll_Ct-1),AY125=0),Z125,0)</f>
        <v>0</v>
      </c>
      <c r="CF125" s="202">
        <f>IF(AND(Input_LTV&lt;=AE125,Input_Product=Elig!$C125,Elig_MatchAll_Ct&lt;22,$BC125=(Elig_MatchAll_Ct-1),AY125=0),AA125,0)</f>
        <v>0</v>
      </c>
      <c r="CG125" s="201">
        <f>IF(AND(Input_Product=Elig!$C125,Elig_MatchAll_Ct&lt;22,$BC125=(Elig_MatchAll_Ct-1),AZ125=0),AB125,0)</f>
        <v>0</v>
      </c>
      <c r="CH125" s="202">
        <f>IF(AND(Input_Product=Elig!$C125,Elig_MatchAll_Ct&lt;22,$BC125=(Elig_MatchAll_Ct-1),AZ125=0),AC125,0)</f>
        <v>0</v>
      </c>
      <c r="CI125" s="201">
        <f>IF(AND(Input_Product=Elig!$C125,Elig_MatchAll_Ct&lt;22,$BC125=(Elig_MatchAll_Ct-1),BA125=0),AD125,0)</f>
        <v>0</v>
      </c>
      <c r="CJ125" s="203">
        <f>IF(AND(Input_Product=Elig!$C125,Elig_MatchAll_Ct&lt;22,$BC125=(Elig_MatchAll_Ct-1),BA125=0),AE125,0)</f>
        <v>0</v>
      </c>
    </row>
    <row r="126" spans="2:88" ht="10.15" customHeight="1" x14ac:dyDescent="0.25">
      <c r="B126" s="1912" t="s">
        <v>874</v>
      </c>
      <c r="C126" s="138" t="str">
        <f t="shared" si="35"/>
        <v>NonQM OO</v>
      </c>
      <c r="D126" s="139" t="s">
        <v>3885</v>
      </c>
      <c r="E126" s="139" t="s">
        <v>167</v>
      </c>
      <c r="F126" s="139" t="s">
        <v>331</v>
      </c>
      <c r="G126" s="139" t="s">
        <v>473</v>
      </c>
      <c r="H126" s="139" t="s">
        <v>136</v>
      </c>
      <c r="I126" s="139" t="s">
        <v>16</v>
      </c>
      <c r="J126" s="139" t="s">
        <v>1311</v>
      </c>
      <c r="K126" s="139" t="s">
        <v>1631</v>
      </c>
      <c r="L126" s="310" t="s">
        <v>3920</v>
      </c>
      <c r="M126" s="139" t="s">
        <v>4203</v>
      </c>
      <c r="N126" s="139" t="s">
        <v>82</v>
      </c>
      <c r="O126" s="139" t="s">
        <v>310</v>
      </c>
      <c r="P126" s="139" t="s">
        <v>291</v>
      </c>
      <c r="Q126" s="139" t="s">
        <v>294</v>
      </c>
      <c r="R126" s="139">
        <v>1000000.01</v>
      </c>
      <c r="S126" s="139">
        <v>1500000</v>
      </c>
      <c r="T126" s="139">
        <v>0</v>
      </c>
      <c r="U126" s="139">
        <f t="shared" si="40"/>
        <v>1500000</v>
      </c>
      <c r="V126" s="139">
        <v>0</v>
      </c>
      <c r="W126" s="139">
        <v>55</v>
      </c>
      <c r="X126" s="139">
        <v>0</v>
      </c>
      <c r="Y126" s="139">
        <v>999</v>
      </c>
      <c r="Z126" s="140">
        <v>620</v>
      </c>
      <c r="AA126" s="140">
        <v>639</v>
      </c>
      <c r="AB126" s="140">
        <v>6</v>
      </c>
      <c r="AC126" s="140">
        <v>999999</v>
      </c>
      <c r="AD126" s="139">
        <v>0</v>
      </c>
      <c r="AE126" s="139">
        <v>-999</v>
      </c>
      <c r="AF126" s="170">
        <v>0</v>
      </c>
      <c r="AG126" s="171">
        <v>1</v>
      </c>
      <c r="AH126" s="171">
        <v>1</v>
      </c>
      <c r="AI126" s="171">
        <v>1</v>
      </c>
      <c r="AJ126" s="171">
        <v>0</v>
      </c>
      <c r="AK126" s="171">
        <v>1</v>
      </c>
      <c r="AL126" s="171">
        <v>1</v>
      </c>
      <c r="AM126" s="171">
        <v>1</v>
      </c>
      <c r="AN126" s="171">
        <v>1</v>
      </c>
      <c r="AO126" s="171">
        <v>1</v>
      </c>
      <c r="AP126" s="171">
        <v>1</v>
      </c>
      <c r="AQ126" s="171">
        <v>1</v>
      </c>
      <c r="AR126" s="171">
        <v>1</v>
      </c>
      <c r="AS126" s="171">
        <v>1</v>
      </c>
      <c r="AT126" s="171">
        <v>1</v>
      </c>
      <c r="AU126" s="171">
        <f t="shared" si="41"/>
        <v>0</v>
      </c>
      <c r="AV126" s="171">
        <f t="shared" si="42"/>
        <v>1</v>
      </c>
      <c r="AW126" s="171">
        <f t="shared" si="43"/>
        <v>1</v>
      </c>
      <c r="AX126" s="171">
        <f t="shared" si="37"/>
        <v>1</v>
      </c>
      <c r="AY126" s="171">
        <f t="shared" si="44"/>
        <v>0</v>
      </c>
      <c r="AZ126" s="171">
        <f t="shared" si="45"/>
        <v>1</v>
      </c>
      <c r="BA126" s="172">
        <f t="shared" si="46"/>
        <v>0</v>
      </c>
      <c r="BB126" s="175">
        <f t="shared" si="31"/>
        <v>17</v>
      </c>
      <c r="BC126" s="176">
        <f t="shared" si="32"/>
        <v>17</v>
      </c>
      <c r="BD126" s="176">
        <f t="shared" si="33"/>
        <v>17</v>
      </c>
      <c r="BE126" s="240" t="str">
        <f t="shared" si="30"/>
        <v/>
      </c>
      <c r="BH126" s="204">
        <f>IF(AND(Input_Product=Elig!$C126,Elig_MatchAll_Ct&lt;22,$BC126=(Elig_MatchAll_Ct-1),AF126=0),C126,0)</f>
        <v>0</v>
      </c>
      <c r="BI126" s="205">
        <f>IF(AND(Input_Product=Elig!$C126,Elig_MatchAll_Ct&lt;22,$BC126=(Elig_MatchAll_Ct-1),AG126=0),D126,0)</f>
        <v>0</v>
      </c>
      <c r="BJ126" s="205">
        <f>IF(AND(Input_Product=Elig!$C126,Elig_MatchAll_Ct&lt;22,$BC126=(Elig_MatchAll_Ct-1),AH126=0),E126,0)</f>
        <v>0</v>
      </c>
      <c r="BK126" s="205">
        <f>IF(AND(Input_Product=Elig!$C126,Elig_MatchAll_Ct&lt;22,$BC126=(Elig_MatchAll_Ct-1),AI126=0),F126,0)</f>
        <v>0</v>
      </c>
      <c r="BL126" s="205">
        <f>IF(AND(Input_Product=Elig!$C126,Elig_MatchAll_Ct&lt;22,$BC126=(Elig_MatchAll_Ct-1),AJ126=0),G126,0)</f>
        <v>0</v>
      </c>
      <c r="BM126" s="205">
        <f>IF(AND(Input_Product=Elig!$C126,Elig_MatchAll_Ct&lt;22,$BC126=(Elig_MatchAll_Ct-1),AK126=0),H126,0)</f>
        <v>0</v>
      </c>
      <c r="BN126" s="205">
        <f>IF(AND(Input_Product=Elig!$C126,Elig_MatchAll_Ct&lt;22,$BC126=(Elig_MatchAll_Ct-1),AL126=0),I126,0)</f>
        <v>0</v>
      </c>
      <c r="BO126" s="205">
        <f>IF(AND(Input_Product=Elig!$C126,Elig_MatchAll_Ct&lt;22,$BC126=(Elig_MatchAll_Ct-1),AM126=0),J126,0)</f>
        <v>0</v>
      </c>
      <c r="BP126" s="205">
        <f>IF(AND(Input_Product=Elig!$C126,Elig_MatchAll_Ct&lt;22,$BC126=(Elig_MatchAll_Ct-1),AN126=0),K126,0)</f>
        <v>0</v>
      </c>
      <c r="BQ126" s="205">
        <f>IF(AND(Input_Product=Elig!$C126,Elig_MatchAll_Ct&lt;22,$BC126=(Elig_MatchAll_Ct-1),AP126=0),L126,0)</f>
        <v>0</v>
      </c>
      <c r="BR126" s="205">
        <f>IF(AND(Input_Product=Elig!$C126,Elig_MatchAll_Ct&lt;22,$BC126=(Elig_MatchAll_Ct-1),AO126=0),M126,0)</f>
        <v>0</v>
      </c>
      <c r="BS126" s="205">
        <f>IF(AND(Input_Product=Elig!$C126,Elig_MatchAll_Ct&lt;22,$BC126=(Elig_MatchAll_Ct-1),AQ126=0),N126,0)</f>
        <v>0</v>
      </c>
      <c r="BT126" s="205">
        <f>IF(AND(Input_Product=Elig!$C126,Elig_MatchAll_Ct&lt;22,$BC126=(Elig_MatchAll_Ct-1),AR126=0),O126,0)</f>
        <v>0</v>
      </c>
      <c r="BU126" s="205">
        <f>IF(AND(Input_Product=Elig!$C126,Elig_MatchAll_Ct&lt;22,$BC126=(Elig_MatchAll_Ct-1),AS126=0),P126,0)</f>
        <v>0</v>
      </c>
      <c r="BV126" s="206">
        <f>IF(AND(Input_Product=Elig!$C126,Elig_MatchAll_Ct&lt;22,$BC126=(Elig_MatchAll_Ct-1),AT126=0),Q126,0)</f>
        <v>0</v>
      </c>
      <c r="BW126" s="207">
        <f>IF(AND(Input_Product=Elig!$C126,Elig_MatchAll_Ct&lt;22,$BC126=(Elig_MatchAll_Ct-1),AU126=0),R126,0)</f>
        <v>0</v>
      </c>
      <c r="BX126" s="208">
        <f>IF(AND(Input_Product=Elig!$C126,Elig_MatchAll_Ct&lt;22,$BC126=(Elig_MatchAll_Ct-1),AU126=0),S126,0)</f>
        <v>0</v>
      </c>
      <c r="BY126" s="207">
        <f>IF(AND(Input_Product=Elig!$C126,Elig_MatchAll_Ct&lt;22,$BC126=(Elig_MatchAll_Ct-1),AV126=0),T126,0)</f>
        <v>0</v>
      </c>
      <c r="BZ126" s="208">
        <f>IF(AND(Input_Product=Elig!$C126,Elig_MatchAll_Ct&lt;22,$BC126=(Elig_MatchAll_Ct-1),AV126=0),U126,0)</f>
        <v>0</v>
      </c>
      <c r="CA126" s="207">
        <f>IF(AND(Input_Product=Elig!$C126,Elig_MatchAll_Ct&lt;22,$BC126=(Elig_MatchAll_Ct-1),AW126=0),V126,0)</f>
        <v>0</v>
      </c>
      <c r="CB126" s="208">
        <f>IF(AND(Input_Product=Elig!$C126,Elig_MatchAll_Ct&lt;22,$BC126=(Elig_MatchAll_Ct-1),AW126=0),W126,0)</f>
        <v>0</v>
      </c>
      <c r="CC126" s="207">
        <f>IF(AND(Input_Product=Elig!$C126,Elig_MatchAll_Ct&lt;22,$BC126=(Elig_MatchAll_Ct-1),AX126=0),X126,0)</f>
        <v>0</v>
      </c>
      <c r="CD126" s="208">
        <f>IF(AND(Input_Product=Elig!$C126,Elig_MatchAll_Ct&lt;22,$BC126=(Elig_MatchAll_Ct-1),AX126=0),Y126,0)</f>
        <v>0</v>
      </c>
      <c r="CE126" s="207">
        <f>IF(AND(Input_LTV&lt;=AE126,Input_Product=Elig!$C126,Elig_MatchAll_Ct&lt;22,$BC126=(Elig_MatchAll_Ct-1),AY126=0),Z126,0)</f>
        <v>0</v>
      </c>
      <c r="CF126" s="208">
        <f>IF(AND(Input_LTV&lt;=AE126,Input_Product=Elig!$C126,Elig_MatchAll_Ct&lt;22,$BC126=(Elig_MatchAll_Ct-1),AY126=0),AA126,0)</f>
        <v>0</v>
      </c>
      <c r="CG126" s="207">
        <f>IF(AND(Input_Product=Elig!$C126,Elig_MatchAll_Ct&lt;22,$BC126=(Elig_MatchAll_Ct-1),AZ126=0),AB126,0)</f>
        <v>0</v>
      </c>
      <c r="CH126" s="208">
        <f>IF(AND(Input_Product=Elig!$C126,Elig_MatchAll_Ct&lt;22,$BC126=(Elig_MatchAll_Ct-1),AZ126=0),AC126,0)</f>
        <v>0</v>
      </c>
      <c r="CI126" s="207">
        <f>IF(AND(Input_Product=Elig!$C126,Elig_MatchAll_Ct&lt;22,$BC126=(Elig_MatchAll_Ct-1),BA126=0),AD126,0)</f>
        <v>0</v>
      </c>
      <c r="CJ126" s="209">
        <f>IF(AND(Input_Product=Elig!$C126,Elig_MatchAll_Ct&lt;22,$BC126=(Elig_MatchAll_Ct-1),BA126=0),AE126,0)</f>
        <v>0</v>
      </c>
    </row>
    <row r="127" spans="2:88" ht="10.15" customHeight="1" x14ac:dyDescent="0.25">
      <c r="B127" s="1912" t="s">
        <v>875</v>
      </c>
      <c r="C127" s="141" t="str">
        <f t="shared" si="35"/>
        <v>NonQM OO</v>
      </c>
      <c r="D127" s="142" t="s">
        <v>3885</v>
      </c>
      <c r="E127" s="143" t="s">
        <v>167</v>
      </c>
      <c r="F127" s="143" t="s">
        <v>331</v>
      </c>
      <c r="G127" s="143" t="s">
        <v>303</v>
      </c>
      <c r="H127" s="143" t="s">
        <v>136</v>
      </c>
      <c r="I127" s="142" t="s">
        <v>274</v>
      </c>
      <c r="J127" s="142" t="s">
        <v>1311</v>
      </c>
      <c r="K127" s="142" t="s">
        <v>1631</v>
      </c>
      <c r="L127" s="2131" t="s">
        <v>3920</v>
      </c>
      <c r="M127" s="143" t="s">
        <v>4203</v>
      </c>
      <c r="N127" s="143" t="s">
        <v>82</v>
      </c>
      <c r="O127" s="143" t="s">
        <v>310</v>
      </c>
      <c r="P127" s="143" t="s">
        <v>291</v>
      </c>
      <c r="Q127" s="143" t="s">
        <v>294</v>
      </c>
      <c r="R127" s="142">
        <v>1500000.01</v>
      </c>
      <c r="S127" s="142">
        <v>2000000</v>
      </c>
      <c r="T127" s="142">
        <v>0</v>
      </c>
      <c r="U127" s="142">
        <v>0</v>
      </c>
      <c r="V127" s="142">
        <v>0</v>
      </c>
      <c r="W127" s="142">
        <v>55</v>
      </c>
      <c r="X127" s="142">
        <v>0</v>
      </c>
      <c r="Y127" s="142">
        <v>999</v>
      </c>
      <c r="Z127" s="144">
        <v>720</v>
      </c>
      <c r="AA127" s="144">
        <v>999</v>
      </c>
      <c r="AB127" s="144">
        <v>6</v>
      </c>
      <c r="AC127" s="144">
        <v>999999</v>
      </c>
      <c r="AD127" s="142">
        <v>0</v>
      </c>
      <c r="AE127" s="320">
        <v>90</v>
      </c>
      <c r="AF127" s="170">
        <v>0</v>
      </c>
      <c r="AG127" s="171">
        <v>1</v>
      </c>
      <c r="AH127" s="171">
        <v>1</v>
      </c>
      <c r="AI127" s="171">
        <v>1</v>
      </c>
      <c r="AJ127" s="171">
        <v>1</v>
      </c>
      <c r="AK127" s="171">
        <v>1</v>
      </c>
      <c r="AL127" s="171">
        <v>0</v>
      </c>
      <c r="AM127" s="171">
        <v>1</v>
      </c>
      <c r="AN127" s="171">
        <v>1</v>
      </c>
      <c r="AO127" s="171">
        <v>1</v>
      </c>
      <c r="AP127" s="171">
        <v>1</v>
      </c>
      <c r="AQ127" s="171">
        <v>1</v>
      </c>
      <c r="AR127" s="171">
        <v>1</v>
      </c>
      <c r="AS127" s="171">
        <v>1</v>
      </c>
      <c r="AT127" s="171">
        <v>1</v>
      </c>
      <c r="AU127" s="171">
        <f t="shared" si="41"/>
        <v>0</v>
      </c>
      <c r="AV127" s="171">
        <f t="shared" si="42"/>
        <v>0</v>
      </c>
      <c r="AW127" s="171">
        <f t="shared" si="43"/>
        <v>1</v>
      </c>
      <c r="AX127" s="171">
        <f t="shared" si="37"/>
        <v>1</v>
      </c>
      <c r="AY127" s="171">
        <f t="shared" si="44"/>
        <v>1</v>
      </c>
      <c r="AZ127" s="171">
        <f t="shared" si="45"/>
        <v>1</v>
      </c>
      <c r="BA127" s="172">
        <f t="shared" si="46"/>
        <v>1</v>
      </c>
      <c r="BB127" s="175">
        <f t="shared" si="31"/>
        <v>18</v>
      </c>
      <c r="BC127" s="176">
        <f t="shared" si="32"/>
        <v>17</v>
      </c>
      <c r="BD127" s="176">
        <f t="shared" si="33"/>
        <v>18</v>
      </c>
      <c r="BE127" s="240" t="str">
        <f t="shared" si="30"/>
        <v/>
      </c>
      <c r="BH127" s="192">
        <f>IF(AND(Input_Product=Elig!$C127,Elig_MatchAll_Ct&lt;22,$BC127=(Elig_MatchAll_Ct-1),AF127=0),C127,0)</f>
        <v>0</v>
      </c>
      <c r="BI127" s="193">
        <f>IF(AND(Input_Product=Elig!$C127,Elig_MatchAll_Ct&lt;22,$BC127=(Elig_MatchAll_Ct-1),AG127=0),D127,0)</f>
        <v>0</v>
      </c>
      <c r="BJ127" s="193">
        <f>IF(AND(Input_Product=Elig!$C127,Elig_MatchAll_Ct&lt;22,$BC127=(Elig_MatchAll_Ct-1),AH127=0),E127,0)</f>
        <v>0</v>
      </c>
      <c r="BK127" s="193">
        <f>IF(AND(Input_Product=Elig!$C127,Elig_MatchAll_Ct&lt;22,$BC127=(Elig_MatchAll_Ct-1),AI127=0),F127,0)</f>
        <v>0</v>
      </c>
      <c r="BL127" s="193">
        <f>IF(AND(Input_Product=Elig!$C127,Elig_MatchAll_Ct&lt;22,$BC127=(Elig_MatchAll_Ct-1),AJ127=0),G127,0)</f>
        <v>0</v>
      </c>
      <c r="BM127" s="193">
        <f>IF(AND(Input_Product=Elig!$C127,Elig_MatchAll_Ct&lt;22,$BC127=(Elig_MatchAll_Ct-1),AK127=0),H127,0)</f>
        <v>0</v>
      </c>
      <c r="BN127" s="193">
        <f>IF(AND(Input_Product=Elig!$C127,Elig_MatchAll_Ct&lt;22,$BC127=(Elig_MatchAll_Ct-1),AL127=0),I127,0)</f>
        <v>0</v>
      </c>
      <c r="BO127" s="193">
        <f>IF(AND(Input_Product=Elig!$C127,Elig_MatchAll_Ct&lt;22,$BC127=(Elig_MatchAll_Ct-1),AM127=0),J127,0)</f>
        <v>0</v>
      </c>
      <c r="BP127" s="193">
        <f>IF(AND(Input_Product=Elig!$C127,Elig_MatchAll_Ct&lt;22,$BC127=(Elig_MatchAll_Ct-1),AN127=0),K127,0)</f>
        <v>0</v>
      </c>
      <c r="BQ127" s="193">
        <f>IF(AND(Input_Product=Elig!$C127,Elig_MatchAll_Ct&lt;22,$BC127=(Elig_MatchAll_Ct-1),AP127=0),L127,0)</f>
        <v>0</v>
      </c>
      <c r="BR127" s="193">
        <f>IF(AND(Input_Product=Elig!$C127,Elig_MatchAll_Ct&lt;22,$BC127=(Elig_MatchAll_Ct-1),AO127=0),M127,0)</f>
        <v>0</v>
      </c>
      <c r="BS127" s="193">
        <f>IF(AND(Input_Product=Elig!$C127,Elig_MatchAll_Ct&lt;22,$BC127=(Elig_MatchAll_Ct-1),AQ127=0),N127,0)</f>
        <v>0</v>
      </c>
      <c r="BT127" s="193">
        <f>IF(AND(Input_Product=Elig!$C127,Elig_MatchAll_Ct&lt;22,$BC127=(Elig_MatchAll_Ct-1),AR127=0),O127,0)</f>
        <v>0</v>
      </c>
      <c r="BU127" s="193">
        <f>IF(AND(Input_Product=Elig!$C127,Elig_MatchAll_Ct&lt;22,$BC127=(Elig_MatchAll_Ct-1),AS127=0),P127,0)</f>
        <v>0</v>
      </c>
      <c r="BV127" s="194">
        <f>IF(AND(Input_Product=Elig!$C127,Elig_MatchAll_Ct&lt;22,$BC127=(Elig_MatchAll_Ct-1),AT127=0),Q127,0)</f>
        <v>0</v>
      </c>
      <c r="BW127" s="195">
        <f>IF(AND(Input_Product=Elig!$C127,Elig_MatchAll_Ct&lt;22,$BC127=(Elig_MatchAll_Ct-1),AU127=0),R127,0)</f>
        <v>0</v>
      </c>
      <c r="BX127" s="196">
        <f>IF(AND(Input_Product=Elig!$C127,Elig_MatchAll_Ct&lt;22,$BC127=(Elig_MatchAll_Ct-1),AU127=0),S127,0)</f>
        <v>0</v>
      </c>
      <c r="BY127" s="195">
        <f>IF(AND(Input_Product=Elig!$C127,Elig_MatchAll_Ct&lt;22,$BC127=(Elig_MatchAll_Ct-1),AV127=0),T127,0)</f>
        <v>0</v>
      </c>
      <c r="BZ127" s="196">
        <f>IF(AND(Input_Product=Elig!$C127,Elig_MatchAll_Ct&lt;22,$BC127=(Elig_MatchAll_Ct-1),AV127=0),U127,0)</f>
        <v>0</v>
      </c>
      <c r="CA127" s="195">
        <f>IF(AND(Input_Product=Elig!$C127,Elig_MatchAll_Ct&lt;22,$BC127=(Elig_MatchAll_Ct-1),AW127=0),V127,0)</f>
        <v>0</v>
      </c>
      <c r="CB127" s="196">
        <f>IF(AND(Input_Product=Elig!$C127,Elig_MatchAll_Ct&lt;22,$BC127=(Elig_MatchAll_Ct-1),AW127=0),W127,0)</f>
        <v>0</v>
      </c>
      <c r="CC127" s="195">
        <f>IF(AND(Input_Product=Elig!$C127,Elig_MatchAll_Ct&lt;22,$BC127=(Elig_MatchAll_Ct-1),AX127=0),X127,0)</f>
        <v>0</v>
      </c>
      <c r="CD127" s="196">
        <f>IF(AND(Input_Product=Elig!$C127,Elig_MatchAll_Ct&lt;22,$BC127=(Elig_MatchAll_Ct-1),AX127=0),Y127,0)</f>
        <v>0</v>
      </c>
      <c r="CE127" s="195">
        <f>IF(AND(Input_LTV&lt;=AE127,Input_Product=Elig!$C127,Elig_MatchAll_Ct&lt;22,$BC127=(Elig_MatchAll_Ct-1),AY127=0),Z127,0)</f>
        <v>0</v>
      </c>
      <c r="CF127" s="196">
        <f>IF(AND(Input_LTV&lt;=AE127,Input_Product=Elig!$C127,Elig_MatchAll_Ct&lt;22,$BC127=(Elig_MatchAll_Ct-1),AY127=0),AA127,0)</f>
        <v>0</v>
      </c>
      <c r="CG127" s="195">
        <f>IF(AND(Input_Product=Elig!$C127,Elig_MatchAll_Ct&lt;22,$BC127=(Elig_MatchAll_Ct-1),AZ127=0),AB127,0)</f>
        <v>0</v>
      </c>
      <c r="CH127" s="196">
        <f>IF(AND(Input_Product=Elig!$C127,Elig_MatchAll_Ct&lt;22,$BC127=(Elig_MatchAll_Ct-1),AZ127=0),AC127,0)</f>
        <v>0</v>
      </c>
      <c r="CI127" s="195">
        <f>IF(AND(Input_Product=Elig!$C127,Elig_MatchAll_Ct&lt;22,$BC127=(Elig_MatchAll_Ct-1),BA127=0),AD127,0)</f>
        <v>0</v>
      </c>
      <c r="CJ127" s="197">
        <f>IF(AND(Input_Product=Elig!$C127,Elig_MatchAll_Ct&lt;22,$BC127=(Elig_MatchAll_Ct-1),BA127=0),AE127,0)</f>
        <v>0</v>
      </c>
    </row>
    <row r="128" spans="2:88" ht="10.15" customHeight="1" x14ac:dyDescent="0.25">
      <c r="B128" s="1912" t="s">
        <v>876</v>
      </c>
      <c r="C128" s="134" t="str">
        <f t="shared" si="35"/>
        <v>NonQM OO</v>
      </c>
      <c r="D128" s="135" t="s">
        <v>3885</v>
      </c>
      <c r="E128" s="135" t="s">
        <v>167</v>
      </c>
      <c r="F128" s="135" t="s">
        <v>331</v>
      </c>
      <c r="G128" s="135" t="s">
        <v>303</v>
      </c>
      <c r="H128" s="135" t="s">
        <v>136</v>
      </c>
      <c r="I128" s="136" t="s">
        <v>274</v>
      </c>
      <c r="J128" s="136" t="s">
        <v>1311</v>
      </c>
      <c r="K128" s="136" t="s">
        <v>1631</v>
      </c>
      <c r="L128" s="221" t="s">
        <v>3920</v>
      </c>
      <c r="M128" s="135" t="s">
        <v>4203</v>
      </c>
      <c r="N128" s="135" t="s">
        <v>82</v>
      </c>
      <c r="O128" s="135" t="s">
        <v>310</v>
      </c>
      <c r="P128" s="135" t="s">
        <v>291</v>
      </c>
      <c r="Q128" s="135" t="s">
        <v>294</v>
      </c>
      <c r="R128" s="135">
        <v>1500000.01</v>
      </c>
      <c r="S128" s="135">
        <v>2000000</v>
      </c>
      <c r="T128" s="135">
        <v>0</v>
      </c>
      <c r="U128" s="135">
        <v>0</v>
      </c>
      <c r="V128" s="135">
        <v>0</v>
      </c>
      <c r="W128" s="135">
        <v>55</v>
      </c>
      <c r="X128" s="135">
        <v>0</v>
      </c>
      <c r="Y128" s="135">
        <v>999</v>
      </c>
      <c r="Z128" s="137">
        <v>700</v>
      </c>
      <c r="AA128" s="137">
        <v>719</v>
      </c>
      <c r="AB128" s="137">
        <v>6</v>
      </c>
      <c r="AC128" s="137">
        <v>999999</v>
      </c>
      <c r="AD128" s="135">
        <v>0</v>
      </c>
      <c r="AE128" s="221">
        <v>85</v>
      </c>
      <c r="AF128" s="170">
        <v>0</v>
      </c>
      <c r="AG128" s="171">
        <v>1</v>
      </c>
      <c r="AH128" s="171">
        <v>1</v>
      </c>
      <c r="AI128" s="171">
        <v>1</v>
      </c>
      <c r="AJ128" s="171">
        <v>1</v>
      </c>
      <c r="AK128" s="171">
        <v>1</v>
      </c>
      <c r="AL128" s="171">
        <v>0</v>
      </c>
      <c r="AM128" s="171">
        <v>1</v>
      </c>
      <c r="AN128" s="171">
        <v>1</v>
      </c>
      <c r="AO128" s="171">
        <v>1</v>
      </c>
      <c r="AP128" s="171">
        <v>1</v>
      </c>
      <c r="AQ128" s="171">
        <v>1</v>
      </c>
      <c r="AR128" s="171">
        <v>1</v>
      </c>
      <c r="AS128" s="171">
        <v>1</v>
      </c>
      <c r="AT128" s="171">
        <v>1</v>
      </c>
      <c r="AU128" s="171">
        <f t="shared" si="41"/>
        <v>0</v>
      </c>
      <c r="AV128" s="171">
        <f t="shared" si="42"/>
        <v>0</v>
      </c>
      <c r="AW128" s="171">
        <f t="shared" si="43"/>
        <v>1</v>
      </c>
      <c r="AX128" s="171">
        <f t="shared" si="37"/>
        <v>1</v>
      </c>
      <c r="AY128" s="171">
        <f t="shared" si="44"/>
        <v>0</v>
      </c>
      <c r="AZ128" s="171">
        <f t="shared" si="45"/>
        <v>1</v>
      </c>
      <c r="BA128" s="172">
        <f t="shared" si="46"/>
        <v>1</v>
      </c>
      <c r="BB128" s="175">
        <f t="shared" si="31"/>
        <v>17</v>
      </c>
      <c r="BC128" s="176">
        <f t="shared" si="32"/>
        <v>16</v>
      </c>
      <c r="BD128" s="176">
        <f t="shared" si="33"/>
        <v>17</v>
      </c>
      <c r="BE128" s="240" t="str">
        <f t="shared" si="30"/>
        <v/>
      </c>
      <c r="BH128" s="198">
        <f>IF(AND(Input_Product=Elig!$C128,Elig_MatchAll_Ct&lt;22,$BC128=(Elig_MatchAll_Ct-1),AF128=0),C128,0)</f>
        <v>0</v>
      </c>
      <c r="BI128" s="199">
        <f>IF(AND(Input_Product=Elig!$C128,Elig_MatchAll_Ct&lt;22,$BC128=(Elig_MatchAll_Ct-1),AG128=0),D128,0)</f>
        <v>0</v>
      </c>
      <c r="BJ128" s="199">
        <f>IF(AND(Input_Product=Elig!$C128,Elig_MatchAll_Ct&lt;22,$BC128=(Elig_MatchAll_Ct-1),AH128=0),E128,0)</f>
        <v>0</v>
      </c>
      <c r="BK128" s="199">
        <f>IF(AND(Input_Product=Elig!$C128,Elig_MatchAll_Ct&lt;22,$BC128=(Elig_MatchAll_Ct-1),AI128=0),F128,0)</f>
        <v>0</v>
      </c>
      <c r="BL128" s="199">
        <f>IF(AND(Input_Product=Elig!$C128,Elig_MatchAll_Ct&lt;22,$BC128=(Elig_MatchAll_Ct-1),AJ128=0),G128,0)</f>
        <v>0</v>
      </c>
      <c r="BM128" s="199">
        <f>IF(AND(Input_Product=Elig!$C128,Elig_MatchAll_Ct&lt;22,$BC128=(Elig_MatchAll_Ct-1),AK128=0),H128,0)</f>
        <v>0</v>
      </c>
      <c r="BN128" s="199">
        <f>IF(AND(Input_Product=Elig!$C128,Elig_MatchAll_Ct&lt;22,$BC128=(Elig_MatchAll_Ct-1),AL128=0),I128,0)</f>
        <v>0</v>
      </c>
      <c r="BO128" s="199">
        <f>IF(AND(Input_Product=Elig!$C128,Elig_MatchAll_Ct&lt;22,$BC128=(Elig_MatchAll_Ct-1),AM128=0),J128,0)</f>
        <v>0</v>
      </c>
      <c r="BP128" s="199">
        <f>IF(AND(Input_Product=Elig!$C128,Elig_MatchAll_Ct&lt;22,$BC128=(Elig_MatchAll_Ct-1),AN128=0),K128,0)</f>
        <v>0</v>
      </c>
      <c r="BQ128" s="199">
        <f>IF(AND(Input_Product=Elig!$C128,Elig_MatchAll_Ct&lt;22,$BC128=(Elig_MatchAll_Ct-1),AP128=0),L128,0)</f>
        <v>0</v>
      </c>
      <c r="BR128" s="199">
        <f>IF(AND(Input_Product=Elig!$C128,Elig_MatchAll_Ct&lt;22,$BC128=(Elig_MatchAll_Ct-1),AO128=0),M128,0)</f>
        <v>0</v>
      </c>
      <c r="BS128" s="199">
        <f>IF(AND(Input_Product=Elig!$C128,Elig_MatchAll_Ct&lt;22,$BC128=(Elig_MatchAll_Ct-1),AQ128=0),N128,0)</f>
        <v>0</v>
      </c>
      <c r="BT128" s="199">
        <f>IF(AND(Input_Product=Elig!$C128,Elig_MatchAll_Ct&lt;22,$BC128=(Elig_MatchAll_Ct-1),AR128=0),O128,0)</f>
        <v>0</v>
      </c>
      <c r="BU128" s="199">
        <f>IF(AND(Input_Product=Elig!$C128,Elig_MatchAll_Ct&lt;22,$BC128=(Elig_MatchAll_Ct-1),AS128=0),P128,0)</f>
        <v>0</v>
      </c>
      <c r="BV128" s="200">
        <f>IF(AND(Input_Product=Elig!$C128,Elig_MatchAll_Ct&lt;22,$BC128=(Elig_MatchAll_Ct-1),AT128=0),Q128,0)</f>
        <v>0</v>
      </c>
      <c r="BW128" s="201">
        <f>IF(AND(Input_Product=Elig!$C128,Elig_MatchAll_Ct&lt;22,$BC128=(Elig_MatchAll_Ct-1),AU128=0),R128,0)</f>
        <v>0</v>
      </c>
      <c r="BX128" s="202">
        <f>IF(AND(Input_Product=Elig!$C128,Elig_MatchAll_Ct&lt;22,$BC128=(Elig_MatchAll_Ct-1),AU128=0),S128,0)</f>
        <v>0</v>
      </c>
      <c r="BY128" s="201">
        <f>IF(AND(Input_Product=Elig!$C128,Elig_MatchAll_Ct&lt;22,$BC128=(Elig_MatchAll_Ct-1),AV128=0),T128,0)</f>
        <v>0</v>
      </c>
      <c r="BZ128" s="202">
        <f>IF(AND(Input_Product=Elig!$C128,Elig_MatchAll_Ct&lt;22,$BC128=(Elig_MatchAll_Ct-1),AV128=0),U128,0)</f>
        <v>0</v>
      </c>
      <c r="CA128" s="201">
        <f>IF(AND(Input_Product=Elig!$C128,Elig_MatchAll_Ct&lt;22,$BC128=(Elig_MatchAll_Ct-1),AW128=0),V128,0)</f>
        <v>0</v>
      </c>
      <c r="CB128" s="202">
        <f>IF(AND(Input_Product=Elig!$C128,Elig_MatchAll_Ct&lt;22,$BC128=(Elig_MatchAll_Ct-1),AW128=0),W128,0)</f>
        <v>0</v>
      </c>
      <c r="CC128" s="201">
        <f>IF(AND(Input_Product=Elig!$C128,Elig_MatchAll_Ct&lt;22,$BC128=(Elig_MatchAll_Ct-1),AX128=0),X128,0)</f>
        <v>0</v>
      </c>
      <c r="CD128" s="202">
        <f>IF(AND(Input_Product=Elig!$C128,Elig_MatchAll_Ct&lt;22,$BC128=(Elig_MatchAll_Ct-1),AX128=0),Y128,0)</f>
        <v>0</v>
      </c>
      <c r="CE128" s="201">
        <f>IF(AND(Input_LTV&lt;=AE128,Input_Product=Elig!$C128,Elig_MatchAll_Ct&lt;22,$BC128=(Elig_MatchAll_Ct-1),AY128=0),Z128,0)</f>
        <v>0</v>
      </c>
      <c r="CF128" s="202">
        <f>IF(AND(Input_LTV&lt;=AE128,Input_Product=Elig!$C128,Elig_MatchAll_Ct&lt;22,$BC128=(Elig_MatchAll_Ct-1),AY128=0),AA128,0)</f>
        <v>0</v>
      </c>
      <c r="CG128" s="201">
        <f>IF(AND(Input_Product=Elig!$C128,Elig_MatchAll_Ct&lt;22,$BC128=(Elig_MatchAll_Ct-1),AZ128=0),AB128,0)</f>
        <v>0</v>
      </c>
      <c r="CH128" s="202">
        <f>IF(AND(Input_Product=Elig!$C128,Elig_MatchAll_Ct&lt;22,$BC128=(Elig_MatchAll_Ct-1),AZ128=0),AC128,0)</f>
        <v>0</v>
      </c>
      <c r="CI128" s="201">
        <f>IF(AND(Input_Product=Elig!$C128,Elig_MatchAll_Ct&lt;22,$BC128=(Elig_MatchAll_Ct-1),BA128=0),AD128,0)</f>
        <v>0</v>
      </c>
      <c r="CJ128" s="203">
        <f>IF(AND(Input_Product=Elig!$C128,Elig_MatchAll_Ct&lt;22,$BC128=(Elig_MatchAll_Ct-1),BA128=0),AE128,0)</f>
        <v>0</v>
      </c>
    </row>
    <row r="129" spans="2:88" ht="10.15" customHeight="1" x14ac:dyDescent="0.25">
      <c r="B129" s="1912" t="s">
        <v>877</v>
      </c>
      <c r="C129" s="134" t="str">
        <f t="shared" si="35"/>
        <v>NonQM OO</v>
      </c>
      <c r="D129" s="135" t="s">
        <v>3885</v>
      </c>
      <c r="E129" s="135" t="s">
        <v>167</v>
      </c>
      <c r="F129" s="135" t="s">
        <v>331</v>
      </c>
      <c r="G129" s="135" t="s">
        <v>303</v>
      </c>
      <c r="H129" s="135" t="s">
        <v>136</v>
      </c>
      <c r="I129" s="136" t="s">
        <v>274</v>
      </c>
      <c r="J129" s="136" t="s">
        <v>1311</v>
      </c>
      <c r="K129" s="136" t="s">
        <v>1631</v>
      </c>
      <c r="L129" s="221" t="s">
        <v>3920</v>
      </c>
      <c r="M129" s="135" t="s">
        <v>4203</v>
      </c>
      <c r="N129" s="135" t="s">
        <v>82</v>
      </c>
      <c r="O129" s="135" t="s">
        <v>310</v>
      </c>
      <c r="P129" s="135" t="s">
        <v>291</v>
      </c>
      <c r="Q129" s="135" t="s">
        <v>294</v>
      </c>
      <c r="R129" s="135">
        <v>1500000.01</v>
      </c>
      <c r="S129" s="135">
        <v>2000000</v>
      </c>
      <c r="T129" s="135">
        <v>0</v>
      </c>
      <c r="U129" s="135">
        <v>0</v>
      </c>
      <c r="V129" s="135">
        <v>0</v>
      </c>
      <c r="W129" s="135">
        <v>55</v>
      </c>
      <c r="X129" s="135">
        <v>0</v>
      </c>
      <c r="Y129" s="135">
        <v>999</v>
      </c>
      <c r="Z129" s="137">
        <v>680</v>
      </c>
      <c r="AA129" s="137">
        <v>699</v>
      </c>
      <c r="AB129" s="137">
        <v>6</v>
      </c>
      <c r="AC129" s="137">
        <v>999999</v>
      </c>
      <c r="AD129" s="135">
        <v>0</v>
      </c>
      <c r="AE129" s="135">
        <v>80</v>
      </c>
      <c r="AF129" s="170">
        <v>0</v>
      </c>
      <c r="AG129" s="171">
        <v>1</v>
      </c>
      <c r="AH129" s="171">
        <v>1</v>
      </c>
      <c r="AI129" s="171">
        <v>1</v>
      </c>
      <c r="AJ129" s="171">
        <v>1</v>
      </c>
      <c r="AK129" s="171">
        <v>1</v>
      </c>
      <c r="AL129" s="171">
        <v>0</v>
      </c>
      <c r="AM129" s="171">
        <v>1</v>
      </c>
      <c r="AN129" s="171">
        <v>1</v>
      </c>
      <c r="AO129" s="171">
        <v>1</v>
      </c>
      <c r="AP129" s="171">
        <v>1</v>
      </c>
      <c r="AQ129" s="171">
        <v>1</v>
      </c>
      <c r="AR129" s="171">
        <v>1</v>
      </c>
      <c r="AS129" s="171">
        <v>1</v>
      </c>
      <c r="AT129" s="171">
        <v>1</v>
      </c>
      <c r="AU129" s="171">
        <f t="shared" si="41"/>
        <v>0</v>
      </c>
      <c r="AV129" s="171">
        <f t="shared" si="42"/>
        <v>0</v>
      </c>
      <c r="AW129" s="171">
        <f t="shared" si="43"/>
        <v>1</v>
      </c>
      <c r="AX129" s="171">
        <f t="shared" si="37"/>
        <v>1</v>
      </c>
      <c r="AY129" s="171">
        <f t="shared" si="44"/>
        <v>0</v>
      </c>
      <c r="AZ129" s="171">
        <f t="shared" si="45"/>
        <v>1</v>
      </c>
      <c r="BA129" s="172">
        <f t="shared" si="46"/>
        <v>1</v>
      </c>
      <c r="BB129" s="175">
        <f t="shared" si="31"/>
        <v>17</v>
      </c>
      <c r="BC129" s="176">
        <f t="shared" si="32"/>
        <v>16</v>
      </c>
      <c r="BD129" s="176">
        <f t="shared" si="33"/>
        <v>17</v>
      </c>
      <c r="BE129" s="240" t="str">
        <f t="shared" si="30"/>
        <v/>
      </c>
      <c r="BH129" s="198">
        <f>IF(AND(Input_Product=Elig!$C129,Elig_MatchAll_Ct&lt;22,$BC129=(Elig_MatchAll_Ct-1),AF129=0),C129,0)</f>
        <v>0</v>
      </c>
      <c r="BI129" s="199">
        <f>IF(AND(Input_Product=Elig!$C129,Elig_MatchAll_Ct&lt;22,$BC129=(Elig_MatchAll_Ct-1),AG129=0),D129,0)</f>
        <v>0</v>
      </c>
      <c r="BJ129" s="199">
        <f>IF(AND(Input_Product=Elig!$C129,Elig_MatchAll_Ct&lt;22,$BC129=(Elig_MatchAll_Ct-1),AH129=0),E129,0)</f>
        <v>0</v>
      </c>
      <c r="BK129" s="199">
        <f>IF(AND(Input_Product=Elig!$C129,Elig_MatchAll_Ct&lt;22,$BC129=(Elig_MatchAll_Ct-1),AI129=0),F129,0)</f>
        <v>0</v>
      </c>
      <c r="BL129" s="199">
        <f>IF(AND(Input_Product=Elig!$C129,Elig_MatchAll_Ct&lt;22,$BC129=(Elig_MatchAll_Ct-1),AJ129=0),G129,0)</f>
        <v>0</v>
      </c>
      <c r="BM129" s="199">
        <f>IF(AND(Input_Product=Elig!$C129,Elig_MatchAll_Ct&lt;22,$BC129=(Elig_MatchAll_Ct-1),AK129=0),H129,0)</f>
        <v>0</v>
      </c>
      <c r="BN129" s="199">
        <f>IF(AND(Input_Product=Elig!$C129,Elig_MatchAll_Ct&lt;22,$BC129=(Elig_MatchAll_Ct-1),AL129=0),I129,0)</f>
        <v>0</v>
      </c>
      <c r="BO129" s="199">
        <f>IF(AND(Input_Product=Elig!$C129,Elig_MatchAll_Ct&lt;22,$BC129=(Elig_MatchAll_Ct-1),AM129=0),J129,0)</f>
        <v>0</v>
      </c>
      <c r="BP129" s="199">
        <f>IF(AND(Input_Product=Elig!$C129,Elig_MatchAll_Ct&lt;22,$BC129=(Elig_MatchAll_Ct-1),AN129=0),K129,0)</f>
        <v>0</v>
      </c>
      <c r="BQ129" s="199">
        <f>IF(AND(Input_Product=Elig!$C129,Elig_MatchAll_Ct&lt;22,$BC129=(Elig_MatchAll_Ct-1),AP129=0),L129,0)</f>
        <v>0</v>
      </c>
      <c r="BR129" s="199">
        <f>IF(AND(Input_Product=Elig!$C129,Elig_MatchAll_Ct&lt;22,$BC129=(Elig_MatchAll_Ct-1),AO129=0),M129,0)</f>
        <v>0</v>
      </c>
      <c r="BS129" s="199">
        <f>IF(AND(Input_Product=Elig!$C129,Elig_MatchAll_Ct&lt;22,$BC129=(Elig_MatchAll_Ct-1),AQ129=0),N129,0)</f>
        <v>0</v>
      </c>
      <c r="BT129" s="199">
        <f>IF(AND(Input_Product=Elig!$C129,Elig_MatchAll_Ct&lt;22,$BC129=(Elig_MatchAll_Ct-1),AR129=0),O129,0)</f>
        <v>0</v>
      </c>
      <c r="BU129" s="199">
        <f>IF(AND(Input_Product=Elig!$C129,Elig_MatchAll_Ct&lt;22,$BC129=(Elig_MatchAll_Ct-1),AS129=0),P129,0)</f>
        <v>0</v>
      </c>
      <c r="BV129" s="200">
        <f>IF(AND(Input_Product=Elig!$C129,Elig_MatchAll_Ct&lt;22,$BC129=(Elig_MatchAll_Ct-1),AT129=0),Q129,0)</f>
        <v>0</v>
      </c>
      <c r="BW129" s="201">
        <f>IF(AND(Input_Product=Elig!$C129,Elig_MatchAll_Ct&lt;22,$BC129=(Elig_MatchAll_Ct-1),AU129=0),R129,0)</f>
        <v>0</v>
      </c>
      <c r="BX129" s="202">
        <f>IF(AND(Input_Product=Elig!$C129,Elig_MatchAll_Ct&lt;22,$BC129=(Elig_MatchAll_Ct-1),AU129=0),S129,0)</f>
        <v>0</v>
      </c>
      <c r="BY129" s="201">
        <f>IF(AND(Input_Product=Elig!$C129,Elig_MatchAll_Ct&lt;22,$BC129=(Elig_MatchAll_Ct-1),AV129=0),T129,0)</f>
        <v>0</v>
      </c>
      <c r="BZ129" s="202">
        <f>IF(AND(Input_Product=Elig!$C129,Elig_MatchAll_Ct&lt;22,$BC129=(Elig_MatchAll_Ct-1),AV129=0),U129,0)</f>
        <v>0</v>
      </c>
      <c r="CA129" s="201">
        <f>IF(AND(Input_Product=Elig!$C129,Elig_MatchAll_Ct&lt;22,$BC129=(Elig_MatchAll_Ct-1),AW129=0),V129,0)</f>
        <v>0</v>
      </c>
      <c r="CB129" s="202">
        <f>IF(AND(Input_Product=Elig!$C129,Elig_MatchAll_Ct&lt;22,$BC129=(Elig_MatchAll_Ct-1),AW129=0),W129,0)</f>
        <v>0</v>
      </c>
      <c r="CC129" s="201">
        <f>IF(AND(Input_Product=Elig!$C129,Elig_MatchAll_Ct&lt;22,$BC129=(Elig_MatchAll_Ct-1),AX129=0),X129,0)</f>
        <v>0</v>
      </c>
      <c r="CD129" s="202">
        <f>IF(AND(Input_Product=Elig!$C129,Elig_MatchAll_Ct&lt;22,$BC129=(Elig_MatchAll_Ct-1),AX129=0),Y129,0)</f>
        <v>0</v>
      </c>
      <c r="CE129" s="201">
        <f>IF(AND(Input_LTV&lt;=AE129,Input_Product=Elig!$C129,Elig_MatchAll_Ct&lt;22,$BC129=(Elig_MatchAll_Ct-1),AY129=0),Z129,0)</f>
        <v>0</v>
      </c>
      <c r="CF129" s="202">
        <f>IF(AND(Input_LTV&lt;=AE129,Input_Product=Elig!$C129,Elig_MatchAll_Ct&lt;22,$BC129=(Elig_MatchAll_Ct-1),AY129=0),AA129,0)</f>
        <v>0</v>
      </c>
      <c r="CG129" s="201">
        <f>IF(AND(Input_Product=Elig!$C129,Elig_MatchAll_Ct&lt;22,$BC129=(Elig_MatchAll_Ct-1),AZ129=0),AB129,0)</f>
        <v>0</v>
      </c>
      <c r="CH129" s="202">
        <f>IF(AND(Input_Product=Elig!$C129,Elig_MatchAll_Ct&lt;22,$BC129=(Elig_MatchAll_Ct-1),AZ129=0),AC129,0)</f>
        <v>0</v>
      </c>
      <c r="CI129" s="201">
        <f>IF(AND(Input_Product=Elig!$C129,Elig_MatchAll_Ct&lt;22,$BC129=(Elig_MatchAll_Ct-1),BA129=0),AD129,0)</f>
        <v>0</v>
      </c>
      <c r="CJ129" s="203">
        <f>IF(AND(Input_Product=Elig!$C129,Elig_MatchAll_Ct&lt;22,$BC129=(Elig_MatchAll_Ct-1),BA129=0),AE129,0)</f>
        <v>0</v>
      </c>
    </row>
    <row r="130" spans="2:88" ht="10.15" customHeight="1" x14ac:dyDescent="0.25">
      <c r="B130" s="1912" t="s">
        <v>878</v>
      </c>
      <c r="C130" s="134" t="str">
        <f t="shared" si="35"/>
        <v>NonQM OO</v>
      </c>
      <c r="D130" s="135" t="s">
        <v>3885</v>
      </c>
      <c r="E130" s="135" t="s">
        <v>167</v>
      </c>
      <c r="F130" s="135" t="s">
        <v>331</v>
      </c>
      <c r="G130" s="135" t="s">
        <v>303</v>
      </c>
      <c r="H130" s="135" t="s">
        <v>136</v>
      </c>
      <c r="I130" s="135" t="s">
        <v>274</v>
      </c>
      <c r="J130" s="135" t="s">
        <v>1311</v>
      </c>
      <c r="K130" s="135" t="s">
        <v>1631</v>
      </c>
      <c r="L130" s="221" t="s">
        <v>3920</v>
      </c>
      <c r="M130" s="135" t="s">
        <v>4203</v>
      </c>
      <c r="N130" s="135" t="s">
        <v>82</v>
      </c>
      <c r="O130" s="135" t="s">
        <v>310</v>
      </c>
      <c r="P130" s="135" t="s">
        <v>291</v>
      </c>
      <c r="Q130" s="135" t="s">
        <v>294</v>
      </c>
      <c r="R130" s="135">
        <v>1500000.01</v>
      </c>
      <c r="S130" s="135">
        <v>2000000</v>
      </c>
      <c r="T130" s="135">
        <v>0</v>
      </c>
      <c r="U130" s="135">
        <v>0</v>
      </c>
      <c r="V130" s="135">
        <v>0</v>
      </c>
      <c r="W130" s="135">
        <v>55</v>
      </c>
      <c r="X130" s="135">
        <v>0</v>
      </c>
      <c r="Y130" s="135">
        <v>999</v>
      </c>
      <c r="Z130" s="137">
        <v>660</v>
      </c>
      <c r="AA130" s="137">
        <v>679</v>
      </c>
      <c r="AB130" s="137">
        <v>6</v>
      </c>
      <c r="AC130" s="137">
        <v>999999</v>
      </c>
      <c r="AD130" s="135">
        <v>0</v>
      </c>
      <c r="AE130" s="221">
        <v>75</v>
      </c>
      <c r="AF130" s="170">
        <v>0</v>
      </c>
      <c r="AG130" s="171">
        <v>1</v>
      </c>
      <c r="AH130" s="171">
        <v>1</v>
      </c>
      <c r="AI130" s="171">
        <v>1</v>
      </c>
      <c r="AJ130" s="171">
        <v>1</v>
      </c>
      <c r="AK130" s="171">
        <v>1</v>
      </c>
      <c r="AL130" s="171">
        <v>0</v>
      </c>
      <c r="AM130" s="171">
        <v>1</v>
      </c>
      <c r="AN130" s="171">
        <v>1</v>
      </c>
      <c r="AO130" s="171">
        <v>1</v>
      </c>
      <c r="AP130" s="171">
        <v>1</v>
      </c>
      <c r="AQ130" s="171">
        <v>1</v>
      </c>
      <c r="AR130" s="171">
        <v>1</v>
      </c>
      <c r="AS130" s="171">
        <v>1</v>
      </c>
      <c r="AT130" s="171">
        <v>1</v>
      </c>
      <c r="AU130" s="171">
        <f t="shared" si="41"/>
        <v>0</v>
      </c>
      <c r="AV130" s="171">
        <f t="shared" si="42"/>
        <v>0</v>
      </c>
      <c r="AW130" s="171">
        <f t="shared" si="43"/>
        <v>1</v>
      </c>
      <c r="AX130" s="171">
        <f t="shared" si="37"/>
        <v>1</v>
      </c>
      <c r="AY130" s="171">
        <f t="shared" si="44"/>
        <v>0</v>
      </c>
      <c r="AZ130" s="171">
        <f t="shared" si="45"/>
        <v>1</v>
      </c>
      <c r="BA130" s="172">
        <f t="shared" si="46"/>
        <v>1</v>
      </c>
      <c r="BB130" s="175">
        <f t="shared" ref="BB130:BB195" si="47">SUM(AF130:BA130)</f>
        <v>17</v>
      </c>
      <c r="BC130" s="176">
        <f t="shared" ref="BC130:BC195" si="48">SUM(AF130:AZ130)</f>
        <v>16</v>
      </c>
      <c r="BD130" s="176">
        <f t="shared" ref="BD130:BD195" si="49">SUM(AG130:BA130)</f>
        <v>17</v>
      </c>
      <c r="BE130" s="240" t="str">
        <f t="shared" si="30"/>
        <v/>
      </c>
      <c r="BH130" s="198">
        <f>IF(AND(Input_Product=Elig!$C130,Elig_MatchAll_Ct&lt;22,$BC130=(Elig_MatchAll_Ct-1),AF130=0),C130,0)</f>
        <v>0</v>
      </c>
      <c r="BI130" s="199">
        <f>IF(AND(Input_Product=Elig!$C130,Elig_MatchAll_Ct&lt;22,$BC130=(Elig_MatchAll_Ct-1),AG130=0),D130,0)</f>
        <v>0</v>
      </c>
      <c r="BJ130" s="199">
        <f>IF(AND(Input_Product=Elig!$C130,Elig_MatchAll_Ct&lt;22,$BC130=(Elig_MatchAll_Ct-1),AH130=0),E130,0)</f>
        <v>0</v>
      </c>
      <c r="BK130" s="199">
        <f>IF(AND(Input_Product=Elig!$C130,Elig_MatchAll_Ct&lt;22,$BC130=(Elig_MatchAll_Ct-1),AI130=0),F130,0)</f>
        <v>0</v>
      </c>
      <c r="BL130" s="199">
        <f>IF(AND(Input_Product=Elig!$C130,Elig_MatchAll_Ct&lt;22,$BC130=(Elig_MatchAll_Ct-1),AJ130=0),G130,0)</f>
        <v>0</v>
      </c>
      <c r="BM130" s="199">
        <f>IF(AND(Input_Product=Elig!$C130,Elig_MatchAll_Ct&lt;22,$BC130=(Elig_MatchAll_Ct-1),AK130=0),H130,0)</f>
        <v>0</v>
      </c>
      <c r="BN130" s="199">
        <f>IF(AND(Input_Product=Elig!$C130,Elig_MatchAll_Ct&lt;22,$BC130=(Elig_MatchAll_Ct-1),AL130=0),I130,0)</f>
        <v>0</v>
      </c>
      <c r="BO130" s="199">
        <f>IF(AND(Input_Product=Elig!$C130,Elig_MatchAll_Ct&lt;22,$BC130=(Elig_MatchAll_Ct-1),AM130=0),J130,0)</f>
        <v>0</v>
      </c>
      <c r="BP130" s="199">
        <f>IF(AND(Input_Product=Elig!$C130,Elig_MatchAll_Ct&lt;22,$BC130=(Elig_MatchAll_Ct-1),AN130=0),K130,0)</f>
        <v>0</v>
      </c>
      <c r="BQ130" s="199">
        <f>IF(AND(Input_Product=Elig!$C130,Elig_MatchAll_Ct&lt;22,$BC130=(Elig_MatchAll_Ct-1),AP130=0),L130,0)</f>
        <v>0</v>
      </c>
      <c r="BR130" s="199">
        <f>IF(AND(Input_Product=Elig!$C130,Elig_MatchAll_Ct&lt;22,$BC130=(Elig_MatchAll_Ct-1),AO130=0),M130,0)</f>
        <v>0</v>
      </c>
      <c r="BS130" s="199">
        <f>IF(AND(Input_Product=Elig!$C130,Elig_MatchAll_Ct&lt;22,$BC130=(Elig_MatchAll_Ct-1),AQ130=0),N130,0)</f>
        <v>0</v>
      </c>
      <c r="BT130" s="199">
        <f>IF(AND(Input_Product=Elig!$C130,Elig_MatchAll_Ct&lt;22,$BC130=(Elig_MatchAll_Ct-1),AR130=0),O130,0)</f>
        <v>0</v>
      </c>
      <c r="BU130" s="199">
        <f>IF(AND(Input_Product=Elig!$C130,Elig_MatchAll_Ct&lt;22,$BC130=(Elig_MatchAll_Ct-1),AS130=0),P130,0)</f>
        <v>0</v>
      </c>
      <c r="BV130" s="200">
        <f>IF(AND(Input_Product=Elig!$C130,Elig_MatchAll_Ct&lt;22,$BC130=(Elig_MatchAll_Ct-1),AT130=0),Q130,0)</f>
        <v>0</v>
      </c>
      <c r="BW130" s="201">
        <f>IF(AND(Input_Product=Elig!$C130,Elig_MatchAll_Ct&lt;22,$BC130=(Elig_MatchAll_Ct-1),AU130=0),R130,0)</f>
        <v>0</v>
      </c>
      <c r="BX130" s="202">
        <f>IF(AND(Input_Product=Elig!$C130,Elig_MatchAll_Ct&lt;22,$BC130=(Elig_MatchAll_Ct-1),AU130=0),S130,0)</f>
        <v>0</v>
      </c>
      <c r="BY130" s="201">
        <f>IF(AND(Input_Product=Elig!$C130,Elig_MatchAll_Ct&lt;22,$BC130=(Elig_MatchAll_Ct-1),AV130=0),T130,0)</f>
        <v>0</v>
      </c>
      <c r="BZ130" s="202">
        <f>IF(AND(Input_Product=Elig!$C130,Elig_MatchAll_Ct&lt;22,$BC130=(Elig_MatchAll_Ct-1),AV130=0),U130,0)</f>
        <v>0</v>
      </c>
      <c r="CA130" s="201">
        <f>IF(AND(Input_Product=Elig!$C130,Elig_MatchAll_Ct&lt;22,$BC130=(Elig_MatchAll_Ct-1),AW130=0),V130,0)</f>
        <v>0</v>
      </c>
      <c r="CB130" s="202">
        <f>IF(AND(Input_Product=Elig!$C130,Elig_MatchAll_Ct&lt;22,$BC130=(Elig_MatchAll_Ct-1),AW130=0),W130,0)</f>
        <v>0</v>
      </c>
      <c r="CC130" s="201">
        <f>IF(AND(Input_Product=Elig!$C130,Elig_MatchAll_Ct&lt;22,$BC130=(Elig_MatchAll_Ct-1),AX130=0),X130,0)</f>
        <v>0</v>
      </c>
      <c r="CD130" s="202">
        <f>IF(AND(Input_Product=Elig!$C130,Elig_MatchAll_Ct&lt;22,$BC130=(Elig_MatchAll_Ct-1),AX130=0),Y130,0)</f>
        <v>0</v>
      </c>
      <c r="CE130" s="201">
        <f>IF(AND(Input_LTV&lt;=AE130,Input_Product=Elig!$C130,Elig_MatchAll_Ct&lt;22,$BC130=(Elig_MatchAll_Ct-1),AY130=0),Z130,0)</f>
        <v>0</v>
      </c>
      <c r="CF130" s="202">
        <f>IF(AND(Input_LTV&lt;=AE130,Input_Product=Elig!$C130,Elig_MatchAll_Ct&lt;22,$BC130=(Elig_MatchAll_Ct-1),AY130=0),AA130,0)</f>
        <v>0</v>
      </c>
      <c r="CG130" s="201">
        <f>IF(AND(Input_Product=Elig!$C130,Elig_MatchAll_Ct&lt;22,$BC130=(Elig_MatchAll_Ct-1),AZ130=0),AB130,0)</f>
        <v>0</v>
      </c>
      <c r="CH130" s="202">
        <f>IF(AND(Input_Product=Elig!$C130,Elig_MatchAll_Ct&lt;22,$BC130=(Elig_MatchAll_Ct-1),AZ130=0),AC130,0)</f>
        <v>0</v>
      </c>
      <c r="CI130" s="201">
        <f>IF(AND(Input_Product=Elig!$C130,Elig_MatchAll_Ct&lt;22,$BC130=(Elig_MatchAll_Ct-1),BA130=0),AD130,0)</f>
        <v>0</v>
      </c>
      <c r="CJ130" s="203">
        <f>IF(AND(Input_Product=Elig!$C130,Elig_MatchAll_Ct&lt;22,$BC130=(Elig_MatchAll_Ct-1),BA130=0),AE130,0)</f>
        <v>0</v>
      </c>
    </row>
    <row r="131" spans="2:88" ht="10.15" customHeight="1" x14ac:dyDescent="0.25">
      <c r="B131" s="1912" t="s">
        <v>879</v>
      </c>
      <c r="C131" s="134" t="str">
        <f t="shared" si="35"/>
        <v>NonQM OO</v>
      </c>
      <c r="D131" s="135" t="s">
        <v>3885</v>
      </c>
      <c r="E131" s="135" t="s">
        <v>167</v>
      </c>
      <c r="F131" s="135" t="s">
        <v>331</v>
      </c>
      <c r="G131" s="135" t="s">
        <v>303</v>
      </c>
      <c r="H131" s="135" t="s">
        <v>136</v>
      </c>
      <c r="I131" s="135" t="s">
        <v>274</v>
      </c>
      <c r="J131" s="135" t="s">
        <v>1311</v>
      </c>
      <c r="K131" s="135" t="s">
        <v>1631</v>
      </c>
      <c r="L131" s="221" t="s">
        <v>3920</v>
      </c>
      <c r="M131" s="135" t="s">
        <v>4203</v>
      </c>
      <c r="N131" s="135" t="s">
        <v>82</v>
      </c>
      <c r="O131" s="135" t="s">
        <v>310</v>
      </c>
      <c r="P131" s="135" t="s">
        <v>291</v>
      </c>
      <c r="Q131" s="135" t="s">
        <v>294</v>
      </c>
      <c r="R131" s="135">
        <v>1500000.01</v>
      </c>
      <c r="S131" s="135">
        <v>2000000</v>
      </c>
      <c r="T131" s="135">
        <v>0</v>
      </c>
      <c r="U131" s="135">
        <v>0</v>
      </c>
      <c r="V131" s="135">
        <v>0</v>
      </c>
      <c r="W131" s="135">
        <v>55</v>
      </c>
      <c r="X131" s="135">
        <v>0</v>
      </c>
      <c r="Y131" s="135">
        <v>999</v>
      </c>
      <c r="Z131" s="137">
        <v>640</v>
      </c>
      <c r="AA131" s="137">
        <v>659</v>
      </c>
      <c r="AB131" s="137">
        <v>6</v>
      </c>
      <c r="AC131" s="137">
        <v>999999</v>
      </c>
      <c r="AD131" s="135">
        <v>0</v>
      </c>
      <c r="AE131" s="221">
        <v>65</v>
      </c>
      <c r="AF131" s="170">
        <v>0</v>
      </c>
      <c r="AG131" s="171">
        <v>1</v>
      </c>
      <c r="AH131" s="171">
        <v>1</v>
      </c>
      <c r="AI131" s="171">
        <v>1</v>
      </c>
      <c r="AJ131" s="171">
        <v>1</v>
      </c>
      <c r="AK131" s="171">
        <v>1</v>
      </c>
      <c r="AL131" s="171">
        <v>0</v>
      </c>
      <c r="AM131" s="171">
        <v>1</v>
      </c>
      <c r="AN131" s="171">
        <v>1</v>
      </c>
      <c r="AO131" s="171">
        <v>1</v>
      </c>
      <c r="AP131" s="171">
        <v>1</v>
      </c>
      <c r="AQ131" s="171">
        <v>1</v>
      </c>
      <c r="AR131" s="171">
        <v>1</v>
      </c>
      <c r="AS131" s="171">
        <v>1</v>
      </c>
      <c r="AT131" s="171">
        <v>1</v>
      </c>
      <c r="AU131" s="171">
        <f t="shared" si="41"/>
        <v>0</v>
      </c>
      <c r="AV131" s="171">
        <f t="shared" si="42"/>
        <v>0</v>
      </c>
      <c r="AW131" s="171">
        <f t="shared" si="43"/>
        <v>1</v>
      </c>
      <c r="AX131" s="171">
        <f t="shared" si="37"/>
        <v>1</v>
      </c>
      <c r="AY131" s="171">
        <f t="shared" si="44"/>
        <v>0</v>
      </c>
      <c r="AZ131" s="171">
        <f t="shared" si="45"/>
        <v>1</v>
      </c>
      <c r="BA131" s="172">
        <f t="shared" si="46"/>
        <v>1</v>
      </c>
      <c r="BB131" s="175">
        <f t="shared" si="47"/>
        <v>17</v>
      </c>
      <c r="BC131" s="176">
        <f t="shared" si="48"/>
        <v>16</v>
      </c>
      <c r="BD131" s="176">
        <f t="shared" si="49"/>
        <v>17</v>
      </c>
      <c r="BE131" s="240" t="str">
        <f t="shared" si="30"/>
        <v/>
      </c>
      <c r="BH131" s="198">
        <f>IF(AND(Input_Product=Elig!$C131,Elig_MatchAll_Ct&lt;22,$BC131=(Elig_MatchAll_Ct-1),AF131=0),C131,0)</f>
        <v>0</v>
      </c>
      <c r="BI131" s="199">
        <f>IF(AND(Input_Product=Elig!$C131,Elig_MatchAll_Ct&lt;22,$BC131=(Elig_MatchAll_Ct-1),AG131=0),D131,0)</f>
        <v>0</v>
      </c>
      <c r="BJ131" s="199">
        <f>IF(AND(Input_Product=Elig!$C131,Elig_MatchAll_Ct&lt;22,$BC131=(Elig_MatchAll_Ct-1),AH131=0),E131,0)</f>
        <v>0</v>
      </c>
      <c r="BK131" s="199">
        <f>IF(AND(Input_Product=Elig!$C131,Elig_MatchAll_Ct&lt;22,$BC131=(Elig_MatchAll_Ct-1),AI131=0),F131,0)</f>
        <v>0</v>
      </c>
      <c r="BL131" s="199">
        <f>IF(AND(Input_Product=Elig!$C131,Elig_MatchAll_Ct&lt;22,$BC131=(Elig_MatchAll_Ct-1),AJ131=0),G131,0)</f>
        <v>0</v>
      </c>
      <c r="BM131" s="199">
        <f>IF(AND(Input_Product=Elig!$C131,Elig_MatchAll_Ct&lt;22,$BC131=(Elig_MatchAll_Ct-1),AK131=0),H131,0)</f>
        <v>0</v>
      </c>
      <c r="BN131" s="199">
        <f>IF(AND(Input_Product=Elig!$C131,Elig_MatchAll_Ct&lt;22,$BC131=(Elig_MatchAll_Ct-1),AL131=0),I131,0)</f>
        <v>0</v>
      </c>
      <c r="BO131" s="199">
        <f>IF(AND(Input_Product=Elig!$C131,Elig_MatchAll_Ct&lt;22,$BC131=(Elig_MatchAll_Ct-1),AM131=0),J131,0)</f>
        <v>0</v>
      </c>
      <c r="BP131" s="199">
        <f>IF(AND(Input_Product=Elig!$C131,Elig_MatchAll_Ct&lt;22,$BC131=(Elig_MatchAll_Ct-1),AN131=0),K131,0)</f>
        <v>0</v>
      </c>
      <c r="BQ131" s="199">
        <f>IF(AND(Input_Product=Elig!$C131,Elig_MatchAll_Ct&lt;22,$BC131=(Elig_MatchAll_Ct-1),AP131=0),L131,0)</f>
        <v>0</v>
      </c>
      <c r="BR131" s="199">
        <f>IF(AND(Input_Product=Elig!$C131,Elig_MatchAll_Ct&lt;22,$BC131=(Elig_MatchAll_Ct-1),AO131=0),M131,0)</f>
        <v>0</v>
      </c>
      <c r="BS131" s="199">
        <f>IF(AND(Input_Product=Elig!$C131,Elig_MatchAll_Ct&lt;22,$BC131=(Elig_MatchAll_Ct-1),AQ131=0),N131,0)</f>
        <v>0</v>
      </c>
      <c r="BT131" s="199">
        <f>IF(AND(Input_Product=Elig!$C131,Elig_MatchAll_Ct&lt;22,$BC131=(Elig_MatchAll_Ct-1),AR131=0),O131,0)</f>
        <v>0</v>
      </c>
      <c r="BU131" s="199">
        <f>IF(AND(Input_Product=Elig!$C131,Elig_MatchAll_Ct&lt;22,$BC131=(Elig_MatchAll_Ct-1),AS131=0),P131,0)</f>
        <v>0</v>
      </c>
      <c r="BV131" s="200">
        <f>IF(AND(Input_Product=Elig!$C131,Elig_MatchAll_Ct&lt;22,$BC131=(Elig_MatchAll_Ct-1),AT131=0),Q131,0)</f>
        <v>0</v>
      </c>
      <c r="BW131" s="201">
        <f>IF(AND(Input_Product=Elig!$C131,Elig_MatchAll_Ct&lt;22,$BC131=(Elig_MatchAll_Ct-1),AU131=0),R131,0)</f>
        <v>0</v>
      </c>
      <c r="BX131" s="202">
        <f>IF(AND(Input_Product=Elig!$C131,Elig_MatchAll_Ct&lt;22,$BC131=(Elig_MatchAll_Ct-1),AU131=0),S131,0)</f>
        <v>0</v>
      </c>
      <c r="BY131" s="201">
        <f>IF(AND(Input_Product=Elig!$C131,Elig_MatchAll_Ct&lt;22,$BC131=(Elig_MatchAll_Ct-1),AV131=0),T131,0)</f>
        <v>0</v>
      </c>
      <c r="BZ131" s="202">
        <f>IF(AND(Input_Product=Elig!$C131,Elig_MatchAll_Ct&lt;22,$BC131=(Elig_MatchAll_Ct-1),AV131=0),U131,0)</f>
        <v>0</v>
      </c>
      <c r="CA131" s="201">
        <f>IF(AND(Input_Product=Elig!$C131,Elig_MatchAll_Ct&lt;22,$BC131=(Elig_MatchAll_Ct-1),AW131=0),V131,0)</f>
        <v>0</v>
      </c>
      <c r="CB131" s="202">
        <f>IF(AND(Input_Product=Elig!$C131,Elig_MatchAll_Ct&lt;22,$BC131=(Elig_MatchAll_Ct-1),AW131=0),W131,0)</f>
        <v>0</v>
      </c>
      <c r="CC131" s="201">
        <f>IF(AND(Input_Product=Elig!$C131,Elig_MatchAll_Ct&lt;22,$BC131=(Elig_MatchAll_Ct-1),AX131=0),X131,0)</f>
        <v>0</v>
      </c>
      <c r="CD131" s="202">
        <f>IF(AND(Input_Product=Elig!$C131,Elig_MatchAll_Ct&lt;22,$BC131=(Elig_MatchAll_Ct-1),AX131=0),Y131,0)</f>
        <v>0</v>
      </c>
      <c r="CE131" s="201">
        <f>IF(AND(Input_LTV&lt;=AE131,Input_Product=Elig!$C131,Elig_MatchAll_Ct&lt;22,$BC131=(Elig_MatchAll_Ct-1),AY131=0),Z131,0)</f>
        <v>0</v>
      </c>
      <c r="CF131" s="202">
        <f>IF(AND(Input_LTV&lt;=AE131,Input_Product=Elig!$C131,Elig_MatchAll_Ct&lt;22,$BC131=(Elig_MatchAll_Ct-1),AY131=0),AA131,0)</f>
        <v>0</v>
      </c>
      <c r="CG131" s="201">
        <f>IF(AND(Input_Product=Elig!$C131,Elig_MatchAll_Ct&lt;22,$BC131=(Elig_MatchAll_Ct-1),AZ131=0),AB131,0)</f>
        <v>0</v>
      </c>
      <c r="CH131" s="202">
        <f>IF(AND(Input_Product=Elig!$C131,Elig_MatchAll_Ct&lt;22,$BC131=(Elig_MatchAll_Ct-1),AZ131=0),AC131,0)</f>
        <v>0</v>
      </c>
      <c r="CI131" s="201">
        <f>IF(AND(Input_Product=Elig!$C131,Elig_MatchAll_Ct&lt;22,$BC131=(Elig_MatchAll_Ct-1),BA131=0),AD131,0)</f>
        <v>0</v>
      </c>
      <c r="CJ131" s="203">
        <f>IF(AND(Input_Product=Elig!$C131,Elig_MatchAll_Ct&lt;22,$BC131=(Elig_MatchAll_Ct-1),BA131=0),AE131,0)</f>
        <v>0</v>
      </c>
    </row>
    <row r="132" spans="2:88" ht="10.15" customHeight="1" x14ac:dyDescent="0.25">
      <c r="B132" s="1912" t="s">
        <v>880</v>
      </c>
      <c r="C132" s="138" t="str">
        <f t="shared" si="35"/>
        <v>NonQM OO</v>
      </c>
      <c r="D132" s="139" t="s">
        <v>3885</v>
      </c>
      <c r="E132" s="139" t="s">
        <v>167</v>
      </c>
      <c r="F132" s="139" t="s">
        <v>331</v>
      </c>
      <c r="G132" s="139" t="s">
        <v>303</v>
      </c>
      <c r="H132" s="139" t="s">
        <v>136</v>
      </c>
      <c r="I132" s="139" t="s">
        <v>274</v>
      </c>
      <c r="J132" s="139" t="s">
        <v>1311</v>
      </c>
      <c r="K132" s="139" t="s">
        <v>1631</v>
      </c>
      <c r="L132" s="310" t="s">
        <v>3920</v>
      </c>
      <c r="M132" s="139" t="s">
        <v>4203</v>
      </c>
      <c r="N132" s="139" t="s">
        <v>82</v>
      </c>
      <c r="O132" s="139" t="s">
        <v>310</v>
      </c>
      <c r="P132" s="139" t="s">
        <v>291</v>
      </c>
      <c r="Q132" s="139" t="s">
        <v>294</v>
      </c>
      <c r="R132" s="139">
        <v>1500000.01</v>
      </c>
      <c r="S132" s="139">
        <v>2000000</v>
      </c>
      <c r="T132" s="139">
        <v>0</v>
      </c>
      <c r="U132" s="139">
        <v>0</v>
      </c>
      <c r="V132" s="139">
        <v>0</v>
      </c>
      <c r="W132" s="139">
        <v>55</v>
      </c>
      <c r="X132" s="139">
        <v>0</v>
      </c>
      <c r="Y132" s="139">
        <v>999</v>
      </c>
      <c r="Z132" s="140">
        <v>620</v>
      </c>
      <c r="AA132" s="140">
        <v>639</v>
      </c>
      <c r="AB132" s="140">
        <v>6</v>
      </c>
      <c r="AC132" s="140">
        <v>999999</v>
      </c>
      <c r="AD132" s="139">
        <v>0</v>
      </c>
      <c r="AE132" s="139">
        <v>-999</v>
      </c>
      <c r="AF132" s="170">
        <v>0</v>
      </c>
      <c r="AG132" s="171">
        <v>1</v>
      </c>
      <c r="AH132" s="171">
        <v>1</v>
      </c>
      <c r="AI132" s="171">
        <v>1</v>
      </c>
      <c r="AJ132" s="171">
        <v>1</v>
      </c>
      <c r="AK132" s="171">
        <v>1</v>
      </c>
      <c r="AL132" s="171">
        <v>0</v>
      </c>
      <c r="AM132" s="171">
        <v>1</v>
      </c>
      <c r="AN132" s="171">
        <v>1</v>
      </c>
      <c r="AO132" s="171">
        <v>1</v>
      </c>
      <c r="AP132" s="171">
        <v>1</v>
      </c>
      <c r="AQ132" s="171">
        <v>1</v>
      </c>
      <c r="AR132" s="171">
        <v>1</v>
      </c>
      <c r="AS132" s="171">
        <v>1</v>
      </c>
      <c r="AT132" s="171">
        <v>1</v>
      </c>
      <c r="AU132" s="171">
        <f t="shared" si="41"/>
        <v>0</v>
      </c>
      <c r="AV132" s="171">
        <f t="shared" si="42"/>
        <v>0</v>
      </c>
      <c r="AW132" s="171">
        <f t="shared" si="43"/>
        <v>1</v>
      </c>
      <c r="AX132" s="171">
        <f t="shared" si="37"/>
        <v>1</v>
      </c>
      <c r="AY132" s="171">
        <f t="shared" si="44"/>
        <v>0</v>
      </c>
      <c r="AZ132" s="171">
        <f t="shared" si="45"/>
        <v>1</v>
      </c>
      <c r="BA132" s="172">
        <f t="shared" si="46"/>
        <v>0</v>
      </c>
      <c r="BB132" s="175">
        <f t="shared" si="47"/>
        <v>16</v>
      </c>
      <c r="BC132" s="176">
        <f t="shared" si="48"/>
        <v>16</v>
      </c>
      <c r="BD132" s="176">
        <f t="shared" si="49"/>
        <v>16</v>
      </c>
      <c r="BE132" s="240" t="str">
        <f t="shared" si="30"/>
        <v/>
      </c>
      <c r="BH132" s="204">
        <f>IF(AND(Input_Product=Elig!$C132,Elig_MatchAll_Ct&lt;22,$BC132=(Elig_MatchAll_Ct-1),AF132=0),C132,0)</f>
        <v>0</v>
      </c>
      <c r="BI132" s="205">
        <f>IF(AND(Input_Product=Elig!$C132,Elig_MatchAll_Ct&lt;22,$BC132=(Elig_MatchAll_Ct-1),AG132=0),D132,0)</f>
        <v>0</v>
      </c>
      <c r="BJ132" s="205">
        <f>IF(AND(Input_Product=Elig!$C132,Elig_MatchAll_Ct&lt;22,$BC132=(Elig_MatchAll_Ct-1),AH132=0),E132,0)</f>
        <v>0</v>
      </c>
      <c r="BK132" s="205">
        <f>IF(AND(Input_Product=Elig!$C132,Elig_MatchAll_Ct&lt;22,$BC132=(Elig_MatchAll_Ct-1),AI132=0),F132,0)</f>
        <v>0</v>
      </c>
      <c r="BL132" s="205">
        <f>IF(AND(Input_Product=Elig!$C132,Elig_MatchAll_Ct&lt;22,$BC132=(Elig_MatchAll_Ct-1),AJ132=0),G132,0)</f>
        <v>0</v>
      </c>
      <c r="BM132" s="205">
        <f>IF(AND(Input_Product=Elig!$C132,Elig_MatchAll_Ct&lt;22,$BC132=(Elig_MatchAll_Ct-1),AK132=0),H132,0)</f>
        <v>0</v>
      </c>
      <c r="BN132" s="205">
        <f>IF(AND(Input_Product=Elig!$C132,Elig_MatchAll_Ct&lt;22,$BC132=(Elig_MatchAll_Ct-1),AL132=0),I132,0)</f>
        <v>0</v>
      </c>
      <c r="BO132" s="205">
        <f>IF(AND(Input_Product=Elig!$C132,Elig_MatchAll_Ct&lt;22,$BC132=(Elig_MatchAll_Ct-1),AM132=0),J132,0)</f>
        <v>0</v>
      </c>
      <c r="BP132" s="205">
        <f>IF(AND(Input_Product=Elig!$C132,Elig_MatchAll_Ct&lt;22,$BC132=(Elig_MatchAll_Ct-1),AN132=0),K132,0)</f>
        <v>0</v>
      </c>
      <c r="BQ132" s="205">
        <f>IF(AND(Input_Product=Elig!$C132,Elig_MatchAll_Ct&lt;22,$BC132=(Elig_MatchAll_Ct-1),AP132=0),L132,0)</f>
        <v>0</v>
      </c>
      <c r="BR132" s="205">
        <f>IF(AND(Input_Product=Elig!$C132,Elig_MatchAll_Ct&lt;22,$BC132=(Elig_MatchAll_Ct-1),AO132=0),M132,0)</f>
        <v>0</v>
      </c>
      <c r="BS132" s="205">
        <f>IF(AND(Input_Product=Elig!$C132,Elig_MatchAll_Ct&lt;22,$BC132=(Elig_MatchAll_Ct-1),AQ132=0),N132,0)</f>
        <v>0</v>
      </c>
      <c r="BT132" s="205">
        <f>IF(AND(Input_Product=Elig!$C132,Elig_MatchAll_Ct&lt;22,$BC132=(Elig_MatchAll_Ct-1),AR132=0),O132,0)</f>
        <v>0</v>
      </c>
      <c r="BU132" s="205">
        <f>IF(AND(Input_Product=Elig!$C132,Elig_MatchAll_Ct&lt;22,$BC132=(Elig_MatchAll_Ct-1),AS132=0),P132,0)</f>
        <v>0</v>
      </c>
      <c r="BV132" s="206">
        <f>IF(AND(Input_Product=Elig!$C132,Elig_MatchAll_Ct&lt;22,$BC132=(Elig_MatchAll_Ct-1),AT132=0),Q132,0)</f>
        <v>0</v>
      </c>
      <c r="BW132" s="207">
        <f>IF(AND(Input_Product=Elig!$C132,Elig_MatchAll_Ct&lt;22,$BC132=(Elig_MatchAll_Ct-1),AU132=0),R132,0)</f>
        <v>0</v>
      </c>
      <c r="BX132" s="208">
        <f>IF(AND(Input_Product=Elig!$C132,Elig_MatchAll_Ct&lt;22,$BC132=(Elig_MatchAll_Ct-1),AU132=0),S132,0)</f>
        <v>0</v>
      </c>
      <c r="BY132" s="207">
        <f>IF(AND(Input_Product=Elig!$C132,Elig_MatchAll_Ct&lt;22,$BC132=(Elig_MatchAll_Ct-1),AV132=0),T132,0)</f>
        <v>0</v>
      </c>
      <c r="BZ132" s="208">
        <f>IF(AND(Input_Product=Elig!$C132,Elig_MatchAll_Ct&lt;22,$BC132=(Elig_MatchAll_Ct-1),AV132=0),U132,0)</f>
        <v>0</v>
      </c>
      <c r="CA132" s="207">
        <f>IF(AND(Input_Product=Elig!$C132,Elig_MatchAll_Ct&lt;22,$BC132=(Elig_MatchAll_Ct-1),AW132=0),V132,0)</f>
        <v>0</v>
      </c>
      <c r="CB132" s="208">
        <f>IF(AND(Input_Product=Elig!$C132,Elig_MatchAll_Ct&lt;22,$BC132=(Elig_MatchAll_Ct-1),AW132=0),W132,0)</f>
        <v>0</v>
      </c>
      <c r="CC132" s="207">
        <f>IF(AND(Input_Product=Elig!$C132,Elig_MatchAll_Ct&lt;22,$BC132=(Elig_MatchAll_Ct-1),AX132=0),X132,0)</f>
        <v>0</v>
      </c>
      <c r="CD132" s="208">
        <f>IF(AND(Input_Product=Elig!$C132,Elig_MatchAll_Ct&lt;22,$BC132=(Elig_MatchAll_Ct-1),AX132=0),Y132,0)</f>
        <v>0</v>
      </c>
      <c r="CE132" s="207">
        <f>IF(AND(Input_LTV&lt;=AE132,Input_Product=Elig!$C132,Elig_MatchAll_Ct&lt;22,$BC132=(Elig_MatchAll_Ct-1),AY132=0),Z132,0)</f>
        <v>0</v>
      </c>
      <c r="CF132" s="208">
        <f>IF(AND(Input_LTV&lt;=AE132,Input_Product=Elig!$C132,Elig_MatchAll_Ct&lt;22,$BC132=(Elig_MatchAll_Ct-1),AY132=0),AA132,0)</f>
        <v>0</v>
      </c>
      <c r="CG132" s="207">
        <f>IF(AND(Input_Product=Elig!$C132,Elig_MatchAll_Ct&lt;22,$BC132=(Elig_MatchAll_Ct-1),AZ132=0),AB132,0)</f>
        <v>0</v>
      </c>
      <c r="CH132" s="208">
        <f>IF(AND(Input_Product=Elig!$C132,Elig_MatchAll_Ct&lt;22,$BC132=(Elig_MatchAll_Ct-1),AZ132=0),AC132,0)</f>
        <v>0</v>
      </c>
      <c r="CI132" s="207">
        <f>IF(AND(Input_Product=Elig!$C132,Elig_MatchAll_Ct&lt;22,$BC132=(Elig_MatchAll_Ct-1),BA132=0),AD132,0)</f>
        <v>0</v>
      </c>
      <c r="CJ132" s="209">
        <f>IF(AND(Input_Product=Elig!$C132,Elig_MatchAll_Ct&lt;22,$BC132=(Elig_MatchAll_Ct-1),BA132=0),AE132,0)</f>
        <v>0</v>
      </c>
    </row>
    <row r="133" spans="2:88" ht="10.15" customHeight="1" x14ac:dyDescent="0.25">
      <c r="B133" s="1912" t="s">
        <v>881</v>
      </c>
      <c r="C133" s="141" t="str">
        <f t="shared" si="35"/>
        <v>NonQM OO</v>
      </c>
      <c r="D133" s="142" t="s">
        <v>3885</v>
      </c>
      <c r="E133" s="143" t="s">
        <v>167</v>
      </c>
      <c r="F133" s="143" t="s">
        <v>331</v>
      </c>
      <c r="G133" s="143" t="s">
        <v>303</v>
      </c>
      <c r="H133" s="143" t="s">
        <v>136</v>
      </c>
      <c r="I133" s="142" t="s">
        <v>16</v>
      </c>
      <c r="J133" s="142" t="s">
        <v>1311</v>
      </c>
      <c r="K133" s="142" t="s">
        <v>1631</v>
      </c>
      <c r="L133" s="2131" t="s">
        <v>3920</v>
      </c>
      <c r="M133" s="143" t="s">
        <v>4203</v>
      </c>
      <c r="N133" s="143" t="s">
        <v>82</v>
      </c>
      <c r="O133" s="143" t="s">
        <v>310</v>
      </c>
      <c r="P133" s="143" t="s">
        <v>291</v>
      </c>
      <c r="Q133" s="143" t="s">
        <v>294</v>
      </c>
      <c r="R133" s="142">
        <v>1500000.01</v>
      </c>
      <c r="S133" s="142">
        <v>2000000</v>
      </c>
      <c r="T133" s="142">
        <v>0</v>
      </c>
      <c r="U133" s="142">
        <f t="shared" ref="U133:U138" si="50">S133</f>
        <v>2000000</v>
      </c>
      <c r="V133" s="142">
        <v>0</v>
      </c>
      <c r="W133" s="142">
        <v>55</v>
      </c>
      <c r="X133" s="142">
        <v>0</v>
      </c>
      <c r="Y133" s="142">
        <v>999</v>
      </c>
      <c r="Z133" s="144">
        <v>720</v>
      </c>
      <c r="AA133" s="144">
        <v>999</v>
      </c>
      <c r="AB133" s="144">
        <v>6</v>
      </c>
      <c r="AC133" s="144">
        <v>999999</v>
      </c>
      <c r="AD133" s="142">
        <v>0</v>
      </c>
      <c r="AE133" s="320">
        <v>80</v>
      </c>
      <c r="AF133" s="170">
        <v>0</v>
      </c>
      <c r="AG133" s="171">
        <v>1</v>
      </c>
      <c r="AH133" s="171">
        <v>1</v>
      </c>
      <c r="AI133" s="171">
        <v>1</v>
      </c>
      <c r="AJ133" s="171">
        <v>1</v>
      </c>
      <c r="AK133" s="171">
        <v>1</v>
      </c>
      <c r="AL133" s="171">
        <v>1</v>
      </c>
      <c r="AM133" s="171">
        <v>1</v>
      </c>
      <c r="AN133" s="171">
        <v>1</v>
      </c>
      <c r="AO133" s="171">
        <v>1</v>
      </c>
      <c r="AP133" s="171">
        <v>1</v>
      </c>
      <c r="AQ133" s="171">
        <v>1</v>
      </c>
      <c r="AR133" s="171">
        <v>1</v>
      </c>
      <c r="AS133" s="171">
        <v>1</v>
      </c>
      <c r="AT133" s="171">
        <v>1</v>
      </c>
      <c r="AU133" s="171">
        <f t="shared" si="41"/>
        <v>0</v>
      </c>
      <c r="AV133" s="171">
        <f t="shared" si="42"/>
        <v>1</v>
      </c>
      <c r="AW133" s="171">
        <f t="shared" si="43"/>
        <v>1</v>
      </c>
      <c r="AX133" s="171">
        <f t="shared" si="37"/>
        <v>1</v>
      </c>
      <c r="AY133" s="171">
        <f t="shared" si="44"/>
        <v>1</v>
      </c>
      <c r="AZ133" s="171">
        <f t="shared" si="45"/>
        <v>1</v>
      </c>
      <c r="BA133" s="172">
        <f t="shared" si="46"/>
        <v>1</v>
      </c>
      <c r="BB133" s="175">
        <f t="shared" si="47"/>
        <v>20</v>
      </c>
      <c r="BC133" s="176">
        <f t="shared" si="48"/>
        <v>19</v>
      </c>
      <c r="BD133" s="176">
        <f t="shared" si="49"/>
        <v>20</v>
      </c>
      <c r="BE133" s="240" t="str">
        <f t="shared" si="30"/>
        <v/>
      </c>
      <c r="BH133" s="192">
        <f>IF(AND(Input_Product=Elig!$C133,Elig_MatchAll_Ct&lt;22,$BC133=(Elig_MatchAll_Ct-1),AF133=0),C133,0)</f>
        <v>0</v>
      </c>
      <c r="BI133" s="193">
        <f>IF(AND(Input_Product=Elig!$C133,Elig_MatchAll_Ct&lt;22,$BC133=(Elig_MatchAll_Ct-1),AG133=0),D133,0)</f>
        <v>0</v>
      </c>
      <c r="BJ133" s="193">
        <f>IF(AND(Input_Product=Elig!$C133,Elig_MatchAll_Ct&lt;22,$BC133=(Elig_MatchAll_Ct-1),AH133=0),E133,0)</f>
        <v>0</v>
      </c>
      <c r="BK133" s="193">
        <f>IF(AND(Input_Product=Elig!$C133,Elig_MatchAll_Ct&lt;22,$BC133=(Elig_MatchAll_Ct-1),AI133=0),F133,0)</f>
        <v>0</v>
      </c>
      <c r="BL133" s="193">
        <f>IF(AND(Input_Product=Elig!$C133,Elig_MatchAll_Ct&lt;22,$BC133=(Elig_MatchAll_Ct-1),AJ133=0),G133,0)</f>
        <v>0</v>
      </c>
      <c r="BM133" s="193">
        <f>IF(AND(Input_Product=Elig!$C133,Elig_MatchAll_Ct&lt;22,$BC133=(Elig_MatchAll_Ct-1),AK133=0),H133,0)</f>
        <v>0</v>
      </c>
      <c r="BN133" s="193">
        <f>IF(AND(Input_Product=Elig!$C133,Elig_MatchAll_Ct&lt;22,$BC133=(Elig_MatchAll_Ct-1),AL133=0),I133,0)</f>
        <v>0</v>
      </c>
      <c r="BO133" s="193">
        <f>IF(AND(Input_Product=Elig!$C133,Elig_MatchAll_Ct&lt;22,$BC133=(Elig_MatchAll_Ct-1),AM133=0),J133,0)</f>
        <v>0</v>
      </c>
      <c r="BP133" s="193">
        <f>IF(AND(Input_Product=Elig!$C133,Elig_MatchAll_Ct&lt;22,$BC133=(Elig_MatchAll_Ct-1),AN133=0),K133,0)</f>
        <v>0</v>
      </c>
      <c r="BQ133" s="193">
        <f>IF(AND(Input_Product=Elig!$C133,Elig_MatchAll_Ct&lt;22,$BC133=(Elig_MatchAll_Ct-1),AP133=0),L133,0)</f>
        <v>0</v>
      </c>
      <c r="BR133" s="193">
        <f>IF(AND(Input_Product=Elig!$C133,Elig_MatchAll_Ct&lt;22,$BC133=(Elig_MatchAll_Ct-1),AO133=0),M133,0)</f>
        <v>0</v>
      </c>
      <c r="BS133" s="193">
        <f>IF(AND(Input_Product=Elig!$C133,Elig_MatchAll_Ct&lt;22,$BC133=(Elig_MatchAll_Ct-1),AQ133=0),N133,0)</f>
        <v>0</v>
      </c>
      <c r="BT133" s="193">
        <f>IF(AND(Input_Product=Elig!$C133,Elig_MatchAll_Ct&lt;22,$BC133=(Elig_MatchAll_Ct-1),AR133=0),O133,0)</f>
        <v>0</v>
      </c>
      <c r="BU133" s="193">
        <f>IF(AND(Input_Product=Elig!$C133,Elig_MatchAll_Ct&lt;22,$BC133=(Elig_MatchAll_Ct-1),AS133=0),P133,0)</f>
        <v>0</v>
      </c>
      <c r="BV133" s="194">
        <f>IF(AND(Input_Product=Elig!$C133,Elig_MatchAll_Ct&lt;22,$BC133=(Elig_MatchAll_Ct-1),AT133=0),Q133,0)</f>
        <v>0</v>
      </c>
      <c r="BW133" s="195">
        <f>IF(AND(Input_Product=Elig!$C133,Elig_MatchAll_Ct&lt;22,$BC133=(Elig_MatchAll_Ct-1),AU133=0),R133,0)</f>
        <v>0</v>
      </c>
      <c r="BX133" s="196">
        <f>IF(AND(Input_Product=Elig!$C133,Elig_MatchAll_Ct&lt;22,$BC133=(Elig_MatchAll_Ct-1),AU133=0),S133,0)</f>
        <v>0</v>
      </c>
      <c r="BY133" s="195">
        <f>IF(AND(Input_Product=Elig!$C133,Elig_MatchAll_Ct&lt;22,$BC133=(Elig_MatchAll_Ct-1),AV133=0),T133,0)</f>
        <v>0</v>
      </c>
      <c r="BZ133" s="196">
        <f>IF(AND(Input_Product=Elig!$C133,Elig_MatchAll_Ct&lt;22,$BC133=(Elig_MatchAll_Ct-1),AV133=0),U133,0)</f>
        <v>0</v>
      </c>
      <c r="CA133" s="195">
        <f>IF(AND(Input_Product=Elig!$C133,Elig_MatchAll_Ct&lt;22,$BC133=(Elig_MatchAll_Ct-1),AW133=0),V133,0)</f>
        <v>0</v>
      </c>
      <c r="CB133" s="196">
        <f>IF(AND(Input_Product=Elig!$C133,Elig_MatchAll_Ct&lt;22,$BC133=(Elig_MatchAll_Ct-1),AW133=0),W133,0)</f>
        <v>0</v>
      </c>
      <c r="CC133" s="195">
        <f>IF(AND(Input_Product=Elig!$C133,Elig_MatchAll_Ct&lt;22,$BC133=(Elig_MatchAll_Ct-1),AX133=0),X133,0)</f>
        <v>0</v>
      </c>
      <c r="CD133" s="196">
        <f>IF(AND(Input_Product=Elig!$C133,Elig_MatchAll_Ct&lt;22,$BC133=(Elig_MatchAll_Ct-1),AX133=0),Y133,0)</f>
        <v>0</v>
      </c>
      <c r="CE133" s="195">
        <f>IF(AND(Input_LTV&lt;=AE133,Input_Product=Elig!$C133,Elig_MatchAll_Ct&lt;22,$BC133=(Elig_MatchAll_Ct-1),AY133=0),Z133,0)</f>
        <v>0</v>
      </c>
      <c r="CF133" s="196">
        <f>IF(AND(Input_LTV&lt;=AE133,Input_Product=Elig!$C133,Elig_MatchAll_Ct&lt;22,$BC133=(Elig_MatchAll_Ct-1),AY133=0),AA133,0)</f>
        <v>0</v>
      </c>
      <c r="CG133" s="195">
        <f>IF(AND(Input_Product=Elig!$C133,Elig_MatchAll_Ct&lt;22,$BC133=(Elig_MatchAll_Ct-1),AZ133=0),AB133,0)</f>
        <v>0</v>
      </c>
      <c r="CH133" s="196">
        <f>IF(AND(Input_Product=Elig!$C133,Elig_MatchAll_Ct&lt;22,$BC133=(Elig_MatchAll_Ct-1),AZ133=0),AC133,0)</f>
        <v>0</v>
      </c>
      <c r="CI133" s="195">
        <f>IF(AND(Input_Product=Elig!$C133,Elig_MatchAll_Ct&lt;22,$BC133=(Elig_MatchAll_Ct-1),BA133=0),AD133,0)</f>
        <v>0</v>
      </c>
      <c r="CJ133" s="197">
        <f>IF(AND(Input_Product=Elig!$C133,Elig_MatchAll_Ct&lt;22,$BC133=(Elig_MatchAll_Ct-1),BA133=0),AE133,0)</f>
        <v>0</v>
      </c>
    </row>
    <row r="134" spans="2:88" ht="10.15" customHeight="1" x14ac:dyDescent="0.25">
      <c r="B134" s="1912" t="s">
        <v>882</v>
      </c>
      <c r="C134" s="134" t="str">
        <f t="shared" si="35"/>
        <v>NonQM OO</v>
      </c>
      <c r="D134" s="135" t="s">
        <v>3885</v>
      </c>
      <c r="E134" s="135" t="s">
        <v>167</v>
      </c>
      <c r="F134" s="135" t="s">
        <v>331</v>
      </c>
      <c r="G134" s="135" t="s">
        <v>303</v>
      </c>
      <c r="H134" s="135" t="s">
        <v>136</v>
      </c>
      <c r="I134" s="136" t="s">
        <v>16</v>
      </c>
      <c r="J134" s="136" t="s">
        <v>1311</v>
      </c>
      <c r="K134" s="136" t="s">
        <v>1631</v>
      </c>
      <c r="L134" s="221" t="s">
        <v>3920</v>
      </c>
      <c r="M134" s="135" t="s">
        <v>4203</v>
      </c>
      <c r="N134" s="135" t="s">
        <v>82</v>
      </c>
      <c r="O134" s="135" t="s">
        <v>310</v>
      </c>
      <c r="P134" s="135" t="s">
        <v>291</v>
      </c>
      <c r="Q134" s="135" t="s">
        <v>294</v>
      </c>
      <c r="R134" s="135">
        <v>1500000.01</v>
      </c>
      <c r="S134" s="135">
        <v>2000000</v>
      </c>
      <c r="T134" s="135">
        <v>0</v>
      </c>
      <c r="U134" s="135">
        <f t="shared" si="50"/>
        <v>2000000</v>
      </c>
      <c r="V134" s="135">
        <v>0</v>
      </c>
      <c r="W134" s="135">
        <v>55</v>
      </c>
      <c r="X134" s="135">
        <v>0</v>
      </c>
      <c r="Y134" s="135">
        <v>999</v>
      </c>
      <c r="Z134" s="137">
        <v>700</v>
      </c>
      <c r="AA134" s="137">
        <v>719</v>
      </c>
      <c r="AB134" s="137">
        <v>6</v>
      </c>
      <c r="AC134" s="137">
        <v>999999</v>
      </c>
      <c r="AD134" s="135">
        <v>0</v>
      </c>
      <c r="AE134" s="135">
        <v>75</v>
      </c>
      <c r="AF134" s="170">
        <v>0</v>
      </c>
      <c r="AG134" s="171">
        <v>1</v>
      </c>
      <c r="AH134" s="171">
        <v>1</v>
      </c>
      <c r="AI134" s="171">
        <v>1</v>
      </c>
      <c r="AJ134" s="171">
        <v>1</v>
      </c>
      <c r="AK134" s="171">
        <v>1</v>
      </c>
      <c r="AL134" s="171">
        <v>1</v>
      </c>
      <c r="AM134" s="171">
        <v>1</v>
      </c>
      <c r="AN134" s="171">
        <v>1</v>
      </c>
      <c r="AO134" s="171">
        <v>1</v>
      </c>
      <c r="AP134" s="171">
        <v>1</v>
      </c>
      <c r="AQ134" s="171">
        <v>1</v>
      </c>
      <c r="AR134" s="171">
        <v>1</v>
      </c>
      <c r="AS134" s="171">
        <v>1</v>
      </c>
      <c r="AT134" s="171">
        <v>1</v>
      </c>
      <c r="AU134" s="171">
        <f t="shared" si="41"/>
        <v>0</v>
      </c>
      <c r="AV134" s="171">
        <f t="shared" si="42"/>
        <v>1</v>
      </c>
      <c r="AW134" s="171">
        <f t="shared" si="43"/>
        <v>1</v>
      </c>
      <c r="AX134" s="171">
        <f t="shared" si="37"/>
        <v>1</v>
      </c>
      <c r="AY134" s="171">
        <f t="shared" si="44"/>
        <v>0</v>
      </c>
      <c r="AZ134" s="171">
        <f t="shared" si="45"/>
        <v>1</v>
      </c>
      <c r="BA134" s="172">
        <f t="shared" si="46"/>
        <v>1</v>
      </c>
      <c r="BB134" s="175">
        <f t="shared" si="47"/>
        <v>19</v>
      </c>
      <c r="BC134" s="176">
        <f t="shared" si="48"/>
        <v>18</v>
      </c>
      <c r="BD134" s="176">
        <f t="shared" si="49"/>
        <v>19</v>
      </c>
      <c r="BE134" s="240" t="str">
        <f t="shared" si="30"/>
        <v/>
      </c>
      <c r="BH134" s="198">
        <f>IF(AND(Input_Product=Elig!$C134,Elig_MatchAll_Ct&lt;22,$BC134=(Elig_MatchAll_Ct-1),AF134=0),C134,0)</f>
        <v>0</v>
      </c>
      <c r="BI134" s="199">
        <f>IF(AND(Input_Product=Elig!$C134,Elig_MatchAll_Ct&lt;22,$BC134=(Elig_MatchAll_Ct-1),AG134=0),D134,0)</f>
        <v>0</v>
      </c>
      <c r="BJ134" s="199">
        <f>IF(AND(Input_Product=Elig!$C134,Elig_MatchAll_Ct&lt;22,$BC134=(Elig_MatchAll_Ct-1),AH134=0),E134,0)</f>
        <v>0</v>
      </c>
      <c r="BK134" s="199">
        <f>IF(AND(Input_Product=Elig!$C134,Elig_MatchAll_Ct&lt;22,$BC134=(Elig_MatchAll_Ct-1),AI134=0),F134,0)</f>
        <v>0</v>
      </c>
      <c r="BL134" s="199">
        <f>IF(AND(Input_Product=Elig!$C134,Elig_MatchAll_Ct&lt;22,$BC134=(Elig_MatchAll_Ct-1),AJ134=0),G134,0)</f>
        <v>0</v>
      </c>
      <c r="BM134" s="199">
        <f>IF(AND(Input_Product=Elig!$C134,Elig_MatchAll_Ct&lt;22,$BC134=(Elig_MatchAll_Ct-1),AK134=0),H134,0)</f>
        <v>0</v>
      </c>
      <c r="BN134" s="199">
        <f>IF(AND(Input_Product=Elig!$C134,Elig_MatchAll_Ct&lt;22,$BC134=(Elig_MatchAll_Ct-1),AL134=0),I134,0)</f>
        <v>0</v>
      </c>
      <c r="BO134" s="199">
        <f>IF(AND(Input_Product=Elig!$C134,Elig_MatchAll_Ct&lt;22,$BC134=(Elig_MatchAll_Ct-1),AM134=0),J134,0)</f>
        <v>0</v>
      </c>
      <c r="BP134" s="199">
        <f>IF(AND(Input_Product=Elig!$C134,Elig_MatchAll_Ct&lt;22,$BC134=(Elig_MatchAll_Ct-1),AN134=0),K134,0)</f>
        <v>0</v>
      </c>
      <c r="BQ134" s="199">
        <f>IF(AND(Input_Product=Elig!$C134,Elig_MatchAll_Ct&lt;22,$BC134=(Elig_MatchAll_Ct-1),AP134=0),L134,0)</f>
        <v>0</v>
      </c>
      <c r="BR134" s="199">
        <f>IF(AND(Input_Product=Elig!$C134,Elig_MatchAll_Ct&lt;22,$BC134=(Elig_MatchAll_Ct-1),AO134=0),M134,0)</f>
        <v>0</v>
      </c>
      <c r="BS134" s="199">
        <f>IF(AND(Input_Product=Elig!$C134,Elig_MatchAll_Ct&lt;22,$BC134=(Elig_MatchAll_Ct-1),AQ134=0),N134,0)</f>
        <v>0</v>
      </c>
      <c r="BT134" s="199">
        <f>IF(AND(Input_Product=Elig!$C134,Elig_MatchAll_Ct&lt;22,$BC134=(Elig_MatchAll_Ct-1),AR134=0),O134,0)</f>
        <v>0</v>
      </c>
      <c r="BU134" s="199">
        <f>IF(AND(Input_Product=Elig!$C134,Elig_MatchAll_Ct&lt;22,$BC134=(Elig_MatchAll_Ct-1),AS134=0),P134,0)</f>
        <v>0</v>
      </c>
      <c r="BV134" s="200">
        <f>IF(AND(Input_Product=Elig!$C134,Elig_MatchAll_Ct&lt;22,$BC134=(Elig_MatchAll_Ct-1),AT134=0),Q134,0)</f>
        <v>0</v>
      </c>
      <c r="BW134" s="201">
        <f>IF(AND(Input_Product=Elig!$C134,Elig_MatchAll_Ct&lt;22,$BC134=(Elig_MatchAll_Ct-1),AU134=0),R134,0)</f>
        <v>0</v>
      </c>
      <c r="BX134" s="202">
        <f>IF(AND(Input_Product=Elig!$C134,Elig_MatchAll_Ct&lt;22,$BC134=(Elig_MatchAll_Ct-1),AU134=0),S134,0)</f>
        <v>0</v>
      </c>
      <c r="BY134" s="201">
        <f>IF(AND(Input_Product=Elig!$C134,Elig_MatchAll_Ct&lt;22,$BC134=(Elig_MatchAll_Ct-1),AV134=0),T134,0)</f>
        <v>0</v>
      </c>
      <c r="BZ134" s="202">
        <f>IF(AND(Input_Product=Elig!$C134,Elig_MatchAll_Ct&lt;22,$BC134=(Elig_MatchAll_Ct-1),AV134=0),U134,0)</f>
        <v>0</v>
      </c>
      <c r="CA134" s="201">
        <f>IF(AND(Input_Product=Elig!$C134,Elig_MatchAll_Ct&lt;22,$BC134=(Elig_MatchAll_Ct-1),AW134=0),V134,0)</f>
        <v>0</v>
      </c>
      <c r="CB134" s="202">
        <f>IF(AND(Input_Product=Elig!$C134,Elig_MatchAll_Ct&lt;22,$BC134=(Elig_MatchAll_Ct-1),AW134=0),W134,0)</f>
        <v>0</v>
      </c>
      <c r="CC134" s="201">
        <f>IF(AND(Input_Product=Elig!$C134,Elig_MatchAll_Ct&lt;22,$BC134=(Elig_MatchAll_Ct-1),AX134=0),X134,0)</f>
        <v>0</v>
      </c>
      <c r="CD134" s="202">
        <f>IF(AND(Input_Product=Elig!$C134,Elig_MatchAll_Ct&lt;22,$BC134=(Elig_MatchAll_Ct-1),AX134=0),Y134,0)</f>
        <v>0</v>
      </c>
      <c r="CE134" s="201">
        <f>IF(AND(Input_LTV&lt;=AE134,Input_Product=Elig!$C134,Elig_MatchAll_Ct&lt;22,$BC134=(Elig_MatchAll_Ct-1),AY134=0),Z134,0)</f>
        <v>0</v>
      </c>
      <c r="CF134" s="202">
        <f>IF(AND(Input_LTV&lt;=AE134,Input_Product=Elig!$C134,Elig_MatchAll_Ct&lt;22,$BC134=(Elig_MatchAll_Ct-1),AY134=0),AA134,0)</f>
        <v>0</v>
      </c>
      <c r="CG134" s="201">
        <f>IF(AND(Input_Product=Elig!$C134,Elig_MatchAll_Ct&lt;22,$BC134=(Elig_MatchAll_Ct-1),AZ134=0),AB134,0)</f>
        <v>0</v>
      </c>
      <c r="CH134" s="202">
        <f>IF(AND(Input_Product=Elig!$C134,Elig_MatchAll_Ct&lt;22,$BC134=(Elig_MatchAll_Ct-1),AZ134=0),AC134,0)</f>
        <v>0</v>
      </c>
      <c r="CI134" s="201">
        <f>IF(AND(Input_Product=Elig!$C134,Elig_MatchAll_Ct&lt;22,$BC134=(Elig_MatchAll_Ct-1),BA134=0),AD134,0)</f>
        <v>0</v>
      </c>
      <c r="CJ134" s="203">
        <f>IF(AND(Input_Product=Elig!$C134,Elig_MatchAll_Ct&lt;22,$BC134=(Elig_MatchAll_Ct-1),BA134=0),AE134,0)</f>
        <v>0</v>
      </c>
    </row>
    <row r="135" spans="2:88" ht="10.15" customHeight="1" x14ac:dyDescent="0.25">
      <c r="B135" s="1912" t="s">
        <v>883</v>
      </c>
      <c r="C135" s="134" t="str">
        <f t="shared" si="35"/>
        <v>NonQM OO</v>
      </c>
      <c r="D135" s="135" t="s">
        <v>3885</v>
      </c>
      <c r="E135" s="135" t="s">
        <v>167</v>
      </c>
      <c r="F135" s="135" t="s">
        <v>331</v>
      </c>
      <c r="G135" s="135" t="s">
        <v>303</v>
      </c>
      <c r="H135" s="135" t="s">
        <v>136</v>
      </c>
      <c r="I135" s="136" t="s">
        <v>16</v>
      </c>
      <c r="J135" s="136" t="s">
        <v>1311</v>
      </c>
      <c r="K135" s="136" t="s">
        <v>1631</v>
      </c>
      <c r="L135" s="221" t="s">
        <v>3920</v>
      </c>
      <c r="M135" s="135" t="s">
        <v>4203</v>
      </c>
      <c r="N135" s="135" t="s">
        <v>82</v>
      </c>
      <c r="O135" s="135" t="s">
        <v>310</v>
      </c>
      <c r="P135" s="135" t="s">
        <v>291</v>
      </c>
      <c r="Q135" s="135" t="s">
        <v>294</v>
      </c>
      <c r="R135" s="135">
        <v>1500000.01</v>
      </c>
      <c r="S135" s="135">
        <v>2000000</v>
      </c>
      <c r="T135" s="135">
        <v>0</v>
      </c>
      <c r="U135" s="135">
        <f t="shared" si="50"/>
        <v>2000000</v>
      </c>
      <c r="V135" s="135">
        <v>0</v>
      </c>
      <c r="W135" s="135">
        <v>55</v>
      </c>
      <c r="X135" s="135">
        <v>0</v>
      </c>
      <c r="Y135" s="135">
        <v>999</v>
      </c>
      <c r="Z135" s="137">
        <v>680</v>
      </c>
      <c r="AA135" s="137">
        <v>699</v>
      </c>
      <c r="AB135" s="137">
        <v>6</v>
      </c>
      <c r="AC135" s="137">
        <v>999999</v>
      </c>
      <c r="AD135" s="135">
        <v>0</v>
      </c>
      <c r="AE135" s="135">
        <v>70</v>
      </c>
      <c r="AF135" s="170">
        <v>0</v>
      </c>
      <c r="AG135" s="171">
        <v>1</v>
      </c>
      <c r="AH135" s="171">
        <v>1</v>
      </c>
      <c r="AI135" s="171">
        <v>1</v>
      </c>
      <c r="AJ135" s="171">
        <v>1</v>
      </c>
      <c r="AK135" s="171">
        <v>1</v>
      </c>
      <c r="AL135" s="171">
        <v>1</v>
      </c>
      <c r="AM135" s="171">
        <v>1</v>
      </c>
      <c r="AN135" s="171">
        <v>1</v>
      </c>
      <c r="AO135" s="171">
        <v>1</v>
      </c>
      <c r="AP135" s="171">
        <v>1</v>
      </c>
      <c r="AQ135" s="171">
        <v>1</v>
      </c>
      <c r="AR135" s="171">
        <v>1</v>
      </c>
      <c r="AS135" s="171">
        <v>1</v>
      </c>
      <c r="AT135" s="171">
        <v>1</v>
      </c>
      <c r="AU135" s="171">
        <f t="shared" si="41"/>
        <v>0</v>
      </c>
      <c r="AV135" s="171">
        <f t="shared" si="42"/>
        <v>1</v>
      </c>
      <c r="AW135" s="171">
        <f t="shared" si="43"/>
        <v>1</v>
      </c>
      <c r="AX135" s="171">
        <f t="shared" si="37"/>
        <v>1</v>
      </c>
      <c r="AY135" s="171">
        <f t="shared" si="44"/>
        <v>0</v>
      </c>
      <c r="AZ135" s="171">
        <f t="shared" si="45"/>
        <v>1</v>
      </c>
      <c r="BA135" s="172">
        <f t="shared" si="46"/>
        <v>1</v>
      </c>
      <c r="BB135" s="175">
        <f t="shared" si="47"/>
        <v>19</v>
      </c>
      <c r="BC135" s="176">
        <f t="shared" si="48"/>
        <v>18</v>
      </c>
      <c r="BD135" s="176">
        <f t="shared" si="49"/>
        <v>19</v>
      </c>
      <c r="BE135" s="240" t="str">
        <f t="shared" ref="BE135:BE198" si="51">IF(BD135=21,C135,"")</f>
        <v/>
      </c>
      <c r="BH135" s="198">
        <f>IF(AND(Input_Product=Elig!$C135,Elig_MatchAll_Ct&lt;22,$BC135=(Elig_MatchAll_Ct-1),AF135=0),C135,0)</f>
        <v>0</v>
      </c>
      <c r="BI135" s="199">
        <f>IF(AND(Input_Product=Elig!$C135,Elig_MatchAll_Ct&lt;22,$BC135=(Elig_MatchAll_Ct-1),AG135=0),D135,0)</f>
        <v>0</v>
      </c>
      <c r="BJ135" s="199">
        <f>IF(AND(Input_Product=Elig!$C135,Elig_MatchAll_Ct&lt;22,$BC135=(Elig_MatchAll_Ct-1),AH135=0),E135,0)</f>
        <v>0</v>
      </c>
      <c r="BK135" s="199">
        <f>IF(AND(Input_Product=Elig!$C135,Elig_MatchAll_Ct&lt;22,$BC135=(Elig_MatchAll_Ct-1),AI135=0),F135,0)</f>
        <v>0</v>
      </c>
      <c r="BL135" s="199">
        <f>IF(AND(Input_Product=Elig!$C135,Elig_MatchAll_Ct&lt;22,$BC135=(Elig_MatchAll_Ct-1),AJ135=0),G135,0)</f>
        <v>0</v>
      </c>
      <c r="BM135" s="199">
        <f>IF(AND(Input_Product=Elig!$C135,Elig_MatchAll_Ct&lt;22,$BC135=(Elig_MatchAll_Ct-1),AK135=0),H135,0)</f>
        <v>0</v>
      </c>
      <c r="BN135" s="199">
        <f>IF(AND(Input_Product=Elig!$C135,Elig_MatchAll_Ct&lt;22,$BC135=(Elig_MatchAll_Ct-1),AL135=0),I135,0)</f>
        <v>0</v>
      </c>
      <c r="BO135" s="199">
        <f>IF(AND(Input_Product=Elig!$C135,Elig_MatchAll_Ct&lt;22,$BC135=(Elig_MatchAll_Ct-1),AM135=0),J135,0)</f>
        <v>0</v>
      </c>
      <c r="BP135" s="199">
        <f>IF(AND(Input_Product=Elig!$C135,Elig_MatchAll_Ct&lt;22,$BC135=(Elig_MatchAll_Ct-1),AN135=0),K135,0)</f>
        <v>0</v>
      </c>
      <c r="BQ135" s="199">
        <f>IF(AND(Input_Product=Elig!$C135,Elig_MatchAll_Ct&lt;22,$BC135=(Elig_MatchAll_Ct-1),AP135=0),L135,0)</f>
        <v>0</v>
      </c>
      <c r="BR135" s="199">
        <f>IF(AND(Input_Product=Elig!$C135,Elig_MatchAll_Ct&lt;22,$BC135=(Elig_MatchAll_Ct-1),AO135=0),M135,0)</f>
        <v>0</v>
      </c>
      <c r="BS135" s="199">
        <f>IF(AND(Input_Product=Elig!$C135,Elig_MatchAll_Ct&lt;22,$BC135=(Elig_MatchAll_Ct-1),AQ135=0),N135,0)</f>
        <v>0</v>
      </c>
      <c r="BT135" s="199">
        <f>IF(AND(Input_Product=Elig!$C135,Elig_MatchAll_Ct&lt;22,$BC135=(Elig_MatchAll_Ct-1),AR135=0),O135,0)</f>
        <v>0</v>
      </c>
      <c r="BU135" s="199">
        <f>IF(AND(Input_Product=Elig!$C135,Elig_MatchAll_Ct&lt;22,$BC135=(Elig_MatchAll_Ct-1),AS135=0),P135,0)</f>
        <v>0</v>
      </c>
      <c r="BV135" s="200">
        <f>IF(AND(Input_Product=Elig!$C135,Elig_MatchAll_Ct&lt;22,$BC135=(Elig_MatchAll_Ct-1),AT135=0),Q135,0)</f>
        <v>0</v>
      </c>
      <c r="BW135" s="201">
        <f>IF(AND(Input_Product=Elig!$C135,Elig_MatchAll_Ct&lt;22,$BC135=(Elig_MatchAll_Ct-1),AU135=0),R135,0)</f>
        <v>0</v>
      </c>
      <c r="BX135" s="202">
        <f>IF(AND(Input_Product=Elig!$C135,Elig_MatchAll_Ct&lt;22,$BC135=(Elig_MatchAll_Ct-1),AU135=0),S135,0)</f>
        <v>0</v>
      </c>
      <c r="BY135" s="201">
        <f>IF(AND(Input_Product=Elig!$C135,Elig_MatchAll_Ct&lt;22,$BC135=(Elig_MatchAll_Ct-1),AV135=0),T135,0)</f>
        <v>0</v>
      </c>
      <c r="BZ135" s="202">
        <f>IF(AND(Input_Product=Elig!$C135,Elig_MatchAll_Ct&lt;22,$BC135=(Elig_MatchAll_Ct-1),AV135=0),U135,0)</f>
        <v>0</v>
      </c>
      <c r="CA135" s="201">
        <f>IF(AND(Input_Product=Elig!$C135,Elig_MatchAll_Ct&lt;22,$BC135=(Elig_MatchAll_Ct-1),AW135=0),V135,0)</f>
        <v>0</v>
      </c>
      <c r="CB135" s="202">
        <f>IF(AND(Input_Product=Elig!$C135,Elig_MatchAll_Ct&lt;22,$BC135=(Elig_MatchAll_Ct-1),AW135=0),W135,0)</f>
        <v>0</v>
      </c>
      <c r="CC135" s="201">
        <f>IF(AND(Input_Product=Elig!$C135,Elig_MatchAll_Ct&lt;22,$BC135=(Elig_MatchAll_Ct-1),AX135=0),X135,0)</f>
        <v>0</v>
      </c>
      <c r="CD135" s="202">
        <f>IF(AND(Input_Product=Elig!$C135,Elig_MatchAll_Ct&lt;22,$BC135=(Elig_MatchAll_Ct-1),AX135=0),Y135,0)</f>
        <v>0</v>
      </c>
      <c r="CE135" s="201">
        <f>IF(AND(Input_LTV&lt;=AE135,Input_Product=Elig!$C135,Elig_MatchAll_Ct&lt;22,$BC135=(Elig_MatchAll_Ct-1),AY135=0),Z135,0)</f>
        <v>0</v>
      </c>
      <c r="CF135" s="202">
        <f>IF(AND(Input_LTV&lt;=AE135,Input_Product=Elig!$C135,Elig_MatchAll_Ct&lt;22,$BC135=(Elig_MatchAll_Ct-1),AY135=0),AA135,0)</f>
        <v>0</v>
      </c>
      <c r="CG135" s="201">
        <f>IF(AND(Input_Product=Elig!$C135,Elig_MatchAll_Ct&lt;22,$BC135=(Elig_MatchAll_Ct-1),AZ135=0),AB135,0)</f>
        <v>0</v>
      </c>
      <c r="CH135" s="202">
        <f>IF(AND(Input_Product=Elig!$C135,Elig_MatchAll_Ct&lt;22,$BC135=(Elig_MatchAll_Ct-1),AZ135=0),AC135,0)</f>
        <v>0</v>
      </c>
      <c r="CI135" s="201">
        <f>IF(AND(Input_Product=Elig!$C135,Elig_MatchAll_Ct&lt;22,$BC135=(Elig_MatchAll_Ct-1),BA135=0),AD135,0)</f>
        <v>0</v>
      </c>
      <c r="CJ135" s="203">
        <f>IF(AND(Input_Product=Elig!$C135,Elig_MatchAll_Ct&lt;22,$BC135=(Elig_MatchAll_Ct-1),BA135=0),AE135,0)</f>
        <v>0</v>
      </c>
    </row>
    <row r="136" spans="2:88" ht="10.15" customHeight="1" x14ac:dyDescent="0.25">
      <c r="B136" s="1912" t="s">
        <v>884</v>
      </c>
      <c r="C136" s="134" t="str">
        <f t="shared" si="35"/>
        <v>NonQM OO</v>
      </c>
      <c r="D136" s="135" t="s">
        <v>3885</v>
      </c>
      <c r="E136" s="135" t="s">
        <v>167</v>
      </c>
      <c r="F136" s="135" t="s">
        <v>331</v>
      </c>
      <c r="G136" s="135" t="s">
        <v>303</v>
      </c>
      <c r="H136" s="135" t="s">
        <v>136</v>
      </c>
      <c r="I136" s="135" t="s">
        <v>16</v>
      </c>
      <c r="J136" s="135" t="s">
        <v>1311</v>
      </c>
      <c r="K136" s="135" t="s">
        <v>1631</v>
      </c>
      <c r="L136" s="221" t="s">
        <v>3920</v>
      </c>
      <c r="M136" s="135" t="s">
        <v>4203</v>
      </c>
      <c r="N136" s="135" t="s">
        <v>82</v>
      </c>
      <c r="O136" s="135" t="s">
        <v>310</v>
      </c>
      <c r="P136" s="135" t="s">
        <v>291</v>
      </c>
      <c r="Q136" s="135" t="s">
        <v>294</v>
      </c>
      <c r="R136" s="135">
        <v>1500000.01</v>
      </c>
      <c r="S136" s="135">
        <v>2000000</v>
      </c>
      <c r="T136" s="135">
        <v>0</v>
      </c>
      <c r="U136" s="135">
        <f t="shared" si="50"/>
        <v>2000000</v>
      </c>
      <c r="V136" s="135">
        <v>0</v>
      </c>
      <c r="W136" s="135">
        <v>55</v>
      </c>
      <c r="X136" s="135">
        <v>0</v>
      </c>
      <c r="Y136" s="135">
        <v>999</v>
      </c>
      <c r="Z136" s="137">
        <v>660</v>
      </c>
      <c r="AA136" s="137">
        <v>679</v>
      </c>
      <c r="AB136" s="137">
        <v>6</v>
      </c>
      <c r="AC136" s="137">
        <v>999999</v>
      </c>
      <c r="AD136" s="135">
        <v>0</v>
      </c>
      <c r="AE136" s="135">
        <v>65</v>
      </c>
      <c r="AF136" s="170">
        <v>0</v>
      </c>
      <c r="AG136" s="171">
        <v>1</v>
      </c>
      <c r="AH136" s="171">
        <v>1</v>
      </c>
      <c r="AI136" s="171">
        <v>1</v>
      </c>
      <c r="AJ136" s="171">
        <v>1</v>
      </c>
      <c r="AK136" s="171">
        <v>1</v>
      </c>
      <c r="AL136" s="171">
        <v>1</v>
      </c>
      <c r="AM136" s="171">
        <v>1</v>
      </c>
      <c r="AN136" s="171">
        <v>1</v>
      </c>
      <c r="AO136" s="171">
        <v>1</v>
      </c>
      <c r="AP136" s="171">
        <v>1</v>
      </c>
      <c r="AQ136" s="171">
        <v>1</v>
      </c>
      <c r="AR136" s="171">
        <v>1</v>
      </c>
      <c r="AS136" s="171">
        <v>1</v>
      </c>
      <c r="AT136" s="171">
        <v>1</v>
      </c>
      <c r="AU136" s="171">
        <f t="shared" si="41"/>
        <v>0</v>
      </c>
      <c r="AV136" s="171">
        <f t="shared" si="42"/>
        <v>1</v>
      </c>
      <c r="AW136" s="171">
        <f t="shared" si="43"/>
        <v>1</v>
      </c>
      <c r="AX136" s="171">
        <f t="shared" si="37"/>
        <v>1</v>
      </c>
      <c r="AY136" s="171">
        <f t="shared" si="44"/>
        <v>0</v>
      </c>
      <c r="AZ136" s="171">
        <f t="shared" si="45"/>
        <v>1</v>
      </c>
      <c r="BA136" s="172">
        <f t="shared" si="46"/>
        <v>1</v>
      </c>
      <c r="BB136" s="175">
        <f t="shared" si="47"/>
        <v>19</v>
      </c>
      <c r="BC136" s="176">
        <f t="shared" si="48"/>
        <v>18</v>
      </c>
      <c r="BD136" s="176">
        <f t="shared" si="49"/>
        <v>19</v>
      </c>
      <c r="BE136" s="240" t="str">
        <f t="shared" si="51"/>
        <v/>
      </c>
      <c r="BH136" s="198">
        <f>IF(AND(Input_Product=Elig!$C136,Elig_MatchAll_Ct&lt;22,$BC136=(Elig_MatchAll_Ct-1),AF136=0),C136,0)</f>
        <v>0</v>
      </c>
      <c r="BI136" s="199">
        <f>IF(AND(Input_Product=Elig!$C136,Elig_MatchAll_Ct&lt;22,$BC136=(Elig_MatchAll_Ct-1),AG136=0),D136,0)</f>
        <v>0</v>
      </c>
      <c r="BJ136" s="199">
        <f>IF(AND(Input_Product=Elig!$C136,Elig_MatchAll_Ct&lt;22,$BC136=(Elig_MatchAll_Ct-1),AH136=0),E136,0)</f>
        <v>0</v>
      </c>
      <c r="BK136" s="199">
        <f>IF(AND(Input_Product=Elig!$C136,Elig_MatchAll_Ct&lt;22,$BC136=(Elig_MatchAll_Ct-1),AI136=0),F136,0)</f>
        <v>0</v>
      </c>
      <c r="BL136" s="199">
        <f>IF(AND(Input_Product=Elig!$C136,Elig_MatchAll_Ct&lt;22,$BC136=(Elig_MatchAll_Ct-1),AJ136=0),G136,0)</f>
        <v>0</v>
      </c>
      <c r="BM136" s="199">
        <f>IF(AND(Input_Product=Elig!$C136,Elig_MatchAll_Ct&lt;22,$BC136=(Elig_MatchAll_Ct-1),AK136=0),H136,0)</f>
        <v>0</v>
      </c>
      <c r="BN136" s="199">
        <f>IF(AND(Input_Product=Elig!$C136,Elig_MatchAll_Ct&lt;22,$BC136=(Elig_MatchAll_Ct-1),AL136=0),I136,0)</f>
        <v>0</v>
      </c>
      <c r="BO136" s="199">
        <f>IF(AND(Input_Product=Elig!$C136,Elig_MatchAll_Ct&lt;22,$BC136=(Elig_MatchAll_Ct-1),AM136=0),J136,0)</f>
        <v>0</v>
      </c>
      <c r="BP136" s="199">
        <f>IF(AND(Input_Product=Elig!$C136,Elig_MatchAll_Ct&lt;22,$BC136=(Elig_MatchAll_Ct-1),AN136=0),K136,0)</f>
        <v>0</v>
      </c>
      <c r="BQ136" s="199">
        <f>IF(AND(Input_Product=Elig!$C136,Elig_MatchAll_Ct&lt;22,$BC136=(Elig_MatchAll_Ct-1),AP136=0),L136,0)</f>
        <v>0</v>
      </c>
      <c r="BR136" s="199">
        <f>IF(AND(Input_Product=Elig!$C136,Elig_MatchAll_Ct&lt;22,$BC136=(Elig_MatchAll_Ct-1),AO136=0),M136,0)</f>
        <v>0</v>
      </c>
      <c r="BS136" s="199">
        <f>IF(AND(Input_Product=Elig!$C136,Elig_MatchAll_Ct&lt;22,$BC136=(Elig_MatchAll_Ct-1),AQ136=0),N136,0)</f>
        <v>0</v>
      </c>
      <c r="BT136" s="199">
        <f>IF(AND(Input_Product=Elig!$C136,Elig_MatchAll_Ct&lt;22,$BC136=(Elig_MatchAll_Ct-1),AR136=0),O136,0)</f>
        <v>0</v>
      </c>
      <c r="BU136" s="199">
        <f>IF(AND(Input_Product=Elig!$C136,Elig_MatchAll_Ct&lt;22,$BC136=(Elig_MatchAll_Ct-1),AS136=0),P136,0)</f>
        <v>0</v>
      </c>
      <c r="BV136" s="200">
        <f>IF(AND(Input_Product=Elig!$C136,Elig_MatchAll_Ct&lt;22,$BC136=(Elig_MatchAll_Ct-1),AT136=0),Q136,0)</f>
        <v>0</v>
      </c>
      <c r="BW136" s="201">
        <f>IF(AND(Input_Product=Elig!$C136,Elig_MatchAll_Ct&lt;22,$BC136=(Elig_MatchAll_Ct-1),AU136=0),R136,0)</f>
        <v>0</v>
      </c>
      <c r="BX136" s="202">
        <f>IF(AND(Input_Product=Elig!$C136,Elig_MatchAll_Ct&lt;22,$BC136=(Elig_MatchAll_Ct-1),AU136=0),S136,0)</f>
        <v>0</v>
      </c>
      <c r="BY136" s="201">
        <f>IF(AND(Input_Product=Elig!$C136,Elig_MatchAll_Ct&lt;22,$BC136=(Elig_MatchAll_Ct-1),AV136=0),T136,0)</f>
        <v>0</v>
      </c>
      <c r="BZ136" s="202">
        <f>IF(AND(Input_Product=Elig!$C136,Elig_MatchAll_Ct&lt;22,$BC136=(Elig_MatchAll_Ct-1),AV136=0),U136,0)</f>
        <v>0</v>
      </c>
      <c r="CA136" s="201">
        <f>IF(AND(Input_Product=Elig!$C136,Elig_MatchAll_Ct&lt;22,$BC136=(Elig_MatchAll_Ct-1),AW136=0),V136,0)</f>
        <v>0</v>
      </c>
      <c r="CB136" s="202">
        <f>IF(AND(Input_Product=Elig!$C136,Elig_MatchAll_Ct&lt;22,$BC136=(Elig_MatchAll_Ct-1),AW136=0),W136,0)</f>
        <v>0</v>
      </c>
      <c r="CC136" s="201">
        <f>IF(AND(Input_Product=Elig!$C136,Elig_MatchAll_Ct&lt;22,$BC136=(Elig_MatchAll_Ct-1),AX136=0),X136,0)</f>
        <v>0</v>
      </c>
      <c r="CD136" s="202">
        <f>IF(AND(Input_Product=Elig!$C136,Elig_MatchAll_Ct&lt;22,$BC136=(Elig_MatchAll_Ct-1),AX136=0),Y136,0)</f>
        <v>0</v>
      </c>
      <c r="CE136" s="201">
        <f>IF(AND(Input_LTV&lt;=AE136,Input_Product=Elig!$C136,Elig_MatchAll_Ct&lt;22,$BC136=(Elig_MatchAll_Ct-1),AY136=0),Z136,0)</f>
        <v>0</v>
      </c>
      <c r="CF136" s="202">
        <f>IF(AND(Input_LTV&lt;=AE136,Input_Product=Elig!$C136,Elig_MatchAll_Ct&lt;22,$BC136=(Elig_MatchAll_Ct-1),AY136=0),AA136,0)</f>
        <v>0</v>
      </c>
      <c r="CG136" s="201">
        <f>IF(AND(Input_Product=Elig!$C136,Elig_MatchAll_Ct&lt;22,$BC136=(Elig_MatchAll_Ct-1),AZ136=0),AB136,0)</f>
        <v>0</v>
      </c>
      <c r="CH136" s="202">
        <f>IF(AND(Input_Product=Elig!$C136,Elig_MatchAll_Ct&lt;22,$BC136=(Elig_MatchAll_Ct-1),AZ136=0),AC136,0)</f>
        <v>0</v>
      </c>
      <c r="CI136" s="201">
        <f>IF(AND(Input_Product=Elig!$C136,Elig_MatchAll_Ct&lt;22,$BC136=(Elig_MatchAll_Ct-1),BA136=0),AD136,0)</f>
        <v>0</v>
      </c>
      <c r="CJ136" s="203">
        <f>IF(AND(Input_Product=Elig!$C136,Elig_MatchAll_Ct&lt;22,$BC136=(Elig_MatchAll_Ct-1),BA136=0),AE136,0)</f>
        <v>0</v>
      </c>
    </row>
    <row r="137" spans="2:88" ht="10.15" customHeight="1" x14ac:dyDescent="0.25">
      <c r="B137" s="1912" t="s">
        <v>885</v>
      </c>
      <c r="C137" s="134" t="str">
        <f t="shared" si="35"/>
        <v>NonQM OO</v>
      </c>
      <c r="D137" s="135" t="s">
        <v>3885</v>
      </c>
      <c r="E137" s="135" t="s">
        <v>167</v>
      </c>
      <c r="F137" s="135" t="s">
        <v>331</v>
      </c>
      <c r="G137" s="135" t="s">
        <v>303</v>
      </c>
      <c r="H137" s="135" t="s">
        <v>136</v>
      </c>
      <c r="I137" s="135" t="s">
        <v>16</v>
      </c>
      <c r="J137" s="135" t="s">
        <v>1311</v>
      </c>
      <c r="K137" s="135" t="s">
        <v>1631</v>
      </c>
      <c r="L137" s="221" t="s">
        <v>3920</v>
      </c>
      <c r="M137" s="135" t="s">
        <v>4203</v>
      </c>
      <c r="N137" s="135" t="s">
        <v>82</v>
      </c>
      <c r="O137" s="135" t="s">
        <v>310</v>
      </c>
      <c r="P137" s="135" t="s">
        <v>291</v>
      </c>
      <c r="Q137" s="135" t="s">
        <v>294</v>
      </c>
      <c r="R137" s="135">
        <v>1500000.01</v>
      </c>
      <c r="S137" s="135">
        <v>2000000</v>
      </c>
      <c r="T137" s="135">
        <v>0</v>
      </c>
      <c r="U137" s="135">
        <f t="shared" si="50"/>
        <v>2000000</v>
      </c>
      <c r="V137" s="135">
        <v>0</v>
      </c>
      <c r="W137" s="135">
        <v>55</v>
      </c>
      <c r="X137" s="135">
        <v>0</v>
      </c>
      <c r="Y137" s="135">
        <v>999</v>
      </c>
      <c r="Z137" s="137">
        <v>640</v>
      </c>
      <c r="AA137" s="137">
        <v>659</v>
      </c>
      <c r="AB137" s="137">
        <v>6</v>
      </c>
      <c r="AC137" s="137">
        <v>999999</v>
      </c>
      <c r="AD137" s="135">
        <v>0</v>
      </c>
      <c r="AE137" s="135">
        <v>-999</v>
      </c>
      <c r="AF137" s="170">
        <v>0</v>
      </c>
      <c r="AG137" s="171">
        <v>1</v>
      </c>
      <c r="AH137" s="171">
        <v>1</v>
      </c>
      <c r="AI137" s="171">
        <v>1</v>
      </c>
      <c r="AJ137" s="171">
        <v>1</v>
      </c>
      <c r="AK137" s="171">
        <v>1</v>
      </c>
      <c r="AL137" s="171">
        <v>1</v>
      </c>
      <c r="AM137" s="171">
        <v>1</v>
      </c>
      <c r="AN137" s="171">
        <v>1</v>
      </c>
      <c r="AO137" s="171">
        <v>1</v>
      </c>
      <c r="AP137" s="171">
        <v>1</v>
      </c>
      <c r="AQ137" s="171">
        <v>1</v>
      </c>
      <c r="AR137" s="171">
        <v>1</v>
      </c>
      <c r="AS137" s="171">
        <v>1</v>
      </c>
      <c r="AT137" s="171">
        <v>1</v>
      </c>
      <c r="AU137" s="171">
        <f t="shared" si="41"/>
        <v>0</v>
      </c>
      <c r="AV137" s="171">
        <f t="shared" si="42"/>
        <v>1</v>
      </c>
      <c r="AW137" s="171">
        <f t="shared" si="43"/>
        <v>1</v>
      </c>
      <c r="AX137" s="171">
        <f t="shared" si="37"/>
        <v>1</v>
      </c>
      <c r="AY137" s="171">
        <f t="shared" si="44"/>
        <v>0</v>
      </c>
      <c r="AZ137" s="171">
        <f t="shared" si="45"/>
        <v>1</v>
      </c>
      <c r="BA137" s="172">
        <f t="shared" si="46"/>
        <v>0</v>
      </c>
      <c r="BB137" s="175">
        <f t="shared" si="47"/>
        <v>18</v>
      </c>
      <c r="BC137" s="176">
        <f t="shared" si="48"/>
        <v>18</v>
      </c>
      <c r="BD137" s="176">
        <f t="shared" si="49"/>
        <v>18</v>
      </c>
      <c r="BE137" s="240" t="str">
        <f t="shared" si="51"/>
        <v/>
      </c>
      <c r="BH137" s="198">
        <f>IF(AND(Input_Product=Elig!$C137,Elig_MatchAll_Ct&lt;22,$BC137=(Elig_MatchAll_Ct-1),AF137=0),C137,0)</f>
        <v>0</v>
      </c>
      <c r="BI137" s="199">
        <f>IF(AND(Input_Product=Elig!$C137,Elig_MatchAll_Ct&lt;22,$BC137=(Elig_MatchAll_Ct-1),AG137=0),D137,0)</f>
        <v>0</v>
      </c>
      <c r="BJ137" s="199">
        <f>IF(AND(Input_Product=Elig!$C137,Elig_MatchAll_Ct&lt;22,$BC137=(Elig_MatchAll_Ct-1),AH137=0),E137,0)</f>
        <v>0</v>
      </c>
      <c r="BK137" s="199">
        <f>IF(AND(Input_Product=Elig!$C137,Elig_MatchAll_Ct&lt;22,$BC137=(Elig_MatchAll_Ct-1),AI137=0),F137,0)</f>
        <v>0</v>
      </c>
      <c r="BL137" s="199">
        <f>IF(AND(Input_Product=Elig!$C137,Elig_MatchAll_Ct&lt;22,$BC137=(Elig_MatchAll_Ct-1),AJ137=0),G137,0)</f>
        <v>0</v>
      </c>
      <c r="BM137" s="199">
        <f>IF(AND(Input_Product=Elig!$C137,Elig_MatchAll_Ct&lt;22,$BC137=(Elig_MatchAll_Ct-1),AK137=0),H137,0)</f>
        <v>0</v>
      </c>
      <c r="BN137" s="199">
        <f>IF(AND(Input_Product=Elig!$C137,Elig_MatchAll_Ct&lt;22,$BC137=(Elig_MatchAll_Ct-1),AL137=0),I137,0)</f>
        <v>0</v>
      </c>
      <c r="BO137" s="199">
        <f>IF(AND(Input_Product=Elig!$C137,Elig_MatchAll_Ct&lt;22,$BC137=(Elig_MatchAll_Ct-1),AM137=0),J137,0)</f>
        <v>0</v>
      </c>
      <c r="BP137" s="199">
        <f>IF(AND(Input_Product=Elig!$C137,Elig_MatchAll_Ct&lt;22,$BC137=(Elig_MatchAll_Ct-1),AN137=0),K137,0)</f>
        <v>0</v>
      </c>
      <c r="BQ137" s="199">
        <f>IF(AND(Input_Product=Elig!$C137,Elig_MatchAll_Ct&lt;22,$BC137=(Elig_MatchAll_Ct-1),AP137=0),L137,0)</f>
        <v>0</v>
      </c>
      <c r="BR137" s="199">
        <f>IF(AND(Input_Product=Elig!$C137,Elig_MatchAll_Ct&lt;22,$BC137=(Elig_MatchAll_Ct-1),AO137=0),M137,0)</f>
        <v>0</v>
      </c>
      <c r="BS137" s="199">
        <f>IF(AND(Input_Product=Elig!$C137,Elig_MatchAll_Ct&lt;22,$BC137=(Elig_MatchAll_Ct-1),AQ137=0),N137,0)</f>
        <v>0</v>
      </c>
      <c r="BT137" s="199">
        <f>IF(AND(Input_Product=Elig!$C137,Elig_MatchAll_Ct&lt;22,$BC137=(Elig_MatchAll_Ct-1),AR137=0),O137,0)</f>
        <v>0</v>
      </c>
      <c r="BU137" s="199">
        <f>IF(AND(Input_Product=Elig!$C137,Elig_MatchAll_Ct&lt;22,$BC137=(Elig_MatchAll_Ct-1),AS137=0),P137,0)</f>
        <v>0</v>
      </c>
      <c r="BV137" s="200">
        <f>IF(AND(Input_Product=Elig!$C137,Elig_MatchAll_Ct&lt;22,$BC137=(Elig_MatchAll_Ct-1),AT137=0),Q137,0)</f>
        <v>0</v>
      </c>
      <c r="BW137" s="201">
        <f>IF(AND(Input_Product=Elig!$C137,Elig_MatchAll_Ct&lt;22,$BC137=(Elig_MatchAll_Ct-1),AU137=0),R137,0)</f>
        <v>0</v>
      </c>
      <c r="BX137" s="202">
        <f>IF(AND(Input_Product=Elig!$C137,Elig_MatchAll_Ct&lt;22,$BC137=(Elig_MatchAll_Ct-1),AU137=0),S137,0)</f>
        <v>0</v>
      </c>
      <c r="BY137" s="201">
        <f>IF(AND(Input_Product=Elig!$C137,Elig_MatchAll_Ct&lt;22,$BC137=(Elig_MatchAll_Ct-1),AV137=0),T137,0)</f>
        <v>0</v>
      </c>
      <c r="BZ137" s="202">
        <f>IF(AND(Input_Product=Elig!$C137,Elig_MatchAll_Ct&lt;22,$BC137=(Elig_MatchAll_Ct-1),AV137=0),U137,0)</f>
        <v>0</v>
      </c>
      <c r="CA137" s="201">
        <f>IF(AND(Input_Product=Elig!$C137,Elig_MatchAll_Ct&lt;22,$BC137=(Elig_MatchAll_Ct-1),AW137=0),V137,0)</f>
        <v>0</v>
      </c>
      <c r="CB137" s="202">
        <f>IF(AND(Input_Product=Elig!$C137,Elig_MatchAll_Ct&lt;22,$BC137=(Elig_MatchAll_Ct-1),AW137=0),W137,0)</f>
        <v>0</v>
      </c>
      <c r="CC137" s="201">
        <f>IF(AND(Input_Product=Elig!$C137,Elig_MatchAll_Ct&lt;22,$BC137=(Elig_MatchAll_Ct-1),AX137=0),X137,0)</f>
        <v>0</v>
      </c>
      <c r="CD137" s="202">
        <f>IF(AND(Input_Product=Elig!$C137,Elig_MatchAll_Ct&lt;22,$BC137=(Elig_MatchAll_Ct-1),AX137=0),Y137,0)</f>
        <v>0</v>
      </c>
      <c r="CE137" s="201">
        <f>IF(AND(Input_LTV&lt;=AE137,Input_Product=Elig!$C137,Elig_MatchAll_Ct&lt;22,$BC137=(Elig_MatchAll_Ct-1),AY137=0),Z137,0)</f>
        <v>0</v>
      </c>
      <c r="CF137" s="202">
        <f>IF(AND(Input_LTV&lt;=AE137,Input_Product=Elig!$C137,Elig_MatchAll_Ct&lt;22,$BC137=(Elig_MatchAll_Ct-1),AY137=0),AA137,0)</f>
        <v>0</v>
      </c>
      <c r="CG137" s="201">
        <f>IF(AND(Input_Product=Elig!$C137,Elig_MatchAll_Ct&lt;22,$BC137=(Elig_MatchAll_Ct-1),AZ137=0),AB137,0)</f>
        <v>0</v>
      </c>
      <c r="CH137" s="202">
        <f>IF(AND(Input_Product=Elig!$C137,Elig_MatchAll_Ct&lt;22,$BC137=(Elig_MatchAll_Ct-1),AZ137=0),AC137,0)</f>
        <v>0</v>
      </c>
      <c r="CI137" s="201">
        <f>IF(AND(Input_Product=Elig!$C137,Elig_MatchAll_Ct&lt;22,$BC137=(Elig_MatchAll_Ct-1),BA137=0),AD137,0)</f>
        <v>0</v>
      </c>
      <c r="CJ137" s="203">
        <f>IF(AND(Input_Product=Elig!$C137,Elig_MatchAll_Ct&lt;22,$BC137=(Elig_MatchAll_Ct-1),BA137=0),AE137,0)</f>
        <v>0</v>
      </c>
    </row>
    <row r="138" spans="2:88" ht="10.15" customHeight="1" x14ac:dyDescent="0.25">
      <c r="B138" s="1912" t="s">
        <v>886</v>
      </c>
      <c r="C138" s="138" t="str">
        <f t="shared" si="35"/>
        <v>NonQM OO</v>
      </c>
      <c r="D138" s="139" t="s">
        <v>3885</v>
      </c>
      <c r="E138" s="139" t="s">
        <v>167</v>
      </c>
      <c r="F138" s="139" t="s">
        <v>331</v>
      </c>
      <c r="G138" s="139" t="s">
        <v>303</v>
      </c>
      <c r="H138" s="139" t="s">
        <v>136</v>
      </c>
      <c r="I138" s="139" t="s">
        <v>16</v>
      </c>
      <c r="J138" s="139" t="s">
        <v>1311</v>
      </c>
      <c r="K138" s="139" t="s">
        <v>1631</v>
      </c>
      <c r="L138" s="310" t="s">
        <v>3920</v>
      </c>
      <c r="M138" s="139" t="s">
        <v>4203</v>
      </c>
      <c r="N138" s="139" t="s">
        <v>82</v>
      </c>
      <c r="O138" s="139" t="s">
        <v>310</v>
      </c>
      <c r="P138" s="139" t="s">
        <v>291</v>
      </c>
      <c r="Q138" s="139" t="s">
        <v>294</v>
      </c>
      <c r="R138" s="139">
        <v>1500000.01</v>
      </c>
      <c r="S138" s="139">
        <v>2000000</v>
      </c>
      <c r="T138" s="139">
        <v>0</v>
      </c>
      <c r="U138" s="139">
        <f t="shared" si="50"/>
        <v>2000000</v>
      </c>
      <c r="V138" s="139">
        <v>0</v>
      </c>
      <c r="W138" s="139">
        <v>55</v>
      </c>
      <c r="X138" s="139">
        <v>0</v>
      </c>
      <c r="Y138" s="139">
        <v>999</v>
      </c>
      <c r="Z138" s="140">
        <v>620</v>
      </c>
      <c r="AA138" s="140">
        <v>639</v>
      </c>
      <c r="AB138" s="140">
        <v>6</v>
      </c>
      <c r="AC138" s="140">
        <v>999999</v>
      </c>
      <c r="AD138" s="139">
        <v>0</v>
      </c>
      <c r="AE138" s="139">
        <v>-999</v>
      </c>
      <c r="AF138" s="170">
        <v>0</v>
      </c>
      <c r="AG138" s="171">
        <v>1</v>
      </c>
      <c r="AH138" s="171">
        <v>1</v>
      </c>
      <c r="AI138" s="171">
        <v>1</v>
      </c>
      <c r="AJ138" s="171">
        <v>1</v>
      </c>
      <c r="AK138" s="171">
        <v>1</v>
      </c>
      <c r="AL138" s="171">
        <v>1</v>
      </c>
      <c r="AM138" s="171">
        <v>1</v>
      </c>
      <c r="AN138" s="171">
        <v>1</v>
      </c>
      <c r="AO138" s="171">
        <v>1</v>
      </c>
      <c r="AP138" s="171">
        <v>1</v>
      </c>
      <c r="AQ138" s="171">
        <v>1</v>
      </c>
      <c r="AR138" s="171">
        <v>1</v>
      </c>
      <c r="AS138" s="171">
        <v>1</v>
      </c>
      <c r="AT138" s="171">
        <v>1</v>
      </c>
      <c r="AU138" s="171">
        <f t="shared" si="41"/>
        <v>0</v>
      </c>
      <c r="AV138" s="171">
        <f t="shared" si="42"/>
        <v>1</v>
      </c>
      <c r="AW138" s="171">
        <f t="shared" si="43"/>
        <v>1</v>
      </c>
      <c r="AX138" s="171">
        <f t="shared" si="37"/>
        <v>1</v>
      </c>
      <c r="AY138" s="171">
        <f t="shared" si="44"/>
        <v>0</v>
      </c>
      <c r="AZ138" s="171">
        <f t="shared" si="45"/>
        <v>1</v>
      </c>
      <c r="BA138" s="172">
        <f t="shared" si="46"/>
        <v>0</v>
      </c>
      <c r="BB138" s="175">
        <f t="shared" si="47"/>
        <v>18</v>
      </c>
      <c r="BC138" s="176">
        <f t="shared" si="48"/>
        <v>18</v>
      </c>
      <c r="BD138" s="176">
        <f t="shared" si="49"/>
        <v>18</v>
      </c>
      <c r="BE138" s="240" t="str">
        <f t="shared" si="51"/>
        <v/>
      </c>
      <c r="BH138" s="204">
        <f>IF(AND(Input_Product=Elig!$C138,Elig_MatchAll_Ct&lt;22,$BC138=(Elig_MatchAll_Ct-1),AF138=0),C138,0)</f>
        <v>0</v>
      </c>
      <c r="BI138" s="205">
        <f>IF(AND(Input_Product=Elig!$C138,Elig_MatchAll_Ct&lt;22,$BC138=(Elig_MatchAll_Ct-1),AG138=0),D138,0)</f>
        <v>0</v>
      </c>
      <c r="BJ138" s="205">
        <f>IF(AND(Input_Product=Elig!$C138,Elig_MatchAll_Ct&lt;22,$BC138=(Elig_MatchAll_Ct-1),AH138=0),E138,0)</f>
        <v>0</v>
      </c>
      <c r="BK138" s="205">
        <f>IF(AND(Input_Product=Elig!$C138,Elig_MatchAll_Ct&lt;22,$BC138=(Elig_MatchAll_Ct-1),AI138=0),F138,0)</f>
        <v>0</v>
      </c>
      <c r="BL138" s="205">
        <f>IF(AND(Input_Product=Elig!$C138,Elig_MatchAll_Ct&lt;22,$BC138=(Elig_MatchAll_Ct-1),AJ138=0),G138,0)</f>
        <v>0</v>
      </c>
      <c r="BM138" s="205">
        <f>IF(AND(Input_Product=Elig!$C138,Elig_MatchAll_Ct&lt;22,$BC138=(Elig_MatchAll_Ct-1),AK138=0),H138,0)</f>
        <v>0</v>
      </c>
      <c r="BN138" s="205">
        <f>IF(AND(Input_Product=Elig!$C138,Elig_MatchAll_Ct&lt;22,$BC138=(Elig_MatchAll_Ct-1),AL138=0),I138,0)</f>
        <v>0</v>
      </c>
      <c r="BO138" s="205">
        <f>IF(AND(Input_Product=Elig!$C138,Elig_MatchAll_Ct&lt;22,$BC138=(Elig_MatchAll_Ct-1),AM138=0),J138,0)</f>
        <v>0</v>
      </c>
      <c r="BP138" s="205">
        <f>IF(AND(Input_Product=Elig!$C138,Elig_MatchAll_Ct&lt;22,$BC138=(Elig_MatchAll_Ct-1),AN138=0),K138,0)</f>
        <v>0</v>
      </c>
      <c r="BQ138" s="205">
        <f>IF(AND(Input_Product=Elig!$C138,Elig_MatchAll_Ct&lt;22,$BC138=(Elig_MatchAll_Ct-1),AP138=0),L138,0)</f>
        <v>0</v>
      </c>
      <c r="BR138" s="205">
        <f>IF(AND(Input_Product=Elig!$C138,Elig_MatchAll_Ct&lt;22,$BC138=(Elig_MatchAll_Ct-1),AO138=0),M138,0)</f>
        <v>0</v>
      </c>
      <c r="BS138" s="205">
        <f>IF(AND(Input_Product=Elig!$C138,Elig_MatchAll_Ct&lt;22,$BC138=(Elig_MatchAll_Ct-1),AQ138=0),N138,0)</f>
        <v>0</v>
      </c>
      <c r="BT138" s="205">
        <f>IF(AND(Input_Product=Elig!$C138,Elig_MatchAll_Ct&lt;22,$BC138=(Elig_MatchAll_Ct-1),AR138=0),O138,0)</f>
        <v>0</v>
      </c>
      <c r="BU138" s="205">
        <f>IF(AND(Input_Product=Elig!$C138,Elig_MatchAll_Ct&lt;22,$BC138=(Elig_MatchAll_Ct-1),AS138=0),P138,0)</f>
        <v>0</v>
      </c>
      <c r="BV138" s="206">
        <f>IF(AND(Input_Product=Elig!$C138,Elig_MatchAll_Ct&lt;22,$BC138=(Elig_MatchAll_Ct-1),AT138=0),Q138,0)</f>
        <v>0</v>
      </c>
      <c r="BW138" s="207">
        <f>IF(AND(Input_Product=Elig!$C138,Elig_MatchAll_Ct&lt;22,$BC138=(Elig_MatchAll_Ct-1),AU138=0),R138,0)</f>
        <v>0</v>
      </c>
      <c r="BX138" s="208">
        <f>IF(AND(Input_Product=Elig!$C138,Elig_MatchAll_Ct&lt;22,$BC138=(Elig_MatchAll_Ct-1),AU138=0),S138,0)</f>
        <v>0</v>
      </c>
      <c r="BY138" s="207">
        <f>IF(AND(Input_Product=Elig!$C138,Elig_MatchAll_Ct&lt;22,$BC138=(Elig_MatchAll_Ct-1),AV138=0),T138,0)</f>
        <v>0</v>
      </c>
      <c r="BZ138" s="208">
        <f>IF(AND(Input_Product=Elig!$C138,Elig_MatchAll_Ct&lt;22,$BC138=(Elig_MatchAll_Ct-1),AV138=0),U138,0)</f>
        <v>0</v>
      </c>
      <c r="CA138" s="207">
        <f>IF(AND(Input_Product=Elig!$C138,Elig_MatchAll_Ct&lt;22,$BC138=(Elig_MatchAll_Ct-1),AW138=0),V138,0)</f>
        <v>0</v>
      </c>
      <c r="CB138" s="208">
        <f>IF(AND(Input_Product=Elig!$C138,Elig_MatchAll_Ct&lt;22,$BC138=(Elig_MatchAll_Ct-1),AW138=0),W138,0)</f>
        <v>0</v>
      </c>
      <c r="CC138" s="207">
        <f>IF(AND(Input_Product=Elig!$C138,Elig_MatchAll_Ct&lt;22,$BC138=(Elig_MatchAll_Ct-1),AX138=0),X138,0)</f>
        <v>0</v>
      </c>
      <c r="CD138" s="208">
        <f>IF(AND(Input_Product=Elig!$C138,Elig_MatchAll_Ct&lt;22,$BC138=(Elig_MatchAll_Ct-1),AX138=0),Y138,0)</f>
        <v>0</v>
      </c>
      <c r="CE138" s="207">
        <f>IF(AND(Input_LTV&lt;=AE138,Input_Product=Elig!$C138,Elig_MatchAll_Ct&lt;22,$BC138=(Elig_MatchAll_Ct-1),AY138=0),Z138,0)</f>
        <v>0</v>
      </c>
      <c r="CF138" s="208">
        <f>IF(AND(Input_LTV&lt;=AE138,Input_Product=Elig!$C138,Elig_MatchAll_Ct&lt;22,$BC138=(Elig_MatchAll_Ct-1),AY138=0),AA138,0)</f>
        <v>0</v>
      </c>
      <c r="CG138" s="207">
        <f>IF(AND(Input_Product=Elig!$C138,Elig_MatchAll_Ct&lt;22,$BC138=(Elig_MatchAll_Ct-1),AZ138=0),AB138,0)</f>
        <v>0</v>
      </c>
      <c r="CH138" s="208">
        <f>IF(AND(Input_Product=Elig!$C138,Elig_MatchAll_Ct&lt;22,$BC138=(Elig_MatchAll_Ct-1),AZ138=0),AC138,0)</f>
        <v>0</v>
      </c>
      <c r="CI138" s="207">
        <f>IF(AND(Input_Product=Elig!$C138,Elig_MatchAll_Ct&lt;22,$BC138=(Elig_MatchAll_Ct-1),BA138=0),AD138,0)</f>
        <v>0</v>
      </c>
      <c r="CJ138" s="209">
        <f>IF(AND(Input_Product=Elig!$C138,Elig_MatchAll_Ct&lt;22,$BC138=(Elig_MatchAll_Ct-1),BA138=0),AE138,0)</f>
        <v>0</v>
      </c>
    </row>
    <row r="139" spans="2:88" ht="10.15" customHeight="1" x14ac:dyDescent="0.25">
      <c r="B139" s="1912" t="s">
        <v>887</v>
      </c>
      <c r="C139" s="141" t="str">
        <f t="shared" si="35"/>
        <v>NonQM OO</v>
      </c>
      <c r="D139" s="142" t="s">
        <v>3885</v>
      </c>
      <c r="E139" s="143" t="s">
        <v>167</v>
      </c>
      <c r="F139" s="143" t="s">
        <v>331</v>
      </c>
      <c r="G139" s="143" t="s">
        <v>304</v>
      </c>
      <c r="H139" s="143" t="s">
        <v>446</v>
      </c>
      <c r="I139" s="142" t="s">
        <v>274</v>
      </c>
      <c r="J139" s="142" t="s">
        <v>1311</v>
      </c>
      <c r="K139" s="142" t="s">
        <v>1631</v>
      </c>
      <c r="L139" s="2131" t="s">
        <v>3920</v>
      </c>
      <c r="M139" s="143" t="s">
        <v>4203</v>
      </c>
      <c r="N139" s="143" t="s">
        <v>82</v>
      </c>
      <c r="O139" s="143" t="s">
        <v>310</v>
      </c>
      <c r="P139" s="143" t="s">
        <v>291</v>
      </c>
      <c r="Q139" s="143" t="s">
        <v>294</v>
      </c>
      <c r="R139" s="142">
        <v>1500000.01</v>
      </c>
      <c r="S139" s="142">
        <v>2000000</v>
      </c>
      <c r="T139" s="142">
        <v>0</v>
      </c>
      <c r="U139" s="142">
        <v>0</v>
      </c>
      <c r="V139" s="142">
        <v>0</v>
      </c>
      <c r="W139" s="142">
        <v>55</v>
      </c>
      <c r="X139" s="142">
        <v>0</v>
      </c>
      <c r="Y139" s="142">
        <v>999</v>
      </c>
      <c r="Z139" s="144">
        <v>720</v>
      </c>
      <c r="AA139" s="144">
        <v>999</v>
      </c>
      <c r="AB139" s="144">
        <v>6</v>
      </c>
      <c r="AC139" s="144">
        <v>999999</v>
      </c>
      <c r="AD139" s="142">
        <v>0</v>
      </c>
      <c r="AE139" s="320">
        <v>90</v>
      </c>
      <c r="AF139" s="170">
        <v>0</v>
      </c>
      <c r="AG139" s="171">
        <v>1</v>
      </c>
      <c r="AH139" s="171">
        <v>1</v>
      </c>
      <c r="AI139" s="171">
        <v>1</v>
      </c>
      <c r="AJ139" s="171">
        <v>0</v>
      </c>
      <c r="AK139" s="171">
        <v>0</v>
      </c>
      <c r="AL139" s="171">
        <v>0</v>
      </c>
      <c r="AM139" s="171">
        <v>1</v>
      </c>
      <c r="AN139" s="171">
        <v>1</v>
      </c>
      <c r="AO139" s="171">
        <v>1</v>
      </c>
      <c r="AP139" s="171">
        <v>1</v>
      </c>
      <c r="AQ139" s="171">
        <v>1</v>
      </c>
      <c r="AR139" s="171">
        <v>1</v>
      </c>
      <c r="AS139" s="171">
        <v>1</v>
      </c>
      <c r="AT139" s="171">
        <v>1</v>
      </c>
      <c r="AU139" s="171">
        <f t="shared" si="41"/>
        <v>0</v>
      </c>
      <c r="AV139" s="171">
        <f t="shared" si="42"/>
        <v>0</v>
      </c>
      <c r="AW139" s="171">
        <f t="shared" si="43"/>
        <v>1</v>
      </c>
      <c r="AX139" s="171">
        <f t="shared" si="37"/>
        <v>1</v>
      </c>
      <c r="AY139" s="171">
        <f t="shared" si="44"/>
        <v>1</v>
      </c>
      <c r="AZ139" s="171">
        <f t="shared" si="45"/>
        <v>1</v>
      </c>
      <c r="BA139" s="172">
        <f t="shared" si="46"/>
        <v>1</v>
      </c>
      <c r="BB139" s="175">
        <f t="shared" si="47"/>
        <v>16</v>
      </c>
      <c r="BC139" s="176">
        <f t="shared" si="48"/>
        <v>15</v>
      </c>
      <c r="BD139" s="176">
        <f t="shared" si="49"/>
        <v>16</v>
      </c>
      <c r="BE139" s="240" t="str">
        <f t="shared" si="51"/>
        <v/>
      </c>
      <c r="BH139" s="192">
        <f>IF(AND(Input_Product=Elig!$C139,Elig_MatchAll_Ct&lt;22,$BC139=(Elig_MatchAll_Ct-1),AF139=0),C139,0)</f>
        <v>0</v>
      </c>
      <c r="BI139" s="193">
        <f>IF(AND(Input_Product=Elig!$C139,Elig_MatchAll_Ct&lt;22,$BC139=(Elig_MatchAll_Ct-1),AG139=0),D139,0)</f>
        <v>0</v>
      </c>
      <c r="BJ139" s="193">
        <f>IF(AND(Input_Product=Elig!$C139,Elig_MatchAll_Ct&lt;22,$BC139=(Elig_MatchAll_Ct-1),AH139=0),E139,0)</f>
        <v>0</v>
      </c>
      <c r="BK139" s="193">
        <f>IF(AND(Input_Product=Elig!$C139,Elig_MatchAll_Ct&lt;22,$BC139=(Elig_MatchAll_Ct-1),AI139=0),F139,0)</f>
        <v>0</v>
      </c>
      <c r="BL139" s="193">
        <f>IF(AND(Input_Product=Elig!$C139,Elig_MatchAll_Ct&lt;22,$BC139=(Elig_MatchAll_Ct-1),AJ139=0),G139,0)</f>
        <v>0</v>
      </c>
      <c r="BM139" s="193">
        <f>IF(AND(Input_Product=Elig!$C139,Elig_MatchAll_Ct&lt;22,$BC139=(Elig_MatchAll_Ct-1),AK139=0),H139,0)</f>
        <v>0</v>
      </c>
      <c r="BN139" s="193">
        <f>IF(AND(Input_Product=Elig!$C139,Elig_MatchAll_Ct&lt;22,$BC139=(Elig_MatchAll_Ct-1),AL139=0),I139,0)</f>
        <v>0</v>
      </c>
      <c r="BO139" s="193">
        <f>IF(AND(Input_Product=Elig!$C139,Elig_MatchAll_Ct&lt;22,$BC139=(Elig_MatchAll_Ct-1),AM139=0),J139,0)</f>
        <v>0</v>
      </c>
      <c r="BP139" s="193">
        <f>IF(AND(Input_Product=Elig!$C139,Elig_MatchAll_Ct&lt;22,$BC139=(Elig_MatchAll_Ct-1),AN139=0),K139,0)</f>
        <v>0</v>
      </c>
      <c r="BQ139" s="193">
        <f>IF(AND(Input_Product=Elig!$C139,Elig_MatchAll_Ct&lt;22,$BC139=(Elig_MatchAll_Ct-1),AP139=0),L139,0)</f>
        <v>0</v>
      </c>
      <c r="BR139" s="193">
        <f>IF(AND(Input_Product=Elig!$C139,Elig_MatchAll_Ct&lt;22,$BC139=(Elig_MatchAll_Ct-1),AO139=0),M139,0)</f>
        <v>0</v>
      </c>
      <c r="BS139" s="193">
        <f>IF(AND(Input_Product=Elig!$C139,Elig_MatchAll_Ct&lt;22,$BC139=(Elig_MatchAll_Ct-1),AQ139=0),N139,0)</f>
        <v>0</v>
      </c>
      <c r="BT139" s="193">
        <f>IF(AND(Input_Product=Elig!$C139,Elig_MatchAll_Ct&lt;22,$BC139=(Elig_MatchAll_Ct-1),AR139=0),O139,0)</f>
        <v>0</v>
      </c>
      <c r="BU139" s="193">
        <f>IF(AND(Input_Product=Elig!$C139,Elig_MatchAll_Ct&lt;22,$BC139=(Elig_MatchAll_Ct-1),AS139=0),P139,0)</f>
        <v>0</v>
      </c>
      <c r="BV139" s="194">
        <f>IF(AND(Input_Product=Elig!$C139,Elig_MatchAll_Ct&lt;22,$BC139=(Elig_MatchAll_Ct-1),AT139=0),Q139,0)</f>
        <v>0</v>
      </c>
      <c r="BW139" s="195">
        <f>IF(AND(Input_Product=Elig!$C139,Elig_MatchAll_Ct&lt;22,$BC139=(Elig_MatchAll_Ct-1),AU139=0),R139,0)</f>
        <v>0</v>
      </c>
      <c r="BX139" s="196">
        <f>IF(AND(Input_Product=Elig!$C139,Elig_MatchAll_Ct&lt;22,$BC139=(Elig_MatchAll_Ct-1),AU139=0),S139,0)</f>
        <v>0</v>
      </c>
      <c r="BY139" s="195">
        <f>IF(AND(Input_Product=Elig!$C139,Elig_MatchAll_Ct&lt;22,$BC139=(Elig_MatchAll_Ct-1),AV139=0),T139,0)</f>
        <v>0</v>
      </c>
      <c r="BZ139" s="196">
        <f>IF(AND(Input_Product=Elig!$C139,Elig_MatchAll_Ct&lt;22,$BC139=(Elig_MatchAll_Ct-1),AV139=0),U139,0)</f>
        <v>0</v>
      </c>
      <c r="CA139" s="195">
        <f>IF(AND(Input_Product=Elig!$C139,Elig_MatchAll_Ct&lt;22,$BC139=(Elig_MatchAll_Ct-1),AW139=0),V139,0)</f>
        <v>0</v>
      </c>
      <c r="CB139" s="196">
        <f>IF(AND(Input_Product=Elig!$C139,Elig_MatchAll_Ct&lt;22,$BC139=(Elig_MatchAll_Ct-1),AW139=0),W139,0)</f>
        <v>0</v>
      </c>
      <c r="CC139" s="195">
        <f>IF(AND(Input_Product=Elig!$C139,Elig_MatchAll_Ct&lt;22,$BC139=(Elig_MatchAll_Ct-1),AX139=0),X139,0)</f>
        <v>0</v>
      </c>
      <c r="CD139" s="196">
        <f>IF(AND(Input_Product=Elig!$C139,Elig_MatchAll_Ct&lt;22,$BC139=(Elig_MatchAll_Ct-1),AX139=0),Y139,0)</f>
        <v>0</v>
      </c>
      <c r="CE139" s="195">
        <f>IF(AND(Input_LTV&lt;=AE139,Input_Product=Elig!$C139,Elig_MatchAll_Ct&lt;22,$BC139=(Elig_MatchAll_Ct-1),AY139=0),Z139,0)</f>
        <v>0</v>
      </c>
      <c r="CF139" s="196">
        <f>IF(AND(Input_LTV&lt;=AE139,Input_Product=Elig!$C139,Elig_MatchAll_Ct&lt;22,$BC139=(Elig_MatchAll_Ct-1),AY139=0),AA139,0)</f>
        <v>0</v>
      </c>
      <c r="CG139" s="195">
        <f>IF(AND(Input_Product=Elig!$C139,Elig_MatchAll_Ct&lt;22,$BC139=(Elig_MatchAll_Ct-1),AZ139=0),AB139,0)</f>
        <v>0</v>
      </c>
      <c r="CH139" s="196">
        <f>IF(AND(Input_Product=Elig!$C139,Elig_MatchAll_Ct&lt;22,$BC139=(Elig_MatchAll_Ct-1),AZ139=0),AC139,0)</f>
        <v>0</v>
      </c>
      <c r="CI139" s="195">
        <f>IF(AND(Input_Product=Elig!$C139,Elig_MatchAll_Ct&lt;22,$BC139=(Elig_MatchAll_Ct-1),BA139=0),AD139,0)</f>
        <v>0</v>
      </c>
      <c r="CJ139" s="197">
        <f>IF(AND(Input_Product=Elig!$C139,Elig_MatchAll_Ct&lt;22,$BC139=(Elig_MatchAll_Ct-1),BA139=0),AE139,0)</f>
        <v>0</v>
      </c>
    </row>
    <row r="140" spans="2:88" ht="10.15" customHeight="1" x14ac:dyDescent="0.25">
      <c r="B140" s="1912" t="s">
        <v>888</v>
      </c>
      <c r="C140" s="134" t="str">
        <f t="shared" si="35"/>
        <v>NonQM OO</v>
      </c>
      <c r="D140" s="135" t="s">
        <v>3885</v>
      </c>
      <c r="E140" s="135" t="s">
        <v>167</v>
      </c>
      <c r="F140" s="135" t="s">
        <v>331</v>
      </c>
      <c r="G140" s="135" t="s">
        <v>304</v>
      </c>
      <c r="H140" s="135" t="s">
        <v>446</v>
      </c>
      <c r="I140" s="136" t="s">
        <v>274</v>
      </c>
      <c r="J140" s="136" t="s">
        <v>1311</v>
      </c>
      <c r="K140" s="136" t="s">
        <v>1631</v>
      </c>
      <c r="L140" s="221" t="s">
        <v>3920</v>
      </c>
      <c r="M140" s="135" t="s">
        <v>4203</v>
      </c>
      <c r="N140" s="135" t="s">
        <v>82</v>
      </c>
      <c r="O140" s="135" t="s">
        <v>310</v>
      </c>
      <c r="P140" s="135" t="s">
        <v>291</v>
      </c>
      <c r="Q140" s="135" t="s">
        <v>294</v>
      </c>
      <c r="R140" s="135">
        <v>1500000.01</v>
      </c>
      <c r="S140" s="135">
        <v>2000000</v>
      </c>
      <c r="T140" s="135">
        <v>0</v>
      </c>
      <c r="U140" s="135">
        <v>0</v>
      </c>
      <c r="V140" s="135">
        <v>0</v>
      </c>
      <c r="W140" s="135">
        <v>55</v>
      </c>
      <c r="X140" s="135">
        <v>0</v>
      </c>
      <c r="Y140" s="135">
        <v>999</v>
      </c>
      <c r="Z140" s="137">
        <v>700</v>
      </c>
      <c r="AA140" s="137">
        <v>719</v>
      </c>
      <c r="AB140" s="137">
        <v>6</v>
      </c>
      <c r="AC140" s="137">
        <v>999999</v>
      </c>
      <c r="AD140" s="135">
        <v>0</v>
      </c>
      <c r="AE140" s="221">
        <v>85</v>
      </c>
      <c r="AF140" s="170">
        <v>0</v>
      </c>
      <c r="AG140" s="171">
        <v>1</v>
      </c>
      <c r="AH140" s="171">
        <v>1</v>
      </c>
      <c r="AI140" s="171">
        <v>1</v>
      </c>
      <c r="AJ140" s="171">
        <v>0</v>
      </c>
      <c r="AK140" s="171">
        <v>0</v>
      </c>
      <c r="AL140" s="171">
        <v>0</v>
      </c>
      <c r="AM140" s="171">
        <v>1</v>
      </c>
      <c r="AN140" s="171">
        <v>1</v>
      </c>
      <c r="AO140" s="171">
        <v>1</v>
      </c>
      <c r="AP140" s="171">
        <v>1</v>
      </c>
      <c r="AQ140" s="171">
        <v>1</v>
      </c>
      <c r="AR140" s="171">
        <v>1</v>
      </c>
      <c r="AS140" s="171">
        <v>1</v>
      </c>
      <c r="AT140" s="171">
        <v>1</v>
      </c>
      <c r="AU140" s="171">
        <f t="shared" si="41"/>
        <v>0</v>
      </c>
      <c r="AV140" s="171">
        <f t="shared" si="42"/>
        <v>0</v>
      </c>
      <c r="AW140" s="171">
        <f t="shared" si="43"/>
        <v>1</v>
      </c>
      <c r="AX140" s="171">
        <f t="shared" si="37"/>
        <v>1</v>
      </c>
      <c r="AY140" s="171">
        <f t="shared" si="44"/>
        <v>0</v>
      </c>
      <c r="AZ140" s="171">
        <f t="shared" si="45"/>
        <v>1</v>
      </c>
      <c r="BA140" s="172">
        <f t="shared" si="46"/>
        <v>1</v>
      </c>
      <c r="BB140" s="175">
        <f t="shared" si="47"/>
        <v>15</v>
      </c>
      <c r="BC140" s="176">
        <f t="shared" si="48"/>
        <v>14</v>
      </c>
      <c r="BD140" s="176">
        <f t="shared" si="49"/>
        <v>15</v>
      </c>
      <c r="BE140" s="240" t="str">
        <f t="shared" si="51"/>
        <v/>
      </c>
      <c r="BH140" s="198">
        <f>IF(AND(Input_Product=Elig!$C140,Elig_MatchAll_Ct&lt;22,$BC140=(Elig_MatchAll_Ct-1),AF140=0),C140,0)</f>
        <v>0</v>
      </c>
      <c r="BI140" s="199">
        <f>IF(AND(Input_Product=Elig!$C140,Elig_MatchAll_Ct&lt;22,$BC140=(Elig_MatchAll_Ct-1),AG140=0),D140,0)</f>
        <v>0</v>
      </c>
      <c r="BJ140" s="199">
        <f>IF(AND(Input_Product=Elig!$C140,Elig_MatchAll_Ct&lt;22,$BC140=(Elig_MatchAll_Ct-1),AH140=0),E140,0)</f>
        <v>0</v>
      </c>
      <c r="BK140" s="199">
        <f>IF(AND(Input_Product=Elig!$C140,Elig_MatchAll_Ct&lt;22,$BC140=(Elig_MatchAll_Ct-1),AI140=0),F140,0)</f>
        <v>0</v>
      </c>
      <c r="BL140" s="199">
        <f>IF(AND(Input_Product=Elig!$C140,Elig_MatchAll_Ct&lt;22,$BC140=(Elig_MatchAll_Ct-1),AJ140=0),G140,0)</f>
        <v>0</v>
      </c>
      <c r="BM140" s="199">
        <f>IF(AND(Input_Product=Elig!$C140,Elig_MatchAll_Ct&lt;22,$BC140=(Elig_MatchAll_Ct-1),AK140=0),H140,0)</f>
        <v>0</v>
      </c>
      <c r="BN140" s="199">
        <f>IF(AND(Input_Product=Elig!$C140,Elig_MatchAll_Ct&lt;22,$BC140=(Elig_MatchAll_Ct-1),AL140=0),I140,0)</f>
        <v>0</v>
      </c>
      <c r="BO140" s="199">
        <f>IF(AND(Input_Product=Elig!$C140,Elig_MatchAll_Ct&lt;22,$BC140=(Elig_MatchAll_Ct-1),AM140=0),J140,0)</f>
        <v>0</v>
      </c>
      <c r="BP140" s="199">
        <f>IF(AND(Input_Product=Elig!$C140,Elig_MatchAll_Ct&lt;22,$BC140=(Elig_MatchAll_Ct-1),AN140=0),K140,0)</f>
        <v>0</v>
      </c>
      <c r="BQ140" s="199">
        <f>IF(AND(Input_Product=Elig!$C140,Elig_MatchAll_Ct&lt;22,$BC140=(Elig_MatchAll_Ct-1),AP140=0),L140,0)</f>
        <v>0</v>
      </c>
      <c r="BR140" s="199">
        <f>IF(AND(Input_Product=Elig!$C140,Elig_MatchAll_Ct&lt;22,$BC140=(Elig_MatchAll_Ct-1),AO140=0),M140,0)</f>
        <v>0</v>
      </c>
      <c r="BS140" s="199">
        <f>IF(AND(Input_Product=Elig!$C140,Elig_MatchAll_Ct&lt;22,$BC140=(Elig_MatchAll_Ct-1),AQ140=0),N140,0)</f>
        <v>0</v>
      </c>
      <c r="BT140" s="199">
        <f>IF(AND(Input_Product=Elig!$C140,Elig_MatchAll_Ct&lt;22,$BC140=(Elig_MatchAll_Ct-1),AR140=0),O140,0)</f>
        <v>0</v>
      </c>
      <c r="BU140" s="199">
        <f>IF(AND(Input_Product=Elig!$C140,Elig_MatchAll_Ct&lt;22,$BC140=(Elig_MatchAll_Ct-1),AS140=0),P140,0)</f>
        <v>0</v>
      </c>
      <c r="BV140" s="200">
        <f>IF(AND(Input_Product=Elig!$C140,Elig_MatchAll_Ct&lt;22,$BC140=(Elig_MatchAll_Ct-1),AT140=0),Q140,0)</f>
        <v>0</v>
      </c>
      <c r="BW140" s="201">
        <f>IF(AND(Input_Product=Elig!$C140,Elig_MatchAll_Ct&lt;22,$BC140=(Elig_MatchAll_Ct-1),AU140=0),R140,0)</f>
        <v>0</v>
      </c>
      <c r="BX140" s="202">
        <f>IF(AND(Input_Product=Elig!$C140,Elig_MatchAll_Ct&lt;22,$BC140=(Elig_MatchAll_Ct-1),AU140=0),S140,0)</f>
        <v>0</v>
      </c>
      <c r="BY140" s="201">
        <f>IF(AND(Input_Product=Elig!$C140,Elig_MatchAll_Ct&lt;22,$BC140=(Elig_MatchAll_Ct-1),AV140=0),T140,0)</f>
        <v>0</v>
      </c>
      <c r="BZ140" s="202">
        <f>IF(AND(Input_Product=Elig!$C140,Elig_MatchAll_Ct&lt;22,$BC140=(Elig_MatchAll_Ct-1),AV140=0),U140,0)</f>
        <v>0</v>
      </c>
      <c r="CA140" s="201">
        <f>IF(AND(Input_Product=Elig!$C140,Elig_MatchAll_Ct&lt;22,$BC140=(Elig_MatchAll_Ct-1),AW140=0),V140,0)</f>
        <v>0</v>
      </c>
      <c r="CB140" s="202">
        <f>IF(AND(Input_Product=Elig!$C140,Elig_MatchAll_Ct&lt;22,$BC140=(Elig_MatchAll_Ct-1),AW140=0),W140,0)</f>
        <v>0</v>
      </c>
      <c r="CC140" s="201">
        <f>IF(AND(Input_Product=Elig!$C140,Elig_MatchAll_Ct&lt;22,$BC140=(Elig_MatchAll_Ct-1),AX140=0),X140,0)</f>
        <v>0</v>
      </c>
      <c r="CD140" s="202">
        <f>IF(AND(Input_Product=Elig!$C140,Elig_MatchAll_Ct&lt;22,$BC140=(Elig_MatchAll_Ct-1),AX140=0),Y140,0)</f>
        <v>0</v>
      </c>
      <c r="CE140" s="201">
        <f>IF(AND(Input_LTV&lt;=AE140,Input_Product=Elig!$C140,Elig_MatchAll_Ct&lt;22,$BC140=(Elig_MatchAll_Ct-1),AY140=0),Z140,0)</f>
        <v>0</v>
      </c>
      <c r="CF140" s="202">
        <f>IF(AND(Input_LTV&lt;=AE140,Input_Product=Elig!$C140,Elig_MatchAll_Ct&lt;22,$BC140=(Elig_MatchAll_Ct-1),AY140=0),AA140,0)</f>
        <v>0</v>
      </c>
      <c r="CG140" s="201">
        <f>IF(AND(Input_Product=Elig!$C140,Elig_MatchAll_Ct&lt;22,$BC140=(Elig_MatchAll_Ct-1),AZ140=0),AB140,0)</f>
        <v>0</v>
      </c>
      <c r="CH140" s="202">
        <f>IF(AND(Input_Product=Elig!$C140,Elig_MatchAll_Ct&lt;22,$BC140=(Elig_MatchAll_Ct-1),AZ140=0),AC140,0)</f>
        <v>0</v>
      </c>
      <c r="CI140" s="201">
        <f>IF(AND(Input_Product=Elig!$C140,Elig_MatchAll_Ct&lt;22,$BC140=(Elig_MatchAll_Ct-1),BA140=0),AD140,0)</f>
        <v>0</v>
      </c>
      <c r="CJ140" s="203">
        <f>IF(AND(Input_Product=Elig!$C140,Elig_MatchAll_Ct&lt;22,$BC140=(Elig_MatchAll_Ct-1),BA140=0),AE140,0)</f>
        <v>0</v>
      </c>
    </row>
    <row r="141" spans="2:88" ht="10.15" customHeight="1" x14ac:dyDescent="0.25">
      <c r="B141" s="1912" t="s">
        <v>889</v>
      </c>
      <c r="C141" s="134" t="str">
        <f t="shared" si="35"/>
        <v>NonQM OO</v>
      </c>
      <c r="D141" s="135" t="s">
        <v>3885</v>
      </c>
      <c r="E141" s="135" t="s">
        <v>167</v>
      </c>
      <c r="F141" s="135" t="s">
        <v>331</v>
      </c>
      <c r="G141" s="135" t="s">
        <v>304</v>
      </c>
      <c r="H141" s="135" t="s">
        <v>446</v>
      </c>
      <c r="I141" s="136" t="s">
        <v>274</v>
      </c>
      <c r="J141" s="136" t="s">
        <v>1311</v>
      </c>
      <c r="K141" s="136" t="s">
        <v>1631</v>
      </c>
      <c r="L141" s="221" t="s">
        <v>3920</v>
      </c>
      <c r="M141" s="135" t="s">
        <v>4203</v>
      </c>
      <c r="N141" s="135" t="s">
        <v>82</v>
      </c>
      <c r="O141" s="135" t="s">
        <v>310</v>
      </c>
      <c r="P141" s="135" t="s">
        <v>291</v>
      </c>
      <c r="Q141" s="135" t="s">
        <v>294</v>
      </c>
      <c r="R141" s="135">
        <v>1500000.01</v>
      </c>
      <c r="S141" s="135">
        <v>2000000</v>
      </c>
      <c r="T141" s="135">
        <v>0</v>
      </c>
      <c r="U141" s="135">
        <v>0</v>
      </c>
      <c r="V141" s="135">
        <v>0</v>
      </c>
      <c r="W141" s="135">
        <v>55</v>
      </c>
      <c r="X141" s="135">
        <v>0</v>
      </c>
      <c r="Y141" s="135">
        <v>999</v>
      </c>
      <c r="Z141" s="137">
        <v>680</v>
      </c>
      <c r="AA141" s="137">
        <v>699</v>
      </c>
      <c r="AB141" s="137">
        <v>6</v>
      </c>
      <c r="AC141" s="137">
        <v>999999</v>
      </c>
      <c r="AD141" s="135">
        <v>0</v>
      </c>
      <c r="AE141" s="135">
        <v>80</v>
      </c>
      <c r="AF141" s="170">
        <v>0</v>
      </c>
      <c r="AG141" s="171">
        <v>1</v>
      </c>
      <c r="AH141" s="171">
        <v>1</v>
      </c>
      <c r="AI141" s="171">
        <v>1</v>
      </c>
      <c r="AJ141" s="171">
        <v>0</v>
      </c>
      <c r="AK141" s="171">
        <v>0</v>
      </c>
      <c r="AL141" s="171">
        <v>0</v>
      </c>
      <c r="AM141" s="171">
        <v>1</v>
      </c>
      <c r="AN141" s="171">
        <v>1</v>
      </c>
      <c r="AO141" s="171">
        <v>1</v>
      </c>
      <c r="AP141" s="171">
        <v>1</v>
      </c>
      <c r="AQ141" s="171">
        <v>1</v>
      </c>
      <c r="AR141" s="171">
        <v>1</v>
      </c>
      <c r="AS141" s="171">
        <v>1</v>
      </c>
      <c r="AT141" s="171">
        <v>1</v>
      </c>
      <c r="AU141" s="171">
        <f t="shared" si="41"/>
        <v>0</v>
      </c>
      <c r="AV141" s="171">
        <f t="shared" si="42"/>
        <v>0</v>
      </c>
      <c r="AW141" s="171">
        <f t="shared" si="43"/>
        <v>1</v>
      </c>
      <c r="AX141" s="171">
        <f t="shared" si="37"/>
        <v>1</v>
      </c>
      <c r="AY141" s="171">
        <f t="shared" si="44"/>
        <v>0</v>
      </c>
      <c r="AZ141" s="171">
        <f t="shared" si="45"/>
        <v>1</v>
      </c>
      <c r="BA141" s="172">
        <f t="shared" si="46"/>
        <v>1</v>
      </c>
      <c r="BB141" s="175">
        <f t="shared" si="47"/>
        <v>15</v>
      </c>
      <c r="BC141" s="176">
        <f t="shared" si="48"/>
        <v>14</v>
      </c>
      <c r="BD141" s="176">
        <f t="shared" si="49"/>
        <v>15</v>
      </c>
      <c r="BE141" s="240" t="str">
        <f t="shared" si="51"/>
        <v/>
      </c>
      <c r="BH141" s="198">
        <f>IF(AND(Input_Product=Elig!$C141,Elig_MatchAll_Ct&lt;22,$BC141=(Elig_MatchAll_Ct-1),AF141=0),C141,0)</f>
        <v>0</v>
      </c>
      <c r="BI141" s="199">
        <f>IF(AND(Input_Product=Elig!$C141,Elig_MatchAll_Ct&lt;22,$BC141=(Elig_MatchAll_Ct-1),AG141=0),D141,0)</f>
        <v>0</v>
      </c>
      <c r="BJ141" s="199">
        <f>IF(AND(Input_Product=Elig!$C141,Elig_MatchAll_Ct&lt;22,$BC141=(Elig_MatchAll_Ct-1),AH141=0),E141,0)</f>
        <v>0</v>
      </c>
      <c r="BK141" s="199">
        <f>IF(AND(Input_Product=Elig!$C141,Elig_MatchAll_Ct&lt;22,$BC141=(Elig_MatchAll_Ct-1),AI141=0),F141,0)</f>
        <v>0</v>
      </c>
      <c r="BL141" s="199">
        <f>IF(AND(Input_Product=Elig!$C141,Elig_MatchAll_Ct&lt;22,$BC141=(Elig_MatchAll_Ct-1),AJ141=0),G141,0)</f>
        <v>0</v>
      </c>
      <c r="BM141" s="199">
        <f>IF(AND(Input_Product=Elig!$C141,Elig_MatchAll_Ct&lt;22,$BC141=(Elig_MatchAll_Ct-1),AK141=0),H141,0)</f>
        <v>0</v>
      </c>
      <c r="BN141" s="199">
        <f>IF(AND(Input_Product=Elig!$C141,Elig_MatchAll_Ct&lt;22,$BC141=(Elig_MatchAll_Ct-1),AL141=0),I141,0)</f>
        <v>0</v>
      </c>
      <c r="BO141" s="199">
        <f>IF(AND(Input_Product=Elig!$C141,Elig_MatchAll_Ct&lt;22,$BC141=(Elig_MatchAll_Ct-1),AM141=0),J141,0)</f>
        <v>0</v>
      </c>
      <c r="BP141" s="199">
        <f>IF(AND(Input_Product=Elig!$C141,Elig_MatchAll_Ct&lt;22,$BC141=(Elig_MatchAll_Ct-1),AN141=0),K141,0)</f>
        <v>0</v>
      </c>
      <c r="BQ141" s="199">
        <f>IF(AND(Input_Product=Elig!$C141,Elig_MatchAll_Ct&lt;22,$BC141=(Elig_MatchAll_Ct-1),AP141=0),L141,0)</f>
        <v>0</v>
      </c>
      <c r="BR141" s="199">
        <f>IF(AND(Input_Product=Elig!$C141,Elig_MatchAll_Ct&lt;22,$BC141=(Elig_MatchAll_Ct-1),AO141=0),M141,0)</f>
        <v>0</v>
      </c>
      <c r="BS141" s="199">
        <f>IF(AND(Input_Product=Elig!$C141,Elig_MatchAll_Ct&lt;22,$BC141=(Elig_MatchAll_Ct-1),AQ141=0),N141,0)</f>
        <v>0</v>
      </c>
      <c r="BT141" s="199">
        <f>IF(AND(Input_Product=Elig!$C141,Elig_MatchAll_Ct&lt;22,$BC141=(Elig_MatchAll_Ct-1),AR141=0),O141,0)</f>
        <v>0</v>
      </c>
      <c r="BU141" s="199">
        <f>IF(AND(Input_Product=Elig!$C141,Elig_MatchAll_Ct&lt;22,$BC141=(Elig_MatchAll_Ct-1),AS141=0),P141,0)</f>
        <v>0</v>
      </c>
      <c r="BV141" s="200">
        <f>IF(AND(Input_Product=Elig!$C141,Elig_MatchAll_Ct&lt;22,$BC141=(Elig_MatchAll_Ct-1),AT141=0),Q141,0)</f>
        <v>0</v>
      </c>
      <c r="BW141" s="201">
        <f>IF(AND(Input_Product=Elig!$C141,Elig_MatchAll_Ct&lt;22,$BC141=(Elig_MatchAll_Ct-1),AU141=0),R141,0)</f>
        <v>0</v>
      </c>
      <c r="BX141" s="202">
        <f>IF(AND(Input_Product=Elig!$C141,Elig_MatchAll_Ct&lt;22,$BC141=(Elig_MatchAll_Ct-1),AU141=0),S141,0)</f>
        <v>0</v>
      </c>
      <c r="BY141" s="201">
        <f>IF(AND(Input_Product=Elig!$C141,Elig_MatchAll_Ct&lt;22,$BC141=(Elig_MatchAll_Ct-1),AV141=0),T141,0)</f>
        <v>0</v>
      </c>
      <c r="BZ141" s="202">
        <f>IF(AND(Input_Product=Elig!$C141,Elig_MatchAll_Ct&lt;22,$BC141=(Elig_MatchAll_Ct-1),AV141=0),U141,0)</f>
        <v>0</v>
      </c>
      <c r="CA141" s="201">
        <f>IF(AND(Input_Product=Elig!$C141,Elig_MatchAll_Ct&lt;22,$BC141=(Elig_MatchAll_Ct-1),AW141=0),V141,0)</f>
        <v>0</v>
      </c>
      <c r="CB141" s="202">
        <f>IF(AND(Input_Product=Elig!$C141,Elig_MatchAll_Ct&lt;22,$BC141=(Elig_MatchAll_Ct-1),AW141=0),W141,0)</f>
        <v>0</v>
      </c>
      <c r="CC141" s="201">
        <f>IF(AND(Input_Product=Elig!$C141,Elig_MatchAll_Ct&lt;22,$BC141=(Elig_MatchAll_Ct-1),AX141=0),X141,0)</f>
        <v>0</v>
      </c>
      <c r="CD141" s="202">
        <f>IF(AND(Input_Product=Elig!$C141,Elig_MatchAll_Ct&lt;22,$BC141=(Elig_MatchAll_Ct-1),AX141=0),Y141,0)</f>
        <v>0</v>
      </c>
      <c r="CE141" s="201">
        <f>IF(AND(Input_LTV&lt;=AE141,Input_Product=Elig!$C141,Elig_MatchAll_Ct&lt;22,$BC141=(Elig_MatchAll_Ct-1),AY141=0),Z141,0)</f>
        <v>0</v>
      </c>
      <c r="CF141" s="202">
        <f>IF(AND(Input_LTV&lt;=AE141,Input_Product=Elig!$C141,Elig_MatchAll_Ct&lt;22,$BC141=(Elig_MatchAll_Ct-1),AY141=0),AA141,0)</f>
        <v>0</v>
      </c>
      <c r="CG141" s="201">
        <f>IF(AND(Input_Product=Elig!$C141,Elig_MatchAll_Ct&lt;22,$BC141=(Elig_MatchAll_Ct-1),AZ141=0),AB141,0)</f>
        <v>0</v>
      </c>
      <c r="CH141" s="202">
        <f>IF(AND(Input_Product=Elig!$C141,Elig_MatchAll_Ct&lt;22,$BC141=(Elig_MatchAll_Ct-1),AZ141=0),AC141,0)</f>
        <v>0</v>
      </c>
      <c r="CI141" s="201">
        <f>IF(AND(Input_Product=Elig!$C141,Elig_MatchAll_Ct&lt;22,$BC141=(Elig_MatchAll_Ct-1),BA141=0),AD141,0)</f>
        <v>0</v>
      </c>
      <c r="CJ141" s="203">
        <f>IF(AND(Input_Product=Elig!$C141,Elig_MatchAll_Ct&lt;22,$BC141=(Elig_MatchAll_Ct-1),BA141=0),AE141,0)</f>
        <v>0</v>
      </c>
    </row>
    <row r="142" spans="2:88" ht="10.15" customHeight="1" x14ac:dyDescent="0.25">
      <c r="B142" s="1912" t="s">
        <v>890</v>
      </c>
      <c r="C142" s="134" t="str">
        <f t="shared" si="35"/>
        <v>NonQM OO</v>
      </c>
      <c r="D142" s="135" t="s">
        <v>3885</v>
      </c>
      <c r="E142" s="135" t="s">
        <v>167</v>
      </c>
      <c r="F142" s="135" t="s">
        <v>331</v>
      </c>
      <c r="G142" s="135" t="s">
        <v>304</v>
      </c>
      <c r="H142" s="135" t="s">
        <v>446</v>
      </c>
      <c r="I142" s="135" t="s">
        <v>274</v>
      </c>
      <c r="J142" s="135" t="s">
        <v>1311</v>
      </c>
      <c r="K142" s="135" t="s">
        <v>1631</v>
      </c>
      <c r="L142" s="221" t="s">
        <v>3920</v>
      </c>
      <c r="M142" s="135" t="s">
        <v>4203</v>
      </c>
      <c r="N142" s="135" t="s">
        <v>82</v>
      </c>
      <c r="O142" s="135" t="s">
        <v>310</v>
      </c>
      <c r="P142" s="135" t="s">
        <v>291</v>
      </c>
      <c r="Q142" s="135" t="s">
        <v>294</v>
      </c>
      <c r="R142" s="135">
        <v>1500000.01</v>
      </c>
      <c r="S142" s="135">
        <v>2000000</v>
      </c>
      <c r="T142" s="135">
        <v>0</v>
      </c>
      <c r="U142" s="135">
        <v>0</v>
      </c>
      <c r="V142" s="135">
        <v>0</v>
      </c>
      <c r="W142" s="135">
        <v>55</v>
      </c>
      <c r="X142" s="135">
        <v>0</v>
      </c>
      <c r="Y142" s="135">
        <v>999</v>
      </c>
      <c r="Z142" s="137">
        <v>660</v>
      </c>
      <c r="AA142" s="137">
        <v>679</v>
      </c>
      <c r="AB142" s="137">
        <v>6</v>
      </c>
      <c r="AC142" s="137">
        <v>999999</v>
      </c>
      <c r="AD142" s="135">
        <v>0</v>
      </c>
      <c r="AE142" s="221">
        <v>75</v>
      </c>
      <c r="AF142" s="170">
        <v>0</v>
      </c>
      <c r="AG142" s="171">
        <v>1</v>
      </c>
      <c r="AH142" s="171">
        <v>1</v>
      </c>
      <c r="AI142" s="171">
        <v>1</v>
      </c>
      <c r="AJ142" s="171">
        <v>0</v>
      </c>
      <c r="AK142" s="171">
        <v>0</v>
      </c>
      <c r="AL142" s="171">
        <v>0</v>
      </c>
      <c r="AM142" s="171">
        <v>1</v>
      </c>
      <c r="AN142" s="171">
        <v>1</v>
      </c>
      <c r="AO142" s="171">
        <v>1</v>
      </c>
      <c r="AP142" s="171">
        <v>1</v>
      </c>
      <c r="AQ142" s="171">
        <v>1</v>
      </c>
      <c r="AR142" s="171">
        <v>1</v>
      </c>
      <c r="AS142" s="171">
        <v>1</v>
      </c>
      <c r="AT142" s="171">
        <v>1</v>
      </c>
      <c r="AU142" s="171">
        <f t="shared" si="41"/>
        <v>0</v>
      </c>
      <c r="AV142" s="171">
        <f t="shared" si="42"/>
        <v>0</v>
      </c>
      <c r="AW142" s="171">
        <f t="shared" si="43"/>
        <v>1</v>
      </c>
      <c r="AX142" s="171">
        <f t="shared" si="37"/>
        <v>1</v>
      </c>
      <c r="AY142" s="171">
        <f t="shared" si="44"/>
        <v>0</v>
      </c>
      <c r="AZ142" s="171">
        <f t="shared" si="45"/>
        <v>1</v>
      </c>
      <c r="BA142" s="172">
        <f t="shared" si="46"/>
        <v>1</v>
      </c>
      <c r="BB142" s="175">
        <f t="shared" si="47"/>
        <v>15</v>
      </c>
      <c r="BC142" s="176">
        <f t="shared" si="48"/>
        <v>14</v>
      </c>
      <c r="BD142" s="176">
        <f t="shared" si="49"/>
        <v>15</v>
      </c>
      <c r="BE142" s="240" t="str">
        <f t="shared" si="51"/>
        <v/>
      </c>
      <c r="BH142" s="198">
        <f>IF(AND(Input_Product=Elig!$C142,Elig_MatchAll_Ct&lt;22,$BC142=(Elig_MatchAll_Ct-1),AF142=0),C142,0)</f>
        <v>0</v>
      </c>
      <c r="BI142" s="199">
        <f>IF(AND(Input_Product=Elig!$C142,Elig_MatchAll_Ct&lt;22,$BC142=(Elig_MatchAll_Ct-1),AG142=0),D142,0)</f>
        <v>0</v>
      </c>
      <c r="BJ142" s="199">
        <f>IF(AND(Input_Product=Elig!$C142,Elig_MatchAll_Ct&lt;22,$BC142=(Elig_MatchAll_Ct-1),AH142=0),E142,0)</f>
        <v>0</v>
      </c>
      <c r="BK142" s="199">
        <f>IF(AND(Input_Product=Elig!$C142,Elig_MatchAll_Ct&lt;22,$BC142=(Elig_MatchAll_Ct-1),AI142=0),F142,0)</f>
        <v>0</v>
      </c>
      <c r="BL142" s="199">
        <f>IF(AND(Input_Product=Elig!$C142,Elig_MatchAll_Ct&lt;22,$BC142=(Elig_MatchAll_Ct-1),AJ142=0),G142,0)</f>
        <v>0</v>
      </c>
      <c r="BM142" s="199">
        <f>IF(AND(Input_Product=Elig!$C142,Elig_MatchAll_Ct&lt;22,$BC142=(Elig_MatchAll_Ct-1),AK142=0),H142,0)</f>
        <v>0</v>
      </c>
      <c r="BN142" s="199">
        <f>IF(AND(Input_Product=Elig!$C142,Elig_MatchAll_Ct&lt;22,$BC142=(Elig_MatchAll_Ct-1),AL142=0),I142,0)</f>
        <v>0</v>
      </c>
      <c r="BO142" s="199">
        <f>IF(AND(Input_Product=Elig!$C142,Elig_MatchAll_Ct&lt;22,$BC142=(Elig_MatchAll_Ct-1),AM142=0),J142,0)</f>
        <v>0</v>
      </c>
      <c r="BP142" s="199">
        <f>IF(AND(Input_Product=Elig!$C142,Elig_MatchAll_Ct&lt;22,$BC142=(Elig_MatchAll_Ct-1),AN142=0),K142,0)</f>
        <v>0</v>
      </c>
      <c r="BQ142" s="199">
        <f>IF(AND(Input_Product=Elig!$C142,Elig_MatchAll_Ct&lt;22,$BC142=(Elig_MatchAll_Ct-1),AP142=0),L142,0)</f>
        <v>0</v>
      </c>
      <c r="BR142" s="199">
        <f>IF(AND(Input_Product=Elig!$C142,Elig_MatchAll_Ct&lt;22,$BC142=(Elig_MatchAll_Ct-1),AO142=0),M142,0)</f>
        <v>0</v>
      </c>
      <c r="BS142" s="199">
        <f>IF(AND(Input_Product=Elig!$C142,Elig_MatchAll_Ct&lt;22,$BC142=(Elig_MatchAll_Ct-1),AQ142=0),N142,0)</f>
        <v>0</v>
      </c>
      <c r="BT142" s="199">
        <f>IF(AND(Input_Product=Elig!$C142,Elig_MatchAll_Ct&lt;22,$BC142=(Elig_MatchAll_Ct-1),AR142=0),O142,0)</f>
        <v>0</v>
      </c>
      <c r="BU142" s="199">
        <f>IF(AND(Input_Product=Elig!$C142,Elig_MatchAll_Ct&lt;22,$BC142=(Elig_MatchAll_Ct-1),AS142=0),P142,0)</f>
        <v>0</v>
      </c>
      <c r="BV142" s="200">
        <f>IF(AND(Input_Product=Elig!$C142,Elig_MatchAll_Ct&lt;22,$BC142=(Elig_MatchAll_Ct-1),AT142=0),Q142,0)</f>
        <v>0</v>
      </c>
      <c r="BW142" s="201">
        <f>IF(AND(Input_Product=Elig!$C142,Elig_MatchAll_Ct&lt;22,$BC142=(Elig_MatchAll_Ct-1),AU142=0),R142,0)</f>
        <v>0</v>
      </c>
      <c r="BX142" s="202">
        <f>IF(AND(Input_Product=Elig!$C142,Elig_MatchAll_Ct&lt;22,$BC142=(Elig_MatchAll_Ct-1),AU142=0),S142,0)</f>
        <v>0</v>
      </c>
      <c r="BY142" s="201">
        <f>IF(AND(Input_Product=Elig!$C142,Elig_MatchAll_Ct&lt;22,$BC142=(Elig_MatchAll_Ct-1),AV142=0),T142,0)</f>
        <v>0</v>
      </c>
      <c r="BZ142" s="202">
        <f>IF(AND(Input_Product=Elig!$C142,Elig_MatchAll_Ct&lt;22,$BC142=(Elig_MatchAll_Ct-1),AV142=0),U142,0)</f>
        <v>0</v>
      </c>
      <c r="CA142" s="201">
        <f>IF(AND(Input_Product=Elig!$C142,Elig_MatchAll_Ct&lt;22,$BC142=(Elig_MatchAll_Ct-1),AW142=0),V142,0)</f>
        <v>0</v>
      </c>
      <c r="CB142" s="202">
        <f>IF(AND(Input_Product=Elig!$C142,Elig_MatchAll_Ct&lt;22,$BC142=(Elig_MatchAll_Ct-1),AW142=0),W142,0)</f>
        <v>0</v>
      </c>
      <c r="CC142" s="201">
        <f>IF(AND(Input_Product=Elig!$C142,Elig_MatchAll_Ct&lt;22,$BC142=(Elig_MatchAll_Ct-1),AX142=0),X142,0)</f>
        <v>0</v>
      </c>
      <c r="CD142" s="202">
        <f>IF(AND(Input_Product=Elig!$C142,Elig_MatchAll_Ct&lt;22,$BC142=(Elig_MatchAll_Ct-1),AX142=0),Y142,0)</f>
        <v>0</v>
      </c>
      <c r="CE142" s="201">
        <f>IF(AND(Input_LTV&lt;=AE142,Input_Product=Elig!$C142,Elig_MatchAll_Ct&lt;22,$BC142=(Elig_MatchAll_Ct-1),AY142=0),Z142,0)</f>
        <v>0</v>
      </c>
      <c r="CF142" s="202">
        <f>IF(AND(Input_LTV&lt;=AE142,Input_Product=Elig!$C142,Elig_MatchAll_Ct&lt;22,$BC142=(Elig_MatchAll_Ct-1),AY142=0),AA142,0)</f>
        <v>0</v>
      </c>
      <c r="CG142" s="201">
        <f>IF(AND(Input_Product=Elig!$C142,Elig_MatchAll_Ct&lt;22,$BC142=(Elig_MatchAll_Ct-1),AZ142=0),AB142,0)</f>
        <v>0</v>
      </c>
      <c r="CH142" s="202">
        <f>IF(AND(Input_Product=Elig!$C142,Elig_MatchAll_Ct&lt;22,$BC142=(Elig_MatchAll_Ct-1),AZ142=0),AC142,0)</f>
        <v>0</v>
      </c>
      <c r="CI142" s="201">
        <f>IF(AND(Input_Product=Elig!$C142,Elig_MatchAll_Ct&lt;22,$BC142=(Elig_MatchAll_Ct-1),BA142=0),AD142,0)</f>
        <v>0</v>
      </c>
      <c r="CJ142" s="203">
        <f>IF(AND(Input_Product=Elig!$C142,Elig_MatchAll_Ct&lt;22,$BC142=(Elig_MatchAll_Ct-1),BA142=0),AE142,0)</f>
        <v>0</v>
      </c>
    </row>
    <row r="143" spans="2:88" ht="10.15" customHeight="1" x14ac:dyDescent="0.25">
      <c r="B143" s="1912" t="s">
        <v>891</v>
      </c>
      <c r="C143" s="134" t="str">
        <f t="shared" si="35"/>
        <v>NonQM OO</v>
      </c>
      <c r="D143" s="135" t="s">
        <v>3885</v>
      </c>
      <c r="E143" s="135" t="s">
        <v>167</v>
      </c>
      <c r="F143" s="135" t="s">
        <v>331</v>
      </c>
      <c r="G143" s="135" t="s">
        <v>304</v>
      </c>
      <c r="H143" s="135" t="s">
        <v>446</v>
      </c>
      <c r="I143" s="135" t="s">
        <v>274</v>
      </c>
      <c r="J143" s="135" t="s">
        <v>1311</v>
      </c>
      <c r="K143" s="135" t="s">
        <v>1631</v>
      </c>
      <c r="L143" s="221" t="s">
        <v>3920</v>
      </c>
      <c r="M143" s="135" t="s">
        <v>4203</v>
      </c>
      <c r="N143" s="135" t="s">
        <v>82</v>
      </c>
      <c r="O143" s="135" t="s">
        <v>310</v>
      </c>
      <c r="P143" s="135" t="s">
        <v>291</v>
      </c>
      <c r="Q143" s="135" t="s">
        <v>294</v>
      </c>
      <c r="R143" s="135">
        <v>1500000.01</v>
      </c>
      <c r="S143" s="135">
        <v>2000000</v>
      </c>
      <c r="T143" s="135">
        <v>0</v>
      </c>
      <c r="U143" s="135">
        <v>0</v>
      </c>
      <c r="V143" s="135">
        <v>0</v>
      </c>
      <c r="W143" s="135">
        <v>55</v>
      </c>
      <c r="X143" s="135">
        <v>0</v>
      </c>
      <c r="Y143" s="135">
        <v>999</v>
      </c>
      <c r="Z143" s="137">
        <v>640</v>
      </c>
      <c r="AA143" s="137">
        <v>659</v>
      </c>
      <c r="AB143" s="137">
        <v>6</v>
      </c>
      <c r="AC143" s="137">
        <v>999999</v>
      </c>
      <c r="AD143" s="135">
        <v>0</v>
      </c>
      <c r="AE143" s="221">
        <v>65</v>
      </c>
      <c r="AF143" s="170">
        <v>0</v>
      </c>
      <c r="AG143" s="171">
        <v>1</v>
      </c>
      <c r="AH143" s="171">
        <v>1</v>
      </c>
      <c r="AI143" s="171">
        <v>1</v>
      </c>
      <c r="AJ143" s="171">
        <v>0</v>
      </c>
      <c r="AK143" s="171">
        <v>0</v>
      </c>
      <c r="AL143" s="171">
        <v>0</v>
      </c>
      <c r="AM143" s="171">
        <v>1</v>
      </c>
      <c r="AN143" s="171">
        <v>1</v>
      </c>
      <c r="AO143" s="171">
        <v>1</v>
      </c>
      <c r="AP143" s="171">
        <v>1</v>
      </c>
      <c r="AQ143" s="171">
        <v>1</v>
      </c>
      <c r="AR143" s="171">
        <v>1</v>
      </c>
      <c r="AS143" s="171">
        <v>1</v>
      </c>
      <c r="AT143" s="171">
        <v>1</v>
      </c>
      <c r="AU143" s="171">
        <f t="shared" si="41"/>
        <v>0</v>
      </c>
      <c r="AV143" s="171">
        <f t="shared" si="42"/>
        <v>0</v>
      </c>
      <c r="AW143" s="171">
        <f t="shared" si="43"/>
        <v>1</v>
      </c>
      <c r="AX143" s="171">
        <f t="shared" si="37"/>
        <v>1</v>
      </c>
      <c r="AY143" s="171">
        <f t="shared" si="44"/>
        <v>0</v>
      </c>
      <c r="AZ143" s="171">
        <f t="shared" si="45"/>
        <v>1</v>
      </c>
      <c r="BA143" s="172">
        <f t="shared" si="46"/>
        <v>1</v>
      </c>
      <c r="BB143" s="175">
        <f t="shared" si="47"/>
        <v>15</v>
      </c>
      <c r="BC143" s="176">
        <f t="shared" si="48"/>
        <v>14</v>
      </c>
      <c r="BD143" s="176">
        <f t="shared" si="49"/>
        <v>15</v>
      </c>
      <c r="BE143" s="240" t="str">
        <f t="shared" si="51"/>
        <v/>
      </c>
      <c r="BH143" s="198">
        <f>IF(AND(Input_Product=Elig!$C143,Elig_MatchAll_Ct&lt;22,$BC143=(Elig_MatchAll_Ct-1),AF143=0),C143,0)</f>
        <v>0</v>
      </c>
      <c r="BI143" s="199">
        <f>IF(AND(Input_Product=Elig!$C143,Elig_MatchAll_Ct&lt;22,$BC143=(Elig_MatchAll_Ct-1),AG143=0),D143,0)</f>
        <v>0</v>
      </c>
      <c r="BJ143" s="199">
        <f>IF(AND(Input_Product=Elig!$C143,Elig_MatchAll_Ct&lt;22,$BC143=(Elig_MatchAll_Ct-1),AH143=0),E143,0)</f>
        <v>0</v>
      </c>
      <c r="BK143" s="199">
        <f>IF(AND(Input_Product=Elig!$C143,Elig_MatchAll_Ct&lt;22,$BC143=(Elig_MatchAll_Ct-1),AI143=0),F143,0)</f>
        <v>0</v>
      </c>
      <c r="BL143" s="199">
        <f>IF(AND(Input_Product=Elig!$C143,Elig_MatchAll_Ct&lt;22,$BC143=(Elig_MatchAll_Ct-1),AJ143=0),G143,0)</f>
        <v>0</v>
      </c>
      <c r="BM143" s="199">
        <f>IF(AND(Input_Product=Elig!$C143,Elig_MatchAll_Ct&lt;22,$BC143=(Elig_MatchAll_Ct-1),AK143=0),H143,0)</f>
        <v>0</v>
      </c>
      <c r="BN143" s="199">
        <f>IF(AND(Input_Product=Elig!$C143,Elig_MatchAll_Ct&lt;22,$BC143=(Elig_MatchAll_Ct-1),AL143=0),I143,0)</f>
        <v>0</v>
      </c>
      <c r="BO143" s="199">
        <f>IF(AND(Input_Product=Elig!$C143,Elig_MatchAll_Ct&lt;22,$BC143=(Elig_MatchAll_Ct-1),AM143=0),J143,0)</f>
        <v>0</v>
      </c>
      <c r="BP143" s="199">
        <f>IF(AND(Input_Product=Elig!$C143,Elig_MatchAll_Ct&lt;22,$BC143=(Elig_MatchAll_Ct-1),AN143=0),K143,0)</f>
        <v>0</v>
      </c>
      <c r="BQ143" s="199">
        <f>IF(AND(Input_Product=Elig!$C143,Elig_MatchAll_Ct&lt;22,$BC143=(Elig_MatchAll_Ct-1),AP143=0),L143,0)</f>
        <v>0</v>
      </c>
      <c r="BR143" s="199">
        <f>IF(AND(Input_Product=Elig!$C143,Elig_MatchAll_Ct&lt;22,$BC143=(Elig_MatchAll_Ct-1),AO143=0),M143,0)</f>
        <v>0</v>
      </c>
      <c r="BS143" s="199">
        <f>IF(AND(Input_Product=Elig!$C143,Elig_MatchAll_Ct&lt;22,$BC143=(Elig_MatchAll_Ct-1),AQ143=0),N143,0)</f>
        <v>0</v>
      </c>
      <c r="BT143" s="199">
        <f>IF(AND(Input_Product=Elig!$C143,Elig_MatchAll_Ct&lt;22,$BC143=(Elig_MatchAll_Ct-1),AR143=0),O143,0)</f>
        <v>0</v>
      </c>
      <c r="BU143" s="199">
        <f>IF(AND(Input_Product=Elig!$C143,Elig_MatchAll_Ct&lt;22,$BC143=(Elig_MatchAll_Ct-1),AS143=0),P143,0)</f>
        <v>0</v>
      </c>
      <c r="BV143" s="200">
        <f>IF(AND(Input_Product=Elig!$C143,Elig_MatchAll_Ct&lt;22,$BC143=(Elig_MatchAll_Ct-1),AT143=0),Q143,0)</f>
        <v>0</v>
      </c>
      <c r="BW143" s="201">
        <f>IF(AND(Input_Product=Elig!$C143,Elig_MatchAll_Ct&lt;22,$BC143=(Elig_MatchAll_Ct-1),AU143=0),R143,0)</f>
        <v>0</v>
      </c>
      <c r="BX143" s="202">
        <f>IF(AND(Input_Product=Elig!$C143,Elig_MatchAll_Ct&lt;22,$BC143=(Elig_MatchAll_Ct-1),AU143=0),S143,0)</f>
        <v>0</v>
      </c>
      <c r="BY143" s="201">
        <f>IF(AND(Input_Product=Elig!$C143,Elig_MatchAll_Ct&lt;22,$BC143=(Elig_MatchAll_Ct-1),AV143=0),T143,0)</f>
        <v>0</v>
      </c>
      <c r="BZ143" s="202">
        <f>IF(AND(Input_Product=Elig!$C143,Elig_MatchAll_Ct&lt;22,$BC143=(Elig_MatchAll_Ct-1),AV143=0),U143,0)</f>
        <v>0</v>
      </c>
      <c r="CA143" s="201">
        <f>IF(AND(Input_Product=Elig!$C143,Elig_MatchAll_Ct&lt;22,$BC143=(Elig_MatchAll_Ct-1),AW143=0),V143,0)</f>
        <v>0</v>
      </c>
      <c r="CB143" s="202">
        <f>IF(AND(Input_Product=Elig!$C143,Elig_MatchAll_Ct&lt;22,$BC143=(Elig_MatchAll_Ct-1),AW143=0),W143,0)</f>
        <v>0</v>
      </c>
      <c r="CC143" s="201">
        <f>IF(AND(Input_Product=Elig!$C143,Elig_MatchAll_Ct&lt;22,$BC143=(Elig_MatchAll_Ct-1),AX143=0),X143,0)</f>
        <v>0</v>
      </c>
      <c r="CD143" s="202">
        <f>IF(AND(Input_Product=Elig!$C143,Elig_MatchAll_Ct&lt;22,$BC143=(Elig_MatchAll_Ct-1),AX143=0),Y143,0)</f>
        <v>0</v>
      </c>
      <c r="CE143" s="201">
        <f>IF(AND(Input_LTV&lt;=AE143,Input_Product=Elig!$C143,Elig_MatchAll_Ct&lt;22,$BC143=(Elig_MatchAll_Ct-1),AY143=0),Z143,0)</f>
        <v>0</v>
      </c>
      <c r="CF143" s="202">
        <f>IF(AND(Input_LTV&lt;=AE143,Input_Product=Elig!$C143,Elig_MatchAll_Ct&lt;22,$BC143=(Elig_MatchAll_Ct-1),AY143=0),AA143,0)</f>
        <v>0</v>
      </c>
      <c r="CG143" s="201">
        <f>IF(AND(Input_Product=Elig!$C143,Elig_MatchAll_Ct&lt;22,$BC143=(Elig_MatchAll_Ct-1),AZ143=0),AB143,0)</f>
        <v>0</v>
      </c>
      <c r="CH143" s="202">
        <f>IF(AND(Input_Product=Elig!$C143,Elig_MatchAll_Ct&lt;22,$BC143=(Elig_MatchAll_Ct-1),AZ143=0),AC143,0)</f>
        <v>0</v>
      </c>
      <c r="CI143" s="201">
        <f>IF(AND(Input_Product=Elig!$C143,Elig_MatchAll_Ct&lt;22,$BC143=(Elig_MatchAll_Ct-1),BA143=0),AD143,0)</f>
        <v>0</v>
      </c>
      <c r="CJ143" s="203">
        <f>IF(AND(Input_Product=Elig!$C143,Elig_MatchAll_Ct&lt;22,$BC143=(Elig_MatchAll_Ct-1),BA143=0),AE143,0)</f>
        <v>0</v>
      </c>
    </row>
    <row r="144" spans="2:88" ht="10.15" customHeight="1" x14ac:dyDescent="0.25">
      <c r="B144" s="1912" t="s">
        <v>892</v>
      </c>
      <c r="C144" s="138" t="str">
        <f t="shared" si="35"/>
        <v>NonQM OO</v>
      </c>
      <c r="D144" s="139" t="s">
        <v>3885</v>
      </c>
      <c r="E144" s="139" t="s">
        <v>167</v>
      </c>
      <c r="F144" s="139" t="s">
        <v>331</v>
      </c>
      <c r="G144" s="139" t="s">
        <v>304</v>
      </c>
      <c r="H144" s="139" t="s">
        <v>446</v>
      </c>
      <c r="I144" s="139" t="s">
        <v>274</v>
      </c>
      <c r="J144" s="139" t="s">
        <v>1311</v>
      </c>
      <c r="K144" s="139" t="s">
        <v>1631</v>
      </c>
      <c r="L144" s="310" t="s">
        <v>3920</v>
      </c>
      <c r="M144" s="139" t="s">
        <v>4203</v>
      </c>
      <c r="N144" s="139" t="s">
        <v>82</v>
      </c>
      <c r="O144" s="139" t="s">
        <v>310</v>
      </c>
      <c r="P144" s="139" t="s">
        <v>291</v>
      </c>
      <c r="Q144" s="139" t="s">
        <v>294</v>
      </c>
      <c r="R144" s="139">
        <v>1500000.01</v>
      </c>
      <c r="S144" s="139">
        <v>2000000</v>
      </c>
      <c r="T144" s="139">
        <v>0</v>
      </c>
      <c r="U144" s="139">
        <v>0</v>
      </c>
      <c r="V144" s="139">
        <v>0</v>
      </c>
      <c r="W144" s="139">
        <v>55</v>
      </c>
      <c r="X144" s="139">
        <v>0</v>
      </c>
      <c r="Y144" s="139">
        <v>999</v>
      </c>
      <c r="Z144" s="140">
        <v>620</v>
      </c>
      <c r="AA144" s="140">
        <v>639</v>
      </c>
      <c r="AB144" s="140">
        <v>6</v>
      </c>
      <c r="AC144" s="140">
        <v>999999</v>
      </c>
      <c r="AD144" s="139">
        <v>0</v>
      </c>
      <c r="AE144" s="139">
        <v>-999</v>
      </c>
      <c r="AF144" s="170">
        <v>0</v>
      </c>
      <c r="AG144" s="171">
        <v>1</v>
      </c>
      <c r="AH144" s="171">
        <v>1</v>
      </c>
      <c r="AI144" s="171">
        <v>1</v>
      </c>
      <c r="AJ144" s="171">
        <v>0</v>
      </c>
      <c r="AK144" s="171">
        <v>0</v>
      </c>
      <c r="AL144" s="171">
        <v>0</v>
      </c>
      <c r="AM144" s="171">
        <v>1</v>
      </c>
      <c r="AN144" s="171">
        <v>1</v>
      </c>
      <c r="AO144" s="171">
        <v>1</v>
      </c>
      <c r="AP144" s="171">
        <v>1</v>
      </c>
      <c r="AQ144" s="171">
        <v>1</v>
      </c>
      <c r="AR144" s="171">
        <v>1</v>
      </c>
      <c r="AS144" s="171">
        <v>1</v>
      </c>
      <c r="AT144" s="171">
        <v>1</v>
      </c>
      <c r="AU144" s="171">
        <f t="shared" si="41"/>
        <v>0</v>
      </c>
      <c r="AV144" s="171">
        <f t="shared" si="42"/>
        <v>0</v>
      </c>
      <c r="AW144" s="171">
        <f t="shared" si="43"/>
        <v>1</v>
      </c>
      <c r="AX144" s="171">
        <f t="shared" si="37"/>
        <v>1</v>
      </c>
      <c r="AY144" s="171">
        <f t="shared" si="44"/>
        <v>0</v>
      </c>
      <c r="AZ144" s="171">
        <f t="shared" si="45"/>
        <v>1</v>
      </c>
      <c r="BA144" s="172">
        <f t="shared" si="46"/>
        <v>0</v>
      </c>
      <c r="BB144" s="175">
        <f t="shared" si="47"/>
        <v>14</v>
      </c>
      <c r="BC144" s="176">
        <f t="shared" si="48"/>
        <v>14</v>
      </c>
      <c r="BD144" s="176">
        <f t="shared" si="49"/>
        <v>14</v>
      </c>
      <c r="BE144" s="240" t="str">
        <f t="shared" si="51"/>
        <v/>
      </c>
      <c r="BH144" s="204">
        <f>IF(AND(Input_Product=Elig!$C144,Elig_MatchAll_Ct&lt;22,$BC144=(Elig_MatchAll_Ct-1),AF144=0),C144,0)</f>
        <v>0</v>
      </c>
      <c r="BI144" s="205">
        <f>IF(AND(Input_Product=Elig!$C144,Elig_MatchAll_Ct&lt;22,$BC144=(Elig_MatchAll_Ct-1),AG144=0),D144,0)</f>
        <v>0</v>
      </c>
      <c r="BJ144" s="205">
        <f>IF(AND(Input_Product=Elig!$C144,Elig_MatchAll_Ct&lt;22,$BC144=(Elig_MatchAll_Ct-1),AH144=0),E144,0)</f>
        <v>0</v>
      </c>
      <c r="BK144" s="205">
        <f>IF(AND(Input_Product=Elig!$C144,Elig_MatchAll_Ct&lt;22,$BC144=(Elig_MatchAll_Ct-1),AI144=0),F144,0)</f>
        <v>0</v>
      </c>
      <c r="BL144" s="205">
        <f>IF(AND(Input_Product=Elig!$C144,Elig_MatchAll_Ct&lt;22,$BC144=(Elig_MatchAll_Ct-1),AJ144=0),G144,0)</f>
        <v>0</v>
      </c>
      <c r="BM144" s="205">
        <f>IF(AND(Input_Product=Elig!$C144,Elig_MatchAll_Ct&lt;22,$BC144=(Elig_MatchAll_Ct-1),AK144=0),H144,0)</f>
        <v>0</v>
      </c>
      <c r="BN144" s="205">
        <f>IF(AND(Input_Product=Elig!$C144,Elig_MatchAll_Ct&lt;22,$BC144=(Elig_MatchAll_Ct-1),AL144=0),I144,0)</f>
        <v>0</v>
      </c>
      <c r="BO144" s="205">
        <f>IF(AND(Input_Product=Elig!$C144,Elig_MatchAll_Ct&lt;22,$BC144=(Elig_MatchAll_Ct-1),AM144=0),J144,0)</f>
        <v>0</v>
      </c>
      <c r="BP144" s="205">
        <f>IF(AND(Input_Product=Elig!$C144,Elig_MatchAll_Ct&lt;22,$BC144=(Elig_MatchAll_Ct-1),AN144=0),K144,0)</f>
        <v>0</v>
      </c>
      <c r="BQ144" s="205">
        <f>IF(AND(Input_Product=Elig!$C144,Elig_MatchAll_Ct&lt;22,$BC144=(Elig_MatchAll_Ct-1),AP144=0),L144,0)</f>
        <v>0</v>
      </c>
      <c r="BR144" s="205">
        <f>IF(AND(Input_Product=Elig!$C144,Elig_MatchAll_Ct&lt;22,$BC144=(Elig_MatchAll_Ct-1),AO144=0),M144,0)</f>
        <v>0</v>
      </c>
      <c r="BS144" s="205">
        <f>IF(AND(Input_Product=Elig!$C144,Elig_MatchAll_Ct&lt;22,$BC144=(Elig_MatchAll_Ct-1),AQ144=0),N144,0)</f>
        <v>0</v>
      </c>
      <c r="BT144" s="205">
        <f>IF(AND(Input_Product=Elig!$C144,Elig_MatchAll_Ct&lt;22,$BC144=(Elig_MatchAll_Ct-1),AR144=0),O144,0)</f>
        <v>0</v>
      </c>
      <c r="BU144" s="205">
        <f>IF(AND(Input_Product=Elig!$C144,Elig_MatchAll_Ct&lt;22,$BC144=(Elig_MatchAll_Ct-1),AS144=0),P144,0)</f>
        <v>0</v>
      </c>
      <c r="BV144" s="206">
        <f>IF(AND(Input_Product=Elig!$C144,Elig_MatchAll_Ct&lt;22,$BC144=(Elig_MatchAll_Ct-1),AT144=0),Q144,0)</f>
        <v>0</v>
      </c>
      <c r="BW144" s="207">
        <f>IF(AND(Input_Product=Elig!$C144,Elig_MatchAll_Ct&lt;22,$BC144=(Elig_MatchAll_Ct-1),AU144=0),R144,0)</f>
        <v>0</v>
      </c>
      <c r="BX144" s="208">
        <f>IF(AND(Input_Product=Elig!$C144,Elig_MatchAll_Ct&lt;22,$BC144=(Elig_MatchAll_Ct-1),AU144=0),S144,0)</f>
        <v>0</v>
      </c>
      <c r="BY144" s="207">
        <f>IF(AND(Input_Product=Elig!$C144,Elig_MatchAll_Ct&lt;22,$BC144=(Elig_MatchAll_Ct-1),AV144=0),T144,0)</f>
        <v>0</v>
      </c>
      <c r="BZ144" s="208">
        <f>IF(AND(Input_Product=Elig!$C144,Elig_MatchAll_Ct&lt;22,$BC144=(Elig_MatchAll_Ct-1),AV144=0),U144,0)</f>
        <v>0</v>
      </c>
      <c r="CA144" s="207">
        <f>IF(AND(Input_Product=Elig!$C144,Elig_MatchAll_Ct&lt;22,$BC144=(Elig_MatchAll_Ct-1),AW144=0),V144,0)</f>
        <v>0</v>
      </c>
      <c r="CB144" s="208">
        <f>IF(AND(Input_Product=Elig!$C144,Elig_MatchAll_Ct&lt;22,$BC144=(Elig_MatchAll_Ct-1),AW144=0),W144,0)</f>
        <v>0</v>
      </c>
      <c r="CC144" s="207">
        <f>IF(AND(Input_Product=Elig!$C144,Elig_MatchAll_Ct&lt;22,$BC144=(Elig_MatchAll_Ct-1),AX144=0),X144,0)</f>
        <v>0</v>
      </c>
      <c r="CD144" s="208">
        <f>IF(AND(Input_Product=Elig!$C144,Elig_MatchAll_Ct&lt;22,$BC144=(Elig_MatchAll_Ct-1),AX144=0),Y144,0)</f>
        <v>0</v>
      </c>
      <c r="CE144" s="207">
        <f>IF(AND(Input_LTV&lt;=AE144,Input_Product=Elig!$C144,Elig_MatchAll_Ct&lt;22,$BC144=(Elig_MatchAll_Ct-1),AY144=0),Z144,0)</f>
        <v>0</v>
      </c>
      <c r="CF144" s="208">
        <f>IF(AND(Input_LTV&lt;=AE144,Input_Product=Elig!$C144,Elig_MatchAll_Ct&lt;22,$BC144=(Elig_MatchAll_Ct-1),AY144=0),AA144,0)</f>
        <v>0</v>
      </c>
      <c r="CG144" s="207">
        <f>IF(AND(Input_Product=Elig!$C144,Elig_MatchAll_Ct&lt;22,$BC144=(Elig_MatchAll_Ct-1),AZ144=0),AB144,0)</f>
        <v>0</v>
      </c>
      <c r="CH144" s="208">
        <f>IF(AND(Input_Product=Elig!$C144,Elig_MatchAll_Ct&lt;22,$BC144=(Elig_MatchAll_Ct-1),AZ144=0),AC144,0)</f>
        <v>0</v>
      </c>
      <c r="CI144" s="207">
        <f>IF(AND(Input_Product=Elig!$C144,Elig_MatchAll_Ct&lt;22,$BC144=(Elig_MatchAll_Ct-1),BA144=0),AD144,0)</f>
        <v>0</v>
      </c>
      <c r="CJ144" s="209">
        <f>IF(AND(Input_Product=Elig!$C144,Elig_MatchAll_Ct&lt;22,$BC144=(Elig_MatchAll_Ct-1),BA144=0),AE144,0)</f>
        <v>0</v>
      </c>
    </row>
    <row r="145" spans="2:88" ht="10.15" customHeight="1" x14ac:dyDescent="0.25">
      <c r="B145" s="1912" t="s">
        <v>893</v>
      </c>
      <c r="C145" s="141" t="str">
        <f t="shared" si="35"/>
        <v>NonQM OO</v>
      </c>
      <c r="D145" s="142" t="s">
        <v>3885</v>
      </c>
      <c r="E145" s="143" t="s">
        <v>167</v>
      </c>
      <c r="F145" s="143" t="s">
        <v>331</v>
      </c>
      <c r="G145" s="143" t="s">
        <v>304</v>
      </c>
      <c r="H145" s="143" t="s">
        <v>446</v>
      </c>
      <c r="I145" s="142" t="s">
        <v>16</v>
      </c>
      <c r="J145" s="142" t="s">
        <v>1311</v>
      </c>
      <c r="K145" s="142" t="s">
        <v>1631</v>
      </c>
      <c r="L145" s="2131" t="s">
        <v>3920</v>
      </c>
      <c r="M145" s="143" t="s">
        <v>4203</v>
      </c>
      <c r="N145" s="143" t="s">
        <v>82</v>
      </c>
      <c r="O145" s="143" t="s">
        <v>310</v>
      </c>
      <c r="P145" s="143" t="s">
        <v>291</v>
      </c>
      <c r="Q145" s="143" t="s">
        <v>294</v>
      </c>
      <c r="R145" s="142">
        <v>1500000.01</v>
      </c>
      <c r="S145" s="142">
        <v>2000000</v>
      </c>
      <c r="T145" s="142">
        <v>0</v>
      </c>
      <c r="U145" s="142">
        <f t="shared" ref="U145:U150" si="52">S145</f>
        <v>2000000</v>
      </c>
      <c r="V145" s="142">
        <v>0</v>
      </c>
      <c r="W145" s="142">
        <v>55</v>
      </c>
      <c r="X145" s="142">
        <v>0</v>
      </c>
      <c r="Y145" s="142">
        <v>999</v>
      </c>
      <c r="Z145" s="144">
        <v>720</v>
      </c>
      <c r="AA145" s="144">
        <v>999</v>
      </c>
      <c r="AB145" s="144">
        <v>6</v>
      </c>
      <c r="AC145" s="144">
        <v>999999</v>
      </c>
      <c r="AD145" s="142">
        <v>0</v>
      </c>
      <c r="AE145" s="320">
        <v>80</v>
      </c>
      <c r="AF145" s="170">
        <v>0</v>
      </c>
      <c r="AG145" s="171">
        <v>1</v>
      </c>
      <c r="AH145" s="171">
        <v>1</v>
      </c>
      <c r="AI145" s="171">
        <v>1</v>
      </c>
      <c r="AJ145" s="171">
        <v>0</v>
      </c>
      <c r="AK145" s="171">
        <v>0</v>
      </c>
      <c r="AL145" s="171">
        <v>1</v>
      </c>
      <c r="AM145" s="171">
        <v>1</v>
      </c>
      <c r="AN145" s="171">
        <v>1</v>
      </c>
      <c r="AO145" s="171">
        <v>1</v>
      </c>
      <c r="AP145" s="171">
        <v>1</v>
      </c>
      <c r="AQ145" s="171">
        <v>1</v>
      </c>
      <c r="AR145" s="171">
        <v>1</v>
      </c>
      <c r="AS145" s="171">
        <v>1</v>
      </c>
      <c r="AT145" s="171">
        <v>1</v>
      </c>
      <c r="AU145" s="171">
        <f t="shared" si="41"/>
        <v>0</v>
      </c>
      <c r="AV145" s="171">
        <f t="shared" si="42"/>
        <v>1</v>
      </c>
      <c r="AW145" s="171">
        <f t="shared" si="43"/>
        <v>1</v>
      </c>
      <c r="AX145" s="171">
        <f t="shared" si="37"/>
        <v>1</v>
      </c>
      <c r="AY145" s="171">
        <f t="shared" si="44"/>
        <v>1</v>
      </c>
      <c r="AZ145" s="171">
        <f t="shared" si="45"/>
        <v>1</v>
      </c>
      <c r="BA145" s="172">
        <f t="shared" si="46"/>
        <v>1</v>
      </c>
      <c r="BB145" s="175">
        <f t="shared" si="47"/>
        <v>18</v>
      </c>
      <c r="BC145" s="176">
        <f t="shared" si="48"/>
        <v>17</v>
      </c>
      <c r="BD145" s="176">
        <f t="shared" si="49"/>
        <v>18</v>
      </c>
      <c r="BE145" s="240" t="str">
        <f t="shared" si="51"/>
        <v/>
      </c>
      <c r="BH145" s="192">
        <f>IF(AND(Input_Product=Elig!$C145,Elig_MatchAll_Ct&lt;22,$BC145=(Elig_MatchAll_Ct-1),AF145=0),C145,0)</f>
        <v>0</v>
      </c>
      <c r="BI145" s="193">
        <f>IF(AND(Input_Product=Elig!$C145,Elig_MatchAll_Ct&lt;22,$BC145=(Elig_MatchAll_Ct-1),AG145=0),D145,0)</f>
        <v>0</v>
      </c>
      <c r="BJ145" s="193">
        <f>IF(AND(Input_Product=Elig!$C145,Elig_MatchAll_Ct&lt;22,$BC145=(Elig_MatchAll_Ct-1),AH145=0),E145,0)</f>
        <v>0</v>
      </c>
      <c r="BK145" s="193">
        <f>IF(AND(Input_Product=Elig!$C145,Elig_MatchAll_Ct&lt;22,$BC145=(Elig_MatchAll_Ct-1),AI145=0),F145,0)</f>
        <v>0</v>
      </c>
      <c r="BL145" s="193">
        <f>IF(AND(Input_Product=Elig!$C145,Elig_MatchAll_Ct&lt;22,$BC145=(Elig_MatchAll_Ct-1),AJ145=0),G145,0)</f>
        <v>0</v>
      </c>
      <c r="BM145" s="193">
        <f>IF(AND(Input_Product=Elig!$C145,Elig_MatchAll_Ct&lt;22,$BC145=(Elig_MatchAll_Ct-1),AK145=0),H145,0)</f>
        <v>0</v>
      </c>
      <c r="BN145" s="193">
        <f>IF(AND(Input_Product=Elig!$C145,Elig_MatchAll_Ct&lt;22,$BC145=(Elig_MatchAll_Ct-1),AL145=0),I145,0)</f>
        <v>0</v>
      </c>
      <c r="BO145" s="193">
        <f>IF(AND(Input_Product=Elig!$C145,Elig_MatchAll_Ct&lt;22,$BC145=(Elig_MatchAll_Ct-1),AM145=0),J145,0)</f>
        <v>0</v>
      </c>
      <c r="BP145" s="193">
        <f>IF(AND(Input_Product=Elig!$C145,Elig_MatchAll_Ct&lt;22,$BC145=(Elig_MatchAll_Ct-1),AN145=0),K145,0)</f>
        <v>0</v>
      </c>
      <c r="BQ145" s="193">
        <f>IF(AND(Input_Product=Elig!$C145,Elig_MatchAll_Ct&lt;22,$BC145=(Elig_MatchAll_Ct-1),AP145=0),L145,0)</f>
        <v>0</v>
      </c>
      <c r="BR145" s="193">
        <f>IF(AND(Input_Product=Elig!$C145,Elig_MatchAll_Ct&lt;22,$BC145=(Elig_MatchAll_Ct-1),AO145=0),M145,0)</f>
        <v>0</v>
      </c>
      <c r="BS145" s="193">
        <f>IF(AND(Input_Product=Elig!$C145,Elig_MatchAll_Ct&lt;22,$BC145=(Elig_MatchAll_Ct-1),AQ145=0),N145,0)</f>
        <v>0</v>
      </c>
      <c r="BT145" s="193">
        <f>IF(AND(Input_Product=Elig!$C145,Elig_MatchAll_Ct&lt;22,$BC145=(Elig_MatchAll_Ct-1),AR145=0),O145,0)</f>
        <v>0</v>
      </c>
      <c r="BU145" s="193">
        <f>IF(AND(Input_Product=Elig!$C145,Elig_MatchAll_Ct&lt;22,$BC145=(Elig_MatchAll_Ct-1),AS145=0),P145,0)</f>
        <v>0</v>
      </c>
      <c r="BV145" s="194">
        <f>IF(AND(Input_Product=Elig!$C145,Elig_MatchAll_Ct&lt;22,$BC145=(Elig_MatchAll_Ct-1),AT145=0),Q145,0)</f>
        <v>0</v>
      </c>
      <c r="BW145" s="195">
        <f>IF(AND(Input_Product=Elig!$C145,Elig_MatchAll_Ct&lt;22,$BC145=(Elig_MatchAll_Ct-1),AU145=0),R145,0)</f>
        <v>0</v>
      </c>
      <c r="BX145" s="196">
        <f>IF(AND(Input_Product=Elig!$C145,Elig_MatchAll_Ct&lt;22,$BC145=(Elig_MatchAll_Ct-1),AU145=0),S145,0)</f>
        <v>0</v>
      </c>
      <c r="BY145" s="195">
        <f>IF(AND(Input_Product=Elig!$C145,Elig_MatchAll_Ct&lt;22,$BC145=(Elig_MatchAll_Ct-1),AV145=0),T145,0)</f>
        <v>0</v>
      </c>
      <c r="BZ145" s="196">
        <f>IF(AND(Input_Product=Elig!$C145,Elig_MatchAll_Ct&lt;22,$BC145=(Elig_MatchAll_Ct-1),AV145=0),U145,0)</f>
        <v>0</v>
      </c>
      <c r="CA145" s="195">
        <f>IF(AND(Input_Product=Elig!$C145,Elig_MatchAll_Ct&lt;22,$BC145=(Elig_MatchAll_Ct-1),AW145=0),V145,0)</f>
        <v>0</v>
      </c>
      <c r="CB145" s="196">
        <f>IF(AND(Input_Product=Elig!$C145,Elig_MatchAll_Ct&lt;22,$BC145=(Elig_MatchAll_Ct-1),AW145=0),W145,0)</f>
        <v>0</v>
      </c>
      <c r="CC145" s="195">
        <f>IF(AND(Input_Product=Elig!$C145,Elig_MatchAll_Ct&lt;22,$BC145=(Elig_MatchAll_Ct-1),AX145=0),X145,0)</f>
        <v>0</v>
      </c>
      <c r="CD145" s="196">
        <f>IF(AND(Input_Product=Elig!$C145,Elig_MatchAll_Ct&lt;22,$BC145=(Elig_MatchAll_Ct-1),AX145=0),Y145,0)</f>
        <v>0</v>
      </c>
      <c r="CE145" s="195">
        <f>IF(AND(Input_LTV&lt;=AE145,Input_Product=Elig!$C145,Elig_MatchAll_Ct&lt;22,$BC145=(Elig_MatchAll_Ct-1),AY145=0),Z145,0)</f>
        <v>0</v>
      </c>
      <c r="CF145" s="196">
        <f>IF(AND(Input_LTV&lt;=AE145,Input_Product=Elig!$C145,Elig_MatchAll_Ct&lt;22,$BC145=(Elig_MatchAll_Ct-1),AY145=0),AA145,0)</f>
        <v>0</v>
      </c>
      <c r="CG145" s="195">
        <f>IF(AND(Input_Product=Elig!$C145,Elig_MatchAll_Ct&lt;22,$BC145=(Elig_MatchAll_Ct-1),AZ145=0),AB145,0)</f>
        <v>0</v>
      </c>
      <c r="CH145" s="196">
        <f>IF(AND(Input_Product=Elig!$C145,Elig_MatchAll_Ct&lt;22,$BC145=(Elig_MatchAll_Ct-1),AZ145=0),AC145,0)</f>
        <v>0</v>
      </c>
      <c r="CI145" s="195">
        <f>IF(AND(Input_Product=Elig!$C145,Elig_MatchAll_Ct&lt;22,$BC145=(Elig_MatchAll_Ct-1),BA145=0),AD145,0)</f>
        <v>0</v>
      </c>
      <c r="CJ145" s="197">
        <f>IF(AND(Input_Product=Elig!$C145,Elig_MatchAll_Ct&lt;22,$BC145=(Elig_MatchAll_Ct-1),BA145=0),AE145,0)</f>
        <v>0</v>
      </c>
    </row>
    <row r="146" spans="2:88" ht="10.15" customHeight="1" x14ac:dyDescent="0.25">
      <c r="B146" s="1912" t="s">
        <v>894</v>
      </c>
      <c r="C146" s="134" t="str">
        <f t="shared" si="35"/>
        <v>NonQM OO</v>
      </c>
      <c r="D146" s="135" t="s">
        <v>3885</v>
      </c>
      <c r="E146" s="135" t="s">
        <v>167</v>
      </c>
      <c r="F146" s="135" t="s">
        <v>331</v>
      </c>
      <c r="G146" s="135" t="s">
        <v>304</v>
      </c>
      <c r="H146" s="135" t="s">
        <v>446</v>
      </c>
      <c r="I146" s="136" t="s">
        <v>16</v>
      </c>
      <c r="J146" s="136" t="s">
        <v>1311</v>
      </c>
      <c r="K146" s="136" t="s">
        <v>1631</v>
      </c>
      <c r="L146" s="221" t="s">
        <v>3920</v>
      </c>
      <c r="M146" s="135" t="s">
        <v>4203</v>
      </c>
      <c r="N146" s="135" t="s">
        <v>82</v>
      </c>
      <c r="O146" s="135" t="s">
        <v>310</v>
      </c>
      <c r="P146" s="135" t="s">
        <v>291</v>
      </c>
      <c r="Q146" s="135" t="s">
        <v>294</v>
      </c>
      <c r="R146" s="135">
        <v>1500000.01</v>
      </c>
      <c r="S146" s="135">
        <v>2000000</v>
      </c>
      <c r="T146" s="135">
        <v>0</v>
      </c>
      <c r="U146" s="135">
        <f t="shared" si="52"/>
        <v>2000000</v>
      </c>
      <c r="V146" s="135">
        <v>0</v>
      </c>
      <c r="W146" s="135">
        <v>55</v>
      </c>
      <c r="X146" s="135">
        <v>0</v>
      </c>
      <c r="Y146" s="135">
        <v>999</v>
      </c>
      <c r="Z146" s="137">
        <v>700</v>
      </c>
      <c r="AA146" s="137">
        <v>719</v>
      </c>
      <c r="AB146" s="137">
        <v>6</v>
      </c>
      <c r="AC146" s="137">
        <v>999999</v>
      </c>
      <c r="AD146" s="135">
        <v>0</v>
      </c>
      <c r="AE146" s="135">
        <v>75</v>
      </c>
      <c r="AF146" s="170">
        <v>0</v>
      </c>
      <c r="AG146" s="171">
        <v>1</v>
      </c>
      <c r="AH146" s="171">
        <v>1</v>
      </c>
      <c r="AI146" s="171">
        <v>1</v>
      </c>
      <c r="AJ146" s="171">
        <v>0</v>
      </c>
      <c r="AK146" s="171">
        <v>0</v>
      </c>
      <c r="AL146" s="171">
        <v>1</v>
      </c>
      <c r="AM146" s="171">
        <v>1</v>
      </c>
      <c r="AN146" s="171">
        <v>1</v>
      </c>
      <c r="AO146" s="171">
        <v>1</v>
      </c>
      <c r="AP146" s="171">
        <v>1</v>
      </c>
      <c r="AQ146" s="171">
        <v>1</v>
      </c>
      <c r="AR146" s="171">
        <v>1</v>
      </c>
      <c r="AS146" s="171">
        <v>1</v>
      </c>
      <c r="AT146" s="171">
        <v>1</v>
      </c>
      <c r="AU146" s="171">
        <f t="shared" si="41"/>
        <v>0</v>
      </c>
      <c r="AV146" s="171">
        <f t="shared" si="42"/>
        <v>1</v>
      </c>
      <c r="AW146" s="171">
        <f t="shared" si="43"/>
        <v>1</v>
      </c>
      <c r="AX146" s="171">
        <f t="shared" si="37"/>
        <v>1</v>
      </c>
      <c r="AY146" s="171">
        <f t="shared" si="44"/>
        <v>0</v>
      </c>
      <c r="AZ146" s="171">
        <f t="shared" si="45"/>
        <v>1</v>
      </c>
      <c r="BA146" s="172">
        <f t="shared" si="46"/>
        <v>1</v>
      </c>
      <c r="BB146" s="175">
        <f t="shared" si="47"/>
        <v>17</v>
      </c>
      <c r="BC146" s="176">
        <f t="shared" si="48"/>
        <v>16</v>
      </c>
      <c r="BD146" s="176">
        <f t="shared" si="49"/>
        <v>17</v>
      </c>
      <c r="BE146" s="240" t="str">
        <f t="shared" si="51"/>
        <v/>
      </c>
      <c r="BH146" s="198">
        <f>IF(AND(Input_Product=Elig!$C146,Elig_MatchAll_Ct&lt;22,$BC146=(Elig_MatchAll_Ct-1),AF146=0),C146,0)</f>
        <v>0</v>
      </c>
      <c r="BI146" s="199">
        <f>IF(AND(Input_Product=Elig!$C146,Elig_MatchAll_Ct&lt;22,$BC146=(Elig_MatchAll_Ct-1),AG146=0),D146,0)</f>
        <v>0</v>
      </c>
      <c r="BJ146" s="199">
        <f>IF(AND(Input_Product=Elig!$C146,Elig_MatchAll_Ct&lt;22,$BC146=(Elig_MatchAll_Ct-1),AH146=0),E146,0)</f>
        <v>0</v>
      </c>
      <c r="BK146" s="199">
        <f>IF(AND(Input_Product=Elig!$C146,Elig_MatchAll_Ct&lt;22,$BC146=(Elig_MatchAll_Ct-1),AI146=0),F146,0)</f>
        <v>0</v>
      </c>
      <c r="BL146" s="199">
        <f>IF(AND(Input_Product=Elig!$C146,Elig_MatchAll_Ct&lt;22,$BC146=(Elig_MatchAll_Ct-1),AJ146=0),G146,0)</f>
        <v>0</v>
      </c>
      <c r="BM146" s="199">
        <f>IF(AND(Input_Product=Elig!$C146,Elig_MatchAll_Ct&lt;22,$BC146=(Elig_MatchAll_Ct-1),AK146=0),H146,0)</f>
        <v>0</v>
      </c>
      <c r="BN146" s="199">
        <f>IF(AND(Input_Product=Elig!$C146,Elig_MatchAll_Ct&lt;22,$BC146=(Elig_MatchAll_Ct-1),AL146=0),I146,0)</f>
        <v>0</v>
      </c>
      <c r="BO146" s="199">
        <f>IF(AND(Input_Product=Elig!$C146,Elig_MatchAll_Ct&lt;22,$BC146=(Elig_MatchAll_Ct-1),AM146=0),J146,0)</f>
        <v>0</v>
      </c>
      <c r="BP146" s="199">
        <f>IF(AND(Input_Product=Elig!$C146,Elig_MatchAll_Ct&lt;22,$BC146=(Elig_MatchAll_Ct-1),AN146=0),K146,0)</f>
        <v>0</v>
      </c>
      <c r="BQ146" s="199">
        <f>IF(AND(Input_Product=Elig!$C146,Elig_MatchAll_Ct&lt;22,$BC146=(Elig_MatchAll_Ct-1),AP146=0),L146,0)</f>
        <v>0</v>
      </c>
      <c r="BR146" s="199">
        <f>IF(AND(Input_Product=Elig!$C146,Elig_MatchAll_Ct&lt;22,$BC146=(Elig_MatchAll_Ct-1),AO146=0),M146,0)</f>
        <v>0</v>
      </c>
      <c r="BS146" s="199">
        <f>IF(AND(Input_Product=Elig!$C146,Elig_MatchAll_Ct&lt;22,$BC146=(Elig_MatchAll_Ct-1),AQ146=0),N146,0)</f>
        <v>0</v>
      </c>
      <c r="BT146" s="199">
        <f>IF(AND(Input_Product=Elig!$C146,Elig_MatchAll_Ct&lt;22,$BC146=(Elig_MatchAll_Ct-1),AR146=0),O146,0)</f>
        <v>0</v>
      </c>
      <c r="BU146" s="199">
        <f>IF(AND(Input_Product=Elig!$C146,Elig_MatchAll_Ct&lt;22,$BC146=(Elig_MatchAll_Ct-1),AS146=0),P146,0)</f>
        <v>0</v>
      </c>
      <c r="BV146" s="200">
        <f>IF(AND(Input_Product=Elig!$C146,Elig_MatchAll_Ct&lt;22,$BC146=(Elig_MatchAll_Ct-1),AT146=0),Q146,0)</f>
        <v>0</v>
      </c>
      <c r="BW146" s="201">
        <f>IF(AND(Input_Product=Elig!$C146,Elig_MatchAll_Ct&lt;22,$BC146=(Elig_MatchAll_Ct-1),AU146=0),R146,0)</f>
        <v>0</v>
      </c>
      <c r="BX146" s="202">
        <f>IF(AND(Input_Product=Elig!$C146,Elig_MatchAll_Ct&lt;22,$BC146=(Elig_MatchAll_Ct-1),AU146=0),S146,0)</f>
        <v>0</v>
      </c>
      <c r="BY146" s="201">
        <f>IF(AND(Input_Product=Elig!$C146,Elig_MatchAll_Ct&lt;22,$BC146=(Elig_MatchAll_Ct-1),AV146=0),T146,0)</f>
        <v>0</v>
      </c>
      <c r="BZ146" s="202">
        <f>IF(AND(Input_Product=Elig!$C146,Elig_MatchAll_Ct&lt;22,$BC146=(Elig_MatchAll_Ct-1),AV146=0),U146,0)</f>
        <v>0</v>
      </c>
      <c r="CA146" s="201">
        <f>IF(AND(Input_Product=Elig!$C146,Elig_MatchAll_Ct&lt;22,$BC146=(Elig_MatchAll_Ct-1),AW146=0),V146,0)</f>
        <v>0</v>
      </c>
      <c r="CB146" s="202">
        <f>IF(AND(Input_Product=Elig!$C146,Elig_MatchAll_Ct&lt;22,$BC146=(Elig_MatchAll_Ct-1),AW146=0),W146,0)</f>
        <v>0</v>
      </c>
      <c r="CC146" s="201">
        <f>IF(AND(Input_Product=Elig!$C146,Elig_MatchAll_Ct&lt;22,$BC146=(Elig_MatchAll_Ct-1),AX146=0),X146,0)</f>
        <v>0</v>
      </c>
      <c r="CD146" s="202">
        <f>IF(AND(Input_Product=Elig!$C146,Elig_MatchAll_Ct&lt;22,$BC146=(Elig_MatchAll_Ct-1),AX146=0),Y146,0)</f>
        <v>0</v>
      </c>
      <c r="CE146" s="201">
        <f>IF(AND(Input_LTV&lt;=AE146,Input_Product=Elig!$C146,Elig_MatchAll_Ct&lt;22,$BC146=(Elig_MatchAll_Ct-1),AY146=0),Z146,0)</f>
        <v>0</v>
      </c>
      <c r="CF146" s="202">
        <f>IF(AND(Input_LTV&lt;=AE146,Input_Product=Elig!$C146,Elig_MatchAll_Ct&lt;22,$BC146=(Elig_MatchAll_Ct-1),AY146=0),AA146,0)</f>
        <v>0</v>
      </c>
      <c r="CG146" s="201">
        <f>IF(AND(Input_Product=Elig!$C146,Elig_MatchAll_Ct&lt;22,$BC146=(Elig_MatchAll_Ct-1),AZ146=0),AB146,0)</f>
        <v>0</v>
      </c>
      <c r="CH146" s="202">
        <f>IF(AND(Input_Product=Elig!$C146,Elig_MatchAll_Ct&lt;22,$BC146=(Elig_MatchAll_Ct-1),AZ146=0),AC146,0)</f>
        <v>0</v>
      </c>
      <c r="CI146" s="201">
        <f>IF(AND(Input_Product=Elig!$C146,Elig_MatchAll_Ct&lt;22,$BC146=(Elig_MatchAll_Ct-1),BA146=0),AD146,0)</f>
        <v>0</v>
      </c>
      <c r="CJ146" s="203">
        <f>IF(AND(Input_Product=Elig!$C146,Elig_MatchAll_Ct&lt;22,$BC146=(Elig_MatchAll_Ct-1),BA146=0),AE146,0)</f>
        <v>0</v>
      </c>
    </row>
    <row r="147" spans="2:88" ht="10.15" customHeight="1" x14ac:dyDescent="0.25">
      <c r="B147" s="1912" t="s">
        <v>895</v>
      </c>
      <c r="C147" s="134" t="str">
        <f t="shared" si="35"/>
        <v>NonQM OO</v>
      </c>
      <c r="D147" s="135" t="s">
        <v>3885</v>
      </c>
      <c r="E147" s="135" t="s">
        <v>167</v>
      </c>
      <c r="F147" s="135" t="s">
        <v>331</v>
      </c>
      <c r="G147" s="135" t="s">
        <v>304</v>
      </c>
      <c r="H147" s="135" t="s">
        <v>446</v>
      </c>
      <c r="I147" s="136" t="s">
        <v>16</v>
      </c>
      <c r="J147" s="136" t="s">
        <v>1311</v>
      </c>
      <c r="K147" s="136" t="s">
        <v>1631</v>
      </c>
      <c r="L147" s="221" t="s">
        <v>3920</v>
      </c>
      <c r="M147" s="135" t="s">
        <v>4203</v>
      </c>
      <c r="N147" s="135" t="s">
        <v>82</v>
      </c>
      <c r="O147" s="135" t="s">
        <v>310</v>
      </c>
      <c r="P147" s="135" t="s">
        <v>291</v>
      </c>
      <c r="Q147" s="135" t="s">
        <v>294</v>
      </c>
      <c r="R147" s="135">
        <v>1500000.01</v>
      </c>
      <c r="S147" s="135">
        <v>2000000</v>
      </c>
      <c r="T147" s="135">
        <v>0</v>
      </c>
      <c r="U147" s="135">
        <f t="shared" si="52"/>
        <v>2000000</v>
      </c>
      <c r="V147" s="135">
        <v>0</v>
      </c>
      <c r="W147" s="135">
        <v>55</v>
      </c>
      <c r="X147" s="135">
        <v>0</v>
      </c>
      <c r="Y147" s="135">
        <v>999</v>
      </c>
      <c r="Z147" s="137">
        <v>680</v>
      </c>
      <c r="AA147" s="137">
        <v>699</v>
      </c>
      <c r="AB147" s="137">
        <v>6</v>
      </c>
      <c r="AC147" s="137">
        <v>999999</v>
      </c>
      <c r="AD147" s="135">
        <v>0</v>
      </c>
      <c r="AE147" s="135">
        <v>70</v>
      </c>
      <c r="AF147" s="170">
        <v>0</v>
      </c>
      <c r="AG147" s="171">
        <v>1</v>
      </c>
      <c r="AH147" s="171">
        <v>1</v>
      </c>
      <c r="AI147" s="171">
        <v>1</v>
      </c>
      <c r="AJ147" s="171">
        <v>0</v>
      </c>
      <c r="AK147" s="171">
        <v>0</v>
      </c>
      <c r="AL147" s="171">
        <v>1</v>
      </c>
      <c r="AM147" s="171">
        <v>1</v>
      </c>
      <c r="AN147" s="171">
        <v>1</v>
      </c>
      <c r="AO147" s="171">
        <v>1</v>
      </c>
      <c r="AP147" s="171">
        <v>1</v>
      </c>
      <c r="AQ147" s="171">
        <v>1</v>
      </c>
      <c r="AR147" s="171">
        <v>1</v>
      </c>
      <c r="AS147" s="171">
        <v>1</v>
      </c>
      <c r="AT147" s="171">
        <v>1</v>
      </c>
      <c r="AU147" s="171">
        <f t="shared" si="41"/>
        <v>0</v>
      </c>
      <c r="AV147" s="171">
        <f t="shared" si="42"/>
        <v>1</v>
      </c>
      <c r="AW147" s="171">
        <f t="shared" si="43"/>
        <v>1</v>
      </c>
      <c r="AX147" s="171">
        <f t="shared" ref="AX147:AX218" si="53">IF(AND(Input_DSCR&gt;=Elig_DSCR_Min,Input_DSCR&lt;=Elig_DSCR_Max),1,0)</f>
        <v>1</v>
      </c>
      <c r="AY147" s="171">
        <f t="shared" si="44"/>
        <v>0</v>
      </c>
      <c r="AZ147" s="171">
        <f t="shared" si="45"/>
        <v>1</v>
      </c>
      <c r="BA147" s="172">
        <f t="shared" si="46"/>
        <v>1</v>
      </c>
      <c r="BB147" s="175">
        <f t="shared" si="47"/>
        <v>17</v>
      </c>
      <c r="BC147" s="176">
        <f t="shared" si="48"/>
        <v>16</v>
      </c>
      <c r="BD147" s="176">
        <f t="shared" si="49"/>
        <v>17</v>
      </c>
      <c r="BE147" s="240" t="str">
        <f t="shared" si="51"/>
        <v/>
      </c>
      <c r="BH147" s="198">
        <f>IF(AND(Input_Product=Elig!$C147,Elig_MatchAll_Ct&lt;22,$BC147=(Elig_MatchAll_Ct-1),AF147=0),C147,0)</f>
        <v>0</v>
      </c>
      <c r="BI147" s="199">
        <f>IF(AND(Input_Product=Elig!$C147,Elig_MatchAll_Ct&lt;22,$BC147=(Elig_MatchAll_Ct-1),AG147=0),D147,0)</f>
        <v>0</v>
      </c>
      <c r="BJ147" s="199">
        <f>IF(AND(Input_Product=Elig!$C147,Elig_MatchAll_Ct&lt;22,$BC147=(Elig_MatchAll_Ct-1),AH147=0),E147,0)</f>
        <v>0</v>
      </c>
      <c r="BK147" s="199">
        <f>IF(AND(Input_Product=Elig!$C147,Elig_MatchAll_Ct&lt;22,$BC147=(Elig_MatchAll_Ct-1),AI147=0),F147,0)</f>
        <v>0</v>
      </c>
      <c r="BL147" s="199">
        <f>IF(AND(Input_Product=Elig!$C147,Elig_MatchAll_Ct&lt;22,$BC147=(Elig_MatchAll_Ct-1),AJ147=0),G147,0)</f>
        <v>0</v>
      </c>
      <c r="BM147" s="199">
        <f>IF(AND(Input_Product=Elig!$C147,Elig_MatchAll_Ct&lt;22,$BC147=(Elig_MatchAll_Ct-1),AK147=0),H147,0)</f>
        <v>0</v>
      </c>
      <c r="BN147" s="199">
        <f>IF(AND(Input_Product=Elig!$C147,Elig_MatchAll_Ct&lt;22,$BC147=(Elig_MatchAll_Ct-1),AL147=0),I147,0)</f>
        <v>0</v>
      </c>
      <c r="BO147" s="199">
        <f>IF(AND(Input_Product=Elig!$C147,Elig_MatchAll_Ct&lt;22,$BC147=(Elig_MatchAll_Ct-1),AM147=0),J147,0)</f>
        <v>0</v>
      </c>
      <c r="BP147" s="199">
        <f>IF(AND(Input_Product=Elig!$C147,Elig_MatchAll_Ct&lt;22,$BC147=(Elig_MatchAll_Ct-1),AN147=0),K147,0)</f>
        <v>0</v>
      </c>
      <c r="BQ147" s="199">
        <f>IF(AND(Input_Product=Elig!$C147,Elig_MatchAll_Ct&lt;22,$BC147=(Elig_MatchAll_Ct-1),AP147=0),L147,0)</f>
        <v>0</v>
      </c>
      <c r="BR147" s="199">
        <f>IF(AND(Input_Product=Elig!$C147,Elig_MatchAll_Ct&lt;22,$BC147=(Elig_MatchAll_Ct-1),AO147=0),M147,0)</f>
        <v>0</v>
      </c>
      <c r="BS147" s="199">
        <f>IF(AND(Input_Product=Elig!$C147,Elig_MatchAll_Ct&lt;22,$BC147=(Elig_MatchAll_Ct-1),AQ147=0),N147,0)</f>
        <v>0</v>
      </c>
      <c r="BT147" s="199">
        <f>IF(AND(Input_Product=Elig!$C147,Elig_MatchAll_Ct&lt;22,$BC147=(Elig_MatchAll_Ct-1),AR147=0),O147,0)</f>
        <v>0</v>
      </c>
      <c r="BU147" s="199">
        <f>IF(AND(Input_Product=Elig!$C147,Elig_MatchAll_Ct&lt;22,$BC147=(Elig_MatchAll_Ct-1),AS147=0),P147,0)</f>
        <v>0</v>
      </c>
      <c r="BV147" s="200">
        <f>IF(AND(Input_Product=Elig!$C147,Elig_MatchAll_Ct&lt;22,$BC147=(Elig_MatchAll_Ct-1),AT147=0),Q147,0)</f>
        <v>0</v>
      </c>
      <c r="BW147" s="201">
        <f>IF(AND(Input_Product=Elig!$C147,Elig_MatchAll_Ct&lt;22,$BC147=(Elig_MatchAll_Ct-1),AU147=0),R147,0)</f>
        <v>0</v>
      </c>
      <c r="BX147" s="202">
        <f>IF(AND(Input_Product=Elig!$C147,Elig_MatchAll_Ct&lt;22,$BC147=(Elig_MatchAll_Ct-1),AU147=0),S147,0)</f>
        <v>0</v>
      </c>
      <c r="BY147" s="201">
        <f>IF(AND(Input_Product=Elig!$C147,Elig_MatchAll_Ct&lt;22,$BC147=(Elig_MatchAll_Ct-1),AV147=0),T147,0)</f>
        <v>0</v>
      </c>
      <c r="BZ147" s="202">
        <f>IF(AND(Input_Product=Elig!$C147,Elig_MatchAll_Ct&lt;22,$BC147=(Elig_MatchAll_Ct-1),AV147=0),U147,0)</f>
        <v>0</v>
      </c>
      <c r="CA147" s="201">
        <f>IF(AND(Input_Product=Elig!$C147,Elig_MatchAll_Ct&lt;22,$BC147=(Elig_MatchAll_Ct-1),AW147=0),V147,0)</f>
        <v>0</v>
      </c>
      <c r="CB147" s="202">
        <f>IF(AND(Input_Product=Elig!$C147,Elig_MatchAll_Ct&lt;22,$BC147=(Elig_MatchAll_Ct-1),AW147=0),W147,0)</f>
        <v>0</v>
      </c>
      <c r="CC147" s="201">
        <f>IF(AND(Input_Product=Elig!$C147,Elig_MatchAll_Ct&lt;22,$BC147=(Elig_MatchAll_Ct-1),AX147=0),X147,0)</f>
        <v>0</v>
      </c>
      <c r="CD147" s="202">
        <f>IF(AND(Input_Product=Elig!$C147,Elig_MatchAll_Ct&lt;22,$BC147=(Elig_MatchAll_Ct-1),AX147=0),Y147,0)</f>
        <v>0</v>
      </c>
      <c r="CE147" s="201">
        <f>IF(AND(Input_LTV&lt;=AE147,Input_Product=Elig!$C147,Elig_MatchAll_Ct&lt;22,$BC147=(Elig_MatchAll_Ct-1),AY147=0),Z147,0)</f>
        <v>0</v>
      </c>
      <c r="CF147" s="202">
        <f>IF(AND(Input_LTV&lt;=AE147,Input_Product=Elig!$C147,Elig_MatchAll_Ct&lt;22,$BC147=(Elig_MatchAll_Ct-1),AY147=0),AA147,0)</f>
        <v>0</v>
      </c>
      <c r="CG147" s="201">
        <f>IF(AND(Input_Product=Elig!$C147,Elig_MatchAll_Ct&lt;22,$BC147=(Elig_MatchAll_Ct-1),AZ147=0),AB147,0)</f>
        <v>0</v>
      </c>
      <c r="CH147" s="202">
        <f>IF(AND(Input_Product=Elig!$C147,Elig_MatchAll_Ct&lt;22,$BC147=(Elig_MatchAll_Ct-1),AZ147=0),AC147,0)</f>
        <v>0</v>
      </c>
      <c r="CI147" s="201">
        <f>IF(AND(Input_Product=Elig!$C147,Elig_MatchAll_Ct&lt;22,$BC147=(Elig_MatchAll_Ct-1),BA147=0),AD147,0)</f>
        <v>0</v>
      </c>
      <c r="CJ147" s="203">
        <f>IF(AND(Input_Product=Elig!$C147,Elig_MatchAll_Ct&lt;22,$BC147=(Elig_MatchAll_Ct-1),BA147=0),AE147,0)</f>
        <v>0</v>
      </c>
    </row>
    <row r="148" spans="2:88" ht="10.15" customHeight="1" x14ac:dyDescent="0.25">
      <c r="B148" s="1912" t="s">
        <v>896</v>
      </c>
      <c r="C148" s="134" t="str">
        <f t="shared" si="35"/>
        <v>NonQM OO</v>
      </c>
      <c r="D148" s="135" t="s">
        <v>3885</v>
      </c>
      <c r="E148" s="135" t="s">
        <v>167</v>
      </c>
      <c r="F148" s="135" t="s">
        <v>331</v>
      </c>
      <c r="G148" s="135" t="s">
        <v>304</v>
      </c>
      <c r="H148" s="135" t="s">
        <v>446</v>
      </c>
      <c r="I148" s="135" t="s">
        <v>16</v>
      </c>
      <c r="J148" s="135" t="s">
        <v>1311</v>
      </c>
      <c r="K148" s="135" t="s">
        <v>1631</v>
      </c>
      <c r="L148" s="221" t="s">
        <v>3920</v>
      </c>
      <c r="M148" s="135" t="s">
        <v>4203</v>
      </c>
      <c r="N148" s="135" t="s">
        <v>82</v>
      </c>
      <c r="O148" s="135" t="s">
        <v>310</v>
      </c>
      <c r="P148" s="135" t="s">
        <v>291</v>
      </c>
      <c r="Q148" s="135" t="s">
        <v>294</v>
      </c>
      <c r="R148" s="135">
        <v>1500000.01</v>
      </c>
      <c r="S148" s="135">
        <v>2000000</v>
      </c>
      <c r="T148" s="135">
        <v>0</v>
      </c>
      <c r="U148" s="135">
        <f t="shared" si="52"/>
        <v>2000000</v>
      </c>
      <c r="V148" s="135">
        <v>0</v>
      </c>
      <c r="W148" s="135">
        <v>55</v>
      </c>
      <c r="X148" s="135">
        <v>0</v>
      </c>
      <c r="Y148" s="135">
        <v>999</v>
      </c>
      <c r="Z148" s="137">
        <v>660</v>
      </c>
      <c r="AA148" s="137">
        <v>679</v>
      </c>
      <c r="AB148" s="137">
        <v>6</v>
      </c>
      <c r="AC148" s="137">
        <v>999999</v>
      </c>
      <c r="AD148" s="135">
        <v>0</v>
      </c>
      <c r="AE148" s="135">
        <v>65</v>
      </c>
      <c r="AF148" s="170">
        <v>0</v>
      </c>
      <c r="AG148" s="171">
        <v>1</v>
      </c>
      <c r="AH148" s="171">
        <v>1</v>
      </c>
      <c r="AI148" s="171">
        <v>1</v>
      </c>
      <c r="AJ148" s="171">
        <v>0</v>
      </c>
      <c r="AK148" s="171">
        <v>0</v>
      </c>
      <c r="AL148" s="171">
        <v>1</v>
      </c>
      <c r="AM148" s="171">
        <v>1</v>
      </c>
      <c r="AN148" s="171">
        <v>1</v>
      </c>
      <c r="AO148" s="171">
        <v>1</v>
      </c>
      <c r="AP148" s="171">
        <v>1</v>
      </c>
      <c r="AQ148" s="171">
        <v>1</v>
      </c>
      <c r="AR148" s="171">
        <v>1</v>
      </c>
      <c r="AS148" s="171">
        <v>1</v>
      </c>
      <c r="AT148" s="171">
        <v>1</v>
      </c>
      <c r="AU148" s="171">
        <f t="shared" si="41"/>
        <v>0</v>
      </c>
      <c r="AV148" s="171">
        <f t="shared" si="42"/>
        <v>1</v>
      </c>
      <c r="AW148" s="171">
        <f t="shared" si="43"/>
        <v>1</v>
      </c>
      <c r="AX148" s="171">
        <f t="shared" si="53"/>
        <v>1</v>
      </c>
      <c r="AY148" s="171">
        <f t="shared" si="44"/>
        <v>0</v>
      </c>
      <c r="AZ148" s="171">
        <f t="shared" si="45"/>
        <v>1</v>
      </c>
      <c r="BA148" s="172">
        <f t="shared" si="46"/>
        <v>1</v>
      </c>
      <c r="BB148" s="175">
        <f t="shared" si="47"/>
        <v>17</v>
      </c>
      <c r="BC148" s="176">
        <f t="shared" si="48"/>
        <v>16</v>
      </c>
      <c r="BD148" s="176">
        <f t="shared" si="49"/>
        <v>17</v>
      </c>
      <c r="BE148" s="240" t="str">
        <f t="shared" si="51"/>
        <v/>
      </c>
      <c r="BH148" s="198">
        <f>IF(AND(Input_Product=Elig!$C148,Elig_MatchAll_Ct&lt;22,$BC148=(Elig_MatchAll_Ct-1),AF148=0),C148,0)</f>
        <v>0</v>
      </c>
      <c r="BI148" s="199">
        <f>IF(AND(Input_Product=Elig!$C148,Elig_MatchAll_Ct&lt;22,$BC148=(Elig_MatchAll_Ct-1),AG148=0),D148,0)</f>
        <v>0</v>
      </c>
      <c r="BJ148" s="199">
        <f>IF(AND(Input_Product=Elig!$C148,Elig_MatchAll_Ct&lt;22,$BC148=(Elig_MatchAll_Ct-1),AH148=0),E148,0)</f>
        <v>0</v>
      </c>
      <c r="BK148" s="199">
        <f>IF(AND(Input_Product=Elig!$C148,Elig_MatchAll_Ct&lt;22,$BC148=(Elig_MatchAll_Ct-1),AI148=0),F148,0)</f>
        <v>0</v>
      </c>
      <c r="BL148" s="199">
        <f>IF(AND(Input_Product=Elig!$C148,Elig_MatchAll_Ct&lt;22,$BC148=(Elig_MatchAll_Ct-1),AJ148=0),G148,0)</f>
        <v>0</v>
      </c>
      <c r="BM148" s="199">
        <f>IF(AND(Input_Product=Elig!$C148,Elig_MatchAll_Ct&lt;22,$BC148=(Elig_MatchAll_Ct-1),AK148=0),H148,0)</f>
        <v>0</v>
      </c>
      <c r="BN148" s="199">
        <f>IF(AND(Input_Product=Elig!$C148,Elig_MatchAll_Ct&lt;22,$BC148=(Elig_MatchAll_Ct-1),AL148=0),I148,0)</f>
        <v>0</v>
      </c>
      <c r="BO148" s="199">
        <f>IF(AND(Input_Product=Elig!$C148,Elig_MatchAll_Ct&lt;22,$BC148=(Elig_MatchAll_Ct-1),AM148=0),J148,0)</f>
        <v>0</v>
      </c>
      <c r="BP148" s="199">
        <f>IF(AND(Input_Product=Elig!$C148,Elig_MatchAll_Ct&lt;22,$BC148=(Elig_MatchAll_Ct-1),AN148=0),K148,0)</f>
        <v>0</v>
      </c>
      <c r="BQ148" s="199">
        <f>IF(AND(Input_Product=Elig!$C148,Elig_MatchAll_Ct&lt;22,$BC148=(Elig_MatchAll_Ct-1),AP148=0),L148,0)</f>
        <v>0</v>
      </c>
      <c r="BR148" s="199">
        <f>IF(AND(Input_Product=Elig!$C148,Elig_MatchAll_Ct&lt;22,$BC148=(Elig_MatchAll_Ct-1),AO148=0),M148,0)</f>
        <v>0</v>
      </c>
      <c r="BS148" s="199">
        <f>IF(AND(Input_Product=Elig!$C148,Elig_MatchAll_Ct&lt;22,$BC148=(Elig_MatchAll_Ct-1),AQ148=0),N148,0)</f>
        <v>0</v>
      </c>
      <c r="BT148" s="199">
        <f>IF(AND(Input_Product=Elig!$C148,Elig_MatchAll_Ct&lt;22,$BC148=(Elig_MatchAll_Ct-1),AR148=0),O148,0)</f>
        <v>0</v>
      </c>
      <c r="BU148" s="199">
        <f>IF(AND(Input_Product=Elig!$C148,Elig_MatchAll_Ct&lt;22,$BC148=(Elig_MatchAll_Ct-1),AS148=0),P148,0)</f>
        <v>0</v>
      </c>
      <c r="BV148" s="200">
        <f>IF(AND(Input_Product=Elig!$C148,Elig_MatchAll_Ct&lt;22,$BC148=(Elig_MatchAll_Ct-1),AT148=0),Q148,0)</f>
        <v>0</v>
      </c>
      <c r="BW148" s="201">
        <f>IF(AND(Input_Product=Elig!$C148,Elig_MatchAll_Ct&lt;22,$BC148=(Elig_MatchAll_Ct-1),AU148=0),R148,0)</f>
        <v>0</v>
      </c>
      <c r="BX148" s="202">
        <f>IF(AND(Input_Product=Elig!$C148,Elig_MatchAll_Ct&lt;22,$BC148=(Elig_MatchAll_Ct-1),AU148=0),S148,0)</f>
        <v>0</v>
      </c>
      <c r="BY148" s="201">
        <f>IF(AND(Input_Product=Elig!$C148,Elig_MatchAll_Ct&lt;22,$BC148=(Elig_MatchAll_Ct-1),AV148=0),T148,0)</f>
        <v>0</v>
      </c>
      <c r="BZ148" s="202">
        <f>IF(AND(Input_Product=Elig!$C148,Elig_MatchAll_Ct&lt;22,$BC148=(Elig_MatchAll_Ct-1),AV148=0),U148,0)</f>
        <v>0</v>
      </c>
      <c r="CA148" s="201">
        <f>IF(AND(Input_Product=Elig!$C148,Elig_MatchAll_Ct&lt;22,$BC148=(Elig_MatchAll_Ct-1),AW148=0),V148,0)</f>
        <v>0</v>
      </c>
      <c r="CB148" s="202">
        <f>IF(AND(Input_Product=Elig!$C148,Elig_MatchAll_Ct&lt;22,$BC148=(Elig_MatchAll_Ct-1),AW148=0),W148,0)</f>
        <v>0</v>
      </c>
      <c r="CC148" s="201">
        <f>IF(AND(Input_Product=Elig!$C148,Elig_MatchAll_Ct&lt;22,$BC148=(Elig_MatchAll_Ct-1),AX148=0),X148,0)</f>
        <v>0</v>
      </c>
      <c r="CD148" s="202">
        <f>IF(AND(Input_Product=Elig!$C148,Elig_MatchAll_Ct&lt;22,$BC148=(Elig_MatchAll_Ct-1),AX148=0),Y148,0)</f>
        <v>0</v>
      </c>
      <c r="CE148" s="201">
        <f>IF(AND(Input_LTV&lt;=AE148,Input_Product=Elig!$C148,Elig_MatchAll_Ct&lt;22,$BC148=(Elig_MatchAll_Ct-1),AY148=0),Z148,0)</f>
        <v>0</v>
      </c>
      <c r="CF148" s="202">
        <f>IF(AND(Input_LTV&lt;=AE148,Input_Product=Elig!$C148,Elig_MatchAll_Ct&lt;22,$BC148=(Elig_MatchAll_Ct-1),AY148=0),AA148,0)</f>
        <v>0</v>
      </c>
      <c r="CG148" s="201">
        <f>IF(AND(Input_Product=Elig!$C148,Elig_MatchAll_Ct&lt;22,$BC148=(Elig_MatchAll_Ct-1),AZ148=0),AB148,0)</f>
        <v>0</v>
      </c>
      <c r="CH148" s="202">
        <f>IF(AND(Input_Product=Elig!$C148,Elig_MatchAll_Ct&lt;22,$BC148=(Elig_MatchAll_Ct-1),AZ148=0),AC148,0)</f>
        <v>0</v>
      </c>
      <c r="CI148" s="201">
        <f>IF(AND(Input_Product=Elig!$C148,Elig_MatchAll_Ct&lt;22,$BC148=(Elig_MatchAll_Ct-1),BA148=0),AD148,0)</f>
        <v>0</v>
      </c>
      <c r="CJ148" s="203">
        <f>IF(AND(Input_Product=Elig!$C148,Elig_MatchAll_Ct&lt;22,$BC148=(Elig_MatchAll_Ct-1),BA148=0),AE148,0)</f>
        <v>0</v>
      </c>
    </row>
    <row r="149" spans="2:88" ht="10.15" customHeight="1" x14ac:dyDescent="0.25">
      <c r="B149" s="1912" t="s">
        <v>897</v>
      </c>
      <c r="C149" s="134" t="str">
        <f t="shared" si="35"/>
        <v>NonQM OO</v>
      </c>
      <c r="D149" s="135" t="s">
        <v>3885</v>
      </c>
      <c r="E149" s="135" t="s">
        <v>167</v>
      </c>
      <c r="F149" s="135" t="s">
        <v>331</v>
      </c>
      <c r="G149" s="135" t="s">
        <v>304</v>
      </c>
      <c r="H149" s="135" t="s">
        <v>446</v>
      </c>
      <c r="I149" s="135" t="s">
        <v>16</v>
      </c>
      <c r="J149" s="135" t="s">
        <v>1311</v>
      </c>
      <c r="K149" s="135" t="s">
        <v>1631</v>
      </c>
      <c r="L149" s="221" t="s">
        <v>3920</v>
      </c>
      <c r="M149" s="135" t="s">
        <v>4203</v>
      </c>
      <c r="N149" s="135" t="s">
        <v>82</v>
      </c>
      <c r="O149" s="135" t="s">
        <v>310</v>
      </c>
      <c r="P149" s="135" t="s">
        <v>291</v>
      </c>
      <c r="Q149" s="135" t="s">
        <v>294</v>
      </c>
      <c r="R149" s="135">
        <v>1500000.01</v>
      </c>
      <c r="S149" s="135">
        <v>2000000</v>
      </c>
      <c r="T149" s="135">
        <v>0</v>
      </c>
      <c r="U149" s="135">
        <f t="shared" si="52"/>
        <v>2000000</v>
      </c>
      <c r="V149" s="135">
        <v>0</v>
      </c>
      <c r="W149" s="135">
        <v>55</v>
      </c>
      <c r="X149" s="135">
        <v>0</v>
      </c>
      <c r="Y149" s="135">
        <v>999</v>
      </c>
      <c r="Z149" s="137">
        <v>640</v>
      </c>
      <c r="AA149" s="137">
        <v>659</v>
      </c>
      <c r="AB149" s="137">
        <v>6</v>
      </c>
      <c r="AC149" s="137">
        <v>999999</v>
      </c>
      <c r="AD149" s="135">
        <v>0</v>
      </c>
      <c r="AE149" s="135">
        <v>-999</v>
      </c>
      <c r="AF149" s="170">
        <v>0</v>
      </c>
      <c r="AG149" s="171">
        <v>1</v>
      </c>
      <c r="AH149" s="171">
        <v>1</v>
      </c>
      <c r="AI149" s="171">
        <v>1</v>
      </c>
      <c r="AJ149" s="171">
        <v>0</v>
      </c>
      <c r="AK149" s="171">
        <v>0</v>
      </c>
      <c r="AL149" s="171">
        <v>1</v>
      </c>
      <c r="AM149" s="171">
        <v>1</v>
      </c>
      <c r="AN149" s="171">
        <v>1</v>
      </c>
      <c r="AO149" s="171">
        <v>1</v>
      </c>
      <c r="AP149" s="171">
        <v>1</v>
      </c>
      <c r="AQ149" s="171">
        <v>1</v>
      </c>
      <c r="AR149" s="171">
        <v>1</v>
      </c>
      <c r="AS149" s="171">
        <v>1</v>
      </c>
      <c r="AT149" s="171">
        <v>1</v>
      </c>
      <c r="AU149" s="171">
        <f t="shared" si="41"/>
        <v>0</v>
      </c>
      <c r="AV149" s="171">
        <f t="shared" si="42"/>
        <v>1</v>
      </c>
      <c r="AW149" s="171">
        <f t="shared" si="43"/>
        <v>1</v>
      </c>
      <c r="AX149" s="171">
        <f t="shared" si="53"/>
        <v>1</v>
      </c>
      <c r="AY149" s="171">
        <f t="shared" si="44"/>
        <v>0</v>
      </c>
      <c r="AZ149" s="171">
        <f t="shared" si="45"/>
        <v>1</v>
      </c>
      <c r="BA149" s="172">
        <f t="shared" si="46"/>
        <v>0</v>
      </c>
      <c r="BB149" s="175">
        <f t="shared" si="47"/>
        <v>16</v>
      </c>
      <c r="BC149" s="176">
        <f t="shared" si="48"/>
        <v>16</v>
      </c>
      <c r="BD149" s="176">
        <f t="shared" si="49"/>
        <v>16</v>
      </c>
      <c r="BE149" s="240" t="str">
        <f t="shared" si="51"/>
        <v/>
      </c>
      <c r="BH149" s="198">
        <f>IF(AND(Input_Product=Elig!$C149,Elig_MatchAll_Ct&lt;22,$BC149=(Elig_MatchAll_Ct-1),AF149=0),C149,0)</f>
        <v>0</v>
      </c>
      <c r="BI149" s="199">
        <f>IF(AND(Input_Product=Elig!$C149,Elig_MatchAll_Ct&lt;22,$BC149=(Elig_MatchAll_Ct-1),AG149=0),D149,0)</f>
        <v>0</v>
      </c>
      <c r="BJ149" s="199">
        <f>IF(AND(Input_Product=Elig!$C149,Elig_MatchAll_Ct&lt;22,$BC149=(Elig_MatchAll_Ct-1),AH149=0),E149,0)</f>
        <v>0</v>
      </c>
      <c r="BK149" s="199">
        <f>IF(AND(Input_Product=Elig!$C149,Elig_MatchAll_Ct&lt;22,$BC149=(Elig_MatchAll_Ct-1),AI149=0),F149,0)</f>
        <v>0</v>
      </c>
      <c r="BL149" s="199">
        <f>IF(AND(Input_Product=Elig!$C149,Elig_MatchAll_Ct&lt;22,$BC149=(Elig_MatchAll_Ct-1),AJ149=0),G149,0)</f>
        <v>0</v>
      </c>
      <c r="BM149" s="199">
        <f>IF(AND(Input_Product=Elig!$C149,Elig_MatchAll_Ct&lt;22,$BC149=(Elig_MatchAll_Ct-1),AK149=0),H149,0)</f>
        <v>0</v>
      </c>
      <c r="BN149" s="199">
        <f>IF(AND(Input_Product=Elig!$C149,Elig_MatchAll_Ct&lt;22,$BC149=(Elig_MatchAll_Ct-1),AL149=0),I149,0)</f>
        <v>0</v>
      </c>
      <c r="BO149" s="199">
        <f>IF(AND(Input_Product=Elig!$C149,Elig_MatchAll_Ct&lt;22,$BC149=(Elig_MatchAll_Ct-1),AM149=0),J149,0)</f>
        <v>0</v>
      </c>
      <c r="BP149" s="199">
        <f>IF(AND(Input_Product=Elig!$C149,Elig_MatchAll_Ct&lt;22,$BC149=(Elig_MatchAll_Ct-1),AN149=0),K149,0)</f>
        <v>0</v>
      </c>
      <c r="BQ149" s="199">
        <f>IF(AND(Input_Product=Elig!$C149,Elig_MatchAll_Ct&lt;22,$BC149=(Elig_MatchAll_Ct-1),AP149=0),L149,0)</f>
        <v>0</v>
      </c>
      <c r="BR149" s="199">
        <f>IF(AND(Input_Product=Elig!$C149,Elig_MatchAll_Ct&lt;22,$BC149=(Elig_MatchAll_Ct-1),AO149=0),M149,0)</f>
        <v>0</v>
      </c>
      <c r="BS149" s="199">
        <f>IF(AND(Input_Product=Elig!$C149,Elig_MatchAll_Ct&lt;22,$BC149=(Elig_MatchAll_Ct-1),AQ149=0),N149,0)</f>
        <v>0</v>
      </c>
      <c r="BT149" s="199">
        <f>IF(AND(Input_Product=Elig!$C149,Elig_MatchAll_Ct&lt;22,$BC149=(Elig_MatchAll_Ct-1),AR149=0),O149,0)</f>
        <v>0</v>
      </c>
      <c r="BU149" s="199">
        <f>IF(AND(Input_Product=Elig!$C149,Elig_MatchAll_Ct&lt;22,$BC149=(Elig_MatchAll_Ct-1),AS149=0),P149,0)</f>
        <v>0</v>
      </c>
      <c r="BV149" s="200">
        <f>IF(AND(Input_Product=Elig!$C149,Elig_MatchAll_Ct&lt;22,$BC149=(Elig_MatchAll_Ct-1),AT149=0),Q149,0)</f>
        <v>0</v>
      </c>
      <c r="BW149" s="201">
        <f>IF(AND(Input_Product=Elig!$C149,Elig_MatchAll_Ct&lt;22,$BC149=(Elig_MatchAll_Ct-1),AU149=0),R149,0)</f>
        <v>0</v>
      </c>
      <c r="BX149" s="202">
        <f>IF(AND(Input_Product=Elig!$C149,Elig_MatchAll_Ct&lt;22,$BC149=(Elig_MatchAll_Ct-1),AU149=0),S149,0)</f>
        <v>0</v>
      </c>
      <c r="BY149" s="201">
        <f>IF(AND(Input_Product=Elig!$C149,Elig_MatchAll_Ct&lt;22,$BC149=(Elig_MatchAll_Ct-1),AV149=0),T149,0)</f>
        <v>0</v>
      </c>
      <c r="BZ149" s="202">
        <f>IF(AND(Input_Product=Elig!$C149,Elig_MatchAll_Ct&lt;22,$BC149=(Elig_MatchAll_Ct-1),AV149=0),U149,0)</f>
        <v>0</v>
      </c>
      <c r="CA149" s="201">
        <f>IF(AND(Input_Product=Elig!$C149,Elig_MatchAll_Ct&lt;22,$BC149=(Elig_MatchAll_Ct-1),AW149=0),V149,0)</f>
        <v>0</v>
      </c>
      <c r="CB149" s="202">
        <f>IF(AND(Input_Product=Elig!$C149,Elig_MatchAll_Ct&lt;22,$BC149=(Elig_MatchAll_Ct-1),AW149=0),W149,0)</f>
        <v>0</v>
      </c>
      <c r="CC149" s="201">
        <f>IF(AND(Input_Product=Elig!$C149,Elig_MatchAll_Ct&lt;22,$BC149=(Elig_MatchAll_Ct-1),AX149=0),X149,0)</f>
        <v>0</v>
      </c>
      <c r="CD149" s="202">
        <f>IF(AND(Input_Product=Elig!$C149,Elig_MatchAll_Ct&lt;22,$BC149=(Elig_MatchAll_Ct-1),AX149=0),Y149,0)</f>
        <v>0</v>
      </c>
      <c r="CE149" s="201">
        <f>IF(AND(Input_LTV&lt;=AE149,Input_Product=Elig!$C149,Elig_MatchAll_Ct&lt;22,$BC149=(Elig_MatchAll_Ct-1),AY149=0),Z149,0)</f>
        <v>0</v>
      </c>
      <c r="CF149" s="202">
        <f>IF(AND(Input_LTV&lt;=AE149,Input_Product=Elig!$C149,Elig_MatchAll_Ct&lt;22,$BC149=(Elig_MatchAll_Ct-1),AY149=0),AA149,0)</f>
        <v>0</v>
      </c>
      <c r="CG149" s="201">
        <f>IF(AND(Input_Product=Elig!$C149,Elig_MatchAll_Ct&lt;22,$BC149=(Elig_MatchAll_Ct-1),AZ149=0),AB149,0)</f>
        <v>0</v>
      </c>
      <c r="CH149" s="202">
        <f>IF(AND(Input_Product=Elig!$C149,Elig_MatchAll_Ct&lt;22,$BC149=(Elig_MatchAll_Ct-1),AZ149=0),AC149,0)</f>
        <v>0</v>
      </c>
      <c r="CI149" s="201">
        <f>IF(AND(Input_Product=Elig!$C149,Elig_MatchAll_Ct&lt;22,$BC149=(Elig_MatchAll_Ct-1),BA149=0),AD149,0)</f>
        <v>0</v>
      </c>
      <c r="CJ149" s="203">
        <f>IF(AND(Input_Product=Elig!$C149,Elig_MatchAll_Ct&lt;22,$BC149=(Elig_MatchAll_Ct-1),BA149=0),AE149,0)</f>
        <v>0</v>
      </c>
    </row>
    <row r="150" spans="2:88" ht="10.15" customHeight="1" x14ac:dyDescent="0.25">
      <c r="B150" s="1912" t="s">
        <v>898</v>
      </c>
      <c r="C150" s="138" t="str">
        <f t="shared" si="35"/>
        <v>NonQM OO</v>
      </c>
      <c r="D150" s="139" t="s">
        <v>3885</v>
      </c>
      <c r="E150" s="139" t="s">
        <v>167</v>
      </c>
      <c r="F150" s="139" t="s">
        <v>331</v>
      </c>
      <c r="G150" s="139" t="s">
        <v>304</v>
      </c>
      <c r="H150" s="139" t="s">
        <v>446</v>
      </c>
      <c r="I150" s="139" t="s">
        <v>16</v>
      </c>
      <c r="J150" s="139" t="s">
        <v>1311</v>
      </c>
      <c r="K150" s="139" t="s">
        <v>1631</v>
      </c>
      <c r="L150" s="310" t="s">
        <v>3920</v>
      </c>
      <c r="M150" s="139" t="s">
        <v>4203</v>
      </c>
      <c r="N150" s="139" t="s">
        <v>82</v>
      </c>
      <c r="O150" s="139" t="s">
        <v>310</v>
      </c>
      <c r="P150" s="139" t="s">
        <v>291</v>
      </c>
      <c r="Q150" s="139" t="s">
        <v>294</v>
      </c>
      <c r="R150" s="139">
        <v>1500000.01</v>
      </c>
      <c r="S150" s="139">
        <v>2000000</v>
      </c>
      <c r="T150" s="139">
        <v>0</v>
      </c>
      <c r="U150" s="139">
        <f t="shared" si="52"/>
        <v>2000000</v>
      </c>
      <c r="V150" s="139">
        <v>0</v>
      </c>
      <c r="W150" s="139">
        <v>55</v>
      </c>
      <c r="X150" s="139">
        <v>0</v>
      </c>
      <c r="Y150" s="139">
        <v>999</v>
      </c>
      <c r="Z150" s="140">
        <v>620</v>
      </c>
      <c r="AA150" s="140">
        <v>639</v>
      </c>
      <c r="AB150" s="140">
        <v>6</v>
      </c>
      <c r="AC150" s="140">
        <v>999999</v>
      </c>
      <c r="AD150" s="139">
        <v>0</v>
      </c>
      <c r="AE150" s="139">
        <v>-999</v>
      </c>
      <c r="AF150" s="170">
        <v>0</v>
      </c>
      <c r="AG150" s="171">
        <v>1</v>
      </c>
      <c r="AH150" s="171">
        <v>1</v>
      </c>
      <c r="AI150" s="171">
        <v>1</v>
      </c>
      <c r="AJ150" s="171">
        <v>0</v>
      </c>
      <c r="AK150" s="171">
        <v>0</v>
      </c>
      <c r="AL150" s="171">
        <v>1</v>
      </c>
      <c r="AM150" s="171">
        <v>1</v>
      </c>
      <c r="AN150" s="171">
        <v>1</v>
      </c>
      <c r="AO150" s="171">
        <v>1</v>
      </c>
      <c r="AP150" s="171">
        <v>1</v>
      </c>
      <c r="AQ150" s="171">
        <v>1</v>
      </c>
      <c r="AR150" s="171">
        <v>1</v>
      </c>
      <c r="AS150" s="171">
        <v>1</v>
      </c>
      <c r="AT150" s="171">
        <v>1</v>
      </c>
      <c r="AU150" s="171">
        <f t="shared" si="41"/>
        <v>0</v>
      </c>
      <c r="AV150" s="171">
        <f t="shared" si="42"/>
        <v>1</v>
      </c>
      <c r="AW150" s="171">
        <f t="shared" si="43"/>
        <v>1</v>
      </c>
      <c r="AX150" s="171">
        <f t="shared" si="53"/>
        <v>1</v>
      </c>
      <c r="AY150" s="171">
        <f t="shared" si="44"/>
        <v>0</v>
      </c>
      <c r="AZ150" s="171">
        <f t="shared" si="45"/>
        <v>1</v>
      </c>
      <c r="BA150" s="172">
        <f t="shared" si="46"/>
        <v>0</v>
      </c>
      <c r="BB150" s="175">
        <f t="shared" si="47"/>
        <v>16</v>
      </c>
      <c r="BC150" s="176">
        <f t="shared" si="48"/>
        <v>16</v>
      </c>
      <c r="BD150" s="176">
        <f t="shared" si="49"/>
        <v>16</v>
      </c>
      <c r="BE150" s="240" t="str">
        <f t="shared" si="51"/>
        <v/>
      </c>
      <c r="BH150" s="204">
        <f>IF(AND(Input_Product=Elig!$C150,Elig_MatchAll_Ct&lt;22,$BC150=(Elig_MatchAll_Ct-1),AF150=0),C150,0)</f>
        <v>0</v>
      </c>
      <c r="BI150" s="205">
        <f>IF(AND(Input_Product=Elig!$C150,Elig_MatchAll_Ct&lt;22,$BC150=(Elig_MatchAll_Ct-1),AG150=0),D150,0)</f>
        <v>0</v>
      </c>
      <c r="BJ150" s="205">
        <f>IF(AND(Input_Product=Elig!$C150,Elig_MatchAll_Ct&lt;22,$BC150=(Elig_MatchAll_Ct-1),AH150=0),E150,0)</f>
        <v>0</v>
      </c>
      <c r="BK150" s="205">
        <f>IF(AND(Input_Product=Elig!$C150,Elig_MatchAll_Ct&lt;22,$BC150=(Elig_MatchAll_Ct-1),AI150=0),F150,0)</f>
        <v>0</v>
      </c>
      <c r="BL150" s="205">
        <f>IF(AND(Input_Product=Elig!$C150,Elig_MatchAll_Ct&lt;22,$BC150=(Elig_MatchAll_Ct-1),AJ150=0),G150,0)</f>
        <v>0</v>
      </c>
      <c r="BM150" s="205">
        <f>IF(AND(Input_Product=Elig!$C150,Elig_MatchAll_Ct&lt;22,$BC150=(Elig_MatchAll_Ct-1),AK150=0),H150,0)</f>
        <v>0</v>
      </c>
      <c r="BN150" s="205">
        <f>IF(AND(Input_Product=Elig!$C150,Elig_MatchAll_Ct&lt;22,$BC150=(Elig_MatchAll_Ct-1),AL150=0),I150,0)</f>
        <v>0</v>
      </c>
      <c r="BO150" s="205">
        <f>IF(AND(Input_Product=Elig!$C150,Elig_MatchAll_Ct&lt;22,$BC150=(Elig_MatchAll_Ct-1),AM150=0),J150,0)</f>
        <v>0</v>
      </c>
      <c r="BP150" s="205">
        <f>IF(AND(Input_Product=Elig!$C150,Elig_MatchAll_Ct&lt;22,$BC150=(Elig_MatchAll_Ct-1),AN150=0),K150,0)</f>
        <v>0</v>
      </c>
      <c r="BQ150" s="205">
        <f>IF(AND(Input_Product=Elig!$C150,Elig_MatchAll_Ct&lt;22,$BC150=(Elig_MatchAll_Ct-1),AP150=0),L150,0)</f>
        <v>0</v>
      </c>
      <c r="BR150" s="205">
        <f>IF(AND(Input_Product=Elig!$C150,Elig_MatchAll_Ct&lt;22,$BC150=(Elig_MatchAll_Ct-1),AO150=0),M150,0)</f>
        <v>0</v>
      </c>
      <c r="BS150" s="205">
        <f>IF(AND(Input_Product=Elig!$C150,Elig_MatchAll_Ct&lt;22,$BC150=(Elig_MatchAll_Ct-1),AQ150=0),N150,0)</f>
        <v>0</v>
      </c>
      <c r="BT150" s="205">
        <f>IF(AND(Input_Product=Elig!$C150,Elig_MatchAll_Ct&lt;22,$BC150=(Elig_MatchAll_Ct-1),AR150=0),O150,0)</f>
        <v>0</v>
      </c>
      <c r="BU150" s="205">
        <f>IF(AND(Input_Product=Elig!$C150,Elig_MatchAll_Ct&lt;22,$BC150=(Elig_MatchAll_Ct-1),AS150=0),P150,0)</f>
        <v>0</v>
      </c>
      <c r="BV150" s="206">
        <f>IF(AND(Input_Product=Elig!$C150,Elig_MatchAll_Ct&lt;22,$BC150=(Elig_MatchAll_Ct-1),AT150=0),Q150,0)</f>
        <v>0</v>
      </c>
      <c r="BW150" s="207">
        <f>IF(AND(Input_Product=Elig!$C150,Elig_MatchAll_Ct&lt;22,$BC150=(Elig_MatchAll_Ct-1),AU150=0),R150,0)</f>
        <v>0</v>
      </c>
      <c r="BX150" s="208">
        <f>IF(AND(Input_Product=Elig!$C150,Elig_MatchAll_Ct&lt;22,$BC150=(Elig_MatchAll_Ct-1),AU150=0),S150,0)</f>
        <v>0</v>
      </c>
      <c r="BY150" s="207">
        <f>IF(AND(Input_Product=Elig!$C150,Elig_MatchAll_Ct&lt;22,$BC150=(Elig_MatchAll_Ct-1),AV150=0),T150,0)</f>
        <v>0</v>
      </c>
      <c r="BZ150" s="208">
        <f>IF(AND(Input_Product=Elig!$C150,Elig_MatchAll_Ct&lt;22,$BC150=(Elig_MatchAll_Ct-1),AV150=0),U150,0)</f>
        <v>0</v>
      </c>
      <c r="CA150" s="207">
        <f>IF(AND(Input_Product=Elig!$C150,Elig_MatchAll_Ct&lt;22,$BC150=(Elig_MatchAll_Ct-1),AW150=0),V150,0)</f>
        <v>0</v>
      </c>
      <c r="CB150" s="208">
        <f>IF(AND(Input_Product=Elig!$C150,Elig_MatchAll_Ct&lt;22,$BC150=(Elig_MatchAll_Ct-1),AW150=0),W150,0)</f>
        <v>0</v>
      </c>
      <c r="CC150" s="207">
        <f>IF(AND(Input_Product=Elig!$C150,Elig_MatchAll_Ct&lt;22,$BC150=(Elig_MatchAll_Ct-1),AX150=0),X150,0)</f>
        <v>0</v>
      </c>
      <c r="CD150" s="208">
        <f>IF(AND(Input_Product=Elig!$C150,Elig_MatchAll_Ct&lt;22,$BC150=(Elig_MatchAll_Ct-1),AX150=0),Y150,0)</f>
        <v>0</v>
      </c>
      <c r="CE150" s="207">
        <f>IF(AND(Input_LTV&lt;=AE150,Input_Product=Elig!$C150,Elig_MatchAll_Ct&lt;22,$BC150=(Elig_MatchAll_Ct-1),AY150=0),Z150,0)</f>
        <v>0</v>
      </c>
      <c r="CF150" s="208">
        <f>IF(AND(Input_LTV&lt;=AE150,Input_Product=Elig!$C150,Elig_MatchAll_Ct&lt;22,$BC150=(Elig_MatchAll_Ct-1),AY150=0),AA150,0)</f>
        <v>0</v>
      </c>
      <c r="CG150" s="207">
        <f>IF(AND(Input_Product=Elig!$C150,Elig_MatchAll_Ct&lt;22,$BC150=(Elig_MatchAll_Ct-1),AZ150=0),AB150,0)</f>
        <v>0</v>
      </c>
      <c r="CH150" s="208">
        <f>IF(AND(Input_Product=Elig!$C150,Elig_MatchAll_Ct&lt;22,$BC150=(Elig_MatchAll_Ct-1),AZ150=0),AC150,0)</f>
        <v>0</v>
      </c>
      <c r="CI150" s="207">
        <f>IF(AND(Input_Product=Elig!$C150,Elig_MatchAll_Ct&lt;22,$BC150=(Elig_MatchAll_Ct-1),BA150=0),AD150,0)</f>
        <v>0</v>
      </c>
      <c r="CJ150" s="209">
        <f>IF(AND(Input_Product=Elig!$C150,Elig_MatchAll_Ct&lt;22,$BC150=(Elig_MatchAll_Ct-1),BA150=0),AE150,0)</f>
        <v>0</v>
      </c>
    </row>
    <row r="151" spans="2:88" ht="10.15" customHeight="1" x14ac:dyDescent="0.25">
      <c r="B151" s="1912" t="s">
        <v>899</v>
      </c>
      <c r="C151" s="141" t="str">
        <f t="shared" si="35"/>
        <v>NonQM OO</v>
      </c>
      <c r="D151" s="142" t="s">
        <v>3885</v>
      </c>
      <c r="E151" s="143" t="s">
        <v>167</v>
      </c>
      <c r="F151" s="143" t="s">
        <v>331</v>
      </c>
      <c r="G151" s="143" t="s">
        <v>468</v>
      </c>
      <c r="H151" s="143" t="s">
        <v>136</v>
      </c>
      <c r="I151" s="142" t="s">
        <v>274</v>
      </c>
      <c r="J151" s="142" t="s">
        <v>1311</v>
      </c>
      <c r="K151" s="142" t="s">
        <v>1631</v>
      </c>
      <c r="L151" s="2131" t="s">
        <v>3920</v>
      </c>
      <c r="M151" s="143" t="s">
        <v>4203</v>
      </c>
      <c r="N151" s="143" t="s">
        <v>82</v>
      </c>
      <c r="O151" s="143" t="s">
        <v>310</v>
      </c>
      <c r="P151" s="143" t="s">
        <v>291</v>
      </c>
      <c r="Q151" s="143" t="s">
        <v>294</v>
      </c>
      <c r="R151" s="142">
        <v>1500000.01</v>
      </c>
      <c r="S151" s="142">
        <v>2000000</v>
      </c>
      <c r="T151" s="142">
        <v>0</v>
      </c>
      <c r="U151" s="142">
        <v>0</v>
      </c>
      <c r="V151" s="142">
        <v>0</v>
      </c>
      <c r="W151" s="142">
        <v>55</v>
      </c>
      <c r="X151" s="142">
        <v>0</v>
      </c>
      <c r="Y151" s="142">
        <v>999</v>
      </c>
      <c r="Z151" s="144">
        <v>720</v>
      </c>
      <c r="AA151" s="144">
        <v>999</v>
      </c>
      <c r="AB151" s="144">
        <v>6</v>
      </c>
      <c r="AC151" s="144">
        <v>999999</v>
      </c>
      <c r="AD151" s="142">
        <v>0</v>
      </c>
      <c r="AE151" s="320">
        <v>90</v>
      </c>
      <c r="AF151" s="170">
        <v>0</v>
      </c>
      <c r="AG151" s="171">
        <v>1</v>
      </c>
      <c r="AH151" s="171">
        <v>1</v>
      </c>
      <c r="AI151" s="171">
        <v>1</v>
      </c>
      <c r="AJ151" s="171">
        <v>0</v>
      </c>
      <c r="AK151" s="171">
        <v>1</v>
      </c>
      <c r="AL151" s="171">
        <v>0</v>
      </c>
      <c r="AM151" s="171">
        <v>1</v>
      </c>
      <c r="AN151" s="171">
        <v>1</v>
      </c>
      <c r="AO151" s="171">
        <v>1</v>
      </c>
      <c r="AP151" s="171">
        <v>1</v>
      </c>
      <c r="AQ151" s="171">
        <v>1</v>
      </c>
      <c r="AR151" s="171">
        <v>1</v>
      </c>
      <c r="AS151" s="171">
        <v>1</v>
      </c>
      <c r="AT151" s="171">
        <v>1</v>
      </c>
      <c r="AU151" s="171">
        <f t="shared" si="41"/>
        <v>0</v>
      </c>
      <c r="AV151" s="171">
        <f t="shared" si="42"/>
        <v>0</v>
      </c>
      <c r="AW151" s="171">
        <f t="shared" si="43"/>
        <v>1</v>
      </c>
      <c r="AX151" s="171">
        <f t="shared" si="53"/>
        <v>1</v>
      </c>
      <c r="AY151" s="171">
        <f t="shared" si="44"/>
        <v>1</v>
      </c>
      <c r="AZ151" s="171">
        <f t="shared" si="45"/>
        <v>1</v>
      </c>
      <c r="BA151" s="172">
        <f t="shared" si="46"/>
        <v>1</v>
      </c>
      <c r="BB151" s="175">
        <f t="shared" si="47"/>
        <v>17</v>
      </c>
      <c r="BC151" s="176">
        <f t="shared" si="48"/>
        <v>16</v>
      </c>
      <c r="BD151" s="176">
        <f t="shared" si="49"/>
        <v>17</v>
      </c>
      <c r="BE151" s="240" t="str">
        <f t="shared" si="51"/>
        <v/>
      </c>
      <c r="BH151" s="192">
        <f>IF(AND(Input_Product=Elig!$C151,Elig_MatchAll_Ct&lt;22,$BC151=(Elig_MatchAll_Ct-1),AF151=0),C151,0)</f>
        <v>0</v>
      </c>
      <c r="BI151" s="193">
        <f>IF(AND(Input_Product=Elig!$C151,Elig_MatchAll_Ct&lt;22,$BC151=(Elig_MatchAll_Ct-1),AG151=0),D151,0)</f>
        <v>0</v>
      </c>
      <c r="BJ151" s="193">
        <f>IF(AND(Input_Product=Elig!$C151,Elig_MatchAll_Ct&lt;22,$BC151=(Elig_MatchAll_Ct-1),AH151=0),E151,0)</f>
        <v>0</v>
      </c>
      <c r="BK151" s="193">
        <f>IF(AND(Input_Product=Elig!$C151,Elig_MatchAll_Ct&lt;22,$BC151=(Elig_MatchAll_Ct-1),AI151=0),F151,0)</f>
        <v>0</v>
      </c>
      <c r="BL151" s="193">
        <f>IF(AND(Input_Product=Elig!$C151,Elig_MatchAll_Ct&lt;22,$BC151=(Elig_MatchAll_Ct-1),AJ151=0),G151,0)</f>
        <v>0</v>
      </c>
      <c r="BM151" s="193">
        <f>IF(AND(Input_Product=Elig!$C151,Elig_MatchAll_Ct&lt;22,$BC151=(Elig_MatchAll_Ct-1),AK151=0),H151,0)</f>
        <v>0</v>
      </c>
      <c r="BN151" s="193">
        <f>IF(AND(Input_Product=Elig!$C151,Elig_MatchAll_Ct&lt;22,$BC151=(Elig_MatchAll_Ct-1),AL151=0),I151,0)</f>
        <v>0</v>
      </c>
      <c r="BO151" s="193">
        <f>IF(AND(Input_Product=Elig!$C151,Elig_MatchAll_Ct&lt;22,$BC151=(Elig_MatchAll_Ct-1),AM151=0),J151,0)</f>
        <v>0</v>
      </c>
      <c r="BP151" s="193">
        <f>IF(AND(Input_Product=Elig!$C151,Elig_MatchAll_Ct&lt;22,$BC151=(Elig_MatchAll_Ct-1),AN151=0),K151,0)</f>
        <v>0</v>
      </c>
      <c r="BQ151" s="193">
        <f>IF(AND(Input_Product=Elig!$C151,Elig_MatchAll_Ct&lt;22,$BC151=(Elig_MatchAll_Ct-1),AP151=0),L151,0)</f>
        <v>0</v>
      </c>
      <c r="BR151" s="193">
        <f>IF(AND(Input_Product=Elig!$C151,Elig_MatchAll_Ct&lt;22,$BC151=(Elig_MatchAll_Ct-1),AO151=0),M151,0)</f>
        <v>0</v>
      </c>
      <c r="BS151" s="193">
        <f>IF(AND(Input_Product=Elig!$C151,Elig_MatchAll_Ct&lt;22,$BC151=(Elig_MatchAll_Ct-1),AQ151=0),N151,0)</f>
        <v>0</v>
      </c>
      <c r="BT151" s="193">
        <f>IF(AND(Input_Product=Elig!$C151,Elig_MatchAll_Ct&lt;22,$BC151=(Elig_MatchAll_Ct-1),AR151=0),O151,0)</f>
        <v>0</v>
      </c>
      <c r="BU151" s="193">
        <f>IF(AND(Input_Product=Elig!$C151,Elig_MatchAll_Ct&lt;22,$BC151=(Elig_MatchAll_Ct-1),AS151=0),P151,0)</f>
        <v>0</v>
      </c>
      <c r="BV151" s="194">
        <f>IF(AND(Input_Product=Elig!$C151,Elig_MatchAll_Ct&lt;22,$BC151=(Elig_MatchAll_Ct-1),AT151=0),Q151,0)</f>
        <v>0</v>
      </c>
      <c r="BW151" s="195">
        <f>IF(AND(Input_Product=Elig!$C151,Elig_MatchAll_Ct&lt;22,$BC151=(Elig_MatchAll_Ct-1),AU151=0),R151,0)</f>
        <v>0</v>
      </c>
      <c r="BX151" s="196">
        <f>IF(AND(Input_Product=Elig!$C151,Elig_MatchAll_Ct&lt;22,$BC151=(Elig_MatchAll_Ct-1),AU151=0),S151,0)</f>
        <v>0</v>
      </c>
      <c r="BY151" s="195">
        <f>IF(AND(Input_Product=Elig!$C151,Elig_MatchAll_Ct&lt;22,$BC151=(Elig_MatchAll_Ct-1),AV151=0),T151,0)</f>
        <v>0</v>
      </c>
      <c r="BZ151" s="196">
        <f>IF(AND(Input_Product=Elig!$C151,Elig_MatchAll_Ct&lt;22,$BC151=(Elig_MatchAll_Ct-1),AV151=0),U151,0)</f>
        <v>0</v>
      </c>
      <c r="CA151" s="195">
        <f>IF(AND(Input_Product=Elig!$C151,Elig_MatchAll_Ct&lt;22,$BC151=(Elig_MatchAll_Ct-1),AW151=0),V151,0)</f>
        <v>0</v>
      </c>
      <c r="CB151" s="196">
        <f>IF(AND(Input_Product=Elig!$C151,Elig_MatchAll_Ct&lt;22,$BC151=(Elig_MatchAll_Ct-1),AW151=0),W151,0)</f>
        <v>0</v>
      </c>
      <c r="CC151" s="195">
        <f>IF(AND(Input_Product=Elig!$C151,Elig_MatchAll_Ct&lt;22,$BC151=(Elig_MatchAll_Ct-1),AX151=0),X151,0)</f>
        <v>0</v>
      </c>
      <c r="CD151" s="196">
        <f>IF(AND(Input_Product=Elig!$C151,Elig_MatchAll_Ct&lt;22,$BC151=(Elig_MatchAll_Ct-1),AX151=0),Y151,0)</f>
        <v>0</v>
      </c>
      <c r="CE151" s="195">
        <f>IF(AND(Input_LTV&lt;=AE151,Input_Product=Elig!$C151,Elig_MatchAll_Ct&lt;22,$BC151=(Elig_MatchAll_Ct-1),AY151=0),Z151,0)</f>
        <v>0</v>
      </c>
      <c r="CF151" s="196">
        <f>IF(AND(Input_LTV&lt;=AE151,Input_Product=Elig!$C151,Elig_MatchAll_Ct&lt;22,$BC151=(Elig_MatchAll_Ct-1),AY151=0),AA151,0)</f>
        <v>0</v>
      </c>
      <c r="CG151" s="195">
        <f>IF(AND(Input_Product=Elig!$C151,Elig_MatchAll_Ct&lt;22,$BC151=(Elig_MatchAll_Ct-1),AZ151=0),AB151,0)</f>
        <v>0</v>
      </c>
      <c r="CH151" s="196">
        <f>IF(AND(Input_Product=Elig!$C151,Elig_MatchAll_Ct&lt;22,$BC151=(Elig_MatchAll_Ct-1),AZ151=0),AC151,0)</f>
        <v>0</v>
      </c>
      <c r="CI151" s="195">
        <f>IF(AND(Input_Product=Elig!$C151,Elig_MatchAll_Ct&lt;22,$BC151=(Elig_MatchAll_Ct-1),BA151=0),AD151,0)</f>
        <v>0</v>
      </c>
      <c r="CJ151" s="197">
        <f>IF(AND(Input_Product=Elig!$C151,Elig_MatchAll_Ct&lt;22,$BC151=(Elig_MatchAll_Ct-1),BA151=0),AE151,0)</f>
        <v>0</v>
      </c>
    </row>
    <row r="152" spans="2:88" ht="10.15" customHeight="1" x14ac:dyDescent="0.25">
      <c r="B152" s="1912" t="s">
        <v>900</v>
      </c>
      <c r="C152" s="134" t="str">
        <f t="shared" si="35"/>
        <v>NonQM OO</v>
      </c>
      <c r="D152" s="135" t="s">
        <v>3885</v>
      </c>
      <c r="E152" s="135" t="s">
        <v>167</v>
      </c>
      <c r="F152" s="135" t="s">
        <v>331</v>
      </c>
      <c r="G152" s="135" t="s">
        <v>468</v>
      </c>
      <c r="H152" s="135" t="s">
        <v>136</v>
      </c>
      <c r="I152" s="136" t="s">
        <v>274</v>
      </c>
      <c r="J152" s="136" t="s">
        <v>1311</v>
      </c>
      <c r="K152" s="136" t="s">
        <v>1631</v>
      </c>
      <c r="L152" s="221" t="s">
        <v>3920</v>
      </c>
      <c r="M152" s="135" t="s">
        <v>4203</v>
      </c>
      <c r="N152" s="135" t="s">
        <v>82</v>
      </c>
      <c r="O152" s="135" t="s">
        <v>310</v>
      </c>
      <c r="P152" s="135" t="s">
        <v>291</v>
      </c>
      <c r="Q152" s="135" t="s">
        <v>294</v>
      </c>
      <c r="R152" s="135">
        <v>1500000.01</v>
      </c>
      <c r="S152" s="135">
        <v>2000000</v>
      </c>
      <c r="T152" s="135">
        <v>0</v>
      </c>
      <c r="U152" s="135">
        <v>0</v>
      </c>
      <c r="V152" s="135">
        <v>0</v>
      </c>
      <c r="W152" s="135">
        <v>55</v>
      </c>
      <c r="X152" s="135">
        <v>0</v>
      </c>
      <c r="Y152" s="135">
        <v>999</v>
      </c>
      <c r="Z152" s="137">
        <v>700</v>
      </c>
      <c r="AA152" s="137">
        <v>719</v>
      </c>
      <c r="AB152" s="137">
        <v>6</v>
      </c>
      <c r="AC152" s="137">
        <v>999999</v>
      </c>
      <c r="AD152" s="135">
        <v>0</v>
      </c>
      <c r="AE152" s="221">
        <v>85</v>
      </c>
      <c r="AF152" s="170">
        <v>0</v>
      </c>
      <c r="AG152" s="171">
        <v>1</v>
      </c>
      <c r="AH152" s="171">
        <v>1</v>
      </c>
      <c r="AI152" s="171">
        <v>1</v>
      </c>
      <c r="AJ152" s="171">
        <v>0</v>
      </c>
      <c r="AK152" s="171">
        <v>1</v>
      </c>
      <c r="AL152" s="171">
        <v>0</v>
      </c>
      <c r="AM152" s="171">
        <v>1</v>
      </c>
      <c r="AN152" s="171">
        <v>1</v>
      </c>
      <c r="AO152" s="171">
        <v>1</v>
      </c>
      <c r="AP152" s="171">
        <v>1</v>
      </c>
      <c r="AQ152" s="171">
        <v>1</v>
      </c>
      <c r="AR152" s="171">
        <v>1</v>
      </c>
      <c r="AS152" s="171">
        <v>1</v>
      </c>
      <c r="AT152" s="171">
        <v>1</v>
      </c>
      <c r="AU152" s="171">
        <f t="shared" si="41"/>
        <v>0</v>
      </c>
      <c r="AV152" s="171">
        <f t="shared" si="42"/>
        <v>0</v>
      </c>
      <c r="AW152" s="171">
        <f t="shared" si="43"/>
        <v>1</v>
      </c>
      <c r="AX152" s="171">
        <f t="shared" si="53"/>
        <v>1</v>
      </c>
      <c r="AY152" s="171">
        <f t="shared" si="44"/>
        <v>0</v>
      </c>
      <c r="AZ152" s="171">
        <f t="shared" si="45"/>
        <v>1</v>
      </c>
      <c r="BA152" s="172">
        <f t="shared" si="46"/>
        <v>1</v>
      </c>
      <c r="BB152" s="175">
        <f t="shared" si="47"/>
        <v>16</v>
      </c>
      <c r="BC152" s="176">
        <f t="shared" si="48"/>
        <v>15</v>
      </c>
      <c r="BD152" s="176">
        <f t="shared" si="49"/>
        <v>16</v>
      </c>
      <c r="BE152" s="240" t="str">
        <f t="shared" si="51"/>
        <v/>
      </c>
      <c r="BH152" s="198">
        <f>IF(AND(Input_Product=Elig!$C152,Elig_MatchAll_Ct&lt;22,$BC152=(Elig_MatchAll_Ct-1),AF152=0),C152,0)</f>
        <v>0</v>
      </c>
      <c r="BI152" s="199">
        <f>IF(AND(Input_Product=Elig!$C152,Elig_MatchAll_Ct&lt;22,$BC152=(Elig_MatchAll_Ct-1),AG152=0),D152,0)</f>
        <v>0</v>
      </c>
      <c r="BJ152" s="199">
        <f>IF(AND(Input_Product=Elig!$C152,Elig_MatchAll_Ct&lt;22,$BC152=(Elig_MatchAll_Ct-1),AH152=0),E152,0)</f>
        <v>0</v>
      </c>
      <c r="BK152" s="199">
        <f>IF(AND(Input_Product=Elig!$C152,Elig_MatchAll_Ct&lt;22,$BC152=(Elig_MatchAll_Ct-1),AI152=0),F152,0)</f>
        <v>0</v>
      </c>
      <c r="BL152" s="199">
        <f>IF(AND(Input_Product=Elig!$C152,Elig_MatchAll_Ct&lt;22,$BC152=(Elig_MatchAll_Ct-1),AJ152=0),G152,0)</f>
        <v>0</v>
      </c>
      <c r="BM152" s="199">
        <f>IF(AND(Input_Product=Elig!$C152,Elig_MatchAll_Ct&lt;22,$BC152=(Elig_MatchAll_Ct-1),AK152=0),H152,0)</f>
        <v>0</v>
      </c>
      <c r="BN152" s="199">
        <f>IF(AND(Input_Product=Elig!$C152,Elig_MatchAll_Ct&lt;22,$BC152=(Elig_MatchAll_Ct-1),AL152=0),I152,0)</f>
        <v>0</v>
      </c>
      <c r="BO152" s="199">
        <f>IF(AND(Input_Product=Elig!$C152,Elig_MatchAll_Ct&lt;22,$BC152=(Elig_MatchAll_Ct-1),AM152=0),J152,0)</f>
        <v>0</v>
      </c>
      <c r="BP152" s="199">
        <f>IF(AND(Input_Product=Elig!$C152,Elig_MatchAll_Ct&lt;22,$BC152=(Elig_MatchAll_Ct-1),AN152=0),K152,0)</f>
        <v>0</v>
      </c>
      <c r="BQ152" s="199">
        <f>IF(AND(Input_Product=Elig!$C152,Elig_MatchAll_Ct&lt;22,$BC152=(Elig_MatchAll_Ct-1),AP152=0),L152,0)</f>
        <v>0</v>
      </c>
      <c r="BR152" s="199">
        <f>IF(AND(Input_Product=Elig!$C152,Elig_MatchAll_Ct&lt;22,$BC152=(Elig_MatchAll_Ct-1),AO152=0),M152,0)</f>
        <v>0</v>
      </c>
      <c r="BS152" s="199">
        <f>IF(AND(Input_Product=Elig!$C152,Elig_MatchAll_Ct&lt;22,$BC152=(Elig_MatchAll_Ct-1),AQ152=0),N152,0)</f>
        <v>0</v>
      </c>
      <c r="BT152" s="199">
        <f>IF(AND(Input_Product=Elig!$C152,Elig_MatchAll_Ct&lt;22,$BC152=(Elig_MatchAll_Ct-1),AR152=0),O152,0)</f>
        <v>0</v>
      </c>
      <c r="BU152" s="199">
        <f>IF(AND(Input_Product=Elig!$C152,Elig_MatchAll_Ct&lt;22,$BC152=(Elig_MatchAll_Ct-1),AS152=0),P152,0)</f>
        <v>0</v>
      </c>
      <c r="BV152" s="200">
        <f>IF(AND(Input_Product=Elig!$C152,Elig_MatchAll_Ct&lt;22,$BC152=(Elig_MatchAll_Ct-1),AT152=0),Q152,0)</f>
        <v>0</v>
      </c>
      <c r="BW152" s="201">
        <f>IF(AND(Input_Product=Elig!$C152,Elig_MatchAll_Ct&lt;22,$BC152=(Elig_MatchAll_Ct-1),AU152=0),R152,0)</f>
        <v>0</v>
      </c>
      <c r="BX152" s="202">
        <f>IF(AND(Input_Product=Elig!$C152,Elig_MatchAll_Ct&lt;22,$BC152=(Elig_MatchAll_Ct-1),AU152=0),S152,0)</f>
        <v>0</v>
      </c>
      <c r="BY152" s="201">
        <f>IF(AND(Input_Product=Elig!$C152,Elig_MatchAll_Ct&lt;22,$BC152=(Elig_MatchAll_Ct-1),AV152=0),T152,0)</f>
        <v>0</v>
      </c>
      <c r="BZ152" s="202">
        <f>IF(AND(Input_Product=Elig!$C152,Elig_MatchAll_Ct&lt;22,$BC152=(Elig_MatchAll_Ct-1),AV152=0),U152,0)</f>
        <v>0</v>
      </c>
      <c r="CA152" s="201">
        <f>IF(AND(Input_Product=Elig!$C152,Elig_MatchAll_Ct&lt;22,$BC152=(Elig_MatchAll_Ct-1),AW152=0),V152,0)</f>
        <v>0</v>
      </c>
      <c r="CB152" s="202">
        <f>IF(AND(Input_Product=Elig!$C152,Elig_MatchAll_Ct&lt;22,$BC152=(Elig_MatchAll_Ct-1),AW152=0),W152,0)</f>
        <v>0</v>
      </c>
      <c r="CC152" s="201">
        <f>IF(AND(Input_Product=Elig!$C152,Elig_MatchAll_Ct&lt;22,$BC152=(Elig_MatchAll_Ct-1),AX152=0),X152,0)</f>
        <v>0</v>
      </c>
      <c r="CD152" s="202">
        <f>IF(AND(Input_Product=Elig!$C152,Elig_MatchAll_Ct&lt;22,$BC152=(Elig_MatchAll_Ct-1),AX152=0),Y152,0)</f>
        <v>0</v>
      </c>
      <c r="CE152" s="201">
        <f>IF(AND(Input_LTV&lt;=AE152,Input_Product=Elig!$C152,Elig_MatchAll_Ct&lt;22,$BC152=(Elig_MatchAll_Ct-1),AY152=0),Z152,0)</f>
        <v>0</v>
      </c>
      <c r="CF152" s="202">
        <f>IF(AND(Input_LTV&lt;=AE152,Input_Product=Elig!$C152,Elig_MatchAll_Ct&lt;22,$BC152=(Elig_MatchAll_Ct-1),AY152=0),AA152,0)</f>
        <v>0</v>
      </c>
      <c r="CG152" s="201">
        <f>IF(AND(Input_Product=Elig!$C152,Elig_MatchAll_Ct&lt;22,$BC152=(Elig_MatchAll_Ct-1),AZ152=0),AB152,0)</f>
        <v>0</v>
      </c>
      <c r="CH152" s="202">
        <f>IF(AND(Input_Product=Elig!$C152,Elig_MatchAll_Ct&lt;22,$BC152=(Elig_MatchAll_Ct-1),AZ152=0),AC152,0)</f>
        <v>0</v>
      </c>
      <c r="CI152" s="201">
        <f>IF(AND(Input_Product=Elig!$C152,Elig_MatchAll_Ct&lt;22,$BC152=(Elig_MatchAll_Ct-1),BA152=0),AD152,0)</f>
        <v>0</v>
      </c>
      <c r="CJ152" s="203">
        <f>IF(AND(Input_Product=Elig!$C152,Elig_MatchAll_Ct&lt;22,$BC152=(Elig_MatchAll_Ct-1),BA152=0),AE152,0)</f>
        <v>0</v>
      </c>
    </row>
    <row r="153" spans="2:88" ht="10.15" customHeight="1" x14ac:dyDescent="0.25">
      <c r="B153" s="1912" t="s">
        <v>901</v>
      </c>
      <c r="C153" s="134" t="str">
        <f t="shared" si="35"/>
        <v>NonQM OO</v>
      </c>
      <c r="D153" s="135" t="s">
        <v>3885</v>
      </c>
      <c r="E153" s="135" t="s">
        <v>167</v>
      </c>
      <c r="F153" s="135" t="s">
        <v>331</v>
      </c>
      <c r="G153" s="135" t="s">
        <v>468</v>
      </c>
      <c r="H153" s="135" t="s">
        <v>136</v>
      </c>
      <c r="I153" s="136" t="s">
        <v>274</v>
      </c>
      <c r="J153" s="136" t="s">
        <v>1311</v>
      </c>
      <c r="K153" s="136" t="s">
        <v>1631</v>
      </c>
      <c r="L153" s="221" t="s">
        <v>3920</v>
      </c>
      <c r="M153" s="135" t="s">
        <v>4203</v>
      </c>
      <c r="N153" s="135" t="s">
        <v>82</v>
      </c>
      <c r="O153" s="135" t="s">
        <v>310</v>
      </c>
      <c r="P153" s="135" t="s">
        <v>291</v>
      </c>
      <c r="Q153" s="135" t="s">
        <v>294</v>
      </c>
      <c r="R153" s="135">
        <v>1500000.01</v>
      </c>
      <c r="S153" s="135">
        <v>2000000</v>
      </c>
      <c r="T153" s="135">
        <v>0</v>
      </c>
      <c r="U153" s="135">
        <v>0</v>
      </c>
      <c r="V153" s="135">
        <v>0</v>
      </c>
      <c r="W153" s="135">
        <v>55</v>
      </c>
      <c r="X153" s="135">
        <v>0</v>
      </c>
      <c r="Y153" s="135">
        <v>999</v>
      </c>
      <c r="Z153" s="137">
        <v>680</v>
      </c>
      <c r="AA153" s="137">
        <v>699</v>
      </c>
      <c r="AB153" s="137">
        <v>6</v>
      </c>
      <c r="AC153" s="137">
        <v>999999</v>
      </c>
      <c r="AD153" s="135">
        <v>0</v>
      </c>
      <c r="AE153" s="221">
        <v>80</v>
      </c>
      <c r="AF153" s="170">
        <v>0</v>
      </c>
      <c r="AG153" s="171">
        <v>1</v>
      </c>
      <c r="AH153" s="171">
        <v>1</v>
      </c>
      <c r="AI153" s="171">
        <v>1</v>
      </c>
      <c r="AJ153" s="171">
        <v>0</v>
      </c>
      <c r="AK153" s="171">
        <v>1</v>
      </c>
      <c r="AL153" s="171">
        <v>0</v>
      </c>
      <c r="AM153" s="171">
        <v>1</v>
      </c>
      <c r="AN153" s="171">
        <v>1</v>
      </c>
      <c r="AO153" s="171">
        <v>1</v>
      </c>
      <c r="AP153" s="171">
        <v>1</v>
      </c>
      <c r="AQ153" s="171">
        <v>1</v>
      </c>
      <c r="AR153" s="171">
        <v>1</v>
      </c>
      <c r="AS153" s="171">
        <v>1</v>
      </c>
      <c r="AT153" s="171">
        <v>1</v>
      </c>
      <c r="AU153" s="171">
        <f t="shared" si="41"/>
        <v>0</v>
      </c>
      <c r="AV153" s="171">
        <f t="shared" si="42"/>
        <v>0</v>
      </c>
      <c r="AW153" s="171">
        <f t="shared" si="43"/>
        <v>1</v>
      </c>
      <c r="AX153" s="171">
        <f t="shared" si="53"/>
        <v>1</v>
      </c>
      <c r="AY153" s="171">
        <f t="shared" si="44"/>
        <v>0</v>
      </c>
      <c r="AZ153" s="171">
        <f t="shared" si="45"/>
        <v>1</v>
      </c>
      <c r="BA153" s="172">
        <f t="shared" si="46"/>
        <v>1</v>
      </c>
      <c r="BB153" s="175">
        <f t="shared" si="47"/>
        <v>16</v>
      </c>
      <c r="BC153" s="176">
        <f t="shared" si="48"/>
        <v>15</v>
      </c>
      <c r="BD153" s="176">
        <f t="shared" si="49"/>
        <v>16</v>
      </c>
      <c r="BE153" s="240" t="str">
        <f t="shared" si="51"/>
        <v/>
      </c>
      <c r="BH153" s="198">
        <f>IF(AND(Input_Product=Elig!$C153,Elig_MatchAll_Ct&lt;22,$BC153=(Elig_MatchAll_Ct-1),AF153=0),C153,0)</f>
        <v>0</v>
      </c>
      <c r="BI153" s="199">
        <f>IF(AND(Input_Product=Elig!$C153,Elig_MatchAll_Ct&lt;22,$BC153=(Elig_MatchAll_Ct-1),AG153=0),D153,0)</f>
        <v>0</v>
      </c>
      <c r="BJ153" s="199">
        <f>IF(AND(Input_Product=Elig!$C153,Elig_MatchAll_Ct&lt;22,$BC153=(Elig_MatchAll_Ct-1),AH153=0),E153,0)</f>
        <v>0</v>
      </c>
      <c r="BK153" s="199">
        <f>IF(AND(Input_Product=Elig!$C153,Elig_MatchAll_Ct&lt;22,$BC153=(Elig_MatchAll_Ct-1),AI153=0),F153,0)</f>
        <v>0</v>
      </c>
      <c r="BL153" s="199">
        <f>IF(AND(Input_Product=Elig!$C153,Elig_MatchAll_Ct&lt;22,$BC153=(Elig_MatchAll_Ct-1),AJ153=0),G153,0)</f>
        <v>0</v>
      </c>
      <c r="BM153" s="199">
        <f>IF(AND(Input_Product=Elig!$C153,Elig_MatchAll_Ct&lt;22,$BC153=(Elig_MatchAll_Ct-1),AK153=0),H153,0)</f>
        <v>0</v>
      </c>
      <c r="BN153" s="199">
        <f>IF(AND(Input_Product=Elig!$C153,Elig_MatchAll_Ct&lt;22,$BC153=(Elig_MatchAll_Ct-1),AL153=0),I153,0)</f>
        <v>0</v>
      </c>
      <c r="BO153" s="199">
        <f>IF(AND(Input_Product=Elig!$C153,Elig_MatchAll_Ct&lt;22,$BC153=(Elig_MatchAll_Ct-1),AM153=0),J153,0)</f>
        <v>0</v>
      </c>
      <c r="BP153" s="199">
        <f>IF(AND(Input_Product=Elig!$C153,Elig_MatchAll_Ct&lt;22,$BC153=(Elig_MatchAll_Ct-1),AN153=0),K153,0)</f>
        <v>0</v>
      </c>
      <c r="BQ153" s="199">
        <f>IF(AND(Input_Product=Elig!$C153,Elig_MatchAll_Ct&lt;22,$BC153=(Elig_MatchAll_Ct-1),AP153=0),L153,0)</f>
        <v>0</v>
      </c>
      <c r="BR153" s="199">
        <f>IF(AND(Input_Product=Elig!$C153,Elig_MatchAll_Ct&lt;22,$BC153=(Elig_MatchAll_Ct-1),AO153=0),M153,0)</f>
        <v>0</v>
      </c>
      <c r="BS153" s="199">
        <f>IF(AND(Input_Product=Elig!$C153,Elig_MatchAll_Ct&lt;22,$BC153=(Elig_MatchAll_Ct-1),AQ153=0),N153,0)</f>
        <v>0</v>
      </c>
      <c r="BT153" s="199">
        <f>IF(AND(Input_Product=Elig!$C153,Elig_MatchAll_Ct&lt;22,$BC153=(Elig_MatchAll_Ct-1),AR153=0),O153,0)</f>
        <v>0</v>
      </c>
      <c r="BU153" s="199">
        <f>IF(AND(Input_Product=Elig!$C153,Elig_MatchAll_Ct&lt;22,$BC153=(Elig_MatchAll_Ct-1),AS153=0),P153,0)</f>
        <v>0</v>
      </c>
      <c r="BV153" s="200">
        <f>IF(AND(Input_Product=Elig!$C153,Elig_MatchAll_Ct&lt;22,$BC153=(Elig_MatchAll_Ct-1),AT153=0),Q153,0)</f>
        <v>0</v>
      </c>
      <c r="BW153" s="201">
        <f>IF(AND(Input_Product=Elig!$C153,Elig_MatchAll_Ct&lt;22,$BC153=(Elig_MatchAll_Ct-1),AU153=0),R153,0)</f>
        <v>0</v>
      </c>
      <c r="BX153" s="202">
        <f>IF(AND(Input_Product=Elig!$C153,Elig_MatchAll_Ct&lt;22,$BC153=(Elig_MatchAll_Ct-1),AU153=0),S153,0)</f>
        <v>0</v>
      </c>
      <c r="BY153" s="201">
        <f>IF(AND(Input_Product=Elig!$C153,Elig_MatchAll_Ct&lt;22,$BC153=(Elig_MatchAll_Ct-1),AV153=0),T153,0)</f>
        <v>0</v>
      </c>
      <c r="BZ153" s="202">
        <f>IF(AND(Input_Product=Elig!$C153,Elig_MatchAll_Ct&lt;22,$BC153=(Elig_MatchAll_Ct-1),AV153=0),U153,0)</f>
        <v>0</v>
      </c>
      <c r="CA153" s="201">
        <f>IF(AND(Input_Product=Elig!$C153,Elig_MatchAll_Ct&lt;22,$BC153=(Elig_MatchAll_Ct-1),AW153=0),V153,0)</f>
        <v>0</v>
      </c>
      <c r="CB153" s="202">
        <f>IF(AND(Input_Product=Elig!$C153,Elig_MatchAll_Ct&lt;22,$BC153=(Elig_MatchAll_Ct-1),AW153=0),W153,0)</f>
        <v>0</v>
      </c>
      <c r="CC153" s="201">
        <f>IF(AND(Input_Product=Elig!$C153,Elig_MatchAll_Ct&lt;22,$BC153=(Elig_MatchAll_Ct-1),AX153=0),X153,0)</f>
        <v>0</v>
      </c>
      <c r="CD153" s="202">
        <f>IF(AND(Input_Product=Elig!$C153,Elig_MatchAll_Ct&lt;22,$BC153=(Elig_MatchAll_Ct-1),AX153=0),Y153,0)</f>
        <v>0</v>
      </c>
      <c r="CE153" s="201">
        <f>IF(AND(Input_LTV&lt;=AE153,Input_Product=Elig!$C153,Elig_MatchAll_Ct&lt;22,$BC153=(Elig_MatchAll_Ct-1),AY153=0),Z153,0)</f>
        <v>0</v>
      </c>
      <c r="CF153" s="202">
        <f>IF(AND(Input_LTV&lt;=AE153,Input_Product=Elig!$C153,Elig_MatchAll_Ct&lt;22,$BC153=(Elig_MatchAll_Ct-1),AY153=0),AA153,0)</f>
        <v>0</v>
      </c>
      <c r="CG153" s="201">
        <f>IF(AND(Input_Product=Elig!$C153,Elig_MatchAll_Ct&lt;22,$BC153=(Elig_MatchAll_Ct-1),AZ153=0),AB153,0)</f>
        <v>0</v>
      </c>
      <c r="CH153" s="202">
        <f>IF(AND(Input_Product=Elig!$C153,Elig_MatchAll_Ct&lt;22,$BC153=(Elig_MatchAll_Ct-1),AZ153=0),AC153,0)</f>
        <v>0</v>
      </c>
      <c r="CI153" s="201">
        <f>IF(AND(Input_Product=Elig!$C153,Elig_MatchAll_Ct&lt;22,$BC153=(Elig_MatchAll_Ct-1),BA153=0),AD153,0)</f>
        <v>0</v>
      </c>
      <c r="CJ153" s="203">
        <f>IF(AND(Input_Product=Elig!$C153,Elig_MatchAll_Ct&lt;22,$BC153=(Elig_MatchAll_Ct-1),BA153=0),AE153,0)</f>
        <v>0</v>
      </c>
    </row>
    <row r="154" spans="2:88" ht="10.15" customHeight="1" x14ac:dyDescent="0.25">
      <c r="B154" s="1912" t="s">
        <v>902</v>
      </c>
      <c r="C154" s="134" t="str">
        <f t="shared" si="35"/>
        <v>NonQM OO</v>
      </c>
      <c r="D154" s="135" t="s">
        <v>3885</v>
      </c>
      <c r="E154" s="135" t="s">
        <v>167</v>
      </c>
      <c r="F154" s="135" t="s">
        <v>331</v>
      </c>
      <c r="G154" s="135" t="s">
        <v>468</v>
      </c>
      <c r="H154" s="135" t="s">
        <v>136</v>
      </c>
      <c r="I154" s="135" t="s">
        <v>274</v>
      </c>
      <c r="J154" s="135" t="s">
        <v>1311</v>
      </c>
      <c r="K154" s="135" t="s">
        <v>1631</v>
      </c>
      <c r="L154" s="221" t="s">
        <v>3920</v>
      </c>
      <c r="M154" s="135" t="s">
        <v>4203</v>
      </c>
      <c r="N154" s="135" t="s">
        <v>82</v>
      </c>
      <c r="O154" s="135" t="s">
        <v>310</v>
      </c>
      <c r="P154" s="135" t="s">
        <v>291</v>
      </c>
      <c r="Q154" s="135" t="s">
        <v>294</v>
      </c>
      <c r="R154" s="135">
        <v>1500000.01</v>
      </c>
      <c r="S154" s="135">
        <v>2000000</v>
      </c>
      <c r="T154" s="135">
        <v>0</v>
      </c>
      <c r="U154" s="135">
        <v>0</v>
      </c>
      <c r="V154" s="135">
        <v>0</v>
      </c>
      <c r="W154" s="135">
        <v>55</v>
      </c>
      <c r="X154" s="135">
        <v>0</v>
      </c>
      <c r="Y154" s="135">
        <v>999</v>
      </c>
      <c r="Z154" s="137">
        <v>660</v>
      </c>
      <c r="AA154" s="137">
        <v>679</v>
      </c>
      <c r="AB154" s="137">
        <v>6</v>
      </c>
      <c r="AC154" s="137">
        <v>999999</v>
      </c>
      <c r="AD154" s="135">
        <v>0</v>
      </c>
      <c r="AE154" s="221">
        <v>75</v>
      </c>
      <c r="AF154" s="170">
        <v>0</v>
      </c>
      <c r="AG154" s="171">
        <v>1</v>
      </c>
      <c r="AH154" s="171">
        <v>1</v>
      </c>
      <c r="AI154" s="171">
        <v>1</v>
      </c>
      <c r="AJ154" s="171">
        <v>0</v>
      </c>
      <c r="AK154" s="171">
        <v>1</v>
      </c>
      <c r="AL154" s="171">
        <v>0</v>
      </c>
      <c r="AM154" s="171">
        <v>1</v>
      </c>
      <c r="AN154" s="171">
        <v>1</v>
      </c>
      <c r="AO154" s="171">
        <v>1</v>
      </c>
      <c r="AP154" s="171">
        <v>1</v>
      </c>
      <c r="AQ154" s="171">
        <v>1</v>
      </c>
      <c r="AR154" s="171">
        <v>1</v>
      </c>
      <c r="AS154" s="171">
        <v>1</v>
      </c>
      <c r="AT154" s="171">
        <v>1</v>
      </c>
      <c r="AU154" s="171">
        <f t="shared" si="41"/>
        <v>0</v>
      </c>
      <c r="AV154" s="171">
        <f t="shared" si="42"/>
        <v>0</v>
      </c>
      <c r="AW154" s="171">
        <f t="shared" si="43"/>
        <v>1</v>
      </c>
      <c r="AX154" s="171">
        <f t="shared" si="53"/>
        <v>1</v>
      </c>
      <c r="AY154" s="171">
        <f t="shared" si="44"/>
        <v>0</v>
      </c>
      <c r="AZ154" s="171">
        <f t="shared" si="45"/>
        <v>1</v>
      </c>
      <c r="BA154" s="172">
        <f t="shared" si="46"/>
        <v>1</v>
      </c>
      <c r="BB154" s="175">
        <f t="shared" si="47"/>
        <v>16</v>
      </c>
      <c r="BC154" s="176">
        <f t="shared" si="48"/>
        <v>15</v>
      </c>
      <c r="BD154" s="176">
        <f t="shared" si="49"/>
        <v>16</v>
      </c>
      <c r="BE154" s="240" t="str">
        <f t="shared" si="51"/>
        <v/>
      </c>
      <c r="BH154" s="198">
        <f>IF(AND(Input_Product=Elig!$C154,Elig_MatchAll_Ct&lt;22,$BC154=(Elig_MatchAll_Ct-1),AF154=0),C154,0)</f>
        <v>0</v>
      </c>
      <c r="BI154" s="199">
        <f>IF(AND(Input_Product=Elig!$C154,Elig_MatchAll_Ct&lt;22,$BC154=(Elig_MatchAll_Ct-1),AG154=0),D154,0)</f>
        <v>0</v>
      </c>
      <c r="BJ154" s="199">
        <f>IF(AND(Input_Product=Elig!$C154,Elig_MatchAll_Ct&lt;22,$BC154=(Elig_MatchAll_Ct-1),AH154=0),E154,0)</f>
        <v>0</v>
      </c>
      <c r="BK154" s="199">
        <f>IF(AND(Input_Product=Elig!$C154,Elig_MatchAll_Ct&lt;22,$BC154=(Elig_MatchAll_Ct-1),AI154=0),F154,0)</f>
        <v>0</v>
      </c>
      <c r="BL154" s="199">
        <f>IF(AND(Input_Product=Elig!$C154,Elig_MatchAll_Ct&lt;22,$BC154=(Elig_MatchAll_Ct-1),AJ154=0),G154,0)</f>
        <v>0</v>
      </c>
      <c r="BM154" s="199">
        <f>IF(AND(Input_Product=Elig!$C154,Elig_MatchAll_Ct&lt;22,$BC154=(Elig_MatchAll_Ct-1),AK154=0),H154,0)</f>
        <v>0</v>
      </c>
      <c r="BN154" s="199">
        <f>IF(AND(Input_Product=Elig!$C154,Elig_MatchAll_Ct&lt;22,$BC154=(Elig_MatchAll_Ct-1),AL154=0),I154,0)</f>
        <v>0</v>
      </c>
      <c r="BO154" s="199">
        <f>IF(AND(Input_Product=Elig!$C154,Elig_MatchAll_Ct&lt;22,$BC154=(Elig_MatchAll_Ct-1),AM154=0),J154,0)</f>
        <v>0</v>
      </c>
      <c r="BP154" s="199">
        <f>IF(AND(Input_Product=Elig!$C154,Elig_MatchAll_Ct&lt;22,$BC154=(Elig_MatchAll_Ct-1),AN154=0),K154,0)</f>
        <v>0</v>
      </c>
      <c r="BQ154" s="199">
        <f>IF(AND(Input_Product=Elig!$C154,Elig_MatchAll_Ct&lt;22,$BC154=(Elig_MatchAll_Ct-1),AP154=0),L154,0)</f>
        <v>0</v>
      </c>
      <c r="BR154" s="199">
        <f>IF(AND(Input_Product=Elig!$C154,Elig_MatchAll_Ct&lt;22,$BC154=(Elig_MatchAll_Ct-1),AO154=0),M154,0)</f>
        <v>0</v>
      </c>
      <c r="BS154" s="199">
        <f>IF(AND(Input_Product=Elig!$C154,Elig_MatchAll_Ct&lt;22,$BC154=(Elig_MatchAll_Ct-1),AQ154=0),N154,0)</f>
        <v>0</v>
      </c>
      <c r="BT154" s="199">
        <f>IF(AND(Input_Product=Elig!$C154,Elig_MatchAll_Ct&lt;22,$BC154=(Elig_MatchAll_Ct-1),AR154=0),O154,0)</f>
        <v>0</v>
      </c>
      <c r="BU154" s="199">
        <f>IF(AND(Input_Product=Elig!$C154,Elig_MatchAll_Ct&lt;22,$BC154=(Elig_MatchAll_Ct-1),AS154=0),P154,0)</f>
        <v>0</v>
      </c>
      <c r="BV154" s="200">
        <f>IF(AND(Input_Product=Elig!$C154,Elig_MatchAll_Ct&lt;22,$BC154=(Elig_MatchAll_Ct-1),AT154=0),Q154,0)</f>
        <v>0</v>
      </c>
      <c r="BW154" s="201">
        <f>IF(AND(Input_Product=Elig!$C154,Elig_MatchAll_Ct&lt;22,$BC154=(Elig_MatchAll_Ct-1),AU154=0),R154,0)</f>
        <v>0</v>
      </c>
      <c r="BX154" s="202">
        <f>IF(AND(Input_Product=Elig!$C154,Elig_MatchAll_Ct&lt;22,$BC154=(Elig_MatchAll_Ct-1),AU154=0),S154,0)</f>
        <v>0</v>
      </c>
      <c r="BY154" s="201">
        <f>IF(AND(Input_Product=Elig!$C154,Elig_MatchAll_Ct&lt;22,$BC154=(Elig_MatchAll_Ct-1),AV154=0),T154,0)</f>
        <v>0</v>
      </c>
      <c r="BZ154" s="202">
        <f>IF(AND(Input_Product=Elig!$C154,Elig_MatchAll_Ct&lt;22,$BC154=(Elig_MatchAll_Ct-1),AV154=0),U154,0)</f>
        <v>0</v>
      </c>
      <c r="CA154" s="201">
        <f>IF(AND(Input_Product=Elig!$C154,Elig_MatchAll_Ct&lt;22,$BC154=(Elig_MatchAll_Ct-1),AW154=0),V154,0)</f>
        <v>0</v>
      </c>
      <c r="CB154" s="202">
        <f>IF(AND(Input_Product=Elig!$C154,Elig_MatchAll_Ct&lt;22,$BC154=(Elig_MatchAll_Ct-1),AW154=0),W154,0)</f>
        <v>0</v>
      </c>
      <c r="CC154" s="201">
        <f>IF(AND(Input_Product=Elig!$C154,Elig_MatchAll_Ct&lt;22,$BC154=(Elig_MatchAll_Ct-1),AX154=0),X154,0)</f>
        <v>0</v>
      </c>
      <c r="CD154" s="202">
        <f>IF(AND(Input_Product=Elig!$C154,Elig_MatchAll_Ct&lt;22,$BC154=(Elig_MatchAll_Ct-1),AX154=0),Y154,0)</f>
        <v>0</v>
      </c>
      <c r="CE154" s="201">
        <f>IF(AND(Input_LTV&lt;=AE154,Input_Product=Elig!$C154,Elig_MatchAll_Ct&lt;22,$BC154=(Elig_MatchAll_Ct-1),AY154=0),Z154,0)</f>
        <v>0</v>
      </c>
      <c r="CF154" s="202">
        <f>IF(AND(Input_LTV&lt;=AE154,Input_Product=Elig!$C154,Elig_MatchAll_Ct&lt;22,$BC154=(Elig_MatchAll_Ct-1),AY154=0),AA154,0)</f>
        <v>0</v>
      </c>
      <c r="CG154" s="201">
        <f>IF(AND(Input_Product=Elig!$C154,Elig_MatchAll_Ct&lt;22,$BC154=(Elig_MatchAll_Ct-1),AZ154=0),AB154,0)</f>
        <v>0</v>
      </c>
      <c r="CH154" s="202">
        <f>IF(AND(Input_Product=Elig!$C154,Elig_MatchAll_Ct&lt;22,$BC154=(Elig_MatchAll_Ct-1),AZ154=0),AC154,0)</f>
        <v>0</v>
      </c>
      <c r="CI154" s="201">
        <f>IF(AND(Input_Product=Elig!$C154,Elig_MatchAll_Ct&lt;22,$BC154=(Elig_MatchAll_Ct-1),BA154=0),AD154,0)</f>
        <v>0</v>
      </c>
      <c r="CJ154" s="203">
        <f>IF(AND(Input_Product=Elig!$C154,Elig_MatchAll_Ct&lt;22,$BC154=(Elig_MatchAll_Ct-1),BA154=0),AE154,0)</f>
        <v>0</v>
      </c>
    </row>
    <row r="155" spans="2:88" ht="10.15" customHeight="1" x14ac:dyDescent="0.25">
      <c r="B155" s="1912" t="s">
        <v>903</v>
      </c>
      <c r="C155" s="134" t="str">
        <f t="shared" si="35"/>
        <v>NonQM OO</v>
      </c>
      <c r="D155" s="135" t="s">
        <v>3885</v>
      </c>
      <c r="E155" s="135" t="s">
        <v>167</v>
      </c>
      <c r="F155" s="135" t="s">
        <v>331</v>
      </c>
      <c r="G155" s="135" t="s">
        <v>468</v>
      </c>
      <c r="H155" s="135" t="s">
        <v>136</v>
      </c>
      <c r="I155" s="135" t="s">
        <v>274</v>
      </c>
      <c r="J155" s="135" t="s">
        <v>1311</v>
      </c>
      <c r="K155" s="135" t="s">
        <v>1631</v>
      </c>
      <c r="L155" s="221" t="s">
        <v>3920</v>
      </c>
      <c r="M155" s="135" t="s">
        <v>4203</v>
      </c>
      <c r="N155" s="135" t="s">
        <v>82</v>
      </c>
      <c r="O155" s="135" t="s">
        <v>310</v>
      </c>
      <c r="P155" s="135" t="s">
        <v>291</v>
      </c>
      <c r="Q155" s="135" t="s">
        <v>294</v>
      </c>
      <c r="R155" s="135">
        <v>1500000.01</v>
      </c>
      <c r="S155" s="135">
        <v>2000000</v>
      </c>
      <c r="T155" s="135">
        <v>0</v>
      </c>
      <c r="U155" s="135">
        <v>0</v>
      </c>
      <c r="V155" s="135">
        <v>0</v>
      </c>
      <c r="W155" s="135">
        <v>55</v>
      </c>
      <c r="X155" s="135">
        <v>0</v>
      </c>
      <c r="Y155" s="135">
        <v>999</v>
      </c>
      <c r="Z155" s="137">
        <v>640</v>
      </c>
      <c r="AA155" s="137">
        <v>659</v>
      </c>
      <c r="AB155" s="137">
        <v>6</v>
      </c>
      <c r="AC155" s="137">
        <v>999999</v>
      </c>
      <c r="AD155" s="135">
        <v>0</v>
      </c>
      <c r="AE155" s="221">
        <v>65</v>
      </c>
      <c r="AF155" s="170">
        <v>0</v>
      </c>
      <c r="AG155" s="171">
        <v>1</v>
      </c>
      <c r="AH155" s="171">
        <v>1</v>
      </c>
      <c r="AI155" s="171">
        <v>1</v>
      </c>
      <c r="AJ155" s="171">
        <v>0</v>
      </c>
      <c r="AK155" s="171">
        <v>1</v>
      </c>
      <c r="AL155" s="171">
        <v>0</v>
      </c>
      <c r="AM155" s="171">
        <v>1</v>
      </c>
      <c r="AN155" s="171">
        <v>1</v>
      </c>
      <c r="AO155" s="171">
        <v>1</v>
      </c>
      <c r="AP155" s="171">
        <v>1</v>
      </c>
      <c r="AQ155" s="171">
        <v>1</v>
      </c>
      <c r="AR155" s="171">
        <v>1</v>
      </c>
      <c r="AS155" s="171">
        <v>1</v>
      </c>
      <c r="AT155" s="171">
        <v>1</v>
      </c>
      <c r="AU155" s="171">
        <f t="shared" si="41"/>
        <v>0</v>
      </c>
      <c r="AV155" s="171">
        <f t="shared" si="42"/>
        <v>0</v>
      </c>
      <c r="AW155" s="171">
        <f t="shared" si="43"/>
        <v>1</v>
      </c>
      <c r="AX155" s="171">
        <f t="shared" si="53"/>
        <v>1</v>
      </c>
      <c r="AY155" s="171">
        <f t="shared" si="44"/>
        <v>0</v>
      </c>
      <c r="AZ155" s="171">
        <f t="shared" si="45"/>
        <v>1</v>
      </c>
      <c r="BA155" s="172">
        <f t="shared" si="46"/>
        <v>1</v>
      </c>
      <c r="BB155" s="175">
        <f t="shared" si="47"/>
        <v>16</v>
      </c>
      <c r="BC155" s="176">
        <f t="shared" si="48"/>
        <v>15</v>
      </c>
      <c r="BD155" s="176">
        <f t="shared" si="49"/>
        <v>16</v>
      </c>
      <c r="BE155" s="240" t="str">
        <f t="shared" si="51"/>
        <v/>
      </c>
      <c r="BH155" s="198">
        <f>IF(AND(Input_Product=Elig!$C155,Elig_MatchAll_Ct&lt;22,$BC155=(Elig_MatchAll_Ct-1),AF155=0),C155,0)</f>
        <v>0</v>
      </c>
      <c r="BI155" s="199">
        <f>IF(AND(Input_Product=Elig!$C155,Elig_MatchAll_Ct&lt;22,$BC155=(Elig_MatchAll_Ct-1),AG155=0),D155,0)</f>
        <v>0</v>
      </c>
      <c r="BJ155" s="199">
        <f>IF(AND(Input_Product=Elig!$C155,Elig_MatchAll_Ct&lt;22,$BC155=(Elig_MatchAll_Ct-1),AH155=0),E155,0)</f>
        <v>0</v>
      </c>
      <c r="BK155" s="199">
        <f>IF(AND(Input_Product=Elig!$C155,Elig_MatchAll_Ct&lt;22,$BC155=(Elig_MatchAll_Ct-1),AI155=0),F155,0)</f>
        <v>0</v>
      </c>
      <c r="BL155" s="199">
        <f>IF(AND(Input_Product=Elig!$C155,Elig_MatchAll_Ct&lt;22,$BC155=(Elig_MatchAll_Ct-1),AJ155=0),G155,0)</f>
        <v>0</v>
      </c>
      <c r="BM155" s="199">
        <f>IF(AND(Input_Product=Elig!$C155,Elig_MatchAll_Ct&lt;22,$BC155=(Elig_MatchAll_Ct-1),AK155=0),H155,0)</f>
        <v>0</v>
      </c>
      <c r="BN155" s="199">
        <f>IF(AND(Input_Product=Elig!$C155,Elig_MatchAll_Ct&lt;22,$BC155=(Elig_MatchAll_Ct-1),AL155=0),I155,0)</f>
        <v>0</v>
      </c>
      <c r="BO155" s="199">
        <f>IF(AND(Input_Product=Elig!$C155,Elig_MatchAll_Ct&lt;22,$BC155=(Elig_MatchAll_Ct-1),AM155=0),J155,0)</f>
        <v>0</v>
      </c>
      <c r="BP155" s="199">
        <f>IF(AND(Input_Product=Elig!$C155,Elig_MatchAll_Ct&lt;22,$BC155=(Elig_MatchAll_Ct-1),AN155=0),K155,0)</f>
        <v>0</v>
      </c>
      <c r="BQ155" s="199">
        <f>IF(AND(Input_Product=Elig!$C155,Elig_MatchAll_Ct&lt;22,$BC155=(Elig_MatchAll_Ct-1),AP155=0),L155,0)</f>
        <v>0</v>
      </c>
      <c r="BR155" s="199">
        <f>IF(AND(Input_Product=Elig!$C155,Elig_MatchAll_Ct&lt;22,$BC155=(Elig_MatchAll_Ct-1),AO155=0),M155,0)</f>
        <v>0</v>
      </c>
      <c r="BS155" s="199">
        <f>IF(AND(Input_Product=Elig!$C155,Elig_MatchAll_Ct&lt;22,$BC155=(Elig_MatchAll_Ct-1),AQ155=0),N155,0)</f>
        <v>0</v>
      </c>
      <c r="BT155" s="199">
        <f>IF(AND(Input_Product=Elig!$C155,Elig_MatchAll_Ct&lt;22,$BC155=(Elig_MatchAll_Ct-1),AR155=0),O155,0)</f>
        <v>0</v>
      </c>
      <c r="BU155" s="199">
        <f>IF(AND(Input_Product=Elig!$C155,Elig_MatchAll_Ct&lt;22,$BC155=(Elig_MatchAll_Ct-1),AS155=0),P155,0)</f>
        <v>0</v>
      </c>
      <c r="BV155" s="200">
        <f>IF(AND(Input_Product=Elig!$C155,Elig_MatchAll_Ct&lt;22,$BC155=(Elig_MatchAll_Ct-1),AT155=0),Q155,0)</f>
        <v>0</v>
      </c>
      <c r="BW155" s="201">
        <f>IF(AND(Input_Product=Elig!$C155,Elig_MatchAll_Ct&lt;22,$BC155=(Elig_MatchAll_Ct-1),AU155=0),R155,0)</f>
        <v>0</v>
      </c>
      <c r="BX155" s="202">
        <f>IF(AND(Input_Product=Elig!$C155,Elig_MatchAll_Ct&lt;22,$BC155=(Elig_MatchAll_Ct-1),AU155=0),S155,0)</f>
        <v>0</v>
      </c>
      <c r="BY155" s="201">
        <f>IF(AND(Input_Product=Elig!$C155,Elig_MatchAll_Ct&lt;22,$BC155=(Elig_MatchAll_Ct-1),AV155=0),T155,0)</f>
        <v>0</v>
      </c>
      <c r="BZ155" s="202">
        <f>IF(AND(Input_Product=Elig!$C155,Elig_MatchAll_Ct&lt;22,$BC155=(Elig_MatchAll_Ct-1),AV155=0),U155,0)</f>
        <v>0</v>
      </c>
      <c r="CA155" s="201">
        <f>IF(AND(Input_Product=Elig!$C155,Elig_MatchAll_Ct&lt;22,$BC155=(Elig_MatchAll_Ct-1),AW155=0),V155,0)</f>
        <v>0</v>
      </c>
      <c r="CB155" s="202">
        <f>IF(AND(Input_Product=Elig!$C155,Elig_MatchAll_Ct&lt;22,$BC155=(Elig_MatchAll_Ct-1),AW155=0),W155,0)</f>
        <v>0</v>
      </c>
      <c r="CC155" s="201">
        <f>IF(AND(Input_Product=Elig!$C155,Elig_MatchAll_Ct&lt;22,$BC155=(Elig_MatchAll_Ct-1),AX155=0),X155,0)</f>
        <v>0</v>
      </c>
      <c r="CD155" s="202">
        <f>IF(AND(Input_Product=Elig!$C155,Elig_MatchAll_Ct&lt;22,$BC155=(Elig_MatchAll_Ct-1),AX155=0),Y155,0)</f>
        <v>0</v>
      </c>
      <c r="CE155" s="201">
        <f>IF(AND(Input_LTV&lt;=AE155,Input_Product=Elig!$C155,Elig_MatchAll_Ct&lt;22,$BC155=(Elig_MatchAll_Ct-1),AY155=0),Z155,0)</f>
        <v>0</v>
      </c>
      <c r="CF155" s="202">
        <f>IF(AND(Input_LTV&lt;=AE155,Input_Product=Elig!$C155,Elig_MatchAll_Ct&lt;22,$BC155=(Elig_MatchAll_Ct-1),AY155=0),AA155,0)</f>
        <v>0</v>
      </c>
      <c r="CG155" s="201">
        <f>IF(AND(Input_Product=Elig!$C155,Elig_MatchAll_Ct&lt;22,$BC155=(Elig_MatchAll_Ct-1),AZ155=0),AB155,0)</f>
        <v>0</v>
      </c>
      <c r="CH155" s="202">
        <f>IF(AND(Input_Product=Elig!$C155,Elig_MatchAll_Ct&lt;22,$BC155=(Elig_MatchAll_Ct-1),AZ155=0),AC155,0)</f>
        <v>0</v>
      </c>
      <c r="CI155" s="201">
        <f>IF(AND(Input_Product=Elig!$C155,Elig_MatchAll_Ct&lt;22,$BC155=(Elig_MatchAll_Ct-1),BA155=0),AD155,0)</f>
        <v>0</v>
      </c>
      <c r="CJ155" s="203">
        <f>IF(AND(Input_Product=Elig!$C155,Elig_MatchAll_Ct&lt;22,$BC155=(Elig_MatchAll_Ct-1),BA155=0),AE155,0)</f>
        <v>0</v>
      </c>
    </row>
    <row r="156" spans="2:88" ht="10.15" customHeight="1" x14ac:dyDescent="0.25">
      <c r="B156" s="1912" t="s">
        <v>904</v>
      </c>
      <c r="C156" s="138" t="str">
        <f t="shared" si="35"/>
        <v>NonQM OO</v>
      </c>
      <c r="D156" s="139" t="s">
        <v>3885</v>
      </c>
      <c r="E156" s="139" t="s">
        <v>167</v>
      </c>
      <c r="F156" s="139" t="s">
        <v>331</v>
      </c>
      <c r="G156" s="139" t="s">
        <v>468</v>
      </c>
      <c r="H156" s="139" t="s">
        <v>136</v>
      </c>
      <c r="I156" s="139" t="s">
        <v>274</v>
      </c>
      <c r="J156" s="139" t="s">
        <v>1311</v>
      </c>
      <c r="K156" s="139" t="s">
        <v>1631</v>
      </c>
      <c r="L156" s="310" t="s">
        <v>3920</v>
      </c>
      <c r="M156" s="139" t="s">
        <v>4203</v>
      </c>
      <c r="N156" s="139" t="s">
        <v>82</v>
      </c>
      <c r="O156" s="139" t="s">
        <v>310</v>
      </c>
      <c r="P156" s="139" t="s">
        <v>291</v>
      </c>
      <c r="Q156" s="139" t="s">
        <v>294</v>
      </c>
      <c r="R156" s="139">
        <v>1500000.01</v>
      </c>
      <c r="S156" s="139">
        <v>2000000</v>
      </c>
      <c r="T156" s="139">
        <v>0</v>
      </c>
      <c r="U156" s="139">
        <v>0</v>
      </c>
      <c r="V156" s="139">
        <v>0</v>
      </c>
      <c r="W156" s="139">
        <v>55</v>
      </c>
      <c r="X156" s="139">
        <v>0</v>
      </c>
      <c r="Y156" s="139">
        <v>999</v>
      </c>
      <c r="Z156" s="140">
        <v>620</v>
      </c>
      <c r="AA156" s="140">
        <v>639</v>
      </c>
      <c r="AB156" s="140">
        <v>6</v>
      </c>
      <c r="AC156" s="140">
        <v>999999</v>
      </c>
      <c r="AD156" s="139">
        <v>0</v>
      </c>
      <c r="AE156" s="139">
        <v>-999</v>
      </c>
      <c r="AF156" s="170">
        <v>0</v>
      </c>
      <c r="AG156" s="171">
        <v>1</v>
      </c>
      <c r="AH156" s="171">
        <v>1</v>
      </c>
      <c r="AI156" s="171">
        <v>1</v>
      </c>
      <c r="AJ156" s="171">
        <v>0</v>
      </c>
      <c r="AK156" s="171">
        <v>1</v>
      </c>
      <c r="AL156" s="171">
        <v>0</v>
      </c>
      <c r="AM156" s="171">
        <v>1</v>
      </c>
      <c r="AN156" s="171">
        <v>1</v>
      </c>
      <c r="AO156" s="171">
        <v>1</v>
      </c>
      <c r="AP156" s="171">
        <v>1</v>
      </c>
      <c r="AQ156" s="171">
        <v>1</v>
      </c>
      <c r="AR156" s="171">
        <v>1</v>
      </c>
      <c r="AS156" s="171">
        <v>1</v>
      </c>
      <c r="AT156" s="171">
        <v>1</v>
      </c>
      <c r="AU156" s="171">
        <f t="shared" si="41"/>
        <v>0</v>
      </c>
      <c r="AV156" s="171">
        <f t="shared" si="42"/>
        <v>0</v>
      </c>
      <c r="AW156" s="171">
        <f t="shared" si="43"/>
        <v>1</v>
      </c>
      <c r="AX156" s="171">
        <f t="shared" si="53"/>
        <v>1</v>
      </c>
      <c r="AY156" s="171">
        <f t="shared" si="44"/>
        <v>0</v>
      </c>
      <c r="AZ156" s="171">
        <f t="shared" si="45"/>
        <v>1</v>
      </c>
      <c r="BA156" s="172">
        <f t="shared" si="46"/>
        <v>0</v>
      </c>
      <c r="BB156" s="175">
        <f t="shared" si="47"/>
        <v>15</v>
      </c>
      <c r="BC156" s="176">
        <f t="shared" si="48"/>
        <v>15</v>
      </c>
      <c r="BD156" s="176">
        <f t="shared" si="49"/>
        <v>15</v>
      </c>
      <c r="BE156" s="240" t="str">
        <f t="shared" si="51"/>
        <v/>
      </c>
      <c r="BH156" s="204">
        <f>IF(AND(Input_Product=Elig!$C156,Elig_MatchAll_Ct&lt;22,$BC156=(Elig_MatchAll_Ct-1),AF156=0),C156,0)</f>
        <v>0</v>
      </c>
      <c r="BI156" s="205">
        <f>IF(AND(Input_Product=Elig!$C156,Elig_MatchAll_Ct&lt;22,$BC156=(Elig_MatchAll_Ct-1),AG156=0),D156,0)</f>
        <v>0</v>
      </c>
      <c r="BJ156" s="205">
        <f>IF(AND(Input_Product=Elig!$C156,Elig_MatchAll_Ct&lt;22,$BC156=(Elig_MatchAll_Ct-1),AH156=0),E156,0)</f>
        <v>0</v>
      </c>
      <c r="BK156" s="205">
        <f>IF(AND(Input_Product=Elig!$C156,Elig_MatchAll_Ct&lt;22,$BC156=(Elig_MatchAll_Ct-1),AI156=0),F156,0)</f>
        <v>0</v>
      </c>
      <c r="BL156" s="205">
        <f>IF(AND(Input_Product=Elig!$C156,Elig_MatchAll_Ct&lt;22,$BC156=(Elig_MatchAll_Ct-1),AJ156=0),G156,0)</f>
        <v>0</v>
      </c>
      <c r="BM156" s="205">
        <f>IF(AND(Input_Product=Elig!$C156,Elig_MatchAll_Ct&lt;22,$BC156=(Elig_MatchAll_Ct-1),AK156=0),H156,0)</f>
        <v>0</v>
      </c>
      <c r="BN156" s="205">
        <f>IF(AND(Input_Product=Elig!$C156,Elig_MatchAll_Ct&lt;22,$BC156=(Elig_MatchAll_Ct-1),AL156=0),I156,0)</f>
        <v>0</v>
      </c>
      <c r="BO156" s="205">
        <f>IF(AND(Input_Product=Elig!$C156,Elig_MatchAll_Ct&lt;22,$BC156=(Elig_MatchAll_Ct-1),AM156=0),J156,0)</f>
        <v>0</v>
      </c>
      <c r="BP156" s="205">
        <f>IF(AND(Input_Product=Elig!$C156,Elig_MatchAll_Ct&lt;22,$BC156=(Elig_MatchAll_Ct-1),AN156=0),K156,0)</f>
        <v>0</v>
      </c>
      <c r="BQ156" s="205">
        <f>IF(AND(Input_Product=Elig!$C156,Elig_MatchAll_Ct&lt;22,$BC156=(Elig_MatchAll_Ct-1),AP156=0),L156,0)</f>
        <v>0</v>
      </c>
      <c r="BR156" s="205">
        <f>IF(AND(Input_Product=Elig!$C156,Elig_MatchAll_Ct&lt;22,$BC156=(Elig_MatchAll_Ct-1),AO156=0),M156,0)</f>
        <v>0</v>
      </c>
      <c r="BS156" s="205">
        <f>IF(AND(Input_Product=Elig!$C156,Elig_MatchAll_Ct&lt;22,$BC156=(Elig_MatchAll_Ct-1),AQ156=0),N156,0)</f>
        <v>0</v>
      </c>
      <c r="BT156" s="205">
        <f>IF(AND(Input_Product=Elig!$C156,Elig_MatchAll_Ct&lt;22,$BC156=(Elig_MatchAll_Ct-1),AR156=0),O156,0)</f>
        <v>0</v>
      </c>
      <c r="BU156" s="205">
        <f>IF(AND(Input_Product=Elig!$C156,Elig_MatchAll_Ct&lt;22,$BC156=(Elig_MatchAll_Ct-1),AS156=0),P156,0)</f>
        <v>0</v>
      </c>
      <c r="BV156" s="206">
        <f>IF(AND(Input_Product=Elig!$C156,Elig_MatchAll_Ct&lt;22,$BC156=(Elig_MatchAll_Ct-1),AT156=0),Q156,0)</f>
        <v>0</v>
      </c>
      <c r="BW156" s="207">
        <f>IF(AND(Input_Product=Elig!$C156,Elig_MatchAll_Ct&lt;22,$BC156=(Elig_MatchAll_Ct-1),AU156=0),R156,0)</f>
        <v>0</v>
      </c>
      <c r="BX156" s="208">
        <f>IF(AND(Input_Product=Elig!$C156,Elig_MatchAll_Ct&lt;22,$BC156=(Elig_MatchAll_Ct-1),AU156=0),S156,0)</f>
        <v>0</v>
      </c>
      <c r="BY156" s="207">
        <f>IF(AND(Input_Product=Elig!$C156,Elig_MatchAll_Ct&lt;22,$BC156=(Elig_MatchAll_Ct-1),AV156=0),T156,0)</f>
        <v>0</v>
      </c>
      <c r="BZ156" s="208">
        <f>IF(AND(Input_Product=Elig!$C156,Elig_MatchAll_Ct&lt;22,$BC156=(Elig_MatchAll_Ct-1),AV156=0),U156,0)</f>
        <v>0</v>
      </c>
      <c r="CA156" s="207">
        <f>IF(AND(Input_Product=Elig!$C156,Elig_MatchAll_Ct&lt;22,$BC156=(Elig_MatchAll_Ct-1),AW156=0),V156,0)</f>
        <v>0</v>
      </c>
      <c r="CB156" s="208">
        <f>IF(AND(Input_Product=Elig!$C156,Elig_MatchAll_Ct&lt;22,$BC156=(Elig_MatchAll_Ct-1),AW156=0),W156,0)</f>
        <v>0</v>
      </c>
      <c r="CC156" s="207">
        <f>IF(AND(Input_Product=Elig!$C156,Elig_MatchAll_Ct&lt;22,$BC156=(Elig_MatchAll_Ct-1),AX156=0),X156,0)</f>
        <v>0</v>
      </c>
      <c r="CD156" s="208">
        <f>IF(AND(Input_Product=Elig!$C156,Elig_MatchAll_Ct&lt;22,$BC156=(Elig_MatchAll_Ct-1),AX156=0),Y156,0)</f>
        <v>0</v>
      </c>
      <c r="CE156" s="207">
        <f>IF(AND(Input_LTV&lt;=AE156,Input_Product=Elig!$C156,Elig_MatchAll_Ct&lt;22,$BC156=(Elig_MatchAll_Ct-1),AY156=0),Z156,0)</f>
        <v>0</v>
      </c>
      <c r="CF156" s="208">
        <f>IF(AND(Input_LTV&lt;=AE156,Input_Product=Elig!$C156,Elig_MatchAll_Ct&lt;22,$BC156=(Elig_MatchAll_Ct-1),AY156=0),AA156,0)</f>
        <v>0</v>
      </c>
      <c r="CG156" s="207">
        <f>IF(AND(Input_Product=Elig!$C156,Elig_MatchAll_Ct&lt;22,$BC156=(Elig_MatchAll_Ct-1),AZ156=0),AB156,0)</f>
        <v>0</v>
      </c>
      <c r="CH156" s="208">
        <f>IF(AND(Input_Product=Elig!$C156,Elig_MatchAll_Ct&lt;22,$BC156=(Elig_MatchAll_Ct-1),AZ156=0),AC156,0)</f>
        <v>0</v>
      </c>
      <c r="CI156" s="207">
        <f>IF(AND(Input_Product=Elig!$C156,Elig_MatchAll_Ct&lt;22,$BC156=(Elig_MatchAll_Ct-1),BA156=0),AD156,0)</f>
        <v>0</v>
      </c>
      <c r="CJ156" s="209">
        <f>IF(AND(Input_Product=Elig!$C156,Elig_MatchAll_Ct&lt;22,$BC156=(Elig_MatchAll_Ct-1),BA156=0),AE156,0)</f>
        <v>0</v>
      </c>
    </row>
    <row r="157" spans="2:88" ht="10.15" customHeight="1" x14ac:dyDescent="0.25">
      <c r="B157" s="1912" t="s">
        <v>905</v>
      </c>
      <c r="C157" s="141" t="str">
        <f t="shared" si="35"/>
        <v>NonQM OO</v>
      </c>
      <c r="D157" s="142" t="s">
        <v>3885</v>
      </c>
      <c r="E157" s="143" t="s">
        <v>167</v>
      </c>
      <c r="F157" s="143" t="s">
        <v>331</v>
      </c>
      <c r="G157" s="143" t="s">
        <v>468</v>
      </c>
      <c r="H157" s="143" t="s">
        <v>136</v>
      </c>
      <c r="I157" s="142" t="s">
        <v>16</v>
      </c>
      <c r="J157" s="142" t="s">
        <v>1311</v>
      </c>
      <c r="K157" s="142" t="s">
        <v>1631</v>
      </c>
      <c r="L157" s="2131" t="s">
        <v>3920</v>
      </c>
      <c r="M157" s="143" t="s">
        <v>4203</v>
      </c>
      <c r="N157" s="143" t="s">
        <v>82</v>
      </c>
      <c r="O157" s="143" t="s">
        <v>310</v>
      </c>
      <c r="P157" s="143" t="s">
        <v>291</v>
      </c>
      <c r="Q157" s="143" t="s">
        <v>294</v>
      </c>
      <c r="R157" s="142">
        <v>1500000.01</v>
      </c>
      <c r="S157" s="142">
        <v>2000000</v>
      </c>
      <c r="T157" s="142">
        <v>0</v>
      </c>
      <c r="U157" s="142">
        <f t="shared" ref="U157:U162" si="54">S157</f>
        <v>2000000</v>
      </c>
      <c r="V157" s="142">
        <v>0</v>
      </c>
      <c r="W157" s="142">
        <v>55</v>
      </c>
      <c r="X157" s="142">
        <v>0</v>
      </c>
      <c r="Y157" s="142">
        <v>999</v>
      </c>
      <c r="Z157" s="144">
        <v>720</v>
      </c>
      <c r="AA157" s="144">
        <v>999</v>
      </c>
      <c r="AB157" s="144">
        <v>6</v>
      </c>
      <c r="AC157" s="144">
        <v>999999</v>
      </c>
      <c r="AD157" s="142">
        <v>0</v>
      </c>
      <c r="AE157" s="320">
        <v>80</v>
      </c>
      <c r="AF157" s="170">
        <v>0</v>
      </c>
      <c r="AG157" s="171">
        <v>1</v>
      </c>
      <c r="AH157" s="171">
        <v>1</v>
      </c>
      <c r="AI157" s="171">
        <v>1</v>
      </c>
      <c r="AJ157" s="171">
        <v>0</v>
      </c>
      <c r="AK157" s="171">
        <v>1</v>
      </c>
      <c r="AL157" s="171">
        <v>1</v>
      </c>
      <c r="AM157" s="171">
        <v>1</v>
      </c>
      <c r="AN157" s="171">
        <v>1</v>
      </c>
      <c r="AO157" s="171">
        <v>1</v>
      </c>
      <c r="AP157" s="171">
        <v>1</v>
      </c>
      <c r="AQ157" s="171">
        <v>1</v>
      </c>
      <c r="AR157" s="171">
        <v>1</v>
      </c>
      <c r="AS157" s="171">
        <v>1</v>
      </c>
      <c r="AT157" s="171">
        <v>1</v>
      </c>
      <c r="AU157" s="171">
        <f t="shared" si="41"/>
        <v>0</v>
      </c>
      <c r="AV157" s="171">
        <f t="shared" si="42"/>
        <v>1</v>
      </c>
      <c r="AW157" s="171">
        <f t="shared" si="43"/>
        <v>1</v>
      </c>
      <c r="AX157" s="171">
        <f t="shared" si="53"/>
        <v>1</v>
      </c>
      <c r="AY157" s="171">
        <f t="shared" si="44"/>
        <v>1</v>
      </c>
      <c r="AZ157" s="171">
        <f t="shared" si="45"/>
        <v>1</v>
      </c>
      <c r="BA157" s="172">
        <f t="shared" si="46"/>
        <v>1</v>
      </c>
      <c r="BB157" s="175">
        <f t="shared" si="47"/>
        <v>19</v>
      </c>
      <c r="BC157" s="176">
        <f t="shared" si="48"/>
        <v>18</v>
      </c>
      <c r="BD157" s="176">
        <f t="shared" si="49"/>
        <v>19</v>
      </c>
      <c r="BE157" s="240" t="str">
        <f t="shared" si="51"/>
        <v/>
      </c>
      <c r="BH157" s="192">
        <f>IF(AND(Input_Product=Elig!$C157,Elig_MatchAll_Ct&lt;22,$BC157=(Elig_MatchAll_Ct-1),AF157=0),C157,0)</f>
        <v>0</v>
      </c>
      <c r="BI157" s="193">
        <f>IF(AND(Input_Product=Elig!$C157,Elig_MatchAll_Ct&lt;22,$BC157=(Elig_MatchAll_Ct-1),AG157=0),D157,0)</f>
        <v>0</v>
      </c>
      <c r="BJ157" s="193">
        <f>IF(AND(Input_Product=Elig!$C157,Elig_MatchAll_Ct&lt;22,$BC157=(Elig_MatchAll_Ct-1),AH157=0),E157,0)</f>
        <v>0</v>
      </c>
      <c r="BK157" s="193">
        <f>IF(AND(Input_Product=Elig!$C157,Elig_MatchAll_Ct&lt;22,$BC157=(Elig_MatchAll_Ct-1),AI157=0),F157,0)</f>
        <v>0</v>
      </c>
      <c r="BL157" s="193">
        <f>IF(AND(Input_Product=Elig!$C157,Elig_MatchAll_Ct&lt;22,$BC157=(Elig_MatchAll_Ct-1),AJ157=0),G157,0)</f>
        <v>0</v>
      </c>
      <c r="BM157" s="193">
        <f>IF(AND(Input_Product=Elig!$C157,Elig_MatchAll_Ct&lt;22,$BC157=(Elig_MatchAll_Ct-1),AK157=0),H157,0)</f>
        <v>0</v>
      </c>
      <c r="BN157" s="193">
        <f>IF(AND(Input_Product=Elig!$C157,Elig_MatchAll_Ct&lt;22,$BC157=(Elig_MatchAll_Ct-1),AL157=0),I157,0)</f>
        <v>0</v>
      </c>
      <c r="BO157" s="193">
        <f>IF(AND(Input_Product=Elig!$C157,Elig_MatchAll_Ct&lt;22,$BC157=(Elig_MatchAll_Ct-1),AM157=0),J157,0)</f>
        <v>0</v>
      </c>
      <c r="BP157" s="193">
        <f>IF(AND(Input_Product=Elig!$C157,Elig_MatchAll_Ct&lt;22,$BC157=(Elig_MatchAll_Ct-1),AN157=0),K157,0)</f>
        <v>0</v>
      </c>
      <c r="BQ157" s="193">
        <f>IF(AND(Input_Product=Elig!$C157,Elig_MatchAll_Ct&lt;22,$BC157=(Elig_MatchAll_Ct-1),AP157=0),L157,0)</f>
        <v>0</v>
      </c>
      <c r="BR157" s="193">
        <f>IF(AND(Input_Product=Elig!$C157,Elig_MatchAll_Ct&lt;22,$BC157=(Elig_MatchAll_Ct-1),AO157=0),M157,0)</f>
        <v>0</v>
      </c>
      <c r="BS157" s="193">
        <f>IF(AND(Input_Product=Elig!$C157,Elig_MatchAll_Ct&lt;22,$BC157=(Elig_MatchAll_Ct-1),AQ157=0),N157,0)</f>
        <v>0</v>
      </c>
      <c r="BT157" s="193">
        <f>IF(AND(Input_Product=Elig!$C157,Elig_MatchAll_Ct&lt;22,$BC157=(Elig_MatchAll_Ct-1),AR157=0),O157,0)</f>
        <v>0</v>
      </c>
      <c r="BU157" s="193">
        <f>IF(AND(Input_Product=Elig!$C157,Elig_MatchAll_Ct&lt;22,$BC157=(Elig_MatchAll_Ct-1),AS157=0),P157,0)</f>
        <v>0</v>
      </c>
      <c r="BV157" s="194">
        <f>IF(AND(Input_Product=Elig!$C157,Elig_MatchAll_Ct&lt;22,$BC157=(Elig_MatchAll_Ct-1),AT157=0),Q157,0)</f>
        <v>0</v>
      </c>
      <c r="BW157" s="195">
        <f>IF(AND(Input_Product=Elig!$C157,Elig_MatchAll_Ct&lt;22,$BC157=(Elig_MatchAll_Ct-1),AU157=0),R157,0)</f>
        <v>0</v>
      </c>
      <c r="BX157" s="196">
        <f>IF(AND(Input_Product=Elig!$C157,Elig_MatchAll_Ct&lt;22,$BC157=(Elig_MatchAll_Ct-1),AU157=0),S157,0)</f>
        <v>0</v>
      </c>
      <c r="BY157" s="195">
        <f>IF(AND(Input_Product=Elig!$C157,Elig_MatchAll_Ct&lt;22,$BC157=(Elig_MatchAll_Ct-1),AV157=0),T157,0)</f>
        <v>0</v>
      </c>
      <c r="BZ157" s="196">
        <f>IF(AND(Input_Product=Elig!$C157,Elig_MatchAll_Ct&lt;22,$BC157=(Elig_MatchAll_Ct-1),AV157=0),U157,0)</f>
        <v>0</v>
      </c>
      <c r="CA157" s="195">
        <f>IF(AND(Input_Product=Elig!$C157,Elig_MatchAll_Ct&lt;22,$BC157=(Elig_MatchAll_Ct-1),AW157=0),V157,0)</f>
        <v>0</v>
      </c>
      <c r="CB157" s="196">
        <f>IF(AND(Input_Product=Elig!$C157,Elig_MatchAll_Ct&lt;22,$BC157=(Elig_MatchAll_Ct-1),AW157=0),W157,0)</f>
        <v>0</v>
      </c>
      <c r="CC157" s="195">
        <f>IF(AND(Input_Product=Elig!$C157,Elig_MatchAll_Ct&lt;22,$BC157=(Elig_MatchAll_Ct-1),AX157=0),X157,0)</f>
        <v>0</v>
      </c>
      <c r="CD157" s="196">
        <f>IF(AND(Input_Product=Elig!$C157,Elig_MatchAll_Ct&lt;22,$BC157=(Elig_MatchAll_Ct-1),AX157=0),Y157,0)</f>
        <v>0</v>
      </c>
      <c r="CE157" s="195">
        <f>IF(AND(Input_LTV&lt;=AE157,Input_Product=Elig!$C157,Elig_MatchAll_Ct&lt;22,$BC157=(Elig_MatchAll_Ct-1),AY157=0),Z157,0)</f>
        <v>0</v>
      </c>
      <c r="CF157" s="196">
        <f>IF(AND(Input_LTV&lt;=AE157,Input_Product=Elig!$C157,Elig_MatchAll_Ct&lt;22,$BC157=(Elig_MatchAll_Ct-1),AY157=0),AA157,0)</f>
        <v>0</v>
      </c>
      <c r="CG157" s="195">
        <f>IF(AND(Input_Product=Elig!$C157,Elig_MatchAll_Ct&lt;22,$BC157=(Elig_MatchAll_Ct-1),AZ157=0),AB157,0)</f>
        <v>0</v>
      </c>
      <c r="CH157" s="196">
        <f>IF(AND(Input_Product=Elig!$C157,Elig_MatchAll_Ct&lt;22,$BC157=(Elig_MatchAll_Ct-1),AZ157=0),AC157,0)</f>
        <v>0</v>
      </c>
      <c r="CI157" s="195">
        <f>IF(AND(Input_Product=Elig!$C157,Elig_MatchAll_Ct&lt;22,$BC157=(Elig_MatchAll_Ct-1),BA157=0),AD157,0)</f>
        <v>0</v>
      </c>
      <c r="CJ157" s="197">
        <f>IF(AND(Input_Product=Elig!$C157,Elig_MatchAll_Ct&lt;22,$BC157=(Elig_MatchAll_Ct-1),BA157=0),AE157,0)</f>
        <v>0</v>
      </c>
    </row>
    <row r="158" spans="2:88" ht="10.15" customHeight="1" x14ac:dyDescent="0.25">
      <c r="B158" s="1912" t="s">
        <v>906</v>
      </c>
      <c r="C158" s="134" t="str">
        <f t="shared" si="35"/>
        <v>NonQM OO</v>
      </c>
      <c r="D158" s="135" t="s">
        <v>3885</v>
      </c>
      <c r="E158" s="135" t="s">
        <v>167</v>
      </c>
      <c r="F158" s="135" t="s">
        <v>331</v>
      </c>
      <c r="G158" s="135" t="s">
        <v>468</v>
      </c>
      <c r="H158" s="135" t="s">
        <v>136</v>
      </c>
      <c r="I158" s="136" t="s">
        <v>16</v>
      </c>
      <c r="J158" s="136" t="s">
        <v>1311</v>
      </c>
      <c r="K158" s="136" t="s">
        <v>1631</v>
      </c>
      <c r="L158" s="221" t="s">
        <v>3920</v>
      </c>
      <c r="M158" s="135" t="s">
        <v>4203</v>
      </c>
      <c r="N158" s="135" t="s">
        <v>82</v>
      </c>
      <c r="O158" s="135" t="s">
        <v>310</v>
      </c>
      <c r="P158" s="135" t="s">
        <v>291</v>
      </c>
      <c r="Q158" s="135" t="s">
        <v>294</v>
      </c>
      <c r="R158" s="135">
        <v>1500000.01</v>
      </c>
      <c r="S158" s="135">
        <v>2000000</v>
      </c>
      <c r="T158" s="135">
        <v>0</v>
      </c>
      <c r="U158" s="135">
        <f t="shared" si="54"/>
        <v>2000000</v>
      </c>
      <c r="V158" s="135">
        <v>0</v>
      </c>
      <c r="W158" s="135">
        <v>55</v>
      </c>
      <c r="X158" s="135">
        <v>0</v>
      </c>
      <c r="Y158" s="135">
        <v>999</v>
      </c>
      <c r="Z158" s="137">
        <v>700</v>
      </c>
      <c r="AA158" s="137">
        <v>719</v>
      </c>
      <c r="AB158" s="137">
        <v>6</v>
      </c>
      <c r="AC158" s="137">
        <v>999999</v>
      </c>
      <c r="AD158" s="135">
        <v>0</v>
      </c>
      <c r="AE158" s="221">
        <v>75</v>
      </c>
      <c r="AF158" s="170">
        <v>0</v>
      </c>
      <c r="AG158" s="171">
        <v>1</v>
      </c>
      <c r="AH158" s="171">
        <v>1</v>
      </c>
      <c r="AI158" s="171">
        <v>1</v>
      </c>
      <c r="AJ158" s="171">
        <v>0</v>
      </c>
      <c r="AK158" s="171">
        <v>1</v>
      </c>
      <c r="AL158" s="171">
        <v>1</v>
      </c>
      <c r="AM158" s="171">
        <v>1</v>
      </c>
      <c r="AN158" s="171">
        <v>1</v>
      </c>
      <c r="AO158" s="171">
        <v>1</v>
      </c>
      <c r="AP158" s="171">
        <v>1</v>
      </c>
      <c r="AQ158" s="171">
        <v>1</v>
      </c>
      <c r="AR158" s="171">
        <v>1</v>
      </c>
      <c r="AS158" s="171">
        <v>1</v>
      </c>
      <c r="AT158" s="171">
        <v>1</v>
      </c>
      <c r="AU158" s="171">
        <f t="shared" si="41"/>
        <v>0</v>
      </c>
      <c r="AV158" s="171">
        <f t="shared" si="42"/>
        <v>1</v>
      </c>
      <c r="AW158" s="171">
        <f t="shared" si="43"/>
        <v>1</v>
      </c>
      <c r="AX158" s="171">
        <f t="shared" si="53"/>
        <v>1</v>
      </c>
      <c r="AY158" s="171">
        <f t="shared" si="44"/>
        <v>0</v>
      </c>
      <c r="AZ158" s="171">
        <f t="shared" si="45"/>
        <v>1</v>
      </c>
      <c r="BA158" s="172">
        <f t="shared" si="46"/>
        <v>1</v>
      </c>
      <c r="BB158" s="175">
        <f t="shared" si="47"/>
        <v>18</v>
      </c>
      <c r="BC158" s="176">
        <f t="shared" si="48"/>
        <v>17</v>
      </c>
      <c r="BD158" s="176">
        <f t="shared" si="49"/>
        <v>18</v>
      </c>
      <c r="BE158" s="240" t="str">
        <f t="shared" si="51"/>
        <v/>
      </c>
      <c r="BH158" s="198">
        <f>IF(AND(Input_Product=Elig!$C158,Elig_MatchAll_Ct&lt;22,$BC158=(Elig_MatchAll_Ct-1),AF158=0),C158,0)</f>
        <v>0</v>
      </c>
      <c r="BI158" s="199">
        <f>IF(AND(Input_Product=Elig!$C158,Elig_MatchAll_Ct&lt;22,$BC158=(Elig_MatchAll_Ct-1),AG158=0),D158,0)</f>
        <v>0</v>
      </c>
      <c r="BJ158" s="199">
        <f>IF(AND(Input_Product=Elig!$C158,Elig_MatchAll_Ct&lt;22,$BC158=(Elig_MatchAll_Ct-1),AH158=0),E158,0)</f>
        <v>0</v>
      </c>
      <c r="BK158" s="199">
        <f>IF(AND(Input_Product=Elig!$C158,Elig_MatchAll_Ct&lt;22,$BC158=(Elig_MatchAll_Ct-1),AI158=0),F158,0)</f>
        <v>0</v>
      </c>
      <c r="BL158" s="199">
        <f>IF(AND(Input_Product=Elig!$C158,Elig_MatchAll_Ct&lt;22,$BC158=(Elig_MatchAll_Ct-1),AJ158=0),G158,0)</f>
        <v>0</v>
      </c>
      <c r="BM158" s="199">
        <f>IF(AND(Input_Product=Elig!$C158,Elig_MatchAll_Ct&lt;22,$BC158=(Elig_MatchAll_Ct-1),AK158=0),H158,0)</f>
        <v>0</v>
      </c>
      <c r="BN158" s="199">
        <f>IF(AND(Input_Product=Elig!$C158,Elig_MatchAll_Ct&lt;22,$BC158=(Elig_MatchAll_Ct-1),AL158=0),I158,0)</f>
        <v>0</v>
      </c>
      <c r="BO158" s="199">
        <f>IF(AND(Input_Product=Elig!$C158,Elig_MatchAll_Ct&lt;22,$BC158=(Elig_MatchAll_Ct-1),AM158=0),J158,0)</f>
        <v>0</v>
      </c>
      <c r="BP158" s="199">
        <f>IF(AND(Input_Product=Elig!$C158,Elig_MatchAll_Ct&lt;22,$BC158=(Elig_MatchAll_Ct-1),AN158=0),K158,0)</f>
        <v>0</v>
      </c>
      <c r="BQ158" s="199">
        <f>IF(AND(Input_Product=Elig!$C158,Elig_MatchAll_Ct&lt;22,$BC158=(Elig_MatchAll_Ct-1),AP158=0),L158,0)</f>
        <v>0</v>
      </c>
      <c r="BR158" s="199">
        <f>IF(AND(Input_Product=Elig!$C158,Elig_MatchAll_Ct&lt;22,$BC158=(Elig_MatchAll_Ct-1),AO158=0),M158,0)</f>
        <v>0</v>
      </c>
      <c r="BS158" s="199">
        <f>IF(AND(Input_Product=Elig!$C158,Elig_MatchAll_Ct&lt;22,$BC158=(Elig_MatchAll_Ct-1),AQ158=0),N158,0)</f>
        <v>0</v>
      </c>
      <c r="BT158" s="199">
        <f>IF(AND(Input_Product=Elig!$C158,Elig_MatchAll_Ct&lt;22,$BC158=(Elig_MatchAll_Ct-1),AR158=0),O158,0)</f>
        <v>0</v>
      </c>
      <c r="BU158" s="199">
        <f>IF(AND(Input_Product=Elig!$C158,Elig_MatchAll_Ct&lt;22,$BC158=(Elig_MatchAll_Ct-1),AS158=0),P158,0)</f>
        <v>0</v>
      </c>
      <c r="BV158" s="200">
        <f>IF(AND(Input_Product=Elig!$C158,Elig_MatchAll_Ct&lt;22,$BC158=(Elig_MatchAll_Ct-1),AT158=0),Q158,0)</f>
        <v>0</v>
      </c>
      <c r="BW158" s="201">
        <f>IF(AND(Input_Product=Elig!$C158,Elig_MatchAll_Ct&lt;22,$BC158=(Elig_MatchAll_Ct-1),AU158=0),R158,0)</f>
        <v>0</v>
      </c>
      <c r="BX158" s="202">
        <f>IF(AND(Input_Product=Elig!$C158,Elig_MatchAll_Ct&lt;22,$BC158=(Elig_MatchAll_Ct-1),AU158=0),S158,0)</f>
        <v>0</v>
      </c>
      <c r="BY158" s="201">
        <f>IF(AND(Input_Product=Elig!$C158,Elig_MatchAll_Ct&lt;22,$BC158=(Elig_MatchAll_Ct-1),AV158=0),T158,0)</f>
        <v>0</v>
      </c>
      <c r="BZ158" s="202">
        <f>IF(AND(Input_Product=Elig!$C158,Elig_MatchAll_Ct&lt;22,$BC158=(Elig_MatchAll_Ct-1),AV158=0),U158,0)</f>
        <v>0</v>
      </c>
      <c r="CA158" s="201">
        <f>IF(AND(Input_Product=Elig!$C158,Elig_MatchAll_Ct&lt;22,$BC158=(Elig_MatchAll_Ct-1),AW158=0),V158,0)</f>
        <v>0</v>
      </c>
      <c r="CB158" s="202">
        <f>IF(AND(Input_Product=Elig!$C158,Elig_MatchAll_Ct&lt;22,$BC158=(Elig_MatchAll_Ct-1),AW158=0),W158,0)</f>
        <v>0</v>
      </c>
      <c r="CC158" s="201">
        <f>IF(AND(Input_Product=Elig!$C158,Elig_MatchAll_Ct&lt;22,$BC158=(Elig_MatchAll_Ct-1),AX158=0),X158,0)</f>
        <v>0</v>
      </c>
      <c r="CD158" s="202">
        <f>IF(AND(Input_Product=Elig!$C158,Elig_MatchAll_Ct&lt;22,$BC158=(Elig_MatchAll_Ct-1),AX158=0),Y158,0)</f>
        <v>0</v>
      </c>
      <c r="CE158" s="201">
        <f>IF(AND(Input_LTV&lt;=AE158,Input_Product=Elig!$C158,Elig_MatchAll_Ct&lt;22,$BC158=(Elig_MatchAll_Ct-1),AY158=0),Z158,0)</f>
        <v>0</v>
      </c>
      <c r="CF158" s="202">
        <f>IF(AND(Input_LTV&lt;=AE158,Input_Product=Elig!$C158,Elig_MatchAll_Ct&lt;22,$BC158=(Elig_MatchAll_Ct-1),AY158=0),AA158,0)</f>
        <v>0</v>
      </c>
      <c r="CG158" s="201">
        <f>IF(AND(Input_Product=Elig!$C158,Elig_MatchAll_Ct&lt;22,$BC158=(Elig_MatchAll_Ct-1),AZ158=0),AB158,0)</f>
        <v>0</v>
      </c>
      <c r="CH158" s="202">
        <f>IF(AND(Input_Product=Elig!$C158,Elig_MatchAll_Ct&lt;22,$BC158=(Elig_MatchAll_Ct-1),AZ158=0),AC158,0)</f>
        <v>0</v>
      </c>
      <c r="CI158" s="201">
        <f>IF(AND(Input_Product=Elig!$C158,Elig_MatchAll_Ct&lt;22,$BC158=(Elig_MatchAll_Ct-1),BA158=0),AD158,0)</f>
        <v>0</v>
      </c>
      <c r="CJ158" s="203">
        <f>IF(AND(Input_Product=Elig!$C158,Elig_MatchAll_Ct&lt;22,$BC158=(Elig_MatchAll_Ct-1),BA158=0),AE158,0)</f>
        <v>0</v>
      </c>
    </row>
    <row r="159" spans="2:88" ht="10.15" customHeight="1" x14ac:dyDescent="0.25">
      <c r="B159" s="1912" t="s">
        <v>907</v>
      </c>
      <c r="C159" s="134" t="str">
        <f t="shared" si="35"/>
        <v>NonQM OO</v>
      </c>
      <c r="D159" s="135" t="s">
        <v>3885</v>
      </c>
      <c r="E159" s="135" t="s">
        <v>167</v>
      </c>
      <c r="F159" s="135" t="s">
        <v>331</v>
      </c>
      <c r="G159" s="135" t="s">
        <v>468</v>
      </c>
      <c r="H159" s="135" t="s">
        <v>136</v>
      </c>
      <c r="I159" s="136" t="s">
        <v>16</v>
      </c>
      <c r="J159" s="136" t="s">
        <v>1311</v>
      </c>
      <c r="K159" s="136" t="s">
        <v>1631</v>
      </c>
      <c r="L159" s="221" t="s">
        <v>3920</v>
      </c>
      <c r="M159" s="135" t="s">
        <v>4203</v>
      </c>
      <c r="N159" s="135" t="s">
        <v>82</v>
      </c>
      <c r="O159" s="135" t="s">
        <v>310</v>
      </c>
      <c r="P159" s="135" t="s">
        <v>291</v>
      </c>
      <c r="Q159" s="135" t="s">
        <v>294</v>
      </c>
      <c r="R159" s="135">
        <v>1500000.01</v>
      </c>
      <c r="S159" s="135">
        <v>2000000</v>
      </c>
      <c r="T159" s="135">
        <v>0</v>
      </c>
      <c r="U159" s="135">
        <f t="shared" si="54"/>
        <v>2000000</v>
      </c>
      <c r="V159" s="135">
        <v>0</v>
      </c>
      <c r="W159" s="135">
        <v>55</v>
      </c>
      <c r="X159" s="135">
        <v>0</v>
      </c>
      <c r="Y159" s="135">
        <v>999</v>
      </c>
      <c r="Z159" s="137">
        <v>680</v>
      </c>
      <c r="AA159" s="137">
        <v>699</v>
      </c>
      <c r="AB159" s="137">
        <v>6</v>
      </c>
      <c r="AC159" s="137">
        <v>999999</v>
      </c>
      <c r="AD159" s="135">
        <v>0</v>
      </c>
      <c r="AE159" s="221">
        <v>70</v>
      </c>
      <c r="AF159" s="170">
        <v>0</v>
      </c>
      <c r="AG159" s="171">
        <v>1</v>
      </c>
      <c r="AH159" s="171">
        <v>1</v>
      </c>
      <c r="AI159" s="171">
        <v>1</v>
      </c>
      <c r="AJ159" s="171">
        <v>0</v>
      </c>
      <c r="AK159" s="171">
        <v>1</v>
      </c>
      <c r="AL159" s="171">
        <v>1</v>
      </c>
      <c r="AM159" s="171">
        <v>1</v>
      </c>
      <c r="AN159" s="171">
        <v>1</v>
      </c>
      <c r="AO159" s="171">
        <v>1</v>
      </c>
      <c r="AP159" s="171">
        <v>1</v>
      </c>
      <c r="AQ159" s="171">
        <v>1</v>
      </c>
      <c r="AR159" s="171">
        <v>1</v>
      </c>
      <c r="AS159" s="171">
        <v>1</v>
      </c>
      <c r="AT159" s="171">
        <v>1</v>
      </c>
      <c r="AU159" s="171">
        <f t="shared" si="41"/>
        <v>0</v>
      </c>
      <c r="AV159" s="171">
        <f t="shared" si="42"/>
        <v>1</v>
      </c>
      <c r="AW159" s="171">
        <f t="shared" si="43"/>
        <v>1</v>
      </c>
      <c r="AX159" s="171">
        <f t="shared" si="53"/>
        <v>1</v>
      </c>
      <c r="AY159" s="171">
        <f t="shared" si="44"/>
        <v>0</v>
      </c>
      <c r="AZ159" s="171">
        <f t="shared" si="45"/>
        <v>1</v>
      </c>
      <c r="BA159" s="172">
        <f t="shared" si="46"/>
        <v>1</v>
      </c>
      <c r="BB159" s="175">
        <f t="shared" si="47"/>
        <v>18</v>
      </c>
      <c r="BC159" s="176">
        <f t="shared" si="48"/>
        <v>17</v>
      </c>
      <c r="BD159" s="176">
        <f t="shared" si="49"/>
        <v>18</v>
      </c>
      <c r="BE159" s="240" t="str">
        <f t="shared" si="51"/>
        <v/>
      </c>
      <c r="BH159" s="198">
        <f>IF(AND(Input_Product=Elig!$C159,Elig_MatchAll_Ct&lt;22,$BC159=(Elig_MatchAll_Ct-1),AF159=0),C159,0)</f>
        <v>0</v>
      </c>
      <c r="BI159" s="199">
        <f>IF(AND(Input_Product=Elig!$C159,Elig_MatchAll_Ct&lt;22,$BC159=(Elig_MatchAll_Ct-1),AG159=0),D159,0)</f>
        <v>0</v>
      </c>
      <c r="BJ159" s="199">
        <f>IF(AND(Input_Product=Elig!$C159,Elig_MatchAll_Ct&lt;22,$BC159=(Elig_MatchAll_Ct-1),AH159=0),E159,0)</f>
        <v>0</v>
      </c>
      <c r="BK159" s="199">
        <f>IF(AND(Input_Product=Elig!$C159,Elig_MatchAll_Ct&lt;22,$BC159=(Elig_MatchAll_Ct-1),AI159=0),F159,0)</f>
        <v>0</v>
      </c>
      <c r="BL159" s="199">
        <f>IF(AND(Input_Product=Elig!$C159,Elig_MatchAll_Ct&lt;22,$BC159=(Elig_MatchAll_Ct-1),AJ159=0),G159,0)</f>
        <v>0</v>
      </c>
      <c r="BM159" s="199">
        <f>IF(AND(Input_Product=Elig!$C159,Elig_MatchAll_Ct&lt;22,$BC159=(Elig_MatchAll_Ct-1),AK159=0),H159,0)</f>
        <v>0</v>
      </c>
      <c r="BN159" s="199">
        <f>IF(AND(Input_Product=Elig!$C159,Elig_MatchAll_Ct&lt;22,$BC159=(Elig_MatchAll_Ct-1),AL159=0),I159,0)</f>
        <v>0</v>
      </c>
      <c r="BO159" s="199">
        <f>IF(AND(Input_Product=Elig!$C159,Elig_MatchAll_Ct&lt;22,$BC159=(Elig_MatchAll_Ct-1),AM159=0),J159,0)</f>
        <v>0</v>
      </c>
      <c r="BP159" s="199">
        <f>IF(AND(Input_Product=Elig!$C159,Elig_MatchAll_Ct&lt;22,$BC159=(Elig_MatchAll_Ct-1),AN159=0),K159,0)</f>
        <v>0</v>
      </c>
      <c r="BQ159" s="199">
        <f>IF(AND(Input_Product=Elig!$C159,Elig_MatchAll_Ct&lt;22,$BC159=(Elig_MatchAll_Ct-1),AP159=0),L159,0)</f>
        <v>0</v>
      </c>
      <c r="BR159" s="199">
        <f>IF(AND(Input_Product=Elig!$C159,Elig_MatchAll_Ct&lt;22,$BC159=(Elig_MatchAll_Ct-1),AO159=0),M159,0)</f>
        <v>0</v>
      </c>
      <c r="BS159" s="199">
        <f>IF(AND(Input_Product=Elig!$C159,Elig_MatchAll_Ct&lt;22,$BC159=(Elig_MatchAll_Ct-1),AQ159=0),N159,0)</f>
        <v>0</v>
      </c>
      <c r="BT159" s="199">
        <f>IF(AND(Input_Product=Elig!$C159,Elig_MatchAll_Ct&lt;22,$BC159=(Elig_MatchAll_Ct-1),AR159=0),O159,0)</f>
        <v>0</v>
      </c>
      <c r="BU159" s="199">
        <f>IF(AND(Input_Product=Elig!$C159,Elig_MatchAll_Ct&lt;22,$BC159=(Elig_MatchAll_Ct-1),AS159=0),P159,0)</f>
        <v>0</v>
      </c>
      <c r="BV159" s="200">
        <f>IF(AND(Input_Product=Elig!$C159,Elig_MatchAll_Ct&lt;22,$BC159=(Elig_MatchAll_Ct-1),AT159=0),Q159,0)</f>
        <v>0</v>
      </c>
      <c r="BW159" s="201">
        <f>IF(AND(Input_Product=Elig!$C159,Elig_MatchAll_Ct&lt;22,$BC159=(Elig_MatchAll_Ct-1),AU159=0),R159,0)</f>
        <v>0</v>
      </c>
      <c r="BX159" s="202">
        <f>IF(AND(Input_Product=Elig!$C159,Elig_MatchAll_Ct&lt;22,$BC159=(Elig_MatchAll_Ct-1),AU159=0),S159,0)</f>
        <v>0</v>
      </c>
      <c r="BY159" s="201">
        <f>IF(AND(Input_Product=Elig!$C159,Elig_MatchAll_Ct&lt;22,$BC159=(Elig_MatchAll_Ct-1),AV159=0),T159,0)</f>
        <v>0</v>
      </c>
      <c r="BZ159" s="202">
        <f>IF(AND(Input_Product=Elig!$C159,Elig_MatchAll_Ct&lt;22,$BC159=(Elig_MatchAll_Ct-1),AV159=0),U159,0)</f>
        <v>0</v>
      </c>
      <c r="CA159" s="201">
        <f>IF(AND(Input_Product=Elig!$C159,Elig_MatchAll_Ct&lt;22,$BC159=(Elig_MatchAll_Ct-1),AW159=0),V159,0)</f>
        <v>0</v>
      </c>
      <c r="CB159" s="202">
        <f>IF(AND(Input_Product=Elig!$C159,Elig_MatchAll_Ct&lt;22,$BC159=(Elig_MatchAll_Ct-1),AW159=0),W159,0)</f>
        <v>0</v>
      </c>
      <c r="CC159" s="201">
        <f>IF(AND(Input_Product=Elig!$C159,Elig_MatchAll_Ct&lt;22,$BC159=(Elig_MatchAll_Ct-1),AX159=0),X159,0)</f>
        <v>0</v>
      </c>
      <c r="CD159" s="202">
        <f>IF(AND(Input_Product=Elig!$C159,Elig_MatchAll_Ct&lt;22,$BC159=(Elig_MatchAll_Ct-1),AX159=0),Y159,0)</f>
        <v>0</v>
      </c>
      <c r="CE159" s="201">
        <f>IF(AND(Input_LTV&lt;=AE159,Input_Product=Elig!$C159,Elig_MatchAll_Ct&lt;22,$BC159=(Elig_MatchAll_Ct-1),AY159=0),Z159,0)</f>
        <v>0</v>
      </c>
      <c r="CF159" s="202">
        <f>IF(AND(Input_LTV&lt;=AE159,Input_Product=Elig!$C159,Elig_MatchAll_Ct&lt;22,$BC159=(Elig_MatchAll_Ct-1),AY159=0),AA159,0)</f>
        <v>0</v>
      </c>
      <c r="CG159" s="201">
        <f>IF(AND(Input_Product=Elig!$C159,Elig_MatchAll_Ct&lt;22,$BC159=(Elig_MatchAll_Ct-1),AZ159=0),AB159,0)</f>
        <v>0</v>
      </c>
      <c r="CH159" s="202">
        <f>IF(AND(Input_Product=Elig!$C159,Elig_MatchAll_Ct&lt;22,$BC159=(Elig_MatchAll_Ct-1),AZ159=0),AC159,0)</f>
        <v>0</v>
      </c>
      <c r="CI159" s="201">
        <f>IF(AND(Input_Product=Elig!$C159,Elig_MatchAll_Ct&lt;22,$BC159=(Elig_MatchAll_Ct-1),BA159=0),AD159,0)</f>
        <v>0</v>
      </c>
      <c r="CJ159" s="203">
        <f>IF(AND(Input_Product=Elig!$C159,Elig_MatchAll_Ct&lt;22,$BC159=(Elig_MatchAll_Ct-1),BA159=0),AE159,0)</f>
        <v>0</v>
      </c>
    </row>
    <row r="160" spans="2:88" ht="10.15" customHeight="1" x14ac:dyDescent="0.25">
      <c r="B160" s="1912" t="s">
        <v>908</v>
      </c>
      <c r="C160" s="134" t="str">
        <f t="shared" si="35"/>
        <v>NonQM OO</v>
      </c>
      <c r="D160" s="135" t="s">
        <v>3885</v>
      </c>
      <c r="E160" s="135" t="s">
        <v>167</v>
      </c>
      <c r="F160" s="135" t="s">
        <v>331</v>
      </c>
      <c r="G160" s="135" t="s">
        <v>468</v>
      </c>
      <c r="H160" s="135" t="s">
        <v>136</v>
      </c>
      <c r="I160" s="135" t="s">
        <v>16</v>
      </c>
      <c r="J160" s="135" t="s">
        <v>1311</v>
      </c>
      <c r="K160" s="135" t="s">
        <v>1631</v>
      </c>
      <c r="L160" s="221" t="s">
        <v>3920</v>
      </c>
      <c r="M160" s="135" t="s">
        <v>4203</v>
      </c>
      <c r="N160" s="135" t="s">
        <v>82</v>
      </c>
      <c r="O160" s="135" t="s">
        <v>310</v>
      </c>
      <c r="P160" s="135" t="s">
        <v>291</v>
      </c>
      <c r="Q160" s="135" t="s">
        <v>294</v>
      </c>
      <c r="R160" s="135">
        <v>1500000.01</v>
      </c>
      <c r="S160" s="135">
        <v>2000000</v>
      </c>
      <c r="T160" s="135">
        <v>0</v>
      </c>
      <c r="U160" s="135">
        <f t="shared" si="54"/>
        <v>2000000</v>
      </c>
      <c r="V160" s="135">
        <v>0</v>
      </c>
      <c r="W160" s="135">
        <v>55</v>
      </c>
      <c r="X160" s="135">
        <v>0</v>
      </c>
      <c r="Y160" s="135">
        <v>999</v>
      </c>
      <c r="Z160" s="137">
        <v>660</v>
      </c>
      <c r="AA160" s="137">
        <v>679</v>
      </c>
      <c r="AB160" s="137">
        <v>6</v>
      </c>
      <c r="AC160" s="137">
        <v>999999</v>
      </c>
      <c r="AD160" s="135">
        <v>0</v>
      </c>
      <c r="AE160" s="135">
        <v>65</v>
      </c>
      <c r="AF160" s="170">
        <v>0</v>
      </c>
      <c r="AG160" s="171">
        <v>1</v>
      </c>
      <c r="AH160" s="171">
        <v>1</v>
      </c>
      <c r="AI160" s="171">
        <v>1</v>
      </c>
      <c r="AJ160" s="171">
        <v>0</v>
      </c>
      <c r="AK160" s="171">
        <v>1</v>
      </c>
      <c r="AL160" s="171">
        <v>1</v>
      </c>
      <c r="AM160" s="171">
        <v>1</v>
      </c>
      <c r="AN160" s="171">
        <v>1</v>
      </c>
      <c r="AO160" s="171">
        <v>1</v>
      </c>
      <c r="AP160" s="171">
        <v>1</v>
      </c>
      <c r="AQ160" s="171">
        <v>1</v>
      </c>
      <c r="AR160" s="171">
        <v>1</v>
      </c>
      <c r="AS160" s="171">
        <v>1</v>
      </c>
      <c r="AT160" s="171">
        <v>1</v>
      </c>
      <c r="AU160" s="171">
        <f t="shared" si="41"/>
        <v>0</v>
      </c>
      <c r="AV160" s="171">
        <f t="shared" si="42"/>
        <v>1</v>
      </c>
      <c r="AW160" s="171">
        <f t="shared" si="43"/>
        <v>1</v>
      </c>
      <c r="AX160" s="171">
        <f t="shared" si="53"/>
        <v>1</v>
      </c>
      <c r="AY160" s="171">
        <f t="shared" si="44"/>
        <v>0</v>
      </c>
      <c r="AZ160" s="171">
        <f t="shared" si="45"/>
        <v>1</v>
      </c>
      <c r="BA160" s="172">
        <f t="shared" si="46"/>
        <v>1</v>
      </c>
      <c r="BB160" s="175">
        <f t="shared" si="47"/>
        <v>18</v>
      </c>
      <c r="BC160" s="176">
        <f t="shared" si="48"/>
        <v>17</v>
      </c>
      <c r="BD160" s="176">
        <f t="shared" si="49"/>
        <v>18</v>
      </c>
      <c r="BE160" s="240" t="str">
        <f t="shared" si="51"/>
        <v/>
      </c>
      <c r="BH160" s="198">
        <f>IF(AND(Input_Product=Elig!$C160,Elig_MatchAll_Ct&lt;22,$BC160=(Elig_MatchAll_Ct-1),AF160=0),C160,0)</f>
        <v>0</v>
      </c>
      <c r="BI160" s="199">
        <f>IF(AND(Input_Product=Elig!$C160,Elig_MatchAll_Ct&lt;22,$BC160=(Elig_MatchAll_Ct-1),AG160=0),D160,0)</f>
        <v>0</v>
      </c>
      <c r="BJ160" s="199">
        <f>IF(AND(Input_Product=Elig!$C160,Elig_MatchAll_Ct&lt;22,$BC160=(Elig_MatchAll_Ct-1),AH160=0),E160,0)</f>
        <v>0</v>
      </c>
      <c r="BK160" s="199">
        <f>IF(AND(Input_Product=Elig!$C160,Elig_MatchAll_Ct&lt;22,$BC160=(Elig_MatchAll_Ct-1),AI160=0),F160,0)</f>
        <v>0</v>
      </c>
      <c r="BL160" s="199">
        <f>IF(AND(Input_Product=Elig!$C160,Elig_MatchAll_Ct&lt;22,$BC160=(Elig_MatchAll_Ct-1),AJ160=0),G160,0)</f>
        <v>0</v>
      </c>
      <c r="BM160" s="199">
        <f>IF(AND(Input_Product=Elig!$C160,Elig_MatchAll_Ct&lt;22,$BC160=(Elig_MatchAll_Ct-1),AK160=0),H160,0)</f>
        <v>0</v>
      </c>
      <c r="BN160" s="199">
        <f>IF(AND(Input_Product=Elig!$C160,Elig_MatchAll_Ct&lt;22,$BC160=(Elig_MatchAll_Ct-1),AL160=0),I160,0)</f>
        <v>0</v>
      </c>
      <c r="BO160" s="199">
        <f>IF(AND(Input_Product=Elig!$C160,Elig_MatchAll_Ct&lt;22,$BC160=(Elig_MatchAll_Ct-1),AM160=0),J160,0)</f>
        <v>0</v>
      </c>
      <c r="BP160" s="199">
        <f>IF(AND(Input_Product=Elig!$C160,Elig_MatchAll_Ct&lt;22,$BC160=(Elig_MatchAll_Ct-1),AN160=0),K160,0)</f>
        <v>0</v>
      </c>
      <c r="BQ160" s="199">
        <f>IF(AND(Input_Product=Elig!$C160,Elig_MatchAll_Ct&lt;22,$BC160=(Elig_MatchAll_Ct-1),AP160=0),L160,0)</f>
        <v>0</v>
      </c>
      <c r="BR160" s="199">
        <f>IF(AND(Input_Product=Elig!$C160,Elig_MatchAll_Ct&lt;22,$BC160=(Elig_MatchAll_Ct-1),AO160=0),M160,0)</f>
        <v>0</v>
      </c>
      <c r="BS160" s="199">
        <f>IF(AND(Input_Product=Elig!$C160,Elig_MatchAll_Ct&lt;22,$BC160=(Elig_MatchAll_Ct-1),AQ160=0),N160,0)</f>
        <v>0</v>
      </c>
      <c r="BT160" s="199">
        <f>IF(AND(Input_Product=Elig!$C160,Elig_MatchAll_Ct&lt;22,$BC160=(Elig_MatchAll_Ct-1),AR160=0),O160,0)</f>
        <v>0</v>
      </c>
      <c r="BU160" s="199">
        <f>IF(AND(Input_Product=Elig!$C160,Elig_MatchAll_Ct&lt;22,$BC160=(Elig_MatchAll_Ct-1),AS160=0),P160,0)</f>
        <v>0</v>
      </c>
      <c r="BV160" s="200">
        <f>IF(AND(Input_Product=Elig!$C160,Elig_MatchAll_Ct&lt;22,$BC160=(Elig_MatchAll_Ct-1),AT160=0),Q160,0)</f>
        <v>0</v>
      </c>
      <c r="BW160" s="201">
        <f>IF(AND(Input_Product=Elig!$C160,Elig_MatchAll_Ct&lt;22,$BC160=(Elig_MatchAll_Ct-1),AU160=0),R160,0)</f>
        <v>0</v>
      </c>
      <c r="BX160" s="202">
        <f>IF(AND(Input_Product=Elig!$C160,Elig_MatchAll_Ct&lt;22,$BC160=(Elig_MatchAll_Ct-1),AU160=0),S160,0)</f>
        <v>0</v>
      </c>
      <c r="BY160" s="201">
        <f>IF(AND(Input_Product=Elig!$C160,Elig_MatchAll_Ct&lt;22,$BC160=(Elig_MatchAll_Ct-1),AV160=0),T160,0)</f>
        <v>0</v>
      </c>
      <c r="BZ160" s="202">
        <f>IF(AND(Input_Product=Elig!$C160,Elig_MatchAll_Ct&lt;22,$BC160=(Elig_MatchAll_Ct-1),AV160=0),U160,0)</f>
        <v>0</v>
      </c>
      <c r="CA160" s="201">
        <f>IF(AND(Input_Product=Elig!$C160,Elig_MatchAll_Ct&lt;22,$BC160=(Elig_MatchAll_Ct-1),AW160=0),V160,0)</f>
        <v>0</v>
      </c>
      <c r="CB160" s="202">
        <f>IF(AND(Input_Product=Elig!$C160,Elig_MatchAll_Ct&lt;22,$BC160=(Elig_MatchAll_Ct-1),AW160=0),W160,0)</f>
        <v>0</v>
      </c>
      <c r="CC160" s="201">
        <f>IF(AND(Input_Product=Elig!$C160,Elig_MatchAll_Ct&lt;22,$BC160=(Elig_MatchAll_Ct-1),AX160=0),X160,0)</f>
        <v>0</v>
      </c>
      <c r="CD160" s="202">
        <f>IF(AND(Input_Product=Elig!$C160,Elig_MatchAll_Ct&lt;22,$BC160=(Elig_MatchAll_Ct-1),AX160=0),Y160,0)</f>
        <v>0</v>
      </c>
      <c r="CE160" s="201">
        <f>IF(AND(Input_LTV&lt;=AE160,Input_Product=Elig!$C160,Elig_MatchAll_Ct&lt;22,$BC160=(Elig_MatchAll_Ct-1),AY160=0),Z160,0)</f>
        <v>0</v>
      </c>
      <c r="CF160" s="202">
        <f>IF(AND(Input_LTV&lt;=AE160,Input_Product=Elig!$C160,Elig_MatchAll_Ct&lt;22,$BC160=(Elig_MatchAll_Ct-1),AY160=0),AA160,0)</f>
        <v>0</v>
      </c>
      <c r="CG160" s="201">
        <f>IF(AND(Input_Product=Elig!$C160,Elig_MatchAll_Ct&lt;22,$BC160=(Elig_MatchAll_Ct-1),AZ160=0),AB160,0)</f>
        <v>0</v>
      </c>
      <c r="CH160" s="202">
        <f>IF(AND(Input_Product=Elig!$C160,Elig_MatchAll_Ct&lt;22,$BC160=(Elig_MatchAll_Ct-1),AZ160=0),AC160,0)</f>
        <v>0</v>
      </c>
      <c r="CI160" s="201">
        <f>IF(AND(Input_Product=Elig!$C160,Elig_MatchAll_Ct&lt;22,$BC160=(Elig_MatchAll_Ct-1),BA160=0),AD160,0)</f>
        <v>0</v>
      </c>
      <c r="CJ160" s="203">
        <f>IF(AND(Input_Product=Elig!$C160,Elig_MatchAll_Ct&lt;22,$BC160=(Elig_MatchAll_Ct-1),BA160=0),AE160,0)</f>
        <v>0</v>
      </c>
    </row>
    <row r="161" spans="2:88" ht="10.15" customHeight="1" x14ac:dyDescent="0.25">
      <c r="B161" s="1912" t="s">
        <v>909</v>
      </c>
      <c r="C161" s="134" t="str">
        <f t="shared" si="35"/>
        <v>NonQM OO</v>
      </c>
      <c r="D161" s="135" t="s">
        <v>3885</v>
      </c>
      <c r="E161" s="135" t="s">
        <v>167</v>
      </c>
      <c r="F161" s="135" t="s">
        <v>331</v>
      </c>
      <c r="G161" s="135" t="s">
        <v>468</v>
      </c>
      <c r="H161" s="135" t="s">
        <v>136</v>
      </c>
      <c r="I161" s="135" t="s">
        <v>16</v>
      </c>
      <c r="J161" s="135" t="s">
        <v>1311</v>
      </c>
      <c r="K161" s="135" t="s">
        <v>1631</v>
      </c>
      <c r="L161" s="221" t="s">
        <v>3920</v>
      </c>
      <c r="M161" s="135" t="s">
        <v>4203</v>
      </c>
      <c r="N161" s="135" t="s">
        <v>82</v>
      </c>
      <c r="O161" s="135" t="s">
        <v>310</v>
      </c>
      <c r="P161" s="135" t="s">
        <v>291</v>
      </c>
      <c r="Q161" s="135" t="s">
        <v>294</v>
      </c>
      <c r="R161" s="135">
        <v>1500000.01</v>
      </c>
      <c r="S161" s="135">
        <v>2000000</v>
      </c>
      <c r="T161" s="135">
        <v>0</v>
      </c>
      <c r="U161" s="135">
        <f t="shared" si="54"/>
        <v>2000000</v>
      </c>
      <c r="V161" s="135">
        <v>0</v>
      </c>
      <c r="W161" s="135">
        <v>55</v>
      </c>
      <c r="X161" s="135">
        <v>0</v>
      </c>
      <c r="Y161" s="135">
        <v>999</v>
      </c>
      <c r="Z161" s="137">
        <v>640</v>
      </c>
      <c r="AA161" s="137">
        <v>659</v>
      </c>
      <c r="AB161" s="137">
        <v>6</v>
      </c>
      <c r="AC161" s="137">
        <v>999999</v>
      </c>
      <c r="AD161" s="135">
        <v>0</v>
      </c>
      <c r="AE161" s="135">
        <v>-999</v>
      </c>
      <c r="AF161" s="170">
        <v>0</v>
      </c>
      <c r="AG161" s="171">
        <v>1</v>
      </c>
      <c r="AH161" s="171">
        <v>1</v>
      </c>
      <c r="AI161" s="171">
        <v>1</v>
      </c>
      <c r="AJ161" s="171">
        <v>0</v>
      </c>
      <c r="AK161" s="171">
        <v>1</v>
      </c>
      <c r="AL161" s="171">
        <v>1</v>
      </c>
      <c r="AM161" s="171">
        <v>1</v>
      </c>
      <c r="AN161" s="171">
        <v>1</v>
      </c>
      <c r="AO161" s="171">
        <v>1</v>
      </c>
      <c r="AP161" s="171">
        <v>1</v>
      </c>
      <c r="AQ161" s="171">
        <v>1</v>
      </c>
      <c r="AR161" s="171">
        <v>1</v>
      </c>
      <c r="AS161" s="171">
        <v>1</v>
      </c>
      <c r="AT161" s="171">
        <v>1</v>
      </c>
      <c r="AU161" s="171">
        <f t="shared" si="41"/>
        <v>0</v>
      </c>
      <c r="AV161" s="171">
        <f t="shared" si="42"/>
        <v>1</v>
      </c>
      <c r="AW161" s="171">
        <f t="shared" si="43"/>
        <v>1</v>
      </c>
      <c r="AX161" s="171">
        <f t="shared" si="53"/>
        <v>1</v>
      </c>
      <c r="AY161" s="171">
        <f t="shared" si="44"/>
        <v>0</v>
      </c>
      <c r="AZ161" s="171">
        <f t="shared" si="45"/>
        <v>1</v>
      </c>
      <c r="BA161" s="172">
        <f t="shared" si="46"/>
        <v>0</v>
      </c>
      <c r="BB161" s="175">
        <f t="shared" si="47"/>
        <v>17</v>
      </c>
      <c r="BC161" s="176">
        <f t="shared" si="48"/>
        <v>17</v>
      </c>
      <c r="BD161" s="176">
        <f t="shared" si="49"/>
        <v>17</v>
      </c>
      <c r="BE161" s="240" t="str">
        <f t="shared" si="51"/>
        <v/>
      </c>
      <c r="BH161" s="198">
        <f>IF(AND(Input_Product=Elig!$C161,Elig_MatchAll_Ct&lt;22,$BC161=(Elig_MatchAll_Ct-1),AF161=0),C161,0)</f>
        <v>0</v>
      </c>
      <c r="BI161" s="199">
        <f>IF(AND(Input_Product=Elig!$C161,Elig_MatchAll_Ct&lt;22,$BC161=(Elig_MatchAll_Ct-1),AG161=0),D161,0)</f>
        <v>0</v>
      </c>
      <c r="BJ161" s="199">
        <f>IF(AND(Input_Product=Elig!$C161,Elig_MatchAll_Ct&lt;22,$BC161=(Elig_MatchAll_Ct-1),AH161=0),E161,0)</f>
        <v>0</v>
      </c>
      <c r="BK161" s="199">
        <f>IF(AND(Input_Product=Elig!$C161,Elig_MatchAll_Ct&lt;22,$BC161=(Elig_MatchAll_Ct-1),AI161=0),F161,0)</f>
        <v>0</v>
      </c>
      <c r="BL161" s="199">
        <f>IF(AND(Input_Product=Elig!$C161,Elig_MatchAll_Ct&lt;22,$BC161=(Elig_MatchAll_Ct-1),AJ161=0),G161,0)</f>
        <v>0</v>
      </c>
      <c r="BM161" s="199">
        <f>IF(AND(Input_Product=Elig!$C161,Elig_MatchAll_Ct&lt;22,$BC161=(Elig_MatchAll_Ct-1),AK161=0),H161,0)</f>
        <v>0</v>
      </c>
      <c r="BN161" s="199">
        <f>IF(AND(Input_Product=Elig!$C161,Elig_MatchAll_Ct&lt;22,$BC161=(Elig_MatchAll_Ct-1),AL161=0),I161,0)</f>
        <v>0</v>
      </c>
      <c r="BO161" s="199">
        <f>IF(AND(Input_Product=Elig!$C161,Elig_MatchAll_Ct&lt;22,$BC161=(Elig_MatchAll_Ct-1),AM161=0),J161,0)</f>
        <v>0</v>
      </c>
      <c r="BP161" s="199">
        <f>IF(AND(Input_Product=Elig!$C161,Elig_MatchAll_Ct&lt;22,$BC161=(Elig_MatchAll_Ct-1),AN161=0),K161,0)</f>
        <v>0</v>
      </c>
      <c r="BQ161" s="199">
        <f>IF(AND(Input_Product=Elig!$C161,Elig_MatchAll_Ct&lt;22,$BC161=(Elig_MatchAll_Ct-1),AP161=0),L161,0)</f>
        <v>0</v>
      </c>
      <c r="BR161" s="199">
        <f>IF(AND(Input_Product=Elig!$C161,Elig_MatchAll_Ct&lt;22,$BC161=(Elig_MatchAll_Ct-1),AO161=0),M161,0)</f>
        <v>0</v>
      </c>
      <c r="BS161" s="199">
        <f>IF(AND(Input_Product=Elig!$C161,Elig_MatchAll_Ct&lt;22,$BC161=(Elig_MatchAll_Ct-1),AQ161=0),N161,0)</f>
        <v>0</v>
      </c>
      <c r="BT161" s="199">
        <f>IF(AND(Input_Product=Elig!$C161,Elig_MatchAll_Ct&lt;22,$BC161=(Elig_MatchAll_Ct-1),AR161=0),O161,0)</f>
        <v>0</v>
      </c>
      <c r="BU161" s="199">
        <f>IF(AND(Input_Product=Elig!$C161,Elig_MatchAll_Ct&lt;22,$BC161=(Elig_MatchAll_Ct-1),AS161=0),P161,0)</f>
        <v>0</v>
      </c>
      <c r="BV161" s="200">
        <f>IF(AND(Input_Product=Elig!$C161,Elig_MatchAll_Ct&lt;22,$BC161=(Elig_MatchAll_Ct-1),AT161=0),Q161,0)</f>
        <v>0</v>
      </c>
      <c r="BW161" s="201">
        <f>IF(AND(Input_Product=Elig!$C161,Elig_MatchAll_Ct&lt;22,$BC161=(Elig_MatchAll_Ct-1),AU161=0),R161,0)</f>
        <v>0</v>
      </c>
      <c r="BX161" s="202">
        <f>IF(AND(Input_Product=Elig!$C161,Elig_MatchAll_Ct&lt;22,$BC161=(Elig_MatchAll_Ct-1),AU161=0),S161,0)</f>
        <v>0</v>
      </c>
      <c r="BY161" s="201">
        <f>IF(AND(Input_Product=Elig!$C161,Elig_MatchAll_Ct&lt;22,$BC161=(Elig_MatchAll_Ct-1),AV161=0),T161,0)</f>
        <v>0</v>
      </c>
      <c r="BZ161" s="202">
        <f>IF(AND(Input_Product=Elig!$C161,Elig_MatchAll_Ct&lt;22,$BC161=(Elig_MatchAll_Ct-1),AV161=0),U161,0)</f>
        <v>0</v>
      </c>
      <c r="CA161" s="201">
        <f>IF(AND(Input_Product=Elig!$C161,Elig_MatchAll_Ct&lt;22,$BC161=(Elig_MatchAll_Ct-1),AW161=0),V161,0)</f>
        <v>0</v>
      </c>
      <c r="CB161" s="202">
        <f>IF(AND(Input_Product=Elig!$C161,Elig_MatchAll_Ct&lt;22,$BC161=(Elig_MatchAll_Ct-1),AW161=0),W161,0)</f>
        <v>0</v>
      </c>
      <c r="CC161" s="201">
        <f>IF(AND(Input_Product=Elig!$C161,Elig_MatchAll_Ct&lt;22,$BC161=(Elig_MatchAll_Ct-1),AX161=0),X161,0)</f>
        <v>0</v>
      </c>
      <c r="CD161" s="202">
        <f>IF(AND(Input_Product=Elig!$C161,Elig_MatchAll_Ct&lt;22,$BC161=(Elig_MatchAll_Ct-1),AX161=0),Y161,0)</f>
        <v>0</v>
      </c>
      <c r="CE161" s="201">
        <f>IF(AND(Input_LTV&lt;=AE161,Input_Product=Elig!$C161,Elig_MatchAll_Ct&lt;22,$BC161=(Elig_MatchAll_Ct-1),AY161=0),Z161,0)</f>
        <v>0</v>
      </c>
      <c r="CF161" s="202">
        <f>IF(AND(Input_LTV&lt;=AE161,Input_Product=Elig!$C161,Elig_MatchAll_Ct&lt;22,$BC161=(Elig_MatchAll_Ct-1),AY161=0),AA161,0)</f>
        <v>0</v>
      </c>
      <c r="CG161" s="201">
        <f>IF(AND(Input_Product=Elig!$C161,Elig_MatchAll_Ct&lt;22,$BC161=(Elig_MatchAll_Ct-1),AZ161=0),AB161,0)</f>
        <v>0</v>
      </c>
      <c r="CH161" s="202">
        <f>IF(AND(Input_Product=Elig!$C161,Elig_MatchAll_Ct&lt;22,$BC161=(Elig_MatchAll_Ct-1),AZ161=0),AC161,0)</f>
        <v>0</v>
      </c>
      <c r="CI161" s="201">
        <f>IF(AND(Input_Product=Elig!$C161,Elig_MatchAll_Ct&lt;22,$BC161=(Elig_MatchAll_Ct-1),BA161=0),AD161,0)</f>
        <v>0</v>
      </c>
      <c r="CJ161" s="203">
        <f>IF(AND(Input_Product=Elig!$C161,Elig_MatchAll_Ct&lt;22,$BC161=(Elig_MatchAll_Ct-1),BA161=0),AE161,0)</f>
        <v>0</v>
      </c>
    </row>
    <row r="162" spans="2:88" ht="10.15" customHeight="1" x14ac:dyDescent="0.25">
      <c r="B162" s="1912" t="s">
        <v>910</v>
      </c>
      <c r="C162" s="138" t="str">
        <f t="shared" si="35"/>
        <v>NonQM OO</v>
      </c>
      <c r="D162" s="139" t="s">
        <v>3885</v>
      </c>
      <c r="E162" s="139" t="s">
        <v>167</v>
      </c>
      <c r="F162" s="139" t="s">
        <v>331</v>
      </c>
      <c r="G162" s="139" t="s">
        <v>468</v>
      </c>
      <c r="H162" s="139" t="s">
        <v>136</v>
      </c>
      <c r="I162" s="139" t="s">
        <v>16</v>
      </c>
      <c r="J162" s="139" t="s">
        <v>1311</v>
      </c>
      <c r="K162" s="139" t="s">
        <v>1631</v>
      </c>
      <c r="L162" s="310" t="s">
        <v>3920</v>
      </c>
      <c r="M162" s="139" t="s">
        <v>4203</v>
      </c>
      <c r="N162" s="139" t="s">
        <v>82</v>
      </c>
      <c r="O162" s="139" t="s">
        <v>310</v>
      </c>
      <c r="P162" s="139" t="s">
        <v>291</v>
      </c>
      <c r="Q162" s="139" t="s">
        <v>294</v>
      </c>
      <c r="R162" s="139">
        <v>1500000.01</v>
      </c>
      <c r="S162" s="139">
        <v>2000000</v>
      </c>
      <c r="T162" s="139">
        <v>0</v>
      </c>
      <c r="U162" s="139">
        <f t="shared" si="54"/>
        <v>2000000</v>
      </c>
      <c r="V162" s="139">
        <v>0</v>
      </c>
      <c r="W162" s="139">
        <v>55</v>
      </c>
      <c r="X162" s="139">
        <v>0</v>
      </c>
      <c r="Y162" s="139">
        <v>999</v>
      </c>
      <c r="Z162" s="140">
        <v>620</v>
      </c>
      <c r="AA162" s="140">
        <v>639</v>
      </c>
      <c r="AB162" s="140">
        <v>6</v>
      </c>
      <c r="AC162" s="140">
        <v>999999</v>
      </c>
      <c r="AD162" s="139">
        <v>0</v>
      </c>
      <c r="AE162" s="139">
        <v>-999</v>
      </c>
      <c r="AF162" s="170">
        <v>0</v>
      </c>
      <c r="AG162" s="171">
        <v>1</v>
      </c>
      <c r="AH162" s="171">
        <v>1</v>
      </c>
      <c r="AI162" s="171">
        <v>1</v>
      </c>
      <c r="AJ162" s="171">
        <v>0</v>
      </c>
      <c r="AK162" s="171">
        <v>1</v>
      </c>
      <c r="AL162" s="171">
        <v>1</v>
      </c>
      <c r="AM162" s="171">
        <v>1</v>
      </c>
      <c r="AN162" s="171">
        <v>1</v>
      </c>
      <c r="AO162" s="171">
        <v>1</v>
      </c>
      <c r="AP162" s="171">
        <v>1</v>
      </c>
      <c r="AQ162" s="171">
        <v>1</v>
      </c>
      <c r="AR162" s="171">
        <v>1</v>
      </c>
      <c r="AS162" s="171">
        <v>1</v>
      </c>
      <c r="AT162" s="171">
        <v>1</v>
      </c>
      <c r="AU162" s="171">
        <f t="shared" si="41"/>
        <v>0</v>
      </c>
      <c r="AV162" s="171">
        <f t="shared" si="42"/>
        <v>1</v>
      </c>
      <c r="AW162" s="171">
        <f t="shared" si="43"/>
        <v>1</v>
      </c>
      <c r="AX162" s="171">
        <f t="shared" si="53"/>
        <v>1</v>
      </c>
      <c r="AY162" s="171">
        <f t="shared" si="44"/>
        <v>0</v>
      </c>
      <c r="AZ162" s="171">
        <f t="shared" si="45"/>
        <v>1</v>
      </c>
      <c r="BA162" s="172">
        <f t="shared" si="46"/>
        <v>0</v>
      </c>
      <c r="BB162" s="175">
        <f t="shared" si="47"/>
        <v>17</v>
      </c>
      <c r="BC162" s="176">
        <f t="shared" si="48"/>
        <v>17</v>
      </c>
      <c r="BD162" s="176">
        <f t="shared" si="49"/>
        <v>17</v>
      </c>
      <c r="BE162" s="240" t="str">
        <f t="shared" si="51"/>
        <v/>
      </c>
      <c r="BH162" s="204">
        <f>IF(AND(Input_Product=Elig!$C162,Elig_MatchAll_Ct&lt;22,$BC162=(Elig_MatchAll_Ct-1),AF162=0),C162,0)</f>
        <v>0</v>
      </c>
      <c r="BI162" s="205">
        <f>IF(AND(Input_Product=Elig!$C162,Elig_MatchAll_Ct&lt;22,$BC162=(Elig_MatchAll_Ct-1),AG162=0),D162,0)</f>
        <v>0</v>
      </c>
      <c r="BJ162" s="205">
        <f>IF(AND(Input_Product=Elig!$C162,Elig_MatchAll_Ct&lt;22,$BC162=(Elig_MatchAll_Ct-1),AH162=0),E162,0)</f>
        <v>0</v>
      </c>
      <c r="BK162" s="205">
        <f>IF(AND(Input_Product=Elig!$C162,Elig_MatchAll_Ct&lt;22,$BC162=(Elig_MatchAll_Ct-1),AI162=0),F162,0)</f>
        <v>0</v>
      </c>
      <c r="BL162" s="205">
        <f>IF(AND(Input_Product=Elig!$C162,Elig_MatchAll_Ct&lt;22,$BC162=(Elig_MatchAll_Ct-1),AJ162=0),G162,0)</f>
        <v>0</v>
      </c>
      <c r="BM162" s="205">
        <f>IF(AND(Input_Product=Elig!$C162,Elig_MatchAll_Ct&lt;22,$BC162=(Elig_MatchAll_Ct-1),AK162=0),H162,0)</f>
        <v>0</v>
      </c>
      <c r="BN162" s="205">
        <f>IF(AND(Input_Product=Elig!$C162,Elig_MatchAll_Ct&lt;22,$BC162=(Elig_MatchAll_Ct-1),AL162=0),I162,0)</f>
        <v>0</v>
      </c>
      <c r="BO162" s="205">
        <f>IF(AND(Input_Product=Elig!$C162,Elig_MatchAll_Ct&lt;22,$BC162=(Elig_MatchAll_Ct-1),AM162=0),J162,0)</f>
        <v>0</v>
      </c>
      <c r="BP162" s="205">
        <f>IF(AND(Input_Product=Elig!$C162,Elig_MatchAll_Ct&lt;22,$BC162=(Elig_MatchAll_Ct-1),AN162=0),K162,0)</f>
        <v>0</v>
      </c>
      <c r="BQ162" s="205">
        <f>IF(AND(Input_Product=Elig!$C162,Elig_MatchAll_Ct&lt;22,$BC162=(Elig_MatchAll_Ct-1),AP162=0),L162,0)</f>
        <v>0</v>
      </c>
      <c r="BR162" s="205">
        <f>IF(AND(Input_Product=Elig!$C162,Elig_MatchAll_Ct&lt;22,$BC162=(Elig_MatchAll_Ct-1),AO162=0),M162,0)</f>
        <v>0</v>
      </c>
      <c r="BS162" s="205">
        <f>IF(AND(Input_Product=Elig!$C162,Elig_MatchAll_Ct&lt;22,$BC162=(Elig_MatchAll_Ct-1),AQ162=0),N162,0)</f>
        <v>0</v>
      </c>
      <c r="BT162" s="205">
        <f>IF(AND(Input_Product=Elig!$C162,Elig_MatchAll_Ct&lt;22,$BC162=(Elig_MatchAll_Ct-1),AR162=0),O162,0)</f>
        <v>0</v>
      </c>
      <c r="BU162" s="205">
        <f>IF(AND(Input_Product=Elig!$C162,Elig_MatchAll_Ct&lt;22,$BC162=(Elig_MatchAll_Ct-1),AS162=0),P162,0)</f>
        <v>0</v>
      </c>
      <c r="BV162" s="206">
        <f>IF(AND(Input_Product=Elig!$C162,Elig_MatchAll_Ct&lt;22,$BC162=(Elig_MatchAll_Ct-1),AT162=0),Q162,0)</f>
        <v>0</v>
      </c>
      <c r="BW162" s="207">
        <f>IF(AND(Input_Product=Elig!$C162,Elig_MatchAll_Ct&lt;22,$BC162=(Elig_MatchAll_Ct-1),AU162=0),R162,0)</f>
        <v>0</v>
      </c>
      <c r="BX162" s="208">
        <f>IF(AND(Input_Product=Elig!$C162,Elig_MatchAll_Ct&lt;22,$BC162=(Elig_MatchAll_Ct-1),AU162=0),S162,0)</f>
        <v>0</v>
      </c>
      <c r="BY162" s="207">
        <f>IF(AND(Input_Product=Elig!$C162,Elig_MatchAll_Ct&lt;22,$BC162=(Elig_MatchAll_Ct-1),AV162=0),T162,0)</f>
        <v>0</v>
      </c>
      <c r="BZ162" s="208">
        <f>IF(AND(Input_Product=Elig!$C162,Elig_MatchAll_Ct&lt;22,$BC162=(Elig_MatchAll_Ct-1),AV162=0),U162,0)</f>
        <v>0</v>
      </c>
      <c r="CA162" s="207">
        <f>IF(AND(Input_Product=Elig!$C162,Elig_MatchAll_Ct&lt;22,$BC162=(Elig_MatchAll_Ct-1),AW162=0),V162,0)</f>
        <v>0</v>
      </c>
      <c r="CB162" s="208">
        <f>IF(AND(Input_Product=Elig!$C162,Elig_MatchAll_Ct&lt;22,$BC162=(Elig_MatchAll_Ct-1),AW162=0),W162,0)</f>
        <v>0</v>
      </c>
      <c r="CC162" s="207">
        <f>IF(AND(Input_Product=Elig!$C162,Elig_MatchAll_Ct&lt;22,$BC162=(Elig_MatchAll_Ct-1),AX162=0),X162,0)</f>
        <v>0</v>
      </c>
      <c r="CD162" s="208">
        <f>IF(AND(Input_Product=Elig!$C162,Elig_MatchAll_Ct&lt;22,$BC162=(Elig_MatchAll_Ct-1),AX162=0),Y162,0)</f>
        <v>0</v>
      </c>
      <c r="CE162" s="207">
        <f>IF(AND(Input_LTV&lt;=AE162,Input_Product=Elig!$C162,Elig_MatchAll_Ct&lt;22,$BC162=(Elig_MatchAll_Ct-1),AY162=0),Z162,0)</f>
        <v>0</v>
      </c>
      <c r="CF162" s="208">
        <f>IF(AND(Input_LTV&lt;=AE162,Input_Product=Elig!$C162,Elig_MatchAll_Ct&lt;22,$BC162=(Elig_MatchAll_Ct-1),AY162=0),AA162,0)</f>
        <v>0</v>
      </c>
      <c r="CG162" s="207">
        <f>IF(AND(Input_Product=Elig!$C162,Elig_MatchAll_Ct&lt;22,$BC162=(Elig_MatchAll_Ct-1),AZ162=0),AB162,0)</f>
        <v>0</v>
      </c>
      <c r="CH162" s="208">
        <f>IF(AND(Input_Product=Elig!$C162,Elig_MatchAll_Ct&lt;22,$BC162=(Elig_MatchAll_Ct-1),AZ162=0),AC162,0)</f>
        <v>0</v>
      </c>
      <c r="CI162" s="207">
        <f>IF(AND(Input_Product=Elig!$C162,Elig_MatchAll_Ct&lt;22,$BC162=(Elig_MatchAll_Ct-1),BA162=0),AD162,0)</f>
        <v>0</v>
      </c>
      <c r="CJ162" s="209">
        <f>IF(AND(Input_Product=Elig!$C162,Elig_MatchAll_Ct&lt;22,$BC162=(Elig_MatchAll_Ct-1),BA162=0),AE162,0)</f>
        <v>0</v>
      </c>
    </row>
    <row r="163" spans="2:88" ht="10.15" customHeight="1" x14ac:dyDescent="0.25">
      <c r="B163" s="1912" t="s">
        <v>911</v>
      </c>
      <c r="C163" s="141" t="str">
        <f t="shared" si="35"/>
        <v>NonQM OO</v>
      </c>
      <c r="D163" s="142" t="s">
        <v>3885</v>
      </c>
      <c r="E163" s="143" t="s">
        <v>167</v>
      </c>
      <c r="F163" s="143" t="s">
        <v>331</v>
      </c>
      <c r="G163" s="143" t="s">
        <v>179</v>
      </c>
      <c r="H163" s="143" t="s">
        <v>136</v>
      </c>
      <c r="I163" s="142" t="s">
        <v>274</v>
      </c>
      <c r="J163" s="142" t="s">
        <v>1311</v>
      </c>
      <c r="K163" s="142" t="s">
        <v>1631</v>
      </c>
      <c r="L163" s="2131" t="s">
        <v>3920</v>
      </c>
      <c r="M163" s="143" t="s">
        <v>4203</v>
      </c>
      <c r="N163" s="143" t="s">
        <v>82</v>
      </c>
      <c r="O163" s="143" t="s">
        <v>310</v>
      </c>
      <c r="P163" s="143" t="s">
        <v>291</v>
      </c>
      <c r="Q163" s="143" t="s">
        <v>294</v>
      </c>
      <c r="R163" s="142">
        <v>1500000.01</v>
      </c>
      <c r="S163" s="142">
        <v>2000000</v>
      </c>
      <c r="T163" s="142">
        <v>0</v>
      </c>
      <c r="U163" s="142">
        <v>0</v>
      </c>
      <c r="V163" s="142">
        <v>0</v>
      </c>
      <c r="W163" s="142">
        <v>55</v>
      </c>
      <c r="X163" s="142">
        <v>0</v>
      </c>
      <c r="Y163" s="142">
        <v>999</v>
      </c>
      <c r="Z163" s="144">
        <v>720</v>
      </c>
      <c r="AA163" s="144">
        <v>999</v>
      </c>
      <c r="AB163" s="144">
        <v>6</v>
      </c>
      <c r="AC163" s="144">
        <v>999999</v>
      </c>
      <c r="AD163" s="142">
        <v>0</v>
      </c>
      <c r="AE163" s="320">
        <v>80</v>
      </c>
      <c r="AF163" s="170">
        <v>0</v>
      </c>
      <c r="AG163" s="171">
        <v>1</v>
      </c>
      <c r="AH163" s="171">
        <v>1</v>
      </c>
      <c r="AI163" s="171">
        <v>1</v>
      </c>
      <c r="AJ163" s="171">
        <v>0</v>
      </c>
      <c r="AK163" s="171">
        <v>1</v>
      </c>
      <c r="AL163" s="171">
        <v>0</v>
      </c>
      <c r="AM163" s="171">
        <v>1</v>
      </c>
      <c r="AN163" s="171">
        <v>1</v>
      </c>
      <c r="AO163" s="171">
        <v>1</v>
      </c>
      <c r="AP163" s="171">
        <v>1</v>
      </c>
      <c r="AQ163" s="171">
        <v>1</v>
      </c>
      <c r="AR163" s="171">
        <v>1</v>
      </c>
      <c r="AS163" s="171">
        <v>1</v>
      </c>
      <c r="AT163" s="171">
        <v>1</v>
      </c>
      <c r="AU163" s="171">
        <f t="shared" si="41"/>
        <v>0</v>
      </c>
      <c r="AV163" s="171">
        <f t="shared" si="42"/>
        <v>0</v>
      </c>
      <c r="AW163" s="171">
        <f t="shared" si="43"/>
        <v>1</v>
      </c>
      <c r="AX163" s="171">
        <f t="shared" si="53"/>
        <v>1</v>
      </c>
      <c r="AY163" s="171">
        <f t="shared" si="44"/>
        <v>1</v>
      </c>
      <c r="AZ163" s="171">
        <f t="shared" si="45"/>
        <v>1</v>
      </c>
      <c r="BA163" s="172">
        <f t="shared" si="46"/>
        <v>1</v>
      </c>
      <c r="BB163" s="175">
        <f t="shared" si="47"/>
        <v>17</v>
      </c>
      <c r="BC163" s="176">
        <f t="shared" si="48"/>
        <v>16</v>
      </c>
      <c r="BD163" s="176">
        <f t="shared" si="49"/>
        <v>17</v>
      </c>
      <c r="BE163" s="240" t="str">
        <f t="shared" si="51"/>
        <v/>
      </c>
      <c r="BH163" s="192">
        <f>IF(AND(Input_Product=Elig!$C163,Elig_MatchAll_Ct&lt;22,$BC163=(Elig_MatchAll_Ct-1),AF163=0),C163,0)</f>
        <v>0</v>
      </c>
      <c r="BI163" s="193">
        <f>IF(AND(Input_Product=Elig!$C163,Elig_MatchAll_Ct&lt;22,$BC163=(Elig_MatchAll_Ct-1),AG163=0),D163,0)</f>
        <v>0</v>
      </c>
      <c r="BJ163" s="193">
        <f>IF(AND(Input_Product=Elig!$C163,Elig_MatchAll_Ct&lt;22,$BC163=(Elig_MatchAll_Ct-1),AH163=0),E163,0)</f>
        <v>0</v>
      </c>
      <c r="BK163" s="193">
        <f>IF(AND(Input_Product=Elig!$C163,Elig_MatchAll_Ct&lt;22,$BC163=(Elig_MatchAll_Ct-1),AI163=0),F163,0)</f>
        <v>0</v>
      </c>
      <c r="BL163" s="193">
        <f>IF(AND(Input_Product=Elig!$C163,Elig_MatchAll_Ct&lt;22,$BC163=(Elig_MatchAll_Ct-1),AJ163=0),G163,0)</f>
        <v>0</v>
      </c>
      <c r="BM163" s="193">
        <f>IF(AND(Input_Product=Elig!$C163,Elig_MatchAll_Ct&lt;22,$BC163=(Elig_MatchAll_Ct-1),AK163=0),H163,0)</f>
        <v>0</v>
      </c>
      <c r="BN163" s="193">
        <f>IF(AND(Input_Product=Elig!$C163,Elig_MatchAll_Ct&lt;22,$BC163=(Elig_MatchAll_Ct-1),AL163=0),I163,0)</f>
        <v>0</v>
      </c>
      <c r="BO163" s="193">
        <f>IF(AND(Input_Product=Elig!$C163,Elig_MatchAll_Ct&lt;22,$BC163=(Elig_MatchAll_Ct-1),AM163=0),J163,0)</f>
        <v>0</v>
      </c>
      <c r="BP163" s="193">
        <f>IF(AND(Input_Product=Elig!$C163,Elig_MatchAll_Ct&lt;22,$BC163=(Elig_MatchAll_Ct-1),AN163=0),K163,0)</f>
        <v>0</v>
      </c>
      <c r="BQ163" s="193">
        <f>IF(AND(Input_Product=Elig!$C163,Elig_MatchAll_Ct&lt;22,$BC163=(Elig_MatchAll_Ct-1),AP163=0),L163,0)</f>
        <v>0</v>
      </c>
      <c r="BR163" s="193">
        <f>IF(AND(Input_Product=Elig!$C163,Elig_MatchAll_Ct&lt;22,$BC163=(Elig_MatchAll_Ct-1),AO163=0),M163,0)</f>
        <v>0</v>
      </c>
      <c r="BS163" s="193">
        <f>IF(AND(Input_Product=Elig!$C163,Elig_MatchAll_Ct&lt;22,$BC163=(Elig_MatchAll_Ct-1),AQ163=0),N163,0)</f>
        <v>0</v>
      </c>
      <c r="BT163" s="193">
        <f>IF(AND(Input_Product=Elig!$C163,Elig_MatchAll_Ct&lt;22,$BC163=(Elig_MatchAll_Ct-1),AR163=0),O163,0)</f>
        <v>0</v>
      </c>
      <c r="BU163" s="193">
        <f>IF(AND(Input_Product=Elig!$C163,Elig_MatchAll_Ct&lt;22,$BC163=(Elig_MatchAll_Ct-1),AS163=0),P163,0)</f>
        <v>0</v>
      </c>
      <c r="BV163" s="194">
        <f>IF(AND(Input_Product=Elig!$C163,Elig_MatchAll_Ct&lt;22,$BC163=(Elig_MatchAll_Ct-1),AT163=0),Q163,0)</f>
        <v>0</v>
      </c>
      <c r="BW163" s="195">
        <f>IF(AND(Input_Product=Elig!$C163,Elig_MatchAll_Ct&lt;22,$BC163=(Elig_MatchAll_Ct-1),AU163=0),R163,0)</f>
        <v>0</v>
      </c>
      <c r="BX163" s="196">
        <f>IF(AND(Input_Product=Elig!$C163,Elig_MatchAll_Ct&lt;22,$BC163=(Elig_MatchAll_Ct-1),AU163=0),S163,0)</f>
        <v>0</v>
      </c>
      <c r="BY163" s="195">
        <f>IF(AND(Input_Product=Elig!$C163,Elig_MatchAll_Ct&lt;22,$BC163=(Elig_MatchAll_Ct-1),AV163=0),T163,0)</f>
        <v>0</v>
      </c>
      <c r="BZ163" s="196">
        <f>IF(AND(Input_Product=Elig!$C163,Elig_MatchAll_Ct&lt;22,$BC163=(Elig_MatchAll_Ct-1),AV163=0),U163,0)</f>
        <v>0</v>
      </c>
      <c r="CA163" s="195">
        <f>IF(AND(Input_Product=Elig!$C163,Elig_MatchAll_Ct&lt;22,$BC163=(Elig_MatchAll_Ct-1),AW163=0),V163,0)</f>
        <v>0</v>
      </c>
      <c r="CB163" s="196">
        <f>IF(AND(Input_Product=Elig!$C163,Elig_MatchAll_Ct&lt;22,$BC163=(Elig_MatchAll_Ct-1),AW163=0),W163,0)</f>
        <v>0</v>
      </c>
      <c r="CC163" s="195">
        <f>IF(AND(Input_Product=Elig!$C163,Elig_MatchAll_Ct&lt;22,$BC163=(Elig_MatchAll_Ct-1),AX163=0),X163,0)</f>
        <v>0</v>
      </c>
      <c r="CD163" s="196">
        <f>IF(AND(Input_Product=Elig!$C163,Elig_MatchAll_Ct&lt;22,$BC163=(Elig_MatchAll_Ct-1),AX163=0),Y163,0)</f>
        <v>0</v>
      </c>
      <c r="CE163" s="195">
        <f>IF(AND(Input_LTV&lt;=AE163,Input_Product=Elig!$C163,Elig_MatchAll_Ct&lt;22,$BC163=(Elig_MatchAll_Ct-1),AY163=0),Z163,0)</f>
        <v>0</v>
      </c>
      <c r="CF163" s="196">
        <f>IF(AND(Input_LTV&lt;=AE163,Input_Product=Elig!$C163,Elig_MatchAll_Ct&lt;22,$BC163=(Elig_MatchAll_Ct-1),AY163=0),AA163,0)</f>
        <v>0</v>
      </c>
      <c r="CG163" s="195">
        <f>IF(AND(Input_Product=Elig!$C163,Elig_MatchAll_Ct&lt;22,$BC163=(Elig_MatchAll_Ct-1),AZ163=0),AB163,0)</f>
        <v>0</v>
      </c>
      <c r="CH163" s="196">
        <f>IF(AND(Input_Product=Elig!$C163,Elig_MatchAll_Ct&lt;22,$BC163=(Elig_MatchAll_Ct-1),AZ163=0),AC163,0)</f>
        <v>0</v>
      </c>
      <c r="CI163" s="195">
        <f>IF(AND(Input_Product=Elig!$C163,Elig_MatchAll_Ct&lt;22,$BC163=(Elig_MatchAll_Ct-1),BA163=0),AD163,0)</f>
        <v>0</v>
      </c>
      <c r="CJ163" s="197">
        <f>IF(AND(Input_Product=Elig!$C163,Elig_MatchAll_Ct&lt;22,$BC163=(Elig_MatchAll_Ct-1),BA163=0),AE163,0)</f>
        <v>0</v>
      </c>
    </row>
    <row r="164" spans="2:88" ht="10.15" customHeight="1" x14ac:dyDescent="0.25">
      <c r="B164" s="1912" t="s">
        <v>912</v>
      </c>
      <c r="C164" s="134" t="str">
        <f t="shared" si="35"/>
        <v>NonQM OO</v>
      </c>
      <c r="D164" s="135" t="s">
        <v>3885</v>
      </c>
      <c r="E164" s="135" t="s">
        <v>167</v>
      </c>
      <c r="F164" s="135" t="s">
        <v>331</v>
      </c>
      <c r="G164" s="135" t="s">
        <v>179</v>
      </c>
      <c r="H164" s="135" t="s">
        <v>136</v>
      </c>
      <c r="I164" s="136" t="s">
        <v>274</v>
      </c>
      <c r="J164" s="136" t="s">
        <v>1311</v>
      </c>
      <c r="K164" s="136" t="s">
        <v>1631</v>
      </c>
      <c r="L164" s="221" t="s">
        <v>3920</v>
      </c>
      <c r="M164" s="135" t="s">
        <v>4203</v>
      </c>
      <c r="N164" s="135" t="s">
        <v>82</v>
      </c>
      <c r="O164" s="135" t="s">
        <v>310</v>
      </c>
      <c r="P164" s="135" t="s">
        <v>291</v>
      </c>
      <c r="Q164" s="135" t="s">
        <v>294</v>
      </c>
      <c r="R164" s="135">
        <v>1500000.01</v>
      </c>
      <c r="S164" s="135">
        <v>2000000</v>
      </c>
      <c r="T164" s="135">
        <v>0</v>
      </c>
      <c r="U164" s="135">
        <v>0</v>
      </c>
      <c r="V164" s="135">
        <v>0</v>
      </c>
      <c r="W164" s="135">
        <v>55</v>
      </c>
      <c r="X164" s="135">
        <v>0</v>
      </c>
      <c r="Y164" s="135">
        <v>999</v>
      </c>
      <c r="Z164" s="137">
        <v>700</v>
      </c>
      <c r="AA164" s="137">
        <v>719</v>
      </c>
      <c r="AB164" s="137">
        <v>6</v>
      </c>
      <c r="AC164" s="137">
        <v>999999</v>
      </c>
      <c r="AD164" s="135">
        <v>0</v>
      </c>
      <c r="AE164" s="221">
        <v>80</v>
      </c>
      <c r="AF164" s="170">
        <v>0</v>
      </c>
      <c r="AG164" s="171">
        <v>1</v>
      </c>
      <c r="AH164" s="171">
        <v>1</v>
      </c>
      <c r="AI164" s="171">
        <v>1</v>
      </c>
      <c r="AJ164" s="171">
        <v>0</v>
      </c>
      <c r="AK164" s="171">
        <v>1</v>
      </c>
      <c r="AL164" s="171">
        <v>0</v>
      </c>
      <c r="AM164" s="171">
        <v>1</v>
      </c>
      <c r="AN164" s="171">
        <v>1</v>
      </c>
      <c r="AO164" s="171">
        <v>1</v>
      </c>
      <c r="AP164" s="171">
        <v>1</v>
      </c>
      <c r="AQ164" s="171">
        <v>1</v>
      </c>
      <c r="AR164" s="171">
        <v>1</v>
      </c>
      <c r="AS164" s="171">
        <v>1</v>
      </c>
      <c r="AT164" s="171">
        <v>1</v>
      </c>
      <c r="AU164" s="171">
        <f t="shared" si="41"/>
        <v>0</v>
      </c>
      <c r="AV164" s="171">
        <f t="shared" si="42"/>
        <v>0</v>
      </c>
      <c r="AW164" s="171">
        <f t="shared" si="43"/>
        <v>1</v>
      </c>
      <c r="AX164" s="171">
        <f t="shared" si="53"/>
        <v>1</v>
      </c>
      <c r="AY164" s="171">
        <f t="shared" si="44"/>
        <v>0</v>
      </c>
      <c r="AZ164" s="171">
        <f t="shared" si="45"/>
        <v>1</v>
      </c>
      <c r="BA164" s="172">
        <f t="shared" si="46"/>
        <v>1</v>
      </c>
      <c r="BB164" s="175">
        <f t="shared" si="47"/>
        <v>16</v>
      </c>
      <c r="BC164" s="176">
        <f t="shared" si="48"/>
        <v>15</v>
      </c>
      <c r="BD164" s="176">
        <f t="shared" si="49"/>
        <v>16</v>
      </c>
      <c r="BE164" s="240" t="str">
        <f t="shared" si="51"/>
        <v/>
      </c>
      <c r="BH164" s="198">
        <f>IF(AND(Input_Product=Elig!$C164,Elig_MatchAll_Ct&lt;22,$BC164=(Elig_MatchAll_Ct-1),AF164=0),C164,0)</f>
        <v>0</v>
      </c>
      <c r="BI164" s="199">
        <f>IF(AND(Input_Product=Elig!$C164,Elig_MatchAll_Ct&lt;22,$BC164=(Elig_MatchAll_Ct-1),AG164=0),D164,0)</f>
        <v>0</v>
      </c>
      <c r="BJ164" s="199">
        <f>IF(AND(Input_Product=Elig!$C164,Elig_MatchAll_Ct&lt;22,$BC164=(Elig_MatchAll_Ct-1),AH164=0),E164,0)</f>
        <v>0</v>
      </c>
      <c r="BK164" s="199">
        <f>IF(AND(Input_Product=Elig!$C164,Elig_MatchAll_Ct&lt;22,$BC164=(Elig_MatchAll_Ct-1),AI164=0),F164,0)</f>
        <v>0</v>
      </c>
      <c r="BL164" s="199">
        <f>IF(AND(Input_Product=Elig!$C164,Elig_MatchAll_Ct&lt;22,$BC164=(Elig_MatchAll_Ct-1),AJ164=0),G164,0)</f>
        <v>0</v>
      </c>
      <c r="BM164" s="199">
        <f>IF(AND(Input_Product=Elig!$C164,Elig_MatchAll_Ct&lt;22,$BC164=(Elig_MatchAll_Ct-1),AK164=0),H164,0)</f>
        <v>0</v>
      </c>
      <c r="BN164" s="199">
        <f>IF(AND(Input_Product=Elig!$C164,Elig_MatchAll_Ct&lt;22,$BC164=(Elig_MatchAll_Ct-1),AL164=0),I164,0)</f>
        <v>0</v>
      </c>
      <c r="BO164" s="199">
        <f>IF(AND(Input_Product=Elig!$C164,Elig_MatchAll_Ct&lt;22,$BC164=(Elig_MatchAll_Ct-1),AM164=0),J164,0)</f>
        <v>0</v>
      </c>
      <c r="BP164" s="199">
        <f>IF(AND(Input_Product=Elig!$C164,Elig_MatchAll_Ct&lt;22,$BC164=(Elig_MatchAll_Ct-1),AN164=0),K164,0)</f>
        <v>0</v>
      </c>
      <c r="BQ164" s="199">
        <f>IF(AND(Input_Product=Elig!$C164,Elig_MatchAll_Ct&lt;22,$BC164=(Elig_MatchAll_Ct-1),AP164=0),L164,0)</f>
        <v>0</v>
      </c>
      <c r="BR164" s="199">
        <f>IF(AND(Input_Product=Elig!$C164,Elig_MatchAll_Ct&lt;22,$BC164=(Elig_MatchAll_Ct-1),AO164=0),M164,0)</f>
        <v>0</v>
      </c>
      <c r="BS164" s="199">
        <f>IF(AND(Input_Product=Elig!$C164,Elig_MatchAll_Ct&lt;22,$BC164=(Elig_MatchAll_Ct-1),AQ164=0),N164,0)</f>
        <v>0</v>
      </c>
      <c r="BT164" s="199">
        <f>IF(AND(Input_Product=Elig!$C164,Elig_MatchAll_Ct&lt;22,$BC164=(Elig_MatchAll_Ct-1),AR164=0),O164,0)</f>
        <v>0</v>
      </c>
      <c r="BU164" s="199">
        <f>IF(AND(Input_Product=Elig!$C164,Elig_MatchAll_Ct&lt;22,$BC164=(Elig_MatchAll_Ct-1),AS164=0),P164,0)</f>
        <v>0</v>
      </c>
      <c r="BV164" s="200">
        <f>IF(AND(Input_Product=Elig!$C164,Elig_MatchAll_Ct&lt;22,$BC164=(Elig_MatchAll_Ct-1),AT164=0),Q164,0)</f>
        <v>0</v>
      </c>
      <c r="BW164" s="201">
        <f>IF(AND(Input_Product=Elig!$C164,Elig_MatchAll_Ct&lt;22,$BC164=(Elig_MatchAll_Ct-1),AU164=0),R164,0)</f>
        <v>0</v>
      </c>
      <c r="BX164" s="202">
        <f>IF(AND(Input_Product=Elig!$C164,Elig_MatchAll_Ct&lt;22,$BC164=(Elig_MatchAll_Ct-1),AU164=0),S164,0)</f>
        <v>0</v>
      </c>
      <c r="BY164" s="201">
        <f>IF(AND(Input_Product=Elig!$C164,Elig_MatchAll_Ct&lt;22,$BC164=(Elig_MatchAll_Ct-1),AV164=0),T164,0)</f>
        <v>0</v>
      </c>
      <c r="BZ164" s="202">
        <f>IF(AND(Input_Product=Elig!$C164,Elig_MatchAll_Ct&lt;22,$BC164=(Elig_MatchAll_Ct-1),AV164=0),U164,0)</f>
        <v>0</v>
      </c>
      <c r="CA164" s="201">
        <f>IF(AND(Input_Product=Elig!$C164,Elig_MatchAll_Ct&lt;22,$BC164=(Elig_MatchAll_Ct-1),AW164=0),V164,0)</f>
        <v>0</v>
      </c>
      <c r="CB164" s="202">
        <f>IF(AND(Input_Product=Elig!$C164,Elig_MatchAll_Ct&lt;22,$BC164=(Elig_MatchAll_Ct-1),AW164=0),W164,0)</f>
        <v>0</v>
      </c>
      <c r="CC164" s="201">
        <f>IF(AND(Input_Product=Elig!$C164,Elig_MatchAll_Ct&lt;22,$BC164=(Elig_MatchAll_Ct-1),AX164=0),X164,0)</f>
        <v>0</v>
      </c>
      <c r="CD164" s="202">
        <f>IF(AND(Input_Product=Elig!$C164,Elig_MatchAll_Ct&lt;22,$BC164=(Elig_MatchAll_Ct-1),AX164=0),Y164,0)</f>
        <v>0</v>
      </c>
      <c r="CE164" s="201">
        <f>IF(AND(Input_LTV&lt;=AE164,Input_Product=Elig!$C164,Elig_MatchAll_Ct&lt;22,$BC164=(Elig_MatchAll_Ct-1),AY164=0),Z164,0)</f>
        <v>0</v>
      </c>
      <c r="CF164" s="202">
        <f>IF(AND(Input_LTV&lt;=AE164,Input_Product=Elig!$C164,Elig_MatchAll_Ct&lt;22,$BC164=(Elig_MatchAll_Ct-1),AY164=0),AA164,0)</f>
        <v>0</v>
      </c>
      <c r="CG164" s="201">
        <f>IF(AND(Input_Product=Elig!$C164,Elig_MatchAll_Ct&lt;22,$BC164=(Elig_MatchAll_Ct-1),AZ164=0),AB164,0)</f>
        <v>0</v>
      </c>
      <c r="CH164" s="202">
        <f>IF(AND(Input_Product=Elig!$C164,Elig_MatchAll_Ct&lt;22,$BC164=(Elig_MatchAll_Ct-1),AZ164=0),AC164,0)</f>
        <v>0</v>
      </c>
      <c r="CI164" s="201">
        <f>IF(AND(Input_Product=Elig!$C164,Elig_MatchAll_Ct&lt;22,$BC164=(Elig_MatchAll_Ct-1),BA164=0),AD164,0)</f>
        <v>0</v>
      </c>
      <c r="CJ164" s="203">
        <f>IF(AND(Input_Product=Elig!$C164,Elig_MatchAll_Ct&lt;22,$BC164=(Elig_MatchAll_Ct-1),BA164=0),AE164,0)</f>
        <v>0</v>
      </c>
    </row>
    <row r="165" spans="2:88" ht="10.15" customHeight="1" x14ac:dyDescent="0.25">
      <c r="B165" s="1912" t="s">
        <v>913</v>
      </c>
      <c r="C165" s="134" t="str">
        <f t="shared" si="35"/>
        <v>NonQM OO</v>
      </c>
      <c r="D165" s="135" t="s">
        <v>3885</v>
      </c>
      <c r="E165" s="135" t="s">
        <v>167</v>
      </c>
      <c r="F165" s="135" t="s">
        <v>331</v>
      </c>
      <c r="G165" s="135" t="s">
        <v>179</v>
      </c>
      <c r="H165" s="135" t="s">
        <v>136</v>
      </c>
      <c r="I165" s="136" t="s">
        <v>274</v>
      </c>
      <c r="J165" s="136" t="s">
        <v>1311</v>
      </c>
      <c r="K165" s="136" t="s">
        <v>1631</v>
      </c>
      <c r="L165" s="221" t="s">
        <v>3920</v>
      </c>
      <c r="M165" s="135" t="s">
        <v>4203</v>
      </c>
      <c r="N165" s="135" t="s">
        <v>82</v>
      </c>
      <c r="O165" s="135" t="s">
        <v>310</v>
      </c>
      <c r="P165" s="135" t="s">
        <v>291</v>
      </c>
      <c r="Q165" s="135" t="s">
        <v>294</v>
      </c>
      <c r="R165" s="135">
        <v>1500000.01</v>
      </c>
      <c r="S165" s="135">
        <v>2000000</v>
      </c>
      <c r="T165" s="135">
        <v>0</v>
      </c>
      <c r="U165" s="135">
        <v>0</v>
      </c>
      <c r="V165" s="135">
        <v>0</v>
      </c>
      <c r="W165" s="135">
        <v>55</v>
      </c>
      <c r="X165" s="135">
        <v>0</v>
      </c>
      <c r="Y165" s="135">
        <v>999</v>
      </c>
      <c r="Z165" s="137">
        <v>680</v>
      </c>
      <c r="AA165" s="137">
        <v>699</v>
      </c>
      <c r="AB165" s="137">
        <v>6</v>
      </c>
      <c r="AC165" s="137">
        <v>999999</v>
      </c>
      <c r="AD165" s="135">
        <v>0</v>
      </c>
      <c r="AE165" s="221">
        <v>75</v>
      </c>
      <c r="AF165" s="170">
        <v>0</v>
      </c>
      <c r="AG165" s="171">
        <v>1</v>
      </c>
      <c r="AH165" s="171">
        <v>1</v>
      </c>
      <c r="AI165" s="171">
        <v>1</v>
      </c>
      <c r="AJ165" s="171">
        <v>0</v>
      </c>
      <c r="AK165" s="171">
        <v>1</v>
      </c>
      <c r="AL165" s="171">
        <v>0</v>
      </c>
      <c r="AM165" s="171">
        <v>1</v>
      </c>
      <c r="AN165" s="171">
        <v>1</v>
      </c>
      <c r="AO165" s="171">
        <v>1</v>
      </c>
      <c r="AP165" s="171">
        <v>1</v>
      </c>
      <c r="AQ165" s="171">
        <v>1</v>
      </c>
      <c r="AR165" s="171">
        <v>1</v>
      </c>
      <c r="AS165" s="171">
        <v>1</v>
      </c>
      <c r="AT165" s="171">
        <v>1</v>
      </c>
      <c r="AU165" s="171">
        <f t="shared" si="41"/>
        <v>0</v>
      </c>
      <c r="AV165" s="171">
        <f t="shared" si="42"/>
        <v>0</v>
      </c>
      <c r="AW165" s="171">
        <f t="shared" si="43"/>
        <v>1</v>
      </c>
      <c r="AX165" s="171">
        <f t="shared" si="53"/>
        <v>1</v>
      </c>
      <c r="AY165" s="171">
        <f t="shared" si="44"/>
        <v>0</v>
      </c>
      <c r="AZ165" s="171">
        <f t="shared" si="45"/>
        <v>1</v>
      </c>
      <c r="BA165" s="172">
        <f t="shared" si="46"/>
        <v>1</v>
      </c>
      <c r="BB165" s="175">
        <f t="shared" si="47"/>
        <v>16</v>
      </c>
      <c r="BC165" s="176">
        <f t="shared" si="48"/>
        <v>15</v>
      </c>
      <c r="BD165" s="176">
        <f t="shared" si="49"/>
        <v>16</v>
      </c>
      <c r="BE165" s="240" t="str">
        <f t="shared" si="51"/>
        <v/>
      </c>
      <c r="BH165" s="198">
        <f>IF(AND(Input_Product=Elig!$C165,Elig_MatchAll_Ct&lt;22,$BC165=(Elig_MatchAll_Ct-1),AF165=0),C165,0)</f>
        <v>0</v>
      </c>
      <c r="BI165" s="199">
        <f>IF(AND(Input_Product=Elig!$C165,Elig_MatchAll_Ct&lt;22,$BC165=(Elig_MatchAll_Ct-1),AG165=0),D165,0)</f>
        <v>0</v>
      </c>
      <c r="BJ165" s="199">
        <f>IF(AND(Input_Product=Elig!$C165,Elig_MatchAll_Ct&lt;22,$BC165=(Elig_MatchAll_Ct-1),AH165=0),E165,0)</f>
        <v>0</v>
      </c>
      <c r="BK165" s="199">
        <f>IF(AND(Input_Product=Elig!$C165,Elig_MatchAll_Ct&lt;22,$BC165=(Elig_MatchAll_Ct-1),AI165=0),F165,0)</f>
        <v>0</v>
      </c>
      <c r="BL165" s="199">
        <f>IF(AND(Input_Product=Elig!$C165,Elig_MatchAll_Ct&lt;22,$BC165=(Elig_MatchAll_Ct-1),AJ165=0),G165,0)</f>
        <v>0</v>
      </c>
      <c r="BM165" s="199">
        <f>IF(AND(Input_Product=Elig!$C165,Elig_MatchAll_Ct&lt;22,$BC165=(Elig_MatchAll_Ct-1),AK165=0),H165,0)</f>
        <v>0</v>
      </c>
      <c r="BN165" s="199">
        <f>IF(AND(Input_Product=Elig!$C165,Elig_MatchAll_Ct&lt;22,$BC165=(Elig_MatchAll_Ct-1),AL165=0),I165,0)</f>
        <v>0</v>
      </c>
      <c r="BO165" s="199">
        <f>IF(AND(Input_Product=Elig!$C165,Elig_MatchAll_Ct&lt;22,$BC165=(Elig_MatchAll_Ct-1),AM165=0),J165,0)</f>
        <v>0</v>
      </c>
      <c r="BP165" s="199">
        <f>IF(AND(Input_Product=Elig!$C165,Elig_MatchAll_Ct&lt;22,$BC165=(Elig_MatchAll_Ct-1),AN165=0),K165,0)</f>
        <v>0</v>
      </c>
      <c r="BQ165" s="199">
        <f>IF(AND(Input_Product=Elig!$C165,Elig_MatchAll_Ct&lt;22,$BC165=(Elig_MatchAll_Ct-1),AP165=0),L165,0)</f>
        <v>0</v>
      </c>
      <c r="BR165" s="199">
        <f>IF(AND(Input_Product=Elig!$C165,Elig_MatchAll_Ct&lt;22,$BC165=(Elig_MatchAll_Ct-1),AO165=0),M165,0)</f>
        <v>0</v>
      </c>
      <c r="BS165" s="199">
        <f>IF(AND(Input_Product=Elig!$C165,Elig_MatchAll_Ct&lt;22,$BC165=(Elig_MatchAll_Ct-1),AQ165=0),N165,0)</f>
        <v>0</v>
      </c>
      <c r="BT165" s="199">
        <f>IF(AND(Input_Product=Elig!$C165,Elig_MatchAll_Ct&lt;22,$BC165=(Elig_MatchAll_Ct-1),AR165=0),O165,0)</f>
        <v>0</v>
      </c>
      <c r="BU165" s="199">
        <f>IF(AND(Input_Product=Elig!$C165,Elig_MatchAll_Ct&lt;22,$BC165=(Elig_MatchAll_Ct-1),AS165=0),P165,0)</f>
        <v>0</v>
      </c>
      <c r="BV165" s="200">
        <f>IF(AND(Input_Product=Elig!$C165,Elig_MatchAll_Ct&lt;22,$BC165=(Elig_MatchAll_Ct-1),AT165=0),Q165,0)</f>
        <v>0</v>
      </c>
      <c r="BW165" s="201">
        <f>IF(AND(Input_Product=Elig!$C165,Elig_MatchAll_Ct&lt;22,$BC165=(Elig_MatchAll_Ct-1),AU165=0),R165,0)</f>
        <v>0</v>
      </c>
      <c r="BX165" s="202">
        <f>IF(AND(Input_Product=Elig!$C165,Elig_MatchAll_Ct&lt;22,$BC165=(Elig_MatchAll_Ct-1),AU165=0),S165,0)</f>
        <v>0</v>
      </c>
      <c r="BY165" s="201">
        <f>IF(AND(Input_Product=Elig!$C165,Elig_MatchAll_Ct&lt;22,$BC165=(Elig_MatchAll_Ct-1),AV165=0),T165,0)</f>
        <v>0</v>
      </c>
      <c r="BZ165" s="202">
        <f>IF(AND(Input_Product=Elig!$C165,Elig_MatchAll_Ct&lt;22,$BC165=(Elig_MatchAll_Ct-1),AV165=0),U165,0)</f>
        <v>0</v>
      </c>
      <c r="CA165" s="201">
        <f>IF(AND(Input_Product=Elig!$C165,Elig_MatchAll_Ct&lt;22,$BC165=(Elig_MatchAll_Ct-1),AW165=0),V165,0)</f>
        <v>0</v>
      </c>
      <c r="CB165" s="202">
        <f>IF(AND(Input_Product=Elig!$C165,Elig_MatchAll_Ct&lt;22,$BC165=(Elig_MatchAll_Ct-1),AW165=0),W165,0)</f>
        <v>0</v>
      </c>
      <c r="CC165" s="201">
        <f>IF(AND(Input_Product=Elig!$C165,Elig_MatchAll_Ct&lt;22,$BC165=(Elig_MatchAll_Ct-1),AX165=0),X165,0)</f>
        <v>0</v>
      </c>
      <c r="CD165" s="202">
        <f>IF(AND(Input_Product=Elig!$C165,Elig_MatchAll_Ct&lt;22,$BC165=(Elig_MatchAll_Ct-1),AX165=0),Y165,0)</f>
        <v>0</v>
      </c>
      <c r="CE165" s="201">
        <f>IF(AND(Input_LTV&lt;=AE165,Input_Product=Elig!$C165,Elig_MatchAll_Ct&lt;22,$BC165=(Elig_MatchAll_Ct-1),AY165=0),Z165,0)</f>
        <v>0</v>
      </c>
      <c r="CF165" s="202">
        <f>IF(AND(Input_LTV&lt;=AE165,Input_Product=Elig!$C165,Elig_MatchAll_Ct&lt;22,$BC165=(Elig_MatchAll_Ct-1),AY165=0),AA165,0)</f>
        <v>0</v>
      </c>
      <c r="CG165" s="201">
        <f>IF(AND(Input_Product=Elig!$C165,Elig_MatchAll_Ct&lt;22,$BC165=(Elig_MatchAll_Ct-1),AZ165=0),AB165,0)</f>
        <v>0</v>
      </c>
      <c r="CH165" s="202">
        <f>IF(AND(Input_Product=Elig!$C165,Elig_MatchAll_Ct&lt;22,$BC165=(Elig_MatchAll_Ct-1),AZ165=0),AC165,0)</f>
        <v>0</v>
      </c>
      <c r="CI165" s="201">
        <f>IF(AND(Input_Product=Elig!$C165,Elig_MatchAll_Ct&lt;22,$BC165=(Elig_MatchAll_Ct-1),BA165=0),AD165,0)</f>
        <v>0</v>
      </c>
      <c r="CJ165" s="203">
        <f>IF(AND(Input_Product=Elig!$C165,Elig_MatchAll_Ct&lt;22,$BC165=(Elig_MatchAll_Ct-1),BA165=0),AE165,0)</f>
        <v>0</v>
      </c>
    </row>
    <row r="166" spans="2:88" ht="10.15" customHeight="1" x14ac:dyDescent="0.25">
      <c r="B166" s="1912" t="s">
        <v>914</v>
      </c>
      <c r="C166" s="147" t="str">
        <f t="shared" si="35"/>
        <v>NonQM OO</v>
      </c>
      <c r="D166" s="148" t="s">
        <v>3885</v>
      </c>
      <c r="E166" s="148" t="s">
        <v>167</v>
      </c>
      <c r="F166" s="148" t="s">
        <v>331</v>
      </c>
      <c r="G166" s="135" t="s">
        <v>179</v>
      </c>
      <c r="H166" s="148" t="s">
        <v>136</v>
      </c>
      <c r="I166" s="149" t="s">
        <v>274</v>
      </c>
      <c r="J166" s="149" t="s">
        <v>1311</v>
      </c>
      <c r="K166" s="149" t="s">
        <v>1631</v>
      </c>
      <c r="L166" s="322" t="s">
        <v>3920</v>
      </c>
      <c r="M166" s="148" t="s">
        <v>4203</v>
      </c>
      <c r="N166" s="148" t="s">
        <v>82</v>
      </c>
      <c r="O166" s="148" t="s">
        <v>310</v>
      </c>
      <c r="P166" s="148" t="s">
        <v>291</v>
      </c>
      <c r="Q166" s="148" t="s">
        <v>294</v>
      </c>
      <c r="R166" s="135">
        <v>1500000.01</v>
      </c>
      <c r="S166" s="135">
        <v>2000000</v>
      </c>
      <c r="T166" s="148">
        <v>0</v>
      </c>
      <c r="U166" s="148">
        <v>0</v>
      </c>
      <c r="V166" s="148">
        <v>0</v>
      </c>
      <c r="W166" s="148">
        <v>55</v>
      </c>
      <c r="X166" s="148">
        <v>0</v>
      </c>
      <c r="Y166" s="148">
        <v>999</v>
      </c>
      <c r="Z166" s="137">
        <v>660</v>
      </c>
      <c r="AA166" s="137">
        <v>679</v>
      </c>
      <c r="AB166" s="137">
        <v>6</v>
      </c>
      <c r="AC166" s="137">
        <v>999999</v>
      </c>
      <c r="AD166" s="135">
        <v>0</v>
      </c>
      <c r="AE166" s="221">
        <v>75</v>
      </c>
      <c r="AF166" s="170">
        <v>0</v>
      </c>
      <c r="AG166" s="171">
        <v>1</v>
      </c>
      <c r="AH166" s="171">
        <v>1</v>
      </c>
      <c r="AI166" s="171">
        <v>1</v>
      </c>
      <c r="AJ166" s="171">
        <v>0</v>
      </c>
      <c r="AK166" s="171">
        <v>1</v>
      </c>
      <c r="AL166" s="171">
        <v>0</v>
      </c>
      <c r="AM166" s="171">
        <v>1</v>
      </c>
      <c r="AN166" s="171">
        <v>1</v>
      </c>
      <c r="AO166" s="171">
        <v>1</v>
      </c>
      <c r="AP166" s="171">
        <v>1</v>
      </c>
      <c r="AQ166" s="171">
        <v>1</v>
      </c>
      <c r="AR166" s="171">
        <v>1</v>
      </c>
      <c r="AS166" s="171">
        <v>1</v>
      </c>
      <c r="AT166" s="171">
        <v>1</v>
      </c>
      <c r="AU166" s="171">
        <f t="shared" si="41"/>
        <v>0</v>
      </c>
      <c r="AV166" s="171">
        <f t="shared" si="42"/>
        <v>0</v>
      </c>
      <c r="AW166" s="171">
        <f t="shared" si="43"/>
        <v>1</v>
      </c>
      <c r="AX166" s="171">
        <f t="shared" si="53"/>
        <v>1</v>
      </c>
      <c r="AY166" s="171">
        <f t="shared" si="44"/>
        <v>0</v>
      </c>
      <c r="AZ166" s="171">
        <f t="shared" si="45"/>
        <v>1</v>
      </c>
      <c r="BA166" s="172">
        <f t="shared" si="46"/>
        <v>1</v>
      </c>
      <c r="BB166" s="175">
        <f t="shared" si="47"/>
        <v>16</v>
      </c>
      <c r="BC166" s="176">
        <f t="shared" si="48"/>
        <v>15</v>
      </c>
      <c r="BD166" s="176">
        <f t="shared" si="49"/>
        <v>16</v>
      </c>
      <c r="BE166" s="240" t="str">
        <f t="shared" si="51"/>
        <v/>
      </c>
      <c r="BH166" s="198">
        <f>IF(AND(Input_Product=Elig!$C166,Elig_MatchAll_Ct&lt;22,$BC166=(Elig_MatchAll_Ct-1),AF166=0),C166,0)</f>
        <v>0</v>
      </c>
      <c r="BI166" s="199">
        <f>IF(AND(Input_Product=Elig!$C166,Elig_MatchAll_Ct&lt;22,$BC166=(Elig_MatchAll_Ct-1),AG166=0),D166,0)</f>
        <v>0</v>
      </c>
      <c r="BJ166" s="199">
        <f>IF(AND(Input_Product=Elig!$C166,Elig_MatchAll_Ct&lt;22,$BC166=(Elig_MatchAll_Ct-1),AH166=0),E166,0)</f>
        <v>0</v>
      </c>
      <c r="BK166" s="199">
        <f>IF(AND(Input_Product=Elig!$C166,Elig_MatchAll_Ct&lt;22,$BC166=(Elig_MatchAll_Ct-1),AI166=0),F166,0)</f>
        <v>0</v>
      </c>
      <c r="BL166" s="199">
        <f>IF(AND(Input_Product=Elig!$C166,Elig_MatchAll_Ct&lt;22,$BC166=(Elig_MatchAll_Ct-1),AJ166=0),G166,0)</f>
        <v>0</v>
      </c>
      <c r="BM166" s="199">
        <f>IF(AND(Input_Product=Elig!$C166,Elig_MatchAll_Ct&lt;22,$BC166=(Elig_MatchAll_Ct-1),AK166=0),H166,0)</f>
        <v>0</v>
      </c>
      <c r="BN166" s="199">
        <f>IF(AND(Input_Product=Elig!$C166,Elig_MatchAll_Ct&lt;22,$BC166=(Elig_MatchAll_Ct-1),AL166=0),I166,0)</f>
        <v>0</v>
      </c>
      <c r="BO166" s="199">
        <f>IF(AND(Input_Product=Elig!$C166,Elig_MatchAll_Ct&lt;22,$BC166=(Elig_MatchAll_Ct-1),AM166=0),J166,0)</f>
        <v>0</v>
      </c>
      <c r="BP166" s="199">
        <f>IF(AND(Input_Product=Elig!$C166,Elig_MatchAll_Ct&lt;22,$BC166=(Elig_MatchAll_Ct-1),AN166=0),K166,0)</f>
        <v>0</v>
      </c>
      <c r="BQ166" s="199">
        <f>IF(AND(Input_Product=Elig!$C166,Elig_MatchAll_Ct&lt;22,$BC166=(Elig_MatchAll_Ct-1),AP166=0),L166,0)</f>
        <v>0</v>
      </c>
      <c r="BR166" s="199">
        <f>IF(AND(Input_Product=Elig!$C166,Elig_MatchAll_Ct&lt;22,$BC166=(Elig_MatchAll_Ct-1),AO166=0),M166,0)</f>
        <v>0</v>
      </c>
      <c r="BS166" s="199">
        <f>IF(AND(Input_Product=Elig!$C166,Elig_MatchAll_Ct&lt;22,$BC166=(Elig_MatchAll_Ct-1),AQ166=0),N166,0)</f>
        <v>0</v>
      </c>
      <c r="BT166" s="199">
        <f>IF(AND(Input_Product=Elig!$C166,Elig_MatchAll_Ct&lt;22,$BC166=(Elig_MatchAll_Ct-1),AR166=0),O166,0)</f>
        <v>0</v>
      </c>
      <c r="BU166" s="199">
        <f>IF(AND(Input_Product=Elig!$C166,Elig_MatchAll_Ct&lt;22,$BC166=(Elig_MatchAll_Ct-1),AS166=0),P166,0)</f>
        <v>0</v>
      </c>
      <c r="BV166" s="200">
        <f>IF(AND(Input_Product=Elig!$C166,Elig_MatchAll_Ct&lt;22,$BC166=(Elig_MatchAll_Ct-1),AT166=0),Q166,0)</f>
        <v>0</v>
      </c>
      <c r="BW166" s="201">
        <f>IF(AND(Input_Product=Elig!$C166,Elig_MatchAll_Ct&lt;22,$BC166=(Elig_MatchAll_Ct-1),AU166=0),R166,0)</f>
        <v>0</v>
      </c>
      <c r="BX166" s="202">
        <f>IF(AND(Input_Product=Elig!$C166,Elig_MatchAll_Ct&lt;22,$BC166=(Elig_MatchAll_Ct-1),AU166=0),S166,0)</f>
        <v>0</v>
      </c>
      <c r="BY166" s="201">
        <f>IF(AND(Input_Product=Elig!$C166,Elig_MatchAll_Ct&lt;22,$BC166=(Elig_MatchAll_Ct-1),AV166=0),T166,0)</f>
        <v>0</v>
      </c>
      <c r="BZ166" s="202">
        <f>IF(AND(Input_Product=Elig!$C166,Elig_MatchAll_Ct&lt;22,$BC166=(Elig_MatchAll_Ct-1),AV166=0),U166,0)</f>
        <v>0</v>
      </c>
      <c r="CA166" s="201">
        <f>IF(AND(Input_Product=Elig!$C166,Elig_MatchAll_Ct&lt;22,$BC166=(Elig_MatchAll_Ct-1),AW166=0),V166,0)</f>
        <v>0</v>
      </c>
      <c r="CB166" s="202">
        <f>IF(AND(Input_Product=Elig!$C166,Elig_MatchAll_Ct&lt;22,$BC166=(Elig_MatchAll_Ct-1),AW166=0),W166,0)</f>
        <v>0</v>
      </c>
      <c r="CC166" s="201">
        <f>IF(AND(Input_Product=Elig!$C166,Elig_MatchAll_Ct&lt;22,$BC166=(Elig_MatchAll_Ct-1),AX166=0),X166,0)</f>
        <v>0</v>
      </c>
      <c r="CD166" s="202">
        <f>IF(AND(Input_Product=Elig!$C166,Elig_MatchAll_Ct&lt;22,$BC166=(Elig_MatchAll_Ct-1),AX166=0),Y166,0)</f>
        <v>0</v>
      </c>
      <c r="CE166" s="201">
        <f>IF(AND(Input_LTV&lt;=AE166,Input_Product=Elig!$C166,Elig_MatchAll_Ct&lt;22,$BC166=(Elig_MatchAll_Ct-1),AY166=0),Z166,0)</f>
        <v>0</v>
      </c>
      <c r="CF166" s="202">
        <f>IF(AND(Input_LTV&lt;=AE166,Input_Product=Elig!$C166,Elig_MatchAll_Ct&lt;22,$BC166=(Elig_MatchAll_Ct-1),AY166=0),AA166,0)</f>
        <v>0</v>
      </c>
      <c r="CG166" s="201">
        <f>IF(AND(Input_Product=Elig!$C166,Elig_MatchAll_Ct&lt;22,$BC166=(Elig_MatchAll_Ct-1),AZ166=0),AB166,0)</f>
        <v>0</v>
      </c>
      <c r="CH166" s="202">
        <f>IF(AND(Input_Product=Elig!$C166,Elig_MatchAll_Ct&lt;22,$BC166=(Elig_MatchAll_Ct-1),AZ166=0),AC166,0)</f>
        <v>0</v>
      </c>
      <c r="CI166" s="201">
        <f>IF(AND(Input_Product=Elig!$C166,Elig_MatchAll_Ct&lt;22,$BC166=(Elig_MatchAll_Ct-1),BA166=0),AD166,0)</f>
        <v>0</v>
      </c>
      <c r="CJ166" s="203">
        <f>IF(AND(Input_Product=Elig!$C166,Elig_MatchAll_Ct&lt;22,$BC166=(Elig_MatchAll_Ct-1),BA166=0),AE166,0)</f>
        <v>0</v>
      </c>
    </row>
    <row r="167" spans="2:88" ht="10.15" customHeight="1" x14ac:dyDescent="0.25">
      <c r="B167" s="1912" t="s">
        <v>915</v>
      </c>
      <c r="C167" s="147" t="str">
        <f t="shared" si="35"/>
        <v>NonQM OO</v>
      </c>
      <c r="D167" s="148" t="s">
        <v>3885</v>
      </c>
      <c r="E167" s="148" t="s">
        <v>167</v>
      </c>
      <c r="F167" s="148" t="s">
        <v>331</v>
      </c>
      <c r="G167" s="135" t="s">
        <v>179</v>
      </c>
      <c r="H167" s="148" t="s">
        <v>136</v>
      </c>
      <c r="I167" s="149" t="s">
        <v>274</v>
      </c>
      <c r="J167" s="149" t="s">
        <v>1311</v>
      </c>
      <c r="K167" s="149" t="s">
        <v>1631</v>
      </c>
      <c r="L167" s="322" t="s">
        <v>3920</v>
      </c>
      <c r="M167" s="148" t="s">
        <v>4203</v>
      </c>
      <c r="N167" s="148" t="s">
        <v>82</v>
      </c>
      <c r="O167" s="148" t="s">
        <v>310</v>
      </c>
      <c r="P167" s="148" t="s">
        <v>291</v>
      </c>
      <c r="Q167" s="148" t="s">
        <v>294</v>
      </c>
      <c r="R167" s="135">
        <v>1500000.01</v>
      </c>
      <c r="S167" s="135">
        <v>2000000</v>
      </c>
      <c r="T167" s="148">
        <v>0</v>
      </c>
      <c r="U167" s="148">
        <v>0</v>
      </c>
      <c r="V167" s="148">
        <v>0</v>
      </c>
      <c r="W167" s="148">
        <v>55</v>
      </c>
      <c r="X167" s="148">
        <v>0</v>
      </c>
      <c r="Y167" s="148">
        <v>999</v>
      </c>
      <c r="Z167" s="137">
        <v>640</v>
      </c>
      <c r="AA167" s="137">
        <v>659</v>
      </c>
      <c r="AB167" s="137">
        <v>6</v>
      </c>
      <c r="AC167" s="137">
        <v>999999</v>
      </c>
      <c r="AD167" s="135">
        <v>0</v>
      </c>
      <c r="AE167" s="135">
        <v>-999</v>
      </c>
      <c r="AF167" s="170">
        <v>0</v>
      </c>
      <c r="AG167" s="171">
        <v>1</v>
      </c>
      <c r="AH167" s="171">
        <v>1</v>
      </c>
      <c r="AI167" s="171">
        <v>1</v>
      </c>
      <c r="AJ167" s="171">
        <v>0</v>
      </c>
      <c r="AK167" s="171">
        <v>1</v>
      </c>
      <c r="AL167" s="171">
        <v>0</v>
      </c>
      <c r="AM167" s="171">
        <v>1</v>
      </c>
      <c r="AN167" s="171">
        <v>1</v>
      </c>
      <c r="AO167" s="171">
        <v>1</v>
      </c>
      <c r="AP167" s="171">
        <v>1</v>
      </c>
      <c r="AQ167" s="171">
        <v>1</v>
      </c>
      <c r="AR167" s="171">
        <v>1</v>
      </c>
      <c r="AS167" s="171">
        <v>1</v>
      </c>
      <c r="AT167" s="171">
        <v>1</v>
      </c>
      <c r="AU167" s="171">
        <f t="shared" si="41"/>
        <v>0</v>
      </c>
      <c r="AV167" s="171">
        <f t="shared" si="42"/>
        <v>0</v>
      </c>
      <c r="AW167" s="171">
        <f t="shared" si="43"/>
        <v>1</v>
      </c>
      <c r="AX167" s="171">
        <f t="shared" si="53"/>
        <v>1</v>
      </c>
      <c r="AY167" s="171">
        <f t="shared" si="44"/>
        <v>0</v>
      </c>
      <c r="AZ167" s="171">
        <f t="shared" si="45"/>
        <v>1</v>
      </c>
      <c r="BA167" s="172">
        <f t="shared" si="46"/>
        <v>0</v>
      </c>
      <c r="BB167" s="175">
        <f t="shared" si="47"/>
        <v>15</v>
      </c>
      <c r="BC167" s="176">
        <f t="shared" si="48"/>
        <v>15</v>
      </c>
      <c r="BD167" s="176">
        <f t="shared" si="49"/>
        <v>15</v>
      </c>
      <c r="BE167" s="240" t="str">
        <f t="shared" si="51"/>
        <v/>
      </c>
      <c r="BH167" s="198">
        <f>IF(AND(Input_Product=Elig!$C167,Elig_MatchAll_Ct&lt;22,$BC167=(Elig_MatchAll_Ct-1),AF167=0),C167,0)</f>
        <v>0</v>
      </c>
      <c r="BI167" s="199">
        <f>IF(AND(Input_Product=Elig!$C167,Elig_MatchAll_Ct&lt;22,$BC167=(Elig_MatchAll_Ct-1),AG167=0),D167,0)</f>
        <v>0</v>
      </c>
      <c r="BJ167" s="199">
        <f>IF(AND(Input_Product=Elig!$C167,Elig_MatchAll_Ct&lt;22,$BC167=(Elig_MatchAll_Ct-1),AH167=0),E167,0)</f>
        <v>0</v>
      </c>
      <c r="BK167" s="199">
        <f>IF(AND(Input_Product=Elig!$C167,Elig_MatchAll_Ct&lt;22,$BC167=(Elig_MatchAll_Ct-1),AI167=0),F167,0)</f>
        <v>0</v>
      </c>
      <c r="BL167" s="199">
        <f>IF(AND(Input_Product=Elig!$C167,Elig_MatchAll_Ct&lt;22,$BC167=(Elig_MatchAll_Ct-1),AJ167=0),G167,0)</f>
        <v>0</v>
      </c>
      <c r="BM167" s="199">
        <f>IF(AND(Input_Product=Elig!$C167,Elig_MatchAll_Ct&lt;22,$BC167=(Elig_MatchAll_Ct-1),AK167=0),H167,0)</f>
        <v>0</v>
      </c>
      <c r="BN167" s="199">
        <f>IF(AND(Input_Product=Elig!$C167,Elig_MatchAll_Ct&lt;22,$BC167=(Elig_MatchAll_Ct-1),AL167=0),I167,0)</f>
        <v>0</v>
      </c>
      <c r="BO167" s="199">
        <f>IF(AND(Input_Product=Elig!$C167,Elig_MatchAll_Ct&lt;22,$BC167=(Elig_MatchAll_Ct-1),AM167=0),J167,0)</f>
        <v>0</v>
      </c>
      <c r="BP167" s="199">
        <f>IF(AND(Input_Product=Elig!$C167,Elig_MatchAll_Ct&lt;22,$BC167=(Elig_MatchAll_Ct-1),AN167=0),K167,0)</f>
        <v>0</v>
      </c>
      <c r="BQ167" s="199">
        <f>IF(AND(Input_Product=Elig!$C167,Elig_MatchAll_Ct&lt;22,$BC167=(Elig_MatchAll_Ct-1),AP167=0),L167,0)</f>
        <v>0</v>
      </c>
      <c r="BR167" s="199">
        <f>IF(AND(Input_Product=Elig!$C167,Elig_MatchAll_Ct&lt;22,$BC167=(Elig_MatchAll_Ct-1),AO167=0),M167,0)</f>
        <v>0</v>
      </c>
      <c r="BS167" s="199">
        <f>IF(AND(Input_Product=Elig!$C167,Elig_MatchAll_Ct&lt;22,$BC167=(Elig_MatchAll_Ct-1),AQ167=0),N167,0)</f>
        <v>0</v>
      </c>
      <c r="BT167" s="199">
        <f>IF(AND(Input_Product=Elig!$C167,Elig_MatchAll_Ct&lt;22,$BC167=(Elig_MatchAll_Ct-1),AR167=0),O167,0)</f>
        <v>0</v>
      </c>
      <c r="BU167" s="199">
        <f>IF(AND(Input_Product=Elig!$C167,Elig_MatchAll_Ct&lt;22,$BC167=(Elig_MatchAll_Ct-1),AS167=0),P167,0)</f>
        <v>0</v>
      </c>
      <c r="BV167" s="200">
        <f>IF(AND(Input_Product=Elig!$C167,Elig_MatchAll_Ct&lt;22,$BC167=(Elig_MatchAll_Ct-1),AT167=0),Q167,0)</f>
        <v>0</v>
      </c>
      <c r="BW167" s="201">
        <f>IF(AND(Input_Product=Elig!$C167,Elig_MatchAll_Ct&lt;22,$BC167=(Elig_MatchAll_Ct-1),AU167=0),R167,0)</f>
        <v>0</v>
      </c>
      <c r="BX167" s="202">
        <f>IF(AND(Input_Product=Elig!$C167,Elig_MatchAll_Ct&lt;22,$BC167=(Elig_MatchAll_Ct-1),AU167=0),S167,0)</f>
        <v>0</v>
      </c>
      <c r="BY167" s="201">
        <f>IF(AND(Input_Product=Elig!$C167,Elig_MatchAll_Ct&lt;22,$BC167=(Elig_MatchAll_Ct-1),AV167=0),T167,0)</f>
        <v>0</v>
      </c>
      <c r="BZ167" s="202">
        <f>IF(AND(Input_Product=Elig!$C167,Elig_MatchAll_Ct&lt;22,$BC167=(Elig_MatchAll_Ct-1),AV167=0),U167,0)</f>
        <v>0</v>
      </c>
      <c r="CA167" s="201">
        <f>IF(AND(Input_Product=Elig!$C167,Elig_MatchAll_Ct&lt;22,$BC167=(Elig_MatchAll_Ct-1),AW167=0),V167,0)</f>
        <v>0</v>
      </c>
      <c r="CB167" s="202">
        <f>IF(AND(Input_Product=Elig!$C167,Elig_MatchAll_Ct&lt;22,$BC167=(Elig_MatchAll_Ct-1),AW167=0),W167,0)</f>
        <v>0</v>
      </c>
      <c r="CC167" s="201">
        <f>IF(AND(Input_Product=Elig!$C167,Elig_MatchAll_Ct&lt;22,$BC167=(Elig_MatchAll_Ct-1),AX167=0),X167,0)</f>
        <v>0</v>
      </c>
      <c r="CD167" s="202">
        <f>IF(AND(Input_Product=Elig!$C167,Elig_MatchAll_Ct&lt;22,$BC167=(Elig_MatchAll_Ct-1),AX167=0),Y167,0)</f>
        <v>0</v>
      </c>
      <c r="CE167" s="201">
        <f>IF(AND(Input_LTV&lt;=AE167,Input_Product=Elig!$C167,Elig_MatchAll_Ct&lt;22,$BC167=(Elig_MatchAll_Ct-1),AY167=0),Z167,0)</f>
        <v>0</v>
      </c>
      <c r="CF167" s="202">
        <f>IF(AND(Input_LTV&lt;=AE167,Input_Product=Elig!$C167,Elig_MatchAll_Ct&lt;22,$BC167=(Elig_MatchAll_Ct-1),AY167=0),AA167,0)</f>
        <v>0</v>
      </c>
      <c r="CG167" s="201">
        <f>IF(AND(Input_Product=Elig!$C167,Elig_MatchAll_Ct&lt;22,$BC167=(Elig_MatchAll_Ct-1),AZ167=0),AB167,0)</f>
        <v>0</v>
      </c>
      <c r="CH167" s="202">
        <f>IF(AND(Input_Product=Elig!$C167,Elig_MatchAll_Ct&lt;22,$BC167=(Elig_MatchAll_Ct-1),AZ167=0),AC167,0)</f>
        <v>0</v>
      </c>
      <c r="CI167" s="201">
        <f>IF(AND(Input_Product=Elig!$C167,Elig_MatchAll_Ct&lt;22,$BC167=(Elig_MatchAll_Ct-1),BA167=0),AD167,0)</f>
        <v>0</v>
      </c>
      <c r="CJ167" s="203">
        <f>IF(AND(Input_Product=Elig!$C167,Elig_MatchAll_Ct&lt;22,$BC167=(Elig_MatchAll_Ct-1),BA167=0),AE167,0)</f>
        <v>0</v>
      </c>
    </row>
    <row r="168" spans="2:88" ht="10.15" customHeight="1" x14ac:dyDescent="0.25">
      <c r="B168" s="1912" t="s">
        <v>916</v>
      </c>
      <c r="C168" s="147" t="str">
        <f t="shared" si="35"/>
        <v>NonQM OO</v>
      </c>
      <c r="D168" s="148" t="s">
        <v>3885</v>
      </c>
      <c r="E168" s="148" t="s">
        <v>167</v>
      </c>
      <c r="F168" s="148" t="s">
        <v>331</v>
      </c>
      <c r="G168" s="135" t="s">
        <v>179</v>
      </c>
      <c r="H168" s="148" t="s">
        <v>136</v>
      </c>
      <c r="I168" s="149" t="s">
        <v>274</v>
      </c>
      <c r="J168" s="149" t="s">
        <v>1311</v>
      </c>
      <c r="K168" s="149" t="s">
        <v>1631</v>
      </c>
      <c r="L168" s="322" t="s">
        <v>3920</v>
      </c>
      <c r="M168" s="148" t="s">
        <v>4203</v>
      </c>
      <c r="N168" s="148" t="s">
        <v>82</v>
      </c>
      <c r="O168" s="148" t="s">
        <v>310</v>
      </c>
      <c r="P168" s="148" t="s">
        <v>291</v>
      </c>
      <c r="Q168" s="148" t="s">
        <v>294</v>
      </c>
      <c r="R168" s="135">
        <v>1500000.01</v>
      </c>
      <c r="S168" s="135">
        <v>2000000</v>
      </c>
      <c r="T168" s="148">
        <v>0</v>
      </c>
      <c r="U168" s="148">
        <v>0</v>
      </c>
      <c r="V168" s="148">
        <v>0</v>
      </c>
      <c r="W168" s="148">
        <v>55</v>
      </c>
      <c r="X168" s="148">
        <v>0</v>
      </c>
      <c r="Y168" s="148">
        <v>999</v>
      </c>
      <c r="Z168" s="140">
        <v>620</v>
      </c>
      <c r="AA168" s="140">
        <v>639</v>
      </c>
      <c r="AB168" s="140">
        <v>6</v>
      </c>
      <c r="AC168" s="140">
        <v>999999</v>
      </c>
      <c r="AD168" s="139">
        <v>0</v>
      </c>
      <c r="AE168" s="139">
        <v>-999</v>
      </c>
      <c r="AF168" s="170">
        <v>0</v>
      </c>
      <c r="AG168" s="171">
        <v>1</v>
      </c>
      <c r="AH168" s="171">
        <v>1</v>
      </c>
      <c r="AI168" s="171">
        <v>1</v>
      </c>
      <c r="AJ168" s="171">
        <v>0</v>
      </c>
      <c r="AK168" s="171">
        <v>1</v>
      </c>
      <c r="AL168" s="171">
        <v>0</v>
      </c>
      <c r="AM168" s="171">
        <v>1</v>
      </c>
      <c r="AN168" s="171">
        <v>1</v>
      </c>
      <c r="AO168" s="171">
        <v>1</v>
      </c>
      <c r="AP168" s="171">
        <v>1</v>
      </c>
      <c r="AQ168" s="171">
        <v>1</v>
      </c>
      <c r="AR168" s="171">
        <v>1</v>
      </c>
      <c r="AS168" s="171">
        <v>1</v>
      </c>
      <c r="AT168" s="171">
        <v>1</v>
      </c>
      <c r="AU168" s="171">
        <f t="shared" si="41"/>
        <v>0</v>
      </c>
      <c r="AV168" s="171">
        <f t="shared" si="42"/>
        <v>0</v>
      </c>
      <c r="AW168" s="171">
        <f t="shared" si="43"/>
        <v>1</v>
      </c>
      <c r="AX168" s="171">
        <f t="shared" si="53"/>
        <v>1</v>
      </c>
      <c r="AY168" s="171">
        <f t="shared" si="44"/>
        <v>0</v>
      </c>
      <c r="AZ168" s="171">
        <f t="shared" si="45"/>
        <v>1</v>
      </c>
      <c r="BA168" s="172">
        <f t="shared" si="46"/>
        <v>0</v>
      </c>
      <c r="BB168" s="175">
        <f t="shared" si="47"/>
        <v>15</v>
      </c>
      <c r="BC168" s="176">
        <f t="shared" si="48"/>
        <v>15</v>
      </c>
      <c r="BD168" s="176">
        <f t="shared" si="49"/>
        <v>15</v>
      </c>
      <c r="BE168" s="240" t="str">
        <f t="shared" si="51"/>
        <v/>
      </c>
      <c r="BH168" s="204">
        <f>IF(AND(Input_Product=Elig!$C168,Elig_MatchAll_Ct&lt;22,$BC168=(Elig_MatchAll_Ct-1),AF168=0),C168,0)</f>
        <v>0</v>
      </c>
      <c r="BI168" s="205">
        <f>IF(AND(Input_Product=Elig!$C168,Elig_MatchAll_Ct&lt;22,$BC168=(Elig_MatchAll_Ct-1),AG168=0),D168,0)</f>
        <v>0</v>
      </c>
      <c r="BJ168" s="205">
        <f>IF(AND(Input_Product=Elig!$C168,Elig_MatchAll_Ct&lt;22,$BC168=(Elig_MatchAll_Ct-1),AH168=0),E168,0)</f>
        <v>0</v>
      </c>
      <c r="BK168" s="205">
        <f>IF(AND(Input_Product=Elig!$C168,Elig_MatchAll_Ct&lt;22,$BC168=(Elig_MatchAll_Ct-1),AI168=0),F168,0)</f>
        <v>0</v>
      </c>
      <c r="BL168" s="205">
        <f>IF(AND(Input_Product=Elig!$C168,Elig_MatchAll_Ct&lt;22,$BC168=(Elig_MatchAll_Ct-1),AJ168=0),G168,0)</f>
        <v>0</v>
      </c>
      <c r="BM168" s="205">
        <f>IF(AND(Input_Product=Elig!$C168,Elig_MatchAll_Ct&lt;22,$BC168=(Elig_MatchAll_Ct-1),AK168=0),H168,0)</f>
        <v>0</v>
      </c>
      <c r="BN168" s="205">
        <f>IF(AND(Input_Product=Elig!$C168,Elig_MatchAll_Ct&lt;22,$BC168=(Elig_MatchAll_Ct-1),AL168=0),I168,0)</f>
        <v>0</v>
      </c>
      <c r="BO168" s="205">
        <f>IF(AND(Input_Product=Elig!$C168,Elig_MatchAll_Ct&lt;22,$BC168=(Elig_MatchAll_Ct-1),AM168=0),J168,0)</f>
        <v>0</v>
      </c>
      <c r="BP168" s="205">
        <f>IF(AND(Input_Product=Elig!$C168,Elig_MatchAll_Ct&lt;22,$BC168=(Elig_MatchAll_Ct-1),AN168=0),K168,0)</f>
        <v>0</v>
      </c>
      <c r="BQ168" s="205">
        <f>IF(AND(Input_Product=Elig!$C168,Elig_MatchAll_Ct&lt;22,$BC168=(Elig_MatchAll_Ct-1),AP168=0),L168,0)</f>
        <v>0</v>
      </c>
      <c r="BR168" s="205">
        <f>IF(AND(Input_Product=Elig!$C168,Elig_MatchAll_Ct&lt;22,$BC168=(Elig_MatchAll_Ct-1),AO168=0),M168,0)</f>
        <v>0</v>
      </c>
      <c r="BS168" s="205">
        <f>IF(AND(Input_Product=Elig!$C168,Elig_MatchAll_Ct&lt;22,$BC168=(Elig_MatchAll_Ct-1),AQ168=0),N168,0)</f>
        <v>0</v>
      </c>
      <c r="BT168" s="205">
        <f>IF(AND(Input_Product=Elig!$C168,Elig_MatchAll_Ct&lt;22,$BC168=(Elig_MatchAll_Ct-1),AR168=0),O168,0)</f>
        <v>0</v>
      </c>
      <c r="BU168" s="205">
        <f>IF(AND(Input_Product=Elig!$C168,Elig_MatchAll_Ct&lt;22,$BC168=(Elig_MatchAll_Ct-1),AS168=0),P168,0)</f>
        <v>0</v>
      </c>
      <c r="BV168" s="206">
        <f>IF(AND(Input_Product=Elig!$C168,Elig_MatchAll_Ct&lt;22,$BC168=(Elig_MatchAll_Ct-1),AT168=0),Q168,0)</f>
        <v>0</v>
      </c>
      <c r="BW168" s="207">
        <f>IF(AND(Input_Product=Elig!$C168,Elig_MatchAll_Ct&lt;22,$BC168=(Elig_MatchAll_Ct-1),AU168=0),R168,0)</f>
        <v>0</v>
      </c>
      <c r="BX168" s="208">
        <f>IF(AND(Input_Product=Elig!$C168,Elig_MatchAll_Ct&lt;22,$BC168=(Elig_MatchAll_Ct-1),AU168=0),S168,0)</f>
        <v>0</v>
      </c>
      <c r="BY168" s="207">
        <f>IF(AND(Input_Product=Elig!$C168,Elig_MatchAll_Ct&lt;22,$BC168=(Elig_MatchAll_Ct-1),AV168=0),T168,0)</f>
        <v>0</v>
      </c>
      <c r="BZ168" s="208">
        <f>IF(AND(Input_Product=Elig!$C168,Elig_MatchAll_Ct&lt;22,$BC168=(Elig_MatchAll_Ct-1),AV168=0),U168,0)</f>
        <v>0</v>
      </c>
      <c r="CA168" s="207">
        <f>IF(AND(Input_Product=Elig!$C168,Elig_MatchAll_Ct&lt;22,$BC168=(Elig_MatchAll_Ct-1),AW168=0),V168,0)</f>
        <v>0</v>
      </c>
      <c r="CB168" s="208">
        <f>IF(AND(Input_Product=Elig!$C168,Elig_MatchAll_Ct&lt;22,$BC168=(Elig_MatchAll_Ct-1),AW168=0),W168,0)</f>
        <v>0</v>
      </c>
      <c r="CC168" s="207">
        <f>IF(AND(Input_Product=Elig!$C168,Elig_MatchAll_Ct&lt;22,$BC168=(Elig_MatchAll_Ct-1),AX168=0),X168,0)</f>
        <v>0</v>
      </c>
      <c r="CD168" s="208">
        <f>IF(AND(Input_Product=Elig!$C168,Elig_MatchAll_Ct&lt;22,$BC168=(Elig_MatchAll_Ct-1),AX168=0),Y168,0)</f>
        <v>0</v>
      </c>
      <c r="CE168" s="207">
        <f>IF(AND(Input_LTV&lt;=AE168,Input_Product=Elig!$C168,Elig_MatchAll_Ct&lt;22,$BC168=(Elig_MatchAll_Ct-1),AY168=0),Z168,0)</f>
        <v>0</v>
      </c>
      <c r="CF168" s="208">
        <f>IF(AND(Input_LTV&lt;=AE168,Input_Product=Elig!$C168,Elig_MatchAll_Ct&lt;22,$BC168=(Elig_MatchAll_Ct-1),AY168=0),AA168,0)</f>
        <v>0</v>
      </c>
      <c r="CG168" s="207">
        <f>IF(AND(Input_Product=Elig!$C168,Elig_MatchAll_Ct&lt;22,$BC168=(Elig_MatchAll_Ct-1),AZ168=0),AB168,0)</f>
        <v>0</v>
      </c>
      <c r="CH168" s="208">
        <f>IF(AND(Input_Product=Elig!$C168,Elig_MatchAll_Ct&lt;22,$BC168=(Elig_MatchAll_Ct-1),AZ168=0),AC168,0)</f>
        <v>0</v>
      </c>
      <c r="CI168" s="207">
        <f>IF(AND(Input_Product=Elig!$C168,Elig_MatchAll_Ct&lt;22,$BC168=(Elig_MatchAll_Ct-1),BA168=0),AD168,0)</f>
        <v>0</v>
      </c>
      <c r="CJ168" s="209">
        <f>IF(AND(Input_Product=Elig!$C168,Elig_MatchAll_Ct&lt;22,$BC168=(Elig_MatchAll_Ct-1),BA168=0),AE168,0)</f>
        <v>0</v>
      </c>
    </row>
    <row r="169" spans="2:88" ht="10.15" customHeight="1" x14ac:dyDescent="0.25">
      <c r="B169" s="1912" t="s">
        <v>917</v>
      </c>
      <c r="C169" s="141" t="str">
        <f t="shared" si="35"/>
        <v>NonQM OO</v>
      </c>
      <c r="D169" s="142" t="s">
        <v>3885</v>
      </c>
      <c r="E169" s="143" t="s">
        <v>167</v>
      </c>
      <c r="F169" s="143" t="s">
        <v>331</v>
      </c>
      <c r="G169" s="143" t="s">
        <v>179</v>
      </c>
      <c r="H169" s="143" t="s">
        <v>136</v>
      </c>
      <c r="I169" s="142" t="s">
        <v>16</v>
      </c>
      <c r="J169" s="142" t="s">
        <v>1311</v>
      </c>
      <c r="K169" s="142" t="s">
        <v>1631</v>
      </c>
      <c r="L169" s="2131" t="s">
        <v>3920</v>
      </c>
      <c r="M169" s="143" t="s">
        <v>4203</v>
      </c>
      <c r="N169" s="143" t="s">
        <v>82</v>
      </c>
      <c r="O169" s="143" t="s">
        <v>310</v>
      </c>
      <c r="P169" s="143" t="s">
        <v>291</v>
      </c>
      <c r="Q169" s="143" t="s">
        <v>294</v>
      </c>
      <c r="R169" s="142">
        <v>1500000.01</v>
      </c>
      <c r="S169" s="142">
        <v>2000000</v>
      </c>
      <c r="T169" s="142">
        <v>0</v>
      </c>
      <c r="U169" s="142">
        <f t="shared" ref="U169:U174" si="55">S169</f>
        <v>2000000</v>
      </c>
      <c r="V169" s="142">
        <v>0</v>
      </c>
      <c r="W169" s="142">
        <v>55</v>
      </c>
      <c r="X169" s="142">
        <v>0</v>
      </c>
      <c r="Y169" s="142">
        <v>999</v>
      </c>
      <c r="Z169" s="144">
        <v>720</v>
      </c>
      <c r="AA169" s="144">
        <v>999</v>
      </c>
      <c r="AB169" s="144">
        <v>6</v>
      </c>
      <c r="AC169" s="144">
        <v>999999</v>
      </c>
      <c r="AD169" s="142">
        <v>0</v>
      </c>
      <c r="AE169" s="320">
        <v>70</v>
      </c>
      <c r="AF169" s="170">
        <v>0</v>
      </c>
      <c r="AG169" s="171">
        <v>1</v>
      </c>
      <c r="AH169" s="171">
        <v>1</v>
      </c>
      <c r="AI169" s="171">
        <v>1</v>
      </c>
      <c r="AJ169" s="171">
        <v>0</v>
      </c>
      <c r="AK169" s="171">
        <v>1</v>
      </c>
      <c r="AL169" s="171">
        <v>1</v>
      </c>
      <c r="AM169" s="171">
        <v>1</v>
      </c>
      <c r="AN169" s="171">
        <v>1</v>
      </c>
      <c r="AO169" s="171">
        <v>1</v>
      </c>
      <c r="AP169" s="171">
        <v>1</v>
      </c>
      <c r="AQ169" s="171">
        <v>1</v>
      </c>
      <c r="AR169" s="171">
        <v>1</v>
      </c>
      <c r="AS169" s="171">
        <v>1</v>
      </c>
      <c r="AT169" s="171">
        <v>1</v>
      </c>
      <c r="AU169" s="171">
        <f t="shared" si="41"/>
        <v>0</v>
      </c>
      <c r="AV169" s="171">
        <f t="shared" si="42"/>
        <v>1</v>
      </c>
      <c r="AW169" s="171">
        <f t="shared" si="43"/>
        <v>1</v>
      </c>
      <c r="AX169" s="171">
        <f t="shared" si="53"/>
        <v>1</v>
      </c>
      <c r="AY169" s="171">
        <f t="shared" si="44"/>
        <v>1</v>
      </c>
      <c r="AZ169" s="171">
        <f t="shared" si="45"/>
        <v>1</v>
      </c>
      <c r="BA169" s="172">
        <f t="shared" si="46"/>
        <v>1</v>
      </c>
      <c r="BB169" s="175">
        <f t="shared" si="47"/>
        <v>19</v>
      </c>
      <c r="BC169" s="176">
        <f t="shared" si="48"/>
        <v>18</v>
      </c>
      <c r="BD169" s="176">
        <f t="shared" si="49"/>
        <v>19</v>
      </c>
      <c r="BE169" s="240" t="str">
        <f t="shared" si="51"/>
        <v/>
      </c>
      <c r="BH169" s="192">
        <f>IF(AND(Input_Product=Elig!$C169,Elig_MatchAll_Ct&lt;22,$BC169=(Elig_MatchAll_Ct-1),AF169=0),C169,0)</f>
        <v>0</v>
      </c>
      <c r="BI169" s="193">
        <f>IF(AND(Input_Product=Elig!$C169,Elig_MatchAll_Ct&lt;22,$BC169=(Elig_MatchAll_Ct-1),AG169=0),D169,0)</f>
        <v>0</v>
      </c>
      <c r="BJ169" s="193">
        <f>IF(AND(Input_Product=Elig!$C169,Elig_MatchAll_Ct&lt;22,$BC169=(Elig_MatchAll_Ct-1),AH169=0),E169,0)</f>
        <v>0</v>
      </c>
      <c r="BK169" s="193">
        <f>IF(AND(Input_Product=Elig!$C169,Elig_MatchAll_Ct&lt;22,$BC169=(Elig_MatchAll_Ct-1),AI169=0),F169,0)</f>
        <v>0</v>
      </c>
      <c r="BL169" s="193">
        <f>IF(AND(Input_Product=Elig!$C169,Elig_MatchAll_Ct&lt;22,$BC169=(Elig_MatchAll_Ct-1),AJ169=0),G169,0)</f>
        <v>0</v>
      </c>
      <c r="BM169" s="193">
        <f>IF(AND(Input_Product=Elig!$C169,Elig_MatchAll_Ct&lt;22,$BC169=(Elig_MatchAll_Ct-1),AK169=0),H169,0)</f>
        <v>0</v>
      </c>
      <c r="BN169" s="193">
        <f>IF(AND(Input_Product=Elig!$C169,Elig_MatchAll_Ct&lt;22,$BC169=(Elig_MatchAll_Ct-1),AL169=0),I169,0)</f>
        <v>0</v>
      </c>
      <c r="BO169" s="193">
        <f>IF(AND(Input_Product=Elig!$C169,Elig_MatchAll_Ct&lt;22,$BC169=(Elig_MatchAll_Ct-1),AM169=0),J169,0)</f>
        <v>0</v>
      </c>
      <c r="BP169" s="193">
        <f>IF(AND(Input_Product=Elig!$C169,Elig_MatchAll_Ct&lt;22,$BC169=(Elig_MatchAll_Ct-1),AN169=0),K169,0)</f>
        <v>0</v>
      </c>
      <c r="BQ169" s="193">
        <f>IF(AND(Input_Product=Elig!$C169,Elig_MatchAll_Ct&lt;22,$BC169=(Elig_MatchAll_Ct-1),AP169=0),L169,0)</f>
        <v>0</v>
      </c>
      <c r="BR169" s="193">
        <f>IF(AND(Input_Product=Elig!$C169,Elig_MatchAll_Ct&lt;22,$BC169=(Elig_MatchAll_Ct-1),AO169=0),M169,0)</f>
        <v>0</v>
      </c>
      <c r="BS169" s="193">
        <f>IF(AND(Input_Product=Elig!$C169,Elig_MatchAll_Ct&lt;22,$BC169=(Elig_MatchAll_Ct-1),AQ169=0),N169,0)</f>
        <v>0</v>
      </c>
      <c r="BT169" s="193">
        <f>IF(AND(Input_Product=Elig!$C169,Elig_MatchAll_Ct&lt;22,$BC169=(Elig_MatchAll_Ct-1),AR169=0),O169,0)</f>
        <v>0</v>
      </c>
      <c r="BU169" s="193">
        <f>IF(AND(Input_Product=Elig!$C169,Elig_MatchAll_Ct&lt;22,$BC169=(Elig_MatchAll_Ct-1),AS169=0),P169,0)</f>
        <v>0</v>
      </c>
      <c r="BV169" s="194">
        <f>IF(AND(Input_Product=Elig!$C169,Elig_MatchAll_Ct&lt;22,$BC169=(Elig_MatchAll_Ct-1),AT169=0),Q169,0)</f>
        <v>0</v>
      </c>
      <c r="BW169" s="195">
        <f>IF(AND(Input_Product=Elig!$C169,Elig_MatchAll_Ct&lt;22,$BC169=(Elig_MatchAll_Ct-1),AU169=0),R169,0)</f>
        <v>0</v>
      </c>
      <c r="BX169" s="196">
        <f>IF(AND(Input_Product=Elig!$C169,Elig_MatchAll_Ct&lt;22,$BC169=(Elig_MatchAll_Ct-1),AU169=0),S169,0)</f>
        <v>0</v>
      </c>
      <c r="BY169" s="195">
        <f>IF(AND(Input_Product=Elig!$C169,Elig_MatchAll_Ct&lt;22,$BC169=(Elig_MatchAll_Ct-1),AV169=0),T169,0)</f>
        <v>0</v>
      </c>
      <c r="BZ169" s="196">
        <f>IF(AND(Input_Product=Elig!$C169,Elig_MatchAll_Ct&lt;22,$BC169=(Elig_MatchAll_Ct-1),AV169=0),U169,0)</f>
        <v>0</v>
      </c>
      <c r="CA169" s="195">
        <f>IF(AND(Input_Product=Elig!$C169,Elig_MatchAll_Ct&lt;22,$BC169=(Elig_MatchAll_Ct-1),AW169=0),V169,0)</f>
        <v>0</v>
      </c>
      <c r="CB169" s="196">
        <f>IF(AND(Input_Product=Elig!$C169,Elig_MatchAll_Ct&lt;22,$BC169=(Elig_MatchAll_Ct-1),AW169=0),W169,0)</f>
        <v>0</v>
      </c>
      <c r="CC169" s="195">
        <f>IF(AND(Input_Product=Elig!$C169,Elig_MatchAll_Ct&lt;22,$BC169=(Elig_MatchAll_Ct-1),AX169=0),X169,0)</f>
        <v>0</v>
      </c>
      <c r="CD169" s="196">
        <f>IF(AND(Input_Product=Elig!$C169,Elig_MatchAll_Ct&lt;22,$BC169=(Elig_MatchAll_Ct-1),AX169=0),Y169,0)</f>
        <v>0</v>
      </c>
      <c r="CE169" s="195">
        <f>IF(AND(Input_LTV&lt;=AE169,Input_Product=Elig!$C169,Elig_MatchAll_Ct&lt;22,$BC169=(Elig_MatchAll_Ct-1),AY169=0),Z169,0)</f>
        <v>0</v>
      </c>
      <c r="CF169" s="196">
        <f>IF(AND(Input_LTV&lt;=AE169,Input_Product=Elig!$C169,Elig_MatchAll_Ct&lt;22,$BC169=(Elig_MatchAll_Ct-1),AY169=0),AA169,0)</f>
        <v>0</v>
      </c>
      <c r="CG169" s="195">
        <f>IF(AND(Input_Product=Elig!$C169,Elig_MatchAll_Ct&lt;22,$BC169=(Elig_MatchAll_Ct-1),AZ169=0),AB169,0)</f>
        <v>0</v>
      </c>
      <c r="CH169" s="196">
        <f>IF(AND(Input_Product=Elig!$C169,Elig_MatchAll_Ct&lt;22,$BC169=(Elig_MatchAll_Ct-1),AZ169=0),AC169,0)</f>
        <v>0</v>
      </c>
      <c r="CI169" s="195">
        <f>IF(AND(Input_Product=Elig!$C169,Elig_MatchAll_Ct&lt;22,$BC169=(Elig_MatchAll_Ct-1),BA169=0),AD169,0)</f>
        <v>0</v>
      </c>
      <c r="CJ169" s="197">
        <f>IF(AND(Input_Product=Elig!$C169,Elig_MatchAll_Ct&lt;22,$BC169=(Elig_MatchAll_Ct-1),BA169=0),AE169,0)</f>
        <v>0</v>
      </c>
    </row>
    <row r="170" spans="2:88" ht="10.15" customHeight="1" x14ac:dyDescent="0.25">
      <c r="B170" s="1912" t="s">
        <v>918</v>
      </c>
      <c r="C170" s="134" t="str">
        <f t="shared" si="35"/>
        <v>NonQM OO</v>
      </c>
      <c r="D170" s="135" t="s">
        <v>3885</v>
      </c>
      <c r="E170" s="135" t="s">
        <v>167</v>
      </c>
      <c r="F170" s="135" t="s">
        <v>331</v>
      </c>
      <c r="G170" s="135" t="s">
        <v>179</v>
      </c>
      <c r="H170" s="135" t="s">
        <v>136</v>
      </c>
      <c r="I170" s="136" t="s">
        <v>16</v>
      </c>
      <c r="J170" s="136" t="s">
        <v>1311</v>
      </c>
      <c r="K170" s="136" t="s">
        <v>1631</v>
      </c>
      <c r="L170" s="221" t="s">
        <v>3920</v>
      </c>
      <c r="M170" s="135" t="s">
        <v>4203</v>
      </c>
      <c r="N170" s="135" t="s">
        <v>82</v>
      </c>
      <c r="O170" s="135" t="s">
        <v>310</v>
      </c>
      <c r="P170" s="135" t="s">
        <v>291</v>
      </c>
      <c r="Q170" s="135" t="s">
        <v>294</v>
      </c>
      <c r="R170" s="135">
        <v>1500000.01</v>
      </c>
      <c r="S170" s="135">
        <v>2000000</v>
      </c>
      <c r="T170" s="135">
        <v>0</v>
      </c>
      <c r="U170" s="135">
        <f t="shared" si="55"/>
        <v>2000000</v>
      </c>
      <c r="V170" s="135">
        <v>0</v>
      </c>
      <c r="W170" s="135">
        <v>55</v>
      </c>
      <c r="X170" s="135">
        <v>0</v>
      </c>
      <c r="Y170" s="135">
        <v>999</v>
      </c>
      <c r="Z170" s="137">
        <v>700</v>
      </c>
      <c r="AA170" s="137">
        <v>719</v>
      </c>
      <c r="AB170" s="137">
        <v>6</v>
      </c>
      <c r="AC170" s="137">
        <v>999999</v>
      </c>
      <c r="AD170" s="135">
        <v>0</v>
      </c>
      <c r="AE170" s="221">
        <v>70</v>
      </c>
      <c r="AF170" s="170">
        <v>0</v>
      </c>
      <c r="AG170" s="171">
        <v>1</v>
      </c>
      <c r="AH170" s="171">
        <v>1</v>
      </c>
      <c r="AI170" s="171">
        <v>1</v>
      </c>
      <c r="AJ170" s="171">
        <v>0</v>
      </c>
      <c r="AK170" s="171">
        <v>1</v>
      </c>
      <c r="AL170" s="171">
        <v>1</v>
      </c>
      <c r="AM170" s="171">
        <v>1</v>
      </c>
      <c r="AN170" s="171">
        <v>1</v>
      </c>
      <c r="AO170" s="171">
        <v>1</v>
      </c>
      <c r="AP170" s="171">
        <v>1</v>
      </c>
      <c r="AQ170" s="171">
        <v>1</v>
      </c>
      <c r="AR170" s="171">
        <v>1</v>
      </c>
      <c r="AS170" s="171">
        <v>1</v>
      </c>
      <c r="AT170" s="171">
        <v>1</v>
      </c>
      <c r="AU170" s="171">
        <f t="shared" si="41"/>
        <v>0</v>
      </c>
      <c r="AV170" s="171">
        <f t="shared" si="42"/>
        <v>1</v>
      </c>
      <c r="AW170" s="171">
        <f t="shared" si="43"/>
        <v>1</v>
      </c>
      <c r="AX170" s="171">
        <f t="shared" si="53"/>
        <v>1</v>
      </c>
      <c r="AY170" s="171">
        <f t="shared" si="44"/>
        <v>0</v>
      </c>
      <c r="AZ170" s="171">
        <f t="shared" si="45"/>
        <v>1</v>
      </c>
      <c r="BA170" s="172">
        <f t="shared" si="46"/>
        <v>1</v>
      </c>
      <c r="BB170" s="175">
        <f t="shared" si="47"/>
        <v>18</v>
      </c>
      <c r="BC170" s="176">
        <f t="shared" si="48"/>
        <v>17</v>
      </c>
      <c r="BD170" s="176">
        <f t="shared" si="49"/>
        <v>18</v>
      </c>
      <c r="BE170" s="240" t="str">
        <f t="shared" si="51"/>
        <v/>
      </c>
      <c r="BH170" s="198">
        <f>IF(AND(Input_Product=Elig!$C170,Elig_MatchAll_Ct&lt;22,$BC170=(Elig_MatchAll_Ct-1),AF170=0),C170,0)</f>
        <v>0</v>
      </c>
      <c r="BI170" s="199">
        <f>IF(AND(Input_Product=Elig!$C170,Elig_MatchAll_Ct&lt;22,$BC170=(Elig_MatchAll_Ct-1),AG170=0),D170,0)</f>
        <v>0</v>
      </c>
      <c r="BJ170" s="199">
        <f>IF(AND(Input_Product=Elig!$C170,Elig_MatchAll_Ct&lt;22,$BC170=(Elig_MatchAll_Ct-1),AH170=0),E170,0)</f>
        <v>0</v>
      </c>
      <c r="BK170" s="199">
        <f>IF(AND(Input_Product=Elig!$C170,Elig_MatchAll_Ct&lt;22,$BC170=(Elig_MatchAll_Ct-1),AI170=0),F170,0)</f>
        <v>0</v>
      </c>
      <c r="BL170" s="199">
        <f>IF(AND(Input_Product=Elig!$C170,Elig_MatchAll_Ct&lt;22,$BC170=(Elig_MatchAll_Ct-1),AJ170=0),G170,0)</f>
        <v>0</v>
      </c>
      <c r="BM170" s="199">
        <f>IF(AND(Input_Product=Elig!$C170,Elig_MatchAll_Ct&lt;22,$BC170=(Elig_MatchAll_Ct-1),AK170=0),H170,0)</f>
        <v>0</v>
      </c>
      <c r="BN170" s="199">
        <f>IF(AND(Input_Product=Elig!$C170,Elig_MatchAll_Ct&lt;22,$BC170=(Elig_MatchAll_Ct-1),AL170=0),I170,0)</f>
        <v>0</v>
      </c>
      <c r="BO170" s="199">
        <f>IF(AND(Input_Product=Elig!$C170,Elig_MatchAll_Ct&lt;22,$BC170=(Elig_MatchAll_Ct-1),AM170=0),J170,0)</f>
        <v>0</v>
      </c>
      <c r="BP170" s="199">
        <f>IF(AND(Input_Product=Elig!$C170,Elig_MatchAll_Ct&lt;22,$BC170=(Elig_MatchAll_Ct-1),AN170=0),K170,0)</f>
        <v>0</v>
      </c>
      <c r="BQ170" s="199">
        <f>IF(AND(Input_Product=Elig!$C170,Elig_MatchAll_Ct&lt;22,$BC170=(Elig_MatchAll_Ct-1),AP170=0),L170,0)</f>
        <v>0</v>
      </c>
      <c r="BR170" s="199">
        <f>IF(AND(Input_Product=Elig!$C170,Elig_MatchAll_Ct&lt;22,$BC170=(Elig_MatchAll_Ct-1),AO170=0),M170,0)</f>
        <v>0</v>
      </c>
      <c r="BS170" s="199">
        <f>IF(AND(Input_Product=Elig!$C170,Elig_MatchAll_Ct&lt;22,$BC170=(Elig_MatchAll_Ct-1),AQ170=0),N170,0)</f>
        <v>0</v>
      </c>
      <c r="BT170" s="199">
        <f>IF(AND(Input_Product=Elig!$C170,Elig_MatchAll_Ct&lt;22,$BC170=(Elig_MatchAll_Ct-1),AR170=0),O170,0)</f>
        <v>0</v>
      </c>
      <c r="BU170" s="199">
        <f>IF(AND(Input_Product=Elig!$C170,Elig_MatchAll_Ct&lt;22,$BC170=(Elig_MatchAll_Ct-1),AS170=0),P170,0)</f>
        <v>0</v>
      </c>
      <c r="BV170" s="200">
        <f>IF(AND(Input_Product=Elig!$C170,Elig_MatchAll_Ct&lt;22,$BC170=(Elig_MatchAll_Ct-1),AT170=0),Q170,0)</f>
        <v>0</v>
      </c>
      <c r="BW170" s="201">
        <f>IF(AND(Input_Product=Elig!$C170,Elig_MatchAll_Ct&lt;22,$BC170=(Elig_MatchAll_Ct-1),AU170=0),R170,0)</f>
        <v>0</v>
      </c>
      <c r="BX170" s="202">
        <f>IF(AND(Input_Product=Elig!$C170,Elig_MatchAll_Ct&lt;22,$BC170=(Elig_MatchAll_Ct-1),AU170=0),S170,0)</f>
        <v>0</v>
      </c>
      <c r="BY170" s="201">
        <f>IF(AND(Input_Product=Elig!$C170,Elig_MatchAll_Ct&lt;22,$BC170=(Elig_MatchAll_Ct-1),AV170=0),T170,0)</f>
        <v>0</v>
      </c>
      <c r="BZ170" s="202">
        <f>IF(AND(Input_Product=Elig!$C170,Elig_MatchAll_Ct&lt;22,$BC170=(Elig_MatchAll_Ct-1),AV170=0),U170,0)</f>
        <v>0</v>
      </c>
      <c r="CA170" s="201">
        <f>IF(AND(Input_Product=Elig!$C170,Elig_MatchAll_Ct&lt;22,$BC170=(Elig_MatchAll_Ct-1),AW170=0),V170,0)</f>
        <v>0</v>
      </c>
      <c r="CB170" s="202">
        <f>IF(AND(Input_Product=Elig!$C170,Elig_MatchAll_Ct&lt;22,$BC170=(Elig_MatchAll_Ct-1),AW170=0),W170,0)</f>
        <v>0</v>
      </c>
      <c r="CC170" s="201">
        <f>IF(AND(Input_Product=Elig!$C170,Elig_MatchAll_Ct&lt;22,$BC170=(Elig_MatchAll_Ct-1),AX170=0),X170,0)</f>
        <v>0</v>
      </c>
      <c r="CD170" s="202">
        <f>IF(AND(Input_Product=Elig!$C170,Elig_MatchAll_Ct&lt;22,$BC170=(Elig_MatchAll_Ct-1),AX170=0),Y170,0)</f>
        <v>0</v>
      </c>
      <c r="CE170" s="201">
        <f>IF(AND(Input_LTV&lt;=AE170,Input_Product=Elig!$C170,Elig_MatchAll_Ct&lt;22,$BC170=(Elig_MatchAll_Ct-1),AY170=0),Z170,0)</f>
        <v>0</v>
      </c>
      <c r="CF170" s="202">
        <f>IF(AND(Input_LTV&lt;=AE170,Input_Product=Elig!$C170,Elig_MatchAll_Ct&lt;22,$BC170=(Elig_MatchAll_Ct-1),AY170=0),AA170,0)</f>
        <v>0</v>
      </c>
      <c r="CG170" s="201">
        <f>IF(AND(Input_Product=Elig!$C170,Elig_MatchAll_Ct&lt;22,$BC170=(Elig_MatchAll_Ct-1),AZ170=0),AB170,0)</f>
        <v>0</v>
      </c>
      <c r="CH170" s="202">
        <f>IF(AND(Input_Product=Elig!$C170,Elig_MatchAll_Ct&lt;22,$BC170=(Elig_MatchAll_Ct-1),AZ170=0),AC170,0)</f>
        <v>0</v>
      </c>
      <c r="CI170" s="201">
        <f>IF(AND(Input_Product=Elig!$C170,Elig_MatchAll_Ct&lt;22,$BC170=(Elig_MatchAll_Ct-1),BA170=0),AD170,0)</f>
        <v>0</v>
      </c>
      <c r="CJ170" s="203">
        <f>IF(AND(Input_Product=Elig!$C170,Elig_MatchAll_Ct&lt;22,$BC170=(Elig_MatchAll_Ct-1),BA170=0),AE170,0)</f>
        <v>0</v>
      </c>
    </row>
    <row r="171" spans="2:88" ht="10.15" customHeight="1" x14ac:dyDescent="0.25">
      <c r="B171" s="1912" t="s">
        <v>919</v>
      </c>
      <c r="C171" s="134" t="str">
        <f t="shared" ref="C171:C244" si="56">Input_Name_Product1</f>
        <v>NonQM OO</v>
      </c>
      <c r="D171" s="135" t="s">
        <v>3885</v>
      </c>
      <c r="E171" s="135" t="s">
        <v>167</v>
      </c>
      <c r="F171" s="135" t="s">
        <v>331</v>
      </c>
      <c r="G171" s="135" t="s">
        <v>179</v>
      </c>
      <c r="H171" s="135" t="s">
        <v>136</v>
      </c>
      <c r="I171" s="136" t="s">
        <v>16</v>
      </c>
      <c r="J171" s="136" t="s">
        <v>1311</v>
      </c>
      <c r="K171" s="136" t="s">
        <v>1631</v>
      </c>
      <c r="L171" s="221" t="s">
        <v>3920</v>
      </c>
      <c r="M171" s="135" t="s">
        <v>4203</v>
      </c>
      <c r="N171" s="135" t="s">
        <v>82</v>
      </c>
      <c r="O171" s="135" t="s">
        <v>310</v>
      </c>
      <c r="P171" s="135" t="s">
        <v>291</v>
      </c>
      <c r="Q171" s="135" t="s">
        <v>294</v>
      </c>
      <c r="R171" s="135">
        <v>1500000.01</v>
      </c>
      <c r="S171" s="135">
        <v>2000000</v>
      </c>
      <c r="T171" s="135">
        <v>0</v>
      </c>
      <c r="U171" s="135">
        <f t="shared" si="55"/>
        <v>2000000</v>
      </c>
      <c r="V171" s="135">
        <v>0</v>
      </c>
      <c r="W171" s="135">
        <v>55</v>
      </c>
      <c r="X171" s="135">
        <v>0</v>
      </c>
      <c r="Y171" s="135">
        <v>999</v>
      </c>
      <c r="Z171" s="137">
        <v>680</v>
      </c>
      <c r="AA171" s="137">
        <v>699</v>
      </c>
      <c r="AB171" s="137">
        <v>6</v>
      </c>
      <c r="AC171" s="137">
        <v>999999</v>
      </c>
      <c r="AD171" s="135">
        <v>0</v>
      </c>
      <c r="AE171" s="135">
        <v>65</v>
      </c>
      <c r="AF171" s="170">
        <v>0</v>
      </c>
      <c r="AG171" s="171">
        <v>1</v>
      </c>
      <c r="AH171" s="171">
        <v>1</v>
      </c>
      <c r="AI171" s="171">
        <v>1</v>
      </c>
      <c r="AJ171" s="171">
        <v>0</v>
      </c>
      <c r="AK171" s="171">
        <v>1</v>
      </c>
      <c r="AL171" s="171">
        <v>1</v>
      </c>
      <c r="AM171" s="171">
        <v>1</v>
      </c>
      <c r="AN171" s="171">
        <v>1</v>
      </c>
      <c r="AO171" s="171">
        <v>1</v>
      </c>
      <c r="AP171" s="171">
        <v>1</v>
      </c>
      <c r="AQ171" s="171">
        <v>1</v>
      </c>
      <c r="AR171" s="171">
        <v>1</v>
      </c>
      <c r="AS171" s="171">
        <v>1</v>
      </c>
      <c r="AT171" s="171">
        <v>1</v>
      </c>
      <c r="AU171" s="171">
        <f t="shared" si="41"/>
        <v>0</v>
      </c>
      <c r="AV171" s="171">
        <f t="shared" si="42"/>
        <v>1</v>
      </c>
      <c r="AW171" s="171">
        <f t="shared" si="43"/>
        <v>1</v>
      </c>
      <c r="AX171" s="171">
        <f t="shared" si="53"/>
        <v>1</v>
      </c>
      <c r="AY171" s="171">
        <f t="shared" si="44"/>
        <v>0</v>
      </c>
      <c r="AZ171" s="171">
        <f t="shared" si="45"/>
        <v>1</v>
      </c>
      <c r="BA171" s="172">
        <f t="shared" si="46"/>
        <v>1</v>
      </c>
      <c r="BB171" s="175">
        <f t="shared" si="47"/>
        <v>18</v>
      </c>
      <c r="BC171" s="176">
        <f t="shared" si="48"/>
        <v>17</v>
      </c>
      <c r="BD171" s="176">
        <f t="shared" si="49"/>
        <v>18</v>
      </c>
      <c r="BE171" s="240" t="str">
        <f t="shared" si="51"/>
        <v/>
      </c>
      <c r="BH171" s="198">
        <f>IF(AND(Input_Product=Elig!$C171,Elig_MatchAll_Ct&lt;22,$BC171=(Elig_MatchAll_Ct-1),AF171=0),C171,0)</f>
        <v>0</v>
      </c>
      <c r="BI171" s="199">
        <f>IF(AND(Input_Product=Elig!$C171,Elig_MatchAll_Ct&lt;22,$BC171=(Elig_MatchAll_Ct-1),AG171=0),D171,0)</f>
        <v>0</v>
      </c>
      <c r="BJ171" s="199">
        <f>IF(AND(Input_Product=Elig!$C171,Elig_MatchAll_Ct&lt;22,$BC171=(Elig_MatchAll_Ct-1),AH171=0),E171,0)</f>
        <v>0</v>
      </c>
      <c r="BK171" s="199">
        <f>IF(AND(Input_Product=Elig!$C171,Elig_MatchAll_Ct&lt;22,$BC171=(Elig_MatchAll_Ct-1),AI171=0),F171,0)</f>
        <v>0</v>
      </c>
      <c r="BL171" s="199">
        <f>IF(AND(Input_Product=Elig!$C171,Elig_MatchAll_Ct&lt;22,$BC171=(Elig_MatchAll_Ct-1),AJ171=0),G171,0)</f>
        <v>0</v>
      </c>
      <c r="BM171" s="199">
        <f>IF(AND(Input_Product=Elig!$C171,Elig_MatchAll_Ct&lt;22,$BC171=(Elig_MatchAll_Ct-1),AK171=0),H171,0)</f>
        <v>0</v>
      </c>
      <c r="BN171" s="199">
        <f>IF(AND(Input_Product=Elig!$C171,Elig_MatchAll_Ct&lt;22,$BC171=(Elig_MatchAll_Ct-1),AL171=0),I171,0)</f>
        <v>0</v>
      </c>
      <c r="BO171" s="199">
        <f>IF(AND(Input_Product=Elig!$C171,Elig_MatchAll_Ct&lt;22,$BC171=(Elig_MatchAll_Ct-1),AM171=0),J171,0)</f>
        <v>0</v>
      </c>
      <c r="BP171" s="199">
        <f>IF(AND(Input_Product=Elig!$C171,Elig_MatchAll_Ct&lt;22,$BC171=(Elig_MatchAll_Ct-1),AN171=0),K171,0)</f>
        <v>0</v>
      </c>
      <c r="BQ171" s="199">
        <f>IF(AND(Input_Product=Elig!$C171,Elig_MatchAll_Ct&lt;22,$BC171=(Elig_MatchAll_Ct-1),AP171=0),L171,0)</f>
        <v>0</v>
      </c>
      <c r="BR171" s="199">
        <f>IF(AND(Input_Product=Elig!$C171,Elig_MatchAll_Ct&lt;22,$BC171=(Elig_MatchAll_Ct-1),AO171=0),M171,0)</f>
        <v>0</v>
      </c>
      <c r="BS171" s="199">
        <f>IF(AND(Input_Product=Elig!$C171,Elig_MatchAll_Ct&lt;22,$BC171=(Elig_MatchAll_Ct-1),AQ171=0),N171,0)</f>
        <v>0</v>
      </c>
      <c r="BT171" s="199">
        <f>IF(AND(Input_Product=Elig!$C171,Elig_MatchAll_Ct&lt;22,$BC171=(Elig_MatchAll_Ct-1),AR171=0),O171,0)</f>
        <v>0</v>
      </c>
      <c r="BU171" s="199">
        <f>IF(AND(Input_Product=Elig!$C171,Elig_MatchAll_Ct&lt;22,$BC171=(Elig_MatchAll_Ct-1),AS171=0),P171,0)</f>
        <v>0</v>
      </c>
      <c r="BV171" s="200">
        <f>IF(AND(Input_Product=Elig!$C171,Elig_MatchAll_Ct&lt;22,$BC171=(Elig_MatchAll_Ct-1),AT171=0),Q171,0)</f>
        <v>0</v>
      </c>
      <c r="BW171" s="201">
        <f>IF(AND(Input_Product=Elig!$C171,Elig_MatchAll_Ct&lt;22,$BC171=(Elig_MatchAll_Ct-1),AU171=0),R171,0)</f>
        <v>0</v>
      </c>
      <c r="BX171" s="202">
        <f>IF(AND(Input_Product=Elig!$C171,Elig_MatchAll_Ct&lt;22,$BC171=(Elig_MatchAll_Ct-1),AU171=0),S171,0)</f>
        <v>0</v>
      </c>
      <c r="BY171" s="201">
        <f>IF(AND(Input_Product=Elig!$C171,Elig_MatchAll_Ct&lt;22,$BC171=(Elig_MatchAll_Ct-1),AV171=0),T171,0)</f>
        <v>0</v>
      </c>
      <c r="BZ171" s="202">
        <f>IF(AND(Input_Product=Elig!$C171,Elig_MatchAll_Ct&lt;22,$BC171=(Elig_MatchAll_Ct-1),AV171=0),U171,0)</f>
        <v>0</v>
      </c>
      <c r="CA171" s="201">
        <f>IF(AND(Input_Product=Elig!$C171,Elig_MatchAll_Ct&lt;22,$BC171=(Elig_MatchAll_Ct-1),AW171=0),V171,0)</f>
        <v>0</v>
      </c>
      <c r="CB171" s="202">
        <f>IF(AND(Input_Product=Elig!$C171,Elig_MatchAll_Ct&lt;22,$BC171=(Elig_MatchAll_Ct-1),AW171=0),W171,0)</f>
        <v>0</v>
      </c>
      <c r="CC171" s="201">
        <f>IF(AND(Input_Product=Elig!$C171,Elig_MatchAll_Ct&lt;22,$BC171=(Elig_MatchAll_Ct-1),AX171=0),X171,0)</f>
        <v>0</v>
      </c>
      <c r="CD171" s="202">
        <f>IF(AND(Input_Product=Elig!$C171,Elig_MatchAll_Ct&lt;22,$BC171=(Elig_MatchAll_Ct-1),AX171=0),Y171,0)</f>
        <v>0</v>
      </c>
      <c r="CE171" s="201">
        <f>IF(AND(Input_LTV&lt;=AE171,Input_Product=Elig!$C171,Elig_MatchAll_Ct&lt;22,$BC171=(Elig_MatchAll_Ct-1),AY171=0),Z171,0)</f>
        <v>0</v>
      </c>
      <c r="CF171" s="202">
        <f>IF(AND(Input_LTV&lt;=AE171,Input_Product=Elig!$C171,Elig_MatchAll_Ct&lt;22,$BC171=(Elig_MatchAll_Ct-1),AY171=0),AA171,0)</f>
        <v>0</v>
      </c>
      <c r="CG171" s="201">
        <f>IF(AND(Input_Product=Elig!$C171,Elig_MatchAll_Ct&lt;22,$BC171=(Elig_MatchAll_Ct-1),AZ171=0),AB171,0)</f>
        <v>0</v>
      </c>
      <c r="CH171" s="202">
        <f>IF(AND(Input_Product=Elig!$C171,Elig_MatchAll_Ct&lt;22,$BC171=(Elig_MatchAll_Ct-1),AZ171=0),AC171,0)</f>
        <v>0</v>
      </c>
      <c r="CI171" s="201">
        <f>IF(AND(Input_Product=Elig!$C171,Elig_MatchAll_Ct&lt;22,$BC171=(Elig_MatchAll_Ct-1),BA171=0),AD171,0)</f>
        <v>0</v>
      </c>
      <c r="CJ171" s="203">
        <f>IF(AND(Input_Product=Elig!$C171,Elig_MatchAll_Ct&lt;22,$BC171=(Elig_MatchAll_Ct-1),BA171=0),AE171,0)</f>
        <v>0</v>
      </c>
    </row>
    <row r="172" spans="2:88" ht="10.15" customHeight="1" x14ac:dyDescent="0.25">
      <c r="B172" s="1912" t="s">
        <v>920</v>
      </c>
      <c r="C172" s="147" t="str">
        <f t="shared" si="56"/>
        <v>NonQM OO</v>
      </c>
      <c r="D172" s="148" t="s">
        <v>3885</v>
      </c>
      <c r="E172" s="148" t="s">
        <v>167</v>
      </c>
      <c r="F172" s="148" t="s">
        <v>331</v>
      </c>
      <c r="G172" s="135" t="s">
        <v>179</v>
      </c>
      <c r="H172" s="148" t="s">
        <v>136</v>
      </c>
      <c r="I172" s="149" t="s">
        <v>16</v>
      </c>
      <c r="J172" s="149" t="s">
        <v>1311</v>
      </c>
      <c r="K172" s="149" t="s">
        <v>1631</v>
      </c>
      <c r="L172" s="322" t="s">
        <v>3920</v>
      </c>
      <c r="M172" s="148" t="s">
        <v>4203</v>
      </c>
      <c r="N172" s="148" t="s">
        <v>82</v>
      </c>
      <c r="O172" s="148" t="s">
        <v>310</v>
      </c>
      <c r="P172" s="148" t="s">
        <v>291</v>
      </c>
      <c r="Q172" s="148" t="s">
        <v>294</v>
      </c>
      <c r="R172" s="148">
        <v>1500000.01</v>
      </c>
      <c r="S172" s="148">
        <v>2000000</v>
      </c>
      <c r="T172" s="148">
        <v>0</v>
      </c>
      <c r="U172" s="148">
        <f t="shared" si="55"/>
        <v>2000000</v>
      </c>
      <c r="V172" s="148">
        <v>0</v>
      </c>
      <c r="W172" s="148">
        <v>55</v>
      </c>
      <c r="X172" s="148">
        <v>0</v>
      </c>
      <c r="Y172" s="148">
        <v>999</v>
      </c>
      <c r="Z172" s="137">
        <v>660</v>
      </c>
      <c r="AA172" s="137">
        <v>679</v>
      </c>
      <c r="AB172" s="137">
        <v>6</v>
      </c>
      <c r="AC172" s="137">
        <v>999999</v>
      </c>
      <c r="AD172" s="135">
        <v>0</v>
      </c>
      <c r="AE172" s="135">
        <v>65</v>
      </c>
      <c r="AF172" s="170">
        <v>0</v>
      </c>
      <c r="AG172" s="171">
        <v>1</v>
      </c>
      <c r="AH172" s="171">
        <v>1</v>
      </c>
      <c r="AI172" s="171">
        <v>1</v>
      </c>
      <c r="AJ172" s="171">
        <v>0</v>
      </c>
      <c r="AK172" s="171">
        <v>1</v>
      </c>
      <c r="AL172" s="171">
        <v>1</v>
      </c>
      <c r="AM172" s="171">
        <v>1</v>
      </c>
      <c r="AN172" s="171">
        <v>1</v>
      </c>
      <c r="AO172" s="171">
        <v>1</v>
      </c>
      <c r="AP172" s="171">
        <v>1</v>
      </c>
      <c r="AQ172" s="171">
        <v>1</v>
      </c>
      <c r="AR172" s="171">
        <v>1</v>
      </c>
      <c r="AS172" s="171">
        <v>1</v>
      </c>
      <c r="AT172" s="171">
        <v>1</v>
      </c>
      <c r="AU172" s="171">
        <f t="shared" si="41"/>
        <v>0</v>
      </c>
      <c r="AV172" s="171">
        <f t="shared" si="42"/>
        <v>1</v>
      </c>
      <c r="AW172" s="171">
        <f t="shared" si="43"/>
        <v>1</v>
      </c>
      <c r="AX172" s="171">
        <f t="shared" si="53"/>
        <v>1</v>
      </c>
      <c r="AY172" s="171">
        <f t="shared" si="44"/>
        <v>0</v>
      </c>
      <c r="AZ172" s="171">
        <f t="shared" si="45"/>
        <v>1</v>
      </c>
      <c r="BA172" s="172">
        <f t="shared" si="46"/>
        <v>1</v>
      </c>
      <c r="BB172" s="175">
        <f t="shared" si="47"/>
        <v>18</v>
      </c>
      <c r="BC172" s="176">
        <f t="shared" si="48"/>
        <v>17</v>
      </c>
      <c r="BD172" s="176">
        <f t="shared" si="49"/>
        <v>18</v>
      </c>
      <c r="BE172" s="240" t="str">
        <f t="shared" si="51"/>
        <v/>
      </c>
      <c r="BH172" s="198">
        <f>IF(AND(Input_Product=Elig!$C172,Elig_MatchAll_Ct&lt;22,$BC172=(Elig_MatchAll_Ct-1),AF172=0),C172,0)</f>
        <v>0</v>
      </c>
      <c r="BI172" s="199">
        <f>IF(AND(Input_Product=Elig!$C172,Elig_MatchAll_Ct&lt;22,$BC172=(Elig_MatchAll_Ct-1),AG172=0),D172,0)</f>
        <v>0</v>
      </c>
      <c r="BJ172" s="199">
        <f>IF(AND(Input_Product=Elig!$C172,Elig_MatchAll_Ct&lt;22,$BC172=(Elig_MatchAll_Ct-1),AH172=0),E172,0)</f>
        <v>0</v>
      </c>
      <c r="BK172" s="199">
        <f>IF(AND(Input_Product=Elig!$C172,Elig_MatchAll_Ct&lt;22,$BC172=(Elig_MatchAll_Ct-1),AI172=0),F172,0)</f>
        <v>0</v>
      </c>
      <c r="BL172" s="199">
        <f>IF(AND(Input_Product=Elig!$C172,Elig_MatchAll_Ct&lt;22,$BC172=(Elig_MatchAll_Ct-1),AJ172=0),G172,0)</f>
        <v>0</v>
      </c>
      <c r="BM172" s="199">
        <f>IF(AND(Input_Product=Elig!$C172,Elig_MatchAll_Ct&lt;22,$BC172=(Elig_MatchAll_Ct-1),AK172=0),H172,0)</f>
        <v>0</v>
      </c>
      <c r="BN172" s="199">
        <f>IF(AND(Input_Product=Elig!$C172,Elig_MatchAll_Ct&lt;22,$BC172=(Elig_MatchAll_Ct-1),AL172=0),I172,0)</f>
        <v>0</v>
      </c>
      <c r="BO172" s="199">
        <f>IF(AND(Input_Product=Elig!$C172,Elig_MatchAll_Ct&lt;22,$BC172=(Elig_MatchAll_Ct-1),AM172=0),J172,0)</f>
        <v>0</v>
      </c>
      <c r="BP172" s="199">
        <f>IF(AND(Input_Product=Elig!$C172,Elig_MatchAll_Ct&lt;22,$BC172=(Elig_MatchAll_Ct-1),AN172=0),K172,0)</f>
        <v>0</v>
      </c>
      <c r="BQ172" s="199">
        <f>IF(AND(Input_Product=Elig!$C172,Elig_MatchAll_Ct&lt;22,$BC172=(Elig_MatchAll_Ct-1),AP172=0),L172,0)</f>
        <v>0</v>
      </c>
      <c r="BR172" s="199">
        <f>IF(AND(Input_Product=Elig!$C172,Elig_MatchAll_Ct&lt;22,$BC172=(Elig_MatchAll_Ct-1),AO172=0),M172,0)</f>
        <v>0</v>
      </c>
      <c r="BS172" s="199">
        <f>IF(AND(Input_Product=Elig!$C172,Elig_MatchAll_Ct&lt;22,$BC172=(Elig_MatchAll_Ct-1),AQ172=0),N172,0)</f>
        <v>0</v>
      </c>
      <c r="BT172" s="199">
        <f>IF(AND(Input_Product=Elig!$C172,Elig_MatchAll_Ct&lt;22,$BC172=(Elig_MatchAll_Ct-1),AR172=0),O172,0)</f>
        <v>0</v>
      </c>
      <c r="BU172" s="199">
        <f>IF(AND(Input_Product=Elig!$C172,Elig_MatchAll_Ct&lt;22,$BC172=(Elig_MatchAll_Ct-1),AS172=0),P172,0)</f>
        <v>0</v>
      </c>
      <c r="BV172" s="200">
        <f>IF(AND(Input_Product=Elig!$C172,Elig_MatchAll_Ct&lt;22,$BC172=(Elig_MatchAll_Ct-1),AT172=0),Q172,0)</f>
        <v>0</v>
      </c>
      <c r="BW172" s="201">
        <f>IF(AND(Input_Product=Elig!$C172,Elig_MatchAll_Ct&lt;22,$BC172=(Elig_MatchAll_Ct-1),AU172=0),R172,0)</f>
        <v>0</v>
      </c>
      <c r="BX172" s="202">
        <f>IF(AND(Input_Product=Elig!$C172,Elig_MatchAll_Ct&lt;22,$BC172=(Elig_MatchAll_Ct-1),AU172=0),S172,0)</f>
        <v>0</v>
      </c>
      <c r="BY172" s="201">
        <f>IF(AND(Input_Product=Elig!$C172,Elig_MatchAll_Ct&lt;22,$BC172=(Elig_MatchAll_Ct-1),AV172=0),T172,0)</f>
        <v>0</v>
      </c>
      <c r="BZ172" s="202">
        <f>IF(AND(Input_Product=Elig!$C172,Elig_MatchAll_Ct&lt;22,$BC172=(Elig_MatchAll_Ct-1),AV172=0),U172,0)</f>
        <v>0</v>
      </c>
      <c r="CA172" s="201">
        <f>IF(AND(Input_Product=Elig!$C172,Elig_MatchAll_Ct&lt;22,$BC172=(Elig_MatchAll_Ct-1),AW172=0),V172,0)</f>
        <v>0</v>
      </c>
      <c r="CB172" s="202">
        <f>IF(AND(Input_Product=Elig!$C172,Elig_MatchAll_Ct&lt;22,$BC172=(Elig_MatchAll_Ct-1),AW172=0),W172,0)</f>
        <v>0</v>
      </c>
      <c r="CC172" s="201">
        <f>IF(AND(Input_Product=Elig!$C172,Elig_MatchAll_Ct&lt;22,$BC172=(Elig_MatchAll_Ct-1),AX172=0),X172,0)</f>
        <v>0</v>
      </c>
      <c r="CD172" s="202">
        <f>IF(AND(Input_Product=Elig!$C172,Elig_MatchAll_Ct&lt;22,$BC172=(Elig_MatchAll_Ct-1),AX172=0),Y172,0)</f>
        <v>0</v>
      </c>
      <c r="CE172" s="201">
        <f>IF(AND(Input_LTV&lt;=AE172,Input_Product=Elig!$C172,Elig_MatchAll_Ct&lt;22,$BC172=(Elig_MatchAll_Ct-1),AY172=0),Z172,0)</f>
        <v>0</v>
      </c>
      <c r="CF172" s="202">
        <f>IF(AND(Input_LTV&lt;=AE172,Input_Product=Elig!$C172,Elig_MatchAll_Ct&lt;22,$BC172=(Elig_MatchAll_Ct-1),AY172=0),AA172,0)</f>
        <v>0</v>
      </c>
      <c r="CG172" s="201">
        <f>IF(AND(Input_Product=Elig!$C172,Elig_MatchAll_Ct&lt;22,$BC172=(Elig_MatchAll_Ct-1),AZ172=0),AB172,0)</f>
        <v>0</v>
      </c>
      <c r="CH172" s="202">
        <f>IF(AND(Input_Product=Elig!$C172,Elig_MatchAll_Ct&lt;22,$BC172=(Elig_MatchAll_Ct-1),AZ172=0),AC172,0)</f>
        <v>0</v>
      </c>
      <c r="CI172" s="201">
        <f>IF(AND(Input_Product=Elig!$C172,Elig_MatchAll_Ct&lt;22,$BC172=(Elig_MatchAll_Ct-1),BA172=0),AD172,0)</f>
        <v>0</v>
      </c>
      <c r="CJ172" s="203">
        <f>IF(AND(Input_Product=Elig!$C172,Elig_MatchAll_Ct&lt;22,$BC172=(Elig_MatchAll_Ct-1),BA172=0),AE172,0)</f>
        <v>0</v>
      </c>
    </row>
    <row r="173" spans="2:88" ht="10.15" customHeight="1" x14ac:dyDescent="0.25">
      <c r="B173" s="1912" t="s">
        <v>921</v>
      </c>
      <c r="C173" s="147" t="str">
        <f t="shared" si="56"/>
        <v>NonQM OO</v>
      </c>
      <c r="D173" s="148" t="s">
        <v>3885</v>
      </c>
      <c r="E173" s="148" t="s">
        <v>167</v>
      </c>
      <c r="F173" s="148" t="s">
        <v>331</v>
      </c>
      <c r="G173" s="135" t="s">
        <v>179</v>
      </c>
      <c r="H173" s="148" t="s">
        <v>136</v>
      </c>
      <c r="I173" s="149" t="s">
        <v>16</v>
      </c>
      <c r="J173" s="149" t="s">
        <v>1311</v>
      </c>
      <c r="K173" s="149" t="s">
        <v>1631</v>
      </c>
      <c r="L173" s="322" t="s">
        <v>3920</v>
      </c>
      <c r="M173" s="148" t="s">
        <v>4203</v>
      </c>
      <c r="N173" s="148" t="s">
        <v>82</v>
      </c>
      <c r="O173" s="148" t="s">
        <v>310</v>
      </c>
      <c r="P173" s="148" t="s">
        <v>291</v>
      </c>
      <c r="Q173" s="148" t="s">
        <v>294</v>
      </c>
      <c r="R173" s="148">
        <v>1500000.01</v>
      </c>
      <c r="S173" s="148">
        <v>2000000</v>
      </c>
      <c r="T173" s="148">
        <v>0</v>
      </c>
      <c r="U173" s="148">
        <f t="shared" si="55"/>
        <v>2000000</v>
      </c>
      <c r="V173" s="148">
        <v>0</v>
      </c>
      <c r="W173" s="148">
        <v>55</v>
      </c>
      <c r="X173" s="148">
        <v>0</v>
      </c>
      <c r="Y173" s="148">
        <v>999</v>
      </c>
      <c r="Z173" s="137">
        <v>640</v>
      </c>
      <c r="AA173" s="137">
        <v>659</v>
      </c>
      <c r="AB173" s="137">
        <v>6</v>
      </c>
      <c r="AC173" s="137">
        <v>999999</v>
      </c>
      <c r="AD173" s="135">
        <v>0</v>
      </c>
      <c r="AE173" s="135">
        <v>-999</v>
      </c>
      <c r="AF173" s="170">
        <v>0</v>
      </c>
      <c r="AG173" s="171">
        <v>1</v>
      </c>
      <c r="AH173" s="171">
        <v>1</v>
      </c>
      <c r="AI173" s="171">
        <v>1</v>
      </c>
      <c r="AJ173" s="171">
        <v>0</v>
      </c>
      <c r="AK173" s="171">
        <v>1</v>
      </c>
      <c r="AL173" s="171">
        <v>1</v>
      </c>
      <c r="AM173" s="171">
        <v>1</v>
      </c>
      <c r="AN173" s="171">
        <v>1</v>
      </c>
      <c r="AO173" s="171">
        <v>1</v>
      </c>
      <c r="AP173" s="171">
        <v>1</v>
      </c>
      <c r="AQ173" s="171">
        <v>1</v>
      </c>
      <c r="AR173" s="171">
        <v>1</v>
      </c>
      <c r="AS173" s="171">
        <v>1</v>
      </c>
      <c r="AT173" s="171">
        <v>1</v>
      </c>
      <c r="AU173" s="171">
        <f t="shared" si="41"/>
        <v>0</v>
      </c>
      <c r="AV173" s="171">
        <f t="shared" si="42"/>
        <v>1</v>
      </c>
      <c r="AW173" s="171">
        <f t="shared" si="43"/>
        <v>1</v>
      </c>
      <c r="AX173" s="171">
        <f t="shared" si="53"/>
        <v>1</v>
      </c>
      <c r="AY173" s="171">
        <f t="shared" si="44"/>
        <v>0</v>
      </c>
      <c r="AZ173" s="171">
        <f t="shared" si="45"/>
        <v>1</v>
      </c>
      <c r="BA173" s="172">
        <f t="shared" si="46"/>
        <v>0</v>
      </c>
      <c r="BB173" s="175">
        <f t="shared" si="47"/>
        <v>17</v>
      </c>
      <c r="BC173" s="176">
        <f t="shared" si="48"/>
        <v>17</v>
      </c>
      <c r="BD173" s="176">
        <f t="shared" si="49"/>
        <v>17</v>
      </c>
      <c r="BE173" s="240" t="str">
        <f t="shared" si="51"/>
        <v/>
      </c>
      <c r="BH173" s="198">
        <f>IF(AND(Input_Product=Elig!$C173,Elig_MatchAll_Ct&lt;22,$BC173=(Elig_MatchAll_Ct-1),AF173=0),C173,0)</f>
        <v>0</v>
      </c>
      <c r="BI173" s="199">
        <f>IF(AND(Input_Product=Elig!$C173,Elig_MatchAll_Ct&lt;22,$BC173=(Elig_MatchAll_Ct-1),AG173=0),D173,0)</f>
        <v>0</v>
      </c>
      <c r="BJ173" s="199">
        <f>IF(AND(Input_Product=Elig!$C173,Elig_MatchAll_Ct&lt;22,$BC173=(Elig_MatchAll_Ct-1),AH173=0),E173,0)</f>
        <v>0</v>
      </c>
      <c r="BK173" s="199">
        <f>IF(AND(Input_Product=Elig!$C173,Elig_MatchAll_Ct&lt;22,$BC173=(Elig_MatchAll_Ct-1),AI173=0),F173,0)</f>
        <v>0</v>
      </c>
      <c r="BL173" s="199">
        <f>IF(AND(Input_Product=Elig!$C173,Elig_MatchAll_Ct&lt;22,$BC173=(Elig_MatchAll_Ct-1),AJ173=0),G173,0)</f>
        <v>0</v>
      </c>
      <c r="BM173" s="199">
        <f>IF(AND(Input_Product=Elig!$C173,Elig_MatchAll_Ct&lt;22,$BC173=(Elig_MatchAll_Ct-1),AK173=0),H173,0)</f>
        <v>0</v>
      </c>
      <c r="BN173" s="199">
        <f>IF(AND(Input_Product=Elig!$C173,Elig_MatchAll_Ct&lt;22,$BC173=(Elig_MatchAll_Ct-1),AL173=0),I173,0)</f>
        <v>0</v>
      </c>
      <c r="BO173" s="199">
        <f>IF(AND(Input_Product=Elig!$C173,Elig_MatchAll_Ct&lt;22,$BC173=(Elig_MatchAll_Ct-1),AM173=0),J173,0)</f>
        <v>0</v>
      </c>
      <c r="BP173" s="199">
        <f>IF(AND(Input_Product=Elig!$C173,Elig_MatchAll_Ct&lt;22,$BC173=(Elig_MatchAll_Ct-1),AN173=0),K173,0)</f>
        <v>0</v>
      </c>
      <c r="BQ173" s="199">
        <f>IF(AND(Input_Product=Elig!$C173,Elig_MatchAll_Ct&lt;22,$BC173=(Elig_MatchAll_Ct-1),AP173=0),L173,0)</f>
        <v>0</v>
      </c>
      <c r="BR173" s="199">
        <f>IF(AND(Input_Product=Elig!$C173,Elig_MatchAll_Ct&lt;22,$BC173=(Elig_MatchAll_Ct-1),AO173=0),M173,0)</f>
        <v>0</v>
      </c>
      <c r="BS173" s="199">
        <f>IF(AND(Input_Product=Elig!$C173,Elig_MatchAll_Ct&lt;22,$BC173=(Elig_MatchAll_Ct-1),AQ173=0),N173,0)</f>
        <v>0</v>
      </c>
      <c r="BT173" s="199">
        <f>IF(AND(Input_Product=Elig!$C173,Elig_MatchAll_Ct&lt;22,$BC173=(Elig_MatchAll_Ct-1),AR173=0),O173,0)</f>
        <v>0</v>
      </c>
      <c r="BU173" s="199">
        <f>IF(AND(Input_Product=Elig!$C173,Elig_MatchAll_Ct&lt;22,$BC173=(Elig_MatchAll_Ct-1),AS173=0),P173,0)</f>
        <v>0</v>
      </c>
      <c r="BV173" s="200">
        <f>IF(AND(Input_Product=Elig!$C173,Elig_MatchAll_Ct&lt;22,$BC173=(Elig_MatchAll_Ct-1),AT173=0),Q173,0)</f>
        <v>0</v>
      </c>
      <c r="BW173" s="201">
        <f>IF(AND(Input_Product=Elig!$C173,Elig_MatchAll_Ct&lt;22,$BC173=(Elig_MatchAll_Ct-1),AU173=0),R173,0)</f>
        <v>0</v>
      </c>
      <c r="BX173" s="202">
        <f>IF(AND(Input_Product=Elig!$C173,Elig_MatchAll_Ct&lt;22,$BC173=(Elig_MatchAll_Ct-1),AU173=0),S173,0)</f>
        <v>0</v>
      </c>
      <c r="BY173" s="201">
        <f>IF(AND(Input_Product=Elig!$C173,Elig_MatchAll_Ct&lt;22,$BC173=(Elig_MatchAll_Ct-1),AV173=0),T173,0)</f>
        <v>0</v>
      </c>
      <c r="BZ173" s="202">
        <f>IF(AND(Input_Product=Elig!$C173,Elig_MatchAll_Ct&lt;22,$BC173=(Elig_MatchAll_Ct-1),AV173=0),U173,0)</f>
        <v>0</v>
      </c>
      <c r="CA173" s="201">
        <f>IF(AND(Input_Product=Elig!$C173,Elig_MatchAll_Ct&lt;22,$BC173=(Elig_MatchAll_Ct-1),AW173=0),V173,0)</f>
        <v>0</v>
      </c>
      <c r="CB173" s="202">
        <f>IF(AND(Input_Product=Elig!$C173,Elig_MatchAll_Ct&lt;22,$BC173=(Elig_MatchAll_Ct-1),AW173=0),W173,0)</f>
        <v>0</v>
      </c>
      <c r="CC173" s="201">
        <f>IF(AND(Input_Product=Elig!$C173,Elig_MatchAll_Ct&lt;22,$BC173=(Elig_MatchAll_Ct-1),AX173=0),X173,0)</f>
        <v>0</v>
      </c>
      <c r="CD173" s="202">
        <f>IF(AND(Input_Product=Elig!$C173,Elig_MatchAll_Ct&lt;22,$BC173=(Elig_MatchAll_Ct-1),AX173=0),Y173,0)</f>
        <v>0</v>
      </c>
      <c r="CE173" s="201">
        <f>IF(AND(Input_LTV&lt;=AE173,Input_Product=Elig!$C173,Elig_MatchAll_Ct&lt;22,$BC173=(Elig_MatchAll_Ct-1),AY173=0),Z173,0)</f>
        <v>0</v>
      </c>
      <c r="CF173" s="202">
        <f>IF(AND(Input_LTV&lt;=AE173,Input_Product=Elig!$C173,Elig_MatchAll_Ct&lt;22,$BC173=(Elig_MatchAll_Ct-1),AY173=0),AA173,0)</f>
        <v>0</v>
      </c>
      <c r="CG173" s="201">
        <f>IF(AND(Input_Product=Elig!$C173,Elig_MatchAll_Ct&lt;22,$BC173=(Elig_MatchAll_Ct-1),AZ173=0),AB173,0)</f>
        <v>0</v>
      </c>
      <c r="CH173" s="202">
        <f>IF(AND(Input_Product=Elig!$C173,Elig_MatchAll_Ct&lt;22,$BC173=(Elig_MatchAll_Ct-1),AZ173=0),AC173,0)</f>
        <v>0</v>
      </c>
      <c r="CI173" s="201">
        <f>IF(AND(Input_Product=Elig!$C173,Elig_MatchAll_Ct&lt;22,$BC173=(Elig_MatchAll_Ct-1),BA173=0),AD173,0)</f>
        <v>0</v>
      </c>
      <c r="CJ173" s="203">
        <f>IF(AND(Input_Product=Elig!$C173,Elig_MatchAll_Ct&lt;22,$BC173=(Elig_MatchAll_Ct-1),BA173=0),AE173,0)</f>
        <v>0</v>
      </c>
    </row>
    <row r="174" spans="2:88" ht="10.15" customHeight="1" x14ac:dyDescent="0.25">
      <c r="B174" s="1912" t="s">
        <v>922</v>
      </c>
      <c r="C174" s="147" t="str">
        <f t="shared" si="56"/>
        <v>NonQM OO</v>
      </c>
      <c r="D174" s="148" t="s">
        <v>3885</v>
      </c>
      <c r="E174" s="148" t="s">
        <v>167</v>
      </c>
      <c r="F174" s="148" t="s">
        <v>331</v>
      </c>
      <c r="G174" s="135" t="s">
        <v>179</v>
      </c>
      <c r="H174" s="148" t="s">
        <v>136</v>
      </c>
      <c r="I174" s="149" t="s">
        <v>16</v>
      </c>
      <c r="J174" s="149" t="s">
        <v>1311</v>
      </c>
      <c r="K174" s="149" t="s">
        <v>1631</v>
      </c>
      <c r="L174" s="322" t="s">
        <v>3920</v>
      </c>
      <c r="M174" s="148" t="s">
        <v>4203</v>
      </c>
      <c r="N174" s="148" t="s">
        <v>82</v>
      </c>
      <c r="O174" s="148" t="s">
        <v>310</v>
      </c>
      <c r="P174" s="148" t="s">
        <v>291</v>
      </c>
      <c r="Q174" s="148" t="s">
        <v>294</v>
      </c>
      <c r="R174" s="148">
        <v>1500000.01</v>
      </c>
      <c r="S174" s="148">
        <v>2000000</v>
      </c>
      <c r="T174" s="148">
        <v>0</v>
      </c>
      <c r="U174" s="148">
        <f t="shared" si="55"/>
        <v>2000000</v>
      </c>
      <c r="V174" s="148">
        <v>0</v>
      </c>
      <c r="W174" s="148">
        <v>55</v>
      </c>
      <c r="X174" s="148">
        <v>0</v>
      </c>
      <c r="Y174" s="148">
        <v>999</v>
      </c>
      <c r="Z174" s="140">
        <v>620</v>
      </c>
      <c r="AA174" s="140">
        <v>639</v>
      </c>
      <c r="AB174" s="140">
        <v>6</v>
      </c>
      <c r="AC174" s="140">
        <v>999999</v>
      </c>
      <c r="AD174" s="139">
        <v>0</v>
      </c>
      <c r="AE174" s="139">
        <v>-999</v>
      </c>
      <c r="AF174" s="170">
        <v>0</v>
      </c>
      <c r="AG174" s="171">
        <v>1</v>
      </c>
      <c r="AH174" s="171">
        <v>1</v>
      </c>
      <c r="AI174" s="171">
        <v>1</v>
      </c>
      <c r="AJ174" s="171">
        <v>0</v>
      </c>
      <c r="AK174" s="171">
        <v>1</v>
      </c>
      <c r="AL174" s="171">
        <v>1</v>
      </c>
      <c r="AM174" s="171">
        <v>1</v>
      </c>
      <c r="AN174" s="171">
        <v>1</v>
      </c>
      <c r="AO174" s="171">
        <v>1</v>
      </c>
      <c r="AP174" s="171">
        <v>1</v>
      </c>
      <c r="AQ174" s="171">
        <v>1</v>
      </c>
      <c r="AR174" s="171">
        <v>1</v>
      </c>
      <c r="AS174" s="171">
        <v>1</v>
      </c>
      <c r="AT174" s="171">
        <v>1</v>
      </c>
      <c r="AU174" s="171">
        <f t="shared" si="41"/>
        <v>0</v>
      </c>
      <c r="AV174" s="171">
        <f t="shared" si="42"/>
        <v>1</v>
      </c>
      <c r="AW174" s="171">
        <f t="shared" si="43"/>
        <v>1</v>
      </c>
      <c r="AX174" s="171">
        <f t="shared" si="53"/>
        <v>1</v>
      </c>
      <c r="AY174" s="171">
        <f t="shared" si="44"/>
        <v>0</v>
      </c>
      <c r="AZ174" s="171">
        <f t="shared" si="45"/>
        <v>1</v>
      </c>
      <c r="BA174" s="172">
        <f t="shared" si="46"/>
        <v>0</v>
      </c>
      <c r="BB174" s="175">
        <f t="shared" si="47"/>
        <v>17</v>
      </c>
      <c r="BC174" s="176">
        <f t="shared" si="48"/>
        <v>17</v>
      </c>
      <c r="BD174" s="176">
        <f t="shared" si="49"/>
        <v>17</v>
      </c>
      <c r="BE174" s="240" t="str">
        <f t="shared" si="51"/>
        <v/>
      </c>
      <c r="BH174" s="204">
        <f>IF(AND(Input_Product=Elig!$C174,Elig_MatchAll_Ct&lt;22,$BC174=(Elig_MatchAll_Ct-1),AF174=0),C174,0)</f>
        <v>0</v>
      </c>
      <c r="BI174" s="205">
        <f>IF(AND(Input_Product=Elig!$C174,Elig_MatchAll_Ct&lt;22,$BC174=(Elig_MatchAll_Ct-1),AG174=0),D174,0)</f>
        <v>0</v>
      </c>
      <c r="BJ174" s="205">
        <f>IF(AND(Input_Product=Elig!$C174,Elig_MatchAll_Ct&lt;22,$BC174=(Elig_MatchAll_Ct-1),AH174=0),E174,0)</f>
        <v>0</v>
      </c>
      <c r="BK174" s="205">
        <f>IF(AND(Input_Product=Elig!$C174,Elig_MatchAll_Ct&lt;22,$BC174=(Elig_MatchAll_Ct-1),AI174=0),F174,0)</f>
        <v>0</v>
      </c>
      <c r="BL174" s="205">
        <f>IF(AND(Input_Product=Elig!$C174,Elig_MatchAll_Ct&lt;22,$BC174=(Elig_MatchAll_Ct-1),AJ174=0),G174,0)</f>
        <v>0</v>
      </c>
      <c r="BM174" s="205">
        <f>IF(AND(Input_Product=Elig!$C174,Elig_MatchAll_Ct&lt;22,$BC174=(Elig_MatchAll_Ct-1),AK174=0),H174,0)</f>
        <v>0</v>
      </c>
      <c r="BN174" s="205">
        <f>IF(AND(Input_Product=Elig!$C174,Elig_MatchAll_Ct&lt;22,$BC174=(Elig_MatchAll_Ct-1),AL174=0),I174,0)</f>
        <v>0</v>
      </c>
      <c r="BO174" s="205">
        <f>IF(AND(Input_Product=Elig!$C174,Elig_MatchAll_Ct&lt;22,$BC174=(Elig_MatchAll_Ct-1),AM174=0),J174,0)</f>
        <v>0</v>
      </c>
      <c r="BP174" s="205">
        <f>IF(AND(Input_Product=Elig!$C174,Elig_MatchAll_Ct&lt;22,$BC174=(Elig_MatchAll_Ct-1),AN174=0),K174,0)</f>
        <v>0</v>
      </c>
      <c r="BQ174" s="205">
        <f>IF(AND(Input_Product=Elig!$C174,Elig_MatchAll_Ct&lt;22,$BC174=(Elig_MatchAll_Ct-1),AP174=0),L174,0)</f>
        <v>0</v>
      </c>
      <c r="BR174" s="205">
        <f>IF(AND(Input_Product=Elig!$C174,Elig_MatchAll_Ct&lt;22,$BC174=(Elig_MatchAll_Ct-1),AO174=0),M174,0)</f>
        <v>0</v>
      </c>
      <c r="BS174" s="205">
        <f>IF(AND(Input_Product=Elig!$C174,Elig_MatchAll_Ct&lt;22,$BC174=(Elig_MatchAll_Ct-1),AQ174=0),N174,0)</f>
        <v>0</v>
      </c>
      <c r="BT174" s="205">
        <f>IF(AND(Input_Product=Elig!$C174,Elig_MatchAll_Ct&lt;22,$BC174=(Elig_MatchAll_Ct-1),AR174=0),O174,0)</f>
        <v>0</v>
      </c>
      <c r="BU174" s="205">
        <f>IF(AND(Input_Product=Elig!$C174,Elig_MatchAll_Ct&lt;22,$BC174=(Elig_MatchAll_Ct-1),AS174=0),P174,0)</f>
        <v>0</v>
      </c>
      <c r="BV174" s="206">
        <f>IF(AND(Input_Product=Elig!$C174,Elig_MatchAll_Ct&lt;22,$BC174=(Elig_MatchAll_Ct-1),AT174=0),Q174,0)</f>
        <v>0</v>
      </c>
      <c r="BW174" s="207">
        <f>IF(AND(Input_Product=Elig!$C174,Elig_MatchAll_Ct&lt;22,$BC174=(Elig_MatchAll_Ct-1),AU174=0),R174,0)</f>
        <v>0</v>
      </c>
      <c r="BX174" s="208">
        <f>IF(AND(Input_Product=Elig!$C174,Elig_MatchAll_Ct&lt;22,$BC174=(Elig_MatchAll_Ct-1),AU174=0),S174,0)</f>
        <v>0</v>
      </c>
      <c r="BY174" s="207">
        <f>IF(AND(Input_Product=Elig!$C174,Elig_MatchAll_Ct&lt;22,$BC174=(Elig_MatchAll_Ct-1),AV174=0),T174,0)</f>
        <v>0</v>
      </c>
      <c r="BZ174" s="208">
        <f>IF(AND(Input_Product=Elig!$C174,Elig_MatchAll_Ct&lt;22,$BC174=(Elig_MatchAll_Ct-1),AV174=0),U174,0)</f>
        <v>0</v>
      </c>
      <c r="CA174" s="207">
        <f>IF(AND(Input_Product=Elig!$C174,Elig_MatchAll_Ct&lt;22,$BC174=(Elig_MatchAll_Ct-1),AW174=0),V174,0)</f>
        <v>0</v>
      </c>
      <c r="CB174" s="208">
        <f>IF(AND(Input_Product=Elig!$C174,Elig_MatchAll_Ct&lt;22,$BC174=(Elig_MatchAll_Ct-1),AW174=0),W174,0)</f>
        <v>0</v>
      </c>
      <c r="CC174" s="207">
        <f>IF(AND(Input_Product=Elig!$C174,Elig_MatchAll_Ct&lt;22,$BC174=(Elig_MatchAll_Ct-1),AX174=0),X174,0)</f>
        <v>0</v>
      </c>
      <c r="CD174" s="208">
        <f>IF(AND(Input_Product=Elig!$C174,Elig_MatchAll_Ct&lt;22,$BC174=(Elig_MatchAll_Ct-1),AX174=0),Y174,0)</f>
        <v>0</v>
      </c>
      <c r="CE174" s="207">
        <f>IF(AND(Input_LTV&lt;=AE174,Input_Product=Elig!$C174,Elig_MatchAll_Ct&lt;22,$BC174=(Elig_MatchAll_Ct-1),AY174=0),Z174,0)</f>
        <v>0</v>
      </c>
      <c r="CF174" s="208">
        <f>IF(AND(Input_LTV&lt;=AE174,Input_Product=Elig!$C174,Elig_MatchAll_Ct&lt;22,$BC174=(Elig_MatchAll_Ct-1),AY174=0),AA174,0)</f>
        <v>0</v>
      </c>
      <c r="CG174" s="207">
        <f>IF(AND(Input_Product=Elig!$C174,Elig_MatchAll_Ct&lt;22,$BC174=(Elig_MatchAll_Ct-1),AZ174=0),AB174,0)</f>
        <v>0</v>
      </c>
      <c r="CH174" s="208">
        <f>IF(AND(Input_Product=Elig!$C174,Elig_MatchAll_Ct&lt;22,$BC174=(Elig_MatchAll_Ct-1),AZ174=0),AC174,0)</f>
        <v>0</v>
      </c>
      <c r="CI174" s="207">
        <f>IF(AND(Input_Product=Elig!$C174,Elig_MatchAll_Ct&lt;22,$BC174=(Elig_MatchAll_Ct-1),BA174=0),AD174,0)</f>
        <v>0</v>
      </c>
      <c r="CJ174" s="209">
        <f>IF(AND(Input_Product=Elig!$C174,Elig_MatchAll_Ct&lt;22,$BC174=(Elig_MatchAll_Ct-1),BA174=0),AE174,0)</f>
        <v>0</v>
      </c>
    </row>
    <row r="175" spans="2:88" ht="10.15" customHeight="1" x14ac:dyDescent="0.25">
      <c r="B175" s="1912" t="s">
        <v>923</v>
      </c>
      <c r="C175" s="141" t="str">
        <f t="shared" si="56"/>
        <v>NonQM OO</v>
      </c>
      <c r="D175" s="142" t="s">
        <v>3885</v>
      </c>
      <c r="E175" s="143" t="s">
        <v>167</v>
      </c>
      <c r="F175" s="143" t="s">
        <v>331</v>
      </c>
      <c r="G175" s="143" t="s">
        <v>473</v>
      </c>
      <c r="H175" s="143" t="s">
        <v>136</v>
      </c>
      <c r="I175" s="142" t="s">
        <v>274</v>
      </c>
      <c r="J175" s="142" t="s">
        <v>1311</v>
      </c>
      <c r="K175" s="142" t="s">
        <v>1631</v>
      </c>
      <c r="L175" s="2131" t="s">
        <v>3920</v>
      </c>
      <c r="M175" s="143" t="s">
        <v>4203</v>
      </c>
      <c r="N175" s="143" t="s">
        <v>82</v>
      </c>
      <c r="O175" s="143" t="s">
        <v>310</v>
      </c>
      <c r="P175" s="143" t="s">
        <v>291</v>
      </c>
      <c r="Q175" s="143" t="s">
        <v>294</v>
      </c>
      <c r="R175" s="142">
        <v>1500000.01</v>
      </c>
      <c r="S175" s="142">
        <v>2000000</v>
      </c>
      <c r="T175" s="142">
        <v>0</v>
      </c>
      <c r="U175" s="142">
        <v>0</v>
      </c>
      <c r="V175" s="142">
        <v>0</v>
      </c>
      <c r="W175" s="142">
        <v>55</v>
      </c>
      <c r="X175" s="142">
        <v>0</v>
      </c>
      <c r="Y175" s="142">
        <v>999</v>
      </c>
      <c r="Z175" s="144">
        <v>720</v>
      </c>
      <c r="AA175" s="144">
        <v>999</v>
      </c>
      <c r="AB175" s="144">
        <v>6</v>
      </c>
      <c r="AC175" s="144">
        <v>999999</v>
      </c>
      <c r="AD175" s="142">
        <v>0</v>
      </c>
      <c r="AE175" s="142">
        <v>70</v>
      </c>
      <c r="AF175" s="170">
        <v>0</v>
      </c>
      <c r="AG175" s="171">
        <v>1</v>
      </c>
      <c r="AH175" s="171">
        <v>1</v>
      </c>
      <c r="AI175" s="171">
        <v>1</v>
      </c>
      <c r="AJ175" s="171">
        <v>0</v>
      </c>
      <c r="AK175" s="171">
        <v>1</v>
      </c>
      <c r="AL175" s="171">
        <v>0</v>
      </c>
      <c r="AM175" s="171">
        <v>1</v>
      </c>
      <c r="AN175" s="171">
        <v>1</v>
      </c>
      <c r="AO175" s="171">
        <v>1</v>
      </c>
      <c r="AP175" s="171">
        <v>1</v>
      </c>
      <c r="AQ175" s="171">
        <v>1</v>
      </c>
      <c r="AR175" s="171">
        <v>1</v>
      </c>
      <c r="AS175" s="171">
        <v>1</v>
      </c>
      <c r="AT175" s="171">
        <v>1</v>
      </c>
      <c r="AU175" s="171">
        <f t="shared" si="41"/>
        <v>0</v>
      </c>
      <c r="AV175" s="171">
        <f t="shared" si="42"/>
        <v>0</v>
      </c>
      <c r="AW175" s="171">
        <f t="shared" si="43"/>
        <v>1</v>
      </c>
      <c r="AX175" s="171">
        <f t="shared" si="53"/>
        <v>1</v>
      </c>
      <c r="AY175" s="171">
        <f t="shared" si="44"/>
        <v>1</v>
      </c>
      <c r="AZ175" s="171">
        <f t="shared" si="45"/>
        <v>1</v>
      </c>
      <c r="BA175" s="172">
        <f t="shared" si="46"/>
        <v>1</v>
      </c>
      <c r="BB175" s="175">
        <f t="shared" si="47"/>
        <v>17</v>
      </c>
      <c r="BC175" s="176">
        <f t="shared" si="48"/>
        <v>16</v>
      </c>
      <c r="BD175" s="176">
        <f t="shared" si="49"/>
        <v>17</v>
      </c>
      <c r="BE175" s="240" t="str">
        <f t="shared" si="51"/>
        <v/>
      </c>
      <c r="BH175" s="192">
        <f>IF(AND(Input_Product=Elig!$C175,Elig_MatchAll_Ct&lt;22,$BC175=(Elig_MatchAll_Ct-1),AF175=0),C175,0)</f>
        <v>0</v>
      </c>
      <c r="BI175" s="193">
        <f>IF(AND(Input_Product=Elig!$C175,Elig_MatchAll_Ct&lt;22,$BC175=(Elig_MatchAll_Ct-1),AG175=0),D175,0)</f>
        <v>0</v>
      </c>
      <c r="BJ175" s="193">
        <f>IF(AND(Input_Product=Elig!$C175,Elig_MatchAll_Ct&lt;22,$BC175=(Elig_MatchAll_Ct-1),AH175=0),E175,0)</f>
        <v>0</v>
      </c>
      <c r="BK175" s="193">
        <f>IF(AND(Input_Product=Elig!$C175,Elig_MatchAll_Ct&lt;22,$BC175=(Elig_MatchAll_Ct-1),AI175=0),F175,0)</f>
        <v>0</v>
      </c>
      <c r="BL175" s="193">
        <f>IF(AND(Input_Product=Elig!$C175,Elig_MatchAll_Ct&lt;22,$BC175=(Elig_MatchAll_Ct-1),AJ175=0),G175,0)</f>
        <v>0</v>
      </c>
      <c r="BM175" s="193">
        <f>IF(AND(Input_Product=Elig!$C175,Elig_MatchAll_Ct&lt;22,$BC175=(Elig_MatchAll_Ct-1),AK175=0),H175,0)</f>
        <v>0</v>
      </c>
      <c r="BN175" s="193">
        <f>IF(AND(Input_Product=Elig!$C175,Elig_MatchAll_Ct&lt;22,$BC175=(Elig_MatchAll_Ct-1),AL175=0),I175,0)</f>
        <v>0</v>
      </c>
      <c r="BO175" s="193">
        <f>IF(AND(Input_Product=Elig!$C175,Elig_MatchAll_Ct&lt;22,$BC175=(Elig_MatchAll_Ct-1),AM175=0),J175,0)</f>
        <v>0</v>
      </c>
      <c r="BP175" s="193">
        <f>IF(AND(Input_Product=Elig!$C175,Elig_MatchAll_Ct&lt;22,$BC175=(Elig_MatchAll_Ct-1),AN175=0),K175,0)</f>
        <v>0</v>
      </c>
      <c r="BQ175" s="193">
        <f>IF(AND(Input_Product=Elig!$C175,Elig_MatchAll_Ct&lt;22,$BC175=(Elig_MatchAll_Ct-1),AP175=0),L175,0)</f>
        <v>0</v>
      </c>
      <c r="BR175" s="193">
        <f>IF(AND(Input_Product=Elig!$C175,Elig_MatchAll_Ct&lt;22,$BC175=(Elig_MatchAll_Ct-1),AO175=0),M175,0)</f>
        <v>0</v>
      </c>
      <c r="BS175" s="193">
        <f>IF(AND(Input_Product=Elig!$C175,Elig_MatchAll_Ct&lt;22,$BC175=(Elig_MatchAll_Ct-1),AQ175=0),N175,0)</f>
        <v>0</v>
      </c>
      <c r="BT175" s="193">
        <f>IF(AND(Input_Product=Elig!$C175,Elig_MatchAll_Ct&lt;22,$BC175=(Elig_MatchAll_Ct-1),AR175=0),O175,0)</f>
        <v>0</v>
      </c>
      <c r="BU175" s="193">
        <f>IF(AND(Input_Product=Elig!$C175,Elig_MatchAll_Ct&lt;22,$BC175=(Elig_MatchAll_Ct-1),AS175=0),P175,0)</f>
        <v>0</v>
      </c>
      <c r="BV175" s="194">
        <f>IF(AND(Input_Product=Elig!$C175,Elig_MatchAll_Ct&lt;22,$BC175=(Elig_MatchAll_Ct-1),AT175=0),Q175,0)</f>
        <v>0</v>
      </c>
      <c r="BW175" s="195">
        <f>IF(AND(Input_Product=Elig!$C175,Elig_MatchAll_Ct&lt;22,$BC175=(Elig_MatchAll_Ct-1),AU175=0),R175,0)</f>
        <v>0</v>
      </c>
      <c r="BX175" s="196">
        <f>IF(AND(Input_Product=Elig!$C175,Elig_MatchAll_Ct&lt;22,$BC175=(Elig_MatchAll_Ct-1),AU175=0),S175,0)</f>
        <v>0</v>
      </c>
      <c r="BY175" s="195">
        <f>IF(AND(Input_Product=Elig!$C175,Elig_MatchAll_Ct&lt;22,$BC175=(Elig_MatchAll_Ct-1),AV175=0),T175,0)</f>
        <v>0</v>
      </c>
      <c r="BZ175" s="196">
        <f>IF(AND(Input_Product=Elig!$C175,Elig_MatchAll_Ct&lt;22,$BC175=(Elig_MatchAll_Ct-1),AV175=0),U175,0)</f>
        <v>0</v>
      </c>
      <c r="CA175" s="195">
        <f>IF(AND(Input_Product=Elig!$C175,Elig_MatchAll_Ct&lt;22,$BC175=(Elig_MatchAll_Ct-1),AW175=0),V175,0)</f>
        <v>0</v>
      </c>
      <c r="CB175" s="196">
        <f>IF(AND(Input_Product=Elig!$C175,Elig_MatchAll_Ct&lt;22,$BC175=(Elig_MatchAll_Ct-1),AW175=0),W175,0)</f>
        <v>0</v>
      </c>
      <c r="CC175" s="195">
        <f>IF(AND(Input_Product=Elig!$C175,Elig_MatchAll_Ct&lt;22,$BC175=(Elig_MatchAll_Ct-1),AX175=0),X175,0)</f>
        <v>0</v>
      </c>
      <c r="CD175" s="196">
        <f>IF(AND(Input_Product=Elig!$C175,Elig_MatchAll_Ct&lt;22,$BC175=(Elig_MatchAll_Ct-1),AX175=0),Y175,0)</f>
        <v>0</v>
      </c>
      <c r="CE175" s="195">
        <f>IF(AND(Input_LTV&lt;=AE175,Input_Product=Elig!$C175,Elig_MatchAll_Ct&lt;22,$BC175=(Elig_MatchAll_Ct-1),AY175=0),Z175,0)</f>
        <v>0</v>
      </c>
      <c r="CF175" s="196">
        <f>IF(AND(Input_LTV&lt;=AE175,Input_Product=Elig!$C175,Elig_MatchAll_Ct&lt;22,$BC175=(Elig_MatchAll_Ct-1),AY175=0),AA175,0)</f>
        <v>0</v>
      </c>
      <c r="CG175" s="195">
        <f>IF(AND(Input_Product=Elig!$C175,Elig_MatchAll_Ct&lt;22,$BC175=(Elig_MatchAll_Ct-1),AZ175=0),AB175,0)</f>
        <v>0</v>
      </c>
      <c r="CH175" s="196">
        <f>IF(AND(Input_Product=Elig!$C175,Elig_MatchAll_Ct&lt;22,$BC175=(Elig_MatchAll_Ct-1),AZ175=0),AC175,0)</f>
        <v>0</v>
      </c>
      <c r="CI175" s="195">
        <f>IF(AND(Input_Product=Elig!$C175,Elig_MatchAll_Ct&lt;22,$BC175=(Elig_MatchAll_Ct-1),BA175=0),AD175,0)</f>
        <v>0</v>
      </c>
      <c r="CJ175" s="197">
        <f>IF(AND(Input_Product=Elig!$C175,Elig_MatchAll_Ct&lt;22,$BC175=(Elig_MatchAll_Ct-1),BA175=0),AE175,0)</f>
        <v>0</v>
      </c>
    </row>
    <row r="176" spans="2:88" ht="10.15" customHeight="1" x14ac:dyDescent="0.25">
      <c r="B176" s="1912" t="s">
        <v>924</v>
      </c>
      <c r="C176" s="134" t="str">
        <f t="shared" si="56"/>
        <v>NonQM OO</v>
      </c>
      <c r="D176" s="135" t="s">
        <v>3885</v>
      </c>
      <c r="E176" s="135" t="s">
        <v>167</v>
      </c>
      <c r="F176" s="135" t="s">
        <v>331</v>
      </c>
      <c r="G176" s="135" t="s">
        <v>473</v>
      </c>
      <c r="H176" s="135" t="s">
        <v>136</v>
      </c>
      <c r="I176" s="136" t="s">
        <v>274</v>
      </c>
      <c r="J176" s="136" t="s">
        <v>1311</v>
      </c>
      <c r="K176" s="136" t="s">
        <v>1631</v>
      </c>
      <c r="L176" s="221" t="s">
        <v>3920</v>
      </c>
      <c r="M176" s="135" t="s">
        <v>4203</v>
      </c>
      <c r="N176" s="135" t="s">
        <v>82</v>
      </c>
      <c r="O176" s="135" t="s">
        <v>310</v>
      </c>
      <c r="P176" s="135" t="s">
        <v>291</v>
      </c>
      <c r="Q176" s="135" t="s">
        <v>294</v>
      </c>
      <c r="R176" s="135">
        <v>1500000.01</v>
      </c>
      <c r="S176" s="135">
        <v>2000000</v>
      </c>
      <c r="T176" s="135">
        <v>0</v>
      </c>
      <c r="U176" s="135">
        <v>0</v>
      </c>
      <c r="V176" s="135">
        <v>0</v>
      </c>
      <c r="W176" s="135">
        <v>55</v>
      </c>
      <c r="X176" s="135">
        <v>0</v>
      </c>
      <c r="Y176" s="135">
        <v>999</v>
      </c>
      <c r="Z176" s="137">
        <v>700</v>
      </c>
      <c r="AA176" s="137">
        <v>719</v>
      </c>
      <c r="AB176" s="137">
        <v>6</v>
      </c>
      <c r="AC176" s="137">
        <v>999999</v>
      </c>
      <c r="AD176" s="135">
        <v>0</v>
      </c>
      <c r="AE176" s="135">
        <v>70</v>
      </c>
      <c r="AF176" s="170">
        <v>0</v>
      </c>
      <c r="AG176" s="171">
        <v>1</v>
      </c>
      <c r="AH176" s="171">
        <v>1</v>
      </c>
      <c r="AI176" s="171">
        <v>1</v>
      </c>
      <c r="AJ176" s="171">
        <v>0</v>
      </c>
      <c r="AK176" s="171">
        <v>1</v>
      </c>
      <c r="AL176" s="171">
        <v>0</v>
      </c>
      <c r="AM176" s="171">
        <v>1</v>
      </c>
      <c r="AN176" s="171">
        <v>1</v>
      </c>
      <c r="AO176" s="171">
        <v>1</v>
      </c>
      <c r="AP176" s="171">
        <v>1</v>
      </c>
      <c r="AQ176" s="171">
        <v>1</v>
      </c>
      <c r="AR176" s="171">
        <v>1</v>
      </c>
      <c r="AS176" s="171">
        <v>1</v>
      </c>
      <c r="AT176" s="171">
        <v>1</v>
      </c>
      <c r="AU176" s="171">
        <f t="shared" si="41"/>
        <v>0</v>
      </c>
      <c r="AV176" s="171">
        <f t="shared" si="42"/>
        <v>0</v>
      </c>
      <c r="AW176" s="171">
        <f t="shared" si="43"/>
        <v>1</v>
      </c>
      <c r="AX176" s="171">
        <f t="shared" si="53"/>
        <v>1</v>
      </c>
      <c r="AY176" s="171">
        <f t="shared" si="44"/>
        <v>0</v>
      </c>
      <c r="AZ176" s="171">
        <f t="shared" si="45"/>
        <v>1</v>
      </c>
      <c r="BA176" s="172">
        <f t="shared" si="46"/>
        <v>1</v>
      </c>
      <c r="BB176" s="175">
        <f t="shared" si="47"/>
        <v>16</v>
      </c>
      <c r="BC176" s="176">
        <f t="shared" si="48"/>
        <v>15</v>
      </c>
      <c r="BD176" s="176">
        <f t="shared" si="49"/>
        <v>16</v>
      </c>
      <c r="BE176" s="240" t="str">
        <f t="shared" si="51"/>
        <v/>
      </c>
      <c r="BH176" s="198">
        <f>IF(AND(Input_Product=Elig!$C176,Elig_MatchAll_Ct&lt;22,$BC176=(Elig_MatchAll_Ct-1),AF176=0),C176,0)</f>
        <v>0</v>
      </c>
      <c r="BI176" s="199">
        <f>IF(AND(Input_Product=Elig!$C176,Elig_MatchAll_Ct&lt;22,$BC176=(Elig_MatchAll_Ct-1),AG176=0),D176,0)</f>
        <v>0</v>
      </c>
      <c r="BJ176" s="199">
        <f>IF(AND(Input_Product=Elig!$C176,Elig_MatchAll_Ct&lt;22,$BC176=(Elig_MatchAll_Ct-1),AH176=0),E176,0)</f>
        <v>0</v>
      </c>
      <c r="BK176" s="199">
        <f>IF(AND(Input_Product=Elig!$C176,Elig_MatchAll_Ct&lt;22,$BC176=(Elig_MatchAll_Ct-1),AI176=0),F176,0)</f>
        <v>0</v>
      </c>
      <c r="BL176" s="199">
        <f>IF(AND(Input_Product=Elig!$C176,Elig_MatchAll_Ct&lt;22,$BC176=(Elig_MatchAll_Ct-1),AJ176=0),G176,0)</f>
        <v>0</v>
      </c>
      <c r="BM176" s="199">
        <f>IF(AND(Input_Product=Elig!$C176,Elig_MatchAll_Ct&lt;22,$BC176=(Elig_MatchAll_Ct-1),AK176=0),H176,0)</f>
        <v>0</v>
      </c>
      <c r="BN176" s="199">
        <f>IF(AND(Input_Product=Elig!$C176,Elig_MatchAll_Ct&lt;22,$BC176=(Elig_MatchAll_Ct-1),AL176=0),I176,0)</f>
        <v>0</v>
      </c>
      <c r="BO176" s="199">
        <f>IF(AND(Input_Product=Elig!$C176,Elig_MatchAll_Ct&lt;22,$BC176=(Elig_MatchAll_Ct-1),AM176=0),J176,0)</f>
        <v>0</v>
      </c>
      <c r="BP176" s="199">
        <f>IF(AND(Input_Product=Elig!$C176,Elig_MatchAll_Ct&lt;22,$BC176=(Elig_MatchAll_Ct-1),AN176=0),K176,0)</f>
        <v>0</v>
      </c>
      <c r="BQ176" s="199">
        <f>IF(AND(Input_Product=Elig!$C176,Elig_MatchAll_Ct&lt;22,$BC176=(Elig_MatchAll_Ct-1),AP176=0),L176,0)</f>
        <v>0</v>
      </c>
      <c r="BR176" s="199">
        <f>IF(AND(Input_Product=Elig!$C176,Elig_MatchAll_Ct&lt;22,$BC176=(Elig_MatchAll_Ct-1),AO176=0),M176,0)</f>
        <v>0</v>
      </c>
      <c r="BS176" s="199">
        <f>IF(AND(Input_Product=Elig!$C176,Elig_MatchAll_Ct&lt;22,$BC176=(Elig_MatchAll_Ct-1),AQ176=0),N176,0)</f>
        <v>0</v>
      </c>
      <c r="BT176" s="199">
        <f>IF(AND(Input_Product=Elig!$C176,Elig_MatchAll_Ct&lt;22,$BC176=(Elig_MatchAll_Ct-1),AR176=0),O176,0)</f>
        <v>0</v>
      </c>
      <c r="BU176" s="199">
        <f>IF(AND(Input_Product=Elig!$C176,Elig_MatchAll_Ct&lt;22,$BC176=(Elig_MatchAll_Ct-1),AS176=0),P176,0)</f>
        <v>0</v>
      </c>
      <c r="BV176" s="200">
        <f>IF(AND(Input_Product=Elig!$C176,Elig_MatchAll_Ct&lt;22,$BC176=(Elig_MatchAll_Ct-1),AT176=0),Q176,0)</f>
        <v>0</v>
      </c>
      <c r="BW176" s="201">
        <f>IF(AND(Input_Product=Elig!$C176,Elig_MatchAll_Ct&lt;22,$BC176=(Elig_MatchAll_Ct-1),AU176=0),R176,0)</f>
        <v>0</v>
      </c>
      <c r="BX176" s="202">
        <f>IF(AND(Input_Product=Elig!$C176,Elig_MatchAll_Ct&lt;22,$BC176=(Elig_MatchAll_Ct-1),AU176=0),S176,0)</f>
        <v>0</v>
      </c>
      <c r="BY176" s="201">
        <f>IF(AND(Input_Product=Elig!$C176,Elig_MatchAll_Ct&lt;22,$BC176=(Elig_MatchAll_Ct-1),AV176=0),T176,0)</f>
        <v>0</v>
      </c>
      <c r="BZ176" s="202">
        <f>IF(AND(Input_Product=Elig!$C176,Elig_MatchAll_Ct&lt;22,$BC176=(Elig_MatchAll_Ct-1),AV176=0),U176,0)</f>
        <v>0</v>
      </c>
      <c r="CA176" s="201">
        <f>IF(AND(Input_Product=Elig!$C176,Elig_MatchAll_Ct&lt;22,$BC176=(Elig_MatchAll_Ct-1),AW176=0),V176,0)</f>
        <v>0</v>
      </c>
      <c r="CB176" s="202">
        <f>IF(AND(Input_Product=Elig!$C176,Elig_MatchAll_Ct&lt;22,$BC176=(Elig_MatchAll_Ct-1),AW176=0),W176,0)</f>
        <v>0</v>
      </c>
      <c r="CC176" s="201">
        <f>IF(AND(Input_Product=Elig!$C176,Elig_MatchAll_Ct&lt;22,$BC176=(Elig_MatchAll_Ct-1),AX176=0),X176,0)</f>
        <v>0</v>
      </c>
      <c r="CD176" s="202">
        <f>IF(AND(Input_Product=Elig!$C176,Elig_MatchAll_Ct&lt;22,$BC176=(Elig_MatchAll_Ct-1),AX176=0),Y176,0)</f>
        <v>0</v>
      </c>
      <c r="CE176" s="201">
        <f>IF(AND(Input_LTV&lt;=AE176,Input_Product=Elig!$C176,Elig_MatchAll_Ct&lt;22,$BC176=(Elig_MatchAll_Ct-1),AY176=0),Z176,0)</f>
        <v>0</v>
      </c>
      <c r="CF176" s="202">
        <f>IF(AND(Input_LTV&lt;=AE176,Input_Product=Elig!$C176,Elig_MatchAll_Ct&lt;22,$BC176=(Elig_MatchAll_Ct-1),AY176=0),AA176,0)</f>
        <v>0</v>
      </c>
      <c r="CG176" s="201">
        <f>IF(AND(Input_Product=Elig!$C176,Elig_MatchAll_Ct&lt;22,$BC176=(Elig_MatchAll_Ct-1),AZ176=0),AB176,0)</f>
        <v>0</v>
      </c>
      <c r="CH176" s="202">
        <f>IF(AND(Input_Product=Elig!$C176,Elig_MatchAll_Ct&lt;22,$BC176=(Elig_MatchAll_Ct-1),AZ176=0),AC176,0)</f>
        <v>0</v>
      </c>
      <c r="CI176" s="201">
        <f>IF(AND(Input_Product=Elig!$C176,Elig_MatchAll_Ct&lt;22,$BC176=(Elig_MatchAll_Ct-1),BA176=0),AD176,0)</f>
        <v>0</v>
      </c>
      <c r="CJ176" s="203">
        <f>IF(AND(Input_Product=Elig!$C176,Elig_MatchAll_Ct&lt;22,$BC176=(Elig_MatchAll_Ct-1),BA176=0),AE176,0)</f>
        <v>0</v>
      </c>
    </row>
    <row r="177" spans="2:88" ht="10.15" customHeight="1" x14ac:dyDescent="0.25">
      <c r="B177" s="1912" t="s">
        <v>925</v>
      </c>
      <c r="C177" s="134" t="str">
        <f t="shared" si="56"/>
        <v>NonQM OO</v>
      </c>
      <c r="D177" s="135" t="s">
        <v>3885</v>
      </c>
      <c r="E177" s="135" t="s">
        <v>167</v>
      </c>
      <c r="F177" s="135" t="s">
        <v>331</v>
      </c>
      <c r="G177" s="135" t="s">
        <v>473</v>
      </c>
      <c r="H177" s="135" t="s">
        <v>136</v>
      </c>
      <c r="I177" s="136" t="s">
        <v>274</v>
      </c>
      <c r="J177" s="136" t="s">
        <v>1311</v>
      </c>
      <c r="K177" s="136" t="s">
        <v>1631</v>
      </c>
      <c r="L177" s="221" t="s">
        <v>3920</v>
      </c>
      <c r="M177" s="135" t="s">
        <v>4203</v>
      </c>
      <c r="N177" s="135" t="s">
        <v>82</v>
      </c>
      <c r="O177" s="135" t="s">
        <v>310</v>
      </c>
      <c r="P177" s="135" t="s">
        <v>291</v>
      </c>
      <c r="Q177" s="135" t="s">
        <v>294</v>
      </c>
      <c r="R177" s="135">
        <v>1500000.01</v>
      </c>
      <c r="S177" s="135">
        <v>2000000</v>
      </c>
      <c r="T177" s="135">
        <v>0</v>
      </c>
      <c r="U177" s="135">
        <v>0</v>
      </c>
      <c r="V177" s="135">
        <v>0</v>
      </c>
      <c r="W177" s="135">
        <v>55</v>
      </c>
      <c r="X177" s="135">
        <v>0</v>
      </c>
      <c r="Y177" s="135">
        <v>999</v>
      </c>
      <c r="Z177" s="137">
        <v>680</v>
      </c>
      <c r="AA177" s="137">
        <v>699</v>
      </c>
      <c r="AB177" s="137">
        <v>6</v>
      </c>
      <c r="AC177" s="137">
        <v>999999</v>
      </c>
      <c r="AD177" s="135">
        <v>0</v>
      </c>
      <c r="AE177" s="135">
        <v>70</v>
      </c>
      <c r="AF177" s="170">
        <v>0</v>
      </c>
      <c r="AG177" s="171">
        <v>1</v>
      </c>
      <c r="AH177" s="171">
        <v>1</v>
      </c>
      <c r="AI177" s="171">
        <v>1</v>
      </c>
      <c r="AJ177" s="171">
        <v>0</v>
      </c>
      <c r="AK177" s="171">
        <v>1</v>
      </c>
      <c r="AL177" s="171">
        <v>0</v>
      </c>
      <c r="AM177" s="171">
        <v>1</v>
      </c>
      <c r="AN177" s="171">
        <v>1</v>
      </c>
      <c r="AO177" s="171">
        <v>1</v>
      </c>
      <c r="AP177" s="171">
        <v>1</v>
      </c>
      <c r="AQ177" s="171">
        <v>1</v>
      </c>
      <c r="AR177" s="171">
        <v>1</v>
      </c>
      <c r="AS177" s="171">
        <v>1</v>
      </c>
      <c r="AT177" s="171">
        <v>1</v>
      </c>
      <c r="AU177" s="171">
        <f t="shared" si="41"/>
        <v>0</v>
      </c>
      <c r="AV177" s="171">
        <f t="shared" si="42"/>
        <v>0</v>
      </c>
      <c r="AW177" s="171">
        <f t="shared" si="43"/>
        <v>1</v>
      </c>
      <c r="AX177" s="171">
        <f t="shared" si="53"/>
        <v>1</v>
      </c>
      <c r="AY177" s="171">
        <f t="shared" si="44"/>
        <v>0</v>
      </c>
      <c r="AZ177" s="171">
        <f t="shared" si="45"/>
        <v>1</v>
      </c>
      <c r="BA177" s="172">
        <f t="shared" si="46"/>
        <v>1</v>
      </c>
      <c r="BB177" s="175">
        <f t="shared" si="47"/>
        <v>16</v>
      </c>
      <c r="BC177" s="176">
        <f t="shared" si="48"/>
        <v>15</v>
      </c>
      <c r="BD177" s="176">
        <f t="shared" si="49"/>
        <v>16</v>
      </c>
      <c r="BE177" s="240" t="str">
        <f t="shared" si="51"/>
        <v/>
      </c>
      <c r="BH177" s="198">
        <f>IF(AND(Input_Product=Elig!$C177,Elig_MatchAll_Ct&lt;22,$BC177=(Elig_MatchAll_Ct-1),AF177=0),C177,0)</f>
        <v>0</v>
      </c>
      <c r="BI177" s="199">
        <f>IF(AND(Input_Product=Elig!$C177,Elig_MatchAll_Ct&lt;22,$BC177=(Elig_MatchAll_Ct-1),AG177=0),D177,0)</f>
        <v>0</v>
      </c>
      <c r="BJ177" s="199">
        <f>IF(AND(Input_Product=Elig!$C177,Elig_MatchAll_Ct&lt;22,$BC177=(Elig_MatchAll_Ct-1),AH177=0),E177,0)</f>
        <v>0</v>
      </c>
      <c r="BK177" s="199">
        <f>IF(AND(Input_Product=Elig!$C177,Elig_MatchAll_Ct&lt;22,$BC177=(Elig_MatchAll_Ct-1),AI177=0),F177,0)</f>
        <v>0</v>
      </c>
      <c r="BL177" s="199">
        <f>IF(AND(Input_Product=Elig!$C177,Elig_MatchAll_Ct&lt;22,$BC177=(Elig_MatchAll_Ct-1),AJ177=0),G177,0)</f>
        <v>0</v>
      </c>
      <c r="BM177" s="199">
        <f>IF(AND(Input_Product=Elig!$C177,Elig_MatchAll_Ct&lt;22,$BC177=(Elig_MatchAll_Ct-1),AK177=0),H177,0)</f>
        <v>0</v>
      </c>
      <c r="BN177" s="199">
        <f>IF(AND(Input_Product=Elig!$C177,Elig_MatchAll_Ct&lt;22,$BC177=(Elig_MatchAll_Ct-1),AL177=0),I177,0)</f>
        <v>0</v>
      </c>
      <c r="BO177" s="199">
        <f>IF(AND(Input_Product=Elig!$C177,Elig_MatchAll_Ct&lt;22,$BC177=(Elig_MatchAll_Ct-1),AM177=0),J177,0)</f>
        <v>0</v>
      </c>
      <c r="BP177" s="199">
        <f>IF(AND(Input_Product=Elig!$C177,Elig_MatchAll_Ct&lt;22,$BC177=(Elig_MatchAll_Ct-1),AN177=0),K177,0)</f>
        <v>0</v>
      </c>
      <c r="BQ177" s="199">
        <f>IF(AND(Input_Product=Elig!$C177,Elig_MatchAll_Ct&lt;22,$BC177=(Elig_MatchAll_Ct-1),AP177=0),L177,0)</f>
        <v>0</v>
      </c>
      <c r="BR177" s="199">
        <f>IF(AND(Input_Product=Elig!$C177,Elig_MatchAll_Ct&lt;22,$BC177=(Elig_MatchAll_Ct-1),AO177=0),M177,0)</f>
        <v>0</v>
      </c>
      <c r="BS177" s="199">
        <f>IF(AND(Input_Product=Elig!$C177,Elig_MatchAll_Ct&lt;22,$BC177=(Elig_MatchAll_Ct-1),AQ177=0),N177,0)</f>
        <v>0</v>
      </c>
      <c r="BT177" s="199">
        <f>IF(AND(Input_Product=Elig!$C177,Elig_MatchAll_Ct&lt;22,$BC177=(Elig_MatchAll_Ct-1),AR177=0),O177,0)</f>
        <v>0</v>
      </c>
      <c r="BU177" s="199">
        <f>IF(AND(Input_Product=Elig!$C177,Elig_MatchAll_Ct&lt;22,$BC177=(Elig_MatchAll_Ct-1),AS177=0),P177,0)</f>
        <v>0</v>
      </c>
      <c r="BV177" s="200">
        <f>IF(AND(Input_Product=Elig!$C177,Elig_MatchAll_Ct&lt;22,$BC177=(Elig_MatchAll_Ct-1),AT177=0),Q177,0)</f>
        <v>0</v>
      </c>
      <c r="BW177" s="201">
        <f>IF(AND(Input_Product=Elig!$C177,Elig_MatchAll_Ct&lt;22,$BC177=(Elig_MatchAll_Ct-1),AU177=0),R177,0)</f>
        <v>0</v>
      </c>
      <c r="BX177" s="202">
        <f>IF(AND(Input_Product=Elig!$C177,Elig_MatchAll_Ct&lt;22,$BC177=(Elig_MatchAll_Ct-1),AU177=0),S177,0)</f>
        <v>0</v>
      </c>
      <c r="BY177" s="201">
        <f>IF(AND(Input_Product=Elig!$C177,Elig_MatchAll_Ct&lt;22,$BC177=(Elig_MatchAll_Ct-1),AV177=0),T177,0)</f>
        <v>0</v>
      </c>
      <c r="BZ177" s="202">
        <f>IF(AND(Input_Product=Elig!$C177,Elig_MatchAll_Ct&lt;22,$BC177=(Elig_MatchAll_Ct-1),AV177=0),U177,0)</f>
        <v>0</v>
      </c>
      <c r="CA177" s="201">
        <f>IF(AND(Input_Product=Elig!$C177,Elig_MatchAll_Ct&lt;22,$BC177=(Elig_MatchAll_Ct-1),AW177=0),V177,0)</f>
        <v>0</v>
      </c>
      <c r="CB177" s="202">
        <f>IF(AND(Input_Product=Elig!$C177,Elig_MatchAll_Ct&lt;22,$BC177=(Elig_MatchAll_Ct-1),AW177=0),W177,0)</f>
        <v>0</v>
      </c>
      <c r="CC177" s="201">
        <f>IF(AND(Input_Product=Elig!$C177,Elig_MatchAll_Ct&lt;22,$BC177=(Elig_MatchAll_Ct-1),AX177=0),X177,0)</f>
        <v>0</v>
      </c>
      <c r="CD177" s="202">
        <f>IF(AND(Input_Product=Elig!$C177,Elig_MatchAll_Ct&lt;22,$BC177=(Elig_MatchAll_Ct-1),AX177=0),Y177,0)</f>
        <v>0</v>
      </c>
      <c r="CE177" s="201">
        <f>IF(AND(Input_LTV&lt;=AE177,Input_Product=Elig!$C177,Elig_MatchAll_Ct&lt;22,$BC177=(Elig_MatchAll_Ct-1),AY177=0),Z177,0)</f>
        <v>0</v>
      </c>
      <c r="CF177" s="202">
        <f>IF(AND(Input_LTV&lt;=AE177,Input_Product=Elig!$C177,Elig_MatchAll_Ct&lt;22,$BC177=(Elig_MatchAll_Ct-1),AY177=0),AA177,0)</f>
        <v>0</v>
      </c>
      <c r="CG177" s="201">
        <f>IF(AND(Input_Product=Elig!$C177,Elig_MatchAll_Ct&lt;22,$BC177=(Elig_MatchAll_Ct-1),AZ177=0),AB177,0)</f>
        <v>0</v>
      </c>
      <c r="CH177" s="202">
        <f>IF(AND(Input_Product=Elig!$C177,Elig_MatchAll_Ct&lt;22,$BC177=(Elig_MatchAll_Ct-1),AZ177=0),AC177,0)</f>
        <v>0</v>
      </c>
      <c r="CI177" s="201">
        <f>IF(AND(Input_Product=Elig!$C177,Elig_MatchAll_Ct&lt;22,$BC177=(Elig_MatchAll_Ct-1),BA177=0),AD177,0)</f>
        <v>0</v>
      </c>
      <c r="CJ177" s="203">
        <f>IF(AND(Input_Product=Elig!$C177,Elig_MatchAll_Ct&lt;22,$BC177=(Elig_MatchAll_Ct-1),BA177=0),AE177,0)</f>
        <v>0</v>
      </c>
    </row>
    <row r="178" spans="2:88" ht="10.15" customHeight="1" x14ac:dyDescent="0.25">
      <c r="B178" s="1912" t="s">
        <v>926</v>
      </c>
      <c r="C178" s="134" t="str">
        <f t="shared" si="56"/>
        <v>NonQM OO</v>
      </c>
      <c r="D178" s="135" t="s">
        <v>3885</v>
      </c>
      <c r="E178" s="135" t="s">
        <v>167</v>
      </c>
      <c r="F178" s="135" t="s">
        <v>331</v>
      </c>
      <c r="G178" s="135" t="s">
        <v>473</v>
      </c>
      <c r="H178" s="135" t="s">
        <v>136</v>
      </c>
      <c r="I178" s="135" t="s">
        <v>274</v>
      </c>
      <c r="J178" s="135" t="s">
        <v>1311</v>
      </c>
      <c r="K178" s="135" t="s">
        <v>1631</v>
      </c>
      <c r="L178" s="221" t="s">
        <v>3920</v>
      </c>
      <c r="M178" s="135" t="s">
        <v>4203</v>
      </c>
      <c r="N178" s="135" t="s">
        <v>82</v>
      </c>
      <c r="O178" s="135" t="s">
        <v>310</v>
      </c>
      <c r="P178" s="135" t="s">
        <v>291</v>
      </c>
      <c r="Q178" s="135" t="s">
        <v>294</v>
      </c>
      <c r="R178" s="135">
        <v>1500000.01</v>
      </c>
      <c r="S178" s="135">
        <v>2000000</v>
      </c>
      <c r="T178" s="135">
        <v>0</v>
      </c>
      <c r="U178" s="135">
        <v>0</v>
      </c>
      <c r="V178" s="135">
        <v>0</v>
      </c>
      <c r="W178" s="135">
        <v>55</v>
      </c>
      <c r="X178" s="135">
        <v>0</v>
      </c>
      <c r="Y178" s="135">
        <v>999</v>
      </c>
      <c r="Z178" s="137">
        <v>660</v>
      </c>
      <c r="AA178" s="137">
        <v>679</v>
      </c>
      <c r="AB178" s="137">
        <v>6</v>
      </c>
      <c r="AC178" s="137">
        <v>999999</v>
      </c>
      <c r="AD178" s="135">
        <v>0</v>
      </c>
      <c r="AE178" s="135">
        <v>70</v>
      </c>
      <c r="AF178" s="170">
        <v>0</v>
      </c>
      <c r="AG178" s="171">
        <v>1</v>
      </c>
      <c r="AH178" s="171">
        <v>1</v>
      </c>
      <c r="AI178" s="171">
        <v>1</v>
      </c>
      <c r="AJ178" s="171">
        <v>0</v>
      </c>
      <c r="AK178" s="171">
        <v>1</v>
      </c>
      <c r="AL178" s="171">
        <v>0</v>
      </c>
      <c r="AM178" s="171">
        <v>1</v>
      </c>
      <c r="AN178" s="171">
        <v>1</v>
      </c>
      <c r="AO178" s="171">
        <v>1</v>
      </c>
      <c r="AP178" s="171">
        <v>1</v>
      </c>
      <c r="AQ178" s="171">
        <v>1</v>
      </c>
      <c r="AR178" s="171">
        <v>1</v>
      </c>
      <c r="AS178" s="171">
        <v>1</v>
      </c>
      <c r="AT178" s="171">
        <v>1</v>
      </c>
      <c r="AU178" s="171">
        <f t="shared" si="41"/>
        <v>0</v>
      </c>
      <c r="AV178" s="171">
        <f t="shared" si="42"/>
        <v>0</v>
      </c>
      <c r="AW178" s="171">
        <f t="shared" si="43"/>
        <v>1</v>
      </c>
      <c r="AX178" s="171">
        <f t="shared" si="53"/>
        <v>1</v>
      </c>
      <c r="AY178" s="171">
        <f t="shared" si="44"/>
        <v>0</v>
      </c>
      <c r="AZ178" s="171">
        <f t="shared" si="45"/>
        <v>1</v>
      </c>
      <c r="BA178" s="172">
        <f t="shared" si="46"/>
        <v>1</v>
      </c>
      <c r="BB178" s="175">
        <f t="shared" si="47"/>
        <v>16</v>
      </c>
      <c r="BC178" s="176">
        <f t="shared" si="48"/>
        <v>15</v>
      </c>
      <c r="BD178" s="176">
        <f t="shared" si="49"/>
        <v>16</v>
      </c>
      <c r="BE178" s="240" t="str">
        <f t="shared" si="51"/>
        <v/>
      </c>
      <c r="BH178" s="198">
        <f>IF(AND(Input_Product=Elig!$C178,Elig_MatchAll_Ct&lt;22,$BC178=(Elig_MatchAll_Ct-1),AF178=0),C178,0)</f>
        <v>0</v>
      </c>
      <c r="BI178" s="199">
        <f>IF(AND(Input_Product=Elig!$C178,Elig_MatchAll_Ct&lt;22,$BC178=(Elig_MatchAll_Ct-1),AG178=0),D178,0)</f>
        <v>0</v>
      </c>
      <c r="BJ178" s="199">
        <f>IF(AND(Input_Product=Elig!$C178,Elig_MatchAll_Ct&lt;22,$BC178=(Elig_MatchAll_Ct-1),AH178=0),E178,0)</f>
        <v>0</v>
      </c>
      <c r="BK178" s="199">
        <f>IF(AND(Input_Product=Elig!$C178,Elig_MatchAll_Ct&lt;22,$BC178=(Elig_MatchAll_Ct-1),AI178=0),F178,0)</f>
        <v>0</v>
      </c>
      <c r="BL178" s="199">
        <f>IF(AND(Input_Product=Elig!$C178,Elig_MatchAll_Ct&lt;22,$BC178=(Elig_MatchAll_Ct-1),AJ178=0),G178,0)</f>
        <v>0</v>
      </c>
      <c r="BM178" s="199">
        <f>IF(AND(Input_Product=Elig!$C178,Elig_MatchAll_Ct&lt;22,$BC178=(Elig_MatchAll_Ct-1),AK178=0),H178,0)</f>
        <v>0</v>
      </c>
      <c r="BN178" s="199">
        <f>IF(AND(Input_Product=Elig!$C178,Elig_MatchAll_Ct&lt;22,$BC178=(Elig_MatchAll_Ct-1),AL178=0),I178,0)</f>
        <v>0</v>
      </c>
      <c r="BO178" s="199">
        <f>IF(AND(Input_Product=Elig!$C178,Elig_MatchAll_Ct&lt;22,$BC178=(Elig_MatchAll_Ct-1),AM178=0),J178,0)</f>
        <v>0</v>
      </c>
      <c r="BP178" s="199">
        <f>IF(AND(Input_Product=Elig!$C178,Elig_MatchAll_Ct&lt;22,$BC178=(Elig_MatchAll_Ct-1),AN178=0),K178,0)</f>
        <v>0</v>
      </c>
      <c r="BQ178" s="199">
        <f>IF(AND(Input_Product=Elig!$C178,Elig_MatchAll_Ct&lt;22,$BC178=(Elig_MatchAll_Ct-1),AP178=0),L178,0)</f>
        <v>0</v>
      </c>
      <c r="BR178" s="199">
        <f>IF(AND(Input_Product=Elig!$C178,Elig_MatchAll_Ct&lt;22,$BC178=(Elig_MatchAll_Ct-1),AO178=0),M178,0)</f>
        <v>0</v>
      </c>
      <c r="BS178" s="199">
        <f>IF(AND(Input_Product=Elig!$C178,Elig_MatchAll_Ct&lt;22,$BC178=(Elig_MatchAll_Ct-1),AQ178=0),N178,0)</f>
        <v>0</v>
      </c>
      <c r="BT178" s="199">
        <f>IF(AND(Input_Product=Elig!$C178,Elig_MatchAll_Ct&lt;22,$BC178=(Elig_MatchAll_Ct-1),AR178=0),O178,0)</f>
        <v>0</v>
      </c>
      <c r="BU178" s="199">
        <f>IF(AND(Input_Product=Elig!$C178,Elig_MatchAll_Ct&lt;22,$BC178=(Elig_MatchAll_Ct-1),AS178=0),P178,0)</f>
        <v>0</v>
      </c>
      <c r="BV178" s="200">
        <f>IF(AND(Input_Product=Elig!$C178,Elig_MatchAll_Ct&lt;22,$BC178=(Elig_MatchAll_Ct-1),AT178=0),Q178,0)</f>
        <v>0</v>
      </c>
      <c r="BW178" s="201">
        <f>IF(AND(Input_Product=Elig!$C178,Elig_MatchAll_Ct&lt;22,$BC178=(Elig_MatchAll_Ct-1),AU178=0),R178,0)</f>
        <v>0</v>
      </c>
      <c r="BX178" s="202">
        <f>IF(AND(Input_Product=Elig!$C178,Elig_MatchAll_Ct&lt;22,$BC178=(Elig_MatchAll_Ct-1),AU178=0),S178,0)</f>
        <v>0</v>
      </c>
      <c r="BY178" s="201">
        <f>IF(AND(Input_Product=Elig!$C178,Elig_MatchAll_Ct&lt;22,$BC178=(Elig_MatchAll_Ct-1),AV178=0),T178,0)</f>
        <v>0</v>
      </c>
      <c r="BZ178" s="202">
        <f>IF(AND(Input_Product=Elig!$C178,Elig_MatchAll_Ct&lt;22,$BC178=(Elig_MatchAll_Ct-1),AV178=0),U178,0)</f>
        <v>0</v>
      </c>
      <c r="CA178" s="201">
        <f>IF(AND(Input_Product=Elig!$C178,Elig_MatchAll_Ct&lt;22,$BC178=(Elig_MatchAll_Ct-1),AW178=0),V178,0)</f>
        <v>0</v>
      </c>
      <c r="CB178" s="202">
        <f>IF(AND(Input_Product=Elig!$C178,Elig_MatchAll_Ct&lt;22,$BC178=(Elig_MatchAll_Ct-1),AW178=0),W178,0)</f>
        <v>0</v>
      </c>
      <c r="CC178" s="201">
        <f>IF(AND(Input_Product=Elig!$C178,Elig_MatchAll_Ct&lt;22,$BC178=(Elig_MatchAll_Ct-1),AX178=0),X178,0)</f>
        <v>0</v>
      </c>
      <c r="CD178" s="202">
        <f>IF(AND(Input_Product=Elig!$C178,Elig_MatchAll_Ct&lt;22,$BC178=(Elig_MatchAll_Ct-1),AX178=0),Y178,0)</f>
        <v>0</v>
      </c>
      <c r="CE178" s="201">
        <f>IF(AND(Input_LTV&lt;=AE178,Input_Product=Elig!$C178,Elig_MatchAll_Ct&lt;22,$BC178=(Elig_MatchAll_Ct-1),AY178=0),Z178,0)</f>
        <v>0</v>
      </c>
      <c r="CF178" s="202">
        <f>IF(AND(Input_LTV&lt;=AE178,Input_Product=Elig!$C178,Elig_MatchAll_Ct&lt;22,$BC178=(Elig_MatchAll_Ct-1),AY178=0),AA178,0)</f>
        <v>0</v>
      </c>
      <c r="CG178" s="201">
        <f>IF(AND(Input_Product=Elig!$C178,Elig_MatchAll_Ct&lt;22,$BC178=(Elig_MatchAll_Ct-1),AZ178=0),AB178,0)</f>
        <v>0</v>
      </c>
      <c r="CH178" s="202">
        <f>IF(AND(Input_Product=Elig!$C178,Elig_MatchAll_Ct&lt;22,$BC178=(Elig_MatchAll_Ct-1),AZ178=0),AC178,0)</f>
        <v>0</v>
      </c>
      <c r="CI178" s="201">
        <f>IF(AND(Input_Product=Elig!$C178,Elig_MatchAll_Ct&lt;22,$BC178=(Elig_MatchAll_Ct-1),BA178=0),AD178,0)</f>
        <v>0</v>
      </c>
      <c r="CJ178" s="203">
        <f>IF(AND(Input_Product=Elig!$C178,Elig_MatchAll_Ct&lt;22,$BC178=(Elig_MatchAll_Ct-1),BA178=0),AE178,0)</f>
        <v>0</v>
      </c>
    </row>
    <row r="179" spans="2:88" ht="10.15" customHeight="1" x14ac:dyDescent="0.25">
      <c r="B179" s="1912" t="s">
        <v>927</v>
      </c>
      <c r="C179" s="134" t="str">
        <f t="shared" si="56"/>
        <v>NonQM OO</v>
      </c>
      <c r="D179" s="135" t="s">
        <v>3885</v>
      </c>
      <c r="E179" s="135" t="s">
        <v>167</v>
      </c>
      <c r="F179" s="135" t="s">
        <v>331</v>
      </c>
      <c r="G179" s="135" t="s">
        <v>473</v>
      </c>
      <c r="H179" s="135" t="s">
        <v>136</v>
      </c>
      <c r="I179" s="135" t="s">
        <v>274</v>
      </c>
      <c r="J179" s="135" t="s">
        <v>1311</v>
      </c>
      <c r="K179" s="135" t="s">
        <v>1631</v>
      </c>
      <c r="L179" s="221" t="s">
        <v>3920</v>
      </c>
      <c r="M179" s="135" t="s">
        <v>4203</v>
      </c>
      <c r="N179" s="135" t="s">
        <v>82</v>
      </c>
      <c r="O179" s="135" t="s">
        <v>310</v>
      </c>
      <c r="P179" s="135" t="s">
        <v>291</v>
      </c>
      <c r="Q179" s="135" t="s">
        <v>294</v>
      </c>
      <c r="R179" s="135">
        <v>1500000.01</v>
      </c>
      <c r="S179" s="135">
        <v>2000000</v>
      </c>
      <c r="T179" s="135">
        <v>0</v>
      </c>
      <c r="U179" s="135">
        <v>0</v>
      </c>
      <c r="V179" s="135">
        <v>0</v>
      </c>
      <c r="W179" s="135">
        <v>55</v>
      </c>
      <c r="X179" s="135">
        <v>0</v>
      </c>
      <c r="Y179" s="135">
        <v>999</v>
      </c>
      <c r="Z179" s="137">
        <v>640</v>
      </c>
      <c r="AA179" s="137">
        <v>659</v>
      </c>
      <c r="AB179" s="137">
        <v>6</v>
      </c>
      <c r="AC179" s="137">
        <v>999999</v>
      </c>
      <c r="AD179" s="135">
        <v>0</v>
      </c>
      <c r="AE179" s="135">
        <v>-999</v>
      </c>
      <c r="AF179" s="170">
        <v>0</v>
      </c>
      <c r="AG179" s="171">
        <v>1</v>
      </c>
      <c r="AH179" s="171">
        <v>1</v>
      </c>
      <c r="AI179" s="171">
        <v>1</v>
      </c>
      <c r="AJ179" s="171">
        <v>0</v>
      </c>
      <c r="AK179" s="171">
        <v>1</v>
      </c>
      <c r="AL179" s="171">
        <v>0</v>
      </c>
      <c r="AM179" s="171">
        <v>1</v>
      </c>
      <c r="AN179" s="171">
        <v>1</v>
      </c>
      <c r="AO179" s="171">
        <v>1</v>
      </c>
      <c r="AP179" s="171">
        <v>1</v>
      </c>
      <c r="AQ179" s="171">
        <v>1</v>
      </c>
      <c r="AR179" s="171">
        <v>1</v>
      </c>
      <c r="AS179" s="171">
        <v>1</v>
      </c>
      <c r="AT179" s="171">
        <v>1</v>
      </c>
      <c r="AU179" s="171">
        <f t="shared" si="41"/>
        <v>0</v>
      </c>
      <c r="AV179" s="171">
        <f t="shared" si="42"/>
        <v>0</v>
      </c>
      <c r="AW179" s="171">
        <f t="shared" si="43"/>
        <v>1</v>
      </c>
      <c r="AX179" s="171">
        <f t="shared" si="53"/>
        <v>1</v>
      </c>
      <c r="AY179" s="171">
        <f t="shared" si="44"/>
        <v>0</v>
      </c>
      <c r="AZ179" s="171">
        <f t="shared" si="45"/>
        <v>1</v>
      </c>
      <c r="BA179" s="172">
        <f t="shared" si="46"/>
        <v>0</v>
      </c>
      <c r="BB179" s="175">
        <f t="shared" si="47"/>
        <v>15</v>
      </c>
      <c r="BC179" s="176">
        <f t="shared" si="48"/>
        <v>15</v>
      </c>
      <c r="BD179" s="176">
        <f t="shared" si="49"/>
        <v>15</v>
      </c>
      <c r="BE179" s="240" t="str">
        <f t="shared" si="51"/>
        <v/>
      </c>
      <c r="BH179" s="198">
        <f>IF(AND(Input_Product=Elig!$C179,Elig_MatchAll_Ct&lt;22,$BC179=(Elig_MatchAll_Ct-1),AF179=0),C179,0)</f>
        <v>0</v>
      </c>
      <c r="BI179" s="199">
        <f>IF(AND(Input_Product=Elig!$C179,Elig_MatchAll_Ct&lt;22,$BC179=(Elig_MatchAll_Ct-1),AG179=0),D179,0)</f>
        <v>0</v>
      </c>
      <c r="BJ179" s="199">
        <f>IF(AND(Input_Product=Elig!$C179,Elig_MatchAll_Ct&lt;22,$BC179=(Elig_MatchAll_Ct-1),AH179=0),E179,0)</f>
        <v>0</v>
      </c>
      <c r="BK179" s="199">
        <f>IF(AND(Input_Product=Elig!$C179,Elig_MatchAll_Ct&lt;22,$BC179=(Elig_MatchAll_Ct-1),AI179=0),F179,0)</f>
        <v>0</v>
      </c>
      <c r="BL179" s="199">
        <f>IF(AND(Input_Product=Elig!$C179,Elig_MatchAll_Ct&lt;22,$BC179=(Elig_MatchAll_Ct-1),AJ179=0),G179,0)</f>
        <v>0</v>
      </c>
      <c r="BM179" s="199">
        <f>IF(AND(Input_Product=Elig!$C179,Elig_MatchAll_Ct&lt;22,$BC179=(Elig_MatchAll_Ct-1),AK179=0),H179,0)</f>
        <v>0</v>
      </c>
      <c r="BN179" s="199">
        <f>IF(AND(Input_Product=Elig!$C179,Elig_MatchAll_Ct&lt;22,$BC179=(Elig_MatchAll_Ct-1),AL179=0),I179,0)</f>
        <v>0</v>
      </c>
      <c r="BO179" s="199">
        <f>IF(AND(Input_Product=Elig!$C179,Elig_MatchAll_Ct&lt;22,$BC179=(Elig_MatchAll_Ct-1),AM179=0),J179,0)</f>
        <v>0</v>
      </c>
      <c r="BP179" s="199">
        <f>IF(AND(Input_Product=Elig!$C179,Elig_MatchAll_Ct&lt;22,$BC179=(Elig_MatchAll_Ct-1),AN179=0),K179,0)</f>
        <v>0</v>
      </c>
      <c r="BQ179" s="199">
        <f>IF(AND(Input_Product=Elig!$C179,Elig_MatchAll_Ct&lt;22,$BC179=(Elig_MatchAll_Ct-1),AP179=0),L179,0)</f>
        <v>0</v>
      </c>
      <c r="BR179" s="199">
        <f>IF(AND(Input_Product=Elig!$C179,Elig_MatchAll_Ct&lt;22,$BC179=(Elig_MatchAll_Ct-1),AO179=0),M179,0)</f>
        <v>0</v>
      </c>
      <c r="BS179" s="199">
        <f>IF(AND(Input_Product=Elig!$C179,Elig_MatchAll_Ct&lt;22,$BC179=(Elig_MatchAll_Ct-1),AQ179=0),N179,0)</f>
        <v>0</v>
      </c>
      <c r="BT179" s="199">
        <f>IF(AND(Input_Product=Elig!$C179,Elig_MatchAll_Ct&lt;22,$BC179=(Elig_MatchAll_Ct-1),AR179=0),O179,0)</f>
        <v>0</v>
      </c>
      <c r="BU179" s="199">
        <f>IF(AND(Input_Product=Elig!$C179,Elig_MatchAll_Ct&lt;22,$BC179=(Elig_MatchAll_Ct-1),AS179=0),P179,0)</f>
        <v>0</v>
      </c>
      <c r="BV179" s="200">
        <f>IF(AND(Input_Product=Elig!$C179,Elig_MatchAll_Ct&lt;22,$BC179=(Elig_MatchAll_Ct-1),AT179=0),Q179,0)</f>
        <v>0</v>
      </c>
      <c r="BW179" s="201">
        <f>IF(AND(Input_Product=Elig!$C179,Elig_MatchAll_Ct&lt;22,$BC179=(Elig_MatchAll_Ct-1),AU179=0),R179,0)</f>
        <v>0</v>
      </c>
      <c r="BX179" s="202">
        <f>IF(AND(Input_Product=Elig!$C179,Elig_MatchAll_Ct&lt;22,$BC179=(Elig_MatchAll_Ct-1),AU179=0),S179,0)</f>
        <v>0</v>
      </c>
      <c r="BY179" s="201">
        <f>IF(AND(Input_Product=Elig!$C179,Elig_MatchAll_Ct&lt;22,$BC179=(Elig_MatchAll_Ct-1),AV179=0),T179,0)</f>
        <v>0</v>
      </c>
      <c r="BZ179" s="202">
        <f>IF(AND(Input_Product=Elig!$C179,Elig_MatchAll_Ct&lt;22,$BC179=(Elig_MatchAll_Ct-1),AV179=0),U179,0)</f>
        <v>0</v>
      </c>
      <c r="CA179" s="201">
        <f>IF(AND(Input_Product=Elig!$C179,Elig_MatchAll_Ct&lt;22,$BC179=(Elig_MatchAll_Ct-1),AW179=0),V179,0)</f>
        <v>0</v>
      </c>
      <c r="CB179" s="202">
        <f>IF(AND(Input_Product=Elig!$C179,Elig_MatchAll_Ct&lt;22,$BC179=(Elig_MatchAll_Ct-1),AW179=0),W179,0)</f>
        <v>0</v>
      </c>
      <c r="CC179" s="201">
        <f>IF(AND(Input_Product=Elig!$C179,Elig_MatchAll_Ct&lt;22,$BC179=(Elig_MatchAll_Ct-1),AX179=0),X179,0)</f>
        <v>0</v>
      </c>
      <c r="CD179" s="202">
        <f>IF(AND(Input_Product=Elig!$C179,Elig_MatchAll_Ct&lt;22,$BC179=(Elig_MatchAll_Ct-1),AX179=0),Y179,0)</f>
        <v>0</v>
      </c>
      <c r="CE179" s="201">
        <f>IF(AND(Input_LTV&lt;=AE179,Input_Product=Elig!$C179,Elig_MatchAll_Ct&lt;22,$BC179=(Elig_MatchAll_Ct-1),AY179=0),Z179,0)</f>
        <v>0</v>
      </c>
      <c r="CF179" s="202">
        <f>IF(AND(Input_LTV&lt;=AE179,Input_Product=Elig!$C179,Elig_MatchAll_Ct&lt;22,$BC179=(Elig_MatchAll_Ct-1),AY179=0),AA179,0)</f>
        <v>0</v>
      </c>
      <c r="CG179" s="201">
        <f>IF(AND(Input_Product=Elig!$C179,Elig_MatchAll_Ct&lt;22,$BC179=(Elig_MatchAll_Ct-1),AZ179=0),AB179,0)</f>
        <v>0</v>
      </c>
      <c r="CH179" s="202">
        <f>IF(AND(Input_Product=Elig!$C179,Elig_MatchAll_Ct&lt;22,$BC179=(Elig_MatchAll_Ct-1),AZ179=0),AC179,0)</f>
        <v>0</v>
      </c>
      <c r="CI179" s="201">
        <f>IF(AND(Input_Product=Elig!$C179,Elig_MatchAll_Ct&lt;22,$BC179=(Elig_MatchAll_Ct-1),BA179=0),AD179,0)</f>
        <v>0</v>
      </c>
      <c r="CJ179" s="203">
        <f>IF(AND(Input_Product=Elig!$C179,Elig_MatchAll_Ct&lt;22,$BC179=(Elig_MatchAll_Ct-1),BA179=0),AE179,0)</f>
        <v>0</v>
      </c>
    </row>
    <row r="180" spans="2:88" ht="10.15" customHeight="1" x14ac:dyDescent="0.25">
      <c r="B180" s="1912" t="s">
        <v>928</v>
      </c>
      <c r="C180" s="138" t="str">
        <f t="shared" si="56"/>
        <v>NonQM OO</v>
      </c>
      <c r="D180" s="139" t="s">
        <v>3885</v>
      </c>
      <c r="E180" s="139" t="s">
        <v>167</v>
      </c>
      <c r="F180" s="139" t="s">
        <v>331</v>
      </c>
      <c r="G180" s="139" t="s">
        <v>473</v>
      </c>
      <c r="H180" s="139" t="s">
        <v>136</v>
      </c>
      <c r="I180" s="139" t="s">
        <v>274</v>
      </c>
      <c r="J180" s="139" t="s">
        <v>1311</v>
      </c>
      <c r="K180" s="139" t="s">
        <v>1631</v>
      </c>
      <c r="L180" s="310" t="s">
        <v>3920</v>
      </c>
      <c r="M180" s="139" t="s">
        <v>4203</v>
      </c>
      <c r="N180" s="139" t="s">
        <v>82</v>
      </c>
      <c r="O180" s="139" t="s">
        <v>310</v>
      </c>
      <c r="P180" s="139" t="s">
        <v>291</v>
      </c>
      <c r="Q180" s="139" t="s">
        <v>294</v>
      </c>
      <c r="R180" s="139">
        <v>1500000.01</v>
      </c>
      <c r="S180" s="139">
        <v>2000000</v>
      </c>
      <c r="T180" s="139">
        <v>0</v>
      </c>
      <c r="U180" s="139">
        <v>0</v>
      </c>
      <c r="V180" s="139">
        <v>0</v>
      </c>
      <c r="W180" s="139">
        <v>55</v>
      </c>
      <c r="X180" s="139">
        <v>0</v>
      </c>
      <c r="Y180" s="139">
        <v>999</v>
      </c>
      <c r="Z180" s="140">
        <v>620</v>
      </c>
      <c r="AA180" s="140">
        <v>639</v>
      </c>
      <c r="AB180" s="140">
        <v>6</v>
      </c>
      <c r="AC180" s="140">
        <v>999999</v>
      </c>
      <c r="AD180" s="139">
        <v>0</v>
      </c>
      <c r="AE180" s="139">
        <v>-999</v>
      </c>
      <c r="AF180" s="170">
        <v>0</v>
      </c>
      <c r="AG180" s="171">
        <v>1</v>
      </c>
      <c r="AH180" s="171">
        <v>1</v>
      </c>
      <c r="AI180" s="171">
        <v>1</v>
      </c>
      <c r="AJ180" s="171">
        <v>0</v>
      </c>
      <c r="AK180" s="171">
        <v>1</v>
      </c>
      <c r="AL180" s="171">
        <v>0</v>
      </c>
      <c r="AM180" s="171">
        <v>1</v>
      </c>
      <c r="AN180" s="171">
        <v>1</v>
      </c>
      <c r="AO180" s="171">
        <v>1</v>
      </c>
      <c r="AP180" s="171">
        <v>1</v>
      </c>
      <c r="AQ180" s="171">
        <v>1</v>
      </c>
      <c r="AR180" s="171">
        <v>1</v>
      </c>
      <c r="AS180" s="171">
        <v>1</v>
      </c>
      <c r="AT180" s="171">
        <v>1</v>
      </c>
      <c r="AU180" s="171">
        <f t="shared" si="41"/>
        <v>0</v>
      </c>
      <c r="AV180" s="171">
        <f t="shared" si="42"/>
        <v>0</v>
      </c>
      <c r="AW180" s="171">
        <f t="shared" si="43"/>
        <v>1</v>
      </c>
      <c r="AX180" s="171">
        <f t="shared" si="53"/>
        <v>1</v>
      </c>
      <c r="AY180" s="171">
        <f t="shared" si="44"/>
        <v>0</v>
      </c>
      <c r="AZ180" s="171">
        <f t="shared" si="45"/>
        <v>1</v>
      </c>
      <c r="BA180" s="172">
        <f t="shared" si="46"/>
        <v>0</v>
      </c>
      <c r="BB180" s="175">
        <f t="shared" si="47"/>
        <v>15</v>
      </c>
      <c r="BC180" s="176">
        <f t="shared" si="48"/>
        <v>15</v>
      </c>
      <c r="BD180" s="176">
        <f t="shared" si="49"/>
        <v>15</v>
      </c>
      <c r="BE180" s="240" t="str">
        <f t="shared" si="51"/>
        <v/>
      </c>
      <c r="BH180" s="204">
        <f>IF(AND(Input_Product=Elig!$C180,Elig_MatchAll_Ct&lt;22,$BC180=(Elig_MatchAll_Ct-1),AF180=0),C180,0)</f>
        <v>0</v>
      </c>
      <c r="BI180" s="205">
        <f>IF(AND(Input_Product=Elig!$C180,Elig_MatchAll_Ct&lt;22,$BC180=(Elig_MatchAll_Ct-1),AG180=0),D180,0)</f>
        <v>0</v>
      </c>
      <c r="BJ180" s="205">
        <f>IF(AND(Input_Product=Elig!$C180,Elig_MatchAll_Ct&lt;22,$BC180=(Elig_MatchAll_Ct-1),AH180=0),E180,0)</f>
        <v>0</v>
      </c>
      <c r="BK180" s="205">
        <f>IF(AND(Input_Product=Elig!$C180,Elig_MatchAll_Ct&lt;22,$BC180=(Elig_MatchAll_Ct-1),AI180=0),F180,0)</f>
        <v>0</v>
      </c>
      <c r="BL180" s="205">
        <f>IF(AND(Input_Product=Elig!$C180,Elig_MatchAll_Ct&lt;22,$BC180=(Elig_MatchAll_Ct-1),AJ180=0),G180,0)</f>
        <v>0</v>
      </c>
      <c r="BM180" s="205">
        <f>IF(AND(Input_Product=Elig!$C180,Elig_MatchAll_Ct&lt;22,$BC180=(Elig_MatchAll_Ct-1),AK180=0),H180,0)</f>
        <v>0</v>
      </c>
      <c r="BN180" s="205">
        <f>IF(AND(Input_Product=Elig!$C180,Elig_MatchAll_Ct&lt;22,$BC180=(Elig_MatchAll_Ct-1),AL180=0),I180,0)</f>
        <v>0</v>
      </c>
      <c r="BO180" s="205">
        <f>IF(AND(Input_Product=Elig!$C180,Elig_MatchAll_Ct&lt;22,$BC180=(Elig_MatchAll_Ct-1),AM180=0),J180,0)</f>
        <v>0</v>
      </c>
      <c r="BP180" s="205">
        <f>IF(AND(Input_Product=Elig!$C180,Elig_MatchAll_Ct&lt;22,$BC180=(Elig_MatchAll_Ct-1),AN180=0),K180,0)</f>
        <v>0</v>
      </c>
      <c r="BQ180" s="205">
        <f>IF(AND(Input_Product=Elig!$C180,Elig_MatchAll_Ct&lt;22,$BC180=(Elig_MatchAll_Ct-1),AP180=0),L180,0)</f>
        <v>0</v>
      </c>
      <c r="BR180" s="205">
        <f>IF(AND(Input_Product=Elig!$C180,Elig_MatchAll_Ct&lt;22,$BC180=(Elig_MatchAll_Ct-1),AO180=0),M180,0)</f>
        <v>0</v>
      </c>
      <c r="BS180" s="205">
        <f>IF(AND(Input_Product=Elig!$C180,Elig_MatchAll_Ct&lt;22,$BC180=(Elig_MatchAll_Ct-1),AQ180=0),N180,0)</f>
        <v>0</v>
      </c>
      <c r="BT180" s="205">
        <f>IF(AND(Input_Product=Elig!$C180,Elig_MatchAll_Ct&lt;22,$BC180=(Elig_MatchAll_Ct-1),AR180=0),O180,0)</f>
        <v>0</v>
      </c>
      <c r="BU180" s="205">
        <f>IF(AND(Input_Product=Elig!$C180,Elig_MatchAll_Ct&lt;22,$BC180=(Elig_MatchAll_Ct-1),AS180=0),P180,0)</f>
        <v>0</v>
      </c>
      <c r="BV180" s="206">
        <f>IF(AND(Input_Product=Elig!$C180,Elig_MatchAll_Ct&lt;22,$BC180=(Elig_MatchAll_Ct-1),AT180=0),Q180,0)</f>
        <v>0</v>
      </c>
      <c r="BW180" s="207">
        <f>IF(AND(Input_Product=Elig!$C180,Elig_MatchAll_Ct&lt;22,$BC180=(Elig_MatchAll_Ct-1),AU180=0),R180,0)</f>
        <v>0</v>
      </c>
      <c r="BX180" s="208">
        <f>IF(AND(Input_Product=Elig!$C180,Elig_MatchAll_Ct&lt;22,$BC180=(Elig_MatchAll_Ct-1),AU180=0),S180,0)</f>
        <v>0</v>
      </c>
      <c r="BY180" s="207">
        <f>IF(AND(Input_Product=Elig!$C180,Elig_MatchAll_Ct&lt;22,$BC180=(Elig_MatchAll_Ct-1),AV180=0),T180,0)</f>
        <v>0</v>
      </c>
      <c r="BZ180" s="208">
        <f>IF(AND(Input_Product=Elig!$C180,Elig_MatchAll_Ct&lt;22,$BC180=(Elig_MatchAll_Ct-1),AV180=0),U180,0)</f>
        <v>0</v>
      </c>
      <c r="CA180" s="207">
        <f>IF(AND(Input_Product=Elig!$C180,Elig_MatchAll_Ct&lt;22,$BC180=(Elig_MatchAll_Ct-1),AW180=0),V180,0)</f>
        <v>0</v>
      </c>
      <c r="CB180" s="208">
        <f>IF(AND(Input_Product=Elig!$C180,Elig_MatchAll_Ct&lt;22,$BC180=(Elig_MatchAll_Ct-1),AW180=0),W180,0)</f>
        <v>0</v>
      </c>
      <c r="CC180" s="207">
        <f>IF(AND(Input_Product=Elig!$C180,Elig_MatchAll_Ct&lt;22,$BC180=(Elig_MatchAll_Ct-1),AX180=0),X180,0)</f>
        <v>0</v>
      </c>
      <c r="CD180" s="208">
        <f>IF(AND(Input_Product=Elig!$C180,Elig_MatchAll_Ct&lt;22,$BC180=(Elig_MatchAll_Ct-1),AX180=0),Y180,0)</f>
        <v>0</v>
      </c>
      <c r="CE180" s="207">
        <f>IF(AND(Input_LTV&lt;=AE180,Input_Product=Elig!$C180,Elig_MatchAll_Ct&lt;22,$BC180=(Elig_MatchAll_Ct-1),AY180=0),Z180,0)</f>
        <v>0</v>
      </c>
      <c r="CF180" s="208">
        <f>IF(AND(Input_LTV&lt;=AE180,Input_Product=Elig!$C180,Elig_MatchAll_Ct&lt;22,$BC180=(Elig_MatchAll_Ct-1),AY180=0),AA180,0)</f>
        <v>0</v>
      </c>
      <c r="CG180" s="207">
        <f>IF(AND(Input_Product=Elig!$C180,Elig_MatchAll_Ct&lt;22,$BC180=(Elig_MatchAll_Ct-1),AZ180=0),AB180,0)</f>
        <v>0</v>
      </c>
      <c r="CH180" s="208">
        <f>IF(AND(Input_Product=Elig!$C180,Elig_MatchAll_Ct&lt;22,$BC180=(Elig_MatchAll_Ct-1),AZ180=0),AC180,0)</f>
        <v>0</v>
      </c>
      <c r="CI180" s="207">
        <f>IF(AND(Input_Product=Elig!$C180,Elig_MatchAll_Ct&lt;22,$BC180=(Elig_MatchAll_Ct-1),BA180=0),AD180,0)</f>
        <v>0</v>
      </c>
      <c r="CJ180" s="209">
        <f>IF(AND(Input_Product=Elig!$C180,Elig_MatchAll_Ct&lt;22,$BC180=(Elig_MatchAll_Ct-1),BA180=0),AE180,0)</f>
        <v>0</v>
      </c>
    </row>
    <row r="181" spans="2:88" ht="10.15" customHeight="1" x14ac:dyDescent="0.25">
      <c r="B181" s="1912" t="s">
        <v>929</v>
      </c>
      <c r="C181" s="141" t="str">
        <f t="shared" si="56"/>
        <v>NonQM OO</v>
      </c>
      <c r="D181" s="142" t="s">
        <v>3885</v>
      </c>
      <c r="E181" s="143" t="s">
        <v>167</v>
      </c>
      <c r="F181" s="143" t="s">
        <v>331</v>
      </c>
      <c r="G181" s="143" t="s">
        <v>473</v>
      </c>
      <c r="H181" s="143" t="s">
        <v>136</v>
      </c>
      <c r="I181" s="142" t="s">
        <v>16</v>
      </c>
      <c r="J181" s="142" t="s">
        <v>1311</v>
      </c>
      <c r="K181" s="142" t="s">
        <v>1631</v>
      </c>
      <c r="L181" s="2131" t="s">
        <v>3920</v>
      </c>
      <c r="M181" s="143" t="s">
        <v>4203</v>
      </c>
      <c r="N181" s="143" t="s">
        <v>82</v>
      </c>
      <c r="O181" s="143" t="s">
        <v>310</v>
      </c>
      <c r="P181" s="143" t="s">
        <v>291</v>
      </c>
      <c r="Q181" s="143" t="s">
        <v>294</v>
      </c>
      <c r="R181" s="142">
        <v>1500000.01</v>
      </c>
      <c r="S181" s="142">
        <v>2000000</v>
      </c>
      <c r="T181" s="142">
        <v>0</v>
      </c>
      <c r="U181" s="142">
        <f t="shared" ref="U181:U186" si="57">S181</f>
        <v>2000000</v>
      </c>
      <c r="V181" s="142">
        <v>0</v>
      </c>
      <c r="W181" s="142">
        <v>55</v>
      </c>
      <c r="X181" s="142">
        <v>0</v>
      </c>
      <c r="Y181" s="142">
        <v>999</v>
      </c>
      <c r="Z181" s="144">
        <v>720</v>
      </c>
      <c r="AA181" s="144">
        <v>999</v>
      </c>
      <c r="AB181" s="144">
        <v>6</v>
      </c>
      <c r="AC181" s="144">
        <v>999999</v>
      </c>
      <c r="AD181" s="142">
        <v>0</v>
      </c>
      <c r="AE181" s="142">
        <v>65</v>
      </c>
      <c r="AF181" s="170">
        <v>0</v>
      </c>
      <c r="AG181" s="171">
        <v>1</v>
      </c>
      <c r="AH181" s="171">
        <v>1</v>
      </c>
      <c r="AI181" s="171">
        <v>1</v>
      </c>
      <c r="AJ181" s="171">
        <v>0</v>
      </c>
      <c r="AK181" s="171">
        <v>1</v>
      </c>
      <c r="AL181" s="171">
        <v>1</v>
      </c>
      <c r="AM181" s="171">
        <v>1</v>
      </c>
      <c r="AN181" s="171">
        <v>1</v>
      </c>
      <c r="AO181" s="171">
        <v>1</v>
      </c>
      <c r="AP181" s="171">
        <v>1</v>
      </c>
      <c r="AQ181" s="171">
        <v>1</v>
      </c>
      <c r="AR181" s="171">
        <v>1</v>
      </c>
      <c r="AS181" s="171">
        <v>1</v>
      </c>
      <c r="AT181" s="171">
        <v>1</v>
      </c>
      <c r="AU181" s="171">
        <f t="shared" si="41"/>
        <v>0</v>
      </c>
      <c r="AV181" s="171">
        <f t="shared" si="42"/>
        <v>1</v>
      </c>
      <c r="AW181" s="171">
        <f t="shared" si="43"/>
        <v>1</v>
      </c>
      <c r="AX181" s="171">
        <f t="shared" si="53"/>
        <v>1</v>
      </c>
      <c r="AY181" s="171">
        <f t="shared" si="44"/>
        <v>1</v>
      </c>
      <c r="AZ181" s="171">
        <f t="shared" si="45"/>
        <v>1</v>
      </c>
      <c r="BA181" s="172">
        <f t="shared" si="46"/>
        <v>1</v>
      </c>
      <c r="BB181" s="175">
        <f t="shared" si="47"/>
        <v>19</v>
      </c>
      <c r="BC181" s="176">
        <f t="shared" si="48"/>
        <v>18</v>
      </c>
      <c r="BD181" s="176">
        <f t="shared" si="49"/>
        <v>19</v>
      </c>
      <c r="BE181" s="240" t="str">
        <f t="shared" si="51"/>
        <v/>
      </c>
      <c r="BH181" s="192">
        <f>IF(AND(Input_Product=Elig!$C181,Elig_MatchAll_Ct&lt;22,$BC181=(Elig_MatchAll_Ct-1),AF181=0),C181,0)</f>
        <v>0</v>
      </c>
      <c r="BI181" s="193">
        <f>IF(AND(Input_Product=Elig!$C181,Elig_MatchAll_Ct&lt;22,$BC181=(Elig_MatchAll_Ct-1),AG181=0),D181,0)</f>
        <v>0</v>
      </c>
      <c r="BJ181" s="193">
        <f>IF(AND(Input_Product=Elig!$C181,Elig_MatchAll_Ct&lt;22,$BC181=(Elig_MatchAll_Ct-1),AH181=0),E181,0)</f>
        <v>0</v>
      </c>
      <c r="BK181" s="193">
        <f>IF(AND(Input_Product=Elig!$C181,Elig_MatchAll_Ct&lt;22,$BC181=(Elig_MatchAll_Ct-1),AI181=0),F181,0)</f>
        <v>0</v>
      </c>
      <c r="BL181" s="193">
        <f>IF(AND(Input_Product=Elig!$C181,Elig_MatchAll_Ct&lt;22,$BC181=(Elig_MatchAll_Ct-1),AJ181=0),G181,0)</f>
        <v>0</v>
      </c>
      <c r="BM181" s="193">
        <f>IF(AND(Input_Product=Elig!$C181,Elig_MatchAll_Ct&lt;22,$BC181=(Elig_MatchAll_Ct-1),AK181=0),H181,0)</f>
        <v>0</v>
      </c>
      <c r="BN181" s="193">
        <f>IF(AND(Input_Product=Elig!$C181,Elig_MatchAll_Ct&lt;22,$BC181=(Elig_MatchAll_Ct-1),AL181=0),I181,0)</f>
        <v>0</v>
      </c>
      <c r="BO181" s="193">
        <f>IF(AND(Input_Product=Elig!$C181,Elig_MatchAll_Ct&lt;22,$BC181=(Elig_MatchAll_Ct-1),AM181=0),J181,0)</f>
        <v>0</v>
      </c>
      <c r="BP181" s="193">
        <f>IF(AND(Input_Product=Elig!$C181,Elig_MatchAll_Ct&lt;22,$BC181=(Elig_MatchAll_Ct-1),AN181=0),K181,0)</f>
        <v>0</v>
      </c>
      <c r="BQ181" s="193">
        <f>IF(AND(Input_Product=Elig!$C181,Elig_MatchAll_Ct&lt;22,$BC181=(Elig_MatchAll_Ct-1),AP181=0),L181,0)</f>
        <v>0</v>
      </c>
      <c r="BR181" s="193">
        <f>IF(AND(Input_Product=Elig!$C181,Elig_MatchAll_Ct&lt;22,$BC181=(Elig_MatchAll_Ct-1),AO181=0),M181,0)</f>
        <v>0</v>
      </c>
      <c r="BS181" s="193">
        <f>IF(AND(Input_Product=Elig!$C181,Elig_MatchAll_Ct&lt;22,$BC181=(Elig_MatchAll_Ct-1),AQ181=0),N181,0)</f>
        <v>0</v>
      </c>
      <c r="BT181" s="193">
        <f>IF(AND(Input_Product=Elig!$C181,Elig_MatchAll_Ct&lt;22,$BC181=(Elig_MatchAll_Ct-1),AR181=0),O181,0)</f>
        <v>0</v>
      </c>
      <c r="BU181" s="193">
        <f>IF(AND(Input_Product=Elig!$C181,Elig_MatchAll_Ct&lt;22,$BC181=(Elig_MatchAll_Ct-1),AS181=0),P181,0)</f>
        <v>0</v>
      </c>
      <c r="BV181" s="194">
        <f>IF(AND(Input_Product=Elig!$C181,Elig_MatchAll_Ct&lt;22,$BC181=(Elig_MatchAll_Ct-1),AT181=0),Q181,0)</f>
        <v>0</v>
      </c>
      <c r="BW181" s="195">
        <f>IF(AND(Input_Product=Elig!$C181,Elig_MatchAll_Ct&lt;22,$BC181=(Elig_MatchAll_Ct-1),AU181=0),R181,0)</f>
        <v>0</v>
      </c>
      <c r="BX181" s="196">
        <f>IF(AND(Input_Product=Elig!$C181,Elig_MatchAll_Ct&lt;22,$BC181=(Elig_MatchAll_Ct-1),AU181=0),S181,0)</f>
        <v>0</v>
      </c>
      <c r="BY181" s="195">
        <f>IF(AND(Input_Product=Elig!$C181,Elig_MatchAll_Ct&lt;22,$BC181=(Elig_MatchAll_Ct-1),AV181=0),T181,0)</f>
        <v>0</v>
      </c>
      <c r="BZ181" s="196">
        <f>IF(AND(Input_Product=Elig!$C181,Elig_MatchAll_Ct&lt;22,$BC181=(Elig_MatchAll_Ct-1),AV181=0),U181,0)</f>
        <v>0</v>
      </c>
      <c r="CA181" s="195">
        <f>IF(AND(Input_Product=Elig!$C181,Elig_MatchAll_Ct&lt;22,$BC181=(Elig_MatchAll_Ct-1),AW181=0),V181,0)</f>
        <v>0</v>
      </c>
      <c r="CB181" s="196">
        <f>IF(AND(Input_Product=Elig!$C181,Elig_MatchAll_Ct&lt;22,$BC181=(Elig_MatchAll_Ct-1),AW181=0),W181,0)</f>
        <v>0</v>
      </c>
      <c r="CC181" s="195">
        <f>IF(AND(Input_Product=Elig!$C181,Elig_MatchAll_Ct&lt;22,$BC181=(Elig_MatchAll_Ct-1),AX181=0),X181,0)</f>
        <v>0</v>
      </c>
      <c r="CD181" s="196">
        <f>IF(AND(Input_Product=Elig!$C181,Elig_MatchAll_Ct&lt;22,$BC181=(Elig_MatchAll_Ct-1),AX181=0),Y181,0)</f>
        <v>0</v>
      </c>
      <c r="CE181" s="195">
        <f>IF(AND(Input_LTV&lt;=AE181,Input_Product=Elig!$C181,Elig_MatchAll_Ct&lt;22,$BC181=(Elig_MatchAll_Ct-1),AY181=0),Z181,0)</f>
        <v>0</v>
      </c>
      <c r="CF181" s="196">
        <f>IF(AND(Input_LTV&lt;=AE181,Input_Product=Elig!$C181,Elig_MatchAll_Ct&lt;22,$BC181=(Elig_MatchAll_Ct-1),AY181=0),AA181,0)</f>
        <v>0</v>
      </c>
      <c r="CG181" s="195">
        <f>IF(AND(Input_Product=Elig!$C181,Elig_MatchAll_Ct&lt;22,$BC181=(Elig_MatchAll_Ct-1),AZ181=0),AB181,0)</f>
        <v>0</v>
      </c>
      <c r="CH181" s="196">
        <f>IF(AND(Input_Product=Elig!$C181,Elig_MatchAll_Ct&lt;22,$BC181=(Elig_MatchAll_Ct-1),AZ181=0),AC181,0)</f>
        <v>0</v>
      </c>
      <c r="CI181" s="195">
        <f>IF(AND(Input_Product=Elig!$C181,Elig_MatchAll_Ct&lt;22,$BC181=(Elig_MatchAll_Ct-1),BA181=0),AD181,0)</f>
        <v>0</v>
      </c>
      <c r="CJ181" s="197">
        <f>IF(AND(Input_Product=Elig!$C181,Elig_MatchAll_Ct&lt;22,$BC181=(Elig_MatchAll_Ct-1),BA181=0),AE181,0)</f>
        <v>0</v>
      </c>
    </row>
    <row r="182" spans="2:88" ht="10.15" customHeight="1" x14ac:dyDescent="0.25">
      <c r="B182" s="1912" t="s">
        <v>930</v>
      </c>
      <c r="C182" s="134" t="str">
        <f t="shared" si="56"/>
        <v>NonQM OO</v>
      </c>
      <c r="D182" s="135" t="s">
        <v>3885</v>
      </c>
      <c r="E182" s="135" t="s">
        <v>167</v>
      </c>
      <c r="F182" s="135" t="s">
        <v>331</v>
      </c>
      <c r="G182" s="135" t="s">
        <v>473</v>
      </c>
      <c r="H182" s="135" t="s">
        <v>136</v>
      </c>
      <c r="I182" s="136" t="s">
        <v>16</v>
      </c>
      <c r="J182" s="136" t="s">
        <v>1311</v>
      </c>
      <c r="K182" s="136" t="s">
        <v>1631</v>
      </c>
      <c r="L182" s="221" t="s">
        <v>3920</v>
      </c>
      <c r="M182" s="135" t="s">
        <v>4203</v>
      </c>
      <c r="N182" s="135" t="s">
        <v>82</v>
      </c>
      <c r="O182" s="135" t="s">
        <v>310</v>
      </c>
      <c r="P182" s="135" t="s">
        <v>291</v>
      </c>
      <c r="Q182" s="135" t="s">
        <v>294</v>
      </c>
      <c r="R182" s="135">
        <v>1500000.01</v>
      </c>
      <c r="S182" s="135">
        <v>2000000</v>
      </c>
      <c r="T182" s="135">
        <v>0</v>
      </c>
      <c r="U182" s="135">
        <f t="shared" si="57"/>
        <v>2000000</v>
      </c>
      <c r="V182" s="135">
        <v>0</v>
      </c>
      <c r="W182" s="135">
        <v>55</v>
      </c>
      <c r="X182" s="135">
        <v>0</v>
      </c>
      <c r="Y182" s="135">
        <v>999</v>
      </c>
      <c r="Z182" s="137">
        <v>700</v>
      </c>
      <c r="AA182" s="137">
        <v>719</v>
      </c>
      <c r="AB182" s="137">
        <v>6</v>
      </c>
      <c r="AC182" s="137">
        <v>999999</v>
      </c>
      <c r="AD182" s="135">
        <v>0</v>
      </c>
      <c r="AE182" s="135">
        <v>65</v>
      </c>
      <c r="AF182" s="170">
        <v>0</v>
      </c>
      <c r="AG182" s="171">
        <v>1</v>
      </c>
      <c r="AH182" s="171">
        <v>1</v>
      </c>
      <c r="AI182" s="171">
        <v>1</v>
      </c>
      <c r="AJ182" s="171">
        <v>0</v>
      </c>
      <c r="AK182" s="171">
        <v>1</v>
      </c>
      <c r="AL182" s="171">
        <v>1</v>
      </c>
      <c r="AM182" s="171">
        <v>1</v>
      </c>
      <c r="AN182" s="171">
        <v>1</v>
      </c>
      <c r="AO182" s="171">
        <v>1</v>
      </c>
      <c r="AP182" s="171">
        <v>1</v>
      </c>
      <c r="AQ182" s="171">
        <v>1</v>
      </c>
      <c r="AR182" s="171">
        <v>1</v>
      </c>
      <c r="AS182" s="171">
        <v>1</v>
      </c>
      <c r="AT182" s="171">
        <v>1</v>
      </c>
      <c r="AU182" s="171">
        <f t="shared" si="41"/>
        <v>0</v>
      </c>
      <c r="AV182" s="171">
        <f t="shared" si="42"/>
        <v>1</v>
      </c>
      <c r="AW182" s="171">
        <f t="shared" si="43"/>
        <v>1</v>
      </c>
      <c r="AX182" s="171">
        <f t="shared" si="53"/>
        <v>1</v>
      </c>
      <c r="AY182" s="171">
        <f t="shared" si="44"/>
        <v>0</v>
      </c>
      <c r="AZ182" s="171">
        <f t="shared" si="45"/>
        <v>1</v>
      </c>
      <c r="BA182" s="172">
        <f t="shared" si="46"/>
        <v>1</v>
      </c>
      <c r="BB182" s="175">
        <f t="shared" si="47"/>
        <v>18</v>
      </c>
      <c r="BC182" s="176">
        <f t="shared" si="48"/>
        <v>17</v>
      </c>
      <c r="BD182" s="176">
        <f t="shared" si="49"/>
        <v>18</v>
      </c>
      <c r="BE182" s="240" t="str">
        <f t="shared" si="51"/>
        <v/>
      </c>
      <c r="BH182" s="198">
        <f>IF(AND(Input_Product=Elig!$C182,Elig_MatchAll_Ct&lt;22,$BC182=(Elig_MatchAll_Ct-1),AF182=0),C182,0)</f>
        <v>0</v>
      </c>
      <c r="BI182" s="199">
        <f>IF(AND(Input_Product=Elig!$C182,Elig_MatchAll_Ct&lt;22,$BC182=(Elig_MatchAll_Ct-1),AG182=0),D182,0)</f>
        <v>0</v>
      </c>
      <c r="BJ182" s="199">
        <f>IF(AND(Input_Product=Elig!$C182,Elig_MatchAll_Ct&lt;22,$BC182=(Elig_MatchAll_Ct-1),AH182=0),E182,0)</f>
        <v>0</v>
      </c>
      <c r="BK182" s="199">
        <f>IF(AND(Input_Product=Elig!$C182,Elig_MatchAll_Ct&lt;22,$BC182=(Elig_MatchAll_Ct-1),AI182=0),F182,0)</f>
        <v>0</v>
      </c>
      <c r="BL182" s="199">
        <f>IF(AND(Input_Product=Elig!$C182,Elig_MatchAll_Ct&lt;22,$BC182=(Elig_MatchAll_Ct-1),AJ182=0),G182,0)</f>
        <v>0</v>
      </c>
      <c r="BM182" s="199">
        <f>IF(AND(Input_Product=Elig!$C182,Elig_MatchAll_Ct&lt;22,$BC182=(Elig_MatchAll_Ct-1),AK182=0),H182,0)</f>
        <v>0</v>
      </c>
      <c r="BN182" s="199">
        <f>IF(AND(Input_Product=Elig!$C182,Elig_MatchAll_Ct&lt;22,$BC182=(Elig_MatchAll_Ct-1),AL182=0),I182,0)</f>
        <v>0</v>
      </c>
      <c r="BO182" s="199">
        <f>IF(AND(Input_Product=Elig!$C182,Elig_MatchAll_Ct&lt;22,$BC182=(Elig_MatchAll_Ct-1),AM182=0),J182,0)</f>
        <v>0</v>
      </c>
      <c r="BP182" s="199">
        <f>IF(AND(Input_Product=Elig!$C182,Elig_MatchAll_Ct&lt;22,$BC182=(Elig_MatchAll_Ct-1),AN182=0),K182,0)</f>
        <v>0</v>
      </c>
      <c r="BQ182" s="199">
        <f>IF(AND(Input_Product=Elig!$C182,Elig_MatchAll_Ct&lt;22,$BC182=(Elig_MatchAll_Ct-1),AP182=0),L182,0)</f>
        <v>0</v>
      </c>
      <c r="BR182" s="199">
        <f>IF(AND(Input_Product=Elig!$C182,Elig_MatchAll_Ct&lt;22,$BC182=(Elig_MatchAll_Ct-1),AO182=0),M182,0)</f>
        <v>0</v>
      </c>
      <c r="BS182" s="199">
        <f>IF(AND(Input_Product=Elig!$C182,Elig_MatchAll_Ct&lt;22,$BC182=(Elig_MatchAll_Ct-1),AQ182=0),N182,0)</f>
        <v>0</v>
      </c>
      <c r="BT182" s="199">
        <f>IF(AND(Input_Product=Elig!$C182,Elig_MatchAll_Ct&lt;22,$BC182=(Elig_MatchAll_Ct-1),AR182=0),O182,0)</f>
        <v>0</v>
      </c>
      <c r="BU182" s="199">
        <f>IF(AND(Input_Product=Elig!$C182,Elig_MatchAll_Ct&lt;22,$BC182=(Elig_MatchAll_Ct-1),AS182=0),P182,0)</f>
        <v>0</v>
      </c>
      <c r="BV182" s="200">
        <f>IF(AND(Input_Product=Elig!$C182,Elig_MatchAll_Ct&lt;22,$BC182=(Elig_MatchAll_Ct-1),AT182=0),Q182,0)</f>
        <v>0</v>
      </c>
      <c r="BW182" s="201">
        <f>IF(AND(Input_Product=Elig!$C182,Elig_MatchAll_Ct&lt;22,$BC182=(Elig_MatchAll_Ct-1),AU182=0),R182,0)</f>
        <v>0</v>
      </c>
      <c r="BX182" s="202">
        <f>IF(AND(Input_Product=Elig!$C182,Elig_MatchAll_Ct&lt;22,$BC182=(Elig_MatchAll_Ct-1),AU182=0),S182,0)</f>
        <v>0</v>
      </c>
      <c r="BY182" s="201">
        <f>IF(AND(Input_Product=Elig!$C182,Elig_MatchAll_Ct&lt;22,$BC182=(Elig_MatchAll_Ct-1),AV182=0),T182,0)</f>
        <v>0</v>
      </c>
      <c r="BZ182" s="202">
        <f>IF(AND(Input_Product=Elig!$C182,Elig_MatchAll_Ct&lt;22,$BC182=(Elig_MatchAll_Ct-1),AV182=0),U182,0)</f>
        <v>0</v>
      </c>
      <c r="CA182" s="201">
        <f>IF(AND(Input_Product=Elig!$C182,Elig_MatchAll_Ct&lt;22,$BC182=(Elig_MatchAll_Ct-1),AW182=0),V182,0)</f>
        <v>0</v>
      </c>
      <c r="CB182" s="202">
        <f>IF(AND(Input_Product=Elig!$C182,Elig_MatchAll_Ct&lt;22,$BC182=(Elig_MatchAll_Ct-1),AW182=0),W182,0)</f>
        <v>0</v>
      </c>
      <c r="CC182" s="201">
        <f>IF(AND(Input_Product=Elig!$C182,Elig_MatchAll_Ct&lt;22,$BC182=(Elig_MatchAll_Ct-1),AX182=0),X182,0)</f>
        <v>0</v>
      </c>
      <c r="CD182" s="202">
        <f>IF(AND(Input_Product=Elig!$C182,Elig_MatchAll_Ct&lt;22,$BC182=(Elig_MatchAll_Ct-1),AX182=0),Y182,0)</f>
        <v>0</v>
      </c>
      <c r="CE182" s="201">
        <f>IF(AND(Input_LTV&lt;=AE182,Input_Product=Elig!$C182,Elig_MatchAll_Ct&lt;22,$BC182=(Elig_MatchAll_Ct-1),AY182=0),Z182,0)</f>
        <v>0</v>
      </c>
      <c r="CF182" s="202">
        <f>IF(AND(Input_LTV&lt;=AE182,Input_Product=Elig!$C182,Elig_MatchAll_Ct&lt;22,$BC182=(Elig_MatchAll_Ct-1),AY182=0),AA182,0)</f>
        <v>0</v>
      </c>
      <c r="CG182" s="201">
        <f>IF(AND(Input_Product=Elig!$C182,Elig_MatchAll_Ct&lt;22,$BC182=(Elig_MatchAll_Ct-1),AZ182=0),AB182,0)</f>
        <v>0</v>
      </c>
      <c r="CH182" s="202">
        <f>IF(AND(Input_Product=Elig!$C182,Elig_MatchAll_Ct&lt;22,$BC182=(Elig_MatchAll_Ct-1),AZ182=0),AC182,0)</f>
        <v>0</v>
      </c>
      <c r="CI182" s="201">
        <f>IF(AND(Input_Product=Elig!$C182,Elig_MatchAll_Ct&lt;22,$BC182=(Elig_MatchAll_Ct-1),BA182=0),AD182,0)</f>
        <v>0</v>
      </c>
      <c r="CJ182" s="203">
        <f>IF(AND(Input_Product=Elig!$C182,Elig_MatchAll_Ct&lt;22,$BC182=(Elig_MatchAll_Ct-1),BA182=0),AE182,0)</f>
        <v>0</v>
      </c>
    </row>
    <row r="183" spans="2:88" ht="10.15" customHeight="1" x14ac:dyDescent="0.25">
      <c r="B183" s="1912" t="s">
        <v>931</v>
      </c>
      <c r="C183" s="134" t="str">
        <f t="shared" si="56"/>
        <v>NonQM OO</v>
      </c>
      <c r="D183" s="135" t="s">
        <v>3885</v>
      </c>
      <c r="E183" s="135" t="s">
        <v>167</v>
      </c>
      <c r="F183" s="135" t="s">
        <v>331</v>
      </c>
      <c r="G183" s="135" t="s">
        <v>473</v>
      </c>
      <c r="H183" s="135" t="s">
        <v>136</v>
      </c>
      <c r="I183" s="136" t="s">
        <v>16</v>
      </c>
      <c r="J183" s="136" t="s">
        <v>1311</v>
      </c>
      <c r="K183" s="136" t="s">
        <v>1631</v>
      </c>
      <c r="L183" s="221" t="s">
        <v>3920</v>
      </c>
      <c r="M183" s="135" t="s">
        <v>4203</v>
      </c>
      <c r="N183" s="135" t="s">
        <v>82</v>
      </c>
      <c r="O183" s="135" t="s">
        <v>310</v>
      </c>
      <c r="P183" s="135" t="s">
        <v>291</v>
      </c>
      <c r="Q183" s="135" t="s">
        <v>294</v>
      </c>
      <c r="R183" s="135">
        <v>1500000.01</v>
      </c>
      <c r="S183" s="135">
        <v>2000000</v>
      </c>
      <c r="T183" s="135">
        <v>0</v>
      </c>
      <c r="U183" s="135">
        <f t="shared" si="57"/>
        <v>2000000</v>
      </c>
      <c r="V183" s="135">
        <v>0</v>
      </c>
      <c r="W183" s="135">
        <v>55</v>
      </c>
      <c r="X183" s="135">
        <v>0</v>
      </c>
      <c r="Y183" s="135">
        <v>999</v>
      </c>
      <c r="Z183" s="137">
        <v>680</v>
      </c>
      <c r="AA183" s="137">
        <v>699</v>
      </c>
      <c r="AB183" s="137">
        <v>6</v>
      </c>
      <c r="AC183" s="137">
        <v>999999</v>
      </c>
      <c r="AD183" s="135">
        <v>0</v>
      </c>
      <c r="AE183" s="135">
        <v>65</v>
      </c>
      <c r="AF183" s="170">
        <v>0</v>
      </c>
      <c r="AG183" s="171">
        <v>1</v>
      </c>
      <c r="AH183" s="171">
        <v>1</v>
      </c>
      <c r="AI183" s="171">
        <v>1</v>
      </c>
      <c r="AJ183" s="171">
        <v>0</v>
      </c>
      <c r="AK183" s="171">
        <v>1</v>
      </c>
      <c r="AL183" s="171">
        <v>1</v>
      </c>
      <c r="AM183" s="171">
        <v>1</v>
      </c>
      <c r="AN183" s="171">
        <v>1</v>
      </c>
      <c r="AO183" s="171">
        <v>1</v>
      </c>
      <c r="AP183" s="171">
        <v>1</v>
      </c>
      <c r="AQ183" s="171">
        <v>1</v>
      </c>
      <c r="AR183" s="171">
        <v>1</v>
      </c>
      <c r="AS183" s="171">
        <v>1</v>
      </c>
      <c r="AT183" s="171">
        <v>1</v>
      </c>
      <c r="AU183" s="171">
        <f t="shared" si="41"/>
        <v>0</v>
      </c>
      <c r="AV183" s="171">
        <f t="shared" si="42"/>
        <v>1</v>
      </c>
      <c r="AW183" s="171">
        <f t="shared" si="43"/>
        <v>1</v>
      </c>
      <c r="AX183" s="171">
        <f t="shared" si="53"/>
        <v>1</v>
      </c>
      <c r="AY183" s="171">
        <f t="shared" si="44"/>
        <v>0</v>
      </c>
      <c r="AZ183" s="171">
        <f t="shared" si="45"/>
        <v>1</v>
      </c>
      <c r="BA183" s="172">
        <f t="shared" si="46"/>
        <v>1</v>
      </c>
      <c r="BB183" s="175">
        <f t="shared" si="47"/>
        <v>18</v>
      </c>
      <c r="BC183" s="176">
        <f t="shared" si="48"/>
        <v>17</v>
      </c>
      <c r="BD183" s="176">
        <f t="shared" si="49"/>
        <v>18</v>
      </c>
      <c r="BE183" s="240" t="str">
        <f t="shared" si="51"/>
        <v/>
      </c>
      <c r="BH183" s="198">
        <f>IF(AND(Input_Product=Elig!$C183,Elig_MatchAll_Ct&lt;22,$BC183=(Elig_MatchAll_Ct-1),AF183=0),C183,0)</f>
        <v>0</v>
      </c>
      <c r="BI183" s="199">
        <f>IF(AND(Input_Product=Elig!$C183,Elig_MatchAll_Ct&lt;22,$BC183=(Elig_MatchAll_Ct-1),AG183=0),D183,0)</f>
        <v>0</v>
      </c>
      <c r="BJ183" s="199">
        <f>IF(AND(Input_Product=Elig!$C183,Elig_MatchAll_Ct&lt;22,$BC183=(Elig_MatchAll_Ct-1),AH183=0),E183,0)</f>
        <v>0</v>
      </c>
      <c r="BK183" s="199">
        <f>IF(AND(Input_Product=Elig!$C183,Elig_MatchAll_Ct&lt;22,$BC183=(Elig_MatchAll_Ct-1),AI183=0),F183,0)</f>
        <v>0</v>
      </c>
      <c r="BL183" s="199">
        <f>IF(AND(Input_Product=Elig!$C183,Elig_MatchAll_Ct&lt;22,$BC183=(Elig_MatchAll_Ct-1),AJ183=0),G183,0)</f>
        <v>0</v>
      </c>
      <c r="BM183" s="199">
        <f>IF(AND(Input_Product=Elig!$C183,Elig_MatchAll_Ct&lt;22,$BC183=(Elig_MatchAll_Ct-1),AK183=0),H183,0)</f>
        <v>0</v>
      </c>
      <c r="BN183" s="199">
        <f>IF(AND(Input_Product=Elig!$C183,Elig_MatchAll_Ct&lt;22,$BC183=(Elig_MatchAll_Ct-1),AL183=0),I183,0)</f>
        <v>0</v>
      </c>
      <c r="BO183" s="199">
        <f>IF(AND(Input_Product=Elig!$C183,Elig_MatchAll_Ct&lt;22,$BC183=(Elig_MatchAll_Ct-1),AM183=0),J183,0)</f>
        <v>0</v>
      </c>
      <c r="BP183" s="199">
        <f>IF(AND(Input_Product=Elig!$C183,Elig_MatchAll_Ct&lt;22,$BC183=(Elig_MatchAll_Ct-1),AN183=0),K183,0)</f>
        <v>0</v>
      </c>
      <c r="BQ183" s="199">
        <f>IF(AND(Input_Product=Elig!$C183,Elig_MatchAll_Ct&lt;22,$BC183=(Elig_MatchAll_Ct-1),AP183=0),L183,0)</f>
        <v>0</v>
      </c>
      <c r="BR183" s="199">
        <f>IF(AND(Input_Product=Elig!$C183,Elig_MatchAll_Ct&lt;22,$BC183=(Elig_MatchAll_Ct-1),AO183=0),M183,0)</f>
        <v>0</v>
      </c>
      <c r="BS183" s="199">
        <f>IF(AND(Input_Product=Elig!$C183,Elig_MatchAll_Ct&lt;22,$BC183=(Elig_MatchAll_Ct-1),AQ183=0),N183,0)</f>
        <v>0</v>
      </c>
      <c r="BT183" s="199">
        <f>IF(AND(Input_Product=Elig!$C183,Elig_MatchAll_Ct&lt;22,$BC183=(Elig_MatchAll_Ct-1),AR183=0),O183,0)</f>
        <v>0</v>
      </c>
      <c r="BU183" s="199">
        <f>IF(AND(Input_Product=Elig!$C183,Elig_MatchAll_Ct&lt;22,$BC183=(Elig_MatchAll_Ct-1),AS183=0),P183,0)</f>
        <v>0</v>
      </c>
      <c r="BV183" s="200">
        <f>IF(AND(Input_Product=Elig!$C183,Elig_MatchAll_Ct&lt;22,$BC183=(Elig_MatchAll_Ct-1),AT183=0),Q183,0)</f>
        <v>0</v>
      </c>
      <c r="BW183" s="201">
        <f>IF(AND(Input_Product=Elig!$C183,Elig_MatchAll_Ct&lt;22,$BC183=(Elig_MatchAll_Ct-1),AU183=0),R183,0)</f>
        <v>0</v>
      </c>
      <c r="BX183" s="202">
        <f>IF(AND(Input_Product=Elig!$C183,Elig_MatchAll_Ct&lt;22,$BC183=(Elig_MatchAll_Ct-1),AU183=0),S183,0)</f>
        <v>0</v>
      </c>
      <c r="BY183" s="201">
        <f>IF(AND(Input_Product=Elig!$C183,Elig_MatchAll_Ct&lt;22,$BC183=(Elig_MatchAll_Ct-1),AV183=0),T183,0)</f>
        <v>0</v>
      </c>
      <c r="BZ183" s="202">
        <f>IF(AND(Input_Product=Elig!$C183,Elig_MatchAll_Ct&lt;22,$BC183=(Elig_MatchAll_Ct-1),AV183=0),U183,0)</f>
        <v>0</v>
      </c>
      <c r="CA183" s="201">
        <f>IF(AND(Input_Product=Elig!$C183,Elig_MatchAll_Ct&lt;22,$BC183=(Elig_MatchAll_Ct-1),AW183=0),V183,0)</f>
        <v>0</v>
      </c>
      <c r="CB183" s="202">
        <f>IF(AND(Input_Product=Elig!$C183,Elig_MatchAll_Ct&lt;22,$BC183=(Elig_MatchAll_Ct-1),AW183=0),W183,0)</f>
        <v>0</v>
      </c>
      <c r="CC183" s="201">
        <f>IF(AND(Input_Product=Elig!$C183,Elig_MatchAll_Ct&lt;22,$BC183=(Elig_MatchAll_Ct-1),AX183=0),X183,0)</f>
        <v>0</v>
      </c>
      <c r="CD183" s="202">
        <f>IF(AND(Input_Product=Elig!$C183,Elig_MatchAll_Ct&lt;22,$BC183=(Elig_MatchAll_Ct-1),AX183=0),Y183,0)</f>
        <v>0</v>
      </c>
      <c r="CE183" s="201">
        <f>IF(AND(Input_LTV&lt;=AE183,Input_Product=Elig!$C183,Elig_MatchAll_Ct&lt;22,$BC183=(Elig_MatchAll_Ct-1),AY183=0),Z183,0)</f>
        <v>0</v>
      </c>
      <c r="CF183" s="202">
        <f>IF(AND(Input_LTV&lt;=AE183,Input_Product=Elig!$C183,Elig_MatchAll_Ct&lt;22,$BC183=(Elig_MatchAll_Ct-1),AY183=0),AA183,0)</f>
        <v>0</v>
      </c>
      <c r="CG183" s="201">
        <f>IF(AND(Input_Product=Elig!$C183,Elig_MatchAll_Ct&lt;22,$BC183=(Elig_MatchAll_Ct-1),AZ183=0),AB183,0)</f>
        <v>0</v>
      </c>
      <c r="CH183" s="202">
        <f>IF(AND(Input_Product=Elig!$C183,Elig_MatchAll_Ct&lt;22,$BC183=(Elig_MatchAll_Ct-1),AZ183=0),AC183,0)</f>
        <v>0</v>
      </c>
      <c r="CI183" s="201">
        <f>IF(AND(Input_Product=Elig!$C183,Elig_MatchAll_Ct&lt;22,$BC183=(Elig_MatchAll_Ct-1),BA183=0),AD183,0)</f>
        <v>0</v>
      </c>
      <c r="CJ183" s="203">
        <f>IF(AND(Input_Product=Elig!$C183,Elig_MatchAll_Ct&lt;22,$BC183=(Elig_MatchAll_Ct-1),BA183=0),AE183,0)</f>
        <v>0</v>
      </c>
    </row>
    <row r="184" spans="2:88" ht="10.15" customHeight="1" x14ac:dyDescent="0.25">
      <c r="B184" s="1912" t="s">
        <v>932</v>
      </c>
      <c r="C184" s="134" t="str">
        <f t="shared" si="56"/>
        <v>NonQM OO</v>
      </c>
      <c r="D184" s="135" t="s">
        <v>3885</v>
      </c>
      <c r="E184" s="135" t="s">
        <v>167</v>
      </c>
      <c r="F184" s="135" t="s">
        <v>331</v>
      </c>
      <c r="G184" s="135" t="s">
        <v>473</v>
      </c>
      <c r="H184" s="135" t="s">
        <v>136</v>
      </c>
      <c r="I184" s="135" t="s">
        <v>16</v>
      </c>
      <c r="J184" s="135" t="s">
        <v>1311</v>
      </c>
      <c r="K184" s="135" t="s">
        <v>1631</v>
      </c>
      <c r="L184" s="221" t="s">
        <v>3920</v>
      </c>
      <c r="M184" s="135" t="s">
        <v>4203</v>
      </c>
      <c r="N184" s="135" t="s">
        <v>82</v>
      </c>
      <c r="O184" s="135" t="s">
        <v>310</v>
      </c>
      <c r="P184" s="135" t="s">
        <v>291</v>
      </c>
      <c r="Q184" s="135" t="s">
        <v>294</v>
      </c>
      <c r="R184" s="135">
        <v>1500000.01</v>
      </c>
      <c r="S184" s="135">
        <v>2000000</v>
      </c>
      <c r="T184" s="135">
        <v>0</v>
      </c>
      <c r="U184" s="135">
        <f t="shared" si="57"/>
        <v>2000000</v>
      </c>
      <c r="V184" s="135">
        <v>0</v>
      </c>
      <c r="W184" s="135">
        <v>55</v>
      </c>
      <c r="X184" s="135">
        <v>0</v>
      </c>
      <c r="Y184" s="135">
        <v>999</v>
      </c>
      <c r="Z184" s="137">
        <v>660</v>
      </c>
      <c r="AA184" s="137">
        <v>679</v>
      </c>
      <c r="AB184" s="137">
        <v>6</v>
      </c>
      <c r="AC184" s="137">
        <v>999999</v>
      </c>
      <c r="AD184" s="135">
        <v>0</v>
      </c>
      <c r="AE184" s="135">
        <v>65</v>
      </c>
      <c r="AF184" s="170">
        <v>0</v>
      </c>
      <c r="AG184" s="171">
        <v>1</v>
      </c>
      <c r="AH184" s="171">
        <v>1</v>
      </c>
      <c r="AI184" s="171">
        <v>1</v>
      </c>
      <c r="AJ184" s="171">
        <v>0</v>
      </c>
      <c r="AK184" s="171">
        <v>1</v>
      </c>
      <c r="AL184" s="171">
        <v>1</v>
      </c>
      <c r="AM184" s="171">
        <v>1</v>
      </c>
      <c r="AN184" s="171">
        <v>1</v>
      </c>
      <c r="AO184" s="171">
        <v>1</v>
      </c>
      <c r="AP184" s="171">
        <v>1</v>
      </c>
      <c r="AQ184" s="171">
        <v>1</v>
      </c>
      <c r="AR184" s="171">
        <v>1</v>
      </c>
      <c r="AS184" s="171">
        <v>1</v>
      </c>
      <c r="AT184" s="171">
        <v>1</v>
      </c>
      <c r="AU184" s="171">
        <f t="shared" si="41"/>
        <v>0</v>
      </c>
      <c r="AV184" s="171">
        <f t="shared" si="42"/>
        <v>1</v>
      </c>
      <c r="AW184" s="171">
        <f t="shared" si="43"/>
        <v>1</v>
      </c>
      <c r="AX184" s="171">
        <f t="shared" si="53"/>
        <v>1</v>
      </c>
      <c r="AY184" s="171">
        <f t="shared" si="44"/>
        <v>0</v>
      </c>
      <c r="AZ184" s="171">
        <f t="shared" si="45"/>
        <v>1</v>
      </c>
      <c r="BA184" s="172">
        <f t="shared" si="46"/>
        <v>1</v>
      </c>
      <c r="BB184" s="175">
        <f t="shared" si="47"/>
        <v>18</v>
      </c>
      <c r="BC184" s="176">
        <f t="shared" si="48"/>
        <v>17</v>
      </c>
      <c r="BD184" s="176">
        <f t="shared" si="49"/>
        <v>18</v>
      </c>
      <c r="BE184" s="240" t="str">
        <f t="shared" si="51"/>
        <v/>
      </c>
      <c r="BH184" s="198">
        <f>IF(AND(Input_Product=Elig!$C184,Elig_MatchAll_Ct&lt;22,$BC184=(Elig_MatchAll_Ct-1),AF184=0),C184,0)</f>
        <v>0</v>
      </c>
      <c r="BI184" s="199">
        <f>IF(AND(Input_Product=Elig!$C184,Elig_MatchAll_Ct&lt;22,$BC184=(Elig_MatchAll_Ct-1),AG184=0),D184,0)</f>
        <v>0</v>
      </c>
      <c r="BJ184" s="199">
        <f>IF(AND(Input_Product=Elig!$C184,Elig_MatchAll_Ct&lt;22,$BC184=(Elig_MatchAll_Ct-1),AH184=0),E184,0)</f>
        <v>0</v>
      </c>
      <c r="BK184" s="199">
        <f>IF(AND(Input_Product=Elig!$C184,Elig_MatchAll_Ct&lt;22,$BC184=(Elig_MatchAll_Ct-1),AI184=0),F184,0)</f>
        <v>0</v>
      </c>
      <c r="BL184" s="199">
        <f>IF(AND(Input_Product=Elig!$C184,Elig_MatchAll_Ct&lt;22,$BC184=(Elig_MatchAll_Ct-1),AJ184=0),G184,0)</f>
        <v>0</v>
      </c>
      <c r="BM184" s="199">
        <f>IF(AND(Input_Product=Elig!$C184,Elig_MatchAll_Ct&lt;22,$BC184=(Elig_MatchAll_Ct-1),AK184=0),H184,0)</f>
        <v>0</v>
      </c>
      <c r="BN184" s="199">
        <f>IF(AND(Input_Product=Elig!$C184,Elig_MatchAll_Ct&lt;22,$BC184=(Elig_MatchAll_Ct-1),AL184=0),I184,0)</f>
        <v>0</v>
      </c>
      <c r="BO184" s="199">
        <f>IF(AND(Input_Product=Elig!$C184,Elig_MatchAll_Ct&lt;22,$BC184=(Elig_MatchAll_Ct-1),AM184=0),J184,0)</f>
        <v>0</v>
      </c>
      <c r="BP184" s="199">
        <f>IF(AND(Input_Product=Elig!$C184,Elig_MatchAll_Ct&lt;22,$BC184=(Elig_MatchAll_Ct-1),AN184=0),K184,0)</f>
        <v>0</v>
      </c>
      <c r="BQ184" s="199">
        <f>IF(AND(Input_Product=Elig!$C184,Elig_MatchAll_Ct&lt;22,$BC184=(Elig_MatchAll_Ct-1),AP184=0),L184,0)</f>
        <v>0</v>
      </c>
      <c r="BR184" s="199">
        <f>IF(AND(Input_Product=Elig!$C184,Elig_MatchAll_Ct&lt;22,$BC184=(Elig_MatchAll_Ct-1),AO184=0),M184,0)</f>
        <v>0</v>
      </c>
      <c r="BS184" s="199">
        <f>IF(AND(Input_Product=Elig!$C184,Elig_MatchAll_Ct&lt;22,$BC184=(Elig_MatchAll_Ct-1),AQ184=0),N184,0)</f>
        <v>0</v>
      </c>
      <c r="BT184" s="199">
        <f>IF(AND(Input_Product=Elig!$C184,Elig_MatchAll_Ct&lt;22,$BC184=(Elig_MatchAll_Ct-1),AR184=0),O184,0)</f>
        <v>0</v>
      </c>
      <c r="BU184" s="199">
        <f>IF(AND(Input_Product=Elig!$C184,Elig_MatchAll_Ct&lt;22,$BC184=(Elig_MatchAll_Ct-1),AS184=0),P184,0)</f>
        <v>0</v>
      </c>
      <c r="BV184" s="200">
        <f>IF(AND(Input_Product=Elig!$C184,Elig_MatchAll_Ct&lt;22,$BC184=(Elig_MatchAll_Ct-1),AT184=0),Q184,0)</f>
        <v>0</v>
      </c>
      <c r="BW184" s="201">
        <f>IF(AND(Input_Product=Elig!$C184,Elig_MatchAll_Ct&lt;22,$BC184=(Elig_MatchAll_Ct-1),AU184=0),R184,0)</f>
        <v>0</v>
      </c>
      <c r="BX184" s="202">
        <f>IF(AND(Input_Product=Elig!$C184,Elig_MatchAll_Ct&lt;22,$BC184=(Elig_MatchAll_Ct-1),AU184=0),S184,0)</f>
        <v>0</v>
      </c>
      <c r="BY184" s="201">
        <f>IF(AND(Input_Product=Elig!$C184,Elig_MatchAll_Ct&lt;22,$BC184=(Elig_MatchAll_Ct-1),AV184=0),T184,0)</f>
        <v>0</v>
      </c>
      <c r="BZ184" s="202">
        <f>IF(AND(Input_Product=Elig!$C184,Elig_MatchAll_Ct&lt;22,$BC184=(Elig_MatchAll_Ct-1),AV184=0),U184,0)</f>
        <v>0</v>
      </c>
      <c r="CA184" s="201">
        <f>IF(AND(Input_Product=Elig!$C184,Elig_MatchAll_Ct&lt;22,$BC184=(Elig_MatchAll_Ct-1),AW184=0),V184,0)</f>
        <v>0</v>
      </c>
      <c r="CB184" s="202">
        <f>IF(AND(Input_Product=Elig!$C184,Elig_MatchAll_Ct&lt;22,$BC184=(Elig_MatchAll_Ct-1),AW184=0),W184,0)</f>
        <v>0</v>
      </c>
      <c r="CC184" s="201">
        <f>IF(AND(Input_Product=Elig!$C184,Elig_MatchAll_Ct&lt;22,$BC184=(Elig_MatchAll_Ct-1),AX184=0),X184,0)</f>
        <v>0</v>
      </c>
      <c r="CD184" s="202">
        <f>IF(AND(Input_Product=Elig!$C184,Elig_MatchAll_Ct&lt;22,$BC184=(Elig_MatchAll_Ct-1),AX184=0),Y184,0)</f>
        <v>0</v>
      </c>
      <c r="CE184" s="201">
        <f>IF(AND(Input_LTV&lt;=AE184,Input_Product=Elig!$C184,Elig_MatchAll_Ct&lt;22,$BC184=(Elig_MatchAll_Ct-1),AY184=0),Z184,0)</f>
        <v>0</v>
      </c>
      <c r="CF184" s="202">
        <f>IF(AND(Input_LTV&lt;=AE184,Input_Product=Elig!$C184,Elig_MatchAll_Ct&lt;22,$BC184=(Elig_MatchAll_Ct-1),AY184=0),AA184,0)</f>
        <v>0</v>
      </c>
      <c r="CG184" s="201">
        <f>IF(AND(Input_Product=Elig!$C184,Elig_MatchAll_Ct&lt;22,$BC184=(Elig_MatchAll_Ct-1),AZ184=0),AB184,0)</f>
        <v>0</v>
      </c>
      <c r="CH184" s="202">
        <f>IF(AND(Input_Product=Elig!$C184,Elig_MatchAll_Ct&lt;22,$BC184=(Elig_MatchAll_Ct-1),AZ184=0),AC184,0)</f>
        <v>0</v>
      </c>
      <c r="CI184" s="201">
        <f>IF(AND(Input_Product=Elig!$C184,Elig_MatchAll_Ct&lt;22,$BC184=(Elig_MatchAll_Ct-1),BA184=0),AD184,0)</f>
        <v>0</v>
      </c>
      <c r="CJ184" s="203">
        <f>IF(AND(Input_Product=Elig!$C184,Elig_MatchAll_Ct&lt;22,$BC184=(Elig_MatchAll_Ct-1),BA184=0),AE184,0)</f>
        <v>0</v>
      </c>
    </row>
    <row r="185" spans="2:88" ht="10.15" customHeight="1" x14ac:dyDescent="0.25">
      <c r="B185" s="1912" t="s">
        <v>933</v>
      </c>
      <c r="C185" s="134" t="str">
        <f t="shared" si="56"/>
        <v>NonQM OO</v>
      </c>
      <c r="D185" s="135" t="s">
        <v>3885</v>
      </c>
      <c r="E185" s="135" t="s">
        <v>167</v>
      </c>
      <c r="F185" s="135" t="s">
        <v>331</v>
      </c>
      <c r="G185" s="135" t="s">
        <v>473</v>
      </c>
      <c r="H185" s="135" t="s">
        <v>136</v>
      </c>
      <c r="I185" s="135" t="s">
        <v>16</v>
      </c>
      <c r="J185" s="135" t="s">
        <v>1311</v>
      </c>
      <c r="K185" s="135" t="s">
        <v>1631</v>
      </c>
      <c r="L185" s="221" t="s">
        <v>3920</v>
      </c>
      <c r="M185" s="135" t="s">
        <v>4203</v>
      </c>
      <c r="N185" s="135" t="s">
        <v>82</v>
      </c>
      <c r="O185" s="135" t="s">
        <v>310</v>
      </c>
      <c r="P185" s="135" t="s">
        <v>291</v>
      </c>
      <c r="Q185" s="135" t="s">
        <v>294</v>
      </c>
      <c r="R185" s="135">
        <v>1500000.01</v>
      </c>
      <c r="S185" s="135">
        <v>2000000</v>
      </c>
      <c r="T185" s="135">
        <v>0</v>
      </c>
      <c r="U185" s="135">
        <f t="shared" si="57"/>
        <v>2000000</v>
      </c>
      <c r="V185" s="135">
        <v>0</v>
      </c>
      <c r="W185" s="135">
        <v>55</v>
      </c>
      <c r="X185" s="135">
        <v>0</v>
      </c>
      <c r="Y185" s="135">
        <v>999</v>
      </c>
      <c r="Z185" s="137">
        <v>640</v>
      </c>
      <c r="AA185" s="137">
        <v>659</v>
      </c>
      <c r="AB185" s="137">
        <v>6</v>
      </c>
      <c r="AC185" s="137">
        <v>999999</v>
      </c>
      <c r="AD185" s="135">
        <v>0</v>
      </c>
      <c r="AE185" s="135">
        <v>-999</v>
      </c>
      <c r="AF185" s="170">
        <v>0</v>
      </c>
      <c r="AG185" s="171">
        <v>1</v>
      </c>
      <c r="AH185" s="171">
        <v>1</v>
      </c>
      <c r="AI185" s="171">
        <v>1</v>
      </c>
      <c r="AJ185" s="171">
        <v>0</v>
      </c>
      <c r="AK185" s="171">
        <v>1</v>
      </c>
      <c r="AL185" s="171">
        <v>1</v>
      </c>
      <c r="AM185" s="171">
        <v>1</v>
      </c>
      <c r="AN185" s="171">
        <v>1</v>
      </c>
      <c r="AO185" s="171">
        <v>1</v>
      </c>
      <c r="AP185" s="171">
        <v>1</v>
      </c>
      <c r="AQ185" s="171">
        <v>1</v>
      </c>
      <c r="AR185" s="171">
        <v>1</v>
      </c>
      <c r="AS185" s="171">
        <v>1</v>
      </c>
      <c r="AT185" s="171">
        <v>1</v>
      </c>
      <c r="AU185" s="171">
        <f t="shared" si="41"/>
        <v>0</v>
      </c>
      <c r="AV185" s="171">
        <f t="shared" si="42"/>
        <v>1</v>
      </c>
      <c r="AW185" s="171">
        <f t="shared" si="43"/>
        <v>1</v>
      </c>
      <c r="AX185" s="171">
        <f t="shared" si="53"/>
        <v>1</v>
      </c>
      <c r="AY185" s="171">
        <f t="shared" si="44"/>
        <v>0</v>
      </c>
      <c r="AZ185" s="171">
        <f t="shared" si="45"/>
        <v>1</v>
      </c>
      <c r="BA185" s="172">
        <f t="shared" si="46"/>
        <v>0</v>
      </c>
      <c r="BB185" s="175">
        <f t="shared" si="47"/>
        <v>17</v>
      </c>
      <c r="BC185" s="176">
        <f t="shared" si="48"/>
        <v>17</v>
      </c>
      <c r="BD185" s="176">
        <f t="shared" si="49"/>
        <v>17</v>
      </c>
      <c r="BE185" s="240" t="str">
        <f t="shared" si="51"/>
        <v/>
      </c>
      <c r="BH185" s="198">
        <f>IF(AND(Input_Product=Elig!$C185,Elig_MatchAll_Ct&lt;22,$BC185=(Elig_MatchAll_Ct-1),AF185=0),C185,0)</f>
        <v>0</v>
      </c>
      <c r="BI185" s="199">
        <f>IF(AND(Input_Product=Elig!$C185,Elig_MatchAll_Ct&lt;22,$BC185=(Elig_MatchAll_Ct-1),AG185=0),D185,0)</f>
        <v>0</v>
      </c>
      <c r="BJ185" s="199">
        <f>IF(AND(Input_Product=Elig!$C185,Elig_MatchAll_Ct&lt;22,$BC185=(Elig_MatchAll_Ct-1),AH185=0),E185,0)</f>
        <v>0</v>
      </c>
      <c r="BK185" s="199">
        <f>IF(AND(Input_Product=Elig!$C185,Elig_MatchAll_Ct&lt;22,$BC185=(Elig_MatchAll_Ct-1),AI185=0),F185,0)</f>
        <v>0</v>
      </c>
      <c r="BL185" s="199">
        <f>IF(AND(Input_Product=Elig!$C185,Elig_MatchAll_Ct&lt;22,$BC185=(Elig_MatchAll_Ct-1),AJ185=0),G185,0)</f>
        <v>0</v>
      </c>
      <c r="BM185" s="199">
        <f>IF(AND(Input_Product=Elig!$C185,Elig_MatchAll_Ct&lt;22,$BC185=(Elig_MatchAll_Ct-1),AK185=0),H185,0)</f>
        <v>0</v>
      </c>
      <c r="BN185" s="199">
        <f>IF(AND(Input_Product=Elig!$C185,Elig_MatchAll_Ct&lt;22,$BC185=(Elig_MatchAll_Ct-1),AL185=0),I185,0)</f>
        <v>0</v>
      </c>
      <c r="BO185" s="199">
        <f>IF(AND(Input_Product=Elig!$C185,Elig_MatchAll_Ct&lt;22,$BC185=(Elig_MatchAll_Ct-1),AM185=0),J185,0)</f>
        <v>0</v>
      </c>
      <c r="BP185" s="199">
        <f>IF(AND(Input_Product=Elig!$C185,Elig_MatchAll_Ct&lt;22,$BC185=(Elig_MatchAll_Ct-1),AN185=0),K185,0)</f>
        <v>0</v>
      </c>
      <c r="BQ185" s="199">
        <f>IF(AND(Input_Product=Elig!$C185,Elig_MatchAll_Ct&lt;22,$BC185=(Elig_MatchAll_Ct-1),AP185=0),L185,0)</f>
        <v>0</v>
      </c>
      <c r="BR185" s="199">
        <f>IF(AND(Input_Product=Elig!$C185,Elig_MatchAll_Ct&lt;22,$BC185=(Elig_MatchAll_Ct-1),AO185=0),M185,0)</f>
        <v>0</v>
      </c>
      <c r="BS185" s="199">
        <f>IF(AND(Input_Product=Elig!$C185,Elig_MatchAll_Ct&lt;22,$BC185=(Elig_MatchAll_Ct-1),AQ185=0),N185,0)</f>
        <v>0</v>
      </c>
      <c r="BT185" s="199">
        <f>IF(AND(Input_Product=Elig!$C185,Elig_MatchAll_Ct&lt;22,$BC185=(Elig_MatchAll_Ct-1),AR185=0),O185,0)</f>
        <v>0</v>
      </c>
      <c r="BU185" s="199">
        <f>IF(AND(Input_Product=Elig!$C185,Elig_MatchAll_Ct&lt;22,$BC185=(Elig_MatchAll_Ct-1),AS185=0),P185,0)</f>
        <v>0</v>
      </c>
      <c r="BV185" s="200">
        <f>IF(AND(Input_Product=Elig!$C185,Elig_MatchAll_Ct&lt;22,$BC185=(Elig_MatchAll_Ct-1),AT185=0),Q185,0)</f>
        <v>0</v>
      </c>
      <c r="BW185" s="201">
        <f>IF(AND(Input_Product=Elig!$C185,Elig_MatchAll_Ct&lt;22,$BC185=(Elig_MatchAll_Ct-1),AU185=0),R185,0)</f>
        <v>0</v>
      </c>
      <c r="BX185" s="202">
        <f>IF(AND(Input_Product=Elig!$C185,Elig_MatchAll_Ct&lt;22,$BC185=(Elig_MatchAll_Ct-1),AU185=0),S185,0)</f>
        <v>0</v>
      </c>
      <c r="BY185" s="201">
        <f>IF(AND(Input_Product=Elig!$C185,Elig_MatchAll_Ct&lt;22,$BC185=(Elig_MatchAll_Ct-1),AV185=0),T185,0)</f>
        <v>0</v>
      </c>
      <c r="BZ185" s="202">
        <f>IF(AND(Input_Product=Elig!$C185,Elig_MatchAll_Ct&lt;22,$BC185=(Elig_MatchAll_Ct-1),AV185=0),U185,0)</f>
        <v>0</v>
      </c>
      <c r="CA185" s="201">
        <f>IF(AND(Input_Product=Elig!$C185,Elig_MatchAll_Ct&lt;22,$BC185=(Elig_MatchAll_Ct-1),AW185=0),V185,0)</f>
        <v>0</v>
      </c>
      <c r="CB185" s="202">
        <f>IF(AND(Input_Product=Elig!$C185,Elig_MatchAll_Ct&lt;22,$BC185=(Elig_MatchAll_Ct-1),AW185=0),W185,0)</f>
        <v>0</v>
      </c>
      <c r="CC185" s="201">
        <f>IF(AND(Input_Product=Elig!$C185,Elig_MatchAll_Ct&lt;22,$BC185=(Elig_MatchAll_Ct-1),AX185=0),X185,0)</f>
        <v>0</v>
      </c>
      <c r="CD185" s="202">
        <f>IF(AND(Input_Product=Elig!$C185,Elig_MatchAll_Ct&lt;22,$BC185=(Elig_MatchAll_Ct-1),AX185=0),Y185,0)</f>
        <v>0</v>
      </c>
      <c r="CE185" s="201">
        <f>IF(AND(Input_LTV&lt;=AE185,Input_Product=Elig!$C185,Elig_MatchAll_Ct&lt;22,$BC185=(Elig_MatchAll_Ct-1),AY185=0),Z185,0)</f>
        <v>0</v>
      </c>
      <c r="CF185" s="202">
        <f>IF(AND(Input_LTV&lt;=AE185,Input_Product=Elig!$C185,Elig_MatchAll_Ct&lt;22,$BC185=(Elig_MatchAll_Ct-1),AY185=0),AA185,0)</f>
        <v>0</v>
      </c>
      <c r="CG185" s="201">
        <f>IF(AND(Input_Product=Elig!$C185,Elig_MatchAll_Ct&lt;22,$BC185=(Elig_MatchAll_Ct-1),AZ185=0),AB185,0)</f>
        <v>0</v>
      </c>
      <c r="CH185" s="202">
        <f>IF(AND(Input_Product=Elig!$C185,Elig_MatchAll_Ct&lt;22,$BC185=(Elig_MatchAll_Ct-1),AZ185=0),AC185,0)</f>
        <v>0</v>
      </c>
      <c r="CI185" s="201">
        <f>IF(AND(Input_Product=Elig!$C185,Elig_MatchAll_Ct&lt;22,$BC185=(Elig_MatchAll_Ct-1),BA185=0),AD185,0)</f>
        <v>0</v>
      </c>
      <c r="CJ185" s="203">
        <f>IF(AND(Input_Product=Elig!$C185,Elig_MatchAll_Ct&lt;22,$BC185=(Elig_MatchAll_Ct-1),BA185=0),AE185,0)</f>
        <v>0</v>
      </c>
    </row>
    <row r="186" spans="2:88" ht="10.15" customHeight="1" x14ac:dyDescent="0.25">
      <c r="B186" s="1912" t="s">
        <v>934</v>
      </c>
      <c r="C186" s="138" t="str">
        <f t="shared" si="56"/>
        <v>NonQM OO</v>
      </c>
      <c r="D186" s="139" t="s">
        <v>3885</v>
      </c>
      <c r="E186" s="139" t="s">
        <v>167</v>
      </c>
      <c r="F186" s="139" t="s">
        <v>331</v>
      </c>
      <c r="G186" s="139" t="s">
        <v>473</v>
      </c>
      <c r="H186" s="139" t="s">
        <v>136</v>
      </c>
      <c r="I186" s="139" t="s">
        <v>16</v>
      </c>
      <c r="J186" s="139" t="s">
        <v>1311</v>
      </c>
      <c r="K186" s="139" t="s">
        <v>1631</v>
      </c>
      <c r="L186" s="310" t="s">
        <v>3920</v>
      </c>
      <c r="M186" s="139" t="s">
        <v>4203</v>
      </c>
      <c r="N186" s="139" t="s">
        <v>82</v>
      </c>
      <c r="O186" s="139" t="s">
        <v>310</v>
      </c>
      <c r="P186" s="139" t="s">
        <v>291</v>
      </c>
      <c r="Q186" s="139" t="s">
        <v>294</v>
      </c>
      <c r="R186" s="139">
        <v>1500000.01</v>
      </c>
      <c r="S186" s="139">
        <v>2000000</v>
      </c>
      <c r="T186" s="139">
        <v>0</v>
      </c>
      <c r="U186" s="139">
        <f t="shared" si="57"/>
        <v>2000000</v>
      </c>
      <c r="V186" s="139">
        <v>0</v>
      </c>
      <c r="W186" s="139">
        <v>55</v>
      </c>
      <c r="X186" s="139">
        <v>0</v>
      </c>
      <c r="Y186" s="139">
        <v>999</v>
      </c>
      <c r="Z186" s="140">
        <v>620</v>
      </c>
      <c r="AA186" s="140">
        <v>639</v>
      </c>
      <c r="AB186" s="140">
        <v>6</v>
      </c>
      <c r="AC186" s="140">
        <v>999999</v>
      </c>
      <c r="AD186" s="139">
        <v>0</v>
      </c>
      <c r="AE186" s="139">
        <v>-999</v>
      </c>
      <c r="AF186" s="170">
        <v>0</v>
      </c>
      <c r="AG186" s="171">
        <v>1</v>
      </c>
      <c r="AH186" s="171">
        <v>1</v>
      </c>
      <c r="AI186" s="171">
        <v>1</v>
      </c>
      <c r="AJ186" s="171">
        <v>0</v>
      </c>
      <c r="AK186" s="171">
        <v>1</v>
      </c>
      <c r="AL186" s="171">
        <v>1</v>
      </c>
      <c r="AM186" s="171">
        <v>1</v>
      </c>
      <c r="AN186" s="171">
        <v>1</v>
      </c>
      <c r="AO186" s="171">
        <v>1</v>
      </c>
      <c r="AP186" s="171">
        <v>1</v>
      </c>
      <c r="AQ186" s="171">
        <v>1</v>
      </c>
      <c r="AR186" s="171">
        <v>1</v>
      </c>
      <c r="AS186" s="171">
        <v>1</v>
      </c>
      <c r="AT186" s="171">
        <v>1</v>
      </c>
      <c r="AU186" s="171">
        <f t="shared" si="41"/>
        <v>0</v>
      </c>
      <c r="AV186" s="171">
        <f t="shared" si="42"/>
        <v>1</v>
      </c>
      <c r="AW186" s="171">
        <f t="shared" si="43"/>
        <v>1</v>
      </c>
      <c r="AX186" s="171">
        <f t="shared" si="53"/>
        <v>1</v>
      </c>
      <c r="AY186" s="171">
        <f t="shared" si="44"/>
        <v>0</v>
      </c>
      <c r="AZ186" s="171">
        <f t="shared" si="45"/>
        <v>1</v>
      </c>
      <c r="BA186" s="172">
        <f t="shared" si="46"/>
        <v>0</v>
      </c>
      <c r="BB186" s="175">
        <f t="shared" si="47"/>
        <v>17</v>
      </c>
      <c r="BC186" s="176">
        <f t="shared" si="48"/>
        <v>17</v>
      </c>
      <c r="BD186" s="176">
        <f t="shared" si="49"/>
        <v>17</v>
      </c>
      <c r="BE186" s="240" t="str">
        <f t="shared" si="51"/>
        <v/>
      </c>
      <c r="BH186" s="204">
        <f>IF(AND(Input_Product=Elig!$C186,Elig_MatchAll_Ct&lt;22,$BC186=(Elig_MatchAll_Ct-1),AF186=0),C186,0)</f>
        <v>0</v>
      </c>
      <c r="BI186" s="205">
        <f>IF(AND(Input_Product=Elig!$C186,Elig_MatchAll_Ct&lt;22,$BC186=(Elig_MatchAll_Ct-1),AG186=0),D186,0)</f>
        <v>0</v>
      </c>
      <c r="BJ186" s="205">
        <f>IF(AND(Input_Product=Elig!$C186,Elig_MatchAll_Ct&lt;22,$BC186=(Elig_MatchAll_Ct-1),AH186=0),E186,0)</f>
        <v>0</v>
      </c>
      <c r="BK186" s="205">
        <f>IF(AND(Input_Product=Elig!$C186,Elig_MatchAll_Ct&lt;22,$BC186=(Elig_MatchAll_Ct-1),AI186=0),F186,0)</f>
        <v>0</v>
      </c>
      <c r="BL186" s="205">
        <f>IF(AND(Input_Product=Elig!$C186,Elig_MatchAll_Ct&lt;22,$BC186=(Elig_MatchAll_Ct-1),AJ186=0),G186,0)</f>
        <v>0</v>
      </c>
      <c r="BM186" s="205">
        <f>IF(AND(Input_Product=Elig!$C186,Elig_MatchAll_Ct&lt;22,$BC186=(Elig_MatchAll_Ct-1),AK186=0),H186,0)</f>
        <v>0</v>
      </c>
      <c r="BN186" s="205">
        <f>IF(AND(Input_Product=Elig!$C186,Elig_MatchAll_Ct&lt;22,$BC186=(Elig_MatchAll_Ct-1),AL186=0),I186,0)</f>
        <v>0</v>
      </c>
      <c r="BO186" s="205">
        <f>IF(AND(Input_Product=Elig!$C186,Elig_MatchAll_Ct&lt;22,$BC186=(Elig_MatchAll_Ct-1),AM186=0),J186,0)</f>
        <v>0</v>
      </c>
      <c r="BP186" s="205">
        <f>IF(AND(Input_Product=Elig!$C186,Elig_MatchAll_Ct&lt;22,$BC186=(Elig_MatchAll_Ct-1),AN186=0),K186,0)</f>
        <v>0</v>
      </c>
      <c r="BQ186" s="205">
        <f>IF(AND(Input_Product=Elig!$C186,Elig_MatchAll_Ct&lt;22,$BC186=(Elig_MatchAll_Ct-1),AP186=0),L186,0)</f>
        <v>0</v>
      </c>
      <c r="BR186" s="205">
        <f>IF(AND(Input_Product=Elig!$C186,Elig_MatchAll_Ct&lt;22,$BC186=(Elig_MatchAll_Ct-1),AO186=0),M186,0)</f>
        <v>0</v>
      </c>
      <c r="BS186" s="205">
        <f>IF(AND(Input_Product=Elig!$C186,Elig_MatchAll_Ct&lt;22,$BC186=(Elig_MatchAll_Ct-1),AQ186=0),N186,0)</f>
        <v>0</v>
      </c>
      <c r="BT186" s="205">
        <f>IF(AND(Input_Product=Elig!$C186,Elig_MatchAll_Ct&lt;22,$BC186=(Elig_MatchAll_Ct-1),AR186=0),O186,0)</f>
        <v>0</v>
      </c>
      <c r="BU186" s="205">
        <f>IF(AND(Input_Product=Elig!$C186,Elig_MatchAll_Ct&lt;22,$BC186=(Elig_MatchAll_Ct-1),AS186=0),P186,0)</f>
        <v>0</v>
      </c>
      <c r="BV186" s="206">
        <f>IF(AND(Input_Product=Elig!$C186,Elig_MatchAll_Ct&lt;22,$BC186=(Elig_MatchAll_Ct-1),AT186=0),Q186,0)</f>
        <v>0</v>
      </c>
      <c r="BW186" s="207">
        <f>IF(AND(Input_Product=Elig!$C186,Elig_MatchAll_Ct&lt;22,$BC186=(Elig_MatchAll_Ct-1),AU186=0),R186,0)</f>
        <v>0</v>
      </c>
      <c r="BX186" s="208">
        <f>IF(AND(Input_Product=Elig!$C186,Elig_MatchAll_Ct&lt;22,$BC186=(Elig_MatchAll_Ct-1),AU186=0),S186,0)</f>
        <v>0</v>
      </c>
      <c r="BY186" s="207">
        <f>IF(AND(Input_Product=Elig!$C186,Elig_MatchAll_Ct&lt;22,$BC186=(Elig_MatchAll_Ct-1),AV186=0),T186,0)</f>
        <v>0</v>
      </c>
      <c r="BZ186" s="208">
        <f>IF(AND(Input_Product=Elig!$C186,Elig_MatchAll_Ct&lt;22,$BC186=(Elig_MatchAll_Ct-1),AV186=0),U186,0)</f>
        <v>0</v>
      </c>
      <c r="CA186" s="207">
        <f>IF(AND(Input_Product=Elig!$C186,Elig_MatchAll_Ct&lt;22,$BC186=(Elig_MatchAll_Ct-1),AW186=0),V186,0)</f>
        <v>0</v>
      </c>
      <c r="CB186" s="208">
        <f>IF(AND(Input_Product=Elig!$C186,Elig_MatchAll_Ct&lt;22,$BC186=(Elig_MatchAll_Ct-1),AW186=0),W186,0)</f>
        <v>0</v>
      </c>
      <c r="CC186" s="207">
        <f>IF(AND(Input_Product=Elig!$C186,Elig_MatchAll_Ct&lt;22,$BC186=(Elig_MatchAll_Ct-1),AX186=0),X186,0)</f>
        <v>0</v>
      </c>
      <c r="CD186" s="208">
        <f>IF(AND(Input_Product=Elig!$C186,Elig_MatchAll_Ct&lt;22,$BC186=(Elig_MatchAll_Ct-1),AX186=0),Y186,0)</f>
        <v>0</v>
      </c>
      <c r="CE186" s="207">
        <f>IF(AND(Input_LTV&lt;=AE186,Input_Product=Elig!$C186,Elig_MatchAll_Ct&lt;22,$BC186=(Elig_MatchAll_Ct-1),AY186=0),Z186,0)</f>
        <v>0</v>
      </c>
      <c r="CF186" s="208">
        <f>IF(AND(Input_LTV&lt;=AE186,Input_Product=Elig!$C186,Elig_MatchAll_Ct&lt;22,$BC186=(Elig_MatchAll_Ct-1),AY186=0),AA186,0)</f>
        <v>0</v>
      </c>
      <c r="CG186" s="207">
        <f>IF(AND(Input_Product=Elig!$C186,Elig_MatchAll_Ct&lt;22,$BC186=(Elig_MatchAll_Ct-1),AZ186=0),AB186,0)</f>
        <v>0</v>
      </c>
      <c r="CH186" s="208">
        <f>IF(AND(Input_Product=Elig!$C186,Elig_MatchAll_Ct&lt;22,$BC186=(Elig_MatchAll_Ct-1),AZ186=0),AC186,0)</f>
        <v>0</v>
      </c>
      <c r="CI186" s="207">
        <f>IF(AND(Input_Product=Elig!$C186,Elig_MatchAll_Ct&lt;22,$BC186=(Elig_MatchAll_Ct-1),BA186=0),AD186,0)</f>
        <v>0</v>
      </c>
      <c r="CJ186" s="209">
        <f>IF(AND(Input_Product=Elig!$C186,Elig_MatchAll_Ct&lt;22,$BC186=(Elig_MatchAll_Ct-1),BA186=0),AE186,0)</f>
        <v>0</v>
      </c>
    </row>
    <row r="187" spans="2:88" ht="10.15" customHeight="1" x14ac:dyDescent="0.25">
      <c r="B187" s="1912" t="s">
        <v>935</v>
      </c>
      <c r="C187" s="141" t="str">
        <f t="shared" si="56"/>
        <v>NonQM OO</v>
      </c>
      <c r="D187" s="142" t="s">
        <v>3885</v>
      </c>
      <c r="E187" s="143" t="s">
        <v>167</v>
      </c>
      <c r="F187" s="143" t="s">
        <v>331</v>
      </c>
      <c r="G187" s="143" t="s">
        <v>303</v>
      </c>
      <c r="H187" s="143" t="s">
        <v>136</v>
      </c>
      <c r="I187" s="142" t="s">
        <v>274</v>
      </c>
      <c r="J187" s="142" t="s">
        <v>1311</v>
      </c>
      <c r="K187" s="142" t="s">
        <v>1631</v>
      </c>
      <c r="L187" s="2131" t="s">
        <v>3920</v>
      </c>
      <c r="M187" s="143" t="s">
        <v>4203</v>
      </c>
      <c r="N187" s="143" t="s">
        <v>82</v>
      </c>
      <c r="O187" s="143" t="s">
        <v>310</v>
      </c>
      <c r="P187" s="143" t="s">
        <v>291</v>
      </c>
      <c r="Q187" s="143" t="s">
        <v>294</v>
      </c>
      <c r="R187" s="142">
        <v>2000000.01</v>
      </c>
      <c r="S187" s="320">
        <v>2500000</v>
      </c>
      <c r="T187" s="142">
        <v>0</v>
      </c>
      <c r="U187" s="142">
        <v>0</v>
      </c>
      <c r="V187" s="142">
        <v>0</v>
      </c>
      <c r="W187" s="142">
        <v>55</v>
      </c>
      <c r="X187" s="142">
        <v>0</v>
      </c>
      <c r="Y187" s="142">
        <v>999</v>
      </c>
      <c r="Z187" s="144">
        <v>720</v>
      </c>
      <c r="AA187" s="144">
        <v>999</v>
      </c>
      <c r="AB187" s="144">
        <v>9</v>
      </c>
      <c r="AC187" s="144">
        <v>999999</v>
      </c>
      <c r="AD187" s="142">
        <v>0</v>
      </c>
      <c r="AE187" s="320">
        <v>80</v>
      </c>
      <c r="AF187" s="170">
        <v>0</v>
      </c>
      <c r="AG187" s="171">
        <v>1</v>
      </c>
      <c r="AH187" s="171">
        <v>1</v>
      </c>
      <c r="AI187" s="171">
        <v>1</v>
      </c>
      <c r="AJ187" s="171">
        <v>1</v>
      </c>
      <c r="AK187" s="171">
        <v>1</v>
      </c>
      <c r="AL187" s="171">
        <v>0</v>
      </c>
      <c r="AM187" s="171">
        <v>1</v>
      </c>
      <c r="AN187" s="171">
        <v>1</v>
      </c>
      <c r="AO187" s="171">
        <v>1</v>
      </c>
      <c r="AP187" s="171">
        <v>1</v>
      </c>
      <c r="AQ187" s="171">
        <v>1</v>
      </c>
      <c r="AR187" s="171">
        <v>1</v>
      </c>
      <c r="AS187" s="171">
        <v>1</v>
      </c>
      <c r="AT187" s="171">
        <v>1</v>
      </c>
      <c r="AU187" s="171">
        <f t="shared" ref="AU187:AU320" si="58">IF(AND(Input_LoanAmt&gt;=Elig_LoanAmt_Min,Input_LoanAmt&lt;=Elig_LoanAmt_Max),1,0)</f>
        <v>0</v>
      </c>
      <c r="AV187" s="171">
        <f t="shared" ref="AV187:AV320" si="59">IF(AND(Input_CashoutAmt&gt;=Elig_CashoutAmt_Min,Input_CashoutAmt&lt;=Elig_CashoutAmt_Max),1,0)</f>
        <v>0</v>
      </c>
      <c r="AW187" s="171">
        <f t="shared" ref="AW187:AW320" si="60">IF(AND(Input_DTI&gt;=Elig_DTI_Min,Input_DTI&lt;=Elig_DTI_Max),1,0)</f>
        <v>1</v>
      </c>
      <c r="AX187" s="171">
        <f t="shared" si="53"/>
        <v>1</v>
      </c>
      <c r="AY187" s="171">
        <f t="shared" ref="AY187:AY320" si="61">IF(AND(Input_CreditScore&gt;=Elig_CreditScore_Min,Input_CreditScore&lt;=Elig_CreditScore_Max),1,0)</f>
        <v>1</v>
      </c>
      <c r="AZ187" s="171">
        <f t="shared" ref="AZ187:AZ320" si="62">IF(AND(Input_ReservesMonths&gt;=Elig_Reserves_Min,Input_ReservesMonths&lt;=Elig_Reserves_Max),1,0)</f>
        <v>1</v>
      </c>
      <c r="BA187" s="172">
        <f t="shared" ref="BA187:BA320" si="63">IF(AND(Input_LTV&gt;=Elig_LTV_Min,Input_LTV&lt;=Elig_LTV_Max),1,0)</f>
        <v>1</v>
      </c>
      <c r="BB187" s="175">
        <f t="shared" si="47"/>
        <v>18</v>
      </c>
      <c r="BC187" s="176">
        <f t="shared" si="48"/>
        <v>17</v>
      </c>
      <c r="BD187" s="176">
        <f t="shared" si="49"/>
        <v>18</v>
      </c>
      <c r="BE187" s="240" t="str">
        <f t="shared" si="51"/>
        <v/>
      </c>
      <c r="BH187" s="210">
        <f>IF(AND(Input_Product=Elig!$C187,Elig_MatchAll_Ct&lt;22,$BC187=(Elig_MatchAll_Ct-1),AF187=0),C187,0)</f>
        <v>0</v>
      </c>
      <c r="BI187" s="210">
        <f>IF(AND(Input_Product=Elig!$C187,Elig_MatchAll_Ct&lt;22,$BC187=(Elig_MatchAll_Ct-1),AG187=0),D187,0)</f>
        <v>0</v>
      </c>
      <c r="BJ187" s="210">
        <f>IF(AND(Input_Product=Elig!$C187,Elig_MatchAll_Ct&lt;22,$BC187=(Elig_MatchAll_Ct-1),AH187=0),E187,0)</f>
        <v>0</v>
      </c>
      <c r="BK187" s="210">
        <f>IF(AND(Input_Product=Elig!$C187,Elig_MatchAll_Ct&lt;22,$BC187=(Elig_MatchAll_Ct-1),AI187=0),F187,0)</f>
        <v>0</v>
      </c>
      <c r="BL187" s="210">
        <f>IF(AND(Input_Product=Elig!$C187,Elig_MatchAll_Ct&lt;22,$BC187=(Elig_MatchAll_Ct-1),AJ187=0),G187,0)</f>
        <v>0</v>
      </c>
      <c r="BM187" s="210">
        <f>IF(AND(Input_Product=Elig!$C187,Elig_MatchAll_Ct&lt;22,$BC187=(Elig_MatchAll_Ct-1),AK187=0),H187,0)</f>
        <v>0</v>
      </c>
      <c r="BN187" s="210">
        <f>IF(AND(Input_Product=Elig!$C187,Elig_MatchAll_Ct&lt;22,$BC187=(Elig_MatchAll_Ct-1),AL187=0),I187,0)</f>
        <v>0</v>
      </c>
      <c r="BO187" s="210">
        <f>IF(AND(Input_Product=Elig!$C187,Elig_MatchAll_Ct&lt;22,$BC187=(Elig_MatchAll_Ct-1),AM187=0),J187,0)</f>
        <v>0</v>
      </c>
      <c r="BP187" s="210">
        <f>IF(AND(Input_Product=Elig!$C187,Elig_MatchAll_Ct&lt;22,$BC187=(Elig_MatchAll_Ct-1),AN187=0),K187,0)</f>
        <v>0</v>
      </c>
      <c r="BQ187" s="210">
        <f>IF(AND(Input_Product=Elig!$C187,Elig_MatchAll_Ct&lt;22,$BC187=(Elig_MatchAll_Ct-1),AP187=0),L187,0)</f>
        <v>0</v>
      </c>
      <c r="BR187" s="210">
        <f>IF(AND(Input_Product=Elig!$C187,Elig_MatchAll_Ct&lt;22,$BC187=(Elig_MatchAll_Ct-1),AO187=0),M187,0)</f>
        <v>0</v>
      </c>
      <c r="BS187" s="210">
        <f>IF(AND(Input_Product=Elig!$C187,Elig_MatchAll_Ct&lt;22,$BC187=(Elig_MatchAll_Ct-1),AQ187=0),N187,0)</f>
        <v>0</v>
      </c>
      <c r="BT187" s="210">
        <f>IF(AND(Input_Product=Elig!$C187,Elig_MatchAll_Ct&lt;22,$BC187=(Elig_MatchAll_Ct-1),AR187=0),O187,0)</f>
        <v>0</v>
      </c>
      <c r="BU187" s="210">
        <f>IF(AND(Input_Product=Elig!$C187,Elig_MatchAll_Ct&lt;22,$BC187=(Elig_MatchAll_Ct-1),AS187=0),P187,0)</f>
        <v>0</v>
      </c>
      <c r="BV187" s="211">
        <f>IF(AND(Input_Product=Elig!$C187,Elig_MatchAll_Ct&lt;22,$BC187=(Elig_MatchAll_Ct-1),AT187=0),Q187,0)</f>
        <v>0</v>
      </c>
      <c r="BW187" s="212">
        <f>IF(AND(Input_Product=Elig!$C187,Elig_MatchAll_Ct&lt;22,$BC187=(Elig_MatchAll_Ct-1),AU187=0),R187,0)</f>
        <v>0</v>
      </c>
      <c r="BX187" s="213">
        <f>IF(AND(Input_Product=Elig!$C187,Elig_MatchAll_Ct&lt;22,$BC187=(Elig_MatchAll_Ct-1),AU187=0),S187,0)</f>
        <v>0</v>
      </c>
      <c r="BY187" s="212">
        <f>IF(AND(Input_Product=Elig!$C187,Elig_MatchAll_Ct&lt;22,$BC187=(Elig_MatchAll_Ct-1),AV187=0),T187,0)</f>
        <v>0</v>
      </c>
      <c r="BZ187" s="213">
        <f>IF(AND(Input_Product=Elig!$C187,Elig_MatchAll_Ct&lt;22,$BC187=(Elig_MatchAll_Ct-1),AV187=0),U187,0)</f>
        <v>0</v>
      </c>
      <c r="CA187" s="212">
        <f>IF(AND(Input_Product=Elig!$C187,Elig_MatchAll_Ct&lt;22,$BC187=(Elig_MatchAll_Ct-1),AW187=0),V187,0)</f>
        <v>0</v>
      </c>
      <c r="CB187" s="213">
        <f>IF(AND(Input_Product=Elig!$C187,Elig_MatchAll_Ct&lt;22,$BC187=(Elig_MatchAll_Ct-1),AW187=0),W187,0)</f>
        <v>0</v>
      </c>
      <c r="CC187" s="212">
        <f>IF(AND(Input_Product=Elig!$C187,Elig_MatchAll_Ct&lt;22,$BC187=(Elig_MatchAll_Ct-1),AX187=0),X187,0)</f>
        <v>0</v>
      </c>
      <c r="CD187" s="213">
        <f>IF(AND(Input_Product=Elig!$C187,Elig_MatchAll_Ct&lt;22,$BC187=(Elig_MatchAll_Ct-1),AX187=0),Y187,0)</f>
        <v>0</v>
      </c>
      <c r="CE187" s="212">
        <f>IF(AND(Input_LTV&lt;=AE187,Input_Product=Elig!$C187,Elig_MatchAll_Ct&lt;22,$BC187=(Elig_MatchAll_Ct-1),AY187=0),Z187,0)</f>
        <v>0</v>
      </c>
      <c r="CF187" s="213">
        <f>IF(AND(Input_LTV&lt;=AE187,Input_Product=Elig!$C187,Elig_MatchAll_Ct&lt;22,$BC187=(Elig_MatchAll_Ct-1),AY187=0),AA187,0)</f>
        <v>0</v>
      </c>
      <c r="CG187" s="212">
        <f>IF(AND(Input_Product=Elig!$C187,Elig_MatchAll_Ct&lt;22,$BC187=(Elig_MatchAll_Ct-1),AZ187=0),AB187,0)</f>
        <v>0</v>
      </c>
      <c r="CH187" s="213">
        <f>IF(AND(Input_Product=Elig!$C187,Elig_MatchAll_Ct&lt;22,$BC187=(Elig_MatchAll_Ct-1),AZ187=0),AC187,0)</f>
        <v>0</v>
      </c>
      <c r="CI187" s="212">
        <f>IF(AND(Input_Product=Elig!$C187,Elig_MatchAll_Ct&lt;22,$BC187=(Elig_MatchAll_Ct-1),BA187=0),AD187,0)</f>
        <v>0</v>
      </c>
      <c r="CJ187" s="213">
        <f>IF(AND(Input_Product=Elig!$C187,Elig_MatchAll_Ct&lt;22,$BC187=(Elig_MatchAll_Ct-1),BA187=0),AE187,0)</f>
        <v>0</v>
      </c>
    </row>
    <row r="188" spans="2:88" ht="10.15" customHeight="1" x14ac:dyDescent="0.25">
      <c r="B188" s="1912" t="s">
        <v>936</v>
      </c>
      <c r="C188" s="134" t="str">
        <f t="shared" si="56"/>
        <v>NonQM OO</v>
      </c>
      <c r="D188" s="135" t="s">
        <v>3885</v>
      </c>
      <c r="E188" s="135" t="s">
        <v>167</v>
      </c>
      <c r="F188" s="135" t="s">
        <v>331</v>
      </c>
      <c r="G188" s="135" t="s">
        <v>303</v>
      </c>
      <c r="H188" s="135" t="s">
        <v>136</v>
      </c>
      <c r="I188" s="136" t="s">
        <v>274</v>
      </c>
      <c r="J188" s="136" t="s">
        <v>1311</v>
      </c>
      <c r="K188" s="136" t="s">
        <v>1631</v>
      </c>
      <c r="L188" s="221" t="s">
        <v>3920</v>
      </c>
      <c r="M188" s="135" t="s">
        <v>4203</v>
      </c>
      <c r="N188" s="135" t="s">
        <v>82</v>
      </c>
      <c r="O188" s="135" t="s">
        <v>310</v>
      </c>
      <c r="P188" s="135" t="s">
        <v>291</v>
      </c>
      <c r="Q188" s="135" t="s">
        <v>294</v>
      </c>
      <c r="R188" s="135">
        <v>2000000.01</v>
      </c>
      <c r="S188" s="221">
        <v>2500000</v>
      </c>
      <c r="T188" s="135">
        <v>0</v>
      </c>
      <c r="U188" s="135">
        <v>0</v>
      </c>
      <c r="V188" s="135">
        <v>0</v>
      </c>
      <c r="W188" s="135">
        <v>55</v>
      </c>
      <c r="X188" s="135">
        <v>0</v>
      </c>
      <c r="Y188" s="135">
        <v>999</v>
      </c>
      <c r="Z188" s="137">
        <v>700</v>
      </c>
      <c r="AA188" s="137">
        <v>719</v>
      </c>
      <c r="AB188" s="137">
        <v>9</v>
      </c>
      <c r="AC188" s="137">
        <v>999999</v>
      </c>
      <c r="AD188" s="135">
        <v>0</v>
      </c>
      <c r="AE188" s="221">
        <v>75</v>
      </c>
      <c r="AF188" s="170">
        <v>0</v>
      </c>
      <c r="AG188" s="171">
        <v>1</v>
      </c>
      <c r="AH188" s="171">
        <v>1</v>
      </c>
      <c r="AI188" s="171">
        <v>1</v>
      </c>
      <c r="AJ188" s="171">
        <v>1</v>
      </c>
      <c r="AK188" s="171">
        <v>1</v>
      </c>
      <c r="AL188" s="171">
        <v>0</v>
      </c>
      <c r="AM188" s="171">
        <v>1</v>
      </c>
      <c r="AN188" s="171">
        <v>1</v>
      </c>
      <c r="AO188" s="171">
        <v>1</v>
      </c>
      <c r="AP188" s="171">
        <v>1</v>
      </c>
      <c r="AQ188" s="171">
        <v>1</v>
      </c>
      <c r="AR188" s="171">
        <v>1</v>
      </c>
      <c r="AS188" s="171">
        <v>1</v>
      </c>
      <c r="AT188" s="171">
        <v>1</v>
      </c>
      <c r="AU188" s="171">
        <f t="shared" si="58"/>
        <v>0</v>
      </c>
      <c r="AV188" s="171">
        <f t="shared" si="59"/>
        <v>0</v>
      </c>
      <c r="AW188" s="171">
        <f t="shared" si="60"/>
        <v>1</v>
      </c>
      <c r="AX188" s="171">
        <f t="shared" si="53"/>
        <v>1</v>
      </c>
      <c r="AY188" s="171">
        <f t="shared" si="61"/>
        <v>0</v>
      </c>
      <c r="AZ188" s="171">
        <f t="shared" si="62"/>
        <v>1</v>
      </c>
      <c r="BA188" s="172">
        <f t="shared" si="63"/>
        <v>1</v>
      </c>
      <c r="BB188" s="175">
        <f t="shared" si="47"/>
        <v>17</v>
      </c>
      <c r="BC188" s="176">
        <f t="shared" si="48"/>
        <v>16</v>
      </c>
      <c r="BD188" s="176">
        <f t="shared" si="49"/>
        <v>17</v>
      </c>
      <c r="BE188" s="240" t="str">
        <f t="shared" si="51"/>
        <v/>
      </c>
      <c r="BH188" s="199">
        <f>IF(AND(Input_Product=Elig!$C188,Elig_MatchAll_Ct&lt;22,$BC188=(Elig_MatchAll_Ct-1),AF188=0),C188,0)</f>
        <v>0</v>
      </c>
      <c r="BI188" s="199">
        <f>IF(AND(Input_Product=Elig!$C188,Elig_MatchAll_Ct&lt;22,$BC188=(Elig_MatchAll_Ct-1),AG188=0),D188,0)</f>
        <v>0</v>
      </c>
      <c r="BJ188" s="199">
        <f>IF(AND(Input_Product=Elig!$C188,Elig_MatchAll_Ct&lt;22,$BC188=(Elig_MatchAll_Ct-1),AH188=0),E188,0)</f>
        <v>0</v>
      </c>
      <c r="BK188" s="199">
        <f>IF(AND(Input_Product=Elig!$C188,Elig_MatchAll_Ct&lt;22,$BC188=(Elig_MatchAll_Ct-1),AI188=0),F188,0)</f>
        <v>0</v>
      </c>
      <c r="BL188" s="199">
        <f>IF(AND(Input_Product=Elig!$C188,Elig_MatchAll_Ct&lt;22,$BC188=(Elig_MatchAll_Ct-1),AJ188=0),G188,0)</f>
        <v>0</v>
      </c>
      <c r="BM188" s="199">
        <f>IF(AND(Input_Product=Elig!$C188,Elig_MatchAll_Ct&lt;22,$BC188=(Elig_MatchAll_Ct-1),AK188=0),H188,0)</f>
        <v>0</v>
      </c>
      <c r="BN188" s="199">
        <f>IF(AND(Input_Product=Elig!$C188,Elig_MatchAll_Ct&lt;22,$BC188=(Elig_MatchAll_Ct-1),AL188=0),I188,0)</f>
        <v>0</v>
      </c>
      <c r="BO188" s="199">
        <f>IF(AND(Input_Product=Elig!$C188,Elig_MatchAll_Ct&lt;22,$BC188=(Elig_MatchAll_Ct-1),AM188=0),J188,0)</f>
        <v>0</v>
      </c>
      <c r="BP188" s="199">
        <f>IF(AND(Input_Product=Elig!$C188,Elig_MatchAll_Ct&lt;22,$BC188=(Elig_MatchAll_Ct-1),AN188=0),K188,0)</f>
        <v>0</v>
      </c>
      <c r="BQ188" s="199">
        <f>IF(AND(Input_Product=Elig!$C188,Elig_MatchAll_Ct&lt;22,$BC188=(Elig_MatchAll_Ct-1),AP188=0),L188,0)</f>
        <v>0</v>
      </c>
      <c r="BR188" s="199">
        <f>IF(AND(Input_Product=Elig!$C188,Elig_MatchAll_Ct&lt;22,$BC188=(Elig_MatchAll_Ct-1),AO188=0),M188,0)</f>
        <v>0</v>
      </c>
      <c r="BS188" s="199">
        <f>IF(AND(Input_Product=Elig!$C188,Elig_MatchAll_Ct&lt;22,$BC188=(Elig_MatchAll_Ct-1),AQ188=0),N188,0)</f>
        <v>0</v>
      </c>
      <c r="BT188" s="199">
        <f>IF(AND(Input_Product=Elig!$C188,Elig_MatchAll_Ct&lt;22,$BC188=(Elig_MatchAll_Ct-1),AR188=0),O188,0)</f>
        <v>0</v>
      </c>
      <c r="BU188" s="199">
        <f>IF(AND(Input_Product=Elig!$C188,Elig_MatchAll_Ct&lt;22,$BC188=(Elig_MatchAll_Ct-1),AS188=0),P188,0)</f>
        <v>0</v>
      </c>
      <c r="BV188" s="200">
        <f>IF(AND(Input_Product=Elig!$C188,Elig_MatchAll_Ct&lt;22,$BC188=(Elig_MatchAll_Ct-1),AT188=0),Q188,0)</f>
        <v>0</v>
      </c>
      <c r="BW188" s="201">
        <f>IF(AND(Input_Product=Elig!$C188,Elig_MatchAll_Ct&lt;22,$BC188=(Elig_MatchAll_Ct-1),AU188=0),R188,0)</f>
        <v>0</v>
      </c>
      <c r="BX188" s="202">
        <f>IF(AND(Input_Product=Elig!$C188,Elig_MatchAll_Ct&lt;22,$BC188=(Elig_MatchAll_Ct-1),AU188=0),S188,0)</f>
        <v>0</v>
      </c>
      <c r="BY188" s="201">
        <f>IF(AND(Input_Product=Elig!$C188,Elig_MatchAll_Ct&lt;22,$BC188=(Elig_MatchAll_Ct-1),AV188=0),T188,0)</f>
        <v>0</v>
      </c>
      <c r="BZ188" s="202">
        <f>IF(AND(Input_Product=Elig!$C188,Elig_MatchAll_Ct&lt;22,$BC188=(Elig_MatchAll_Ct-1),AV188=0),U188,0)</f>
        <v>0</v>
      </c>
      <c r="CA188" s="201">
        <f>IF(AND(Input_Product=Elig!$C188,Elig_MatchAll_Ct&lt;22,$BC188=(Elig_MatchAll_Ct-1),AW188=0),V188,0)</f>
        <v>0</v>
      </c>
      <c r="CB188" s="202">
        <f>IF(AND(Input_Product=Elig!$C188,Elig_MatchAll_Ct&lt;22,$BC188=(Elig_MatchAll_Ct-1),AW188=0),W188,0)</f>
        <v>0</v>
      </c>
      <c r="CC188" s="201">
        <f>IF(AND(Input_Product=Elig!$C188,Elig_MatchAll_Ct&lt;22,$BC188=(Elig_MatchAll_Ct-1),AX188=0),X188,0)</f>
        <v>0</v>
      </c>
      <c r="CD188" s="202">
        <f>IF(AND(Input_Product=Elig!$C188,Elig_MatchAll_Ct&lt;22,$BC188=(Elig_MatchAll_Ct-1),AX188=0),Y188,0)</f>
        <v>0</v>
      </c>
      <c r="CE188" s="201">
        <f>IF(AND(Input_LTV&lt;=AE188,Input_Product=Elig!$C188,Elig_MatchAll_Ct&lt;22,$BC188=(Elig_MatchAll_Ct-1),AY188=0),Z188,0)</f>
        <v>0</v>
      </c>
      <c r="CF188" s="202">
        <f>IF(AND(Input_LTV&lt;=AE188,Input_Product=Elig!$C188,Elig_MatchAll_Ct&lt;22,$BC188=(Elig_MatchAll_Ct-1),AY188=0),AA188,0)</f>
        <v>0</v>
      </c>
      <c r="CG188" s="201">
        <f>IF(AND(Input_Product=Elig!$C188,Elig_MatchAll_Ct&lt;22,$BC188=(Elig_MatchAll_Ct-1),AZ188=0),AB188,0)</f>
        <v>0</v>
      </c>
      <c r="CH188" s="202">
        <f>IF(AND(Input_Product=Elig!$C188,Elig_MatchAll_Ct&lt;22,$BC188=(Elig_MatchAll_Ct-1),AZ188=0),AC188,0)</f>
        <v>0</v>
      </c>
      <c r="CI188" s="201">
        <f>IF(AND(Input_Product=Elig!$C188,Elig_MatchAll_Ct&lt;22,$BC188=(Elig_MatchAll_Ct-1),BA188=0),AD188,0)</f>
        <v>0</v>
      </c>
      <c r="CJ188" s="202">
        <f>IF(AND(Input_Product=Elig!$C188,Elig_MatchAll_Ct&lt;22,$BC188=(Elig_MatchAll_Ct-1),BA188=0),AE188,0)</f>
        <v>0</v>
      </c>
    </row>
    <row r="189" spans="2:88" ht="10.15" customHeight="1" x14ac:dyDescent="0.25">
      <c r="B189" s="1912" t="s">
        <v>937</v>
      </c>
      <c r="C189" s="134" t="str">
        <f t="shared" si="56"/>
        <v>NonQM OO</v>
      </c>
      <c r="D189" s="135" t="s">
        <v>3885</v>
      </c>
      <c r="E189" s="135" t="s">
        <v>167</v>
      </c>
      <c r="F189" s="135" t="s">
        <v>331</v>
      </c>
      <c r="G189" s="135" t="s">
        <v>303</v>
      </c>
      <c r="H189" s="135" t="s">
        <v>136</v>
      </c>
      <c r="I189" s="136" t="s">
        <v>274</v>
      </c>
      <c r="J189" s="136" t="s">
        <v>1311</v>
      </c>
      <c r="K189" s="136" t="s">
        <v>1631</v>
      </c>
      <c r="L189" s="221" t="s">
        <v>3920</v>
      </c>
      <c r="M189" s="135" t="s">
        <v>4203</v>
      </c>
      <c r="N189" s="135" t="s">
        <v>82</v>
      </c>
      <c r="O189" s="135" t="s">
        <v>310</v>
      </c>
      <c r="P189" s="135" t="s">
        <v>291</v>
      </c>
      <c r="Q189" s="135" t="s">
        <v>294</v>
      </c>
      <c r="R189" s="135">
        <v>2000000.01</v>
      </c>
      <c r="S189" s="221">
        <v>2500000</v>
      </c>
      <c r="T189" s="135">
        <v>0</v>
      </c>
      <c r="U189" s="135">
        <v>0</v>
      </c>
      <c r="V189" s="135">
        <v>0</v>
      </c>
      <c r="W189" s="135">
        <v>55</v>
      </c>
      <c r="X189" s="135">
        <v>0</v>
      </c>
      <c r="Y189" s="135">
        <v>999</v>
      </c>
      <c r="Z189" s="2100">
        <v>680</v>
      </c>
      <c r="AA189" s="2100">
        <v>699</v>
      </c>
      <c r="AB189" s="137">
        <v>9</v>
      </c>
      <c r="AC189" s="137">
        <v>999999</v>
      </c>
      <c r="AD189" s="135">
        <v>0</v>
      </c>
      <c r="AE189" s="221">
        <v>75</v>
      </c>
      <c r="AF189" s="170">
        <v>0</v>
      </c>
      <c r="AG189" s="171">
        <v>1</v>
      </c>
      <c r="AH189" s="171">
        <v>1</v>
      </c>
      <c r="AI189" s="171">
        <v>1</v>
      </c>
      <c r="AJ189" s="171">
        <v>1</v>
      </c>
      <c r="AK189" s="171">
        <v>1</v>
      </c>
      <c r="AL189" s="171">
        <v>0</v>
      </c>
      <c r="AM189" s="171">
        <v>1</v>
      </c>
      <c r="AN189" s="171">
        <v>1</v>
      </c>
      <c r="AO189" s="171">
        <v>1</v>
      </c>
      <c r="AP189" s="171">
        <v>1</v>
      </c>
      <c r="AQ189" s="171">
        <v>1</v>
      </c>
      <c r="AR189" s="171">
        <v>1</v>
      </c>
      <c r="AS189" s="171">
        <v>1</v>
      </c>
      <c r="AT189" s="171">
        <v>1</v>
      </c>
      <c r="AU189" s="171">
        <f t="shared" si="58"/>
        <v>0</v>
      </c>
      <c r="AV189" s="171">
        <f t="shared" si="59"/>
        <v>0</v>
      </c>
      <c r="AW189" s="171">
        <f t="shared" si="60"/>
        <v>1</v>
      </c>
      <c r="AX189" s="171">
        <f t="shared" si="53"/>
        <v>1</v>
      </c>
      <c r="AY189" s="171">
        <f t="shared" si="61"/>
        <v>0</v>
      </c>
      <c r="AZ189" s="171">
        <f t="shared" si="62"/>
        <v>1</v>
      </c>
      <c r="BA189" s="172">
        <f t="shared" si="63"/>
        <v>1</v>
      </c>
      <c r="BB189" s="175">
        <f t="shared" ref="BB189" si="64">SUM(AF189:BA189)</f>
        <v>17</v>
      </c>
      <c r="BC189" s="176">
        <f t="shared" ref="BC189" si="65">SUM(AF189:AZ189)</f>
        <v>16</v>
      </c>
      <c r="BD189" s="176">
        <f t="shared" ref="BD189" si="66">SUM(AG189:BA189)</f>
        <v>17</v>
      </c>
      <c r="BE189" s="240" t="str">
        <f t="shared" si="51"/>
        <v/>
      </c>
      <c r="BH189" s="199">
        <f>IF(AND(Input_Product=Elig!$C189,Elig_MatchAll_Ct&lt;22,$BC189=(Elig_MatchAll_Ct-1),AF189=0),C189,0)</f>
        <v>0</v>
      </c>
      <c r="BI189" s="199">
        <f>IF(AND(Input_Product=Elig!$C189,Elig_MatchAll_Ct&lt;22,$BC189=(Elig_MatchAll_Ct-1),AG189=0),D189,0)</f>
        <v>0</v>
      </c>
      <c r="BJ189" s="199">
        <f>IF(AND(Input_Product=Elig!$C189,Elig_MatchAll_Ct&lt;22,$BC189=(Elig_MatchAll_Ct-1),AH189=0),E189,0)</f>
        <v>0</v>
      </c>
      <c r="BK189" s="199">
        <f>IF(AND(Input_Product=Elig!$C189,Elig_MatchAll_Ct&lt;22,$BC189=(Elig_MatchAll_Ct-1),AI189=0),F189,0)</f>
        <v>0</v>
      </c>
      <c r="BL189" s="199">
        <f>IF(AND(Input_Product=Elig!$C189,Elig_MatchAll_Ct&lt;22,$BC189=(Elig_MatchAll_Ct-1),AJ189=0),G189,0)</f>
        <v>0</v>
      </c>
      <c r="BM189" s="199">
        <f>IF(AND(Input_Product=Elig!$C189,Elig_MatchAll_Ct&lt;22,$BC189=(Elig_MatchAll_Ct-1),AK189=0),H189,0)</f>
        <v>0</v>
      </c>
      <c r="BN189" s="199">
        <f>IF(AND(Input_Product=Elig!$C189,Elig_MatchAll_Ct&lt;22,$BC189=(Elig_MatchAll_Ct-1),AL189=0),I189,0)</f>
        <v>0</v>
      </c>
      <c r="BO189" s="199">
        <f>IF(AND(Input_Product=Elig!$C189,Elig_MatchAll_Ct&lt;22,$BC189=(Elig_MatchAll_Ct-1),AM189=0),J189,0)</f>
        <v>0</v>
      </c>
      <c r="BP189" s="199">
        <f>IF(AND(Input_Product=Elig!$C189,Elig_MatchAll_Ct&lt;22,$BC189=(Elig_MatchAll_Ct-1),AN189=0),K189,0)</f>
        <v>0</v>
      </c>
      <c r="BQ189" s="199">
        <f>IF(AND(Input_Product=Elig!$C189,Elig_MatchAll_Ct&lt;22,$BC189=(Elig_MatchAll_Ct-1),AP189=0),L189,0)</f>
        <v>0</v>
      </c>
      <c r="BR189" s="199">
        <f>IF(AND(Input_Product=Elig!$C189,Elig_MatchAll_Ct&lt;22,$BC189=(Elig_MatchAll_Ct-1),AO189=0),M189,0)</f>
        <v>0</v>
      </c>
      <c r="BS189" s="199">
        <f>IF(AND(Input_Product=Elig!$C189,Elig_MatchAll_Ct&lt;22,$BC189=(Elig_MatchAll_Ct-1),AQ189=0),N189,0)</f>
        <v>0</v>
      </c>
      <c r="BT189" s="199">
        <f>IF(AND(Input_Product=Elig!$C189,Elig_MatchAll_Ct&lt;22,$BC189=(Elig_MatchAll_Ct-1),AR189=0),O189,0)</f>
        <v>0</v>
      </c>
      <c r="BU189" s="199">
        <f>IF(AND(Input_Product=Elig!$C189,Elig_MatchAll_Ct&lt;22,$BC189=(Elig_MatchAll_Ct-1),AS189=0),P189,0)</f>
        <v>0</v>
      </c>
      <c r="BV189" s="200">
        <f>IF(AND(Input_Product=Elig!$C189,Elig_MatchAll_Ct&lt;22,$BC189=(Elig_MatchAll_Ct-1),AT189=0),Q189,0)</f>
        <v>0</v>
      </c>
      <c r="BW189" s="201">
        <f>IF(AND(Input_Product=Elig!$C189,Elig_MatchAll_Ct&lt;22,$BC189=(Elig_MatchAll_Ct-1),AU189=0),R189,0)</f>
        <v>0</v>
      </c>
      <c r="BX189" s="202">
        <f>IF(AND(Input_Product=Elig!$C189,Elig_MatchAll_Ct&lt;22,$BC189=(Elig_MatchAll_Ct-1),AU189=0),S189,0)</f>
        <v>0</v>
      </c>
      <c r="BY189" s="201">
        <f>IF(AND(Input_Product=Elig!$C189,Elig_MatchAll_Ct&lt;22,$BC189=(Elig_MatchAll_Ct-1),AV189=0),T189,0)</f>
        <v>0</v>
      </c>
      <c r="BZ189" s="202">
        <f>IF(AND(Input_Product=Elig!$C189,Elig_MatchAll_Ct&lt;22,$BC189=(Elig_MatchAll_Ct-1),AV189=0),U189,0)</f>
        <v>0</v>
      </c>
      <c r="CA189" s="201">
        <f>IF(AND(Input_Product=Elig!$C189,Elig_MatchAll_Ct&lt;22,$BC189=(Elig_MatchAll_Ct-1),AW189=0),V189,0)</f>
        <v>0</v>
      </c>
      <c r="CB189" s="202">
        <f>IF(AND(Input_Product=Elig!$C189,Elig_MatchAll_Ct&lt;22,$BC189=(Elig_MatchAll_Ct-1),AW189=0),W189,0)</f>
        <v>0</v>
      </c>
      <c r="CC189" s="201">
        <f>IF(AND(Input_Product=Elig!$C189,Elig_MatchAll_Ct&lt;22,$BC189=(Elig_MatchAll_Ct-1),AX189=0),X189,0)</f>
        <v>0</v>
      </c>
      <c r="CD189" s="202">
        <f>IF(AND(Input_Product=Elig!$C189,Elig_MatchAll_Ct&lt;22,$BC189=(Elig_MatchAll_Ct-1),AX189=0),Y189,0)</f>
        <v>0</v>
      </c>
      <c r="CE189" s="201">
        <f>IF(AND(Input_LTV&lt;=AE189,Input_Product=Elig!$C189,Elig_MatchAll_Ct&lt;22,$BC189=(Elig_MatchAll_Ct-1),AY189=0),Z189,0)</f>
        <v>0</v>
      </c>
      <c r="CF189" s="202">
        <f>IF(AND(Input_LTV&lt;=AE189,Input_Product=Elig!$C189,Elig_MatchAll_Ct&lt;22,$BC189=(Elig_MatchAll_Ct-1),AY189=0),AA189,0)</f>
        <v>0</v>
      </c>
      <c r="CG189" s="201">
        <f>IF(AND(Input_Product=Elig!$C189,Elig_MatchAll_Ct&lt;22,$BC189=(Elig_MatchAll_Ct-1),AZ189=0),AB189,0)</f>
        <v>0</v>
      </c>
      <c r="CH189" s="202">
        <f>IF(AND(Input_Product=Elig!$C189,Elig_MatchAll_Ct&lt;22,$BC189=(Elig_MatchAll_Ct-1),AZ189=0),AC189,0)</f>
        <v>0</v>
      </c>
      <c r="CI189" s="201">
        <f>IF(AND(Input_Product=Elig!$C189,Elig_MatchAll_Ct&lt;22,$BC189=(Elig_MatchAll_Ct-1),BA189=0),AD189,0)</f>
        <v>0</v>
      </c>
      <c r="CJ189" s="202">
        <f>IF(AND(Input_Product=Elig!$C189,Elig_MatchAll_Ct&lt;22,$BC189=(Elig_MatchAll_Ct-1),BA189=0),AE189,0)</f>
        <v>0</v>
      </c>
    </row>
    <row r="190" spans="2:88" ht="10.15" customHeight="1" x14ac:dyDescent="0.25">
      <c r="B190" s="1912" t="s">
        <v>938</v>
      </c>
      <c r="C190" s="134" t="str">
        <f t="shared" si="56"/>
        <v>NonQM OO</v>
      </c>
      <c r="D190" s="135" t="s">
        <v>3885</v>
      </c>
      <c r="E190" s="135" t="s">
        <v>167</v>
      </c>
      <c r="F190" s="135" t="s">
        <v>331</v>
      </c>
      <c r="G190" s="135" t="s">
        <v>303</v>
      </c>
      <c r="H190" s="135" t="s">
        <v>136</v>
      </c>
      <c r="I190" s="136" t="s">
        <v>274</v>
      </c>
      <c r="J190" s="136" t="s">
        <v>1311</v>
      </c>
      <c r="K190" s="136" t="s">
        <v>1631</v>
      </c>
      <c r="L190" s="221" t="s">
        <v>3920</v>
      </c>
      <c r="M190" s="135" t="s">
        <v>4203</v>
      </c>
      <c r="N190" s="135" t="s">
        <v>82</v>
      </c>
      <c r="O190" s="135" t="s">
        <v>310</v>
      </c>
      <c r="P190" s="135" t="s">
        <v>291</v>
      </c>
      <c r="Q190" s="135" t="s">
        <v>294</v>
      </c>
      <c r="R190" s="135">
        <v>2000000.01</v>
      </c>
      <c r="S190" s="221">
        <v>2500000</v>
      </c>
      <c r="T190" s="135">
        <v>0</v>
      </c>
      <c r="U190" s="135">
        <v>0</v>
      </c>
      <c r="V190" s="135">
        <v>0</v>
      </c>
      <c r="W190" s="135">
        <v>55</v>
      </c>
      <c r="X190" s="135">
        <v>0</v>
      </c>
      <c r="Y190" s="135">
        <v>999</v>
      </c>
      <c r="Z190" s="2100">
        <v>660</v>
      </c>
      <c r="AA190" s="2100">
        <v>679</v>
      </c>
      <c r="AB190" s="137">
        <v>9</v>
      </c>
      <c r="AC190" s="137">
        <v>999999</v>
      </c>
      <c r="AD190" s="135">
        <v>0</v>
      </c>
      <c r="AE190" s="221">
        <v>70</v>
      </c>
      <c r="AF190" s="170">
        <v>0</v>
      </c>
      <c r="AG190" s="171">
        <v>1</v>
      </c>
      <c r="AH190" s="171">
        <v>1</v>
      </c>
      <c r="AI190" s="171">
        <v>1</v>
      </c>
      <c r="AJ190" s="171">
        <v>1</v>
      </c>
      <c r="AK190" s="171">
        <v>1</v>
      </c>
      <c r="AL190" s="171">
        <v>0</v>
      </c>
      <c r="AM190" s="171">
        <v>1</v>
      </c>
      <c r="AN190" s="171">
        <v>1</v>
      </c>
      <c r="AO190" s="171">
        <v>1</v>
      </c>
      <c r="AP190" s="171">
        <v>1</v>
      </c>
      <c r="AQ190" s="171">
        <v>1</v>
      </c>
      <c r="AR190" s="171">
        <v>1</v>
      </c>
      <c r="AS190" s="171">
        <v>1</v>
      </c>
      <c r="AT190" s="171">
        <v>1</v>
      </c>
      <c r="AU190" s="171">
        <f t="shared" si="58"/>
        <v>0</v>
      </c>
      <c r="AV190" s="171">
        <f t="shared" si="59"/>
        <v>0</v>
      </c>
      <c r="AW190" s="171">
        <f t="shared" si="60"/>
        <v>1</v>
      </c>
      <c r="AX190" s="171">
        <f t="shared" si="53"/>
        <v>1</v>
      </c>
      <c r="AY190" s="171">
        <f t="shared" si="61"/>
        <v>0</v>
      </c>
      <c r="AZ190" s="171">
        <f t="shared" si="62"/>
        <v>1</v>
      </c>
      <c r="BA190" s="172">
        <f t="shared" si="63"/>
        <v>1</v>
      </c>
      <c r="BB190" s="175">
        <f t="shared" si="47"/>
        <v>17</v>
      </c>
      <c r="BC190" s="176">
        <f t="shared" si="48"/>
        <v>16</v>
      </c>
      <c r="BD190" s="176">
        <f t="shared" si="49"/>
        <v>17</v>
      </c>
      <c r="BE190" s="240" t="str">
        <f t="shared" si="51"/>
        <v/>
      </c>
      <c r="BH190" s="214">
        <f>IF(AND(Input_Product=Elig!$C190,Elig_MatchAll_Ct&lt;22,$BC190=(Elig_MatchAll_Ct-1),AF190=0),C190,0)</f>
        <v>0</v>
      </c>
      <c r="BI190" s="214">
        <f>IF(AND(Input_Product=Elig!$C190,Elig_MatchAll_Ct&lt;22,$BC190=(Elig_MatchAll_Ct-1),AG190=0),D190,0)</f>
        <v>0</v>
      </c>
      <c r="BJ190" s="214">
        <f>IF(AND(Input_Product=Elig!$C190,Elig_MatchAll_Ct&lt;22,$BC190=(Elig_MatchAll_Ct-1),AH190=0),E190,0)</f>
        <v>0</v>
      </c>
      <c r="BK190" s="214">
        <f>IF(AND(Input_Product=Elig!$C190,Elig_MatchAll_Ct&lt;22,$BC190=(Elig_MatchAll_Ct-1),AI190=0),F190,0)</f>
        <v>0</v>
      </c>
      <c r="BL190" s="214">
        <f>IF(AND(Input_Product=Elig!$C190,Elig_MatchAll_Ct&lt;22,$BC190=(Elig_MatchAll_Ct-1),AJ190=0),G190,0)</f>
        <v>0</v>
      </c>
      <c r="BM190" s="214">
        <f>IF(AND(Input_Product=Elig!$C190,Elig_MatchAll_Ct&lt;22,$BC190=(Elig_MatchAll_Ct-1),AK190=0),H190,0)</f>
        <v>0</v>
      </c>
      <c r="BN190" s="214">
        <f>IF(AND(Input_Product=Elig!$C190,Elig_MatchAll_Ct&lt;22,$BC190=(Elig_MatchAll_Ct-1),AL190=0),I190,0)</f>
        <v>0</v>
      </c>
      <c r="BO190" s="214">
        <f>IF(AND(Input_Product=Elig!$C190,Elig_MatchAll_Ct&lt;22,$BC190=(Elig_MatchAll_Ct-1),AM190=0),J190,0)</f>
        <v>0</v>
      </c>
      <c r="BP190" s="214">
        <f>IF(AND(Input_Product=Elig!$C190,Elig_MatchAll_Ct&lt;22,$BC190=(Elig_MatchAll_Ct-1),AN190=0),K190,0)</f>
        <v>0</v>
      </c>
      <c r="BQ190" s="214">
        <f>IF(AND(Input_Product=Elig!$C190,Elig_MatchAll_Ct&lt;22,$BC190=(Elig_MatchAll_Ct-1),AP190=0),L190,0)</f>
        <v>0</v>
      </c>
      <c r="BR190" s="214">
        <f>IF(AND(Input_Product=Elig!$C190,Elig_MatchAll_Ct&lt;22,$BC190=(Elig_MatchAll_Ct-1),AO190=0),M190,0)</f>
        <v>0</v>
      </c>
      <c r="BS190" s="214">
        <f>IF(AND(Input_Product=Elig!$C190,Elig_MatchAll_Ct&lt;22,$BC190=(Elig_MatchAll_Ct-1),AQ190=0),N190,0)</f>
        <v>0</v>
      </c>
      <c r="BT190" s="214">
        <f>IF(AND(Input_Product=Elig!$C190,Elig_MatchAll_Ct&lt;22,$BC190=(Elig_MatchAll_Ct-1),AR190=0),O190,0)</f>
        <v>0</v>
      </c>
      <c r="BU190" s="214">
        <f>IF(AND(Input_Product=Elig!$C190,Elig_MatchAll_Ct&lt;22,$BC190=(Elig_MatchAll_Ct-1),AS190=0),P190,0)</f>
        <v>0</v>
      </c>
      <c r="BV190" s="215">
        <f>IF(AND(Input_Product=Elig!$C190,Elig_MatchAll_Ct&lt;22,$BC190=(Elig_MatchAll_Ct-1),AT190=0),Q190,0)</f>
        <v>0</v>
      </c>
      <c r="BW190" s="311">
        <f>IF(AND(Input_Product=Elig!$C190,Elig_MatchAll_Ct&lt;22,$BC190=(Elig_MatchAll_Ct-1),AU190=0),R190,0)</f>
        <v>0</v>
      </c>
      <c r="BX190" s="312">
        <f>IF(AND(Input_Product=Elig!$C190,Elig_MatchAll_Ct&lt;22,$BC190=(Elig_MatchAll_Ct-1),AU190=0),S190,0)</f>
        <v>0</v>
      </c>
      <c r="BY190" s="311">
        <f>IF(AND(Input_Product=Elig!$C190,Elig_MatchAll_Ct&lt;22,$BC190=(Elig_MatchAll_Ct-1),AV190=0),T190,0)</f>
        <v>0</v>
      </c>
      <c r="BZ190" s="312">
        <f>IF(AND(Input_Product=Elig!$C190,Elig_MatchAll_Ct&lt;22,$BC190=(Elig_MatchAll_Ct-1),AV190=0),U190,0)</f>
        <v>0</v>
      </c>
      <c r="CA190" s="311">
        <f>IF(AND(Input_Product=Elig!$C190,Elig_MatchAll_Ct&lt;22,$BC190=(Elig_MatchAll_Ct-1),AW190=0),V190,0)</f>
        <v>0</v>
      </c>
      <c r="CB190" s="312">
        <f>IF(AND(Input_Product=Elig!$C190,Elig_MatchAll_Ct&lt;22,$BC190=(Elig_MatchAll_Ct-1),AW190=0),W190,0)</f>
        <v>0</v>
      </c>
      <c r="CC190" s="311">
        <f>IF(AND(Input_Product=Elig!$C190,Elig_MatchAll_Ct&lt;22,$BC190=(Elig_MatchAll_Ct-1),AX190=0),X190,0)</f>
        <v>0</v>
      </c>
      <c r="CD190" s="312">
        <f>IF(AND(Input_Product=Elig!$C190,Elig_MatchAll_Ct&lt;22,$BC190=(Elig_MatchAll_Ct-1),AX190=0),Y190,0)</f>
        <v>0</v>
      </c>
      <c r="CE190" s="311">
        <f>IF(AND(Input_LTV&lt;=AE190,Input_Product=Elig!$C190,Elig_MatchAll_Ct&lt;22,$BC190=(Elig_MatchAll_Ct-1),AY190=0),Z190,0)</f>
        <v>0</v>
      </c>
      <c r="CF190" s="312">
        <f>IF(AND(Input_LTV&lt;=AE190,Input_Product=Elig!$C190,Elig_MatchAll_Ct&lt;22,$BC190=(Elig_MatchAll_Ct-1),AY190=0),AA190,0)</f>
        <v>0</v>
      </c>
      <c r="CG190" s="311">
        <f>IF(AND(Input_Product=Elig!$C190,Elig_MatchAll_Ct&lt;22,$BC190=(Elig_MatchAll_Ct-1),AZ190=0),AB190,0)</f>
        <v>0</v>
      </c>
      <c r="CH190" s="312">
        <f>IF(AND(Input_Product=Elig!$C190,Elig_MatchAll_Ct&lt;22,$BC190=(Elig_MatchAll_Ct-1),AZ190=0),AC190,0)</f>
        <v>0</v>
      </c>
      <c r="CI190" s="311">
        <f>IF(AND(Input_Product=Elig!$C190,Elig_MatchAll_Ct&lt;22,$BC190=(Elig_MatchAll_Ct-1),BA190=0),AD190,0)</f>
        <v>0</v>
      </c>
      <c r="CJ190" s="312">
        <f>IF(AND(Input_Product=Elig!$C190,Elig_MatchAll_Ct&lt;22,$BC190=(Elig_MatchAll_Ct-1),BA190=0),AE190,0)</f>
        <v>0</v>
      </c>
    </row>
    <row r="191" spans="2:88" ht="10.15" customHeight="1" x14ac:dyDescent="0.25">
      <c r="B191" s="1912" t="s">
        <v>939</v>
      </c>
      <c r="C191" s="141" t="str">
        <f t="shared" si="56"/>
        <v>NonQM OO</v>
      </c>
      <c r="D191" s="142" t="s">
        <v>3885</v>
      </c>
      <c r="E191" s="143" t="s">
        <v>167</v>
      </c>
      <c r="F191" s="143" t="s">
        <v>331</v>
      </c>
      <c r="G191" s="143" t="s">
        <v>303</v>
      </c>
      <c r="H191" s="143" t="s">
        <v>136</v>
      </c>
      <c r="I191" s="142" t="s">
        <v>16</v>
      </c>
      <c r="J191" s="142" t="s">
        <v>1311</v>
      </c>
      <c r="K191" s="142" t="s">
        <v>1631</v>
      </c>
      <c r="L191" s="2131" t="s">
        <v>3920</v>
      </c>
      <c r="M191" s="143" t="s">
        <v>4203</v>
      </c>
      <c r="N191" s="143" t="s">
        <v>82</v>
      </c>
      <c r="O191" s="143" t="s">
        <v>310</v>
      </c>
      <c r="P191" s="143" t="s">
        <v>291</v>
      </c>
      <c r="Q191" s="143" t="s">
        <v>294</v>
      </c>
      <c r="R191" s="142">
        <v>2000000.01</v>
      </c>
      <c r="S191" s="320">
        <v>2500000</v>
      </c>
      <c r="T191" s="142">
        <v>0</v>
      </c>
      <c r="U191" s="142">
        <f t="shared" ref="U191:U194" si="67">S191</f>
        <v>2500000</v>
      </c>
      <c r="V191" s="142">
        <v>0</v>
      </c>
      <c r="W191" s="142">
        <v>55</v>
      </c>
      <c r="X191" s="142">
        <v>0</v>
      </c>
      <c r="Y191" s="142">
        <v>999</v>
      </c>
      <c r="Z191" s="144">
        <v>720</v>
      </c>
      <c r="AA191" s="144">
        <v>999</v>
      </c>
      <c r="AB191" s="144">
        <v>9</v>
      </c>
      <c r="AC191" s="144">
        <v>999999</v>
      </c>
      <c r="AD191" s="142">
        <v>0</v>
      </c>
      <c r="AE191" s="320">
        <v>75</v>
      </c>
      <c r="AF191" s="170">
        <v>0</v>
      </c>
      <c r="AG191" s="171">
        <v>1</v>
      </c>
      <c r="AH191" s="171">
        <v>1</v>
      </c>
      <c r="AI191" s="171">
        <v>1</v>
      </c>
      <c r="AJ191" s="171">
        <v>1</v>
      </c>
      <c r="AK191" s="171">
        <v>1</v>
      </c>
      <c r="AL191" s="171">
        <v>1</v>
      </c>
      <c r="AM191" s="171">
        <v>1</v>
      </c>
      <c r="AN191" s="171">
        <v>1</v>
      </c>
      <c r="AO191" s="171">
        <v>1</v>
      </c>
      <c r="AP191" s="171">
        <v>1</v>
      </c>
      <c r="AQ191" s="171">
        <v>1</v>
      </c>
      <c r="AR191" s="171">
        <v>1</v>
      </c>
      <c r="AS191" s="171">
        <v>1</v>
      </c>
      <c r="AT191" s="171">
        <v>1</v>
      </c>
      <c r="AU191" s="171">
        <f t="shared" si="58"/>
        <v>0</v>
      </c>
      <c r="AV191" s="171">
        <f t="shared" si="59"/>
        <v>1</v>
      </c>
      <c r="AW191" s="171">
        <f t="shared" si="60"/>
        <v>1</v>
      </c>
      <c r="AX191" s="171">
        <f t="shared" si="53"/>
        <v>1</v>
      </c>
      <c r="AY191" s="171">
        <f t="shared" si="61"/>
        <v>1</v>
      </c>
      <c r="AZ191" s="171">
        <f t="shared" si="62"/>
        <v>1</v>
      </c>
      <c r="BA191" s="172">
        <f t="shared" si="63"/>
        <v>1</v>
      </c>
      <c r="BB191" s="175">
        <f t="shared" si="47"/>
        <v>20</v>
      </c>
      <c r="BC191" s="176">
        <f t="shared" si="48"/>
        <v>19</v>
      </c>
      <c r="BD191" s="176">
        <f t="shared" si="49"/>
        <v>20</v>
      </c>
      <c r="BE191" s="240" t="str">
        <f t="shared" si="51"/>
        <v/>
      </c>
      <c r="BH191" s="210">
        <f>IF(AND(Input_Product=Elig!$C191,Elig_MatchAll_Ct&lt;22,$BC191=(Elig_MatchAll_Ct-1),AF191=0),C191,0)</f>
        <v>0</v>
      </c>
      <c r="BI191" s="210">
        <f>IF(AND(Input_Product=Elig!$C191,Elig_MatchAll_Ct&lt;22,$BC191=(Elig_MatchAll_Ct-1),AG191=0),D191,0)</f>
        <v>0</v>
      </c>
      <c r="BJ191" s="210">
        <f>IF(AND(Input_Product=Elig!$C191,Elig_MatchAll_Ct&lt;22,$BC191=(Elig_MatchAll_Ct-1),AH191=0),E191,0)</f>
        <v>0</v>
      </c>
      <c r="BK191" s="210">
        <f>IF(AND(Input_Product=Elig!$C191,Elig_MatchAll_Ct&lt;22,$BC191=(Elig_MatchAll_Ct-1),AI191=0),F191,0)</f>
        <v>0</v>
      </c>
      <c r="BL191" s="210">
        <f>IF(AND(Input_Product=Elig!$C191,Elig_MatchAll_Ct&lt;22,$BC191=(Elig_MatchAll_Ct-1),AJ191=0),G191,0)</f>
        <v>0</v>
      </c>
      <c r="BM191" s="210">
        <f>IF(AND(Input_Product=Elig!$C191,Elig_MatchAll_Ct&lt;22,$BC191=(Elig_MatchAll_Ct-1),AK191=0),H191,0)</f>
        <v>0</v>
      </c>
      <c r="BN191" s="210">
        <f>IF(AND(Input_Product=Elig!$C191,Elig_MatchAll_Ct&lt;22,$BC191=(Elig_MatchAll_Ct-1),AL191=0),I191,0)</f>
        <v>0</v>
      </c>
      <c r="BO191" s="210">
        <f>IF(AND(Input_Product=Elig!$C191,Elig_MatchAll_Ct&lt;22,$BC191=(Elig_MatchAll_Ct-1),AM191=0),J191,0)</f>
        <v>0</v>
      </c>
      <c r="BP191" s="210">
        <f>IF(AND(Input_Product=Elig!$C191,Elig_MatchAll_Ct&lt;22,$BC191=(Elig_MatchAll_Ct-1),AN191=0),K191,0)</f>
        <v>0</v>
      </c>
      <c r="BQ191" s="210">
        <f>IF(AND(Input_Product=Elig!$C191,Elig_MatchAll_Ct&lt;22,$BC191=(Elig_MatchAll_Ct-1),AP191=0),L191,0)</f>
        <v>0</v>
      </c>
      <c r="BR191" s="210">
        <f>IF(AND(Input_Product=Elig!$C191,Elig_MatchAll_Ct&lt;22,$BC191=(Elig_MatchAll_Ct-1),AO191=0),M191,0)</f>
        <v>0</v>
      </c>
      <c r="BS191" s="210">
        <f>IF(AND(Input_Product=Elig!$C191,Elig_MatchAll_Ct&lt;22,$BC191=(Elig_MatchAll_Ct-1),AQ191=0),N191,0)</f>
        <v>0</v>
      </c>
      <c r="BT191" s="210">
        <f>IF(AND(Input_Product=Elig!$C191,Elig_MatchAll_Ct&lt;22,$BC191=(Elig_MatchAll_Ct-1),AR191=0),O191,0)</f>
        <v>0</v>
      </c>
      <c r="BU191" s="210">
        <f>IF(AND(Input_Product=Elig!$C191,Elig_MatchAll_Ct&lt;22,$BC191=(Elig_MatchAll_Ct-1),AS191=0),P191,0)</f>
        <v>0</v>
      </c>
      <c r="BV191" s="211">
        <f>IF(AND(Input_Product=Elig!$C191,Elig_MatchAll_Ct&lt;22,$BC191=(Elig_MatchAll_Ct-1),AT191=0),Q191,0)</f>
        <v>0</v>
      </c>
      <c r="BW191" s="212">
        <f>IF(AND(Input_Product=Elig!$C191,Elig_MatchAll_Ct&lt;22,$BC191=(Elig_MatchAll_Ct-1),AU191=0),R191,0)</f>
        <v>0</v>
      </c>
      <c r="BX191" s="213">
        <f>IF(AND(Input_Product=Elig!$C191,Elig_MatchAll_Ct&lt;22,$BC191=(Elig_MatchAll_Ct-1),AU191=0),S191,0)</f>
        <v>0</v>
      </c>
      <c r="BY191" s="212">
        <f>IF(AND(Input_Product=Elig!$C191,Elig_MatchAll_Ct&lt;22,$BC191=(Elig_MatchAll_Ct-1),AV191=0),T191,0)</f>
        <v>0</v>
      </c>
      <c r="BZ191" s="213">
        <f>IF(AND(Input_Product=Elig!$C191,Elig_MatchAll_Ct&lt;22,$BC191=(Elig_MatchAll_Ct-1),AV191=0),U191,0)</f>
        <v>0</v>
      </c>
      <c r="CA191" s="212">
        <f>IF(AND(Input_Product=Elig!$C191,Elig_MatchAll_Ct&lt;22,$BC191=(Elig_MatchAll_Ct-1),AW191=0),V191,0)</f>
        <v>0</v>
      </c>
      <c r="CB191" s="213">
        <f>IF(AND(Input_Product=Elig!$C191,Elig_MatchAll_Ct&lt;22,$BC191=(Elig_MatchAll_Ct-1),AW191=0),W191,0)</f>
        <v>0</v>
      </c>
      <c r="CC191" s="212">
        <f>IF(AND(Input_Product=Elig!$C191,Elig_MatchAll_Ct&lt;22,$BC191=(Elig_MatchAll_Ct-1),AX191=0),X191,0)</f>
        <v>0</v>
      </c>
      <c r="CD191" s="213">
        <f>IF(AND(Input_Product=Elig!$C191,Elig_MatchAll_Ct&lt;22,$BC191=(Elig_MatchAll_Ct-1),AX191=0),Y191,0)</f>
        <v>0</v>
      </c>
      <c r="CE191" s="212">
        <f>IF(AND(Input_LTV&lt;=AE191,Input_Product=Elig!$C191,Elig_MatchAll_Ct&lt;22,$BC191=(Elig_MatchAll_Ct-1),AY191=0),Z191,0)</f>
        <v>0</v>
      </c>
      <c r="CF191" s="213">
        <f>IF(AND(Input_LTV&lt;=AE191,Input_Product=Elig!$C191,Elig_MatchAll_Ct&lt;22,$BC191=(Elig_MatchAll_Ct-1),AY191=0),AA191,0)</f>
        <v>0</v>
      </c>
      <c r="CG191" s="212">
        <f>IF(AND(Input_Product=Elig!$C191,Elig_MatchAll_Ct&lt;22,$BC191=(Elig_MatchAll_Ct-1),AZ191=0),AB191,0)</f>
        <v>0</v>
      </c>
      <c r="CH191" s="213">
        <f>IF(AND(Input_Product=Elig!$C191,Elig_MatchAll_Ct&lt;22,$BC191=(Elig_MatchAll_Ct-1),AZ191=0),AC191,0)</f>
        <v>0</v>
      </c>
      <c r="CI191" s="212">
        <f>IF(AND(Input_Product=Elig!$C191,Elig_MatchAll_Ct&lt;22,$BC191=(Elig_MatchAll_Ct-1),BA191=0),AD191,0)</f>
        <v>0</v>
      </c>
      <c r="CJ191" s="213">
        <f>IF(AND(Input_Product=Elig!$C191,Elig_MatchAll_Ct&lt;22,$BC191=(Elig_MatchAll_Ct-1),BA191=0),AE191,0)</f>
        <v>0</v>
      </c>
    </row>
    <row r="192" spans="2:88" ht="10.15" customHeight="1" x14ac:dyDescent="0.25">
      <c r="B192" s="1912" t="s">
        <v>940</v>
      </c>
      <c r="C192" s="134" t="str">
        <f t="shared" si="56"/>
        <v>NonQM OO</v>
      </c>
      <c r="D192" s="135" t="s">
        <v>3885</v>
      </c>
      <c r="E192" s="135" t="s">
        <v>167</v>
      </c>
      <c r="F192" s="135" t="s">
        <v>331</v>
      </c>
      <c r="G192" s="135" t="s">
        <v>303</v>
      </c>
      <c r="H192" s="135" t="s">
        <v>136</v>
      </c>
      <c r="I192" s="136" t="s">
        <v>16</v>
      </c>
      <c r="J192" s="136" t="s">
        <v>1311</v>
      </c>
      <c r="K192" s="136" t="s">
        <v>1631</v>
      </c>
      <c r="L192" s="221" t="s">
        <v>3920</v>
      </c>
      <c r="M192" s="135" t="s">
        <v>4203</v>
      </c>
      <c r="N192" s="135" t="s">
        <v>82</v>
      </c>
      <c r="O192" s="135" t="s">
        <v>310</v>
      </c>
      <c r="P192" s="135" t="s">
        <v>291</v>
      </c>
      <c r="Q192" s="135" t="s">
        <v>294</v>
      </c>
      <c r="R192" s="135">
        <v>2000000.01</v>
      </c>
      <c r="S192" s="221">
        <v>2500000</v>
      </c>
      <c r="T192" s="135">
        <v>0</v>
      </c>
      <c r="U192" s="135">
        <f t="shared" si="67"/>
        <v>2500000</v>
      </c>
      <c r="V192" s="135">
        <v>0</v>
      </c>
      <c r="W192" s="135">
        <v>55</v>
      </c>
      <c r="X192" s="135">
        <v>0</v>
      </c>
      <c r="Y192" s="135">
        <v>999</v>
      </c>
      <c r="Z192" s="137">
        <v>700</v>
      </c>
      <c r="AA192" s="137">
        <v>719</v>
      </c>
      <c r="AB192" s="137">
        <v>9</v>
      </c>
      <c r="AC192" s="137">
        <v>999999</v>
      </c>
      <c r="AD192" s="135">
        <v>0</v>
      </c>
      <c r="AE192" s="221">
        <v>65</v>
      </c>
      <c r="AF192" s="170">
        <v>0</v>
      </c>
      <c r="AG192" s="171">
        <v>1</v>
      </c>
      <c r="AH192" s="171">
        <v>1</v>
      </c>
      <c r="AI192" s="171">
        <v>1</v>
      </c>
      <c r="AJ192" s="171">
        <v>1</v>
      </c>
      <c r="AK192" s="171">
        <v>1</v>
      </c>
      <c r="AL192" s="171">
        <v>1</v>
      </c>
      <c r="AM192" s="171">
        <v>1</v>
      </c>
      <c r="AN192" s="171">
        <v>1</v>
      </c>
      <c r="AO192" s="171">
        <v>1</v>
      </c>
      <c r="AP192" s="171">
        <v>1</v>
      </c>
      <c r="AQ192" s="171">
        <v>1</v>
      </c>
      <c r="AR192" s="171">
        <v>1</v>
      </c>
      <c r="AS192" s="171">
        <v>1</v>
      </c>
      <c r="AT192" s="171">
        <v>1</v>
      </c>
      <c r="AU192" s="171">
        <f t="shared" si="58"/>
        <v>0</v>
      </c>
      <c r="AV192" s="171">
        <f t="shared" si="59"/>
        <v>1</v>
      </c>
      <c r="AW192" s="171">
        <f t="shared" si="60"/>
        <v>1</v>
      </c>
      <c r="AX192" s="171">
        <f t="shared" si="53"/>
        <v>1</v>
      </c>
      <c r="AY192" s="171">
        <f t="shared" si="61"/>
        <v>0</v>
      </c>
      <c r="AZ192" s="171">
        <f t="shared" si="62"/>
        <v>1</v>
      </c>
      <c r="BA192" s="172">
        <f t="shared" si="63"/>
        <v>1</v>
      </c>
      <c r="BB192" s="175">
        <f t="shared" si="47"/>
        <v>19</v>
      </c>
      <c r="BC192" s="176">
        <f t="shared" si="48"/>
        <v>18</v>
      </c>
      <c r="BD192" s="176">
        <f t="shared" si="49"/>
        <v>19</v>
      </c>
      <c r="BE192" s="240" t="str">
        <f t="shared" si="51"/>
        <v/>
      </c>
      <c r="BH192" s="199">
        <f>IF(AND(Input_Product=Elig!$C192,Elig_MatchAll_Ct&lt;22,$BC192=(Elig_MatchAll_Ct-1),AF192=0),C192,0)</f>
        <v>0</v>
      </c>
      <c r="BI192" s="199">
        <f>IF(AND(Input_Product=Elig!$C192,Elig_MatchAll_Ct&lt;22,$BC192=(Elig_MatchAll_Ct-1),AG192=0),D192,0)</f>
        <v>0</v>
      </c>
      <c r="BJ192" s="199">
        <f>IF(AND(Input_Product=Elig!$C192,Elig_MatchAll_Ct&lt;22,$BC192=(Elig_MatchAll_Ct-1),AH192=0),E192,0)</f>
        <v>0</v>
      </c>
      <c r="BK192" s="199">
        <f>IF(AND(Input_Product=Elig!$C192,Elig_MatchAll_Ct&lt;22,$BC192=(Elig_MatchAll_Ct-1),AI192=0),F192,0)</f>
        <v>0</v>
      </c>
      <c r="BL192" s="199">
        <f>IF(AND(Input_Product=Elig!$C192,Elig_MatchAll_Ct&lt;22,$BC192=(Elig_MatchAll_Ct-1),AJ192=0),G192,0)</f>
        <v>0</v>
      </c>
      <c r="BM192" s="199">
        <f>IF(AND(Input_Product=Elig!$C192,Elig_MatchAll_Ct&lt;22,$BC192=(Elig_MatchAll_Ct-1),AK192=0),H192,0)</f>
        <v>0</v>
      </c>
      <c r="BN192" s="199">
        <f>IF(AND(Input_Product=Elig!$C192,Elig_MatchAll_Ct&lt;22,$BC192=(Elig_MatchAll_Ct-1),AL192=0),I192,0)</f>
        <v>0</v>
      </c>
      <c r="BO192" s="199">
        <f>IF(AND(Input_Product=Elig!$C192,Elig_MatchAll_Ct&lt;22,$BC192=(Elig_MatchAll_Ct-1),AM192=0),J192,0)</f>
        <v>0</v>
      </c>
      <c r="BP192" s="199">
        <f>IF(AND(Input_Product=Elig!$C192,Elig_MatchAll_Ct&lt;22,$BC192=(Elig_MatchAll_Ct-1),AN192=0),K192,0)</f>
        <v>0</v>
      </c>
      <c r="BQ192" s="199">
        <f>IF(AND(Input_Product=Elig!$C192,Elig_MatchAll_Ct&lt;22,$BC192=(Elig_MatchAll_Ct-1),AP192=0),L192,0)</f>
        <v>0</v>
      </c>
      <c r="BR192" s="199">
        <f>IF(AND(Input_Product=Elig!$C192,Elig_MatchAll_Ct&lt;22,$BC192=(Elig_MatchAll_Ct-1),AO192=0),M192,0)</f>
        <v>0</v>
      </c>
      <c r="BS192" s="199">
        <f>IF(AND(Input_Product=Elig!$C192,Elig_MatchAll_Ct&lt;22,$BC192=(Elig_MatchAll_Ct-1),AQ192=0),N192,0)</f>
        <v>0</v>
      </c>
      <c r="BT192" s="199">
        <f>IF(AND(Input_Product=Elig!$C192,Elig_MatchAll_Ct&lt;22,$BC192=(Elig_MatchAll_Ct-1),AR192=0),O192,0)</f>
        <v>0</v>
      </c>
      <c r="BU192" s="199">
        <f>IF(AND(Input_Product=Elig!$C192,Elig_MatchAll_Ct&lt;22,$BC192=(Elig_MatchAll_Ct-1),AS192=0),P192,0)</f>
        <v>0</v>
      </c>
      <c r="BV192" s="200">
        <f>IF(AND(Input_Product=Elig!$C192,Elig_MatchAll_Ct&lt;22,$BC192=(Elig_MatchAll_Ct-1),AT192=0),Q192,0)</f>
        <v>0</v>
      </c>
      <c r="BW192" s="201">
        <f>IF(AND(Input_Product=Elig!$C192,Elig_MatchAll_Ct&lt;22,$BC192=(Elig_MatchAll_Ct-1),AU192=0),R192,0)</f>
        <v>0</v>
      </c>
      <c r="BX192" s="202">
        <f>IF(AND(Input_Product=Elig!$C192,Elig_MatchAll_Ct&lt;22,$BC192=(Elig_MatchAll_Ct-1),AU192=0),S192,0)</f>
        <v>0</v>
      </c>
      <c r="BY192" s="201">
        <f>IF(AND(Input_Product=Elig!$C192,Elig_MatchAll_Ct&lt;22,$BC192=(Elig_MatchAll_Ct-1),AV192=0),T192,0)</f>
        <v>0</v>
      </c>
      <c r="BZ192" s="202">
        <f>IF(AND(Input_Product=Elig!$C192,Elig_MatchAll_Ct&lt;22,$BC192=(Elig_MatchAll_Ct-1),AV192=0),U192,0)</f>
        <v>0</v>
      </c>
      <c r="CA192" s="201">
        <f>IF(AND(Input_Product=Elig!$C192,Elig_MatchAll_Ct&lt;22,$BC192=(Elig_MatchAll_Ct-1),AW192=0),V192,0)</f>
        <v>0</v>
      </c>
      <c r="CB192" s="202">
        <f>IF(AND(Input_Product=Elig!$C192,Elig_MatchAll_Ct&lt;22,$BC192=(Elig_MatchAll_Ct-1),AW192=0),W192,0)</f>
        <v>0</v>
      </c>
      <c r="CC192" s="201">
        <f>IF(AND(Input_Product=Elig!$C192,Elig_MatchAll_Ct&lt;22,$BC192=(Elig_MatchAll_Ct-1),AX192=0),X192,0)</f>
        <v>0</v>
      </c>
      <c r="CD192" s="202">
        <f>IF(AND(Input_Product=Elig!$C192,Elig_MatchAll_Ct&lt;22,$BC192=(Elig_MatchAll_Ct-1),AX192=0),Y192,0)</f>
        <v>0</v>
      </c>
      <c r="CE192" s="201">
        <f>IF(AND(Input_LTV&lt;=AE192,Input_Product=Elig!$C192,Elig_MatchAll_Ct&lt;22,$BC192=(Elig_MatchAll_Ct-1),AY192=0),Z192,0)</f>
        <v>0</v>
      </c>
      <c r="CF192" s="202">
        <f>IF(AND(Input_LTV&lt;=AE192,Input_Product=Elig!$C192,Elig_MatchAll_Ct&lt;22,$BC192=(Elig_MatchAll_Ct-1),AY192=0),AA192,0)</f>
        <v>0</v>
      </c>
      <c r="CG192" s="201">
        <f>IF(AND(Input_Product=Elig!$C192,Elig_MatchAll_Ct&lt;22,$BC192=(Elig_MatchAll_Ct-1),AZ192=0),AB192,0)</f>
        <v>0</v>
      </c>
      <c r="CH192" s="202">
        <f>IF(AND(Input_Product=Elig!$C192,Elig_MatchAll_Ct&lt;22,$BC192=(Elig_MatchAll_Ct-1),AZ192=0),AC192,0)</f>
        <v>0</v>
      </c>
      <c r="CI192" s="201">
        <f>IF(AND(Input_Product=Elig!$C192,Elig_MatchAll_Ct&lt;22,$BC192=(Elig_MatchAll_Ct-1),BA192=0),AD192,0)</f>
        <v>0</v>
      </c>
      <c r="CJ192" s="202">
        <f>IF(AND(Input_Product=Elig!$C192,Elig_MatchAll_Ct&lt;22,$BC192=(Elig_MatchAll_Ct-1),BA192=0),AE192,0)</f>
        <v>0</v>
      </c>
    </row>
    <row r="193" spans="2:88" ht="10.15" customHeight="1" x14ac:dyDescent="0.25">
      <c r="B193" s="1912" t="s">
        <v>941</v>
      </c>
      <c r="C193" s="134" t="str">
        <f t="shared" si="56"/>
        <v>NonQM OO</v>
      </c>
      <c r="D193" s="135" t="s">
        <v>3885</v>
      </c>
      <c r="E193" s="135" t="s">
        <v>167</v>
      </c>
      <c r="F193" s="135" t="s">
        <v>331</v>
      </c>
      <c r="G193" s="135" t="s">
        <v>303</v>
      </c>
      <c r="H193" s="135" t="s">
        <v>136</v>
      </c>
      <c r="I193" s="136" t="s">
        <v>16</v>
      </c>
      <c r="J193" s="136" t="s">
        <v>1311</v>
      </c>
      <c r="K193" s="136" t="s">
        <v>1631</v>
      </c>
      <c r="L193" s="221" t="s">
        <v>3920</v>
      </c>
      <c r="M193" s="135" t="s">
        <v>4203</v>
      </c>
      <c r="N193" s="135" t="s">
        <v>82</v>
      </c>
      <c r="O193" s="135" t="s">
        <v>310</v>
      </c>
      <c r="P193" s="135" t="s">
        <v>291</v>
      </c>
      <c r="Q193" s="135" t="s">
        <v>294</v>
      </c>
      <c r="R193" s="135">
        <v>2000000.01</v>
      </c>
      <c r="S193" s="221">
        <v>2500000</v>
      </c>
      <c r="T193" s="135">
        <v>0</v>
      </c>
      <c r="U193" s="135">
        <f t="shared" ref="U193" si="68">S193</f>
        <v>2500000</v>
      </c>
      <c r="V193" s="135">
        <v>0</v>
      </c>
      <c r="W193" s="135">
        <v>55</v>
      </c>
      <c r="X193" s="135">
        <v>0</v>
      </c>
      <c r="Y193" s="135">
        <v>999</v>
      </c>
      <c r="Z193" s="2100">
        <v>680</v>
      </c>
      <c r="AA193" s="2100">
        <v>699</v>
      </c>
      <c r="AB193" s="137">
        <v>9</v>
      </c>
      <c r="AC193" s="137">
        <v>999999</v>
      </c>
      <c r="AD193" s="135">
        <v>0</v>
      </c>
      <c r="AE193" s="221">
        <v>65</v>
      </c>
      <c r="AF193" s="170">
        <v>0</v>
      </c>
      <c r="AG193" s="171">
        <v>1</v>
      </c>
      <c r="AH193" s="171">
        <v>1</v>
      </c>
      <c r="AI193" s="171">
        <v>1</v>
      </c>
      <c r="AJ193" s="171">
        <v>1</v>
      </c>
      <c r="AK193" s="171">
        <v>1</v>
      </c>
      <c r="AL193" s="171">
        <v>1</v>
      </c>
      <c r="AM193" s="171">
        <v>1</v>
      </c>
      <c r="AN193" s="171">
        <v>1</v>
      </c>
      <c r="AO193" s="171">
        <v>1</v>
      </c>
      <c r="AP193" s="171">
        <v>1</v>
      </c>
      <c r="AQ193" s="171">
        <v>1</v>
      </c>
      <c r="AR193" s="171">
        <v>1</v>
      </c>
      <c r="AS193" s="171">
        <v>1</v>
      </c>
      <c r="AT193" s="171">
        <v>1</v>
      </c>
      <c r="AU193" s="171">
        <f t="shared" si="58"/>
        <v>0</v>
      </c>
      <c r="AV193" s="171">
        <f t="shared" si="59"/>
        <v>1</v>
      </c>
      <c r="AW193" s="171">
        <f t="shared" si="60"/>
        <v>1</v>
      </c>
      <c r="AX193" s="171">
        <f t="shared" si="53"/>
        <v>1</v>
      </c>
      <c r="AY193" s="171">
        <f t="shared" si="61"/>
        <v>0</v>
      </c>
      <c r="AZ193" s="171">
        <f t="shared" si="62"/>
        <v>1</v>
      </c>
      <c r="BA193" s="172">
        <f t="shared" si="63"/>
        <v>1</v>
      </c>
      <c r="BB193" s="175">
        <f t="shared" ref="BB193" si="69">SUM(AF193:BA193)</f>
        <v>19</v>
      </c>
      <c r="BC193" s="176">
        <f t="shared" ref="BC193" si="70">SUM(AF193:AZ193)</f>
        <v>18</v>
      </c>
      <c r="BD193" s="176">
        <f t="shared" ref="BD193" si="71">SUM(AG193:BA193)</f>
        <v>19</v>
      </c>
      <c r="BE193" s="240" t="str">
        <f t="shared" si="51"/>
        <v/>
      </c>
      <c r="BH193" s="199">
        <f>IF(AND(Input_Product=Elig!$C193,Elig_MatchAll_Ct&lt;22,$BC193=(Elig_MatchAll_Ct-1),AF193=0),C193,0)</f>
        <v>0</v>
      </c>
      <c r="BI193" s="199">
        <f>IF(AND(Input_Product=Elig!$C193,Elig_MatchAll_Ct&lt;22,$BC193=(Elig_MatchAll_Ct-1),AG193=0),D193,0)</f>
        <v>0</v>
      </c>
      <c r="BJ193" s="199">
        <f>IF(AND(Input_Product=Elig!$C193,Elig_MatchAll_Ct&lt;22,$BC193=(Elig_MatchAll_Ct-1),AH193=0),E193,0)</f>
        <v>0</v>
      </c>
      <c r="BK193" s="199">
        <f>IF(AND(Input_Product=Elig!$C193,Elig_MatchAll_Ct&lt;22,$BC193=(Elig_MatchAll_Ct-1),AI193=0),F193,0)</f>
        <v>0</v>
      </c>
      <c r="BL193" s="199">
        <f>IF(AND(Input_Product=Elig!$C193,Elig_MatchAll_Ct&lt;22,$BC193=(Elig_MatchAll_Ct-1),AJ193=0),G193,0)</f>
        <v>0</v>
      </c>
      <c r="BM193" s="199">
        <f>IF(AND(Input_Product=Elig!$C193,Elig_MatchAll_Ct&lt;22,$BC193=(Elig_MatchAll_Ct-1),AK193=0),H193,0)</f>
        <v>0</v>
      </c>
      <c r="BN193" s="199">
        <f>IF(AND(Input_Product=Elig!$C193,Elig_MatchAll_Ct&lt;22,$BC193=(Elig_MatchAll_Ct-1),AL193=0),I193,0)</f>
        <v>0</v>
      </c>
      <c r="BO193" s="199">
        <f>IF(AND(Input_Product=Elig!$C193,Elig_MatchAll_Ct&lt;22,$BC193=(Elig_MatchAll_Ct-1),AM193=0),J193,0)</f>
        <v>0</v>
      </c>
      <c r="BP193" s="199">
        <f>IF(AND(Input_Product=Elig!$C193,Elig_MatchAll_Ct&lt;22,$BC193=(Elig_MatchAll_Ct-1),AN193=0),K193,0)</f>
        <v>0</v>
      </c>
      <c r="BQ193" s="199">
        <f>IF(AND(Input_Product=Elig!$C193,Elig_MatchAll_Ct&lt;22,$BC193=(Elig_MatchAll_Ct-1),AP193=0),L193,0)</f>
        <v>0</v>
      </c>
      <c r="BR193" s="199">
        <f>IF(AND(Input_Product=Elig!$C193,Elig_MatchAll_Ct&lt;22,$BC193=(Elig_MatchAll_Ct-1),AO193=0),M193,0)</f>
        <v>0</v>
      </c>
      <c r="BS193" s="199">
        <f>IF(AND(Input_Product=Elig!$C193,Elig_MatchAll_Ct&lt;22,$BC193=(Elig_MatchAll_Ct-1),AQ193=0),N193,0)</f>
        <v>0</v>
      </c>
      <c r="BT193" s="199">
        <f>IF(AND(Input_Product=Elig!$C193,Elig_MatchAll_Ct&lt;22,$BC193=(Elig_MatchAll_Ct-1),AR193=0),O193,0)</f>
        <v>0</v>
      </c>
      <c r="BU193" s="199">
        <f>IF(AND(Input_Product=Elig!$C193,Elig_MatchAll_Ct&lt;22,$BC193=(Elig_MatchAll_Ct-1),AS193=0),P193,0)</f>
        <v>0</v>
      </c>
      <c r="BV193" s="200">
        <f>IF(AND(Input_Product=Elig!$C193,Elig_MatchAll_Ct&lt;22,$BC193=(Elig_MatchAll_Ct-1),AT193=0),Q193,0)</f>
        <v>0</v>
      </c>
      <c r="BW193" s="201">
        <f>IF(AND(Input_Product=Elig!$C193,Elig_MatchAll_Ct&lt;22,$BC193=(Elig_MatchAll_Ct-1),AU193=0),R193,0)</f>
        <v>0</v>
      </c>
      <c r="BX193" s="202">
        <f>IF(AND(Input_Product=Elig!$C193,Elig_MatchAll_Ct&lt;22,$BC193=(Elig_MatchAll_Ct-1),AU193=0),S193,0)</f>
        <v>0</v>
      </c>
      <c r="BY193" s="201">
        <f>IF(AND(Input_Product=Elig!$C193,Elig_MatchAll_Ct&lt;22,$BC193=(Elig_MatchAll_Ct-1),AV193=0),T193,0)</f>
        <v>0</v>
      </c>
      <c r="BZ193" s="202">
        <f>IF(AND(Input_Product=Elig!$C193,Elig_MatchAll_Ct&lt;22,$BC193=(Elig_MatchAll_Ct-1),AV193=0),U193,0)</f>
        <v>0</v>
      </c>
      <c r="CA193" s="201">
        <f>IF(AND(Input_Product=Elig!$C193,Elig_MatchAll_Ct&lt;22,$BC193=(Elig_MatchAll_Ct-1),AW193=0),V193,0)</f>
        <v>0</v>
      </c>
      <c r="CB193" s="202">
        <f>IF(AND(Input_Product=Elig!$C193,Elig_MatchAll_Ct&lt;22,$BC193=(Elig_MatchAll_Ct-1),AW193=0),W193,0)</f>
        <v>0</v>
      </c>
      <c r="CC193" s="201">
        <f>IF(AND(Input_Product=Elig!$C193,Elig_MatchAll_Ct&lt;22,$BC193=(Elig_MatchAll_Ct-1),AX193=0),X193,0)</f>
        <v>0</v>
      </c>
      <c r="CD193" s="202">
        <f>IF(AND(Input_Product=Elig!$C193,Elig_MatchAll_Ct&lt;22,$BC193=(Elig_MatchAll_Ct-1),AX193=0),Y193,0)</f>
        <v>0</v>
      </c>
      <c r="CE193" s="201">
        <f>IF(AND(Input_LTV&lt;=AE193,Input_Product=Elig!$C193,Elig_MatchAll_Ct&lt;22,$BC193=(Elig_MatchAll_Ct-1),AY193=0),Z193,0)</f>
        <v>0</v>
      </c>
      <c r="CF193" s="202">
        <f>IF(AND(Input_LTV&lt;=AE193,Input_Product=Elig!$C193,Elig_MatchAll_Ct&lt;22,$BC193=(Elig_MatchAll_Ct-1),AY193=0),AA193,0)</f>
        <v>0</v>
      </c>
      <c r="CG193" s="201">
        <f>IF(AND(Input_Product=Elig!$C193,Elig_MatchAll_Ct&lt;22,$BC193=(Elig_MatchAll_Ct-1),AZ193=0),AB193,0)</f>
        <v>0</v>
      </c>
      <c r="CH193" s="202">
        <f>IF(AND(Input_Product=Elig!$C193,Elig_MatchAll_Ct&lt;22,$BC193=(Elig_MatchAll_Ct-1),AZ193=0),AC193,0)</f>
        <v>0</v>
      </c>
      <c r="CI193" s="201">
        <f>IF(AND(Input_Product=Elig!$C193,Elig_MatchAll_Ct&lt;22,$BC193=(Elig_MatchAll_Ct-1),BA193=0),AD193,0)</f>
        <v>0</v>
      </c>
      <c r="CJ193" s="202">
        <f>IF(AND(Input_Product=Elig!$C193,Elig_MatchAll_Ct&lt;22,$BC193=(Elig_MatchAll_Ct-1),BA193=0),AE193,0)</f>
        <v>0</v>
      </c>
    </row>
    <row r="194" spans="2:88" ht="10.15" customHeight="1" x14ac:dyDescent="0.25">
      <c r="B194" s="1912" t="s">
        <v>942</v>
      </c>
      <c r="C194" s="134" t="str">
        <f t="shared" si="56"/>
        <v>NonQM OO</v>
      </c>
      <c r="D194" s="135" t="s">
        <v>3885</v>
      </c>
      <c r="E194" s="135" t="s">
        <v>167</v>
      </c>
      <c r="F194" s="135" t="s">
        <v>331</v>
      </c>
      <c r="G194" s="135" t="s">
        <v>303</v>
      </c>
      <c r="H194" s="135" t="s">
        <v>136</v>
      </c>
      <c r="I194" s="136" t="s">
        <v>16</v>
      </c>
      <c r="J194" s="136" t="s">
        <v>1311</v>
      </c>
      <c r="K194" s="136" t="s">
        <v>1631</v>
      </c>
      <c r="L194" s="221" t="s">
        <v>3920</v>
      </c>
      <c r="M194" s="135" t="s">
        <v>4203</v>
      </c>
      <c r="N194" s="135" t="s">
        <v>82</v>
      </c>
      <c r="O194" s="135" t="s">
        <v>310</v>
      </c>
      <c r="P194" s="135" t="s">
        <v>291</v>
      </c>
      <c r="Q194" s="135" t="s">
        <v>294</v>
      </c>
      <c r="R194" s="135">
        <v>2000000.01</v>
      </c>
      <c r="S194" s="221">
        <v>2500000</v>
      </c>
      <c r="T194" s="135">
        <v>0</v>
      </c>
      <c r="U194" s="135">
        <f t="shared" si="67"/>
        <v>2500000</v>
      </c>
      <c r="V194" s="135">
        <v>0</v>
      </c>
      <c r="W194" s="135">
        <v>55</v>
      </c>
      <c r="X194" s="135">
        <v>0</v>
      </c>
      <c r="Y194" s="135">
        <v>999</v>
      </c>
      <c r="Z194" s="2100">
        <v>660</v>
      </c>
      <c r="AA194" s="2100">
        <v>679</v>
      </c>
      <c r="AB194" s="137">
        <v>9</v>
      </c>
      <c r="AC194" s="137">
        <v>999999</v>
      </c>
      <c r="AD194" s="135">
        <v>0</v>
      </c>
      <c r="AE194" s="221">
        <v>65</v>
      </c>
      <c r="AF194" s="170">
        <v>0</v>
      </c>
      <c r="AG194" s="171">
        <v>1</v>
      </c>
      <c r="AH194" s="171">
        <v>1</v>
      </c>
      <c r="AI194" s="171">
        <v>1</v>
      </c>
      <c r="AJ194" s="171">
        <v>1</v>
      </c>
      <c r="AK194" s="171">
        <v>1</v>
      </c>
      <c r="AL194" s="171">
        <v>1</v>
      </c>
      <c r="AM194" s="171">
        <v>1</v>
      </c>
      <c r="AN194" s="171">
        <v>1</v>
      </c>
      <c r="AO194" s="171">
        <v>1</v>
      </c>
      <c r="AP194" s="171">
        <v>1</v>
      </c>
      <c r="AQ194" s="171">
        <v>1</v>
      </c>
      <c r="AR194" s="171">
        <v>1</v>
      </c>
      <c r="AS194" s="171">
        <v>1</v>
      </c>
      <c r="AT194" s="171">
        <v>1</v>
      </c>
      <c r="AU194" s="171">
        <f t="shared" si="58"/>
        <v>0</v>
      </c>
      <c r="AV194" s="171">
        <f t="shared" si="59"/>
        <v>1</v>
      </c>
      <c r="AW194" s="171">
        <f t="shared" si="60"/>
        <v>1</v>
      </c>
      <c r="AX194" s="171">
        <f t="shared" si="53"/>
        <v>1</v>
      </c>
      <c r="AY194" s="171">
        <f t="shared" si="61"/>
        <v>0</v>
      </c>
      <c r="AZ194" s="171">
        <f t="shared" si="62"/>
        <v>1</v>
      </c>
      <c r="BA194" s="172">
        <f t="shared" si="63"/>
        <v>1</v>
      </c>
      <c r="BB194" s="175">
        <f t="shared" si="47"/>
        <v>19</v>
      </c>
      <c r="BC194" s="176">
        <f t="shared" si="48"/>
        <v>18</v>
      </c>
      <c r="BD194" s="176">
        <f t="shared" si="49"/>
        <v>19</v>
      </c>
      <c r="BE194" s="240" t="str">
        <f t="shared" si="51"/>
        <v/>
      </c>
      <c r="BH194" s="214">
        <f>IF(AND(Input_Product=Elig!$C194,Elig_MatchAll_Ct&lt;22,$BC194=(Elig_MatchAll_Ct-1),AF194=0),C194,0)</f>
        <v>0</v>
      </c>
      <c r="BI194" s="214">
        <f>IF(AND(Input_Product=Elig!$C194,Elig_MatchAll_Ct&lt;22,$BC194=(Elig_MatchAll_Ct-1),AG194=0),D194,0)</f>
        <v>0</v>
      </c>
      <c r="BJ194" s="214">
        <f>IF(AND(Input_Product=Elig!$C194,Elig_MatchAll_Ct&lt;22,$BC194=(Elig_MatchAll_Ct-1),AH194=0),E194,0)</f>
        <v>0</v>
      </c>
      <c r="BK194" s="214">
        <f>IF(AND(Input_Product=Elig!$C194,Elig_MatchAll_Ct&lt;22,$BC194=(Elig_MatchAll_Ct-1),AI194=0),F194,0)</f>
        <v>0</v>
      </c>
      <c r="BL194" s="214">
        <f>IF(AND(Input_Product=Elig!$C194,Elig_MatchAll_Ct&lt;22,$BC194=(Elig_MatchAll_Ct-1),AJ194=0),G194,0)</f>
        <v>0</v>
      </c>
      <c r="BM194" s="214">
        <f>IF(AND(Input_Product=Elig!$C194,Elig_MatchAll_Ct&lt;22,$BC194=(Elig_MatchAll_Ct-1),AK194=0),H194,0)</f>
        <v>0</v>
      </c>
      <c r="BN194" s="214">
        <f>IF(AND(Input_Product=Elig!$C194,Elig_MatchAll_Ct&lt;22,$BC194=(Elig_MatchAll_Ct-1),AL194=0),I194,0)</f>
        <v>0</v>
      </c>
      <c r="BO194" s="214">
        <f>IF(AND(Input_Product=Elig!$C194,Elig_MatchAll_Ct&lt;22,$BC194=(Elig_MatchAll_Ct-1),AM194=0),J194,0)</f>
        <v>0</v>
      </c>
      <c r="BP194" s="214">
        <f>IF(AND(Input_Product=Elig!$C194,Elig_MatchAll_Ct&lt;22,$BC194=(Elig_MatchAll_Ct-1),AN194=0),K194,0)</f>
        <v>0</v>
      </c>
      <c r="BQ194" s="214">
        <f>IF(AND(Input_Product=Elig!$C194,Elig_MatchAll_Ct&lt;22,$BC194=(Elig_MatchAll_Ct-1),AP194=0),L194,0)</f>
        <v>0</v>
      </c>
      <c r="BR194" s="214">
        <f>IF(AND(Input_Product=Elig!$C194,Elig_MatchAll_Ct&lt;22,$BC194=(Elig_MatchAll_Ct-1),AO194=0),M194,0)</f>
        <v>0</v>
      </c>
      <c r="BS194" s="214">
        <f>IF(AND(Input_Product=Elig!$C194,Elig_MatchAll_Ct&lt;22,$BC194=(Elig_MatchAll_Ct-1),AQ194=0),N194,0)</f>
        <v>0</v>
      </c>
      <c r="BT194" s="214">
        <f>IF(AND(Input_Product=Elig!$C194,Elig_MatchAll_Ct&lt;22,$BC194=(Elig_MatchAll_Ct-1),AR194=0),O194,0)</f>
        <v>0</v>
      </c>
      <c r="BU194" s="214">
        <f>IF(AND(Input_Product=Elig!$C194,Elig_MatchAll_Ct&lt;22,$BC194=(Elig_MatchAll_Ct-1),AS194=0),P194,0)</f>
        <v>0</v>
      </c>
      <c r="BV194" s="215">
        <f>IF(AND(Input_Product=Elig!$C194,Elig_MatchAll_Ct&lt;22,$BC194=(Elig_MatchAll_Ct-1),AT194=0),Q194,0)</f>
        <v>0</v>
      </c>
      <c r="BW194" s="311">
        <f>IF(AND(Input_Product=Elig!$C194,Elig_MatchAll_Ct&lt;22,$BC194=(Elig_MatchAll_Ct-1),AU194=0),R194,0)</f>
        <v>0</v>
      </c>
      <c r="BX194" s="312">
        <f>IF(AND(Input_Product=Elig!$C194,Elig_MatchAll_Ct&lt;22,$BC194=(Elig_MatchAll_Ct-1),AU194=0),S194,0)</f>
        <v>0</v>
      </c>
      <c r="BY194" s="311">
        <f>IF(AND(Input_Product=Elig!$C194,Elig_MatchAll_Ct&lt;22,$BC194=(Elig_MatchAll_Ct-1),AV194=0),T194,0)</f>
        <v>0</v>
      </c>
      <c r="BZ194" s="312">
        <f>IF(AND(Input_Product=Elig!$C194,Elig_MatchAll_Ct&lt;22,$BC194=(Elig_MatchAll_Ct-1),AV194=0),U194,0)</f>
        <v>0</v>
      </c>
      <c r="CA194" s="311">
        <f>IF(AND(Input_Product=Elig!$C194,Elig_MatchAll_Ct&lt;22,$BC194=(Elig_MatchAll_Ct-1),AW194=0),V194,0)</f>
        <v>0</v>
      </c>
      <c r="CB194" s="312">
        <f>IF(AND(Input_Product=Elig!$C194,Elig_MatchAll_Ct&lt;22,$BC194=(Elig_MatchAll_Ct-1),AW194=0),W194,0)</f>
        <v>0</v>
      </c>
      <c r="CC194" s="311">
        <f>IF(AND(Input_Product=Elig!$C194,Elig_MatchAll_Ct&lt;22,$BC194=(Elig_MatchAll_Ct-1),AX194=0),X194,0)</f>
        <v>0</v>
      </c>
      <c r="CD194" s="312">
        <f>IF(AND(Input_Product=Elig!$C194,Elig_MatchAll_Ct&lt;22,$BC194=(Elig_MatchAll_Ct-1),AX194=0),Y194,0)</f>
        <v>0</v>
      </c>
      <c r="CE194" s="311">
        <f>IF(AND(Input_LTV&lt;=AE194,Input_Product=Elig!$C194,Elig_MatchAll_Ct&lt;22,$BC194=(Elig_MatchAll_Ct-1),AY194=0),Z194,0)</f>
        <v>0</v>
      </c>
      <c r="CF194" s="312">
        <f>IF(AND(Input_LTV&lt;=AE194,Input_Product=Elig!$C194,Elig_MatchAll_Ct&lt;22,$BC194=(Elig_MatchAll_Ct-1),AY194=0),AA194,0)</f>
        <v>0</v>
      </c>
      <c r="CG194" s="311">
        <f>IF(AND(Input_Product=Elig!$C194,Elig_MatchAll_Ct&lt;22,$BC194=(Elig_MatchAll_Ct-1),AZ194=0),AB194,0)</f>
        <v>0</v>
      </c>
      <c r="CH194" s="312">
        <f>IF(AND(Input_Product=Elig!$C194,Elig_MatchAll_Ct&lt;22,$BC194=(Elig_MatchAll_Ct-1),AZ194=0),AC194,0)</f>
        <v>0</v>
      </c>
      <c r="CI194" s="311">
        <f>IF(AND(Input_Product=Elig!$C194,Elig_MatchAll_Ct&lt;22,$BC194=(Elig_MatchAll_Ct-1),BA194=0),AD194,0)</f>
        <v>0</v>
      </c>
      <c r="CJ194" s="312">
        <f>IF(AND(Input_Product=Elig!$C194,Elig_MatchAll_Ct&lt;22,$BC194=(Elig_MatchAll_Ct-1),BA194=0),AE194,0)</f>
        <v>0</v>
      </c>
    </row>
    <row r="195" spans="2:88" ht="10.15" customHeight="1" x14ac:dyDescent="0.25">
      <c r="B195" s="1912" t="s">
        <v>943</v>
      </c>
      <c r="C195" s="141" t="str">
        <f t="shared" si="56"/>
        <v>NonQM OO</v>
      </c>
      <c r="D195" s="142" t="s">
        <v>3885</v>
      </c>
      <c r="E195" s="143" t="s">
        <v>167</v>
      </c>
      <c r="F195" s="143" t="s">
        <v>331</v>
      </c>
      <c r="G195" s="143" t="s">
        <v>304</v>
      </c>
      <c r="H195" s="143" t="s">
        <v>446</v>
      </c>
      <c r="I195" s="142" t="s">
        <v>274</v>
      </c>
      <c r="J195" s="142" t="s">
        <v>1311</v>
      </c>
      <c r="K195" s="142" t="s">
        <v>1631</v>
      </c>
      <c r="L195" s="2131" t="s">
        <v>3920</v>
      </c>
      <c r="M195" s="143" t="s">
        <v>4203</v>
      </c>
      <c r="N195" s="143" t="s">
        <v>82</v>
      </c>
      <c r="O195" s="143" t="s">
        <v>310</v>
      </c>
      <c r="P195" s="143" t="s">
        <v>291</v>
      </c>
      <c r="Q195" s="143" t="s">
        <v>294</v>
      </c>
      <c r="R195" s="142">
        <v>2000000.01</v>
      </c>
      <c r="S195" s="320">
        <v>2500000</v>
      </c>
      <c r="T195" s="142">
        <v>0</v>
      </c>
      <c r="U195" s="142">
        <v>0</v>
      </c>
      <c r="V195" s="142">
        <v>0</v>
      </c>
      <c r="W195" s="142">
        <v>55</v>
      </c>
      <c r="X195" s="142">
        <v>0</v>
      </c>
      <c r="Y195" s="142">
        <v>999</v>
      </c>
      <c r="Z195" s="144">
        <v>720</v>
      </c>
      <c r="AA195" s="144">
        <v>999</v>
      </c>
      <c r="AB195" s="144">
        <v>9</v>
      </c>
      <c r="AC195" s="144">
        <v>999999</v>
      </c>
      <c r="AD195" s="142">
        <v>0</v>
      </c>
      <c r="AE195" s="320">
        <v>80</v>
      </c>
      <c r="AF195" s="170">
        <v>0</v>
      </c>
      <c r="AG195" s="171">
        <v>1</v>
      </c>
      <c r="AH195" s="171">
        <v>1</v>
      </c>
      <c r="AI195" s="171">
        <v>1</v>
      </c>
      <c r="AJ195" s="171">
        <v>0</v>
      </c>
      <c r="AK195" s="171">
        <v>0</v>
      </c>
      <c r="AL195" s="171">
        <v>0</v>
      </c>
      <c r="AM195" s="171">
        <v>1</v>
      </c>
      <c r="AN195" s="171">
        <v>1</v>
      </c>
      <c r="AO195" s="171">
        <v>1</v>
      </c>
      <c r="AP195" s="171">
        <v>1</v>
      </c>
      <c r="AQ195" s="171">
        <v>1</v>
      </c>
      <c r="AR195" s="171">
        <v>1</v>
      </c>
      <c r="AS195" s="171">
        <v>1</v>
      </c>
      <c r="AT195" s="171">
        <v>1</v>
      </c>
      <c r="AU195" s="171">
        <f t="shared" si="58"/>
        <v>0</v>
      </c>
      <c r="AV195" s="171">
        <f t="shared" si="59"/>
        <v>0</v>
      </c>
      <c r="AW195" s="171">
        <f t="shared" si="60"/>
        <v>1</v>
      </c>
      <c r="AX195" s="171">
        <f t="shared" si="53"/>
        <v>1</v>
      </c>
      <c r="AY195" s="171">
        <f t="shared" si="61"/>
        <v>1</v>
      </c>
      <c r="AZ195" s="171">
        <f t="shared" si="62"/>
        <v>1</v>
      </c>
      <c r="BA195" s="172">
        <f t="shared" si="63"/>
        <v>1</v>
      </c>
      <c r="BB195" s="175">
        <f t="shared" si="47"/>
        <v>16</v>
      </c>
      <c r="BC195" s="176">
        <f t="shared" si="48"/>
        <v>15</v>
      </c>
      <c r="BD195" s="176">
        <f t="shared" si="49"/>
        <v>16</v>
      </c>
      <c r="BE195" s="240" t="str">
        <f t="shared" si="51"/>
        <v/>
      </c>
      <c r="BH195" s="210">
        <f>IF(AND(Input_Product=Elig!$C195,Elig_MatchAll_Ct&lt;22,$BC195=(Elig_MatchAll_Ct-1),AF195=0),C195,0)</f>
        <v>0</v>
      </c>
      <c r="BI195" s="210">
        <f>IF(AND(Input_Product=Elig!$C195,Elig_MatchAll_Ct&lt;22,$BC195=(Elig_MatchAll_Ct-1),AG195=0),D195,0)</f>
        <v>0</v>
      </c>
      <c r="BJ195" s="210">
        <f>IF(AND(Input_Product=Elig!$C195,Elig_MatchAll_Ct&lt;22,$BC195=(Elig_MatchAll_Ct-1),AH195=0),E195,0)</f>
        <v>0</v>
      </c>
      <c r="BK195" s="210">
        <f>IF(AND(Input_Product=Elig!$C195,Elig_MatchAll_Ct&lt;22,$BC195=(Elig_MatchAll_Ct-1),AI195=0),F195,0)</f>
        <v>0</v>
      </c>
      <c r="BL195" s="210">
        <f>IF(AND(Input_Product=Elig!$C195,Elig_MatchAll_Ct&lt;22,$BC195=(Elig_MatchAll_Ct-1),AJ195=0),G195,0)</f>
        <v>0</v>
      </c>
      <c r="BM195" s="210">
        <f>IF(AND(Input_Product=Elig!$C195,Elig_MatchAll_Ct&lt;22,$BC195=(Elig_MatchAll_Ct-1),AK195=0),H195,0)</f>
        <v>0</v>
      </c>
      <c r="BN195" s="210">
        <f>IF(AND(Input_Product=Elig!$C195,Elig_MatchAll_Ct&lt;22,$BC195=(Elig_MatchAll_Ct-1),AL195=0),I195,0)</f>
        <v>0</v>
      </c>
      <c r="BO195" s="210">
        <f>IF(AND(Input_Product=Elig!$C195,Elig_MatchAll_Ct&lt;22,$BC195=(Elig_MatchAll_Ct-1),AM195=0),J195,0)</f>
        <v>0</v>
      </c>
      <c r="BP195" s="210">
        <f>IF(AND(Input_Product=Elig!$C195,Elig_MatchAll_Ct&lt;22,$BC195=(Elig_MatchAll_Ct-1),AN195=0),K195,0)</f>
        <v>0</v>
      </c>
      <c r="BQ195" s="210">
        <f>IF(AND(Input_Product=Elig!$C195,Elig_MatchAll_Ct&lt;22,$BC195=(Elig_MatchAll_Ct-1),AP195=0),L195,0)</f>
        <v>0</v>
      </c>
      <c r="BR195" s="210">
        <f>IF(AND(Input_Product=Elig!$C195,Elig_MatchAll_Ct&lt;22,$BC195=(Elig_MatchAll_Ct-1),AO195=0),M195,0)</f>
        <v>0</v>
      </c>
      <c r="BS195" s="210">
        <f>IF(AND(Input_Product=Elig!$C195,Elig_MatchAll_Ct&lt;22,$BC195=(Elig_MatchAll_Ct-1),AQ195=0),N195,0)</f>
        <v>0</v>
      </c>
      <c r="BT195" s="210">
        <f>IF(AND(Input_Product=Elig!$C195,Elig_MatchAll_Ct&lt;22,$BC195=(Elig_MatchAll_Ct-1),AR195=0),O195,0)</f>
        <v>0</v>
      </c>
      <c r="BU195" s="210">
        <f>IF(AND(Input_Product=Elig!$C195,Elig_MatchAll_Ct&lt;22,$BC195=(Elig_MatchAll_Ct-1),AS195=0),P195,0)</f>
        <v>0</v>
      </c>
      <c r="BV195" s="211">
        <f>IF(AND(Input_Product=Elig!$C195,Elig_MatchAll_Ct&lt;22,$BC195=(Elig_MatchAll_Ct-1),AT195=0),Q195,0)</f>
        <v>0</v>
      </c>
      <c r="BW195" s="212">
        <f>IF(AND(Input_Product=Elig!$C195,Elig_MatchAll_Ct&lt;22,$BC195=(Elig_MatchAll_Ct-1),AU195=0),R195,0)</f>
        <v>0</v>
      </c>
      <c r="BX195" s="213">
        <f>IF(AND(Input_Product=Elig!$C195,Elig_MatchAll_Ct&lt;22,$BC195=(Elig_MatchAll_Ct-1),AU195=0),S195,0)</f>
        <v>0</v>
      </c>
      <c r="BY195" s="212">
        <f>IF(AND(Input_Product=Elig!$C195,Elig_MatchAll_Ct&lt;22,$BC195=(Elig_MatchAll_Ct-1),AV195=0),T195,0)</f>
        <v>0</v>
      </c>
      <c r="BZ195" s="213">
        <f>IF(AND(Input_Product=Elig!$C195,Elig_MatchAll_Ct&lt;22,$BC195=(Elig_MatchAll_Ct-1),AV195=0),U195,0)</f>
        <v>0</v>
      </c>
      <c r="CA195" s="212">
        <f>IF(AND(Input_Product=Elig!$C195,Elig_MatchAll_Ct&lt;22,$BC195=(Elig_MatchAll_Ct-1),AW195=0),V195,0)</f>
        <v>0</v>
      </c>
      <c r="CB195" s="213">
        <f>IF(AND(Input_Product=Elig!$C195,Elig_MatchAll_Ct&lt;22,$BC195=(Elig_MatchAll_Ct-1),AW195=0),W195,0)</f>
        <v>0</v>
      </c>
      <c r="CC195" s="212">
        <f>IF(AND(Input_Product=Elig!$C195,Elig_MatchAll_Ct&lt;22,$BC195=(Elig_MatchAll_Ct-1),AX195=0),X195,0)</f>
        <v>0</v>
      </c>
      <c r="CD195" s="213">
        <f>IF(AND(Input_Product=Elig!$C195,Elig_MatchAll_Ct&lt;22,$BC195=(Elig_MatchAll_Ct-1),AX195=0),Y195,0)</f>
        <v>0</v>
      </c>
      <c r="CE195" s="212">
        <f>IF(AND(Input_LTV&lt;=AE195,Input_Product=Elig!$C195,Elig_MatchAll_Ct&lt;22,$BC195=(Elig_MatchAll_Ct-1),AY195=0),Z195,0)</f>
        <v>0</v>
      </c>
      <c r="CF195" s="213">
        <f>IF(AND(Input_LTV&lt;=AE195,Input_Product=Elig!$C195,Elig_MatchAll_Ct&lt;22,$BC195=(Elig_MatchAll_Ct-1),AY195=0),AA195,0)</f>
        <v>0</v>
      </c>
      <c r="CG195" s="212">
        <f>IF(AND(Input_Product=Elig!$C195,Elig_MatchAll_Ct&lt;22,$BC195=(Elig_MatchAll_Ct-1),AZ195=0),AB195,0)</f>
        <v>0</v>
      </c>
      <c r="CH195" s="213">
        <f>IF(AND(Input_Product=Elig!$C195,Elig_MatchAll_Ct&lt;22,$BC195=(Elig_MatchAll_Ct-1),AZ195=0),AC195,0)</f>
        <v>0</v>
      </c>
      <c r="CI195" s="212">
        <f>IF(AND(Input_Product=Elig!$C195,Elig_MatchAll_Ct&lt;22,$BC195=(Elig_MatchAll_Ct-1),BA195=0),AD195,0)</f>
        <v>0</v>
      </c>
      <c r="CJ195" s="213">
        <f>IF(AND(Input_Product=Elig!$C195,Elig_MatchAll_Ct&lt;22,$BC195=(Elig_MatchAll_Ct-1),BA195=0),AE195,0)</f>
        <v>0</v>
      </c>
    </row>
    <row r="196" spans="2:88" ht="10.15" customHeight="1" x14ac:dyDescent="0.25">
      <c r="B196" s="1912" t="s">
        <v>944</v>
      </c>
      <c r="C196" s="134" t="str">
        <f t="shared" si="56"/>
        <v>NonQM OO</v>
      </c>
      <c r="D196" s="135" t="s">
        <v>3885</v>
      </c>
      <c r="E196" s="135" t="s">
        <v>167</v>
      </c>
      <c r="F196" s="135" t="s">
        <v>331</v>
      </c>
      <c r="G196" s="135" t="s">
        <v>304</v>
      </c>
      <c r="H196" s="135" t="s">
        <v>446</v>
      </c>
      <c r="I196" s="136" t="s">
        <v>274</v>
      </c>
      <c r="J196" s="136" t="s">
        <v>1311</v>
      </c>
      <c r="K196" s="136" t="s">
        <v>1631</v>
      </c>
      <c r="L196" s="221" t="s">
        <v>3920</v>
      </c>
      <c r="M196" s="135" t="s">
        <v>4203</v>
      </c>
      <c r="N196" s="135" t="s">
        <v>82</v>
      </c>
      <c r="O196" s="135" t="s">
        <v>310</v>
      </c>
      <c r="P196" s="135" t="s">
        <v>291</v>
      </c>
      <c r="Q196" s="135" t="s">
        <v>294</v>
      </c>
      <c r="R196" s="135">
        <v>2000000.01</v>
      </c>
      <c r="S196" s="221">
        <v>2500000</v>
      </c>
      <c r="T196" s="135">
        <v>0</v>
      </c>
      <c r="U196" s="135">
        <v>0</v>
      </c>
      <c r="V196" s="135">
        <v>0</v>
      </c>
      <c r="W196" s="135">
        <v>55</v>
      </c>
      <c r="X196" s="135">
        <v>0</v>
      </c>
      <c r="Y196" s="135">
        <v>999</v>
      </c>
      <c r="Z196" s="137">
        <v>700</v>
      </c>
      <c r="AA196" s="137">
        <v>719</v>
      </c>
      <c r="AB196" s="137">
        <v>9</v>
      </c>
      <c r="AC196" s="137">
        <v>999999</v>
      </c>
      <c r="AD196" s="135">
        <v>0</v>
      </c>
      <c r="AE196" s="221">
        <v>75</v>
      </c>
      <c r="AF196" s="170">
        <v>0</v>
      </c>
      <c r="AG196" s="171">
        <v>1</v>
      </c>
      <c r="AH196" s="171">
        <v>1</v>
      </c>
      <c r="AI196" s="171">
        <v>1</v>
      </c>
      <c r="AJ196" s="171">
        <v>0</v>
      </c>
      <c r="AK196" s="171">
        <v>0</v>
      </c>
      <c r="AL196" s="171">
        <v>0</v>
      </c>
      <c r="AM196" s="171">
        <v>1</v>
      </c>
      <c r="AN196" s="171">
        <v>1</v>
      </c>
      <c r="AO196" s="171">
        <v>1</v>
      </c>
      <c r="AP196" s="171">
        <v>1</v>
      </c>
      <c r="AQ196" s="171">
        <v>1</v>
      </c>
      <c r="AR196" s="171">
        <v>1</v>
      </c>
      <c r="AS196" s="171">
        <v>1</v>
      </c>
      <c r="AT196" s="171">
        <v>1</v>
      </c>
      <c r="AU196" s="171">
        <f t="shared" si="58"/>
        <v>0</v>
      </c>
      <c r="AV196" s="171">
        <f t="shared" si="59"/>
        <v>0</v>
      </c>
      <c r="AW196" s="171">
        <f t="shared" si="60"/>
        <v>1</v>
      </c>
      <c r="AX196" s="171">
        <f t="shared" si="53"/>
        <v>1</v>
      </c>
      <c r="AY196" s="171">
        <f t="shared" si="61"/>
        <v>0</v>
      </c>
      <c r="AZ196" s="171">
        <f t="shared" si="62"/>
        <v>1</v>
      </c>
      <c r="BA196" s="172">
        <f t="shared" si="63"/>
        <v>1</v>
      </c>
      <c r="BB196" s="175">
        <f t="shared" ref="BB196:BB327" si="72">SUM(AF196:BA196)</f>
        <v>15</v>
      </c>
      <c r="BC196" s="176">
        <f t="shared" ref="BC196:BC327" si="73">SUM(AF196:AZ196)</f>
        <v>14</v>
      </c>
      <c r="BD196" s="176">
        <f t="shared" ref="BD196:BD327" si="74">SUM(AG196:BA196)</f>
        <v>15</v>
      </c>
      <c r="BE196" s="240" t="str">
        <f t="shared" si="51"/>
        <v/>
      </c>
      <c r="BH196" s="199">
        <f>IF(AND(Input_Product=Elig!$C196,Elig_MatchAll_Ct&lt;22,$BC196=(Elig_MatchAll_Ct-1),AF196=0),C196,0)</f>
        <v>0</v>
      </c>
      <c r="BI196" s="199">
        <f>IF(AND(Input_Product=Elig!$C196,Elig_MatchAll_Ct&lt;22,$BC196=(Elig_MatchAll_Ct-1),AG196=0),D196,0)</f>
        <v>0</v>
      </c>
      <c r="BJ196" s="199">
        <f>IF(AND(Input_Product=Elig!$C196,Elig_MatchAll_Ct&lt;22,$BC196=(Elig_MatchAll_Ct-1),AH196=0),E196,0)</f>
        <v>0</v>
      </c>
      <c r="BK196" s="199">
        <f>IF(AND(Input_Product=Elig!$C196,Elig_MatchAll_Ct&lt;22,$BC196=(Elig_MatchAll_Ct-1),AI196=0),F196,0)</f>
        <v>0</v>
      </c>
      <c r="BL196" s="199">
        <f>IF(AND(Input_Product=Elig!$C196,Elig_MatchAll_Ct&lt;22,$BC196=(Elig_MatchAll_Ct-1),AJ196=0),G196,0)</f>
        <v>0</v>
      </c>
      <c r="BM196" s="199">
        <f>IF(AND(Input_Product=Elig!$C196,Elig_MatchAll_Ct&lt;22,$BC196=(Elig_MatchAll_Ct-1),AK196=0),H196,0)</f>
        <v>0</v>
      </c>
      <c r="BN196" s="199">
        <f>IF(AND(Input_Product=Elig!$C196,Elig_MatchAll_Ct&lt;22,$BC196=(Elig_MatchAll_Ct-1),AL196=0),I196,0)</f>
        <v>0</v>
      </c>
      <c r="BO196" s="199">
        <f>IF(AND(Input_Product=Elig!$C196,Elig_MatchAll_Ct&lt;22,$BC196=(Elig_MatchAll_Ct-1),AM196=0),J196,0)</f>
        <v>0</v>
      </c>
      <c r="BP196" s="199">
        <f>IF(AND(Input_Product=Elig!$C196,Elig_MatchAll_Ct&lt;22,$BC196=(Elig_MatchAll_Ct-1),AN196=0),K196,0)</f>
        <v>0</v>
      </c>
      <c r="BQ196" s="199">
        <f>IF(AND(Input_Product=Elig!$C196,Elig_MatchAll_Ct&lt;22,$BC196=(Elig_MatchAll_Ct-1),AP196=0),L196,0)</f>
        <v>0</v>
      </c>
      <c r="BR196" s="199">
        <f>IF(AND(Input_Product=Elig!$C196,Elig_MatchAll_Ct&lt;22,$BC196=(Elig_MatchAll_Ct-1),AO196=0),M196,0)</f>
        <v>0</v>
      </c>
      <c r="BS196" s="199">
        <f>IF(AND(Input_Product=Elig!$C196,Elig_MatchAll_Ct&lt;22,$BC196=(Elig_MatchAll_Ct-1),AQ196=0),N196,0)</f>
        <v>0</v>
      </c>
      <c r="BT196" s="199">
        <f>IF(AND(Input_Product=Elig!$C196,Elig_MatchAll_Ct&lt;22,$BC196=(Elig_MatchAll_Ct-1),AR196=0),O196,0)</f>
        <v>0</v>
      </c>
      <c r="BU196" s="199">
        <f>IF(AND(Input_Product=Elig!$C196,Elig_MatchAll_Ct&lt;22,$BC196=(Elig_MatchAll_Ct-1),AS196=0),P196,0)</f>
        <v>0</v>
      </c>
      <c r="BV196" s="200">
        <f>IF(AND(Input_Product=Elig!$C196,Elig_MatchAll_Ct&lt;22,$BC196=(Elig_MatchAll_Ct-1),AT196=0),Q196,0)</f>
        <v>0</v>
      </c>
      <c r="BW196" s="201">
        <f>IF(AND(Input_Product=Elig!$C196,Elig_MatchAll_Ct&lt;22,$BC196=(Elig_MatchAll_Ct-1),AU196=0),R196,0)</f>
        <v>0</v>
      </c>
      <c r="BX196" s="202">
        <f>IF(AND(Input_Product=Elig!$C196,Elig_MatchAll_Ct&lt;22,$BC196=(Elig_MatchAll_Ct-1),AU196=0),S196,0)</f>
        <v>0</v>
      </c>
      <c r="BY196" s="201">
        <f>IF(AND(Input_Product=Elig!$C196,Elig_MatchAll_Ct&lt;22,$BC196=(Elig_MatchAll_Ct-1),AV196=0),T196,0)</f>
        <v>0</v>
      </c>
      <c r="BZ196" s="202">
        <f>IF(AND(Input_Product=Elig!$C196,Elig_MatchAll_Ct&lt;22,$BC196=(Elig_MatchAll_Ct-1),AV196=0),U196,0)</f>
        <v>0</v>
      </c>
      <c r="CA196" s="201">
        <f>IF(AND(Input_Product=Elig!$C196,Elig_MatchAll_Ct&lt;22,$BC196=(Elig_MatchAll_Ct-1),AW196=0),V196,0)</f>
        <v>0</v>
      </c>
      <c r="CB196" s="202">
        <f>IF(AND(Input_Product=Elig!$C196,Elig_MatchAll_Ct&lt;22,$BC196=(Elig_MatchAll_Ct-1),AW196=0),W196,0)</f>
        <v>0</v>
      </c>
      <c r="CC196" s="201">
        <f>IF(AND(Input_Product=Elig!$C196,Elig_MatchAll_Ct&lt;22,$BC196=(Elig_MatchAll_Ct-1),AX196=0),X196,0)</f>
        <v>0</v>
      </c>
      <c r="CD196" s="202">
        <f>IF(AND(Input_Product=Elig!$C196,Elig_MatchAll_Ct&lt;22,$BC196=(Elig_MatchAll_Ct-1),AX196=0),Y196,0)</f>
        <v>0</v>
      </c>
      <c r="CE196" s="201">
        <f>IF(AND(Input_LTV&lt;=AE196,Input_Product=Elig!$C196,Elig_MatchAll_Ct&lt;22,$BC196=(Elig_MatchAll_Ct-1),AY196=0),Z196,0)</f>
        <v>0</v>
      </c>
      <c r="CF196" s="202">
        <f>IF(AND(Input_LTV&lt;=AE196,Input_Product=Elig!$C196,Elig_MatchAll_Ct&lt;22,$BC196=(Elig_MatchAll_Ct-1),AY196=0),AA196,0)</f>
        <v>0</v>
      </c>
      <c r="CG196" s="201">
        <f>IF(AND(Input_Product=Elig!$C196,Elig_MatchAll_Ct&lt;22,$BC196=(Elig_MatchAll_Ct-1),AZ196=0),AB196,0)</f>
        <v>0</v>
      </c>
      <c r="CH196" s="202">
        <f>IF(AND(Input_Product=Elig!$C196,Elig_MatchAll_Ct&lt;22,$BC196=(Elig_MatchAll_Ct-1),AZ196=0),AC196,0)</f>
        <v>0</v>
      </c>
      <c r="CI196" s="201">
        <f>IF(AND(Input_Product=Elig!$C196,Elig_MatchAll_Ct&lt;22,$BC196=(Elig_MatchAll_Ct-1),BA196=0),AD196,0)</f>
        <v>0</v>
      </c>
      <c r="CJ196" s="202">
        <f>IF(AND(Input_Product=Elig!$C196,Elig_MatchAll_Ct&lt;22,$BC196=(Elig_MatchAll_Ct-1),BA196=0),AE196,0)</f>
        <v>0</v>
      </c>
    </row>
    <row r="197" spans="2:88" ht="10.15" customHeight="1" x14ac:dyDescent="0.25">
      <c r="B197" s="1912" t="s">
        <v>945</v>
      </c>
      <c r="C197" s="134" t="str">
        <f t="shared" si="56"/>
        <v>NonQM OO</v>
      </c>
      <c r="D197" s="135" t="s">
        <v>3885</v>
      </c>
      <c r="E197" s="135" t="s">
        <v>167</v>
      </c>
      <c r="F197" s="135" t="s">
        <v>331</v>
      </c>
      <c r="G197" s="135" t="s">
        <v>304</v>
      </c>
      <c r="H197" s="135" t="s">
        <v>446</v>
      </c>
      <c r="I197" s="136" t="s">
        <v>274</v>
      </c>
      <c r="J197" s="136" t="s">
        <v>1311</v>
      </c>
      <c r="K197" s="136" t="s">
        <v>1631</v>
      </c>
      <c r="L197" s="221" t="s">
        <v>3920</v>
      </c>
      <c r="M197" s="135" t="s">
        <v>4203</v>
      </c>
      <c r="N197" s="135" t="s">
        <v>82</v>
      </c>
      <c r="O197" s="135" t="s">
        <v>310</v>
      </c>
      <c r="P197" s="135" t="s">
        <v>291</v>
      </c>
      <c r="Q197" s="135" t="s">
        <v>294</v>
      </c>
      <c r="R197" s="135">
        <v>2000000.01</v>
      </c>
      <c r="S197" s="221">
        <v>2500000</v>
      </c>
      <c r="T197" s="135">
        <v>0</v>
      </c>
      <c r="U197" s="135">
        <v>0</v>
      </c>
      <c r="V197" s="135">
        <v>0</v>
      </c>
      <c r="W197" s="135">
        <v>55</v>
      </c>
      <c r="X197" s="135">
        <v>0</v>
      </c>
      <c r="Y197" s="135">
        <v>999</v>
      </c>
      <c r="Z197" s="2100">
        <v>680</v>
      </c>
      <c r="AA197" s="2100">
        <v>699</v>
      </c>
      <c r="AB197" s="137">
        <v>9</v>
      </c>
      <c r="AC197" s="137">
        <v>999999</v>
      </c>
      <c r="AD197" s="135">
        <v>0</v>
      </c>
      <c r="AE197" s="221">
        <v>75</v>
      </c>
      <c r="AF197" s="170">
        <v>0</v>
      </c>
      <c r="AG197" s="171">
        <v>1</v>
      </c>
      <c r="AH197" s="171">
        <v>1</v>
      </c>
      <c r="AI197" s="171">
        <v>1</v>
      </c>
      <c r="AJ197" s="171">
        <v>0</v>
      </c>
      <c r="AK197" s="171">
        <v>0</v>
      </c>
      <c r="AL197" s="171">
        <v>0</v>
      </c>
      <c r="AM197" s="171">
        <v>1</v>
      </c>
      <c r="AN197" s="171">
        <v>1</v>
      </c>
      <c r="AO197" s="171">
        <v>1</v>
      </c>
      <c r="AP197" s="171">
        <v>1</v>
      </c>
      <c r="AQ197" s="171">
        <v>1</v>
      </c>
      <c r="AR197" s="171">
        <v>1</v>
      </c>
      <c r="AS197" s="171">
        <v>1</v>
      </c>
      <c r="AT197" s="171">
        <v>1</v>
      </c>
      <c r="AU197" s="171">
        <f t="shared" si="58"/>
        <v>0</v>
      </c>
      <c r="AV197" s="171">
        <f t="shared" si="59"/>
        <v>0</v>
      </c>
      <c r="AW197" s="171">
        <f t="shared" si="60"/>
        <v>1</v>
      </c>
      <c r="AX197" s="171">
        <f t="shared" si="53"/>
        <v>1</v>
      </c>
      <c r="AY197" s="171">
        <f t="shared" si="61"/>
        <v>0</v>
      </c>
      <c r="AZ197" s="171">
        <f t="shared" si="62"/>
        <v>1</v>
      </c>
      <c r="BA197" s="172">
        <f t="shared" si="63"/>
        <v>1</v>
      </c>
      <c r="BB197" s="175">
        <f t="shared" ref="BB197" si="75">SUM(AF197:BA197)</f>
        <v>15</v>
      </c>
      <c r="BC197" s="176">
        <f t="shared" ref="BC197" si="76">SUM(AF197:AZ197)</f>
        <v>14</v>
      </c>
      <c r="BD197" s="176">
        <f t="shared" ref="BD197" si="77">SUM(AG197:BA197)</f>
        <v>15</v>
      </c>
      <c r="BE197" s="240" t="str">
        <f t="shared" si="51"/>
        <v/>
      </c>
      <c r="BH197" s="199">
        <f>IF(AND(Input_Product=Elig!$C197,Elig_MatchAll_Ct&lt;22,$BC197=(Elig_MatchAll_Ct-1),AF197=0),C197,0)</f>
        <v>0</v>
      </c>
      <c r="BI197" s="199">
        <f>IF(AND(Input_Product=Elig!$C197,Elig_MatchAll_Ct&lt;22,$BC197=(Elig_MatchAll_Ct-1),AG197=0),D197,0)</f>
        <v>0</v>
      </c>
      <c r="BJ197" s="199">
        <f>IF(AND(Input_Product=Elig!$C197,Elig_MatchAll_Ct&lt;22,$BC197=(Elig_MatchAll_Ct-1),AH197=0),E197,0)</f>
        <v>0</v>
      </c>
      <c r="BK197" s="199">
        <f>IF(AND(Input_Product=Elig!$C197,Elig_MatchAll_Ct&lt;22,$BC197=(Elig_MatchAll_Ct-1),AI197=0),F197,0)</f>
        <v>0</v>
      </c>
      <c r="BL197" s="199">
        <f>IF(AND(Input_Product=Elig!$C197,Elig_MatchAll_Ct&lt;22,$BC197=(Elig_MatchAll_Ct-1),AJ197=0),G197,0)</f>
        <v>0</v>
      </c>
      <c r="BM197" s="199">
        <f>IF(AND(Input_Product=Elig!$C197,Elig_MatchAll_Ct&lt;22,$BC197=(Elig_MatchAll_Ct-1),AK197=0),H197,0)</f>
        <v>0</v>
      </c>
      <c r="BN197" s="199">
        <f>IF(AND(Input_Product=Elig!$C197,Elig_MatchAll_Ct&lt;22,$BC197=(Elig_MatchAll_Ct-1),AL197=0),I197,0)</f>
        <v>0</v>
      </c>
      <c r="BO197" s="199">
        <f>IF(AND(Input_Product=Elig!$C197,Elig_MatchAll_Ct&lt;22,$BC197=(Elig_MatchAll_Ct-1),AM197=0),J197,0)</f>
        <v>0</v>
      </c>
      <c r="BP197" s="199">
        <f>IF(AND(Input_Product=Elig!$C197,Elig_MatchAll_Ct&lt;22,$BC197=(Elig_MatchAll_Ct-1),AN197=0),K197,0)</f>
        <v>0</v>
      </c>
      <c r="BQ197" s="199">
        <f>IF(AND(Input_Product=Elig!$C197,Elig_MatchAll_Ct&lt;22,$BC197=(Elig_MatchAll_Ct-1),AP197=0),L197,0)</f>
        <v>0</v>
      </c>
      <c r="BR197" s="199">
        <f>IF(AND(Input_Product=Elig!$C197,Elig_MatchAll_Ct&lt;22,$BC197=(Elig_MatchAll_Ct-1),AO197=0),M197,0)</f>
        <v>0</v>
      </c>
      <c r="BS197" s="199">
        <f>IF(AND(Input_Product=Elig!$C197,Elig_MatchAll_Ct&lt;22,$BC197=(Elig_MatchAll_Ct-1),AQ197=0),N197,0)</f>
        <v>0</v>
      </c>
      <c r="BT197" s="199">
        <f>IF(AND(Input_Product=Elig!$C197,Elig_MatchAll_Ct&lt;22,$BC197=(Elig_MatchAll_Ct-1),AR197=0),O197,0)</f>
        <v>0</v>
      </c>
      <c r="BU197" s="199">
        <f>IF(AND(Input_Product=Elig!$C197,Elig_MatchAll_Ct&lt;22,$BC197=(Elig_MatchAll_Ct-1),AS197=0),P197,0)</f>
        <v>0</v>
      </c>
      <c r="BV197" s="200">
        <f>IF(AND(Input_Product=Elig!$C197,Elig_MatchAll_Ct&lt;22,$BC197=(Elig_MatchAll_Ct-1),AT197=0),Q197,0)</f>
        <v>0</v>
      </c>
      <c r="BW197" s="201">
        <f>IF(AND(Input_Product=Elig!$C197,Elig_MatchAll_Ct&lt;22,$BC197=(Elig_MatchAll_Ct-1),AU197=0),R197,0)</f>
        <v>0</v>
      </c>
      <c r="BX197" s="202">
        <f>IF(AND(Input_Product=Elig!$C197,Elig_MatchAll_Ct&lt;22,$BC197=(Elig_MatchAll_Ct-1),AU197=0),S197,0)</f>
        <v>0</v>
      </c>
      <c r="BY197" s="201">
        <f>IF(AND(Input_Product=Elig!$C197,Elig_MatchAll_Ct&lt;22,$BC197=(Elig_MatchAll_Ct-1),AV197=0),T197,0)</f>
        <v>0</v>
      </c>
      <c r="BZ197" s="202">
        <f>IF(AND(Input_Product=Elig!$C197,Elig_MatchAll_Ct&lt;22,$BC197=(Elig_MatchAll_Ct-1),AV197=0),U197,0)</f>
        <v>0</v>
      </c>
      <c r="CA197" s="201">
        <f>IF(AND(Input_Product=Elig!$C197,Elig_MatchAll_Ct&lt;22,$BC197=(Elig_MatchAll_Ct-1),AW197=0),V197,0)</f>
        <v>0</v>
      </c>
      <c r="CB197" s="202">
        <f>IF(AND(Input_Product=Elig!$C197,Elig_MatchAll_Ct&lt;22,$BC197=(Elig_MatchAll_Ct-1),AW197=0),W197,0)</f>
        <v>0</v>
      </c>
      <c r="CC197" s="201">
        <f>IF(AND(Input_Product=Elig!$C197,Elig_MatchAll_Ct&lt;22,$BC197=(Elig_MatchAll_Ct-1),AX197=0),X197,0)</f>
        <v>0</v>
      </c>
      <c r="CD197" s="202">
        <f>IF(AND(Input_Product=Elig!$C197,Elig_MatchAll_Ct&lt;22,$BC197=(Elig_MatchAll_Ct-1),AX197=0),Y197,0)</f>
        <v>0</v>
      </c>
      <c r="CE197" s="201">
        <f>IF(AND(Input_LTV&lt;=AE197,Input_Product=Elig!$C197,Elig_MatchAll_Ct&lt;22,$BC197=(Elig_MatchAll_Ct-1),AY197=0),Z197,0)</f>
        <v>0</v>
      </c>
      <c r="CF197" s="202">
        <f>IF(AND(Input_LTV&lt;=AE197,Input_Product=Elig!$C197,Elig_MatchAll_Ct&lt;22,$BC197=(Elig_MatchAll_Ct-1),AY197=0),AA197,0)</f>
        <v>0</v>
      </c>
      <c r="CG197" s="201">
        <f>IF(AND(Input_Product=Elig!$C197,Elig_MatchAll_Ct&lt;22,$BC197=(Elig_MatchAll_Ct-1),AZ197=0),AB197,0)</f>
        <v>0</v>
      </c>
      <c r="CH197" s="202">
        <f>IF(AND(Input_Product=Elig!$C197,Elig_MatchAll_Ct&lt;22,$BC197=(Elig_MatchAll_Ct-1),AZ197=0),AC197,0)</f>
        <v>0</v>
      </c>
      <c r="CI197" s="201">
        <f>IF(AND(Input_Product=Elig!$C197,Elig_MatchAll_Ct&lt;22,$BC197=(Elig_MatchAll_Ct-1),BA197=0),AD197,0)</f>
        <v>0</v>
      </c>
      <c r="CJ197" s="202">
        <f>IF(AND(Input_Product=Elig!$C197,Elig_MatchAll_Ct&lt;22,$BC197=(Elig_MatchAll_Ct-1),BA197=0),AE197,0)</f>
        <v>0</v>
      </c>
    </row>
    <row r="198" spans="2:88" ht="10.15" customHeight="1" x14ac:dyDescent="0.25">
      <c r="B198" s="1912" t="s">
        <v>946</v>
      </c>
      <c r="C198" s="134" t="str">
        <f t="shared" si="56"/>
        <v>NonQM OO</v>
      </c>
      <c r="D198" s="135" t="s">
        <v>3885</v>
      </c>
      <c r="E198" s="135" t="s">
        <v>167</v>
      </c>
      <c r="F198" s="135" t="s">
        <v>331</v>
      </c>
      <c r="G198" s="135" t="s">
        <v>304</v>
      </c>
      <c r="H198" s="135" t="s">
        <v>446</v>
      </c>
      <c r="I198" s="136" t="s">
        <v>274</v>
      </c>
      <c r="J198" s="136" t="s">
        <v>1311</v>
      </c>
      <c r="K198" s="136" t="s">
        <v>1631</v>
      </c>
      <c r="L198" s="221" t="s">
        <v>3920</v>
      </c>
      <c r="M198" s="135" t="s">
        <v>4203</v>
      </c>
      <c r="N198" s="135" t="s">
        <v>82</v>
      </c>
      <c r="O198" s="135" t="s">
        <v>310</v>
      </c>
      <c r="P198" s="135" t="s">
        <v>291</v>
      </c>
      <c r="Q198" s="135" t="s">
        <v>294</v>
      </c>
      <c r="R198" s="135">
        <v>2000000.01</v>
      </c>
      <c r="S198" s="221">
        <v>2500000</v>
      </c>
      <c r="T198" s="135">
        <v>0</v>
      </c>
      <c r="U198" s="135">
        <v>0</v>
      </c>
      <c r="V198" s="135">
        <v>0</v>
      </c>
      <c r="W198" s="135">
        <v>55</v>
      </c>
      <c r="X198" s="135">
        <v>0</v>
      </c>
      <c r="Y198" s="135">
        <v>999</v>
      </c>
      <c r="Z198" s="2100">
        <v>660</v>
      </c>
      <c r="AA198" s="2100">
        <v>679</v>
      </c>
      <c r="AB198" s="137">
        <v>9</v>
      </c>
      <c r="AC198" s="137">
        <v>999999</v>
      </c>
      <c r="AD198" s="135">
        <v>0</v>
      </c>
      <c r="AE198" s="221">
        <v>70</v>
      </c>
      <c r="AF198" s="170">
        <v>0</v>
      </c>
      <c r="AG198" s="171">
        <v>1</v>
      </c>
      <c r="AH198" s="171">
        <v>1</v>
      </c>
      <c r="AI198" s="171">
        <v>1</v>
      </c>
      <c r="AJ198" s="171">
        <v>0</v>
      </c>
      <c r="AK198" s="171">
        <v>0</v>
      </c>
      <c r="AL198" s="171">
        <v>0</v>
      </c>
      <c r="AM198" s="171">
        <v>1</v>
      </c>
      <c r="AN198" s="171">
        <v>1</v>
      </c>
      <c r="AO198" s="171">
        <v>1</v>
      </c>
      <c r="AP198" s="171">
        <v>1</v>
      </c>
      <c r="AQ198" s="171">
        <v>1</v>
      </c>
      <c r="AR198" s="171">
        <v>1</v>
      </c>
      <c r="AS198" s="171">
        <v>1</v>
      </c>
      <c r="AT198" s="171">
        <v>1</v>
      </c>
      <c r="AU198" s="171">
        <f t="shared" si="58"/>
        <v>0</v>
      </c>
      <c r="AV198" s="171">
        <f t="shared" si="59"/>
        <v>0</v>
      </c>
      <c r="AW198" s="171">
        <f t="shared" si="60"/>
        <v>1</v>
      </c>
      <c r="AX198" s="171">
        <f t="shared" si="53"/>
        <v>1</v>
      </c>
      <c r="AY198" s="171">
        <f t="shared" si="61"/>
        <v>0</v>
      </c>
      <c r="AZ198" s="171">
        <f t="shared" si="62"/>
        <v>1</v>
      </c>
      <c r="BA198" s="172">
        <f t="shared" si="63"/>
        <v>1</v>
      </c>
      <c r="BB198" s="175">
        <f t="shared" si="72"/>
        <v>15</v>
      </c>
      <c r="BC198" s="176">
        <f t="shared" si="73"/>
        <v>14</v>
      </c>
      <c r="BD198" s="176">
        <f t="shared" si="74"/>
        <v>15</v>
      </c>
      <c r="BE198" s="240" t="str">
        <f t="shared" si="51"/>
        <v/>
      </c>
      <c r="BH198" s="214">
        <f>IF(AND(Input_Product=Elig!$C198,Elig_MatchAll_Ct&lt;22,$BC198=(Elig_MatchAll_Ct-1),AF198=0),C198,0)</f>
        <v>0</v>
      </c>
      <c r="BI198" s="214">
        <f>IF(AND(Input_Product=Elig!$C198,Elig_MatchAll_Ct&lt;22,$BC198=(Elig_MatchAll_Ct-1),AG198=0),D198,0)</f>
        <v>0</v>
      </c>
      <c r="BJ198" s="214">
        <f>IF(AND(Input_Product=Elig!$C198,Elig_MatchAll_Ct&lt;22,$BC198=(Elig_MatchAll_Ct-1),AH198=0),E198,0)</f>
        <v>0</v>
      </c>
      <c r="BK198" s="214">
        <f>IF(AND(Input_Product=Elig!$C198,Elig_MatchAll_Ct&lt;22,$BC198=(Elig_MatchAll_Ct-1),AI198=0),F198,0)</f>
        <v>0</v>
      </c>
      <c r="BL198" s="214">
        <f>IF(AND(Input_Product=Elig!$C198,Elig_MatchAll_Ct&lt;22,$BC198=(Elig_MatchAll_Ct-1),AJ198=0),G198,0)</f>
        <v>0</v>
      </c>
      <c r="BM198" s="214">
        <f>IF(AND(Input_Product=Elig!$C198,Elig_MatchAll_Ct&lt;22,$BC198=(Elig_MatchAll_Ct-1),AK198=0),H198,0)</f>
        <v>0</v>
      </c>
      <c r="BN198" s="214">
        <f>IF(AND(Input_Product=Elig!$C198,Elig_MatchAll_Ct&lt;22,$BC198=(Elig_MatchAll_Ct-1),AL198=0),I198,0)</f>
        <v>0</v>
      </c>
      <c r="BO198" s="214">
        <f>IF(AND(Input_Product=Elig!$C198,Elig_MatchAll_Ct&lt;22,$BC198=(Elig_MatchAll_Ct-1),AM198=0),J198,0)</f>
        <v>0</v>
      </c>
      <c r="BP198" s="214">
        <f>IF(AND(Input_Product=Elig!$C198,Elig_MatchAll_Ct&lt;22,$BC198=(Elig_MatchAll_Ct-1),AN198=0),K198,0)</f>
        <v>0</v>
      </c>
      <c r="BQ198" s="214">
        <f>IF(AND(Input_Product=Elig!$C198,Elig_MatchAll_Ct&lt;22,$BC198=(Elig_MatchAll_Ct-1),AP198=0),L198,0)</f>
        <v>0</v>
      </c>
      <c r="BR198" s="214">
        <f>IF(AND(Input_Product=Elig!$C198,Elig_MatchAll_Ct&lt;22,$BC198=(Elig_MatchAll_Ct-1),AO198=0),M198,0)</f>
        <v>0</v>
      </c>
      <c r="BS198" s="214">
        <f>IF(AND(Input_Product=Elig!$C198,Elig_MatchAll_Ct&lt;22,$BC198=(Elig_MatchAll_Ct-1),AQ198=0),N198,0)</f>
        <v>0</v>
      </c>
      <c r="BT198" s="214">
        <f>IF(AND(Input_Product=Elig!$C198,Elig_MatchAll_Ct&lt;22,$BC198=(Elig_MatchAll_Ct-1),AR198=0),O198,0)</f>
        <v>0</v>
      </c>
      <c r="BU198" s="214">
        <f>IF(AND(Input_Product=Elig!$C198,Elig_MatchAll_Ct&lt;22,$BC198=(Elig_MatchAll_Ct-1),AS198=0),P198,0)</f>
        <v>0</v>
      </c>
      <c r="BV198" s="215">
        <f>IF(AND(Input_Product=Elig!$C198,Elig_MatchAll_Ct&lt;22,$BC198=(Elig_MatchAll_Ct-1),AT198=0),Q198,0)</f>
        <v>0</v>
      </c>
      <c r="BW198" s="311">
        <f>IF(AND(Input_Product=Elig!$C198,Elig_MatchAll_Ct&lt;22,$BC198=(Elig_MatchAll_Ct-1),AU198=0),R198,0)</f>
        <v>0</v>
      </c>
      <c r="BX198" s="312">
        <f>IF(AND(Input_Product=Elig!$C198,Elig_MatchAll_Ct&lt;22,$BC198=(Elig_MatchAll_Ct-1),AU198=0),S198,0)</f>
        <v>0</v>
      </c>
      <c r="BY198" s="311">
        <f>IF(AND(Input_Product=Elig!$C198,Elig_MatchAll_Ct&lt;22,$BC198=(Elig_MatchAll_Ct-1),AV198=0),T198,0)</f>
        <v>0</v>
      </c>
      <c r="BZ198" s="312">
        <f>IF(AND(Input_Product=Elig!$C198,Elig_MatchAll_Ct&lt;22,$BC198=(Elig_MatchAll_Ct-1),AV198=0),U198,0)</f>
        <v>0</v>
      </c>
      <c r="CA198" s="311">
        <f>IF(AND(Input_Product=Elig!$C198,Elig_MatchAll_Ct&lt;22,$BC198=(Elig_MatchAll_Ct-1),AW198=0),V198,0)</f>
        <v>0</v>
      </c>
      <c r="CB198" s="312">
        <f>IF(AND(Input_Product=Elig!$C198,Elig_MatchAll_Ct&lt;22,$BC198=(Elig_MatchAll_Ct-1),AW198=0),W198,0)</f>
        <v>0</v>
      </c>
      <c r="CC198" s="311">
        <f>IF(AND(Input_Product=Elig!$C198,Elig_MatchAll_Ct&lt;22,$BC198=(Elig_MatchAll_Ct-1),AX198=0),X198,0)</f>
        <v>0</v>
      </c>
      <c r="CD198" s="312">
        <f>IF(AND(Input_Product=Elig!$C198,Elig_MatchAll_Ct&lt;22,$BC198=(Elig_MatchAll_Ct-1),AX198=0),Y198,0)</f>
        <v>0</v>
      </c>
      <c r="CE198" s="311">
        <f>IF(AND(Input_LTV&lt;=AE198,Input_Product=Elig!$C198,Elig_MatchAll_Ct&lt;22,$BC198=(Elig_MatchAll_Ct-1),AY198=0),Z198,0)</f>
        <v>0</v>
      </c>
      <c r="CF198" s="312">
        <f>IF(AND(Input_LTV&lt;=AE198,Input_Product=Elig!$C198,Elig_MatchAll_Ct&lt;22,$BC198=(Elig_MatchAll_Ct-1),AY198=0),AA198,0)</f>
        <v>0</v>
      </c>
      <c r="CG198" s="311">
        <f>IF(AND(Input_Product=Elig!$C198,Elig_MatchAll_Ct&lt;22,$BC198=(Elig_MatchAll_Ct-1),AZ198=0),AB198,0)</f>
        <v>0</v>
      </c>
      <c r="CH198" s="312">
        <f>IF(AND(Input_Product=Elig!$C198,Elig_MatchAll_Ct&lt;22,$BC198=(Elig_MatchAll_Ct-1),AZ198=0),AC198,0)</f>
        <v>0</v>
      </c>
      <c r="CI198" s="311">
        <f>IF(AND(Input_Product=Elig!$C198,Elig_MatchAll_Ct&lt;22,$BC198=(Elig_MatchAll_Ct-1),BA198=0),AD198,0)</f>
        <v>0</v>
      </c>
      <c r="CJ198" s="312">
        <f>IF(AND(Input_Product=Elig!$C198,Elig_MatchAll_Ct&lt;22,$BC198=(Elig_MatchAll_Ct-1),BA198=0),AE198,0)</f>
        <v>0</v>
      </c>
    </row>
    <row r="199" spans="2:88" ht="10.15" customHeight="1" x14ac:dyDescent="0.25">
      <c r="B199" s="1912" t="s">
        <v>947</v>
      </c>
      <c r="C199" s="141" t="str">
        <f t="shared" si="56"/>
        <v>NonQM OO</v>
      </c>
      <c r="D199" s="142" t="s">
        <v>3885</v>
      </c>
      <c r="E199" s="143" t="s">
        <v>167</v>
      </c>
      <c r="F199" s="143" t="s">
        <v>331</v>
      </c>
      <c r="G199" s="143" t="s">
        <v>304</v>
      </c>
      <c r="H199" s="143" t="s">
        <v>446</v>
      </c>
      <c r="I199" s="142" t="s">
        <v>16</v>
      </c>
      <c r="J199" s="142" t="s">
        <v>1311</v>
      </c>
      <c r="K199" s="142" t="s">
        <v>1631</v>
      </c>
      <c r="L199" s="2131" t="s">
        <v>3920</v>
      </c>
      <c r="M199" s="143" t="s">
        <v>4203</v>
      </c>
      <c r="N199" s="143" t="s">
        <v>82</v>
      </c>
      <c r="O199" s="143" t="s">
        <v>310</v>
      </c>
      <c r="P199" s="143" t="s">
        <v>291</v>
      </c>
      <c r="Q199" s="143" t="s">
        <v>294</v>
      </c>
      <c r="R199" s="142">
        <v>2000000.01</v>
      </c>
      <c r="S199" s="320">
        <v>2500000</v>
      </c>
      <c r="T199" s="142">
        <v>0</v>
      </c>
      <c r="U199" s="142">
        <f t="shared" ref="U199:U202" si="78">S199</f>
        <v>2500000</v>
      </c>
      <c r="V199" s="142">
        <v>0</v>
      </c>
      <c r="W199" s="142">
        <v>55</v>
      </c>
      <c r="X199" s="142">
        <v>0</v>
      </c>
      <c r="Y199" s="142">
        <v>999</v>
      </c>
      <c r="Z199" s="144">
        <v>720</v>
      </c>
      <c r="AA199" s="144">
        <v>999</v>
      </c>
      <c r="AB199" s="144">
        <v>9</v>
      </c>
      <c r="AC199" s="144">
        <v>999999</v>
      </c>
      <c r="AD199" s="142">
        <v>0</v>
      </c>
      <c r="AE199" s="320">
        <v>75</v>
      </c>
      <c r="AF199" s="170">
        <v>0</v>
      </c>
      <c r="AG199" s="171">
        <v>1</v>
      </c>
      <c r="AH199" s="171">
        <v>1</v>
      </c>
      <c r="AI199" s="171">
        <v>1</v>
      </c>
      <c r="AJ199" s="171">
        <v>0</v>
      </c>
      <c r="AK199" s="171">
        <v>0</v>
      </c>
      <c r="AL199" s="171">
        <v>1</v>
      </c>
      <c r="AM199" s="171">
        <v>1</v>
      </c>
      <c r="AN199" s="171">
        <v>1</v>
      </c>
      <c r="AO199" s="171">
        <v>1</v>
      </c>
      <c r="AP199" s="171">
        <v>1</v>
      </c>
      <c r="AQ199" s="171">
        <v>1</v>
      </c>
      <c r="AR199" s="171">
        <v>1</v>
      </c>
      <c r="AS199" s="171">
        <v>1</v>
      </c>
      <c r="AT199" s="171">
        <v>1</v>
      </c>
      <c r="AU199" s="171">
        <f t="shared" si="58"/>
        <v>0</v>
      </c>
      <c r="AV199" s="171">
        <f t="shared" si="59"/>
        <v>1</v>
      </c>
      <c r="AW199" s="171">
        <f t="shared" si="60"/>
        <v>1</v>
      </c>
      <c r="AX199" s="171">
        <f t="shared" si="53"/>
        <v>1</v>
      </c>
      <c r="AY199" s="171">
        <f t="shared" si="61"/>
        <v>1</v>
      </c>
      <c r="AZ199" s="171">
        <f t="shared" si="62"/>
        <v>1</v>
      </c>
      <c r="BA199" s="172">
        <f t="shared" si="63"/>
        <v>1</v>
      </c>
      <c r="BB199" s="175">
        <f t="shared" si="72"/>
        <v>18</v>
      </c>
      <c r="BC199" s="176">
        <f t="shared" si="73"/>
        <v>17</v>
      </c>
      <c r="BD199" s="176">
        <f t="shared" si="74"/>
        <v>18</v>
      </c>
      <c r="BE199" s="240" t="str">
        <f t="shared" ref="BE199:BE262" si="79">IF(BD199=21,C199,"")</f>
        <v/>
      </c>
      <c r="BH199" s="210">
        <f>IF(AND(Input_Product=Elig!$C199,Elig_MatchAll_Ct&lt;22,$BC199=(Elig_MatchAll_Ct-1),AF199=0),C199,0)</f>
        <v>0</v>
      </c>
      <c r="BI199" s="210">
        <f>IF(AND(Input_Product=Elig!$C199,Elig_MatchAll_Ct&lt;22,$BC199=(Elig_MatchAll_Ct-1),AG199=0),D199,0)</f>
        <v>0</v>
      </c>
      <c r="BJ199" s="210">
        <f>IF(AND(Input_Product=Elig!$C199,Elig_MatchAll_Ct&lt;22,$BC199=(Elig_MatchAll_Ct-1),AH199=0),E199,0)</f>
        <v>0</v>
      </c>
      <c r="BK199" s="210">
        <f>IF(AND(Input_Product=Elig!$C199,Elig_MatchAll_Ct&lt;22,$BC199=(Elig_MatchAll_Ct-1),AI199=0),F199,0)</f>
        <v>0</v>
      </c>
      <c r="BL199" s="210">
        <f>IF(AND(Input_Product=Elig!$C199,Elig_MatchAll_Ct&lt;22,$BC199=(Elig_MatchAll_Ct-1),AJ199=0),G199,0)</f>
        <v>0</v>
      </c>
      <c r="BM199" s="210">
        <f>IF(AND(Input_Product=Elig!$C199,Elig_MatchAll_Ct&lt;22,$BC199=(Elig_MatchAll_Ct-1),AK199=0),H199,0)</f>
        <v>0</v>
      </c>
      <c r="BN199" s="210">
        <f>IF(AND(Input_Product=Elig!$C199,Elig_MatchAll_Ct&lt;22,$BC199=(Elig_MatchAll_Ct-1),AL199=0),I199,0)</f>
        <v>0</v>
      </c>
      <c r="BO199" s="210">
        <f>IF(AND(Input_Product=Elig!$C199,Elig_MatchAll_Ct&lt;22,$BC199=(Elig_MatchAll_Ct-1),AM199=0),J199,0)</f>
        <v>0</v>
      </c>
      <c r="BP199" s="210">
        <f>IF(AND(Input_Product=Elig!$C199,Elig_MatchAll_Ct&lt;22,$BC199=(Elig_MatchAll_Ct-1),AN199=0),K199,0)</f>
        <v>0</v>
      </c>
      <c r="BQ199" s="210">
        <f>IF(AND(Input_Product=Elig!$C199,Elig_MatchAll_Ct&lt;22,$BC199=(Elig_MatchAll_Ct-1),AP199=0),L199,0)</f>
        <v>0</v>
      </c>
      <c r="BR199" s="210">
        <f>IF(AND(Input_Product=Elig!$C199,Elig_MatchAll_Ct&lt;22,$BC199=(Elig_MatchAll_Ct-1),AO199=0),M199,0)</f>
        <v>0</v>
      </c>
      <c r="BS199" s="210">
        <f>IF(AND(Input_Product=Elig!$C199,Elig_MatchAll_Ct&lt;22,$BC199=(Elig_MatchAll_Ct-1),AQ199=0),N199,0)</f>
        <v>0</v>
      </c>
      <c r="BT199" s="210">
        <f>IF(AND(Input_Product=Elig!$C199,Elig_MatchAll_Ct&lt;22,$BC199=(Elig_MatchAll_Ct-1),AR199=0),O199,0)</f>
        <v>0</v>
      </c>
      <c r="BU199" s="210">
        <f>IF(AND(Input_Product=Elig!$C199,Elig_MatchAll_Ct&lt;22,$BC199=(Elig_MatchAll_Ct-1),AS199=0),P199,0)</f>
        <v>0</v>
      </c>
      <c r="BV199" s="211">
        <f>IF(AND(Input_Product=Elig!$C199,Elig_MatchAll_Ct&lt;22,$BC199=(Elig_MatchAll_Ct-1),AT199=0),Q199,0)</f>
        <v>0</v>
      </c>
      <c r="BW199" s="212">
        <f>IF(AND(Input_Product=Elig!$C199,Elig_MatchAll_Ct&lt;22,$BC199=(Elig_MatchAll_Ct-1),AU199=0),R199,0)</f>
        <v>0</v>
      </c>
      <c r="BX199" s="213">
        <f>IF(AND(Input_Product=Elig!$C199,Elig_MatchAll_Ct&lt;22,$BC199=(Elig_MatchAll_Ct-1),AU199=0),S199,0)</f>
        <v>0</v>
      </c>
      <c r="BY199" s="212">
        <f>IF(AND(Input_Product=Elig!$C199,Elig_MatchAll_Ct&lt;22,$BC199=(Elig_MatchAll_Ct-1),AV199=0),T199,0)</f>
        <v>0</v>
      </c>
      <c r="BZ199" s="213">
        <f>IF(AND(Input_Product=Elig!$C199,Elig_MatchAll_Ct&lt;22,$BC199=(Elig_MatchAll_Ct-1),AV199=0),U199,0)</f>
        <v>0</v>
      </c>
      <c r="CA199" s="212">
        <f>IF(AND(Input_Product=Elig!$C199,Elig_MatchAll_Ct&lt;22,$BC199=(Elig_MatchAll_Ct-1),AW199=0),V199,0)</f>
        <v>0</v>
      </c>
      <c r="CB199" s="213">
        <f>IF(AND(Input_Product=Elig!$C199,Elig_MatchAll_Ct&lt;22,$BC199=(Elig_MatchAll_Ct-1),AW199=0),W199,0)</f>
        <v>0</v>
      </c>
      <c r="CC199" s="212">
        <f>IF(AND(Input_Product=Elig!$C199,Elig_MatchAll_Ct&lt;22,$BC199=(Elig_MatchAll_Ct-1),AX199=0),X199,0)</f>
        <v>0</v>
      </c>
      <c r="CD199" s="213">
        <f>IF(AND(Input_Product=Elig!$C199,Elig_MatchAll_Ct&lt;22,$BC199=(Elig_MatchAll_Ct-1),AX199=0),Y199,0)</f>
        <v>0</v>
      </c>
      <c r="CE199" s="212">
        <f>IF(AND(Input_LTV&lt;=AE199,Input_Product=Elig!$C199,Elig_MatchAll_Ct&lt;22,$BC199=(Elig_MatchAll_Ct-1),AY199=0),Z199,0)</f>
        <v>0</v>
      </c>
      <c r="CF199" s="213">
        <f>IF(AND(Input_LTV&lt;=AE199,Input_Product=Elig!$C199,Elig_MatchAll_Ct&lt;22,$BC199=(Elig_MatchAll_Ct-1),AY199=0),AA199,0)</f>
        <v>0</v>
      </c>
      <c r="CG199" s="212">
        <f>IF(AND(Input_Product=Elig!$C199,Elig_MatchAll_Ct&lt;22,$BC199=(Elig_MatchAll_Ct-1),AZ199=0),AB199,0)</f>
        <v>0</v>
      </c>
      <c r="CH199" s="213">
        <f>IF(AND(Input_Product=Elig!$C199,Elig_MatchAll_Ct&lt;22,$BC199=(Elig_MatchAll_Ct-1),AZ199=0),AC199,0)</f>
        <v>0</v>
      </c>
      <c r="CI199" s="212">
        <f>IF(AND(Input_Product=Elig!$C199,Elig_MatchAll_Ct&lt;22,$BC199=(Elig_MatchAll_Ct-1),BA199=0),AD199,0)</f>
        <v>0</v>
      </c>
      <c r="CJ199" s="213">
        <f>IF(AND(Input_Product=Elig!$C199,Elig_MatchAll_Ct&lt;22,$BC199=(Elig_MatchAll_Ct-1),BA199=0),AE199,0)</f>
        <v>0</v>
      </c>
    </row>
    <row r="200" spans="2:88" ht="10.15" customHeight="1" x14ac:dyDescent="0.25">
      <c r="B200" s="1912" t="s">
        <v>948</v>
      </c>
      <c r="C200" s="134" t="str">
        <f t="shared" si="56"/>
        <v>NonQM OO</v>
      </c>
      <c r="D200" s="135" t="s">
        <v>3885</v>
      </c>
      <c r="E200" s="135" t="s">
        <v>167</v>
      </c>
      <c r="F200" s="135" t="s">
        <v>331</v>
      </c>
      <c r="G200" s="135" t="s">
        <v>304</v>
      </c>
      <c r="H200" s="135" t="s">
        <v>446</v>
      </c>
      <c r="I200" s="136" t="s">
        <v>16</v>
      </c>
      <c r="J200" s="136" t="s">
        <v>1311</v>
      </c>
      <c r="K200" s="136" t="s">
        <v>1631</v>
      </c>
      <c r="L200" s="221" t="s">
        <v>3920</v>
      </c>
      <c r="M200" s="135" t="s">
        <v>4203</v>
      </c>
      <c r="N200" s="135" t="s">
        <v>82</v>
      </c>
      <c r="O200" s="135" t="s">
        <v>310</v>
      </c>
      <c r="P200" s="135" t="s">
        <v>291</v>
      </c>
      <c r="Q200" s="135" t="s">
        <v>294</v>
      </c>
      <c r="R200" s="135">
        <v>2000000.01</v>
      </c>
      <c r="S200" s="221">
        <v>2500000</v>
      </c>
      <c r="T200" s="135">
        <v>0</v>
      </c>
      <c r="U200" s="135">
        <f t="shared" si="78"/>
        <v>2500000</v>
      </c>
      <c r="V200" s="135">
        <v>0</v>
      </c>
      <c r="W200" s="135">
        <v>55</v>
      </c>
      <c r="X200" s="135">
        <v>0</v>
      </c>
      <c r="Y200" s="135">
        <v>999</v>
      </c>
      <c r="Z200" s="137">
        <v>700</v>
      </c>
      <c r="AA200" s="137">
        <v>719</v>
      </c>
      <c r="AB200" s="137">
        <v>9</v>
      </c>
      <c r="AC200" s="137">
        <v>999999</v>
      </c>
      <c r="AD200" s="135">
        <v>0</v>
      </c>
      <c r="AE200" s="221">
        <v>65</v>
      </c>
      <c r="AF200" s="170">
        <v>0</v>
      </c>
      <c r="AG200" s="171">
        <v>1</v>
      </c>
      <c r="AH200" s="171">
        <v>1</v>
      </c>
      <c r="AI200" s="171">
        <v>1</v>
      </c>
      <c r="AJ200" s="171">
        <v>0</v>
      </c>
      <c r="AK200" s="171">
        <v>0</v>
      </c>
      <c r="AL200" s="171">
        <v>1</v>
      </c>
      <c r="AM200" s="171">
        <v>1</v>
      </c>
      <c r="AN200" s="171">
        <v>1</v>
      </c>
      <c r="AO200" s="171">
        <v>1</v>
      </c>
      <c r="AP200" s="171">
        <v>1</v>
      </c>
      <c r="AQ200" s="171">
        <v>1</v>
      </c>
      <c r="AR200" s="171">
        <v>1</v>
      </c>
      <c r="AS200" s="171">
        <v>1</v>
      </c>
      <c r="AT200" s="171">
        <v>1</v>
      </c>
      <c r="AU200" s="171">
        <f t="shared" si="58"/>
        <v>0</v>
      </c>
      <c r="AV200" s="171">
        <f t="shared" si="59"/>
        <v>1</v>
      </c>
      <c r="AW200" s="171">
        <f t="shared" si="60"/>
        <v>1</v>
      </c>
      <c r="AX200" s="171">
        <f t="shared" si="53"/>
        <v>1</v>
      </c>
      <c r="AY200" s="171">
        <f t="shared" si="61"/>
        <v>0</v>
      </c>
      <c r="AZ200" s="171">
        <f t="shared" si="62"/>
        <v>1</v>
      </c>
      <c r="BA200" s="172">
        <f t="shared" si="63"/>
        <v>1</v>
      </c>
      <c r="BB200" s="175">
        <f t="shared" si="72"/>
        <v>17</v>
      </c>
      <c r="BC200" s="176">
        <f t="shared" si="73"/>
        <v>16</v>
      </c>
      <c r="BD200" s="176">
        <f t="shared" si="74"/>
        <v>17</v>
      </c>
      <c r="BE200" s="240" t="str">
        <f t="shared" si="79"/>
        <v/>
      </c>
      <c r="BH200" s="199">
        <f>IF(AND(Input_Product=Elig!$C200,Elig_MatchAll_Ct&lt;22,$BC200=(Elig_MatchAll_Ct-1),AF200=0),C200,0)</f>
        <v>0</v>
      </c>
      <c r="BI200" s="199">
        <f>IF(AND(Input_Product=Elig!$C200,Elig_MatchAll_Ct&lt;22,$BC200=(Elig_MatchAll_Ct-1),AG200=0),D200,0)</f>
        <v>0</v>
      </c>
      <c r="BJ200" s="199">
        <f>IF(AND(Input_Product=Elig!$C200,Elig_MatchAll_Ct&lt;22,$BC200=(Elig_MatchAll_Ct-1),AH200=0),E200,0)</f>
        <v>0</v>
      </c>
      <c r="BK200" s="199">
        <f>IF(AND(Input_Product=Elig!$C200,Elig_MatchAll_Ct&lt;22,$BC200=(Elig_MatchAll_Ct-1),AI200=0),F200,0)</f>
        <v>0</v>
      </c>
      <c r="BL200" s="199">
        <f>IF(AND(Input_Product=Elig!$C200,Elig_MatchAll_Ct&lt;22,$BC200=(Elig_MatchAll_Ct-1),AJ200=0),G200,0)</f>
        <v>0</v>
      </c>
      <c r="BM200" s="199">
        <f>IF(AND(Input_Product=Elig!$C200,Elig_MatchAll_Ct&lt;22,$BC200=(Elig_MatchAll_Ct-1),AK200=0),H200,0)</f>
        <v>0</v>
      </c>
      <c r="BN200" s="199">
        <f>IF(AND(Input_Product=Elig!$C200,Elig_MatchAll_Ct&lt;22,$BC200=(Elig_MatchAll_Ct-1),AL200=0),I200,0)</f>
        <v>0</v>
      </c>
      <c r="BO200" s="199">
        <f>IF(AND(Input_Product=Elig!$C200,Elig_MatchAll_Ct&lt;22,$BC200=(Elig_MatchAll_Ct-1),AM200=0),J200,0)</f>
        <v>0</v>
      </c>
      <c r="BP200" s="199">
        <f>IF(AND(Input_Product=Elig!$C200,Elig_MatchAll_Ct&lt;22,$BC200=(Elig_MatchAll_Ct-1),AN200=0),K200,0)</f>
        <v>0</v>
      </c>
      <c r="BQ200" s="199">
        <f>IF(AND(Input_Product=Elig!$C200,Elig_MatchAll_Ct&lt;22,$BC200=(Elig_MatchAll_Ct-1),AP200=0),L200,0)</f>
        <v>0</v>
      </c>
      <c r="BR200" s="199">
        <f>IF(AND(Input_Product=Elig!$C200,Elig_MatchAll_Ct&lt;22,$BC200=(Elig_MatchAll_Ct-1),AO200=0),M200,0)</f>
        <v>0</v>
      </c>
      <c r="BS200" s="199">
        <f>IF(AND(Input_Product=Elig!$C200,Elig_MatchAll_Ct&lt;22,$BC200=(Elig_MatchAll_Ct-1),AQ200=0),N200,0)</f>
        <v>0</v>
      </c>
      <c r="BT200" s="199">
        <f>IF(AND(Input_Product=Elig!$C200,Elig_MatchAll_Ct&lt;22,$BC200=(Elig_MatchAll_Ct-1),AR200=0),O200,0)</f>
        <v>0</v>
      </c>
      <c r="BU200" s="199">
        <f>IF(AND(Input_Product=Elig!$C200,Elig_MatchAll_Ct&lt;22,$BC200=(Elig_MatchAll_Ct-1),AS200=0),P200,0)</f>
        <v>0</v>
      </c>
      <c r="BV200" s="200">
        <f>IF(AND(Input_Product=Elig!$C200,Elig_MatchAll_Ct&lt;22,$BC200=(Elig_MatchAll_Ct-1),AT200=0),Q200,0)</f>
        <v>0</v>
      </c>
      <c r="BW200" s="201">
        <f>IF(AND(Input_Product=Elig!$C200,Elig_MatchAll_Ct&lt;22,$BC200=(Elig_MatchAll_Ct-1),AU200=0),R200,0)</f>
        <v>0</v>
      </c>
      <c r="BX200" s="202">
        <f>IF(AND(Input_Product=Elig!$C200,Elig_MatchAll_Ct&lt;22,$BC200=(Elig_MatchAll_Ct-1),AU200=0),S200,0)</f>
        <v>0</v>
      </c>
      <c r="BY200" s="201">
        <f>IF(AND(Input_Product=Elig!$C200,Elig_MatchAll_Ct&lt;22,$BC200=(Elig_MatchAll_Ct-1),AV200=0),T200,0)</f>
        <v>0</v>
      </c>
      <c r="BZ200" s="202">
        <f>IF(AND(Input_Product=Elig!$C200,Elig_MatchAll_Ct&lt;22,$BC200=(Elig_MatchAll_Ct-1),AV200=0),U200,0)</f>
        <v>0</v>
      </c>
      <c r="CA200" s="201">
        <f>IF(AND(Input_Product=Elig!$C200,Elig_MatchAll_Ct&lt;22,$BC200=(Elig_MatchAll_Ct-1),AW200=0),V200,0)</f>
        <v>0</v>
      </c>
      <c r="CB200" s="202">
        <f>IF(AND(Input_Product=Elig!$C200,Elig_MatchAll_Ct&lt;22,$BC200=(Elig_MatchAll_Ct-1),AW200=0),W200,0)</f>
        <v>0</v>
      </c>
      <c r="CC200" s="201">
        <f>IF(AND(Input_Product=Elig!$C200,Elig_MatchAll_Ct&lt;22,$BC200=(Elig_MatchAll_Ct-1),AX200=0),X200,0)</f>
        <v>0</v>
      </c>
      <c r="CD200" s="202">
        <f>IF(AND(Input_Product=Elig!$C200,Elig_MatchAll_Ct&lt;22,$BC200=(Elig_MatchAll_Ct-1),AX200=0),Y200,0)</f>
        <v>0</v>
      </c>
      <c r="CE200" s="201">
        <f>IF(AND(Input_LTV&lt;=AE200,Input_Product=Elig!$C200,Elig_MatchAll_Ct&lt;22,$BC200=(Elig_MatchAll_Ct-1),AY200=0),Z200,0)</f>
        <v>0</v>
      </c>
      <c r="CF200" s="202">
        <f>IF(AND(Input_LTV&lt;=AE200,Input_Product=Elig!$C200,Elig_MatchAll_Ct&lt;22,$BC200=(Elig_MatchAll_Ct-1),AY200=0),AA200,0)</f>
        <v>0</v>
      </c>
      <c r="CG200" s="201">
        <f>IF(AND(Input_Product=Elig!$C200,Elig_MatchAll_Ct&lt;22,$BC200=(Elig_MatchAll_Ct-1),AZ200=0),AB200,0)</f>
        <v>0</v>
      </c>
      <c r="CH200" s="202">
        <f>IF(AND(Input_Product=Elig!$C200,Elig_MatchAll_Ct&lt;22,$BC200=(Elig_MatchAll_Ct-1),AZ200=0),AC200,0)</f>
        <v>0</v>
      </c>
      <c r="CI200" s="201">
        <f>IF(AND(Input_Product=Elig!$C200,Elig_MatchAll_Ct&lt;22,$BC200=(Elig_MatchAll_Ct-1),BA200=0),AD200,0)</f>
        <v>0</v>
      </c>
      <c r="CJ200" s="202">
        <f>IF(AND(Input_Product=Elig!$C200,Elig_MatchAll_Ct&lt;22,$BC200=(Elig_MatchAll_Ct-1),BA200=0),AE200,0)</f>
        <v>0</v>
      </c>
    </row>
    <row r="201" spans="2:88" ht="10.15" customHeight="1" x14ac:dyDescent="0.25">
      <c r="B201" s="1912" t="s">
        <v>949</v>
      </c>
      <c r="C201" s="134" t="str">
        <f t="shared" si="56"/>
        <v>NonQM OO</v>
      </c>
      <c r="D201" s="135" t="s">
        <v>3885</v>
      </c>
      <c r="E201" s="135" t="s">
        <v>167</v>
      </c>
      <c r="F201" s="135" t="s">
        <v>331</v>
      </c>
      <c r="G201" s="135" t="s">
        <v>304</v>
      </c>
      <c r="H201" s="135" t="s">
        <v>446</v>
      </c>
      <c r="I201" s="136" t="s">
        <v>16</v>
      </c>
      <c r="J201" s="136" t="s">
        <v>1311</v>
      </c>
      <c r="K201" s="136" t="s">
        <v>1631</v>
      </c>
      <c r="L201" s="221" t="s">
        <v>3920</v>
      </c>
      <c r="M201" s="135" t="s">
        <v>4203</v>
      </c>
      <c r="N201" s="135" t="s">
        <v>82</v>
      </c>
      <c r="O201" s="135" t="s">
        <v>310</v>
      </c>
      <c r="P201" s="135" t="s">
        <v>291</v>
      </c>
      <c r="Q201" s="135" t="s">
        <v>294</v>
      </c>
      <c r="R201" s="135">
        <v>2000000.01</v>
      </c>
      <c r="S201" s="221">
        <v>2500000</v>
      </c>
      <c r="T201" s="135">
        <v>0</v>
      </c>
      <c r="U201" s="135">
        <f t="shared" ref="U201" si="80">S201</f>
        <v>2500000</v>
      </c>
      <c r="V201" s="135">
        <v>0</v>
      </c>
      <c r="W201" s="135">
        <v>55</v>
      </c>
      <c r="X201" s="135">
        <v>0</v>
      </c>
      <c r="Y201" s="135">
        <v>999</v>
      </c>
      <c r="Z201" s="2100">
        <v>680</v>
      </c>
      <c r="AA201" s="2100">
        <v>699</v>
      </c>
      <c r="AB201" s="137">
        <v>9</v>
      </c>
      <c r="AC201" s="137">
        <v>999999</v>
      </c>
      <c r="AD201" s="135">
        <v>0</v>
      </c>
      <c r="AE201" s="221">
        <v>65</v>
      </c>
      <c r="AF201" s="170">
        <v>0</v>
      </c>
      <c r="AG201" s="171">
        <v>1</v>
      </c>
      <c r="AH201" s="171">
        <v>1</v>
      </c>
      <c r="AI201" s="171">
        <v>1</v>
      </c>
      <c r="AJ201" s="171">
        <v>0</v>
      </c>
      <c r="AK201" s="171">
        <v>0</v>
      </c>
      <c r="AL201" s="171">
        <v>1</v>
      </c>
      <c r="AM201" s="171">
        <v>1</v>
      </c>
      <c r="AN201" s="171">
        <v>1</v>
      </c>
      <c r="AO201" s="171">
        <v>1</v>
      </c>
      <c r="AP201" s="171">
        <v>1</v>
      </c>
      <c r="AQ201" s="171">
        <v>1</v>
      </c>
      <c r="AR201" s="171">
        <v>1</v>
      </c>
      <c r="AS201" s="171">
        <v>1</v>
      </c>
      <c r="AT201" s="171">
        <v>1</v>
      </c>
      <c r="AU201" s="171">
        <f t="shared" si="58"/>
        <v>0</v>
      </c>
      <c r="AV201" s="171">
        <f t="shared" si="59"/>
        <v>1</v>
      </c>
      <c r="AW201" s="171">
        <f t="shared" si="60"/>
        <v>1</v>
      </c>
      <c r="AX201" s="171">
        <f t="shared" si="53"/>
        <v>1</v>
      </c>
      <c r="AY201" s="171">
        <f t="shared" si="61"/>
        <v>0</v>
      </c>
      <c r="AZ201" s="171">
        <f t="shared" si="62"/>
        <v>1</v>
      </c>
      <c r="BA201" s="172">
        <f t="shared" si="63"/>
        <v>1</v>
      </c>
      <c r="BB201" s="175">
        <f t="shared" ref="BB201" si="81">SUM(AF201:BA201)</f>
        <v>17</v>
      </c>
      <c r="BC201" s="176">
        <f t="shared" ref="BC201" si="82">SUM(AF201:AZ201)</f>
        <v>16</v>
      </c>
      <c r="BD201" s="176">
        <f t="shared" ref="BD201" si="83">SUM(AG201:BA201)</f>
        <v>17</v>
      </c>
      <c r="BE201" s="240" t="str">
        <f t="shared" si="79"/>
        <v/>
      </c>
      <c r="BH201" s="199">
        <f>IF(AND(Input_Product=Elig!$C201,Elig_MatchAll_Ct&lt;22,$BC201=(Elig_MatchAll_Ct-1),AF201=0),C201,0)</f>
        <v>0</v>
      </c>
      <c r="BI201" s="199">
        <f>IF(AND(Input_Product=Elig!$C201,Elig_MatchAll_Ct&lt;22,$BC201=(Elig_MatchAll_Ct-1),AG201=0),D201,0)</f>
        <v>0</v>
      </c>
      <c r="BJ201" s="199">
        <f>IF(AND(Input_Product=Elig!$C201,Elig_MatchAll_Ct&lt;22,$BC201=(Elig_MatchAll_Ct-1),AH201=0),E201,0)</f>
        <v>0</v>
      </c>
      <c r="BK201" s="199">
        <f>IF(AND(Input_Product=Elig!$C201,Elig_MatchAll_Ct&lt;22,$BC201=(Elig_MatchAll_Ct-1),AI201=0),F201,0)</f>
        <v>0</v>
      </c>
      <c r="BL201" s="199">
        <f>IF(AND(Input_Product=Elig!$C201,Elig_MatchAll_Ct&lt;22,$BC201=(Elig_MatchAll_Ct-1),AJ201=0),G201,0)</f>
        <v>0</v>
      </c>
      <c r="BM201" s="199">
        <f>IF(AND(Input_Product=Elig!$C201,Elig_MatchAll_Ct&lt;22,$BC201=(Elig_MatchAll_Ct-1),AK201=0),H201,0)</f>
        <v>0</v>
      </c>
      <c r="BN201" s="199">
        <f>IF(AND(Input_Product=Elig!$C201,Elig_MatchAll_Ct&lt;22,$BC201=(Elig_MatchAll_Ct-1),AL201=0),I201,0)</f>
        <v>0</v>
      </c>
      <c r="BO201" s="199">
        <f>IF(AND(Input_Product=Elig!$C201,Elig_MatchAll_Ct&lt;22,$BC201=(Elig_MatchAll_Ct-1),AM201=0),J201,0)</f>
        <v>0</v>
      </c>
      <c r="BP201" s="199">
        <f>IF(AND(Input_Product=Elig!$C201,Elig_MatchAll_Ct&lt;22,$BC201=(Elig_MatchAll_Ct-1),AN201=0),K201,0)</f>
        <v>0</v>
      </c>
      <c r="BQ201" s="199">
        <f>IF(AND(Input_Product=Elig!$C201,Elig_MatchAll_Ct&lt;22,$BC201=(Elig_MatchAll_Ct-1),AP201=0),L201,0)</f>
        <v>0</v>
      </c>
      <c r="BR201" s="199">
        <f>IF(AND(Input_Product=Elig!$C201,Elig_MatchAll_Ct&lt;22,$BC201=(Elig_MatchAll_Ct-1),AO201=0),M201,0)</f>
        <v>0</v>
      </c>
      <c r="BS201" s="199">
        <f>IF(AND(Input_Product=Elig!$C201,Elig_MatchAll_Ct&lt;22,$BC201=(Elig_MatchAll_Ct-1),AQ201=0),N201,0)</f>
        <v>0</v>
      </c>
      <c r="BT201" s="199">
        <f>IF(AND(Input_Product=Elig!$C201,Elig_MatchAll_Ct&lt;22,$BC201=(Elig_MatchAll_Ct-1),AR201=0),O201,0)</f>
        <v>0</v>
      </c>
      <c r="BU201" s="199">
        <f>IF(AND(Input_Product=Elig!$C201,Elig_MatchAll_Ct&lt;22,$BC201=(Elig_MatchAll_Ct-1),AS201=0),P201,0)</f>
        <v>0</v>
      </c>
      <c r="BV201" s="200">
        <f>IF(AND(Input_Product=Elig!$C201,Elig_MatchAll_Ct&lt;22,$BC201=(Elig_MatchAll_Ct-1),AT201=0),Q201,0)</f>
        <v>0</v>
      </c>
      <c r="BW201" s="201">
        <f>IF(AND(Input_Product=Elig!$C201,Elig_MatchAll_Ct&lt;22,$BC201=(Elig_MatchAll_Ct-1),AU201=0),R201,0)</f>
        <v>0</v>
      </c>
      <c r="BX201" s="202">
        <f>IF(AND(Input_Product=Elig!$C201,Elig_MatchAll_Ct&lt;22,$BC201=(Elig_MatchAll_Ct-1),AU201=0),S201,0)</f>
        <v>0</v>
      </c>
      <c r="BY201" s="201">
        <f>IF(AND(Input_Product=Elig!$C201,Elig_MatchAll_Ct&lt;22,$BC201=(Elig_MatchAll_Ct-1),AV201=0),T201,0)</f>
        <v>0</v>
      </c>
      <c r="BZ201" s="202">
        <f>IF(AND(Input_Product=Elig!$C201,Elig_MatchAll_Ct&lt;22,$BC201=(Elig_MatchAll_Ct-1),AV201=0),U201,0)</f>
        <v>0</v>
      </c>
      <c r="CA201" s="201">
        <f>IF(AND(Input_Product=Elig!$C201,Elig_MatchAll_Ct&lt;22,$BC201=(Elig_MatchAll_Ct-1),AW201=0),V201,0)</f>
        <v>0</v>
      </c>
      <c r="CB201" s="202">
        <f>IF(AND(Input_Product=Elig!$C201,Elig_MatchAll_Ct&lt;22,$BC201=(Elig_MatchAll_Ct-1),AW201=0),W201,0)</f>
        <v>0</v>
      </c>
      <c r="CC201" s="201">
        <f>IF(AND(Input_Product=Elig!$C201,Elig_MatchAll_Ct&lt;22,$BC201=(Elig_MatchAll_Ct-1),AX201=0),X201,0)</f>
        <v>0</v>
      </c>
      <c r="CD201" s="202">
        <f>IF(AND(Input_Product=Elig!$C201,Elig_MatchAll_Ct&lt;22,$BC201=(Elig_MatchAll_Ct-1),AX201=0),Y201,0)</f>
        <v>0</v>
      </c>
      <c r="CE201" s="201">
        <f>IF(AND(Input_LTV&lt;=AE201,Input_Product=Elig!$C201,Elig_MatchAll_Ct&lt;22,$BC201=(Elig_MatchAll_Ct-1),AY201=0),Z201,0)</f>
        <v>0</v>
      </c>
      <c r="CF201" s="202">
        <f>IF(AND(Input_LTV&lt;=AE201,Input_Product=Elig!$C201,Elig_MatchAll_Ct&lt;22,$BC201=(Elig_MatchAll_Ct-1),AY201=0),AA201,0)</f>
        <v>0</v>
      </c>
      <c r="CG201" s="201">
        <f>IF(AND(Input_Product=Elig!$C201,Elig_MatchAll_Ct&lt;22,$BC201=(Elig_MatchAll_Ct-1),AZ201=0),AB201,0)</f>
        <v>0</v>
      </c>
      <c r="CH201" s="202">
        <f>IF(AND(Input_Product=Elig!$C201,Elig_MatchAll_Ct&lt;22,$BC201=(Elig_MatchAll_Ct-1),AZ201=0),AC201,0)</f>
        <v>0</v>
      </c>
      <c r="CI201" s="201">
        <f>IF(AND(Input_Product=Elig!$C201,Elig_MatchAll_Ct&lt;22,$BC201=(Elig_MatchAll_Ct-1),BA201=0),AD201,0)</f>
        <v>0</v>
      </c>
      <c r="CJ201" s="202">
        <f>IF(AND(Input_Product=Elig!$C201,Elig_MatchAll_Ct&lt;22,$BC201=(Elig_MatchAll_Ct-1),BA201=0),AE201,0)</f>
        <v>0</v>
      </c>
    </row>
    <row r="202" spans="2:88" ht="10.15" customHeight="1" x14ac:dyDescent="0.25">
      <c r="B202" s="1912" t="s">
        <v>950</v>
      </c>
      <c r="C202" s="134" t="str">
        <f t="shared" si="56"/>
        <v>NonQM OO</v>
      </c>
      <c r="D202" s="135" t="s">
        <v>3885</v>
      </c>
      <c r="E202" s="135" t="s">
        <v>167</v>
      </c>
      <c r="F202" s="135" t="s">
        <v>331</v>
      </c>
      <c r="G202" s="135" t="s">
        <v>304</v>
      </c>
      <c r="H202" s="135" t="s">
        <v>446</v>
      </c>
      <c r="I202" s="136" t="s">
        <v>16</v>
      </c>
      <c r="J202" s="136" t="s">
        <v>1311</v>
      </c>
      <c r="K202" s="136" t="s">
        <v>1631</v>
      </c>
      <c r="L202" s="221" t="s">
        <v>3920</v>
      </c>
      <c r="M202" s="135" t="s">
        <v>4203</v>
      </c>
      <c r="N202" s="135" t="s">
        <v>82</v>
      </c>
      <c r="O202" s="135" t="s">
        <v>310</v>
      </c>
      <c r="P202" s="135" t="s">
        <v>291</v>
      </c>
      <c r="Q202" s="135" t="s">
        <v>294</v>
      </c>
      <c r="R202" s="135">
        <v>2000000.01</v>
      </c>
      <c r="S202" s="221">
        <v>2500000</v>
      </c>
      <c r="T202" s="135">
        <v>0</v>
      </c>
      <c r="U202" s="135">
        <f t="shared" si="78"/>
        <v>2500000</v>
      </c>
      <c r="V202" s="135">
        <v>0</v>
      </c>
      <c r="W202" s="135">
        <v>55</v>
      </c>
      <c r="X202" s="135">
        <v>0</v>
      </c>
      <c r="Y202" s="135">
        <v>999</v>
      </c>
      <c r="Z202" s="2100">
        <v>660</v>
      </c>
      <c r="AA202" s="2100">
        <v>679</v>
      </c>
      <c r="AB202" s="137">
        <v>9</v>
      </c>
      <c r="AC202" s="137">
        <v>999999</v>
      </c>
      <c r="AD202" s="135">
        <v>0</v>
      </c>
      <c r="AE202" s="221">
        <v>65</v>
      </c>
      <c r="AF202" s="170">
        <v>0</v>
      </c>
      <c r="AG202" s="171">
        <v>1</v>
      </c>
      <c r="AH202" s="171">
        <v>1</v>
      </c>
      <c r="AI202" s="171">
        <v>1</v>
      </c>
      <c r="AJ202" s="171">
        <v>0</v>
      </c>
      <c r="AK202" s="171">
        <v>0</v>
      </c>
      <c r="AL202" s="171">
        <v>1</v>
      </c>
      <c r="AM202" s="171">
        <v>1</v>
      </c>
      <c r="AN202" s="171">
        <v>1</v>
      </c>
      <c r="AO202" s="171">
        <v>1</v>
      </c>
      <c r="AP202" s="171">
        <v>1</v>
      </c>
      <c r="AQ202" s="171">
        <v>1</v>
      </c>
      <c r="AR202" s="171">
        <v>1</v>
      </c>
      <c r="AS202" s="171">
        <v>1</v>
      </c>
      <c r="AT202" s="171">
        <v>1</v>
      </c>
      <c r="AU202" s="171">
        <f t="shared" si="58"/>
        <v>0</v>
      </c>
      <c r="AV202" s="171">
        <f t="shared" si="59"/>
        <v>1</v>
      </c>
      <c r="AW202" s="171">
        <f t="shared" si="60"/>
        <v>1</v>
      </c>
      <c r="AX202" s="171">
        <f t="shared" si="53"/>
        <v>1</v>
      </c>
      <c r="AY202" s="171">
        <f t="shared" si="61"/>
        <v>0</v>
      </c>
      <c r="AZ202" s="171">
        <f t="shared" si="62"/>
        <v>1</v>
      </c>
      <c r="BA202" s="172">
        <f t="shared" si="63"/>
        <v>1</v>
      </c>
      <c r="BB202" s="175">
        <f t="shared" si="72"/>
        <v>17</v>
      </c>
      <c r="BC202" s="176">
        <f t="shared" si="73"/>
        <v>16</v>
      </c>
      <c r="BD202" s="176">
        <f t="shared" si="74"/>
        <v>17</v>
      </c>
      <c r="BE202" s="240" t="str">
        <f t="shared" si="79"/>
        <v/>
      </c>
      <c r="BH202" s="214">
        <f>IF(AND(Input_Product=Elig!$C202,Elig_MatchAll_Ct&lt;22,$BC202=(Elig_MatchAll_Ct-1),AF202=0),C202,0)</f>
        <v>0</v>
      </c>
      <c r="BI202" s="214">
        <f>IF(AND(Input_Product=Elig!$C202,Elig_MatchAll_Ct&lt;22,$BC202=(Elig_MatchAll_Ct-1),AG202=0),D202,0)</f>
        <v>0</v>
      </c>
      <c r="BJ202" s="214">
        <f>IF(AND(Input_Product=Elig!$C202,Elig_MatchAll_Ct&lt;22,$BC202=(Elig_MatchAll_Ct-1),AH202=0),E202,0)</f>
        <v>0</v>
      </c>
      <c r="BK202" s="214">
        <f>IF(AND(Input_Product=Elig!$C202,Elig_MatchAll_Ct&lt;22,$BC202=(Elig_MatchAll_Ct-1),AI202=0),F202,0)</f>
        <v>0</v>
      </c>
      <c r="BL202" s="214">
        <f>IF(AND(Input_Product=Elig!$C202,Elig_MatchAll_Ct&lt;22,$BC202=(Elig_MatchAll_Ct-1),AJ202=0),G202,0)</f>
        <v>0</v>
      </c>
      <c r="BM202" s="214">
        <f>IF(AND(Input_Product=Elig!$C202,Elig_MatchAll_Ct&lt;22,$BC202=(Elig_MatchAll_Ct-1),AK202=0),H202,0)</f>
        <v>0</v>
      </c>
      <c r="BN202" s="214">
        <f>IF(AND(Input_Product=Elig!$C202,Elig_MatchAll_Ct&lt;22,$BC202=(Elig_MatchAll_Ct-1),AL202=0),I202,0)</f>
        <v>0</v>
      </c>
      <c r="BO202" s="214">
        <f>IF(AND(Input_Product=Elig!$C202,Elig_MatchAll_Ct&lt;22,$BC202=(Elig_MatchAll_Ct-1),AM202=0),J202,0)</f>
        <v>0</v>
      </c>
      <c r="BP202" s="214">
        <f>IF(AND(Input_Product=Elig!$C202,Elig_MatchAll_Ct&lt;22,$BC202=(Elig_MatchAll_Ct-1),AN202=0),K202,0)</f>
        <v>0</v>
      </c>
      <c r="BQ202" s="214">
        <f>IF(AND(Input_Product=Elig!$C202,Elig_MatchAll_Ct&lt;22,$BC202=(Elig_MatchAll_Ct-1),AP202=0),L202,0)</f>
        <v>0</v>
      </c>
      <c r="BR202" s="214">
        <f>IF(AND(Input_Product=Elig!$C202,Elig_MatchAll_Ct&lt;22,$BC202=(Elig_MatchAll_Ct-1),AO202=0),M202,0)</f>
        <v>0</v>
      </c>
      <c r="BS202" s="214">
        <f>IF(AND(Input_Product=Elig!$C202,Elig_MatchAll_Ct&lt;22,$BC202=(Elig_MatchAll_Ct-1),AQ202=0),N202,0)</f>
        <v>0</v>
      </c>
      <c r="BT202" s="214">
        <f>IF(AND(Input_Product=Elig!$C202,Elig_MatchAll_Ct&lt;22,$BC202=(Elig_MatchAll_Ct-1),AR202=0),O202,0)</f>
        <v>0</v>
      </c>
      <c r="BU202" s="214">
        <f>IF(AND(Input_Product=Elig!$C202,Elig_MatchAll_Ct&lt;22,$BC202=(Elig_MatchAll_Ct-1),AS202=0),P202,0)</f>
        <v>0</v>
      </c>
      <c r="BV202" s="215">
        <f>IF(AND(Input_Product=Elig!$C202,Elig_MatchAll_Ct&lt;22,$BC202=(Elig_MatchAll_Ct-1),AT202=0),Q202,0)</f>
        <v>0</v>
      </c>
      <c r="BW202" s="311">
        <f>IF(AND(Input_Product=Elig!$C202,Elig_MatchAll_Ct&lt;22,$BC202=(Elig_MatchAll_Ct-1),AU202=0),R202,0)</f>
        <v>0</v>
      </c>
      <c r="BX202" s="312">
        <f>IF(AND(Input_Product=Elig!$C202,Elig_MatchAll_Ct&lt;22,$BC202=(Elig_MatchAll_Ct-1),AU202=0),S202,0)</f>
        <v>0</v>
      </c>
      <c r="BY202" s="311">
        <f>IF(AND(Input_Product=Elig!$C202,Elig_MatchAll_Ct&lt;22,$BC202=(Elig_MatchAll_Ct-1),AV202=0),T202,0)</f>
        <v>0</v>
      </c>
      <c r="BZ202" s="312">
        <f>IF(AND(Input_Product=Elig!$C202,Elig_MatchAll_Ct&lt;22,$BC202=(Elig_MatchAll_Ct-1),AV202=0),U202,0)</f>
        <v>0</v>
      </c>
      <c r="CA202" s="311">
        <f>IF(AND(Input_Product=Elig!$C202,Elig_MatchAll_Ct&lt;22,$BC202=(Elig_MatchAll_Ct-1),AW202=0),V202,0)</f>
        <v>0</v>
      </c>
      <c r="CB202" s="312">
        <f>IF(AND(Input_Product=Elig!$C202,Elig_MatchAll_Ct&lt;22,$BC202=(Elig_MatchAll_Ct-1),AW202=0),W202,0)</f>
        <v>0</v>
      </c>
      <c r="CC202" s="311">
        <f>IF(AND(Input_Product=Elig!$C202,Elig_MatchAll_Ct&lt;22,$BC202=(Elig_MatchAll_Ct-1),AX202=0),X202,0)</f>
        <v>0</v>
      </c>
      <c r="CD202" s="312">
        <f>IF(AND(Input_Product=Elig!$C202,Elig_MatchAll_Ct&lt;22,$BC202=(Elig_MatchAll_Ct-1),AX202=0),Y202,0)</f>
        <v>0</v>
      </c>
      <c r="CE202" s="311">
        <f>IF(AND(Input_LTV&lt;=AE202,Input_Product=Elig!$C202,Elig_MatchAll_Ct&lt;22,$BC202=(Elig_MatchAll_Ct-1),AY202=0),Z202,0)</f>
        <v>0</v>
      </c>
      <c r="CF202" s="312">
        <f>IF(AND(Input_LTV&lt;=AE202,Input_Product=Elig!$C202,Elig_MatchAll_Ct&lt;22,$BC202=(Elig_MatchAll_Ct-1),AY202=0),AA202,0)</f>
        <v>0</v>
      </c>
      <c r="CG202" s="311">
        <f>IF(AND(Input_Product=Elig!$C202,Elig_MatchAll_Ct&lt;22,$BC202=(Elig_MatchAll_Ct-1),AZ202=0),AB202,0)</f>
        <v>0</v>
      </c>
      <c r="CH202" s="312">
        <f>IF(AND(Input_Product=Elig!$C202,Elig_MatchAll_Ct&lt;22,$BC202=(Elig_MatchAll_Ct-1),AZ202=0),AC202,0)</f>
        <v>0</v>
      </c>
      <c r="CI202" s="311">
        <f>IF(AND(Input_Product=Elig!$C202,Elig_MatchAll_Ct&lt;22,$BC202=(Elig_MatchAll_Ct-1),BA202=0),AD202,0)</f>
        <v>0</v>
      </c>
      <c r="CJ202" s="312">
        <f>IF(AND(Input_Product=Elig!$C202,Elig_MatchAll_Ct&lt;22,$BC202=(Elig_MatchAll_Ct-1),BA202=0),AE202,0)</f>
        <v>0</v>
      </c>
    </row>
    <row r="203" spans="2:88" ht="10.15" customHeight="1" x14ac:dyDescent="0.25">
      <c r="B203" s="1912" t="s">
        <v>951</v>
      </c>
      <c r="C203" s="141" t="str">
        <f t="shared" si="56"/>
        <v>NonQM OO</v>
      </c>
      <c r="D203" s="142" t="s">
        <v>3885</v>
      </c>
      <c r="E203" s="143" t="s">
        <v>167</v>
      </c>
      <c r="F203" s="143" t="s">
        <v>331</v>
      </c>
      <c r="G203" s="143" t="s">
        <v>468</v>
      </c>
      <c r="H203" s="143" t="s">
        <v>136</v>
      </c>
      <c r="I203" s="142" t="s">
        <v>274</v>
      </c>
      <c r="J203" s="142" t="s">
        <v>1311</v>
      </c>
      <c r="K203" s="142" t="s">
        <v>1631</v>
      </c>
      <c r="L203" s="2131" t="s">
        <v>3920</v>
      </c>
      <c r="M203" s="143" t="s">
        <v>4203</v>
      </c>
      <c r="N203" s="143" t="s">
        <v>82</v>
      </c>
      <c r="O203" s="143" t="s">
        <v>310</v>
      </c>
      <c r="P203" s="143" t="s">
        <v>291</v>
      </c>
      <c r="Q203" s="143" t="s">
        <v>294</v>
      </c>
      <c r="R203" s="142">
        <v>2000000.01</v>
      </c>
      <c r="S203" s="320">
        <v>2500000</v>
      </c>
      <c r="T203" s="142">
        <v>0</v>
      </c>
      <c r="U203" s="142">
        <v>0</v>
      </c>
      <c r="V203" s="142">
        <v>0</v>
      </c>
      <c r="W203" s="142">
        <v>55</v>
      </c>
      <c r="X203" s="142">
        <v>0</v>
      </c>
      <c r="Y203" s="142">
        <v>999</v>
      </c>
      <c r="Z203" s="144">
        <v>720</v>
      </c>
      <c r="AA203" s="144">
        <v>999</v>
      </c>
      <c r="AB203" s="144">
        <v>9</v>
      </c>
      <c r="AC203" s="144">
        <v>999999</v>
      </c>
      <c r="AD203" s="142">
        <v>0</v>
      </c>
      <c r="AE203" s="320">
        <v>80</v>
      </c>
      <c r="AF203" s="170">
        <v>0</v>
      </c>
      <c r="AG203" s="171">
        <v>1</v>
      </c>
      <c r="AH203" s="171">
        <v>1</v>
      </c>
      <c r="AI203" s="171">
        <v>1</v>
      </c>
      <c r="AJ203" s="171">
        <v>0</v>
      </c>
      <c r="AK203" s="171">
        <v>1</v>
      </c>
      <c r="AL203" s="171">
        <v>0</v>
      </c>
      <c r="AM203" s="171">
        <v>1</v>
      </c>
      <c r="AN203" s="171">
        <v>1</v>
      </c>
      <c r="AO203" s="171">
        <v>1</v>
      </c>
      <c r="AP203" s="171">
        <v>1</v>
      </c>
      <c r="AQ203" s="171">
        <v>1</v>
      </c>
      <c r="AR203" s="171">
        <v>1</v>
      </c>
      <c r="AS203" s="171">
        <v>1</v>
      </c>
      <c r="AT203" s="171">
        <v>1</v>
      </c>
      <c r="AU203" s="171">
        <f t="shared" si="58"/>
        <v>0</v>
      </c>
      <c r="AV203" s="171">
        <f t="shared" si="59"/>
        <v>0</v>
      </c>
      <c r="AW203" s="171">
        <f t="shared" si="60"/>
        <v>1</v>
      </c>
      <c r="AX203" s="171">
        <f t="shared" si="53"/>
        <v>1</v>
      </c>
      <c r="AY203" s="171">
        <f t="shared" si="61"/>
        <v>1</v>
      </c>
      <c r="AZ203" s="171">
        <f t="shared" si="62"/>
        <v>1</v>
      </c>
      <c r="BA203" s="172">
        <f t="shared" si="63"/>
        <v>1</v>
      </c>
      <c r="BB203" s="175">
        <f t="shared" si="72"/>
        <v>17</v>
      </c>
      <c r="BC203" s="176">
        <f t="shared" si="73"/>
        <v>16</v>
      </c>
      <c r="BD203" s="176">
        <f t="shared" si="74"/>
        <v>17</v>
      </c>
      <c r="BE203" s="240" t="str">
        <f t="shared" si="79"/>
        <v/>
      </c>
      <c r="BH203" s="210">
        <f>IF(AND(Input_Product=Elig!$C203,Elig_MatchAll_Ct&lt;22,$BC203=(Elig_MatchAll_Ct-1),AF203=0),C203,0)</f>
        <v>0</v>
      </c>
      <c r="BI203" s="210">
        <f>IF(AND(Input_Product=Elig!$C203,Elig_MatchAll_Ct&lt;22,$BC203=(Elig_MatchAll_Ct-1),AG203=0),D203,0)</f>
        <v>0</v>
      </c>
      <c r="BJ203" s="210">
        <f>IF(AND(Input_Product=Elig!$C203,Elig_MatchAll_Ct&lt;22,$BC203=(Elig_MatchAll_Ct-1),AH203=0),E203,0)</f>
        <v>0</v>
      </c>
      <c r="BK203" s="210">
        <f>IF(AND(Input_Product=Elig!$C203,Elig_MatchAll_Ct&lt;22,$BC203=(Elig_MatchAll_Ct-1),AI203=0),F203,0)</f>
        <v>0</v>
      </c>
      <c r="BL203" s="210">
        <f>IF(AND(Input_Product=Elig!$C203,Elig_MatchAll_Ct&lt;22,$BC203=(Elig_MatchAll_Ct-1),AJ203=0),G203,0)</f>
        <v>0</v>
      </c>
      <c r="BM203" s="210">
        <f>IF(AND(Input_Product=Elig!$C203,Elig_MatchAll_Ct&lt;22,$BC203=(Elig_MatchAll_Ct-1),AK203=0),H203,0)</f>
        <v>0</v>
      </c>
      <c r="BN203" s="210">
        <f>IF(AND(Input_Product=Elig!$C203,Elig_MatchAll_Ct&lt;22,$BC203=(Elig_MatchAll_Ct-1),AL203=0),I203,0)</f>
        <v>0</v>
      </c>
      <c r="BO203" s="210">
        <f>IF(AND(Input_Product=Elig!$C203,Elig_MatchAll_Ct&lt;22,$BC203=(Elig_MatchAll_Ct-1),AM203=0),J203,0)</f>
        <v>0</v>
      </c>
      <c r="BP203" s="210">
        <f>IF(AND(Input_Product=Elig!$C203,Elig_MatchAll_Ct&lt;22,$BC203=(Elig_MatchAll_Ct-1),AN203=0),K203,0)</f>
        <v>0</v>
      </c>
      <c r="BQ203" s="210">
        <f>IF(AND(Input_Product=Elig!$C203,Elig_MatchAll_Ct&lt;22,$BC203=(Elig_MatchAll_Ct-1),AP203=0),L203,0)</f>
        <v>0</v>
      </c>
      <c r="BR203" s="210">
        <f>IF(AND(Input_Product=Elig!$C203,Elig_MatchAll_Ct&lt;22,$BC203=(Elig_MatchAll_Ct-1),AO203=0),M203,0)</f>
        <v>0</v>
      </c>
      <c r="BS203" s="210">
        <f>IF(AND(Input_Product=Elig!$C203,Elig_MatchAll_Ct&lt;22,$BC203=(Elig_MatchAll_Ct-1),AQ203=0),N203,0)</f>
        <v>0</v>
      </c>
      <c r="BT203" s="210">
        <f>IF(AND(Input_Product=Elig!$C203,Elig_MatchAll_Ct&lt;22,$BC203=(Elig_MatchAll_Ct-1),AR203=0),O203,0)</f>
        <v>0</v>
      </c>
      <c r="BU203" s="210">
        <f>IF(AND(Input_Product=Elig!$C203,Elig_MatchAll_Ct&lt;22,$BC203=(Elig_MatchAll_Ct-1),AS203=0),P203,0)</f>
        <v>0</v>
      </c>
      <c r="BV203" s="211">
        <f>IF(AND(Input_Product=Elig!$C203,Elig_MatchAll_Ct&lt;22,$BC203=(Elig_MatchAll_Ct-1),AT203=0),Q203,0)</f>
        <v>0</v>
      </c>
      <c r="BW203" s="212">
        <f>IF(AND(Input_Product=Elig!$C203,Elig_MatchAll_Ct&lt;22,$BC203=(Elig_MatchAll_Ct-1),AU203=0),R203,0)</f>
        <v>0</v>
      </c>
      <c r="BX203" s="213">
        <f>IF(AND(Input_Product=Elig!$C203,Elig_MatchAll_Ct&lt;22,$BC203=(Elig_MatchAll_Ct-1),AU203=0),S203,0)</f>
        <v>0</v>
      </c>
      <c r="BY203" s="212">
        <f>IF(AND(Input_Product=Elig!$C203,Elig_MatchAll_Ct&lt;22,$BC203=(Elig_MatchAll_Ct-1),AV203=0),T203,0)</f>
        <v>0</v>
      </c>
      <c r="BZ203" s="213">
        <f>IF(AND(Input_Product=Elig!$C203,Elig_MatchAll_Ct&lt;22,$BC203=(Elig_MatchAll_Ct-1),AV203=0),U203,0)</f>
        <v>0</v>
      </c>
      <c r="CA203" s="212">
        <f>IF(AND(Input_Product=Elig!$C203,Elig_MatchAll_Ct&lt;22,$BC203=(Elig_MatchAll_Ct-1),AW203=0),V203,0)</f>
        <v>0</v>
      </c>
      <c r="CB203" s="213">
        <f>IF(AND(Input_Product=Elig!$C203,Elig_MatchAll_Ct&lt;22,$BC203=(Elig_MatchAll_Ct-1),AW203=0),W203,0)</f>
        <v>0</v>
      </c>
      <c r="CC203" s="212">
        <f>IF(AND(Input_Product=Elig!$C203,Elig_MatchAll_Ct&lt;22,$BC203=(Elig_MatchAll_Ct-1),AX203=0),X203,0)</f>
        <v>0</v>
      </c>
      <c r="CD203" s="213">
        <f>IF(AND(Input_Product=Elig!$C203,Elig_MatchAll_Ct&lt;22,$BC203=(Elig_MatchAll_Ct-1),AX203=0),Y203,0)</f>
        <v>0</v>
      </c>
      <c r="CE203" s="212">
        <f>IF(AND(Input_LTV&lt;=AE203,Input_Product=Elig!$C203,Elig_MatchAll_Ct&lt;22,$BC203=(Elig_MatchAll_Ct-1),AY203=0),Z203,0)</f>
        <v>0</v>
      </c>
      <c r="CF203" s="213">
        <f>IF(AND(Input_LTV&lt;=AE203,Input_Product=Elig!$C203,Elig_MatchAll_Ct&lt;22,$BC203=(Elig_MatchAll_Ct-1),AY203=0),AA203,0)</f>
        <v>0</v>
      </c>
      <c r="CG203" s="212">
        <f>IF(AND(Input_Product=Elig!$C203,Elig_MatchAll_Ct&lt;22,$BC203=(Elig_MatchAll_Ct-1),AZ203=0),AB203,0)</f>
        <v>0</v>
      </c>
      <c r="CH203" s="213">
        <f>IF(AND(Input_Product=Elig!$C203,Elig_MatchAll_Ct&lt;22,$BC203=(Elig_MatchAll_Ct-1),AZ203=0),AC203,0)</f>
        <v>0</v>
      </c>
      <c r="CI203" s="212">
        <f>IF(AND(Input_Product=Elig!$C203,Elig_MatchAll_Ct&lt;22,$BC203=(Elig_MatchAll_Ct-1),BA203=0),AD203,0)</f>
        <v>0</v>
      </c>
      <c r="CJ203" s="213">
        <f>IF(AND(Input_Product=Elig!$C203,Elig_MatchAll_Ct&lt;22,$BC203=(Elig_MatchAll_Ct-1),BA203=0),AE203,0)</f>
        <v>0</v>
      </c>
    </row>
    <row r="204" spans="2:88" ht="10.15" customHeight="1" x14ac:dyDescent="0.25">
      <c r="B204" s="1912" t="s">
        <v>952</v>
      </c>
      <c r="C204" s="134" t="str">
        <f t="shared" si="56"/>
        <v>NonQM OO</v>
      </c>
      <c r="D204" s="135" t="s">
        <v>3885</v>
      </c>
      <c r="E204" s="135" t="s">
        <v>167</v>
      </c>
      <c r="F204" s="135" t="s">
        <v>331</v>
      </c>
      <c r="G204" s="135" t="s">
        <v>468</v>
      </c>
      <c r="H204" s="135" t="s">
        <v>136</v>
      </c>
      <c r="I204" s="136" t="s">
        <v>274</v>
      </c>
      <c r="J204" s="136" t="s">
        <v>1311</v>
      </c>
      <c r="K204" s="136" t="s">
        <v>1631</v>
      </c>
      <c r="L204" s="221" t="s">
        <v>3920</v>
      </c>
      <c r="M204" s="135" t="s">
        <v>4203</v>
      </c>
      <c r="N204" s="135" t="s">
        <v>82</v>
      </c>
      <c r="O204" s="135" t="s">
        <v>310</v>
      </c>
      <c r="P204" s="135" t="s">
        <v>291</v>
      </c>
      <c r="Q204" s="135" t="s">
        <v>294</v>
      </c>
      <c r="R204" s="135">
        <v>2000000.01</v>
      </c>
      <c r="S204" s="221">
        <v>2500000</v>
      </c>
      <c r="T204" s="135">
        <v>0</v>
      </c>
      <c r="U204" s="135">
        <v>0</v>
      </c>
      <c r="V204" s="135">
        <v>0</v>
      </c>
      <c r="W204" s="135">
        <v>55</v>
      </c>
      <c r="X204" s="135">
        <v>0</v>
      </c>
      <c r="Y204" s="135">
        <v>999</v>
      </c>
      <c r="Z204" s="137">
        <v>700</v>
      </c>
      <c r="AA204" s="137">
        <v>719</v>
      </c>
      <c r="AB204" s="137">
        <v>9</v>
      </c>
      <c r="AC204" s="137">
        <v>999999</v>
      </c>
      <c r="AD204" s="135">
        <v>0</v>
      </c>
      <c r="AE204" s="221">
        <v>75</v>
      </c>
      <c r="AF204" s="170">
        <v>0</v>
      </c>
      <c r="AG204" s="171">
        <v>1</v>
      </c>
      <c r="AH204" s="171">
        <v>1</v>
      </c>
      <c r="AI204" s="171">
        <v>1</v>
      </c>
      <c r="AJ204" s="171">
        <v>0</v>
      </c>
      <c r="AK204" s="171">
        <v>1</v>
      </c>
      <c r="AL204" s="171">
        <v>0</v>
      </c>
      <c r="AM204" s="171">
        <v>1</v>
      </c>
      <c r="AN204" s="171">
        <v>1</v>
      </c>
      <c r="AO204" s="171">
        <v>1</v>
      </c>
      <c r="AP204" s="171">
        <v>1</v>
      </c>
      <c r="AQ204" s="171">
        <v>1</v>
      </c>
      <c r="AR204" s="171">
        <v>1</v>
      </c>
      <c r="AS204" s="171">
        <v>1</v>
      </c>
      <c r="AT204" s="171">
        <v>1</v>
      </c>
      <c r="AU204" s="171">
        <f t="shared" si="58"/>
        <v>0</v>
      </c>
      <c r="AV204" s="171">
        <f t="shared" si="59"/>
        <v>0</v>
      </c>
      <c r="AW204" s="171">
        <f t="shared" si="60"/>
        <v>1</v>
      </c>
      <c r="AX204" s="171">
        <f t="shared" si="53"/>
        <v>1</v>
      </c>
      <c r="AY204" s="171">
        <f t="shared" si="61"/>
        <v>0</v>
      </c>
      <c r="AZ204" s="171">
        <f t="shared" si="62"/>
        <v>1</v>
      </c>
      <c r="BA204" s="172">
        <f t="shared" si="63"/>
        <v>1</v>
      </c>
      <c r="BB204" s="175">
        <f t="shared" si="72"/>
        <v>16</v>
      </c>
      <c r="BC204" s="176">
        <f t="shared" si="73"/>
        <v>15</v>
      </c>
      <c r="BD204" s="176">
        <f t="shared" si="74"/>
        <v>16</v>
      </c>
      <c r="BE204" s="240" t="str">
        <f t="shared" si="79"/>
        <v/>
      </c>
      <c r="BH204" s="199">
        <f>IF(AND(Input_Product=Elig!$C204,Elig_MatchAll_Ct&lt;22,$BC204=(Elig_MatchAll_Ct-1),AF204=0),C204,0)</f>
        <v>0</v>
      </c>
      <c r="BI204" s="199">
        <f>IF(AND(Input_Product=Elig!$C204,Elig_MatchAll_Ct&lt;22,$BC204=(Elig_MatchAll_Ct-1),AG204=0),D204,0)</f>
        <v>0</v>
      </c>
      <c r="BJ204" s="199">
        <f>IF(AND(Input_Product=Elig!$C204,Elig_MatchAll_Ct&lt;22,$BC204=(Elig_MatchAll_Ct-1),AH204=0),E204,0)</f>
        <v>0</v>
      </c>
      <c r="BK204" s="199">
        <f>IF(AND(Input_Product=Elig!$C204,Elig_MatchAll_Ct&lt;22,$BC204=(Elig_MatchAll_Ct-1),AI204=0),F204,0)</f>
        <v>0</v>
      </c>
      <c r="BL204" s="199">
        <f>IF(AND(Input_Product=Elig!$C204,Elig_MatchAll_Ct&lt;22,$BC204=(Elig_MatchAll_Ct-1),AJ204=0),G204,0)</f>
        <v>0</v>
      </c>
      <c r="BM204" s="199">
        <f>IF(AND(Input_Product=Elig!$C204,Elig_MatchAll_Ct&lt;22,$BC204=(Elig_MatchAll_Ct-1),AK204=0),H204,0)</f>
        <v>0</v>
      </c>
      <c r="BN204" s="199">
        <f>IF(AND(Input_Product=Elig!$C204,Elig_MatchAll_Ct&lt;22,$BC204=(Elig_MatchAll_Ct-1),AL204=0),I204,0)</f>
        <v>0</v>
      </c>
      <c r="BO204" s="199">
        <f>IF(AND(Input_Product=Elig!$C204,Elig_MatchAll_Ct&lt;22,$BC204=(Elig_MatchAll_Ct-1),AM204=0),J204,0)</f>
        <v>0</v>
      </c>
      <c r="BP204" s="199">
        <f>IF(AND(Input_Product=Elig!$C204,Elig_MatchAll_Ct&lt;22,$BC204=(Elig_MatchAll_Ct-1),AN204=0),K204,0)</f>
        <v>0</v>
      </c>
      <c r="BQ204" s="199">
        <f>IF(AND(Input_Product=Elig!$C204,Elig_MatchAll_Ct&lt;22,$BC204=(Elig_MatchAll_Ct-1),AP204=0),L204,0)</f>
        <v>0</v>
      </c>
      <c r="BR204" s="199">
        <f>IF(AND(Input_Product=Elig!$C204,Elig_MatchAll_Ct&lt;22,$BC204=(Elig_MatchAll_Ct-1),AO204=0),M204,0)</f>
        <v>0</v>
      </c>
      <c r="BS204" s="199">
        <f>IF(AND(Input_Product=Elig!$C204,Elig_MatchAll_Ct&lt;22,$BC204=(Elig_MatchAll_Ct-1),AQ204=0),N204,0)</f>
        <v>0</v>
      </c>
      <c r="BT204" s="199">
        <f>IF(AND(Input_Product=Elig!$C204,Elig_MatchAll_Ct&lt;22,$BC204=(Elig_MatchAll_Ct-1),AR204=0),O204,0)</f>
        <v>0</v>
      </c>
      <c r="BU204" s="199">
        <f>IF(AND(Input_Product=Elig!$C204,Elig_MatchAll_Ct&lt;22,$BC204=(Elig_MatchAll_Ct-1),AS204=0),P204,0)</f>
        <v>0</v>
      </c>
      <c r="BV204" s="200">
        <f>IF(AND(Input_Product=Elig!$C204,Elig_MatchAll_Ct&lt;22,$BC204=(Elig_MatchAll_Ct-1),AT204=0),Q204,0)</f>
        <v>0</v>
      </c>
      <c r="BW204" s="201">
        <f>IF(AND(Input_Product=Elig!$C204,Elig_MatchAll_Ct&lt;22,$BC204=(Elig_MatchAll_Ct-1),AU204=0),R204,0)</f>
        <v>0</v>
      </c>
      <c r="BX204" s="202">
        <f>IF(AND(Input_Product=Elig!$C204,Elig_MatchAll_Ct&lt;22,$BC204=(Elig_MatchAll_Ct-1),AU204=0),S204,0)</f>
        <v>0</v>
      </c>
      <c r="BY204" s="201">
        <f>IF(AND(Input_Product=Elig!$C204,Elig_MatchAll_Ct&lt;22,$BC204=(Elig_MatchAll_Ct-1),AV204=0),T204,0)</f>
        <v>0</v>
      </c>
      <c r="BZ204" s="202">
        <f>IF(AND(Input_Product=Elig!$C204,Elig_MatchAll_Ct&lt;22,$BC204=(Elig_MatchAll_Ct-1),AV204=0),U204,0)</f>
        <v>0</v>
      </c>
      <c r="CA204" s="201">
        <f>IF(AND(Input_Product=Elig!$C204,Elig_MatchAll_Ct&lt;22,$BC204=(Elig_MatchAll_Ct-1),AW204=0),V204,0)</f>
        <v>0</v>
      </c>
      <c r="CB204" s="202">
        <f>IF(AND(Input_Product=Elig!$C204,Elig_MatchAll_Ct&lt;22,$BC204=(Elig_MatchAll_Ct-1),AW204=0),W204,0)</f>
        <v>0</v>
      </c>
      <c r="CC204" s="201">
        <f>IF(AND(Input_Product=Elig!$C204,Elig_MatchAll_Ct&lt;22,$BC204=(Elig_MatchAll_Ct-1),AX204=0),X204,0)</f>
        <v>0</v>
      </c>
      <c r="CD204" s="202">
        <f>IF(AND(Input_Product=Elig!$C204,Elig_MatchAll_Ct&lt;22,$BC204=(Elig_MatchAll_Ct-1),AX204=0),Y204,0)</f>
        <v>0</v>
      </c>
      <c r="CE204" s="201">
        <f>IF(AND(Input_LTV&lt;=AE204,Input_Product=Elig!$C204,Elig_MatchAll_Ct&lt;22,$BC204=(Elig_MatchAll_Ct-1),AY204=0),Z204,0)</f>
        <v>0</v>
      </c>
      <c r="CF204" s="202">
        <f>IF(AND(Input_LTV&lt;=AE204,Input_Product=Elig!$C204,Elig_MatchAll_Ct&lt;22,$BC204=(Elig_MatchAll_Ct-1),AY204=0),AA204,0)</f>
        <v>0</v>
      </c>
      <c r="CG204" s="201">
        <f>IF(AND(Input_Product=Elig!$C204,Elig_MatchAll_Ct&lt;22,$BC204=(Elig_MatchAll_Ct-1),AZ204=0),AB204,0)</f>
        <v>0</v>
      </c>
      <c r="CH204" s="202">
        <f>IF(AND(Input_Product=Elig!$C204,Elig_MatchAll_Ct&lt;22,$BC204=(Elig_MatchAll_Ct-1),AZ204=0),AC204,0)</f>
        <v>0</v>
      </c>
      <c r="CI204" s="201">
        <f>IF(AND(Input_Product=Elig!$C204,Elig_MatchAll_Ct&lt;22,$BC204=(Elig_MatchAll_Ct-1),BA204=0),AD204,0)</f>
        <v>0</v>
      </c>
      <c r="CJ204" s="202">
        <f>IF(AND(Input_Product=Elig!$C204,Elig_MatchAll_Ct&lt;22,$BC204=(Elig_MatchAll_Ct-1),BA204=0),AE204,0)</f>
        <v>0</v>
      </c>
    </row>
    <row r="205" spans="2:88" ht="10.15" customHeight="1" x14ac:dyDescent="0.25">
      <c r="B205" s="1912" t="s">
        <v>953</v>
      </c>
      <c r="C205" s="134" t="str">
        <f t="shared" si="56"/>
        <v>NonQM OO</v>
      </c>
      <c r="D205" s="135" t="s">
        <v>3885</v>
      </c>
      <c r="E205" s="135" t="s">
        <v>167</v>
      </c>
      <c r="F205" s="135" t="s">
        <v>331</v>
      </c>
      <c r="G205" s="135" t="s">
        <v>468</v>
      </c>
      <c r="H205" s="135" t="s">
        <v>136</v>
      </c>
      <c r="I205" s="136" t="s">
        <v>274</v>
      </c>
      <c r="J205" s="136" t="s">
        <v>1311</v>
      </c>
      <c r="K205" s="136" t="s">
        <v>1631</v>
      </c>
      <c r="L205" s="221" t="s">
        <v>3920</v>
      </c>
      <c r="M205" s="135" t="s">
        <v>4203</v>
      </c>
      <c r="N205" s="135" t="s">
        <v>82</v>
      </c>
      <c r="O205" s="135" t="s">
        <v>310</v>
      </c>
      <c r="P205" s="135" t="s">
        <v>291</v>
      </c>
      <c r="Q205" s="135" t="s">
        <v>294</v>
      </c>
      <c r="R205" s="135">
        <v>2000000.01</v>
      </c>
      <c r="S205" s="221">
        <v>2500000</v>
      </c>
      <c r="T205" s="135">
        <v>0</v>
      </c>
      <c r="U205" s="135">
        <v>0</v>
      </c>
      <c r="V205" s="135">
        <v>0</v>
      </c>
      <c r="W205" s="135">
        <v>55</v>
      </c>
      <c r="X205" s="135">
        <v>0</v>
      </c>
      <c r="Y205" s="135">
        <v>999</v>
      </c>
      <c r="Z205" s="2100">
        <v>680</v>
      </c>
      <c r="AA205" s="2100">
        <v>699</v>
      </c>
      <c r="AB205" s="137">
        <v>9</v>
      </c>
      <c r="AC205" s="137">
        <v>999999</v>
      </c>
      <c r="AD205" s="135">
        <v>0</v>
      </c>
      <c r="AE205" s="221">
        <v>75</v>
      </c>
      <c r="AF205" s="170">
        <v>0</v>
      </c>
      <c r="AG205" s="171">
        <v>1</v>
      </c>
      <c r="AH205" s="171">
        <v>1</v>
      </c>
      <c r="AI205" s="171">
        <v>1</v>
      </c>
      <c r="AJ205" s="171">
        <v>0</v>
      </c>
      <c r="AK205" s="171">
        <v>1</v>
      </c>
      <c r="AL205" s="171">
        <v>0</v>
      </c>
      <c r="AM205" s="171">
        <v>1</v>
      </c>
      <c r="AN205" s="171">
        <v>1</v>
      </c>
      <c r="AO205" s="171">
        <v>1</v>
      </c>
      <c r="AP205" s="171">
        <v>1</v>
      </c>
      <c r="AQ205" s="171">
        <v>1</v>
      </c>
      <c r="AR205" s="171">
        <v>1</v>
      </c>
      <c r="AS205" s="171">
        <v>1</v>
      </c>
      <c r="AT205" s="171">
        <v>1</v>
      </c>
      <c r="AU205" s="171">
        <f t="shared" si="58"/>
        <v>0</v>
      </c>
      <c r="AV205" s="171">
        <f t="shared" si="59"/>
        <v>0</v>
      </c>
      <c r="AW205" s="171">
        <f t="shared" si="60"/>
        <v>1</v>
      </c>
      <c r="AX205" s="171">
        <f t="shared" si="53"/>
        <v>1</v>
      </c>
      <c r="AY205" s="171">
        <f t="shared" si="61"/>
        <v>0</v>
      </c>
      <c r="AZ205" s="171">
        <f t="shared" si="62"/>
        <v>1</v>
      </c>
      <c r="BA205" s="172">
        <f t="shared" si="63"/>
        <v>1</v>
      </c>
      <c r="BB205" s="175">
        <f t="shared" ref="BB205" si="84">SUM(AF205:BA205)</f>
        <v>16</v>
      </c>
      <c r="BC205" s="176">
        <f t="shared" ref="BC205" si="85">SUM(AF205:AZ205)</f>
        <v>15</v>
      </c>
      <c r="BD205" s="176">
        <f t="shared" ref="BD205" si="86">SUM(AG205:BA205)</f>
        <v>16</v>
      </c>
      <c r="BE205" s="240" t="str">
        <f t="shared" si="79"/>
        <v/>
      </c>
      <c r="BH205" s="199">
        <f>IF(AND(Input_Product=Elig!$C205,Elig_MatchAll_Ct&lt;22,$BC205=(Elig_MatchAll_Ct-1),AF205=0),C205,0)</f>
        <v>0</v>
      </c>
      <c r="BI205" s="199">
        <f>IF(AND(Input_Product=Elig!$C205,Elig_MatchAll_Ct&lt;22,$BC205=(Elig_MatchAll_Ct-1),AG205=0),D205,0)</f>
        <v>0</v>
      </c>
      <c r="BJ205" s="199">
        <f>IF(AND(Input_Product=Elig!$C205,Elig_MatchAll_Ct&lt;22,$BC205=(Elig_MatchAll_Ct-1),AH205=0),E205,0)</f>
        <v>0</v>
      </c>
      <c r="BK205" s="199">
        <f>IF(AND(Input_Product=Elig!$C205,Elig_MatchAll_Ct&lt;22,$BC205=(Elig_MatchAll_Ct-1),AI205=0),F205,0)</f>
        <v>0</v>
      </c>
      <c r="BL205" s="199">
        <f>IF(AND(Input_Product=Elig!$C205,Elig_MatchAll_Ct&lt;22,$BC205=(Elig_MatchAll_Ct-1),AJ205=0),G205,0)</f>
        <v>0</v>
      </c>
      <c r="BM205" s="199">
        <f>IF(AND(Input_Product=Elig!$C205,Elig_MatchAll_Ct&lt;22,$BC205=(Elig_MatchAll_Ct-1),AK205=0),H205,0)</f>
        <v>0</v>
      </c>
      <c r="BN205" s="199">
        <f>IF(AND(Input_Product=Elig!$C205,Elig_MatchAll_Ct&lt;22,$BC205=(Elig_MatchAll_Ct-1),AL205=0),I205,0)</f>
        <v>0</v>
      </c>
      <c r="BO205" s="199">
        <f>IF(AND(Input_Product=Elig!$C205,Elig_MatchAll_Ct&lt;22,$BC205=(Elig_MatchAll_Ct-1),AM205=0),J205,0)</f>
        <v>0</v>
      </c>
      <c r="BP205" s="199">
        <f>IF(AND(Input_Product=Elig!$C205,Elig_MatchAll_Ct&lt;22,$BC205=(Elig_MatchAll_Ct-1),AN205=0),K205,0)</f>
        <v>0</v>
      </c>
      <c r="BQ205" s="199">
        <f>IF(AND(Input_Product=Elig!$C205,Elig_MatchAll_Ct&lt;22,$BC205=(Elig_MatchAll_Ct-1),AP205=0),L205,0)</f>
        <v>0</v>
      </c>
      <c r="BR205" s="199">
        <f>IF(AND(Input_Product=Elig!$C205,Elig_MatchAll_Ct&lt;22,$BC205=(Elig_MatchAll_Ct-1),AO205=0),M205,0)</f>
        <v>0</v>
      </c>
      <c r="BS205" s="199">
        <f>IF(AND(Input_Product=Elig!$C205,Elig_MatchAll_Ct&lt;22,$BC205=(Elig_MatchAll_Ct-1),AQ205=0),N205,0)</f>
        <v>0</v>
      </c>
      <c r="BT205" s="199">
        <f>IF(AND(Input_Product=Elig!$C205,Elig_MatchAll_Ct&lt;22,$BC205=(Elig_MatchAll_Ct-1),AR205=0),O205,0)</f>
        <v>0</v>
      </c>
      <c r="BU205" s="199">
        <f>IF(AND(Input_Product=Elig!$C205,Elig_MatchAll_Ct&lt;22,$BC205=(Elig_MatchAll_Ct-1),AS205=0),P205,0)</f>
        <v>0</v>
      </c>
      <c r="BV205" s="200">
        <f>IF(AND(Input_Product=Elig!$C205,Elig_MatchAll_Ct&lt;22,$BC205=(Elig_MatchAll_Ct-1),AT205=0),Q205,0)</f>
        <v>0</v>
      </c>
      <c r="BW205" s="201">
        <f>IF(AND(Input_Product=Elig!$C205,Elig_MatchAll_Ct&lt;22,$BC205=(Elig_MatchAll_Ct-1),AU205=0),R205,0)</f>
        <v>0</v>
      </c>
      <c r="BX205" s="202">
        <f>IF(AND(Input_Product=Elig!$C205,Elig_MatchAll_Ct&lt;22,$BC205=(Elig_MatchAll_Ct-1),AU205=0),S205,0)</f>
        <v>0</v>
      </c>
      <c r="BY205" s="201">
        <f>IF(AND(Input_Product=Elig!$C205,Elig_MatchAll_Ct&lt;22,$BC205=(Elig_MatchAll_Ct-1),AV205=0),T205,0)</f>
        <v>0</v>
      </c>
      <c r="BZ205" s="202">
        <f>IF(AND(Input_Product=Elig!$C205,Elig_MatchAll_Ct&lt;22,$BC205=(Elig_MatchAll_Ct-1),AV205=0),U205,0)</f>
        <v>0</v>
      </c>
      <c r="CA205" s="201">
        <f>IF(AND(Input_Product=Elig!$C205,Elig_MatchAll_Ct&lt;22,$BC205=(Elig_MatchAll_Ct-1),AW205=0),V205,0)</f>
        <v>0</v>
      </c>
      <c r="CB205" s="202">
        <f>IF(AND(Input_Product=Elig!$C205,Elig_MatchAll_Ct&lt;22,$BC205=(Elig_MatchAll_Ct-1),AW205=0),W205,0)</f>
        <v>0</v>
      </c>
      <c r="CC205" s="201">
        <f>IF(AND(Input_Product=Elig!$C205,Elig_MatchAll_Ct&lt;22,$BC205=(Elig_MatchAll_Ct-1),AX205=0),X205,0)</f>
        <v>0</v>
      </c>
      <c r="CD205" s="202">
        <f>IF(AND(Input_Product=Elig!$C205,Elig_MatchAll_Ct&lt;22,$BC205=(Elig_MatchAll_Ct-1),AX205=0),Y205,0)</f>
        <v>0</v>
      </c>
      <c r="CE205" s="201">
        <f>IF(AND(Input_LTV&lt;=AE205,Input_Product=Elig!$C205,Elig_MatchAll_Ct&lt;22,$BC205=(Elig_MatchAll_Ct-1),AY205=0),Z205,0)</f>
        <v>0</v>
      </c>
      <c r="CF205" s="202">
        <f>IF(AND(Input_LTV&lt;=AE205,Input_Product=Elig!$C205,Elig_MatchAll_Ct&lt;22,$BC205=(Elig_MatchAll_Ct-1),AY205=0),AA205,0)</f>
        <v>0</v>
      </c>
      <c r="CG205" s="201">
        <f>IF(AND(Input_Product=Elig!$C205,Elig_MatchAll_Ct&lt;22,$BC205=(Elig_MatchAll_Ct-1),AZ205=0),AB205,0)</f>
        <v>0</v>
      </c>
      <c r="CH205" s="202">
        <f>IF(AND(Input_Product=Elig!$C205,Elig_MatchAll_Ct&lt;22,$BC205=(Elig_MatchAll_Ct-1),AZ205=0),AC205,0)</f>
        <v>0</v>
      </c>
      <c r="CI205" s="201">
        <f>IF(AND(Input_Product=Elig!$C205,Elig_MatchAll_Ct&lt;22,$BC205=(Elig_MatchAll_Ct-1),BA205=0),AD205,0)</f>
        <v>0</v>
      </c>
      <c r="CJ205" s="202">
        <f>IF(AND(Input_Product=Elig!$C205,Elig_MatchAll_Ct&lt;22,$BC205=(Elig_MatchAll_Ct-1),BA205=0),AE205,0)</f>
        <v>0</v>
      </c>
    </row>
    <row r="206" spans="2:88" ht="10.15" customHeight="1" x14ac:dyDescent="0.25">
      <c r="B206" s="1912" t="s">
        <v>954</v>
      </c>
      <c r="C206" s="134" t="str">
        <f t="shared" si="56"/>
        <v>NonQM OO</v>
      </c>
      <c r="D206" s="135" t="s">
        <v>3885</v>
      </c>
      <c r="E206" s="135" t="s">
        <v>167</v>
      </c>
      <c r="F206" s="135" t="s">
        <v>331</v>
      </c>
      <c r="G206" s="135" t="s">
        <v>468</v>
      </c>
      <c r="H206" s="135" t="s">
        <v>136</v>
      </c>
      <c r="I206" s="136" t="s">
        <v>274</v>
      </c>
      <c r="J206" s="136" t="s">
        <v>1311</v>
      </c>
      <c r="K206" s="136" t="s">
        <v>1631</v>
      </c>
      <c r="L206" s="221" t="s">
        <v>3920</v>
      </c>
      <c r="M206" s="135" t="s">
        <v>4203</v>
      </c>
      <c r="N206" s="135" t="s">
        <v>82</v>
      </c>
      <c r="O206" s="135" t="s">
        <v>310</v>
      </c>
      <c r="P206" s="135" t="s">
        <v>291</v>
      </c>
      <c r="Q206" s="135" t="s">
        <v>294</v>
      </c>
      <c r="R206" s="135">
        <v>2000000.01</v>
      </c>
      <c r="S206" s="221">
        <v>2500000</v>
      </c>
      <c r="T206" s="135">
        <v>0</v>
      </c>
      <c r="U206" s="135">
        <v>0</v>
      </c>
      <c r="V206" s="135">
        <v>0</v>
      </c>
      <c r="W206" s="135">
        <v>55</v>
      </c>
      <c r="X206" s="135">
        <v>0</v>
      </c>
      <c r="Y206" s="135">
        <v>999</v>
      </c>
      <c r="Z206" s="2100">
        <v>660</v>
      </c>
      <c r="AA206" s="2100">
        <v>679</v>
      </c>
      <c r="AB206" s="137">
        <v>9</v>
      </c>
      <c r="AC206" s="137">
        <v>999999</v>
      </c>
      <c r="AD206" s="135">
        <v>0</v>
      </c>
      <c r="AE206" s="221">
        <v>70</v>
      </c>
      <c r="AF206" s="170">
        <v>0</v>
      </c>
      <c r="AG206" s="171">
        <v>1</v>
      </c>
      <c r="AH206" s="171">
        <v>1</v>
      </c>
      <c r="AI206" s="171">
        <v>1</v>
      </c>
      <c r="AJ206" s="171">
        <v>0</v>
      </c>
      <c r="AK206" s="171">
        <v>1</v>
      </c>
      <c r="AL206" s="171">
        <v>0</v>
      </c>
      <c r="AM206" s="171">
        <v>1</v>
      </c>
      <c r="AN206" s="171">
        <v>1</v>
      </c>
      <c r="AO206" s="171">
        <v>1</v>
      </c>
      <c r="AP206" s="171">
        <v>1</v>
      </c>
      <c r="AQ206" s="171">
        <v>1</v>
      </c>
      <c r="AR206" s="171">
        <v>1</v>
      </c>
      <c r="AS206" s="171">
        <v>1</v>
      </c>
      <c r="AT206" s="171">
        <v>1</v>
      </c>
      <c r="AU206" s="171">
        <f t="shared" si="58"/>
        <v>0</v>
      </c>
      <c r="AV206" s="171">
        <f t="shared" si="59"/>
        <v>0</v>
      </c>
      <c r="AW206" s="171">
        <f t="shared" si="60"/>
        <v>1</v>
      </c>
      <c r="AX206" s="171">
        <f t="shared" si="53"/>
        <v>1</v>
      </c>
      <c r="AY206" s="171">
        <f t="shared" si="61"/>
        <v>0</v>
      </c>
      <c r="AZ206" s="171">
        <f t="shared" si="62"/>
        <v>1</v>
      </c>
      <c r="BA206" s="172">
        <f t="shared" si="63"/>
        <v>1</v>
      </c>
      <c r="BB206" s="175">
        <f t="shared" si="72"/>
        <v>16</v>
      </c>
      <c r="BC206" s="176">
        <f t="shared" si="73"/>
        <v>15</v>
      </c>
      <c r="BD206" s="176">
        <f t="shared" si="74"/>
        <v>16</v>
      </c>
      <c r="BE206" s="240" t="str">
        <f t="shared" si="79"/>
        <v/>
      </c>
      <c r="BH206" s="214">
        <f>IF(AND(Input_Product=Elig!$C206,Elig_MatchAll_Ct&lt;22,$BC206=(Elig_MatchAll_Ct-1),AF206=0),C206,0)</f>
        <v>0</v>
      </c>
      <c r="BI206" s="214">
        <f>IF(AND(Input_Product=Elig!$C206,Elig_MatchAll_Ct&lt;22,$BC206=(Elig_MatchAll_Ct-1),AG206=0),D206,0)</f>
        <v>0</v>
      </c>
      <c r="BJ206" s="214">
        <f>IF(AND(Input_Product=Elig!$C206,Elig_MatchAll_Ct&lt;22,$BC206=(Elig_MatchAll_Ct-1),AH206=0),E206,0)</f>
        <v>0</v>
      </c>
      <c r="BK206" s="214">
        <f>IF(AND(Input_Product=Elig!$C206,Elig_MatchAll_Ct&lt;22,$BC206=(Elig_MatchAll_Ct-1),AI206=0),F206,0)</f>
        <v>0</v>
      </c>
      <c r="BL206" s="214">
        <f>IF(AND(Input_Product=Elig!$C206,Elig_MatchAll_Ct&lt;22,$BC206=(Elig_MatchAll_Ct-1),AJ206=0),G206,0)</f>
        <v>0</v>
      </c>
      <c r="BM206" s="214">
        <f>IF(AND(Input_Product=Elig!$C206,Elig_MatchAll_Ct&lt;22,$BC206=(Elig_MatchAll_Ct-1),AK206=0),H206,0)</f>
        <v>0</v>
      </c>
      <c r="BN206" s="214">
        <f>IF(AND(Input_Product=Elig!$C206,Elig_MatchAll_Ct&lt;22,$BC206=(Elig_MatchAll_Ct-1),AL206=0),I206,0)</f>
        <v>0</v>
      </c>
      <c r="BO206" s="214">
        <f>IF(AND(Input_Product=Elig!$C206,Elig_MatchAll_Ct&lt;22,$BC206=(Elig_MatchAll_Ct-1),AM206=0),J206,0)</f>
        <v>0</v>
      </c>
      <c r="BP206" s="214">
        <f>IF(AND(Input_Product=Elig!$C206,Elig_MatchAll_Ct&lt;22,$BC206=(Elig_MatchAll_Ct-1),AN206=0),K206,0)</f>
        <v>0</v>
      </c>
      <c r="BQ206" s="214">
        <f>IF(AND(Input_Product=Elig!$C206,Elig_MatchAll_Ct&lt;22,$BC206=(Elig_MatchAll_Ct-1),AP206=0),L206,0)</f>
        <v>0</v>
      </c>
      <c r="BR206" s="214">
        <f>IF(AND(Input_Product=Elig!$C206,Elig_MatchAll_Ct&lt;22,$BC206=(Elig_MatchAll_Ct-1),AO206=0),M206,0)</f>
        <v>0</v>
      </c>
      <c r="BS206" s="214">
        <f>IF(AND(Input_Product=Elig!$C206,Elig_MatchAll_Ct&lt;22,$BC206=(Elig_MatchAll_Ct-1),AQ206=0),N206,0)</f>
        <v>0</v>
      </c>
      <c r="BT206" s="214">
        <f>IF(AND(Input_Product=Elig!$C206,Elig_MatchAll_Ct&lt;22,$BC206=(Elig_MatchAll_Ct-1),AR206=0),O206,0)</f>
        <v>0</v>
      </c>
      <c r="BU206" s="214">
        <f>IF(AND(Input_Product=Elig!$C206,Elig_MatchAll_Ct&lt;22,$BC206=(Elig_MatchAll_Ct-1),AS206=0),P206,0)</f>
        <v>0</v>
      </c>
      <c r="BV206" s="215">
        <f>IF(AND(Input_Product=Elig!$C206,Elig_MatchAll_Ct&lt;22,$BC206=(Elig_MatchAll_Ct-1),AT206=0),Q206,0)</f>
        <v>0</v>
      </c>
      <c r="BW206" s="311">
        <f>IF(AND(Input_Product=Elig!$C206,Elig_MatchAll_Ct&lt;22,$BC206=(Elig_MatchAll_Ct-1),AU206=0),R206,0)</f>
        <v>0</v>
      </c>
      <c r="BX206" s="312">
        <f>IF(AND(Input_Product=Elig!$C206,Elig_MatchAll_Ct&lt;22,$BC206=(Elig_MatchAll_Ct-1),AU206=0),S206,0)</f>
        <v>0</v>
      </c>
      <c r="BY206" s="311">
        <f>IF(AND(Input_Product=Elig!$C206,Elig_MatchAll_Ct&lt;22,$BC206=(Elig_MatchAll_Ct-1),AV206=0),T206,0)</f>
        <v>0</v>
      </c>
      <c r="BZ206" s="312">
        <f>IF(AND(Input_Product=Elig!$C206,Elig_MatchAll_Ct&lt;22,$BC206=(Elig_MatchAll_Ct-1),AV206=0),U206,0)</f>
        <v>0</v>
      </c>
      <c r="CA206" s="311">
        <f>IF(AND(Input_Product=Elig!$C206,Elig_MatchAll_Ct&lt;22,$BC206=(Elig_MatchAll_Ct-1),AW206=0),V206,0)</f>
        <v>0</v>
      </c>
      <c r="CB206" s="312">
        <f>IF(AND(Input_Product=Elig!$C206,Elig_MatchAll_Ct&lt;22,$BC206=(Elig_MatchAll_Ct-1),AW206=0),W206,0)</f>
        <v>0</v>
      </c>
      <c r="CC206" s="311">
        <f>IF(AND(Input_Product=Elig!$C206,Elig_MatchAll_Ct&lt;22,$BC206=(Elig_MatchAll_Ct-1),AX206=0),X206,0)</f>
        <v>0</v>
      </c>
      <c r="CD206" s="312">
        <f>IF(AND(Input_Product=Elig!$C206,Elig_MatchAll_Ct&lt;22,$BC206=(Elig_MatchAll_Ct-1),AX206=0),Y206,0)</f>
        <v>0</v>
      </c>
      <c r="CE206" s="311">
        <f>IF(AND(Input_LTV&lt;=AE206,Input_Product=Elig!$C206,Elig_MatchAll_Ct&lt;22,$BC206=(Elig_MatchAll_Ct-1),AY206=0),Z206,0)</f>
        <v>0</v>
      </c>
      <c r="CF206" s="312">
        <f>IF(AND(Input_LTV&lt;=AE206,Input_Product=Elig!$C206,Elig_MatchAll_Ct&lt;22,$BC206=(Elig_MatchAll_Ct-1),AY206=0),AA206,0)</f>
        <v>0</v>
      </c>
      <c r="CG206" s="311">
        <f>IF(AND(Input_Product=Elig!$C206,Elig_MatchAll_Ct&lt;22,$BC206=(Elig_MatchAll_Ct-1),AZ206=0),AB206,0)</f>
        <v>0</v>
      </c>
      <c r="CH206" s="312">
        <f>IF(AND(Input_Product=Elig!$C206,Elig_MatchAll_Ct&lt;22,$BC206=(Elig_MatchAll_Ct-1),AZ206=0),AC206,0)</f>
        <v>0</v>
      </c>
      <c r="CI206" s="311">
        <f>IF(AND(Input_Product=Elig!$C206,Elig_MatchAll_Ct&lt;22,$BC206=(Elig_MatchAll_Ct-1),BA206=0),AD206,0)</f>
        <v>0</v>
      </c>
      <c r="CJ206" s="312">
        <f>IF(AND(Input_Product=Elig!$C206,Elig_MatchAll_Ct&lt;22,$BC206=(Elig_MatchAll_Ct-1),BA206=0),AE206,0)</f>
        <v>0</v>
      </c>
    </row>
    <row r="207" spans="2:88" ht="10.15" customHeight="1" x14ac:dyDescent="0.25">
      <c r="B207" s="1912" t="s">
        <v>955</v>
      </c>
      <c r="C207" s="141" t="str">
        <f t="shared" si="56"/>
        <v>NonQM OO</v>
      </c>
      <c r="D207" s="142" t="s">
        <v>3885</v>
      </c>
      <c r="E207" s="143" t="s">
        <v>167</v>
      </c>
      <c r="F207" s="143" t="s">
        <v>331</v>
      </c>
      <c r="G207" s="143" t="s">
        <v>468</v>
      </c>
      <c r="H207" s="143" t="s">
        <v>136</v>
      </c>
      <c r="I207" s="142" t="s">
        <v>16</v>
      </c>
      <c r="J207" s="142" t="s">
        <v>1311</v>
      </c>
      <c r="K207" s="142" t="s">
        <v>1631</v>
      </c>
      <c r="L207" s="2131" t="s">
        <v>3920</v>
      </c>
      <c r="M207" s="143" t="s">
        <v>4203</v>
      </c>
      <c r="N207" s="143" t="s">
        <v>82</v>
      </c>
      <c r="O207" s="143" t="s">
        <v>310</v>
      </c>
      <c r="P207" s="143" t="s">
        <v>291</v>
      </c>
      <c r="Q207" s="143" t="s">
        <v>294</v>
      </c>
      <c r="R207" s="142">
        <v>2000000.01</v>
      </c>
      <c r="S207" s="320">
        <v>2500000</v>
      </c>
      <c r="T207" s="142">
        <v>0</v>
      </c>
      <c r="U207" s="142">
        <f t="shared" ref="U207:U210" si="87">S207</f>
        <v>2500000</v>
      </c>
      <c r="V207" s="142">
        <v>0</v>
      </c>
      <c r="W207" s="142">
        <v>55</v>
      </c>
      <c r="X207" s="142">
        <v>0</v>
      </c>
      <c r="Y207" s="142">
        <v>999</v>
      </c>
      <c r="Z207" s="144">
        <v>720</v>
      </c>
      <c r="AA207" s="144">
        <v>999</v>
      </c>
      <c r="AB207" s="144">
        <v>9</v>
      </c>
      <c r="AC207" s="144">
        <v>999999</v>
      </c>
      <c r="AD207" s="142">
        <v>0</v>
      </c>
      <c r="AE207" s="320">
        <v>75</v>
      </c>
      <c r="AF207" s="170">
        <v>0</v>
      </c>
      <c r="AG207" s="171">
        <v>1</v>
      </c>
      <c r="AH207" s="171">
        <v>1</v>
      </c>
      <c r="AI207" s="171">
        <v>1</v>
      </c>
      <c r="AJ207" s="171">
        <v>0</v>
      </c>
      <c r="AK207" s="171">
        <v>1</v>
      </c>
      <c r="AL207" s="171">
        <v>1</v>
      </c>
      <c r="AM207" s="171">
        <v>1</v>
      </c>
      <c r="AN207" s="171">
        <v>1</v>
      </c>
      <c r="AO207" s="171">
        <v>1</v>
      </c>
      <c r="AP207" s="171">
        <v>1</v>
      </c>
      <c r="AQ207" s="171">
        <v>1</v>
      </c>
      <c r="AR207" s="171">
        <v>1</v>
      </c>
      <c r="AS207" s="171">
        <v>1</v>
      </c>
      <c r="AT207" s="171">
        <v>1</v>
      </c>
      <c r="AU207" s="171">
        <f t="shared" si="58"/>
        <v>0</v>
      </c>
      <c r="AV207" s="171">
        <f t="shared" si="59"/>
        <v>1</v>
      </c>
      <c r="AW207" s="171">
        <f t="shared" si="60"/>
        <v>1</v>
      </c>
      <c r="AX207" s="171">
        <f t="shared" si="53"/>
        <v>1</v>
      </c>
      <c r="AY207" s="171">
        <f t="shared" si="61"/>
        <v>1</v>
      </c>
      <c r="AZ207" s="171">
        <f t="shared" si="62"/>
        <v>1</v>
      </c>
      <c r="BA207" s="172">
        <f t="shared" si="63"/>
        <v>1</v>
      </c>
      <c r="BB207" s="175">
        <f t="shared" si="72"/>
        <v>19</v>
      </c>
      <c r="BC207" s="176">
        <f t="shared" si="73"/>
        <v>18</v>
      </c>
      <c r="BD207" s="176">
        <f t="shared" si="74"/>
        <v>19</v>
      </c>
      <c r="BE207" s="240" t="str">
        <f t="shared" si="79"/>
        <v/>
      </c>
      <c r="BH207" s="210">
        <f>IF(AND(Input_Product=Elig!$C207,Elig_MatchAll_Ct&lt;22,$BC207=(Elig_MatchAll_Ct-1),AF207=0),C207,0)</f>
        <v>0</v>
      </c>
      <c r="BI207" s="210">
        <f>IF(AND(Input_Product=Elig!$C207,Elig_MatchAll_Ct&lt;22,$BC207=(Elig_MatchAll_Ct-1),AG207=0),D207,0)</f>
        <v>0</v>
      </c>
      <c r="BJ207" s="210">
        <f>IF(AND(Input_Product=Elig!$C207,Elig_MatchAll_Ct&lt;22,$BC207=(Elig_MatchAll_Ct-1),AH207=0),E207,0)</f>
        <v>0</v>
      </c>
      <c r="BK207" s="210">
        <f>IF(AND(Input_Product=Elig!$C207,Elig_MatchAll_Ct&lt;22,$BC207=(Elig_MatchAll_Ct-1),AI207=0),F207,0)</f>
        <v>0</v>
      </c>
      <c r="BL207" s="210">
        <f>IF(AND(Input_Product=Elig!$C207,Elig_MatchAll_Ct&lt;22,$BC207=(Elig_MatchAll_Ct-1),AJ207=0),G207,0)</f>
        <v>0</v>
      </c>
      <c r="BM207" s="210">
        <f>IF(AND(Input_Product=Elig!$C207,Elig_MatchAll_Ct&lt;22,$BC207=(Elig_MatchAll_Ct-1),AK207=0),H207,0)</f>
        <v>0</v>
      </c>
      <c r="BN207" s="210">
        <f>IF(AND(Input_Product=Elig!$C207,Elig_MatchAll_Ct&lt;22,$BC207=(Elig_MatchAll_Ct-1),AL207=0),I207,0)</f>
        <v>0</v>
      </c>
      <c r="BO207" s="210">
        <f>IF(AND(Input_Product=Elig!$C207,Elig_MatchAll_Ct&lt;22,$BC207=(Elig_MatchAll_Ct-1),AM207=0),J207,0)</f>
        <v>0</v>
      </c>
      <c r="BP207" s="210">
        <f>IF(AND(Input_Product=Elig!$C207,Elig_MatchAll_Ct&lt;22,$BC207=(Elig_MatchAll_Ct-1),AN207=0),K207,0)</f>
        <v>0</v>
      </c>
      <c r="BQ207" s="210">
        <f>IF(AND(Input_Product=Elig!$C207,Elig_MatchAll_Ct&lt;22,$BC207=(Elig_MatchAll_Ct-1),AP207=0),L207,0)</f>
        <v>0</v>
      </c>
      <c r="BR207" s="210">
        <f>IF(AND(Input_Product=Elig!$C207,Elig_MatchAll_Ct&lt;22,$BC207=(Elig_MatchAll_Ct-1),AO207=0),M207,0)</f>
        <v>0</v>
      </c>
      <c r="BS207" s="210">
        <f>IF(AND(Input_Product=Elig!$C207,Elig_MatchAll_Ct&lt;22,$BC207=(Elig_MatchAll_Ct-1),AQ207=0),N207,0)</f>
        <v>0</v>
      </c>
      <c r="BT207" s="210">
        <f>IF(AND(Input_Product=Elig!$C207,Elig_MatchAll_Ct&lt;22,$BC207=(Elig_MatchAll_Ct-1),AR207=0),O207,0)</f>
        <v>0</v>
      </c>
      <c r="BU207" s="210">
        <f>IF(AND(Input_Product=Elig!$C207,Elig_MatchAll_Ct&lt;22,$BC207=(Elig_MatchAll_Ct-1),AS207=0),P207,0)</f>
        <v>0</v>
      </c>
      <c r="BV207" s="211">
        <f>IF(AND(Input_Product=Elig!$C207,Elig_MatchAll_Ct&lt;22,$BC207=(Elig_MatchAll_Ct-1),AT207=0),Q207,0)</f>
        <v>0</v>
      </c>
      <c r="BW207" s="212">
        <f>IF(AND(Input_Product=Elig!$C207,Elig_MatchAll_Ct&lt;22,$BC207=(Elig_MatchAll_Ct-1),AU207=0),R207,0)</f>
        <v>0</v>
      </c>
      <c r="BX207" s="213">
        <f>IF(AND(Input_Product=Elig!$C207,Elig_MatchAll_Ct&lt;22,$BC207=(Elig_MatchAll_Ct-1),AU207=0),S207,0)</f>
        <v>0</v>
      </c>
      <c r="BY207" s="212">
        <f>IF(AND(Input_Product=Elig!$C207,Elig_MatchAll_Ct&lt;22,$BC207=(Elig_MatchAll_Ct-1),AV207=0),T207,0)</f>
        <v>0</v>
      </c>
      <c r="BZ207" s="213">
        <f>IF(AND(Input_Product=Elig!$C207,Elig_MatchAll_Ct&lt;22,$BC207=(Elig_MatchAll_Ct-1),AV207=0),U207,0)</f>
        <v>0</v>
      </c>
      <c r="CA207" s="212">
        <f>IF(AND(Input_Product=Elig!$C207,Elig_MatchAll_Ct&lt;22,$BC207=(Elig_MatchAll_Ct-1),AW207=0),V207,0)</f>
        <v>0</v>
      </c>
      <c r="CB207" s="213">
        <f>IF(AND(Input_Product=Elig!$C207,Elig_MatchAll_Ct&lt;22,$BC207=(Elig_MatchAll_Ct-1),AW207=0),W207,0)</f>
        <v>0</v>
      </c>
      <c r="CC207" s="212">
        <f>IF(AND(Input_Product=Elig!$C207,Elig_MatchAll_Ct&lt;22,$BC207=(Elig_MatchAll_Ct-1),AX207=0),X207,0)</f>
        <v>0</v>
      </c>
      <c r="CD207" s="213">
        <f>IF(AND(Input_Product=Elig!$C207,Elig_MatchAll_Ct&lt;22,$BC207=(Elig_MatchAll_Ct-1),AX207=0),Y207,0)</f>
        <v>0</v>
      </c>
      <c r="CE207" s="212">
        <f>IF(AND(Input_LTV&lt;=AE207,Input_Product=Elig!$C207,Elig_MatchAll_Ct&lt;22,$BC207=(Elig_MatchAll_Ct-1),AY207=0),Z207,0)</f>
        <v>0</v>
      </c>
      <c r="CF207" s="213">
        <f>IF(AND(Input_LTV&lt;=AE207,Input_Product=Elig!$C207,Elig_MatchAll_Ct&lt;22,$BC207=(Elig_MatchAll_Ct-1),AY207=0),AA207,0)</f>
        <v>0</v>
      </c>
      <c r="CG207" s="212">
        <f>IF(AND(Input_Product=Elig!$C207,Elig_MatchAll_Ct&lt;22,$BC207=(Elig_MatchAll_Ct-1),AZ207=0),AB207,0)</f>
        <v>0</v>
      </c>
      <c r="CH207" s="213">
        <f>IF(AND(Input_Product=Elig!$C207,Elig_MatchAll_Ct&lt;22,$BC207=(Elig_MatchAll_Ct-1),AZ207=0),AC207,0)</f>
        <v>0</v>
      </c>
      <c r="CI207" s="212">
        <f>IF(AND(Input_Product=Elig!$C207,Elig_MatchAll_Ct&lt;22,$BC207=(Elig_MatchAll_Ct-1),BA207=0),AD207,0)</f>
        <v>0</v>
      </c>
      <c r="CJ207" s="213">
        <f>IF(AND(Input_Product=Elig!$C207,Elig_MatchAll_Ct&lt;22,$BC207=(Elig_MatchAll_Ct-1),BA207=0),AE207,0)</f>
        <v>0</v>
      </c>
    </row>
    <row r="208" spans="2:88" ht="10.15" customHeight="1" x14ac:dyDescent="0.25">
      <c r="B208" s="1912" t="s">
        <v>956</v>
      </c>
      <c r="C208" s="134" t="str">
        <f t="shared" si="56"/>
        <v>NonQM OO</v>
      </c>
      <c r="D208" s="135" t="s">
        <v>3885</v>
      </c>
      <c r="E208" s="135" t="s">
        <v>167</v>
      </c>
      <c r="F208" s="135" t="s">
        <v>331</v>
      </c>
      <c r="G208" s="135" t="s">
        <v>468</v>
      </c>
      <c r="H208" s="135" t="s">
        <v>136</v>
      </c>
      <c r="I208" s="136" t="s">
        <v>16</v>
      </c>
      <c r="J208" s="136" t="s">
        <v>1311</v>
      </c>
      <c r="K208" s="136" t="s">
        <v>1631</v>
      </c>
      <c r="L208" s="221" t="s">
        <v>3920</v>
      </c>
      <c r="M208" s="135" t="s">
        <v>4203</v>
      </c>
      <c r="N208" s="135" t="s">
        <v>82</v>
      </c>
      <c r="O208" s="135" t="s">
        <v>310</v>
      </c>
      <c r="P208" s="135" t="s">
        <v>291</v>
      </c>
      <c r="Q208" s="135" t="s">
        <v>294</v>
      </c>
      <c r="R208" s="135">
        <v>2000000.01</v>
      </c>
      <c r="S208" s="221">
        <v>2500000</v>
      </c>
      <c r="T208" s="135">
        <v>0</v>
      </c>
      <c r="U208" s="135">
        <f t="shared" si="87"/>
        <v>2500000</v>
      </c>
      <c r="V208" s="135">
        <v>0</v>
      </c>
      <c r="W208" s="135">
        <v>55</v>
      </c>
      <c r="X208" s="135">
        <v>0</v>
      </c>
      <c r="Y208" s="135">
        <v>999</v>
      </c>
      <c r="Z208" s="137">
        <v>700</v>
      </c>
      <c r="AA208" s="137">
        <v>719</v>
      </c>
      <c r="AB208" s="137">
        <v>9</v>
      </c>
      <c r="AC208" s="137">
        <v>999999</v>
      </c>
      <c r="AD208" s="135">
        <v>0</v>
      </c>
      <c r="AE208" s="221">
        <v>65</v>
      </c>
      <c r="AF208" s="170">
        <v>0</v>
      </c>
      <c r="AG208" s="171">
        <v>1</v>
      </c>
      <c r="AH208" s="171">
        <v>1</v>
      </c>
      <c r="AI208" s="171">
        <v>1</v>
      </c>
      <c r="AJ208" s="171">
        <v>0</v>
      </c>
      <c r="AK208" s="171">
        <v>1</v>
      </c>
      <c r="AL208" s="171">
        <v>1</v>
      </c>
      <c r="AM208" s="171">
        <v>1</v>
      </c>
      <c r="AN208" s="171">
        <v>1</v>
      </c>
      <c r="AO208" s="171">
        <v>1</v>
      </c>
      <c r="AP208" s="171">
        <v>1</v>
      </c>
      <c r="AQ208" s="171">
        <v>1</v>
      </c>
      <c r="AR208" s="171">
        <v>1</v>
      </c>
      <c r="AS208" s="171">
        <v>1</v>
      </c>
      <c r="AT208" s="171">
        <v>1</v>
      </c>
      <c r="AU208" s="171">
        <f t="shared" si="58"/>
        <v>0</v>
      </c>
      <c r="AV208" s="171">
        <f t="shared" si="59"/>
        <v>1</v>
      </c>
      <c r="AW208" s="171">
        <f t="shared" si="60"/>
        <v>1</v>
      </c>
      <c r="AX208" s="171">
        <f t="shared" si="53"/>
        <v>1</v>
      </c>
      <c r="AY208" s="171">
        <f t="shared" si="61"/>
        <v>0</v>
      </c>
      <c r="AZ208" s="171">
        <f t="shared" si="62"/>
        <v>1</v>
      </c>
      <c r="BA208" s="172">
        <f t="shared" si="63"/>
        <v>1</v>
      </c>
      <c r="BB208" s="175">
        <f t="shared" si="72"/>
        <v>18</v>
      </c>
      <c r="BC208" s="176">
        <f t="shared" si="73"/>
        <v>17</v>
      </c>
      <c r="BD208" s="176">
        <f t="shared" si="74"/>
        <v>18</v>
      </c>
      <c r="BE208" s="240" t="str">
        <f t="shared" si="79"/>
        <v/>
      </c>
      <c r="BH208" s="199">
        <f>IF(AND(Input_Product=Elig!$C208,Elig_MatchAll_Ct&lt;22,$BC208=(Elig_MatchAll_Ct-1),AF208=0),C208,0)</f>
        <v>0</v>
      </c>
      <c r="BI208" s="199">
        <f>IF(AND(Input_Product=Elig!$C208,Elig_MatchAll_Ct&lt;22,$BC208=(Elig_MatchAll_Ct-1),AG208=0),D208,0)</f>
        <v>0</v>
      </c>
      <c r="BJ208" s="199">
        <f>IF(AND(Input_Product=Elig!$C208,Elig_MatchAll_Ct&lt;22,$BC208=(Elig_MatchAll_Ct-1),AH208=0),E208,0)</f>
        <v>0</v>
      </c>
      <c r="BK208" s="199">
        <f>IF(AND(Input_Product=Elig!$C208,Elig_MatchAll_Ct&lt;22,$BC208=(Elig_MatchAll_Ct-1),AI208=0),F208,0)</f>
        <v>0</v>
      </c>
      <c r="BL208" s="199">
        <f>IF(AND(Input_Product=Elig!$C208,Elig_MatchAll_Ct&lt;22,$BC208=(Elig_MatchAll_Ct-1),AJ208=0),G208,0)</f>
        <v>0</v>
      </c>
      <c r="BM208" s="199">
        <f>IF(AND(Input_Product=Elig!$C208,Elig_MatchAll_Ct&lt;22,$BC208=(Elig_MatchAll_Ct-1),AK208=0),H208,0)</f>
        <v>0</v>
      </c>
      <c r="BN208" s="199">
        <f>IF(AND(Input_Product=Elig!$C208,Elig_MatchAll_Ct&lt;22,$BC208=(Elig_MatchAll_Ct-1),AL208=0),I208,0)</f>
        <v>0</v>
      </c>
      <c r="BO208" s="199">
        <f>IF(AND(Input_Product=Elig!$C208,Elig_MatchAll_Ct&lt;22,$BC208=(Elig_MatchAll_Ct-1),AM208=0),J208,0)</f>
        <v>0</v>
      </c>
      <c r="BP208" s="199">
        <f>IF(AND(Input_Product=Elig!$C208,Elig_MatchAll_Ct&lt;22,$BC208=(Elig_MatchAll_Ct-1),AN208=0),K208,0)</f>
        <v>0</v>
      </c>
      <c r="BQ208" s="199">
        <f>IF(AND(Input_Product=Elig!$C208,Elig_MatchAll_Ct&lt;22,$BC208=(Elig_MatchAll_Ct-1),AP208=0),L208,0)</f>
        <v>0</v>
      </c>
      <c r="BR208" s="199">
        <f>IF(AND(Input_Product=Elig!$C208,Elig_MatchAll_Ct&lt;22,$BC208=(Elig_MatchAll_Ct-1),AO208=0),M208,0)</f>
        <v>0</v>
      </c>
      <c r="BS208" s="199">
        <f>IF(AND(Input_Product=Elig!$C208,Elig_MatchAll_Ct&lt;22,$BC208=(Elig_MatchAll_Ct-1),AQ208=0),N208,0)</f>
        <v>0</v>
      </c>
      <c r="BT208" s="199">
        <f>IF(AND(Input_Product=Elig!$C208,Elig_MatchAll_Ct&lt;22,$BC208=(Elig_MatchAll_Ct-1),AR208=0),O208,0)</f>
        <v>0</v>
      </c>
      <c r="BU208" s="199">
        <f>IF(AND(Input_Product=Elig!$C208,Elig_MatchAll_Ct&lt;22,$BC208=(Elig_MatchAll_Ct-1),AS208=0),P208,0)</f>
        <v>0</v>
      </c>
      <c r="BV208" s="200">
        <f>IF(AND(Input_Product=Elig!$C208,Elig_MatchAll_Ct&lt;22,$BC208=(Elig_MatchAll_Ct-1),AT208=0),Q208,0)</f>
        <v>0</v>
      </c>
      <c r="BW208" s="201">
        <f>IF(AND(Input_Product=Elig!$C208,Elig_MatchAll_Ct&lt;22,$BC208=(Elig_MatchAll_Ct-1),AU208=0),R208,0)</f>
        <v>0</v>
      </c>
      <c r="BX208" s="202">
        <f>IF(AND(Input_Product=Elig!$C208,Elig_MatchAll_Ct&lt;22,$BC208=(Elig_MatchAll_Ct-1),AU208=0),S208,0)</f>
        <v>0</v>
      </c>
      <c r="BY208" s="201">
        <f>IF(AND(Input_Product=Elig!$C208,Elig_MatchAll_Ct&lt;22,$BC208=(Elig_MatchAll_Ct-1),AV208=0),T208,0)</f>
        <v>0</v>
      </c>
      <c r="BZ208" s="202">
        <f>IF(AND(Input_Product=Elig!$C208,Elig_MatchAll_Ct&lt;22,$BC208=(Elig_MatchAll_Ct-1),AV208=0),U208,0)</f>
        <v>0</v>
      </c>
      <c r="CA208" s="201">
        <f>IF(AND(Input_Product=Elig!$C208,Elig_MatchAll_Ct&lt;22,$BC208=(Elig_MatchAll_Ct-1),AW208=0),V208,0)</f>
        <v>0</v>
      </c>
      <c r="CB208" s="202">
        <f>IF(AND(Input_Product=Elig!$C208,Elig_MatchAll_Ct&lt;22,$BC208=(Elig_MatchAll_Ct-1),AW208=0),W208,0)</f>
        <v>0</v>
      </c>
      <c r="CC208" s="201">
        <f>IF(AND(Input_Product=Elig!$C208,Elig_MatchAll_Ct&lt;22,$BC208=(Elig_MatchAll_Ct-1),AX208=0),X208,0)</f>
        <v>0</v>
      </c>
      <c r="CD208" s="202">
        <f>IF(AND(Input_Product=Elig!$C208,Elig_MatchAll_Ct&lt;22,$BC208=(Elig_MatchAll_Ct-1),AX208=0),Y208,0)</f>
        <v>0</v>
      </c>
      <c r="CE208" s="201">
        <f>IF(AND(Input_LTV&lt;=AE208,Input_Product=Elig!$C208,Elig_MatchAll_Ct&lt;22,$BC208=(Elig_MatchAll_Ct-1),AY208=0),Z208,0)</f>
        <v>0</v>
      </c>
      <c r="CF208" s="202">
        <f>IF(AND(Input_LTV&lt;=AE208,Input_Product=Elig!$C208,Elig_MatchAll_Ct&lt;22,$BC208=(Elig_MatchAll_Ct-1),AY208=0),AA208,0)</f>
        <v>0</v>
      </c>
      <c r="CG208" s="201">
        <f>IF(AND(Input_Product=Elig!$C208,Elig_MatchAll_Ct&lt;22,$BC208=(Elig_MatchAll_Ct-1),AZ208=0),AB208,0)</f>
        <v>0</v>
      </c>
      <c r="CH208" s="202">
        <f>IF(AND(Input_Product=Elig!$C208,Elig_MatchAll_Ct&lt;22,$BC208=(Elig_MatchAll_Ct-1),AZ208=0),AC208,0)</f>
        <v>0</v>
      </c>
      <c r="CI208" s="201">
        <f>IF(AND(Input_Product=Elig!$C208,Elig_MatchAll_Ct&lt;22,$BC208=(Elig_MatchAll_Ct-1),BA208=0),AD208,0)</f>
        <v>0</v>
      </c>
      <c r="CJ208" s="202">
        <f>IF(AND(Input_Product=Elig!$C208,Elig_MatchAll_Ct&lt;22,$BC208=(Elig_MatchAll_Ct-1),BA208=0),AE208,0)</f>
        <v>0</v>
      </c>
    </row>
    <row r="209" spans="2:89" ht="10.15" customHeight="1" x14ac:dyDescent="0.25">
      <c r="B209" s="1912" t="s">
        <v>957</v>
      </c>
      <c r="C209" s="134" t="str">
        <f t="shared" si="56"/>
        <v>NonQM OO</v>
      </c>
      <c r="D209" s="135" t="s">
        <v>3885</v>
      </c>
      <c r="E209" s="135" t="s">
        <v>167</v>
      </c>
      <c r="F209" s="135" t="s">
        <v>331</v>
      </c>
      <c r="G209" s="135" t="s">
        <v>468</v>
      </c>
      <c r="H209" s="135" t="s">
        <v>136</v>
      </c>
      <c r="I209" s="136" t="s">
        <v>16</v>
      </c>
      <c r="J209" s="136" t="s">
        <v>1311</v>
      </c>
      <c r="K209" s="136" t="s">
        <v>1631</v>
      </c>
      <c r="L209" s="221" t="s">
        <v>3920</v>
      </c>
      <c r="M209" s="135" t="s">
        <v>4203</v>
      </c>
      <c r="N209" s="135" t="s">
        <v>82</v>
      </c>
      <c r="O209" s="135" t="s">
        <v>310</v>
      </c>
      <c r="P209" s="135" t="s">
        <v>291</v>
      </c>
      <c r="Q209" s="135" t="s">
        <v>294</v>
      </c>
      <c r="R209" s="135">
        <v>2000000.01</v>
      </c>
      <c r="S209" s="221">
        <v>2500000</v>
      </c>
      <c r="T209" s="135">
        <v>0</v>
      </c>
      <c r="U209" s="135">
        <f t="shared" ref="U209" si="88">S209</f>
        <v>2500000</v>
      </c>
      <c r="V209" s="135">
        <v>0</v>
      </c>
      <c r="W209" s="135">
        <v>55</v>
      </c>
      <c r="X209" s="135">
        <v>0</v>
      </c>
      <c r="Y209" s="135">
        <v>999</v>
      </c>
      <c r="Z209" s="2100">
        <v>680</v>
      </c>
      <c r="AA209" s="2100">
        <v>699</v>
      </c>
      <c r="AB209" s="137">
        <v>9</v>
      </c>
      <c r="AC209" s="137">
        <v>999999</v>
      </c>
      <c r="AD209" s="135">
        <v>0</v>
      </c>
      <c r="AE209" s="221">
        <v>65</v>
      </c>
      <c r="AF209" s="170">
        <v>0</v>
      </c>
      <c r="AG209" s="171">
        <v>1</v>
      </c>
      <c r="AH209" s="171">
        <v>1</v>
      </c>
      <c r="AI209" s="171">
        <v>1</v>
      </c>
      <c r="AJ209" s="171">
        <v>0</v>
      </c>
      <c r="AK209" s="171">
        <v>1</v>
      </c>
      <c r="AL209" s="171">
        <v>1</v>
      </c>
      <c r="AM209" s="171">
        <v>1</v>
      </c>
      <c r="AN209" s="171">
        <v>1</v>
      </c>
      <c r="AO209" s="171">
        <v>1</v>
      </c>
      <c r="AP209" s="171">
        <v>1</v>
      </c>
      <c r="AQ209" s="171">
        <v>1</v>
      </c>
      <c r="AR209" s="171">
        <v>1</v>
      </c>
      <c r="AS209" s="171">
        <v>1</v>
      </c>
      <c r="AT209" s="171">
        <v>1</v>
      </c>
      <c r="AU209" s="171">
        <f t="shared" si="58"/>
        <v>0</v>
      </c>
      <c r="AV209" s="171">
        <f t="shared" si="59"/>
        <v>1</v>
      </c>
      <c r="AW209" s="171">
        <f t="shared" si="60"/>
        <v>1</v>
      </c>
      <c r="AX209" s="171">
        <f t="shared" si="53"/>
        <v>1</v>
      </c>
      <c r="AY209" s="171">
        <f t="shared" si="61"/>
        <v>0</v>
      </c>
      <c r="AZ209" s="171">
        <f t="shared" si="62"/>
        <v>1</v>
      </c>
      <c r="BA209" s="172">
        <f t="shared" si="63"/>
        <v>1</v>
      </c>
      <c r="BB209" s="175">
        <f t="shared" ref="BB209" si="89">SUM(AF209:BA209)</f>
        <v>18</v>
      </c>
      <c r="BC209" s="176">
        <f t="shared" ref="BC209" si="90">SUM(AF209:AZ209)</f>
        <v>17</v>
      </c>
      <c r="BD209" s="176">
        <f t="shared" ref="BD209" si="91">SUM(AG209:BA209)</f>
        <v>18</v>
      </c>
      <c r="BE209" s="240" t="str">
        <f t="shared" si="79"/>
        <v/>
      </c>
      <c r="BH209" s="199">
        <f>IF(AND(Input_Product=Elig!$C209,Elig_MatchAll_Ct&lt;22,$BC209=(Elig_MatchAll_Ct-1),AF209=0),C209,0)</f>
        <v>0</v>
      </c>
      <c r="BI209" s="199">
        <f>IF(AND(Input_Product=Elig!$C209,Elig_MatchAll_Ct&lt;22,$BC209=(Elig_MatchAll_Ct-1),AG209=0),D209,0)</f>
        <v>0</v>
      </c>
      <c r="BJ209" s="199">
        <f>IF(AND(Input_Product=Elig!$C209,Elig_MatchAll_Ct&lt;22,$BC209=(Elig_MatchAll_Ct-1),AH209=0),E209,0)</f>
        <v>0</v>
      </c>
      <c r="BK209" s="199">
        <f>IF(AND(Input_Product=Elig!$C209,Elig_MatchAll_Ct&lt;22,$BC209=(Elig_MatchAll_Ct-1),AI209=0),F209,0)</f>
        <v>0</v>
      </c>
      <c r="BL209" s="199">
        <f>IF(AND(Input_Product=Elig!$C209,Elig_MatchAll_Ct&lt;22,$BC209=(Elig_MatchAll_Ct-1),AJ209=0),G209,0)</f>
        <v>0</v>
      </c>
      <c r="BM209" s="199">
        <f>IF(AND(Input_Product=Elig!$C209,Elig_MatchAll_Ct&lt;22,$BC209=(Elig_MatchAll_Ct-1),AK209=0),H209,0)</f>
        <v>0</v>
      </c>
      <c r="BN209" s="199">
        <f>IF(AND(Input_Product=Elig!$C209,Elig_MatchAll_Ct&lt;22,$BC209=(Elig_MatchAll_Ct-1),AL209=0),I209,0)</f>
        <v>0</v>
      </c>
      <c r="BO209" s="199">
        <f>IF(AND(Input_Product=Elig!$C209,Elig_MatchAll_Ct&lt;22,$BC209=(Elig_MatchAll_Ct-1),AM209=0),J209,0)</f>
        <v>0</v>
      </c>
      <c r="BP209" s="199">
        <f>IF(AND(Input_Product=Elig!$C209,Elig_MatchAll_Ct&lt;22,$BC209=(Elig_MatchAll_Ct-1),AN209=0),K209,0)</f>
        <v>0</v>
      </c>
      <c r="BQ209" s="199">
        <f>IF(AND(Input_Product=Elig!$C209,Elig_MatchAll_Ct&lt;22,$BC209=(Elig_MatchAll_Ct-1),AP209=0),L209,0)</f>
        <v>0</v>
      </c>
      <c r="BR209" s="199">
        <f>IF(AND(Input_Product=Elig!$C209,Elig_MatchAll_Ct&lt;22,$BC209=(Elig_MatchAll_Ct-1),AO209=0),M209,0)</f>
        <v>0</v>
      </c>
      <c r="BS209" s="199">
        <f>IF(AND(Input_Product=Elig!$C209,Elig_MatchAll_Ct&lt;22,$BC209=(Elig_MatchAll_Ct-1),AQ209=0),N209,0)</f>
        <v>0</v>
      </c>
      <c r="BT209" s="199">
        <f>IF(AND(Input_Product=Elig!$C209,Elig_MatchAll_Ct&lt;22,$BC209=(Elig_MatchAll_Ct-1),AR209=0),O209,0)</f>
        <v>0</v>
      </c>
      <c r="BU209" s="199">
        <f>IF(AND(Input_Product=Elig!$C209,Elig_MatchAll_Ct&lt;22,$BC209=(Elig_MatchAll_Ct-1),AS209=0),P209,0)</f>
        <v>0</v>
      </c>
      <c r="BV209" s="200">
        <f>IF(AND(Input_Product=Elig!$C209,Elig_MatchAll_Ct&lt;22,$BC209=(Elig_MatchAll_Ct-1),AT209=0),Q209,0)</f>
        <v>0</v>
      </c>
      <c r="BW209" s="201">
        <f>IF(AND(Input_Product=Elig!$C209,Elig_MatchAll_Ct&lt;22,$BC209=(Elig_MatchAll_Ct-1),AU209=0),R209,0)</f>
        <v>0</v>
      </c>
      <c r="BX209" s="202">
        <f>IF(AND(Input_Product=Elig!$C209,Elig_MatchAll_Ct&lt;22,$BC209=(Elig_MatchAll_Ct-1),AU209=0),S209,0)</f>
        <v>0</v>
      </c>
      <c r="BY209" s="201">
        <f>IF(AND(Input_Product=Elig!$C209,Elig_MatchAll_Ct&lt;22,$BC209=(Elig_MatchAll_Ct-1),AV209=0),T209,0)</f>
        <v>0</v>
      </c>
      <c r="BZ209" s="202">
        <f>IF(AND(Input_Product=Elig!$C209,Elig_MatchAll_Ct&lt;22,$BC209=(Elig_MatchAll_Ct-1),AV209=0),U209,0)</f>
        <v>0</v>
      </c>
      <c r="CA209" s="201">
        <f>IF(AND(Input_Product=Elig!$C209,Elig_MatchAll_Ct&lt;22,$BC209=(Elig_MatchAll_Ct-1),AW209=0),V209,0)</f>
        <v>0</v>
      </c>
      <c r="CB209" s="202">
        <f>IF(AND(Input_Product=Elig!$C209,Elig_MatchAll_Ct&lt;22,$BC209=(Elig_MatchAll_Ct-1),AW209=0),W209,0)</f>
        <v>0</v>
      </c>
      <c r="CC209" s="201">
        <f>IF(AND(Input_Product=Elig!$C209,Elig_MatchAll_Ct&lt;22,$BC209=(Elig_MatchAll_Ct-1),AX209=0),X209,0)</f>
        <v>0</v>
      </c>
      <c r="CD209" s="202">
        <f>IF(AND(Input_Product=Elig!$C209,Elig_MatchAll_Ct&lt;22,$BC209=(Elig_MatchAll_Ct-1),AX209=0),Y209,0)</f>
        <v>0</v>
      </c>
      <c r="CE209" s="201">
        <f>IF(AND(Input_LTV&lt;=AE209,Input_Product=Elig!$C209,Elig_MatchAll_Ct&lt;22,$BC209=(Elig_MatchAll_Ct-1),AY209=0),Z209,0)</f>
        <v>0</v>
      </c>
      <c r="CF209" s="202">
        <f>IF(AND(Input_LTV&lt;=AE209,Input_Product=Elig!$C209,Elig_MatchAll_Ct&lt;22,$BC209=(Elig_MatchAll_Ct-1),AY209=0),AA209,0)</f>
        <v>0</v>
      </c>
      <c r="CG209" s="201">
        <f>IF(AND(Input_Product=Elig!$C209,Elig_MatchAll_Ct&lt;22,$BC209=(Elig_MatchAll_Ct-1),AZ209=0),AB209,0)</f>
        <v>0</v>
      </c>
      <c r="CH209" s="202">
        <f>IF(AND(Input_Product=Elig!$C209,Elig_MatchAll_Ct&lt;22,$BC209=(Elig_MatchAll_Ct-1),AZ209=0),AC209,0)</f>
        <v>0</v>
      </c>
      <c r="CI209" s="201">
        <f>IF(AND(Input_Product=Elig!$C209,Elig_MatchAll_Ct&lt;22,$BC209=(Elig_MatchAll_Ct-1),BA209=0),AD209,0)</f>
        <v>0</v>
      </c>
      <c r="CJ209" s="202">
        <f>IF(AND(Input_Product=Elig!$C209,Elig_MatchAll_Ct&lt;22,$BC209=(Elig_MatchAll_Ct-1),BA209=0),AE209,0)</f>
        <v>0</v>
      </c>
    </row>
    <row r="210" spans="2:89" ht="10.15" customHeight="1" x14ac:dyDescent="0.25">
      <c r="B210" s="1912" t="s">
        <v>958</v>
      </c>
      <c r="C210" s="134" t="str">
        <f t="shared" si="56"/>
        <v>NonQM OO</v>
      </c>
      <c r="D210" s="135" t="s">
        <v>3885</v>
      </c>
      <c r="E210" s="135" t="s">
        <v>167</v>
      </c>
      <c r="F210" s="135" t="s">
        <v>331</v>
      </c>
      <c r="G210" s="135" t="s">
        <v>468</v>
      </c>
      <c r="H210" s="135" t="s">
        <v>136</v>
      </c>
      <c r="I210" s="136" t="s">
        <v>16</v>
      </c>
      <c r="J210" s="136" t="s">
        <v>1311</v>
      </c>
      <c r="K210" s="136" t="s">
        <v>1631</v>
      </c>
      <c r="L210" s="221" t="s">
        <v>3920</v>
      </c>
      <c r="M210" s="135" t="s">
        <v>4203</v>
      </c>
      <c r="N210" s="135" t="s">
        <v>82</v>
      </c>
      <c r="O210" s="135" t="s">
        <v>310</v>
      </c>
      <c r="P210" s="135" t="s">
        <v>291</v>
      </c>
      <c r="Q210" s="135" t="s">
        <v>294</v>
      </c>
      <c r="R210" s="135">
        <v>2000000.01</v>
      </c>
      <c r="S210" s="221">
        <v>2500000</v>
      </c>
      <c r="T210" s="135">
        <v>0</v>
      </c>
      <c r="U210" s="135">
        <f t="shared" si="87"/>
        <v>2500000</v>
      </c>
      <c r="V210" s="135">
        <v>0</v>
      </c>
      <c r="W210" s="135">
        <v>55</v>
      </c>
      <c r="X210" s="135">
        <v>0</v>
      </c>
      <c r="Y210" s="135">
        <v>999</v>
      </c>
      <c r="Z210" s="2100">
        <v>660</v>
      </c>
      <c r="AA210" s="2100">
        <v>679</v>
      </c>
      <c r="AB210" s="137">
        <v>9</v>
      </c>
      <c r="AC210" s="137">
        <v>999999</v>
      </c>
      <c r="AD210" s="135">
        <v>0</v>
      </c>
      <c r="AE210" s="221">
        <v>65</v>
      </c>
      <c r="AF210" s="170">
        <v>0</v>
      </c>
      <c r="AG210" s="171">
        <v>1</v>
      </c>
      <c r="AH210" s="171">
        <v>1</v>
      </c>
      <c r="AI210" s="171">
        <v>1</v>
      </c>
      <c r="AJ210" s="171">
        <v>0</v>
      </c>
      <c r="AK210" s="171">
        <v>1</v>
      </c>
      <c r="AL210" s="171">
        <v>1</v>
      </c>
      <c r="AM210" s="171">
        <v>1</v>
      </c>
      <c r="AN210" s="171">
        <v>1</v>
      </c>
      <c r="AO210" s="171">
        <v>1</v>
      </c>
      <c r="AP210" s="171">
        <v>1</v>
      </c>
      <c r="AQ210" s="171">
        <v>1</v>
      </c>
      <c r="AR210" s="171">
        <v>1</v>
      </c>
      <c r="AS210" s="171">
        <v>1</v>
      </c>
      <c r="AT210" s="171">
        <v>1</v>
      </c>
      <c r="AU210" s="171">
        <f t="shared" si="58"/>
        <v>0</v>
      </c>
      <c r="AV210" s="171">
        <f t="shared" si="59"/>
        <v>1</v>
      </c>
      <c r="AW210" s="171">
        <f t="shared" si="60"/>
        <v>1</v>
      </c>
      <c r="AX210" s="171">
        <f t="shared" si="53"/>
        <v>1</v>
      </c>
      <c r="AY210" s="171">
        <f t="shared" si="61"/>
        <v>0</v>
      </c>
      <c r="AZ210" s="171">
        <f t="shared" si="62"/>
        <v>1</v>
      </c>
      <c r="BA210" s="172">
        <f t="shared" si="63"/>
        <v>1</v>
      </c>
      <c r="BB210" s="175">
        <f t="shared" si="72"/>
        <v>18</v>
      </c>
      <c r="BC210" s="176">
        <f t="shared" si="73"/>
        <v>17</v>
      </c>
      <c r="BD210" s="176">
        <f t="shared" si="74"/>
        <v>18</v>
      </c>
      <c r="BE210" s="240" t="str">
        <f t="shared" si="79"/>
        <v/>
      </c>
      <c r="BH210" s="214">
        <f>IF(AND(Input_Product=Elig!$C210,Elig_MatchAll_Ct&lt;22,$BC210=(Elig_MatchAll_Ct-1),AF210=0),C210,0)</f>
        <v>0</v>
      </c>
      <c r="BI210" s="214">
        <f>IF(AND(Input_Product=Elig!$C210,Elig_MatchAll_Ct&lt;22,$BC210=(Elig_MatchAll_Ct-1),AG210=0),D210,0)</f>
        <v>0</v>
      </c>
      <c r="BJ210" s="214">
        <f>IF(AND(Input_Product=Elig!$C210,Elig_MatchAll_Ct&lt;22,$BC210=(Elig_MatchAll_Ct-1),AH210=0),E210,0)</f>
        <v>0</v>
      </c>
      <c r="BK210" s="214">
        <f>IF(AND(Input_Product=Elig!$C210,Elig_MatchAll_Ct&lt;22,$BC210=(Elig_MatchAll_Ct-1),AI210=0),F210,0)</f>
        <v>0</v>
      </c>
      <c r="BL210" s="214">
        <f>IF(AND(Input_Product=Elig!$C210,Elig_MatchAll_Ct&lt;22,$BC210=(Elig_MatchAll_Ct-1),AJ210=0),G210,0)</f>
        <v>0</v>
      </c>
      <c r="BM210" s="214">
        <f>IF(AND(Input_Product=Elig!$C210,Elig_MatchAll_Ct&lt;22,$BC210=(Elig_MatchAll_Ct-1),AK210=0),H210,0)</f>
        <v>0</v>
      </c>
      <c r="BN210" s="214">
        <f>IF(AND(Input_Product=Elig!$C210,Elig_MatchAll_Ct&lt;22,$BC210=(Elig_MatchAll_Ct-1),AL210=0),I210,0)</f>
        <v>0</v>
      </c>
      <c r="BO210" s="214">
        <f>IF(AND(Input_Product=Elig!$C210,Elig_MatchAll_Ct&lt;22,$BC210=(Elig_MatchAll_Ct-1),AM210=0),J210,0)</f>
        <v>0</v>
      </c>
      <c r="BP210" s="214">
        <f>IF(AND(Input_Product=Elig!$C210,Elig_MatchAll_Ct&lt;22,$BC210=(Elig_MatchAll_Ct-1),AN210=0),K210,0)</f>
        <v>0</v>
      </c>
      <c r="BQ210" s="214">
        <f>IF(AND(Input_Product=Elig!$C210,Elig_MatchAll_Ct&lt;22,$BC210=(Elig_MatchAll_Ct-1),AP210=0),L210,0)</f>
        <v>0</v>
      </c>
      <c r="BR210" s="214">
        <f>IF(AND(Input_Product=Elig!$C210,Elig_MatchAll_Ct&lt;22,$BC210=(Elig_MatchAll_Ct-1),AO210=0),M210,0)</f>
        <v>0</v>
      </c>
      <c r="BS210" s="214">
        <f>IF(AND(Input_Product=Elig!$C210,Elig_MatchAll_Ct&lt;22,$BC210=(Elig_MatchAll_Ct-1),AQ210=0),N210,0)</f>
        <v>0</v>
      </c>
      <c r="BT210" s="214">
        <f>IF(AND(Input_Product=Elig!$C210,Elig_MatchAll_Ct&lt;22,$BC210=(Elig_MatchAll_Ct-1),AR210=0),O210,0)</f>
        <v>0</v>
      </c>
      <c r="BU210" s="214">
        <f>IF(AND(Input_Product=Elig!$C210,Elig_MatchAll_Ct&lt;22,$BC210=(Elig_MatchAll_Ct-1),AS210=0),P210,0)</f>
        <v>0</v>
      </c>
      <c r="BV210" s="215">
        <f>IF(AND(Input_Product=Elig!$C210,Elig_MatchAll_Ct&lt;22,$BC210=(Elig_MatchAll_Ct-1),AT210=0),Q210,0)</f>
        <v>0</v>
      </c>
      <c r="BW210" s="311">
        <f>IF(AND(Input_Product=Elig!$C210,Elig_MatchAll_Ct&lt;22,$BC210=(Elig_MatchAll_Ct-1),AU210=0),R210,0)</f>
        <v>0</v>
      </c>
      <c r="BX210" s="312">
        <f>IF(AND(Input_Product=Elig!$C210,Elig_MatchAll_Ct&lt;22,$BC210=(Elig_MatchAll_Ct-1),AU210=0),S210,0)</f>
        <v>0</v>
      </c>
      <c r="BY210" s="311">
        <f>IF(AND(Input_Product=Elig!$C210,Elig_MatchAll_Ct&lt;22,$BC210=(Elig_MatchAll_Ct-1),AV210=0),T210,0)</f>
        <v>0</v>
      </c>
      <c r="BZ210" s="312">
        <f>IF(AND(Input_Product=Elig!$C210,Elig_MatchAll_Ct&lt;22,$BC210=(Elig_MatchAll_Ct-1),AV210=0),U210,0)</f>
        <v>0</v>
      </c>
      <c r="CA210" s="311">
        <f>IF(AND(Input_Product=Elig!$C210,Elig_MatchAll_Ct&lt;22,$BC210=(Elig_MatchAll_Ct-1),AW210=0),V210,0)</f>
        <v>0</v>
      </c>
      <c r="CB210" s="312">
        <f>IF(AND(Input_Product=Elig!$C210,Elig_MatchAll_Ct&lt;22,$BC210=(Elig_MatchAll_Ct-1),AW210=0),W210,0)</f>
        <v>0</v>
      </c>
      <c r="CC210" s="311">
        <f>IF(AND(Input_Product=Elig!$C210,Elig_MatchAll_Ct&lt;22,$BC210=(Elig_MatchAll_Ct-1),AX210=0),X210,0)</f>
        <v>0</v>
      </c>
      <c r="CD210" s="312">
        <f>IF(AND(Input_Product=Elig!$C210,Elig_MatchAll_Ct&lt;22,$BC210=(Elig_MatchAll_Ct-1),AX210=0),Y210,0)</f>
        <v>0</v>
      </c>
      <c r="CE210" s="311">
        <f>IF(AND(Input_LTV&lt;=AE210,Input_Product=Elig!$C210,Elig_MatchAll_Ct&lt;22,$BC210=(Elig_MatchAll_Ct-1),AY210=0),Z210,0)</f>
        <v>0</v>
      </c>
      <c r="CF210" s="312">
        <f>IF(AND(Input_LTV&lt;=AE210,Input_Product=Elig!$C210,Elig_MatchAll_Ct&lt;22,$BC210=(Elig_MatchAll_Ct-1),AY210=0),AA210,0)</f>
        <v>0</v>
      </c>
      <c r="CG210" s="311">
        <f>IF(AND(Input_Product=Elig!$C210,Elig_MatchAll_Ct&lt;22,$BC210=(Elig_MatchAll_Ct-1),AZ210=0),AB210,0)</f>
        <v>0</v>
      </c>
      <c r="CH210" s="312">
        <f>IF(AND(Input_Product=Elig!$C210,Elig_MatchAll_Ct&lt;22,$BC210=(Elig_MatchAll_Ct-1),AZ210=0),AC210,0)</f>
        <v>0</v>
      </c>
      <c r="CI210" s="311">
        <f>IF(AND(Input_Product=Elig!$C210,Elig_MatchAll_Ct&lt;22,$BC210=(Elig_MatchAll_Ct-1),BA210=0),AD210,0)</f>
        <v>0</v>
      </c>
      <c r="CJ210" s="312">
        <f>IF(AND(Input_Product=Elig!$C210,Elig_MatchAll_Ct&lt;22,$BC210=(Elig_MatchAll_Ct-1),BA210=0),AE210,0)</f>
        <v>0</v>
      </c>
      <c r="CK210" s="514" t="str">
        <f>Input_Product</f>
        <v>Second OO</v>
      </c>
    </row>
    <row r="211" spans="2:89" ht="10.15" customHeight="1" x14ac:dyDescent="0.25">
      <c r="B211" s="1912" t="s">
        <v>959</v>
      </c>
      <c r="C211" s="141" t="str">
        <f t="shared" si="56"/>
        <v>NonQM OO</v>
      </c>
      <c r="D211" s="142" t="s">
        <v>3885</v>
      </c>
      <c r="E211" s="143" t="s">
        <v>167</v>
      </c>
      <c r="F211" s="143" t="s">
        <v>331</v>
      </c>
      <c r="G211" s="143" t="s">
        <v>179</v>
      </c>
      <c r="H211" s="143" t="s">
        <v>136</v>
      </c>
      <c r="I211" s="142" t="s">
        <v>274</v>
      </c>
      <c r="J211" s="142" t="s">
        <v>1311</v>
      </c>
      <c r="K211" s="142" t="s">
        <v>1631</v>
      </c>
      <c r="L211" s="2131" t="s">
        <v>3920</v>
      </c>
      <c r="M211" s="143" t="s">
        <v>4203</v>
      </c>
      <c r="N211" s="143" t="s">
        <v>82</v>
      </c>
      <c r="O211" s="143" t="s">
        <v>310</v>
      </c>
      <c r="P211" s="143" t="s">
        <v>291</v>
      </c>
      <c r="Q211" s="143" t="s">
        <v>294</v>
      </c>
      <c r="R211" s="142">
        <v>2000000.01</v>
      </c>
      <c r="S211" s="320">
        <v>2500000</v>
      </c>
      <c r="T211" s="142">
        <v>0</v>
      </c>
      <c r="U211" s="142">
        <v>0</v>
      </c>
      <c r="V211" s="142">
        <v>0</v>
      </c>
      <c r="W211" s="142">
        <v>55</v>
      </c>
      <c r="X211" s="142">
        <v>0</v>
      </c>
      <c r="Y211" s="142">
        <v>999</v>
      </c>
      <c r="Z211" s="144">
        <v>720</v>
      </c>
      <c r="AA211" s="144">
        <v>999</v>
      </c>
      <c r="AB211" s="144">
        <v>9</v>
      </c>
      <c r="AC211" s="144">
        <v>999999</v>
      </c>
      <c r="AD211" s="142">
        <v>0</v>
      </c>
      <c r="AE211" s="320">
        <v>80</v>
      </c>
      <c r="AF211" s="170">
        <v>0</v>
      </c>
      <c r="AG211" s="171">
        <v>1</v>
      </c>
      <c r="AH211" s="171">
        <v>1</v>
      </c>
      <c r="AI211" s="171">
        <v>1</v>
      </c>
      <c r="AJ211" s="171">
        <v>0</v>
      </c>
      <c r="AK211" s="171">
        <v>1</v>
      </c>
      <c r="AL211" s="171">
        <v>0</v>
      </c>
      <c r="AM211" s="171">
        <v>1</v>
      </c>
      <c r="AN211" s="171">
        <v>1</v>
      </c>
      <c r="AO211" s="171">
        <v>1</v>
      </c>
      <c r="AP211" s="171">
        <v>1</v>
      </c>
      <c r="AQ211" s="171">
        <v>1</v>
      </c>
      <c r="AR211" s="171">
        <v>1</v>
      </c>
      <c r="AS211" s="171">
        <v>1</v>
      </c>
      <c r="AT211" s="171">
        <v>1</v>
      </c>
      <c r="AU211" s="171">
        <f t="shared" si="58"/>
        <v>0</v>
      </c>
      <c r="AV211" s="171">
        <f t="shared" si="59"/>
        <v>0</v>
      </c>
      <c r="AW211" s="171">
        <f t="shared" si="60"/>
        <v>1</v>
      </c>
      <c r="AX211" s="171">
        <f t="shared" si="53"/>
        <v>1</v>
      </c>
      <c r="AY211" s="171">
        <f t="shared" si="61"/>
        <v>1</v>
      </c>
      <c r="AZ211" s="171">
        <f t="shared" si="62"/>
        <v>1</v>
      </c>
      <c r="BA211" s="172">
        <f t="shared" si="63"/>
        <v>1</v>
      </c>
      <c r="BB211" s="175">
        <f t="shared" si="72"/>
        <v>17</v>
      </c>
      <c r="BC211" s="176">
        <f t="shared" si="73"/>
        <v>16</v>
      </c>
      <c r="BD211" s="176">
        <f t="shared" si="74"/>
        <v>17</v>
      </c>
      <c r="BE211" s="240" t="str">
        <f t="shared" si="79"/>
        <v/>
      </c>
      <c r="BH211" s="210">
        <f>IF(AND(Input_Product=Elig!$C211,Elig_MatchAll_Ct&lt;22,$BC211=(Elig_MatchAll_Ct-1),AF211=0),C211,0)</f>
        <v>0</v>
      </c>
      <c r="BI211" s="210">
        <f>IF(AND(Input_Product=Elig!$C211,Elig_MatchAll_Ct&lt;22,$BC211=(Elig_MatchAll_Ct-1),AG211=0),D211,0)</f>
        <v>0</v>
      </c>
      <c r="BJ211" s="210">
        <f>IF(AND(Input_Product=Elig!$C211,Elig_MatchAll_Ct&lt;22,$BC211=(Elig_MatchAll_Ct-1),AH211=0),E211,0)</f>
        <v>0</v>
      </c>
      <c r="BK211" s="210">
        <f>IF(AND(Input_Product=Elig!$C211,Elig_MatchAll_Ct&lt;22,$BC211=(Elig_MatchAll_Ct-1),AI211=0),F211,0)</f>
        <v>0</v>
      </c>
      <c r="BL211" s="210">
        <f>IF(AND(Input_Product=Elig!$C211,Elig_MatchAll_Ct&lt;22,$BC211=(Elig_MatchAll_Ct-1),AJ211=0),G211,0)</f>
        <v>0</v>
      </c>
      <c r="BM211" s="210">
        <f>IF(AND(Input_Product=Elig!$C211,Elig_MatchAll_Ct&lt;22,$BC211=(Elig_MatchAll_Ct-1),AK211=0),H211,0)</f>
        <v>0</v>
      </c>
      <c r="BN211" s="210">
        <f>IF(AND(Input_Product=Elig!$C211,Elig_MatchAll_Ct&lt;22,$BC211=(Elig_MatchAll_Ct-1),AL211=0),I211,0)</f>
        <v>0</v>
      </c>
      <c r="BO211" s="210">
        <f>IF(AND(Input_Product=Elig!$C211,Elig_MatchAll_Ct&lt;22,$BC211=(Elig_MatchAll_Ct-1),AM211=0),J211,0)</f>
        <v>0</v>
      </c>
      <c r="BP211" s="210">
        <f>IF(AND(Input_Product=Elig!$C211,Elig_MatchAll_Ct&lt;22,$BC211=(Elig_MatchAll_Ct-1),AN211=0),K211,0)</f>
        <v>0</v>
      </c>
      <c r="BQ211" s="210">
        <f>IF(AND(Input_Product=Elig!$C211,Elig_MatchAll_Ct&lt;22,$BC211=(Elig_MatchAll_Ct-1),AP211=0),L211,0)</f>
        <v>0</v>
      </c>
      <c r="BR211" s="210">
        <f>IF(AND(Input_Product=Elig!$C211,Elig_MatchAll_Ct&lt;22,$BC211=(Elig_MatchAll_Ct-1),AO211=0),M211,0)</f>
        <v>0</v>
      </c>
      <c r="BS211" s="210">
        <f>IF(AND(Input_Product=Elig!$C211,Elig_MatchAll_Ct&lt;22,$BC211=(Elig_MatchAll_Ct-1),AQ211=0),N211,0)</f>
        <v>0</v>
      </c>
      <c r="BT211" s="210">
        <f>IF(AND(Input_Product=Elig!$C211,Elig_MatchAll_Ct&lt;22,$BC211=(Elig_MatchAll_Ct-1),AR211=0),O211,0)</f>
        <v>0</v>
      </c>
      <c r="BU211" s="210">
        <f>IF(AND(Input_Product=Elig!$C211,Elig_MatchAll_Ct&lt;22,$BC211=(Elig_MatchAll_Ct-1),AS211=0),P211,0)</f>
        <v>0</v>
      </c>
      <c r="BV211" s="211">
        <f>IF(AND(Input_Product=Elig!$C211,Elig_MatchAll_Ct&lt;22,$BC211=(Elig_MatchAll_Ct-1),AT211=0),Q211,0)</f>
        <v>0</v>
      </c>
      <c r="BW211" s="212">
        <f>IF(AND(Input_Product=Elig!$C211,Elig_MatchAll_Ct&lt;22,$BC211=(Elig_MatchAll_Ct-1),AU211=0),R211,0)</f>
        <v>0</v>
      </c>
      <c r="BX211" s="213">
        <f>IF(AND(Input_Product=Elig!$C211,Elig_MatchAll_Ct&lt;22,$BC211=(Elig_MatchAll_Ct-1),AU211=0),S211,0)</f>
        <v>0</v>
      </c>
      <c r="BY211" s="212">
        <f>IF(AND(Input_Product=Elig!$C211,Elig_MatchAll_Ct&lt;22,$BC211=(Elig_MatchAll_Ct-1),AV211=0),T211,0)</f>
        <v>0</v>
      </c>
      <c r="BZ211" s="213">
        <f>IF(AND(Input_Product=Elig!$C211,Elig_MatchAll_Ct&lt;22,$BC211=(Elig_MatchAll_Ct-1),AV211=0),U211,0)</f>
        <v>0</v>
      </c>
      <c r="CA211" s="212">
        <f>IF(AND(Input_Product=Elig!$C211,Elig_MatchAll_Ct&lt;22,$BC211=(Elig_MatchAll_Ct-1),AW211=0),V211,0)</f>
        <v>0</v>
      </c>
      <c r="CB211" s="213">
        <f>IF(AND(Input_Product=Elig!$C211,Elig_MatchAll_Ct&lt;22,$BC211=(Elig_MatchAll_Ct-1),AW211=0),W211,0)</f>
        <v>0</v>
      </c>
      <c r="CC211" s="212">
        <f>IF(AND(Input_Product=Elig!$C211,Elig_MatchAll_Ct&lt;22,$BC211=(Elig_MatchAll_Ct-1),AX211=0),X211,0)</f>
        <v>0</v>
      </c>
      <c r="CD211" s="213">
        <f>IF(AND(Input_Product=Elig!$C211,Elig_MatchAll_Ct&lt;22,$BC211=(Elig_MatchAll_Ct-1),AX211=0),Y211,0)</f>
        <v>0</v>
      </c>
      <c r="CE211" s="212">
        <f>IF(AND(Input_LTV&lt;=AE211,Input_Product=Elig!$C211,Elig_MatchAll_Ct&lt;22,$BC211=(Elig_MatchAll_Ct-1),AY211=0),Z211,0)</f>
        <v>0</v>
      </c>
      <c r="CF211" s="213">
        <f>IF(AND(Input_LTV&lt;=AE211,Input_Product=Elig!$C211,Elig_MatchAll_Ct&lt;22,$BC211=(Elig_MatchAll_Ct-1),AY211=0),AA211,0)</f>
        <v>0</v>
      </c>
      <c r="CG211" s="212">
        <f>IF(AND(Input_Product=Elig!$C211,Elig_MatchAll_Ct&lt;22,$BC211=(Elig_MatchAll_Ct-1),AZ211=0),AB211,0)</f>
        <v>0</v>
      </c>
      <c r="CH211" s="213">
        <f>IF(AND(Input_Product=Elig!$C211,Elig_MatchAll_Ct&lt;22,$BC211=(Elig_MatchAll_Ct-1),AZ211=0),AC211,0)</f>
        <v>0</v>
      </c>
      <c r="CI211" s="212">
        <f>IF(AND(Input_Product=Elig!$C211,Elig_MatchAll_Ct&lt;22,$BC211=(Elig_MatchAll_Ct-1),BA211=0),AD211,0)</f>
        <v>0</v>
      </c>
      <c r="CJ211" s="213">
        <f>IF(AND(Input_Product=Elig!$C211,Elig_MatchAll_Ct&lt;22,$BC211=(Elig_MatchAll_Ct-1),BA211=0),AE211,0)</f>
        <v>0</v>
      </c>
    </row>
    <row r="212" spans="2:89" ht="10.15" customHeight="1" x14ac:dyDescent="0.25">
      <c r="B212" s="1912" t="s">
        <v>960</v>
      </c>
      <c r="C212" s="134" t="str">
        <f t="shared" si="56"/>
        <v>NonQM OO</v>
      </c>
      <c r="D212" s="135" t="s">
        <v>3885</v>
      </c>
      <c r="E212" s="135" t="s">
        <v>167</v>
      </c>
      <c r="F212" s="135" t="s">
        <v>331</v>
      </c>
      <c r="G212" s="135" t="s">
        <v>179</v>
      </c>
      <c r="H212" s="135" t="s">
        <v>136</v>
      </c>
      <c r="I212" s="136" t="s">
        <v>274</v>
      </c>
      <c r="J212" s="136" t="s">
        <v>1311</v>
      </c>
      <c r="K212" s="136" t="s">
        <v>1631</v>
      </c>
      <c r="L212" s="221" t="s">
        <v>3920</v>
      </c>
      <c r="M212" s="135" t="s">
        <v>4203</v>
      </c>
      <c r="N212" s="135" t="s">
        <v>82</v>
      </c>
      <c r="O212" s="135" t="s">
        <v>310</v>
      </c>
      <c r="P212" s="135" t="s">
        <v>291</v>
      </c>
      <c r="Q212" s="135" t="s">
        <v>294</v>
      </c>
      <c r="R212" s="135">
        <v>2000000.01</v>
      </c>
      <c r="S212" s="221">
        <v>2500000</v>
      </c>
      <c r="T212" s="135">
        <v>0</v>
      </c>
      <c r="U212" s="135">
        <v>0</v>
      </c>
      <c r="V212" s="135">
        <v>0</v>
      </c>
      <c r="W212" s="135">
        <v>55</v>
      </c>
      <c r="X212" s="135">
        <v>0</v>
      </c>
      <c r="Y212" s="135">
        <v>999</v>
      </c>
      <c r="Z212" s="137">
        <v>700</v>
      </c>
      <c r="AA212" s="137">
        <v>719</v>
      </c>
      <c r="AB212" s="137">
        <v>9</v>
      </c>
      <c r="AC212" s="137">
        <v>999999</v>
      </c>
      <c r="AD212" s="135">
        <v>0</v>
      </c>
      <c r="AE212" s="221">
        <v>75</v>
      </c>
      <c r="AF212" s="170">
        <v>0</v>
      </c>
      <c r="AG212" s="171">
        <v>1</v>
      </c>
      <c r="AH212" s="171">
        <v>1</v>
      </c>
      <c r="AI212" s="171">
        <v>1</v>
      </c>
      <c r="AJ212" s="171">
        <v>0</v>
      </c>
      <c r="AK212" s="171">
        <v>1</v>
      </c>
      <c r="AL212" s="171">
        <v>0</v>
      </c>
      <c r="AM212" s="171">
        <v>1</v>
      </c>
      <c r="AN212" s="171">
        <v>1</v>
      </c>
      <c r="AO212" s="171">
        <v>1</v>
      </c>
      <c r="AP212" s="171">
        <v>1</v>
      </c>
      <c r="AQ212" s="171">
        <v>1</v>
      </c>
      <c r="AR212" s="171">
        <v>1</v>
      </c>
      <c r="AS212" s="171">
        <v>1</v>
      </c>
      <c r="AT212" s="171">
        <v>1</v>
      </c>
      <c r="AU212" s="171">
        <f t="shared" si="58"/>
        <v>0</v>
      </c>
      <c r="AV212" s="171">
        <f t="shared" si="59"/>
        <v>0</v>
      </c>
      <c r="AW212" s="171">
        <f t="shared" si="60"/>
        <v>1</v>
      </c>
      <c r="AX212" s="171">
        <f t="shared" si="53"/>
        <v>1</v>
      </c>
      <c r="AY212" s="171">
        <f t="shared" si="61"/>
        <v>0</v>
      </c>
      <c r="AZ212" s="171">
        <f t="shared" si="62"/>
        <v>1</v>
      </c>
      <c r="BA212" s="172">
        <f t="shared" si="63"/>
        <v>1</v>
      </c>
      <c r="BB212" s="175">
        <f t="shared" si="72"/>
        <v>16</v>
      </c>
      <c r="BC212" s="176">
        <f t="shared" si="73"/>
        <v>15</v>
      </c>
      <c r="BD212" s="176">
        <f t="shared" si="74"/>
        <v>16</v>
      </c>
      <c r="BE212" s="240" t="str">
        <f t="shared" si="79"/>
        <v/>
      </c>
      <c r="BH212" s="199">
        <f>IF(AND(Input_Product=Elig!$C212,Elig_MatchAll_Ct&lt;22,$BC212=(Elig_MatchAll_Ct-1),AF212=0),C212,0)</f>
        <v>0</v>
      </c>
      <c r="BI212" s="199">
        <f>IF(AND(Input_Product=Elig!$C212,Elig_MatchAll_Ct&lt;22,$BC212=(Elig_MatchAll_Ct-1),AG212=0),D212,0)</f>
        <v>0</v>
      </c>
      <c r="BJ212" s="199">
        <f>IF(AND(Input_Product=Elig!$C212,Elig_MatchAll_Ct&lt;22,$BC212=(Elig_MatchAll_Ct-1),AH212=0),E212,0)</f>
        <v>0</v>
      </c>
      <c r="BK212" s="199">
        <f>IF(AND(Input_Product=Elig!$C212,Elig_MatchAll_Ct&lt;22,$BC212=(Elig_MatchAll_Ct-1),AI212=0),F212,0)</f>
        <v>0</v>
      </c>
      <c r="BL212" s="199">
        <f>IF(AND(Input_Product=Elig!$C212,Elig_MatchAll_Ct&lt;22,$BC212=(Elig_MatchAll_Ct-1),AJ212=0),G212,0)</f>
        <v>0</v>
      </c>
      <c r="BM212" s="199">
        <f>IF(AND(Input_Product=Elig!$C212,Elig_MatchAll_Ct&lt;22,$BC212=(Elig_MatchAll_Ct-1),AK212=0),H212,0)</f>
        <v>0</v>
      </c>
      <c r="BN212" s="199">
        <f>IF(AND(Input_Product=Elig!$C212,Elig_MatchAll_Ct&lt;22,$BC212=(Elig_MatchAll_Ct-1),AL212=0),I212,0)</f>
        <v>0</v>
      </c>
      <c r="BO212" s="199">
        <f>IF(AND(Input_Product=Elig!$C212,Elig_MatchAll_Ct&lt;22,$BC212=(Elig_MatchAll_Ct-1),AM212=0),J212,0)</f>
        <v>0</v>
      </c>
      <c r="BP212" s="199">
        <f>IF(AND(Input_Product=Elig!$C212,Elig_MatchAll_Ct&lt;22,$BC212=(Elig_MatchAll_Ct-1),AN212=0),K212,0)</f>
        <v>0</v>
      </c>
      <c r="BQ212" s="199">
        <f>IF(AND(Input_Product=Elig!$C212,Elig_MatchAll_Ct&lt;22,$BC212=(Elig_MatchAll_Ct-1),AP212=0),L212,0)</f>
        <v>0</v>
      </c>
      <c r="BR212" s="199">
        <f>IF(AND(Input_Product=Elig!$C212,Elig_MatchAll_Ct&lt;22,$BC212=(Elig_MatchAll_Ct-1),AO212=0),M212,0)</f>
        <v>0</v>
      </c>
      <c r="BS212" s="199">
        <f>IF(AND(Input_Product=Elig!$C212,Elig_MatchAll_Ct&lt;22,$BC212=(Elig_MatchAll_Ct-1),AQ212=0),N212,0)</f>
        <v>0</v>
      </c>
      <c r="BT212" s="199">
        <f>IF(AND(Input_Product=Elig!$C212,Elig_MatchAll_Ct&lt;22,$BC212=(Elig_MatchAll_Ct-1),AR212=0),O212,0)</f>
        <v>0</v>
      </c>
      <c r="BU212" s="199">
        <f>IF(AND(Input_Product=Elig!$C212,Elig_MatchAll_Ct&lt;22,$BC212=(Elig_MatchAll_Ct-1),AS212=0),P212,0)</f>
        <v>0</v>
      </c>
      <c r="BV212" s="200">
        <f>IF(AND(Input_Product=Elig!$C212,Elig_MatchAll_Ct&lt;22,$BC212=(Elig_MatchAll_Ct-1),AT212=0),Q212,0)</f>
        <v>0</v>
      </c>
      <c r="BW212" s="201">
        <f>IF(AND(Input_Product=Elig!$C212,Elig_MatchAll_Ct&lt;22,$BC212=(Elig_MatchAll_Ct-1),AU212=0),R212,0)</f>
        <v>0</v>
      </c>
      <c r="BX212" s="202">
        <f>IF(AND(Input_Product=Elig!$C212,Elig_MatchAll_Ct&lt;22,$BC212=(Elig_MatchAll_Ct-1),AU212=0),S212,0)</f>
        <v>0</v>
      </c>
      <c r="BY212" s="201">
        <f>IF(AND(Input_Product=Elig!$C212,Elig_MatchAll_Ct&lt;22,$BC212=(Elig_MatchAll_Ct-1),AV212=0),T212,0)</f>
        <v>0</v>
      </c>
      <c r="BZ212" s="202">
        <f>IF(AND(Input_Product=Elig!$C212,Elig_MatchAll_Ct&lt;22,$BC212=(Elig_MatchAll_Ct-1),AV212=0),U212,0)</f>
        <v>0</v>
      </c>
      <c r="CA212" s="201">
        <f>IF(AND(Input_Product=Elig!$C212,Elig_MatchAll_Ct&lt;22,$BC212=(Elig_MatchAll_Ct-1),AW212=0),V212,0)</f>
        <v>0</v>
      </c>
      <c r="CB212" s="202">
        <f>IF(AND(Input_Product=Elig!$C212,Elig_MatchAll_Ct&lt;22,$BC212=(Elig_MatchAll_Ct-1),AW212=0),W212,0)</f>
        <v>0</v>
      </c>
      <c r="CC212" s="201">
        <f>IF(AND(Input_Product=Elig!$C212,Elig_MatchAll_Ct&lt;22,$BC212=(Elig_MatchAll_Ct-1),AX212=0),X212,0)</f>
        <v>0</v>
      </c>
      <c r="CD212" s="202">
        <f>IF(AND(Input_Product=Elig!$C212,Elig_MatchAll_Ct&lt;22,$BC212=(Elig_MatchAll_Ct-1),AX212=0),Y212,0)</f>
        <v>0</v>
      </c>
      <c r="CE212" s="201">
        <f>IF(AND(Input_LTV&lt;=AE212,Input_Product=Elig!$C212,Elig_MatchAll_Ct&lt;22,$BC212=(Elig_MatchAll_Ct-1),AY212=0),Z212,0)</f>
        <v>0</v>
      </c>
      <c r="CF212" s="202">
        <f>IF(AND(Input_LTV&lt;=AE212,Input_Product=Elig!$C212,Elig_MatchAll_Ct&lt;22,$BC212=(Elig_MatchAll_Ct-1),AY212=0),AA212,0)</f>
        <v>0</v>
      </c>
      <c r="CG212" s="201">
        <f>IF(AND(Input_Product=Elig!$C212,Elig_MatchAll_Ct&lt;22,$BC212=(Elig_MatchAll_Ct-1),AZ212=0),AB212,0)</f>
        <v>0</v>
      </c>
      <c r="CH212" s="202">
        <f>IF(AND(Input_Product=Elig!$C212,Elig_MatchAll_Ct&lt;22,$BC212=(Elig_MatchAll_Ct-1),AZ212=0),AC212,0)</f>
        <v>0</v>
      </c>
      <c r="CI212" s="201">
        <f>IF(AND(Input_Product=Elig!$C212,Elig_MatchAll_Ct&lt;22,$BC212=(Elig_MatchAll_Ct-1),BA212=0),AD212,0)</f>
        <v>0</v>
      </c>
      <c r="CJ212" s="202">
        <f>IF(AND(Input_Product=Elig!$C212,Elig_MatchAll_Ct&lt;22,$BC212=(Elig_MatchAll_Ct-1),BA212=0),AE212,0)</f>
        <v>0</v>
      </c>
    </row>
    <row r="213" spans="2:89" ht="10.15" customHeight="1" x14ac:dyDescent="0.25">
      <c r="B213" s="1912" t="s">
        <v>961</v>
      </c>
      <c r="C213" s="134" t="str">
        <f t="shared" si="56"/>
        <v>NonQM OO</v>
      </c>
      <c r="D213" s="135" t="s">
        <v>3885</v>
      </c>
      <c r="E213" s="135" t="s">
        <v>167</v>
      </c>
      <c r="F213" s="135" t="s">
        <v>331</v>
      </c>
      <c r="G213" s="135" t="s">
        <v>179</v>
      </c>
      <c r="H213" s="135" t="s">
        <v>136</v>
      </c>
      <c r="I213" s="136" t="s">
        <v>274</v>
      </c>
      <c r="J213" s="136" t="s">
        <v>1311</v>
      </c>
      <c r="K213" s="136" t="s">
        <v>1631</v>
      </c>
      <c r="L213" s="221" t="s">
        <v>3920</v>
      </c>
      <c r="M213" s="135" t="s">
        <v>4203</v>
      </c>
      <c r="N213" s="135" t="s">
        <v>82</v>
      </c>
      <c r="O213" s="135" t="s">
        <v>310</v>
      </c>
      <c r="P213" s="135" t="s">
        <v>291</v>
      </c>
      <c r="Q213" s="135" t="s">
        <v>294</v>
      </c>
      <c r="R213" s="135">
        <v>2000000.01</v>
      </c>
      <c r="S213" s="221">
        <v>2500000</v>
      </c>
      <c r="T213" s="135">
        <v>0</v>
      </c>
      <c r="U213" s="135">
        <v>0</v>
      </c>
      <c r="V213" s="135">
        <v>0</v>
      </c>
      <c r="W213" s="135">
        <v>55</v>
      </c>
      <c r="X213" s="135">
        <v>0</v>
      </c>
      <c r="Y213" s="135">
        <v>999</v>
      </c>
      <c r="Z213" s="2100">
        <v>680</v>
      </c>
      <c r="AA213" s="2100">
        <v>699</v>
      </c>
      <c r="AB213" s="137">
        <v>9</v>
      </c>
      <c r="AC213" s="137">
        <v>999999</v>
      </c>
      <c r="AD213" s="135">
        <v>0</v>
      </c>
      <c r="AE213" s="221">
        <v>70</v>
      </c>
      <c r="AF213" s="170">
        <v>0</v>
      </c>
      <c r="AG213" s="171">
        <v>1</v>
      </c>
      <c r="AH213" s="171">
        <v>1</v>
      </c>
      <c r="AI213" s="171">
        <v>1</v>
      </c>
      <c r="AJ213" s="171">
        <v>0</v>
      </c>
      <c r="AK213" s="171">
        <v>1</v>
      </c>
      <c r="AL213" s="171">
        <v>0</v>
      </c>
      <c r="AM213" s="171">
        <v>1</v>
      </c>
      <c r="AN213" s="171">
        <v>1</v>
      </c>
      <c r="AO213" s="171">
        <v>1</v>
      </c>
      <c r="AP213" s="171">
        <v>1</v>
      </c>
      <c r="AQ213" s="171">
        <v>1</v>
      </c>
      <c r="AR213" s="171">
        <v>1</v>
      </c>
      <c r="AS213" s="171">
        <v>1</v>
      </c>
      <c r="AT213" s="171">
        <v>1</v>
      </c>
      <c r="AU213" s="171">
        <f t="shared" si="58"/>
        <v>0</v>
      </c>
      <c r="AV213" s="171">
        <f t="shared" si="59"/>
        <v>0</v>
      </c>
      <c r="AW213" s="171">
        <f t="shared" si="60"/>
        <v>1</v>
      </c>
      <c r="AX213" s="171">
        <f t="shared" si="53"/>
        <v>1</v>
      </c>
      <c r="AY213" s="171">
        <f t="shared" si="61"/>
        <v>0</v>
      </c>
      <c r="AZ213" s="171">
        <f t="shared" si="62"/>
        <v>1</v>
      </c>
      <c r="BA213" s="172">
        <f t="shared" si="63"/>
        <v>1</v>
      </c>
      <c r="BB213" s="175">
        <f t="shared" ref="BB213" si="92">SUM(AF213:BA213)</f>
        <v>16</v>
      </c>
      <c r="BC213" s="176">
        <f t="shared" ref="BC213" si="93">SUM(AF213:AZ213)</f>
        <v>15</v>
      </c>
      <c r="BD213" s="176">
        <f t="shared" ref="BD213" si="94">SUM(AG213:BA213)</f>
        <v>16</v>
      </c>
      <c r="BE213" s="240" t="str">
        <f t="shared" si="79"/>
        <v/>
      </c>
      <c r="BH213" s="199">
        <f>IF(AND(Input_Product=Elig!$C213,Elig_MatchAll_Ct&lt;22,$BC213=(Elig_MatchAll_Ct-1),AF213=0),C213,0)</f>
        <v>0</v>
      </c>
      <c r="BI213" s="199">
        <f>IF(AND(Input_Product=Elig!$C213,Elig_MatchAll_Ct&lt;22,$BC213=(Elig_MatchAll_Ct-1),AG213=0),D213,0)</f>
        <v>0</v>
      </c>
      <c r="BJ213" s="199">
        <f>IF(AND(Input_Product=Elig!$C213,Elig_MatchAll_Ct&lt;22,$BC213=(Elig_MatchAll_Ct-1),AH213=0),E213,0)</f>
        <v>0</v>
      </c>
      <c r="BK213" s="199">
        <f>IF(AND(Input_Product=Elig!$C213,Elig_MatchAll_Ct&lt;22,$BC213=(Elig_MatchAll_Ct-1),AI213=0),F213,0)</f>
        <v>0</v>
      </c>
      <c r="BL213" s="199">
        <f>IF(AND(Input_Product=Elig!$C213,Elig_MatchAll_Ct&lt;22,$BC213=(Elig_MatchAll_Ct-1),AJ213=0),G213,0)</f>
        <v>0</v>
      </c>
      <c r="BM213" s="199">
        <f>IF(AND(Input_Product=Elig!$C213,Elig_MatchAll_Ct&lt;22,$BC213=(Elig_MatchAll_Ct-1),AK213=0),H213,0)</f>
        <v>0</v>
      </c>
      <c r="BN213" s="199">
        <f>IF(AND(Input_Product=Elig!$C213,Elig_MatchAll_Ct&lt;22,$BC213=(Elig_MatchAll_Ct-1),AL213=0),I213,0)</f>
        <v>0</v>
      </c>
      <c r="BO213" s="199">
        <f>IF(AND(Input_Product=Elig!$C213,Elig_MatchAll_Ct&lt;22,$BC213=(Elig_MatchAll_Ct-1),AM213=0),J213,0)</f>
        <v>0</v>
      </c>
      <c r="BP213" s="199">
        <f>IF(AND(Input_Product=Elig!$C213,Elig_MatchAll_Ct&lt;22,$BC213=(Elig_MatchAll_Ct-1),AN213=0),K213,0)</f>
        <v>0</v>
      </c>
      <c r="BQ213" s="199">
        <f>IF(AND(Input_Product=Elig!$C213,Elig_MatchAll_Ct&lt;22,$BC213=(Elig_MatchAll_Ct-1),AP213=0),L213,0)</f>
        <v>0</v>
      </c>
      <c r="BR213" s="199">
        <f>IF(AND(Input_Product=Elig!$C213,Elig_MatchAll_Ct&lt;22,$BC213=(Elig_MatchAll_Ct-1),AO213=0),M213,0)</f>
        <v>0</v>
      </c>
      <c r="BS213" s="199">
        <f>IF(AND(Input_Product=Elig!$C213,Elig_MatchAll_Ct&lt;22,$BC213=(Elig_MatchAll_Ct-1),AQ213=0),N213,0)</f>
        <v>0</v>
      </c>
      <c r="BT213" s="199">
        <f>IF(AND(Input_Product=Elig!$C213,Elig_MatchAll_Ct&lt;22,$BC213=(Elig_MatchAll_Ct-1),AR213=0),O213,0)</f>
        <v>0</v>
      </c>
      <c r="BU213" s="199">
        <f>IF(AND(Input_Product=Elig!$C213,Elig_MatchAll_Ct&lt;22,$BC213=(Elig_MatchAll_Ct-1),AS213=0),P213,0)</f>
        <v>0</v>
      </c>
      <c r="BV213" s="200">
        <f>IF(AND(Input_Product=Elig!$C213,Elig_MatchAll_Ct&lt;22,$BC213=(Elig_MatchAll_Ct-1),AT213=0),Q213,0)</f>
        <v>0</v>
      </c>
      <c r="BW213" s="201">
        <f>IF(AND(Input_Product=Elig!$C213,Elig_MatchAll_Ct&lt;22,$BC213=(Elig_MatchAll_Ct-1),AU213=0),R213,0)</f>
        <v>0</v>
      </c>
      <c r="BX213" s="202">
        <f>IF(AND(Input_Product=Elig!$C213,Elig_MatchAll_Ct&lt;22,$BC213=(Elig_MatchAll_Ct-1),AU213=0),S213,0)</f>
        <v>0</v>
      </c>
      <c r="BY213" s="201">
        <f>IF(AND(Input_Product=Elig!$C213,Elig_MatchAll_Ct&lt;22,$BC213=(Elig_MatchAll_Ct-1),AV213=0),T213,0)</f>
        <v>0</v>
      </c>
      <c r="BZ213" s="202">
        <f>IF(AND(Input_Product=Elig!$C213,Elig_MatchAll_Ct&lt;22,$BC213=(Elig_MatchAll_Ct-1),AV213=0),U213,0)</f>
        <v>0</v>
      </c>
      <c r="CA213" s="201">
        <f>IF(AND(Input_Product=Elig!$C213,Elig_MatchAll_Ct&lt;22,$BC213=(Elig_MatchAll_Ct-1),AW213=0),V213,0)</f>
        <v>0</v>
      </c>
      <c r="CB213" s="202">
        <f>IF(AND(Input_Product=Elig!$C213,Elig_MatchAll_Ct&lt;22,$BC213=(Elig_MatchAll_Ct-1),AW213=0),W213,0)</f>
        <v>0</v>
      </c>
      <c r="CC213" s="201">
        <f>IF(AND(Input_Product=Elig!$C213,Elig_MatchAll_Ct&lt;22,$BC213=(Elig_MatchAll_Ct-1),AX213=0),X213,0)</f>
        <v>0</v>
      </c>
      <c r="CD213" s="202">
        <f>IF(AND(Input_Product=Elig!$C213,Elig_MatchAll_Ct&lt;22,$BC213=(Elig_MatchAll_Ct-1),AX213=0),Y213,0)</f>
        <v>0</v>
      </c>
      <c r="CE213" s="201">
        <f>IF(AND(Input_LTV&lt;=AE213,Input_Product=Elig!$C213,Elig_MatchAll_Ct&lt;22,$BC213=(Elig_MatchAll_Ct-1),AY213=0),Z213,0)</f>
        <v>0</v>
      </c>
      <c r="CF213" s="202">
        <f>IF(AND(Input_LTV&lt;=AE213,Input_Product=Elig!$C213,Elig_MatchAll_Ct&lt;22,$BC213=(Elig_MatchAll_Ct-1),AY213=0),AA213,0)</f>
        <v>0</v>
      </c>
      <c r="CG213" s="201">
        <f>IF(AND(Input_Product=Elig!$C213,Elig_MatchAll_Ct&lt;22,$BC213=(Elig_MatchAll_Ct-1),AZ213=0),AB213,0)</f>
        <v>0</v>
      </c>
      <c r="CH213" s="202">
        <f>IF(AND(Input_Product=Elig!$C213,Elig_MatchAll_Ct&lt;22,$BC213=(Elig_MatchAll_Ct-1),AZ213=0),AC213,0)</f>
        <v>0</v>
      </c>
      <c r="CI213" s="201">
        <f>IF(AND(Input_Product=Elig!$C213,Elig_MatchAll_Ct&lt;22,$BC213=(Elig_MatchAll_Ct-1),BA213=0),AD213,0)</f>
        <v>0</v>
      </c>
      <c r="CJ213" s="202">
        <f>IF(AND(Input_Product=Elig!$C213,Elig_MatchAll_Ct&lt;22,$BC213=(Elig_MatchAll_Ct-1),BA213=0),AE213,0)</f>
        <v>0</v>
      </c>
    </row>
    <row r="214" spans="2:89" ht="10.15" customHeight="1" x14ac:dyDescent="0.25">
      <c r="B214" s="1912" t="s">
        <v>962</v>
      </c>
      <c r="C214" s="134" t="str">
        <f t="shared" si="56"/>
        <v>NonQM OO</v>
      </c>
      <c r="D214" s="135" t="s">
        <v>3885</v>
      </c>
      <c r="E214" s="135" t="s">
        <v>167</v>
      </c>
      <c r="F214" s="135" t="s">
        <v>331</v>
      </c>
      <c r="G214" s="135" t="s">
        <v>179</v>
      </c>
      <c r="H214" s="135" t="s">
        <v>136</v>
      </c>
      <c r="I214" s="136" t="s">
        <v>274</v>
      </c>
      <c r="J214" s="136" t="s">
        <v>1311</v>
      </c>
      <c r="K214" s="136" t="s">
        <v>1631</v>
      </c>
      <c r="L214" s="221" t="s">
        <v>3920</v>
      </c>
      <c r="M214" s="135" t="s">
        <v>4203</v>
      </c>
      <c r="N214" s="135" t="s">
        <v>82</v>
      </c>
      <c r="O214" s="135" t="s">
        <v>310</v>
      </c>
      <c r="P214" s="135" t="s">
        <v>291</v>
      </c>
      <c r="Q214" s="135" t="s">
        <v>294</v>
      </c>
      <c r="R214" s="135">
        <v>2000000.01</v>
      </c>
      <c r="S214" s="221">
        <v>2500000</v>
      </c>
      <c r="T214" s="135">
        <v>0</v>
      </c>
      <c r="U214" s="135">
        <v>0</v>
      </c>
      <c r="V214" s="135">
        <v>0</v>
      </c>
      <c r="W214" s="135">
        <v>55</v>
      </c>
      <c r="X214" s="135">
        <v>0</v>
      </c>
      <c r="Y214" s="135">
        <v>999</v>
      </c>
      <c r="Z214" s="2100">
        <v>660</v>
      </c>
      <c r="AA214" s="2100">
        <v>679</v>
      </c>
      <c r="AB214" s="137">
        <v>9</v>
      </c>
      <c r="AC214" s="137">
        <v>999999</v>
      </c>
      <c r="AD214" s="135">
        <v>0</v>
      </c>
      <c r="AE214" s="221">
        <v>70</v>
      </c>
      <c r="AF214" s="170">
        <v>0</v>
      </c>
      <c r="AG214" s="171">
        <v>1</v>
      </c>
      <c r="AH214" s="171">
        <v>1</v>
      </c>
      <c r="AI214" s="171">
        <v>1</v>
      </c>
      <c r="AJ214" s="171">
        <v>0</v>
      </c>
      <c r="AK214" s="171">
        <v>1</v>
      </c>
      <c r="AL214" s="171">
        <v>0</v>
      </c>
      <c r="AM214" s="171">
        <v>1</v>
      </c>
      <c r="AN214" s="171">
        <v>1</v>
      </c>
      <c r="AO214" s="171">
        <v>1</v>
      </c>
      <c r="AP214" s="171">
        <v>1</v>
      </c>
      <c r="AQ214" s="171">
        <v>1</v>
      </c>
      <c r="AR214" s="171">
        <v>1</v>
      </c>
      <c r="AS214" s="171">
        <v>1</v>
      </c>
      <c r="AT214" s="171">
        <v>1</v>
      </c>
      <c r="AU214" s="171">
        <f t="shared" si="58"/>
        <v>0</v>
      </c>
      <c r="AV214" s="171">
        <f t="shared" si="59"/>
        <v>0</v>
      </c>
      <c r="AW214" s="171">
        <f t="shared" si="60"/>
        <v>1</v>
      </c>
      <c r="AX214" s="171">
        <f t="shared" si="53"/>
        <v>1</v>
      </c>
      <c r="AY214" s="171">
        <f t="shared" si="61"/>
        <v>0</v>
      </c>
      <c r="AZ214" s="171">
        <f t="shared" si="62"/>
        <v>1</v>
      </c>
      <c r="BA214" s="172">
        <f t="shared" si="63"/>
        <v>1</v>
      </c>
      <c r="BB214" s="175">
        <f t="shared" si="72"/>
        <v>16</v>
      </c>
      <c r="BC214" s="176">
        <f t="shared" si="73"/>
        <v>15</v>
      </c>
      <c r="BD214" s="176">
        <f t="shared" si="74"/>
        <v>16</v>
      </c>
      <c r="BE214" s="240" t="str">
        <f t="shared" si="79"/>
        <v/>
      </c>
      <c r="BH214" s="214">
        <f>IF(AND(Input_Product=Elig!$C214,Elig_MatchAll_Ct&lt;22,$BC214=(Elig_MatchAll_Ct-1),AF214=0),C214,0)</f>
        <v>0</v>
      </c>
      <c r="BI214" s="214">
        <f>IF(AND(Input_Product=Elig!$C214,Elig_MatchAll_Ct&lt;22,$BC214=(Elig_MatchAll_Ct-1),AG214=0),D214,0)</f>
        <v>0</v>
      </c>
      <c r="BJ214" s="214">
        <f>IF(AND(Input_Product=Elig!$C214,Elig_MatchAll_Ct&lt;22,$BC214=(Elig_MatchAll_Ct-1),AH214=0),E214,0)</f>
        <v>0</v>
      </c>
      <c r="BK214" s="214">
        <f>IF(AND(Input_Product=Elig!$C214,Elig_MatchAll_Ct&lt;22,$BC214=(Elig_MatchAll_Ct-1),AI214=0),F214,0)</f>
        <v>0</v>
      </c>
      <c r="BL214" s="214">
        <f>IF(AND(Input_Product=Elig!$C214,Elig_MatchAll_Ct&lt;22,$BC214=(Elig_MatchAll_Ct-1),AJ214=0),G214,0)</f>
        <v>0</v>
      </c>
      <c r="BM214" s="214">
        <f>IF(AND(Input_Product=Elig!$C214,Elig_MatchAll_Ct&lt;22,$BC214=(Elig_MatchAll_Ct-1),AK214=0),H214,0)</f>
        <v>0</v>
      </c>
      <c r="BN214" s="214">
        <f>IF(AND(Input_Product=Elig!$C214,Elig_MatchAll_Ct&lt;22,$BC214=(Elig_MatchAll_Ct-1),AL214=0),I214,0)</f>
        <v>0</v>
      </c>
      <c r="BO214" s="214">
        <f>IF(AND(Input_Product=Elig!$C214,Elig_MatchAll_Ct&lt;22,$BC214=(Elig_MatchAll_Ct-1),AM214=0),J214,0)</f>
        <v>0</v>
      </c>
      <c r="BP214" s="214">
        <f>IF(AND(Input_Product=Elig!$C214,Elig_MatchAll_Ct&lt;22,$BC214=(Elig_MatchAll_Ct-1),AN214=0),K214,0)</f>
        <v>0</v>
      </c>
      <c r="BQ214" s="214">
        <f>IF(AND(Input_Product=Elig!$C214,Elig_MatchAll_Ct&lt;22,$BC214=(Elig_MatchAll_Ct-1),AP214=0),L214,0)</f>
        <v>0</v>
      </c>
      <c r="BR214" s="214">
        <f>IF(AND(Input_Product=Elig!$C214,Elig_MatchAll_Ct&lt;22,$BC214=(Elig_MatchAll_Ct-1),AO214=0),M214,0)</f>
        <v>0</v>
      </c>
      <c r="BS214" s="214">
        <f>IF(AND(Input_Product=Elig!$C214,Elig_MatchAll_Ct&lt;22,$BC214=(Elig_MatchAll_Ct-1),AQ214=0),N214,0)</f>
        <v>0</v>
      </c>
      <c r="BT214" s="214">
        <f>IF(AND(Input_Product=Elig!$C214,Elig_MatchAll_Ct&lt;22,$BC214=(Elig_MatchAll_Ct-1),AR214=0),O214,0)</f>
        <v>0</v>
      </c>
      <c r="BU214" s="214">
        <f>IF(AND(Input_Product=Elig!$C214,Elig_MatchAll_Ct&lt;22,$BC214=(Elig_MatchAll_Ct-1),AS214=0),P214,0)</f>
        <v>0</v>
      </c>
      <c r="BV214" s="215">
        <f>IF(AND(Input_Product=Elig!$C214,Elig_MatchAll_Ct&lt;22,$BC214=(Elig_MatchAll_Ct-1),AT214=0),Q214,0)</f>
        <v>0</v>
      </c>
      <c r="BW214" s="311">
        <f>IF(AND(Input_Product=Elig!$C214,Elig_MatchAll_Ct&lt;22,$BC214=(Elig_MatchAll_Ct-1),AU214=0),R214,0)</f>
        <v>0</v>
      </c>
      <c r="BX214" s="312">
        <f>IF(AND(Input_Product=Elig!$C214,Elig_MatchAll_Ct&lt;22,$BC214=(Elig_MatchAll_Ct-1),AU214=0),S214,0)</f>
        <v>0</v>
      </c>
      <c r="BY214" s="311">
        <f>IF(AND(Input_Product=Elig!$C214,Elig_MatchAll_Ct&lt;22,$BC214=(Elig_MatchAll_Ct-1),AV214=0),T214,0)</f>
        <v>0</v>
      </c>
      <c r="BZ214" s="312">
        <f>IF(AND(Input_Product=Elig!$C214,Elig_MatchAll_Ct&lt;22,$BC214=(Elig_MatchAll_Ct-1),AV214=0),U214,0)</f>
        <v>0</v>
      </c>
      <c r="CA214" s="311">
        <f>IF(AND(Input_Product=Elig!$C214,Elig_MatchAll_Ct&lt;22,$BC214=(Elig_MatchAll_Ct-1),AW214=0),V214,0)</f>
        <v>0</v>
      </c>
      <c r="CB214" s="312">
        <f>IF(AND(Input_Product=Elig!$C214,Elig_MatchAll_Ct&lt;22,$BC214=(Elig_MatchAll_Ct-1),AW214=0),W214,0)</f>
        <v>0</v>
      </c>
      <c r="CC214" s="311">
        <f>IF(AND(Input_Product=Elig!$C214,Elig_MatchAll_Ct&lt;22,$BC214=(Elig_MatchAll_Ct-1),AX214=0),X214,0)</f>
        <v>0</v>
      </c>
      <c r="CD214" s="312">
        <f>IF(AND(Input_Product=Elig!$C214,Elig_MatchAll_Ct&lt;22,$BC214=(Elig_MatchAll_Ct-1),AX214=0),Y214,0)</f>
        <v>0</v>
      </c>
      <c r="CE214" s="311">
        <f>IF(AND(Input_LTV&lt;=AE214,Input_Product=Elig!$C214,Elig_MatchAll_Ct&lt;22,$BC214=(Elig_MatchAll_Ct-1),AY214=0),Z214,0)</f>
        <v>0</v>
      </c>
      <c r="CF214" s="312">
        <f>IF(AND(Input_LTV&lt;=AE214,Input_Product=Elig!$C214,Elig_MatchAll_Ct&lt;22,$BC214=(Elig_MatchAll_Ct-1),AY214=0),AA214,0)</f>
        <v>0</v>
      </c>
      <c r="CG214" s="311">
        <f>IF(AND(Input_Product=Elig!$C214,Elig_MatchAll_Ct&lt;22,$BC214=(Elig_MatchAll_Ct-1),AZ214=0),AB214,0)</f>
        <v>0</v>
      </c>
      <c r="CH214" s="312">
        <f>IF(AND(Input_Product=Elig!$C214,Elig_MatchAll_Ct&lt;22,$BC214=(Elig_MatchAll_Ct-1),AZ214=0),AC214,0)</f>
        <v>0</v>
      </c>
      <c r="CI214" s="311">
        <f>IF(AND(Input_Product=Elig!$C214,Elig_MatchAll_Ct&lt;22,$BC214=(Elig_MatchAll_Ct-1),BA214=0),AD214,0)</f>
        <v>0</v>
      </c>
      <c r="CJ214" s="312">
        <f>IF(AND(Input_Product=Elig!$C214,Elig_MatchAll_Ct&lt;22,$BC214=(Elig_MatchAll_Ct-1),BA214=0),AE214,0)</f>
        <v>0</v>
      </c>
    </row>
    <row r="215" spans="2:89" ht="10.15" customHeight="1" x14ac:dyDescent="0.25">
      <c r="B215" s="1912" t="s">
        <v>963</v>
      </c>
      <c r="C215" s="141" t="str">
        <f t="shared" si="56"/>
        <v>NonQM OO</v>
      </c>
      <c r="D215" s="142" t="s">
        <v>3885</v>
      </c>
      <c r="E215" s="143" t="s">
        <v>167</v>
      </c>
      <c r="F215" s="143" t="s">
        <v>331</v>
      </c>
      <c r="G215" s="143" t="s">
        <v>179</v>
      </c>
      <c r="H215" s="143" t="s">
        <v>136</v>
      </c>
      <c r="I215" s="142" t="s">
        <v>16</v>
      </c>
      <c r="J215" s="142" t="s">
        <v>1311</v>
      </c>
      <c r="K215" s="142" t="s">
        <v>1631</v>
      </c>
      <c r="L215" s="2131" t="s">
        <v>3920</v>
      </c>
      <c r="M215" s="143" t="s">
        <v>4203</v>
      </c>
      <c r="N215" s="143" t="s">
        <v>82</v>
      </c>
      <c r="O215" s="143" t="s">
        <v>310</v>
      </c>
      <c r="P215" s="143" t="s">
        <v>291</v>
      </c>
      <c r="Q215" s="143" t="s">
        <v>294</v>
      </c>
      <c r="R215" s="142">
        <v>2000000.01</v>
      </c>
      <c r="S215" s="320">
        <v>2500000</v>
      </c>
      <c r="T215" s="142">
        <v>0</v>
      </c>
      <c r="U215" s="142">
        <f t="shared" ref="U215:U218" si="95">S215</f>
        <v>2500000</v>
      </c>
      <c r="V215" s="142">
        <v>0</v>
      </c>
      <c r="W215" s="142">
        <v>55</v>
      </c>
      <c r="X215" s="142">
        <v>0</v>
      </c>
      <c r="Y215" s="142">
        <v>999</v>
      </c>
      <c r="Z215" s="144">
        <v>720</v>
      </c>
      <c r="AA215" s="144">
        <v>999</v>
      </c>
      <c r="AB215" s="144">
        <v>9</v>
      </c>
      <c r="AC215" s="144">
        <v>999999</v>
      </c>
      <c r="AD215" s="142">
        <v>0</v>
      </c>
      <c r="AE215" s="320">
        <v>70</v>
      </c>
      <c r="AF215" s="170">
        <v>0</v>
      </c>
      <c r="AG215" s="171">
        <v>1</v>
      </c>
      <c r="AH215" s="171">
        <v>1</v>
      </c>
      <c r="AI215" s="171">
        <v>1</v>
      </c>
      <c r="AJ215" s="171">
        <v>0</v>
      </c>
      <c r="AK215" s="171">
        <v>1</v>
      </c>
      <c r="AL215" s="171">
        <v>1</v>
      </c>
      <c r="AM215" s="171">
        <v>1</v>
      </c>
      <c r="AN215" s="171">
        <v>1</v>
      </c>
      <c r="AO215" s="171">
        <v>1</v>
      </c>
      <c r="AP215" s="171">
        <v>1</v>
      </c>
      <c r="AQ215" s="171">
        <v>1</v>
      </c>
      <c r="AR215" s="171">
        <v>1</v>
      </c>
      <c r="AS215" s="171">
        <v>1</v>
      </c>
      <c r="AT215" s="171">
        <v>1</v>
      </c>
      <c r="AU215" s="171">
        <f t="shared" si="58"/>
        <v>0</v>
      </c>
      <c r="AV215" s="171">
        <f t="shared" si="59"/>
        <v>1</v>
      </c>
      <c r="AW215" s="171">
        <f t="shared" si="60"/>
        <v>1</v>
      </c>
      <c r="AX215" s="171">
        <f t="shared" si="53"/>
        <v>1</v>
      </c>
      <c r="AY215" s="171">
        <f t="shared" si="61"/>
        <v>1</v>
      </c>
      <c r="AZ215" s="171">
        <f t="shared" si="62"/>
        <v>1</v>
      </c>
      <c r="BA215" s="172">
        <f t="shared" si="63"/>
        <v>1</v>
      </c>
      <c r="BB215" s="175">
        <f t="shared" si="72"/>
        <v>19</v>
      </c>
      <c r="BC215" s="176">
        <f t="shared" si="73"/>
        <v>18</v>
      </c>
      <c r="BD215" s="176">
        <f t="shared" si="74"/>
        <v>19</v>
      </c>
      <c r="BE215" s="240" t="str">
        <f t="shared" si="79"/>
        <v/>
      </c>
      <c r="BH215" s="210">
        <f>IF(AND(Input_Product=Elig!$C215,Elig_MatchAll_Ct&lt;22,$BC215=(Elig_MatchAll_Ct-1),AF215=0),C215,0)</f>
        <v>0</v>
      </c>
      <c r="BI215" s="210">
        <f>IF(AND(Input_Product=Elig!$C215,Elig_MatchAll_Ct&lt;22,$BC215=(Elig_MatchAll_Ct-1),AG215=0),D215,0)</f>
        <v>0</v>
      </c>
      <c r="BJ215" s="210">
        <f>IF(AND(Input_Product=Elig!$C215,Elig_MatchAll_Ct&lt;22,$BC215=(Elig_MatchAll_Ct-1),AH215=0),E215,0)</f>
        <v>0</v>
      </c>
      <c r="BK215" s="210">
        <f>IF(AND(Input_Product=Elig!$C215,Elig_MatchAll_Ct&lt;22,$BC215=(Elig_MatchAll_Ct-1),AI215=0),F215,0)</f>
        <v>0</v>
      </c>
      <c r="BL215" s="210">
        <f>IF(AND(Input_Product=Elig!$C215,Elig_MatchAll_Ct&lt;22,$BC215=(Elig_MatchAll_Ct-1),AJ215=0),G215,0)</f>
        <v>0</v>
      </c>
      <c r="BM215" s="210">
        <f>IF(AND(Input_Product=Elig!$C215,Elig_MatchAll_Ct&lt;22,$BC215=(Elig_MatchAll_Ct-1),AK215=0),H215,0)</f>
        <v>0</v>
      </c>
      <c r="BN215" s="210">
        <f>IF(AND(Input_Product=Elig!$C215,Elig_MatchAll_Ct&lt;22,$BC215=(Elig_MatchAll_Ct-1),AL215=0),I215,0)</f>
        <v>0</v>
      </c>
      <c r="BO215" s="210">
        <f>IF(AND(Input_Product=Elig!$C215,Elig_MatchAll_Ct&lt;22,$BC215=(Elig_MatchAll_Ct-1),AM215=0),J215,0)</f>
        <v>0</v>
      </c>
      <c r="BP215" s="210">
        <f>IF(AND(Input_Product=Elig!$C215,Elig_MatchAll_Ct&lt;22,$BC215=(Elig_MatchAll_Ct-1),AN215=0),K215,0)</f>
        <v>0</v>
      </c>
      <c r="BQ215" s="210">
        <f>IF(AND(Input_Product=Elig!$C215,Elig_MatchAll_Ct&lt;22,$BC215=(Elig_MatchAll_Ct-1),AP215=0),L215,0)</f>
        <v>0</v>
      </c>
      <c r="BR215" s="210">
        <f>IF(AND(Input_Product=Elig!$C215,Elig_MatchAll_Ct&lt;22,$BC215=(Elig_MatchAll_Ct-1),AO215=0),M215,0)</f>
        <v>0</v>
      </c>
      <c r="BS215" s="210">
        <f>IF(AND(Input_Product=Elig!$C215,Elig_MatchAll_Ct&lt;22,$BC215=(Elig_MatchAll_Ct-1),AQ215=0),N215,0)</f>
        <v>0</v>
      </c>
      <c r="BT215" s="210">
        <f>IF(AND(Input_Product=Elig!$C215,Elig_MatchAll_Ct&lt;22,$BC215=(Elig_MatchAll_Ct-1),AR215=0),O215,0)</f>
        <v>0</v>
      </c>
      <c r="BU215" s="210">
        <f>IF(AND(Input_Product=Elig!$C215,Elig_MatchAll_Ct&lt;22,$BC215=(Elig_MatchAll_Ct-1),AS215=0),P215,0)</f>
        <v>0</v>
      </c>
      <c r="BV215" s="211">
        <f>IF(AND(Input_Product=Elig!$C215,Elig_MatchAll_Ct&lt;22,$BC215=(Elig_MatchAll_Ct-1),AT215=0),Q215,0)</f>
        <v>0</v>
      </c>
      <c r="BW215" s="212">
        <f>IF(AND(Input_Product=Elig!$C215,Elig_MatchAll_Ct&lt;22,$BC215=(Elig_MatchAll_Ct-1),AU215=0),R215,0)</f>
        <v>0</v>
      </c>
      <c r="BX215" s="213">
        <f>IF(AND(Input_Product=Elig!$C215,Elig_MatchAll_Ct&lt;22,$BC215=(Elig_MatchAll_Ct-1),AU215=0),S215,0)</f>
        <v>0</v>
      </c>
      <c r="BY215" s="212">
        <f>IF(AND(Input_Product=Elig!$C215,Elig_MatchAll_Ct&lt;22,$BC215=(Elig_MatchAll_Ct-1),AV215=0),T215,0)</f>
        <v>0</v>
      </c>
      <c r="BZ215" s="213">
        <f>IF(AND(Input_Product=Elig!$C215,Elig_MatchAll_Ct&lt;22,$BC215=(Elig_MatchAll_Ct-1),AV215=0),U215,0)</f>
        <v>0</v>
      </c>
      <c r="CA215" s="212">
        <f>IF(AND(Input_Product=Elig!$C215,Elig_MatchAll_Ct&lt;22,$BC215=(Elig_MatchAll_Ct-1),AW215=0),V215,0)</f>
        <v>0</v>
      </c>
      <c r="CB215" s="213">
        <f>IF(AND(Input_Product=Elig!$C215,Elig_MatchAll_Ct&lt;22,$BC215=(Elig_MatchAll_Ct-1),AW215=0),W215,0)</f>
        <v>0</v>
      </c>
      <c r="CC215" s="212">
        <f>IF(AND(Input_Product=Elig!$C215,Elig_MatchAll_Ct&lt;22,$BC215=(Elig_MatchAll_Ct-1),AX215=0),X215,0)</f>
        <v>0</v>
      </c>
      <c r="CD215" s="213">
        <f>IF(AND(Input_Product=Elig!$C215,Elig_MatchAll_Ct&lt;22,$BC215=(Elig_MatchAll_Ct-1),AX215=0),Y215,0)</f>
        <v>0</v>
      </c>
      <c r="CE215" s="212">
        <f>IF(AND(Input_LTV&lt;=AE215,Input_Product=Elig!$C215,Elig_MatchAll_Ct&lt;22,$BC215=(Elig_MatchAll_Ct-1),AY215=0),Z215,0)</f>
        <v>0</v>
      </c>
      <c r="CF215" s="213">
        <f>IF(AND(Input_LTV&lt;=AE215,Input_Product=Elig!$C215,Elig_MatchAll_Ct&lt;22,$BC215=(Elig_MatchAll_Ct-1),AY215=0),AA215,0)</f>
        <v>0</v>
      </c>
      <c r="CG215" s="212">
        <f>IF(AND(Input_Product=Elig!$C215,Elig_MatchAll_Ct&lt;22,$BC215=(Elig_MatchAll_Ct-1),AZ215=0),AB215,0)</f>
        <v>0</v>
      </c>
      <c r="CH215" s="213">
        <f>IF(AND(Input_Product=Elig!$C215,Elig_MatchAll_Ct&lt;22,$BC215=(Elig_MatchAll_Ct-1),AZ215=0),AC215,0)</f>
        <v>0</v>
      </c>
      <c r="CI215" s="212">
        <f>IF(AND(Input_Product=Elig!$C215,Elig_MatchAll_Ct&lt;22,$BC215=(Elig_MatchAll_Ct-1),BA215=0),AD215,0)</f>
        <v>0</v>
      </c>
      <c r="CJ215" s="213">
        <f>IF(AND(Input_Product=Elig!$C215,Elig_MatchAll_Ct&lt;22,$BC215=(Elig_MatchAll_Ct-1),BA215=0),AE215,0)</f>
        <v>0</v>
      </c>
    </row>
    <row r="216" spans="2:89" ht="10.15" customHeight="1" x14ac:dyDescent="0.25">
      <c r="B216" s="1912" t="s">
        <v>964</v>
      </c>
      <c r="C216" s="134" t="str">
        <f t="shared" si="56"/>
        <v>NonQM OO</v>
      </c>
      <c r="D216" s="135" t="s">
        <v>3885</v>
      </c>
      <c r="E216" s="135" t="s">
        <v>167</v>
      </c>
      <c r="F216" s="135" t="s">
        <v>331</v>
      </c>
      <c r="G216" s="135" t="s">
        <v>179</v>
      </c>
      <c r="H216" s="135" t="s">
        <v>136</v>
      </c>
      <c r="I216" s="136" t="s">
        <v>16</v>
      </c>
      <c r="J216" s="136" t="s">
        <v>1311</v>
      </c>
      <c r="K216" s="136" t="s">
        <v>1631</v>
      </c>
      <c r="L216" s="221" t="s">
        <v>3920</v>
      </c>
      <c r="M216" s="135" t="s">
        <v>4203</v>
      </c>
      <c r="N216" s="135" t="s">
        <v>82</v>
      </c>
      <c r="O216" s="135" t="s">
        <v>310</v>
      </c>
      <c r="P216" s="135" t="s">
        <v>291</v>
      </c>
      <c r="Q216" s="135" t="s">
        <v>294</v>
      </c>
      <c r="R216" s="135">
        <v>2000000.01</v>
      </c>
      <c r="S216" s="221">
        <v>2500000</v>
      </c>
      <c r="T216" s="135">
        <v>0</v>
      </c>
      <c r="U216" s="135">
        <f t="shared" si="95"/>
        <v>2500000</v>
      </c>
      <c r="V216" s="135">
        <v>0</v>
      </c>
      <c r="W216" s="135">
        <v>55</v>
      </c>
      <c r="X216" s="135">
        <v>0</v>
      </c>
      <c r="Y216" s="135">
        <v>999</v>
      </c>
      <c r="Z216" s="137">
        <v>700</v>
      </c>
      <c r="AA216" s="137">
        <v>719</v>
      </c>
      <c r="AB216" s="137">
        <v>9</v>
      </c>
      <c r="AC216" s="137">
        <v>999999</v>
      </c>
      <c r="AD216" s="135">
        <v>0</v>
      </c>
      <c r="AE216" s="221">
        <v>65</v>
      </c>
      <c r="AF216" s="170">
        <v>0</v>
      </c>
      <c r="AG216" s="171">
        <v>1</v>
      </c>
      <c r="AH216" s="171">
        <v>1</v>
      </c>
      <c r="AI216" s="171">
        <v>1</v>
      </c>
      <c r="AJ216" s="171">
        <v>0</v>
      </c>
      <c r="AK216" s="171">
        <v>1</v>
      </c>
      <c r="AL216" s="171">
        <v>1</v>
      </c>
      <c r="AM216" s="171">
        <v>1</v>
      </c>
      <c r="AN216" s="171">
        <v>1</v>
      </c>
      <c r="AO216" s="171">
        <v>1</v>
      </c>
      <c r="AP216" s="171">
        <v>1</v>
      </c>
      <c r="AQ216" s="171">
        <v>1</v>
      </c>
      <c r="AR216" s="171">
        <v>1</v>
      </c>
      <c r="AS216" s="171">
        <v>1</v>
      </c>
      <c r="AT216" s="171">
        <v>1</v>
      </c>
      <c r="AU216" s="171">
        <f t="shared" si="58"/>
        <v>0</v>
      </c>
      <c r="AV216" s="171">
        <f t="shared" si="59"/>
        <v>1</v>
      </c>
      <c r="AW216" s="171">
        <f t="shared" si="60"/>
        <v>1</v>
      </c>
      <c r="AX216" s="171">
        <f t="shared" si="53"/>
        <v>1</v>
      </c>
      <c r="AY216" s="171">
        <f t="shared" si="61"/>
        <v>0</v>
      </c>
      <c r="AZ216" s="171">
        <f t="shared" si="62"/>
        <v>1</v>
      </c>
      <c r="BA216" s="172">
        <f t="shared" si="63"/>
        <v>1</v>
      </c>
      <c r="BB216" s="175">
        <f t="shared" si="72"/>
        <v>18</v>
      </c>
      <c r="BC216" s="176">
        <f t="shared" si="73"/>
        <v>17</v>
      </c>
      <c r="BD216" s="176">
        <f t="shared" si="74"/>
        <v>18</v>
      </c>
      <c r="BE216" s="240" t="str">
        <f t="shared" si="79"/>
        <v/>
      </c>
      <c r="BH216" s="199">
        <f>IF(AND(Input_Product=Elig!$C216,Elig_MatchAll_Ct&lt;22,$BC216=(Elig_MatchAll_Ct-1),AF216=0),C216,0)</f>
        <v>0</v>
      </c>
      <c r="BI216" s="199">
        <f>IF(AND(Input_Product=Elig!$C216,Elig_MatchAll_Ct&lt;22,$BC216=(Elig_MatchAll_Ct-1),AG216=0),D216,0)</f>
        <v>0</v>
      </c>
      <c r="BJ216" s="199">
        <f>IF(AND(Input_Product=Elig!$C216,Elig_MatchAll_Ct&lt;22,$BC216=(Elig_MatchAll_Ct-1),AH216=0),E216,0)</f>
        <v>0</v>
      </c>
      <c r="BK216" s="199">
        <f>IF(AND(Input_Product=Elig!$C216,Elig_MatchAll_Ct&lt;22,$BC216=(Elig_MatchAll_Ct-1),AI216=0),F216,0)</f>
        <v>0</v>
      </c>
      <c r="BL216" s="199">
        <f>IF(AND(Input_Product=Elig!$C216,Elig_MatchAll_Ct&lt;22,$BC216=(Elig_MatchAll_Ct-1),AJ216=0),G216,0)</f>
        <v>0</v>
      </c>
      <c r="BM216" s="199">
        <f>IF(AND(Input_Product=Elig!$C216,Elig_MatchAll_Ct&lt;22,$BC216=(Elig_MatchAll_Ct-1),AK216=0),H216,0)</f>
        <v>0</v>
      </c>
      <c r="BN216" s="199">
        <f>IF(AND(Input_Product=Elig!$C216,Elig_MatchAll_Ct&lt;22,$BC216=(Elig_MatchAll_Ct-1),AL216=0),I216,0)</f>
        <v>0</v>
      </c>
      <c r="BO216" s="199">
        <f>IF(AND(Input_Product=Elig!$C216,Elig_MatchAll_Ct&lt;22,$BC216=(Elig_MatchAll_Ct-1),AM216=0),J216,0)</f>
        <v>0</v>
      </c>
      <c r="BP216" s="199">
        <f>IF(AND(Input_Product=Elig!$C216,Elig_MatchAll_Ct&lt;22,$BC216=(Elig_MatchAll_Ct-1),AN216=0),K216,0)</f>
        <v>0</v>
      </c>
      <c r="BQ216" s="199">
        <f>IF(AND(Input_Product=Elig!$C216,Elig_MatchAll_Ct&lt;22,$BC216=(Elig_MatchAll_Ct-1),AP216=0),L216,0)</f>
        <v>0</v>
      </c>
      <c r="BR216" s="199">
        <f>IF(AND(Input_Product=Elig!$C216,Elig_MatchAll_Ct&lt;22,$BC216=(Elig_MatchAll_Ct-1),AO216=0),M216,0)</f>
        <v>0</v>
      </c>
      <c r="BS216" s="199">
        <f>IF(AND(Input_Product=Elig!$C216,Elig_MatchAll_Ct&lt;22,$BC216=(Elig_MatchAll_Ct-1),AQ216=0),N216,0)</f>
        <v>0</v>
      </c>
      <c r="BT216" s="199">
        <f>IF(AND(Input_Product=Elig!$C216,Elig_MatchAll_Ct&lt;22,$BC216=(Elig_MatchAll_Ct-1),AR216=0),O216,0)</f>
        <v>0</v>
      </c>
      <c r="BU216" s="199">
        <f>IF(AND(Input_Product=Elig!$C216,Elig_MatchAll_Ct&lt;22,$BC216=(Elig_MatchAll_Ct-1),AS216=0),P216,0)</f>
        <v>0</v>
      </c>
      <c r="BV216" s="200">
        <f>IF(AND(Input_Product=Elig!$C216,Elig_MatchAll_Ct&lt;22,$BC216=(Elig_MatchAll_Ct-1),AT216=0),Q216,0)</f>
        <v>0</v>
      </c>
      <c r="BW216" s="201">
        <f>IF(AND(Input_Product=Elig!$C216,Elig_MatchAll_Ct&lt;22,$BC216=(Elig_MatchAll_Ct-1),AU216=0),R216,0)</f>
        <v>0</v>
      </c>
      <c r="BX216" s="202">
        <f>IF(AND(Input_Product=Elig!$C216,Elig_MatchAll_Ct&lt;22,$BC216=(Elig_MatchAll_Ct-1),AU216=0),S216,0)</f>
        <v>0</v>
      </c>
      <c r="BY216" s="201">
        <f>IF(AND(Input_Product=Elig!$C216,Elig_MatchAll_Ct&lt;22,$BC216=(Elig_MatchAll_Ct-1),AV216=0),T216,0)</f>
        <v>0</v>
      </c>
      <c r="BZ216" s="202">
        <f>IF(AND(Input_Product=Elig!$C216,Elig_MatchAll_Ct&lt;22,$BC216=(Elig_MatchAll_Ct-1),AV216=0),U216,0)</f>
        <v>0</v>
      </c>
      <c r="CA216" s="201">
        <f>IF(AND(Input_Product=Elig!$C216,Elig_MatchAll_Ct&lt;22,$BC216=(Elig_MatchAll_Ct-1),AW216=0),V216,0)</f>
        <v>0</v>
      </c>
      <c r="CB216" s="202">
        <f>IF(AND(Input_Product=Elig!$C216,Elig_MatchAll_Ct&lt;22,$BC216=(Elig_MatchAll_Ct-1),AW216=0),W216,0)</f>
        <v>0</v>
      </c>
      <c r="CC216" s="201">
        <f>IF(AND(Input_Product=Elig!$C216,Elig_MatchAll_Ct&lt;22,$BC216=(Elig_MatchAll_Ct-1),AX216=0),X216,0)</f>
        <v>0</v>
      </c>
      <c r="CD216" s="202">
        <f>IF(AND(Input_Product=Elig!$C216,Elig_MatchAll_Ct&lt;22,$BC216=(Elig_MatchAll_Ct-1),AX216=0),Y216,0)</f>
        <v>0</v>
      </c>
      <c r="CE216" s="201">
        <f>IF(AND(Input_LTV&lt;=AE216,Input_Product=Elig!$C216,Elig_MatchAll_Ct&lt;22,$BC216=(Elig_MatchAll_Ct-1),AY216=0),Z216,0)</f>
        <v>0</v>
      </c>
      <c r="CF216" s="202">
        <f>IF(AND(Input_LTV&lt;=AE216,Input_Product=Elig!$C216,Elig_MatchAll_Ct&lt;22,$BC216=(Elig_MatchAll_Ct-1),AY216=0),AA216,0)</f>
        <v>0</v>
      </c>
      <c r="CG216" s="201">
        <f>IF(AND(Input_Product=Elig!$C216,Elig_MatchAll_Ct&lt;22,$BC216=(Elig_MatchAll_Ct-1),AZ216=0),AB216,0)</f>
        <v>0</v>
      </c>
      <c r="CH216" s="202">
        <f>IF(AND(Input_Product=Elig!$C216,Elig_MatchAll_Ct&lt;22,$BC216=(Elig_MatchAll_Ct-1),AZ216=0),AC216,0)</f>
        <v>0</v>
      </c>
      <c r="CI216" s="201">
        <f>IF(AND(Input_Product=Elig!$C216,Elig_MatchAll_Ct&lt;22,$BC216=(Elig_MatchAll_Ct-1),BA216=0),AD216,0)</f>
        <v>0</v>
      </c>
      <c r="CJ216" s="202">
        <f>IF(AND(Input_Product=Elig!$C216,Elig_MatchAll_Ct&lt;22,$BC216=(Elig_MatchAll_Ct-1),BA216=0),AE216,0)</f>
        <v>0</v>
      </c>
    </row>
    <row r="217" spans="2:89" ht="10.15" customHeight="1" x14ac:dyDescent="0.25">
      <c r="B217" s="1912" t="s">
        <v>965</v>
      </c>
      <c r="C217" s="134" t="str">
        <f t="shared" si="56"/>
        <v>NonQM OO</v>
      </c>
      <c r="D217" s="135" t="s">
        <v>3885</v>
      </c>
      <c r="E217" s="135" t="s">
        <v>167</v>
      </c>
      <c r="F217" s="135" t="s">
        <v>331</v>
      </c>
      <c r="G217" s="135" t="s">
        <v>179</v>
      </c>
      <c r="H217" s="135" t="s">
        <v>136</v>
      </c>
      <c r="I217" s="136" t="s">
        <v>16</v>
      </c>
      <c r="J217" s="136" t="s">
        <v>1311</v>
      </c>
      <c r="K217" s="136" t="s">
        <v>1631</v>
      </c>
      <c r="L217" s="221" t="s">
        <v>3920</v>
      </c>
      <c r="M217" s="135" t="s">
        <v>4203</v>
      </c>
      <c r="N217" s="135" t="s">
        <v>82</v>
      </c>
      <c r="O217" s="135" t="s">
        <v>310</v>
      </c>
      <c r="P217" s="135" t="s">
        <v>291</v>
      </c>
      <c r="Q217" s="135" t="s">
        <v>294</v>
      </c>
      <c r="R217" s="135">
        <v>2000000.01</v>
      </c>
      <c r="S217" s="221">
        <v>2500000</v>
      </c>
      <c r="T217" s="135">
        <v>0</v>
      </c>
      <c r="U217" s="135">
        <f t="shared" ref="U217" si="96">S217</f>
        <v>2500000</v>
      </c>
      <c r="V217" s="135">
        <v>0</v>
      </c>
      <c r="W217" s="135">
        <v>55</v>
      </c>
      <c r="X217" s="135">
        <v>0</v>
      </c>
      <c r="Y217" s="135">
        <v>999</v>
      </c>
      <c r="Z217" s="2100">
        <v>680</v>
      </c>
      <c r="AA217" s="2100">
        <v>699</v>
      </c>
      <c r="AB217" s="137">
        <v>9</v>
      </c>
      <c r="AC217" s="137">
        <v>999999</v>
      </c>
      <c r="AD217" s="135">
        <v>0</v>
      </c>
      <c r="AE217" s="221">
        <v>65</v>
      </c>
      <c r="AF217" s="170">
        <v>0</v>
      </c>
      <c r="AG217" s="171">
        <v>1</v>
      </c>
      <c r="AH217" s="171">
        <v>1</v>
      </c>
      <c r="AI217" s="171">
        <v>1</v>
      </c>
      <c r="AJ217" s="171">
        <v>0</v>
      </c>
      <c r="AK217" s="171">
        <v>1</v>
      </c>
      <c r="AL217" s="171">
        <v>1</v>
      </c>
      <c r="AM217" s="171">
        <v>1</v>
      </c>
      <c r="AN217" s="171">
        <v>1</v>
      </c>
      <c r="AO217" s="171">
        <v>1</v>
      </c>
      <c r="AP217" s="171">
        <v>1</v>
      </c>
      <c r="AQ217" s="171">
        <v>1</v>
      </c>
      <c r="AR217" s="171">
        <v>1</v>
      </c>
      <c r="AS217" s="171">
        <v>1</v>
      </c>
      <c r="AT217" s="171">
        <v>1</v>
      </c>
      <c r="AU217" s="171">
        <f t="shared" si="58"/>
        <v>0</v>
      </c>
      <c r="AV217" s="171">
        <f t="shared" si="59"/>
        <v>1</v>
      </c>
      <c r="AW217" s="171">
        <f t="shared" si="60"/>
        <v>1</v>
      </c>
      <c r="AX217" s="171">
        <f t="shared" si="53"/>
        <v>1</v>
      </c>
      <c r="AY217" s="171">
        <f t="shared" si="61"/>
        <v>0</v>
      </c>
      <c r="AZ217" s="171">
        <f t="shared" si="62"/>
        <v>1</v>
      </c>
      <c r="BA217" s="172">
        <f t="shared" si="63"/>
        <v>1</v>
      </c>
      <c r="BB217" s="175">
        <f t="shared" ref="BB217" si="97">SUM(AF217:BA217)</f>
        <v>18</v>
      </c>
      <c r="BC217" s="176">
        <f t="shared" ref="BC217" si="98">SUM(AF217:AZ217)</f>
        <v>17</v>
      </c>
      <c r="BD217" s="176">
        <f t="shared" ref="BD217" si="99">SUM(AG217:BA217)</f>
        <v>18</v>
      </c>
      <c r="BE217" s="240" t="str">
        <f t="shared" si="79"/>
        <v/>
      </c>
      <c r="BH217" s="199">
        <f>IF(AND(Input_Product=Elig!$C217,Elig_MatchAll_Ct&lt;22,$BC217=(Elig_MatchAll_Ct-1),AF217=0),C217,0)</f>
        <v>0</v>
      </c>
      <c r="BI217" s="199">
        <f>IF(AND(Input_Product=Elig!$C217,Elig_MatchAll_Ct&lt;22,$BC217=(Elig_MatchAll_Ct-1),AG217=0),D217,0)</f>
        <v>0</v>
      </c>
      <c r="BJ217" s="199">
        <f>IF(AND(Input_Product=Elig!$C217,Elig_MatchAll_Ct&lt;22,$BC217=(Elig_MatchAll_Ct-1),AH217=0),E217,0)</f>
        <v>0</v>
      </c>
      <c r="BK217" s="199">
        <f>IF(AND(Input_Product=Elig!$C217,Elig_MatchAll_Ct&lt;22,$BC217=(Elig_MatchAll_Ct-1),AI217=0),F217,0)</f>
        <v>0</v>
      </c>
      <c r="BL217" s="199">
        <f>IF(AND(Input_Product=Elig!$C217,Elig_MatchAll_Ct&lt;22,$BC217=(Elig_MatchAll_Ct-1),AJ217=0),G217,0)</f>
        <v>0</v>
      </c>
      <c r="BM217" s="199">
        <f>IF(AND(Input_Product=Elig!$C217,Elig_MatchAll_Ct&lt;22,$BC217=(Elig_MatchAll_Ct-1),AK217=0),H217,0)</f>
        <v>0</v>
      </c>
      <c r="BN217" s="199">
        <f>IF(AND(Input_Product=Elig!$C217,Elig_MatchAll_Ct&lt;22,$BC217=(Elig_MatchAll_Ct-1),AL217=0),I217,0)</f>
        <v>0</v>
      </c>
      <c r="BO217" s="199">
        <f>IF(AND(Input_Product=Elig!$C217,Elig_MatchAll_Ct&lt;22,$BC217=(Elig_MatchAll_Ct-1),AM217=0),J217,0)</f>
        <v>0</v>
      </c>
      <c r="BP217" s="199">
        <f>IF(AND(Input_Product=Elig!$C217,Elig_MatchAll_Ct&lt;22,$BC217=(Elig_MatchAll_Ct-1),AN217=0),K217,0)</f>
        <v>0</v>
      </c>
      <c r="BQ217" s="199">
        <f>IF(AND(Input_Product=Elig!$C217,Elig_MatchAll_Ct&lt;22,$BC217=(Elig_MatchAll_Ct-1),AP217=0),L217,0)</f>
        <v>0</v>
      </c>
      <c r="BR217" s="199">
        <f>IF(AND(Input_Product=Elig!$C217,Elig_MatchAll_Ct&lt;22,$BC217=(Elig_MatchAll_Ct-1),AO217=0),M217,0)</f>
        <v>0</v>
      </c>
      <c r="BS217" s="199">
        <f>IF(AND(Input_Product=Elig!$C217,Elig_MatchAll_Ct&lt;22,$BC217=(Elig_MatchAll_Ct-1),AQ217=0),N217,0)</f>
        <v>0</v>
      </c>
      <c r="BT217" s="199">
        <f>IF(AND(Input_Product=Elig!$C217,Elig_MatchAll_Ct&lt;22,$BC217=(Elig_MatchAll_Ct-1),AR217=0),O217,0)</f>
        <v>0</v>
      </c>
      <c r="BU217" s="199">
        <f>IF(AND(Input_Product=Elig!$C217,Elig_MatchAll_Ct&lt;22,$BC217=(Elig_MatchAll_Ct-1),AS217=0),P217,0)</f>
        <v>0</v>
      </c>
      <c r="BV217" s="200">
        <f>IF(AND(Input_Product=Elig!$C217,Elig_MatchAll_Ct&lt;22,$BC217=(Elig_MatchAll_Ct-1),AT217=0),Q217,0)</f>
        <v>0</v>
      </c>
      <c r="BW217" s="201">
        <f>IF(AND(Input_Product=Elig!$C217,Elig_MatchAll_Ct&lt;22,$BC217=(Elig_MatchAll_Ct-1),AU217=0),R217,0)</f>
        <v>0</v>
      </c>
      <c r="BX217" s="202">
        <f>IF(AND(Input_Product=Elig!$C217,Elig_MatchAll_Ct&lt;22,$BC217=(Elig_MatchAll_Ct-1),AU217=0),S217,0)</f>
        <v>0</v>
      </c>
      <c r="BY217" s="201">
        <f>IF(AND(Input_Product=Elig!$C217,Elig_MatchAll_Ct&lt;22,$BC217=(Elig_MatchAll_Ct-1),AV217=0),T217,0)</f>
        <v>0</v>
      </c>
      <c r="BZ217" s="202">
        <f>IF(AND(Input_Product=Elig!$C217,Elig_MatchAll_Ct&lt;22,$BC217=(Elig_MatchAll_Ct-1),AV217=0),U217,0)</f>
        <v>0</v>
      </c>
      <c r="CA217" s="201">
        <f>IF(AND(Input_Product=Elig!$C217,Elig_MatchAll_Ct&lt;22,$BC217=(Elig_MatchAll_Ct-1),AW217=0),V217,0)</f>
        <v>0</v>
      </c>
      <c r="CB217" s="202">
        <f>IF(AND(Input_Product=Elig!$C217,Elig_MatchAll_Ct&lt;22,$BC217=(Elig_MatchAll_Ct-1),AW217=0),W217,0)</f>
        <v>0</v>
      </c>
      <c r="CC217" s="201">
        <f>IF(AND(Input_Product=Elig!$C217,Elig_MatchAll_Ct&lt;22,$BC217=(Elig_MatchAll_Ct-1),AX217=0),X217,0)</f>
        <v>0</v>
      </c>
      <c r="CD217" s="202">
        <f>IF(AND(Input_Product=Elig!$C217,Elig_MatchAll_Ct&lt;22,$BC217=(Elig_MatchAll_Ct-1),AX217=0),Y217,0)</f>
        <v>0</v>
      </c>
      <c r="CE217" s="201">
        <f>IF(AND(Input_LTV&lt;=AE217,Input_Product=Elig!$C217,Elig_MatchAll_Ct&lt;22,$BC217=(Elig_MatchAll_Ct-1),AY217=0),Z217,0)</f>
        <v>0</v>
      </c>
      <c r="CF217" s="202">
        <f>IF(AND(Input_LTV&lt;=AE217,Input_Product=Elig!$C217,Elig_MatchAll_Ct&lt;22,$BC217=(Elig_MatchAll_Ct-1),AY217=0),AA217,0)</f>
        <v>0</v>
      </c>
      <c r="CG217" s="201">
        <f>IF(AND(Input_Product=Elig!$C217,Elig_MatchAll_Ct&lt;22,$BC217=(Elig_MatchAll_Ct-1),AZ217=0),AB217,0)</f>
        <v>0</v>
      </c>
      <c r="CH217" s="202">
        <f>IF(AND(Input_Product=Elig!$C217,Elig_MatchAll_Ct&lt;22,$BC217=(Elig_MatchAll_Ct-1),AZ217=0),AC217,0)</f>
        <v>0</v>
      </c>
      <c r="CI217" s="201">
        <f>IF(AND(Input_Product=Elig!$C217,Elig_MatchAll_Ct&lt;22,$BC217=(Elig_MatchAll_Ct-1),BA217=0),AD217,0)</f>
        <v>0</v>
      </c>
      <c r="CJ217" s="202">
        <f>IF(AND(Input_Product=Elig!$C217,Elig_MatchAll_Ct&lt;22,$BC217=(Elig_MatchAll_Ct-1),BA217=0),AE217,0)</f>
        <v>0</v>
      </c>
    </row>
    <row r="218" spans="2:89" ht="10.15" customHeight="1" x14ac:dyDescent="0.25">
      <c r="B218" s="1912" t="s">
        <v>966</v>
      </c>
      <c r="C218" s="134" t="str">
        <f t="shared" si="56"/>
        <v>NonQM OO</v>
      </c>
      <c r="D218" s="135" t="s">
        <v>3885</v>
      </c>
      <c r="E218" s="135" t="s">
        <v>167</v>
      </c>
      <c r="F218" s="135" t="s">
        <v>331</v>
      </c>
      <c r="G218" s="135" t="s">
        <v>179</v>
      </c>
      <c r="H218" s="135" t="s">
        <v>136</v>
      </c>
      <c r="I218" s="136" t="s">
        <v>16</v>
      </c>
      <c r="J218" s="136" t="s">
        <v>1311</v>
      </c>
      <c r="K218" s="136" t="s">
        <v>1631</v>
      </c>
      <c r="L218" s="221" t="s">
        <v>3920</v>
      </c>
      <c r="M218" s="135" t="s">
        <v>4203</v>
      </c>
      <c r="N218" s="135" t="s">
        <v>82</v>
      </c>
      <c r="O218" s="135" t="s">
        <v>310</v>
      </c>
      <c r="P218" s="135" t="s">
        <v>291</v>
      </c>
      <c r="Q218" s="135" t="s">
        <v>294</v>
      </c>
      <c r="R218" s="135">
        <v>2000000.01</v>
      </c>
      <c r="S218" s="221">
        <v>2500000</v>
      </c>
      <c r="T218" s="135">
        <v>0</v>
      </c>
      <c r="U218" s="135">
        <f t="shared" si="95"/>
        <v>2500000</v>
      </c>
      <c r="V218" s="135">
        <v>0</v>
      </c>
      <c r="W218" s="135">
        <v>55</v>
      </c>
      <c r="X218" s="135">
        <v>0</v>
      </c>
      <c r="Y218" s="135">
        <v>999</v>
      </c>
      <c r="Z218" s="2100">
        <v>660</v>
      </c>
      <c r="AA218" s="2100">
        <v>679</v>
      </c>
      <c r="AB218" s="137">
        <v>9</v>
      </c>
      <c r="AC218" s="137">
        <v>999999</v>
      </c>
      <c r="AD218" s="135">
        <v>0</v>
      </c>
      <c r="AE218" s="221">
        <v>65</v>
      </c>
      <c r="AF218" s="170">
        <v>0</v>
      </c>
      <c r="AG218" s="171">
        <v>1</v>
      </c>
      <c r="AH218" s="171">
        <v>1</v>
      </c>
      <c r="AI218" s="171">
        <v>1</v>
      </c>
      <c r="AJ218" s="171">
        <v>0</v>
      </c>
      <c r="AK218" s="171">
        <v>1</v>
      </c>
      <c r="AL218" s="171">
        <v>1</v>
      </c>
      <c r="AM218" s="171">
        <v>1</v>
      </c>
      <c r="AN218" s="171">
        <v>1</v>
      </c>
      <c r="AO218" s="171">
        <v>1</v>
      </c>
      <c r="AP218" s="171">
        <v>1</v>
      </c>
      <c r="AQ218" s="171">
        <v>1</v>
      </c>
      <c r="AR218" s="171">
        <v>1</v>
      </c>
      <c r="AS218" s="171">
        <v>1</v>
      </c>
      <c r="AT218" s="171">
        <v>1</v>
      </c>
      <c r="AU218" s="171">
        <f t="shared" si="58"/>
        <v>0</v>
      </c>
      <c r="AV218" s="171">
        <f t="shared" si="59"/>
        <v>1</v>
      </c>
      <c r="AW218" s="171">
        <f t="shared" si="60"/>
        <v>1</v>
      </c>
      <c r="AX218" s="171">
        <f t="shared" si="53"/>
        <v>1</v>
      </c>
      <c r="AY218" s="171">
        <f t="shared" si="61"/>
        <v>0</v>
      </c>
      <c r="AZ218" s="171">
        <f t="shared" si="62"/>
        <v>1</v>
      </c>
      <c r="BA218" s="172">
        <f t="shared" si="63"/>
        <v>1</v>
      </c>
      <c r="BB218" s="175">
        <f t="shared" si="72"/>
        <v>18</v>
      </c>
      <c r="BC218" s="176">
        <f t="shared" si="73"/>
        <v>17</v>
      </c>
      <c r="BD218" s="176">
        <f t="shared" si="74"/>
        <v>18</v>
      </c>
      <c r="BE218" s="240" t="str">
        <f t="shared" si="79"/>
        <v/>
      </c>
      <c r="BH218" s="214">
        <f>IF(AND(Input_Product=Elig!$C218,Elig_MatchAll_Ct&lt;22,$BC218=(Elig_MatchAll_Ct-1),AF218=0),C218,0)</f>
        <v>0</v>
      </c>
      <c r="BI218" s="214">
        <f>IF(AND(Input_Product=Elig!$C218,Elig_MatchAll_Ct&lt;22,$BC218=(Elig_MatchAll_Ct-1),AG218=0),D218,0)</f>
        <v>0</v>
      </c>
      <c r="BJ218" s="214">
        <f>IF(AND(Input_Product=Elig!$C218,Elig_MatchAll_Ct&lt;22,$BC218=(Elig_MatchAll_Ct-1),AH218=0),E218,0)</f>
        <v>0</v>
      </c>
      <c r="BK218" s="214">
        <f>IF(AND(Input_Product=Elig!$C218,Elig_MatchAll_Ct&lt;22,$BC218=(Elig_MatchAll_Ct-1),AI218=0),F218,0)</f>
        <v>0</v>
      </c>
      <c r="BL218" s="214">
        <f>IF(AND(Input_Product=Elig!$C218,Elig_MatchAll_Ct&lt;22,$BC218=(Elig_MatchAll_Ct-1),AJ218=0),G218,0)</f>
        <v>0</v>
      </c>
      <c r="BM218" s="214">
        <f>IF(AND(Input_Product=Elig!$C218,Elig_MatchAll_Ct&lt;22,$BC218=(Elig_MatchAll_Ct-1),AK218=0),H218,0)</f>
        <v>0</v>
      </c>
      <c r="BN218" s="214">
        <f>IF(AND(Input_Product=Elig!$C218,Elig_MatchAll_Ct&lt;22,$BC218=(Elig_MatchAll_Ct-1),AL218=0),I218,0)</f>
        <v>0</v>
      </c>
      <c r="BO218" s="214">
        <f>IF(AND(Input_Product=Elig!$C218,Elig_MatchAll_Ct&lt;22,$BC218=(Elig_MatchAll_Ct-1),AM218=0),J218,0)</f>
        <v>0</v>
      </c>
      <c r="BP218" s="214">
        <f>IF(AND(Input_Product=Elig!$C218,Elig_MatchAll_Ct&lt;22,$BC218=(Elig_MatchAll_Ct-1),AN218=0),K218,0)</f>
        <v>0</v>
      </c>
      <c r="BQ218" s="214">
        <f>IF(AND(Input_Product=Elig!$C218,Elig_MatchAll_Ct&lt;22,$BC218=(Elig_MatchAll_Ct-1),AP218=0),L218,0)</f>
        <v>0</v>
      </c>
      <c r="BR218" s="214">
        <f>IF(AND(Input_Product=Elig!$C218,Elig_MatchAll_Ct&lt;22,$BC218=(Elig_MatchAll_Ct-1),AO218=0),M218,0)</f>
        <v>0</v>
      </c>
      <c r="BS218" s="214">
        <f>IF(AND(Input_Product=Elig!$C218,Elig_MatchAll_Ct&lt;22,$BC218=(Elig_MatchAll_Ct-1),AQ218=0),N218,0)</f>
        <v>0</v>
      </c>
      <c r="BT218" s="214">
        <f>IF(AND(Input_Product=Elig!$C218,Elig_MatchAll_Ct&lt;22,$BC218=(Elig_MatchAll_Ct-1),AR218=0),O218,0)</f>
        <v>0</v>
      </c>
      <c r="BU218" s="214">
        <f>IF(AND(Input_Product=Elig!$C218,Elig_MatchAll_Ct&lt;22,$BC218=(Elig_MatchAll_Ct-1),AS218=0),P218,0)</f>
        <v>0</v>
      </c>
      <c r="BV218" s="215">
        <f>IF(AND(Input_Product=Elig!$C218,Elig_MatchAll_Ct&lt;22,$BC218=(Elig_MatchAll_Ct-1),AT218=0),Q218,0)</f>
        <v>0</v>
      </c>
      <c r="BW218" s="311">
        <f>IF(AND(Input_Product=Elig!$C218,Elig_MatchAll_Ct&lt;22,$BC218=(Elig_MatchAll_Ct-1),AU218=0),R218,0)</f>
        <v>0</v>
      </c>
      <c r="BX218" s="312">
        <f>IF(AND(Input_Product=Elig!$C218,Elig_MatchAll_Ct&lt;22,$BC218=(Elig_MatchAll_Ct-1),AU218=0),S218,0)</f>
        <v>0</v>
      </c>
      <c r="BY218" s="311">
        <f>IF(AND(Input_Product=Elig!$C218,Elig_MatchAll_Ct&lt;22,$BC218=(Elig_MatchAll_Ct-1),AV218=0),T218,0)</f>
        <v>0</v>
      </c>
      <c r="BZ218" s="312">
        <f>IF(AND(Input_Product=Elig!$C218,Elig_MatchAll_Ct&lt;22,$BC218=(Elig_MatchAll_Ct-1),AV218=0),U218,0)</f>
        <v>0</v>
      </c>
      <c r="CA218" s="311">
        <f>IF(AND(Input_Product=Elig!$C218,Elig_MatchAll_Ct&lt;22,$BC218=(Elig_MatchAll_Ct-1),AW218=0),V218,0)</f>
        <v>0</v>
      </c>
      <c r="CB218" s="312">
        <f>IF(AND(Input_Product=Elig!$C218,Elig_MatchAll_Ct&lt;22,$BC218=(Elig_MatchAll_Ct-1),AW218=0),W218,0)</f>
        <v>0</v>
      </c>
      <c r="CC218" s="311">
        <f>IF(AND(Input_Product=Elig!$C218,Elig_MatchAll_Ct&lt;22,$BC218=(Elig_MatchAll_Ct-1),AX218=0),X218,0)</f>
        <v>0</v>
      </c>
      <c r="CD218" s="312">
        <f>IF(AND(Input_Product=Elig!$C218,Elig_MatchAll_Ct&lt;22,$BC218=(Elig_MatchAll_Ct-1),AX218=0),Y218,0)</f>
        <v>0</v>
      </c>
      <c r="CE218" s="311">
        <f>IF(AND(Input_LTV&lt;=AE218,Input_Product=Elig!$C218,Elig_MatchAll_Ct&lt;22,$BC218=(Elig_MatchAll_Ct-1),AY218=0),Z218,0)</f>
        <v>0</v>
      </c>
      <c r="CF218" s="312">
        <f>IF(AND(Input_LTV&lt;=AE218,Input_Product=Elig!$C218,Elig_MatchAll_Ct&lt;22,$BC218=(Elig_MatchAll_Ct-1),AY218=0),AA218,0)</f>
        <v>0</v>
      </c>
      <c r="CG218" s="311">
        <f>IF(AND(Input_Product=Elig!$C218,Elig_MatchAll_Ct&lt;22,$BC218=(Elig_MatchAll_Ct-1),AZ218=0),AB218,0)</f>
        <v>0</v>
      </c>
      <c r="CH218" s="312">
        <f>IF(AND(Input_Product=Elig!$C218,Elig_MatchAll_Ct&lt;22,$BC218=(Elig_MatchAll_Ct-1),AZ218=0),AC218,0)</f>
        <v>0</v>
      </c>
      <c r="CI218" s="311">
        <f>IF(AND(Input_Product=Elig!$C218,Elig_MatchAll_Ct&lt;22,$BC218=(Elig_MatchAll_Ct-1),BA218=0),AD218,0)</f>
        <v>0</v>
      </c>
      <c r="CJ218" s="312">
        <f>IF(AND(Input_Product=Elig!$C218,Elig_MatchAll_Ct&lt;22,$BC218=(Elig_MatchAll_Ct-1),BA218=0),AE218,0)</f>
        <v>0</v>
      </c>
    </row>
    <row r="219" spans="2:89" ht="10.15" customHeight="1" x14ac:dyDescent="0.25">
      <c r="B219" s="1912" t="s">
        <v>967</v>
      </c>
      <c r="C219" s="141" t="str">
        <f t="shared" si="56"/>
        <v>NonQM OO</v>
      </c>
      <c r="D219" s="142" t="s">
        <v>3885</v>
      </c>
      <c r="E219" s="143" t="s">
        <v>167</v>
      </c>
      <c r="F219" s="143" t="s">
        <v>331</v>
      </c>
      <c r="G219" s="143" t="s">
        <v>473</v>
      </c>
      <c r="H219" s="143" t="s">
        <v>136</v>
      </c>
      <c r="I219" s="142" t="s">
        <v>274</v>
      </c>
      <c r="J219" s="142" t="s">
        <v>1311</v>
      </c>
      <c r="K219" s="142" t="s">
        <v>1631</v>
      </c>
      <c r="L219" s="2131" t="s">
        <v>3920</v>
      </c>
      <c r="M219" s="143" t="s">
        <v>4203</v>
      </c>
      <c r="N219" s="143" t="s">
        <v>82</v>
      </c>
      <c r="O219" s="143" t="s">
        <v>310</v>
      </c>
      <c r="P219" s="143" t="s">
        <v>291</v>
      </c>
      <c r="Q219" s="143" t="s">
        <v>294</v>
      </c>
      <c r="R219" s="142">
        <v>2000000.01</v>
      </c>
      <c r="S219" s="320">
        <v>2500000</v>
      </c>
      <c r="T219" s="142">
        <v>0</v>
      </c>
      <c r="U219" s="142">
        <v>0</v>
      </c>
      <c r="V219" s="142">
        <v>0</v>
      </c>
      <c r="W219" s="142">
        <v>55</v>
      </c>
      <c r="X219" s="142">
        <v>0</v>
      </c>
      <c r="Y219" s="142">
        <v>999</v>
      </c>
      <c r="Z219" s="144">
        <v>720</v>
      </c>
      <c r="AA219" s="144">
        <v>999</v>
      </c>
      <c r="AB219" s="144">
        <v>9</v>
      </c>
      <c r="AC219" s="144">
        <v>999999</v>
      </c>
      <c r="AD219" s="142">
        <v>0</v>
      </c>
      <c r="AE219" s="142">
        <v>70</v>
      </c>
      <c r="AF219" s="170">
        <v>0</v>
      </c>
      <c r="AG219" s="171">
        <v>1</v>
      </c>
      <c r="AH219" s="171">
        <v>1</v>
      </c>
      <c r="AI219" s="171">
        <v>1</v>
      </c>
      <c r="AJ219" s="171">
        <v>0</v>
      </c>
      <c r="AK219" s="171">
        <v>1</v>
      </c>
      <c r="AL219" s="171">
        <v>0</v>
      </c>
      <c r="AM219" s="171">
        <v>1</v>
      </c>
      <c r="AN219" s="171">
        <v>1</v>
      </c>
      <c r="AO219" s="171">
        <v>1</v>
      </c>
      <c r="AP219" s="171">
        <v>1</v>
      </c>
      <c r="AQ219" s="171">
        <v>1</v>
      </c>
      <c r="AR219" s="171">
        <v>1</v>
      </c>
      <c r="AS219" s="171">
        <v>1</v>
      </c>
      <c r="AT219" s="171">
        <v>1</v>
      </c>
      <c r="AU219" s="171">
        <f t="shared" si="58"/>
        <v>0</v>
      </c>
      <c r="AV219" s="171">
        <f t="shared" si="59"/>
        <v>0</v>
      </c>
      <c r="AW219" s="171">
        <f t="shared" si="60"/>
        <v>1</v>
      </c>
      <c r="AX219" s="171">
        <f t="shared" ref="AX219:AX344" si="100">IF(AND(Input_DSCR&gt;=Elig_DSCR_Min,Input_DSCR&lt;=Elig_DSCR_Max),1,0)</f>
        <v>1</v>
      </c>
      <c r="AY219" s="171">
        <f t="shared" si="61"/>
        <v>1</v>
      </c>
      <c r="AZ219" s="171">
        <f t="shared" si="62"/>
        <v>1</v>
      </c>
      <c r="BA219" s="172">
        <f t="shared" si="63"/>
        <v>1</v>
      </c>
      <c r="BB219" s="175">
        <f t="shared" si="72"/>
        <v>17</v>
      </c>
      <c r="BC219" s="176">
        <f t="shared" si="73"/>
        <v>16</v>
      </c>
      <c r="BD219" s="176">
        <f t="shared" si="74"/>
        <v>17</v>
      </c>
      <c r="BE219" s="240" t="str">
        <f t="shared" si="79"/>
        <v/>
      </c>
      <c r="BH219" s="210">
        <f>IF(AND(Input_Product=Elig!$C219,Elig_MatchAll_Ct&lt;22,$BC219=(Elig_MatchAll_Ct-1),AF219=0),C219,0)</f>
        <v>0</v>
      </c>
      <c r="BI219" s="210">
        <f>IF(AND(Input_Product=Elig!$C219,Elig_MatchAll_Ct&lt;22,$BC219=(Elig_MatchAll_Ct-1),AG219=0),D219,0)</f>
        <v>0</v>
      </c>
      <c r="BJ219" s="210">
        <f>IF(AND(Input_Product=Elig!$C219,Elig_MatchAll_Ct&lt;22,$BC219=(Elig_MatchAll_Ct-1),AH219=0),E219,0)</f>
        <v>0</v>
      </c>
      <c r="BK219" s="210">
        <f>IF(AND(Input_Product=Elig!$C219,Elig_MatchAll_Ct&lt;22,$BC219=(Elig_MatchAll_Ct-1),AI219=0),F219,0)</f>
        <v>0</v>
      </c>
      <c r="BL219" s="210">
        <f>IF(AND(Input_Product=Elig!$C219,Elig_MatchAll_Ct&lt;22,$BC219=(Elig_MatchAll_Ct-1),AJ219=0),G219,0)</f>
        <v>0</v>
      </c>
      <c r="BM219" s="210">
        <f>IF(AND(Input_Product=Elig!$C219,Elig_MatchAll_Ct&lt;22,$BC219=(Elig_MatchAll_Ct-1),AK219=0),H219,0)</f>
        <v>0</v>
      </c>
      <c r="BN219" s="210">
        <f>IF(AND(Input_Product=Elig!$C219,Elig_MatchAll_Ct&lt;22,$BC219=(Elig_MatchAll_Ct-1),AL219=0),I219,0)</f>
        <v>0</v>
      </c>
      <c r="BO219" s="210">
        <f>IF(AND(Input_Product=Elig!$C219,Elig_MatchAll_Ct&lt;22,$BC219=(Elig_MatchAll_Ct-1),AM219=0),J219,0)</f>
        <v>0</v>
      </c>
      <c r="BP219" s="210">
        <f>IF(AND(Input_Product=Elig!$C219,Elig_MatchAll_Ct&lt;22,$BC219=(Elig_MatchAll_Ct-1),AN219=0),K219,0)</f>
        <v>0</v>
      </c>
      <c r="BQ219" s="210">
        <f>IF(AND(Input_Product=Elig!$C219,Elig_MatchAll_Ct&lt;22,$BC219=(Elig_MatchAll_Ct-1),AP219=0),L219,0)</f>
        <v>0</v>
      </c>
      <c r="BR219" s="210">
        <f>IF(AND(Input_Product=Elig!$C219,Elig_MatchAll_Ct&lt;22,$BC219=(Elig_MatchAll_Ct-1),AO219=0),M219,0)</f>
        <v>0</v>
      </c>
      <c r="BS219" s="210">
        <f>IF(AND(Input_Product=Elig!$C219,Elig_MatchAll_Ct&lt;22,$BC219=(Elig_MatchAll_Ct-1),AQ219=0),N219,0)</f>
        <v>0</v>
      </c>
      <c r="BT219" s="210">
        <f>IF(AND(Input_Product=Elig!$C219,Elig_MatchAll_Ct&lt;22,$BC219=(Elig_MatchAll_Ct-1),AR219=0),O219,0)</f>
        <v>0</v>
      </c>
      <c r="BU219" s="210">
        <f>IF(AND(Input_Product=Elig!$C219,Elig_MatchAll_Ct&lt;22,$BC219=(Elig_MatchAll_Ct-1),AS219=0),P219,0)</f>
        <v>0</v>
      </c>
      <c r="BV219" s="211">
        <f>IF(AND(Input_Product=Elig!$C219,Elig_MatchAll_Ct&lt;22,$BC219=(Elig_MatchAll_Ct-1),AT219=0),Q219,0)</f>
        <v>0</v>
      </c>
      <c r="BW219" s="212">
        <f>IF(AND(Input_Product=Elig!$C219,Elig_MatchAll_Ct&lt;22,$BC219=(Elig_MatchAll_Ct-1),AU219=0),R219,0)</f>
        <v>0</v>
      </c>
      <c r="BX219" s="213">
        <f>IF(AND(Input_Product=Elig!$C219,Elig_MatchAll_Ct&lt;22,$BC219=(Elig_MatchAll_Ct-1),AU219=0),S219,0)</f>
        <v>0</v>
      </c>
      <c r="BY219" s="212">
        <f>IF(AND(Input_Product=Elig!$C219,Elig_MatchAll_Ct&lt;22,$BC219=(Elig_MatchAll_Ct-1),AV219=0),T219,0)</f>
        <v>0</v>
      </c>
      <c r="BZ219" s="213">
        <f>IF(AND(Input_Product=Elig!$C219,Elig_MatchAll_Ct&lt;22,$BC219=(Elig_MatchAll_Ct-1),AV219=0),U219,0)</f>
        <v>0</v>
      </c>
      <c r="CA219" s="212">
        <f>IF(AND(Input_Product=Elig!$C219,Elig_MatchAll_Ct&lt;22,$BC219=(Elig_MatchAll_Ct-1),AW219=0),V219,0)</f>
        <v>0</v>
      </c>
      <c r="CB219" s="213">
        <f>IF(AND(Input_Product=Elig!$C219,Elig_MatchAll_Ct&lt;22,$BC219=(Elig_MatchAll_Ct-1),AW219=0),W219,0)</f>
        <v>0</v>
      </c>
      <c r="CC219" s="212">
        <f>IF(AND(Input_Product=Elig!$C219,Elig_MatchAll_Ct&lt;22,$BC219=(Elig_MatchAll_Ct-1),AX219=0),X219,0)</f>
        <v>0</v>
      </c>
      <c r="CD219" s="213">
        <f>IF(AND(Input_Product=Elig!$C219,Elig_MatchAll_Ct&lt;22,$BC219=(Elig_MatchAll_Ct-1),AX219=0),Y219,0)</f>
        <v>0</v>
      </c>
      <c r="CE219" s="212">
        <f>IF(AND(Input_LTV&lt;=AE219,Input_Product=Elig!$C219,Elig_MatchAll_Ct&lt;22,$BC219=(Elig_MatchAll_Ct-1),AY219=0),Z219,0)</f>
        <v>0</v>
      </c>
      <c r="CF219" s="213">
        <f>IF(AND(Input_LTV&lt;=AE219,Input_Product=Elig!$C219,Elig_MatchAll_Ct&lt;22,$BC219=(Elig_MatchAll_Ct-1),AY219=0),AA219,0)</f>
        <v>0</v>
      </c>
      <c r="CG219" s="212">
        <f>IF(AND(Input_Product=Elig!$C219,Elig_MatchAll_Ct&lt;22,$BC219=(Elig_MatchAll_Ct-1),AZ219=0),AB219,0)</f>
        <v>0</v>
      </c>
      <c r="CH219" s="213">
        <f>IF(AND(Input_Product=Elig!$C219,Elig_MatchAll_Ct&lt;22,$BC219=(Elig_MatchAll_Ct-1),AZ219=0),AC219,0)</f>
        <v>0</v>
      </c>
      <c r="CI219" s="212">
        <f>IF(AND(Input_Product=Elig!$C219,Elig_MatchAll_Ct&lt;22,$BC219=(Elig_MatchAll_Ct-1),BA219=0),AD219,0)</f>
        <v>0</v>
      </c>
      <c r="CJ219" s="213">
        <f>IF(AND(Input_Product=Elig!$C219,Elig_MatchAll_Ct&lt;22,$BC219=(Elig_MatchAll_Ct-1),BA219=0),AE219,0)</f>
        <v>0</v>
      </c>
    </row>
    <row r="220" spans="2:89" ht="10.15" customHeight="1" x14ac:dyDescent="0.25">
      <c r="B220" s="1912" t="s">
        <v>968</v>
      </c>
      <c r="C220" s="134" t="str">
        <f t="shared" si="56"/>
        <v>NonQM OO</v>
      </c>
      <c r="D220" s="135" t="s">
        <v>3885</v>
      </c>
      <c r="E220" s="135" t="s">
        <v>167</v>
      </c>
      <c r="F220" s="135" t="s">
        <v>331</v>
      </c>
      <c r="G220" s="135" t="s">
        <v>473</v>
      </c>
      <c r="H220" s="135" t="s">
        <v>136</v>
      </c>
      <c r="I220" s="136" t="s">
        <v>274</v>
      </c>
      <c r="J220" s="136" t="s">
        <v>1311</v>
      </c>
      <c r="K220" s="136" t="s">
        <v>1631</v>
      </c>
      <c r="L220" s="221" t="s">
        <v>3920</v>
      </c>
      <c r="M220" s="135" t="s">
        <v>4203</v>
      </c>
      <c r="N220" s="135" t="s">
        <v>82</v>
      </c>
      <c r="O220" s="135" t="s">
        <v>310</v>
      </c>
      <c r="P220" s="135" t="s">
        <v>291</v>
      </c>
      <c r="Q220" s="135" t="s">
        <v>294</v>
      </c>
      <c r="R220" s="135">
        <v>2000000.01</v>
      </c>
      <c r="S220" s="221">
        <v>2500000</v>
      </c>
      <c r="T220" s="135">
        <v>0</v>
      </c>
      <c r="U220" s="135">
        <v>0</v>
      </c>
      <c r="V220" s="135">
        <v>0</v>
      </c>
      <c r="W220" s="135">
        <v>55</v>
      </c>
      <c r="X220" s="135">
        <v>0</v>
      </c>
      <c r="Y220" s="135">
        <v>999</v>
      </c>
      <c r="Z220" s="137">
        <v>700</v>
      </c>
      <c r="AA220" s="137">
        <v>719</v>
      </c>
      <c r="AB220" s="137">
        <v>9</v>
      </c>
      <c r="AC220" s="137">
        <v>999999</v>
      </c>
      <c r="AD220" s="135">
        <v>0</v>
      </c>
      <c r="AE220" s="135">
        <v>70</v>
      </c>
      <c r="AF220" s="170">
        <v>0</v>
      </c>
      <c r="AG220" s="171">
        <v>1</v>
      </c>
      <c r="AH220" s="171">
        <v>1</v>
      </c>
      <c r="AI220" s="171">
        <v>1</v>
      </c>
      <c r="AJ220" s="171">
        <v>0</v>
      </c>
      <c r="AK220" s="171">
        <v>1</v>
      </c>
      <c r="AL220" s="171">
        <v>0</v>
      </c>
      <c r="AM220" s="171">
        <v>1</v>
      </c>
      <c r="AN220" s="171">
        <v>1</v>
      </c>
      <c r="AO220" s="171">
        <v>1</v>
      </c>
      <c r="AP220" s="171">
        <v>1</v>
      </c>
      <c r="AQ220" s="171">
        <v>1</v>
      </c>
      <c r="AR220" s="171">
        <v>1</v>
      </c>
      <c r="AS220" s="171">
        <v>1</v>
      </c>
      <c r="AT220" s="171">
        <v>1</v>
      </c>
      <c r="AU220" s="171">
        <f t="shared" si="58"/>
        <v>0</v>
      </c>
      <c r="AV220" s="171">
        <f t="shared" si="59"/>
        <v>0</v>
      </c>
      <c r="AW220" s="171">
        <f t="shared" si="60"/>
        <v>1</v>
      </c>
      <c r="AX220" s="171">
        <f t="shared" si="100"/>
        <v>1</v>
      </c>
      <c r="AY220" s="171">
        <f t="shared" si="61"/>
        <v>0</v>
      </c>
      <c r="AZ220" s="171">
        <f t="shared" si="62"/>
        <v>1</v>
      </c>
      <c r="BA220" s="172">
        <f t="shared" si="63"/>
        <v>1</v>
      </c>
      <c r="BB220" s="175">
        <f t="shared" si="72"/>
        <v>16</v>
      </c>
      <c r="BC220" s="176">
        <f t="shared" si="73"/>
        <v>15</v>
      </c>
      <c r="BD220" s="176">
        <f t="shared" si="74"/>
        <v>16</v>
      </c>
      <c r="BE220" s="240" t="str">
        <f t="shared" si="79"/>
        <v/>
      </c>
      <c r="BH220" s="199">
        <f>IF(AND(Input_Product=Elig!$C220,Elig_MatchAll_Ct&lt;22,$BC220=(Elig_MatchAll_Ct-1),AF220=0),C220,0)</f>
        <v>0</v>
      </c>
      <c r="BI220" s="199">
        <f>IF(AND(Input_Product=Elig!$C220,Elig_MatchAll_Ct&lt;22,$BC220=(Elig_MatchAll_Ct-1),AG220=0),D220,0)</f>
        <v>0</v>
      </c>
      <c r="BJ220" s="199">
        <f>IF(AND(Input_Product=Elig!$C220,Elig_MatchAll_Ct&lt;22,$BC220=(Elig_MatchAll_Ct-1),AH220=0),E220,0)</f>
        <v>0</v>
      </c>
      <c r="BK220" s="199">
        <f>IF(AND(Input_Product=Elig!$C220,Elig_MatchAll_Ct&lt;22,$BC220=(Elig_MatchAll_Ct-1),AI220=0),F220,0)</f>
        <v>0</v>
      </c>
      <c r="BL220" s="199">
        <f>IF(AND(Input_Product=Elig!$C220,Elig_MatchAll_Ct&lt;22,$BC220=(Elig_MatchAll_Ct-1),AJ220=0),G220,0)</f>
        <v>0</v>
      </c>
      <c r="BM220" s="199">
        <f>IF(AND(Input_Product=Elig!$C220,Elig_MatchAll_Ct&lt;22,$BC220=(Elig_MatchAll_Ct-1),AK220=0),H220,0)</f>
        <v>0</v>
      </c>
      <c r="BN220" s="199">
        <f>IF(AND(Input_Product=Elig!$C220,Elig_MatchAll_Ct&lt;22,$BC220=(Elig_MatchAll_Ct-1),AL220=0),I220,0)</f>
        <v>0</v>
      </c>
      <c r="BO220" s="199">
        <f>IF(AND(Input_Product=Elig!$C220,Elig_MatchAll_Ct&lt;22,$BC220=(Elig_MatchAll_Ct-1),AM220=0),J220,0)</f>
        <v>0</v>
      </c>
      <c r="BP220" s="199">
        <f>IF(AND(Input_Product=Elig!$C220,Elig_MatchAll_Ct&lt;22,$BC220=(Elig_MatchAll_Ct-1),AN220=0),K220,0)</f>
        <v>0</v>
      </c>
      <c r="BQ220" s="199">
        <f>IF(AND(Input_Product=Elig!$C220,Elig_MatchAll_Ct&lt;22,$BC220=(Elig_MatchAll_Ct-1),AP220=0),L220,0)</f>
        <v>0</v>
      </c>
      <c r="BR220" s="199">
        <f>IF(AND(Input_Product=Elig!$C220,Elig_MatchAll_Ct&lt;22,$BC220=(Elig_MatchAll_Ct-1),AO220=0),M220,0)</f>
        <v>0</v>
      </c>
      <c r="BS220" s="199">
        <f>IF(AND(Input_Product=Elig!$C220,Elig_MatchAll_Ct&lt;22,$BC220=(Elig_MatchAll_Ct-1),AQ220=0),N220,0)</f>
        <v>0</v>
      </c>
      <c r="BT220" s="199">
        <f>IF(AND(Input_Product=Elig!$C220,Elig_MatchAll_Ct&lt;22,$BC220=(Elig_MatchAll_Ct-1),AR220=0),O220,0)</f>
        <v>0</v>
      </c>
      <c r="BU220" s="199">
        <f>IF(AND(Input_Product=Elig!$C220,Elig_MatchAll_Ct&lt;22,$BC220=(Elig_MatchAll_Ct-1),AS220=0),P220,0)</f>
        <v>0</v>
      </c>
      <c r="BV220" s="200">
        <f>IF(AND(Input_Product=Elig!$C220,Elig_MatchAll_Ct&lt;22,$BC220=(Elig_MatchAll_Ct-1),AT220=0),Q220,0)</f>
        <v>0</v>
      </c>
      <c r="BW220" s="201">
        <f>IF(AND(Input_Product=Elig!$C220,Elig_MatchAll_Ct&lt;22,$BC220=(Elig_MatchAll_Ct-1),AU220=0),R220,0)</f>
        <v>0</v>
      </c>
      <c r="BX220" s="202">
        <f>IF(AND(Input_Product=Elig!$C220,Elig_MatchAll_Ct&lt;22,$BC220=(Elig_MatchAll_Ct-1),AU220=0),S220,0)</f>
        <v>0</v>
      </c>
      <c r="BY220" s="201">
        <f>IF(AND(Input_Product=Elig!$C220,Elig_MatchAll_Ct&lt;22,$BC220=(Elig_MatchAll_Ct-1),AV220=0),T220,0)</f>
        <v>0</v>
      </c>
      <c r="BZ220" s="202">
        <f>IF(AND(Input_Product=Elig!$C220,Elig_MatchAll_Ct&lt;22,$BC220=(Elig_MatchAll_Ct-1),AV220=0),U220,0)</f>
        <v>0</v>
      </c>
      <c r="CA220" s="201">
        <f>IF(AND(Input_Product=Elig!$C220,Elig_MatchAll_Ct&lt;22,$BC220=(Elig_MatchAll_Ct-1),AW220=0),V220,0)</f>
        <v>0</v>
      </c>
      <c r="CB220" s="202">
        <f>IF(AND(Input_Product=Elig!$C220,Elig_MatchAll_Ct&lt;22,$BC220=(Elig_MatchAll_Ct-1),AW220=0),W220,0)</f>
        <v>0</v>
      </c>
      <c r="CC220" s="201">
        <f>IF(AND(Input_Product=Elig!$C220,Elig_MatchAll_Ct&lt;22,$BC220=(Elig_MatchAll_Ct-1),AX220=0),X220,0)</f>
        <v>0</v>
      </c>
      <c r="CD220" s="202">
        <f>IF(AND(Input_Product=Elig!$C220,Elig_MatchAll_Ct&lt;22,$BC220=(Elig_MatchAll_Ct-1),AX220=0),Y220,0)</f>
        <v>0</v>
      </c>
      <c r="CE220" s="201">
        <f>IF(AND(Input_LTV&lt;=AE220,Input_Product=Elig!$C220,Elig_MatchAll_Ct&lt;22,$BC220=(Elig_MatchAll_Ct-1),AY220=0),Z220,0)</f>
        <v>0</v>
      </c>
      <c r="CF220" s="202">
        <f>IF(AND(Input_LTV&lt;=AE220,Input_Product=Elig!$C220,Elig_MatchAll_Ct&lt;22,$BC220=(Elig_MatchAll_Ct-1),AY220=0),AA220,0)</f>
        <v>0</v>
      </c>
      <c r="CG220" s="201">
        <f>IF(AND(Input_Product=Elig!$C220,Elig_MatchAll_Ct&lt;22,$BC220=(Elig_MatchAll_Ct-1),AZ220=0),AB220,0)</f>
        <v>0</v>
      </c>
      <c r="CH220" s="202">
        <f>IF(AND(Input_Product=Elig!$C220,Elig_MatchAll_Ct&lt;22,$BC220=(Elig_MatchAll_Ct-1),AZ220=0),AC220,0)</f>
        <v>0</v>
      </c>
      <c r="CI220" s="201">
        <f>IF(AND(Input_Product=Elig!$C220,Elig_MatchAll_Ct&lt;22,$BC220=(Elig_MatchAll_Ct-1),BA220=0),AD220,0)</f>
        <v>0</v>
      </c>
      <c r="CJ220" s="202">
        <f>IF(AND(Input_Product=Elig!$C220,Elig_MatchAll_Ct&lt;22,$BC220=(Elig_MatchAll_Ct-1),BA220=0),AE220,0)</f>
        <v>0</v>
      </c>
    </row>
    <row r="221" spans="2:89" ht="10.15" customHeight="1" x14ac:dyDescent="0.25">
      <c r="B221" s="1912" t="s">
        <v>969</v>
      </c>
      <c r="C221" s="134" t="str">
        <f t="shared" si="56"/>
        <v>NonQM OO</v>
      </c>
      <c r="D221" s="135" t="s">
        <v>3885</v>
      </c>
      <c r="E221" s="135" t="s">
        <v>167</v>
      </c>
      <c r="F221" s="135" t="s">
        <v>331</v>
      </c>
      <c r="G221" s="135" t="s">
        <v>473</v>
      </c>
      <c r="H221" s="135" t="s">
        <v>136</v>
      </c>
      <c r="I221" s="136" t="s">
        <v>274</v>
      </c>
      <c r="J221" s="136" t="s">
        <v>1311</v>
      </c>
      <c r="K221" s="136" t="s">
        <v>1631</v>
      </c>
      <c r="L221" s="221" t="s">
        <v>3920</v>
      </c>
      <c r="M221" s="135" t="s">
        <v>4203</v>
      </c>
      <c r="N221" s="135" t="s">
        <v>82</v>
      </c>
      <c r="O221" s="135" t="s">
        <v>310</v>
      </c>
      <c r="P221" s="135" t="s">
        <v>291</v>
      </c>
      <c r="Q221" s="135" t="s">
        <v>294</v>
      </c>
      <c r="R221" s="135">
        <v>2000000.01</v>
      </c>
      <c r="S221" s="221">
        <v>2500000</v>
      </c>
      <c r="T221" s="135">
        <v>0</v>
      </c>
      <c r="U221" s="135">
        <v>0</v>
      </c>
      <c r="V221" s="135">
        <v>0</v>
      </c>
      <c r="W221" s="135">
        <v>55</v>
      </c>
      <c r="X221" s="135">
        <v>0</v>
      </c>
      <c r="Y221" s="135">
        <v>999</v>
      </c>
      <c r="Z221" s="2100">
        <v>680</v>
      </c>
      <c r="AA221" s="2100">
        <v>699</v>
      </c>
      <c r="AB221" s="137">
        <v>9</v>
      </c>
      <c r="AC221" s="137">
        <v>999999</v>
      </c>
      <c r="AD221" s="135">
        <v>0</v>
      </c>
      <c r="AE221" s="135">
        <v>70</v>
      </c>
      <c r="AF221" s="170">
        <v>0</v>
      </c>
      <c r="AG221" s="171">
        <v>1</v>
      </c>
      <c r="AH221" s="171">
        <v>1</v>
      </c>
      <c r="AI221" s="171">
        <v>1</v>
      </c>
      <c r="AJ221" s="171">
        <v>0</v>
      </c>
      <c r="AK221" s="171">
        <v>1</v>
      </c>
      <c r="AL221" s="171">
        <v>0</v>
      </c>
      <c r="AM221" s="171">
        <v>1</v>
      </c>
      <c r="AN221" s="171">
        <v>1</v>
      </c>
      <c r="AO221" s="171">
        <v>1</v>
      </c>
      <c r="AP221" s="171">
        <v>1</v>
      </c>
      <c r="AQ221" s="171">
        <v>1</v>
      </c>
      <c r="AR221" s="171">
        <v>1</v>
      </c>
      <c r="AS221" s="171">
        <v>1</v>
      </c>
      <c r="AT221" s="171">
        <v>1</v>
      </c>
      <c r="AU221" s="171">
        <f t="shared" si="58"/>
        <v>0</v>
      </c>
      <c r="AV221" s="171">
        <f t="shared" si="59"/>
        <v>0</v>
      </c>
      <c r="AW221" s="171">
        <f t="shared" si="60"/>
        <v>1</v>
      </c>
      <c r="AX221" s="171">
        <f t="shared" si="100"/>
        <v>1</v>
      </c>
      <c r="AY221" s="171">
        <f t="shared" si="61"/>
        <v>0</v>
      </c>
      <c r="AZ221" s="171">
        <f t="shared" si="62"/>
        <v>1</v>
      </c>
      <c r="BA221" s="172">
        <f t="shared" si="63"/>
        <v>1</v>
      </c>
      <c r="BB221" s="175">
        <f t="shared" ref="BB221" si="101">SUM(AF221:BA221)</f>
        <v>16</v>
      </c>
      <c r="BC221" s="176">
        <f t="shared" ref="BC221" si="102">SUM(AF221:AZ221)</f>
        <v>15</v>
      </c>
      <c r="BD221" s="176">
        <f t="shared" ref="BD221" si="103">SUM(AG221:BA221)</f>
        <v>16</v>
      </c>
      <c r="BE221" s="240" t="str">
        <f t="shared" si="79"/>
        <v/>
      </c>
      <c r="BH221" s="199">
        <f>IF(AND(Input_Product=Elig!$C221,Elig_MatchAll_Ct&lt;22,$BC221=(Elig_MatchAll_Ct-1),AF221=0),C221,0)</f>
        <v>0</v>
      </c>
      <c r="BI221" s="199">
        <f>IF(AND(Input_Product=Elig!$C221,Elig_MatchAll_Ct&lt;22,$BC221=(Elig_MatchAll_Ct-1),AG221=0),D221,0)</f>
        <v>0</v>
      </c>
      <c r="BJ221" s="199">
        <f>IF(AND(Input_Product=Elig!$C221,Elig_MatchAll_Ct&lt;22,$BC221=(Elig_MatchAll_Ct-1),AH221=0),E221,0)</f>
        <v>0</v>
      </c>
      <c r="BK221" s="199">
        <f>IF(AND(Input_Product=Elig!$C221,Elig_MatchAll_Ct&lt;22,$BC221=(Elig_MatchAll_Ct-1),AI221=0),F221,0)</f>
        <v>0</v>
      </c>
      <c r="BL221" s="199">
        <f>IF(AND(Input_Product=Elig!$C221,Elig_MatchAll_Ct&lt;22,$BC221=(Elig_MatchAll_Ct-1),AJ221=0),G221,0)</f>
        <v>0</v>
      </c>
      <c r="BM221" s="199">
        <f>IF(AND(Input_Product=Elig!$C221,Elig_MatchAll_Ct&lt;22,$BC221=(Elig_MatchAll_Ct-1),AK221=0),H221,0)</f>
        <v>0</v>
      </c>
      <c r="BN221" s="199">
        <f>IF(AND(Input_Product=Elig!$C221,Elig_MatchAll_Ct&lt;22,$BC221=(Elig_MatchAll_Ct-1),AL221=0),I221,0)</f>
        <v>0</v>
      </c>
      <c r="BO221" s="199">
        <f>IF(AND(Input_Product=Elig!$C221,Elig_MatchAll_Ct&lt;22,$BC221=(Elig_MatchAll_Ct-1),AM221=0),J221,0)</f>
        <v>0</v>
      </c>
      <c r="BP221" s="199">
        <f>IF(AND(Input_Product=Elig!$C221,Elig_MatchAll_Ct&lt;22,$BC221=(Elig_MatchAll_Ct-1),AN221=0),K221,0)</f>
        <v>0</v>
      </c>
      <c r="BQ221" s="199">
        <f>IF(AND(Input_Product=Elig!$C221,Elig_MatchAll_Ct&lt;22,$BC221=(Elig_MatchAll_Ct-1),AP221=0),L221,0)</f>
        <v>0</v>
      </c>
      <c r="BR221" s="199">
        <f>IF(AND(Input_Product=Elig!$C221,Elig_MatchAll_Ct&lt;22,$BC221=(Elig_MatchAll_Ct-1),AO221=0),M221,0)</f>
        <v>0</v>
      </c>
      <c r="BS221" s="199">
        <f>IF(AND(Input_Product=Elig!$C221,Elig_MatchAll_Ct&lt;22,$BC221=(Elig_MatchAll_Ct-1),AQ221=0),N221,0)</f>
        <v>0</v>
      </c>
      <c r="BT221" s="199">
        <f>IF(AND(Input_Product=Elig!$C221,Elig_MatchAll_Ct&lt;22,$BC221=(Elig_MatchAll_Ct-1),AR221=0),O221,0)</f>
        <v>0</v>
      </c>
      <c r="BU221" s="199">
        <f>IF(AND(Input_Product=Elig!$C221,Elig_MatchAll_Ct&lt;22,$BC221=(Elig_MatchAll_Ct-1),AS221=0),P221,0)</f>
        <v>0</v>
      </c>
      <c r="BV221" s="200">
        <f>IF(AND(Input_Product=Elig!$C221,Elig_MatchAll_Ct&lt;22,$BC221=(Elig_MatchAll_Ct-1),AT221=0),Q221,0)</f>
        <v>0</v>
      </c>
      <c r="BW221" s="201">
        <f>IF(AND(Input_Product=Elig!$C221,Elig_MatchAll_Ct&lt;22,$BC221=(Elig_MatchAll_Ct-1),AU221=0),R221,0)</f>
        <v>0</v>
      </c>
      <c r="BX221" s="202">
        <f>IF(AND(Input_Product=Elig!$C221,Elig_MatchAll_Ct&lt;22,$BC221=(Elig_MatchAll_Ct-1),AU221=0),S221,0)</f>
        <v>0</v>
      </c>
      <c r="BY221" s="201">
        <f>IF(AND(Input_Product=Elig!$C221,Elig_MatchAll_Ct&lt;22,$BC221=(Elig_MatchAll_Ct-1),AV221=0),T221,0)</f>
        <v>0</v>
      </c>
      <c r="BZ221" s="202">
        <f>IF(AND(Input_Product=Elig!$C221,Elig_MatchAll_Ct&lt;22,$BC221=(Elig_MatchAll_Ct-1),AV221=0),U221,0)</f>
        <v>0</v>
      </c>
      <c r="CA221" s="201">
        <f>IF(AND(Input_Product=Elig!$C221,Elig_MatchAll_Ct&lt;22,$BC221=(Elig_MatchAll_Ct-1),AW221=0),V221,0)</f>
        <v>0</v>
      </c>
      <c r="CB221" s="202">
        <f>IF(AND(Input_Product=Elig!$C221,Elig_MatchAll_Ct&lt;22,$BC221=(Elig_MatchAll_Ct-1),AW221=0),W221,0)</f>
        <v>0</v>
      </c>
      <c r="CC221" s="201">
        <f>IF(AND(Input_Product=Elig!$C221,Elig_MatchAll_Ct&lt;22,$BC221=(Elig_MatchAll_Ct-1),AX221=0),X221,0)</f>
        <v>0</v>
      </c>
      <c r="CD221" s="202">
        <f>IF(AND(Input_Product=Elig!$C221,Elig_MatchAll_Ct&lt;22,$BC221=(Elig_MatchAll_Ct-1),AX221=0),Y221,0)</f>
        <v>0</v>
      </c>
      <c r="CE221" s="201">
        <f>IF(AND(Input_LTV&lt;=AE221,Input_Product=Elig!$C221,Elig_MatchAll_Ct&lt;22,$BC221=(Elig_MatchAll_Ct-1),AY221=0),Z221,0)</f>
        <v>0</v>
      </c>
      <c r="CF221" s="202">
        <f>IF(AND(Input_LTV&lt;=AE221,Input_Product=Elig!$C221,Elig_MatchAll_Ct&lt;22,$BC221=(Elig_MatchAll_Ct-1),AY221=0),AA221,0)</f>
        <v>0</v>
      </c>
      <c r="CG221" s="201">
        <f>IF(AND(Input_Product=Elig!$C221,Elig_MatchAll_Ct&lt;22,$BC221=(Elig_MatchAll_Ct-1),AZ221=0),AB221,0)</f>
        <v>0</v>
      </c>
      <c r="CH221" s="202">
        <f>IF(AND(Input_Product=Elig!$C221,Elig_MatchAll_Ct&lt;22,$BC221=(Elig_MatchAll_Ct-1),AZ221=0),AC221,0)</f>
        <v>0</v>
      </c>
      <c r="CI221" s="201">
        <f>IF(AND(Input_Product=Elig!$C221,Elig_MatchAll_Ct&lt;22,$BC221=(Elig_MatchAll_Ct-1),BA221=0),AD221,0)</f>
        <v>0</v>
      </c>
      <c r="CJ221" s="202">
        <f>IF(AND(Input_Product=Elig!$C221,Elig_MatchAll_Ct&lt;22,$BC221=(Elig_MatchAll_Ct-1),BA221=0),AE221,0)</f>
        <v>0</v>
      </c>
    </row>
    <row r="222" spans="2:89" ht="10.15" customHeight="1" x14ac:dyDescent="0.25">
      <c r="B222" s="1912" t="s">
        <v>970</v>
      </c>
      <c r="C222" s="134" t="str">
        <f t="shared" si="56"/>
        <v>NonQM OO</v>
      </c>
      <c r="D222" s="135" t="s">
        <v>3885</v>
      </c>
      <c r="E222" s="135" t="s">
        <v>167</v>
      </c>
      <c r="F222" s="135" t="s">
        <v>331</v>
      </c>
      <c r="G222" s="135" t="s">
        <v>473</v>
      </c>
      <c r="H222" s="135" t="s">
        <v>136</v>
      </c>
      <c r="I222" s="136" t="s">
        <v>274</v>
      </c>
      <c r="J222" s="136" t="s">
        <v>1311</v>
      </c>
      <c r="K222" s="136" t="s">
        <v>1631</v>
      </c>
      <c r="L222" s="221" t="s">
        <v>3920</v>
      </c>
      <c r="M222" s="135" t="s">
        <v>4203</v>
      </c>
      <c r="N222" s="135" t="s">
        <v>82</v>
      </c>
      <c r="O222" s="135" t="s">
        <v>310</v>
      </c>
      <c r="P222" s="135" t="s">
        <v>291</v>
      </c>
      <c r="Q222" s="135" t="s">
        <v>294</v>
      </c>
      <c r="R222" s="135">
        <v>2000000.01</v>
      </c>
      <c r="S222" s="221">
        <v>2500000</v>
      </c>
      <c r="T222" s="135">
        <v>0</v>
      </c>
      <c r="U222" s="135">
        <v>0</v>
      </c>
      <c r="V222" s="135">
        <v>0</v>
      </c>
      <c r="W222" s="135">
        <v>55</v>
      </c>
      <c r="X222" s="135">
        <v>0</v>
      </c>
      <c r="Y222" s="135">
        <v>999</v>
      </c>
      <c r="Z222" s="2100">
        <v>660</v>
      </c>
      <c r="AA222" s="2100">
        <v>679</v>
      </c>
      <c r="AB222" s="137">
        <v>9</v>
      </c>
      <c r="AC222" s="137">
        <v>999999</v>
      </c>
      <c r="AD222" s="135">
        <v>0</v>
      </c>
      <c r="AE222" s="135">
        <v>70</v>
      </c>
      <c r="AF222" s="170">
        <v>0</v>
      </c>
      <c r="AG222" s="171">
        <v>1</v>
      </c>
      <c r="AH222" s="171">
        <v>1</v>
      </c>
      <c r="AI222" s="171">
        <v>1</v>
      </c>
      <c r="AJ222" s="171">
        <v>0</v>
      </c>
      <c r="AK222" s="171">
        <v>1</v>
      </c>
      <c r="AL222" s="171">
        <v>0</v>
      </c>
      <c r="AM222" s="171">
        <v>1</v>
      </c>
      <c r="AN222" s="171">
        <v>1</v>
      </c>
      <c r="AO222" s="171">
        <v>1</v>
      </c>
      <c r="AP222" s="171">
        <v>1</v>
      </c>
      <c r="AQ222" s="171">
        <v>1</v>
      </c>
      <c r="AR222" s="171">
        <v>1</v>
      </c>
      <c r="AS222" s="171">
        <v>1</v>
      </c>
      <c r="AT222" s="171">
        <v>1</v>
      </c>
      <c r="AU222" s="171">
        <f t="shared" si="58"/>
        <v>0</v>
      </c>
      <c r="AV222" s="171">
        <f t="shared" si="59"/>
        <v>0</v>
      </c>
      <c r="AW222" s="171">
        <f t="shared" si="60"/>
        <v>1</v>
      </c>
      <c r="AX222" s="171">
        <f t="shared" si="100"/>
        <v>1</v>
      </c>
      <c r="AY222" s="171">
        <f t="shared" si="61"/>
        <v>0</v>
      </c>
      <c r="AZ222" s="171">
        <f t="shared" si="62"/>
        <v>1</v>
      </c>
      <c r="BA222" s="172">
        <f t="shared" si="63"/>
        <v>1</v>
      </c>
      <c r="BB222" s="175">
        <f t="shared" si="72"/>
        <v>16</v>
      </c>
      <c r="BC222" s="176">
        <f t="shared" si="73"/>
        <v>15</v>
      </c>
      <c r="BD222" s="176">
        <f t="shared" si="74"/>
        <v>16</v>
      </c>
      <c r="BE222" s="240" t="str">
        <f t="shared" si="79"/>
        <v/>
      </c>
      <c r="BH222" s="214">
        <f>IF(AND(Input_Product=Elig!$C222,Elig_MatchAll_Ct&lt;22,$BC222=(Elig_MatchAll_Ct-1),AF222=0),C222,0)</f>
        <v>0</v>
      </c>
      <c r="BI222" s="214">
        <f>IF(AND(Input_Product=Elig!$C222,Elig_MatchAll_Ct&lt;22,$BC222=(Elig_MatchAll_Ct-1),AG222=0),D222,0)</f>
        <v>0</v>
      </c>
      <c r="BJ222" s="214">
        <f>IF(AND(Input_Product=Elig!$C222,Elig_MatchAll_Ct&lt;22,$BC222=(Elig_MatchAll_Ct-1),AH222=0),E222,0)</f>
        <v>0</v>
      </c>
      <c r="BK222" s="214">
        <f>IF(AND(Input_Product=Elig!$C222,Elig_MatchAll_Ct&lt;22,$BC222=(Elig_MatchAll_Ct-1),AI222=0),F222,0)</f>
        <v>0</v>
      </c>
      <c r="BL222" s="214">
        <f>IF(AND(Input_Product=Elig!$C222,Elig_MatchAll_Ct&lt;22,$BC222=(Elig_MatchAll_Ct-1),AJ222=0),G222,0)</f>
        <v>0</v>
      </c>
      <c r="BM222" s="214">
        <f>IF(AND(Input_Product=Elig!$C222,Elig_MatchAll_Ct&lt;22,$BC222=(Elig_MatchAll_Ct-1),AK222=0),H222,0)</f>
        <v>0</v>
      </c>
      <c r="BN222" s="214">
        <f>IF(AND(Input_Product=Elig!$C222,Elig_MatchAll_Ct&lt;22,$BC222=(Elig_MatchAll_Ct-1),AL222=0),I222,0)</f>
        <v>0</v>
      </c>
      <c r="BO222" s="214">
        <f>IF(AND(Input_Product=Elig!$C222,Elig_MatchAll_Ct&lt;22,$BC222=(Elig_MatchAll_Ct-1),AM222=0),J222,0)</f>
        <v>0</v>
      </c>
      <c r="BP222" s="214">
        <f>IF(AND(Input_Product=Elig!$C222,Elig_MatchAll_Ct&lt;22,$BC222=(Elig_MatchAll_Ct-1),AN222=0),K222,0)</f>
        <v>0</v>
      </c>
      <c r="BQ222" s="214">
        <f>IF(AND(Input_Product=Elig!$C222,Elig_MatchAll_Ct&lt;22,$BC222=(Elig_MatchAll_Ct-1),AP222=0),L222,0)</f>
        <v>0</v>
      </c>
      <c r="BR222" s="214">
        <f>IF(AND(Input_Product=Elig!$C222,Elig_MatchAll_Ct&lt;22,$BC222=(Elig_MatchAll_Ct-1),AO222=0),M222,0)</f>
        <v>0</v>
      </c>
      <c r="BS222" s="214">
        <f>IF(AND(Input_Product=Elig!$C222,Elig_MatchAll_Ct&lt;22,$BC222=(Elig_MatchAll_Ct-1),AQ222=0),N222,0)</f>
        <v>0</v>
      </c>
      <c r="BT222" s="214">
        <f>IF(AND(Input_Product=Elig!$C222,Elig_MatchAll_Ct&lt;22,$BC222=(Elig_MatchAll_Ct-1),AR222=0),O222,0)</f>
        <v>0</v>
      </c>
      <c r="BU222" s="214">
        <f>IF(AND(Input_Product=Elig!$C222,Elig_MatchAll_Ct&lt;22,$BC222=(Elig_MatchAll_Ct-1),AS222=0),P222,0)</f>
        <v>0</v>
      </c>
      <c r="BV222" s="215">
        <f>IF(AND(Input_Product=Elig!$C222,Elig_MatchAll_Ct&lt;22,$BC222=(Elig_MatchAll_Ct-1),AT222=0),Q222,0)</f>
        <v>0</v>
      </c>
      <c r="BW222" s="311">
        <f>IF(AND(Input_Product=Elig!$C222,Elig_MatchAll_Ct&lt;22,$BC222=(Elig_MatchAll_Ct-1),AU222=0),R222,0)</f>
        <v>0</v>
      </c>
      <c r="BX222" s="312">
        <f>IF(AND(Input_Product=Elig!$C222,Elig_MatchAll_Ct&lt;22,$BC222=(Elig_MatchAll_Ct-1),AU222=0),S222,0)</f>
        <v>0</v>
      </c>
      <c r="BY222" s="311">
        <f>IF(AND(Input_Product=Elig!$C222,Elig_MatchAll_Ct&lt;22,$BC222=(Elig_MatchAll_Ct-1),AV222=0),T222,0)</f>
        <v>0</v>
      </c>
      <c r="BZ222" s="312">
        <f>IF(AND(Input_Product=Elig!$C222,Elig_MatchAll_Ct&lt;22,$BC222=(Elig_MatchAll_Ct-1),AV222=0),U222,0)</f>
        <v>0</v>
      </c>
      <c r="CA222" s="311">
        <f>IF(AND(Input_Product=Elig!$C222,Elig_MatchAll_Ct&lt;22,$BC222=(Elig_MatchAll_Ct-1),AW222=0),V222,0)</f>
        <v>0</v>
      </c>
      <c r="CB222" s="312">
        <f>IF(AND(Input_Product=Elig!$C222,Elig_MatchAll_Ct&lt;22,$BC222=(Elig_MatchAll_Ct-1),AW222=0),W222,0)</f>
        <v>0</v>
      </c>
      <c r="CC222" s="311">
        <f>IF(AND(Input_Product=Elig!$C222,Elig_MatchAll_Ct&lt;22,$BC222=(Elig_MatchAll_Ct-1),AX222=0),X222,0)</f>
        <v>0</v>
      </c>
      <c r="CD222" s="312">
        <f>IF(AND(Input_Product=Elig!$C222,Elig_MatchAll_Ct&lt;22,$BC222=(Elig_MatchAll_Ct-1),AX222=0),Y222,0)</f>
        <v>0</v>
      </c>
      <c r="CE222" s="311">
        <f>IF(AND(Input_LTV&lt;=AE222,Input_Product=Elig!$C222,Elig_MatchAll_Ct&lt;22,$BC222=(Elig_MatchAll_Ct-1),AY222=0),Z222,0)</f>
        <v>0</v>
      </c>
      <c r="CF222" s="312">
        <f>IF(AND(Input_LTV&lt;=AE222,Input_Product=Elig!$C222,Elig_MatchAll_Ct&lt;22,$BC222=(Elig_MatchAll_Ct-1),AY222=0),AA222,0)</f>
        <v>0</v>
      </c>
      <c r="CG222" s="311">
        <f>IF(AND(Input_Product=Elig!$C222,Elig_MatchAll_Ct&lt;22,$BC222=(Elig_MatchAll_Ct-1),AZ222=0),AB222,0)</f>
        <v>0</v>
      </c>
      <c r="CH222" s="312">
        <f>IF(AND(Input_Product=Elig!$C222,Elig_MatchAll_Ct&lt;22,$BC222=(Elig_MatchAll_Ct-1),AZ222=0),AC222,0)</f>
        <v>0</v>
      </c>
      <c r="CI222" s="311">
        <f>IF(AND(Input_Product=Elig!$C222,Elig_MatchAll_Ct&lt;22,$BC222=(Elig_MatchAll_Ct-1),BA222=0),AD222,0)</f>
        <v>0</v>
      </c>
      <c r="CJ222" s="312">
        <f>IF(AND(Input_Product=Elig!$C222,Elig_MatchAll_Ct&lt;22,$BC222=(Elig_MatchAll_Ct-1),BA222=0),AE222,0)</f>
        <v>0</v>
      </c>
    </row>
    <row r="223" spans="2:89" ht="10.15" customHeight="1" x14ac:dyDescent="0.25">
      <c r="B223" s="1912" t="s">
        <v>1214</v>
      </c>
      <c r="C223" s="141" t="str">
        <f t="shared" si="56"/>
        <v>NonQM OO</v>
      </c>
      <c r="D223" s="142" t="s">
        <v>3885</v>
      </c>
      <c r="E223" s="143" t="s">
        <v>167</v>
      </c>
      <c r="F223" s="143" t="s">
        <v>331</v>
      </c>
      <c r="G223" s="143" t="s">
        <v>473</v>
      </c>
      <c r="H223" s="143" t="s">
        <v>136</v>
      </c>
      <c r="I223" s="142" t="s">
        <v>16</v>
      </c>
      <c r="J223" s="142" t="s">
        <v>1311</v>
      </c>
      <c r="K223" s="142" t="s">
        <v>1631</v>
      </c>
      <c r="L223" s="2131" t="s">
        <v>3920</v>
      </c>
      <c r="M223" s="143" t="s">
        <v>4203</v>
      </c>
      <c r="N223" s="143" t="s">
        <v>82</v>
      </c>
      <c r="O223" s="143" t="s">
        <v>310</v>
      </c>
      <c r="P223" s="143" t="s">
        <v>291</v>
      </c>
      <c r="Q223" s="143" t="s">
        <v>294</v>
      </c>
      <c r="R223" s="142">
        <v>2000000.01</v>
      </c>
      <c r="S223" s="320">
        <v>2500000</v>
      </c>
      <c r="T223" s="142">
        <v>0</v>
      </c>
      <c r="U223" s="142">
        <f t="shared" ref="U223:U226" si="104">S223</f>
        <v>2500000</v>
      </c>
      <c r="V223" s="142">
        <v>0</v>
      </c>
      <c r="W223" s="142">
        <v>55</v>
      </c>
      <c r="X223" s="142">
        <v>0</v>
      </c>
      <c r="Y223" s="142">
        <v>999</v>
      </c>
      <c r="Z223" s="144">
        <v>720</v>
      </c>
      <c r="AA223" s="144">
        <v>999</v>
      </c>
      <c r="AB223" s="144">
        <v>9</v>
      </c>
      <c r="AC223" s="144">
        <v>999999</v>
      </c>
      <c r="AD223" s="142">
        <v>0</v>
      </c>
      <c r="AE223" s="142">
        <v>65</v>
      </c>
      <c r="AF223" s="170">
        <v>0</v>
      </c>
      <c r="AG223" s="171">
        <v>1</v>
      </c>
      <c r="AH223" s="171">
        <v>1</v>
      </c>
      <c r="AI223" s="171">
        <v>1</v>
      </c>
      <c r="AJ223" s="171">
        <v>0</v>
      </c>
      <c r="AK223" s="171">
        <v>1</v>
      </c>
      <c r="AL223" s="171">
        <v>1</v>
      </c>
      <c r="AM223" s="171">
        <v>1</v>
      </c>
      <c r="AN223" s="171">
        <v>1</v>
      </c>
      <c r="AO223" s="171">
        <v>1</v>
      </c>
      <c r="AP223" s="171">
        <v>1</v>
      </c>
      <c r="AQ223" s="171">
        <v>1</v>
      </c>
      <c r="AR223" s="171">
        <v>1</v>
      </c>
      <c r="AS223" s="171">
        <v>1</v>
      </c>
      <c r="AT223" s="171">
        <v>1</v>
      </c>
      <c r="AU223" s="171">
        <f t="shared" si="58"/>
        <v>0</v>
      </c>
      <c r="AV223" s="171">
        <f t="shared" si="59"/>
        <v>1</v>
      </c>
      <c r="AW223" s="171">
        <f t="shared" si="60"/>
        <v>1</v>
      </c>
      <c r="AX223" s="171">
        <f t="shared" si="100"/>
        <v>1</v>
      </c>
      <c r="AY223" s="171">
        <f t="shared" si="61"/>
        <v>1</v>
      </c>
      <c r="AZ223" s="171">
        <f t="shared" si="62"/>
        <v>1</v>
      </c>
      <c r="BA223" s="172">
        <f t="shared" si="63"/>
        <v>1</v>
      </c>
      <c r="BB223" s="175">
        <f t="shared" si="72"/>
        <v>19</v>
      </c>
      <c r="BC223" s="176">
        <f t="shared" si="73"/>
        <v>18</v>
      </c>
      <c r="BD223" s="176">
        <f t="shared" si="74"/>
        <v>19</v>
      </c>
      <c r="BE223" s="240" t="str">
        <f t="shared" si="79"/>
        <v/>
      </c>
      <c r="BH223" s="210">
        <f>IF(AND(Input_Product=Elig!$C223,Elig_MatchAll_Ct&lt;22,$BC223=(Elig_MatchAll_Ct-1),AF223=0),C223,0)</f>
        <v>0</v>
      </c>
      <c r="BI223" s="210">
        <f>IF(AND(Input_Product=Elig!$C223,Elig_MatchAll_Ct&lt;22,$BC223=(Elig_MatchAll_Ct-1),AG223=0),D223,0)</f>
        <v>0</v>
      </c>
      <c r="BJ223" s="210">
        <f>IF(AND(Input_Product=Elig!$C223,Elig_MatchAll_Ct&lt;22,$BC223=(Elig_MatchAll_Ct-1),AH223=0),E223,0)</f>
        <v>0</v>
      </c>
      <c r="BK223" s="210">
        <f>IF(AND(Input_Product=Elig!$C223,Elig_MatchAll_Ct&lt;22,$BC223=(Elig_MatchAll_Ct-1),AI223=0),F223,0)</f>
        <v>0</v>
      </c>
      <c r="BL223" s="210">
        <f>IF(AND(Input_Product=Elig!$C223,Elig_MatchAll_Ct&lt;22,$BC223=(Elig_MatchAll_Ct-1),AJ223=0),G223,0)</f>
        <v>0</v>
      </c>
      <c r="BM223" s="210">
        <f>IF(AND(Input_Product=Elig!$C223,Elig_MatchAll_Ct&lt;22,$BC223=(Elig_MatchAll_Ct-1),AK223=0),H223,0)</f>
        <v>0</v>
      </c>
      <c r="BN223" s="210">
        <f>IF(AND(Input_Product=Elig!$C223,Elig_MatchAll_Ct&lt;22,$BC223=(Elig_MatchAll_Ct-1),AL223=0),I223,0)</f>
        <v>0</v>
      </c>
      <c r="BO223" s="210">
        <f>IF(AND(Input_Product=Elig!$C223,Elig_MatchAll_Ct&lt;22,$BC223=(Elig_MatchAll_Ct-1),AM223=0),J223,0)</f>
        <v>0</v>
      </c>
      <c r="BP223" s="210">
        <f>IF(AND(Input_Product=Elig!$C223,Elig_MatchAll_Ct&lt;22,$BC223=(Elig_MatchAll_Ct-1),AN223=0),K223,0)</f>
        <v>0</v>
      </c>
      <c r="BQ223" s="210">
        <f>IF(AND(Input_Product=Elig!$C223,Elig_MatchAll_Ct&lt;22,$BC223=(Elig_MatchAll_Ct-1),AP223=0),L223,0)</f>
        <v>0</v>
      </c>
      <c r="BR223" s="210">
        <f>IF(AND(Input_Product=Elig!$C223,Elig_MatchAll_Ct&lt;22,$BC223=(Elig_MatchAll_Ct-1),AO223=0),M223,0)</f>
        <v>0</v>
      </c>
      <c r="BS223" s="210">
        <f>IF(AND(Input_Product=Elig!$C223,Elig_MatchAll_Ct&lt;22,$BC223=(Elig_MatchAll_Ct-1),AQ223=0),N223,0)</f>
        <v>0</v>
      </c>
      <c r="BT223" s="210">
        <f>IF(AND(Input_Product=Elig!$C223,Elig_MatchAll_Ct&lt;22,$BC223=(Elig_MatchAll_Ct-1),AR223=0),O223,0)</f>
        <v>0</v>
      </c>
      <c r="BU223" s="210">
        <f>IF(AND(Input_Product=Elig!$C223,Elig_MatchAll_Ct&lt;22,$BC223=(Elig_MatchAll_Ct-1),AS223=0),P223,0)</f>
        <v>0</v>
      </c>
      <c r="BV223" s="211">
        <f>IF(AND(Input_Product=Elig!$C223,Elig_MatchAll_Ct&lt;22,$BC223=(Elig_MatchAll_Ct-1),AT223=0),Q223,0)</f>
        <v>0</v>
      </c>
      <c r="BW223" s="212">
        <f>IF(AND(Input_Product=Elig!$C223,Elig_MatchAll_Ct&lt;22,$BC223=(Elig_MatchAll_Ct-1),AU223=0),R223,0)</f>
        <v>0</v>
      </c>
      <c r="BX223" s="213">
        <f>IF(AND(Input_Product=Elig!$C223,Elig_MatchAll_Ct&lt;22,$BC223=(Elig_MatchAll_Ct-1),AU223=0),S223,0)</f>
        <v>0</v>
      </c>
      <c r="BY223" s="212">
        <f>IF(AND(Input_Product=Elig!$C223,Elig_MatchAll_Ct&lt;22,$BC223=(Elig_MatchAll_Ct-1),AV223=0),T223,0)</f>
        <v>0</v>
      </c>
      <c r="BZ223" s="213">
        <f>IF(AND(Input_Product=Elig!$C223,Elig_MatchAll_Ct&lt;22,$BC223=(Elig_MatchAll_Ct-1),AV223=0),U223,0)</f>
        <v>0</v>
      </c>
      <c r="CA223" s="212">
        <f>IF(AND(Input_Product=Elig!$C223,Elig_MatchAll_Ct&lt;22,$BC223=(Elig_MatchAll_Ct-1),AW223=0),V223,0)</f>
        <v>0</v>
      </c>
      <c r="CB223" s="213">
        <f>IF(AND(Input_Product=Elig!$C223,Elig_MatchAll_Ct&lt;22,$BC223=(Elig_MatchAll_Ct-1),AW223=0),W223,0)</f>
        <v>0</v>
      </c>
      <c r="CC223" s="212">
        <f>IF(AND(Input_Product=Elig!$C223,Elig_MatchAll_Ct&lt;22,$BC223=(Elig_MatchAll_Ct-1),AX223=0),X223,0)</f>
        <v>0</v>
      </c>
      <c r="CD223" s="213">
        <f>IF(AND(Input_Product=Elig!$C223,Elig_MatchAll_Ct&lt;22,$BC223=(Elig_MatchAll_Ct-1),AX223=0),Y223,0)</f>
        <v>0</v>
      </c>
      <c r="CE223" s="212">
        <f>IF(AND(Input_LTV&lt;=AE223,Input_Product=Elig!$C223,Elig_MatchAll_Ct&lt;22,$BC223=(Elig_MatchAll_Ct-1),AY223=0),Z223,0)</f>
        <v>0</v>
      </c>
      <c r="CF223" s="213">
        <f>IF(AND(Input_LTV&lt;=AE223,Input_Product=Elig!$C223,Elig_MatchAll_Ct&lt;22,$BC223=(Elig_MatchAll_Ct-1),AY223=0),AA223,0)</f>
        <v>0</v>
      </c>
      <c r="CG223" s="212">
        <f>IF(AND(Input_Product=Elig!$C223,Elig_MatchAll_Ct&lt;22,$BC223=(Elig_MatchAll_Ct-1),AZ223=0),AB223,0)</f>
        <v>0</v>
      </c>
      <c r="CH223" s="213">
        <f>IF(AND(Input_Product=Elig!$C223,Elig_MatchAll_Ct&lt;22,$BC223=(Elig_MatchAll_Ct-1),AZ223=0),AC223,0)</f>
        <v>0</v>
      </c>
      <c r="CI223" s="212">
        <f>IF(AND(Input_Product=Elig!$C223,Elig_MatchAll_Ct&lt;22,$BC223=(Elig_MatchAll_Ct-1),BA223=0),AD223,0)</f>
        <v>0</v>
      </c>
      <c r="CJ223" s="213">
        <f>IF(AND(Input_Product=Elig!$C223,Elig_MatchAll_Ct&lt;22,$BC223=(Elig_MatchAll_Ct-1),BA223=0),AE223,0)</f>
        <v>0</v>
      </c>
    </row>
    <row r="224" spans="2:89" ht="10.15" customHeight="1" x14ac:dyDescent="0.25">
      <c r="B224" s="1912" t="s">
        <v>1215</v>
      </c>
      <c r="C224" s="134" t="str">
        <f t="shared" si="56"/>
        <v>NonQM OO</v>
      </c>
      <c r="D224" s="135" t="s">
        <v>3885</v>
      </c>
      <c r="E224" s="135" t="s">
        <v>167</v>
      </c>
      <c r="F224" s="135" t="s">
        <v>331</v>
      </c>
      <c r="G224" s="135" t="s">
        <v>473</v>
      </c>
      <c r="H224" s="135" t="s">
        <v>136</v>
      </c>
      <c r="I224" s="136" t="s">
        <v>16</v>
      </c>
      <c r="J224" s="136" t="s">
        <v>1311</v>
      </c>
      <c r="K224" s="136" t="s">
        <v>1631</v>
      </c>
      <c r="L224" s="221" t="s">
        <v>3920</v>
      </c>
      <c r="M224" s="135" t="s">
        <v>4203</v>
      </c>
      <c r="N224" s="135" t="s">
        <v>82</v>
      </c>
      <c r="O224" s="135" t="s">
        <v>310</v>
      </c>
      <c r="P224" s="135" t="s">
        <v>291</v>
      </c>
      <c r="Q224" s="135" t="s">
        <v>294</v>
      </c>
      <c r="R224" s="135">
        <v>2000000.01</v>
      </c>
      <c r="S224" s="221">
        <v>2500000</v>
      </c>
      <c r="T224" s="135">
        <v>0</v>
      </c>
      <c r="U224" s="135">
        <f t="shared" si="104"/>
        <v>2500000</v>
      </c>
      <c r="V224" s="135">
        <v>0</v>
      </c>
      <c r="W224" s="135">
        <v>55</v>
      </c>
      <c r="X224" s="135">
        <v>0</v>
      </c>
      <c r="Y224" s="135">
        <v>999</v>
      </c>
      <c r="Z224" s="137">
        <v>700</v>
      </c>
      <c r="AA224" s="137">
        <v>719</v>
      </c>
      <c r="AB224" s="137">
        <v>9</v>
      </c>
      <c r="AC224" s="137">
        <v>999999</v>
      </c>
      <c r="AD224" s="135">
        <v>0</v>
      </c>
      <c r="AE224" s="135">
        <v>65</v>
      </c>
      <c r="AF224" s="170">
        <v>0</v>
      </c>
      <c r="AG224" s="171">
        <v>1</v>
      </c>
      <c r="AH224" s="171">
        <v>1</v>
      </c>
      <c r="AI224" s="171">
        <v>1</v>
      </c>
      <c r="AJ224" s="171">
        <v>0</v>
      </c>
      <c r="AK224" s="171">
        <v>1</v>
      </c>
      <c r="AL224" s="171">
        <v>1</v>
      </c>
      <c r="AM224" s="171">
        <v>1</v>
      </c>
      <c r="AN224" s="171">
        <v>1</v>
      </c>
      <c r="AO224" s="171">
        <v>1</v>
      </c>
      <c r="AP224" s="171">
        <v>1</v>
      </c>
      <c r="AQ224" s="171">
        <v>1</v>
      </c>
      <c r="AR224" s="171">
        <v>1</v>
      </c>
      <c r="AS224" s="171">
        <v>1</v>
      </c>
      <c r="AT224" s="171">
        <v>1</v>
      </c>
      <c r="AU224" s="171">
        <f t="shared" si="58"/>
        <v>0</v>
      </c>
      <c r="AV224" s="171">
        <f t="shared" si="59"/>
        <v>1</v>
      </c>
      <c r="AW224" s="171">
        <f t="shared" si="60"/>
        <v>1</v>
      </c>
      <c r="AX224" s="171">
        <f t="shared" si="100"/>
        <v>1</v>
      </c>
      <c r="AY224" s="171">
        <f t="shared" si="61"/>
        <v>0</v>
      </c>
      <c r="AZ224" s="171">
        <f t="shared" si="62"/>
        <v>1</v>
      </c>
      <c r="BA224" s="172">
        <f t="shared" si="63"/>
        <v>1</v>
      </c>
      <c r="BB224" s="175">
        <f t="shared" si="72"/>
        <v>18</v>
      </c>
      <c r="BC224" s="176">
        <f t="shared" si="73"/>
        <v>17</v>
      </c>
      <c r="BD224" s="176">
        <f t="shared" si="74"/>
        <v>18</v>
      </c>
      <c r="BE224" s="240" t="str">
        <f t="shared" si="79"/>
        <v/>
      </c>
      <c r="BH224" s="199">
        <f>IF(AND(Input_Product=Elig!$C224,Elig_MatchAll_Ct&lt;22,$BC224=(Elig_MatchAll_Ct-1),AF224=0),C224,0)</f>
        <v>0</v>
      </c>
      <c r="BI224" s="199">
        <f>IF(AND(Input_Product=Elig!$C224,Elig_MatchAll_Ct&lt;22,$BC224=(Elig_MatchAll_Ct-1),AG224=0),D224,0)</f>
        <v>0</v>
      </c>
      <c r="BJ224" s="199">
        <f>IF(AND(Input_Product=Elig!$C224,Elig_MatchAll_Ct&lt;22,$BC224=(Elig_MatchAll_Ct-1),AH224=0),E224,0)</f>
        <v>0</v>
      </c>
      <c r="BK224" s="199">
        <f>IF(AND(Input_Product=Elig!$C224,Elig_MatchAll_Ct&lt;22,$BC224=(Elig_MatchAll_Ct-1),AI224=0),F224,0)</f>
        <v>0</v>
      </c>
      <c r="BL224" s="199">
        <f>IF(AND(Input_Product=Elig!$C224,Elig_MatchAll_Ct&lt;22,$BC224=(Elig_MatchAll_Ct-1),AJ224=0),G224,0)</f>
        <v>0</v>
      </c>
      <c r="BM224" s="199">
        <f>IF(AND(Input_Product=Elig!$C224,Elig_MatchAll_Ct&lt;22,$BC224=(Elig_MatchAll_Ct-1),AK224=0),H224,0)</f>
        <v>0</v>
      </c>
      <c r="BN224" s="199">
        <f>IF(AND(Input_Product=Elig!$C224,Elig_MatchAll_Ct&lt;22,$BC224=(Elig_MatchAll_Ct-1),AL224=0),I224,0)</f>
        <v>0</v>
      </c>
      <c r="BO224" s="199">
        <f>IF(AND(Input_Product=Elig!$C224,Elig_MatchAll_Ct&lt;22,$BC224=(Elig_MatchAll_Ct-1),AM224=0),J224,0)</f>
        <v>0</v>
      </c>
      <c r="BP224" s="199">
        <f>IF(AND(Input_Product=Elig!$C224,Elig_MatchAll_Ct&lt;22,$BC224=(Elig_MatchAll_Ct-1),AN224=0),K224,0)</f>
        <v>0</v>
      </c>
      <c r="BQ224" s="199">
        <f>IF(AND(Input_Product=Elig!$C224,Elig_MatchAll_Ct&lt;22,$BC224=(Elig_MatchAll_Ct-1),AP224=0),L224,0)</f>
        <v>0</v>
      </c>
      <c r="BR224" s="199">
        <f>IF(AND(Input_Product=Elig!$C224,Elig_MatchAll_Ct&lt;22,$BC224=(Elig_MatchAll_Ct-1),AO224=0),M224,0)</f>
        <v>0</v>
      </c>
      <c r="BS224" s="199">
        <f>IF(AND(Input_Product=Elig!$C224,Elig_MatchAll_Ct&lt;22,$BC224=(Elig_MatchAll_Ct-1),AQ224=0),N224,0)</f>
        <v>0</v>
      </c>
      <c r="BT224" s="199">
        <f>IF(AND(Input_Product=Elig!$C224,Elig_MatchAll_Ct&lt;22,$BC224=(Elig_MatchAll_Ct-1),AR224=0),O224,0)</f>
        <v>0</v>
      </c>
      <c r="BU224" s="199">
        <f>IF(AND(Input_Product=Elig!$C224,Elig_MatchAll_Ct&lt;22,$BC224=(Elig_MatchAll_Ct-1),AS224=0),P224,0)</f>
        <v>0</v>
      </c>
      <c r="BV224" s="200">
        <f>IF(AND(Input_Product=Elig!$C224,Elig_MatchAll_Ct&lt;22,$BC224=(Elig_MatchAll_Ct-1),AT224=0),Q224,0)</f>
        <v>0</v>
      </c>
      <c r="BW224" s="201">
        <f>IF(AND(Input_Product=Elig!$C224,Elig_MatchAll_Ct&lt;22,$BC224=(Elig_MatchAll_Ct-1),AU224=0),R224,0)</f>
        <v>0</v>
      </c>
      <c r="BX224" s="202">
        <f>IF(AND(Input_Product=Elig!$C224,Elig_MatchAll_Ct&lt;22,$BC224=(Elig_MatchAll_Ct-1),AU224=0),S224,0)</f>
        <v>0</v>
      </c>
      <c r="BY224" s="201">
        <f>IF(AND(Input_Product=Elig!$C224,Elig_MatchAll_Ct&lt;22,$BC224=(Elig_MatchAll_Ct-1),AV224=0),T224,0)</f>
        <v>0</v>
      </c>
      <c r="BZ224" s="202">
        <f>IF(AND(Input_Product=Elig!$C224,Elig_MatchAll_Ct&lt;22,$BC224=(Elig_MatchAll_Ct-1),AV224=0),U224,0)</f>
        <v>0</v>
      </c>
      <c r="CA224" s="201">
        <f>IF(AND(Input_Product=Elig!$C224,Elig_MatchAll_Ct&lt;22,$BC224=(Elig_MatchAll_Ct-1),AW224=0),V224,0)</f>
        <v>0</v>
      </c>
      <c r="CB224" s="202">
        <f>IF(AND(Input_Product=Elig!$C224,Elig_MatchAll_Ct&lt;22,$BC224=(Elig_MatchAll_Ct-1),AW224=0),W224,0)</f>
        <v>0</v>
      </c>
      <c r="CC224" s="201">
        <f>IF(AND(Input_Product=Elig!$C224,Elig_MatchAll_Ct&lt;22,$BC224=(Elig_MatchAll_Ct-1),AX224=0),X224,0)</f>
        <v>0</v>
      </c>
      <c r="CD224" s="202">
        <f>IF(AND(Input_Product=Elig!$C224,Elig_MatchAll_Ct&lt;22,$BC224=(Elig_MatchAll_Ct-1),AX224=0),Y224,0)</f>
        <v>0</v>
      </c>
      <c r="CE224" s="201">
        <f>IF(AND(Input_LTV&lt;=AE224,Input_Product=Elig!$C224,Elig_MatchAll_Ct&lt;22,$BC224=(Elig_MatchAll_Ct-1),AY224=0),Z224,0)</f>
        <v>0</v>
      </c>
      <c r="CF224" s="202">
        <f>IF(AND(Input_LTV&lt;=AE224,Input_Product=Elig!$C224,Elig_MatchAll_Ct&lt;22,$BC224=(Elig_MatchAll_Ct-1),AY224=0),AA224,0)</f>
        <v>0</v>
      </c>
      <c r="CG224" s="201">
        <f>IF(AND(Input_Product=Elig!$C224,Elig_MatchAll_Ct&lt;22,$BC224=(Elig_MatchAll_Ct-1),AZ224=0),AB224,0)</f>
        <v>0</v>
      </c>
      <c r="CH224" s="202">
        <f>IF(AND(Input_Product=Elig!$C224,Elig_MatchAll_Ct&lt;22,$BC224=(Elig_MatchAll_Ct-1),AZ224=0),AC224,0)</f>
        <v>0</v>
      </c>
      <c r="CI224" s="201">
        <f>IF(AND(Input_Product=Elig!$C224,Elig_MatchAll_Ct&lt;22,$BC224=(Elig_MatchAll_Ct-1),BA224=0),AD224,0)</f>
        <v>0</v>
      </c>
      <c r="CJ224" s="202">
        <f>IF(AND(Input_Product=Elig!$C224,Elig_MatchAll_Ct&lt;22,$BC224=(Elig_MatchAll_Ct-1),BA224=0),AE224,0)</f>
        <v>0</v>
      </c>
    </row>
    <row r="225" spans="2:88" ht="10.15" customHeight="1" x14ac:dyDescent="0.25">
      <c r="B225" s="1912" t="s">
        <v>1216</v>
      </c>
      <c r="C225" s="134" t="str">
        <f t="shared" si="56"/>
        <v>NonQM OO</v>
      </c>
      <c r="D225" s="135" t="s">
        <v>3885</v>
      </c>
      <c r="E225" s="135" t="s">
        <v>167</v>
      </c>
      <c r="F225" s="135" t="s">
        <v>331</v>
      </c>
      <c r="G225" s="135" t="s">
        <v>473</v>
      </c>
      <c r="H225" s="135" t="s">
        <v>136</v>
      </c>
      <c r="I225" s="136" t="s">
        <v>16</v>
      </c>
      <c r="J225" s="136" t="s">
        <v>1311</v>
      </c>
      <c r="K225" s="136" t="s">
        <v>1631</v>
      </c>
      <c r="L225" s="221" t="s">
        <v>3920</v>
      </c>
      <c r="M225" s="135" t="s">
        <v>4203</v>
      </c>
      <c r="N225" s="135" t="s">
        <v>82</v>
      </c>
      <c r="O225" s="135" t="s">
        <v>310</v>
      </c>
      <c r="P225" s="135" t="s">
        <v>291</v>
      </c>
      <c r="Q225" s="135" t="s">
        <v>294</v>
      </c>
      <c r="R225" s="135">
        <v>2000000.01</v>
      </c>
      <c r="S225" s="221">
        <v>2500000</v>
      </c>
      <c r="T225" s="135">
        <v>0</v>
      </c>
      <c r="U225" s="135">
        <f t="shared" ref="U225" si="105">S225</f>
        <v>2500000</v>
      </c>
      <c r="V225" s="135">
        <v>0</v>
      </c>
      <c r="W225" s="135">
        <v>55</v>
      </c>
      <c r="X225" s="135">
        <v>0</v>
      </c>
      <c r="Y225" s="135">
        <v>999</v>
      </c>
      <c r="Z225" s="2100">
        <v>680</v>
      </c>
      <c r="AA225" s="2100">
        <v>699</v>
      </c>
      <c r="AB225" s="137">
        <v>9</v>
      </c>
      <c r="AC225" s="137">
        <v>999999</v>
      </c>
      <c r="AD225" s="135">
        <v>0</v>
      </c>
      <c r="AE225" s="135">
        <v>65</v>
      </c>
      <c r="AF225" s="170">
        <v>0</v>
      </c>
      <c r="AG225" s="171">
        <v>1</v>
      </c>
      <c r="AH225" s="171">
        <v>1</v>
      </c>
      <c r="AI225" s="171">
        <v>1</v>
      </c>
      <c r="AJ225" s="171">
        <v>0</v>
      </c>
      <c r="AK225" s="171">
        <v>1</v>
      </c>
      <c r="AL225" s="171">
        <v>1</v>
      </c>
      <c r="AM225" s="171">
        <v>1</v>
      </c>
      <c r="AN225" s="171">
        <v>1</v>
      </c>
      <c r="AO225" s="171">
        <v>1</v>
      </c>
      <c r="AP225" s="171">
        <v>1</v>
      </c>
      <c r="AQ225" s="171">
        <v>1</v>
      </c>
      <c r="AR225" s="171">
        <v>1</v>
      </c>
      <c r="AS225" s="171">
        <v>1</v>
      </c>
      <c r="AT225" s="171">
        <v>1</v>
      </c>
      <c r="AU225" s="171">
        <f t="shared" si="58"/>
        <v>0</v>
      </c>
      <c r="AV225" s="171">
        <f t="shared" si="59"/>
        <v>1</v>
      </c>
      <c r="AW225" s="171">
        <f t="shared" si="60"/>
        <v>1</v>
      </c>
      <c r="AX225" s="171">
        <f t="shared" si="100"/>
        <v>1</v>
      </c>
      <c r="AY225" s="171">
        <f t="shared" si="61"/>
        <v>0</v>
      </c>
      <c r="AZ225" s="171">
        <f t="shared" si="62"/>
        <v>1</v>
      </c>
      <c r="BA225" s="172">
        <f t="shared" si="63"/>
        <v>1</v>
      </c>
      <c r="BB225" s="175">
        <f t="shared" ref="BB225" si="106">SUM(AF225:BA225)</f>
        <v>18</v>
      </c>
      <c r="BC225" s="176">
        <f t="shared" ref="BC225" si="107">SUM(AF225:AZ225)</f>
        <v>17</v>
      </c>
      <c r="BD225" s="176">
        <f t="shared" ref="BD225" si="108">SUM(AG225:BA225)</f>
        <v>18</v>
      </c>
      <c r="BE225" s="240" t="str">
        <f t="shared" si="79"/>
        <v/>
      </c>
      <c r="BH225" s="199">
        <f>IF(AND(Input_Product=Elig!$C225,Elig_MatchAll_Ct&lt;22,$BC225=(Elig_MatchAll_Ct-1),AF225=0),C225,0)</f>
        <v>0</v>
      </c>
      <c r="BI225" s="199">
        <f>IF(AND(Input_Product=Elig!$C225,Elig_MatchAll_Ct&lt;22,$BC225=(Elig_MatchAll_Ct-1),AG225=0),D225,0)</f>
        <v>0</v>
      </c>
      <c r="BJ225" s="199">
        <f>IF(AND(Input_Product=Elig!$C225,Elig_MatchAll_Ct&lt;22,$BC225=(Elig_MatchAll_Ct-1),AH225=0),E225,0)</f>
        <v>0</v>
      </c>
      <c r="BK225" s="199">
        <f>IF(AND(Input_Product=Elig!$C225,Elig_MatchAll_Ct&lt;22,$BC225=(Elig_MatchAll_Ct-1),AI225=0),F225,0)</f>
        <v>0</v>
      </c>
      <c r="BL225" s="199">
        <f>IF(AND(Input_Product=Elig!$C225,Elig_MatchAll_Ct&lt;22,$BC225=(Elig_MatchAll_Ct-1),AJ225=0),G225,0)</f>
        <v>0</v>
      </c>
      <c r="BM225" s="199">
        <f>IF(AND(Input_Product=Elig!$C225,Elig_MatchAll_Ct&lt;22,$BC225=(Elig_MatchAll_Ct-1),AK225=0),H225,0)</f>
        <v>0</v>
      </c>
      <c r="BN225" s="199">
        <f>IF(AND(Input_Product=Elig!$C225,Elig_MatchAll_Ct&lt;22,$BC225=(Elig_MatchAll_Ct-1),AL225=0),I225,0)</f>
        <v>0</v>
      </c>
      <c r="BO225" s="199">
        <f>IF(AND(Input_Product=Elig!$C225,Elig_MatchAll_Ct&lt;22,$BC225=(Elig_MatchAll_Ct-1),AM225=0),J225,0)</f>
        <v>0</v>
      </c>
      <c r="BP225" s="199">
        <f>IF(AND(Input_Product=Elig!$C225,Elig_MatchAll_Ct&lt;22,$BC225=(Elig_MatchAll_Ct-1),AN225=0),K225,0)</f>
        <v>0</v>
      </c>
      <c r="BQ225" s="199">
        <f>IF(AND(Input_Product=Elig!$C225,Elig_MatchAll_Ct&lt;22,$BC225=(Elig_MatchAll_Ct-1),AP225=0),L225,0)</f>
        <v>0</v>
      </c>
      <c r="BR225" s="199">
        <f>IF(AND(Input_Product=Elig!$C225,Elig_MatchAll_Ct&lt;22,$BC225=(Elig_MatchAll_Ct-1),AO225=0),M225,0)</f>
        <v>0</v>
      </c>
      <c r="BS225" s="199">
        <f>IF(AND(Input_Product=Elig!$C225,Elig_MatchAll_Ct&lt;22,$BC225=(Elig_MatchAll_Ct-1),AQ225=0),N225,0)</f>
        <v>0</v>
      </c>
      <c r="BT225" s="199">
        <f>IF(AND(Input_Product=Elig!$C225,Elig_MatchAll_Ct&lt;22,$BC225=(Elig_MatchAll_Ct-1),AR225=0),O225,0)</f>
        <v>0</v>
      </c>
      <c r="BU225" s="199">
        <f>IF(AND(Input_Product=Elig!$C225,Elig_MatchAll_Ct&lt;22,$BC225=(Elig_MatchAll_Ct-1),AS225=0),P225,0)</f>
        <v>0</v>
      </c>
      <c r="BV225" s="200">
        <f>IF(AND(Input_Product=Elig!$C225,Elig_MatchAll_Ct&lt;22,$BC225=(Elig_MatchAll_Ct-1),AT225=0),Q225,0)</f>
        <v>0</v>
      </c>
      <c r="BW225" s="201">
        <f>IF(AND(Input_Product=Elig!$C225,Elig_MatchAll_Ct&lt;22,$BC225=(Elig_MatchAll_Ct-1),AU225=0),R225,0)</f>
        <v>0</v>
      </c>
      <c r="BX225" s="202">
        <f>IF(AND(Input_Product=Elig!$C225,Elig_MatchAll_Ct&lt;22,$BC225=(Elig_MatchAll_Ct-1),AU225=0),S225,0)</f>
        <v>0</v>
      </c>
      <c r="BY225" s="201">
        <f>IF(AND(Input_Product=Elig!$C225,Elig_MatchAll_Ct&lt;22,$BC225=(Elig_MatchAll_Ct-1),AV225=0),T225,0)</f>
        <v>0</v>
      </c>
      <c r="BZ225" s="202">
        <f>IF(AND(Input_Product=Elig!$C225,Elig_MatchAll_Ct&lt;22,$BC225=(Elig_MatchAll_Ct-1),AV225=0),U225,0)</f>
        <v>0</v>
      </c>
      <c r="CA225" s="201">
        <f>IF(AND(Input_Product=Elig!$C225,Elig_MatchAll_Ct&lt;22,$BC225=(Elig_MatchAll_Ct-1),AW225=0),V225,0)</f>
        <v>0</v>
      </c>
      <c r="CB225" s="202">
        <f>IF(AND(Input_Product=Elig!$C225,Elig_MatchAll_Ct&lt;22,$BC225=(Elig_MatchAll_Ct-1),AW225=0),W225,0)</f>
        <v>0</v>
      </c>
      <c r="CC225" s="201">
        <f>IF(AND(Input_Product=Elig!$C225,Elig_MatchAll_Ct&lt;22,$BC225=(Elig_MatchAll_Ct-1),AX225=0),X225,0)</f>
        <v>0</v>
      </c>
      <c r="CD225" s="202">
        <f>IF(AND(Input_Product=Elig!$C225,Elig_MatchAll_Ct&lt;22,$BC225=(Elig_MatchAll_Ct-1),AX225=0),Y225,0)</f>
        <v>0</v>
      </c>
      <c r="CE225" s="201">
        <f>IF(AND(Input_LTV&lt;=AE225,Input_Product=Elig!$C225,Elig_MatchAll_Ct&lt;22,$BC225=(Elig_MatchAll_Ct-1),AY225=0),Z225,0)</f>
        <v>0</v>
      </c>
      <c r="CF225" s="202">
        <f>IF(AND(Input_LTV&lt;=AE225,Input_Product=Elig!$C225,Elig_MatchAll_Ct&lt;22,$BC225=(Elig_MatchAll_Ct-1),AY225=0),AA225,0)</f>
        <v>0</v>
      </c>
      <c r="CG225" s="201">
        <f>IF(AND(Input_Product=Elig!$C225,Elig_MatchAll_Ct&lt;22,$BC225=(Elig_MatchAll_Ct-1),AZ225=0),AB225,0)</f>
        <v>0</v>
      </c>
      <c r="CH225" s="202">
        <f>IF(AND(Input_Product=Elig!$C225,Elig_MatchAll_Ct&lt;22,$BC225=(Elig_MatchAll_Ct-1),AZ225=0),AC225,0)</f>
        <v>0</v>
      </c>
      <c r="CI225" s="201">
        <f>IF(AND(Input_Product=Elig!$C225,Elig_MatchAll_Ct&lt;22,$BC225=(Elig_MatchAll_Ct-1),BA225=0),AD225,0)</f>
        <v>0</v>
      </c>
      <c r="CJ225" s="202">
        <f>IF(AND(Input_Product=Elig!$C225,Elig_MatchAll_Ct&lt;22,$BC225=(Elig_MatchAll_Ct-1),BA225=0),AE225,0)</f>
        <v>0</v>
      </c>
    </row>
    <row r="226" spans="2:88" ht="10.15" customHeight="1" x14ac:dyDescent="0.25">
      <c r="B226" s="1912" t="s">
        <v>1217</v>
      </c>
      <c r="C226" s="228" t="str">
        <f t="shared" si="56"/>
        <v>NonQM OO</v>
      </c>
      <c r="D226" s="24" t="s">
        <v>3885</v>
      </c>
      <c r="E226" s="24" t="s">
        <v>167</v>
      </c>
      <c r="F226" s="24" t="s">
        <v>331</v>
      </c>
      <c r="G226" s="24" t="s">
        <v>473</v>
      </c>
      <c r="H226" s="24" t="s">
        <v>136</v>
      </c>
      <c r="I226" s="145" t="s">
        <v>16</v>
      </c>
      <c r="J226" s="145" t="s">
        <v>1311</v>
      </c>
      <c r="K226" s="145" t="s">
        <v>1631</v>
      </c>
      <c r="L226" s="321" t="s">
        <v>3920</v>
      </c>
      <c r="M226" s="24" t="s">
        <v>4203</v>
      </c>
      <c r="N226" s="24" t="s">
        <v>82</v>
      </c>
      <c r="O226" s="24" t="s">
        <v>310</v>
      </c>
      <c r="P226" s="24" t="s">
        <v>291</v>
      </c>
      <c r="Q226" s="24" t="s">
        <v>294</v>
      </c>
      <c r="R226" s="24">
        <v>2000000.01</v>
      </c>
      <c r="S226" s="321">
        <v>2500000</v>
      </c>
      <c r="T226" s="24">
        <v>0</v>
      </c>
      <c r="U226" s="24">
        <f t="shared" si="104"/>
        <v>2500000</v>
      </c>
      <c r="V226" s="24">
        <v>0</v>
      </c>
      <c r="W226" s="24">
        <v>55</v>
      </c>
      <c r="X226" s="24">
        <v>0</v>
      </c>
      <c r="Y226" s="24">
        <v>999</v>
      </c>
      <c r="Z226" s="2100">
        <v>660</v>
      </c>
      <c r="AA226" s="2100">
        <v>679</v>
      </c>
      <c r="AB226" s="25">
        <v>9</v>
      </c>
      <c r="AC226" s="25">
        <v>999999</v>
      </c>
      <c r="AD226" s="24">
        <v>0</v>
      </c>
      <c r="AE226" s="24">
        <v>65</v>
      </c>
      <c r="AF226" s="170">
        <v>0</v>
      </c>
      <c r="AG226" s="171">
        <v>1</v>
      </c>
      <c r="AH226" s="171">
        <v>1</v>
      </c>
      <c r="AI226" s="171">
        <v>1</v>
      </c>
      <c r="AJ226" s="171">
        <v>0</v>
      </c>
      <c r="AK226" s="171">
        <v>1</v>
      </c>
      <c r="AL226" s="171">
        <v>1</v>
      </c>
      <c r="AM226" s="171">
        <v>1</v>
      </c>
      <c r="AN226" s="171">
        <v>1</v>
      </c>
      <c r="AO226" s="171">
        <v>1</v>
      </c>
      <c r="AP226" s="171">
        <v>1</v>
      </c>
      <c r="AQ226" s="171">
        <v>1</v>
      </c>
      <c r="AR226" s="171">
        <v>1</v>
      </c>
      <c r="AS226" s="171">
        <v>1</v>
      </c>
      <c r="AT226" s="171">
        <v>1</v>
      </c>
      <c r="AU226" s="171">
        <f t="shared" si="58"/>
        <v>0</v>
      </c>
      <c r="AV226" s="171">
        <f t="shared" si="59"/>
        <v>1</v>
      </c>
      <c r="AW226" s="171">
        <f t="shared" si="60"/>
        <v>1</v>
      </c>
      <c r="AX226" s="171">
        <f t="shared" si="100"/>
        <v>1</v>
      </c>
      <c r="AY226" s="171">
        <f t="shared" si="61"/>
        <v>0</v>
      </c>
      <c r="AZ226" s="171">
        <f t="shared" si="62"/>
        <v>1</v>
      </c>
      <c r="BA226" s="172">
        <f t="shared" si="63"/>
        <v>1</v>
      </c>
      <c r="BB226" s="175">
        <f t="shared" si="72"/>
        <v>18</v>
      </c>
      <c r="BC226" s="176">
        <f t="shared" si="73"/>
        <v>17</v>
      </c>
      <c r="BD226" s="176">
        <f t="shared" si="74"/>
        <v>18</v>
      </c>
      <c r="BE226" s="240" t="str">
        <f t="shared" si="79"/>
        <v/>
      </c>
      <c r="BH226" s="214">
        <f>IF(AND(Input_Product=Elig!$C226,Elig_MatchAll_Ct&lt;22,$BC226=(Elig_MatchAll_Ct-1),AF226=0),C226,0)</f>
        <v>0</v>
      </c>
      <c r="BI226" s="214">
        <f>IF(AND(Input_Product=Elig!$C226,Elig_MatchAll_Ct&lt;22,$BC226=(Elig_MatchAll_Ct-1),AG226=0),D226,0)</f>
        <v>0</v>
      </c>
      <c r="BJ226" s="214">
        <f>IF(AND(Input_Product=Elig!$C226,Elig_MatchAll_Ct&lt;22,$BC226=(Elig_MatchAll_Ct-1),AH226=0),E226,0)</f>
        <v>0</v>
      </c>
      <c r="BK226" s="214">
        <f>IF(AND(Input_Product=Elig!$C226,Elig_MatchAll_Ct&lt;22,$BC226=(Elig_MatchAll_Ct-1),AI226=0),F226,0)</f>
        <v>0</v>
      </c>
      <c r="BL226" s="214">
        <f>IF(AND(Input_Product=Elig!$C226,Elig_MatchAll_Ct&lt;22,$BC226=(Elig_MatchAll_Ct-1),AJ226=0),G226,0)</f>
        <v>0</v>
      </c>
      <c r="BM226" s="214">
        <f>IF(AND(Input_Product=Elig!$C226,Elig_MatchAll_Ct&lt;22,$BC226=(Elig_MatchAll_Ct-1),AK226=0),H226,0)</f>
        <v>0</v>
      </c>
      <c r="BN226" s="214">
        <f>IF(AND(Input_Product=Elig!$C226,Elig_MatchAll_Ct&lt;22,$BC226=(Elig_MatchAll_Ct-1),AL226=0),I226,0)</f>
        <v>0</v>
      </c>
      <c r="BO226" s="214">
        <f>IF(AND(Input_Product=Elig!$C226,Elig_MatchAll_Ct&lt;22,$BC226=(Elig_MatchAll_Ct-1),AM226=0),J226,0)</f>
        <v>0</v>
      </c>
      <c r="BP226" s="214">
        <f>IF(AND(Input_Product=Elig!$C226,Elig_MatchAll_Ct&lt;22,$BC226=(Elig_MatchAll_Ct-1),AN226=0),K226,0)</f>
        <v>0</v>
      </c>
      <c r="BQ226" s="214">
        <f>IF(AND(Input_Product=Elig!$C226,Elig_MatchAll_Ct&lt;22,$BC226=(Elig_MatchAll_Ct-1),AP226=0),L226,0)</f>
        <v>0</v>
      </c>
      <c r="BR226" s="214">
        <f>IF(AND(Input_Product=Elig!$C226,Elig_MatchAll_Ct&lt;22,$BC226=(Elig_MatchAll_Ct-1),AO226=0),M226,0)</f>
        <v>0</v>
      </c>
      <c r="BS226" s="214">
        <f>IF(AND(Input_Product=Elig!$C226,Elig_MatchAll_Ct&lt;22,$BC226=(Elig_MatchAll_Ct-1),AQ226=0),N226,0)</f>
        <v>0</v>
      </c>
      <c r="BT226" s="214">
        <f>IF(AND(Input_Product=Elig!$C226,Elig_MatchAll_Ct&lt;22,$BC226=(Elig_MatchAll_Ct-1),AR226=0),O226,0)</f>
        <v>0</v>
      </c>
      <c r="BU226" s="214">
        <f>IF(AND(Input_Product=Elig!$C226,Elig_MatchAll_Ct&lt;22,$BC226=(Elig_MatchAll_Ct-1),AS226=0),P226,0)</f>
        <v>0</v>
      </c>
      <c r="BV226" s="215">
        <f>IF(AND(Input_Product=Elig!$C226,Elig_MatchAll_Ct&lt;22,$BC226=(Elig_MatchAll_Ct-1),AT226=0),Q226,0)</f>
        <v>0</v>
      </c>
      <c r="BW226" s="311">
        <f>IF(AND(Input_Product=Elig!$C226,Elig_MatchAll_Ct&lt;22,$BC226=(Elig_MatchAll_Ct-1),AU226=0),R226,0)</f>
        <v>0</v>
      </c>
      <c r="BX226" s="312">
        <f>IF(AND(Input_Product=Elig!$C226,Elig_MatchAll_Ct&lt;22,$BC226=(Elig_MatchAll_Ct-1),AU226=0),S226,0)</f>
        <v>0</v>
      </c>
      <c r="BY226" s="311">
        <f>IF(AND(Input_Product=Elig!$C226,Elig_MatchAll_Ct&lt;22,$BC226=(Elig_MatchAll_Ct-1),AV226=0),T226,0)</f>
        <v>0</v>
      </c>
      <c r="BZ226" s="312">
        <f>IF(AND(Input_Product=Elig!$C226,Elig_MatchAll_Ct&lt;22,$BC226=(Elig_MatchAll_Ct-1),AV226=0),U226,0)</f>
        <v>0</v>
      </c>
      <c r="CA226" s="311">
        <f>IF(AND(Input_Product=Elig!$C226,Elig_MatchAll_Ct&lt;22,$BC226=(Elig_MatchAll_Ct-1),AW226=0),V226,0)</f>
        <v>0</v>
      </c>
      <c r="CB226" s="312">
        <f>IF(AND(Input_Product=Elig!$C226,Elig_MatchAll_Ct&lt;22,$BC226=(Elig_MatchAll_Ct-1),AW226=0),W226,0)</f>
        <v>0</v>
      </c>
      <c r="CC226" s="311">
        <f>IF(AND(Input_Product=Elig!$C226,Elig_MatchAll_Ct&lt;22,$BC226=(Elig_MatchAll_Ct-1),AX226=0),X226,0)</f>
        <v>0</v>
      </c>
      <c r="CD226" s="312">
        <f>IF(AND(Input_Product=Elig!$C226,Elig_MatchAll_Ct&lt;22,$BC226=(Elig_MatchAll_Ct-1),AX226=0),Y226,0)</f>
        <v>0</v>
      </c>
      <c r="CE226" s="311">
        <f>IF(AND(Input_LTV&lt;=AE226,Input_Product=Elig!$C226,Elig_MatchAll_Ct&lt;22,$BC226=(Elig_MatchAll_Ct-1),AY226=0),Z226,0)</f>
        <v>0</v>
      </c>
      <c r="CF226" s="312">
        <f>IF(AND(Input_LTV&lt;=AE226,Input_Product=Elig!$C226,Elig_MatchAll_Ct&lt;22,$BC226=(Elig_MatchAll_Ct-1),AY226=0),AA226,0)</f>
        <v>0</v>
      </c>
      <c r="CG226" s="311">
        <f>IF(AND(Input_Product=Elig!$C226,Elig_MatchAll_Ct&lt;22,$BC226=(Elig_MatchAll_Ct-1),AZ226=0),AB226,0)</f>
        <v>0</v>
      </c>
      <c r="CH226" s="312">
        <f>IF(AND(Input_Product=Elig!$C226,Elig_MatchAll_Ct&lt;22,$BC226=(Elig_MatchAll_Ct-1),AZ226=0),AC226,0)</f>
        <v>0</v>
      </c>
      <c r="CI226" s="311">
        <f>IF(AND(Input_Product=Elig!$C226,Elig_MatchAll_Ct&lt;22,$BC226=(Elig_MatchAll_Ct-1),BA226=0),AD226,0)</f>
        <v>0</v>
      </c>
      <c r="CJ226" s="312">
        <f>IF(AND(Input_Product=Elig!$C226,Elig_MatchAll_Ct&lt;22,$BC226=(Elig_MatchAll_Ct-1),BA226=0),AE226,0)</f>
        <v>0</v>
      </c>
    </row>
    <row r="227" spans="2:88" ht="10.15" customHeight="1" x14ac:dyDescent="0.25">
      <c r="B227" s="1912" t="s">
        <v>1218</v>
      </c>
      <c r="C227" s="141" t="str">
        <f t="shared" si="56"/>
        <v>NonQM OO</v>
      </c>
      <c r="D227" s="142" t="s">
        <v>3885</v>
      </c>
      <c r="E227" s="143" t="s">
        <v>167</v>
      </c>
      <c r="F227" s="143" t="s">
        <v>331</v>
      </c>
      <c r="G227" s="143" t="s">
        <v>303</v>
      </c>
      <c r="H227" s="143" t="s">
        <v>136</v>
      </c>
      <c r="I227" s="142" t="s">
        <v>274</v>
      </c>
      <c r="J227" s="142" t="s">
        <v>1311</v>
      </c>
      <c r="K227" s="142" t="s">
        <v>1631</v>
      </c>
      <c r="L227" s="2131" t="s">
        <v>3920</v>
      </c>
      <c r="M227" s="143" t="s">
        <v>4203</v>
      </c>
      <c r="N227" s="143" t="s">
        <v>82</v>
      </c>
      <c r="O227" s="143" t="s">
        <v>310</v>
      </c>
      <c r="P227" s="143" t="s">
        <v>291</v>
      </c>
      <c r="Q227" s="143" t="s">
        <v>294</v>
      </c>
      <c r="R227" s="320">
        <v>2500000.0099999998</v>
      </c>
      <c r="S227" s="142">
        <v>3000000</v>
      </c>
      <c r="T227" s="142">
        <v>0</v>
      </c>
      <c r="U227" s="142">
        <v>0</v>
      </c>
      <c r="V227" s="142">
        <v>0</v>
      </c>
      <c r="W227" s="142">
        <v>55</v>
      </c>
      <c r="X227" s="142">
        <v>0</v>
      </c>
      <c r="Y227" s="142">
        <v>999</v>
      </c>
      <c r="Z227" s="144">
        <v>720</v>
      </c>
      <c r="AA227" s="144">
        <v>999</v>
      </c>
      <c r="AB227" s="144">
        <v>9</v>
      </c>
      <c r="AC227" s="144">
        <v>999999</v>
      </c>
      <c r="AD227" s="142">
        <v>0</v>
      </c>
      <c r="AE227" s="142">
        <v>75</v>
      </c>
      <c r="AF227" s="170">
        <v>0</v>
      </c>
      <c r="AG227" s="171">
        <v>1</v>
      </c>
      <c r="AH227" s="171">
        <v>1</v>
      </c>
      <c r="AI227" s="171">
        <v>1</v>
      </c>
      <c r="AJ227" s="171">
        <v>1</v>
      </c>
      <c r="AK227" s="171">
        <v>1</v>
      </c>
      <c r="AL227" s="171">
        <v>0</v>
      </c>
      <c r="AM227" s="171">
        <v>1</v>
      </c>
      <c r="AN227" s="171">
        <v>1</v>
      </c>
      <c r="AO227" s="171">
        <v>1</v>
      </c>
      <c r="AP227" s="171">
        <v>1</v>
      </c>
      <c r="AQ227" s="171">
        <v>1</v>
      </c>
      <c r="AR227" s="171">
        <v>1</v>
      </c>
      <c r="AS227" s="171">
        <v>1</v>
      </c>
      <c r="AT227" s="171">
        <v>1</v>
      </c>
      <c r="AU227" s="171">
        <f t="shared" si="58"/>
        <v>0</v>
      </c>
      <c r="AV227" s="171">
        <f t="shared" si="59"/>
        <v>0</v>
      </c>
      <c r="AW227" s="171">
        <f t="shared" si="60"/>
        <v>1</v>
      </c>
      <c r="AX227" s="171">
        <f t="shared" si="100"/>
        <v>1</v>
      </c>
      <c r="AY227" s="171">
        <f t="shared" si="61"/>
        <v>1</v>
      </c>
      <c r="AZ227" s="171">
        <f t="shared" si="62"/>
        <v>1</v>
      </c>
      <c r="BA227" s="172">
        <f t="shared" si="63"/>
        <v>1</v>
      </c>
      <c r="BB227" s="175">
        <f t="shared" si="72"/>
        <v>18</v>
      </c>
      <c r="BC227" s="176">
        <f t="shared" si="73"/>
        <v>17</v>
      </c>
      <c r="BD227" s="176">
        <f t="shared" si="74"/>
        <v>18</v>
      </c>
      <c r="BE227" s="240" t="str">
        <f t="shared" si="79"/>
        <v/>
      </c>
      <c r="BH227" s="210">
        <f>IF(AND(Input_Product=Elig!$C227,Elig_MatchAll_Ct&lt;22,$BC227=(Elig_MatchAll_Ct-1),AF227=0),C227,0)</f>
        <v>0</v>
      </c>
      <c r="BI227" s="210">
        <f>IF(AND(Input_Product=Elig!$C227,Elig_MatchAll_Ct&lt;22,$BC227=(Elig_MatchAll_Ct-1),AG227=0),D227,0)</f>
        <v>0</v>
      </c>
      <c r="BJ227" s="210">
        <f>IF(AND(Input_Product=Elig!$C227,Elig_MatchAll_Ct&lt;22,$BC227=(Elig_MatchAll_Ct-1),AH227=0),E227,0)</f>
        <v>0</v>
      </c>
      <c r="BK227" s="210">
        <f>IF(AND(Input_Product=Elig!$C227,Elig_MatchAll_Ct&lt;22,$BC227=(Elig_MatchAll_Ct-1),AI227=0),F227,0)</f>
        <v>0</v>
      </c>
      <c r="BL227" s="210">
        <f>IF(AND(Input_Product=Elig!$C227,Elig_MatchAll_Ct&lt;22,$BC227=(Elig_MatchAll_Ct-1),AJ227=0),G227,0)</f>
        <v>0</v>
      </c>
      <c r="BM227" s="210">
        <f>IF(AND(Input_Product=Elig!$C227,Elig_MatchAll_Ct&lt;22,$BC227=(Elig_MatchAll_Ct-1),AK227=0),H227,0)</f>
        <v>0</v>
      </c>
      <c r="BN227" s="210">
        <f>IF(AND(Input_Product=Elig!$C227,Elig_MatchAll_Ct&lt;22,$BC227=(Elig_MatchAll_Ct-1),AL227=0),I227,0)</f>
        <v>0</v>
      </c>
      <c r="BO227" s="210">
        <f>IF(AND(Input_Product=Elig!$C227,Elig_MatchAll_Ct&lt;22,$BC227=(Elig_MatchAll_Ct-1),AM227=0),J227,0)</f>
        <v>0</v>
      </c>
      <c r="BP227" s="210">
        <f>IF(AND(Input_Product=Elig!$C227,Elig_MatchAll_Ct&lt;22,$BC227=(Elig_MatchAll_Ct-1),AN227=0),K227,0)</f>
        <v>0</v>
      </c>
      <c r="BQ227" s="210">
        <f>IF(AND(Input_Product=Elig!$C227,Elig_MatchAll_Ct&lt;22,$BC227=(Elig_MatchAll_Ct-1),AP227=0),L227,0)</f>
        <v>0</v>
      </c>
      <c r="BR227" s="210">
        <f>IF(AND(Input_Product=Elig!$C227,Elig_MatchAll_Ct&lt;22,$BC227=(Elig_MatchAll_Ct-1),AO227=0),M227,0)</f>
        <v>0</v>
      </c>
      <c r="BS227" s="210">
        <f>IF(AND(Input_Product=Elig!$C227,Elig_MatchAll_Ct&lt;22,$BC227=(Elig_MatchAll_Ct-1),AQ227=0),N227,0)</f>
        <v>0</v>
      </c>
      <c r="BT227" s="210">
        <f>IF(AND(Input_Product=Elig!$C227,Elig_MatchAll_Ct&lt;22,$BC227=(Elig_MatchAll_Ct-1),AR227=0),O227,0)</f>
        <v>0</v>
      </c>
      <c r="BU227" s="210">
        <f>IF(AND(Input_Product=Elig!$C227,Elig_MatchAll_Ct&lt;22,$BC227=(Elig_MatchAll_Ct-1),AS227=0),P227,0)</f>
        <v>0</v>
      </c>
      <c r="BV227" s="211">
        <f>IF(AND(Input_Product=Elig!$C227,Elig_MatchAll_Ct&lt;22,$BC227=(Elig_MatchAll_Ct-1),AT227=0),Q227,0)</f>
        <v>0</v>
      </c>
      <c r="BW227" s="212">
        <f>IF(AND(Input_Product=Elig!$C227,Elig_MatchAll_Ct&lt;22,$BC227=(Elig_MatchAll_Ct-1),AU227=0),R227,0)</f>
        <v>0</v>
      </c>
      <c r="BX227" s="213">
        <f>IF(AND(Input_Product=Elig!$C227,Elig_MatchAll_Ct&lt;22,$BC227=(Elig_MatchAll_Ct-1),AU227=0),S227,0)</f>
        <v>0</v>
      </c>
      <c r="BY227" s="212">
        <f>IF(AND(Input_Product=Elig!$C227,Elig_MatchAll_Ct&lt;22,$BC227=(Elig_MatchAll_Ct-1),AV227=0),T227,0)</f>
        <v>0</v>
      </c>
      <c r="BZ227" s="213">
        <f>IF(AND(Input_Product=Elig!$C227,Elig_MatchAll_Ct&lt;22,$BC227=(Elig_MatchAll_Ct-1),AV227=0),U227,0)</f>
        <v>0</v>
      </c>
      <c r="CA227" s="212">
        <f>IF(AND(Input_Product=Elig!$C227,Elig_MatchAll_Ct&lt;22,$BC227=(Elig_MatchAll_Ct-1),AW227=0),V227,0)</f>
        <v>0</v>
      </c>
      <c r="CB227" s="213">
        <f>IF(AND(Input_Product=Elig!$C227,Elig_MatchAll_Ct&lt;22,$BC227=(Elig_MatchAll_Ct-1),AW227=0),W227,0)</f>
        <v>0</v>
      </c>
      <c r="CC227" s="212">
        <f>IF(AND(Input_Product=Elig!$C227,Elig_MatchAll_Ct&lt;22,$BC227=(Elig_MatchAll_Ct-1),AX227=0),X227,0)</f>
        <v>0</v>
      </c>
      <c r="CD227" s="213">
        <f>IF(AND(Input_Product=Elig!$C227,Elig_MatchAll_Ct&lt;22,$BC227=(Elig_MatchAll_Ct-1),AX227=0),Y227,0)</f>
        <v>0</v>
      </c>
      <c r="CE227" s="212">
        <f>IF(AND(Input_LTV&lt;=AE227,Input_Product=Elig!$C227,Elig_MatchAll_Ct&lt;22,$BC227=(Elig_MatchAll_Ct-1),AY227=0),Z227,0)</f>
        <v>0</v>
      </c>
      <c r="CF227" s="213">
        <f>IF(AND(Input_LTV&lt;=AE227,Input_Product=Elig!$C227,Elig_MatchAll_Ct&lt;22,$BC227=(Elig_MatchAll_Ct-1),AY227=0),AA227,0)</f>
        <v>0</v>
      </c>
      <c r="CG227" s="212">
        <f>IF(AND(Input_Product=Elig!$C227,Elig_MatchAll_Ct&lt;22,$BC227=(Elig_MatchAll_Ct-1),AZ227=0),AB227,0)</f>
        <v>0</v>
      </c>
      <c r="CH227" s="213">
        <f>IF(AND(Input_Product=Elig!$C227,Elig_MatchAll_Ct&lt;22,$BC227=(Elig_MatchAll_Ct-1),AZ227=0),AC227,0)</f>
        <v>0</v>
      </c>
      <c r="CI227" s="212">
        <f>IF(AND(Input_Product=Elig!$C227,Elig_MatchAll_Ct&lt;22,$BC227=(Elig_MatchAll_Ct-1),BA227=0),AD227,0)</f>
        <v>0</v>
      </c>
      <c r="CJ227" s="213">
        <f>IF(AND(Input_Product=Elig!$C227,Elig_MatchAll_Ct&lt;22,$BC227=(Elig_MatchAll_Ct-1),BA227=0),AE227,0)</f>
        <v>0</v>
      </c>
    </row>
    <row r="228" spans="2:88" ht="10.15" customHeight="1" x14ac:dyDescent="0.25">
      <c r="B228" s="1912" t="s">
        <v>1219</v>
      </c>
      <c r="C228" s="134" t="str">
        <f t="shared" si="56"/>
        <v>NonQM OO</v>
      </c>
      <c r="D228" s="135" t="s">
        <v>3885</v>
      </c>
      <c r="E228" s="135" t="s">
        <v>167</v>
      </c>
      <c r="F228" s="135" t="s">
        <v>331</v>
      </c>
      <c r="G228" s="135" t="s">
        <v>303</v>
      </c>
      <c r="H228" s="135" t="s">
        <v>136</v>
      </c>
      <c r="I228" s="136" t="s">
        <v>274</v>
      </c>
      <c r="J228" s="136" t="s">
        <v>1311</v>
      </c>
      <c r="K228" s="136" t="s">
        <v>1631</v>
      </c>
      <c r="L228" s="221" t="s">
        <v>3920</v>
      </c>
      <c r="M228" s="135" t="s">
        <v>4203</v>
      </c>
      <c r="N228" s="135" t="s">
        <v>82</v>
      </c>
      <c r="O228" s="135" t="s">
        <v>310</v>
      </c>
      <c r="P228" s="135" t="s">
        <v>291</v>
      </c>
      <c r="Q228" s="135" t="s">
        <v>294</v>
      </c>
      <c r="R228" s="221">
        <v>2500000.0099999998</v>
      </c>
      <c r="S228" s="135">
        <v>3000000</v>
      </c>
      <c r="T228" s="135">
        <v>0</v>
      </c>
      <c r="U228" s="135">
        <v>0</v>
      </c>
      <c r="V228" s="135">
        <v>0</v>
      </c>
      <c r="W228" s="135">
        <v>55</v>
      </c>
      <c r="X228" s="135">
        <v>0</v>
      </c>
      <c r="Y228" s="135">
        <v>999</v>
      </c>
      <c r="Z228" s="137">
        <v>700</v>
      </c>
      <c r="AA228" s="137">
        <v>719</v>
      </c>
      <c r="AB228" s="137">
        <v>9</v>
      </c>
      <c r="AC228" s="137">
        <v>999999</v>
      </c>
      <c r="AD228" s="135">
        <v>0</v>
      </c>
      <c r="AE228" s="221">
        <v>75</v>
      </c>
      <c r="AF228" s="170">
        <v>0</v>
      </c>
      <c r="AG228" s="171">
        <v>1</v>
      </c>
      <c r="AH228" s="171">
        <v>1</v>
      </c>
      <c r="AI228" s="171">
        <v>1</v>
      </c>
      <c r="AJ228" s="171">
        <v>1</v>
      </c>
      <c r="AK228" s="171">
        <v>1</v>
      </c>
      <c r="AL228" s="171">
        <v>0</v>
      </c>
      <c r="AM228" s="171">
        <v>1</v>
      </c>
      <c r="AN228" s="171">
        <v>1</v>
      </c>
      <c r="AO228" s="171">
        <v>1</v>
      </c>
      <c r="AP228" s="171">
        <v>1</v>
      </c>
      <c r="AQ228" s="171">
        <v>1</v>
      </c>
      <c r="AR228" s="171">
        <v>1</v>
      </c>
      <c r="AS228" s="171">
        <v>1</v>
      </c>
      <c r="AT228" s="171">
        <v>1</v>
      </c>
      <c r="AU228" s="171">
        <f t="shared" si="58"/>
        <v>0</v>
      </c>
      <c r="AV228" s="171">
        <f t="shared" si="59"/>
        <v>0</v>
      </c>
      <c r="AW228" s="171">
        <f t="shared" si="60"/>
        <v>1</v>
      </c>
      <c r="AX228" s="171">
        <f t="shared" si="100"/>
        <v>1</v>
      </c>
      <c r="AY228" s="171">
        <f t="shared" si="61"/>
        <v>0</v>
      </c>
      <c r="AZ228" s="171">
        <f t="shared" si="62"/>
        <v>1</v>
      </c>
      <c r="BA228" s="172">
        <f t="shared" si="63"/>
        <v>1</v>
      </c>
      <c r="BB228" s="175">
        <f t="shared" si="72"/>
        <v>17</v>
      </c>
      <c r="BC228" s="176">
        <f t="shared" si="73"/>
        <v>16</v>
      </c>
      <c r="BD228" s="176">
        <f t="shared" si="74"/>
        <v>17</v>
      </c>
      <c r="BE228" s="240" t="str">
        <f t="shared" si="79"/>
        <v/>
      </c>
      <c r="BH228" s="199">
        <f>IF(AND(Input_Product=Elig!$C228,Elig_MatchAll_Ct&lt;22,$BC228=(Elig_MatchAll_Ct-1),AF228=0),C228,0)</f>
        <v>0</v>
      </c>
      <c r="BI228" s="199">
        <f>IF(AND(Input_Product=Elig!$C228,Elig_MatchAll_Ct&lt;22,$BC228=(Elig_MatchAll_Ct-1),AG228=0),D228,0)</f>
        <v>0</v>
      </c>
      <c r="BJ228" s="199">
        <f>IF(AND(Input_Product=Elig!$C228,Elig_MatchAll_Ct&lt;22,$BC228=(Elig_MatchAll_Ct-1),AH228=0),E228,0)</f>
        <v>0</v>
      </c>
      <c r="BK228" s="199">
        <f>IF(AND(Input_Product=Elig!$C228,Elig_MatchAll_Ct&lt;22,$BC228=(Elig_MatchAll_Ct-1),AI228=0),F228,0)</f>
        <v>0</v>
      </c>
      <c r="BL228" s="199">
        <f>IF(AND(Input_Product=Elig!$C228,Elig_MatchAll_Ct&lt;22,$BC228=(Elig_MatchAll_Ct-1),AJ228=0),G228,0)</f>
        <v>0</v>
      </c>
      <c r="BM228" s="199">
        <f>IF(AND(Input_Product=Elig!$C228,Elig_MatchAll_Ct&lt;22,$BC228=(Elig_MatchAll_Ct-1),AK228=0),H228,0)</f>
        <v>0</v>
      </c>
      <c r="BN228" s="199">
        <f>IF(AND(Input_Product=Elig!$C228,Elig_MatchAll_Ct&lt;22,$BC228=(Elig_MatchAll_Ct-1),AL228=0),I228,0)</f>
        <v>0</v>
      </c>
      <c r="BO228" s="199">
        <f>IF(AND(Input_Product=Elig!$C228,Elig_MatchAll_Ct&lt;22,$BC228=(Elig_MatchAll_Ct-1),AM228=0),J228,0)</f>
        <v>0</v>
      </c>
      <c r="BP228" s="199">
        <f>IF(AND(Input_Product=Elig!$C228,Elig_MatchAll_Ct&lt;22,$BC228=(Elig_MatchAll_Ct-1),AN228=0),K228,0)</f>
        <v>0</v>
      </c>
      <c r="BQ228" s="199">
        <f>IF(AND(Input_Product=Elig!$C228,Elig_MatchAll_Ct&lt;22,$BC228=(Elig_MatchAll_Ct-1),AP228=0),L228,0)</f>
        <v>0</v>
      </c>
      <c r="BR228" s="199">
        <f>IF(AND(Input_Product=Elig!$C228,Elig_MatchAll_Ct&lt;22,$BC228=(Elig_MatchAll_Ct-1),AO228=0),M228,0)</f>
        <v>0</v>
      </c>
      <c r="BS228" s="199">
        <f>IF(AND(Input_Product=Elig!$C228,Elig_MatchAll_Ct&lt;22,$BC228=(Elig_MatchAll_Ct-1),AQ228=0),N228,0)</f>
        <v>0</v>
      </c>
      <c r="BT228" s="199">
        <f>IF(AND(Input_Product=Elig!$C228,Elig_MatchAll_Ct&lt;22,$BC228=(Elig_MatchAll_Ct-1),AR228=0),O228,0)</f>
        <v>0</v>
      </c>
      <c r="BU228" s="199">
        <f>IF(AND(Input_Product=Elig!$C228,Elig_MatchAll_Ct&lt;22,$BC228=(Elig_MatchAll_Ct-1),AS228=0),P228,0)</f>
        <v>0</v>
      </c>
      <c r="BV228" s="200">
        <f>IF(AND(Input_Product=Elig!$C228,Elig_MatchAll_Ct&lt;22,$BC228=(Elig_MatchAll_Ct-1),AT228=0),Q228,0)</f>
        <v>0</v>
      </c>
      <c r="BW228" s="201">
        <f>IF(AND(Input_Product=Elig!$C228,Elig_MatchAll_Ct&lt;22,$BC228=(Elig_MatchAll_Ct-1),AU228=0),R228,0)</f>
        <v>0</v>
      </c>
      <c r="BX228" s="202">
        <f>IF(AND(Input_Product=Elig!$C228,Elig_MatchAll_Ct&lt;22,$BC228=(Elig_MatchAll_Ct-1),AU228=0),S228,0)</f>
        <v>0</v>
      </c>
      <c r="BY228" s="201">
        <f>IF(AND(Input_Product=Elig!$C228,Elig_MatchAll_Ct&lt;22,$BC228=(Elig_MatchAll_Ct-1),AV228=0),T228,0)</f>
        <v>0</v>
      </c>
      <c r="BZ228" s="202">
        <f>IF(AND(Input_Product=Elig!$C228,Elig_MatchAll_Ct&lt;22,$BC228=(Elig_MatchAll_Ct-1),AV228=0),U228,0)</f>
        <v>0</v>
      </c>
      <c r="CA228" s="201">
        <f>IF(AND(Input_Product=Elig!$C228,Elig_MatchAll_Ct&lt;22,$BC228=(Elig_MatchAll_Ct-1),AW228=0),V228,0)</f>
        <v>0</v>
      </c>
      <c r="CB228" s="202">
        <f>IF(AND(Input_Product=Elig!$C228,Elig_MatchAll_Ct&lt;22,$BC228=(Elig_MatchAll_Ct-1),AW228=0),W228,0)</f>
        <v>0</v>
      </c>
      <c r="CC228" s="201">
        <f>IF(AND(Input_Product=Elig!$C228,Elig_MatchAll_Ct&lt;22,$BC228=(Elig_MatchAll_Ct-1),AX228=0),X228,0)</f>
        <v>0</v>
      </c>
      <c r="CD228" s="202">
        <f>IF(AND(Input_Product=Elig!$C228,Elig_MatchAll_Ct&lt;22,$BC228=(Elig_MatchAll_Ct-1),AX228=0),Y228,0)</f>
        <v>0</v>
      </c>
      <c r="CE228" s="201">
        <f>IF(AND(Input_LTV&lt;=AE228,Input_Product=Elig!$C228,Elig_MatchAll_Ct&lt;22,$BC228=(Elig_MatchAll_Ct-1),AY228=0),Z228,0)</f>
        <v>0</v>
      </c>
      <c r="CF228" s="202">
        <f>IF(AND(Input_LTV&lt;=AE228,Input_Product=Elig!$C228,Elig_MatchAll_Ct&lt;22,$BC228=(Elig_MatchAll_Ct-1),AY228=0),AA228,0)</f>
        <v>0</v>
      </c>
      <c r="CG228" s="201">
        <f>IF(AND(Input_Product=Elig!$C228,Elig_MatchAll_Ct&lt;22,$BC228=(Elig_MatchAll_Ct-1),AZ228=0),AB228,0)</f>
        <v>0</v>
      </c>
      <c r="CH228" s="202">
        <f>IF(AND(Input_Product=Elig!$C228,Elig_MatchAll_Ct&lt;22,$BC228=(Elig_MatchAll_Ct-1),AZ228=0),AC228,0)</f>
        <v>0</v>
      </c>
      <c r="CI228" s="201">
        <f>IF(AND(Input_Product=Elig!$C228,Elig_MatchAll_Ct&lt;22,$BC228=(Elig_MatchAll_Ct-1),BA228=0),AD228,0)</f>
        <v>0</v>
      </c>
      <c r="CJ228" s="202">
        <f>IF(AND(Input_Product=Elig!$C228,Elig_MatchAll_Ct&lt;22,$BC228=(Elig_MatchAll_Ct-1),BA228=0),AE228,0)</f>
        <v>0</v>
      </c>
    </row>
    <row r="229" spans="2:88" ht="10.15" customHeight="1" x14ac:dyDescent="0.25">
      <c r="B229" s="1912" t="s">
        <v>3934</v>
      </c>
      <c r="C229" s="134" t="str">
        <f t="shared" si="56"/>
        <v>NonQM OO</v>
      </c>
      <c r="D229" s="135" t="s">
        <v>3885</v>
      </c>
      <c r="E229" s="135" t="s">
        <v>167</v>
      </c>
      <c r="F229" s="135" t="s">
        <v>331</v>
      </c>
      <c r="G229" s="135" t="s">
        <v>303</v>
      </c>
      <c r="H229" s="135" t="s">
        <v>136</v>
      </c>
      <c r="I229" s="136" t="s">
        <v>274</v>
      </c>
      <c r="J229" s="136" t="s">
        <v>1311</v>
      </c>
      <c r="K229" s="136" t="s">
        <v>1631</v>
      </c>
      <c r="L229" s="221" t="s">
        <v>3920</v>
      </c>
      <c r="M229" s="135" t="s">
        <v>4203</v>
      </c>
      <c r="N229" s="135" t="s">
        <v>82</v>
      </c>
      <c r="O229" s="135" t="s">
        <v>310</v>
      </c>
      <c r="P229" s="135" t="s">
        <v>291</v>
      </c>
      <c r="Q229" s="135" t="s">
        <v>294</v>
      </c>
      <c r="R229" s="221">
        <v>2500000.0099999998</v>
      </c>
      <c r="S229" s="135">
        <v>3000000</v>
      </c>
      <c r="T229" s="135">
        <v>0</v>
      </c>
      <c r="U229" s="135">
        <v>0</v>
      </c>
      <c r="V229" s="135">
        <v>0</v>
      </c>
      <c r="W229" s="135">
        <v>55</v>
      </c>
      <c r="X229" s="135">
        <v>0</v>
      </c>
      <c r="Y229" s="135">
        <v>999</v>
      </c>
      <c r="Z229" s="137">
        <v>680</v>
      </c>
      <c r="AA229" s="137">
        <v>699</v>
      </c>
      <c r="AB229" s="137">
        <v>9</v>
      </c>
      <c r="AC229" s="137">
        <v>999999</v>
      </c>
      <c r="AD229" s="135">
        <v>0</v>
      </c>
      <c r="AE229" s="135">
        <v>70</v>
      </c>
      <c r="AF229" s="170">
        <v>0</v>
      </c>
      <c r="AG229" s="171">
        <v>1</v>
      </c>
      <c r="AH229" s="171">
        <v>1</v>
      </c>
      <c r="AI229" s="171">
        <v>1</v>
      </c>
      <c r="AJ229" s="171">
        <v>1</v>
      </c>
      <c r="AK229" s="171">
        <v>1</v>
      </c>
      <c r="AL229" s="171">
        <v>0</v>
      </c>
      <c r="AM229" s="171">
        <v>1</v>
      </c>
      <c r="AN229" s="171">
        <v>1</v>
      </c>
      <c r="AO229" s="171">
        <v>1</v>
      </c>
      <c r="AP229" s="171">
        <v>1</v>
      </c>
      <c r="AQ229" s="171">
        <v>1</v>
      </c>
      <c r="AR229" s="171">
        <v>1</v>
      </c>
      <c r="AS229" s="171">
        <v>1</v>
      </c>
      <c r="AT229" s="171">
        <v>1</v>
      </c>
      <c r="AU229" s="171">
        <f t="shared" si="58"/>
        <v>0</v>
      </c>
      <c r="AV229" s="171">
        <f t="shared" si="59"/>
        <v>0</v>
      </c>
      <c r="AW229" s="171">
        <f t="shared" si="60"/>
        <v>1</v>
      </c>
      <c r="AX229" s="171">
        <f t="shared" si="100"/>
        <v>1</v>
      </c>
      <c r="AY229" s="171">
        <f t="shared" si="61"/>
        <v>0</v>
      </c>
      <c r="AZ229" s="171">
        <f t="shared" si="62"/>
        <v>1</v>
      </c>
      <c r="BA229" s="172">
        <f t="shared" si="63"/>
        <v>1</v>
      </c>
      <c r="BB229" s="175">
        <f t="shared" si="72"/>
        <v>17</v>
      </c>
      <c r="BC229" s="176">
        <f t="shared" si="73"/>
        <v>16</v>
      </c>
      <c r="BD229" s="176">
        <f t="shared" si="74"/>
        <v>17</v>
      </c>
      <c r="BE229" s="240" t="str">
        <f t="shared" si="79"/>
        <v/>
      </c>
      <c r="BH229" s="214">
        <f>IF(AND(Input_Product=Elig!$C229,Elig_MatchAll_Ct&lt;22,$BC229=(Elig_MatchAll_Ct-1),AF229=0),C229,0)</f>
        <v>0</v>
      </c>
      <c r="BI229" s="214">
        <f>IF(AND(Input_Product=Elig!$C229,Elig_MatchAll_Ct&lt;22,$BC229=(Elig_MatchAll_Ct-1),AG229=0),D229,0)</f>
        <v>0</v>
      </c>
      <c r="BJ229" s="214">
        <f>IF(AND(Input_Product=Elig!$C229,Elig_MatchAll_Ct&lt;22,$BC229=(Elig_MatchAll_Ct-1),AH229=0),E229,0)</f>
        <v>0</v>
      </c>
      <c r="BK229" s="214">
        <f>IF(AND(Input_Product=Elig!$C229,Elig_MatchAll_Ct&lt;22,$BC229=(Elig_MatchAll_Ct-1),AI229=0),F229,0)</f>
        <v>0</v>
      </c>
      <c r="BL229" s="214">
        <f>IF(AND(Input_Product=Elig!$C229,Elig_MatchAll_Ct&lt;22,$BC229=(Elig_MatchAll_Ct-1),AJ229=0),G229,0)</f>
        <v>0</v>
      </c>
      <c r="BM229" s="214">
        <f>IF(AND(Input_Product=Elig!$C229,Elig_MatchAll_Ct&lt;22,$BC229=(Elig_MatchAll_Ct-1),AK229=0),H229,0)</f>
        <v>0</v>
      </c>
      <c r="BN229" s="214">
        <f>IF(AND(Input_Product=Elig!$C229,Elig_MatchAll_Ct&lt;22,$BC229=(Elig_MatchAll_Ct-1),AL229=0),I229,0)</f>
        <v>0</v>
      </c>
      <c r="BO229" s="214">
        <f>IF(AND(Input_Product=Elig!$C229,Elig_MatchAll_Ct&lt;22,$BC229=(Elig_MatchAll_Ct-1),AM229=0),J229,0)</f>
        <v>0</v>
      </c>
      <c r="BP229" s="214">
        <f>IF(AND(Input_Product=Elig!$C229,Elig_MatchAll_Ct&lt;22,$BC229=(Elig_MatchAll_Ct-1),AN229=0),K229,0)</f>
        <v>0</v>
      </c>
      <c r="BQ229" s="214">
        <f>IF(AND(Input_Product=Elig!$C229,Elig_MatchAll_Ct&lt;22,$BC229=(Elig_MatchAll_Ct-1),AP229=0),L229,0)</f>
        <v>0</v>
      </c>
      <c r="BR229" s="214">
        <f>IF(AND(Input_Product=Elig!$C229,Elig_MatchAll_Ct&lt;22,$BC229=(Elig_MatchAll_Ct-1),AO229=0),M229,0)</f>
        <v>0</v>
      </c>
      <c r="BS229" s="214">
        <f>IF(AND(Input_Product=Elig!$C229,Elig_MatchAll_Ct&lt;22,$BC229=(Elig_MatchAll_Ct-1),AQ229=0),N229,0)</f>
        <v>0</v>
      </c>
      <c r="BT229" s="214">
        <f>IF(AND(Input_Product=Elig!$C229,Elig_MatchAll_Ct&lt;22,$BC229=(Elig_MatchAll_Ct-1),AR229=0),O229,0)</f>
        <v>0</v>
      </c>
      <c r="BU229" s="214">
        <f>IF(AND(Input_Product=Elig!$C229,Elig_MatchAll_Ct&lt;22,$BC229=(Elig_MatchAll_Ct-1),AS229=0),P229,0)</f>
        <v>0</v>
      </c>
      <c r="BV229" s="215">
        <f>IF(AND(Input_Product=Elig!$C229,Elig_MatchAll_Ct&lt;22,$BC229=(Elig_MatchAll_Ct-1),AT229=0),Q229,0)</f>
        <v>0</v>
      </c>
      <c r="BW229" s="311">
        <f>IF(AND(Input_Product=Elig!$C229,Elig_MatchAll_Ct&lt;22,$BC229=(Elig_MatchAll_Ct-1),AU229=0),R229,0)</f>
        <v>0</v>
      </c>
      <c r="BX229" s="312">
        <f>IF(AND(Input_Product=Elig!$C229,Elig_MatchAll_Ct&lt;22,$BC229=(Elig_MatchAll_Ct-1),AU229=0),S229,0)</f>
        <v>0</v>
      </c>
      <c r="BY229" s="311">
        <f>IF(AND(Input_Product=Elig!$C229,Elig_MatchAll_Ct&lt;22,$BC229=(Elig_MatchAll_Ct-1),AV229=0),T229,0)</f>
        <v>0</v>
      </c>
      <c r="BZ229" s="312">
        <f>IF(AND(Input_Product=Elig!$C229,Elig_MatchAll_Ct&lt;22,$BC229=(Elig_MatchAll_Ct-1),AV229=0),U229,0)</f>
        <v>0</v>
      </c>
      <c r="CA229" s="311">
        <f>IF(AND(Input_Product=Elig!$C229,Elig_MatchAll_Ct&lt;22,$BC229=(Elig_MatchAll_Ct-1),AW229=0),V229,0)</f>
        <v>0</v>
      </c>
      <c r="CB229" s="312">
        <f>IF(AND(Input_Product=Elig!$C229,Elig_MatchAll_Ct&lt;22,$BC229=(Elig_MatchAll_Ct-1),AW229=0),W229,0)</f>
        <v>0</v>
      </c>
      <c r="CC229" s="311">
        <f>IF(AND(Input_Product=Elig!$C229,Elig_MatchAll_Ct&lt;22,$BC229=(Elig_MatchAll_Ct-1),AX229=0),X229,0)</f>
        <v>0</v>
      </c>
      <c r="CD229" s="312">
        <f>IF(AND(Input_Product=Elig!$C229,Elig_MatchAll_Ct&lt;22,$BC229=(Elig_MatchAll_Ct-1),AX229=0),Y229,0)</f>
        <v>0</v>
      </c>
      <c r="CE229" s="311">
        <f>IF(AND(Input_LTV&lt;=AE229,Input_Product=Elig!$C229,Elig_MatchAll_Ct&lt;22,$BC229=(Elig_MatchAll_Ct-1),AY229=0),Z229,0)</f>
        <v>0</v>
      </c>
      <c r="CF229" s="312">
        <f>IF(AND(Input_LTV&lt;=AE229,Input_Product=Elig!$C229,Elig_MatchAll_Ct&lt;22,$BC229=(Elig_MatchAll_Ct-1),AY229=0),AA229,0)</f>
        <v>0</v>
      </c>
      <c r="CG229" s="311">
        <f>IF(AND(Input_Product=Elig!$C229,Elig_MatchAll_Ct&lt;22,$BC229=(Elig_MatchAll_Ct-1),AZ229=0),AB229,0)</f>
        <v>0</v>
      </c>
      <c r="CH229" s="312">
        <f>IF(AND(Input_Product=Elig!$C229,Elig_MatchAll_Ct&lt;22,$BC229=(Elig_MatchAll_Ct-1),AZ229=0),AC229,0)</f>
        <v>0</v>
      </c>
      <c r="CI229" s="311">
        <f>IF(AND(Input_Product=Elig!$C229,Elig_MatchAll_Ct&lt;22,$BC229=(Elig_MatchAll_Ct-1),BA229=0),AD229,0)</f>
        <v>0</v>
      </c>
      <c r="CJ229" s="312">
        <f>IF(AND(Input_Product=Elig!$C229,Elig_MatchAll_Ct&lt;22,$BC229=(Elig_MatchAll_Ct-1),BA229=0),AE229,0)</f>
        <v>0</v>
      </c>
    </row>
    <row r="230" spans="2:88" ht="10.15" customHeight="1" x14ac:dyDescent="0.25">
      <c r="B230" s="1912" t="s">
        <v>3935</v>
      </c>
      <c r="C230" s="141" t="str">
        <f t="shared" si="56"/>
        <v>NonQM OO</v>
      </c>
      <c r="D230" s="142" t="s">
        <v>3885</v>
      </c>
      <c r="E230" s="143" t="s">
        <v>167</v>
      </c>
      <c r="F230" s="143" t="s">
        <v>331</v>
      </c>
      <c r="G230" s="143" t="s">
        <v>303</v>
      </c>
      <c r="H230" s="143" t="s">
        <v>136</v>
      </c>
      <c r="I230" s="142" t="s">
        <v>16</v>
      </c>
      <c r="J230" s="142" t="s">
        <v>1311</v>
      </c>
      <c r="K230" s="142" t="s">
        <v>1631</v>
      </c>
      <c r="L230" s="2131" t="s">
        <v>3920</v>
      </c>
      <c r="M230" s="143" t="s">
        <v>4203</v>
      </c>
      <c r="N230" s="143" t="s">
        <v>82</v>
      </c>
      <c r="O230" s="143" t="s">
        <v>310</v>
      </c>
      <c r="P230" s="143" t="s">
        <v>291</v>
      </c>
      <c r="Q230" s="143" t="s">
        <v>294</v>
      </c>
      <c r="R230" s="320">
        <v>2500000.0099999998</v>
      </c>
      <c r="S230" s="142">
        <v>3000000</v>
      </c>
      <c r="T230" s="142">
        <v>0</v>
      </c>
      <c r="U230" s="142">
        <f t="shared" ref="U230:U232" si="109">S230</f>
        <v>3000000</v>
      </c>
      <c r="V230" s="142">
        <v>0</v>
      </c>
      <c r="W230" s="142">
        <v>55</v>
      </c>
      <c r="X230" s="142">
        <v>0</v>
      </c>
      <c r="Y230" s="142">
        <v>999</v>
      </c>
      <c r="Z230" s="144">
        <v>720</v>
      </c>
      <c r="AA230" s="144">
        <v>999</v>
      </c>
      <c r="AB230" s="144">
        <v>9</v>
      </c>
      <c r="AC230" s="144">
        <v>999999</v>
      </c>
      <c r="AD230" s="142">
        <v>0</v>
      </c>
      <c r="AE230" s="142">
        <v>70</v>
      </c>
      <c r="AF230" s="170">
        <v>0</v>
      </c>
      <c r="AG230" s="171">
        <v>1</v>
      </c>
      <c r="AH230" s="171">
        <v>1</v>
      </c>
      <c r="AI230" s="171">
        <v>1</v>
      </c>
      <c r="AJ230" s="171">
        <v>1</v>
      </c>
      <c r="AK230" s="171">
        <v>1</v>
      </c>
      <c r="AL230" s="171">
        <v>1</v>
      </c>
      <c r="AM230" s="171">
        <v>1</v>
      </c>
      <c r="AN230" s="171">
        <v>1</v>
      </c>
      <c r="AO230" s="171">
        <v>1</v>
      </c>
      <c r="AP230" s="171">
        <v>1</v>
      </c>
      <c r="AQ230" s="171">
        <v>1</v>
      </c>
      <c r="AR230" s="171">
        <v>1</v>
      </c>
      <c r="AS230" s="171">
        <v>1</v>
      </c>
      <c r="AT230" s="171">
        <v>1</v>
      </c>
      <c r="AU230" s="171">
        <f t="shared" si="58"/>
        <v>0</v>
      </c>
      <c r="AV230" s="171">
        <f t="shared" si="59"/>
        <v>1</v>
      </c>
      <c r="AW230" s="171">
        <f t="shared" si="60"/>
        <v>1</v>
      </c>
      <c r="AX230" s="171">
        <f t="shared" si="100"/>
        <v>1</v>
      </c>
      <c r="AY230" s="171">
        <f t="shared" si="61"/>
        <v>1</v>
      </c>
      <c r="AZ230" s="171">
        <f t="shared" si="62"/>
        <v>1</v>
      </c>
      <c r="BA230" s="172">
        <f t="shared" si="63"/>
        <v>1</v>
      </c>
      <c r="BB230" s="175">
        <f t="shared" si="72"/>
        <v>20</v>
      </c>
      <c r="BC230" s="176">
        <f t="shared" si="73"/>
        <v>19</v>
      </c>
      <c r="BD230" s="176">
        <f t="shared" si="74"/>
        <v>20</v>
      </c>
      <c r="BE230" s="240" t="str">
        <f t="shared" si="79"/>
        <v/>
      </c>
      <c r="BH230" s="210">
        <f>IF(AND(Input_Product=Elig!$C230,Elig_MatchAll_Ct&lt;22,$BC230=(Elig_MatchAll_Ct-1),AF230=0),C230,0)</f>
        <v>0</v>
      </c>
      <c r="BI230" s="210">
        <f>IF(AND(Input_Product=Elig!$C230,Elig_MatchAll_Ct&lt;22,$BC230=(Elig_MatchAll_Ct-1),AG230=0),D230,0)</f>
        <v>0</v>
      </c>
      <c r="BJ230" s="210">
        <f>IF(AND(Input_Product=Elig!$C230,Elig_MatchAll_Ct&lt;22,$BC230=(Elig_MatchAll_Ct-1),AH230=0),E230,0)</f>
        <v>0</v>
      </c>
      <c r="BK230" s="210">
        <f>IF(AND(Input_Product=Elig!$C230,Elig_MatchAll_Ct&lt;22,$BC230=(Elig_MatchAll_Ct-1),AI230=0),F230,0)</f>
        <v>0</v>
      </c>
      <c r="BL230" s="210">
        <f>IF(AND(Input_Product=Elig!$C230,Elig_MatchAll_Ct&lt;22,$BC230=(Elig_MatchAll_Ct-1),AJ230=0),G230,0)</f>
        <v>0</v>
      </c>
      <c r="BM230" s="210">
        <f>IF(AND(Input_Product=Elig!$C230,Elig_MatchAll_Ct&lt;22,$BC230=(Elig_MatchAll_Ct-1),AK230=0),H230,0)</f>
        <v>0</v>
      </c>
      <c r="BN230" s="210">
        <f>IF(AND(Input_Product=Elig!$C230,Elig_MatchAll_Ct&lt;22,$BC230=(Elig_MatchAll_Ct-1),AL230=0),I230,0)</f>
        <v>0</v>
      </c>
      <c r="BO230" s="210">
        <f>IF(AND(Input_Product=Elig!$C230,Elig_MatchAll_Ct&lt;22,$BC230=(Elig_MatchAll_Ct-1),AM230=0),J230,0)</f>
        <v>0</v>
      </c>
      <c r="BP230" s="210">
        <f>IF(AND(Input_Product=Elig!$C230,Elig_MatchAll_Ct&lt;22,$BC230=(Elig_MatchAll_Ct-1),AN230=0),K230,0)</f>
        <v>0</v>
      </c>
      <c r="BQ230" s="210">
        <f>IF(AND(Input_Product=Elig!$C230,Elig_MatchAll_Ct&lt;22,$BC230=(Elig_MatchAll_Ct-1),AP230=0),L230,0)</f>
        <v>0</v>
      </c>
      <c r="BR230" s="210">
        <f>IF(AND(Input_Product=Elig!$C230,Elig_MatchAll_Ct&lt;22,$BC230=(Elig_MatchAll_Ct-1),AO230=0),M230,0)</f>
        <v>0</v>
      </c>
      <c r="BS230" s="210">
        <f>IF(AND(Input_Product=Elig!$C230,Elig_MatchAll_Ct&lt;22,$BC230=(Elig_MatchAll_Ct-1),AQ230=0),N230,0)</f>
        <v>0</v>
      </c>
      <c r="BT230" s="210">
        <f>IF(AND(Input_Product=Elig!$C230,Elig_MatchAll_Ct&lt;22,$BC230=(Elig_MatchAll_Ct-1),AR230=0),O230,0)</f>
        <v>0</v>
      </c>
      <c r="BU230" s="210">
        <f>IF(AND(Input_Product=Elig!$C230,Elig_MatchAll_Ct&lt;22,$BC230=(Elig_MatchAll_Ct-1),AS230=0),P230,0)</f>
        <v>0</v>
      </c>
      <c r="BV230" s="211">
        <f>IF(AND(Input_Product=Elig!$C230,Elig_MatchAll_Ct&lt;22,$BC230=(Elig_MatchAll_Ct-1),AT230=0),Q230,0)</f>
        <v>0</v>
      </c>
      <c r="BW230" s="212">
        <f>IF(AND(Input_Product=Elig!$C230,Elig_MatchAll_Ct&lt;22,$BC230=(Elig_MatchAll_Ct-1),AU230=0),R230,0)</f>
        <v>0</v>
      </c>
      <c r="BX230" s="213">
        <f>IF(AND(Input_Product=Elig!$C230,Elig_MatchAll_Ct&lt;22,$BC230=(Elig_MatchAll_Ct-1),AU230=0),S230,0)</f>
        <v>0</v>
      </c>
      <c r="BY230" s="212">
        <f>IF(AND(Input_Product=Elig!$C230,Elig_MatchAll_Ct&lt;22,$BC230=(Elig_MatchAll_Ct-1),AV230=0),T230,0)</f>
        <v>0</v>
      </c>
      <c r="BZ230" s="213">
        <f>IF(AND(Input_Product=Elig!$C230,Elig_MatchAll_Ct&lt;22,$BC230=(Elig_MatchAll_Ct-1),AV230=0),U230,0)</f>
        <v>0</v>
      </c>
      <c r="CA230" s="212">
        <f>IF(AND(Input_Product=Elig!$C230,Elig_MatchAll_Ct&lt;22,$BC230=(Elig_MatchAll_Ct-1),AW230=0),V230,0)</f>
        <v>0</v>
      </c>
      <c r="CB230" s="213">
        <f>IF(AND(Input_Product=Elig!$C230,Elig_MatchAll_Ct&lt;22,$BC230=(Elig_MatchAll_Ct-1),AW230=0),W230,0)</f>
        <v>0</v>
      </c>
      <c r="CC230" s="212">
        <f>IF(AND(Input_Product=Elig!$C230,Elig_MatchAll_Ct&lt;22,$BC230=(Elig_MatchAll_Ct-1),AX230=0),X230,0)</f>
        <v>0</v>
      </c>
      <c r="CD230" s="213">
        <f>IF(AND(Input_Product=Elig!$C230,Elig_MatchAll_Ct&lt;22,$BC230=(Elig_MatchAll_Ct-1),AX230=0),Y230,0)</f>
        <v>0</v>
      </c>
      <c r="CE230" s="212">
        <f>IF(AND(Input_LTV&lt;=AE230,Input_Product=Elig!$C230,Elig_MatchAll_Ct&lt;22,$BC230=(Elig_MatchAll_Ct-1),AY230=0),Z230,0)</f>
        <v>0</v>
      </c>
      <c r="CF230" s="213">
        <f>IF(AND(Input_LTV&lt;=AE230,Input_Product=Elig!$C230,Elig_MatchAll_Ct&lt;22,$BC230=(Elig_MatchAll_Ct-1),AY230=0),AA230,0)</f>
        <v>0</v>
      </c>
      <c r="CG230" s="212">
        <f>IF(AND(Input_Product=Elig!$C230,Elig_MatchAll_Ct&lt;22,$BC230=(Elig_MatchAll_Ct-1),AZ230=0),AB230,0)</f>
        <v>0</v>
      </c>
      <c r="CH230" s="213">
        <f>IF(AND(Input_Product=Elig!$C230,Elig_MatchAll_Ct&lt;22,$BC230=(Elig_MatchAll_Ct-1),AZ230=0),AC230,0)</f>
        <v>0</v>
      </c>
      <c r="CI230" s="212">
        <f>IF(AND(Input_Product=Elig!$C230,Elig_MatchAll_Ct&lt;22,$BC230=(Elig_MatchAll_Ct-1),BA230=0),AD230,0)</f>
        <v>0</v>
      </c>
      <c r="CJ230" s="213">
        <f>IF(AND(Input_Product=Elig!$C230,Elig_MatchAll_Ct&lt;22,$BC230=(Elig_MatchAll_Ct-1),BA230=0),AE230,0)</f>
        <v>0</v>
      </c>
    </row>
    <row r="231" spans="2:88" ht="10.15" customHeight="1" x14ac:dyDescent="0.25">
      <c r="B231" s="1912" t="s">
        <v>3936</v>
      </c>
      <c r="C231" s="134" t="str">
        <f t="shared" si="56"/>
        <v>NonQM OO</v>
      </c>
      <c r="D231" s="135" t="s">
        <v>3885</v>
      </c>
      <c r="E231" s="135" t="s">
        <v>167</v>
      </c>
      <c r="F231" s="135" t="s">
        <v>331</v>
      </c>
      <c r="G231" s="135" t="s">
        <v>303</v>
      </c>
      <c r="H231" s="135" t="s">
        <v>136</v>
      </c>
      <c r="I231" s="136" t="s">
        <v>16</v>
      </c>
      <c r="J231" s="136" t="s">
        <v>1311</v>
      </c>
      <c r="K231" s="136" t="s">
        <v>1631</v>
      </c>
      <c r="L231" s="221" t="s">
        <v>3920</v>
      </c>
      <c r="M231" s="135" t="s">
        <v>4203</v>
      </c>
      <c r="N231" s="135" t="s">
        <v>82</v>
      </c>
      <c r="O231" s="135" t="s">
        <v>310</v>
      </c>
      <c r="P231" s="135" t="s">
        <v>291</v>
      </c>
      <c r="Q231" s="135" t="s">
        <v>294</v>
      </c>
      <c r="R231" s="221">
        <v>2500000.0099999998</v>
      </c>
      <c r="S231" s="135">
        <v>3000000</v>
      </c>
      <c r="T231" s="135">
        <v>0</v>
      </c>
      <c r="U231" s="135">
        <f t="shared" si="109"/>
        <v>3000000</v>
      </c>
      <c r="V231" s="135">
        <v>0</v>
      </c>
      <c r="W231" s="135">
        <v>55</v>
      </c>
      <c r="X231" s="135">
        <v>0</v>
      </c>
      <c r="Y231" s="135">
        <v>999</v>
      </c>
      <c r="Z231" s="137">
        <v>700</v>
      </c>
      <c r="AA231" s="137">
        <v>719</v>
      </c>
      <c r="AB231" s="137">
        <v>9</v>
      </c>
      <c r="AC231" s="137">
        <v>999999</v>
      </c>
      <c r="AD231" s="135">
        <v>0</v>
      </c>
      <c r="AE231" s="135">
        <v>65</v>
      </c>
      <c r="AF231" s="170">
        <v>0</v>
      </c>
      <c r="AG231" s="171">
        <v>1</v>
      </c>
      <c r="AH231" s="171">
        <v>1</v>
      </c>
      <c r="AI231" s="171">
        <v>1</v>
      </c>
      <c r="AJ231" s="171">
        <v>1</v>
      </c>
      <c r="AK231" s="171">
        <v>1</v>
      </c>
      <c r="AL231" s="171">
        <v>1</v>
      </c>
      <c r="AM231" s="171">
        <v>1</v>
      </c>
      <c r="AN231" s="171">
        <v>1</v>
      </c>
      <c r="AO231" s="171">
        <v>1</v>
      </c>
      <c r="AP231" s="171">
        <v>1</v>
      </c>
      <c r="AQ231" s="171">
        <v>1</v>
      </c>
      <c r="AR231" s="171">
        <v>1</v>
      </c>
      <c r="AS231" s="171">
        <v>1</v>
      </c>
      <c r="AT231" s="171">
        <v>1</v>
      </c>
      <c r="AU231" s="171">
        <f t="shared" si="58"/>
        <v>0</v>
      </c>
      <c r="AV231" s="171">
        <f t="shared" si="59"/>
        <v>1</v>
      </c>
      <c r="AW231" s="171">
        <f t="shared" si="60"/>
        <v>1</v>
      </c>
      <c r="AX231" s="171">
        <f t="shared" si="100"/>
        <v>1</v>
      </c>
      <c r="AY231" s="171">
        <f t="shared" si="61"/>
        <v>0</v>
      </c>
      <c r="AZ231" s="171">
        <f t="shared" si="62"/>
        <v>1</v>
      </c>
      <c r="BA231" s="172">
        <f t="shared" si="63"/>
        <v>1</v>
      </c>
      <c r="BB231" s="175">
        <f t="shared" si="72"/>
        <v>19</v>
      </c>
      <c r="BC231" s="176">
        <f t="shared" si="73"/>
        <v>18</v>
      </c>
      <c r="BD231" s="176">
        <f t="shared" si="74"/>
        <v>19</v>
      </c>
      <c r="BE231" s="240" t="str">
        <f t="shared" si="79"/>
        <v/>
      </c>
      <c r="BH231" s="199">
        <f>IF(AND(Input_Product=Elig!$C231,Elig_MatchAll_Ct&lt;22,$BC231=(Elig_MatchAll_Ct-1),AF231=0),C231,0)</f>
        <v>0</v>
      </c>
      <c r="BI231" s="199">
        <f>IF(AND(Input_Product=Elig!$C231,Elig_MatchAll_Ct&lt;22,$BC231=(Elig_MatchAll_Ct-1),AG231=0),D231,0)</f>
        <v>0</v>
      </c>
      <c r="BJ231" s="199">
        <f>IF(AND(Input_Product=Elig!$C231,Elig_MatchAll_Ct&lt;22,$BC231=(Elig_MatchAll_Ct-1),AH231=0),E231,0)</f>
        <v>0</v>
      </c>
      <c r="BK231" s="199">
        <f>IF(AND(Input_Product=Elig!$C231,Elig_MatchAll_Ct&lt;22,$BC231=(Elig_MatchAll_Ct-1),AI231=0),F231,0)</f>
        <v>0</v>
      </c>
      <c r="BL231" s="199">
        <f>IF(AND(Input_Product=Elig!$C231,Elig_MatchAll_Ct&lt;22,$BC231=(Elig_MatchAll_Ct-1),AJ231=0),G231,0)</f>
        <v>0</v>
      </c>
      <c r="BM231" s="199">
        <f>IF(AND(Input_Product=Elig!$C231,Elig_MatchAll_Ct&lt;22,$BC231=(Elig_MatchAll_Ct-1),AK231=0),H231,0)</f>
        <v>0</v>
      </c>
      <c r="BN231" s="199">
        <f>IF(AND(Input_Product=Elig!$C231,Elig_MatchAll_Ct&lt;22,$BC231=(Elig_MatchAll_Ct-1),AL231=0),I231,0)</f>
        <v>0</v>
      </c>
      <c r="BO231" s="199">
        <f>IF(AND(Input_Product=Elig!$C231,Elig_MatchAll_Ct&lt;22,$BC231=(Elig_MatchAll_Ct-1),AM231=0),J231,0)</f>
        <v>0</v>
      </c>
      <c r="BP231" s="199">
        <f>IF(AND(Input_Product=Elig!$C231,Elig_MatchAll_Ct&lt;22,$BC231=(Elig_MatchAll_Ct-1),AN231=0),K231,0)</f>
        <v>0</v>
      </c>
      <c r="BQ231" s="199">
        <f>IF(AND(Input_Product=Elig!$C231,Elig_MatchAll_Ct&lt;22,$BC231=(Elig_MatchAll_Ct-1),AP231=0),L231,0)</f>
        <v>0</v>
      </c>
      <c r="BR231" s="199">
        <f>IF(AND(Input_Product=Elig!$C231,Elig_MatchAll_Ct&lt;22,$BC231=(Elig_MatchAll_Ct-1),AO231=0),M231,0)</f>
        <v>0</v>
      </c>
      <c r="BS231" s="199">
        <f>IF(AND(Input_Product=Elig!$C231,Elig_MatchAll_Ct&lt;22,$BC231=(Elig_MatchAll_Ct-1),AQ231=0),N231,0)</f>
        <v>0</v>
      </c>
      <c r="BT231" s="199">
        <f>IF(AND(Input_Product=Elig!$C231,Elig_MatchAll_Ct&lt;22,$BC231=(Elig_MatchAll_Ct-1),AR231=0),O231,0)</f>
        <v>0</v>
      </c>
      <c r="BU231" s="199">
        <f>IF(AND(Input_Product=Elig!$C231,Elig_MatchAll_Ct&lt;22,$BC231=(Elig_MatchAll_Ct-1),AS231=0),P231,0)</f>
        <v>0</v>
      </c>
      <c r="BV231" s="200">
        <f>IF(AND(Input_Product=Elig!$C231,Elig_MatchAll_Ct&lt;22,$BC231=(Elig_MatchAll_Ct-1),AT231=0),Q231,0)</f>
        <v>0</v>
      </c>
      <c r="BW231" s="201">
        <f>IF(AND(Input_Product=Elig!$C231,Elig_MatchAll_Ct&lt;22,$BC231=(Elig_MatchAll_Ct-1),AU231=0),R231,0)</f>
        <v>0</v>
      </c>
      <c r="BX231" s="202">
        <f>IF(AND(Input_Product=Elig!$C231,Elig_MatchAll_Ct&lt;22,$BC231=(Elig_MatchAll_Ct-1),AU231=0),S231,0)</f>
        <v>0</v>
      </c>
      <c r="BY231" s="201">
        <f>IF(AND(Input_Product=Elig!$C231,Elig_MatchAll_Ct&lt;22,$BC231=(Elig_MatchAll_Ct-1),AV231=0),T231,0)</f>
        <v>0</v>
      </c>
      <c r="BZ231" s="202">
        <f>IF(AND(Input_Product=Elig!$C231,Elig_MatchAll_Ct&lt;22,$BC231=(Elig_MatchAll_Ct-1),AV231=0),U231,0)</f>
        <v>0</v>
      </c>
      <c r="CA231" s="201">
        <f>IF(AND(Input_Product=Elig!$C231,Elig_MatchAll_Ct&lt;22,$BC231=(Elig_MatchAll_Ct-1),AW231=0),V231,0)</f>
        <v>0</v>
      </c>
      <c r="CB231" s="202">
        <f>IF(AND(Input_Product=Elig!$C231,Elig_MatchAll_Ct&lt;22,$BC231=(Elig_MatchAll_Ct-1),AW231=0),W231,0)</f>
        <v>0</v>
      </c>
      <c r="CC231" s="201">
        <f>IF(AND(Input_Product=Elig!$C231,Elig_MatchAll_Ct&lt;22,$BC231=(Elig_MatchAll_Ct-1),AX231=0),X231,0)</f>
        <v>0</v>
      </c>
      <c r="CD231" s="202">
        <f>IF(AND(Input_Product=Elig!$C231,Elig_MatchAll_Ct&lt;22,$BC231=(Elig_MatchAll_Ct-1),AX231=0),Y231,0)</f>
        <v>0</v>
      </c>
      <c r="CE231" s="201">
        <f>IF(AND(Input_LTV&lt;=AE231,Input_Product=Elig!$C231,Elig_MatchAll_Ct&lt;22,$BC231=(Elig_MatchAll_Ct-1),AY231=0),Z231,0)</f>
        <v>0</v>
      </c>
      <c r="CF231" s="202">
        <f>IF(AND(Input_LTV&lt;=AE231,Input_Product=Elig!$C231,Elig_MatchAll_Ct&lt;22,$BC231=(Elig_MatchAll_Ct-1),AY231=0),AA231,0)</f>
        <v>0</v>
      </c>
      <c r="CG231" s="201">
        <f>IF(AND(Input_Product=Elig!$C231,Elig_MatchAll_Ct&lt;22,$BC231=(Elig_MatchAll_Ct-1),AZ231=0),AB231,0)</f>
        <v>0</v>
      </c>
      <c r="CH231" s="202">
        <f>IF(AND(Input_Product=Elig!$C231,Elig_MatchAll_Ct&lt;22,$BC231=(Elig_MatchAll_Ct-1),AZ231=0),AC231,0)</f>
        <v>0</v>
      </c>
      <c r="CI231" s="201">
        <f>IF(AND(Input_Product=Elig!$C231,Elig_MatchAll_Ct&lt;22,$BC231=(Elig_MatchAll_Ct-1),BA231=0),AD231,0)</f>
        <v>0</v>
      </c>
      <c r="CJ231" s="202">
        <f>IF(AND(Input_Product=Elig!$C231,Elig_MatchAll_Ct&lt;22,$BC231=(Elig_MatchAll_Ct-1),BA231=0),AE231,0)</f>
        <v>0</v>
      </c>
    </row>
    <row r="232" spans="2:88" ht="10.15" customHeight="1" x14ac:dyDescent="0.25">
      <c r="B232" s="1912" t="s">
        <v>3937</v>
      </c>
      <c r="C232" s="134" t="str">
        <f t="shared" si="56"/>
        <v>NonQM OO</v>
      </c>
      <c r="D232" s="135" t="s">
        <v>3885</v>
      </c>
      <c r="E232" s="135" t="s">
        <v>167</v>
      </c>
      <c r="F232" s="135" t="s">
        <v>331</v>
      </c>
      <c r="G232" s="135" t="s">
        <v>303</v>
      </c>
      <c r="H232" s="135" t="s">
        <v>136</v>
      </c>
      <c r="I232" s="136" t="s">
        <v>16</v>
      </c>
      <c r="J232" s="136" t="s">
        <v>1311</v>
      </c>
      <c r="K232" s="136" t="s">
        <v>1631</v>
      </c>
      <c r="L232" s="221" t="s">
        <v>3920</v>
      </c>
      <c r="M232" s="135" t="s">
        <v>4203</v>
      </c>
      <c r="N232" s="135" t="s">
        <v>82</v>
      </c>
      <c r="O232" s="135" t="s">
        <v>310</v>
      </c>
      <c r="P232" s="135" t="s">
        <v>291</v>
      </c>
      <c r="Q232" s="135" t="s">
        <v>294</v>
      </c>
      <c r="R232" s="221">
        <v>2500000.0099999998</v>
      </c>
      <c r="S232" s="135">
        <v>3000000</v>
      </c>
      <c r="T232" s="135">
        <v>0</v>
      </c>
      <c r="U232" s="135">
        <f t="shared" si="109"/>
        <v>3000000</v>
      </c>
      <c r="V232" s="135">
        <v>0</v>
      </c>
      <c r="W232" s="135">
        <v>55</v>
      </c>
      <c r="X232" s="135">
        <v>0</v>
      </c>
      <c r="Y232" s="135">
        <v>999</v>
      </c>
      <c r="Z232" s="137">
        <v>680</v>
      </c>
      <c r="AA232" s="137">
        <v>699</v>
      </c>
      <c r="AB232" s="137">
        <v>9</v>
      </c>
      <c r="AC232" s="137">
        <v>999999</v>
      </c>
      <c r="AD232" s="135">
        <v>0</v>
      </c>
      <c r="AE232" s="135">
        <v>65</v>
      </c>
      <c r="AF232" s="170">
        <v>0</v>
      </c>
      <c r="AG232" s="171">
        <v>1</v>
      </c>
      <c r="AH232" s="171">
        <v>1</v>
      </c>
      <c r="AI232" s="171">
        <v>1</v>
      </c>
      <c r="AJ232" s="171">
        <v>1</v>
      </c>
      <c r="AK232" s="171">
        <v>1</v>
      </c>
      <c r="AL232" s="171">
        <v>1</v>
      </c>
      <c r="AM232" s="171">
        <v>1</v>
      </c>
      <c r="AN232" s="171">
        <v>1</v>
      </c>
      <c r="AO232" s="171">
        <v>1</v>
      </c>
      <c r="AP232" s="171">
        <v>1</v>
      </c>
      <c r="AQ232" s="171">
        <v>1</v>
      </c>
      <c r="AR232" s="171">
        <v>1</v>
      </c>
      <c r="AS232" s="171">
        <v>1</v>
      </c>
      <c r="AT232" s="171">
        <v>1</v>
      </c>
      <c r="AU232" s="171">
        <f t="shared" si="58"/>
        <v>0</v>
      </c>
      <c r="AV232" s="171">
        <f t="shared" si="59"/>
        <v>1</v>
      </c>
      <c r="AW232" s="171">
        <f t="shared" si="60"/>
        <v>1</v>
      </c>
      <c r="AX232" s="171">
        <f t="shared" si="100"/>
        <v>1</v>
      </c>
      <c r="AY232" s="171">
        <f t="shared" si="61"/>
        <v>0</v>
      </c>
      <c r="AZ232" s="171">
        <f t="shared" si="62"/>
        <v>1</v>
      </c>
      <c r="BA232" s="172">
        <f t="shared" si="63"/>
        <v>1</v>
      </c>
      <c r="BB232" s="175">
        <f t="shared" si="72"/>
        <v>19</v>
      </c>
      <c r="BC232" s="176">
        <f t="shared" si="73"/>
        <v>18</v>
      </c>
      <c r="BD232" s="176">
        <f t="shared" si="74"/>
        <v>19</v>
      </c>
      <c r="BE232" s="240" t="str">
        <f t="shared" si="79"/>
        <v/>
      </c>
      <c r="BH232" s="214">
        <f>IF(AND(Input_Product=Elig!$C232,Elig_MatchAll_Ct&lt;22,$BC232=(Elig_MatchAll_Ct-1),AF232=0),C232,0)</f>
        <v>0</v>
      </c>
      <c r="BI232" s="214">
        <f>IF(AND(Input_Product=Elig!$C232,Elig_MatchAll_Ct&lt;22,$BC232=(Elig_MatchAll_Ct-1),AG232=0),D232,0)</f>
        <v>0</v>
      </c>
      <c r="BJ232" s="214">
        <f>IF(AND(Input_Product=Elig!$C232,Elig_MatchAll_Ct&lt;22,$BC232=(Elig_MatchAll_Ct-1),AH232=0),E232,0)</f>
        <v>0</v>
      </c>
      <c r="BK232" s="214">
        <f>IF(AND(Input_Product=Elig!$C232,Elig_MatchAll_Ct&lt;22,$BC232=(Elig_MatchAll_Ct-1),AI232=0),F232,0)</f>
        <v>0</v>
      </c>
      <c r="BL232" s="214">
        <f>IF(AND(Input_Product=Elig!$C232,Elig_MatchAll_Ct&lt;22,$BC232=(Elig_MatchAll_Ct-1),AJ232=0),G232,0)</f>
        <v>0</v>
      </c>
      <c r="BM232" s="214">
        <f>IF(AND(Input_Product=Elig!$C232,Elig_MatchAll_Ct&lt;22,$BC232=(Elig_MatchAll_Ct-1),AK232=0),H232,0)</f>
        <v>0</v>
      </c>
      <c r="BN232" s="214">
        <f>IF(AND(Input_Product=Elig!$C232,Elig_MatchAll_Ct&lt;22,$BC232=(Elig_MatchAll_Ct-1),AL232=0),I232,0)</f>
        <v>0</v>
      </c>
      <c r="BO232" s="214">
        <f>IF(AND(Input_Product=Elig!$C232,Elig_MatchAll_Ct&lt;22,$BC232=(Elig_MatchAll_Ct-1),AM232=0),J232,0)</f>
        <v>0</v>
      </c>
      <c r="BP232" s="214">
        <f>IF(AND(Input_Product=Elig!$C232,Elig_MatchAll_Ct&lt;22,$BC232=(Elig_MatchAll_Ct-1),AN232=0),K232,0)</f>
        <v>0</v>
      </c>
      <c r="BQ232" s="214">
        <f>IF(AND(Input_Product=Elig!$C232,Elig_MatchAll_Ct&lt;22,$BC232=(Elig_MatchAll_Ct-1),AP232=0),L232,0)</f>
        <v>0</v>
      </c>
      <c r="BR232" s="214">
        <f>IF(AND(Input_Product=Elig!$C232,Elig_MatchAll_Ct&lt;22,$BC232=(Elig_MatchAll_Ct-1),AO232=0),M232,0)</f>
        <v>0</v>
      </c>
      <c r="BS232" s="214">
        <f>IF(AND(Input_Product=Elig!$C232,Elig_MatchAll_Ct&lt;22,$BC232=(Elig_MatchAll_Ct-1),AQ232=0),N232,0)</f>
        <v>0</v>
      </c>
      <c r="BT232" s="214">
        <f>IF(AND(Input_Product=Elig!$C232,Elig_MatchAll_Ct&lt;22,$BC232=(Elig_MatchAll_Ct-1),AR232=0),O232,0)</f>
        <v>0</v>
      </c>
      <c r="BU232" s="214">
        <f>IF(AND(Input_Product=Elig!$C232,Elig_MatchAll_Ct&lt;22,$BC232=(Elig_MatchAll_Ct-1),AS232=0),P232,0)</f>
        <v>0</v>
      </c>
      <c r="BV232" s="215">
        <f>IF(AND(Input_Product=Elig!$C232,Elig_MatchAll_Ct&lt;22,$BC232=(Elig_MatchAll_Ct-1),AT232=0),Q232,0)</f>
        <v>0</v>
      </c>
      <c r="BW232" s="311">
        <f>IF(AND(Input_Product=Elig!$C232,Elig_MatchAll_Ct&lt;22,$BC232=(Elig_MatchAll_Ct-1),AU232=0),R232,0)</f>
        <v>0</v>
      </c>
      <c r="BX232" s="312">
        <f>IF(AND(Input_Product=Elig!$C232,Elig_MatchAll_Ct&lt;22,$BC232=(Elig_MatchAll_Ct-1),AU232=0),S232,0)</f>
        <v>0</v>
      </c>
      <c r="BY232" s="311">
        <f>IF(AND(Input_Product=Elig!$C232,Elig_MatchAll_Ct&lt;22,$BC232=(Elig_MatchAll_Ct-1),AV232=0),T232,0)</f>
        <v>0</v>
      </c>
      <c r="BZ232" s="312">
        <f>IF(AND(Input_Product=Elig!$C232,Elig_MatchAll_Ct&lt;22,$BC232=(Elig_MatchAll_Ct-1),AV232=0),U232,0)</f>
        <v>0</v>
      </c>
      <c r="CA232" s="311">
        <f>IF(AND(Input_Product=Elig!$C232,Elig_MatchAll_Ct&lt;22,$BC232=(Elig_MatchAll_Ct-1),AW232=0),V232,0)</f>
        <v>0</v>
      </c>
      <c r="CB232" s="312">
        <f>IF(AND(Input_Product=Elig!$C232,Elig_MatchAll_Ct&lt;22,$BC232=(Elig_MatchAll_Ct-1),AW232=0),W232,0)</f>
        <v>0</v>
      </c>
      <c r="CC232" s="311">
        <f>IF(AND(Input_Product=Elig!$C232,Elig_MatchAll_Ct&lt;22,$BC232=(Elig_MatchAll_Ct-1),AX232=0),X232,0)</f>
        <v>0</v>
      </c>
      <c r="CD232" s="312">
        <f>IF(AND(Input_Product=Elig!$C232,Elig_MatchAll_Ct&lt;22,$BC232=(Elig_MatchAll_Ct-1),AX232=0),Y232,0)</f>
        <v>0</v>
      </c>
      <c r="CE232" s="311">
        <f>IF(AND(Input_LTV&lt;=AE232,Input_Product=Elig!$C232,Elig_MatchAll_Ct&lt;22,$BC232=(Elig_MatchAll_Ct-1),AY232=0),Z232,0)</f>
        <v>0</v>
      </c>
      <c r="CF232" s="312">
        <f>IF(AND(Input_LTV&lt;=AE232,Input_Product=Elig!$C232,Elig_MatchAll_Ct&lt;22,$BC232=(Elig_MatchAll_Ct-1),AY232=0),AA232,0)</f>
        <v>0</v>
      </c>
      <c r="CG232" s="311">
        <f>IF(AND(Input_Product=Elig!$C232,Elig_MatchAll_Ct&lt;22,$BC232=(Elig_MatchAll_Ct-1),AZ232=0),AB232,0)</f>
        <v>0</v>
      </c>
      <c r="CH232" s="312">
        <f>IF(AND(Input_Product=Elig!$C232,Elig_MatchAll_Ct&lt;22,$BC232=(Elig_MatchAll_Ct-1),AZ232=0),AC232,0)</f>
        <v>0</v>
      </c>
      <c r="CI232" s="311">
        <f>IF(AND(Input_Product=Elig!$C232,Elig_MatchAll_Ct&lt;22,$BC232=(Elig_MatchAll_Ct-1),BA232=0),AD232,0)</f>
        <v>0</v>
      </c>
      <c r="CJ232" s="312">
        <f>IF(AND(Input_Product=Elig!$C232,Elig_MatchAll_Ct&lt;22,$BC232=(Elig_MatchAll_Ct-1),BA232=0),AE232,0)</f>
        <v>0</v>
      </c>
    </row>
    <row r="233" spans="2:88" ht="10.15" customHeight="1" x14ac:dyDescent="0.25">
      <c r="B233" s="1912" t="s">
        <v>3938</v>
      </c>
      <c r="C233" s="141" t="str">
        <f t="shared" si="56"/>
        <v>NonQM OO</v>
      </c>
      <c r="D233" s="142" t="s">
        <v>3885</v>
      </c>
      <c r="E233" s="143" t="s">
        <v>167</v>
      </c>
      <c r="F233" s="143" t="s">
        <v>331</v>
      </c>
      <c r="G233" s="143" t="s">
        <v>304</v>
      </c>
      <c r="H233" s="143" t="s">
        <v>446</v>
      </c>
      <c r="I233" s="142" t="s">
        <v>274</v>
      </c>
      <c r="J233" s="142" t="s">
        <v>1311</v>
      </c>
      <c r="K233" s="142" t="s">
        <v>1631</v>
      </c>
      <c r="L233" s="2131" t="s">
        <v>3920</v>
      </c>
      <c r="M233" s="143" t="s">
        <v>4203</v>
      </c>
      <c r="N233" s="143" t="s">
        <v>82</v>
      </c>
      <c r="O233" s="143" t="s">
        <v>310</v>
      </c>
      <c r="P233" s="143" t="s">
        <v>291</v>
      </c>
      <c r="Q233" s="143" t="s">
        <v>294</v>
      </c>
      <c r="R233" s="320">
        <v>2500000.0099999998</v>
      </c>
      <c r="S233" s="142">
        <v>3000000</v>
      </c>
      <c r="T233" s="142">
        <v>0</v>
      </c>
      <c r="U233" s="142">
        <v>0</v>
      </c>
      <c r="V233" s="142">
        <v>0</v>
      </c>
      <c r="W233" s="142">
        <v>55</v>
      </c>
      <c r="X233" s="142">
        <v>0</v>
      </c>
      <c r="Y233" s="142">
        <v>999</v>
      </c>
      <c r="Z233" s="144">
        <v>720</v>
      </c>
      <c r="AA233" s="144">
        <v>999</v>
      </c>
      <c r="AB233" s="144">
        <v>9</v>
      </c>
      <c r="AC233" s="144">
        <v>999999</v>
      </c>
      <c r="AD233" s="142">
        <v>0</v>
      </c>
      <c r="AE233" s="142">
        <v>75</v>
      </c>
      <c r="AF233" s="170">
        <v>0</v>
      </c>
      <c r="AG233" s="171">
        <v>1</v>
      </c>
      <c r="AH233" s="171">
        <v>1</v>
      </c>
      <c r="AI233" s="171">
        <v>1</v>
      </c>
      <c r="AJ233" s="171">
        <v>0</v>
      </c>
      <c r="AK233" s="171">
        <v>0</v>
      </c>
      <c r="AL233" s="171">
        <v>0</v>
      </c>
      <c r="AM233" s="171">
        <v>1</v>
      </c>
      <c r="AN233" s="171">
        <v>1</v>
      </c>
      <c r="AO233" s="171">
        <v>1</v>
      </c>
      <c r="AP233" s="171">
        <v>1</v>
      </c>
      <c r="AQ233" s="171">
        <v>1</v>
      </c>
      <c r="AR233" s="171">
        <v>1</v>
      </c>
      <c r="AS233" s="171">
        <v>1</v>
      </c>
      <c r="AT233" s="171">
        <v>1</v>
      </c>
      <c r="AU233" s="171">
        <f t="shared" si="58"/>
        <v>0</v>
      </c>
      <c r="AV233" s="171">
        <f t="shared" si="59"/>
        <v>0</v>
      </c>
      <c r="AW233" s="171">
        <f t="shared" si="60"/>
        <v>1</v>
      </c>
      <c r="AX233" s="171">
        <f t="shared" si="100"/>
        <v>1</v>
      </c>
      <c r="AY233" s="171">
        <f t="shared" si="61"/>
        <v>1</v>
      </c>
      <c r="AZ233" s="171">
        <f t="shared" si="62"/>
        <v>1</v>
      </c>
      <c r="BA233" s="172">
        <f t="shared" si="63"/>
        <v>1</v>
      </c>
      <c r="BB233" s="175">
        <f t="shared" si="72"/>
        <v>16</v>
      </c>
      <c r="BC233" s="176">
        <f t="shared" si="73"/>
        <v>15</v>
      </c>
      <c r="BD233" s="176">
        <f t="shared" si="74"/>
        <v>16</v>
      </c>
      <c r="BE233" s="240" t="str">
        <f t="shared" si="79"/>
        <v/>
      </c>
      <c r="BH233" s="210">
        <f>IF(AND(Input_Product=Elig!$C233,Elig_MatchAll_Ct&lt;22,$BC233=(Elig_MatchAll_Ct-1),AF233=0),C233,0)</f>
        <v>0</v>
      </c>
      <c r="BI233" s="210">
        <f>IF(AND(Input_Product=Elig!$C233,Elig_MatchAll_Ct&lt;22,$BC233=(Elig_MatchAll_Ct-1),AG233=0),D233,0)</f>
        <v>0</v>
      </c>
      <c r="BJ233" s="210">
        <f>IF(AND(Input_Product=Elig!$C233,Elig_MatchAll_Ct&lt;22,$BC233=(Elig_MatchAll_Ct-1),AH233=0),E233,0)</f>
        <v>0</v>
      </c>
      <c r="BK233" s="210">
        <f>IF(AND(Input_Product=Elig!$C233,Elig_MatchAll_Ct&lt;22,$BC233=(Elig_MatchAll_Ct-1),AI233=0),F233,0)</f>
        <v>0</v>
      </c>
      <c r="BL233" s="210">
        <f>IF(AND(Input_Product=Elig!$C233,Elig_MatchAll_Ct&lt;22,$BC233=(Elig_MatchAll_Ct-1),AJ233=0),G233,0)</f>
        <v>0</v>
      </c>
      <c r="BM233" s="210">
        <f>IF(AND(Input_Product=Elig!$C233,Elig_MatchAll_Ct&lt;22,$BC233=(Elig_MatchAll_Ct-1),AK233=0),H233,0)</f>
        <v>0</v>
      </c>
      <c r="BN233" s="210">
        <f>IF(AND(Input_Product=Elig!$C233,Elig_MatchAll_Ct&lt;22,$BC233=(Elig_MatchAll_Ct-1),AL233=0),I233,0)</f>
        <v>0</v>
      </c>
      <c r="BO233" s="210">
        <f>IF(AND(Input_Product=Elig!$C233,Elig_MatchAll_Ct&lt;22,$BC233=(Elig_MatchAll_Ct-1),AM233=0),J233,0)</f>
        <v>0</v>
      </c>
      <c r="BP233" s="210">
        <f>IF(AND(Input_Product=Elig!$C233,Elig_MatchAll_Ct&lt;22,$BC233=(Elig_MatchAll_Ct-1),AN233=0),K233,0)</f>
        <v>0</v>
      </c>
      <c r="BQ233" s="210">
        <f>IF(AND(Input_Product=Elig!$C233,Elig_MatchAll_Ct&lt;22,$BC233=(Elig_MatchAll_Ct-1),AP233=0),L233,0)</f>
        <v>0</v>
      </c>
      <c r="BR233" s="210">
        <f>IF(AND(Input_Product=Elig!$C233,Elig_MatchAll_Ct&lt;22,$BC233=(Elig_MatchAll_Ct-1),AO233=0),M233,0)</f>
        <v>0</v>
      </c>
      <c r="BS233" s="210">
        <f>IF(AND(Input_Product=Elig!$C233,Elig_MatchAll_Ct&lt;22,$BC233=(Elig_MatchAll_Ct-1),AQ233=0),N233,0)</f>
        <v>0</v>
      </c>
      <c r="BT233" s="210">
        <f>IF(AND(Input_Product=Elig!$C233,Elig_MatchAll_Ct&lt;22,$BC233=(Elig_MatchAll_Ct-1),AR233=0),O233,0)</f>
        <v>0</v>
      </c>
      <c r="BU233" s="210">
        <f>IF(AND(Input_Product=Elig!$C233,Elig_MatchAll_Ct&lt;22,$BC233=(Elig_MatchAll_Ct-1),AS233=0),P233,0)</f>
        <v>0</v>
      </c>
      <c r="BV233" s="211">
        <f>IF(AND(Input_Product=Elig!$C233,Elig_MatchAll_Ct&lt;22,$BC233=(Elig_MatchAll_Ct-1),AT233=0),Q233,0)</f>
        <v>0</v>
      </c>
      <c r="BW233" s="212">
        <f>IF(AND(Input_Product=Elig!$C233,Elig_MatchAll_Ct&lt;22,$BC233=(Elig_MatchAll_Ct-1),AU233=0),R233,0)</f>
        <v>0</v>
      </c>
      <c r="BX233" s="213">
        <f>IF(AND(Input_Product=Elig!$C233,Elig_MatchAll_Ct&lt;22,$BC233=(Elig_MatchAll_Ct-1),AU233=0),S233,0)</f>
        <v>0</v>
      </c>
      <c r="BY233" s="212">
        <f>IF(AND(Input_Product=Elig!$C233,Elig_MatchAll_Ct&lt;22,$BC233=(Elig_MatchAll_Ct-1),AV233=0),T233,0)</f>
        <v>0</v>
      </c>
      <c r="BZ233" s="213">
        <f>IF(AND(Input_Product=Elig!$C233,Elig_MatchAll_Ct&lt;22,$BC233=(Elig_MatchAll_Ct-1),AV233=0),U233,0)</f>
        <v>0</v>
      </c>
      <c r="CA233" s="212">
        <f>IF(AND(Input_Product=Elig!$C233,Elig_MatchAll_Ct&lt;22,$BC233=(Elig_MatchAll_Ct-1),AW233=0),V233,0)</f>
        <v>0</v>
      </c>
      <c r="CB233" s="213">
        <f>IF(AND(Input_Product=Elig!$C233,Elig_MatchAll_Ct&lt;22,$BC233=(Elig_MatchAll_Ct-1),AW233=0),W233,0)</f>
        <v>0</v>
      </c>
      <c r="CC233" s="212">
        <f>IF(AND(Input_Product=Elig!$C233,Elig_MatchAll_Ct&lt;22,$BC233=(Elig_MatchAll_Ct-1),AX233=0),X233,0)</f>
        <v>0</v>
      </c>
      <c r="CD233" s="213">
        <f>IF(AND(Input_Product=Elig!$C233,Elig_MatchAll_Ct&lt;22,$BC233=(Elig_MatchAll_Ct-1),AX233=0),Y233,0)</f>
        <v>0</v>
      </c>
      <c r="CE233" s="212">
        <f>IF(AND(Input_LTV&lt;=AE233,Input_Product=Elig!$C233,Elig_MatchAll_Ct&lt;22,$BC233=(Elig_MatchAll_Ct-1),AY233=0),Z233,0)</f>
        <v>0</v>
      </c>
      <c r="CF233" s="213">
        <f>IF(AND(Input_LTV&lt;=AE233,Input_Product=Elig!$C233,Elig_MatchAll_Ct&lt;22,$BC233=(Elig_MatchAll_Ct-1),AY233=0),AA233,0)</f>
        <v>0</v>
      </c>
      <c r="CG233" s="212">
        <f>IF(AND(Input_Product=Elig!$C233,Elig_MatchAll_Ct&lt;22,$BC233=(Elig_MatchAll_Ct-1),AZ233=0),AB233,0)</f>
        <v>0</v>
      </c>
      <c r="CH233" s="213">
        <f>IF(AND(Input_Product=Elig!$C233,Elig_MatchAll_Ct&lt;22,$BC233=(Elig_MatchAll_Ct-1),AZ233=0),AC233,0)</f>
        <v>0</v>
      </c>
      <c r="CI233" s="212">
        <f>IF(AND(Input_Product=Elig!$C233,Elig_MatchAll_Ct&lt;22,$BC233=(Elig_MatchAll_Ct-1),BA233=0),AD233,0)</f>
        <v>0</v>
      </c>
      <c r="CJ233" s="213">
        <f>IF(AND(Input_Product=Elig!$C233,Elig_MatchAll_Ct&lt;22,$BC233=(Elig_MatchAll_Ct-1),BA233=0),AE233,0)</f>
        <v>0</v>
      </c>
    </row>
    <row r="234" spans="2:88" ht="10.15" customHeight="1" x14ac:dyDescent="0.25">
      <c r="B234" s="1912" t="s">
        <v>3939</v>
      </c>
      <c r="C234" s="134" t="str">
        <f t="shared" si="56"/>
        <v>NonQM OO</v>
      </c>
      <c r="D234" s="135" t="s">
        <v>3885</v>
      </c>
      <c r="E234" s="135" t="s">
        <v>167</v>
      </c>
      <c r="F234" s="135" t="s">
        <v>331</v>
      </c>
      <c r="G234" s="135" t="s">
        <v>304</v>
      </c>
      <c r="H234" s="135" t="s">
        <v>446</v>
      </c>
      <c r="I234" s="136" t="s">
        <v>274</v>
      </c>
      <c r="J234" s="136" t="s">
        <v>1311</v>
      </c>
      <c r="K234" s="136" t="s">
        <v>1631</v>
      </c>
      <c r="L234" s="221" t="s">
        <v>3920</v>
      </c>
      <c r="M234" s="135" t="s">
        <v>4203</v>
      </c>
      <c r="N234" s="135" t="s">
        <v>82</v>
      </c>
      <c r="O234" s="135" t="s">
        <v>310</v>
      </c>
      <c r="P234" s="135" t="s">
        <v>291</v>
      </c>
      <c r="Q234" s="135" t="s">
        <v>294</v>
      </c>
      <c r="R234" s="221">
        <v>2500000.0099999998</v>
      </c>
      <c r="S234" s="135">
        <v>3000000</v>
      </c>
      <c r="T234" s="135">
        <v>0</v>
      </c>
      <c r="U234" s="135">
        <v>0</v>
      </c>
      <c r="V234" s="135">
        <v>0</v>
      </c>
      <c r="W234" s="135">
        <v>55</v>
      </c>
      <c r="X234" s="135">
        <v>0</v>
      </c>
      <c r="Y234" s="135">
        <v>999</v>
      </c>
      <c r="Z234" s="137">
        <v>700</v>
      </c>
      <c r="AA234" s="137">
        <v>719</v>
      </c>
      <c r="AB234" s="137">
        <v>9</v>
      </c>
      <c r="AC234" s="137">
        <v>999999</v>
      </c>
      <c r="AD234" s="135">
        <v>0</v>
      </c>
      <c r="AE234" s="221">
        <v>75</v>
      </c>
      <c r="AF234" s="170">
        <v>0</v>
      </c>
      <c r="AG234" s="171">
        <v>1</v>
      </c>
      <c r="AH234" s="171">
        <v>1</v>
      </c>
      <c r="AI234" s="171">
        <v>1</v>
      </c>
      <c r="AJ234" s="171">
        <v>0</v>
      </c>
      <c r="AK234" s="171">
        <v>0</v>
      </c>
      <c r="AL234" s="171">
        <v>0</v>
      </c>
      <c r="AM234" s="171">
        <v>1</v>
      </c>
      <c r="AN234" s="171">
        <v>1</v>
      </c>
      <c r="AO234" s="171">
        <v>1</v>
      </c>
      <c r="AP234" s="171">
        <v>1</v>
      </c>
      <c r="AQ234" s="171">
        <v>1</v>
      </c>
      <c r="AR234" s="171">
        <v>1</v>
      </c>
      <c r="AS234" s="171">
        <v>1</v>
      </c>
      <c r="AT234" s="171">
        <v>1</v>
      </c>
      <c r="AU234" s="171">
        <f t="shared" si="58"/>
        <v>0</v>
      </c>
      <c r="AV234" s="171">
        <f t="shared" si="59"/>
        <v>0</v>
      </c>
      <c r="AW234" s="171">
        <f t="shared" si="60"/>
        <v>1</v>
      </c>
      <c r="AX234" s="171">
        <f t="shared" si="100"/>
        <v>1</v>
      </c>
      <c r="AY234" s="171">
        <f t="shared" si="61"/>
        <v>0</v>
      </c>
      <c r="AZ234" s="171">
        <f t="shared" si="62"/>
        <v>1</v>
      </c>
      <c r="BA234" s="172">
        <f t="shared" si="63"/>
        <v>1</v>
      </c>
      <c r="BB234" s="175">
        <f t="shared" ref="BB234:BB256" si="110">SUM(AF234:BA234)</f>
        <v>15</v>
      </c>
      <c r="BC234" s="176">
        <f t="shared" ref="BC234:BC256" si="111">SUM(AF234:AZ234)</f>
        <v>14</v>
      </c>
      <c r="BD234" s="176">
        <f t="shared" ref="BD234:BD256" si="112">SUM(AG234:BA234)</f>
        <v>15</v>
      </c>
      <c r="BE234" s="240" t="str">
        <f t="shared" si="79"/>
        <v/>
      </c>
      <c r="BH234" s="199">
        <f>IF(AND(Input_Product=Elig!$C234,Elig_MatchAll_Ct&lt;22,$BC234=(Elig_MatchAll_Ct-1),AF234=0),C234,0)</f>
        <v>0</v>
      </c>
      <c r="BI234" s="199">
        <f>IF(AND(Input_Product=Elig!$C234,Elig_MatchAll_Ct&lt;22,$BC234=(Elig_MatchAll_Ct-1),AG234=0),D234,0)</f>
        <v>0</v>
      </c>
      <c r="BJ234" s="199">
        <f>IF(AND(Input_Product=Elig!$C234,Elig_MatchAll_Ct&lt;22,$BC234=(Elig_MatchAll_Ct-1),AH234=0),E234,0)</f>
        <v>0</v>
      </c>
      <c r="BK234" s="199">
        <f>IF(AND(Input_Product=Elig!$C234,Elig_MatchAll_Ct&lt;22,$BC234=(Elig_MatchAll_Ct-1),AI234=0),F234,0)</f>
        <v>0</v>
      </c>
      <c r="BL234" s="199">
        <f>IF(AND(Input_Product=Elig!$C234,Elig_MatchAll_Ct&lt;22,$BC234=(Elig_MatchAll_Ct-1),AJ234=0),G234,0)</f>
        <v>0</v>
      </c>
      <c r="BM234" s="199">
        <f>IF(AND(Input_Product=Elig!$C234,Elig_MatchAll_Ct&lt;22,$BC234=(Elig_MatchAll_Ct-1),AK234=0),H234,0)</f>
        <v>0</v>
      </c>
      <c r="BN234" s="199">
        <f>IF(AND(Input_Product=Elig!$C234,Elig_MatchAll_Ct&lt;22,$BC234=(Elig_MatchAll_Ct-1),AL234=0),I234,0)</f>
        <v>0</v>
      </c>
      <c r="BO234" s="199">
        <f>IF(AND(Input_Product=Elig!$C234,Elig_MatchAll_Ct&lt;22,$BC234=(Elig_MatchAll_Ct-1),AM234=0),J234,0)</f>
        <v>0</v>
      </c>
      <c r="BP234" s="199">
        <f>IF(AND(Input_Product=Elig!$C234,Elig_MatchAll_Ct&lt;22,$BC234=(Elig_MatchAll_Ct-1),AN234=0),K234,0)</f>
        <v>0</v>
      </c>
      <c r="BQ234" s="199">
        <f>IF(AND(Input_Product=Elig!$C234,Elig_MatchAll_Ct&lt;22,$BC234=(Elig_MatchAll_Ct-1),AP234=0),L234,0)</f>
        <v>0</v>
      </c>
      <c r="BR234" s="199">
        <f>IF(AND(Input_Product=Elig!$C234,Elig_MatchAll_Ct&lt;22,$BC234=(Elig_MatchAll_Ct-1),AO234=0),M234,0)</f>
        <v>0</v>
      </c>
      <c r="BS234" s="199">
        <f>IF(AND(Input_Product=Elig!$C234,Elig_MatchAll_Ct&lt;22,$BC234=(Elig_MatchAll_Ct-1),AQ234=0),N234,0)</f>
        <v>0</v>
      </c>
      <c r="BT234" s="199">
        <f>IF(AND(Input_Product=Elig!$C234,Elig_MatchAll_Ct&lt;22,$BC234=(Elig_MatchAll_Ct-1),AR234=0),O234,0)</f>
        <v>0</v>
      </c>
      <c r="BU234" s="199">
        <f>IF(AND(Input_Product=Elig!$C234,Elig_MatchAll_Ct&lt;22,$BC234=(Elig_MatchAll_Ct-1),AS234=0),P234,0)</f>
        <v>0</v>
      </c>
      <c r="BV234" s="200">
        <f>IF(AND(Input_Product=Elig!$C234,Elig_MatchAll_Ct&lt;22,$BC234=(Elig_MatchAll_Ct-1),AT234=0),Q234,0)</f>
        <v>0</v>
      </c>
      <c r="BW234" s="201">
        <f>IF(AND(Input_Product=Elig!$C234,Elig_MatchAll_Ct&lt;22,$BC234=(Elig_MatchAll_Ct-1),AU234=0),R234,0)</f>
        <v>0</v>
      </c>
      <c r="BX234" s="202">
        <f>IF(AND(Input_Product=Elig!$C234,Elig_MatchAll_Ct&lt;22,$BC234=(Elig_MatchAll_Ct-1),AU234=0),S234,0)</f>
        <v>0</v>
      </c>
      <c r="BY234" s="201">
        <f>IF(AND(Input_Product=Elig!$C234,Elig_MatchAll_Ct&lt;22,$BC234=(Elig_MatchAll_Ct-1),AV234=0),T234,0)</f>
        <v>0</v>
      </c>
      <c r="BZ234" s="202">
        <f>IF(AND(Input_Product=Elig!$C234,Elig_MatchAll_Ct&lt;22,$BC234=(Elig_MatchAll_Ct-1),AV234=0),U234,0)</f>
        <v>0</v>
      </c>
      <c r="CA234" s="201">
        <f>IF(AND(Input_Product=Elig!$C234,Elig_MatchAll_Ct&lt;22,$BC234=(Elig_MatchAll_Ct-1),AW234=0),V234,0)</f>
        <v>0</v>
      </c>
      <c r="CB234" s="202">
        <f>IF(AND(Input_Product=Elig!$C234,Elig_MatchAll_Ct&lt;22,$BC234=(Elig_MatchAll_Ct-1),AW234=0),W234,0)</f>
        <v>0</v>
      </c>
      <c r="CC234" s="201">
        <f>IF(AND(Input_Product=Elig!$C234,Elig_MatchAll_Ct&lt;22,$BC234=(Elig_MatchAll_Ct-1),AX234=0),X234,0)</f>
        <v>0</v>
      </c>
      <c r="CD234" s="202">
        <f>IF(AND(Input_Product=Elig!$C234,Elig_MatchAll_Ct&lt;22,$BC234=(Elig_MatchAll_Ct-1),AX234=0),Y234,0)</f>
        <v>0</v>
      </c>
      <c r="CE234" s="201">
        <f>IF(AND(Input_LTV&lt;=AE234,Input_Product=Elig!$C234,Elig_MatchAll_Ct&lt;22,$BC234=(Elig_MatchAll_Ct-1),AY234=0),Z234,0)</f>
        <v>0</v>
      </c>
      <c r="CF234" s="202">
        <f>IF(AND(Input_LTV&lt;=AE234,Input_Product=Elig!$C234,Elig_MatchAll_Ct&lt;22,$BC234=(Elig_MatchAll_Ct-1),AY234=0),AA234,0)</f>
        <v>0</v>
      </c>
      <c r="CG234" s="201">
        <f>IF(AND(Input_Product=Elig!$C234,Elig_MatchAll_Ct&lt;22,$BC234=(Elig_MatchAll_Ct-1),AZ234=0),AB234,0)</f>
        <v>0</v>
      </c>
      <c r="CH234" s="202">
        <f>IF(AND(Input_Product=Elig!$C234,Elig_MatchAll_Ct&lt;22,$BC234=(Elig_MatchAll_Ct-1),AZ234=0),AC234,0)</f>
        <v>0</v>
      </c>
      <c r="CI234" s="201">
        <f>IF(AND(Input_Product=Elig!$C234,Elig_MatchAll_Ct&lt;22,$BC234=(Elig_MatchAll_Ct-1),BA234=0),AD234,0)</f>
        <v>0</v>
      </c>
      <c r="CJ234" s="202">
        <f>IF(AND(Input_Product=Elig!$C234,Elig_MatchAll_Ct&lt;22,$BC234=(Elig_MatchAll_Ct-1),BA234=0),AE234,0)</f>
        <v>0</v>
      </c>
    </row>
    <row r="235" spans="2:88" ht="10.15" customHeight="1" x14ac:dyDescent="0.25">
      <c r="B235" s="1912" t="s">
        <v>3940</v>
      </c>
      <c r="C235" s="134" t="str">
        <f t="shared" si="56"/>
        <v>NonQM OO</v>
      </c>
      <c r="D235" s="135" t="s">
        <v>3885</v>
      </c>
      <c r="E235" s="135" t="s">
        <v>167</v>
      </c>
      <c r="F235" s="135" t="s">
        <v>331</v>
      </c>
      <c r="G235" s="135" t="s">
        <v>304</v>
      </c>
      <c r="H235" s="135" t="s">
        <v>446</v>
      </c>
      <c r="I235" s="136" t="s">
        <v>274</v>
      </c>
      <c r="J235" s="136" t="s">
        <v>1311</v>
      </c>
      <c r="K235" s="136" t="s">
        <v>1631</v>
      </c>
      <c r="L235" s="221" t="s">
        <v>3920</v>
      </c>
      <c r="M235" s="135" t="s">
        <v>4203</v>
      </c>
      <c r="N235" s="135" t="s">
        <v>82</v>
      </c>
      <c r="O235" s="135" t="s">
        <v>310</v>
      </c>
      <c r="P235" s="135" t="s">
        <v>291</v>
      </c>
      <c r="Q235" s="135" t="s">
        <v>294</v>
      </c>
      <c r="R235" s="221">
        <v>2500000.0099999998</v>
      </c>
      <c r="S235" s="135">
        <v>3000000</v>
      </c>
      <c r="T235" s="135">
        <v>0</v>
      </c>
      <c r="U235" s="135">
        <v>0</v>
      </c>
      <c r="V235" s="135">
        <v>0</v>
      </c>
      <c r="W235" s="135">
        <v>55</v>
      </c>
      <c r="X235" s="135">
        <v>0</v>
      </c>
      <c r="Y235" s="135">
        <v>999</v>
      </c>
      <c r="Z235" s="137">
        <v>680</v>
      </c>
      <c r="AA235" s="137">
        <v>699</v>
      </c>
      <c r="AB235" s="137">
        <v>9</v>
      </c>
      <c r="AC235" s="137">
        <v>999999</v>
      </c>
      <c r="AD235" s="135">
        <v>0</v>
      </c>
      <c r="AE235" s="135">
        <v>70</v>
      </c>
      <c r="AF235" s="170">
        <v>0</v>
      </c>
      <c r="AG235" s="171">
        <v>1</v>
      </c>
      <c r="AH235" s="171">
        <v>1</v>
      </c>
      <c r="AI235" s="171">
        <v>1</v>
      </c>
      <c r="AJ235" s="171">
        <v>0</v>
      </c>
      <c r="AK235" s="171">
        <v>0</v>
      </c>
      <c r="AL235" s="171">
        <v>0</v>
      </c>
      <c r="AM235" s="171">
        <v>1</v>
      </c>
      <c r="AN235" s="171">
        <v>1</v>
      </c>
      <c r="AO235" s="171">
        <v>1</v>
      </c>
      <c r="AP235" s="171">
        <v>1</v>
      </c>
      <c r="AQ235" s="171">
        <v>1</v>
      </c>
      <c r="AR235" s="171">
        <v>1</v>
      </c>
      <c r="AS235" s="171">
        <v>1</v>
      </c>
      <c r="AT235" s="171">
        <v>1</v>
      </c>
      <c r="AU235" s="171">
        <f t="shared" si="58"/>
        <v>0</v>
      </c>
      <c r="AV235" s="171">
        <f t="shared" si="59"/>
        <v>0</v>
      </c>
      <c r="AW235" s="171">
        <f t="shared" si="60"/>
        <v>1</v>
      </c>
      <c r="AX235" s="171">
        <f t="shared" si="100"/>
        <v>1</v>
      </c>
      <c r="AY235" s="171">
        <f t="shared" si="61"/>
        <v>0</v>
      </c>
      <c r="AZ235" s="171">
        <f t="shared" si="62"/>
        <v>1</v>
      </c>
      <c r="BA235" s="172">
        <f t="shared" si="63"/>
        <v>1</v>
      </c>
      <c r="BB235" s="175">
        <f t="shared" si="110"/>
        <v>15</v>
      </c>
      <c r="BC235" s="176">
        <f t="shared" si="111"/>
        <v>14</v>
      </c>
      <c r="BD235" s="176">
        <f t="shared" si="112"/>
        <v>15</v>
      </c>
      <c r="BE235" s="240" t="str">
        <f t="shared" si="79"/>
        <v/>
      </c>
      <c r="BH235" s="214">
        <f>IF(AND(Input_Product=Elig!$C235,Elig_MatchAll_Ct&lt;22,$BC235=(Elig_MatchAll_Ct-1),AF235=0),C235,0)</f>
        <v>0</v>
      </c>
      <c r="BI235" s="214">
        <f>IF(AND(Input_Product=Elig!$C235,Elig_MatchAll_Ct&lt;22,$BC235=(Elig_MatchAll_Ct-1),AG235=0),D235,0)</f>
        <v>0</v>
      </c>
      <c r="BJ235" s="214">
        <f>IF(AND(Input_Product=Elig!$C235,Elig_MatchAll_Ct&lt;22,$BC235=(Elig_MatchAll_Ct-1),AH235=0),E235,0)</f>
        <v>0</v>
      </c>
      <c r="BK235" s="214">
        <f>IF(AND(Input_Product=Elig!$C235,Elig_MatchAll_Ct&lt;22,$BC235=(Elig_MatchAll_Ct-1),AI235=0),F235,0)</f>
        <v>0</v>
      </c>
      <c r="BL235" s="214">
        <f>IF(AND(Input_Product=Elig!$C235,Elig_MatchAll_Ct&lt;22,$BC235=(Elig_MatchAll_Ct-1),AJ235=0),G235,0)</f>
        <v>0</v>
      </c>
      <c r="BM235" s="214">
        <f>IF(AND(Input_Product=Elig!$C235,Elig_MatchAll_Ct&lt;22,$BC235=(Elig_MatchAll_Ct-1),AK235=0),H235,0)</f>
        <v>0</v>
      </c>
      <c r="BN235" s="214">
        <f>IF(AND(Input_Product=Elig!$C235,Elig_MatchAll_Ct&lt;22,$BC235=(Elig_MatchAll_Ct-1),AL235=0),I235,0)</f>
        <v>0</v>
      </c>
      <c r="BO235" s="214">
        <f>IF(AND(Input_Product=Elig!$C235,Elig_MatchAll_Ct&lt;22,$BC235=(Elig_MatchAll_Ct-1),AM235=0),J235,0)</f>
        <v>0</v>
      </c>
      <c r="BP235" s="214">
        <f>IF(AND(Input_Product=Elig!$C235,Elig_MatchAll_Ct&lt;22,$BC235=(Elig_MatchAll_Ct-1),AN235=0),K235,0)</f>
        <v>0</v>
      </c>
      <c r="BQ235" s="214">
        <f>IF(AND(Input_Product=Elig!$C235,Elig_MatchAll_Ct&lt;22,$BC235=(Elig_MatchAll_Ct-1),AP235=0),L235,0)</f>
        <v>0</v>
      </c>
      <c r="BR235" s="214">
        <f>IF(AND(Input_Product=Elig!$C235,Elig_MatchAll_Ct&lt;22,$BC235=(Elig_MatchAll_Ct-1),AO235=0),M235,0)</f>
        <v>0</v>
      </c>
      <c r="BS235" s="214">
        <f>IF(AND(Input_Product=Elig!$C235,Elig_MatchAll_Ct&lt;22,$BC235=(Elig_MatchAll_Ct-1),AQ235=0),N235,0)</f>
        <v>0</v>
      </c>
      <c r="BT235" s="214">
        <f>IF(AND(Input_Product=Elig!$C235,Elig_MatchAll_Ct&lt;22,$BC235=(Elig_MatchAll_Ct-1),AR235=0),O235,0)</f>
        <v>0</v>
      </c>
      <c r="BU235" s="214">
        <f>IF(AND(Input_Product=Elig!$C235,Elig_MatchAll_Ct&lt;22,$BC235=(Elig_MatchAll_Ct-1),AS235=0),P235,0)</f>
        <v>0</v>
      </c>
      <c r="BV235" s="215">
        <f>IF(AND(Input_Product=Elig!$C235,Elig_MatchAll_Ct&lt;22,$BC235=(Elig_MatchAll_Ct-1),AT235=0),Q235,0)</f>
        <v>0</v>
      </c>
      <c r="BW235" s="311">
        <f>IF(AND(Input_Product=Elig!$C235,Elig_MatchAll_Ct&lt;22,$BC235=(Elig_MatchAll_Ct-1),AU235=0),R235,0)</f>
        <v>0</v>
      </c>
      <c r="BX235" s="312">
        <f>IF(AND(Input_Product=Elig!$C235,Elig_MatchAll_Ct&lt;22,$BC235=(Elig_MatchAll_Ct-1),AU235=0),S235,0)</f>
        <v>0</v>
      </c>
      <c r="BY235" s="311">
        <f>IF(AND(Input_Product=Elig!$C235,Elig_MatchAll_Ct&lt;22,$BC235=(Elig_MatchAll_Ct-1),AV235=0),T235,0)</f>
        <v>0</v>
      </c>
      <c r="BZ235" s="312">
        <f>IF(AND(Input_Product=Elig!$C235,Elig_MatchAll_Ct&lt;22,$BC235=(Elig_MatchAll_Ct-1),AV235=0),U235,0)</f>
        <v>0</v>
      </c>
      <c r="CA235" s="311">
        <f>IF(AND(Input_Product=Elig!$C235,Elig_MatchAll_Ct&lt;22,$BC235=(Elig_MatchAll_Ct-1),AW235=0),V235,0)</f>
        <v>0</v>
      </c>
      <c r="CB235" s="312">
        <f>IF(AND(Input_Product=Elig!$C235,Elig_MatchAll_Ct&lt;22,$BC235=(Elig_MatchAll_Ct-1),AW235=0),W235,0)</f>
        <v>0</v>
      </c>
      <c r="CC235" s="311">
        <f>IF(AND(Input_Product=Elig!$C235,Elig_MatchAll_Ct&lt;22,$BC235=(Elig_MatchAll_Ct-1),AX235=0),X235,0)</f>
        <v>0</v>
      </c>
      <c r="CD235" s="312">
        <f>IF(AND(Input_Product=Elig!$C235,Elig_MatchAll_Ct&lt;22,$BC235=(Elig_MatchAll_Ct-1),AX235=0),Y235,0)</f>
        <v>0</v>
      </c>
      <c r="CE235" s="311">
        <f>IF(AND(Input_LTV&lt;=AE235,Input_Product=Elig!$C235,Elig_MatchAll_Ct&lt;22,$BC235=(Elig_MatchAll_Ct-1),AY235=0),Z235,0)</f>
        <v>0</v>
      </c>
      <c r="CF235" s="312">
        <f>IF(AND(Input_LTV&lt;=AE235,Input_Product=Elig!$C235,Elig_MatchAll_Ct&lt;22,$BC235=(Elig_MatchAll_Ct-1),AY235=0),AA235,0)</f>
        <v>0</v>
      </c>
      <c r="CG235" s="311">
        <f>IF(AND(Input_Product=Elig!$C235,Elig_MatchAll_Ct&lt;22,$BC235=(Elig_MatchAll_Ct-1),AZ235=0),AB235,0)</f>
        <v>0</v>
      </c>
      <c r="CH235" s="312">
        <f>IF(AND(Input_Product=Elig!$C235,Elig_MatchAll_Ct&lt;22,$BC235=(Elig_MatchAll_Ct-1),AZ235=0),AC235,0)</f>
        <v>0</v>
      </c>
      <c r="CI235" s="311">
        <f>IF(AND(Input_Product=Elig!$C235,Elig_MatchAll_Ct&lt;22,$BC235=(Elig_MatchAll_Ct-1),BA235=0),AD235,0)</f>
        <v>0</v>
      </c>
      <c r="CJ235" s="312">
        <f>IF(AND(Input_Product=Elig!$C235,Elig_MatchAll_Ct&lt;22,$BC235=(Elig_MatchAll_Ct-1),BA235=0),AE235,0)</f>
        <v>0</v>
      </c>
    </row>
    <row r="236" spans="2:88" ht="10.15" customHeight="1" x14ac:dyDescent="0.25">
      <c r="B236" s="1912" t="s">
        <v>3941</v>
      </c>
      <c r="C236" s="141" t="str">
        <f t="shared" si="56"/>
        <v>NonQM OO</v>
      </c>
      <c r="D236" s="142" t="s">
        <v>3885</v>
      </c>
      <c r="E236" s="143" t="s">
        <v>167</v>
      </c>
      <c r="F236" s="143" t="s">
        <v>331</v>
      </c>
      <c r="G236" s="143" t="s">
        <v>304</v>
      </c>
      <c r="H236" s="143" t="s">
        <v>446</v>
      </c>
      <c r="I236" s="142" t="s">
        <v>16</v>
      </c>
      <c r="J236" s="142" t="s">
        <v>1311</v>
      </c>
      <c r="K236" s="142" t="s">
        <v>1631</v>
      </c>
      <c r="L236" s="2131" t="s">
        <v>3920</v>
      </c>
      <c r="M236" s="143" t="s">
        <v>4203</v>
      </c>
      <c r="N236" s="143" t="s">
        <v>82</v>
      </c>
      <c r="O236" s="143" t="s">
        <v>310</v>
      </c>
      <c r="P236" s="143" t="s">
        <v>291</v>
      </c>
      <c r="Q236" s="143" t="s">
        <v>294</v>
      </c>
      <c r="R236" s="320">
        <v>2500000.0099999998</v>
      </c>
      <c r="S236" s="142">
        <v>3000000</v>
      </c>
      <c r="T236" s="142">
        <v>0</v>
      </c>
      <c r="U236" s="142">
        <f t="shared" ref="U236:U238" si="113">S236</f>
        <v>3000000</v>
      </c>
      <c r="V236" s="142">
        <v>0</v>
      </c>
      <c r="W236" s="142">
        <v>55</v>
      </c>
      <c r="X236" s="142">
        <v>0</v>
      </c>
      <c r="Y236" s="142">
        <v>999</v>
      </c>
      <c r="Z236" s="144">
        <v>720</v>
      </c>
      <c r="AA236" s="144">
        <v>999</v>
      </c>
      <c r="AB236" s="144">
        <v>9</v>
      </c>
      <c r="AC236" s="144">
        <v>999999</v>
      </c>
      <c r="AD236" s="142">
        <v>0</v>
      </c>
      <c r="AE236" s="142">
        <v>70</v>
      </c>
      <c r="AF236" s="170">
        <v>0</v>
      </c>
      <c r="AG236" s="171">
        <v>1</v>
      </c>
      <c r="AH236" s="171">
        <v>1</v>
      </c>
      <c r="AI236" s="171">
        <v>1</v>
      </c>
      <c r="AJ236" s="171">
        <v>0</v>
      </c>
      <c r="AK236" s="171">
        <v>0</v>
      </c>
      <c r="AL236" s="171">
        <v>1</v>
      </c>
      <c r="AM236" s="171">
        <v>1</v>
      </c>
      <c r="AN236" s="171">
        <v>1</v>
      </c>
      <c r="AO236" s="171">
        <v>1</v>
      </c>
      <c r="AP236" s="171">
        <v>1</v>
      </c>
      <c r="AQ236" s="171">
        <v>1</v>
      </c>
      <c r="AR236" s="171">
        <v>1</v>
      </c>
      <c r="AS236" s="171">
        <v>1</v>
      </c>
      <c r="AT236" s="171">
        <v>1</v>
      </c>
      <c r="AU236" s="171">
        <f t="shared" si="58"/>
        <v>0</v>
      </c>
      <c r="AV236" s="171">
        <f t="shared" si="59"/>
        <v>1</v>
      </c>
      <c r="AW236" s="171">
        <f t="shared" si="60"/>
        <v>1</v>
      </c>
      <c r="AX236" s="171">
        <f t="shared" si="100"/>
        <v>1</v>
      </c>
      <c r="AY236" s="171">
        <f t="shared" si="61"/>
        <v>1</v>
      </c>
      <c r="AZ236" s="171">
        <f t="shared" si="62"/>
        <v>1</v>
      </c>
      <c r="BA236" s="172">
        <f t="shared" si="63"/>
        <v>1</v>
      </c>
      <c r="BB236" s="175">
        <f t="shared" si="110"/>
        <v>18</v>
      </c>
      <c r="BC236" s="176">
        <f t="shared" si="111"/>
        <v>17</v>
      </c>
      <c r="BD236" s="176">
        <f t="shared" si="112"/>
        <v>18</v>
      </c>
      <c r="BE236" s="240" t="str">
        <f t="shared" si="79"/>
        <v/>
      </c>
      <c r="BH236" s="210">
        <f>IF(AND(Input_Product=Elig!$C236,Elig_MatchAll_Ct&lt;22,$BC236=(Elig_MatchAll_Ct-1),AF236=0),C236,0)</f>
        <v>0</v>
      </c>
      <c r="BI236" s="210">
        <f>IF(AND(Input_Product=Elig!$C236,Elig_MatchAll_Ct&lt;22,$BC236=(Elig_MatchAll_Ct-1),AG236=0),D236,0)</f>
        <v>0</v>
      </c>
      <c r="BJ236" s="210">
        <f>IF(AND(Input_Product=Elig!$C236,Elig_MatchAll_Ct&lt;22,$BC236=(Elig_MatchAll_Ct-1),AH236=0),E236,0)</f>
        <v>0</v>
      </c>
      <c r="BK236" s="210">
        <f>IF(AND(Input_Product=Elig!$C236,Elig_MatchAll_Ct&lt;22,$BC236=(Elig_MatchAll_Ct-1),AI236=0),F236,0)</f>
        <v>0</v>
      </c>
      <c r="BL236" s="210">
        <f>IF(AND(Input_Product=Elig!$C236,Elig_MatchAll_Ct&lt;22,$BC236=(Elig_MatchAll_Ct-1),AJ236=0),G236,0)</f>
        <v>0</v>
      </c>
      <c r="BM236" s="210">
        <f>IF(AND(Input_Product=Elig!$C236,Elig_MatchAll_Ct&lt;22,$BC236=(Elig_MatchAll_Ct-1),AK236=0),H236,0)</f>
        <v>0</v>
      </c>
      <c r="BN236" s="210">
        <f>IF(AND(Input_Product=Elig!$C236,Elig_MatchAll_Ct&lt;22,$BC236=(Elig_MatchAll_Ct-1),AL236=0),I236,0)</f>
        <v>0</v>
      </c>
      <c r="BO236" s="210">
        <f>IF(AND(Input_Product=Elig!$C236,Elig_MatchAll_Ct&lt;22,$BC236=(Elig_MatchAll_Ct-1),AM236=0),J236,0)</f>
        <v>0</v>
      </c>
      <c r="BP236" s="210">
        <f>IF(AND(Input_Product=Elig!$C236,Elig_MatchAll_Ct&lt;22,$BC236=(Elig_MatchAll_Ct-1),AN236=0),K236,0)</f>
        <v>0</v>
      </c>
      <c r="BQ236" s="210">
        <f>IF(AND(Input_Product=Elig!$C236,Elig_MatchAll_Ct&lt;22,$BC236=(Elig_MatchAll_Ct-1),AP236=0),L236,0)</f>
        <v>0</v>
      </c>
      <c r="BR236" s="210">
        <f>IF(AND(Input_Product=Elig!$C236,Elig_MatchAll_Ct&lt;22,$BC236=(Elig_MatchAll_Ct-1),AO236=0),M236,0)</f>
        <v>0</v>
      </c>
      <c r="BS236" s="210">
        <f>IF(AND(Input_Product=Elig!$C236,Elig_MatchAll_Ct&lt;22,$BC236=(Elig_MatchAll_Ct-1),AQ236=0),N236,0)</f>
        <v>0</v>
      </c>
      <c r="BT236" s="210">
        <f>IF(AND(Input_Product=Elig!$C236,Elig_MatchAll_Ct&lt;22,$BC236=(Elig_MatchAll_Ct-1),AR236=0),O236,0)</f>
        <v>0</v>
      </c>
      <c r="BU236" s="210">
        <f>IF(AND(Input_Product=Elig!$C236,Elig_MatchAll_Ct&lt;22,$BC236=(Elig_MatchAll_Ct-1),AS236=0),P236,0)</f>
        <v>0</v>
      </c>
      <c r="BV236" s="211">
        <f>IF(AND(Input_Product=Elig!$C236,Elig_MatchAll_Ct&lt;22,$BC236=(Elig_MatchAll_Ct-1),AT236=0),Q236,0)</f>
        <v>0</v>
      </c>
      <c r="BW236" s="212">
        <f>IF(AND(Input_Product=Elig!$C236,Elig_MatchAll_Ct&lt;22,$BC236=(Elig_MatchAll_Ct-1),AU236=0),R236,0)</f>
        <v>0</v>
      </c>
      <c r="BX236" s="213">
        <f>IF(AND(Input_Product=Elig!$C236,Elig_MatchAll_Ct&lt;22,$BC236=(Elig_MatchAll_Ct-1),AU236=0),S236,0)</f>
        <v>0</v>
      </c>
      <c r="BY236" s="212">
        <f>IF(AND(Input_Product=Elig!$C236,Elig_MatchAll_Ct&lt;22,$BC236=(Elig_MatchAll_Ct-1),AV236=0),T236,0)</f>
        <v>0</v>
      </c>
      <c r="BZ236" s="213">
        <f>IF(AND(Input_Product=Elig!$C236,Elig_MatchAll_Ct&lt;22,$BC236=(Elig_MatchAll_Ct-1),AV236=0),U236,0)</f>
        <v>0</v>
      </c>
      <c r="CA236" s="212">
        <f>IF(AND(Input_Product=Elig!$C236,Elig_MatchAll_Ct&lt;22,$BC236=(Elig_MatchAll_Ct-1),AW236=0),V236,0)</f>
        <v>0</v>
      </c>
      <c r="CB236" s="213">
        <f>IF(AND(Input_Product=Elig!$C236,Elig_MatchAll_Ct&lt;22,$BC236=(Elig_MatchAll_Ct-1),AW236=0),W236,0)</f>
        <v>0</v>
      </c>
      <c r="CC236" s="212">
        <f>IF(AND(Input_Product=Elig!$C236,Elig_MatchAll_Ct&lt;22,$BC236=(Elig_MatchAll_Ct-1),AX236=0),X236,0)</f>
        <v>0</v>
      </c>
      <c r="CD236" s="213">
        <f>IF(AND(Input_Product=Elig!$C236,Elig_MatchAll_Ct&lt;22,$BC236=(Elig_MatchAll_Ct-1),AX236=0),Y236,0)</f>
        <v>0</v>
      </c>
      <c r="CE236" s="212">
        <f>IF(AND(Input_LTV&lt;=AE236,Input_Product=Elig!$C236,Elig_MatchAll_Ct&lt;22,$BC236=(Elig_MatchAll_Ct-1),AY236=0),Z236,0)</f>
        <v>0</v>
      </c>
      <c r="CF236" s="213">
        <f>IF(AND(Input_LTV&lt;=AE236,Input_Product=Elig!$C236,Elig_MatchAll_Ct&lt;22,$BC236=(Elig_MatchAll_Ct-1),AY236=0),AA236,0)</f>
        <v>0</v>
      </c>
      <c r="CG236" s="212">
        <f>IF(AND(Input_Product=Elig!$C236,Elig_MatchAll_Ct&lt;22,$BC236=(Elig_MatchAll_Ct-1),AZ236=0),AB236,0)</f>
        <v>0</v>
      </c>
      <c r="CH236" s="213">
        <f>IF(AND(Input_Product=Elig!$C236,Elig_MatchAll_Ct&lt;22,$BC236=(Elig_MatchAll_Ct-1),AZ236=0),AC236,0)</f>
        <v>0</v>
      </c>
      <c r="CI236" s="212">
        <f>IF(AND(Input_Product=Elig!$C236,Elig_MatchAll_Ct&lt;22,$BC236=(Elig_MatchAll_Ct-1),BA236=0),AD236,0)</f>
        <v>0</v>
      </c>
      <c r="CJ236" s="213">
        <f>IF(AND(Input_Product=Elig!$C236,Elig_MatchAll_Ct&lt;22,$BC236=(Elig_MatchAll_Ct-1),BA236=0),AE236,0)</f>
        <v>0</v>
      </c>
    </row>
    <row r="237" spans="2:88" ht="10.15" customHeight="1" x14ac:dyDescent="0.25">
      <c r="B237" s="1912" t="s">
        <v>3942</v>
      </c>
      <c r="C237" s="134" t="str">
        <f t="shared" si="56"/>
        <v>NonQM OO</v>
      </c>
      <c r="D237" s="135" t="s">
        <v>3885</v>
      </c>
      <c r="E237" s="135" t="s">
        <v>167</v>
      </c>
      <c r="F237" s="135" t="s">
        <v>331</v>
      </c>
      <c r="G237" s="135" t="s">
        <v>304</v>
      </c>
      <c r="H237" s="135" t="s">
        <v>446</v>
      </c>
      <c r="I237" s="136" t="s">
        <v>16</v>
      </c>
      <c r="J237" s="136" t="s">
        <v>1311</v>
      </c>
      <c r="K237" s="136" t="s">
        <v>1631</v>
      </c>
      <c r="L237" s="221" t="s">
        <v>3920</v>
      </c>
      <c r="M237" s="135" t="s">
        <v>4203</v>
      </c>
      <c r="N237" s="135" t="s">
        <v>82</v>
      </c>
      <c r="O237" s="135" t="s">
        <v>310</v>
      </c>
      <c r="P237" s="135" t="s">
        <v>291</v>
      </c>
      <c r="Q237" s="135" t="s">
        <v>294</v>
      </c>
      <c r="R237" s="221">
        <v>2500000.0099999998</v>
      </c>
      <c r="S237" s="135">
        <v>3000000</v>
      </c>
      <c r="T237" s="135">
        <v>0</v>
      </c>
      <c r="U237" s="135">
        <f t="shared" si="113"/>
        <v>3000000</v>
      </c>
      <c r="V237" s="135">
        <v>0</v>
      </c>
      <c r="W237" s="135">
        <v>55</v>
      </c>
      <c r="X237" s="135">
        <v>0</v>
      </c>
      <c r="Y237" s="135">
        <v>999</v>
      </c>
      <c r="Z237" s="137">
        <v>700</v>
      </c>
      <c r="AA237" s="137">
        <v>719</v>
      </c>
      <c r="AB237" s="137">
        <v>9</v>
      </c>
      <c r="AC237" s="137">
        <v>999999</v>
      </c>
      <c r="AD237" s="135">
        <v>0</v>
      </c>
      <c r="AE237" s="135">
        <v>65</v>
      </c>
      <c r="AF237" s="170">
        <v>0</v>
      </c>
      <c r="AG237" s="171">
        <v>1</v>
      </c>
      <c r="AH237" s="171">
        <v>1</v>
      </c>
      <c r="AI237" s="171">
        <v>1</v>
      </c>
      <c r="AJ237" s="171">
        <v>0</v>
      </c>
      <c r="AK237" s="171">
        <v>0</v>
      </c>
      <c r="AL237" s="171">
        <v>1</v>
      </c>
      <c r="AM237" s="171">
        <v>1</v>
      </c>
      <c r="AN237" s="171">
        <v>1</v>
      </c>
      <c r="AO237" s="171">
        <v>1</v>
      </c>
      <c r="AP237" s="171">
        <v>1</v>
      </c>
      <c r="AQ237" s="171">
        <v>1</v>
      </c>
      <c r="AR237" s="171">
        <v>1</v>
      </c>
      <c r="AS237" s="171">
        <v>1</v>
      </c>
      <c r="AT237" s="171">
        <v>1</v>
      </c>
      <c r="AU237" s="171">
        <f t="shared" si="58"/>
        <v>0</v>
      </c>
      <c r="AV237" s="171">
        <f t="shared" si="59"/>
        <v>1</v>
      </c>
      <c r="AW237" s="171">
        <f t="shared" si="60"/>
        <v>1</v>
      </c>
      <c r="AX237" s="171">
        <f t="shared" si="100"/>
        <v>1</v>
      </c>
      <c r="AY237" s="171">
        <f t="shared" si="61"/>
        <v>0</v>
      </c>
      <c r="AZ237" s="171">
        <f t="shared" si="62"/>
        <v>1</v>
      </c>
      <c r="BA237" s="172">
        <f t="shared" si="63"/>
        <v>1</v>
      </c>
      <c r="BB237" s="175">
        <f t="shared" si="110"/>
        <v>17</v>
      </c>
      <c r="BC237" s="176">
        <f t="shared" si="111"/>
        <v>16</v>
      </c>
      <c r="BD237" s="176">
        <f t="shared" si="112"/>
        <v>17</v>
      </c>
      <c r="BE237" s="240" t="str">
        <f t="shared" si="79"/>
        <v/>
      </c>
      <c r="BH237" s="199">
        <f>IF(AND(Input_Product=Elig!$C237,Elig_MatchAll_Ct&lt;22,$BC237=(Elig_MatchAll_Ct-1),AF237=0),C237,0)</f>
        <v>0</v>
      </c>
      <c r="BI237" s="199">
        <f>IF(AND(Input_Product=Elig!$C237,Elig_MatchAll_Ct&lt;22,$BC237=(Elig_MatchAll_Ct-1),AG237=0),D237,0)</f>
        <v>0</v>
      </c>
      <c r="BJ237" s="199">
        <f>IF(AND(Input_Product=Elig!$C237,Elig_MatchAll_Ct&lt;22,$BC237=(Elig_MatchAll_Ct-1),AH237=0),E237,0)</f>
        <v>0</v>
      </c>
      <c r="BK237" s="199">
        <f>IF(AND(Input_Product=Elig!$C237,Elig_MatchAll_Ct&lt;22,$BC237=(Elig_MatchAll_Ct-1),AI237=0),F237,0)</f>
        <v>0</v>
      </c>
      <c r="BL237" s="199">
        <f>IF(AND(Input_Product=Elig!$C237,Elig_MatchAll_Ct&lt;22,$BC237=(Elig_MatchAll_Ct-1),AJ237=0),G237,0)</f>
        <v>0</v>
      </c>
      <c r="BM237" s="199">
        <f>IF(AND(Input_Product=Elig!$C237,Elig_MatchAll_Ct&lt;22,$BC237=(Elig_MatchAll_Ct-1),AK237=0),H237,0)</f>
        <v>0</v>
      </c>
      <c r="BN237" s="199">
        <f>IF(AND(Input_Product=Elig!$C237,Elig_MatchAll_Ct&lt;22,$BC237=(Elig_MatchAll_Ct-1),AL237=0),I237,0)</f>
        <v>0</v>
      </c>
      <c r="BO237" s="199">
        <f>IF(AND(Input_Product=Elig!$C237,Elig_MatchAll_Ct&lt;22,$BC237=(Elig_MatchAll_Ct-1),AM237=0),J237,0)</f>
        <v>0</v>
      </c>
      <c r="BP237" s="199">
        <f>IF(AND(Input_Product=Elig!$C237,Elig_MatchAll_Ct&lt;22,$BC237=(Elig_MatchAll_Ct-1),AN237=0),K237,0)</f>
        <v>0</v>
      </c>
      <c r="BQ237" s="199">
        <f>IF(AND(Input_Product=Elig!$C237,Elig_MatchAll_Ct&lt;22,$BC237=(Elig_MatchAll_Ct-1),AP237=0),L237,0)</f>
        <v>0</v>
      </c>
      <c r="BR237" s="199">
        <f>IF(AND(Input_Product=Elig!$C237,Elig_MatchAll_Ct&lt;22,$BC237=(Elig_MatchAll_Ct-1),AO237=0),M237,0)</f>
        <v>0</v>
      </c>
      <c r="BS237" s="199">
        <f>IF(AND(Input_Product=Elig!$C237,Elig_MatchAll_Ct&lt;22,$BC237=(Elig_MatchAll_Ct-1),AQ237=0),N237,0)</f>
        <v>0</v>
      </c>
      <c r="BT237" s="199">
        <f>IF(AND(Input_Product=Elig!$C237,Elig_MatchAll_Ct&lt;22,$BC237=(Elig_MatchAll_Ct-1),AR237=0),O237,0)</f>
        <v>0</v>
      </c>
      <c r="BU237" s="199">
        <f>IF(AND(Input_Product=Elig!$C237,Elig_MatchAll_Ct&lt;22,$BC237=(Elig_MatchAll_Ct-1),AS237=0),P237,0)</f>
        <v>0</v>
      </c>
      <c r="BV237" s="200">
        <f>IF(AND(Input_Product=Elig!$C237,Elig_MatchAll_Ct&lt;22,$BC237=(Elig_MatchAll_Ct-1),AT237=0),Q237,0)</f>
        <v>0</v>
      </c>
      <c r="BW237" s="201">
        <f>IF(AND(Input_Product=Elig!$C237,Elig_MatchAll_Ct&lt;22,$BC237=(Elig_MatchAll_Ct-1),AU237=0),R237,0)</f>
        <v>0</v>
      </c>
      <c r="BX237" s="202">
        <f>IF(AND(Input_Product=Elig!$C237,Elig_MatchAll_Ct&lt;22,$BC237=(Elig_MatchAll_Ct-1),AU237=0),S237,0)</f>
        <v>0</v>
      </c>
      <c r="BY237" s="201">
        <f>IF(AND(Input_Product=Elig!$C237,Elig_MatchAll_Ct&lt;22,$BC237=(Elig_MatchAll_Ct-1),AV237=0),T237,0)</f>
        <v>0</v>
      </c>
      <c r="BZ237" s="202">
        <f>IF(AND(Input_Product=Elig!$C237,Elig_MatchAll_Ct&lt;22,$BC237=(Elig_MatchAll_Ct-1),AV237=0),U237,0)</f>
        <v>0</v>
      </c>
      <c r="CA237" s="201">
        <f>IF(AND(Input_Product=Elig!$C237,Elig_MatchAll_Ct&lt;22,$BC237=(Elig_MatchAll_Ct-1),AW237=0),V237,0)</f>
        <v>0</v>
      </c>
      <c r="CB237" s="202">
        <f>IF(AND(Input_Product=Elig!$C237,Elig_MatchAll_Ct&lt;22,$BC237=(Elig_MatchAll_Ct-1),AW237=0),W237,0)</f>
        <v>0</v>
      </c>
      <c r="CC237" s="201">
        <f>IF(AND(Input_Product=Elig!$C237,Elig_MatchAll_Ct&lt;22,$BC237=(Elig_MatchAll_Ct-1),AX237=0),X237,0)</f>
        <v>0</v>
      </c>
      <c r="CD237" s="202">
        <f>IF(AND(Input_Product=Elig!$C237,Elig_MatchAll_Ct&lt;22,$BC237=(Elig_MatchAll_Ct-1),AX237=0),Y237,0)</f>
        <v>0</v>
      </c>
      <c r="CE237" s="201">
        <f>IF(AND(Input_LTV&lt;=AE237,Input_Product=Elig!$C237,Elig_MatchAll_Ct&lt;22,$BC237=(Elig_MatchAll_Ct-1),AY237=0),Z237,0)</f>
        <v>0</v>
      </c>
      <c r="CF237" s="202">
        <f>IF(AND(Input_LTV&lt;=AE237,Input_Product=Elig!$C237,Elig_MatchAll_Ct&lt;22,$BC237=(Elig_MatchAll_Ct-1),AY237=0),AA237,0)</f>
        <v>0</v>
      </c>
      <c r="CG237" s="201">
        <f>IF(AND(Input_Product=Elig!$C237,Elig_MatchAll_Ct&lt;22,$BC237=(Elig_MatchAll_Ct-1),AZ237=0),AB237,0)</f>
        <v>0</v>
      </c>
      <c r="CH237" s="202">
        <f>IF(AND(Input_Product=Elig!$C237,Elig_MatchAll_Ct&lt;22,$BC237=(Elig_MatchAll_Ct-1),AZ237=0),AC237,0)</f>
        <v>0</v>
      </c>
      <c r="CI237" s="201">
        <f>IF(AND(Input_Product=Elig!$C237,Elig_MatchAll_Ct&lt;22,$BC237=(Elig_MatchAll_Ct-1),BA237=0),AD237,0)</f>
        <v>0</v>
      </c>
      <c r="CJ237" s="202">
        <f>IF(AND(Input_Product=Elig!$C237,Elig_MatchAll_Ct&lt;22,$BC237=(Elig_MatchAll_Ct-1),BA237=0),AE237,0)</f>
        <v>0</v>
      </c>
    </row>
    <row r="238" spans="2:88" ht="10.15" customHeight="1" x14ac:dyDescent="0.25">
      <c r="B238" s="1912" t="s">
        <v>3943</v>
      </c>
      <c r="C238" s="134" t="str">
        <f t="shared" si="56"/>
        <v>NonQM OO</v>
      </c>
      <c r="D238" s="135" t="s">
        <v>3885</v>
      </c>
      <c r="E238" s="135" t="s">
        <v>167</v>
      </c>
      <c r="F238" s="135" t="s">
        <v>331</v>
      </c>
      <c r="G238" s="135" t="s">
        <v>304</v>
      </c>
      <c r="H238" s="135" t="s">
        <v>446</v>
      </c>
      <c r="I238" s="136" t="s">
        <v>16</v>
      </c>
      <c r="J238" s="136" t="s">
        <v>1311</v>
      </c>
      <c r="K238" s="136" t="s">
        <v>1631</v>
      </c>
      <c r="L238" s="221" t="s">
        <v>3920</v>
      </c>
      <c r="M238" s="135" t="s">
        <v>4203</v>
      </c>
      <c r="N238" s="135" t="s">
        <v>82</v>
      </c>
      <c r="O238" s="135" t="s">
        <v>310</v>
      </c>
      <c r="P238" s="135" t="s">
        <v>291</v>
      </c>
      <c r="Q238" s="135" t="s">
        <v>294</v>
      </c>
      <c r="R238" s="221">
        <v>2500000.0099999998</v>
      </c>
      <c r="S238" s="135">
        <v>3000000</v>
      </c>
      <c r="T238" s="135">
        <v>0</v>
      </c>
      <c r="U238" s="135">
        <f t="shared" si="113"/>
        <v>3000000</v>
      </c>
      <c r="V238" s="135">
        <v>0</v>
      </c>
      <c r="W238" s="135">
        <v>55</v>
      </c>
      <c r="X238" s="135">
        <v>0</v>
      </c>
      <c r="Y238" s="135">
        <v>999</v>
      </c>
      <c r="Z238" s="137">
        <v>680</v>
      </c>
      <c r="AA238" s="137">
        <v>699</v>
      </c>
      <c r="AB238" s="137">
        <v>9</v>
      </c>
      <c r="AC238" s="137">
        <v>999999</v>
      </c>
      <c r="AD238" s="135">
        <v>0</v>
      </c>
      <c r="AE238" s="135">
        <v>65</v>
      </c>
      <c r="AF238" s="170">
        <v>0</v>
      </c>
      <c r="AG238" s="171">
        <v>1</v>
      </c>
      <c r="AH238" s="171">
        <v>1</v>
      </c>
      <c r="AI238" s="171">
        <v>1</v>
      </c>
      <c r="AJ238" s="171">
        <v>0</v>
      </c>
      <c r="AK238" s="171">
        <v>0</v>
      </c>
      <c r="AL238" s="171">
        <v>1</v>
      </c>
      <c r="AM238" s="171">
        <v>1</v>
      </c>
      <c r="AN238" s="171">
        <v>1</v>
      </c>
      <c r="AO238" s="171">
        <v>1</v>
      </c>
      <c r="AP238" s="171">
        <v>1</v>
      </c>
      <c r="AQ238" s="171">
        <v>1</v>
      </c>
      <c r="AR238" s="171">
        <v>1</v>
      </c>
      <c r="AS238" s="171">
        <v>1</v>
      </c>
      <c r="AT238" s="171">
        <v>1</v>
      </c>
      <c r="AU238" s="171">
        <f t="shared" si="58"/>
        <v>0</v>
      </c>
      <c r="AV238" s="171">
        <f t="shared" si="59"/>
        <v>1</v>
      </c>
      <c r="AW238" s="171">
        <f t="shared" si="60"/>
        <v>1</v>
      </c>
      <c r="AX238" s="171">
        <f t="shared" si="100"/>
        <v>1</v>
      </c>
      <c r="AY238" s="171">
        <f t="shared" si="61"/>
        <v>0</v>
      </c>
      <c r="AZ238" s="171">
        <f t="shared" si="62"/>
        <v>1</v>
      </c>
      <c r="BA238" s="172">
        <f t="shared" si="63"/>
        <v>1</v>
      </c>
      <c r="BB238" s="175">
        <f t="shared" si="110"/>
        <v>17</v>
      </c>
      <c r="BC238" s="176">
        <f t="shared" si="111"/>
        <v>16</v>
      </c>
      <c r="BD238" s="176">
        <f t="shared" si="112"/>
        <v>17</v>
      </c>
      <c r="BE238" s="240" t="str">
        <f t="shared" si="79"/>
        <v/>
      </c>
      <c r="BH238" s="214">
        <f>IF(AND(Input_Product=Elig!$C238,Elig_MatchAll_Ct&lt;22,$BC238=(Elig_MatchAll_Ct-1),AF238=0),C238,0)</f>
        <v>0</v>
      </c>
      <c r="BI238" s="214">
        <f>IF(AND(Input_Product=Elig!$C238,Elig_MatchAll_Ct&lt;22,$BC238=(Elig_MatchAll_Ct-1),AG238=0),D238,0)</f>
        <v>0</v>
      </c>
      <c r="BJ238" s="214">
        <f>IF(AND(Input_Product=Elig!$C238,Elig_MatchAll_Ct&lt;22,$BC238=(Elig_MatchAll_Ct-1),AH238=0),E238,0)</f>
        <v>0</v>
      </c>
      <c r="BK238" s="214">
        <f>IF(AND(Input_Product=Elig!$C238,Elig_MatchAll_Ct&lt;22,$BC238=(Elig_MatchAll_Ct-1),AI238=0),F238,0)</f>
        <v>0</v>
      </c>
      <c r="BL238" s="214">
        <f>IF(AND(Input_Product=Elig!$C238,Elig_MatchAll_Ct&lt;22,$BC238=(Elig_MatchAll_Ct-1),AJ238=0),G238,0)</f>
        <v>0</v>
      </c>
      <c r="BM238" s="214">
        <f>IF(AND(Input_Product=Elig!$C238,Elig_MatchAll_Ct&lt;22,$BC238=(Elig_MatchAll_Ct-1),AK238=0),H238,0)</f>
        <v>0</v>
      </c>
      <c r="BN238" s="214">
        <f>IF(AND(Input_Product=Elig!$C238,Elig_MatchAll_Ct&lt;22,$BC238=(Elig_MatchAll_Ct-1),AL238=0),I238,0)</f>
        <v>0</v>
      </c>
      <c r="BO238" s="214">
        <f>IF(AND(Input_Product=Elig!$C238,Elig_MatchAll_Ct&lt;22,$BC238=(Elig_MatchAll_Ct-1),AM238=0),J238,0)</f>
        <v>0</v>
      </c>
      <c r="BP238" s="214">
        <f>IF(AND(Input_Product=Elig!$C238,Elig_MatchAll_Ct&lt;22,$BC238=(Elig_MatchAll_Ct-1),AN238=0),K238,0)</f>
        <v>0</v>
      </c>
      <c r="BQ238" s="214">
        <f>IF(AND(Input_Product=Elig!$C238,Elig_MatchAll_Ct&lt;22,$BC238=(Elig_MatchAll_Ct-1),AP238=0),L238,0)</f>
        <v>0</v>
      </c>
      <c r="BR238" s="214">
        <f>IF(AND(Input_Product=Elig!$C238,Elig_MatchAll_Ct&lt;22,$BC238=(Elig_MatchAll_Ct-1),AO238=0),M238,0)</f>
        <v>0</v>
      </c>
      <c r="BS238" s="214">
        <f>IF(AND(Input_Product=Elig!$C238,Elig_MatchAll_Ct&lt;22,$BC238=(Elig_MatchAll_Ct-1),AQ238=0),N238,0)</f>
        <v>0</v>
      </c>
      <c r="BT238" s="214">
        <f>IF(AND(Input_Product=Elig!$C238,Elig_MatchAll_Ct&lt;22,$BC238=(Elig_MatchAll_Ct-1),AR238=0),O238,0)</f>
        <v>0</v>
      </c>
      <c r="BU238" s="214">
        <f>IF(AND(Input_Product=Elig!$C238,Elig_MatchAll_Ct&lt;22,$BC238=(Elig_MatchAll_Ct-1),AS238=0),P238,0)</f>
        <v>0</v>
      </c>
      <c r="BV238" s="215">
        <f>IF(AND(Input_Product=Elig!$C238,Elig_MatchAll_Ct&lt;22,$BC238=(Elig_MatchAll_Ct-1),AT238=0),Q238,0)</f>
        <v>0</v>
      </c>
      <c r="BW238" s="311">
        <f>IF(AND(Input_Product=Elig!$C238,Elig_MatchAll_Ct&lt;22,$BC238=(Elig_MatchAll_Ct-1),AU238=0),R238,0)</f>
        <v>0</v>
      </c>
      <c r="BX238" s="312">
        <f>IF(AND(Input_Product=Elig!$C238,Elig_MatchAll_Ct&lt;22,$BC238=(Elig_MatchAll_Ct-1),AU238=0),S238,0)</f>
        <v>0</v>
      </c>
      <c r="BY238" s="311">
        <f>IF(AND(Input_Product=Elig!$C238,Elig_MatchAll_Ct&lt;22,$BC238=(Elig_MatchAll_Ct-1),AV238=0),T238,0)</f>
        <v>0</v>
      </c>
      <c r="BZ238" s="312">
        <f>IF(AND(Input_Product=Elig!$C238,Elig_MatchAll_Ct&lt;22,$BC238=(Elig_MatchAll_Ct-1),AV238=0),U238,0)</f>
        <v>0</v>
      </c>
      <c r="CA238" s="311">
        <f>IF(AND(Input_Product=Elig!$C238,Elig_MatchAll_Ct&lt;22,$BC238=(Elig_MatchAll_Ct-1),AW238=0),V238,0)</f>
        <v>0</v>
      </c>
      <c r="CB238" s="312">
        <f>IF(AND(Input_Product=Elig!$C238,Elig_MatchAll_Ct&lt;22,$BC238=(Elig_MatchAll_Ct-1),AW238=0),W238,0)</f>
        <v>0</v>
      </c>
      <c r="CC238" s="311">
        <f>IF(AND(Input_Product=Elig!$C238,Elig_MatchAll_Ct&lt;22,$BC238=(Elig_MatchAll_Ct-1),AX238=0),X238,0)</f>
        <v>0</v>
      </c>
      <c r="CD238" s="312">
        <f>IF(AND(Input_Product=Elig!$C238,Elig_MatchAll_Ct&lt;22,$BC238=(Elig_MatchAll_Ct-1),AX238=0),Y238,0)</f>
        <v>0</v>
      </c>
      <c r="CE238" s="311">
        <f>IF(AND(Input_LTV&lt;=AE238,Input_Product=Elig!$C238,Elig_MatchAll_Ct&lt;22,$BC238=(Elig_MatchAll_Ct-1),AY238=0),Z238,0)</f>
        <v>0</v>
      </c>
      <c r="CF238" s="312">
        <f>IF(AND(Input_LTV&lt;=AE238,Input_Product=Elig!$C238,Elig_MatchAll_Ct&lt;22,$BC238=(Elig_MatchAll_Ct-1),AY238=0),AA238,0)</f>
        <v>0</v>
      </c>
      <c r="CG238" s="311">
        <f>IF(AND(Input_Product=Elig!$C238,Elig_MatchAll_Ct&lt;22,$BC238=(Elig_MatchAll_Ct-1),AZ238=0),AB238,0)</f>
        <v>0</v>
      </c>
      <c r="CH238" s="312">
        <f>IF(AND(Input_Product=Elig!$C238,Elig_MatchAll_Ct&lt;22,$BC238=(Elig_MatchAll_Ct-1),AZ238=0),AC238,0)</f>
        <v>0</v>
      </c>
      <c r="CI238" s="311">
        <f>IF(AND(Input_Product=Elig!$C238,Elig_MatchAll_Ct&lt;22,$BC238=(Elig_MatchAll_Ct-1),BA238=0),AD238,0)</f>
        <v>0</v>
      </c>
      <c r="CJ238" s="312">
        <f>IF(AND(Input_Product=Elig!$C238,Elig_MatchAll_Ct&lt;22,$BC238=(Elig_MatchAll_Ct-1),BA238=0),AE238,0)</f>
        <v>0</v>
      </c>
    </row>
    <row r="239" spans="2:88" ht="10.15" customHeight="1" x14ac:dyDescent="0.25">
      <c r="B239" s="1912" t="s">
        <v>3944</v>
      </c>
      <c r="C239" s="141" t="str">
        <f t="shared" si="56"/>
        <v>NonQM OO</v>
      </c>
      <c r="D239" s="142" t="s">
        <v>3885</v>
      </c>
      <c r="E239" s="143" t="s">
        <v>167</v>
      </c>
      <c r="F239" s="143" t="s">
        <v>331</v>
      </c>
      <c r="G239" s="143" t="s">
        <v>468</v>
      </c>
      <c r="H239" s="143" t="s">
        <v>136</v>
      </c>
      <c r="I239" s="142" t="s">
        <v>274</v>
      </c>
      <c r="J239" s="142" t="s">
        <v>1311</v>
      </c>
      <c r="K239" s="142" t="s">
        <v>1631</v>
      </c>
      <c r="L239" s="2131" t="s">
        <v>3920</v>
      </c>
      <c r="M239" s="143" t="s">
        <v>4203</v>
      </c>
      <c r="N239" s="143" t="s">
        <v>82</v>
      </c>
      <c r="O239" s="143" t="s">
        <v>310</v>
      </c>
      <c r="P239" s="143" t="s">
        <v>291</v>
      </c>
      <c r="Q239" s="143" t="s">
        <v>294</v>
      </c>
      <c r="R239" s="320">
        <v>2500000.0099999998</v>
      </c>
      <c r="S239" s="142">
        <v>3000000</v>
      </c>
      <c r="T239" s="142">
        <v>0</v>
      </c>
      <c r="U239" s="142">
        <v>0</v>
      </c>
      <c r="V239" s="142">
        <v>0</v>
      </c>
      <c r="W239" s="142">
        <v>55</v>
      </c>
      <c r="X239" s="142">
        <v>0</v>
      </c>
      <c r="Y239" s="142">
        <v>999</v>
      </c>
      <c r="Z239" s="144">
        <v>720</v>
      </c>
      <c r="AA239" s="144">
        <v>999</v>
      </c>
      <c r="AB239" s="144">
        <v>9</v>
      </c>
      <c r="AC239" s="144">
        <v>999999</v>
      </c>
      <c r="AD239" s="142">
        <v>0</v>
      </c>
      <c r="AE239" s="320">
        <v>75</v>
      </c>
      <c r="AF239" s="170">
        <v>0</v>
      </c>
      <c r="AG239" s="171">
        <v>1</v>
      </c>
      <c r="AH239" s="171">
        <v>1</v>
      </c>
      <c r="AI239" s="171">
        <v>1</v>
      </c>
      <c r="AJ239" s="171">
        <v>0</v>
      </c>
      <c r="AK239" s="171">
        <v>1</v>
      </c>
      <c r="AL239" s="171">
        <v>0</v>
      </c>
      <c r="AM239" s="171">
        <v>1</v>
      </c>
      <c r="AN239" s="171">
        <v>1</v>
      </c>
      <c r="AO239" s="171">
        <v>1</v>
      </c>
      <c r="AP239" s="171">
        <v>1</v>
      </c>
      <c r="AQ239" s="171">
        <v>1</v>
      </c>
      <c r="AR239" s="171">
        <v>1</v>
      </c>
      <c r="AS239" s="171">
        <v>1</v>
      </c>
      <c r="AT239" s="171">
        <v>1</v>
      </c>
      <c r="AU239" s="171">
        <f t="shared" si="58"/>
        <v>0</v>
      </c>
      <c r="AV239" s="171">
        <f t="shared" si="59"/>
        <v>0</v>
      </c>
      <c r="AW239" s="171">
        <f t="shared" si="60"/>
        <v>1</v>
      </c>
      <c r="AX239" s="171">
        <f t="shared" si="100"/>
        <v>1</v>
      </c>
      <c r="AY239" s="171">
        <f t="shared" si="61"/>
        <v>1</v>
      </c>
      <c r="AZ239" s="171">
        <f t="shared" si="62"/>
        <v>1</v>
      </c>
      <c r="BA239" s="172">
        <f t="shared" si="63"/>
        <v>1</v>
      </c>
      <c r="BB239" s="175">
        <f t="shared" si="110"/>
        <v>17</v>
      </c>
      <c r="BC239" s="176">
        <f t="shared" si="111"/>
        <v>16</v>
      </c>
      <c r="BD239" s="176">
        <f t="shared" si="112"/>
        <v>17</v>
      </c>
      <c r="BE239" s="240" t="str">
        <f t="shared" si="79"/>
        <v/>
      </c>
      <c r="BH239" s="210">
        <f>IF(AND(Input_Product=Elig!$C239,Elig_MatchAll_Ct&lt;22,$BC239=(Elig_MatchAll_Ct-1),AF239=0),C239,0)</f>
        <v>0</v>
      </c>
      <c r="BI239" s="210">
        <f>IF(AND(Input_Product=Elig!$C239,Elig_MatchAll_Ct&lt;22,$BC239=(Elig_MatchAll_Ct-1),AG239=0),D239,0)</f>
        <v>0</v>
      </c>
      <c r="BJ239" s="210">
        <f>IF(AND(Input_Product=Elig!$C239,Elig_MatchAll_Ct&lt;22,$BC239=(Elig_MatchAll_Ct-1),AH239=0),E239,0)</f>
        <v>0</v>
      </c>
      <c r="BK239" s="210">
        <f>IF(AND(Input_Product=Elig!$C239,Elig_MatchAll_Ct&lt;22,$BC239=(Elig_MatchAll_Ct-1),AI239=0),F239,0)</f>
        <v>0</v>
      </c>
      <c r="BL239" s="210">
        <f>IF(AND(Input_Product=Elig!$C239,Elig_MatchAll_Ct&lt;22,$BC239=(Elig_MatchAll_Ct-1),AJ239=0),G239,0)</f>
        <v>0</v>
      </c>
      <c r="BM239" s="210">
        <f>IF(AND(Input_Product=Elig!$C239,Elig_MatchAll_Ct&lt;22,$BC239=(Elig_MatchAll_Ct-1),AK239=0),H239,0)</f>
        <v>0</v>
      </c>
      <c r="BN239" s="210">
        <f>IF(AND(Input_Product=Elig!$C239,Elig_MatchAll_Ct&lt;22,$BC239=(Elig_MatchAll_Ct-1),AL239=0),I239,0)</f>
        <v>0</v>
      </c>
      <c r="BO239" s="210">
        <f>IF(AND(Input_Product=Elig!$C239,Elig_MatchAll_Ct&lt;22,$BC239=(Elig_MatchAll_Ct-1),AM239=0),J239,0)</f>
        <v>0</v>
      </c>
      <c r="BP239" s="210">
        <f>IF(AND(Input_Product=Elig!$C239,Elig_MatchAll_Ct&lt;22,$BC239=(Elig_MatchAll_Ct-1),AN239=0),K239,0)</f>
        <v>0</v>
      </c>
      <c r="BQ239" s="210">
        <f>IF(AND(Input_Product=Elig!$C239,Elig_MatchAll_Ct&lt;22,$BC239=(Elig_MatchAll_Ct-1),AP239=0),L239,0)</f>
        <v>0</v>
      </c>
      <c r="BR239" s="210">
        <f>IF(AND(Input_Product=Elig!$C239,Elig_MatchAll_Ct&lt;22,$BC239=(Elig_MatchAll_Ct-1),AO239=0),M239,0)</f>
        <v>0</v>
      </c>
      <c r="BS239" s="210">
        <f>IF(AND(Input_Product=Elig!$C239,Elig_MatchAll_Ct&lt;22,$BC239=(Elig_MatchAll_Ct-1),AQ239=0),N239,0)</f>
        <v>0</v>
      </c>
      <c r="BT239" s="210">
        <f>IF(AND(Input_Product=Elig!$C239,Elig_MatchAll_Ct&lt;22,$BC239=(Elig_MatchAll_Ct-1),AR239=0),O239,0)</f>
        <v>0</v>
      </c>
      <c r="BU239" s="210">
        <f>IF(AND(Input_Product=Elig!$C239,Elig_MatchAll_Ct&lt;22,$BC239=(Elig_MatchAll_Ct-1),AS239=0),P239,0)</f>
        <v>0</v>
      </c>
      <c r="BV239" s="211">
        <f>IF(AND(Input_Product=Elig!$C239,Elig_MatchAll_Ct&lt;22,$BC239=(Elig_MatchAll_Ct-1),AT239=0),Q239,0)</f>
        <v>0</v>
      </c>
      <c r="BW239" s="212">
        <f>IF(AND(Input_Product=Elig!$C239,Elig_MatchAll_Ct&lt;22,$BC239=(Elig_MatchAll_Ct-1),AU239=0),R239,0)</f>
        <v>0</v>
      </c>
      <c r="BX239" s="213">
        <f>IF(AND(Input_Product=Elig!$C239,Elig_MatchAll_Ct&lt;22,$BC239=(Elig_MatchAll_Ct-1),AU239=0),S239,0)</f>
        <v>0</v>
      </c>
      <c r="BY239" s="212">
        <f>IF(AND(Input_Product=Elig!$C239,Elig_MatchAll_Ct&lt;22,$BC239=(Elig_MatchAll_Ct-1),AV239=0),T239,0)</f>
        <v>0</v>
      </c>
      <c r="BZ239" s="213">
        <f>IF(AND(Input_Product=Elig!$C239,Elig_MatchAll_Ct&lt;22,$BC239=(Elig_MatchAll_Ct-1),AV239=0),U239,0)</f>
        <v>0</v>
      </c>
      <c r="CA239" s="212">
        <f>IF(AND(Input_Product=Elig!$C239,Elig_MatchAll_Ct&lt;22,$BC239=(Elig_MatchAll_Ct-1),AW239=0),V239,0)</f>
        <v>0</v>
      </c>
      <c r="CB239" s="213">
        <f>IF(AND(Input_Product=Elig!$C239,Elig_MatchAll_Ct&lt;22,$BC239=(Elig_MatchAll_Ct-1),AW239=0),W239,0)</f>
        <v>0</v>
      </c>
      <c r="CC239" s="212">
        <f>IF(AND(Input_Product=Elig!$C239,Elig_MatchAll_Ct&lt;22,$BC239=(Elig_MatchAll_Ct-1),AX239=0),X239,0)</f>
        <v>0</v>
      </c>
      <c r="CD239" s="213">
        <f>IF(AND(Input_Product=Elig!$C239,Elig_MatchAll_Ct&lt;22,$BC239=(Elig_MatchAll_Ct-1),AX239=0),Y239,0)</f>
        <v>0</v>
      </c>
      <c r="CE239" s="212">
        <f>IF(AND(Input_LTV&lt;=AE239,Input_Product=Elig!$C239,Elig_MatchAll_Ct&lt;22,$BC239=(Elig_MatchAll_Ct-1),AY239=0),Z239,0)</f>
        <v>0</v>
      </c>
      <c r="CF239" s="213">
        <f>IF(AND(Input_LTV&lt;=AE239,Input_Product=Elig!$C239,Elig_MatchAll_Ct&lt;22,$BC239=(Elig_MatchAll_Ct-1),AY239=0),AA239,0)</f>
        <v>0</v>
      </c>
      <c r="CG239" s="212">
        <f>IF(AND(Input_Product=Elig!$C239,Elig_MatchAll_Ct&lt;22,$BC239=(Elig_MatchAll_Ct-1),AZ239=0),AB239,0)</f>
        <v>0</v>
      </c>
      <c r="CH239" s="213">
        <f>IF(AND(Input_Product=Elig!$C239,Elig_MatchAll_Ct&lt;22,$BC239=(Elig_MatchAll_Ct-1),AZ239=0),AC239,0)</f>
        <v>0</v>
      </c>
      <c r="CI239" s="212">
        <f>IF(AND(Input_Product=Elig!$C239,Elig_MatchAll_Ct&lt;22,$BC239=(Elig_MatchAll_Ct-1),BA239=0),AD239,0)</f>
        <v>0</v>
      </c>
      <c r="CJ239" s="213">
        <f>IF(AND(Input_Product=Elig!$C239,Elig_MatchAll_Ct&lt;22,$BC239=(Elig_MatchAll_Ct-1),BA239=0),AE239,0)</f>
        <v>0</v>
      </c>
    </row>
    <row r="240" spans="2:88" ht="10.15" customHeight="1" x14ac:dyDescent="0.25">
      <c r="B240" s="1912" t="s">
        <v>3945</v>
      </c>
      <c r="C240" s="134" t="str">
        <f t="shared" si="56"/>
        <v>NonQM OO</v>
      </c>
      <c r="D240" s="135" t="s">
        <v>3885</v>
      </c>
      <c r="E240" s="135" t="s">
        <v>167</v>
      </c>
      <c r="F240" s="135" t="s">
        <v>331</v>
      </c>
      <c r="G240" s="135" t="s">
        <v>468</v>
      </c>
      <c r="H240" s="135" t="s">
        <v>136</v>
      </c>
      <c r="I240" s="136" t="s">
        <v>274</v>
      </c>
      <c r="J240" s="136" t="s">
        <v>1311</v>
      </c>
      <c r="K240" s="136" t="s">
        <v>1631</v>
      </c>
      <c r="L240" s="221" t="s">
        <v>3920</v>
      </c>
      <c r="M240" s="135" t="s">
        <v>4203</v>
      </c>
      <c r="N240" s="135" t="s">
        <v>82</v>
      </c>
      <c r="O240" s="135" t="s">
        <v>310</v>
      </c>
      <c r="P240" s="135" t="s">
        <v>291</v>
      </c>
      <c r="Q240" s="135" t="s">
        <v>294</v>
      </c>
      <c r="R240" s="221">
        <v>2500000.0099999998</v>
      </c>
      <c r="S240" s="135">
        <v>3000000</v>
      </c>
      <c r="T240" s="135">
        <v>0</v>
      </c>
      <c r="U240" s="135">
        <v>0</v>
      </c>
      <c r="V240" s="135">
        <v>0</v>
      </c>
      <c r="W240" s="135">
        <v>55</v>
      </c>
      <c r="X240" s="135">
        <v>0</v>
      </c>
      <c r="Y240" s="135">
        <v>999</v>
      </c>
      <c r="Z240" s="137">
        <v>700</v>
      </c>
      <c r="AA240" s="137">
        <v>719</v>
      </c>
      <c r="AB240" s="137">
        <v>9</v>
      </c>
      <c r="AC240" s="137">
        <v>999999</v>
      </c>
      <c r="AD240" s="135">
        <v>0</v>
      </c>
      <c r="AE240" s="221">
        <v>75</v>
      </c>
      <c r="AF240" s="170">
        <v>0</v>
      </c>
      <c r="AG240" s="171">
        <v>1</v>
      </c>
      <c r="AH240" s="171">
        <v>1</v>
      </c>
      <c r="AI240" s="171">
        <v>1</v>
      </c>
      <c r="AJ240" s="171">
        <v>0</v>
      </c>
      <c r="AK240" s="171">
        <v>1</v>
      </c>
      <c r="AL240" s="171">
        <v>0</v>
      </c>
      <c r="AM240" s="171">
        <v>1</v>
      </c>
      <c r="AN240" s="171">
        <v>1</v>
      </c>
      <c r="AO240" s="171">
        <v>1</v>
      </c>
      <c r="AP240" s="171">
        <v>1</v>
      </c>
      <c r="AQ240" s="171">
        <v>1</v>
      </c>
      <c r="AR240" s="171">
        <v>1</v>
      </c>
      <c r="AS240" s="171">
        <v>1</v>
      </c>
      <c r="AT240" s="171">
        <v>1</v>
      </c>
      <c r="AU240" s="171">
        <f t="shared" si="58"/>
        <v>0</v>
      </c>
      <c r="AV240" s="171">
        <f t="shared" si="59"/>
        <v>0</v>
      </c>
      <c r="AW240" s="171">
        <f t="shared" si="60"/>
        <v>1</v>
      </c>
      <c r="AX240" s="171">
        <f t="shared" si="100"/>
        <v>1</v>
      </c>
      <c r="AY240" s="171">
        <f t="shared" si="61"/>
        <v>0</v>
      </c>
      <c r="AZ240" s="171">
        <f t="shared" si="62"/>
        <v>1</v>
      </c>
      <c r="BA240" s="172">
        <f t="shared" si="63"/>
        <v>1</v>
      </c>
      <c r="BB240" s="175">
        <f t="shared" si="110"/>
        <v>16</v>
      </c>
      <c r="BC240" s="176">
        <f t="shared" si="111"/>
        <v>15</v>
      </c>
      <c r="BD240" s="176">
        <f t="shared" si="112"/>
        <v>16</v>
      </c>
      <c r="BE240" s="240" t="str">
        <f t="shared" si="79"/>
        <v/>
      </c>
      <c r="BH240" s="199">
        <f>IF(AND(Input_Product=Elig!$C240,Elig_MatchAll_Ct&lt;22,$BC240=(Elig_MatchAll_Ct-1),AF240=0),C240,0)</f>
        <v>0</v>
      </c>
      <c r="BI240" s="199">
        <f>IF(AND(Input_Product=Elig!$C240,Elig_MatchAll_Ct&lt;22,$BC240=(Elig_MatchAll_Ct-1),AG240=0),D240,0)</f>
        <v>0</v>
      </c>
      <c r="BJ240" s="199">
        <f>IF(AND(Input_Product=Elig!$C240,Elig_MatchAll_Ct&lt;22,$BC240=(Elig_MatchAll_Ct-1),AH240=0),E240,0)</f>
        <v>0</v>
      </c>
      <c r="BK240" s="199">
        <f>IF(AND(Input_Product=Elig!$C240,Elig_MatchAll_Ct&lt;22,$BC240=(Elig_MatchAll_Ct-1),AI240=0),F240,0)</f>
        <v>0</v>
      </c>
      <c r="BL240" s="199">
        <f>IF(AND(Input_Product=Elig!$C240,Elig_MatchAll_Ct&lt;22,$BC240=(Elig_MatchAll_Ct-1),AJ240=0),G240,0)</f>
        <v>0</v>
      </c>
      <c r="BM240" s="199">
        <f>IF(AND(Input_Product=Elig!$C240,Elig_MatchAll_Ct&lt;22,$BC240=(Elig_MatchAll_Ct-1),AK240=0),H240,0)</f>
        <v>0</v>
      </c>
      <c r="BN240" s="199">
        <f>IF(AND(Input_Product=Elig!$C240,Elig_MatchAll_Ct&lt;22,$BC240=(Elig_MatchAll_Ct-1),AL240=0),I240,0)</f>
        <v>0</v>
      </c>
      <c r="BO240" s="199">
        <f>IF(AND(Input_Product=Elig!$C240,Elig_MatchAll_Ct&lt;22,$BC240=(Elig_MatchAll_Ct-1),AM240=0),J240,0)</f>
        <v>0</v>
      </c>
      <c r="BP240" s="199">
        <f>IF(AND(Input_Product=Elig!$C240,Elig_MatchAll_Ct&lt;22,$BC240=(Elig_MatchAll_Ct-1),AN240=0),K240,0)</f>
        <v>0</v>
      </c>
      <c r="BQ240" s="199">
        <f>IF(AND(Input_Product=Elig!$C240,Elig_MatchAll_Ct&lt;22,$BC240=(Elig_MatchAll_Ct-1),AP240=0),L240,0)</f>
        <v>0</v>
      </c>
      <c r="BR240" s="199">
        <f>IF(AND(Input_Product=Elig!$C240,Elig_MatchAll_Ct&lt;22,$BC240=(Elig_MatchAll_Ct-1),AO240=0),M240,0)</f>
        <v>0</v>
      </c>
      <c r="BS240" s="199">
        <f>IF(AND(Input_Product=Elig!$C240,Elig_MatchAll_Ct&lt;22,$BC240=(Elig_MatchAll_Ct-1),AQ240=0),N240,0)</f>
        <v>0</v>
      </c>
      <c r="BT240" s="199">
        <f>IF(AND(Input_Product=Elig!$C240,Elig_MatchAll_Ct&lt;22,$BC240=(Elig_MatchAll_Ct-1),AR240=0),O240,0)</f>
        <v>0</v>
      </c>
      <c r="BU240" s="199">
        <f>IF(AND(Input_Product=Elig!$C240,Elig_MatchAll_Ct&lt;22,$BC240=(Elig_MatchAll_Ct-1),AS240=0),P240,0)</f>
        <v>0</v>
      </c>
      <c r="BV240" s="200">
        <f>IF(AND(Input_Product=Elig!$C240,Elig_MatchAll_Ct&lt;22,$BC240=(Elig_MatchAll_Ct-1),AT240=0),Q240,0)</f>
        <v>0</v>
      </c>
      <c r="BW240" s="201">
        <f>IF(AND(Input_Product=Elig!$C240,Elig_MatchAll_Ct&lt;22,$BC240=(Elig_MatchAll_Ct-1),AU240=0),R240,0)</f>
        <v>0</v>
      </c>
      <c r="BX240" s="202">
        <f>IF(AND(Input_Product=Elig!$C240,Elig_MatchAll_Ct&lt;22,$BC240=(Elig_MatchAll_Ct-1),AU240=0),S240,0)</f>
        <v>0</v>
      </c>
      <c r="BY240" s="201">
        <f>IF(AND(Input_Product=Elig!$C240,Elig_MatchAll_Ct&lt;22,$BC240=(Elig_MatchAll_Ct-1),AV240=0),T240,0)</f>
        <v>0</v>
      </c>
      <c r="BZ240" s="202">
        <f>IF(AND(Input_Product=Elig!$C240,Elig_MatchAll_Ct&lt;22,$BC240=(Elig_MatchAll_Ct-1),AV240=0),U240,0)</f>
        <v>0</v>
      </c>
      <c r="CA240" s="201">
        <f>IF(AND(Input_Product=Elig!$C240,Elig_MatchAll_Ct&lt;22,$BC240=(Elig_MatchAll_Ct-1),AW240=0),V240,0)</f>
        <v>0</v>
      </c>
      <c r="CB240" s="202">
        <f>IF(AND(Input_Product=Elig!$C240,Elig_MatchAll_Ct&lt;22,$BC240=(Elig_MatchAll_Ct-1),AW240=0),W240,0)</f>
        <v>0</v>
      </c>
      <c r="CC240" s="201">
        <f>IF(AND(Input_Product=Elig!$C240,Elig_MatchAll_Ct&lt;22,$BC240=(Elig_MatchAll_Ct-1),AX240=0),X240,0)</f>
        <v>0</v>
      </c>
      <c r="CD240" s="202">
        <f>IF(AND(Input_Product=Elig!$C240,Elig_MatchAll_Ct&lt;22,$BC240=(Elig_MatchAll_Ct-1),AX240=0),Y240,0)</f>
        <v>0</v>
      </c>
      <c r="CE240" s="201">
        <f>IF(AND(Input_LTV&lt;=AE240,Input_Product=Elig!$C240,Elig_MatchAll_Ct&lt;22,$BC240=(Elig_MatchAll_Ct-1),AY240=0),Z240,0)</f>
        <v>0</v>
      </c>
      <c r="CF240" s="202">
        <f>IF(AND(Input_LTV&lt;=AE240,Input_Product=Elig!$C240,Elig_MatchAll_Ct&lt;22,$BC240=(Elig_MatchAll_Ct-1),AY240=0),AA240,0)</f>
        <v>0</v>
      </c>
      <c r="CG240" s="201">
        <f>IF(AND(Input_Product=Elig!$C240,Elig_MatchAll_Ct&lt;22,$BC240=(Elig_MatchAll_Ct-1),AZ240=0),AB240,0)</f>
        <v>0</v>
      </c>
      <c r="CH240" s="202">
        <f>IF(AND(Input_Product=Elig!$C240,Elig_MatchAll_Ct&lt;22,$BC240=(Elig_MatchAll_Ct-1),AZ240=0),AC240,0)</f>
        <v>0</v>
      </c>
      <c r="CI240" s="201">
        <f>IF(AND(Input_Product=Elig!$C240,Elig_MatchAll_Ct&lt;22,$BC240=(Elig_MatchAll_Ct-1),BA240=0),AD240,0)</f>
        <v>0</v>
      </c>
      <c r="CJ240" s="202">
        <f>IF(AND(Input_Product=Elig!$C240,Elig_MatchAll_Ct&lt;22,$BC240=(Elig_MatchAll_Ct-1),BA240=0),AE240,0)</f>
        <v>0</v>
      </c>
    </row>
    <row r="241" spans="2:89" ht="10.15" customHeight="1" x14ac:dyDescent="0.25">
      <c r="B241" s="1912" t="s">
        <v>3946</v>
      </c>
      <c r="C241" s="134" t="str">
        <f t="shared" si="56"/>
        <v>NonQM OO</v>
      </c>
      <c r="D241" s="135" t="s">
        <v>3885</v>
      </c>
      <c r="E241" s="135" t="s">
        <v>167</v>
      </c>
      <c r="F241" s="135" t="s">
        <v>331</v>
      </c>
      <c r="G241" s="135" t="s">
        <v>468</v>
      </c>
      <c r="H241" s="135" t="s">
        <v>136</v>
      </c>
      <c r="I241" s="136" t="s">
        <v>274</v>
      </c>
      <c r="J241" s="136" t="s">
        <v>1311</v>
      </c>
      <c r="K241" s="136" t="s">
        <v>1631</v>
      </c>
      <c r="L241" s="221" t="s">
        <v>3920</v>
      </c>
      <c r="M241" s="135" t="s">
        <v>4203</v>
      </c>
      <c r="N241" s="135" t="s">
        <v>82</v>
      </c>
      <c r="O241" s="135" t="s">
        <v>310</v>
      </c>
      <c r="P241" s="135" t="s">
        <v>291</v>
      </c>
      <c r="Q241" s="135" t="s">
        <v>294</v>
      </c>
      <c r="R241" s="221">
        <v>2500000.0099999998</v>
      </c>
      <c r="S241" s="135">
        <v>3000000</v>
      </c>
      <c r="T241" s="135">
        <v>0</v>
      </c>
      <c r="U241" s="135">
        <v>0</v>
      </c>
      <c r="V241" s="135">
        <v>0</v>
      </c>
      <c r="W241" s="135">
        <v>55</v>
      </c>
      <c r="X241" s="135">
        <v>0</v>
      </c>
      <c r="Y241" s="135">
        <v>999</v>
      </c>
      <c r="Z241" s="137">
        <v>680</v>
      </c>
      <c r="AA241" s="137">
        <v>699</v>
      </c>
      <c r="AB241" s="137">
        <v>9</v>
      </c>
      <c r="AC241" s="137">
        <v>999999</v>
      </c>
      <c r="AD241" s="135">
        <v>0</v>
      </c>
      <c r="AE241" s="135">
        <v>70</v>
      </c>
      <c r="AF241" s="170">
        <v>0</v>
      </c>
      <c r="AG241" s="171">
        <v>1</v>
      </c>
      <c r="AH241" s="171">
        <v>1</v>
      </c>
      <c r="AI241" s="171">
        <v>1</v>
      </c>
      <c r="AJ241" s="171">
        <v>0</v>
      </c>
      <c r="AK241" s="171">
        <v>1</v>
      </c>
      <c r="AL241" s="171">
        <v>0</v>
      </c>
      <c r="AM241" s="171">
        <v>1</v>
      </c>
      <c r="AN241" s="171">
        <v>1</v>
      </c>
      <c r="AO241" s="171">
        <v>1</v>
      </c>
      <c r="AP241" s="171">
        <v>1</v>
      </c>
      <c r="AQ241" s="171">
        <v>1</v>
      </c>
      <c r="AR241" s="171">
        <v>1</v>
      </c>
      <c r="AS241" s="171">
        <v>1</v>
      </c>
      <c r="AT241" s="171">
        <v>1</v>
      </c>
      <c r="AU241" s="171">
        <f t="shared" si="58"/>
        <v>0</v>
      </c>
      <c r="AV241" s="171">
        <f t="shared" si="59"/>
        <v>0</v>
      </c>
      <c r="AW241" s="171">
        <f t="shared" si="60"/>
        <v>1</v>
      </c>
      <c r="AX241" s="171">
        <f t="shared" si="100"/>
        <v>1</v>
      </c>
      <c r="AY241" s="171">
        <f t="shared" si="61"/>
        <v>0</v>
      </c>
      <c r="AZ241" s="171">
        <f t="shared" si="62"/>
        <v>1</v>
      </c>
      <c r="BA241" s="172">
        <f t="shared" si="63"/>
        <v>1</v>
      </c>
      <c r="BB241" s="175">
        <f t="shared" si="110"/>
        <v>16</v>
      </c>
      <c r="BC241" s="176">
        <f t="shared" si="111"/>
        <v>15</v>
      </c>
      <c r="BD241" s="176">
        <f t="shared" si="112"/>
        <v>16</v>
      </c>
      <c r="BE241" s="240" t="str">
        <f t="shared" si="79"/>
        <v/>
      </c>
      <c r="BH241" s="214">
        <f>IF(AND(Input_Product=Elig!$C241,Elig_MatchAll_Ct&lt;22,$BC241=(Elig_MatchAll_Ct-1),AF241=0),C241,0)</f>
        <v>0</v>
      </c>
      <c r="BI241" s="214">
        <f>IF(AND(Input_Product=Elig!$C241,Elig_MatchAll_Ct&lt;22,$BC241=(Elig_MatchAll_Ct-1),AG241=0),D241,0)</f>
        <v>0</v>
      </c>
      <c r="BJ241" s="214">
        <f>IF(AND(Input_Product=Elig!$C241,Elig_MatchAll_Ct&lt;22,$BC241=(Elig_MatchAll_Ct-1),AH241=0),E241,0)</f>
        <v>0</v>
      </c>
      <c r="BK241" s="214">
        <f>IF(AND(Input_Product=Elig!$C241,Elig_MatchAll_Ct&lt;22,$BC241=(Elig_MatchAll_Ct-1),AI241=0),F241,0)</f>
        <v>0</v>
      </c>
      <c r="BL241" s="214">
        <f>IF(AND(Input_Product=Elig!$C241,Elig_MatchAll_Ct&lt;22,$BC241=(Elig_MatchAll_Ct-1),AJ241=0),G241,0)</f>
        <v>0</v>
      </c>
      <c r="BM241" s="214">
        <f>IF(AND(Input_Product=Elig!$C241,Elig_MatchAll_Ct&lt;22,$BC241=(Elig_MatchAll_Ct-1),AK241=0),H241,0)</f>
        <v>0</v>
      </c>
      <c r="BN241" s="214">
        <f>IF(AND(Input_Product=Elig!$C241,Elig_MatchAll_Ct&lt;22,$BC241=(Elig_MatchAll_Ct-1),AL241=0),I241,0)</f>
        <v>0</v>
      </c>
      <c r="BO241" s="214">
        <f>IF(AND(Input_Product=Elig!$C241,Elig_MatchAll_Ct&lt;22,$BC241=(Elig_MatchAll_Ct-1),AM241=0),J241,0)</f>
        <v>0</v>
      </c>
      <c r="BP241" s="214">
        <f>IF(AND(Input_Product=Elig!$C241,Elig_MatchAll_Ct&lt;22,$BC241=(Elig_MatchAll_Ct-1),AN241=0),K241,0)</f>
        <v>0</v>
      </c>
      <c r="BQ241" s="214">
        <f>IF(AND(Input_Product=Elig!$C241,Elig_MatchAll_Ct&lt;22,$BC241=(Elig_MatchAll_Ct-1),AP241=0),L241,0)</f>
        <v>0</v>
      </c>
      <c r="BR241" s="214">
        <f>IF(AND(Input_Product=Elig!$C241,Elig_MatchAll_Ct&lt;22,$BC241=(Elig_MatchAll_Ct-1),AO241=0),M241,0)</f>
        <v>0</v>
      </c>
      <c r="BS241" s="214">
        <f>IF(AND(Input_Product=Elig!$C241,Elig_MatchAll_Ct&lt;22,$BC241=(Elig_MatchAll_Ct-1),AQ241=0),N241,0)</f>
        <v>0</v>
      </c>
      <c r="BT241" s="214">
        <f>IF(AND(Input_Product=Elig!$C241,Elig_MatchAll_Ct&lt;22,$BC241=(Elig_MatchAll_Ct-1),AR241=0),O241,0)</f>
        <v>0</v>
      </c>
      <c r="BU241" s="214">
        <f>IF(AND(Input_Product=Elig!$C241,Elig_MatchAll_Ct&lt;22,$BC241=(Elig_MatchAll_Ct-1),AS241=0),P241,0)</f>
        <v>0</v>
      </c>
      <c r="BV241" s="215">
        <f>IF(AND(Input_Product=Elig!$C241,Elig_MatchAll_Ct&lt;22,$BC241=(Elig_MatchAll_Ct-1),AT241=0),Q241,0)</f>
        <v>0</v>
      </c>
      <c r="BW241" s="311">
        <f>IF(AND(Input_Product=Elig!$C241,Elig_MatchAll_Ct&lt;22,$BC241=(Elig_MatchAll_Ct-1),AU241=0),R241,0)</f>
        <v>0</v>
      </c>
      <c r="BX241" s="312">
        <f>IF(AND(Input_Product=Elig!$C241,Elig_MatchAll_Ct&lt;22,$BC241=(Elig_MatchAll_Ct-1),AU241=0),S241,0)</f>
        <v>0</v>
      </c>
      <c r="BY241" s="311">
        <f>IF(AND(Input_Product=Elig!$C241,Elig_MatchAll_Ct&lt;22,$BC241=(Elig_MatchAll_Ct-1),AV241=0),T241,0)</f>
        <v>0</v>
      </c>
      <c r="BZ241" s="312">
        <f>IF(AND(Input_Product=Elig!$C241,Elig_MatchAll_Ct&lt;22,$BC241=(Elig_MatchAll_Ct-1),AV241=0),U241,0)</f>
        <v>0</v>
      </c>
      <c r="CA241" s="311">
        <f>IF(AND(Input_Product=Elig!$C241,Elig_MatchAll_Ct&lt;22,$BC241=(Elig_MatchAll_Ct-1),AW241=0),V241,0)</f>
        <v>0</v>
      </c>
      <c r="CB241" s="312">
        <f>IF(AND(Input_Product=Elig!$C241,Elig_MatchAll_Ct&lt;22,$BC241=(Elig_MatchAll_Ct-1),AW241=0),W241,0)</f>
        <v>0</v>
      </c>
      <c r="CC241" s="311">
        <f>IF(AND(Input_Product=Elig!$C241,Elig_MatchAll_Ct&lt;22,$BC241=(Elig_MatchAll_Ct-1),AX241=0),X241,0)</f>
        <v>0</v>
      </c>
      <c r="CD241" s="312">
        <f>IF(AND(Input_Product=Elig!$C241,Elig_MatchAll_Ct&lt;22,$BC241=(Elig_MatchAll_Ct-1),AX241=0),Y241,0)</f>
        <v>0</v>
      </c>
      <c r="CE241" s="311">
        <f>IF(AND(Input_LTV&lt;=AE241,Input_Product=Elig!$C241,Elig_MatchAll_Ct&lt;22,$BC241=(Elig_MatchAll_Ct-1),AY241=0),Z241,0)</f>
        <v>0</v>
      </c>
      <c r="CF241" s="312">
        <f>IF(AND(Input_LTV&lt;=AE241,Input_Product=Elig!$C241,Elig_MatchAll_Ct&lt;22,$BC241=(Elig_MatchAll_Ct-1),AY241=0),AA241,0)</f>
        <v>0</v>
      </c>
      <c r="CG241" s="311">
        <f>IF(AND(Input_Product=Elig!$C241,Elig_MatchAll_Ct&lt;22,$BC241=(Elig_MatchAll_Ct-1),AZ241=0),AB241,0)</f>
        <v>0</v>
      </c>
      <c r="CH241" s="312">
        <f>IF(AND(Input_Product=Elig!$C241,Elig_MatchAll_Ct&lt;22,$BC241=(Elig_MatchAll_Ct-1),AZ241=0),AC241,0)</f>
        <v>0</v>
      </c>
      <c r="CI241" s="311">
        <f>IF(AND(Input_Product=Elig!$C241,Elig_MatchAll_Ct&lt;22,$BC241=(Elig_MatchAll_Ct-1),BA241=0),AD241,0)</f>
        <v>0</v>
      </c>
      <c r="CJ241" s="312">
        <f>IF(AND(Input_Product=Elig!$C241,Elig_MatchAll_Ct&lt;22,$BC241=(Elig_MatchAll_Ct-1),BA241=0),AE241,0)</f>
        <v>0</v>
      </c>
    </row>
    <row r="242" spans="2:89" ht="10.15" customHeight="1" x14ac:dyDescent="0.25">
      <c r="B242" s="1912" t="s">
        <v>3947</v>
      </c>
      <c r="C242" s="141" t="str">
        <f t="shared" si="56"/>
        <v>NonQM OO</v>
      </c>
      <c r="D242" s="142" t="s">
        <v>3885</v>
      </c>
      <c r="E242" s="143" t="s">
        <v>167</v>
      </c>
      <c r="F242" s="143" t="s">
        <v>331</v>
      </c>
      <c r="G242" s="143" t="s">
        <v>468</v>
      </c>
      <c r="H242" s="143" t="s">
        <v>136</v>
      </c>
      <c r="I242" s="142" t="s">
        <v>16</v>
      </c>
      <c r="J242" s="142" t="s">
        <v>1311</v>
      </c>
      <c r="K242" s="142" t="s">
        <v>1631</v>
      </c>
      <c r="L242" s="2131" t="s">
        <v>3920</v>
      </c>
      <c r="M242" s="143" t="s">
        <v>4203</v>
      </c>
      <c r="N242" s="143" t="s">
        <v>82</v>
      </c>
      <c r="O242" s="143" t="s">
        <v>310</v>
      </c>
      <c r="P242" s="143" t="s">
        <v>291</v>
      </c>
      <c r="Q242" s="143" t="s">
        <v>294</v>
      </c>
      <c r="R242" s="320">
        <v>2500000.0099999998</v>
      </c>
      <c r="S242" s="142">
        <v>3000000</v>
      </c>
      <c r="T242" s="142">
        <v>0</v>
      </c>
      <c r="U242" s="142">
        <f t="shared" ref="U242:U244" si="114">S242</f>
        <v>3000000</v>
      </c>
      <c r="V242" s="142">
        <v>0</v>
      </c>
      <c r="W242" s="142">
        <v>55</v>
      </c>
      <c r="X242" s="142">
        <v>0</v>
      </c>
      <c r="Y242" s="142">
        <v>999</v>
      </c>
      <c r="Z242" s="144">
        <v>720</v>
      </c>
      <c r="AA242" s="144">
        <v>999</v>
      </c>
      <c r="AB242" s="144">
        <v>9</v>
      </c>
      <c r="AC242" s="144">
        <v>999999</v>
      </c>
      <c r="AD242" s="142">
        <v>0</v>
      </c>
      <c r="AE242" s="320">
        <v>70</v>
      </c>
      <c r="AF242" s="170">
        <v>0</v>
      </c>
      <c r="AG242" s="171">
        <v>1</v>
      </c>
      <c r="AH242" s="171">
        <v>1</v>
      </c>
      <c r="AI242" s="171">
        <v>1</v>
      </c>
      <c r="AJ242" s="171">
        <v>0</v>
      </c>
      <c r="AK242" s="171">
        <v>1</v>
      </c>
      <c r="AL242" s="171">
        <v>1</v>
      </c>
      <c r="AM242" s="171">
        <v>1</v>
      </c>
      <c r="AN242" s="171">
        <v>1</v>
      </c>
      <c r="AO242" s="171">
        <v>1</v>
      </c>
      <c r="AP242" s="171">
        <v>1</v>
      </c>
      <c r="AQ242" s="171">
        <v>1</v>
      </c>
      <c r="AR242" s="171">
        <v>1</v>
      </c>
      <c r="AS242" s="171">
        <v>1</v>
      </c>
      <c r="AT242" s="171">
        <v>1</v>
      </c>
      <c r="AU242" s="171">
        <f t="shared" si="58"/>
        <v>0</v>
      </c>
      <c r="AV242" s="171">
        <f t="shared" si="59"/>
        <v>1</v>
      </c>
      <c r="AW242" s="171">
        <f t="shared" si="60"/>
        <v>1</v>
      </c>
      <c r="AX242" s="171">
        <f t="shared" si="100"/>
        <v>1</v>
      </c>
      <c r="AY242" s="171">
        <f t="shared" si="61"/>
        <v>1</v>
      </c>
      <c r="AZ242" s="171">
        <f t="shared" si="62"/>
        <v>1</v>
      </c>
      <c r="BA242" s="172">
        <f t="shared" si="63"/>
        <v>1</v>
      </c>
      <c r="BB242" s="175">
        <f t="shared" si="110"/>
        <v>19</v>
      </c>
      <c r="BC242" s="176">
        <f t="shared" si="111"/>
        <v>18</v>
      </c>
      <c r="BD242" s="176">
        <f t="shared" si="112"/>
        <v>19</v>
      </c>
      <c r="BE242" s="240" t="str">
        <f t="shared" si="79"/>
        <v/>
      </c>
      <c r="BH242" s="210">
        <f>IF(AND(Input_Product=Elig!$C242,Elig_MatchAll_Ct&lt;22,$BC242=(Elig_MatchAll_Ct-1),AF242=0),C242,0)</f>
        <v>0</v>
      </c>
      <c r="BI242" s="210">
        <f>IF(AND(Input_Product=Elig!$C242,Elig_MatchAll_Ct&lt;22,$BC242=(Elig_MatchAll_Ct-1),AG242=0),D242,0)</f>
        <v>0</v>
      </c>
      <c r="BJ242" s="210">
        <f>IF(AND(Input_Product=Elig!$C242,Elig_MatchAll_Ct&lt;22,$BC242=(Elig_MatchAll_Ct-1),AH242=0),E242,0)</f>
        <v>0</v>
      </c>
      <c r="BK242" s="210">
        <f>IF(AND(Input_Product=Elig!$C242,Elig_MatchAll_Ct&lt;22,$BC242=(Elig_MatchAll_Ct-1),AI242=0),F242,0)</f>
        <v>0</v>
      </c>
      <c r="BL242" s="210">
        <f>IF(AND(Input_Product=Elig!$C242,Elig_MatchAll_Ct&lt;22,$BC242=(Elig_MatchAll_Ct-1),AJ242=0),G242,0)</f>
        <v>0</v>
      </c>
      <c r="BM242" s="210">
        <f>IF(AND(Input_Product=Elig!$C242,Elig_MatchAll_Ct&lt;22,$BC242=(Elig_MatchAll_Ct-1),AK242=0),H242,0)</f>
        <v>0</v>
      </c>
      <c r="BN242" s="210">
        <f>IF(AND(Input_Product=Elig!$C242,Elig_MatchAll_Ct&lt;22,$BC242=(Elig_MatchAll_Ct-1),AL242=0),I242,0)</f>
        <v>0</v>
      </c>
      <c r="BO242" s="210">
        <f>IF(AND(Input_Product=Elig!$C242,Elig_MatchAll_Ct&lt;22,$BC242=(Elig_MatchAll_Ct-1),AM242=0),J242,0)</f>
        <v>0</v>
      </c>
      <c r="BP242" s="210">
        <f>IF(AND(Input_Product=Elig!$C242,Elig_MatchAll_Ct&lt;22,$BC242=(Elig_MatchAll_Ct-1),AN242=0),K242,0)</f>
        <v>0</v>
      </c>
      <c r="BQ242" s="210">
        <f>IF(AND(Input_Product=Elig!$C242,Elig_MatchAll_Ct&lt;22,$BC242=(Elig_MatchAll_Ct-1),AP242=0),L242,0)</f>
        <v>0</v>
      </c>
      <c r="BR242" s="210">
        <f>IF(AND(Input_Product=Elig!$C242,Elig_MatchAll_Ct&lt;22,$BC242=(Elig_MatchAll_Ct-1),AO242=0),M242,0)</f>
        <v>0</v>
      </c>
      <c r="BS242" s="210">
        <f>IF(AND(Input_Product=Elig!$C242,Elig_MatchAll_Ct&lt;22,$BC242=(Elig_MatchAll_Ct-1),AQ242=0),N242,0)</f>
        <v>0</v>
      </c>
      <c r="BT242" s="210">
        <f>IF(AND(Input_Product=Elig!$C242,Elig_MatchAll_Ct&lt;22,$BC242=(Elig_MatchAll_Ct-1),AR242=0),O242,0)</f>
        <v>0</v>
      </c>
      <c r="BU242" s="210">
        <f>IF(AND(Input_Product=Elig!$C242,Elig_MatchAll_Ct&lt;22,$BC242=(Elig_MatchAll_Ct-1),AS242=0),P242,0)</f>
        <v>0</v>
      </c>
      <c r="BV242" s="211">
        <f>IF(AND(Input_Product=Elig!$C242,Elig_MatchAll_Ct&lt;22,$BC242=(Elig_MatchAll_Ct-1),AT242=0),Q242,0)</f>
        <v>0</v>
      </c>
      <c r="BW242" s="212">
        <f>IF(AND(Input_Product=Elig!$C242,Elig_MatchAll_Ct&lt;22,$BC242=(Elig_MatchAll_Ct-1),AU242=0),R242,0)</f>
        <v>0</v>
      </c>
      <c r="BX242" s="213">
        <f>IF(AND(Input_Product=Elig!$C242,Elig_MatchAll_Ct&lt;22,$BC242=(Elig_MatchAll_Ct-1),AU242=0),S242,0)</f>
        <v>0</v>
      </c>
      <c r="BY242" s="212">
        <f>IF(AND(Input_Product=Elig!$C242,Elig_MatchAll_Ct&lt;22,$BC242=(Elig_MatchAll_Ct-1),AV242=0),T242,0)</f>
        <v>0</v>
      </c>
      <c r="BZ242" s="213">
        <f>IF(AND(Input_Product=Elig!$C242,Elig_MatchAll_Ct&lt;22,$BC242=(Elig_MatchAll_Ct-1),AV242=0),U242,0)</f>
        <v>0</v>
      </c>
      <c r="CA242" s="212">
        <f>IF(AND(Input_Product=Elig!$C242,Elig_MatchAll_Ct&lt;22,$BC242=(Elig_MatchAll_Ct-1),AW242=0),V242,0)</f>
        <v>0</v>
      </c>
      <c r="CB242" s="213">
        <f>IF(AND(Input_Product=Elig!$C242,Elig_MatchAll_Ct&lt;22,$BC242=(Elig_MatchAll_Ct-1),AW242=0),W242,0)</f>
        <v>0</v>
      </c>
      <c r="CC242" s="212">
        <f>IF(AND(Input_Product=Elig!$C242,Elig_MatchAll_Ct&lt;22,$BC242=(Elig_MatchAll_Ct-1),AX242=0),X242,0)</f>
        <v>0</v>
      </c>
      <c r="CD242" s="213">
        <f>IF(AND(Input_Product=Elig!$C242,Elig_MatchAll_Ct&lt;22,$BC242=(Elig_MatchAll_Ct-1),AX242=0),Y242,0)</f>
        <v>0</v>
      </c>
      <c r="CE242" s="212">
        <f>IF(AND(Input_LTV&lt;=AE242,Input_Product=Elig!$C242,Elig_MatchAll_Ct&lt;22,$BC242=(Elig_MatchAll_Ct-1),AY242=0),Z242,0)</f>
        <v>0</v>
      </c>
      <c r="CF242" s="213">
        <f>IF(AND(Input_LTV&lt;=AE242,Input_Product=Elig!$C242,Elig_MatchAll_Ct&lt;22,$BC242=(Elig_MatchAll_Ct-1),AY242=0),AA242,0)</f>
        <v>0</v>
      </c>
      <c r="CG242" s="212">
        <f>IF(AND(Input_Product=Elig!$C242,Elig_MatchAll_Ct&lt;22,$BC242=(Elig_MatchAll_Ct-1),AZ242=0),AB242,0)</f>
        <v>0</v>
      </c>
      <c r="CH242" s="213">
        <f>IF(AND(Input_Product=Elig!$C242,Elig_MatchAll_Ct&lt;22,$BC242=(Elig_MatchAll_Ct-1),AZ242=0),AC242,0)</f>
        <v>0</v>
      </c>
      <c r="CI242" s="212">
        <f>IF(AND(Input_Product=Elig!$C242,Elig_MatchAll_Ct&lt;22,$BC242=(Elig_MatchAll_Ct-1),BA242=0),AD242,0)</f>
        <v>0</v>
      </c>
      <c r="CJ242" s="213">
        <f>IF(AND(Input_Product=Elig!$C242,Elig_MatchAll_Ct&lt;22,$BC242=(Elig_MatchAll_Ct-1),BA242=0),AE242,0)</f>
        <v>0</v>
      </c>
    </row>
    <row r="243" spans="2:89" ht="10.15" customHeight="1" x14ac:dyDescent="0.25">
      <c r="B243" s="1912" t="s">
        <v>3948</v>
      </c>
      <c r="C243" s="134" t="str">
        <f t="shared" si="56"/>
        <v>NonQM OO</v>
      </c>
      <c r="D243" s="135" t="s">
        <v>3885</v>
      </c>
      <c r="E243" s="135" t="s">
        <v>167</v>
      </c>
      <c r="F243" s="135" t="s">
        <v>331</v>
      </c>
      <c r="G243" s="135" t="s">
        <v>468</v>
      </c>
      <c r="H243" s="135" t="s">
        <v>136</v>
      </c>
      <c r="I243" s="136" t="s">
        <v>16</v>
      </c>
      <c r="J243" s="136" t="s">
        <v>1311</v>
      </c>
      <c r="K243" s="136" t="s">
        <v>1631</v>
      </c>
      <c r="L243" s="221" t="s">
        <v>3920</v>
      </c>
      <c r="M243" s="135" t="s">
        <v>4203</v>
      </c>
      <c r="N243" s="135" t="s">
        <v>82</v>
      </c>
      <c r="O243" s="135" t="s">
        <v>310</v>
      </c>
      <c r="P243" s="135" t="s">
        <v>291</v>
      </c>
      <c r="Q243" s="135" t="s">
        <v>294</v>
      </c>
      <c r="R243" s="221">
        <v>2500000.0099999998</v>
      </c>
      <c r="S243" s="135">
        <v>3000000</v>
      </c>
      <c r="T243" s="135">
        <v>0</v>
      </c>
      <c r="U243" s="135">
        <f t="shared" si="114"/>
        <v>3000000</v>
      </c>
      <c r="V243" s="135">
        <v>0</v>
      </c>
      <c r="W243" s="135">
        <v>55</v>
      </c>
      <c r="X243" s="135">
        <v>0</v>
      </c>
      <c r="Y243" s="135">
        <v>999</v>
      </c>
      <c r="Z243" s="137">
        <v>700</v>
      </c>
      <c r="AA243" s="137">
        <v>719</v>
      </c>
      <c r="AB243" s="137">
        <v>9</v>
      </c>
      <c r="AC243" s="137">
        <v>999999</v>
      </c>
      <c r="AD243" s="135">
        <v>0</v>
      </c>
      <c r="AE243" s="135">
        <v>65</v>
      </c>
      <c r="AF243" s="170">
        <v>0</v>
      </c>
      <c r="AG243" s="171">
        <v>1</v>
      </c>
      <c r="AH243" s="171">
        <v>1</v>
      </c>
      <c r="AI243" s="171">
        <v>1</v>
      </c>
      <c r="AJ243" s="171">
        <v>0</v>
      </c>
      <c r="AK243" s="171">
        <v>1</v>
      </c>
      <c r="AL243" s="171">
        <v>1</v>
      </c>
      <c r="AM243" s="171">
        <v>1</v>
      </c>
      <c r="AN243" s="171">
        <v>1</v>
      </c>
      <c r="AO243" s="171">
        <v>1</v>
      </c>
      <c r="AP243" s="171">
        <v>1</v>
      </c>
      <c r="AQ243" s="171">
        <v>1</v>
      </c>
      <c r="AR243" s="171">
        <v>1</v>
      </c>
      <c r="AS243" s="171">
        <v>1</v>
      </c>
      <c r="AT243" s="171">
        <v>1</v>
      </c>
      <c r="AU243" s="171">
        <f t="shared" si="58"/>
        <v>0</v>
      </c>
      <c r="AV243" s="171">
        <f t="shared" si="59"/>
        <v>1</v>
      </c>
      <c r="AW243" s="171">
        <f t="shared" si="60"/>
        <v>1</v>
      </c>
      <c r="AX243" s="171">
        <f t="shared" si="100"/>
        <v>1</v>
      </c>
      <c r="AY243" s="171">
        <f t="shared" si="61"/>
        <v>0</v>
      </c>
      <c r="AZ243" s="171">
        <f t="shared" si="62"/>
        <v>1</v>
      </c>
      <c r="BA243" s="172">
        <f t="shared" si="63"/>
        <v>1</v>
      </c>
      <c r="BB243" s="175">
        <f t="shared" si="110"/>
        <v>18</v>
      </c>
      <c r="BC243" s="176">
        <f t="shared" si="111"/>
        <v>17</v>
      </c>
      <c r="BD243" s="176">
        <f t="shared" si="112"/>
        <v>18</v>
      </c>
      <c r="BE243" s="240" t="str">
        <f t="shared" si="79"/>
        <v/>
      </c>
      <c r="BH243" s="199">
        <f>IF(AND(Input_Product=Elig!$C243,Elig_MatchAll_Ct&lt;22,$BC243=(Elig_MatchAll_Ct-1),AF243=0),C243,0)</f>
        <v>0</v>
      </c>
      <c r="BI243" s="199">
        <f>IF(AND(Input_Product=Elig!$C243,Elig_MatchAll_Ct&lt;22,$BC243=(Elig_MatchAll_Ct-1),AG243=0),D243,0)</f>
        <v>0</v>
      </c>
      <c r="BJ243" s="199">
        <f>IF(AND(Input_Product=Elig!$C243,Elig_MatchAll_Ct&lt;22,$BC243=(Elig_MatchAll_Ct-1),AH243=0),E243,0)</f>
        <v>0</v>
      </c>
      <c r="BK243" s="199">
        <f>IF(AND(Input_Product=Elig!$C243,Elig_MatchAll_Ct&lt;22,$BC243=(Elig_MatchAll_Ct-1),AI243=0),F243,0)</f>
        <v>0</v>
      </c>
      <c r="BL243" s="199">
        <f>IF(AND(Input_Product=Elig!$C243,Elig_MatchAll_Ct&lt;22,$BC243=(Elig_MatchAll_Ct-1),AJ243=0),G243,0)</f>
        <v>0</v>
      </c>
      <c r="BM243" s="199">
        <f>IF(AND(Input_Product=Elig!$C243,Elig_MatchAll_Ct&lt;22,$BC243=(Elig_MatchAll_Ct-1),AK243=0),H243,0)</f>
        <v>0</v>
      </c>
      <c r="BN243" s="199">
        <f>IF(AND(Input_Product=Elig!$C243,Elig_MatchAll_Ct&lt;22,$BC243=(Elig_MatchAll_Ct-1),AL243=0),I243,0)</f>
        <v>0</v>
      </c>
      <c r="BO243" s="199">
        <f>IF(AND(Input_Product=Elig!$C243,Elig_MatchAll_Ct&lt;22,$BC243=(Elig_MatchAll_Ct-1),AM243=0),J243,0)</f>
        <v>0</v>
      </c>
      <c r="BP243" s="199">
        <f>IF(AND(Input_Product=Elig!$C243,Elig_MatchAll_Ct&lt;22,$BC243=(Elig_MatchAll_Ct-1),AN243=0),K243,0)</f>
        <v>0</v>
      </c>
      <c r="BQ243" s="199">
        <f>IF(AND(Input_Product=Elig!$C243,Elig_MatchAll_Ct&lt;22,$BC243=(Elig_MatchAll_Ct-1),AP243=0),L243,0)</f>
        <v>0</v>
      </c>
      <c r="BR243" s="199">
        <f>IF(AND(Input_Product=Elig!$C243,Elig_MatchAll_Ct&lt;22,$BC243=(Elig_MatchAll_Ct-1),AO243=0),M243,0)</f>
        <v>0</v>
      </c>
      <c r="BS243" s="199">
        <f>IF(AND(Input_Product=Elig!$C243,Elig_MatchAll_Ct&lt;22,$BC243=(Elig_MatchAll_Ct-1),AQ243=0),N243,0)</f>
        <v>0</v>
      </c>
      <c r="BT243" s="199">
        <f>IF(AND(Input_Product=Elig!$C243,Elig_MatchAll_Ct&lt;22,$BC243=(Elig_MatchAll_Ct-1),AR243=0),O243,0)</f>
        <v>0</v>
      </c>
      <c r="BU243" s="199">
        <f>IF(AND(Input_Product=Elig!$C243,Elig_MatchAll_Ct&lt;22,$BC243=(Elig_MatchAll_Ct-1),AS243=0),P243,0)</f>
        <v>0</v>
      </c>
      <c r="BV243" s="200">
        <f>IF(AND(Input_Product=Elig!$C243,Elig_MatchAll_Ct&lt;22,$BC243=(Elig_MatchAll_Ct-1),AT243=0),Q243,0)</f>
        <v>0</v>
      </c>
      <c r="BW243" s="201">
        <f>IF(AND(Input_Product=Elig!$C243,Elig_MatchAll_Ct&lt;22,$BC243=(Elig_MatchAll_Ct-1),AU243=0),R243,0)</f>
        <v>0</v>
      </c>
      <c r="BX243" s="202">
        <f>IF(AND(Input_Product=Elig!$C243,Elig_MatchAll_Ct&lt;22,$BC243=(Elig_MatchAll_Ct-1),AU243=0),S243,0)</f>
        <v>0</v>
      </c>
      <c r="BY243" s="201">
        <f>IF(AND(Input_Product=Elig!$C243,Elig_MatchAll_Ct&lt;22,$BC243=(Elig_MatchAll_Ct-1),AV243=0),T243,0)</f>
        <v>0</v>
      </c>
      <c r="BZ243" s="202">
        <f>IF(AND(Input_Product=Elig!$C243,Elig_MatchAll_Ct&lt;22,$BC243=(Elig_MatchAll_Ct-1),AV243=0),U243,0)</f>
        <v>0</v>
      </c>
      <c r="CA243" s="201">
        <f>IF(AND(Input_Product=Elig!$C243,Elig_MatchAll_Ct&lt;22,$BC243=(Elig_MatchAll_Ct-1),AW243=0),V243,0)</f>
        <v>0</v>
      </c>
      <c r="CB243" s="202">
        <f>IF(AND(Input_Product=Elig!$C243,Elig_MatchAll_Ct&lt;22,$BC243=(Elig_MatchAll_Ct-1),AW243=0),W243,0)</f>
        <v>0</v>
      </c>
      <c r="CC243" s="201">
        <f>IF(AND(Input_Product=Elig!$C243,Elig_MatchAll_Ct&lt;22,$BC243=(Elig_MatchAll_Ct-1),AX243=0),X243,0)</f>
        <v>0</v>
      </c>
      <c r="CD243" s="202">
        <f>IF(AND(Input_Product=Elig!$C243,Elig_MatchAll_Ct&lt;22,$BC243=(Elig_MatchAll_Ct-1),AX243=0),Y243,0)</f>
        <v>0</v>
      </c>
      <c r="CE243" s="201">
        <f>IF(AND(Input_LTV&lt;=AE243,Input_Product=Elig!$C243,Elig_MatchAll_Ct&lt;22,$BC243=(Elig_MatchAll_Ct-1),AY243=0),Z243,0)</f>
        <v>0</v>
      </c>
      <c r="CF243" s="202">
        <f>IF(AND(Input_LTV&lt;=AE243,Input_Product=Elig!$C243,Elig_MatchAll_Ct&lt;22,$BC243=(Elig_MatchAll_Ct-1),AY243=0),AA243,0)</f>
        <v>0</v>
      </c>
      <c r="CG243" s="201">
        <f>IF(AND(Input_Product=Elig!$C243,Elig_MatchAll_Ct&lt;22,$BC243=(Elig_MatchAll_Ct-1),AZ243=0),AB243,0)</f>
        <v>0</v>
      </c>
      <c r="CH243" s="202">
        <f>IF(AND(Input_Product=Elig!$C243,Elig_MatchAll_Ct&lt;22,$BC243=(Elig_MatchAll_Ct-1),AZ243=0),AC243,0)</f>
        <v>0</v>
      </c>
      <c r="CI243" s="201">
        <f>IF(AND(Input_Product=Elig!$C243,Elig_MatchAll_Ct&lt;22,$BC243=(Elig_MatchAll_Ct-1),BA243=0),AD243,0)</f>
        <v>0</v>
      </c>
      <c r="CJ243" s="202">
        <f>IF(AND(Input_Product=Elig!$C243,Elig_MatchAll_Ct&lt;22,$BC243=(Elig_MatchAll_Ct-1),BA243=0),AE243,0)</f>
        <v>0</v>
      </c>
    </row>
    <row r="244" spans="2:89" ht="10.15" customHeight="1" x14ac:dyDescent="0.25">
      <c r="B244" s="1912" t="s">
        <v>3949</v>
      </c>
      <c r="C244" s="134" t="str">
        <f t="shared" si="56"/>
        <v>NonQM OO</v>
      </c>
      <c r="D244" s="135" t="s">
        <v>3885</v>
      </c>
      <c r="E244" s="135" t="s">
        <v>167</v>
      </c>
      <c r="F244" s="135" t="s">
        <v>331</v>
      </c>
      <c r="G244" s="135" t="s">
        <v>468</v>
      </c>
      <c r="H244" s="135" t="s">
        <v>136</v>
      </c>
      <c r="I244" s="136" t="s">
        <v>16</v>
      </c>
      <c r="J244" s="136" t="s">
        <v>1311</v>
      </c>
      <c r="K244" s="136" t="s">
        <v>1631</v>
      </c>
      <c r="L244" s="221" t="s">
        <v>3920</v>
      </c>
      <c r="M244" s="135" t="s">
        <v>4203</v>
      </c>
      <c r="N244" s="135" t="s">
        <v>82</v>
      </c>
      <c r="O244" s="135" t="s">
        <v>310</v>
      </c>
      <c r="P244" s="135" t="s">
        <v>291</v>
      </c>
      <c r="Q244" s="135" t="s">
        <v>294</v>
      </c>
      <c r="R244" s="221">
        <v>2500000.0099999998</v>
      </c>
      <c r="S244" s="135">
        <v>3000000</v>
      </c>
      <c r="T244" s="135">
        <v>0</v>
      </c>
      <c r="U244" s="135">
        <f t="shared" si="114"/>
        <v>3000000</v>
      </c>
      <c r="V244" s="135">
        <v>0</v>
      </c>
      <c r="W244" s="135">
        <v>55</v>
      </c>
      <c r="X244" s="135">
        <v>0</v>
      </c>
      <c r="Y244" s="135">
        <v>999</v>
      </c>
      <c r="Z244" s="137">
        <v>680</v>
      </c>
      <c r="AA244" s="137">
        <v>699</v>
      </c>
      <c r="AB244" s="137">
        <v>9</v>
      </c>
      <c r="AC244" s="137">
        <v>999999</v>
      </c>
      <c r="AD244" s="135">
        <v>0</v>
      </c>
      <c r="AE244" s="135">
        <v>65</v>
      </c>
      <c r="AF244" s="170">
        <v>0</v>
      </c>
      <c r="AG244" s="171">
        <v>1</v>
      </c>
      <c r="AH244" s="171">
        <v>1</v>
      </c>
      <c r="AI244" s="171">
        <v>1</v>
      </c>
      <c r="AJ244" s="171">
        <v>0</v>
      </c>
      <c r="AK244" s="171">
        <v>1</v>
      </c>
      <c r="AL244" s="171">
        <v>1</v>
      </c>
      <c r="AM244" s="171">
        <v>1</v>
      </c>
      <c r="AN244" s="171">
        <v>1</v>
      </c>
      <c r="AO244" s="171">
        <v>1</v>
      </c>
      <c r="AP244" s="171">
        <v>1</v>
      </c>
      <c r="AQ244" s="171">
        <v>1</v>
      </c>
      <c r="AR244" s="171">
        <v>1</v>
      </c>
      <c r="AS244" s="171">
        <v>1</v>
      </c>
      <c r="AT244" s="171">
        <v>1</v>
      </c>
      <c r="AU244" s="171">
        <f t="shared" si="58"/>
        <v>0</v>
      </c>
      <c r="AV244" s="171">
        <f t="shared" si="59"/>
        <v>1</v>
      </c>
      <c r="AW244" s="171">
        <f t="shared" si="60"/>
        <v>1</v>
      </c>
      <c r="AX244" s="171">
        <f t="shared" si="100"/>
        <v>1</v>
      </c>
      <c r="AY244" s="171">
        <f t="shared" si="61"/>
        <v>0</v>
      </c>
      <c r="AZ244" s="171">
        <f t="shared" si="62"/>
        <v>1</v>
      </c>
      <c r="BA244" s="172">
        <f t="shared" si="63"/>
        <v>1</v>
      </c>
      <c r="BB244" s="175">
        <f t="shared" si="110"/>
        <v>18</v>
      </c>
      <c r="BC244" s="176">
        <f t="shared" si="111"/>
        <v>17</v>
      </c>
      <c r="BD244" s="176">
        <f t="shared" si="112"/>
        <v>18</v>
      </c>
      <c r="BE244" s="240" t="str">
        <f t="shared" si="79"/>
        <v/>
      </c>
      <c r="BH244" s="214">
        <f>IF(AND(Input_Product=Elig!$C244,Elig_MatchAll_Ct&lt;22,$BC244=(Elig_MatchAll_Ct-1),AF244=0),C244,0)</f>
        <v>0</v>
      </c>
      <c r="BI244" s="214">
        <f>IF(AND(Input_Product=Elig!$C244,Elig_MatchAll_Ct&lt;22,$BC244=(Elig_MatchAll_Ct-1),AG244=0),D244,0)</f>
        <v>0</v>
      </c>
      <c r="BJ244" s="214">
        <f>IF(AND(Input_Product=Elig!$C244,Elig_MatchAll_Ct&lt;22,$BC244=(Elig_MatchAll_Ct-1),AH244=0),E244,0)</f>
        <v>0</v>
      </c>
      <c r="BK244" s="214">
        <f>IF(AND(Input_Product=Elig!$C244,Elig_MatchAll_Ct&lt;22,$BC244=(Elig_MatchAll_Ct-1),AI244=0),F244,0)</f>
        <v>0</v>
      </c>
      <c r="BL244" s="214">
        <f>IF(AND(Input_Product=Elig!$C244,Elig_MatchAll_Ct&lt;22,$BC244=(Elig_MatchAll_Ct-1),AJ244=0),G244,0)</f>
        <v>0</v>
      </c>
      <c r="BM244" s="214">
        <f>IF(AND(Input_Product=Elig!$C244,Elig_MatchAll_Ct&lt;22,$BC244=(Elig_MatchAll_Ct-1),AK244=0),H244,0)</f>
        <v>0</v>
      </c>
      <c r="BN244" s="214">
        <f>IF(AND(Input_Product=Elig!$C244,Elig_MatchAll_Ct&lt;22,$BC244=(Elig_MatchAll_Ct-1),AL244=0),I244,0)</f>
        <v>0</v>
      </c>
      <c r="BO244" s="214">
        <f>IF(AND(Input_Product=Elig!$C244,Elig_MatchAll_Ct&lt;22,$BC244=(Elig_MatchAll_Ct-1),AM244=0),J244,0)</f>
        <v>0</v>
      </c>
      <c r="BP244" s="214">
        <f>IF(AND(Input_Product=Elig!$C244,Elig_MatchAll_Ct&lt;22,$BC244=(Elig_MatchAll_Ct-1),AN244=0),K244,0)</f>
        <v>0</v>
      </c>
      <c r="BQ244" s="214">
        <f>IF(AND(Input_Product=Elig!$C244,Elig_MatchAll_Ct&lt;22,$BC244=(Elig_MatchAll_Ct-1),AP244=0),L244,0)</f>
        <v>0</v>
      </c>
      <c r="BR244" s="214">
        <f>IF(AND(Input_Product=Elig!$C244,Elig_MatchAll_Ct&lt;22,$BC244=(Elig_MatchAll_Ct-1),AO244=0),M244,0)</f>
        <v>0</v>
      </c>
      <c r="BS244" s="214">
        <f>IF(AND(Input_Product=Elig!$C244,Elig_MatchAll_Ct&lt;22,$BC244=(Elig_MatchAll_Ct-1),AQ244=0),N244,0)</f>
        <v>0</v>
      </c>
      <c r="BT244" s="214">
        <f>IF(AND(Input_Product=Elig!$C244,Elig_MatchAll_Ct&lt;22,$BC244=(Elig_MatchAll_Ct-1),AR244=0),O244,0)</f>
        <v>0</v>
      </c>
      <c r="BU244" s="214">
        <f>IF(AND(Input_Product=Elig!$C244,Elig_MatchAll_Ct&lt;22,$BC244=(Elig_MatchAll_Ct-1),AS244=0),P244,0)</f>
        <v>0</v>
      </c>
      <c r="BV244" s="215">
        <f>IF(AND(Input_Product=Elig!$C244,Elig_MatchAll_Ct&lt;22,$BC244=(Elig_MatchAll_Ct-1),AT244=0),Q244,0)</f>
        <v>0</v>
      </c>
      <c r="BW244" s="311">
        <f>IF(AND(Input_Product=Elig!$C244,Elig_MatchAll_Ct&lt;22,$BC244=(Elig_MatchAll_Ct-1),AU244=0),R244,0)</f>
        <v>0</v>
      </c>
      <c r="BX244" s="312">
        <f>IF(AND(Input_Product=Elig!$C244,Elig_MatchAll_Ct&lt;22,$BC244=(Elig_MatchAll_Ct-1),AU244=0),S244,0)</f>
        <v>0</v>
      </c>
      <c r="BY244" s="311">
        <f>IF(AND(Input_Product=Elig!$C244,Elig_MatchAll_Ct&lt;22,$BC244=(Elig_MatchAll_Ct-1),AV244=0),T244,0)</f>
        <v>0</v>
      </c>
      <c r="BZ244" s="312">
        <f>IF(AND(Input_Product=Elig!$C244,Elig_MatchAll_Ct&lt;22,$BC244=(Elig_MatchAll_Ct-1),AV244=0),U244,0)</f>
        <v>0</v>
      </c>
      <c r="CA244" s="311">
        <f>IF(AND(Input_Product=Elig!$C244,Elig_MatchAll_Ct&lt;22,$BC244=(Elig_MatchAll_Ct-1),AW244=0),V244,0)</f>
        <v>0</v>
      </c>
      <c r="CB244" s="312">
        <f>IF(AND(Input_Product=Elig!$C244,Elig_MatchAll_Ct&lt;22,$BC244=(Elig_MatchAll_Ct-1),AW244=0),W244,0)</f>
        <v>0</v>
      </c>
      <c r="CC244" s="311">
        <f>IF(AND(Input_Product=Elig!$C244,Elig_MatchAll_Ct&lt;22,$BC244=(Elig_MatchAll_Ct-1),AX244=0),X244,0)</f>
        <v>0</v>
      </c>
      <c r="CD244" s="312">
        <f>IF(AND(Input_Product=Elig!$C244,Elig_MatchAll_Ct&lt;22,$BC244=(Elig_MatchAll_Ct-1),AX244=0),Y244,0)</f>
        <v>0</v>
      </c>
      <c r="CE244" s="311">
        <f>IF(AND(Input_LTV&lt;=AE244,Input_Product=Elig!$C244,Elig_MatchAll_Ct&lt;22,$BC244=(Elig_MatchAll_Ct-1),AY244=0),Z244,0)</f>
        <v>0</v>
      </c>
      <c r="CF244" s="312">
        <f>IF(AND(Input_LTV&lt;=AE244,Input_Product=Elig!$C244,Elig_MatchAll_Ct&lt;22,$BC244=(Elig_MatchAll_Ct-1),AY244=0),AA244,0)</f>
        <v>0</v>
      </c>
      <c r="CG244" s="311">
        <f>IF(AND(Input_Product=Elig!$C244,Elig_MatchAll_Ct&lt;22,$BC244=(Elig_MatchAll_Ct-1),AZ244=0),AB244,0)</f>
        <v>0</v>
      </c>
      <c r="CH244" s="312">
        <f>IF(AND(Input_Product=Elig!$C244,Elig_MatchAll_Ct&lt;22,$BC244=(Elig_MatchAll_Ct-1),AZ244=0),AC244,0)</f>
        <v>0</v>
      </c>
      <c r="CI244" s="311">
        <f>IF(AND(Input_Product=Elig!$C244,Elig_MatchAll_Ct&lt;22,$BC244=(Elig_MatchAll_Ct-1),BA244=0),AD244,0)</f>
        <v>0</v>
      </c>
      <c r="CJ244" s="312">
        <f>IF(AND(Input_Product=Elig!$C244,Elig_MatchAll_Ct&lt;22,$BC244=(Elig_MatchAll_Ct-1),BA244=0),AE244,0)</f>
        <v>0</v>
      </c>
      <c r="CK244" s="514" t="str">
        <f>Input_Product</f>
        <v>Second OO</v>
      </c>
    </row>
    <row r="245" spans="2:89" ht="10.15" customHeight="1" x14ac:dyDescent="0.25">
      <c r="B245" s="1912" t="s">
        <v>3950</v>
      </c>
      <c r="C245" s="141" t="str">
        <f t="shared" ref="C245:C256" si="115">Input_Name_Product1</f>
        <v>NonQM OO</v>
      </c>
      <c r="D245" s="142" t="s">
        <v>3885</v>
      </c>
      <c r="E245" s="143" t="s">
        <v>167</v>
      </c>
      <c r="F245" s="143" t="s">
        <v>331</v>
      </c>
      <c r="G245" s="143" t="s">
        <v>179</v>
      </c>
      <c r="H245" s="143" t="s">
        <v>136</v>
      </c>
      <c r="I245" s="142" t="s">
        <v>274</v>
      </c>
      <c r="J245" s="142" t="s">
        <v>1311</v>
      </c>
      <c r="K245" s="142" t="s">
        <v>1631</v>
      </c>
      <c r="L245" s="2131" t="s">
        <v>3920</v>
      </c>
      <c r="M245" s="143" t="s">
        <v>4203</v>
      </c>
      <c r="N245" s="143" t="s">
        <v>82</v>
      </c>
      <c r="O245" s="143" t="s">
        <v>310</v>
      </c>
      <c r="P245" s="143" t="s">
        <v>291</v>
      </c>
      <c r="Q245" s="143" t="s">
        <v>294</v>
      </c>
      <c r="R245" s="320">
        <v>2500000.0099999998</v>
      </c>
      <c r="S245" s="142">
        <v>3000000</v>
      </c>
      <c r="T245" s="142">
        <v>0</v>
      </c>
      <c r="U245" s="142">
        <v>0</v>
      </c>
      <c r="V245" s="142">
        <v>0</v>
      </c>
      <c r="W245" s="142">
        <v>55</v>
      </c>
      <c r="X245" s="142">
        <v>0</v>
      </c>
      <c r="Y245" s="142">
        <v>999</v>
      </c>
      <c r="Z245" s="144">
        <v>720</v>
      </c>
      <c r="AA245" s="144">
        <v>999</v>
      </c>
      <c r="AB245" s="144">
        <v>9</v>
      </c>
      <c r="AC245" s="144">
        <v>999999</v>
      </c>
      <c r="AD245" s="142">
        <v>0</v>
      </c>
      <c r="AE245" s="142">
        <v>70</v>
      </c>
      <c r="AF245" s="170">
        <v>0</v>
      </c>
      <c r="AG245" s="171">
        <v>1</v>
      </c>
      <c r="AH245" s="171">
        <v>1</v>
      </c>
      <c r="AI245" s="171">
        <v>1</v>
      </c>
      <c r="AJ245" s="171">
        <v>0</v>
      </c>
      <c r="AK245" s="171">
        <v>1</v>
      </c>
      <c r="AL245" s="171">
        <v>0</v>
      </c>
      <c r="AM245" s="171">
        <v>1</v>
      </c>
      <c r="AN245" s="171">
        <v>1</v>
      </c>
      <c r="AO245" s="171">
        <v>1</v>
      </c>
      <c r="AP245" s="171">
        <v>1</v>
      </c>
      <c r="AQ245" s="171">
        <v>1</v>
      </c>
      <c r="AR245" s="171">
        <v>1</v>
      </c>
      <c r="AS245" s="171">
        <v>1</v>
      </c>
      <c r="AT245" s="171">
        <v>1</v>
      </c>
      <c r="AU245" s="171">
        <f t="shared" si="58"/>
        <v>0</v>
      </c>
      <c r="AV245" s="171">
        <f t="shared" si="59"/>
        <v>0</v>
      </c>
      <c r="AW245" s="171">
        <f t="shared" si="60"/>
        <v>1</v>
      </c>
      <c r="AX245" s="171">
        <f t="shared" si="100"/>
        <v>1</v>
      </c>
      <c r="AY245" s="171">
        <f t="shared" si="61"/>
        <v>1</v>
      </c>
      <c r="AZ245" s="171">
        <f t="shared" si="62"/>
        <v>1</v>
      </c>
      <c r="BA245" s="172">
        <f t="shared" si="63"/>
        <v>1</v>
      </c>
      <c r="BB245" s="175">
        <f t="shared" si="110"/>
        <v>17</v>
      </c>
      <c r="BC245" s="176">
        <f t="shared" si="111"/>
        <v>16</v>
      </c>
      <c r="BD245" s="176">
        <f t="shared" si="112"/>
        <v>17</v>
      </c>
      <c r="BE245" s="240" t="str">
        <f t="shared" si="79"/>
        <v/>
      </c>
      <c r="BH245" s="210">
        <f>IF(AND(Input_Product=Elig!$C245,Elig_MatchAll_Ct&lt;22,$BC245=(Elig_MatchAll_Ct-1),AF245=0),C245,0)</f>
        <v>0</v>
      </c>
      <c r="BI245" s="210">
        <f>IF(AND(Input_Product=Elig!$C245,Elig_MatchAll_Ct&lt;22,$BC245=(Elig_MatchAll_Ct-1),AG245=0),D245,0)</f>
        <v>0</v>
      </c>
      <c r="BJ245" s="210">
        <f>IF(AND(Input_Product=Elig!$C245,Elig_MatchAll_Ct&lt;22,$BC245=(Elig_MatchAll_Ct-1),AH245=0),E245,0)</f>
        <v>0</v>
      </c>
      <c r="BK245" s="210">
        <f>IF(AND(Input_Product=Elig!$C245,Elig_MatchAll_Ct&lt;22,$BC245=(Elig_MatchAll_Ct-1),AI245=0),F245,0)</f>
        <v>0</v>
      </c>
      <c r="BL245" s="210">
        <f>IF(AND(Input_Product=Elig!$C245,Elig_MatchAll_Ct&lt;22,$BC245=(Elig_MatchAll_Ct-1),AJ245=0),G245,0)</f>
        <v>0</v>
      </c>
      <c r="BM245" s="210">
        <f>IF(AND(Input_Product=Elig!$C245,Elig_MatchAll_Ct&lt;22,$BC245=(Elig_MatchAll_Ct-1),AK245=0),H245,0)</f>
        <v>0</v>
      </c>
      <c r="BN245" s="210">
        <f>IF(AND(Input_Product=Elig!$C245,Elig_MatchAll_Ct&lt;22,$BC245=(Elig_MatchAll_Ct-1),AL245=0),I245,0)</f>
        <v>0</v>
      </c>
      <c r="BO245" s="210">
        <f>IF(AND(Input_Product=Elig!$C245,Elig_MatchAll_Ct&lt;22,$BC245=(Elig_MatchAll_Ct-1),AM245=0),J245,0)</f>
        <v>0</v>
      </c>
      <c r="BP245" s="210">
        <f>IF(AND(Input_Product=Elig!$C245,Elig_MatchAll_Ct&lt;22,$BC245=(Elig_MatchAll_Ct-1),AN245=0),K245,0)</f>
        <v>0</v>
      </c>
      <c r="BQ245" s="210">
        <f>IF(AND(Input_Product=Elig!$C245,Elig_MatchAll_Ct&lt;22,$BC245=(Elig_MatchAll_Ct-1),AP245=0),L245,0)</f>
        <v>0</v>
      </c>
      <c r="BR245" s="210">
        <f>IF(AND(Input_Product=Elig!$C245,Elig_MatchAll_Ct&lt;22,$BC245=(Elig_MatchAll_Ct-1),AO245=0),M245,0)</f>
        <v>0</v>
      </c>
      <c r="BS245" s="210">
        <f>IF(AND(Input_Product=Elig!$C245,Elig_MatchAll_Ct&lt;22,$BC245=(Elig_MatchAll_Ct-1),AQ245=0),N245,0)</f>
        <v>0</v>
      </c>
      <c r="BT245" s="210">
        <f>IF(AND(Input_Product=Elig!$C245,Elig_MatchAll_Ct&lt;22,$BC245=(Elig_MatchAll_Ct-1),AR245=0),O245,0)</f>
        <v>0</v>
      </c>
      <c r="BU245" s="210">
        <f>IF(AND(Input_Product=Elig!$C245,Elig_MatchAll_Ct&lt;22,$BC245=(Elig_MatchAll_Ct-1),AS245=0),P245,0)</f>
        <v>0</v>
      </c>
      <c r="BV245" s="211">
        <f>IF(AND(Input_Product=Elig!$C245,Elig_MatchAll_Ct&lt;22,$BC245=(Elig_MatchAll_Ct-1),AT245=0),Q245,0)</f>
        <v>0</v>
      </c>
      <c r="BW245" s="212">
        <f>IF(AND(Input_Product=Elig!$C245,Elig_MatchAll_Ct&lt;22,$BC245=(Elig_MatchAll_Ct-1),AU245=0),R245,0)</f>
        <v>0</v>
      </c>
      <c r="BX245" s="213">
        <f>IF(AND(Input_Product=Elig!$C245,Elig_MatchAll_Ct&lt;22,$BC245=(Elig_MatchAll_Ct-1),AU245=0),S245,0)</f>
        <v>0</v>
      </c>
      <c r="BY245" s="212">
        <f>IF(AND(Input_Product=Elig!$C245,Elig_MatchAll_Ct&lt;22,$BC245=(Elig_MatchAll_Ct-1),AV245=0),T245,0)</f>
        <v>0</v>
      </c>
      <c r="BZ245" s="213">
        <f>IF(AND(Input_Product=Elig!$C245,Elig_MatchAll_Ct&lt;22,$BC245=(Elig_MatchAll_Ct-1),AV245=0),U245,0)</f>
        <v>0</v>
      </c>
      <c r="CA245" s="212">
        <f>IF(AND(Input_Product=Elig!$C245,Elig_MatchAll_Ct&lt;22,$BC245=(Elig_MatchAll_Ct-1),AW245=0),V245,0)</f>
        <v>0</v>
      </c>
      <c r="CB245" s="213">
        <f>IF(AND(Input_Product=Elig!$C245,Elig_MatchAll_Ct&lt;22,$BC245=(Elig_MatchAll_Ct-1),AW245=0),W245,0)</f>
        <v>0</v>
      </c>
      <c r="CC245" s="212">
        <f>IF(AND(Input_Product=Elig!$C245,Elig_MatchAll_Ct&lt;22,$BC245=(Elig_MatchAll_Ct-1),AX245=0),X245,0)</f>
        <v>0</v>
      </c>
      <c r="CD245" s="213">
        <f>IF(AND(Input_Product=Elig!$C245,Elig_MatchAll_Ct&lt;22,$BC245=(Elig_MatchAll_Ct-1),AX245=0),Y245,0)</f>
        <v>0</v>
      </c>
      <c r="CE245" s="212">
        <f>IF(AND(Input_LTV&lt;=AE245,Input_Product=Elig!$C245,Elig_MatchAll_Ct&lt;22,$BC245=(Elig_MatchAll_Ct-1),AY245=0),Z245,0)</f>
        <v>0</v>
      </c>
      <c r="CF245" s="213">
        <f>IF(AND(Input_LTV&lt;=AE245,Input_Product=Elig!$C245,Elig_MatchAll_Ct&lt;22,$BC245=(Elig_MatchAll_Ct-1),AY245=0),AA245,0)</f>
        <v>0</v>
      </c>
      <c r="CG245" s="212">
        <f>IF(AND(Input_Product=Elig!$C245,Elig_MatchAll_Ct&lt;22,$BC245=(Elig_MatchAll_Ct-1),AZ245=0),AB245,0)</f>
        <v>0</v>
      </c>
      <c r="CH245" s="213">
        <f>IF(AND(Input_Product=Elig!$C245,Elig_MatchAll_Ct&lt;22,$BC245=(Elig_MatchAll_Ct-1),AZ245=0),AC245,0)</f>
        <v>0</v>
      </c>
      <c r="CI245" s="212">
        <f>IF(AND(Input_Product=Elig!$C245,Elig_MatchAll_Ct&lt;22,$BC245=(Elig_MatchAll_Ct-1),BA245=0),AD245,0)</f>
        <v>0</v>
      </c>
      <c r="CJ245" s="213">
        <f>IF(AND(Input_Product=Elig!$C245,Elig_MatchAll_Ct&lt;22,$BC245=(Elig_MatchAll_Ct-1),BA245=0),AE245,0)</f>
        <v>0</v>
      </c>
    </row>
    <row r="246" spans="2:89" ht="10.15" customHeight="1" x14ac:dyDescent="0.25">
      <c r="B246" s="1912" t="s">
        <v>3951</v>
      </c>
      <c r="C246" s="134" t="str">
        <f t="shared" si="115"/>
        <v>NonQM OO</v>
      </c>
      <c r="D246" s="135" t="s">
        <v>3885</v>
      </c>
      <c r="E246" s="135" t="s">
        <v>167</v>
      </c>
      <c r="F246" s="135" t="s">
        <v>331</v>
      </c>
      <c r="G246" s="135" t="s">
        <v>179</v>
      </c>
      <c r="H246" s="135" t="s">
        <v>136</v>
      </c>
      <c r="I246" s="136" t="s">
        <v>274</v>
      </c>
      <c r="J246" s="136" t="s">
        <v>1311</v>
      </c>
      <c r="K246" s="136" t="s">
        <v>1631</v>
      </c>
      <c r="L246" s="221" t="s">
        <v>3920</v>
      </c>
      <c r="M246" s="135" t="s">
        <v>4203</v>
      </c>
      <c r="N246" s="135" t="s">
        <v>82</v>
      </c>
      <c r="O246" s="135" t="s">
        <v>310</v>
      </c>
      <c r="P246" s="135" t="s">
        <v>291</v>
      </c>
      <c r="Q246" s="135" t="s">
        <v>294</v>
      </c>
      <c r="R246" s="221">
        <v>2500000.0099999998</v>
      </c>
      <c r="S246" s="135">
        <v>3000000</v>
      </c>
      <c r="T246" s="135">
        <v>0</v>
      </c>
      <c r="U246" s="135">
        <v>0</v>
      </c>
      <c r="V246" s="135">
        <v>0</v>
      </c>
      <c r="W246" s="135">
        <v>55</v>
      </c>
      <c r="X246" s="135">
        <v>0</v>
      </c>
      <c r="Y246" s="135">
        <v>999</v>
      </c>
      <c r="Z246" s="137">
        <v>700</v>
      </c>
      <c r="AA246" s="137">
        <v>719</v>
      </c>
      <c r="AB246" s="137">
        <v>9</v>
      </c>
      <c r="AC246" s="137">
        <v>999999</v>
      </c>
      <c r="AD246" s="135">
        <v>0</v>
      </c>
      <c r="AE246" s="135">
        <v>70</v>
      </c>
      <c r="AF246" s="170">
        <v>0</v>
      </c>
      <c r="AG246" s="171">
        <v>1</v>
      </c>
      <c r="AH246" s="171">
        <v>1</v>
      </c>
      <c r="AI246" s="171">
        <v>1</v>
      </c>
      <c r="AJ246" s="171">
        <v>0</v>
      </c>
      <c r="AK246" s="171">
        <v>1</v>
      </c>
      <c r="AL246" s="171">
        <v>0</v>
      </c>
      <c r="AM246" s="171">
        <v>1</v>
      </c>
      <c r="AN246" s="171">
        <v>1</v>
      </c>
      <c r="AO246" s="171">
        <v>1</v>
      </c>
      <c r="AP246" s="171">
        <v>1</v>
      </c>
      <c r="AQ246" s="171">
        <v>1</v>
      </c>
      <c r="AR246" s="171">
        <v>1</v>
      </c>
      <c r="AS246" s="171">
        <v>1</v>
      </c>
      <c r="AT246" s="171">
        <v>1</v>
      </c>
      <c r="AU246" s="171">
        <f t="shared" si="58"/>
        <v>0</v>
      </c>
      <c r="AV246" s="171">
        <f t="shared" si="59"/>
        <v>0</v>
      </c>
      <c r="AW246" s="171">
        <f t="shared" si="60"/>
        <v>1</v>
      </c>
      <c r="AX246" s="171">
        <f t="shared" si="100"/>
        <v>1</v>
      </c>
      <c r="AY246" s="171">
        <f t="shared" si="61"/>
        <v>0</v>
      </c>
      <c r="AZ246" s="171">
        <f t="shared" si="62"/>
        <v>1</v>
      </c>
      <c r="BA246" s="172">
        <f t="shared" si="63"/>
        <v>1</v>
      </c>
      <c r="BB246" s="175">
        <f t="shared" si="110"/>
        <v>16</v>
      </c>
      <c r="BC246" s="176">
        <f t="shared" si="111"/>
        <v>15</v>
      </c>
      <c r="BD246" s="176">
        <f t="shared" si="112"/>
        <v>16</v>
      </c>
      <c r="BE246" s="240" t="str">
        <f t="shared" si="79"/>
        <v/>
      </c>
      <c r="BH246" s="199">
        <f>IF(AND(Input_Product=Elig!$C246,Elig_MatchAll_Ct&lt;22,$BC246=(Elig_MatchAll_Ct-1),AF246=0),C246,0)</f>
        <v>0</v>
      </c>
      <c r="BI246" s="199">
        <f>IF(AND(Input_Product=Elig!$C246,Elig_MatchAll_Ct&lt;22,$BC246=(Elig_MatchAll_Ct-1),AG246=0),D246,0)</f>
        <v>0</v>
      </c>
      <c r="BJ246" s="199">
        <f>IF(AND(Input_Product=Elig!$C246,Elig_MatchAll_Ct&lt;22,$BC246=(Elig_MatchAll_Ct-1),AH246=0),E246,0)</f>
        <v>0</v>
      </c>
      <c r="BK246" s="199">
        <f>IF(AND(Input_Product=Elig!$C246,Elig_MatchAll_Ct&lt;22,$BC246=(Elig_MatchAll_Ct-1),AI246=0),F246,0)</f>
        <v>0</v>
      </c>
      <c r="BL246" s="199">
        <f>IF(AND(Input_Product=Elig!$C246,Elig_MatchAll_Ct&lt;22,$BC246=(Elig_MatchAll_Ct-1),AJ246=0),G246,0)</f>
        <v>0</v>
      </c>
      <c r="BM246" s="199">
        <f>IF(AND(Input_Product=Elig!$C246,Elig_MatchAll_Ct&lt;22,$BC246=(Elig_MatchAll_Ct-1),AK246=0),H246,0)</f>
        <v>0</v>
      </c>
      <c r="BN246" s="199">
        <f>IF(AND(Input_Product=Elig!$C246,Elig_MatchAll_Ct&lt;22,$BC246=(Elig_MatchAll_Ct-1),AL246=0),I246,0)</f>
        <v>0</v>
      </c>
      <c r="BO246" s="199">
        <f>IF(AND(Input_Product=Elig!$C246,Elig_MatchAll_Ct&lt;22,$BC246=(Elig_MatchAll_Ct-1),AM246=0),J246,0)</f>
        <v>0</v>
      </c>
      <c r="BP246" s="199">
        <f>IF(AND(Input_Product=Elig!$C246,Elig_MatchAll_Ct&lt;22,$BC246=(Elig_MatchAll_Ct-1),AN246=0),K246,0)</f>
        <v>0</v>
      </c>
      <c r="BQ246" s="199">
        <f>IF(AND(Input_Product=Elig!$C246,Elig_MatchAll_Ct&lt;22,$BC246=(Elig_MatchAll_Ct-1),AP246=0),L246,0)</f>
        <v>0</v>
      </c>
      <c r="BR246" s="199">
        <f>IF(AND(Input_Product=Elig!$C246,Elig_MatchAll_Ct&lt;22,$BC246=(Elig_MatchAll_Ct-1),AO246=0),M246,0)</f>
        <v>0</v>
      </c>
      <c r="BS246" s="199">
        <f>IF(AND(Input_Product=Elig!$C246,Elig_MatchAll_Ct&lt;22,$BC246=(Elig_MatchAll_Ct-1),AQ246=0),N246,0)</f>
        <v>0</v>
      </c>
      <c r="BT246" s="199">
        <f>IF(AND(Input_Product=Elig!$C246,Elig_MatchAll_Ct&lt;22,$BC246=(Elig_MatchAll_Ct-1),AR246=0),O246,0)</f>
        <v>0</v>
      </c>
      <c r="BU246" s="199">
        <f>IF(AND(Input_Product=Elig!$C246,Elig_MatchAll_Ct&lt;22,$BC246=(Elig_MatchAll_Ct-1),AS246=0),P246,0)</f>
        <v>0</v>
      </c>
      <c r="BV246" s="200">
        <f>IF(AND(Input_Product=Elig!$C246,Elig_MatchAll_Ct&lt;22,$BC246=(Elig_MatchAll_Ct-1),AT246=0),Q246,0)</f>
        <v>0</v>
      </c>
      <c r="BW246" s="201">
        <f>IF(AND(Input_Product=Elig!$C246,Elig_MatchAll_Ct&lt;22,$BC246=(Elig_MatchAll_Ct-1),AU246=0),R246,0)</f>
        <v>0</v>
      </c>
      <c r="BX246" s="202">
        <f>IF(AND(Input_Product=Elig!$C246,Elig_MatchAll_Ct&lt;22,$BC246=(Elig_MatchAll_Ct-1),AU246=0),S246,0)</f>
        <v>0</v>
      </c>
      <c r="BY246" s="201">
        <f>IF(AND(Input_Product=Elig!$C246,Elig_MatchAll_Ct&lt;22,$BC246=(Elig_MatchAll_Ct-1),AV246=0),T246,0)</f>
        <v>0</v>
      </c>
      <c r="BZ246" s="202">
        <f>IF(AND(Input_Product=Elig!$C246,Elig_MatchAll_Ct&lt;22,$BC246=(Elig_MatchAll_Ct-1),AV246=0),U246,0)</f>
        <v>0</v>
      </c>
      <c r="CA246" s="201">
        <f>IF(AND(Input_Product=Elig!$C246,Elig_MatchAll_Ct&lt;22,$BC246=(Elig_MatchAll_Ct-1),AW246=0),V246,0)</f>
        <v>0</v>
      </c>
      <c r="CB246" s="202">
        <f>IF(AND(Input_Product=Elig!$C246,Elig_MatchAll_Ct&lt;22,$BC246=(Elig_MatchAll_Ct-1),AW246=0),W246,0)</f>
        <v>0</v>
      </c>
      <c r="CC246" s="201">
        <f>IF(AND(Input_Product=Elig!$C246,Elig_MatchAll_Ct&lt;22,$BC246=(Elig_MatchAll_Ct-1),AX246=0),X246,0)</f>
        <v>0</v>
      </c>
      <c r="CD246" s="202">
        <f>IF(AND(Input_Product=Elig!$C246,Elig_MatchAll_Ct&lt;22,$BC246=(Elig_MatchAll_Ct-1),AX246=0),Y246,0)</f>
        <v>0</v>
      </c>
      <c r="CE246" s="201">
        <f>IF(AND(Input_LTV&lt;=AE246,Input_Product=Elig!$C246,Elig_MatchAll_Ct&lt;22,$BC246=(Elig_MatchAll_Ct-1),AY246=0),Z246,0)</f>
        <v>0</v>
      </c>
      <c r="CF246" s="202">
        <f>IF(AND(Input_LTV&lt;=AE246,Input_Product=Elig!$C246,Elig_MatchAll_Ct&lt;22,$BC246=(Elig_MatchAll_Ct-1),AY246=0),AA246,0)</f>
        <v>0</v>
      </c>
      <c r="CG246" s="201">
        <f>IF(AND(Input_Product=Elig!$C246,Elig_MatchAll_Ct&lt;22,$BC246=(Elig_MatchAll_Ct-1),AZ246=0),AB246,0)</f>
        <v>0</v>
      </c>
      <c r="CH246" s="202">
        <f>IF(AND(Input_Product=Elig!$C246,Elig_MatchAll_Ct&lt;22,$BC246=(Elig_MatchAll_Ct-1),AZ246=0),AC246,0)</f>
        <v>0</v>
      </c>
      <c r="CI246" s="201">
        <f>IF(AND(Input_Product=Elig!$C246,Elig_MatchAll_Ct&lt;22,$BC246=(Elig_MatchAll_Ct-1),BA246=0),AD246,0)</f>
        <v>0</v>
      </c>
      <c r="CJ246" s="202">
        <f>IF(AND(Input_Product=Elig!$C246,Elig_MatchAll_Ct&lt;22,$BC246=(Elig_MatchAll_Ct-1),BA246=0),AE246,0)</f>
        <v>0</v>
      </c>
    </row>
    <row r="247" spans="2:89" ht="10.15" customHeight="1" x14ac:dyDescent="0.25">
      <c r="B247" s="1912" t="s">
        <v>3952</v>
      </c>
      <c r="C247" s="134" t="str">
        <f t="shared" si="115"/>
        <v>NonQM OO</v>
      </c>
      <c r="D247" s="135" t="s">
        <v>3885</v>
      </c>
      <c r="E247" s="135" t="s">
        <v>167</v>
      </c>
      <c r="F247" s="135" t="s">
        <v>331</v>
      </c>
      <c r="G247" s="135" t="s">
        <v>179</v>
      </c>
      <c r="H247" s="135" t="s">
        <v>136</v>
      </c>
      <c r="I247" s="136" t="s">
        <v>274</v>
      </c>
      <c r="J247" s="136" t="s">
        <v>1311</v>
      </c>
      <c r="K247" s="136" t="s">
        <v>1631</v>
      </c>
      <c r="L247" s="221" t="s">
        <v>3920</v>
      </c>
      <c r="M247" s="135" t="s">
        <v>4203</v>
      </c>
      <c r="N247" s="135" t="s">
        <v>82</v>
      </c>
      <c r="O247" s="135" t="s">
        <v>310</v>
      </c>
      <c r="P247" s="135" t="s">
        <v>291</v>
      </c>
      <c r="Q247" s="135" t="s">
        <v>294</v>
      </c>
      <c r="R247" s="221">
        <v>2500000.0099999998</v>
      </c>
      <c r="S247" s="135">
        <v>3000000</v>
      </c>
      <c r="T247" s="135">
        <v>0</v>
      </c>
      <c r="U247" s="135">
        <v>0</v>
      </c>
      <c r="V247" s="135">
        <v>0</v>
      </c>
      <c r="W247" s="135">
        <v>55</v>
      </c>
      <c r="X247" s="135">
        <v>0</v>
      </c>
      <c r="Y247" s="135">
        <v>999</v>
      </c>
      <c r="Z247" s="137">
        <v>680</v>
      </c>
      <c r="AA247" s="137">
        <v>699</v>
      </c>
      <c r="AB247" s="137">
        <v>9</v>
      </c>
      <c r="AC247" s="137">
        <v>999999</v>
      </c>
      <c r="AD247" s="135">
        <v>0</v>
      </c>
      <c r="AE247" s="135">
        <v>70</v>
      </c>
      <c r="AF247" s="170">
        <v>0</v>
      </c>
      <c r="AG247" s="171">
        <v>1</v>
      </c>
      <c r="AH247" s="171">
        <v>1</v>
      </c>
      <c r="AI247" s="171">
        <v>1</v>
      </c>
      <c r="AJ247" s="171">
        <v>0</v>
      </c>
      <c r="AK247" s="171">
        <v>1</v>
      </c>
      <c r="AL247" s="171">
        <v>0</v>
      </c>
      <c r="AM247" s="171">
        <v>1</v>
      </c>
      <c r="AN247" s="171">
        <v>1</v>
      </c>
      <c r="AO247" s="171">
        <v>1</v>
      </c>
      <c r="AP247" s="171">
        <v>1</v>
      </c>
      <c r="AQ247" s="171">
        <v>1</v>
      </c>
      <c r="AR247" s="171">
        <v>1</v>
      </c>
      <c r="AS247" s="171">
        <v>1</v>
      </c>
      <c r="AT247" s="171">
        <v>1</v>
      </c>
      <c r="AU247" s="171">
        <f t="shared" si="58"/>
        <v>0</v>
      </c>
      <c r="AV247" s="171">
        <f t="shared" si="59"/>
        <v>0</v>
      </c>
      <c r="AW247" s="171">
        <f t="shared" si="60"/>
        <v>1</v>
      </c>
      <c r="AX247" s="171">
        <f t="shared" si="100"/>
        <v>1</v>
      </c>
      <c r="AY247" s="171">
        <f t="shared" si="61"/>
        <v>0</v>
      </c>
      <c r="AZ247" s="171">
        <f t="shared" si="62"/>
        <v>1</v>
      </c>
      <c r="BA247" s="172">
        <f t="shared" si="63"/>
        <v>1</v>
      </c>
      <c r="BB247" s="175">
        <f t="shared" si="110"/>
        <v>16</v>
      </c>
      <c r="BC247" s="176">
        <f t="shared" si="111"/>
        <v>15</v>
      </c>
      <c r="BD247" s="176">
        <f t="shared" si="112"/>
        <v>16</v>
      </c>
      <c r="BE247" s="240" t="str">
        <f t="shared" si="79"/>
        <v/>
      </c>
      <c r="BH247" s="214">
        <f>IF(AND(Input_Product=Elig!$C247,Elig_MatchAll_Ct&lt;22,$BC247=(Elig_MatchAll_Ct-1),AF247=0),C247,0)</f>
        <v>0</v>
      </c>
      <c r="BI247" s="214">
        <f>IF(AND(Input_Product=Elig!$C247,Elig_MatchAll_Ct&lt;22,$BC247=(Elig_MatchAll_Ct-1),AG247=0),D247,0)</f>
        <v>0</v>
      </c>
      <c r="BJ247" s="214">
        <f>IF(AND(Input_Product=Elig!$C247,Elig_MatchAll_Ct&lt;22,$BC247=(Elig_MatchAll_Ct-1),AH247=0),E247,0)</f>
        <v>0</v>
      </c>
      <c r="BK247" s="214">
        <f>IF(AND(Input_Product=Elig!$C247,Elig_MatchAll_Ct&lt;22,$BC247=(Elig_MatchAll_Ct-1),AI247=0),F247,0)</f>
        <v>0</v>
      </c>
      <c r="BL247" s="214">
        <f>IF(AND(Input_Product=Elig!$C247,Elig_MatchAll_Ct&lt;22,$BC247=(Elig_MatchAll_Ct-1),AJ247=0),G247,0)</f>
        <v>0</v>
      </c>
      <c r="BM247" s="214">
        <f>IF(AND(Input_Product=Elig!$C247,Elig_MatchAll_Ct&lt;22,$BC247=(Elig_MatchAll_Ct-1),AK247=0),H247,0)</f>
        <v>0</v>
      </c>
      <c r="BN247" s="214">
        <f>IF(AND(Input_Product=Elig!$C247,Elig_MatchAll_Ct&lt;22,$BC247=(Elig_MatchAll_Ct-1),AL247=0),I247,0)</f>
        <v>0</v>
      </c>
      <c r="BO247" s="214">
        <f>IF(AND(Input_Product=Elig!$C247,Elig_MatchAll_Ct&lt;22,$BC247=(Elig_MatchAll_Ct-1),AM247=0),J247,0)</f>
        <v>0</v>
      </c>
      <c r="BP247" s="214">
        <f>IF(AND(Input_Product=Elig!$C247,Elig_MatchAll_Ct&lt;22,$BC247=(Elig_MatchAll_Ct-1),AN247=0),K247,0)</f>
        <v>0</v>
      </c>
      <c r="BQ247" s="214">
        <f>IF(AND(Input_Product=Elig!$C247,Elig_MatchAll_Ct&lt;22,$BC247=(Elig_MatchAll_Ct-1),AP247=0),L247,0)</f>
        <v>0</v>
      </c>
      <c r="BR247" s="214">
        <f>IF(AND(Input_Product=Elig!$C247,Elig_MatchAll_Ct&lt;22,$BC247=(Elig_MatchAll_Ct-1),AO247=0),M247,0)</f>
        <v>0</v>
      </c>
      <c r="BS247" s="214">
        <f>IF(AND(Input_Product=Elig!$C247,Elig_MatchAll_Ct&lt;22,$BC247=(Elig_MatchAll_Ct-1),AQ247=0),N247,0)</f>
        <v>0</v>
      </c>
      <c r="BT247" s="214">
        <f>IF(AND(Input_Product=Elig!$C247,Elig_MatchAll_Ct&lt;22,$BC247=(Elig_MatchAll_Ct-1),AR247=0),O247,0)</f>
        <v>0</v>
      </c>
      <c r="BU247" s="214">
        <f>IF(AND(Input_Product=Elig!$C247,Elig_MatchAll_Ct&lt;22,$BC247=(Elig_MatchAll_Ct-1),AS247=0),P247,0)</f>
        <v>0</v>
      </c>
      <c r="BV247" s="215">
        <f>IF(AND(Input_Product=Elig!$C247,Elig_MatchAll_Ct&lt;22,$BC247=(Elig_MatchAll_Ct-1),AT247=0),Q247,0)</f>
        <v>0</v>
      </c>
      <c r="BW247" s="311">
        <f>IF(AND(Input_Product=Elig!$C247,Elig_MatchAll_Ct&lt;22,$BC247=(Elig_MatchAll_Ct-1),AU247=0),R247,0)</f>
        <v>0</v>
      </c>
      <c r="BX247" s="312">
        <f>IF(AND(Input_Product=Elig!$C247,Elig_MatchAll_Ct&lt;22,$BC247=(Elig_MatchAll_Ct-1),AU247=0),S247,0)</f>
        <v>0</v>
      </c>
      <c r="BY247" s="311">
        <f>IF(AND(Input_Product=Elig!$C247,Elig_MatchAll_Ct&lt;22,$BC247=(Elig_MatchAll_Ct-1),AV247=0),T247,0)</f>
        <v>0</v>
      </c>
      <c r="BZ247" s="312">
        <f>IF(AND(Input_Product=Elig!$C247,Elig_MatchAll_Ct&lt;22,$BC247=(Elig_MatchAll_Ct-1),AV247=0),U247,0)</f>
        <v>0</v>
      </c>
      <c r="CA247" s="311">
        <f>IF(AND(Input_Product=Elig!$C247,Elig_MatchAll_Ct&lt;22,$BC247=(Elig_MatchAll_Ct-1),AW247=0),V247,0)</f>
        <v>0</v>
      </c>
      <c r="CB247" s="312">
        <f>IF(AND(Input_Product=Elig!$C247,Elig_MatchAll_Ct&lt;22,$BC247=(Elig_MatchAll_Ct-1),AW247=0),W247,0)</f>
        <v>0</v>
      </c>
      <c r="CC247" s="311">
        <f>IF(AND(Input_Product=Elig!$C247,Elig_MatchAll_Ct&lt;22,$BC247=(Elig_MatchAll_Ct-1),AX247=0),X247,0)</f>
        <v>0</v>
      </c>
      <c r="CD247" s="312">
        <f>IF(AND(Input_Product=Elig!$C247,Elig_MatchAll_Ct&lt;22,$BC247=(Elig_MatchAll_Ct-1),AX247=0),Y247,0)</f>
        <v>0</v>
      </c>
      <c r="CE247" s="311">
        <f>IF(AND(Input_LTV&lt;=AE247,Input_Product=Elig!$C247,Elig_MatchAll_Ct&lt;22,$BC247=(Elig_MatchAll_Ct-1),AY247=0),Z247,0)</f>
        <v>0</v>
      </c>
      <c r="CF247" s="312">
        <f>IF(AND(Input_LTV&lt;=AE247,Input_Product=Elig!$C247,Elig_MatchAll_Ct&lt;22,$BC247=(Elig_MatchAll_Ct-1),AY247=0),AA247,0)</f>
        <v>0</v>
      </c>
      <c r="CG247" s="311">
        <f>IF(AND(Input_Product=Elig!$C247,Elig_MatchAll_Ct&lt;22,$BC247=(Elig_MatchAll_Ct-1),AZ247=0),AB247,0)</f>
        <v>0</v>
      </c>
      <c r="CH247" s="312">
        <f>IF(AND(Input_Product=Elig!$C247,Elig_MatchAll_Ct&lt;22,$BC247=(Elig_MatchAll_Ct-1),AZ247=0),AC247,0)</f>
        <v>0</v>
      </c>
      <c r="CI247" s="311">
        <f>IF(AND(Input_Product=Elig!$C247,Elig_MatchAll_Ct&lt;22,$BC247=(Elig_MatchAll_Ct-1),BA247=0),AD247,0)</f>
        <v>0</v>
      </c>
      <c r="CJ247" s="312">
        <f>IF(AND(Input_Product=Elig!$C247,Elig_MatchAll_Ct&lt;22,$BC247=(Elig_MatchAll_Ct-1),BA247=0),AE247,0)</f>
        <v>0</v>
      </c>
    </row>
    <row r="248" spans="2:89" ht="10.15" customHeight="1" x14ac:dyDescent="0.25">
      <c r="B248" s="1912" t="s">
        <v>3953</v>
      </c>
      <c r="C248" s="141" t="str">
        <f t="shared" si="115"/>
        <v>NonQM OO</v>
      </c>
      <c r="D248" s="142" t="s">
        <v>3885</v>
      </c>
      <c r="E248" s="143" t="s">
        <v>167</v>
      </c>
      <c r="F248" s="143" t="s">
        <v>331</v>
      </c>
      <c r="G248" s="143" t="s">
        <v>179</v>
      </c>
      <c r="H248" s="143" t="s">
        <v>136</v>
      </c>
      <c r="I248" s="142" t="s">
        <v>16</v>
      </c>
      <c r="J248" s="142" t="s">
        <v>1311</v>
      </c>
      <c r="K248" s="142" t="s">
        <v>1631</v>
      </c>
      <c r="L248" s="2131" t="s">
        <v>3920</v>
      </c>
      <c r="M248" s="143" t="s">
        <v>4203</v>
      </c>
      <c r="N248" s="143" t="s">
        <v>82</v>
      </c>
      <c r="O248" s="143" t="s">
        <v>310</v>
      </c>
      <c r="P248" s="143" t="s">
        <v>291</v>
      </c>
      <c r="Q248" s="143" t="s">
        <v>294</v>
      </c>
      <c r="R248" s="320">
        <v>2500000.0099999998</v>
      </c>
      <c r="S248" s="142">
        <v>3000000</v>
      </c>
      <c r="T248" s="142">
        <v>0</v>
      </c>
      <c r="U248" s="142">
        <f t="shared" ref="U248:U250" si="116">S248</f>
        <v>3000000</v>
      </c>
      <c r="V248" s="142">
        <v>0</v>
      </c>
      <c r="W248" s="142">
        <v>55</v>
      </c>
      <c r="X248" s="142">
        <v>0</v>
      </c>
      <c r="Y248" s="142">
        <v>999</v>
      </c>
      <c r="Z248" s="144">
        <v>720</v>
      </c>
      <c r="AA248" s="144">
        <v>999</v>
      </c>
      <c r="AB248" s="144">
        <v>9</v>
      </c>
      <c r="AC248" s="144">
        <v>999999</v>
      </c>
      <c r="AD248" s="142">
        <v>0</v>
      </c>
      <c r="AE248" s="142">
        <v>65</v>
      </c>
      <c r="AF248" s="170">
        <v>0</v>
      </c>
      <c r="AG248" s="171">
        <v>1</v>
      </c>
      <c r="AH248" s="171">
        <v>1</v>
      </c>
      <c r="AI248" s="171">
        <v>1</v>
      </c>
      <c r="AJ248" s="171">
        <v>0</v>
      </c>
      <c r="AK248" s="171">
        <v>1</v>
      </c>
      <c r="AL248" s="171">
        <v>1</v>
      </c>
      <c r="AM248" s="171">
        <v>1</v>
      </c>
      <c r="AN248" s="171">
        <v>1</v>
      </c>
      <c r="AO248" s="171">
        <v>1</v>
      </c>
      <c r="AP248" s="171">
        <v>1</v>
      </c>
      <c r="AQ248" s="171">
        <v>1</v>
      </c>
      <c r="AR248" s="171">
        <v>1</v>
      </c>
      <c r="AS248" s="171">
        <v>1</v>
      </c>
      <c r="AT248" s="171">
        <v>1</v>
      </c>
      <c r="AU248" s="171">
        <f t="shared" si="58"/>
        <v>0</v>
      </c>
      <c r="AV248" s="171">
        <f t="shared" si="59"/>
        <v>1</v>
      </c>
      <c r="AW248" s="171">
        <f t="shared" si="60"/>
        <v>1</v>
      </c>
      <c r="AX248" s="171">
        <f t="shared" si="100"/>
        <v>1</v>
      </c>
      <c r="AY248" s="171">
        <f t="shared" si="61"/>
        <v>1</v>
      </c>
      <c r="AZ248" s="171">
        <f t="shared" si="62"/>
        <v>1</v>
      </c>
      <c r="BA248" s="172">
        <f t="shared" si="63"/>
        <v>1</v>
      </c>
      <c r="BB248" s="175">
        <f t="shared" si="110"/>
        <v>19</v>
      </c>
      <c r="BC248" s="176">
        <f t="shared" si="111"/>
        <v>18</v>
      </c>
      <c r="BD248" s="176">
        <f t="shared" si="112"/>
        <v>19</v>
      </c>
      <c r="BE248" s="240" t="str">
        <f t="shared" si="79"/>
        <v/>
      </c>
      <c r="BH248" s="210">
        <f>IF(AND(Input_Product=Elig!$C248,Elig_MatchAll_Ct&lt;22,$BC248=(Elig_MatchAll_Ct-1),AF248=0),C248,0)</f>
        <v>0</v>
      </c>
      <c r="BI248" s="210">
        <f>IF(AND(Input_Product=Elig!$C248,Elig_MatchAll_Ct&lt;22,$BC248=(Elig_MatchAll_Ct-1),AG248=0),D248,0)</f>
        <v>0</v>
      </c>
      <c r="BJ248" s="210">
        <f>IF(AND(Input_Product=Elig!$C248,Elig_MatchAll_Ct&lt;22,$BC248=(Elig_MatchAll_Ct-1),AH248=0),E248,0)</f>
        <v>0</v>
      </c>
      <c r="BK248" s="210">
        <f>IF(AND(Input_Product=Elig!$C248,Elig_MatchAll_Ct&lt;22,$BC248=(Elig_MatchAll_Ct-1),AI248=0),F248,0)</f>
        <v>0</v>
      </c>
      <c r="BL248" s="210">
        <f>IF(AND(Input_Product=Elig!$C248,Elig_MatchAll_Ct&lt;22,$BC248=(Elig_MatchAll_Ct-1),AJ248=0),G248,0)</f>
        <v>0</v>
      </c>
      <c r="BM248" s="210">
        <f>IF(AND(Input_Product=Elig!$C248,Elig_MatchAll_Ct&lt;22,$BC248=(Elig_MatchAll_Ct-1),AK248=0),H248,0)</f>
        <v>0</v>
      </c>
      <c r="BN248" s="210">
        <f>IF(AND(Input_Product=Elig!$C248,Elig_MatchAll_Ct&lt;22,$BC248=(Elig_MatchAll_Ct-1),AL248=0),I248,0)</f>
        <v>0</v>
      </c>
      <c r="BO248" s="210">
        <f>IF(AND(Input_Product=Elig!$C248,Elig_MatchAll_Ct&lt;22,$BC248=(Elig_MatchAll_Ct-1),AM248=0),J248,0)</f>
        <v>0</v>
      </c>
      <c r="BP248" s="210">
        <f>IF(AND(Input_Product=Elig!$C248,Elig_MatchAll_Ct&lt;22,$BC248=(Elig_MatchAll_Ct-1),AN248=0),K248,0)</f>
        <v>0</v>
      </c>
      <c r="BQ248" s="210">
        <f>IF(AND(Input_Product=Elig!$C248,Elig_MatchAll_Ct&lt;22,$BC248=(Elig_MatchAll_Ct-1),AP248=0),L248,0)</f>
        <v>0</v>
      </c>
      <c r="BR248" s="210">
        <f>IF(AND(Input_Product=Elig!$C248,Elig_MatchAll_Ct&lt;22,$BC248=(Elig_MatchAll_Ct-1),AO248=0),M248,0)</f>
        <v>0</v>
      </c>
      <c r="BS248" s="210">
        <f>IF(AND(Input_Product=Elig!$C248,Elig_MatchAll_Ct&lt;22,$BC248=(Elig_MatchAll_Ct-1),AQ248=0),N248,0)</f>
        <v>0</v>
      </c>
      <c r="BT248" s="210">
        <f>IF(AND(Input_Product=Elig!$C248,Elig_MatchAll_Ct&lt;22,$BC248=(Elig_MatchAll_Ct-1),AR248=0),O248,0)</f>
        <v>0</v>
      </c>
      <c r="BU248" s="210">
        <f>IF(AND(Input_Product=Elig!$C248,Elig_MatchAll_Ct&lt;22,$BC248=(Elig_MatchAll_Ct-1),AS248=0),P248,0)</f>
        <v>0</v>
      </c>
      <c r="BV248" s="211">
        <f>IF(AND(Input_Product=Elig!$C248,Elig_MatchAll_Ct&lt;22,$BC248=(Elig_MatchAll_Ct-1),AT248=0),Q248,0)</f>
        <v>0</v>
      </c>
      <c r="BW248" s="212">
        <f>IF(AND(Input_Product=Elig!$C248,Elig_MatchAll_Ct&lt;22,$BC248=(Elig_MatchAll_Ct-1),AU248=0),R248,0)</f>
        <v>0</v>
      </c>
      <c r="BX248" s="213">
        <f>IF(AND(Input_Product=Elig!$C248,Elig_MatchAll_Ct&lt;22,$BC248=(Elig_MatchAll_Ct-1),AU248=0),S248,0)</f>
        <v>0</v>
      </c>
      <c r="BY248" s="212">
        <f>IF(AND(Input_Product=Elig!$C248,Elig_MatchAll_Ct&lt;22,$BC248=(Elig_MatchAll_Ct-1),AV248=0),T248,0)</f>
        <v>0</v>
      </c>
      <c r="BZ248" s="213">
        <f>IF(AND(Input_Product=Elig!$C248,Elig_MatchAll_Ct&lt;22,$BC248=(Elig_MatchAll_Ct-1),AV248=0),U248,0)</f>
        <v>0</v>
      </c>
      <c r="CA248" s="212">
        <f>IF(AND(Input_Product=Elig!$C248,Elig_MatchAll_Ct&lt;22,$BC248=(Elig_MatchAll_Ct-1),AW248=0),V248,0)</f>
        <v>0</v>
      </c>
      <c r="CB248" s="213">
        <f>IF(AND(Input_Product=Elig!$C248,Elig_MatchAll_Ct&lt;22,$BC248=(Elig_MatchAll_Ct-1),AW248=0),W248,0)</f>
        <v>0</v>
      </c>
      <c r="CC248" s="212">
        <f>IF(AND(Input_Product=Elig!$C248,Elig_MatchAll_Ct&lt;22,$BC248=(Elig_MatchAll_Ct-1),AX248=0),X248,0)</f>
        <v>0</v>
      </c>
      <c r="CD248" s="213">
        <f>IF(AND(Input_Product=Elig!$C248,Elig_MatchAll_Ct&lt;22,$BC248=(Elig_MatchAll_Ct-1),AX248=0),Y248,0)</f>
        <v>0</v>
      </c>
      <c r="CE248" s="212">
        <f>IF(AND(Input_LTV&lt;=AE248,Input_Product=Elig!$C248,Elig_MatchAll_Ct&lt;22,$BC248=(Elig_MatchAll_Ct-1),AY248=0),Z248,0)</f>
        <v>0</v>
      </c>
      <c r="CF248" s="213">
        <f>IF(AND(Input_LTV&lt;=AE248,Input_Product=Elig!$C248,Elig_MatchAll_Ct&lt;22,$BC248=(Elig_MatchAll_Ct-1),AY248=0),AA248,0)</f>
        <v>0</v>
      </c>
      <c r="CG248" s="212">
        <f>IF(AND(Input_Product=Elig!$C248,Elig_MatchAll_Ct&lt;22,$BC248=(Elig_MatchAll_Ct-1),AZ248=0),AB248,0)</f>
        <v>0</v>
      </c>
      <c r="CH248" s="213">
        <f>IF(AND(Input_Product=Elig!$C248,Elig_MatchAll_Ct&lt;22,$BC248=(Elig_MatchAll_Ct-1),AZ248=0),AC248,0)</f>
        <v>0</v>
      </c>
      <c r="CI248" s="212">
        <f>IF(AND(Input_Product=Elig!$C248,Elig_MatchAll_Ct&lt;22,$BC248=(Elig_MatchAll_Ct-1),BA248=0),AD248,0)</f>
        <v>0</v>
      </c>
      <c r="CJ248" s="213">
        <f>IF(AND(Input_Product=Elig!$C248,Elig_MatchAll_Ct&lt;22,$BC248=(Elig_MatchAll_Ct-1),BA248=0),AE248,0)</f>
        <v>0</v>
      </c>
    </row>
    <row r="249" spans="2:89" ht="10.15" customHeight="1" x14ac:dyDescent="0.25">
      <c r="B249" s="1912" t="s">
        <v>3954</v>
      </c>
      <c r="C249" s="134" t="str">
        <f t="shared" si="115"/>
        <v>NonQM OO</v>
      </c>
      <c r="D249" s="135" t="s">
        <v>3885</v>
      </c>
      <c r="E249" s="135" t="s">
        <v>167</v>
      </c>
      <c r="F249" s="135" t="s">
        <v>331</v>
      </c>
      <c r="G249" s="135" t="s">
        <v>179</v>
      </c>
      <c r="H249" s="135" t="s">
        <v>136</v>
      </c>
      <c r="I249" s="136" t="s">
        <v>16</v>
      </c>
      <c r="J249" s="136" t="s">
        <v>1311</v>
      </c>
      <c r="K249" s="136" t="s">
        <v>1631</v>
      </c>
      <c r="L249" s="221" t="s">
        <v>3920</v>
      </c>
      <c r="M249" s="135" t="s">
        <v>4203</v>
      </c>
      <c r="N249" s="135" t="s">
        <v>82</v>
      </c>
      <c r="O249" s="135" t="s">
        <v>310</v>
      </c>
      <c r="P249" s="135" t="s">
        <v>291</v>
      </c>
      <c r="Q249" s="135" t="s">
        <v>294</v>
      </c>
      <c r="R249" s="221">
        <v>2500000.0099999998</v>
      </c>
      <c r="S249" s="135">
        <v>3000000</v>
      </c>
      <c r="T249" s="135">
        <v>0</v>
      </c>
      <c r="U249" s="135">
        <f t="shared" si="116"/>
        <v>3000000</v>
      </c>
      <c r="V249" s="135">
        <v>0</v>
      </c>
      <c r="W249" s="135">
        <v>55</v>
      </c>
      <c r="X249" s="135">
        <v>0</v>
      </c>
      <c r="Y249" s="135">
        <v>999</v>
      </c>
      <c r="Z249" s="137">
        <v>700</v>
      </c>
      <c r="AA249" s="137">
        <v>719</v>
      </c>
      <c r="AB249" s="137">
        <v>9</v>
      </c>
      <c r="AC249" s="137">
        <v>999999</v>
      </c>
      <c r="AD249" s="135">
        <v>0</v>
      </c>
      <c r="AE249" s="135">
        <v>65</v>
      </c>
      <c r="AF249" s="170">
        <v>0</v>
      </c>
      <c r="AG249" s="171">
        <v>1</v>
      </c>
      <c r="AH249" s="171">
        <v>1</v>
      </c>
      <c r="AI249" s="171">
        <v>1</v>
      </c>
      <c r="AJ249" s="171">
        <v>0</v>
      </c>
      <c r="AK249" s="171">
        <v>1</v>
      </c>
      <c r="AL249" s="171">
        <v>1</v>
      </c>
      <c r="AM249" s="171">
        <v>1</v>
      </c>
      <c r="AN249" s="171">
        <v>1</v>
      </c>
      <c r="AO249" s="171">
        <v>1</v>
      </c>
      <c r="AP249" s="171">
        <v>1</v>
      </c>
      <c r="AQ249" s="171">
        <v>1</v>
      </c>
      <c r="AR249" s="171">
        <v>1</v>
      </c>
      <c r="AS249" s="171">
        <v>1</v>
      </c>
      <c r="AT249" s="171">
        <v>1</v>
      </c>
      <c r="AU249" s="171">
        <f t="shared" si="58"/>
        <v>0</v>
      </c>
      <c r="AV249" s="171">
        <f t="shared" si="59"/>
        <v>1</v>
      </c>
      <c r="AW249" s="171">
        <f t="shared" si="60"/>
        <v>1</v>
      </c>
      <c r="AX249" s="171">
        <f t="shared" si="100"/>
        <v>1</v>
      </c>
      <c r="AY249" s="171">
        <f t="shared" si="61"/>
        <v>0</v>
      </c>
      <c r="AZ249" s="171">
        <f t="shared" si="62"/>
        <v>1</v>
      </c>
      <c r="BA249" s="172">
        <f t="shared" si="63"/>
        <v>1</v>
      </c>
      <c r="BB249" s="175">
        <f t="shared" si="110"/>
        <v>18</v>
      </c>
      <c r="BC249" s="176">
        <f t="shared" si="111"/>
        <v>17</v>
      </c>
      <c r="BD249" s="176">
        <f t="shared" si="112"/>
        <v>18</v>
      </c>
      <c r="BE249" s="240" t="str">
        <f t="shared" si="79"/>
        <v/>
      </c>
      <c r="BH249" s="199">
        <f>IF(AND(Input_Product=Elig!$C249,Elig_MatchAll_Ct&lt;22,$BC249=(Elig_MatchAll_Ct-1),AF249=0),C249,0)</f>
        <v>0</v>
      </c>
      <c r="BI249" s="199">
        <f>IF(AND(Input_Product=Elig!$C249,Elig_MatchAll_Ct&lt;22,$BC249=(Elig_MatchAll_Ct-1),AG249=0),D249,0)</f>
        <v>0</v>
      </c>
      <c r="BJ249" s="199">
        <f>IF(AND(Input_Product=Elig!$C249,Elig_MatchAll_Ct&lt;22,$BC249=(Elig_MatchAll_Ct-1),AH249=0),E249,0)</f>
        <v>0</v>
      </c>
      <c r="BK249" s="199">
        <f>IF(AND(Input_Product=Elig!$C249,Elig_MatchAll_Ct&lt;22,$BC249=(Elig_MatchAll_Ct-1),AI249=0),F249,0)</f>
        <v>0</v>
      </c>
      <c r="BL249" s="199">
        <f>IF(AND(Input_Product=Elig!$C249,Elig_MatchAll_Ct&lt;22,$BC249=(Elig_MatchAll_Ct-1),AJ249=0),G249,0)</f>
        <v>0</v>
      </c>
      <c r="BM249" s="199">
        <f>IF(AND(Input_Product=Elig!$C249,Elig_MatchAll_Ct&lt;22,$BC249=(Elig_MatchAll_Ct-1),AK249=0),H249,0)</f>
        <v>0</v>
      </c>
      <c r="BN249" s="199">
        <f>IF(AND(Input_Product=Elig!$C249,Elig_MatchAll_Ct&lt;22,$BC249=(Elig_MatchAll_Ct-1),AL249=0),I249,0)</f>
        <v>0</v>
      </c>
      <c r="BO249" s="199">
        <f>IF(AND(Input_Product=Elig!$C249,Elig_MatchAll_Ct&lt;22,$BC249=(Elig_MatchAll_Ct-1),AM249=0),J249,0)</f>
        <v>0</v>
      </c>
      <c r="BP249" s="199">
        <f>IF(AND(Input_Product=Elig!$C249,Elig_MatchAll_Ct&lt;22,$BC249=(Elig_MatchAll_Ct-1),AN249=0),K249,0)</f>
        <v>0</v>
      </c>
      <c r="BQ249" s="199">
        <f>IF(AND(Input_Product=Elig!$C249,Elig_MatchAll_Ct&lt;22,$BC249=(Elig_MatchAll_Ct-1),AP249=0),L249,0)</f>
        <v>0</v>
      </c>
      <c r="BR249" s="199">
        <f>IF(AND(Input_Product=Elig!$C249,Elig_MatchAll_Ct&lt;22,$BC249=(Elig_MatchAll_Ct-1),AO249=0),M249,0)</f>
        <v>0</v>
      </c>
      <c r="BS249" s="199">
        <f>IF(AND(Input_Product=Elig!$C249,Elig_MatchAll_Ct&lt;22,$BC249=(Elig_MatchAll_Ct-1),AQ249=0),N249,0)</f>
        <v>0</v>
      </c>
      <c r="BT249" s="199">
        <f>IF(AND(Input_Product=Elig!$C249,Elig_MatchAll_Ct&lt;22,$BC249=(Elig_MatchAll_Ct-1),AR249=0),O249,0)</f>
        <v>0</v>
      </c>
      <c r="BU249" s="199">
        <f>IF(AND(Input_Product=Elig!$C249,Elig_MatchAll_Ct&lt;22,$BC249=(Elig_MatchAll_Ct-1),AS249=0),P249,0)</f>
        <v>0</v>
      </c>
      <c r="BV249" s="200">
        <f>IF(AND(Input_Product=Elig!$C249,Elig_MatchAll_Ct&lt;22,$BC249=(Elig_MatchAll_Ct-1),AT249=0),Q249,0)</f>
        <v>0</v>
      </c>
      <c r="BW249" s="201">
        <f>IF(AND(Input_Product=Elig!$C249,Elig_MatchAll_Ct&lt;22,$BC249=(Elig_MatchAll_Ct-1),AU249=0),R249,0)</f>
        <v>0</v>
      </c>
      <c r="BX249" s="202">
        <f>IF(AND(Input_Product=Elig!$C249,Elig_MatchAll_Ct&lt;22,$BC249=(Elig_MatchAll_Ct-1),AU249=0),S249,0)</f>
        <v>0</v>
      </c>
      <c r="BY249" s="201">
        <f>IF(AND(Input_Product=Elig!$C249,Elig_MatchAll_Ct&lt;22,$BC249=(Elig_MatchAll_Ct-1),AV249=0),T249,0)</f>
        <v>0</v>
      </c>
      <c r="BZ249" s="202">
        <f>IF(AND(Input_Product=Elig!$C249,Elig_MatchAll_Ct&lt;22,$BC249=(Elig_MatchAll_Ct-1),AV249=0),U249,0)</f>
        <v>0</v>
      </c>
      <c r="CA249" s="201">
        <f>IF(AND(Input_Product=Elig!$C249,Elig_MatchAll_Ct&lt;22,$BC249=(Elig_MatchAll_Ct-1),AW249=0),V249,0)</f>
        <v>0</v>
      </c>
      <c r="CB249" s="202">
        <f>IF(AND(Input_Product=Elig!$C249,Elig_MatchAll_Ct&lt;22,$BC249=(Elig_MatchAll_Ct-1),AW249=0),W249,0)</f>
        <v>0</v>
      </c>
      <c r="CC249" s="201">
        <f>IF(AND(Input_Product=Elig!$C249,Elig_MatchAll_Ct&lt;22,$BC249=(Elig_MatchAll_Ct-1),AX249=0),X249,0)</f>
        <v>0</v>
      </c>
      <c r="CD249" s="202">
        <f>IF(AND(Input_Product=Elig!$C249,Elig_MatchAll_Ct&lt;22,$BC249=(Elig_MatchAll_Ct-1),AX249=0),Y249,0)</f>
        <v>0</v>
      </c>
      <c r="CE249" s="201">
        <f>IF(AND(Input_LTV&lt;=AE249,Input_Product=Elig!$C249,Elig_MatchAll_Ct&lt;22,$BC249=(Elig_MatchAll_Ct-1),AY249=0),Z249,0)</f>
        <v>0</v>
      </c>
      <c r="CF249" s="202">
        <f>IF(AND(Input_LTV&lt;=AE249,Input_Product=Elig!$C249,Elig_MatchAll_Ct&lt;22,$BC249=(Elig_MatchAll_Ct-1),AY249=0),AA249,0)</f>
        <v>0</v>
      </c>
      <c r="CG249" s="201">
        <f>IF(AND(Input_Product=Elig!$C249,Elig_MatchAll_Ct&lt;22,$BC249=(Elig_MatchAll_Ct-1),AZ249=0),AB249,0)</f>
        <v>0</v>
      </c>
      <c r="CH249" s="202">
        <f>IF(AND(Input_Product=Elig!$C249,Elig_MatchAll_Ct&lt;22,$BC249=(Elig_MatchAll_Ct-1),AZ249=0),AC249,0)</f>
        <v>0</v>
      </c>
      <c r="CI249" s="201">
        <f>IF(AND(Input_Product=Elig!$C249,Elig_MatchAll_Ct&lt;22,$BC249=(Elig_MatchAll_Ct-1),BA249=0),AD249,0)</f>
        <v>0</v>
      </c>
      <c r="CJ249" s="202">
        <f>IF(AND(Input_Product=Elig!$C249,Elig_MatchAll_Ct&lt;22,$BC249=(Elig_MatchAll_Ct-1),BA249=0),AE249,0)</f>
        <v>0</v>
      </c>
    </row>
    <row r="250" spans="2:89" ht="10.15" customHeight="1" x14ac:dyDescent="0.25">
      <c r="B250" s="1912" t="s">
        <v>3955</v>
      </c>
      <c r="C250" s="134" t="str">
        <f t="shared" si="115"/>
        <v>NonQM OO</v>
      </c>
      <c r="D250" s="135" t="s">
        <v>3885</v>
      </c>
      <c r="E250" s="135" t="s">
        <v>167</v>
      </c>
      <c r="F250" s="135" t="s">
        <v>331</v>
      </c>
      <c r="G250" s="135" t="s">
        <v>179</v>
      </c>
      <c r="H250" s="135" t="s">
        <v>136</v>
      </c>
      <c r="I250" s="136" t="s">
        <v>16</v>
      </c>
      <c r="J250" s="136" t="s">
        <v>1311</v>
      </c>
      <c r="K250" s="136" t="s">
        <v>1631</v>
      </c>
      <c r="L250" s="221" t="s">
        <v>3920</v>
      </c>
      <c r="M250" s="135" t="s">
        <v>4203</v>
      </c>
      <c r="N250" s="135" t="s">
        <v>82</v>
      </c>
      <c r="O250" s="135" t="s">
        <v>310</v>
      </c>
      <c r="P250" s="135" t="s">
        <v>291</v>
      </c>
      <c r="Q250" s="135" t="s">
        <v>294</v>
      </c>
      <c r="R250" s="221">
        <v>2500000.0099999998</v>
      </c>
      <c r="S250" s="135">
        <v>3000000</v>
      </c>
      <c r="T250" s="135">
        <v>0</v>
      </c>
      <c r="U250" s="135">
        <f t="shared" si="116"/>
        <v>3000000</v>
      </c>
      <c r="V250" s="135">
        <v>0</v>
      </c>
      <c r="W250" s="135">
        <v>55</v>
      </c>
      <c r="X250" s="135">
        <v>0</v>
      </c>
      <c r="Y250" s="135">
        <v>999</v>
      </c>
      <c r="Z250" s="137">
        <v>680</v>
      </c>
      <c r="AA250" s="137">
        <v>699</v>
      </c>
      <c r="AB250" s="137">
        <v>9</v>
      </c>
      <c r="AC250" s="137">
        <v>999999</v>
      </c>
      <c r="AD250" s="135">
        <v>0</v>
      </c>
      <c r="AE250" s="135">
        <v>65</v>
      </c>
      <c r="AF250" s="170">
        <v>0</v>
      </c>
      <c r="AG250" s="171">
        <v>1</v>
      </c>
      <c r="AH250" s="171">
        <v>1</v>
      </c>
      <c r="AI250" s="171">
        <v>1</v>
      </c>
      <c r="AJ250" s="171">
        <v>0</v>
      </c>
      <c r="AK250" s="171">
        <v>1</v>
      </c>
      <c r="AL250" s="171">
        <v>1</v>
      </c>
      <c r="AM250" s="171">
        <v>1</v>
      </c>
      <c r="AN250" s="171">
        <v>1</v>
      </c>
      <c r="AO250" s="171">
        <v>1</v>
      </c>
      <c r="AP250" s="171">
        <v>1</v>
      </c>
      <c r="AQ250" s="171">
        <v>1</v>
      </c>
      <c r="AR250" s="171">
        <v>1</v>
      </c>
      <c r="AS250" s="171">
        <v>1</v>
      </c>
      <c r="AT250" s="171">
        <v>1</v>
      </c>
      <c r="AU250" s="171">
        <f t="shared" si="58"/>
        <v>0</v>
      </c>
      <c r="AV250" s="171">
        <f t="shared" si="59"/>
        <v>1</v>
      </c>
      <c r="AW250" s="171">
        <f t="shared" si="60"/>
        <v>1</v>
      </c>
      <c r="AX250" s="171">
        <f t="shared" si="100"/>
        <v>1</v>
      </c>
      <c r="AY250" s="171">
        <f t="shared" si="61"/>
        <v>0</v>
      </c>
      <c r="AZ250" s="171">
        <f t="shared" si="62"/>
        <v>1</v>
      </c>
      <c r="BA250" s="172">
        <f t="shared" si="63"/>
        <v>1</v>
      </c>
      <c r="BB250" s="175">
        <f t="shared" si="110"/>
        <v>18</v>
      </c>
      <c r="BC250" s="176">
        <f t="shared" si="111"/>
        <v>17</v>
      </c>
      <c r="BD250" s="176">
        <f t="shared" si="112"/>
        <v>18</v>
      </c>
      <c r="BE250" s="240" t="str">
        <f t="shared" si="79"/>
        <v/>
      </c>
      <c r="BH250" s="214">
        <f>IF(AND(Input_Product=Elig!$C250,Elig_MatchAll_Ct&lt;22,$BC250=(Elig_MatchAll_Ct-1),AF250=0),C250,0)</f>
        <v>0</v>
      </c>
      <c r="BI250" s="214">
        <f>IF(AND(Input_Product=Elig!$C250,Elig_MatchAll_Ct&lt;22,$BC250=(Elig_MatchAll_Ct-1),AG250=0),D250,0)</f>
        <v>0</v>
      </c>
      <c r="BJ250" s="214">
        <f>IF(AND(Input_Product=Elig!$C250,Elig_MatchAll_Ct&lt;22,$BC250=(Elig_MatchAll_Ct-1),AH250=0),E250,0)</f>
        <v>0</v>
      </c>
      <c r="BK250" s="214">
        <f>IF(AND(Input_Product=Elig!$C250,Elig_MatchAll_Ct&lt;22,$BC250=(Elig_MatchAll_Ct-1),AI250=0),F250,0)</f>
        <v>0</v>
      </c>
      <c r="BL250" s="214">
        <f>IF(AND(Input_Product=Elig!$C250,Elig_MatchAll_Ct&lt;22,$BC250=(Elig_MatchAll_Ct-1),AJ250=0),G250,0)</f>
        <v>0</v>
      </c>
      <c r="BM250" s="214">
        <f>IF(AND(Input_Product=Elig!$C250,Elig_MatchAll_Ct&lt;22,$BC250=(Elig_MatchAll_Ct-1),AK250=0),H250,0)</f>
        <v>0</v>
      </c>
      <c r="BN250" s="214">
        <f>IF(AND(Input_Product=Elig!$C250,Elig_MatchAll_Ct&lt;22,$BC250=(Elig_MatchAll_Ct-1),AL250=0),I250,0)</f>
        <v>0</v>
      </c>
      <c r="BO250" s="214">
        <f>IF(AND(Input_Product=Elig!$C250,Elig_MatchAll_Ct&lt;22,$BC250=(Elig_MatchAll_Ct-1),AM250=0),J250,0)</f>
        <v>0</v>
      </c>
      <c r="BP250" s="214">
        <f>IF(AND(Input_Product=Elig!$C250,Elig_MatchAll_Ct&lt;22,$BC250=(Elig_MatchAll_Ct-1),AN250=0),K250,0)</f>
        <v>0</v>
      </c>
      <c r="BQ250" s="214">
        <f>IF(AND(Input_Product=Elig!$C250,Elig_MatchAll_Ct&lt;22,$BC250=(Elig_MatchAll_Ct-1),AP250=0),L250,0)</f>
        <v>0</v>
      </c>
      <c r="BR250" s="214">
        <f>IF(AND(Input_Product=Elig!$C250,Elig_MatchAll_Ct&lt;22,$BC250=(Elig_MatchAll_Ct-1),AO250=0),M250,0)</f>
        <v>0</v>
      </c>
      <c r="BS250" s="214">
        <f>IF(AND(Input_Product=Elig!$C250,Elig_MatchAll_Ct&lt;22,$BC250=(Elig_MatchAll_Ct-1),AQ250=0),N250,0)</f>
        <v>0</v>
      </c>
      <c r="BT250" s="214">
        <f>IF(AND(Input_Product=Elig!$C250,Elig_MatchAll_Ct&lt;22,$BC250=(Elig_MatchAll_Ct-1),AR250=0),O250,0)</f>
        <v>0</v>
      </c>
      <c r="BU250" s="214">
        <f>IF(AND(Input_Product=Elig!$C250,Elig_MatchAll_Ct&lt;22,$BC250=(Elig_MatchAll_Ct-1),AS250=0),P250,0)</f>
        <v>0</v>
      </c>
      <c r="BV250" s="215">
        <f>IF(AND(Input_Product=Elig!$C250,Elig_MatchAll_Ct&lt;22,$BC250=(Elig_MatchAll_Ct-1),AT250=0),Q250,0)</f>
        <v>0</v>
      </c>
      <c r="BW250" s="311">
        <f>IF(AND(Input_Product=Elig!$C250,Elig_MatchAll_Ct&lt;22,$BC250=(Elig_MatchAll_Ct-1),AU250=0),R250,0)</f>
        <v>0</v>
      </c>
      <c r="BX250" s="312">
        <f>IF(AND(Input_Product=Elig!$C250,Elig_MatchAll_Ct&lt;22,$BC250=(Elig_MatchAll_Ct-1),AU250=0),S250,0)</f>
        <v>0</v>
      </c>
      <c r="BY250" s="311">
        <f>IF(AND(Input_Product=Elig!$C250,Elig_MatchAll_Ct&lt;22,$BC250=(Elig_MatchAll_Ct-1),AV250=0),T250,0)</f>
        <v>0</v>
      </c>
      <c r="BZ250" s="312">
        <f>IF(AND(Input_Product=Elig!$C250,Elig_MatchAll_Ct&lt;22,$BC250=(Elig_MatchAll_Ct-1),AV250=0),U250,0)</f>
        <v>0</v>
      </c>
      <c r="CA250" s="311">
        <f>IF(AND(Input_Product=Elig!$C250,Elig_MatchAll_Ct&lt;22,$BC250=(Elig_MatchAll_Ct-1),AW250=0),V250,0)</f>
        <v>0</v>
      </c>
      <c r="CB250" s="312">
        <f>IF(AND(Input_Product=Elig!$C250,Elig_MatchAll_Ct&lt;22,$BC250=(Elig_MatchAll_Ct-1),AW250=0),W250,0)</f>
        <v>0</v>
      </c>
      <c r="CC250" s="311">
        <f>IF(AND(Input_Product=Elig!$C250,Elig_MatchAll_Ct&lt;22,$BC250=(Elig_MatchAll_Ct-1),AX250=0),X250,0)</f>
        <v>0</v>
      </c>
      <c r="CD250" s="312">
        <f>IF(AND(Input_Product=Elig!$C250,Elig_MatchAll_Ct&lt;22,$BC250=(Elig_MatchAll_Ct-1),AX250=0),Y250,0)</f>
        <v>0</v>
      </c>
      <c r="CE250" s="311">
        <f>IF(AND(Input_LTV&lt;=AE250,Input_Product=Elig!$C250,Elig_MatchAll_Ct&lt;22,$BC250=(Elig_MatchAll_Ct-1),AY250=0),Z250,0)</f>
        <v>0</v>
      </c>
      <c r="CF250" s="312">
        <f>IF(AND(Input_LTV&lt;=AE250,Input_Product=Elig!$C250,Elig_MatchAll_Ct&lt;22,$BC250=(Elig_MatchAll_Ct-1),AY250=0),AA250,0)</f>
        <v>0</v>
      </c>
      <c r="CG250" s="311">
        <f>IF(AND(Input_Product=Elig!$C250,Elig_MatchAll_Ct&lt;22,$BC250=(Elig_MatchAll_Ct-1),AZ250=0),AB250,0)</f>
        <v>0</v>
      </c>
      <c r="CH250" s="312">
        <f>IF(AND(Input_Product=Elig!$C250,Elig_MatchAll_Ct&lt;22,$BC250=(Elig_MatchAll_Ct-1),AZ250=0),AC250,0)</f>
        <v>0</v>
      </c>
      <c r="CI250" s="311">
        <f>IF(AND(Input_Product=Elig!$C250,Elig_MatchAll_Ct&lt;22,$BC250=(Elig_MatchAll_Ct-1),BA250=0),AD250,0)</f>
        <v>0</v>
      </c>
      <c r="CJ250" s="312">
        <f>IF(AND(Input_Product=Elig!$C250,Elig_MatchAll_Ct&lt;22,$BC250=(Elig_MatchAll_Ct-1),BA250=0),AE250,0)</f>
        <v>0</v>
      </c>
    </row>
    <row r="251" spans="2:89" ht="10.15" customHeight="1" x14ac:dyDescent="0.25">
      <c r="B251" s="1912" t="s">
        <v>3956</v>
      </c>
      <c r="C251" s="141" t="str">
        <f t="shared" si="115"/>
        <v>NonQM OO</v>
      </c>
      <c r="D251" s="142" t="s">
        <v>3885</v>
      </c>
      <c r="E251" s="143" t="s">
        <v>167</v>
      </c>
      <c r="F251" s="143" t="s">
        <v>331</v>
      </c>
      <c r="G251" s="143" t="s">
        <v>473</v>
      </c>
      <c r="H251" s="143" t="s">
        <v>136</v>
      </c>
      <c r="I251" s="142" t="s">
        <v>274</v>
      </c>
      <c r="J251" s="142" t="s">
        <v>1311</v>
      </c>
      <c r="K251" s="142" t="s">
        <v>1631</v>
      </c>
      <c r="L251" s="2131" t="s">
        <v>3920</v>
      </c>
      <c r="M251" s="143" t="s">
        <v>4203</v>
      </c>
      <c r="N251" s="143" t="s">
        <v>82</v>
      </c>
      <c r="O251" s="143" t="s">
        <v>310</v>
      </c>
      <c r="P251" s="143" t="s">
        <v>291</v>
      </c>
      <c r="Q251" s="143" t="s">
        <v>294</v>
      </c>
      <c r="R251" s="320">
        <v>2500000.0099999998</v>
      </c>
      <c r="S251" s="142">
        <v>3000000</v>
      </c>
      <c r="T251" s="142">
        <v>0</v>
      </c>
      <c r="U251" s="142">
        <v>0</v>
      </c>
      <c r="V251" s="142">
        <v>0</v>
      </c>
      <c r="W251" s="142">
        <v>55</v>
      </c>
      <c r="X251" s="142">
        <v>0</v>
      </c>
      <c r="Y251" s="142">
        <v>999</v>
      </c>
      <c r="Z251" s="144">
        <v>720</v>
      </c>
      <c r="AA251" s="144">
        <v>999</v>
      </c>
      <c r="AB251" s="144">
        <v>9</v>
      </c>
      <c r="AC251" s="144">
        <v>999999</v>
      </c>
      <c r="AD251" s="142">
        <v>0</v>
      </c>
      <c r="AE251" s="142">
        <v>70</v>
      </c>
      <c r="AF251" s="170">
        <v>0</v>
      </c>
      <c r="AG251" s="171">
        <v>1</v>
      </c>
      <c r="AH251" s="171">
        <v>1</v>
      </c>
      <c r="AI251" s="171">
        <v>1</v>
      </c>
      <c r="AJ251" s="171">
        <v>0</v>
      </c>
      <c r="AK251" s="171">
        <v>1</v>
      </c>
      <c r="AL251" s="171">
        <v>0</v>
      </c>
      <c r="AM251" s="171">
        <v>1</v>
      </c>
      <c r="AN251" s="171">
        <v>1</v>
      </c>
      <c r="AO251" s="171">
        <v>1</v>
      </c>
      <c r="AP251" s="171">
        <v>1</v>
      </c>
      <c r="AQ251" s="171">
        <v>1</v>
      </c>
      <c r="AR251" s="171">
        <v>1</v>
      </c>
      <c r="AS251" s="171">
        <v>1</v>
      </c>
      <c r="AT251" s="171">
        <v>1</v>
      </c>
      <c r="AU251" s="171">
        <f t="shared" si="58"/>
        <v>0</v>
      </c>
      <c r="AV251" s="171">
        <f t="shared" si="59"/>
        <v>0</v>
      </c>
      <c r="AW251" s="171">
        <f t="shared" si="60"/>
        <v>1</v>
      </c>
      <c r="AX251" s="171">
        <f t="shared" si="100"/>
        <v>1</v>
      </c>
      <c r="AY251" s="171">
        <f t="shared" si="61"/>
        <v>1</v>
      </c>
      <c r="AZ251" s="171">
        <f t="shared" si="62"/>
        <v>1</v>
      </c>
      <c r="BA251" s="172">
        <f t="shared" si="63"/>
        <v>1</v>
      </c>
      <c r="BB251" s="175">
        <f t="shared" si="110"/>
        <v>17</v>
      </c>
      <c r="BC251" s="176">
        <f t="shared" si="111"/>
        <v>16</v>
      </c>
      <c r="BD251" s="176">
        <f t="shared" si="112"/>
        <v>17</v>
      </c>
      <c r="BE251" s="240" t="str">
        <f t="shared" si="79"/>
        <v/>
      </c>
      <c r="BH251" s="210">
        <f>IF(AND(Input_Product=Elig!$C251,Elig_MatchAll_Ct&lt;22,$BC251=(Elig_MatchAll_Ct-1),AF251=0),C251,0)</f>
        <v>0</v>
      </c>
      <c r="BI251" s="210">
        <f>IF(AND(Input_Product=Elig!$C251,Elig_MatchAll_Ct&lt;22,$BC251=(Elig_MatchAll_Ct-1),AG251=0),D251,0)</f>
        <v>0</v>
      </c>
      <c r="BJ251" s="210">
        <f>IF(AND(Input_Product=Elig!$C251,Elig_MatchAll_Ct&lt;22,$BC251=(Elig_MatchAll_Ct-1),AH251=0),E251,0)</f>
        <v>0</v>
      </c>
      <c r="BK251" s="210">
        <f>IF(AND(Input_Product=Elig!$C251,Elig_MatchAll_Ct&lt;22,$BC251=(Elig_MatchAll_Ct-1),AI251=0),F251,0)</f>
        <v>0</v>
      </c>
      <c r="BL251" s="210">
        <f>IF(AND(Input_Product=Elig!$C251,Elig_MatchAll_Ct&lt;22,$BC251=(Elig_MatchAll_Ct-1),AJ251=0),G251,0)</f>
        <v>0</v>
      </c>
      <c r="BM251" s="210">
        <f>IF(AND(Input_Product=Elig!$C251,Elig_MatchAll_Ct&lt;22,$BC251=(Elig_MatchAll_Ct-1),AK251=0),H251,0)</f>
        <v>0</v>
      </c>
      <c r="BN251" s="210">
        <f>IF(AND(Input_Product=Elig!$C251,Elig_MatchAll_Ct&lt;22,$BC251=(Elig_MatchAll_Ct-1),AL251=0),I251,0)</f>
        <v>0</v>
      </c>
      <c r="BO251" s="210">
        <f>IF(AND(Input_Product=Elig!$C251,Elig_MatchAll_Ct&lt;22,$BC251=(Elig_MatchAll_Ct-1),AM251=0),J251,0)</f>
        <v>0</v>
      </c>
      <c r="BP251" s="210">
        <f>IF(AND(Input_Product=Elig!$C251,Elig_MatchAll_Ct&lt;22,$BC251=(Elig_MatchAll_Ct-1),AN251=0),K251,0)</f>
        <v>0</v>
      </c>
      <c r="BQ251" s="210">
        <f>IF(AND(Input_Product=Elig!$C251,Elig_MatchAll_Ct&lt;22,$BC251=(Elig_MatchAll_Ct-1),AP251=0),L251,0)</f>
        <v>0</v>
      </c>
      <c r="BR251" s="210">
        <f>IF(AND(Input_Product=Elig!$C251,Elig_MatchAll_Ct&lt;22,$BC251=(Elig_MatchAll_Ct-1),AO251=0),M251,0)</f>
        <v>0</v>
      </c>
      <c r="BS251" s="210">
        <f>IF(AND(Input_Product=Elig!$C251,Elig_MatchAll_Ct&lt;22,$BC251=(Elig_MatchAll_Ct-1),AQ251=0),N251,0)</f>
        <v>0</v>
      </c>
      <c r="BT251" s="210">
        <f>IF(AND(Input_Product=Elig!$C251,Elig_MatchAll_Ct&lt;22,$BC251=(Elig_MatchAll_Ct-1),AR251=0),O251,0)</f>
        <v>0</v>
      </c>
      <c r="BU251" s="210">
        <f>IF(AND(Input_Product=Elig!$C251,Elig_MatchAll_Ct&lt;22,$BC251=(Elig_MatchAll_Ct-1),AS251=0),P251,0)</f>
        <v>0</v>
      </c>
      <c r="BV251" s="211">
        <f>IF(AND(Input_Product=Elig!$C251,Elig_MatchAll_Ct&lt;22,$BC251=(Elig_MatchAll_Ct-1),AT251=0),Q251,0)</f>
        <v>0</v>
      </c>
      <c r="BW251" s="212">
        <f>IF(AND(Input_Product=Elig!$C251,Elig_MatchAll_Ct&lt;22,$BC251=(Elig_MatchAll_Ct-1),AU251=0),R251,0)</f>
        <v>0</v>
      </c>
      <c r="BX251" s="213">
        <f>IF(AND(Input_Product=Elig!$C251,Elig_MatchAll_Ct&lt;22,$BC251=(Elig_MatchAll_Ct-1),AU251=0),S251,0)</f>
        <v>0</v>
      </c>
      <c r="BY251" s="212">
        <f>IF(AND(Input_Product=Elig!$C251,Elig_MatchAll_Ct&lt;22,$BC251=(Elig_MatchAll_Ct-1),AV251=0),T251,0)</f>
        <v>0</v>
      </c>
      <c r="BZ251" s="213">
        <f>IF(AND(Input_Product=Elig!$C251,Elig_MatchAll_Ct&lt;22,$BC251=(Elig_MatchAll_Ct-1),AV251=0),U251,0)</f>
        <v>0</v>
      </c>
      <c r="CA251" s="212">
        <f>IF(AND(Input_Product=Elig!$C251,Elig_MatchAll_Ct&lt;22,$BC251=(Elig_MatchAll_Ct-1),AW251=0),V251,0)</f>
        <v>0</v>
      </c>
      <c r="CB251" s="213">
        <f>IF(AND(Input_Product=Elig!$C251,Elig_MatchAll_Ct&lt;22,$BC251=(Elig_MatchAll_Ct-1),AW251=0),W251,0)</f>
        <v>0</v>
      </c>
      <c r="CC251" s="212">
        <f>IF(AND(Input_Product=Elig!$C251,Elig_MatchAll_Ct&lt;22,$BC251=(Elig_MatchAll_Ct-1),AX251=0),X251,0)</f>
        <v>0</v>
      </c>
      <c r="CD251" s="213">
        <f>IF(AND(Input_Product=Elig!$C251,Elig_MatchAll_Ct&lt;22,$BC251=(Elig_MatchAll_Ct-1),AX251=0),Y251,0)</f>
        <v>0</v>
      </c>
      <c r="CE251" s="212">
        <f>IF(AND(Input_LTV&lt;=AE251,Input_Product=Elig!$C251,Elig_MatchAll_Ct&lt;22,$BC251=(Elig_MatchAll_Ct-1),AY251=0),Z251,0)</f>
        <v>0</v>
      </c>
      <c r="CF251" s="213">
        <f>IF(AND(Input_LTV&lt;=AE251,Input_Product=Elig!$C251,Elig_MatchAll_Ct&lt;22,$BC251=(Elig_MatchAll_Ct-1),AY251=0),AA251,0)</f>
        <v>0</v>
      </c>
      <c r="CG251" s="212">
        <f>IF(AND(Input_Product=Elig!$C251,Elig_MatchAll_Ct&lt;22,$BC251=(Elig_MatchAll_Ct-1),AZ251=0),AB251,0)</f>
        <v>0</v>
      </c>
      <c r="CH251" s="213">
        <f>IF(AND(Input_Product=Elig!$C251,Elig_MatchAll_Ct&lt;22,$BC251=(Elig_MatchAll_Ct-1),AZ251=0),AC251,0)</f>
        <v>0</v>
      </c>
      <c r="CI251" s="212">
        <f>IF(AND(Input_Product=Elig!$C251,Elig_MatchAll_Ct&lt;22,$BC251=(Elig_MatchAll_Ct-1),BA251=0),AD251,0)</f>
        <v>0</v>
      </c>
      <c r="CJ251" s="213">
        <f>IF(AND(Input_Product=Elig!$C251,Elig_MatchAll_Ct&lt;22,$BC251=(Elig_MatchAll_Ct-1),BA251=0),AE251,0)</f>
        <v>0</v>
      </c>
    </row>
    <row r="252" spans="2:89" ht="10.15" customHeight="1" x14ac:dyDescent="0.25">
      <c r="B252" s="1912" t="s">
        <v>3957</v>
      </c>
      <c r="C252" s="134" t="str">
        <f t="shared" si="115"/>
        <v>NonQM OO</v>
      </c>
      <c r="D252" s="135" t="s">
        <v>3885</v>
      </c>
      <c r="E252" s="135" t="s">
        <v>167</v>
      </c>
      <c r="F252" s="135" t="s">
        <v>331</v>
      </c>
      <c r="G252" s="135" t="s">
        <v>473</v>
      </c>
      <c r="H252" s="135" t="s">
        <v>136</v>
      </c>
      <c r="I252" s="136" t="s">
        <v>274</v>
      </c>
      <c r="J252" s="136" t="s">
        <v>1311</v>
      </c>
      <c r="K252" s="136" t="s">
        <v>1631</v>
      </c>
      <c r="L252" s="221" t="s">
        <v>3920</v>
      </c>
      <c r="M252" s="135" t="s">
        <v>4203</v>
      </c>
      <c r="N252" s="135" t="s">
        <v>82</v>
      </c>
      <c r="O252" s="135" t="s">
        <v>310</v>
      </c>
      <c r="P252" s="135" t="s">
        <v>291</v>
      </c>
      <c r="Q252" s="135" t="s">
        <v>294</v>
      </c>
      <c r="R252" s="221">
        <v>2500000.0099999998</v>
      </c>
      <c r="S252" s="135">
        <v>3000000</v>
      </c>
      <c r="T252" s="135">
        <v>0</v>
      </c>
      <c r="U252" s="135">
        <v>0</v>
      </c>
      <c r="V252" s="135">
        <v>0</v>
      </c>
      <c r="W252" s="135">
        <v>55</v>
      </c>
      <c r="X252" s="135">
        <v>0</v>
      </c>
      <c r="Y252" s="135">
        <v>999</v>
      </c>
      <c r="Z252" s="137">
        <v>700</v>
      </c>
      <c r="AA252" s="137">
        <v>719</v>
      </c>
      <c r="AB252" s="137">
        <v>9</v>
      </c>
      <c r="AC252" s="137">
        <v>999999</v>
      </c>
      <c r="AD252" s="135">
        <v>0</v>
      </c>
      <c r="AE252" s="135">
        <v>70</v>
      </c>
      <c r="AF252" s="170">
        <v>0</v>
      </c>
      <c r="AG252" s="171">
        <v>1</v>
      </c>
      <c r="AH252" s="171">
        <v>1</v>
      </c>
      <c r="AI252" s="171">
        <v>1</v>
      </c>
      <c r="AJ252" s="171">
        <v>0</v>
      </c>
      <c r="AK252" s="171">
        <v>1</v>
      </c>
      <c r="AL252" s="171">
        <v>0</v>
      </c>
      <c r="AM252" s="171">
        <v>1</v>
      </c>
      <c r="AN252" s="171">
        <v>1</v>
      </c>
      <c r="AO252" s="171">
        <v>1</v>
      </c>
      <c r="AP252" s="171">
        <v>1</v>
      </c>
      <c r="AQ252" s="171">
        <v>1</v>
      </c>
      <c r="AR252" s="171">
        <v>1</v>
      </c>
      <c r="AS252" s="171">
        <v>1</v>
      </c>
      <c r="AT252" s="171">
        <v>1</v>
      </c>
      <c r="AU252" s="171">
        <f t="shared" si="58"/>
        <v>0</v>
      </c>
      <c r="AV252" s="171">
        <f t="shared" si="59"/>
        <v>0</v>
      </c>
      <c r="AW252" s="171">
        <f t="shared" si="60"/>
        <v>1</v>
      </c>
      <c r="AX252" s="171">
        <f t="shared" si="100"/>
        <v>1</v>
      </c>
      <c r="AY252" s="171">
        <f t="shared" si="61"/>
        <v>0</v>
      </c>
      <c r="AZ252" s="171">
        <f t="shared" si="62"/>
        <v>1</v>
      </c>
      <c r="BA252" s="172">
        <f t="shared" si="63"/>
        <v>1</v>
      </c>
      <c r="BB252" s="175">
        <f t="shared" si="110"/>
        <v>16</v>
      </c>
      <c r="BC252" s="176">
        <f t="shared" si="111"/>
        <v>15</v>
      </c>
      <c r="BD252" s="176">
        <f t="shared" si="112"/>
        <v>16</v>
      </c>
      <c r="BE252" s="240" t="str">
        <f t="shared" si="79"/>
        <v/>
      </c>
      <c r="BH252" s="199">
        <f>IF(AND(Input_Product=Elig!$C252,Elig_MatchAll_Ct&lt;22,$BC252=(Elig_MatchAll_Ct-1),AF252=0),C252,0)</f>
        <v>0</v>
      </c>
      <c r="BI252" s="199">
        <f>IF(AND(Input_Product=Elig!$C252,Elig_MatchAll_Ct&lt;22,$BC252=(Elig_MatchAll_Ct-1),AG252=0),D252,0)</f>
        <v>0</v>
      </c>
      <c r="BJ252" s="199">
        <f>IF(AND(Input_Product=Elig!$C252,Elig_MatchAll_Ct&lt;22,$BC252=(Elig_MatchAll_Ct-1),AH252=0),E252,0)</f>
        <v>0</v>
      </c>
      <c r="BK252" s="199">
        <f>IF(AND(Input_Product=Elig!$C252,Elig_MatchAll_Ct&lt;22,$BC252=(Elig_MatchAll_Ct-1),AI252=0),F252,0)</f>
        <v>0</v>
      </c>
      <c r="BL252" s="199">
        <f>IF(AND(Input_Product=Elig!$C252,Elig_MatchAll_Ct&lt;22,$BC252=(Elig_MatchAll_Ct-1),AJ252=0),G252,0)</f>
        <v>0</v>
      </c>
      <c r="BM252" s="199">
        <f>IF(AND(Input_Product=Elig!$C252,Elig_MatchAll_Ct&lt;22,$BC252=(Elig_MatchAll_Ct-1),AK252=0),H252,0)</f>
        <v>0</v>
      </c>
      <c r="BN252" s="199">
        <f>IF(AND(Input_Product=Elig!$C252,Elig_MatchAll_Ct&lt;22,$BC252=(Elig_MatchAll_Ct-1),AL252=0),I252,0)</f>
        <v>0</v>
      </c>
      <c r="BO252" s="199">
        <f>IF(AND(Input_Product=Elig!$C252,Elig_MatchAll_Ct&lt;22,$BC252=(Elig_MatchAll_Ct-1),AM252=0),J252,0)</f>
        <v>0</v>
      </c>
      <c r="BP252" s="199">
        <f>IF(AND(Input_Product=Elig!$C252,Elig_MatchAll_Ct&lt;22,$BC252=(Elig_MatchAll_Ct-1),AN252=0),K252,0)</f>
        <v>0</v>
      </c>
      <c r="BQ252" s="199">
        <f>IF(AND(Input_Product=Elig!$C252,Elig_MatchAll_Ct&lt;22,$BC252=(Elig_MatchAll_Ct-1),AP252=0),L252,0)</f>
        <v>0</v>
      </c>
      <c r="BR252" s="199">
        <f>IF(AND(Input_Product=Elig!$C252,Elig_MatchAll_Ct&lt;22,$BC252=(Elig_MatchAll_Ct-1),AO252=0),M252,0)</f>
        <v>0</v>
      </c>
      <c r="BS252" s="199">
        <f>IF(AND(Input_Product=Elig!$C252,Elig_MatchAll_Ct&lt;22,$BC252=(Elig_MatchAll_Ct-1),AQ252=0),N252,0)</f>
        <v>0</v>
      </c>
      <c r="BT252" s="199">
        <f>IF(AND(Input_Product=Elig!$C252,Elig_MatchAll_Ct&lt;22,$BC252=(Elig_MatchAll_Ct-1),AR252=0),O252,0)</f>
        <v>0</v>
      </c>
      <c r="BU252" s="199">
        <f>IF(AND(Input_Product=Elig!$C252,Elig_MatchAll_Ct&lt;22,$BC252=(Elig_MatchAll_Ct-1),AS252=0),P252,0)</f>
        <v>0</v>
      </c>
      <c r="BV252" s="200">
        <f>IF(AND(Input_Product=Elig!$C252,Elig_MatchAll_Ct&lt;22,$BC252=(Elig_MatchAll_Ct-1),AT252=0),Q252,0)</f>
        <v>0</v>
      </c>
      <c r="BW252" s="201">
        <f>IF(AND(Input_Product=Elig!$C252,Elig_MatchAll_Ct&lt;22,$BC252=(Elig_MatchAll_Ct-1),AU252=0),R252,0)</f>
        <v>0</v>
      </c>
      <c r="BX252" s="202">
        <f>IF(AND(Input_Product=Elig!$C252,Elig_MatchAll_Ct&lt;22,$BC252=(Elig_MatchAll_Ct-1),AU252=0),S252,0)</f>
        <v>0</v>
      </c>
      <c r="BY252" s="201">
        <f>IF(AND(Input_Product=Elig!$C252,Elig_MatchAll_Ct&lt;22,$BC252=(Elig_MatchAll_Ct-1),AV252=0),T252,0)</f>
        <v>0</v>
      </c>
      <c r="BZ252" s="202">
        <f>IF(AND(Input_Product=Elig!$C252,Elig_MatchAll_Ct&lt;22,$BC252=(Elig_MatchAll_Ct-1),AV252=0),U252,0)</f>
        <v>0</v>
      </c>
      <c r="CA252" s="201">
        <f>IF(AND(Input_Product=Elig!$C252,Elig_MatchAll_Ct&lt;22,$BC252=(Elig_MatchAll_Ct-1),AW252=0),V252,0)</f>
        <v>0</v>
      </c>
      <c r="CB252" s="202">
        <f>IF(AND(Input_Product=Elig!$C252,Elig_MatchAll_Ct&lt;22,$BC252=(Elig_MatchAll_Ct-1),AW252=0),W252,0)</f>
        <v>0</v>
      </c>
      <c r="CC252" s="201">
        <f>IF(AND(Input_Product=Elig!$C252,Elig_MatchAll_Ct&lt;22,$BC252=(Elig_MatchAll_Ct-1),AX252=0),X252,0)</f>
        <v>0</v>
      </c>
      <c r="CD252" s="202">
        <f>IF(AND(Input_Product=Elig!$C252,Elig_MatchAll_Ct&lt;22,$BC252=(Elig_MatchAll_Ct-1),AX252=0),Y252,0)</f>
        <v>0</v>
      </c>
      <c r="CE252" s="201">
        <f>IF(AND(Input_LTV&lt;=AE252,Input_Product=Elig!$C252,Elig_MatchAll_Ct&lt;22,$BC252=(Elig_MatchAll_Ct-1),AY252=0),Z252,0)</f>
        <v>0</v>
      </c>
      <c r="CF252" s="202">
        <f>IF(AND(Input_LTV&lt;=AE252,Input_Product=Elig!$C252,Elig_MatchAll_Ct&lt;22,$BC252=(Elig_MatchAll_Ct-1),AY252=0),AA252,0)</f>
        <v>0</v>
      </c>
      <c r="CG252" s="201">
        <f>IF(AND(Input_Product=Elig!$C252,Elig_MatchAll_Ct&lt;22,$BC252=(Elig_MatchAll_Ct-1),AZ252=0),AB252,0)</f>
        <v>0</v>
      </c>
      <c r="CH252" s="202">
        <f>IF(AND(Input_Product=Elig!$C252,Elig_MatchAll_Ct&lt;22,$BC252=(Elig_MatchAll_Ct-1),AZ252=0),AC252,0)</f>
        <v>0</v>
      </c>
      <c r="CI252" s="201">
        <f>IF(AND(Input_Product=Elig!$C252,Elig_MatchAll_Ct&lt;22,$BC252=(Elig_MatchAll_Ct-1),BA252=0),AD252,0)</f>
        <v>0</v>
      </c>
      <c r="CJ252" s="202">
        <f>IF(AND(Input_Product=Elig!$C252,Elig_MatchAll_Ct&lt;22,$BC252=(Elig_MatchAll_Ct-1),BA252=0),AE252,0)</f>
        <v>0</v>
      </c>
    </row>
    <row r="253" spans="2:89" ht="10.15" customHeight="1" x14ac:dyDescent="0.25">
      <c r="B253" s="1912" t="s">
        <v>3958</v>
      </c>
      <c r="C253" s="134" t="str">
        <f t="shared" si="115"/>
        <v>NonQM OO</v>
      </c>
      <c r="D253" s="135" t="s">
        <v>3885</v>
      </c>
      <c r="E253" s="135" t="s">
        <v>167</v>
      </c>
      <c r="F253" s="135" t="s">
        <v>331</v>
      </c>
      <c r="G253" s="135" t="s">
        <v>473</v>
      </c>
      <c r="H253" s="135" t="s">
        <v>136</v>
      </c>
      <c r="I253" s="136" t="s">
        <v>274</v>
      </c>
      <c r="J253" s="136" t="s">
        <v>1311</v>
      </c>
      <c r="K253" s="136" t="s">
        <v>1631</v>
      </c>
      <c r="L253" s="221" t="s">
        <v>3920</v>
      </c>
      <c r="M253" s="135" t="s">
        <v>4203</v>
      </c>
      <c r="N253" s="135" t="s">
        <v>82</v>
      </c>
      <c r="O253" s="135" t="s">
        <v>310</v>
      </c>
      <c r="P253" s="135" t="s">
        <v>291</v>
      </c>
      <c r="Q253" s="135" t="s">
        <v>294</v>
      </c>
      <c r="R253" s="221">
        <v>2500000.0099999998</v>
      </c>
      <c r="S253" s="135">
        <v>3000000</v>
      </c>
      <c r="T253" s="135">
        <v>0</v>
      </c>
      <c r="U253" s="135">
        <v>0</v>
      </c>
      <c r="V253" s="135">
        <v>0</v>
      </c>
      <c r="W253" s="135">
        <v>55</v>
      </c>
      <c r="X253" s="135">
        <v>0</v>
      </c>
      <c r="Y253" s="135">
        <v>999</v>
      </c>
      <c r="Z253" s="137">
        <v>680</v>
      </c>
      <c r="AA253" s="137">
        <v>699</v>
      </c>
      <c r="AB253" s="137">
        <v>9</v>
      </c>
      <c r="AC253" s="137">
        <v>999999</v>
      </c>
      <c r="AD253" s="135">
        <v>0</v>
      </c>
      <c r="AE253" s="135">
        <v>70</v>
      </c>
      <c r="AF253" s="170">
        <v>0</v>
      </c>
      <c r="AG253" s="171">
        <v>1</v>
      </c>
      <c r="AH253" s="171">
        <v>1</v>
      </c>
      <c r="AI253" s="171">
        <v>1</v>
      </c>
      <c r="AJ253" s="171">
        <v>0</v>
      </c>
      <c r="AK253" s="171">
        <v>1</v>
      </c>
      <c r="AL253" s="171">
        <v>0</v>
      </c>
      <c r="AM253" s="171">
        <v>1</v>
      </c>
      <c r="AN253" s="171">
        <v>1</v>
      </c>
      <c r="AO253" s="171">
        <v>1</v>
      </c>
      <c r="AP253" s="171">
        <v>1</v>
      </c>
      <c r="AQ253" s="171">
        <v>1</v>
      </c>
      <c r="AR253" s="171">
        <v>1</v>
      </c>
      <c r="AS253" s="171">
        <v>1</v>
      </c>
      <c r="AT253" s="171">
        <v>1</v>
      </c>
      <c r="AU253" s="171">
        <f t="shared" si="58"/>
        <v>0</v>
      </c>
      <c r="AV253" s="171">
        <f t="shared" si="59"/>
        <v>0</v>
      </c>
      <c r="AW253" s="171">
        <f t="shared" si="60"/>
        <v>1</v>
      </c>
      <c r="AX253" s="171">
        <f t="shared" si="100"/>
        <v>1</v>
      </c>
      <c r="AY253" s="171">
        <f t="shared" si="61"/>
        <v>0</v>
      </c>
      <c r="AZ253" s="171">
        <f t="shared" si="62"/>
        <v>1</v>
      </c>
      <c r="BA253" s="172">
        <f t="shared" si="63"/>
        <v>1</v>
      </c>
      <c r="BB253" s="175">
        <f t="shared" si="110"/>
        <v>16</v>
      </c>
      <c r="BC253" s="176">
        <f t="shared" si="111"/>
        <v>15</v>
      </c>
      <c r="BD253" s="176">
        <f t="shared" si="112"/>
        <v>16</v>
      </c>
      <c r="BE253" s="240" t="str">
        <f t="shared" si="79"/>
        <v/>
      </c>
      <c r="BH253" s="214">
        <f>IF(AND(Input_Product=Elig!$C253,Elig_MatchAll_Ct&lt;22,$BC253=(Elig_MatchAll_Ct-1),AF253=0),C253,0)</f>
        <v>0</v>
      </c>
      <c r="BI253" s="214">
        <f>IF(AND(Input_Product=Elig!$C253,Elig_MatchAll_Ct&lt;22,$BC253=(Elig_MatchAll_Ct-1),AG253=0),D253,0)</f>
        <v>0</v>
      </c>
      <c r="BJ253" s="214">
        <f>IF(AND(Input_Product=Elig!$C253,Elig_MatchAll_Ct&lt;22,$BC253=(Elig_MatchAll_Ct-1),AH253=0),E253,0)</f>
        <v>0</v>
      </c>
      <c r="BK253" s="214">
        <f>IF(AND(Input_Product=Elig!$C253,Elig_MatchAll_Ct&lt;22,$BC253=(Elig_MatchAll_Ct-1),AI253=0),F253,0)</f>
        <v>0</v>
      </c>
      <c r="BL253" s="214">
        <f>IF(AND(Input_Product=Elig!$C253,Elig_MatchAll_Ct&lt;22,$BC253=(Elig_MatchAll_Ct-1),AJ253=0),G253,0)</f>
        <v>0</v>
      </c>
      <c r="BM253" s="214">
        <f>IF(AND(Input_Product=Elig!$C253,Elig_MatchAll_Ct&lt;22,$BC253=(Elig_MatchAll_Ct-1),AK253=0),H253,0)</f>
        <v>0</v>
      </c>
      <c r="BN253" s="214">
        <f>IF(AND(Input_Product=Elig!$C253,Elig_MatchAll_Ct&lt;22,$BC253=(Elig_MatchAll_Ct-1),AL253=0),I253,0)</f>
        <v>0</v>
      </c>
      <c r="BO253" s="214">
        <f>IF(AND(Input_Product=Elig!$C253,Elig_MatchAll_Ct&lt;22,$BC253=(Elig_MatchAll_Ct-1),AM253=0),J253,0)</f>
        <v>0</v>
      </c>
      <c r="BP253" s="214">
        <f>IF(AND(Input_Product=Elig!$C253,Elig_MatchAll_Ct&lt;22,$BC253=(Elig_MatchAll_Ct-1),AN253=0),K253,0)</f>
        <v>0</v>
      </c>
      <c r="BQ253" s="214">
        <f>IF(AND(Input_Product=Elig!$C253,Elig_MatchAll_Ct&lt;22,$BC253=(Elig_MatchAll_Ct-1),AP253=0),L253,0)</f>
        <v>0</v>
      </c>
      <c r="BR253" s="214">
        <f>IF(AND(Input_Product=Elig!$C253,Elig_MatchAll_Ct&lt;22,$BC253=(Elig_MatchAll_Ct-1),AO253=0),M253,0)</f>
        <v>0</v>
      </c>
      <c r="BS253" s="214">
        <f>IF(AND(Input_Product=Elig!$C253,Elig_MatchAll_Ct&lt;22,$BC253=(Elig_MatchAll_Ct-1),AQ253=0),N253,0)</f>
        <v>0</v>
      </c>
      <c r="BT253" s="214">
        <f>IF(AND(Input_Product=Elig!$C253,Elig_MatchAll_Ct&lt;22,$BC253=(Elig_MatchAll_Ct-1),AR253=0),O253,0)</f>
        <v>0</v>
      </c>
      <c r="BU253" s="214">
        <f>IF(AND(Input_Product=Elig!$C253,Elig_MatchAll_Ct&lt;22,$BC253=(Elig_MatchAll_Ct-1),AS253=0),P253,0)</f>
        <v>0</v>
      </c>
      <c r="BV253" s="215">
        <f>IF(AND(Input_Product=Elig!$C253,Elig_MatchAll_Ct&lt;22,$BC253=(Elig_MatchAll_Ct-1),AT253=0),Q253,0)</f>
        <v>0</v>
      </c>
      <c r="BW253" s="311">
        <f>IF(AND(Input_Product=Elig!$C253,Elig_MatchAll_Ct&lt;22,$BC253=(Elig_MatchAll_Ct-1),AU253=0),R253,0)</f>
        <v>0</v>
      </c>
      <c r="BX253" s="312">
        <f>IF(AND(Input_Product=Elig!$C253,Elig_MatchAll_Ct&lt;22,$BC253=(Elig_MatchAll_Ct-1),AU253=0),S253,0)</f>
        <v>0</v>
      </c>
      <c r="BY253" s="311">
        <f>IF(AND(Input_Product=Elig!$C253,Elig_MatchAll_Ct&lt;22,$BC253=(Elig_MatchAll_Ct-1),AV253=0),T253,0)</f>
        <v>0</v>
      </c>
      <c r="BZ253" s="312">
        <f>IF(AND(Input_Product=Elig!$C253,Elig_MatchAll_Ct&lt;22,$BC253=(Elig_MatchAll_Ct-1),AV253=0),U253,0)</f>
        <v>0</v>
      </c>
      <c r="CA253" s="311">
        <f>IF(AND(Input_Product=Elig!$C253,Elig_MatchAll_Ct&lt;22,$BC253=(Elig_MatchAll_Ct-1),AW253=0),V253,0)</f>
        <v>0</v>
      </c>
      <c r="CB253" s="312">
        <f>IF(AND(Input_Product=Elig!$C253,Elig_MatchAll_Ct&lt;22,$BC253=(Elig_MatchAll_Ct-1),AW253=0),W253,0)</f>
        <v>0</v>
      </c>
      <c r="CC253" s="311">
        <f>IF(AND(Input_Product=Elig!$C253,Elig_MatchAll_Ct&lt;22,$BC253=(Elig_MatchAll_Ct-1),AX253=0),X253,0)</f>
        <v>0</v>
      </c>
      <c r="CD253" s="312">
        <f>IF(AND(Input_Product=Elig!$C253,Elig_MatchAll_Ct&lt;22,$BC253=(Elig_MatchAll_Ct-1),AX253=0),Y253,0)</f>
        <v>0</v>
      </c>
      <c r="CE253" s="311">
        <f>IF(AND(Input_LTV&lt;=AE253,Input_Product=Elig!$C253,Elig_MatchAll_Ct&lt;22,$BC253=(Elig_MatchAll_Ct-1),AY253=0),Z253,0)</f>
        <v>0</v>
      </c>
      <c r="CF253" s="312">
        <f>IF(AND(Input_LTV&lt;=AE253,Input_Product=Elig!$C253,Elig_MatchAll_Ct&lt;22,$BC253=(Elig_MatchAll_Ct-1),AY253=0),AA253,0)</f>
        <v>0</v>
      </c>
      <c r="CG253" s="311">
        <f>IF(AND(Input_Product=Elig!$C253,Elig_MatchAll_Ct&lt;22,$BC253=(Elig_MatchAll_Ct-1),AZ253=0),AB253,0)</f>
        <v>0</v>
      </c>
      <c r="CH253" s="312">
        <f>IF(AND(Input_Product=Elig!$C253,Elig_MatchAll_Ct&lt;22,$BC253=(Elig_MatchAll_Ct-1),AZ253=0),AC253,0)</f>
        <v>0</v>
      </c>
      <c r="CI253" s="311">
        <f>IF(AND(Input_Product=Elig!$C253,Elig_MatchAll_Ct&lt;22,$BC253=(Elig_MatchAll_Ct-1),BA253=0),AD253,0)</f>
        <v>0</v>
      </c>
      <c r="CJ253" s="312">
        <f>IF(AND(Input_Product=Elig!$C253,Elig_MatchAll_Ct&lt;22,$BC253=(Elig_MatchAll_Ct-1),BA253=0),AE253,0)</f>
        <v>0</v>
      </c>
    </row>
    <row r="254" spans="2:89" ht="10.15" customHeight="1" x14ac:dyDescent="0.25">
      <c r="B254" s="1912" t="s">
        <v>3959</v>
      </c>
      <c r="C254" s="141" t="str">
        <f t="shared" si="115"/>
        <v>NonQM OO</v>
      </c>
      <c r="D254" s="142" t="s">
        <v>3885</v>
      </c>
      <c r="E254" s="143" t="s">
        <v>167</v>
      </c>
      <c r="F254" s="143" t="s">
        <v>331</v>
      </c>
      <c r="G254" s="143" t="s">
        <v>473</v>
      </c>
      <c r="H254" s="143" t="s">
        <v>136</v>
      </c>
      <c r="I254" s="142" t="s">
        <v>16</v>
      </c>
      <c r="J254" s="142" t="s">
        <v>1311</v>
      </c>
      <c r="K254" s="142" t="s">
        <v>1631</v>
      </c>
      <c r="L254" s="2131" t="s">
        <v>3920</v>
      </c>
      <c r="M254" s="143" t="s">
        <v>4203</v>
      </c>
      <c r="N254" s="143" t="s">
        <v>82</v>
      </c>
      <c r="O254" s="143" t="s">
        <v>310</v>
      </c>
      <c r="P254" s="143" t="s">
        <v>291</v>
      </c>
      <c r="Q254" s="143" t="s">
        <v>294</v>
      </c>
      <c r="R254" s="320">
        <v>2500000.0099999998</v>
      </c>
      <c r="S254" s="142">
        <v>3000000</v>
      </c>
      <c r="T254" s="142">
        <v>0</v>
      </c>
      <c r="U254" s="142">
        <f t="shared" ref="U254:U256" si="117">S254</f>
        <v>3000000</v>
      </c>
      <c r="V254" s="142">
        <v>0</v>
      </c>
      <c r="W254" s="142">
        <v>55</v>
      </c>
      <c r="X254" s="142">
        <v>0</v>
      </c>
      <c r="Y254" s="142">
        <v>999</v>
      </c>
      <c r="Z254" s="144">
        <v>720</v>
      </c>
      <c r="AA254" s="144">
        <v>999</v>
      </c>
      <c r="AB254" s="144">
        <v>9</v>
      </c>
      <c r="AC254" s="144">
        <v>999999</v>
      </c>
      <c r="AD254" s="142">
        <v>0</v>
      </c>
      <c r="AE254" s="142">
        <v>65</v>
      </c>
      <c r="AF254" s="170">
        <v>0</v>
      </c>
      <c r="AG254" s="171">
        <v>1</v>
      </c>
      <c r="AH254" s="171">
        <v>1</v>
      </c>
      <c r="AI254" s="171">
        <v>1</v>
      </c>
      <c r="AJ254" s="171">
        <v>0</v>
      </c>
      <c r="AK254" s="171">
        <v>1</v>
      </c>
      <c r="AL254" s="171">
        <v>1</v>
      </c>
      <c r="AM254" s="171">
        <v>1</v>
      </c>
      <c r="AN254" s="171">
        <v>1</v>
      </c>
      <c r="AO254" s="171">
        <v>1</v>
      </c>
      <c r="AP254" s="171">
        <v>1</v>
      </c>
      <c r="AQ254" s="171">
        <v>1</v>
      </c>
      <c r="AR254" s="171">
        <v>1</v>
      </c>
      <c r="AS254" s="171">
        <v>1</v>
      </c>
      <c r="AT254" s="171">
        <v>1</v>
      </c>
      <c r="AU254" s="171">
        <f t="shared" si="58"/>
        <v>0</v>
      </c>
      <c r="AV254" s="171">
        <f t="shared" si="59"/>
        <v>1</v>
      </c>
      <c r="AW254" s="171">
        <f t="shared" si="60"/>
        <v>1</v>
      </c>
      <c r="AX254" s="171">
        <f t="shared" si="100"/>
        <v>1</v>
      </c>
      <c r="AY254" s="171">
        <f t="shared" si="61"/>
        <v>1</v>
      </c>
      <c r="AZ254" s="171">
        <f t="shared" si="62"/>
        <v>1</v>
      </c>
      <c r="BA254" s="172">
        <f t="shared" si="63"/>
        <v>1</v>
      </c>
      <c r="BB254" s="175">
        <f t="shared" si="110"/>
        <v>19</v>
      </c>
      <c r="BC254" s="176">
        <f t="shared" si="111"/>
        <v>18</v>
      </c>
      <c r="BD254" s="176">
        <f t="shared" si="112"/>
        <v>19</v>
      </c>
      <c r="BE254" s="240" t="str">
        <f t="shared" si="79"/>
        <v/>
      </c>
      <c r="BH254" s="210">
        <f>IF(AND(Input_Product=Elig!$C254,Elig_MatchAll_Ct&lt;22,$BC254=(Elig_MatchAll_Ct-1),AF254=0),C254,0)</f>
        <v>0</v>
      </c>
      <c r="BI254" s="210">
        <f>IF(AND(Input_Product=Elig!$C254,Elig_MatchAll_Ct&lt;22,$BC254=(Elig_MatchAll_Ct-1),AG254=0),D254,0)</f>
        <v>0</v>
      </c>
      <c r="BJ254" s="210">
        <f>IF(AND(Input_Product=Elig!$C254,Elig_MatchAll_Ct&lt;22,$BC254=(Elig_MatchAll_Ct-1),AH254=0),E254,0)</f>
        <v>0</v>
      </c>
      <c r="BK254" s="210">
        <f>IF(AND(Input_Product=Elig!$C254,Elig_MatchAll_Ct&lt;22,$BC254=(Elig_MatchAll_Ct-1),AI254=0),F254,0)</f>
        <v>0</v>
      </c>
      <c r="BL254" s="210">
        <f>IF(AND(Input_Product=Elig!$C254,Elig_MatchAll_Ct&lt;22,$BC254=(Elig_MatchAll_Ct-1),AJ254=0),G254,0)</f>
        <v>0</v>
      </c>
      <c r="BM254" s="210">
        <f>IF(AND(Input_Product=Elig!$C254,Elig_MatchAll_Ct&lt;22,$BC254=(Elig_MatchAll_Ct-1),AK254=0),H254,0)</f>
        <v>0</v>
      </c>
      <c r="BN254" s="210">
        <f>IF(AND(Input_Product=Elig!$C254,Elig_MatchAll_Ct&lt;22,$BC254=(Elig_MatchAll_Ct-1),AL254=0),I254,0)</f>
        <v>0</v>
      </c>
      <c r="BO254" s="210">
        <f>IF(AND(Input_Product=Elig!$C254,Elig_MatchAll_Ct&lt;22,$BC254=(Elig_MatchAll_Ct-1),AM254=0),J254,0)</f>
        <v>0</v>
      </c>
      <c r="BP254" s="210">
        <f>IF(AND(Input_Product=Elig!$C254,Elig_MatchAll_Ct&lt;22,$BC254=(Elig_MatchAll_Ct-1),AN254=0),K254,0)</f>
        <v>0</v>
      </c>
      <c r="BQ254" s="210">
        <f>IF(AND(Input_Product=Elig!$C254,Elig_MatchAll_Ct&lt;22,$BC254=(Elig_MatchAll_Ct-1),AP254=0),L254,0)</f>
        <v>0</v>
      </c>
      <c r="BR254" s="210">
        <f>IF(AND(Input_Product=Elig!$C254,Elig_MatchAll_Ct&lt;22,$BC254=(Elig_MatchAll_Ct-1),AO254=0),M254,0)</f>
        <v>0</v>
      </c>
      <c r="BS254" s="210">
        <f>IF(AND(Input_Product=Elig!$C254,Elig_MatchAll_Ct&lt;22,$BC254=(Elig_MatchAll_Ct-1),AQ254=0),N254,0)</f>
        <v>0</v>
      </c>
      <c r="BT254" s="210">
        <f>IF(AND(Input_Product=Elig!$C254,Elig_MatchAll_Ct&lt;22,$BC254=(Elig_MatchAll_Ct-1),AR254=0),O254,0)</f>
        <v>0</v>
      </c>
      <c r="BU254" s="210">
        <f>IF(AND(Input_Product=Elig!$C254,Elig_MatchAll_Ct&lt;22,$BC254=(Elig_MatchAll_Ct-1),AS254=0),P254,0)</f>
        <v>0</v>
      </c>
      <c r="BV254" s="211">
        <f>IF(AND(Input_Product=Elig!$C254,Elig_MatchAll_Ct&lt;22,$BC254=(Elig_MatchAll_Ct-1),AT254=0),Q254,0)</f>
        <v>0</v>
      </c>
      <c r="BW254" s="212">
        <f>IF(AND(Input_Product=Elig!$C254,Elig_MatchAll_Ct&lt;22,$BC254=(Elig_MatchAll_Ct-1),AU254=0),R254,0)</f>
        <v>0</v>
      </c>
      <c r="BX254" s="213">
        <f>IF(AND(Input_Product=Elig!$C254,Elig_MatchAll_Ct&lt;22,$BC254=(Elig_MatchAll_Ct-1),AU254=0),S254,0)</f>
        <v>0</v>
      </c>
      <c r="BY254" s="212">
        <f>IF(AND(Input_Product=Elig!$C254,Elig_MatchAll_Ct&lt;22,$BC254=(Elig_MatchAll_Ct-1),AV254=0),T254,0)</f>
        <v>0</v>
      </c>
      <c r="BZ254" s="213">
        <f>IF(AND(Input_Product=Elig!$C254,Elig_MatchAll_Ct&lt;22,$BC254=(Elig_MatchAll_Ct-1),AV254=0),U254,0)</f>
        <v>0</v>
      </c>
      <c r="CA254" s="212">
        <f>IF(AND(Input_Product=Elig!$C254,Elig_MatchAll_Ct&lt;22,$BC254=(Elig_MatchAll_Ct-1),AW254=0),V254,0)</f>
        <v>0</v>
      </c>
      <c r="CB254" s="213">
        <f>IF(AND(Input_Product=Elig!$C254,Elig_MatchAll_Ct&lt;22,$BC254=(Elig_MatchAll_Ct-1),AW254=0),W254,0)</f>
        <v>0</v>
      </c>
      <c r="CC254" s="212">
        <f>IF(AND(Input_Product=Elig!$C254,Elig_MatchAll_Ct&lt;22,$BC254=(Elig_MatchAll_Ct-1),AX254=0),X254,0)</f>
        <v>0</v>
      </c>
      <c r="CD254" s="213">
        <f>IF(AND(Input_Product=Elig!$C254,Elig_MatchAll_Ct&lt;22,$BC254=(Elig_MatchAll_Ct-1),AX254=0),Y254,0)</f>
        <v>0</v>
      </c>
      <c r="CE254" s="212">
        <f>IF(AND(Input_LTV&lt;=AE254,Input_Product=Elig!$C254,Elig_MatchAll_Ct&lt;22,$BC254=(Elig_MatchAll_Ct-1),AY254=0),Z254,0)</f>
        <v>0</v>
      </c>
      <c r="CF254" s="213">
        <f>IF(AND(Input_LTV&lt;=AE254,Input_Product=Elig!$C254,Elig_MatchAll_Ct&lt;22,$BC254=(Elig_MatchAll_Ct-1),AY254=0),AA254,0)</f>
        <v>0</v>
      </c>
      <c r="CG254" s="212">
        <f>IF(AND(Input_Product=Elig!$C254,Elig_MatchAll_Ct&lt;22,$BC254=(Elig_MatchAll_Ct-1),AZ254=0),AB254,0)</f>
        <v>0</v>
      </c>
      <c r="CH254" s="213">
        <f>IF(AND(Input_Product=Elig!$C254,Elig_MatchAll_Ct&lt;22,$BC254=(Elig_MatchAll_Ct-1),AZ254=0),AC254,0)</f>
        <v>0</v>
      </c>
      <c r="CI254" s="212">
        <f>IF(AND(Input_Product=Elig!$C254,Elig_MatchAll_Ct&lt;22,$BC254=(Elig_MatchAll_Ct-1),BA254=0),AD254,0)</f>
        <v>0</v>
      </c>
      <c r="CJ254" s="213">
        <f>IF(AND(Input_Product=Elig!$C254,Elig_MatchAll_Ct&lt;22,$BC254=(Elig_MatchAll_Ct-1),BA254=0),AE254,0)</f>
        <v>0</v>
      </c>
    </row>
    <row r="255" spans="2:89" ht="10.15" customHeight="1" x14ac:dyDescent="0.25">
      <c r="B255" s="1912" t="s">
        <v>3960</v>
      </c>
      <c r="C255" s="134" t="str">
        <f t="shared" si="115"/>
        <v>NonQM OO</v>
      </c>
      <c r="D255" s="135" t="s">
        <v>3885</v>
      </c>
      <c r="E255" s="135" t="s">
        <v>167</v>
      </c>
      <c r="F255" s="135" t="s">
        <v>331</v>
      </c>
      <c r="G255" s="135" t="s">
        <v>473</v>
      </c>
      <c r="H255" s="135" t="s">
        <v>136</v>
      </c>
      <c r="I255" s="136" t="s">
        <v>16</v>
      </c>
      <c r="J255" s="136" t="s">
        <v>1311</v>
      </c>
      <c r="K255" s="136" t="s">
        <v>1631</v>
      </c>
      <c r="L255" s="221" t="s">
        <v>3920</v>
      </c>
      <c r="M255" s="135" t="s">
        <v>4203</v>
      </c>
      <c r="N255" s="135" t="s">
        <v>82</v>
      </c>
      <c r="O255" s="135" t="s">
        <v>310</v>
      </c>
      <c r="P255" s="135" t="s">
        <v>291</v>
      </c>
      <c r="Q255" s="135" t="s">
        <v>294</v>
      </c>
      <c r="R255" s="221">
        <v>2500000.0099999998</v>
      </c>
      <c r="S255" s="135">
        <v>3000000</v>
      </c>
      <c r="T255" s="135">
        <v>0</v>
      </c>
      <c r="U255" s="135">
        <f t="shared" si="117"/>
        <v>3000000</v>
      </c>
      <c r="V255" s="135">
        <v>0</v>
      </c>
      <c r="W255" s="135">
        <v>55</v>
      </c>
      <c r="X255" s="135">
        <v>0</v>
      </c>
      <c r="Y255" s="135">
        <v>999</v>
      </c>
      <c r="Z255" s="137">
        <v>700</v>
      </c>
      <c r="AA255" s="137">
        <v>719</v>
      </c>
      <c r="AB255" s="137">
        <v>9</v>
      </c>
      <c r="AC255" s="137">
        <v>999999</v>
      </c>
      <c r="AD255" s="135">
        <v>0</v>
      </c>
      <c r="AE255" s="135">
        <v>65</v>
      </c>
      <c r="AF255" s="170">
        <v>0</v>
      </c>
      <c r="AG255" s="171">
        <v>1</v>
      </c>
      <c r="AH255" s="171">
        <v>1</v>
      </c>
      <c r="AI255" s="171">
        <v>1</v>
      </c>
      <c r="AJ255" s="171">
        <v>0</v>
      </c>
      <c r="AK255" s="171">
        <v>1</v>
      </c>
      <c r="AL255" s="171">
        <v>1</v>
      </c>
      <c r="AM255" s="171">
        <v>1</v>
      </c>
      <c r="AN255" s="171">
        <v>1</v>
      </c>
      <c r="AO255" s="171">
        <v>1</v>
      </c>
      <c r="AP255" s="171">
        <v>1</v>
      </c>
      <c r="AQ255" s="171">
        <v>1</v>
      </c>
      <c r="AR255" s="171">
        <v>1</v>
      </c>
      <c r="AS255" s="171">
        <v>1</v>
      </c>
      <c r="AT255" s="171">
        <v>1</v>
      </c>
      <c r="AU255" s="171">
        <f t="shared" si="58"/>
        <v>0</v>
      </c>
      <c r="AV255" s="171">
        <f t="shared" si="59"/>
        <v>1</v>
      </c>
      <c r="AW255" s="171">
        <f t="shared" si="60"/>
        <v>1</v>
      </c>
      <c r="AX255" s="171">
        <f t="shared" si="100"/>
        <v>1</v>
      </c>
      <c r="AY255" s="171">
        <f t="shared" si="61"/>
        <v>0</v>
      </c>
      <c r="AZ255" s="171">
        <f t="shared" si="62"/>
        <v>1</v>
      </c>
      <c r="BA255" s="172">
        <f t="shared" si="63"/>
        <v>1</v>
      </c>
      <c r="BB255" s="175">
        <f t="shared" si="110"/>
        <v>18</v>
      </c>
      <c r="BC255" s="176">
        <f t="shared" si="111"/>
        <v>17</v>
      </c>
      <c r="BD255" s="176">
        <f t="shared" si="112"/>
        <v>18</v>
      </c>
      <c r="BE255" s="240" t="str">
        <f t="shared" si="79"/>
        <v/>
      </c>
      <c r="BH255" s="199">
        <f>IF(AND(Input_Product=Elig!$C255,Elig_MatchAll_Ct&lt;22,$BC255=(Elig_MatchAll_Ct-1),AF255=0),C255,0)</f>
        <v>0</v>
      </c>
      <c r="BI255" s="199">
        <f>IF(AND(Input_Product=Elig!$C255,Elig_MatchAll_Ct&lt;22,$BC255=(Elig_MatchAll_Ct-1),AG255=0),D255,0)</f>
        <v>0</v>
      </c>
      <c r="BJ255" s="199">
        <f>IF(AND(Input_Product=Elig!$C255,Elig_MatchAll_Ct&lt;22,$BC255=(Elig_MatchAll_Ct-1),AH255=0),E255,0)</f>
        <v>0</v>
      </c>
      <c r="BK255" s="199">
        <f>IF(AND(Input_Product=Elig!$C255,Elig_MatchAll_Ct&lt;22,$BC255=(Elig_MatchAll_Ct-1),AI255=0),F255,0)</f>
        <v>0</v>
      </c>
      <c r="BL255" s="199">
        <f>IF(AND(Input_Product=Elig!$C255,Elig_MatchAll_Ct&lt;22,$BC255=(Elig_MatchAll_Ct-1),AJ255=0),G255,0)</f>
        <v>0</v>
      </c>
      <c r="BM255" s="199">
        <f>IF(AND(Input_Product=Elig!$C255,Elig_MatchAll_Ct&lt;22,$BC255=(Elig_MatchAll_Ct-1),AK255=0),H255,0)</f>
        <v>0</v>
      </c>
      <c r="BN255" s="199">
        <f>IF(AND(Input_Product=Elig!$C255,Elig_MatchAll_Ct&lt;22,$BC255=(Elig_MatchAll_Ct-1),AL255=0),I255,0)</f>
        <v>0</v>
      </c>
      <c r="BO255" s="199">
        <f>IF(AND(Input_Product=Elig!$C255,Elig_MatchAll_Ct&lt;22,$BC255=(Elig_MatchAll_Ct-1),AM255=0),J255,0)</f>
        <v>0</v>
      </c>
      <c r="BP255" s="199">
        <f>IF(AND(Input_Product=Elig!$C255,Elig_MatchAll_Ct&lt;22,$BC255=(Elig_MatchAll_Ct-1),AN255=0),K255,0)</f>
        <v>0</v>
      </c>
      <c r="BQ255" s="199">
        <f>IF(AND(Input_Product=Elig!$C255,Elig_MatchAll_Ct&lt;22,$BC255=(Elig_MatchAll_Ct-1),AP255=0),L255,0)</f>
        <v>0</v>
      </c>
      <c r="BR255" s="199">
        <f>IF(AND(Input_Product=Elig!$C255,Elig_MatchAll_Ct&lt;22,$BC255=(Elig_MatchAll_Ct-1),AO255=0),M255,0)</f>
        <v>0</v>
      </c>
      <c r="BS255" s="199">
        <f>IF(AND(Input_Product=Elig!$C255,Elig_MatchAll_Ct&lt;22,$BC255=(Elig_MatchAll_Ct-1),AQ255=0),N255,0)</f>
        <v>0</v>
      </c>
      <c r="BT255" s="199">
        <f>IF(AND(Input_Product=Elig!$C255,Elig_MatchAll_Ct&lt;22,$BC255=(Elig_MatchAll_Ct-1),AR255=0),O255,0)</f>
        <v>0</v>
      </c>
      <c r="BU255" s="199">
        <f>IF(AND(Input_Product=Elig!$C255,Elig_MatchAll_Ct&lt;22,$BC255=(Elig_MatchAll_Ct-1),AS255=0),P255,0)</f>
        <v>0</v>
      </c>
      <c r="BV255" s="200">
        <f>IF(AND(Input_Product=Elig!$C255,Elig_MatchAll_Ct&lt;22,$BC255=(Elig_MatchAll_Ct-1),AT255=0),Q255,0)</f>
        <v>0</v>
      </c>
      <c r="BW255" s="201">
        <f>IF(AND(Input_Product=Elig!$C255,Elig_MatchAll_Ct&lt;22,$BC255=(Elig_MatchAll_Ct-1),AU255=0),R255,0)</f>
        <v>0</v>
      </c>
      <c r="BX255" s="202">
        <f>IF(AND(Input_Product=Elig!$C255,Elig_MatchAll_Ct&lt;22,$BC255=(Elig_MatchAll_Ct-1),AU255=0),S255,0)</f>
        <v>0</v>
      </c>
      <c r="BY255" s="201">
        <f>IF(AND(Input_Product=Elig!$C255,Elig_MatchAll_Ct&lt;22,$BC255=(Elig_MatchAll_Ct-1),AV255=0),T255,0)</f>
        <v>0</v>
      </c>
      <c r="BZ255" s="202">
        <f>IF(AND(Input_Product=Elig!$C255,Elig_MatchAll_Ct&lt;22,$BC255=(Elig_MatchAll_Ct-1),AV255=0),U255,0)</f>
        <v>0</v>
      </c>
      <c r="CA255" s="201">
        <f>IF(AND(Input_Product=Elig!$C255,Elig_MatchAll_Ct&lt;22,$BC255=(Elig_MatchAll_Ct-1),AW255=0),V255,0)</f>
        <v>0</v>
      </c>
      <c r="CB255" s="202">
        <f>IF(AND(Input_Product=Elig!$C255,Elig_MatchAll_Ct&lt;22,$BC255=(Elig_MatchAll_Ct-1),AW255=0),W255,0)</f>
        <v>0</v>
      </c>
      <c r="CC255" s="201">
        <f>IF(AND(Input_Product=Elig!$C255,Elig_MatchAll_Ct&lt;22,$BC255=(Elig_MatchAll_Ct-1),AX255=0),X255,0)</f>
        <v>0</v>
      </c>
      <c r="CD255" s="202">
        <f>IF(AND(Input_Product=Elig!$C255,Elig_MatchAll_Ct&lt;22,$BC255=(Elig_MatchAll_Ct-1),AX255=0),Y255,0)</f>
        <v>0</v>
      </c>
      <c r="CE255" s="201">
        <f>IF(AND(Input_LTV&lt;=AE255,Input_Product=Elig!$C255,Elig_MatchAll_Ct&lt;22,$BC255=(Elig_MatchAll_Ct-1),AY255=0),Z255,0)</f>
        <v>0</v>
      </c>
      <c r="CF255" s="202">
        <f>IF(AND(Input_LTV&lt;=AE255,Input_Product=Elig!$C255,Elig_MatchAll_Ct&lt;22,$BC255=(Elig_MatchAll_Ct-1),AY255=0),AA255,0)</f>
        <v>0</v>
      </c>
      <c r="CG255" s="201">
        <f>IF(AND(Input_Product=Elig!$C255,Elig_MatchAll_Ct&lt;22,$BC255=(Elig_MatchAll_Ct-1),AZ255=0),AB255,0)</f>
        <v>0</v>
      </c>
      <c r="CH255" s="202">
        <f>IF(AND(Input_Product=Elig!$C255,Elig_MatchAll_Ct&lt;22,$BC255=(Elig_MatchAll_Ct-1),AZ255=0),AC255,0)</f>
        <v>0</v>
      </c>
      <c r="CI255" s="201">
        <f>IF(AND(Input_Product=Elig!$C255,Elig_MatchAll_Ct&lt;22,$BC255=(Elig_MatchAll_Ct-1),BA255=0),AD255,0)</f>
        <v>0</v>
      </c>
      <c r="CJ255" s="202">
        <f>IF(AND(Input_Product=Elig!$C255,Elig_MatchAll_Ct&lt;22,$BC255=(Elig_MatchAll_Ct-1),BA255=0),AE255,0)</f>
        <v>0</v>
      </c>
    </row>
    <row r="256" spans="2:89" ht="10.15" customHeight="1" x14ac:dyDescent="0.25">
      <c r="B256" s="1912" t="s">
        <v>3961</v>
      </c>
      <c r="C256" s="228" t="str">
        <f t="shared" si="115"/>
        <v>NonQM OO</v>
      </c>
      <c r="D256" s="24" t="s">
        <v>3885</v>
      </c>
      <c r="E256" s="24" t="s">
        <v>167</v>
      </c>
      <c r="F256" s="24" t="s">
        <v>331</v>
      </c>
      <c r="G256" s="24" t="s">
        <v>473</v>
      </c>
      <c r="H256" s="24" t="s">
        <v>136</v>
      </c>
      <c r="I256" s="145" t="s">
        <v>16</v>
      </c>
      <c r="J256" s="145" t="s">
        <v>1311</v>
      </c>
      <c r="K256" s="145" t="s">
        <v>1631</v>
      </c>
      <c r="L256" s="321" t="s">
        <v>3920</v>
      </c>
      <c r="M256" s="24" t="s">
        <v>4203</v>
      </c>
      <c r="N256" s="24" t="s">
        <v>82</v>
      </c>
      <c r="O256" s="24" t="s">
        <v>310</v>
      </c>
      <c r="P256" s="24" t="s">
        <v>291</v>
      </c>
      <c r="Q256" s="24" t="s">
        <v>294</v>
      </c>
      <c r="R256" s="321">
        <v>2500000.0099999998</v>
      </c>
      <c r="S256" s="24">
        <v>3000000</v>
      </c>
      <c r="T256" s="24">
        <v>0</v>
      </c>
      <c r="U256" s="24">
        <f t="shared" si="117"/>
        <v>3000000</v>
      </c>
      <c r="V256" s="24">
        <v>0</v>
      </c>
      <c r="W256" s="24">
        <v>55</v>
      </c>
      <c r="X256" s="24">
        <v>0</v>
      </c>
      <c r="Y256" s="24">
        <v>999</v>
      </c>
      <c r="Z256" s="25">
        <v>680</v>
      </c>
      <c r="AA256" s="25">
        <v>699</v>
      </c>
      <c r="AB256" s="25">
        <v>9</v>
      </c>
      <c r="AC256" s="25">
        <v>999999</v>
      </c>
      <c r="AD256" s="24">
        <v>0</v>
      </c>
      <c r="AE256" s="24">
        <v>65</v>
      </c>
      <c r="AF256" s="170">
        <v>0</v>
      </c>
      <c r="AG256" s="171">
        <v>1</v>
      </c>
      <c r="AH256" s="171">
        <v>1</v>
      </c>
      <c r="AI256" s="171">
        <v>1</v>
      </c>
      <c r="AJ256" s="171">
        <v>0</v>
      </c>
      <c r="AK256" s="171">
        <v>1</v>
      </c>
      <c r="AL256" s="171">
        <v>1</v>
      </c>
      <c r="AM256" s="171">
        <v>1</v>
      </c>
      <c r="AN256" s="171">
        <v>1</v>
      </c>
      <c r="AO256" s="171">
        <v>1</v>
      </c>
      <c r="AP256" s="171">
        <v>1</v>
      </c>
      <c r="AQ256" s="171">
        <v>1</v>
      </c>
      <c r="AR256" s="171">
        <v>1</v>
      </c>
      <c r="AS256" s="171">
        <v>1</v>
      </c>
      <c r="AT256" s="171">
        <v>1</v>
      </c>
      <c r="AU256" s="171">
        <f t="shared" si="58"/>
        <v>0</v>
      </c>
      <c r="AV256" s="171">
        <f t="shared" si="59"/>
        <v>1</v>
      </c>
      <c r="AW256" s="171">
        <f t="shared" si="60"/>
        <v>1</v>
      </c>
      <c r="AX256" s="171">
        <f t="shared" si="100"/>
        <v>1</v>
      </c>
      <c r="AY256" s="171">
        <f t="shared" si="61"/>
        <v>0</v>
      </c>
      <c r="AZ256" s="171">
        <f t="shared" si="62"/>
        <v>1</v>
      </c>
      <c r="BA256" s="172">
        <f t="shared" si="63"/>
        <v>1</v>
      </c>
      <c r="BB256" s="175">
        <f t="shared" si="110"/>
        <v>18</v>
      </c>
      <c r="BC256" s="176">
        <f t="shared" si="111"/>
        <v>17</v>
      </c>
      <c r="BD256" s="176">
        <f t="shared" si="112"/>
        <v>18</v>
      </c>
      <c r="BE256" s="240" t="str">
        <f t="shared" si="79"/>
        <v/>
      </c>
      <c r="BH256" s="214">
        <f>IF(AND(Input_Product=Elig!$C256,Elig_MatchAll_Ct&lt;22,$BC256=(Elig_MatchAll_Ct-1),AF256=0),C256,0)</f>
        <v>0</v>
      </c>
      <c r="BI256" s="214">
        <f>IF(AND(Input_Product=Elig!$C256,Elig_MatchAll_Ct&lt;22,$BC256=(Elig_MatchAll_Ct-1),AG256=0),D256,0)</f>
        <v>0</v>
      </c>
      <c r="BJ256" s="214">
        <f>IF(AND(Input_Product=Elig!$C256,Elig_MatchAll_Ct&lt;22,$BC256=(Elig_MatchAll_Ct-1),AH256=0),E256,0)</f>
        <v>0</v>
      </c>
      <c r="BK256" s="214">
        <f>IF(AND(Input_Product=Elig!$C256,Elig_MatchAll_Ct&lt;22,$BC256=(Elig_MatchAll_Ct-1),AI256=0),F256,0)</f>
        <v>0</v>
      </c>
      <c r="BL256" s="214">
        <f>IF(AND(Input_Product=Elig!$C256,Elig_MatchAll_Ct&lt;22,$BC256=(Elig_MatchAll_Ct-1),AJ256=0),G256,0)</f>
        <v>0</v>
      </c>
      <c r="BM256" s="214">
        <f>IF(AND(Input_Product=Elig!$C256,Elig_MatchAll_Ct&lt;22,$BC256=(Elig_MatchAll_Ct-1),AK256=0),H256,0)</f>
        <v>0</v>
      </c>
      <c r="BN256" s="214">
        <f>IF(AND(Input_Product=Elig!$C256,Elig_MatchAll_Ct&lt;22,$BC256=(Elig_MatchAll_Ct-1),AL256=0),I256,0)</f>
        <v>0</v>
      </c>
      <c r="BO256" s="214">
        <f>IF(AND(Input_Product=Elig!$C256,Elig_MatchAll_Ct&lt;22,$BC256=(Elig_MatchAll_Ct-1),AM256=0),J256,0)</f>
        <v>0</v>
      </c>
      <c r="BP256" s="214">
        <f>IF(AND(Input_Product=Elig!$C256,Elig_MatchAll_Ct&lt;22,$BC256=(Elig_MatchAll_Ct-1),AN256=0),K256,0)</f>
        <v>0</v>
      </c>
      <c r="BQ256" s="214">
        <f>IF(AND(Input_Product=Elig!$C256,Elig_MatchAll_Ct&lt;22,$BC256=(Elig_MatchAll_Ct-1),AP256=0),L256,0)</f>
        <v>0</v>
      </c>
      <c r="BR256" s="214">
        <f>IF(AND(Input_Product=Elig!$C256,Elig_MatchAll_Ct&lt;22,$BC256=(Elig_MatchAll_Ct-1),AO256=0),M256,0)</f>
        <v>0</v>
      </c>
      <c r="BS256" s="214">
        <f>IF(AND(Input_Product=Elig!$C256,Elig_MatchAll_Ct&lt;22,$BC256=(Elig_MatchAll_Ct-1),AQ256=0),N256,0)</f>
        <v>0</v>
      </c>
      <c r="BT256" s="214">
        <f>IF(AND(Input_Product=Elig!$C256,Elig_MatchAll_Ct&lt;22,$BC256=(Elig_MatchAll_Ct-1),AR256=0),O256,0)</f>
        <v>0</v>
      </c>
      <c r="BU256" s="214">
        <f>IF(AND(Input_Product=Elig!$C256,Elig_MatchAll_Ct&lt;22,$BC256=(Elig_MatchAll_Ct-1),AS256=0),P256,0)</f>
        <v>0</v>
      </c>
      <c r="BV256" s="215">
        <f>IF(AND(Input_Product=Elig!$C256,Elig_MatchAll_Ct&lt;22,$BC256=(Elig_MatchAll_Ct-1),AT256=0),Q256,0)</f>
        <v>0</v>
      </c>
      <c r="BW256" s="311">
        <f>IF(AND(Input_Product=Elig!$C256,Elig_MatchAll_Ct&lt;22,$BC256=(Elig_MatchAll_Ct-1),AU256=0),R256,0)</f>
        <v>0</v>
      </c>
      <c r="BX256" s="312">
        <f>IF(AND(Input_Product=Elig!$C256,Elig_MatchAll_Ct&lt;22,$BC256=(Elig_MatchAll_Ct-1),AU256=0),S256,0)</f>
        <v>0</v>
      </c>
      <c r="BY256" s="311">
        <f>IF(AND(Input_Product=Elig!$C256,Elig_MatchAll_Ct&lt;22,$BC256=(Elig_MatchAll_Ct-1),AV256=0),T256,0)</f>
        <v>0</v>
      </c>
      <c r="BZ256" s="312">
        <f>IF(AND(Input_Product=Elig!$C256,Elig_MatchAll_Ct&lt;22,$BC256=(Elig_MatchAll_Ct-1),AV256=0),U256,0)</f>
        <v>0</v>
      </c>
      <c r="CA256" s="311">
        <f>IF(AND(Input_Product=Elig!$C256,Elig_MatchAll_Ct&lt;22,$BC256=(Elig_MatchAll_Ct-1),AW256=0),V256,0)</f>
        <v>0</v>
      </c>
      <c r="CB256" s="312">
        <f>IF(AND(Input_Product=Elig!$C256,Elig_MatchAll_Ct&lt;22,$BC256=(Elig_MatchAll_Ct-1),AW256=0),W256,0)</f>
        <v>0</v>
      </c>
      <c r="CC256" s="311">
        <f>IF(AND(Input_Product=Elig!$C256,Elig_MatchAll_Ct&lt;22,$BC256=(Elig_MatchAll_Ct-1),AX256=0),X256,0)</f>
        <v>0</v>
      </c>
      <c r="CD256" s="312">
        <f>IF(AND(Input_Product=Elig!$C256,Elig_MatchAll_Ct&lt;22,$BC256=(Elig_MatchAll_Ct-1),AX256=0),Y256,0)</f>
        <v>0</v>
      </c>
      <c r="CE256" s="311">
        <f>IF(AND(Input_LTV&lt;=AE256,Input_Product=Elig!$C256,Elig_MatchAll_Ct&lt;22,$BC256=(Elig_MatchAll_Ct-1),AY256=0),Z256,0)</f>
        <v>0</v>
      </c>
      <c r="CF256" s="312">
        <f>IF(AND(Input_LTV&lt;=AE256,Input_Product=Elig!$C256,Elig_MatchAll_Ct&lt;22,$BC256=(Elig_MatchAll_Ct-1),AY256=0),AA256,0)</f>
        <v>0</v>
      </c>
      <c r="CG256" s="311">
        <f>IF(AND(Input_Product=Elig!$C256,Elig_MatchAll_Ct&lt;22,$BC256=(Elig_MatchAll_Ct-1),AZ256=0),AB256,0)</f>
        <v>0</v>
      </c>
      <c r="CH256" s="312">
        <f>IF(AND(Input_Product=Elig!$C256,Elig_MatchAll_Ct&lt;22,$BC256=(Elig_MatchAll_Ct-1),AZ256=0),AC256,0)</f>
        <v>0</v>
      </c>
      <c r="CI256" s="311">
        <f>IF(AND(Input_Product=Elig!$C256,Elig_MatchAll_Ct&lt;22,$BC256=(Elig_MatchAll_Ct-1),BA256=0),AD256,0)</f>
        <v>0</v>
      </c>
      <c r="CJ256" s="312">
        <f>IF(AND(Input_Product=Elig!$C256,Elig_MatchAll_Ct&lt;22,$BC256=(Elig_MatchAll_Ct-1),BA256=0),AE256,0)</f>
        <v>0</v>
      </c>
    </row>
    <row r="257" spans="2:88" ht="10.15" customHeight="1" x14ac:dyDescent="0.25">
      <c r="B257" s="1912" t="s">
        <v>3962</v>
      </c>
      <c r="C257" s="141" t="str">
        <f t="shared" ref="C257:C274" si="118">Input_Name_Product1</f>
        <v>NonQM OO</v>
      </c>
      <c r="D257" s="142" t="s">
        <v>3885</v>
      </c>
      <c r="E257" s="143" t="s">
        <v>167</v>
      </c>
      <c r="F257" s="143" t="s">
        <v>331</v>
      </c>
      <c r="G257" s="143" t="s">
        <v>303</v>
      </c>
      <c r="H257" s="143" t="s">
        <v>136</v>
      </c>
      <c r="I257" s="142" t="s">
        <v>274</v>
      </c>
      <c r="J257" s="142" t="s">
        <v>1311</v>
      </c>
      <c r="K257" s="142" t="s">
        <v>1631</v>
      </c>
      <c r="L257" s="2131" t="s">
        <v>3920</v>
      </c>
      <c r="M257" s="143" t="s">
        <v>4203</v>
      </c>
      <c r="N257" s="143" t="s">
        <v>82</v>
      </c>
      <c r="O257" s="143" t="s">
        <v>310</v>
      </c>
      <c r="P257" s="143" t="s">
        <v>291</v>
      </c>
      <c r="Q257" s="143" t="s">
        <v>294</v>
      </c>
      <c r="R257" s="320">
        <v>3000000.01</v>
      </c>
      <c r="S257" s="320">
        <v>3500000</v>
      </c>
      <c r="T257" s="142">
        <v>0</v>
      </c>
      <c r="U257" s="142">
        <v>0</v>
      </c>
      <c r="V257" s="142">
        <v>0</v>
      </c>
      <c r="W257" s="142">
        <v>55</v>
      </c>
      <c r="X257" s="142">
        <v>0</v>
      </c>
      <c r="Y257" s="142">
        <v>999</v>
      </c>
      <c r="Z257" s="144">
        <v>720</v>
      </c>
      <c r="AA257" s="144">
        <v>999</v>
      </c>
      <c r="AB257" s="144">
        <v>9</v>
      </c>
      <c r="AC257" s="144">
        <v>999999</v>
      </c>
      <c r="AD257" s="142">
        <v>0</v>
      </c>
      <c r="AE257" s="320">
        <v>70</v>
      </c>
      <c r="AF257" s="170">
        <v>0</v>
      </c>
      <c r="AG257" s="171">
        <v>1</v>
      </c>
      <c r="AH257" s="171">
        <v>1</v>
      </c>
      <c r="AI257" s="171">
        <v>1</v>
      </c>
      <c r="AJ257" s="171">
        <v>1</v>
      </c>
      <c r="AK257" s="171">
        <v>1</v>
      </c>
      <c r="AL257" s="171">
        <v>0</v>
      </c>
      <c r="AM257" s="171">
        <v>1</v>
      </c>
      <c r="AN257" s="171">
        <v>1</v>
      </c>
      <c r="AO257" s="171">
        <v>1</v>
      </c>
      <c r="AP257" s="171">
        <v>1</v>
      </c>
      <c r="AQ257" s="171">
        <v>1</v>
      </c>
      <c r="AR257" s="171">
        <v>1</v>
      </c>
      <c r="AS257" s="171">
        <v>1</v>
      </c>
      <c r="AT257" s="171">
        <v>1</v>
      </c>
      <c r="AU257" s="171">
        <f t="shared" si="58"/>
        <v>0</v>
      </c>
      <c r="AV257" s="171">
        <f t="shared" si="59"/>
        <v>0</v>
      </c>
      <c r="AW257" s="171">
        <f t="shared" si="60"/>
        <v>1</v>
      </c>
      <c r="AX257" s="171">
        <f t="shared" si="100"/>
        <v>1</v>
      </c>
      <c r="AY257" s="171">
        <f t="shared" si="61"/>
        <v>1</v>
      </c>
      <c r="AZ257" s="171">
        <f t="shared" si="62"/>
        <v>1</v>
      </c>
      <c r="BA257" s="172">
        <f t="shared" si="63"/>
        <v>1</v>
      </c>
      <c r="BB257" s="175">
        <f t="shared" ref="BB257:BB268" si="119">SUM(AF257:BA257)</f>
        <v>18</v>
      </c>
      <c r="BC257" s="176">
        <f t="shared" ref="BC257:BC268" si="120">SUM(AF257:AZ257)</f>
        <v>17</v>
      </c>
      <c r="BD257" s="176">
        <f t="shared" ref="BD257:BD268" si="121">SUM(AG257:BA257)</f>
        <v>18</v>
      </c>
      <c r="BE257" s="240" t="str">
        <f t="shared" si="79"/>
        <v/>
      </c>
      <c r="BH257" s="210">
        <f>IF(AND(Input_Product=Elig!$C257,Elig_MatchAll_Ct&lt;22,$BC257=(Elig_MatchAll_Ct-1),AF257=0),C257,0)</f>
        <v>0</v>
      </c>
      <c r="BI257" s="210">
        <f>IF(AND(Input_Product=Elig!$C257,Elig_MatchAll_Ct&lt;22,$BC257=(Elig_MatchAll_Ct-1),AG257=0),D257,0)</f>
        <v>0</v>
      </c>
      <c r="BJ257" s="210">
        <f>IF(AND(Input_Product=Elig!$C257,Elig_MatchAll_Ct&lt;22,$BC257=(Elig_MatchAll_Ct-1),AH257=0),E257,0)</f>
        <v>0</v>
      </c>
      <c r="BK257" s="210">
        <f>IF(AND(Input_Product=Elig!$C257,Elig_MatchAll_Ct&lt;22,$BC257=(Elig_MatchAll_Ct-1),AI257=0),F257,0)</f>
        <v>0</v>
      </c>
      <c r="BL257" s="210">
        <f>IF(AND(Input_Product=Elig!$C257,Elig_MatchAll_Ct&lt;22,$BC257=(Elig_MatchAll_Ct-1),AJ257=0),G257,0)</f>
        <v>0</v>
      </c>
      <c r="BM257" s="210">
        <f>IF(AND(Input_Product=Elig!$C257,Elig_MatchAll_Ct&lt;22,$BC257=(Elig_MatchAll_Ct-1),AK257=0),H257,0)</f>
        <v>0</v>
      </c>
      <c r="BN257" s="210">
        <f>IF(AND(Input_Product=Elig!$C257,Elig_MatchAll_Ct&lt;22,$BC257=(Elig_MatchAll_Ct-1),AL257=0),I257,0)</f>
        <v>0</v>
      </c>
      <c r="BO257" s="210">
        <f>IF(AND(Input_Product=Elig!$C257,Elig_MatchAll_Ct&lt;22,$BC257=(Elig_MatchAll_Ct-1),AM257=0),J257,0)</f>
        <v>0</v>
      </c>
      <c r="BP257" s="210">
        <f>IF(AND(Input_Product=Elig!$C257,Elig_MatchAll_Ct&lt;22,$BC257=(Elig_MatchAll_Ct-1),AN257=0),K257,0)</f>
        <v>0</v>
      </c>
      <c r="BQ257" s="210">
        <f>IF(AND(Input_Product=Elig!$C257,Elig_MatchAll_Ct&lt;22,$BC257=(Elig_MatchAll_Ct-1),AP257=0),L257,0)</f>
        <v>0</v>
      </c>
      <c r="BR257" s="210">
        <f>IF(AND(Input_Product=Elig!$C257,Elig_MatchAll_Ct&lt;22,$BC257=(Elig_MatchAll_Ct-1),AO257=0),M257,0)</f>
        <v>0</v>
      </c>
      <c r="BS257" s="210">
        <f>IF(AND(Input_Product=Elig!$C257,Elig_MatchAll_Ct&lt;22,$BC257=(Elig_MatchAll_Ct-1),AQ257=0),N257,0)</f>
        <v>0</v>
      </c>
      <c r="BT257" s="210">
        <f>IF(AND(Input_Product=Elig!$C257,Elig_MatchAll_Ct&lt;22,$BC257=(Elig_MatchAll_Ct-1),AR257=0),O257,0)</f>
        <v>0</v>
      </c>
      <c r="BU257" s="210">
        <f>IF(AND(Input_Product=Elig!$C257,Elig_MatchAll_Ct&lt;22,$BC257=(Elig_MatchAll_Ct-1),AS257=0),P257,0)</f>
        <v>0</v>
      </c>
      <c r="BV257" s="211">
        <f>IF(AND(Input_Product=Elig!$C257,Elig_MatchAll_Ct&lt;22,$BC257=(Elig_MatchAll_Ct-1),AT257=0),Q257,0)</f>
        <v>0</v>
      </c>
      <c r="BW257" s="212">
        <f>IF(AND(Input_Product=Elig!$C257,Elig_MatchAll_Ct&lt;22,$BC257=(Elig_MatchAll_Ct-1),AU257=0),R257,0)</f>
        <v>0</v>
      </c>
      <c r="BX257" s="213">
        <f>IF(AND(Input_Product=Elig!$C257,Elig_MatchAll_Ct&lt;22,$BC257=(Elig_MatchAll_Ct-1),AU257=0),S257,0)</f>
        <v>0</v>
      </c>
      <c r="BY257" s="212">
        <f>IF(AND(Input_Product=Elig!$C257,Elig_MatchAll_Ct&lt;22,$BC257=(Elig_MatchAll_Ct-1),AV257=0),T257,0)</f>
        <v>0</v>
      </c>
      <c r="BZ257" s="213">
        <f>IF(AND(Input_Product=Elig!$C257,Elig_MatchAll_Ct&lt;22,$BC257=(Elig_MatchAll_Ct-1),AV257=0),U257,0)</f>
        <v>0</v>
      </c>
      <c r="CA257" s="212">
        <f>IF(AND(Input_Product=Elig!$C257,Elig_MatchAll_Ct&lt;22,$BC257=(Elig_MatchAll_Ct-1),AW257=0),V257,0)</f>
        <v>0</v>
      </c>
      <c r="CB257" s="213">
        <f>IF(AND(Input_Product=Elig!$C257,Elig_MatchAll_Ct&lt;22,$BC257=(Elig_MatchAll_Ct-1),AW257=0),W257,0)</f>
        <v>0</v>
      </c>
      <c r="CC257" s="212">
        <f>IF(AND(Input_Product=Elig!$C257,Elig_MatchAll_Ct&lt;22,$BC257=(Elig_MatchAll_Ct-1),AX257=0),X257,0)</f>
        <v>0</v>
      </c>
      <c r="CD257" s="213">
        <f>IF(AND(Input_Product=Elig!$C257,Elig_MatchAll_Ct&lt;22,$BC257=(Elig_MatchAll_Ct-1),AX257=0),Y257,0)</f>
        <v>0</v>
      </c>
      <c r="CE257" s="212">
        <f>IF(AND(Input_LTV&lt;=AE257,Input_Product=Elig!$C257,Elig_MatchAll_Ct&lt;22,$BC257=(Elig_MatchAll_Ct-1),AY257=0),Z257,0)</f>
        <v>0</v>
      </c>
      <c r="CF257" s="213">
        <f>IF(AND(Input_LTV&lt;=AE257,Input_Product=Elig!$C257,Elig_MatchAll_Ct&lt;22,$BC257=(Elig_MatchAll_Ct-1),AY257=0),AA257,0)</f>
        <v>0</v>
      </c>
      <c r="CG257" s="212">
        <f>IF(AND(Input_Product=Elig!$C257,Elig_MatchAll_Ct&lt;22,$BC257=(Elig_MatchAll_Ct-1),AZ257=0),AB257,0)</f>
        <v>0</v>
      </c>
      <c r="CH257" s="213">
        <f>IF(AND(Input_Product=Elig!$C257,Elig_MatchAll_Ct&lt;22,$BC257=(Elig_MatchAll_Ct-1),AZ257=0),AC257,0)</f>
        <v>0</v>
      </c>
      <c r="CI257" s="212">
        <f>IF(AND(Input_Product=Elig!$C257,Elig_MatchAll_Ct&lt;22,$BC257=(Elig_MatchAll_Ct-1),BA257=0),AD257,0)</f>
        <v>0</v>
      </c>
      <c r="CJ257" s="213">
        <f>IF(AND(Input_Product=Elig!$C257,Elig_MatchAll_Ct&lt;22,$BC257=(Elig_MatchAll_Ct-1),BA257=0),AE257,0)</f>
        <v>0</v>
      </c>
    </row>
    <row r="258" spans="2:88" ht="10.15" customHeight="1" x14ac:dyDescent="0.25">
      <c r="B258" s="1912" t="s">
        <v>3963</v>
      </c>
      <c r="C258" s="134" t="str">
        <f t="shared" si="118"/>
        <v>NonQM OO</v>
      </c>
      <c r="D258" s="135" t="s">
        <v>3885</v>
      </c>
      <c r="E258" s="135" t="s">
        <v>167</v>
      </c>
      <c r="F258" s="135" t="s">
        <v>331</v>
      </c>
      <c r="G258" s="135" t="s">
        <v>303</v>
      </c>
      <c r="H258" s="135" t="s">
        <v>136</v>
      </c>
      <c r="I258" s="136" t="s">
        <v>274</v>
      </c>
      <c r="J258" s="136" t="s">
        <v>1311</v>
      </c>
      <c r="K258" s="136" t="s">
        <v>1631</v>
      </c>
      <c r="L258" s="221" t="s">
        <v>3920</v>
      </c>
      <c r="M258" s="135" t="s">
        <v>4203</v>
      </c>
      <c r="N258" s="135" t="s">
        <v>82</v>
      </c>
      <c r="O258" s="135" t="s">
        <v>310</v>
      </c>
      <c r="P258" s="135" t="s">
        <v>291</v>
      </c>
      <c r="Q258" s="135" t="s">
        <v>294</v>
      </c>
      <c r="R258" s="221">
        <v>3000000.01</v>
      </c>
      <c r="S258" s="221">
        <v>3500000</v>
      </c>
      <c r="T258" s="135">
        <v>0</v>
      </c>
      <c r="U258" s="135">
        <v>0</v>
      </c>
      <c r="V258" s="135">
        <v>0</v>
      </c>
      <c r="W258" s="135">
        <v>55</v>
      </c>
      <c r="X258" s="135">
        <v>0</v>
      </c>
      <c r="Y258" s="135">
        <v>999</v>
      </c>
      <c r="Z258" s="137">
        <v>700</v>
      </c>
      <c r="AA258" s="137">
        <v>719</v>
      </c>
      <c r="AB258" s="137">
        <v>9</v>
      </c>
      <c r="AC258" s="137">
        <v>999999</v>
      </c>
      <c r="AD258" s="135">
        <v>0</v>
      </c>
      <c r="AE258" s="221">
        <v>70</v>
      </c>
      <c r="AF258" s="170">
        <v>0</v>
      </c>
      <c r="AG258" s="171">
        <v>1</v>
      </c>
      <c r="AH258" s="171">
        <v>1</v>
      </c>
      <c r="AI258" s="171">
        <v>1</v>
      </c>
      <c r="AJ258" s="171">
        <v>1</v>
      </c>
      <c r="AK258" s="171">
        <v>1</v>
      </c>
      <c r="AL258" s="171">
        <v>0</v>
      </c>
      <c r="AM258" s="171">
        <v>1</v>
      </c>
      <c r="AN258" s="171">
        <v>1</v>
      </c>
      <c r="AO258" s="171">
        <v>1</v>
      </c>
      <c r="AP258" s="171">
        <v>1</v>
      </c>
      <c r="AQ258" s="171">
        <v>1</v>
      </c>
      <c r="AR258" s="171">
        <v>1</v>
      </c>
      <c r="AS258" s="171">
        <v>1</v>
      </c>
      <c r="AT258" s="171">
        <v>1</v>
      </c>
      <c r="AU258" s="171">
        <f t="shared" si="58"/>
        <v>0</v>
      </c>
      <c r="AV258" s="171">
        <f t="shared" si="59"/>
        <v>0</v>
      </c>
      <c r="AW258" s="171">
        <f t="shared" si="60"/>
        <v>1</v>
      </c>
      <c r="AX258" s="171">
        <f t="shared" si="100"/>
        <v>1</v>
      </c>
      <c r="AY258" s="171">
        <f t="shared" si="61"/>
        <v>0</v>
      </c>
      <c r="AZ258" s="171">
        <f t="shared" si="62"/>
        <v>1</v>
      </c>
      <c r="BA258" s="172">
        <f t="shared" si="63"/>
        <v>1</v>
      </c>
      <c r="BB258" s="175">
        <f t="shared" si="119"/>
        <v>17</v>
      </c>
      <c r="BC258" s="176">
        <f t="shared" si="120"/>
        <v>16</v>
      </c>
      <c r="BD258" s="176">
        <f t="shared" si="121"/>
        <v>17</v>
      </c>
      <c r="BE258" s="240" t="str">
        <f t="shared" si="79"/>
        <v/>
      </c>
      <c r="BH258" s="199">
        <f>IF(AND(Input_Product=Elig!$C258,Elig_MatchAll_Ct&lt;22,$BC258=(Elig_MatchAll_Ct-1),AF258=0),C258,0)</f>
        <v>0</v>
      </c>
      <c r="BI258" s="199">
        <f>IF(AND(Input_Product=Elig!$C258,Elig_MatchAll_Ct&lt;22,$BC258=(Elig_MatchAll_Ct-1),AG258=0),D258,0)</f>
        <v>0</v>
      </c>
      <c r="BJ258" s="199">
        <f>IF(AND(Input_Product=Elig!$C258,Elig_MatchAll_Ct&lt;22,$BC258=(Elig_MatchAll_Ct-1),AH258=0),E258,0)</f>
        <v>0</v>
      </c>
      <c r="BK258" s="199">
        <f>IF(AND(Input_Product=Elig!$C258,Elig_MatchAll_Ct&lt;22,$BC258=(Elig_MatchAll_Ct-1),AI258=0),F258,0)</f>
        <v>0</v>
      </c>
      <c r="BL258" s="199">
        <f>IF(AND(Input_Product=Elig!$C258,Elig_MatchAll_Ct&lt;22,$BC258=(Elig_MatchAll_Ct-1),AJ258=0),G258,0)</f>
        <v>0</v>
      </c>
      <c r="BM258" s="199">
        <f>IF(AND(Input_Product=Elig!$C258,Elig_MatchAll_Ct&lt;22,$BC258=(Elig_MatchAll_Ct-1),AK258=0),H258,0)</f>
        <v>0</v>
      </c>
      <c r="BN258" s="199">
        <f>IF(AND(Input_Product=Elig!$C258,Elig_MatchAll_Ct&lt;22,$BC258=(Elig_MatchAll_Ct-1),AL258=0),I258,0)</f>
        <v>0</v>
      </c>
      <c r="BO258" s="199">
        <f>IF(AND(Input_Product=Elig!$C258,Elig_MatchAll_Ct&lt;22,$BC258=(Elig_MatchAll_Ct-1),AM258=0),J258,0)</f>
        <v>0</v>
      </c>
      <c r="BP258" s="199">
        <f>IF(AND(Input_Product=Elig!$C258,Elig_MatchAll_Ct&lt;22,$BC258=(Elig_MatchAll_Ct-1),AN258=0),K258,0)</f>
        <v>0</v>
      </c>
      <c r="BQ258" s="199">
        <f>IF(AND(Input_Product=Elig!$C258,Elig_MatchAll_Ct&lt;22,$BC258=(Elig_MatchAll_Ct-1),AP258=0),L258,0)</f>
        <v>0</v>
      </c>
      <c r="BR258" s="199">
        <f>IF(AND(Input_Product=Elig!$C258,Elig_MatchAll_Ct&lt;22,$BC258=(Elig_MatchAll_Ct-1),AO258=0),M258,0)</f>
        <v>0</v>
      </c>
      <c r="BS258" s="199">
        <f>IF(AND(Input_Product=Elig!$C258,Elig_MatchAll_Ct&lt;22,$BC258=(Elig_MatchAll_Ct-1),AQ258=0),N258,0)</f>
        <v>0</v>
      </c>
      <c r="BT258" s="199">
        <f>IF(AND(Input_Product=Elig!$C258,Elig_MatchAll_Ct&lt;22,$BC258=(Elig_MatchAll_Ct-1),AR258=0),O258,0)</f>
        <v>0</v>
      </c>
      <c r="BU258" s="199">
        <f>IF(AND(Input_Product=Elig!$C258,Elig_MatchAll_Ct&lt;22,$BC258=(Elig_MatchAll_Ct-1),AS258=0),P258,0)</f>
        <v>0</v>
      </c>
      <c r="BV258" s="200">
        <f>IF(AND(Input_Product=Elig!$C258,Elig_MatchAll_Ct&lt;22,$BC258=(Elig_MatchAll_Ct-1),AT258=0),Q258,0)</f>
        <v>0</v>
      </c>
      <c r="BW258" s="201">
        <f>IF(AND(Input_Product=Elig!$C258,Elig_MatchAll_Ct&lt;22,$BC258=(Elig_MatchAll_Ct-1),AU258=0),R258,0)</f>
        <v>0</v>
      </c>
      <c r="BX258" s="202">
        <f>IF(AND(Input_Product=Elig!$C258,Elig_MatchAll_Ct&lt;22,$BC258=(Elig_MatchAll_Ct-1),AU258=0),S258,0)</f>
        <v>0</v>
      </c>
      <c r="BY258" s="201">
        <f>IF(AND(Input_Product=Elig!$C258,Elig_MatchAll_Ct&lt;22,$BC258=(Elig_MatchAll_Ct-1),AV258=0),T258,0)</f>
        <v>0</v>
      </c>
      <c r="BZ258" s="202">
        <f>IF(AND(Input_Product=Elig!$C258,Elig_MatchAll_Ct&lt;22,$BC258=(Elig_MatchAll_Ct-1),AV258=0),U258,0)</f>
        <v>0</v>
      </c>
      <c r="CA258" s="201">
        <f>IF(AND(Input_Product=Elig!$C258,Elig_MatchAll_Ct&lt;22,$BC258=(Elig_MatchAll_Ct-1),AW258=0),V258,0)</f>
        <v>0</v>
      </c>
      <c r="CB258" s="202">
        <f>IF(AND(Input_Product=Elig!$C258,Elig_MatchAll_Ct&lt;22,$BC258=(Elig_MatchAll_Ct-1),AW258=0),W258,0)</f>
        <v>0</v>
      </c>
      <c r="CC258" s="201">
        <f>IF(AND(Input_Product=Elig!$C258,Elig_MatchAll_Ct&lt;22,$BC258=(Elig_MatchAll_Ct-1),AX258=0),X258,0)</f>
        <v>0</v>
      </c>
      <c r="CD258" s="202">
        <f>IF(AND(Input_Product=Elig!$C258,Elig_MatchAll_Ct&lt;22,$BC258=(Elig_MatchAll_Ct-1),AX258=0),Y258,0)</f>
        <v>0</v>
      </c>
      <c r="CE258" s="201">
        <f>IF(AND(Input_LTV&lt;=AE258,Input_Product=Elig!$C258,Elig_MatchAll_Ct&lt;22,$BC258=(Elig_MatchAll_Ct-1),AY258=0),Z258,0)</f>
        <v>0</v>
      </c>
      <c r="CF258" s="202">
        <f>IF(AND(Input_LTV&lt;=AE258,Input_Product=Elig!$C258,Elig_MatchAll_Ct&lt;22,$BC258=(Elig_MatchAll_Ct-1),AY258=0),AA258,0)</f>
        <v>0</v>
      </c>
      <c r="CG258" s="201">
        <f>IF(AND(Input_Product=Elig!$C258,Elig_MatchAll_Ct&lt;22,$BC258=(Elig_MatchAll_Ct-1),AZ258=0),AB258,0)</f>
        <v>0</v>
      </c>
      <c r="CH258" s="202">
        <f>IF(AND(Input_Product=Elig!$C258,Elig_MatchAll_Ct&lt;22,$BC258=(Elig_MatchAll_Ct-1),AZ258=0),AC258,0)</f>
        <v>0</v>
      </c>
      <c r="CI258" s="201">
        <f>IF(AND(Input_Product=Elig!$C258,Elig_MatchAll_Ct&lt;22,$BC258=(Elig_MatchAll_Ct-1),BA258=0),AD258,0)</f>
        <v>0</v>
      </c>
      <c r="CJ258" s="202">
        <f>IF(AND(Input_Product=Elig!$C258,Elig_MatchAll_Ct&lt;22,$BC258=(Elig_MatchAll_Ct-1),BA258=0),AE258,0)</f>
        <v>0</v>
      </c>
    </row>
    <row r="259" spans="2:88" ht="10.15" customHeight="1" x14ac:dyDescent="0.25">
      <c r="B259" s="1912" t="s">
        <v>3964</v>
      </c>
      <c r="C259" s="141" t="str">
        <f t="shared" si="118"/>
        <v>NonQM OO</v>
      </c>
      <c r="D259" s="142" t="s">
        <v>3885</v>
      </c>
      <c r="E259" s="143" t="s">
        <v>167</v>
      </c>
      <c r="F259" s="143" t="s">
        <v>331</v>
      </c>
      <c r="G259" s="143" t="s">
        <v>303</v>
      </c>
      <c r="H259" s="143" t="s">
        <v>136</v>
      </c>
      <c r="I259" s="142" t="s">
        <v>16</v>
      </c>
      <c r="J259" s="142" t="s">
        <v>1311</v>
      </c>
      <c r="K259" s="142" t="s">
        <v>1631</v>
      </c>
      <c r="L259" s="2131" t="s">
        <v>3920</v>
      </c>
      <c r="M259" s="143" t="s">
        <v>4203</v>
      </c>
      <c r="N259" s="143" t="s">
        <v>82</v>
      </c>
      <c r="O259" s="143" t="s">
        <v>310</v>
      </c>
      <c r="P259" s="143" t="s">
        <v>291</v>
      </c>
      <c r="Q259" s="143" t="s">
        <v>294</v>
      </c>
      <c r="R259" s="320">
        <v>3000000.01</v>
      </c>
      <c r="S259" s="320">
        <v>3500000</v>
      </c>
      <c r="T259" s="142">
        <v>0</v>
      </c>
      <c r="U259" s="142">
        <f t="shared" ref="U259:U260" si="122">S259</f>
        <v>3500000</v>
      </c>
      <c r="V259" s="142">
        <v>0</v>
      </c>
      <c r="W259" s="142">
        <v>55</v>
      </c>
      <c r="X259" s="142">
        <v>0</v>
      </c>
      <c r="Y259" s="142">
        <v>999</v>
      </c>
      <c r="Z259" s="144">
        <v>720</v>
      </c>
      <c r="AA259" s="144">
        <v>999</v>
      </c>
      <c r="AB259" s="144">
        <v>9</v>
      </c>
      <c r="AC259" s="144">
        <v>999999</v>
      </c>
      <c r="AD259" s="142">
        <v>0</v>
      </c>
      <c r="AE259" s="320">
        <v>55</v>
      </c>
      <c r="AF259" s="170">
        <v>0</v>
      </c>
      <c r="AG259" s="171">
        <v>1</v>
      </c>
      <c r="AH259" s="171">
        <v>1</v>
      </c>
      <c r="AI259" s="171">
        <v>1</v>
      </c>
      <c r="AJ259" s="171">
        <v>1</v>
      </c>
      <c r="AK259" s="171">
        <v>1</v>
      </c>
      <c r="AL259" s="171">
        <v>1</v>
      </c>
      <c r="AM259" s="171">
        <v>1</v>
      </c>
      <c r="AN259" s="171">
        <v>1</v>
      </c>
      <c r="AO259" s="171">
        <v>1</v>
      </c>
      <c r="AP259" s="171">
        <v>1</v>
      </c>
      <c r="AQ259" s="171">
        <v>1</v>
      </c>
      <c r="AR259" s="171">
        <v>1</v>
      </c>
      <c r="AS259" s="171">
        <v>1</v>
      </c>
      <c r="AT259" s="171">
        <v>1</v>
      </c>
      <c r="AU259" s="171">
        <f t="shared" si="58"/>
        <v>0</v>
      </c>
      <c r="AV259" s="171">
        <f t="shared" si="59"/>
        <v>1</v>
      </c>
      <c r="AW259" s="171">
        <f t="shared" si="60"/>
        <v>1</v>
      </c>
      <c r="AX259" s="171">
        <f t="shared" si="100"/>
        <v>1</v>
      </c>
      <c r="AY259" s="171">
        <f t="shared" si="61"/>
        <v>1</v>
      </c>
      <c r="AZ259" s="171">
        <f t="shared" si="62"/>
        <v>1</v>
      </c>
      <c r="BA259" s="172">
        <f t="shared" si="63"/>
        <v>0</v>
      </c>
      <c r="BB259" s="175">
        <f t="shared" si="119"/>
        <v>19</v>
      </c>
      <c r="BC259" s="176">
        <f t="shared" si="120"/>
        <v>19</v>
      </c>
      <c r="BD259" s="176">
        <f t="shared" si="121"/>
        <v>19</v>
      </c>
      <c r="BE259" s="240" t="str">
        <f t="shared" si="79"/>
        <v/>
      </c>
      <c r="BH259" s="210">
        <f>IF(AND(Input_Product=Elig!$C259,Elig_MatchAll_Ct&lt;22,$BC259=(Elig_MatchAll_Ct-1),AF259=0),C259,0)</f>
        <v>0</v>
      </c>
      <c r="BI259" s="210">
        <f>IF(AND(Input_Product=Elig!$C259,Elig_MatchAll_Ct&lt;22,$BC259=(Elig_MatchAll_Ct-1),AG259=0),D259,0)</f>
        <v>0</v>
      </c>
      <c r="BJ259" s="210">
        <f>IF(AND(Input_Product=Elig!$C259,Elig_MatchAll_Ct&lt;22,$BC259=(Elig_MatchAll_Ct-1),AH259=0),E259,0)</f>
        <v>0</v>
      </c>
      <c r="BK259" s="210">
        <f>IF(AND(Input_Product=Elig!$C259,Elig_MatchAll_Ct&lt;22,$BC259=(Elig_MatchAll_Ct-1),AI259=0),F259,0)</f>
        <v>0</v>
      </c>
      <c r="BL259" s="210">
        <f>IF(AND(Input_Product=Elig!$C259,Elig_MatchAll_Ct&lt;22,$BC259=(Elig_MatchAll_Ct-1),AJ259=0),G259,0)</f>
        <v>0</v>
      </c>
      <c r="BM259" s="210">
        <f>IF(AND(Input_Product=Elig!$C259,Elig_MatchAll_Ct&lt;22,$BC259=(Elig_MatchAll_Ct-1),AK259=0),H259,0)</f>
        <v>0</v>
      </c>
      <c r="BN259" s="210">
        <f>IF(AND(Input_Product=Elig!$C259,Elig_MatchAll_Ct&lt;22,$BC259=(Elig_MatchAll_Ct-1),AL259=0),I259,0)</f>
        <v>0</v>
      </c>
      <c r="BO259" s="210">
        <f>IF(AND(Input_Product=Elig!$C259,Elig_MatchAll_Ct&lt;22,$BC259=(Elig_MatchAll_Ct-1),AM259=0),J259,0)</f>
        <v>0</v>
      </c>
      <c r="BP259" s="210">
        <f>IF(AND(Input_Product=Elig!$C259,Elig_MatchAll_Ct&lt;22,$BC259=(Elig_MatchAll_Ct-1),AN259=0),K259,0)</f>
        <v>0</v>
      </c>
      <c r="BQ259" s="210">
        <f>IF(AND(Input_Product=Elig!$C259,Elig_MatchAll_Ct&lt;22,$BC259=(Elig_MatchAll_Ct-1),AP259=0),L259,0)</f>
        <v>0</v>
      </c>
      <c r="BR259" s="210">
        <f>IF(AND(Input_Product=Elig!$C259,Elig_MatchAll_Ct&lt;22,$BC259=(Elig_MatchAll_Ct-1),AO259=0),M259,0)</f>
        <v>0</v>
      </c>
      <c r="BS259" s="210">
        <f>IF(AND(Input_Product=Elig!$C259,Elig_MatchAll_Ct&lt;22,$BC259=(Elig_MatchAll_Ct-1),AQ259=0),N259,0)</f>
        <v>0</v>
      </c>
      <c r="BT259" s="210">
        <f>IF(AND(Input_Product=Elig!$C259,Elig_MatchAll_Ct&lt;22,$BC259=(Elig_MatchAll_Ct-1),AR259=0),O259,0)</f>
        <v>0</v>
      </c>
      <c r="BU259" s="210">
        <f>IF(AND(Input_Product=Elig!$C259,Elig_MatchAll_Ct&lt;22,$BC259=(Elig_MatchAll_Ct-1),AS259=0),P259,0)</f>
        <v>0</v>
      </c>
      <c r="BV259" s="211">
        <f>IF(AND(Input_Product=Elig!$C259,Elig_MatchAll_Ct&lt;22,$BC259=(Elig_MatchAll_Ct-1),AT259=0),Q259,0)</f>
        <v>0</v>
      </c>
      <c r="BW259" s="212">
        <f>IF(AND(Input_Product=Elig!$C259,Elig_MatchAll_Ct&lt;22,$BC259=(Elig_MatchAll_Ct-1),AU259=0),R259,0)</f>
        <v>0</v>
      </c>
      <c r="BX259" s="213">
        <f>IF(AND(Input_Product=Elig!$C259,Elig_MatchAll_Ct&lt;22,$BC259=(Elig_MatchAll_Ct-1),AU259=0),S259,0)</f>
        <v>0</v>
      </c>
      <c r="BY259" s="212">
        <f>IF(AND(Input_Product=Elig!$C259,Elig_MatchAll_Ct&lt;22,$BC259=(Elig_MatchAll_Ct-1),AV259=0),T259,0)</f>
        <v>0</v>
      </c>
      <c r="BZ259" s="213">
        <f>IF(AND(Input_Product=Elig!$C259,Elig_MatchAll_Ct&lt;22,$BC259=(Elig_MatchAll_Ct-1),AV259=0),U259,0)</f>
        <v>0</v>
      </c>
      <c r="CA259" s="212">
        <f>IF(AND(Input_Product=Elig!$C259,Elig_MatchAll_Ct&lt;22,$BC259=(Elig_MatchAll_Ct-1),AW259=0),V259,0)</f>
        <v>0</v>
      </c>
      <c r="CB259" s="213">
        <f>IF(AND(Input_Product=Elig!$C259,Elig_MatchAll_Ct&lt;22,$BC259=(Elig_MatchAll_Ct-1),AW259=0),W259,0)</f>
        <v>0</v>
      </c>
      <c r="CC259" s="212">
        <f>IF(AND(Input_Product=Elig!$C259,Elig_MatchAll_Ct&lt;22,$BC259=(Elig_MatchAll_Ct-1),AX259=0),X259,0)</f>
        <v>0</v>
      </c>
      <c r="CD259" s="213">
        <f>IF(AND(Input_Product=Elig!$C259,Elig_MatchAll_Ct&lt;22,$BC259=(Elig_MatchAll_Ct-1),AX259=0),Y259,0)</f>
        <v>0</v>
      </c>
      <c r="CE259" s="212">
        <f>IF(AND(Input_LTV&lt;=AE259,Input_Product=Elig!$C259,Elig_MatchAll_Ct&lt;22,$BC259=(Elig_MatchAll_Ct-1),AY259=0),Z259,0)</f>
        <v>0</v>
      </c>
      <c r="CF259" s="213">
        <f>IF(AND(Input_LTV&lt;=AE259,Input_Product=Elig!$C259,Elig_MatchAll_Ct&lt;22,$BC259=(Elig_MatchAll_Ct-1),AY259=0),AA259,0)</f>
        <v>0</v>
      </c>
      <c r="CG259" s="212">
        <f>IF(AND(Input_Product=Elig!$C259,Elig_MatchAll_Ct&lt;22,$BC259=(Elig_MatchAll_Ct-1),AZ259=0),AB259,0)</f>
        <v>0</v>
      </c>
      <c r="CH259" s="213">
        <f>IF(AND(Input_Product=Elig!$C259,Elig_MatchAll_Ct&lt;22,$BC259=(Elig_MatchAll_Ct-1),AZ259=0),AC259,0)</f>
        <v>0</v>
      </c>
      <c r="CI259" s="212">
        <f>IF(AND(Input_Product=Elig!$C259,Elig_MatchAll_Ct&lt;22,$BC259=(Elig_MatchAll_Ct-1),BA259=0),AD259,0)</f>
        <v>0</v>
      </c>
      <c r="CJ259" s="213">
        <f>IF(AND(Input_Product=Elig!$C259,Elig_MatchAll_Ct&lt;22,$BC259=(Elig_MatchAll_Ct-1),BA259=0),AE259,0)</f>
        <v>0</v>
      </c>
    </row>
    <row r="260" spans="2:88" ht="10.15" customHeight="1" x14ac:dyDescent="0.25">
      <c r="B260" s="1912" t="s">
        <v>3965</v>
      </c>
      <c r="C260" s="134" t="str">
        <f t="shared" si="118"/>
        <v>NonQM OO</v>
      </c>
      <c r="D260" s="135" t="s">
        <v>3885</v>
      </c>
      <c r="E260" s="135" t="s">
        <v>167</v>
      </c>
      <c r="F260" s="135" t="s">
        <v>331</v>
      </c>
      <c r="G260" s="135" t="s">
        <v>303</v>
      </c>
      <c r="H260" s="135" t="s">
        <v>136</v>
      </c>
      <c r="I260" s="136" t="s">
        <v>16</v>
      </c>
      <c r="J260" s="136" t="s">
        <v>1311</v>
      </c>
      <c r="K260" s="136" t="s">
        <v>1631</v>
      </c>
      <c r="L260" s="221" t="s">
        <v>3920</v>
      </c>
      <c r="M260" s="135" t="s">
        <v>4203</v>
      </c>
      <c r="N260" s="135" t="s">
        <v>82</v>
      </c>
      <c r="O260" s="135" t="s">
        <v>310</v>
      </c>
      <c r="P260" s="135" t="s">
        <v>291</v>
      </c>
      <c r="Q260" s="135" t="s">
        <v>294</v>
      </c>
      <c r="R260" s="221">
        <v>3000000.01</v>
      </c>
      <c r="S260" s="221">
        <v>3500000</v>
      </c>
      <c r="T260" s="135">
        <v>0</v>
      </c>
      <c r="U260" s="135">
        <f t="shared" si="122"/>
        <v>3500000</v>
      </c>
      <c r="V260" s="135">
        <v>0</v>
      </c>
      <c r="W260" s="135">
        <v>55</v>
      </c>
      <c r="X260" s="135">
        <v>0</v>
      </c>
      <c r="Y260" s="135">
        <v>999</v>
      </c>
      <c r="Z260" s="137">
        <v>700</v>
      </c>
      <c r="AA260" s="137">
        <v>719</v>
      </c>
      <c r="AB260" s="137">
        <v>9</v>
      </c>
      <c r="AC260" s="137">
        <v>999999</v>
      </c>
      <c r="AD260" s="135">
        <v>0</v>
      </c>
      <c r="AE260" s="221">
        <v>55</v>
      </c>
      <c r="AF260" s="170">
        <v>0</v>
      </c>
      <c r="AG260" s="171">
        <v>1</v>
      </c>
      <c r="AH260" s="171">
        <v>1</v>
      </c>
      <c r="AI260" s="171">
        <v>1</v>
      </c>
      <c r="AJ260" s="171">
        <v>1</v>
      </c>
      <c r="AK260" s="171">
        <v>1</v>
      </c>
      <c r="AL260" s="171">
        <v>1</v>
      </c>
      <c r="AM260" s="171">
        <v>1</v>
      </c>
      <c r="AN260" s="171">
        <v>1</v>
      </c>
      <c r="AO260" s="171">
        <v>1</v>
      </c>
      <c r="AP260" s="171">
        <v>1</v>
      </c>
      <c r="AQ260" s="171">
        <v>1</v>
      </c>
      <c r="AR260" s="171">
        <v>1</v>
      </c>
      <c r="AS260" s="171">
        <v>1</v>
      </c>
      <c r="AT260" s="171">
        <v>1</v>
      </c>
      <c r="AU260" s="171">
        <f t="shared" si="58"/>
        <v>0</v>
      </c>
      <c r="AV260" s="171">
        <f t="shared" si="59"/>
        <v>1</v>
      </c>
      <c r="AW260" s="171">
        <f t="shared" si="60"/>
        <v>1</v>
      </c>
      <c r="AX260" s="171">
        <f t="shared" si="100"/>
        <v>1</v>
      </c>
      <c r="AY260" s="171">
        <f t="shared" si="61"/>
        <v>0</v>
      </c>
      <c r="AZ260" s="171">
        <f t="shared" si="62"/>
        <v>1</v>
      </c>
      <c r="BA260" s="172">
        <f t="shared" si="63"/>
        <v>0</v>
      </c>
      <c r="BB260" s="175">
        <f t="shared" si="119"/>
        <v>18</v>
      </c>
      <c r="BC260" s="176">
        <f t="shared" si="120"/>
        <v>18</v>
      </c>
      <c r="BD260" s="176">
        <f t="shared" si="121"/>
        <v>18</v>
      </c>
      <c r="BE260" s="240" t="str">
        <f t="shared" si="79"/>
        <v/>
      </c>
      <c r="BH260" s="199">
        <f>IF(AND(Input_Product=Elig!$C260,Elig_MatchAll_Ct&lt;22,$BC260=(Elig_MatchAll_Ct-1),AF260=0),C260,0)</f>
        <v>0</v>
      </c>
      <c r="BI260" s="199">
        <f>IF(AND(Input_Product=Elig!$C260,Elig_MatchAll_Ct&lt;22,$BC260=(Elig_MatchAll_Ct-1),AG260=0),D260,0)</f>
        <v>0</v>
      </c>
      <c r="BJ260" s="199">
        <f>IF(AND(Input_Product=Elig!$C260,Elig_MatchAll_Ct&lt;22,$BC260=(Elig_MatchAll_Ct-1),AH260=0),E260,0)</f>
        <v>0</v>
      </c>
      <c r="BK260" s="199">
        <f>IF(AND(Input_Product=Elig!$C260,Elig_MatchAll_Ct&lt;22,$BC260=(Elig_MatchAll_Ct-1),AI260=0),F260,0)</f>
        <v>0</v>
      </c>
      <c r="BL260" s="199">
        <f>IF(AND(Input_Product=Elig!$C260,Elig_MatchAll_Ct&lt;22,$BC260=(Elig_MatchAll_Ct-1),AJ260=0),G260,0)</f>
        <v>0</v>
      </c>
      <c r="BM260" s="199">
        <f>IF(AND(Input_Product=Elig!$C260,Elig_MatchAll_Ct&lt;22,$BC260=(Elig_MatchAll_Ct-1),AK260=0),H260,0)</f>
        <v>0</v>
      </c>
      <c r="BN260" s="199">
        <f>IF(AND(Input_Product=Elig!$C260,Elig_MatchAll_Ct&lt;22,$BC260=(Elig_MatchAll_Ct-1),AL260=0),I260,0)</f>
        <v>0</v>
      </c>
      <c r="BO260" s="199">
        <f>IF(AND(Input_Product=Elig!$C260,Elig_MatchAll_Ct&lt;22,$BC260=(Elig_MatchAll_Ct-1),AM260=0),J260,0)</f>
        <v>0</v>
      </c>
      <c r="BP260" s="199">
        <f>IF(AND(Input_Product=Elig!$C260,Elig_MatchAll_Ct&lt;22,$BC260=(Elig_MatchAll_Ct-1),AN260=0),K260,0)</f>
        <v>0</v>
      </c>
      <c r="BQ260" s="199">
        <f>IF(AND(Input_Product=Elig!$C260,Elig_MatchAll_Ct&lt;22,$BC260=(Elig_MatchAll_Ct-1),AP260=0),L260,0)</f>
        <v>0</v>
      </c>
      <c r="BR260" s="199">
        <f>IF(AND(Input_Product=Elig!$C260,Elig_MatchAll_Ct&lt;22,$BC260=(Elig_MatchAll_Ct-1),AO260=0),M260,0)</f>
        <v>0</v>
      </c>
      <c r="BS260" s="199">
        <f>IF(AND(Input_Product=Elig!$C260,Elig_MatchAll_Ct&lt;22,$BC260=(Elig_MatchAll_Ct-1),AQ260=0),N260,0)</f>
        <v>0</v>
      </c>
      <c r="BT260" s="199">
        <f>IF(AND(Input_Product=Elig!$C260,Elig_MatchAll_Ct&lt;22,$BC260=(Elig_MatchAll_Ct-1),AR260=0),O260,0)</f>
        <v>0</v>
      </c>
      <c r="BU260" s="199">
        <f>IF(AND(Input_Product=Elig!$C260,Elig_MatchAll_Ct&lt;22,$BC260=(Elig_MatchAll_Ct-1),AS260=0),P260,0)</f>
        <v>0</v>
      </c>
      <c r="BV260" s="200">
        <f>IF(AND(Input_Product=Elig!$C260,Elig_MatchAll_Ct&lt;22,$BC260=(Elig_MatchAll_Ct-1),AT260=0),Q260,0)</f>
        <v>0</v>
      </c>
      <c r="BW260" s="201">
        <f>IF(AND(Input_Product=Elig!$C260,Elig_MatchAll_Ct&lt;22,$BC260=(Elig_MatchAll_Ct-1),AU260=0),R260,0)</f>
        <v>0</v>
      </c>
      <c r="BX260" s="202">
        <f>IF(AND(Input_Product=Elig!$C260,Elig_MatchAll_Ct&lt;22,$BC260=(Elig_MatchAll_Ct-1),AU260=0),S260,0)</f>
        <v>0</v>
      </c>
      <c r="BY260" s="201">
        <f>IF(AND(Input_Product=Elig!$C260,Elig_MatchAll_Ct&lt;22,$BC260=(Elig_MatchAll_Ct-1),AV260=0),T260,0)</f>
        <v>0</v>
      </c>
      <c r="BZ260" s="202">
        <f>IF(AND(Input_Product=Elig!$C260,Elig_MatchAll_Ct&lt;22,$BC260=(Elig_MatchAll_Ct-1),AV260=0),U260,0)</f>
        <v>0</v>
      </c>
      <c r="CA260" s="201">
        <f>IF(AND(Input_Product=Elig!$C260,Elig_MatchAll_Ct&lt;22,$BC260=(Elig_MatchAll_Ct-1),AW260=0),V260,0)</f>
        <v>0</v>
      </c>
      <c r="CB260" s="202">
        <f>IF(AND(Input_Product=Elig!$C260,Elig_MatchAll_Ct&lt;22,$BC260=(Elig_MatchAll_Ct-1),AW260=0),W260,0)</f>
        <v>0</v>
      </c>
      <c r="CC260" s="201">
        <f>IF(AND(Input_Product=Elig!$C260,Elig_MatchAll_Ct&lt;22,$BC260=(Elig_MatchAll_Ct-1),AX260=0),X260,0)</f>
        <v>0</v>
      </c>
      <c r="CD260" s="202">
        <f>IF(AND(Input_Product=Elig!$C260,Elig_MatchAll_Ct&lt;22,$BC260=(Elig_MatchAll_Ct-1),AX260=0),Y260,0)</f>
        <v>0</v>
      </c>
      <c r="CE260" s="201">
        <f>IF(AND(Input_LTV&lt;=AE260,Input_Product=Elig!$C260,Elig_MatchAll_Ct&lt;22,$BC260=(Elig_MatchAll_Ct-1),AY260=0),Z260,0)</f>
        <v>0</v>
      </c>
      <c r="CF260" s="202">
        <f>IF(AND(Input_LTV&lt;=AE260,Input_Product=Elig!$C260,Elig_MatchAll_Ct&lt;22,$BC260=(Elig_MatchAll_Ct-1),AY260=0),AA260,0)</f>
        <v>0</v>
      </c>
      <c r="CG260" s="201">
        <f>IF(AND(Input_Product=Elig!$C260,Elig_MatchAll_Ct&lt;22,$BC260=(Elig_MatchAll_Ct-1),AZ260=0),AB260,0)</f>
        <v>0</v>
      </c>
      <c r="CH260" s="202">
        <f>IF(AND(Input_Product=Elig!$C260,Elig_MatchAll_Ct&lt;22,$BC260=(Elig_MatchAll_Ct-1),AZ260=0),AC260,0)</f>
        <v>0</v>
      </c>
      <c r="CI260" s="201">
        <f>IF(AND(Input_Product=Elig!$C260,Elig_MatchAll_Ct&lt;22,$BC260=(Elig_MatchAll_Ct-1),BA260=0),AD260,0)</f>
        <v>0</v>
      </c>
      <c r="CJ260" s="202">
        <f>IF(AND(Input_Product=Elig!$C260,Elig_MatchAll_Ct&lt;22,$BC260=(Elig_MatchAll_Ct-1),BA260=0),AE260,0)</f>
        <v>0</v>
      </c>
    </row>
    <row r="261" spans="2:88" ht="10.15" customHeight="1" x14ac:dyDescent="0.25">
      <c r="B261" s="1912" t="s">
        <v>3966</v>
      </c>
      <c r="C261" s="141" t="str">
        <f t="shared" si="118"/>
        <v>NonQM OO</v>
      </c>
      <c r="D261" s="142" t="s">
        <v>3885</v>
      </c>
      <c r="E261" s="143" t="s">
        <v>167</v>
      </c>
      <c r="F261" s="143" t="s">
        <v>331</v>
      </c>
      <c r="G261" s="143" t="s">
        <v>304</v>
      </c>
      <c r="H261" s="143" t="s">
        <v>446</v>
      </c>
      <c r="I261" s="142" t="s">
        <v>274</v>
      </c>
      <c r="J261" s="142" t="s">
        <v>1311</v>
      </c>
      <c r="K261" s="142" t="s">
        <v>1631</v>
      </c>
      <c r="L261" s="2131" t="s">
        <v>3920</v>
      </c>
      <c r="M261" s="143" t="s">
        <v>4203</v>
      </c>
      <c r="N261" s="143" t="s">
        <v>82</v>
      </c>
      <c r="O261" s="143" t="s">
        <v>310</v>
      </c>
      <c r="P261" s="143" t="s">
        <v>291</v>
      </c>
      <c r="Q261" s="143" t="s">
        <v>294</v>
      </c>
      <c r="R261" s="320">
        <v>3000000.01</v>
      </c>
      <c r="S261" s="320">
        <v>3500000</v>
      </c>
      <c r="T261" s="142">
        <v>0</v>
      </c>
      <c r="U261" s="142">
        <v>0</v>
      </c>
      <c r="V261" s="142">
        <v>0</v>
      </c>
      <c r="W261" s="142">
        <v>55</v>
      </c>
      <c r="X261" s="142">
        <v>0</v>
      </c>
      <c r="Y261" s="142">
        <v>999</v>
      </c>
      <c r="Z261" s="144">
        <v>720</v>
      </c>
      <c r="AA261" s="144">
        <v>999</v>
      </c>
      <c r="AB261" s="144">
        <v>9</v>
      </c>
      <c r="AC261" s="144">
        <v>999999</v>
      </c>
      <c r="AD261" s="142">
        <v>0</v>
      </c>
      <c r="AE261" s="320">
        <v>70</v>
      </c>
      <c r="AF261" s="170">
        <v>0</v>
      </c>
      <c r="AG261" s="171">
        <v>1</v>
      </c>
      <c r="AH261" s="171">
        <v>1</v>
      </c>
      <c r="AI261" s="171">
        <v>1</v>
      </c>
      <c r="AJ261" s="171">
        <v>0</v>
      </c>
      <c r="AK261" s="171">
        <v>0</v>
      </c>
      <c r="AL261" s="171">
        <v>0</v>
      </c>
      <c r="AM261" s="171">
        <v>1</v>
      </c>
      <c r="AN261" s="171">
        <v>1</v>
      </c>
      <c r="AO261" s="171">
        <v>1</v>
      </c>
      <c r="AP261" s="171">
        <v>1</v>
      </c>
      <c r="AQ261" s="171">
        <v>1</v>
      </c>
      <c r="AR261" s="171">
        <v>1</v>
      </c>
      <c r="AS261" s="171">
        <v>1</v>
      </c>
      <c r="AT261" s="171">
        <v>1</v>
      </c>
      <c r="AU261" s="171">
        <f t="shared" si="58"/>
        <v>0</v>
      </c>
      <c r="AV261" s="171">
        <f t="shared" si="59"/>
        <v>0</v>
      </c>
      <c r="AW261" s="171">
        <f t="shared" si="60"/>
        <v>1</v>
      </c>
      <c r="AX261" s="171">
        <f t="shared" si="100"/>
        <v>1</v>
      </c>
      <c r="AY261" s="171">
        <f t="shared" si="61"/>
        <v>1</v>
      </c>
      <c r="AZ261" s="171">
        <f t="shared" si="62"/>
        <v>1</v>
      </c>
      <c r="BA261" s="172">
        <f t="shared" si="63"/>
        <v>1</v>
      </c>
      <c r="BB261" s="175">
        <f t="shared" si="119"/>
        <v>16</v>
      </c>
      <c r="BC261" s="176">
        <f t="shared" si="120"/>
        <v>15</v>
      </c>
      <c r="BD261" s="176">
        <f t="shared" si="121"/>
        <v>16</v>
      </c>
      <c r="BE261" s="240" t="str">
        <f t="shared" si="79"/>
        <v/>
      </c>
      <c r="BH261" s="210">
        <f>IF(AND(Input_Product=Elig!$C261,Elig_MatchAll_Ct&lt;22,$BC261=(Elig_MatchAll_Ct-1),AF261=0),C261,0)</f>
        <v>0</v>
      </c>
      <c r="BI261" s="210">
        <f>IF(AND(Input_Product=Elig!$C261,Elig_MatchAll_Ct&lt;22,$BC261=(Elig_MatchAll_Ct-1),AG261=0),D261,0)</f>
        <v>0</v>
      </c>
      <c r="BJ261" s="210">
        <f>IF(AND(Input_Product=Elig!$C261,Elig_MatchAll_Ct&lt;22,$BC261=(Elig_MatchAll_Ct-1),AH261=0),E261,0)</f>
        <v>0</v>
      </c>
      <c r="BK261" s="210">
        <f>IF(AND(Input_Product=Elig!$C261,Elig_MatchAll_Ct&lt;22,$BC261=(Elig_MatchAll_Ct-1),AI261=0),F261,0)</f>
        <v>0</v>
      </c>
      <c r="BL261" s="210">
        <f>IF(AND(Input_Product=Elig!$C261,Elig_MatchAll_Ct&lt;22,$BC261=(Elig_MatchAll_Ct-1),AJ261=0),G261,0)</f>
        <v>0</v>
      </c>
      <c r="BM261" s="210">
        <f>IF(AND(Input_Product=Elig!$C261,Elig_MatchAll_Ct&lt;22,$BC261=(Elig_MatchAll_Ct-1),AK261=0),H261,0)</f>
        <v>0</v>
      </c>
      <c r="BN261" s="210">
        <f>IF(AND(Input_Product=Elig!$C261,Elig_MatchAll_Ct&lt;22,$BC261=(Elig_MatchAll_Ct-1),AL261=0),I261,0)</f>
        <v>0</v>
      </c>
      <c r="BO261" s="210">
        <f>IF(AND(Input_Product=Elig!$C261,Elig_MatchAll_Ct&lt;22,$BC261=(Elig_MatchAll_Ct-1),AM261=0),J261,0)</f>
        <v>0</v>
      </c>
      <c r="BP261" s="210">
        <f>IF(AND(Input_Product=Elig!$C261,Elig_MatchAll_Ct&lt;22,$BC261=(Elig_MatchAll_Ct-1),AN261=0),K261,0)</f>
        <v>0</v>
      </c>
      <c r="BQ261" s="210">
        <f>IF(AND(Input_Product=Elig!$C261,Elig_MatchAll_Ct&lt;22,$BC261=(Elig_MatchAll_Ct-1),AP261=0),L261,0)</f>
        <v>0</v>
      </c>
      <c r="BR261" s="210">
        <f>IF(AND(Input_Product=Elig!$C261,Elig_MatchAll_Ct&lt;22,$BC261=(Elig_MatchAll_Ct-1),AO261=0),M261,0)</f>
        <v>0</v>
      </c>
      <c r="BS261" s="210">
        <f>IF(AND(Input_Product=Elig!$C261,Elig_MatchAll_Ct&lt;22,$BC261=(Elig_MatchAll_Ct-1),AQ261=0),N261,0)</f>
        <v>0</v>
      </c>
      <c r="BT261" s="210">
        <f>IF(AND(Input_Product=Elig!$C261,Elig_MatchAll_Ct&lt;22,$BC261=(Elig_MatchAll_Ct-1),AR261=0),O261,0)</f>
        <v>0</v>
      </c>
      <c r="BU261" s="210">
        <f>IF(AND(Input_Product=Elig!$C261,Elig_MatchAll_Ct&lt;22,$BC261=(Elig_MatchAll_Ct-1),AS261=0),P261,0)</f>
        <v>0</v>
      </c>
      <c r="BV261" s="211">
        <f>IF(AND(Input_Product=Elig!$C261,Elig_MatchAll_Ct&lt;22,$BC261=(Elig_MatchAll_Ct-1),AT261=0),Q261,0)</f>
        <v>0</v>
      </c>
      <c r="BW261" s="212">
        <f>IF(AND(Input_Product=Elig!$C261,Elig_MatchAll_Ct&lt;22,$BC261=(Elig_MatchAll_Ct-1),AU261=0),R261,0)</f>
        <v>0</v>
      </c>
      <c r="BX261" s="213">
        <f>IF(AND(Input_Product=Elig!$C261,Elig_MatchAll_Ct&lt;22,$BC261=(Elig_MatchAll_Ct-1),AU261=0),S261,0)</f>
        <v>0</v>
      </c>
      <c r="BY261" s="212">
        <f>IF(AND(Input_Product=Elig!$C261,Elig_MatchAll_Ct&lt;22,$BC261=(Elig_MatchAll_Ct-1),AV261=0),T261,0)</f>
        <v>0</v>
      </c>
      <c r="BZ261" s="213">
        <f>IF(AND(Input_Product=Elig!$C261,Elig_MatchAll_Ct&lt;22,$BC261=(Elig_MatchAll_Ct-1),AV261=0),U261,0)</f>
        <v>0</v>
      </c>
      <c r="CA261" s="212">
        <f>IF(AND(Input_Product=Elig!$C261,Elig_MatchAll_Ct&lt;22,$BC261=(Elig_MatchAll_Ct-1),AW261=0),V261,0)</f>
        <v>0</v>
      </c>
      <c r="CB261" s="213">
        <f>IF(AND(Input_Product=Elig!$C261,Elig_MatchAll_Ct&lt;22,$BC261=(Elig_MatchAll_Ct-1),AW261=0),W261,0)</f>
        <v>0</v>
      </c>
      <c r="CC261" s="212">
        <f>IF(AND(Input_Product=Elig!$C261,Elig_MatchAll_Ct&lt;22,$BC261=(Elig_MatchAll_Ct-1),AX261=0),X261,0)</f>
        <v>0</v>
      </c>
      <c r="CD261" s="213">
        <f>IF(AND(Input_Product=Elig!$C261,Elig_MatchAll_Ct&lt;22,$BC261=(Elig_MatchAll_Ct-1),AX261=0),Y261,0)</f>
        <v>0</v>
      </c>
      <c r="CE261" s="212">
        <f>IF(AND(Input_LTV&lt;=AE261,Input_Product=Elig!$C261,Elig_MatchAll_Ct&lt;22,$BC261=(Elig_MatchAll_Ct-1),AY261=0),Z261,0)</f>
        <v>0</v>
      </c>
      <c r="CF261" s="213">
        <f>IF(AND(Input_LTV&lt;=AE261,Input_Product=Elig!$C261,Elig_MatchAll_Ct&lt;22,$BC261=(Elig_MatchAll_Ct-1),AY261=0),AA261,0)</f>
        <v>0</v>
      </c>
      <c r="CG261" s="212">
        <f>IF(AND(Input_Product=Elig!$C261,Elig_MatchAll_Ct&lt;22,$BC261=(Elig_MatchAll_Ct-1),AZ261=0),AB261,0)</f>
        <v>0</v>
      </c>
      <c r="CH261" s="213">
        <f>IF(AND(Input_Product=Elig!$C261,Elig_MatchAll_Ct&lt;22,$BC261=(Elig_MatchAll_Ct-1),AZ261=0),AC261,0)</f>
        <v>0</v>
      </c>
      <c r="CI261" s="212">
        <f>IF(AND(Input_Product=Elig!$C261,Elig_MatchAll_Ct&lt;22,$BC261=(Elig_MatchAll_Ct-1),BA261=0),AD261,0)</f>
        <v>0</v>
      </c>
      <c r="CJ261" s="213">
        <f>IF(AND(Input_Product=Elig!$C261,Elig_MatchAll_Ct&lt;22,$BC261=(Elig_MatchAll_Ct-1),BA261=0),AE261,0)</f>
        <v>0</v>
      </c>
    </row>
    <row r="262" spans="2:88" ht="10.15" customHeight="1" x14ac:dyDescent="0.25">
      <c r="B262" s="1912" t="s">
        <v>3967</v>
      </c>
      <c r="C262" s="134" t="str">
        <f t="shared" si="118"/>
        <v>NonQM OO</v>
      </c>
      <c r="D262" s="135" t="s">
        <v>3885</v>
      </c>
      <c r="E262" s="135" t="s">
        <v>167</v>
      </c>
      <c r="F262" s="135" t="s">
        <v>331</v>
      </c>
      <c r="G262" s="135" t="s">
        <v>304</v>
      </c>
      <c r="H262" s="135" t="s">
        <v>446</v>
      </c>
      <c r="I262" s="136" t="s">
        <v>274</v>
      </c>
      <c r="J262" s="136" t="s">
        <v>1311</v>
      </c>
      <c r="K262" s="136" t="s">
        <v>1631</v>
      </c>
      <c r="L262" s="221" t="s">
        <v>3920</v>
      </c>
      <c r="M262" s="135" t="s">
        <v>4203</v>
      </c>
      <c r="N262" s="135" t="s">
        <v>82</v>
      </c>
      <c r="O262" s="135" t="s">
        <v>310</v>
      </c>
      <c r="P262" s="135" t="s">
        <v>291</v>
      </c>
      <c r="Q262" s="135" t="s">
        <v>294</v>
      </c>
      <c r="R262" s="221">
        <v>3000000.01</v>
      </c>
      <c r="S262" s="221">
        <v>3500000</v>
      </c>
      <c r="T262" s="135">
        <v>0</v>
      </c>
      <c r="U262" s="135">
        <v>0</v>
      </c>
      <c r="V262" s="135">
        <v>0</v>
      </c>
      <c r="W262" s="135">
        <v>55</v>
      </c>
      <c r="X262" s="135">
        <v>0</v>
      </c>
      <c r="Y262" s="135">
        <v>999</v>
      </c>
      <c r="Z262" s="137">
        <v>700</v>
      </c>
      <c r="AA262" s="137">
        <v>719</v>
      </c>
      <c r="AB262" s="137">
        <v>9</v>
      </c>
      <c r="AC262" s="137">
        <v>999999</v>
      </c>
      <c r="AD262" s="135">
        <v>0</v>
      </c>
      <c r="AE262" s="221">
        <v>70</v>
      </c>
      <c r="AF262" s="170">
        <v>0</v>
      </c>
      <c r="AG262" s="171">
        <v>1</v>
      </c>
      <c r="AH262" s="171">
        <v>1</v>
      </c>
      <c r="AI262" s="171">
        <v>1</v>
      </c>
      <c r="AJ262" s="171">
        <v>0</v>
      </c>
      <c r="AK262" s="171">
        <v>0</v>
      </c>
      <c r="AL262" s="171">
        <v>0</v>
      </c>
      <c r="AM262" s="171">
        <v>1</v>
      </c>
      <c r="AN262" s="171">
        <v>1</v>
      </c>
      <c r="AO262" s="171">
        <v>1</v>
      </c>
      <c r="AP262" s="171">
        <v>1</v>
      </c>
      <c r="AQ262" s="171">
        <v>1</v>
      </c>
      <c r="AR262" s="171">
        <v>1</v>
      </c>
      <c r="AS262" s="171">
        <v>1</v>
      </c>
      <c r="AT262" s="171">
        <v>1</v>
      </c>
      <c r="AU262" s="171">
        <f t="shared" si="58"/>
        <v>0</v>
      </c>
      <c r="AV262" s="171">
        <f t="shared" si="59"/>
        <v>0</v>
      </c>
      <c r="AW262" s="171">
        <f t="shared" si="60"/>
        <v>1</v>
      </c>
      <c r="AX262" s="171">
        <f t="shared" si="100"/>
        <v>1</v>
      </c>
      <c r="AY262" s="171">
        <f t="shared" si="61"/>
        <v>0</v>
      </c>
      <c r="AZ262" s="171">
        <f t="shared" si="62"/>
        <v>1</v>
      </c>
      <c r="BA262" s="172">
        <f t="shared" si="63"/>
        <v>1</v>
      </c>
      <c r="BB262" s="175">
        <f t="shared" si="119"/>
        <v>15</v>
      </c>
      <c r="BC262" s="176">
        <f t="shared" si="120"/>
        <v>14</v>
      </c>
      <c r="BD262" s="176">
        <f t="shared" si="121"/>
        <v>15</v>
      </c>
      <c r="BE262" s="240" t="str">
        <f t="shared" si="79"/>
        <v/>
      </c>
      <c r="BH262" s="199">
        <f>IF(AND(Input_Product=Elig!$C262,Elig_MatchAll_Ct&lt;22,$BC262=(Elig_MatchAll_Ct-1),AF262=0),C262,0)</f>
        <v>0</v>
      </c>
      <c r="BI262" s="199">
        <f>IF(AND(Input_Product=Elig!$C262,Elig_MatchAll_Ct&lt;22,$BC262=(Elig_MatchAll_Ct-1),AG262=0),D262,0)</f>
        <v>0</v>
      </c>
      <c r="BJ262" s="199">
        <f>IF(AND(Input_Product=Elig!$C262,Elig_MatchAll_Ct&lt;22,$BC262=(Elig_MatchAll_Ct-1),AH262=0),E262,0)</f>
        <v>0</v>
      </c>
      <c r="BK262" s="199">
        <f>IF(AND(Input_Product=Elig!$C262,Elig_MatchAll_Ct&lt;22,$BC262=(Elig_MatchAll_Ct-1),AI262=0),F262,0)</f>
        <v>0</v>
      </c>
      <c r="BL262" s="199">
        <f>IF(AND(Input_Product=Elig!$C262,Elig_MatchAll_Ct&lt;22,$BC262=(Elig_MatchAll_Ct-1),AJ262=0),G262,0)</f>
        <v>0</v>
      </c>
      <c r="BM262" s="199">
        <f>IF(AND(Input_Product=Elig!$C262,Elig_MatchAll_Ct&lt;22,$BC262=(Elig_MatchAll_Ct-1),AK262=0),H262,0)</f>
        <v>0</v>
      </c>
      <c r="BN262" s="199">
        <f>IF(AND(Input_Product=Elig!$C262,Elig_MatchAll_Ct&lt;22,$BC262=(Elig_MatchAll_Ct-1),AL262=0),I262,0)</f>
        <v>0</v>
      </c>
      <c r="BO262" s="199">
        <f>IF(AND(Input_Product=Elig!$C262,Elig_MatchAll_Ct&lt;22,$BC262=(Elig_MatchAll_Ct-1),AM262=0),J262,0)</f>
        <v>0</v>
      </c>
      <c r="BP262" s="199">
        <f>IF(AND(Input_Product=Elig!$C262,Elig_MatchAll_Ct&lt;22,$BC262=(Elig_MatchAll_Ct-1),AN262=0),K262,0)</f>
        <v>0</v>
      </c>
      <c r="BQ262" s="199">
        <f>IF(AND(Input_Product=Elig!$C262,Elig_MatchAll_Ct&lt;22,$BC262=(Elig_MatchAll_Ct-1),AP262=0),L262,0)</f>
        <v>0</v>
      </c>
      <c r="BR262" s="199">
        <f>IF(AND(Input_Product=Elig!$C262,Elig_MatchAll_Ct&lt;22,$BC262=(Elig_MatchAll_Ct-1),AO262=0),M262,0)</f>
        <v>0</v>
      </c>
      <c r="BS262" s="199">
        <f>IF(AND(Input_Product=Elig!$C262,Elig_MatchAll_Ct&lt;22,$BC262=(Elig_MatchAll_Ct-1),AQ262=0),N262,0)</f>
        <v>0</v>
      </c>
      <c r="BT262" s="199">
        <f>IF(AND(Input_Product=Elig!$C262,Elig_MatchAll_Ct&lt;22,$BC262=(Elig_MatchAll_Ct-1),AR262=0),O262,0)</f>
        <v>0</v>
      </c>
      <c r="BU262" s="199">
        <f>IF(AND(Input_Product=Elig!$C262,Elig_MatchAll_Ct&lt;22,$BC262=(Elig_MatchAll_Ct-1),AS262=0),P262,0)</f>
        <v>0</v>
      </c>
      <c r="BV262" s="200">
        <f>IF(AND(Input_Product=Elig!$C262,Elig_MatchAll_Ct&lt;22,$BC262=(Elig_MatchAll_Ct-1),AT262=0),Q262,0)</f>
        <v>0</v>
      </c>
      <c r="BW262" s="201">
        <f>IF(AND(Input_Product=Elig!$C262,Elig_MatchAll_Ct&lt;22,$BC262=(Elig_MatchAll_Ct-1),AU262=0),R262,0)</f>
        <v>0</v>
      </c>
      <c r="BX262" s="202">
        <f>IF(AND(Input_Product=Elig!$C262,Elig_MatchAll_Ct&lt;22,$BC262=(Elig_MatchAll_Ct-1),AU262=0),S262,0)</f>
        <v>0</v>
      </c>
      <c r="BY262" s="201">
        <f>IF(AND(Input_Product=Elig!$C262,Elig_MatchAll_Ct&lt;22,$BC262=(Elig_MatchAll_Ct-1),AV262=0),T262,0)</f>
        <v>0</v>
      </c>
      <c r="BZ262" s="202">
        <f>IF(AND(Input_Product=Elig!$C262,Elig_MatchAll_Ct&lt;22,$BC262=(Elig_MatchAll_Ct-1),AV262=0),U262,0)</f>
        <v>0</v>
      </c>
      <c r="CA262" s="201">
        <f>IF(AND(Input_Product=Elig!$C262,Elig_MatchAll_Ct&lt;22,$BC262=(Elig_MatchAll_Ct-1),AW262=0),V262,0)</f>
        <v>0</v>
      </c>
      <c r="CB262" s="202">
        <f>IF(AND(Input_Product=Elig!$C262,Elig_MatchAll_Ct&lt;22,$BC262=(Elig_MatchAll_Ct-1),AW262=0),W262,0)</f>
        <v>0</v>
      </c>
      <c r="CC262" s="201">
        <f>IF(AND(Input_Product=Elig!$C262,Elig_MatchAll_Ct&lt;22,$BC262=(Elig_MatchAll_Ct-1),AX262=0),X262,0)</f>
        <v>0</v>
      </c>
      <c r="CD262" s="202">
        <f>IF(AND(Input_Product=Elig!$C262,Elig_MatchAll_Ct&lt;22,$BC262=(Elig_MatchAll_Ct-1),AX262=0),Y262,0)</f>
        <v>0</v>
      </c>
      <c r="CE262" s="201">
        <f>IF(AND(Input_LTV&lt;=AE262,Input_Product=Elig!$C262,Elig_MatchAll_Ct&lt;22,$BC262=(Elig_MatchAll_Ct-1),AY262=0),Z262,0)</f>
        <v>0</v>
      </c>
      <c r="CF262" s="202">
        <f>IF(AND(Input_LTV&lt;=AE262,Input_Product=Elig!$C262,Elig_MatchAll_Ct&lt;22,$BC262=(Elig_MatchAll_Ct-1),AY262=0),AA262,0)</f>
        <v>0</v>
      </c>
      <c r="CG262" s="201">
        <f>IF(AND(Input_Product=Elig!$C262,Elig_MatchAll_Ct&lt;22,$BC262=(Elig_MatchAll_Ct-1),AZ262=0),AB262,0)</f>
        <v>0</v>
      </c>
      <c r="CH262" s="202">
        <f>IF(AND(Input_Product=Elig!$C262,Elig_MatchAll_Ct&lt;22,$BC262=(Elig_MatchAll_Ct-1),AZ262=0),AC262,0)</f>
        <v>0</v>
      </c>
      <c r="CI262" s="201">
        <f>IF(AND(Input_Product=Elig!$C262,Elig_MatchAll_Ct&lt;22,$BC262=(Elig_MatchAll_Ct-1),BA262=0),AD262,0)</f>
        <v>0</v>
      </c>
      <c r="CJ262" s="202">
        <f>IF(AND(Input_Product=Elig!$C262,Elig_MatchAll_Ct&lt;22,$BC262=(Elig_MatchAll_Ct-1),BA262=0),AE262,0)</f>
        <v>0</v>
      </c>
    </row>
    <row r="263" spans="2:88" ht="10.15" customHeight="1" x14ac:dyDescent="0.25">
      <c r="B263" s="1912" t="s">
        <v>3968</v>
      </c>
      <c r="C263" s="141" t="str">
        <f t="shared" si="118"/>
        <v>NonQM OO</v>
      </c>
      <c r="D263" s="142" t="s">
        <v>3885</v>
      </c>
      <c r="E263" s="143" t="s">
        <v>167</v>
      </c>
      <c r="F263" s="143" t="s">
        <v>331</v>
      </c>
      <c r="G263" s="143" t="s">
        <v>304</v>
      </c>
      <c r="H263" s="143" t="s">
        <v>446</v>
      </c>
      <c r="I263" s="142" t="s">
        <v>16</v>
      </c>
      <c r="J263" s="142" t="s">
        <v>1311</v>
      </c>
      <c r="K263" s="142" t="s">
        <v>1631</v>
      </c>
      <c r="L263" s="2131" t="s">
        <v>3920</v>
      </c>
      <c r="M263" s="143" t="s">
        <v>4203</v>
      </c>
      <c r="N263" s="143" t="s">
        <v>82</v>
      </c>
      <c r="O263" s="143" t="s">
        <v>310</v>
      </c>
      <c r="P263" s="143" t="s">
        <v>291</v>
      </c>
      <c r="Q263" s="143" t="s">
        <v>294</v>
      </c>
      <c r="R263" s="320">
        <v>3000000.01</v>
      </c>
      <c r="S263" s="320">
        <v>3500000</v>
      </c>
      <c r="T263" s="142">
        <v>0</v>
      </c>
      <c r="U263" s="142">
        <f t="shared" ref="U263:U264" si="123">S263</f>
        <v>3500000</v>
      </c>
      <c r="V263" s="142">
        <v>0</v>
      </c>
      <c r="W263" s="142">
        <v>55</v>
      </c>
      <c r="X263" s="142">
        <v>0</v>
      </c>
      <c r="Y263" s="142">
        <v>999</v>
      </c>
      <c r="Z263" s="144">
        <v>720</v>
      </c>
      <c r="AA263" s="144">
        <v>999</v>
      </c>
      <c r="AB263" s="144">
        <v>9</v>
      </c>
      <c r="AC263" s="144">
        <v>999999</v>
      </c>
      <c r="AD263" s="142">
        <v>0</v>
      </c>
      <c r="AE263" s="320">
        <v>55</v>
      </c>
      <c r="AF263" s="170">
        <v>0</v>
      </c>
      <c r="AG263" s="171">
        <v>1</v>
      </c>
      <c r="AH263" s="171">
        <v>1</v>
      </c>
      <c r="AI263" s="171">
        <v>1</v>
      </c>
      <c r="AJ263" s="171">
        <v>0</v>
      </c>
      <c r="AK263" s="171">
        <v>0</v>
      </c>
      <c r="AL263" s="171">
        <v>1</v>
      </c>
      <c r="AM263" s="171">
        <v>1</v>
      </c>
      <c r="AN263" s="171">
        <v>1</v>
      </c>
      <c r="AO263" s="171">
        <v>1</v>
      </c>
      <c r="AP263" s="171">
        <v>1</v>
      </c>
      <c r="AQ263" s="171">
        <v>1</v>
      </c>
      <c r="AR263" s="171">
        <v>1</v>
      </c>
      <c r="AS263" s="171">
        <v>1</v>
      </c>
      <c r="AT263" s="171">
        <v>1</v>
      </c>
      <c r="AU263" s="171">
        <f t="shared" si="58"/>
        <v>0</v>
      </c>
      <c r="AV263" s="171">
        <f t="shared" si="59"/>
        <v>1</v>
      </c>
      <c r="AW263" s="171">
        <f t="shared" si="60"/>
        <v>1</v>
      </c>
      <c r="AX263" s="171">
        <f t="shared" si="100"/>
        <v>1</v>
      </c>
      <c r="AY263" s="171">
        <f t="shared" si="61"/>
        <v>1</v>
      </c>
      <c r="AZ263" s="171">
        <f t="shared" si="62"/>
        <v>1</v>
      </c>
      <c r="BA263" s="172">
        <f t="shared" si="63"/>
        <v>0</v>
      </c>
      <c r="BB263" s="175">
        <f t="shared" si="119"/>
        <v>17</v>
      </c>
      <c r="BC263" s="176">
        <f t="shared" si="120"/>
        <v>17</v>
      </c>
      <c r="BD263" s="176">
        <f t="shared" si="121"/>
        <v>17</v>
      </c>
      <c r="BE263" s="240" t="str">
        <f t="shared" ref="BE263:BE326" si="124">IF(BD263=21,C263,"")</f>
        <v/>
      </c>
      <c r="BH263" s="210">
        <f>IF(AND(Input_Product=Elig!$C263,Elig_MatchAll_Ct&lt;22,$BC263=(Elig_MatchAll_Ct-1),AF263=0),C263,0)</f>
        <v>0</v>
      </c>
      <c r="BI263" s="210">
        <f>IF(AND(Input_Product=Elig!$C263,Elig_MatchAll_Ct&lt;22,$BC263=(Elig_MatchAll_Ct-1),AG263=0),D263,0)</f>
        <v>0</v>
      </c>
      <c r="BJ263" s="210">
        <f>IF(AND(Input_Product=Elig!$C263,Elig_MatchAll_Ct&lt;22,$BC263=(Elig_MatchAll_Ct-1),AH263=0),E263,0)</f>
        <v>0</v>
      </c>
      <c r="BK263" s="210">
        <f>IF(AND(Input_Product=Elig!$C263,Elig_MatchAll_Ct&lt;22,$BC263=(Elig_MatchAll_Ct-1),AI263=0),F263,0)</f>
        <v>0</v>
      </c>
      <c r="BL263" s="210">
        <f>IF(AND(Input_Product=Elig!$C263,Elig_MatchAll_Ct&lt;22,$BC263=(Elig_MatchAll_Ct-1),AJ263=0),G263,0)</f>
        <v>0</v>
      </c>
      <c r="BM263" s="210">
        <f>IF(AND(Input_Product=Elig!$C263,Elig_MatchAll_Ct&lt;22,$BC263=(Elig_MatchAll_Ct-1),AK263=0),H263,0)</f>
        <v>0</v>
      </c>
      <c r="BN263" s="210">
        <f>IF(AND(Input_Product=Elig!$C263,Elig_MatchAll_Ct&lt;22,$BC263=(Elig_MatchAll_Ct-1),AL263=0),I263,0)</f>
        <v>0</v>
      </c>
      <c r="BO263" s="210">
        <f>IF(AND(Input_Product=Elig!$C263,Elig_MatchAll_Ct&lt;22,$BC263=(Elig_MatchAll_Ct-1),AM263=0),J263,0)</f>
        <v>0</v>
      </c>
      <c r="BP263" s="210">
        <f>IF(AND(Input_Product=Elig!$C263,Elig_MatchAll_Ct&lt;22,$BC263=(Elig_MatchAll_Ct-1),AN263=0),K263,0)</f>
        <v>0</v>
      </c>
      <c r="BQ263" s="210">
        <f>IF(AND(Input_Product=Elig!$C263,Elig_MatchAll_Ct&lt;22,$BC263=(Elig_MatchAll_Ct-1),AP263=0),L263,0)</f>
        <v>0</v>
      </c>
      <c r="BR263" s="210">
        <f>IF(AND(Input_Product=Elig!$C263,Elig_MatchAll_Ct&lt;22,$BC263=(Elig_MatchAll_Ct-1),AO263=0),M263,0)</f>
        <v>0</v>
      </c>
      <c r="BS263" s="210">
        <f>IF(AND(Input_Product=Elig!$C263,Elig_MatchAll_Ct&lt;22,$BC263=(Elig_MatchAll_Ct-1),AQ263=0),N263,0)</f>
        <v>0</v>
      </c>
      <c r="BT263" s="210">
        <f>IF(AND(Input_Product=Elig!$C263,Elig_MatchAll_Ct&lt;22,$BC263=(Elig_MatchAll_Ct-1),AR263=0),O263,0)</f>
        <v>0</v>
      </c>
      <c r="BU263" s="210">
        <f>IF(AND(Input_Product=Elig!$C263,Elig_MatchAll_Ct&lt;22,$BC263=(Elig_MatchAll_Ct-1),AS263=0),P263,0)</f>
        <v>0</v>
      </c>
      <c r="BV263" s="211">
        <f>IF(AND(Input_Product=Elig!$C263,Elig_MatchAll_Ct&lt;22,$BC263=(Elig_MatchAll_Ct-1),AT263=0),Q263,0)</f>
        <v>0</v>
      </c>
      <c r="BW263" s="212">
        <f>IF(AND(Input_Product=Elig!$C263,Elig_MatchAll_Ct&lt;22,$BC263=(Elig_MatchAll_Ct-1),AU263=0),R263,0)</f>
        <v>0</v>
      </c>
      <c r="BX263" s="213">
        <f>IF(AND(Input_Product=Elig!$C263,Elig_MatchAll_Ct&lt;22,$BC263=(Elig_MatchAll_Ct-1),AU263=0),S263,0)</f>
        <v>0</v>
      </c>
      <c r="BY263" s="212">
        <f>IF(AND(Input_Product=Elig!$C263,Elig_MatchAll_Ct&lt;22,$BC263=(Elig_MatchAll_Ct-1),AV263=0),T263,0)</f>
        <v>0</v>
      </c>
      <c r="BZ263" s="213">
        <f>IF(AND(Input_Product=Elig!$C263,Elig_MatchAll_Ct&lt;22,$BC263=(Elig_MatchAll_Ct-1),AV263=0),U263,0)</f>
        <v>0</v>
      </c>
      <c r="CA263" s="212">
        <f>IF(AND(Input_Product=Elig!$C263,Elig_MatchAll_Ct&lt;22,$BC263=(Elig_MatchAll_Ct-1),AW263=0),V263,0)</f>
        <v>0</v>
      </c>
      <c r="CB263" s="213">
        <f>IF(AND(Input_Product=Elig!$C263,Elig_MatchAll_Ct&lt;22,$BC263=(Elig_MatchAll_Ct-1),AW263=0),W263,0)</f>
        <v>0</v>
      </c>
      <c r="CC263" s="212">
        <f>IF(AND(Input_Product=Elig!$C263,Elig_MatchAll_Ct&lt;22,$BC263=(Elig_MatchAll_Ct-1),AX263=0),X263,0)</f>
        <v>0</v>
      </c>
      <c r="CD263" s="213">
        <f>IF(AND(Input_Product=Elig!$C263,Elig_MatchAll_Ct&lt;22,$BC263=(Elig_MatchAll_Ct-1),AX263=0),Y263,0)</f>
        <v>0</v>
      </c>
      <c r="CE263" s="212">
        <f>IF(AND(Input_LTV&lt;=AE263,Input_Product=Elig!$C263,Elig_MatchAll_Ct&lt;22,$BC263=(Elig_MatchAll_Ct-1),AY263=0),Z263,0)</f>
        <v>0</v>
      </c>
      <c r="CF263" s="213">
        <f>IF(AND(Input_LTV&lt;=AE263,Input_Product=Elig!$C263,Elig_MatchAll_Ct&lt;22,$BC263=(Elig_MatchAll_Ct-1),AY263=0),AA263,0)</f>
        <v>0</v>
      </c>
      <c r="CG263" s="212">
        <f>IF(AND(Input_Product=Elig!$C263,Elig_MatchAll_Ct&lt;22,$BC263=(Elig_MatchAll_Ct-1),AZ263=0),AB263,0)</f>
        <v>0</v>
      </c>
      <c r="CH263" s="213">
        <f>IF(AND(Input_Product=Elig!$C263,Elig_MatchAll_Ct&lt;22,$BC263=(Elig_MatchAll_Ct-1),AZ263=0),AC263,0)</f>
        <v>0</v>
      </c>
      <c r="CI263" s="212">
        <f>IF(AND(Input_Product=Elig!$C263,Elig_MatchAll_Ct&lt;22,$BC263=(Elig_MatchAll_Ct-1),BA263=0),AD263,0)</f>
        <v>0</v>
      </c>
      <c r="CJ263" s="213">
        <f>IF(AND(Input_Product=Elig!$C263,Elig_MatchAll_Ct&lt;22,$BC263=(Elig_MatchAll_Ct-1),BA263=0),AE263,0)</f>
        <v>0</v>
      </c>
    </row>
    <row r="264" spans="2:88" ht="10.15" customHeight="1" x14ac:dyDescent="0.25">
      <c r="B264" s="1912" t="s">
        <v>3969</v>
      </c>
      <c r="C264" s="134" t="str">
        <f t="shared" si="118"/>
        <v>NonQM OO</v>
      </c>
      <c r="D264" s="135" t="s">
        <v>3885</v>
      </c>
      <c r="E264" s="135" t="s">
        <v>167</v>
      </c>
      <c r="F264" s="135" t="s">
        <v>331</v>
      </c>
      <c r="G264" s="135" t="s">
        <v>304</v>
      </c>
      <c r="H264" s="135" t="s">
        <v>446</v>
      </c>
      <c r="I264" s="136" t="s">
        <v>16</v>
      </c>
      <c r="J264" s="136" t="s">
        <v>1311</v>
      </c>
      <c r="K264" s="136" t="s">
        <v>1631</v>
      </c>
      <c r="L264" s="221" t="s">
        <v>3920</v>
      </c>
      <c r="M264" s="135" t="s">
        <v>4203</v>
      </c>
      <c r="N264" s="135" t="s">
        <v>82</v>
      </c>
      <c r="O264" s="135" t="s">
        <v>310</v>
      </c>
      <c r="P264" s="135" t="s">
        <v>291</v>
      </c>
      <c r="Q264" s="135" t="s">
        <v>294</v>
      </c>
      <c r="R264" s="221">
        <v>3000000.01</v>
      </c>
      <c r="S264" s="221">
        <v>3500000</v>
      </c>
      <c r="T264" s="135">
        <v>0</v>
      </c>
      <c r="U264" s="135">
        <f t="shared" si="123"/>
        <v>3500000</v>
      </c>
      <c r="V264" s="135">
        <v>0</v>
      </c>
      <c r="W264" s="135">
        <v>55</v>
      </c>
      <c r="X264" s="135">
        <v>0</v>
      </c>
      <c r="Y264" s="135">
        <v>999</v>
      </c>
      <c r="Z264" s="137">
        <v>700</v>
      </c>
      <c r="AA264" s="137">
        <v>719</v>
      </c>
      <c r="AB264" s="137">
        <v>9</v>
      </c>
      <c r="AC264" s="137">
        <v>999999</v>
      </c>
      <c r="AD264" s="135">
        <v>0</v>
      </c>
      <c r="AE264" s="221">
        <v>55</v>
      </c>
      <c r="AF264" s="170">
        <v>0</v>
      </c>
      <c r="AG264" s="171">
        <v>1</v>
      </c>
      <c r="AH264" s="171">
        <v>1</v>
      </c>
      <c r="AI264" s="171">
        <v>1</v>
      </c>
      <c r="AJ264" s="171">
        <v>0</v>
      </c>
      <c r="AK264" s="171">
        <v>0</v>
      </c>
      <c r="AL264" s="171">
        <v>1</v>
      </c>
      <c r="AM264" s="171">
        <v>1</v>
      </c>
      <c r="AN264" s="171">
        <v>1</v>
      </c>
      <c r="AO264" s="171">
        <v>1</v>
      </c>
      <c r="AP264" s="171">
        <v>1</v>
      </c>
      <c r="AQ264" s="171">
        <v>1</v>
      </c>
      <c r="AR264" s="171">
        <v>1</v>
      </c>
      <c r="AS264" s="171">
        <v>1</v>
      </c>
      <c r="AT264" s="171">
        <v>1</v>
      </c>
      <c r="AU264" s="171">
        <f t="shared" si="58"/>
        <v>0</v>
      </c>
      <c r="AV264" s="171">
        <f t="shared" si="59"/>
        <v>1</v>
      </c>
      <c r="AW264" s="171">
        <f t="shared" si="60"/>
        <v>1</v>
      </c>
      <c r="AX264" s="171">
        <f t="shared" si="100"/>
        <v>1</v>
      </c>
      <c r="AY264" s="171">
        <f t="shared" si="61"/>
        <v>0</v>
      </c>
      <c r="AZ264" s="171">
        <f t="shared" si="62"/>
        <v>1</v>
      </c>
      <c r="BA264" s="172">
        <f t="shared" si="63"/>
        <v>0</v>
      </c>
      <c r="BB264" s="175">
        <f t="shared" si="119"/>
        <v>16</v>
      </c>
      <c r="BC264" s="176">
        <f t="shared" si="120"/>
        <v>16</v>
      </c>
      <c r="BD264" s="176">
        <f t="shared" si="121"/>
        <v>16</v>
      </c>
      <c r="BE264" s="240" t="str">
        <f t="shared" si="124"/>
        <v/>
      </c>
      <c r="BH264" s="199">
        <f>IF(AND(Input_Product=Elig!$C264,Elig_MatchAll_Ct&lt;22,$BC264=(Elig_MatchAll_Ct-1),AF264=0),C264,0)</f>
        <v>0</v>
      </c>
      <c r="BI264" s="199">
        <f>IF(AND(Input_Product=Elig!$C264,Elig_MatchAll_Ct&lt;22,$BC264=(Elig_MatchAll_Ct-1),AG264=0),D264,0)</f>
        <v>0</v>
      </c>
      <c r="BJ264" s="199">
        <f>IF(AND(Input_Product=Elig!$C264,Elig_MatchAll_Ct&lt;22,$BC264=(Elig_MatchAll_Ct-1),AH264=0),E264,0)</f>
        <v>0</v>
      </c>
      <c r="BK264" s="199">
        <f>IF(AND(Input_Product=Elig!$C264,Elig_MatchAll_Ct&lt;22,$BC264=(Elig_MatchAll_Ct-1),AI264=0),F264,0)</f>
        <v>0</v>
      </c>
      <c r="BL264" s="199">
        <f>IF(AND(Input_Product=Elig!$C264,Elig_MatchAll_Ct&lt;22,$BC264=(Elig_MatchAll_Ct-1),AJ264=0),G264,0)</f>
        <v>0</v>
      </c>
      <c r="BM264" s="199">
        <f>IF(AND(Input_Product=Elig!$C264,Elig_MatchAll_Ct&lt;22,$BC264=(Elig_MatchAll_Ct-1),AK264=0),H264,0)</f>
        <v>0</v>
      </c>
      <c r="BN264" s="199">
        <f>IF(AND(Input_Product=Elig!$C264,Elig_MatchAll_Ct&lt;22,$BC264=(Elig_MatchAll_Ct-1),AL264=0),I264,0)</f>
        <v>0</v>
      </c>
      <c r="BO264" s="199">
        <f>IF(AND(Input_Product=Elig!$C264,Elig_MatchAll_Ct&lt;22,$BC264=(Elig_MatchAll_Ct-1),AM264=0),J264,0)</f>
        <v>0</v>
      </c>
      <c r="BP264" s="199">
        <f>IF(AND(Input_Product=Elig!$C264,Elig_MatchAll_Ct&lt;22,$BC264=(Elig_MatchAll_Ct-1),AN264=0),K264,0)</f>
        <v>0</v>
      </c>
      <c r="BQ264" s="199">
        <f>IF(AND(Input_Product=Elig!$C264,Elig_MatchAll_Ct&lt;22,$BC264=(Elig_MatchAll_Ct-1),AP264=0),L264,0)</f>
        <v>0</v>
      </c>
      <c r="BR264" s="199">
        <f>IF(AND(Input_Product=Elig!$C264,Elig_MatchAll_Ct&lt;22,$BC264=(Elig_MatchAll_Ct-1),AO264=0),M264,0)</f>
        <v>0</v>
      </c>
      <c r="BS264" s="199">
        <f>IF(AND(Input_Product=Elig!$C264,Elig_MatchAll_Ct&lt;22,$BC264=(Elig_MatchAll_Ct-1),AQ264=0),N264,0)</f>
        <v>0</v>
      </c>
      <c r="BT264" s="199">
        <f>IF(AND(Input_Product=Elig!$C264,Elig_MatchAll_Ct&lt;22,$BC264=(Elig_MatchAll_Ct-1),AR264=0),O264,0)</f>
        <v>0</v>
      </c>
      <c r="BU264" s="199">
        <f>IF(AND(Input_Product=Elig!$C264,Elig_MatchAll_Ct&lt;22,$BC264=(Elig_MatchAll_Ct-1),AS264=0),P264,0)</f>
        <v>0</v>
      </c>
      <c r="BV264" s="200">
        <f>IF(AND(Input_Product=Elig!$C264,Elig_MatchAll_Ct&lt;22,$BC264=(Elig_MatchAll_Ct-1),AT264=0),Q264,0)</f>
        <v>0</v>
      </c>
      <c r="BW264" s="201">
        <f>IF(AND(Input_Product=Elig!$C264,Elig_MatchAll_Ct&lt;22,$BC264=(Elig_MatchAll_Ct-1),AU264=0),R264,0)</f>
        <v>0</v>
      </c>
      <c r="BX264" s="202">
        <f>IF(AND(Input_Product=Elig!$C264,Elig_MatchAll_Ct&lt;22,$BC264=(Elig_MatchAll_Ct-1),AU264=0),S264,0)</f>
        <v>0</v>
      </c>
      <c r="BY264" s="201">
        <f>IF(AND(Input_Product=Elig!$C264,Elig_MatchAll_Ct&lt;22,$BC264=(Elig_MatchAll_Ct-1),AV264=0),T264,0)</f>
        <v>0</v>
      </c>
      <c r="BZ264" s="202">
        <f>IF(AND(Input_Product=Elig!$C264,Elig_MatchAll_Ct&lt;22,$BC264=(Elig_MatchAll_Ct-1),AV264=0),U264,0)</f>
        <v>0</v>
      </c>
      <c r="CA264" s="201">
        <f>IF(AND(Input_Product=Elig!$C264,Elig_MatchAll_Ct&lt;22,$BC264=(Elig_MatchAll_Ct-1),AW264=0),V264,0)</f>
        <v>0</v>
      </c>
      <c r="CB264" s="202">
        <f>IF(AND(Input_Product=Elig!$C264,Elig_MatchAll_Ct&lt;22,$BC264=(Elig_MatchAll_Ct-1),AW264=0),W264,0)</f>
        <v>0</v>
      </c>
      <c r="CC264" s="201">
        <f>IF(AND(Input_Product=Elig!$C264,Elig_MatchAll_Ct&lt;22,$BC264=(Elig_MatchAll_Ct-1),AX264=0),X264,0)</f>
        <v>0</v>
      </c>
      <c r="CD264" s="202">
        <f>IF(AND(Input_Product=Elig!$C264,Elig_MatchAll_Ct&lt;22,$BC264=(Elig_MatchAll_Ct-1),AX264=0),Y264,0)</f>
        <v>0</v>
      </c>
      <c r="CE264" s="201">
        <f>IF(AND(Input_LTV&lt;=AE264,Input_Product=Elig!$C264,Elig_MatchAll_Ct&lt;22,$BC264=(Elig_MatchAll_Ct-1),AY264=0),Z264,0)</f>
        <v>0</v>
      </c>
      <c r="CF264" s="202">
        <f>IF(AND(Input_LTV&lt;=AE264,Input_Product=Elig!$C264,Elig_MatchAll_Ct&lt;22,$BC264=(Elig_MatchAll_Ct-1),AY264=0),AA264,0)</f>
        <v>0</v>
      </c>
      <c r="CG264" s="201">
        <f>IF(AND(Input_Product=Elig!$C264,Elig_MatchAll_Ct&lt;22,$BC264=(Elig_MatchAll_Ct-1),AZ264=0),AB264,0)</f>
        <v>0</v>
      </c>
      <c r="CH264" s="202">
        <f>IF(AND(Input_Product=Elig!$C264,Elig_MatchAll_Ct&lt;22,$BC264=(Elig_MatchAll_Ct-1),AZ264=0),AC264,0)</f>
        <v>0</v>
      </c>
      <c r="CI264" s="201">
        <f>IF(AND(Input_Product=Elig!$C264,Elig_MatchAll_Ct&lt;22,$BC264=(Elig_MatchAll_Ct-1),BA264=0),AD264,0)</f>
        <v>0</v>
      </c>
      <c r="CJ264" s="202">
        <f>IF(AND(Input_Product=Elig!$C264,Elig_MatchAll_Ct&lt;22,$BC264=(Elig_MatchAll_Ct-1),BA264=0),AE264,0)</f>
        <v>0</v>
      </c>
    </row>
    <row r="265" spans="2:88" ht="10.15" customHeight="1" x14ac:dyDescent="0.25">
      <c r="B265" s="1912" t="s">
        <v>3970</v>
      </c>
      <c r="C265" s="141" t="str">
        <f t="shared" si="118"/>
        <v>NonQM OO</v>
      </c>
      <c r="D265" s="142" t="s">
        <v>3885</v>
      </c>
      <c r="E265" s="143" t="s">
        <v>167</v>
      </c>
      <c r="F265" s="143" t="s">
        <v>331</v>
      </c>
      <c r="G265" s="143" t="s">
        <v>468</v>
      </c>
      <c r="H265" s="143" t="s">
        <v>136</v>
      </c>
      <c r="I265" s="142" t="s">
        <v>274</v>
      </c>
      <c r="J265" s="142" t="s">
        <v>1311</v>
      </c>
      <c r="K265" s="142" t="s">
        <v>1631</v>
      </c>
      <c r="L265" s="2131" t="s">
        <v>3920</v>
      </c>
      <c r="M265" s="143" t="s">
        <v>4203</v>
      </c>
      <c r="N265" s="143" t="s">
        <v>82</v>
      </c>
      <c r="O265" s="143" t="s">
        <v>310</v>
      </c>
      <c r="P265" s="143" t="s">
        <v>291</v>
      </c>
      <c r="Q265" s="143" t="s">
        <v>294</v>
      </c>
      <c r="R265" s="320">
        <v>3000000.01</v>
      </c>
      <c r="S265" s="320">
        <v>3500000</v>
      </c>
      <c r="T265" s="142">
        <v>0</v>
      </c>
      <c r="U265" s="142">
        <v>0</v>
      </c>
      <c r="V265" s="142">
        <v>0</v>
      </c>
      <c r="W265" s="142">
        <v>55</v>
      </c>
      <c r="X265" s="142">
        <v>0</v>
      </c>
      <c r="Y265" s="142">
        <v>999</v>
      </c>
      <c r="Z265" s="144">
        <v>720</v>
      </c>
      <c r="AA265" s="144">
        <v>999</v>
      </c>
      <c r="AB265" s="144">
        <v>9</v>
      </c>
      <c r="AC265" s="144">
        <v>999999</v>
      </c>
      <c r="AD265" s="142">
        <v>0</v>
      </c>
      <c r="AE265" s="320">
        <v>70</v>
      </c>
      <c r="AF265" s="170">
        <v>0</v>
      </c>
      <c r="AG265" s="171">
        <v>1</v>
      </c>
      <c r="AH265" s="171">
        <v>1</v>
      </c>
      <c r="AI265" s="171">
        <v>1</v>
      </c>
      <c r="AJ265" s="171">
        <v>0</v>
      </c>
      <c r="AK265" s="171">
        <v>1</v>
      </c>
      <c r="AL265" s="171">
        <v>0</v>
      </c>
      <c r="AM265" s="171">
        <v>1</v>
      </c>
      <c r="AN265" s="171">
        <v>1</v>
      </c>
      <c r="AO265" s="171">
        <v>1</v>
      </c>
      <c r="AP265" s="171">
        <v>1</v>
      </c>
      <c r="AQ265" s="171">
        <v>1</v>
      </c>
      <c r="AR265" s="171">
        <v>1</v>
      </c>
      <c r="AS265" s="171">
        <v>1</v>
      </c>
      <c r="AT265" s="171">
        <v>1</v>
      </c>
      <c r="AU265" s="171">
        <f t="shared" si="58"/>
        <v>0</v>
      </c>
      <c r="AV265" s="171">
        <f t="shared" si="59"/>
        <v>0</v>
      </c>
      <c r="AW265" s="171">
        <f t="shared" si="60"/>
        <v>1</v>
      </c>
      <c r="AX265" s="171">
        <f t="shared" si="100"/>
        <v>1</v>
      </c>
      <c r="AY265" s="171">
        <f t="shared" si="61"/>
        <v>1</v>
      </c>
      <c r="AZ265" s="171">
        <f t="shared" si="62"/>
        <v>1</v>
      </c>
      <c r="BA265" s="172">
        <f t="shared" si="63"/>
        <v>1</v>
      </c>
      <c r="BB265" s="175">
        <f t="shared" si="119"/>
        <v>17</v>
      </c>
      <c r="BC265" s="176">
        <f t="shared" si="120"/>
        <v>16</v>
      </c>
      <c r="BD265" s="176">
        <f t="shared" si="121"/>
        <v>17</v>
      </c>
      <c r="BE265" s="240" t="str">
        <f t="shared" si="124"/>
        <v/>
      </c>
      <c r="BH265" s="210">
        <f>IF(AND(Input_Product=Elig!$C265,Elig_MatchAll_Ct&lt;22,$BC265=(Elig_MatchAll_Ct-1),AF265=0),C265,0)</f>
        <v>0</v>
      </c>
      <c r="BI265" s="210">
        <f>IF(AND(Input_Product=Elig!$C265,Elig_MatchAll_Ct&lt;22,$BC265=(Elig_MatchAll_Ct-1),AG265=0),D265,0)</f>
        <v>0</v>
      </c>
      <c r="BJ265" s="210">
        <f>IF(AND(Input_Product=Elig!$C265,Elig_MatchAll_Ct&lt;22,$BC265=(Elig_MatchAll_Ct-1),AH265=0),E265,0)</f>
        <v>0</v>
      </c>
      <c r="BK265" s="210">
        <f>IF(AND(Input_Product=Elig!$C265,Elig_MatchAll_Ct&lt;22,$BC265=(Elig_MatchAll_Ct-1),AI265=0),F265,0)</f>
        <v>0</v>
      </c>
      <c r="BL265" s="210">
        <f>IF(AND(Input_Product=Elig!$C265,Elig_MatchAll_Ct&lt;22,$BC265=(Elig_MatchAll_Ct-1),AJ265=0),G265,0)</f>
        <v>0</v>
      </c>
      <c r="BM265" s="210">
        <f>IF(AND(Input_Product=Elig!$C265,Elig_MatchAll_Ct&lt;22,$BC265=(Elig_MatchAll_Ct-1),AK265=0),H265,0)</f>
        <v>0</v>
      </c>
      <c r="BN265" s="210">
        <f>IF(AND(Input_Product=Elig!$C265,Elig_MatchAll_Ct&lt;22,$BC265=(Elig_MatchAll_Ct-1),AL265=0),I265,0)</f>
        <v>0</v>
      </c>
      <c r="BO265" s="210">
        <f>IF(AND(Input_Product=Elig!$C265,Elig_MatchAll_Ct&lt;22,$BC265=(Elig_MatchAll_Ct-1),AM265=0),J265,0)</f>
        <v>0</v>
      </c>
      <c r="BP265" s="210">
        <f>IF(AND(Input_Product=Elig!$C265,Elig_MatchAll_Ct&lt;22,$BC265=(Elig_MatchAll_Ct-1),AN265=0),K265,0)</f>
        <v>0</v>
      </c>
      <c r="BQ265" s="210">
        <f>IF(AND(Input_Product=Elig!$C265,Elig_MatchAll_Ct&lt;22,$BC265=(Elig_MatchAll_Ct-1),AP265=0),L265,0)</f>
        <v>0</v>
      </c>
      <c r="BR265" s="210">
        <f>IF(AND(Input_Product=Elig!$C265,Elig_MatchAll_Ct&lt;22,$BC265=(Elig_MatchAll_Ct-1),AO265=0),M265,0)</f>
        <v>0</v>
      </c>
      <c r="BS265" s="210">
        <f>IF(AND(Input_Product=Elig!$C265,Elig_MatchAll_Ct&lt;22,$BC265=(Elig_MatchAll_Ct-1),AQ265=0),N265,0)</f>
        <v>0</v>
      </c>
      <c r="BT265" s="210">
        <f>IF(AND(Input_Product=Elig!$C265,Elig_MatchAll_Ct&lt;22,$BC265=(Elig_MatchAll_Ct-1),AR265=0),O265,0)</f>
        <v>0</v>
      </c>
      <c r="BU265" s="210">
        <f>IF(AND(Input_Product=Elig!$C265,Elig_MatchAll_Ct&lt;22,$BC265=(Elig_MatchAll_Ct-1),AS265=0),P265,0)</f>
        <v>0</v>
      </c>
      <c r="BV265" s="211">
        <f>IF(AND(Input_Product=Elig!$C265,Elig_MatchAll_Ct&lt;22,$BC265=(Elig_MatchAll_Ct-1),AT265=0),Q265,0)</f>
        <v>0</v>
      </c>
      <c r="BW265" s="212">
        <f>IF(AND(Input_Product=Elig!$C265,Elig_MatchAll_Ct&lt;22,$BC265=(Elig_MatchAll_Ct-1),AU265=0),R265,0)</f>
        <v>0</v>
      </c>
      <c r="BX265" s="213">
        <f>IF(AND(Input_Product=Elig!$C265,Elig_MatchAll_Ct&lt;22,$BC265=(Elig_MatchAll_Ct-1),AU265=0),S265,0)</f>
        <v>0</v>
      </c>
      <c r="BY265" s="212">
        <f>IF(AND(Input_Product=Elig!$C265,Elig_MatchAll_Ct&lt;22,$BC265=(Elig_MatchAll_Ct-1),AV265=0),T265,0)</f>
        <v>0</v>
      </c>
      <c r="BZ265" s="213">
        <f>IF(AND(Input_Product=Elig!$C265,Elig_MatchAll_Ct&lt;22,$BC265=(Elig_MatchAll_Ct-1),AV265=0),U265,0)</f>
        <v>0</v>
      </c>
      <c r="CA265" s="212">
        <f>IF(AND(Input_Product=Elig!$C265,Elig_MatchAll_Ct&lt;22,$BC265=(Elig_MatchAll_Ct-1),AW265=0),V265,0)</f>
        <v>0</v>
      </c>
      <c r="CB265" s="213">
        <f>IF(AND(Input_Product=Elig!$C265,Elig_MatchAll_Ct&lt;22,$BC265=(Elig_MatchAll_Ct-1),AW265=0),W265,0)</f>
        <v>0</v>
      </c>
      <c r="CC265" s="212">
        <f>IF(AND(Input_Product=Elig!$C265,Elig_MatchAll_Ct&lt;22,$BC265=(Elig_MatchAll_Ct-1),AX265=0),X265,0)</f>
        <v>0</v>
      </c>
      <c r="CD265" s="213">
        <f>IF(AND(Input_Product=Elig!$C265,Elig_MatchAll_Ct&lt;22,$BC265=(Elig_MatchAll_Ct-1),AX265=0),Y265,0)</f>
        <v>0</v>
      </c>
      <c r="CE265" s="212">
        <f>IF(AND(Input_LTV&lt;=AE265,Input_Product=Elig!$C265,Elig_MatchAll_Ct&lt;22,$BC265=(Elig_MatchAll_Ct-1),AY265=0),Z265,0)</f>
        <v>0</v>
      </c>
      <c r="CF265" s="213">
        <f>IF(AND(Input_LTV&lt;=AE265,Input_Product=Elig!$C265,Elig_MatchAll_Ct&lt;22,$BC265=(Elig_MatchAll_Ct-1),AY265=0),AA265,0)</f>
        <v>0</v>
      </c>
      <c r="CG265" s="212">
        <f>IF(AND(Input_Product=Elig!$C265,Elig_MatchAll_Ct&lt;22,$BC265=(Elig_MatchAll_Ct-1),AZ265=0),AB265,0)</f>
        <v>0</v>
      </c>
      <c r="CH265" s="213">
        <f>IF(AND(Input_Product=Elig!$C265,Elig_MatchAll_Ct&lt;22,$BC265=(Elig_MatchAll_Ct-1),AZ265=0),AC265,0)</f>
        <v>0</v>
      </c>
      <c r="CI265" s="212">
        <f>IF(AND(Input_Product=Elig!$C265,Elig_MatchAll_Ct&lt;22,$BC265=(Elig_MatchAll_Ct-1),BA265=0),AD265,0)</f>
        <v>0</v>
      </c>
      <c r="CJ265" s="213">
        <f>IF(AND(Input_Product=Elig!$C265,Elig_MatchAll_Ct&lt;22,$BC265=(Elig_MatchAll_Ct-1),BA265=0),AE265,0)</f>
        <v>0</v>
      </c>
    </row>
    <row r="266" spans="2:88" ht="10.15" customHeight="1" x14ac:dyDescent="0.25">
      <c r="B266" s="1912" t="s">
        <v>3971</v>
      </c>
      <c r="C266" s="134" t="str">
        <f t="shared" si="118"/>
        <v>NonQM OO</v>
      </c>
      <c r="D266" s="135" t="s">
        <v>3885</v>
      </c>
      <c r="E266" s="135" t="s">
        <v>167</v>
      </c>
      <c r="F266" s="135" t="s">
        <v>331</v>
      </c>
      <c r="G266" s="135" t="s">
        <v>468</v>
      </c>
      <c r="H266" s="135" t="s">
        <v>136</v>
      </c>
      <c r="I266" s="136" t="s">
        <v>274</v>
      </c>
      <c r="J266" s="136" t="s">
        <v>1311</v>
      </c>
      <c r="K266" s="136" t="s">
        <v>1631</v>
      </c>
      <c r="L266" s="221" t="s">
        <v>3920</v>
      </c>
      <c r="M266" s="135" t="s">
        <v>4203</v>
      </c>
      <c r="N266" s="135" t="s">
        <v>82</v>
      </c>
      <c r="O266" s="135" t="s">
        <v>310</v>
      </c>
      <c r="P266" s="135" t="s">
        <v>291</v>
      </c>
      <c r="Q266" s="135" t="s">
        <v>294</v>
      </c>
      <c r="R266" s="221">
        <v>3000000.01</v>
      </c>
      <c r="S266" s="221">
        <v>3500000</v>
      </c>
      <c r="T266" s="135">
        <v>0</v>
      </c>
      <c r="U266" s="135">
        <v>0</v>
      </c>
      <c r="V266" s="135">
        <v>0</v>
      </c>
      <c r="W266" s="135">
        <v>55</v>
      </c>
      <c r="X266" s="135">
        <v>0</v>
      </c>
      <c r="Y266" s="135">
        <v>999</v>
      </c>
      <c r="Z266" s="137">
        <v>700</v>
      </c>
      <c r="AA266" s="137">
        <v>719</v>
      </c>
      <c r="AB266" s="137">
        <v>9</v>
      </c>
      <c r="AC266" s="137">
        <v>999999</v>
      </c>
      <c r="AD266" s="135">
        <v>0</v>
      </c>
      <c r="AE266" s="221">
        <v>70</v>
      </c>
      <c r="AF266" s="170">
        <v>0</v>
      </c>
      <c r="AG266" s="171">
        <v>1</v>
      </c>
      <c r="AH266" s="171">
        <v>1</v>
      </c>
      <c r="AI266" s="171">
        <v>1</v>
      </c>
      <c r="AJ266" s="171">
        <v>0</v>
      </c>
      <c r="AK266" s="171">
        <v>1</v>
      </c>
      <c r="AL266" s="171">
        <v>0</v>
      </c>
      <c r="AM266" s="171">
        <v>1</v>
      </c>
      <c r="AN266" s="171">
        <v>1</v>
      </c>
      <c r="AO266" s="171">
        <v>1</v>
      </c>
      <c r="AP266" s="171">
        <v>1</v>
      </c>
      <c r="AQ266" s="171">
        <v>1</v>
      </c>
      <c r="AR266" s="171">
        <v>1</v>
      </c>
      <c r="AS266" s="171">
        <v>1</v>
      </c>
      <c r="AT266" s="171">
        <v>1</v>
      </c>
      <c r="AU266" s="171">
        <f t="shared" si="58"/>
        <v>0</v>
      </c>
      <c r="AV266" s="171">
        <f t="shared" si="59"/>
        <v>0</v>
      </c>
      <c r="AW266" s="171">
        <f t="shared" si="60"/>
        <v>1</v>
      </c>
      <c r="AX266" s="171">
        <f t="shared" si="100"/>
        <v>1</v>
      </c>
      <c r="AY266" s="171">
        <f t="shared" si="61"/>
        <v>0</v>
      </c>
      <c r="AZ266" s="171">
        <f t="shared" si="62"/>
        <v>1</v>
      </c>
      <c r="BA266" s="172">
        <f t="shared" si="63"/>
        <v>1</v>
      </c>
      <c r="BB266" s="175">
        <f t="shared" si="119"/>
        <v>16</v>
      </c>
      <c r="BC266" s="176">
        <f t="shared" si="120"/>
        <v>15</v>
      </c>
      <c r="BD266" s="176">
        <f t="shared" si="121"/>
        <v>16</v>
      </c>
      <c r="BE266" s="240" t="str">
        <f t="shared" si="124"/>
        <v/>
      </c>
      <c r="BH266" s="199">
        <f>IF(AND(Input_Product=Elig!$C266,Elig_MatchAll_Ct&lt;22,$BC266=(Elig_MatchAll_Ct-1),AF266=0),C266,0)</f>
        <v>0</v>
      </c>
      <c r="BI266" s="199">
        <f>IF(AND(Input_Product=Elig!$C266,Elig_MatchAll_Ct&lt;22,$BC266=(Elig_MatchAll_Ct-1),AG266=0),D266,0)</f>
        <v>0</v>
      </c>
      <c r="BJ266" s="199">
        <f>IF(AND(Input_Product=Elig!$C266,Elig_MatchAll_Ct&lt;22,$BC266=(Elig_MatchAll_Ct-1),AH266=0),E266,0)</f>
        <v>0</v>
      </c>
      <c r="BK266" s="199">
        <f>IF(AND(Input_Product=Elig!$C266,Elig_MatchAll_Ct&lt;22,$BC266=(Elig_MatchAll_Ct-1),AI266=0),F266,0)</f>
        <v>0</v>
      </c>
      <c r="BL266" s="199">
        <f>IF(AND(Input_Product=Elig!$C266,Elig_MatchAll_Ct&lt;22,$BC266=(Elig_MatchAll_Ct-1),AJ266=0),G266,0)</f>
        <v>0</v>
      </c>
      <c r="BM266" s="199">
        <f>IF(AND(Input_Product=Elig!$C266,Elig_MatchAll_Ct&lt;22,$BC266=(Elig_MatchAll_Ct-1),AK266=0),H266,0)</f>
        <v>0</v>
      </c>
      <c r="BN266" s="199">
        <f>IF(AND(Input_Product=Elig!$C266,Elig_MatchAll_Ct&lt;22,$BC266=(Elig_MatchAll_Ct-1),AL266=0),I266,0)</f>
        <v>0</v>
      </c>
      <c r="BO266" s="199">
        <f>IF(AND(Input_Product=Elig!$C266,Elig_MatchAll_Ct&lt;22,$BC266=(Elig_MatchAll_Ct-1),AM266=0),J266,0)</f>
        <v>0</v>
      </c>
      <c r="BP266" s="199">
        <f>IF(AND(Input_Product=Elig!$C266,Elig_MatchAll_Ct&lt;22,$BC266=(Elig_MatchAll_Ct-1),AN266=0),K266,0)</f>
        <v>0</v>
      </c>
      <c r="BQ266" s="199">
        <f>IF(AND(Input_Product=Elig!$C266,Elig_MatchAll_Ct&lt;22,$BC266=(Elig_MatchAll_Ct-1),AP266=0),L266,0)</f>
        <v>0</v>
      </c>
      <c r="BR266" s="199">
        <f>IF(AND(Input_Product=Elig!$C266,Elig_MatchAll_Ct&lt;22,$BC266=(Elig_MatchAll_Ct-1),AO266=0),M266,0)</f>
        <v>0</v>
      </c>
      <c r="BS266" s="199">
        <f>IF(AND(Input_Product=Elig!$C266,Elig_MatchAll_Ct&lt;22,$BC266=(Elig_MatchAll_Ct-1),AQ266=0),N266,0)</f>
        <v>0</v>
      </c>
      <c r="BT266" s="199">
        <f>IF(AND(Input_Product=Elig!$C266,Elig_MatchAll_Ct&lt;22,$BC266=(Elig_MatchAll_Ct-1),AR266=0),O266,0)</f>
        <v>0</v>
      </c>
      <c r="BU266" s="199">
        <f>IF(AND(Input_Product=Elig!$C266,Elig_MatchAll_Ct&lt;22,$BC266=(Elig_MatchAll_Ct-1),AS266=0),P266,0)</f>
        <v>0</v>
      </c>
      <c r="BV266" s="200">
        <f>IF(AND(Input_Product=Elig!$C266,Elig_MatchAll_Ct&lt;22,$BC266=(Elig_MatchAll_Ct-1),AT266=0),Q266,0)</f>
        <v>0</v>
      </c>
      <c r="BW266" s="201">
        <f>IF(AND(Input_Product=Elig!$C266,Elig_MatchAll_Ct&lt;22,$BC266=(Elig_MatchAll_Ct-1),AU266=0),R266,0)</f>
        <v>0</v>
      </c>
      <c r="BX266" s="202">
        <f>IF(AND(Input_Product=Elig!$C266,Elig_MatchAll_Ct&lt;22,$BC266=(Elig_MatchAll_Ct-1),AU266=0),S266,0)</f>
        <v>0</v>
      </c>
      <c r="BY266" s="201">
        <f>IF(AND(Input_Product=Elig!$C266,Elig_MatchAll_Ct&lt;22,$BC266=(Elig_MatchAll_Ct-1),AV266=0),T266,0)</f>
        <v>0</v>
      </c>
      <c r="BZ266" s="202">
        <f>IF(AND(Input_Product=Elig!$C266,Elig_MatchAll_Ct&lt;22,$BC266=(Elig_MatchAll_Ct-1),AV266=0),U266,0)</f>
        <v>0</v>
      </c>
      <c r="CA266" s="201">
        <f>IF(AND(Input_Product=Elig!$C266,Elig_MatchAll_Ct&lt;22,$BC266=(Elig_MatchAll_Ct-1),AW266=0),V266,0)</f>
        <v>0</v>
      </c>
      <c r="CB266" s="202">
        <f>IF(AND(Input_Product=Elig!$C266,Elig_MatchAll_Ct&lt;22,$BC266=(Elig_MatchAll_Ct-1),AW266=0),W266,0)</f>
        <v>0</v>
      </c>
      <c r="CC266" s="201">
        <f>IF(AND(Input_Product=Elig!$C266,Elig_MatchAll_Ct&lt;22,$BC266=(Elig_MatchAll_Ct-1),AX266=0),X266,0)</f>
        <v>0</v>
      </c>
      <c r="CD266" s="202">
        <f>IF(AND(Input_Product=Elig!$C266,Elig_MatchAll_Ct&lt;22,$BC266=(Elig_MatchAll_Ct-1),AX266=0),Y266,0)</f>
        <v>0</v>
      </c>
      <c r="CE266" s="201">
        <f>IF(AND(Input_LTV&lt;=AE266,Input_Product=Elig!$C266,Elig_MatchAll_Ct&lt;22,$BC266=(Elig_MatchAll_Ct-1),AY266=0),Z266,0)</f>
        <v>0</v>
      </c>
      <c r="CF266" s="202">
        <f>IF(AND(Input_LTV&lt;=AE266,Input_Product=Elig!$C266,Elig_MatchAll_Ct&lt;22,$BC266=(Elig_MatchAll_Ct-1),AY266=0),AA266,0)</f>
        <v>0</v>
      </c>
      <c r="CG266" s="201">
        <f>IF(AND(Input_Product=Elig!$C266,Elig_MatchAll_Ct&lt;22,$BC266=(Elig_MatchAll_Ct-1),AZ266=0),AB266,0)</f>
        <v>0</v>
      </c>
      <c r="CH266" s="202">
        <f>IF(AND(Input_Product=Elig!$C266,Elig_MatchAll_Ct&lt;22,$BC266=(Elig_MatchAll_Ct-1),AZ266=0),AC266,0)</f>
        <v>0</v>
      </c>
      <c r="CI266" s="201">
        <f>IF(AND(Input_Product=Elig!$C266,Elig_MatchAll_Ct&lt;22,$BC266=(Elig_MatchAll_Ct-1),BA266=0),AD266,0)</f>
        <v>0</v>
      </c>
      <c r="CJ266" s="202">
        <f>IF(AND(Input_Product=Elig!$C266,Elig_MatchAll_Ct&lt;22,$BC266=(Elig_MatchAll_Ct-1),BA266=0),AE266,0)</f>
        <v>0</v>
      </c>
    </row>
    <row r="267" spans="2:88" ht="10.15" customHeight="1" x14ac:dyDescent="0.25">
      <c r="B267" s="1912" t="s">
        <v>3972</v>
      </c>
      <c r="C267" s="141" t="str">
        <f t="shared" si="118"/>
        <v>NonQM OO</v>
      </c>
      <c r="D267" s="142" t="s">
        <v>3885</v>
      </c>
      <c r="E267" s="143" t="s">
        <v>167</v>
      </c>
      <c r="F267" s="143" t="s">
        <v>331</v>
      </c>
      <c r="G267" s="143" t="s">
        <v>468</v>
      </c>
      <c r="H267" s="143" t="s">
        <v>136</v>
      </c>
      <c r="I267" s="142" t="s">
        <v>16</v>
      </c>
      <c r="J267" s="142" t="s">
        <v>1311</v>
      </c>
      <c r="K267" s="142" t="s">
        <v>1631</v>
      </c>
      <c r="L267" s="2131" t="s">
        <v>3920</v>
      </c>
      <c r="M267" s="143" t="s">
        <v>4203</v>
      </c>
      <c r="N267" s="143" t="s">
        <v>82</v>
      </c>
      <c r="O267" s="143" t="s">
        <v>310</v>
      </c>
      <c r="P267" s="143" t="s">
        <v>291</v>
      </c>
      <c r="Q267" s="143" t="s">
        <v>294</v>
      </c>
      <c r="R267" s="320">
        <v>3000000.01</v>
      </c>
      <c r="S267" s="320">
        <v>3500000</v>
      </c>
      <c r="T267" s="142">
        <v>0</v>
      </c>
      <c r="U267" s="142">
        <f t="shared" ref="U267:U268" si="125">S267</f>
        <v>3500000</v>
      </c>
      <c r="V267" s="142">
        <v>0</v>
      </c>
      <c r="W267" s="142">
        <v>55</v>
      </c>
      <c r="X267" s="142">
        <v>0</v>
      </c>
      <c r="Y267" s="142">
        <v>999</v>
      </c>
      <c r="Z267" s="144">
        <v>720</v>
      </c>
      <c r="AA267" s="144">
        <v>999</v>
      </c>
      <c r="AB267" s="144">
        <v>9</v>
      </c>
      <c r="AC267" s="144">
        <v>999999</v>
      </c>
      <c r="AD267" s="142">
        <v>0</v>
      </c>
      <c r="AE267" s="320">
        <v>55</v>
      </c>
      <c r="AF267" s="170">
        <v>0</v>
      </c>
      <c r="AG267" s="171">
        <v>1</v>
      </c>
      <c r="AH267" s="171">
        <v>1</v>
      </c>
      <c r="AI267" s="171">
        <v>1</v>
      </c>
      <c r="AJ267" s="171">
        <v>0</v>
      </c>
      <c r="AK267" s="171">
        <v>1</v>
      </c>
      <c r="AL267" s="171">
        <v>1</v>
      </c>
      <c r="AM267" s="171">
        <v>1</v>
      </c>
      <c r="AN267" s="171">
        <v>1</v>
      </c>
      <c r="AO267" s="171">
        <v>1</v>
      </c>
      <c r="AP267" s="171">
        <v>1</v>
      </c>
      <c r="AQ267" s="171">
        <v>1</v>
      </c>
      <c r="AR267" s="171">
        <v>1</v>
      </c>
      <c r="AS267" s="171">
        <v>1</v>
      </c>
      <c r="AT267" s="171">
        <v>1</v>
      </c>
      <c r="AU267" s="171">
        <f t="shared" si="58"/>
        <v>0</v>
      </c>
      <c r="AV267" s="171">
        <f t="shared" si="59"/>
        <v>1</v>
      </c>
      <c r="AW267" s="171">
        <f t="shared" si="60"/>
        <v>1</v>
      </c>
      <c r="AX267" s="171">
        <f t="shared" si="100"/>
        <v>1</v>
      </c>
      <c r="AY267" s="171">
        <f t="shared" si="61"/>
        <v>1</v>
      </c>
      <c r="AZ267" s="171">
        <f t="shared" si="62"/>
        <v>1</v>
      </c>
      <c r="BA267" s="172">
        <f t="shared" si="63"/>
        <v>0</v>
      </c>
      <c r="BB267" s="175">
        <f t="shared" si="119"/>
        <v>18</v>
      </c>
      <c r="BC267" s="176">
        <f t="shared" si="120"/>
        <v>18</v>
      </c>
      <c r="BD267" s="176">
        <f t="shared" si="121"/>
        <v>18</v>
      </c>
      <c r="BE267" s="240" t="str">
        <f t="shared" si="124"/>
        <v/>
      </c>
      <c r="BH267" s="210">
        <f>IF(AND(Input_Product=Elig!$C267,Elig_MatchAll_Ct&lt;22,$BC267=(Elig_MatchAll_Ct-1),AF267=0),C267,0)</f>
        <v>0</v>
      </c>
      <c r="BI267" s="210">
        <f>IF(AND(Input_Product=Elig!$C267,Elig_MatchAll_Ct&lt;22,$BC267=(Elig_MatchAll_Ct-1),AG267=0),D267,0)</f>
        <v>0</v>
      </c>
      <c r="BJ267" s="210">
        <f>IF(AND(Input_Product=Elig!$C267,Elig_MatchAll_Ct&lt;22,$BC267=(Elig_MatchAll_Ct-1),AH267=0),E267,0)</f>
        <v>0</v>
      </c>
      <c r="BK267" s="210">
        <f>IF(AND(Input_Product=Elig!$C267,Elig_MatchAll_Ct&lt;22,$BC267=(Elig_MatchAll_Ct-1),AI267=0),F267,0)</f>
        <v>0</v>
      </c>
      <c r="BL267" s="210">
        <f>IF(AND(Input_Product=Elig!$C267,Elig_MatchAll_Ct&lt;22,$BC267=(Elig_MatchAll_Ct-1),AJ267=0),G267,0)</f>
        <v>0</v>
      </c>
      <c r="BM267" s="210">
        <f>IF(AND(Input_Product=Elig!$C267,Elig_MatchAll_Ct&lt;22,$BC267=(Elig_MatchAll_Ct-1),AK267=0),H267,0)</f>
        <v>0</v>
      </c>
      <c r="BN267" s="210">
        <f>IF(AND(Input_Product=Elig!$C267,Elig_MatchAll_Ct&lt;22,$BC267=(Elig_MatchAll_Ct-1),AL267=0),I267,0)</f>
        <v>0</v>
      </c>
      <c r="BO267" s="210">
        <f>IF(AND(Input_Product=Elig!$C267,Elig_MatchAll_Ct&lt;22,$BC267=(Elig_MatchAll_Ct-1),AM267=0),J267,0)</f>
        <v>0</v>
      </c>
      <c r="BP267" s="210">
        <f>IF(AND(Input_Product=Elig!$C267,Elig_MatchAll_Ct&lt;22,$BC267=(Elig_MatchAll_Ct-1),AN267=0),K267,0)</f>
        <v>0</v>
      </c>
      <c r="BQ267" s="210">
        <f>IF(AND(Input_Product=Elig!$C267,Elig_MatchAll_Ct&lt;22,$BC267=(Elig_MatchAll_Ct-1),AP267=0),L267,0)</f>
        <v>0</v>
      </c>
      <c r="BR267" s="210">
        <f>IF(AND(Input_Product=Elig!$C267,Elig_MatchAll_Ct&lt;22,$BC267=(Elig_MatchAll_Ct-1),AO267=0),M267,0)</f>
        <v>0</v>
      </c>
      <c r="BS267" s="210">
        <f>IF(AND(Input_Product=Elig!$C267,Elig_MatchAll_Ct&lt;22,$BC267=(Elig_MatchAll_Ct-1),AQ267=0),N267,0)</f>
        <v>0</v>
      </c>
      <c r="BT267" s="210">
        <f>IF(AND(Input_Product=Elig!$C267,Elig_MatchAll_Ct&lt;22,$BC267=(Elig_MatchAll_Ct-1),AR267=0),O267,0)</f>
        <v>0</v>
      </c>
      <c r="BU267" s="210">
        <f>IF(AND(Input_Product=Elig!$C267,Elig_MatchAll_Ct&lt;22,$BC267=(Elig_MatchAll_Ct-1),AS267=0),P267,0)</f>
        <v>0</v>
      </c>
      <c r="BV267" s="211">
        <f>IF(AND(Input_Product=Elig!$C267,Elig_MatchAll_Ct&lt;22,$BC267=(Elig_MatchAll_Ct-1),AT267=0),Q267,0)</f>
        <v>0</v>
      </c>
      <c r="BW267" s="212">
        <f>IF(AND(Input_Product=Elig!$C267,Elig_MatchAll_Ct&lt;22,$BC267=(Elig_MatchAll_Ct-1),AU267=0),R267,0)</f>
        <v>0</v>
      </c>
      <c r="BX267" s="213">
        <f>IF(AND(Input_Product=Elig!$C267,Elig_MatchAll_Ct&lt;22,$BC267=(Elig_MatchAll_Ct-1),AU267=0),S267,0)</f>
        <v>0</v>
      </c>
      <c r="BY267" s="212">
        <f>IF(AND(Input_Product=Elig!$C267,Elig_MatchAll_Ct&lt;22,$BC267=(Elig_MatchAll_Ct-1),AV267=0),T267,0)</f>
        <v>0</v>
      </c>
      <c r="BZ267" s="213">
        <f>IF(AND(Input_Product=Elig!$C267,Elig_MatchAll_Ct&lt;22,$BC267=(Elig_MatchAll_Ct-1),AV267=0),U267,0)</f>
        <v>0</v>
      </c>
      <c r="CA267" s="212">
        <f>IF(AND(Input_Product=Elig!$C267,Elig_MatchAll_Ct&lt;22,$BC267=(Elig_MatchAll_Ct-1),AW267=0),V267,0)</f>
        <v>0</v>
      </c>
      <c r="CB267" s="213">
        <f>IF(AND(Input_Product=Elig!$C267,Elig_MatchAll_Ct&lt;22,$BC267=(Elig_MatchAll_Ct-1),AW267=0),W267,0)</f>
        <v>0</v>
      </c>
      <c r="CC267" s="212">
        <f>IF(AND(Input_Product=Elig!$C267,Elig_MatchAll_Ct&lt;22,$BC267=(Elig_MatchAll_Ct-1),AX267=0),X267,0)</f>
        <v>0</v>
      </c>
      <c r="CD267" s="213">
        <f>IF(AND(Input_Product=Elig!$C267,Elig_MatchAll_Ct&lt;22,$BC267=(Elig_MatchAll_Ct-1),AX267=0),Y267,0)</f>
        <v>0</v>
      </c>
      <c r="CE267" s="212">
        <f>IF(AND(Input_LTV&lt;=AE267,Input_Product=Elig!$C267,Elig_MatchAll_Ct&lt;22,$BC267=(Elig_MatchAll_Ct-1),AY267=0),Z267,0)</f>
        <v>0</v>
      </c>
      <c r="CF267" s="213">
        <f>IF(AND(Input_LTV&lt;=AE267,Input_Product=Elig!$C267,Elig_MatchAll_Ct&lt;22,$BC267=(Elig_MatchAll_Ct-1),AY267=0),AA267,0)</f>
        <v>0</v>
      </c>
      <c r="CG267" s="212">
        <f>IF(AND(Input_Product=Elig!$C267,Elig_MatchAll_Ct&lt;22,$BC267=(Elig_MatchAll_Ct-1),AZ267=0),AB267,0)</f>
        <v>0</v>
      </c>
      <c r="CH267" s="213">
        <f>IF(AND(Input_Product=Elig!$C267,Elig_MatchAll_Ct&lt;22,$BC267=(Elig_MatchAll_Ct-1),AZ267=0),AC267,0)</f>
        <v>0</v>
      </c>
      <c r="CI267" s="212">
        <f>IF(AND(Input_Product=Elig!$C267,Elig_MatchAll_Ct&lt;22,$BC267=(Elig_MatchAll_Ct-1),BA267=0),AD267,0)</f>
        <v>0</v>
      </c>
      <c r="CJ267" s="213">
        <f>IF(AND(Input_Product=Elig!$C267,Elig_MatchAll_Ct&lt;22,$BC267=(Elig_MatchAll_Ct-1),BA267=0),AE267,0)</f>
        <v>0</v>
      </c>
    </row>
    <row r="268" spans="2:88" ht="10.15" customHeight="1" x14ac:dyDescent="0.25">
      <c r="B268" s="1912" t="s">
        <v>3973</v>
      </c>
      <c r="C268" s="134" t="str">
        <f t="shared" si="118"/>
        <v>NonQM OO</v>
      </c>
      <c r="D268" s="135" t="s">
        <v>3885</v>
      </c>
      <c r="E268" s="135" t="s">
        <v>167</v>
      </c>
      <c r="F268" s="135" t="s">
        <v>331</v>
      </c>
      <c r="G268" s="135" t="s">
        <v>468</v>
      </c>
      <c r="H268" s="135" t="s">
        <v>136</v>
      </c>
      <c r="I268" s="136" t="s">
        <v>16</v>
      </c>
      <c r="J268" s="136" t="s">
        <v>1311</v>
      </c>
      <c r="K268" s="136" t="s">
        <v>1631</v>
      </c>
      <c r="L268" s="221" t="s">
        <v>3920</v>
      </c>
      <c r="M268" s="135" t="s">
        <v>4203</v>
      </c>
      <c r="N268" s="135" t="s">
        <v>82</v>
      </c>
      <c r="O268" s="135" t="s">
        <v>310</v>
      </c>
      <c r="P268" s="135" t="s">
        <v>291</v>
      </c>
      <c r="Q268" s="135" t="s">
        <v>294</v>
      </c>
      <c r="R268" s="221">
        <v>3000000.01</v>
      </c>
      <c r="S268" s="221">
        <v>3500000</v>
      </c>
      <c r="T268" s="135">
        <v>0</v>
      </c>
      <c r="U268" s="135">
        <f t="shared" si="125"/>
        <v>3500000</v>
      </c>
      <c r="V268" s="135">
        <v>0</v>
      </c>
      <c r="W268" s="135">
        <v>55</v>
      </c>
      <c r="X268" s="135">
        <v>0</v>
      </c>
      <c r="Y268" s="135">
        <v>999</v>
      </c>
      <c r="Z268" s="137">
        <v>700</v>
      </c>
      <c r="AA268" s="137">
        <v>719</v>
      </c>
      <c r="AB268" s="137">
        <v>9</v>
      </c>
      <c r="AC268" s="137">
        <v>999999</v>
      </c>
      <c r="AD268" s="135">
        <v>0</v>
      </c>
      <c r="AE268" s="221">
        <v>55</v>
      </c>
      <c r="AF268" s="170">
        <v>0</v>
      </c>
      <c r="AG268" s="171">
        <v>1</v>
      </c>
      <c r="AH268" s="171">
        <v>1</v>
      </c>
      <c r="AI268" s="171">
        <v>1</v>
      </c>
      <c r="AJ268" s="171">
        <v>0</v>
      </c>
      <c r="AK268" s="171">
        <v>1</v>
      </c>
      <c r="AL268" s="171">
        <v>1</v>
      </c>
      <c r="AM268" s="171">
        <v>1</v>
      </c>
      <c r="AN268" s="171">
        <v>1</v>
      </c>
      <c r="AO268" s="171">
        <v>1</v>
      </c>
      <c r="AP268" s="171">
        <v>1</v>
      </c>
      <c r="AQ268" s="171">
        <v>1</v>
      </c>
      <c r="AR268" s="171">
        <v>1</v>
      </c>
      <c r="AS268" s="171">
        <v>1</v>
      </c>
      <c r="AT268" s="171">
        <v>1</v>
      </c>
      <c r="AU268" s="171">
        <f t="shared" si="58"/>
        <v>0</v>
      </c>
      <c r="AV268" s="171">
        <f t="shared" si="59"/>
        <v>1</v>
      </c>
      <c r="AW268" s="171">
        <f t="shared" si="60"/>
        <v>1</v>
      </c>
      <c r="AX268" s="171">
        <f t="shared" si="100"/>
        <v>1</v>
      </c>
      <c r="AY268" s="171">
        <f t="shared" si="61"/>
        <v>0</v>
      </c>
      <c r="AZ268" s="171">
        <f t="shared" si="62"/>
        <v>1</v>
      </c>
      <c r="BA268" s="172">
        <f t="shared" si="63"/>
        <v>0</v>
      </c>
      <c r="BB268" s="175">
        <f t="shared" si="119"/>
        <v>17</v>
      </c>
      <c r="BC268" s="176">
        <f t="shared" si="120"/>
        <v>17</v>
      </c>
      <c r="BD268" s="176">
        <f t="shared" si="121"/>
        <v>17</v>
      </c>
      <c r="BE268" s="240" t="str">
        <f t="shared" si="124"/>
        <v/>
      </c>
      <c r="BH268" s="199">
        <f>IF(AND(Input_Product=Elig!$C268,Elig_MatchAll_Ct&lt;22,$BC268=(Elig_MatchAll_Ct-1),AF268=0),C268,0)</f>
        <v>0</v>
      </c>
      <c r="BI268" s="199">
        <f>IF(AND(Input_Product=Elig!$C268,Elig_MatchAll_Ct&lt;22,$BC268=(Elig_MatchAll_Ct-1),AG268=0),D268,0)</f>
        <v>0</v>
      </c>
      <c r="BJ268" s="199">
        <f>IF(AND(Input_Product=Elig!$C268,Elig_MatchAll_Ct&lt;22,$BC268=(Elig_MatchAll_Ct-1),AH268=0),E268,0)</f>
        <v>0</v>
      </c>
      <c r="BK268" s="199">
        <f>IF(AND(Input_Product=Elig!$C268,Elig_MatchAll_Ct&lt;22,$BC268=(Elig_MatchAll_Ct-1),AI268=0),F268,0)</f>
        <v>0</v>
      </c>
      <c r="BL268" s="199">
        <f>IF(AND(Input_Product=Elig!$C268,Elig_MatchAll_Ct&lt;22,$BC268=(Elig_MatchAll_Ct-1),AJ268=0),G268,0)</f>
        <v>0</v>
      </c>
      <c r="BM268" s="199">
        <f>IF(AND(Input_Product=Elig!$C268,Elig_MatchAll_Ct&lt;22,$BC268=(Elig_MatchAll_Ct-1),AK268=0),H268,0)</f>
        <v>0</v>
      </c>
      <c r="BN268" s="199">
        <f>IF(AND(Input_Product=Elig!$C268,Elig_MatchAll_Ct&lt;22,$BC268=(Elig_MatchAll_Ct-1),AL268=0),I268,0)</f>
        <v>0</v>
      </c>
      <c r="BO268" s="199">
        <f>IF(AND(Input_Product=Elig!$C268,Elig_MatchAll_Ct&lt;22,$BC268=(Elig_MatchAll_Ct-1),AM268=0),J268,0)</f>
        <v>0</v>
      </c>
      <c r="BP268" s="199">
        <f>IF(AND(Input_Product=Elig!$C268,Elig_MatchAll_Ct&lt;22,$BC268=(Elig_MatchAll_Ct-1),AN268=0),K268,0)</f>
        <v>0</v>
      </c>
      <c r="BQ268" s="199">
        <f>IF(AND(Input_Product=Elig!$C268,Elig_MatchAll_Ct&lt;22,$BC268=(Elig_MatchAll_Ct-1),AP268=0),L268,0)</f>
        <v>0</v>
      </c>
      <c r="BR268" s="199">
        <f>IF(AND(Input_Product=Elig!$C268,Elig_MatchAll_Ct&lt;22,$BC268=(Elig_MatchAll_Ct-1),AO268=0),M268,0)</f>
        <v>0</v>
      </c>
      <c r="BS268" s="199">
        <f>IF(AND(Input_Product=Elig!$C268,Elig_MatchAll_Ct&lt;22,$BC268=(Elig_MatchAll_Ct-1),AQ268=0),N268,0)</f>
        <v>0</v>
      </c>
      <c r="BT268" s="199">
        <f>IF(AND(Input_Product=Elig!$C268,Elig_MatchAll_Ct&lt;22,$BC268=(Elig_MatchAll_Ct-1),AR268=0),O268,0)</f>
        <v>0</v>
      </c>
      <c r="BU268" s="199">
        <f>IF(AND(Input_Product=Elig!$C268,Elig_MatchAll_Ct&lt;22,$BC268=(Elig_MatchAll_Ct-1),AS268=0),P268,0)</f>
        <v>0</v>
      </c>
      <c r="BV268" s="200">
        <f>IF(AND(Input_Product=Elig!$C268,Elig_MatchAll_Ct&lt;22,$BC268=(Elig_MatchAll_Ct-1),AT268=0),Q268,0)</f>
        <v>0</v>
      </c>
      <c r="BW268" s="201">
        <f>IF(AND(Input_Product=Elig!$C268,Elig_MatchAll_Ct&lt;22,$BC268=(Elig_MatchAll_Ct-1),AU268=0),R268,0)</f>
        <v>0</v>
      </c>
      <c r="BX268" s="202">
        <f>IF(AND(Input_Product=Elig!$C268,Elig_MatchAll_Ct&lt;22,$BC268=(Elig_MatchAll_Ct-1),AU268=0),S268,0)</f>
        <v>0</v>
      </c>
      <c r="BY268" s="201">
        <f>IF(AND(Input_Product=Elig!$C268,Elig_MatchAll_Ct&lt;22,$BC268=(Elig_MatchAll_Ct-1),AV268=0),T268,0)</f>
        <v>0</v>
      </c>
      <c r="BZ268" s="202">
        <f>IF(AND(Input_Product=Elig!$C268,Elig_MatchAll_Ct&lt;22,$BC268=(Elig_MatchAll_Ct-1),AV268=0),U268,0)</f>
        <v>0</v>
      </c>
      <c r="CA268" s="201">
        <f>IF(AND(Input_Product=Elig!$C268,Elig_MatchAll_Ct&lt;22,$BC268=(Elig_MatchAll_Ct-1),AW268=0),V268,0)</f>
        <v>0</v>
      </c>
      <c r="CB268" s="202">
        <f>IF(AND(Input_Product=Elig!$C268,Elig_MatchAll_Ct&lt;22,$BC268=(Elig_MatchAll_Ct-1),AW268=0),W268,0)</f>
        <v>0</v>
      </c>
      <c r="CC268" s="201">
        <f>IF(AND(Input_Product=Elig!$C268,Elig_MatchAll_Ct&lt;22,$BC268=(Elig_MatchAll_Ct-1),AX268=0),X268,0)</f>
        <v>0</v>
      </c>
      <c r="CD268" s="202">
        <f>IF(AND(Input_Product=Elig!$C268,Elig_MatchAll_Ct&lt;22,$BC268=(Elig_MatchAll_Ct-1),AX268=0),Y268,0)</f>
        <v>0</v>
      </c>
      <c r="CE268" s="201">
        <f>IF(AND(Input_LTV&lt;=AE268,Input_Product=Elig!$C268,Elig_MatchAll_Ct&lt;22,$BC268=(Elig_MatchAll_Ct-1),AY268=0),Z268,0)</f>
        <v>0</v>
      </c>
      <c r="CF268" s="202">
        <f>IF(AND(Input_LTV&lt;=AE268,Input_Product=Elig!$C268,Elig_MatchAll_Ct&lt;22,$BC268=(Elig_MatchAll_Ct-1),AY268=0),AA268,0)</f>
        <v>0</v>
      </c>
      <c r="CG268" s="201">
        <f>IF(AND(Input_Product=Elig!$C268,Elig_MatchAll_Ct&lt;22,$BC268=(Elig_MatchAll_Ct-1),AZ268=0),AB268,0)</f>
        <v>0</v>
      </c>
      <c r="CH268" s="202">
        <f>IF(AND(Input_Product=Elig!$C268,Elig_MatchAll_Ct&lt;22,$BC268=(Elig_MatchAll_Ct-1),AZ268=0),AC268,0)</f>
        <v>0</v>
      </c>
      <c r="CI268" s="201">
        <f>IF(AND(Input_Product=Elig!$C268,Elig_MatchAll_Ct&lt;22,$BC268=(Elig_MatchAll_Ct-1),BA268=0),AD268,0)</f>
        <v>0</v>
      </c>
      <c r="CJ268" s="202">
        <f>IF(AND(Input_Product=Elig!$C268,Elig_MatchAll_Ct&lt;22,$BC268=(Elig_MatchAll_Ct-1),BA268=0),AE268,0)</f>
        <v>0</v>
      </c>
    </row>
    <row r="269" spans="2:88" ht="10.15" customHeight="1" x14ac:dyDescent="0.25">
      <c r="B269" s="1912" t="s">
        <v>3974</v>
      </c>
      <c r="C269" s="141" t="str">
        <f t="shared" si="118"/>
        <v>NonQM OO</v>
      </c>
      <c r="D269" s="142" t="s">
        <v>3885</v>
      </c>
      <c r="E269" s="143" t="s">
        <v>167</v>
      </c>
      <c r="F269" s="143" t="s">
        <v>331</v>
      </c>
      <c r="G269" s="143" t="s">
        <v>303</v>
      </c>
      <c r="H269" s="143" t="s">
        <v>136</v>
      </c>
      <c r="I269" s="142" t="s">
        <v>274</v>
      </c>
      <c r="J269" s="142" t="s">
        <v>1311</v>
      </c>
      <c r="K269" s="142" t="s">
        <v>1631</v>
      </c>
      <c r="L269" s="2131" t="s">
        <v>3920</v>
      </c>
      <c r="M269" s="143" t="s">
        <v>4203</v>
      </c>
      <c r="N269" s="143" t="s">
        <v>82</v>
      </c>
      <c r="O269" s="143" t="s">
        <v>310</v>
      </c>
      <c r="P269" s="143" t="s">
        <v>291</v>
      </c>
      <c r="Q269" s="143" t="s">
        <v>294</v>
      </c>
      <c r="R269" s="320">
        <v>3500000.01</v>
      </c>
      <c r="S269" s="320">
        <v>4000000</v>
      </c>
      <c r="T269" s="142">
        <v>0</v>
      </c>
      <c r="U269" s="142">
        <v>0</v>
      </c>
      <c r="V269" s="142">
        <v>0</v>
      </c>
      <c r="W269" s="142">
        <v>55</v>
      </c>
      <c r="X269" s="142">
        <v>0</v>
      </c>
      <c r="Y269" s="142">
        <v>999</v>
      </c>
      <c r="Z269" s="144">
        <v>720</v>
      </c>
      <c r="AA269" s="144">
        <v>999</v>
      </c>
      <c r="AB269" s="144">
        <v>9</v>
      </c>
      <c r="AC269" s="144">
        <v>999999</v>
      </c>
      <c r="AD269" s="142">
        <v>0</v>
      </c>
      <c r="AE269" s="320">
        <v>70</v>
      </c>
      <c r="AF269" s="170">
        <v>0</v>
      </c>
      <c r="AG269" s="171">
        <v>1</v>
      </c>
      <c r="AH269" s="171">
        <v>1</v>
      </c>
      <c r="AI269" s="171">
        <v>1</v>
      </c>
      <c r="AJ269" s="171">
        <v>1</v>
      </c>
      <c r="AK269" s="171">
        <v>1</v>
      </c>
      <c r="AL269" s="171">
        <v>0</v>
      </c>
      <c r="AM269" s="171">
        <v>1</v>
      </c>
      <c r="AN269" s="171">
        <v>1</v>
      </c>
      <c r="AO269" s="171">
        <v>1</v>
      </c>
      <c r="AP269" s="171">
        <v>1</v>
      </c>
      <c r="AQ269" s="171">
        <v>1</v>
      </c>
      <c r="AR269" s="171">
        <v>1</v>
      </c>
      <c r="AS269" s="171">
        <v>1</v>
      </c>
      <c r="AT269" s="171">
        <v>1</v>
      </c>
      <c r="AU269" s="171">
        <f t="shared" si="58"/>
        <v>0</v>
      </c>
      <c r="AV269" s="171">
        <f t="shared" si="59"/>
        <v>0</v>
      </c>
      <c r="AW269" s="171">
        <f t="shared" si="60"/>
        <v>1</v>
      </c>
      <c r="AX269" s="171">
        <f t="shared" si="100"/>
        <v>1</v>
      </c>
      <c r="AY269" s="171">
        <f t="shared" si="61"/>
        <v>1</v>
      </c>
      <c r="AZ269" s="171">
        <f t="shared" si="62"/>
        <v>1</v>
      </c>
      <c r="BA269" s="172">
        <f t="shared" si="63"/>
        <v>1</v>
      </c>
      <c r="BB269" s="175">
        <f t="shared" ref="BB269:BB274" si="126">SUM(AF269:BA269)</f>
        <v>18</v>
      </c>
      <c r="BC269" s="176">
        <f t="shared" ref="BC269:BC274" si="127">SUM(AF269:AZ269)</f>
        <v>17</v>
      </c>
      <c r="BD269" s="176">
        <f t="shared" ref="BD269:BD274" si="128">SUM(AG269:BA269)</f>
        <v>18</v>
      </c>
      <c r="BE269" s="240" t="str">
        <f t="shared" si="124"/>
        <v/>
      </c>
      <c r="BH269" s="210">
        <f>IF(AND(Input_Product=Elig!$C269,Elig_MatchAll_Ct&lt;22,$BC269=(Elig_MatchAll_Ct-1),AF269=0),C269,0)</f>
        <v>0</v>
      </c>
      <c r="BI269" s="210">
        <f>IF(AND(Input_Product=Elig!$C269,Elig_MatchAll_Ct&lt;22,$BC269=(Elig_MatchAll_Ct-1),AG269=0),D269,0)</f>
        <v>0</v>
      </c>
      <c r="BJ269" s="210">
        <f>IF(AND(Input_Product=Elig!$C269,Elig_MatchAll_Ct&lt;22,$BC269=(Elig_MatchAll_Ct-1),AH269=0),E269,0)</f>
        <v>0</v>
      </c>
      <c r="BK269" s="210">
        <f>IF(AND(Input_Product=Elig!$C269,Elig_MatchAll_Ct&lt;22,$BC269=(Elig_MatchAll_Ct-1),AI269=0),F269,0)</f>
        <v>0</v>
      </c>
      <c r="BL269" s="210">
        <f>IF(AND(Input_Product=Elig!$C269,Elig_MatchAll_Ct&lt;22,$BC269=(Elig_MatchAll_Ct-1),AJ269=0),G269,0)</f>
        <v>0</v>
      </c>
      <c r="BM269" s="210">
        <f>IF(AND(Input_Product=Elig!$C269,Elig_MatchAll_Ct&lt;22,$BC269=(Elig_MatchAll_Ct-1),AK269=0),H269,0)</f>
        <v>0</v>
      </c>
      <c r="BN269" s="210">
        <f>IF(AND(Input_Product=Elig!$C269,Elig_MatchAll_Ct&lt;22,$BC269=(Elig_MatchAll_Ct-1),AL269=0),I269,0)</f>
        <v>0</v>
      </c>
      <c r="BO269" s="210">
        <f>IF(AND(Input_Product=Elig!$C269,Elig_MatchAll_Ct&lt;22,$BC269=(Elig_MatchAll_Ct-1),AM269=0),J269,0)</f>
        <v>0</v>
      </c>
      <c r="BP269" s="210">
        <f>IF(AND(Input_Product=Elig!$C269,Elig_MatchAll_Ct&lt;22,$BC269=(Elig_MatchAll_Ct-1),AN269=0),K269,0)</f>
        <v>0</v>
      </c>
      <c r="BQ269" s="210">
        <f>IF(AND(Input_Product=Elig!$C269,Elig_MatchAll_Ct&lt;22,$BC269=(Elig_MatchAll_Ct-1),AP269=0),L269,0)</f>
        <v>0</v>
      </c>
      <c r="BR269" s="210">
        <f>IF(AND(Input_Product=Elig!$C269,Elig_MatchAll_Ct&lt;22,$BC269=(Elig_MatchAll_Ct-1),AO269=0),M269,0)</f>
        <v>0</v>
      </c>
      <c r="BS269" s="210">
        <f>IF(AND(Input_Product=Elig!$C269,Elig_MatchAll_Ct&lt;22,$BC269=(Elig_MatchAll_Ct-1),AQ269=0),N269,0)</f>
        <v>0</v>
      </c>
      <c r="BT269" s="210">
        <f>IF(AND(Input_Product=Elig!$C269,Elig_MatchAll_Ct&lt;22,$BC269=(Elig_MatchAll_Ct-1),AR269=0),O269,0)</f>
        <v>0</v>
      </c>
      <c r="BU269" s="210">
        <f>IF(AND(Input_Product=Elig!$C269,Elig_MatchAll_Ct&lt;22,$BC269=(Elig_MatchAll_Ct-1),AS269=0),P269,0)</f>
        <v>0</v>
      </c>
      <c r="BV269" s="211">
        <f>IF(AND(Input_Product=Elig!$C269,Elig_MatchAll_Ct&lt;22,$BC269=(Elig_MatchAll_Ct-1),AT269=0),Q269,0)</f>
        <v>0</v>
      </c>
      <c r="BW269" s="212">
        <f>IF(AND(Input_Product=Elig!$C269,Elig_MatchAll_Ct&lt;22,$BC269=(Elig_MatchAll_Ct-1),AU269=0),R269,0)</f>
        <v>0</v>
      </c>
      <c r="BX269" s="213">
        <f>IF(AND(Input_Product=Elig!$C269,Elig_MatchAll_Ct&lt;22,$BC269=(Elig_MatchAll_Ct-1),AU269=0),S269,0)</f>
        <v>0</v>
      </c>
      <c r="BY269" s="212">
        <f>IF(AND(Input_Product=Elig!$C269,Elig_MatchAll_Ct&lt;22,$BC269=(Elig_MatchAll_Ct-1),AV269=0),T269,0)</f>
        <v>0</v>
      </c>
      <c r="BZ269" s="213">
        <f>IF(AND(Input_Product=Elig!$C269,Elig_MatchAll_Ct&lt;22,$BC269=(Elig_MatchAll_Ct-1),AV269=0),U269,0)</f>
        <v>0</v>
      </c>
      <c r="CA269" s="212">
        <f>IF(AND(Input_Product=Elig!$C269,Elig_MatchAll_Ct&lt;22,$BC269=(Elig_MatchAll_Ct-1),AW269=0),V269,0)</f>
        <v>0</v>
      </c>
      <c r="CB269" s="213">
        <f>IF(AND(Input_Product=Elig!$C269,Elig_MatchAll_Ct&lt;22,$BC269=(Elig_MatchAll_Ct-1),AW269=0),W269,0)</f>
        <v>0</v>
      </c>
      <c r="CC269" s="212">
        <f>IF(AND(Input_Product=Elig!$C269,Elig_MatchAll_Ct&lt;22,$BC269=(Elig_MatchAll_Ct-1),AX269=0),X269,0)</f>
        <v>0</v>
      </c>
      <c r="CD269" s="213">
        <f>IF(AND(Input_Product=Elig!$C269,Elig_MatchAll_Ct&lt;22,$BC269=(Elig_MatchAll_Ct-1),AX269=0),Y269,0)</f>
        <v>0</v>
      </c>
      <c r="CE269" s="212">
        <f>IF(AND(Input_LTV&lt;=AE269,Input_Product=Elig!$C269,Elig_MatchAll_Ct&lt;22,$BC269=(Elig_MatchAll_Ct-1),AY269=0),Z269,0)</f>
        <v>0</v>
      </c>
      <c r="CF269" s="213">
        <f>IF(AND(Input_LTV&lt;=AE269,Input_Product=Elig!$C269,Elig_MatchAll_Ct&lt;22,$BC269=(Elig_MatchAll_Ct-1),AY269=0),AA269,0)</f>
        <v>0</v>
      </c>
      <c r="CG269" s="212">
        <f>IF(AND(Input_Product=Elig!$C269,Elig_MatchAll_Ct&lt;22,$BC269=(Elig_MatchAll_Ct-1),AZ269=0),AB269,0)</f>
        <v>0</v>
      </c>
      <c r="CH269" s="213">
        <f>IF(AND(Input_Product=Elig!$C269,Elig_MatchAll_Ct&lt;22,$BC269=(Elig_MatchAll_Ct-1),AZ269=0),AC269,0)</f>
        <v>0</v>
      </c>
      <c r="CI269" s="212">
        <f>IF(AND(Input_Product=Elig!$C269,Elig_MatchAll_Ct&lt;22,$BC269=(Elig_MatchAll_Ct-1),BA269=0),AD269,0)</f>
        <v>0</v>
      </c>
      <c r="CJ269" s="213">
        <f>IF(AND(Input_Product=Elig!$C269,Elig_MatchAll_Ct&lt;22,$BC269=(Elig_MatchAll_Ct-1),BA269=0),AE269,0)</f>
        <v>0</v>
      </c>
    </row>
    <row r="270" spans="2:88" ht="10.15" customHeight="1" x14ac:dyDescent="0.25">
      <c r="B270" s="1912" t="s">
        <v>3975</v>
      </c>
      <c r="C270" s="141" t="str">
        <f t="shared" si="118"/>
        <v>NonQM OO</v>
      </c>
      <c r="D270" s="142" t="s">
        <v>3885</v>
      </c>
      <c r="E270" s="143" t="s">
        <v>167</v>
      </c>
      <c r="F270" s="143" t="s">
        <v>331</v>
      </c>
      <c r="G270" s="143" t="s">
        <v>303</v>
      </c>
      <c r="H270" s="143" t="s">
        <v>136</v>
      </c>
      <c r="I270" s="142" t="s">
        <v>16</v>
      </c>
      <c r="J270" s="142" t="s">
        <v>1311</v>
      </c>
      <c r="K270" s="142" t="s">
        <v>1631</v>
      </c>
      <c r="L270" s="2131" t="s">
        <v>3920</v>
      </c>
      <c r="M270" s="143" t="s">
        <v>4203</v>
      </c>
      <c r="N270" s="143" t="s">
        <v>82</v>
      </c>
      <c r="O270" s="143" t="s">
        <v>310</v>
      </c>
      <c r="P270" s="143" t="s">
        <v>291</v>
      </c>
      <c r="Q270" s="143" t="s">
        <v>294</v>
      </c>
      <c r="R270" s="320">
        <v>3500000.01</v>
      </c>
      <c r="S270" s="320">
        <v>4000000</v>
      </c>
      <c r="T270" s="142">
        <v>0</v>
      </c>
      <c r="U270" s="142">
        <f t="shared" ref="U270" si="129">S270</f>
        <v>4000000</v>
      </c>
      <c r="V270" s="142">
        <v>0</v>
      </c>
      <c r="W270" s="142">
        <v>55</v>
      </c>
      <c r="X270" s="142">
        <v>0</v>
      </c>
      <c r="Y270" s="142">
        <v>999</v>
      </c>
      <c r="Z270" s="144">
        <v>720</v>
      </c>
      <c r="AA270" s="144">
        <v>999</v>
      </c>
      <c r="AB270" s="144">
        <v>9</v>
      </c>
      <c r="AC270" s="144">
        <v>999999</v>
      </c>
      <c r="AD270" s="142">
        <v>0</v>
      </c>
      <c r="AE270" s="320">
        <v>50</v>
      </c>
      <c r="AF270" s="170">
        <v>0</v>
      </c>
      <c r="AG270" s="171">
        <v>1</v>
      </c>
      <c r="AH270" s="171">
        <v>1</v>
      </c>
      <c r="AI270" s="171">
        <v>1</v>
      </c>
      <c r="AJ270" s="171">
        <v>1</v>
      </c>
      <c r="AK270" s="171">
        <v>1</v>
      </c>
      <c r="AL270" s="171">
        <v>1</v>
      </c>
      <c r="AM270" s="171">
        <v>1</v>
      </c>
      <c r="AN270" s="171">
        <v>1</v>
      </c>
      <c r="AO270" s="171">
        <v>1</v>
      </c>
      <c r="AP270" s="171">
        <v>1</v>
      </c>
      <c r="AQ270" s="171">
        <v>1</v>
      </c>
      <c r="AR270" s="171">
        <v>1</v>
      </c>
      <c r="AS270" s="171">
        <v>1</v>
      </c>
      <c r="AT270" s="171">
        <v>1</v>
      </c>
      <c r="AU270" s="171">
        <f t="shared" si="58"/>
        <v>0</v>
      </c>
      <c r="AV270" s="171">
        <f t="shared" si="59"/>
        <v>1</v>
      </c>
      <c r="AW270" s="171">
        <f t="shared" si="60"/>
        <v>1</v>
      </c>
      <c r="AX270" s="171">
        <f t="shared" si="100"/>
        <v>1</v>
      </c>
      <c r="AY270" s="171">
        <f t="shared" si="61"/>
        <v>1</v>
      </c>
      <c r="AZ270" s="171">
        <f t="shared" si="62"/>
        <v>1</v>
      </c>
      <c r="BA270" s="172">
        <f t="shared" si="63"/>
        <v>0</v>
      </c>
      <c r="BB270" s="175">
        <f t="shared" si="126"/>
        <v>19</v>
      </c>
      <c r="BC270" s="176">
        <f t="shared" si="127"/>
        <v>19</v>
      </c>
      <c r="BD270" s="176">
        <f t="shared" si="128"/>
        <v>19</v>
      </c>
      <c r="BE270" s="240" t="str">
        <f t="shared" si="124"/>
        <v/>
      </c>
      <c r="BH270" s="210">
        <f>IF(AND(Input_Product=Elig!$C270,Elig_MatchAll_Ct&lt;22,$BC270=(Elig_MatchAll_Ct-1),AF270=0),C270,0)</f>
        <v>0</v>
      </c>
      <c r="BI270" s="210">
        <f>IF(AND(Input_Product=Elig!$C270,Elig_MatchAll_Ct&lt;22,$BC270=(Elig_MatchAll_Ct-1),AG270=0),D270,0)</f>
        <v>0</v>
      </c>
      <c r="BJ270" s="210">
        <f>IF(AND(Input_Product=Elig!$C270,Elig_MatchAll_Ct&lt;22,$BC270=(Elig_MatchAll_Ct-1),AH270=0),E270,0)</f>
        <v>0</v>
      </c>
      <c r="BK270" s="210">
        <f>IF(AND(Input_Product=Elig!$C270,Elig_MatchAll_Ct&lt;22,$BC270=(Elig_MatchAll_Ct-1),AI270=0),F270,0)</f>
        <v>0</v>
      </c>
      <c r="BL270" s="210">
        <f>IF(AND(Input_Product=Elig!$C270,Elig_MatchAll_Ct&lt;22,$BC270=(Elig_MatchAll_Ct-1),AJ270=0),G270,0)</f>
        <v>0</v>
      </c>
      <c r="BM270" s="210">
        <f>IF(AND(Input_Product=Elig!$C270,Elig_MatchAll_Ct&lt;22,$BC270=(Elig_MatchAll_Ct-1),AK270=0),H270,0)</f>
        <v>0</v>
      </c>
      <c r="BN270" s="210">
        <f>IF(AND(Input_Product=Elig!$C270,Elig_MatchAll_Ct&lt;22,$BC270=(Elig_MatchAll_Ct-1),AL270=0),I270,0)</f>
        <v>0</v>
      </c>
      <c r="BO270" s="210">
        <f>IF(AND(Input_Product=Elig!$C270,Elig_MatchAll_Ct&lt;22,$BC270=(Elig_MatchAll_Ct-1),AM270=0),J270,0)</f>
        <v>0</v>
      </c>
      <c r="BP270" s="210">
        <f>IF(AND(Input_Product=Elig!$C270,Elig_MatchAll_Ct&lt;22,$BC270=(Elig_MatchAll_Ct-1),AN270=0),K270,0)</f>
        <v>0</v>
      </c>
      <c r="BQ270" s="210">
        <f>IF(AND(Input_Product=Elig!$C270,Elig_MatchAll_Ct&lt;22,$BC270=(Elig_MatchAll_Ct-1),AP270=0),L270,0)</f>
        <v>0</v>
      </c>
      <c r="BR270" s="210">
        <f>IF(AND(Input_Product=Elig!$C270,Elig_MatchAll_Ct&lt;22,$BC270=(Elig_MatchAll_Ct-1),AO270=0),M270,0)</f>
        <v>0</v>
      </c>
      <c r="BS270" s="210">
        <f>IF(AND(Input_Product=Elig!$C270,Elig_MatchAll_Ct&lt;22,$BC270=(Elig_MatchAll_Ct-1),AQ270=0),N270,0)</f>
        <v>0</v>
      </c>
      <c r="BT270" s="210">
        <f>IF(AND(Input_Product=Elig!$C270,Elig_MatchAll_Ct&lt;22,$BC270=(Elig_MatchAll_Ct-1),AR270=0),O270,0)</f>
        <v>0</v>
      </c>
      <c r="BU270" s="210">
        <f>IF(AND(Input_Product=Elig!$C270,Elig_MatchAll_Ct&lt;22,$BC270=(Elig_MatchAll_Ct-1),AS270=0),P270,0)</f>
        <v>0</v>
      </c>
      <c r="BV270" s="211">
        <f>IF(AND(Input_Product=Elig!$C270,Elig_MatchAll_Ct&lt;22,$BC270=(Elig_MatchAll_Ct-1),AT270=0),Q270,0)</f>
        <v>0</v>
      </c>
      <c r="BW270" s="212">
        <f>IF(AND(Input_Product=Elig!$C270,Elig_MatchAll_Ct&lt;22,$BC270=(Elig_MatchAll_Ct-1),AU270=0),R270,0)</f>
        <v>0</v>
      </c>
      <c r="BX270" s="213">
        <f>IF(AND(Input_Product=Elig!$C270,Elig_MatchAll_Ct&lt;22,$BC270=(Elig_MatchAll_Ct-1),AU270=0),S270,0)</f>
        <v>0</v>
      </c>
      <c r="BY270" s="212">
        <f>IF(AND(Input_Product=Elig!$C270,Elig_MatchAll_Ct&lt;22,$BC270=(Elig_MatchAll_Ct-1),AV270=0),T270,0)</f>
        <v>0</v>
      </c>
      <c r="BZ270" s="213">
        <f>IF(AND(Input_Product=Elig!$C270,Elig_MatchAll_Ct&lt;22,$BC270=(Elig_MatchAll_Ct-1),AV270=0),U270,0)</f>
        <v>0</v>
      </c>
      <c r="CA270" s="212">
        <f>IF(AND(Input_Product=Elig!$C270,Elig_MatchAll_Ct&lt;22,$BC270=(Elig_MatchAll_Ct-1),AW270=0),V270,0)</f>
        <v>0</v>
      </c>
      <c r="CB270" s="213">
        <f>IF(AND(Input_Product=Elig!$C270,Elig_MatchAll_Ct&lt;22,$BC270=(Elig_MatchAll_Ct-1),AW270=0),W270,0)</f>
        <v>0</v>
      </c>
      <c r="CC270" s="212">
        <f>IF(AND(Input_Product=Elig!$C270,Elig_MatchAll_Ct&lt;22,$BC270=(Elig_MatchAll_Ct-1),AX270=0),X270,0)</f>
        <v>0</v>
      </c>
      <c r="CD270" s="213">
        <f>IF(AND(Input_Product=Elig!$C270,Elig_MatchAll_Ct&lt;22,$BC270=(Elig_MatchAll_Ct-1),AX270=0),Y270,0)</f>
        <v>0</v>
      </c>
      <c r="CE270" s="212">
        <f>IF(AND(Input_LTV&lt;=AE270,Input_Product=Elig!$C270,Elig_MatchAll_Ct&lt;22,$BC270=(Elig_MatchAll_Ct-1),AY270=0),Z270,0)</f>
        <v>0</v>
      </c>
      <c r="CF270" s="213">
        <f>IF(AND(Input_LTV&lt;=AE270,Input_Product=Elig!$C270,Elig_MatchAll_Ct&lt;22,$BC270=(Elig_MatchAll_Ct-1),AY270=0),AA270,0)</f>
        <v>0</v>
      </c>
      <c r="CG270" s="212">
        <f>IF(AND(Input_Product=Elig!$C270,Elig_MatchAll_Ct&lt;22,$BC270=(Elig_MatchAll_Ct-1),AZ270=0),AB270,0)</f>
        <v>0</v>
      </c>
      <c r="CH270" s="213">
        <f>IF(AND(Input_Product=Elig!$C270,Elig_MatchAll_Ct&lt;22,$BC270=(Elig_MatchAll_Ct-1),AZ270=0),AC270,0)</f>
        <v>0</v>
      </c>
      <c r="CI270" s="212">
        <f>IF(AND(Input_Product=Elig!$C270,Elig_MatchAll_Ct&lt;22,$BC270=(Elig_MatchAll_Ct-1),BA270=0),AD270,0)</f>
        <v>0</v>
      </c>
      <c r="CJ270" s="213">
        <f>IF(AND(Input_Product=Elig!$C270,Elig_MatchAll_Ct&lt;22,$BC270=(Elig_MatchAll_Ct-1),BA270=0),AE270,0)</f>
        <v>0</v>
      </c>
    </row>
    <row r="271" spans="2:88" ht="10.15" customHeight="1" x14ac:dyDescent="0.25">
      <c r="B271" s="1912" t="s">
        <v>3976</v>
      </c>
      <c r="C271" s="141" t="str">
        <f t="shared" si="118"/>
        <v>NonQM OO</v>
      </c>
      <c r="D271" s="142" t="s">
        <v>3885</v>
      </c>
      <c r="E271" s="143" t="s">
        <v>167</v>
      </c>
      <c r="F271" s="143" t="s">
        <v>331</v>
      </c>
      <c r="G271" s="143" t="s">
        <v>304</v>
      </c>
      <c r="H271" s="143" t="s">
        <v>446</v>
      </c>
      <c r="I271" s="142" t="s">
        <v>274</v>
      </c>
      <c r="J271" s="142" t="s">
        <v>1311</v>
      </c>
      <c r="K271" s="142" t="s">
        <v>1631</v>
      </c>
      <c r="L271" s="2131" t="s">
        <v>3920</v>
      </c>
      <c r="M271" s="143" t="s">
        <v>4203</v>
      </c>
      <c r="N271" s="143" t="s">
        <v>82</v>
      </c>
      <c r="O271" s="143" t="s">
        <v>310</v>
      </c>
      <c r="P271" s="143" t="s">
        <v>291</v>
      </c>
      <c r="Q271" s="143" t="s">
        <v>294</v>
      </c>
      <c r="R271" s="320">
        <v>3500000.01</v>
      </c>
      <c r="S271" s="320">
        <v>4000000</v>
      </c>
      <c r="T271" s="142">
        <v>0</v>
      </c>
      <c r="U271" s="142">
        <v>0</v>
      </c>
      <c r="V271" s="142">
        <v>0</v>
      </c>
      <c r="W271" s="142">
        <v>55</v>
      </c>
      <c r="X271" s="142">
        <v>0</v>
      </c>
      <c r="Y271" s="142">
        <v>999</v>
      </c>
      <c r="Z271" s="144">
        <v>720</v>
      </c>
      <c r="AA271" s="144">
        <v>999</v>
      </c>
      <c r="AB271" s="144">
        <v>9</v>
      </c>
      <c r="AC271" s="144">
        <v>999999</v>
      </c>
      <c r="AD271" s="142">
        <v>0</v>
      </c>
      <c r="AE271" s="320">
        <v>70</v>
      </c>
      <c r="AF271" s="170">
        <v>0</v>
      </c>
      <c r="AG271" s="171">
        <v>1</v>
      </c>
      <c r="AH271" s="171">
        <v>1</v>
      </c>
      <c r="AI271" s="171">
        <v>1</v>
      </c>
      <c r="AJ271" s="171">
        <v>0</v>
      </c>
      <c r="AK271" s="171">
        <v>0</v>
      </c>
      <c r="AL271" s="171">
        <v>0</v>
      </c>
      <c r="AM271" s="171">
        <v>1</v>
      </c>
      <c r="AN271" s="171">
        <v>1</v>
      </c>
      <c r="AO271" s="171">
        <v>1</v>
      </c>
      <c r="AP271" s="171">
        <v>1</v>
      </c>
      <c r="AQ271" s="171">
        <v>1</v>
      </c>
      <c r="AR271" s="171">
        <v>1</v>
      </c>
      <c r="AS271" s="171">
        <v>1</v>
      </c>
      <c r="AT271" s="171">
        <v>1</v>
      </c>
      <c r="AU271" s="171">
        <f t="shared" si="58"/>
        <v>0</v>
      </c>
      <c r="AV271" s="171">
        <f t="shared" si="59"/>
        <v>0</v>
      </c>
      <c r="AW271" s="171">
        <f t="shared" si="60"/>
        <v>1</v>
      </c>
      <c r="AX271" s="171">
        <f t="shared" si="100"/>
        <v>1</v>
      </c>
      <c r="AY271" s="171">
        <f t="shared" si="61"/>
        <v>1</v>
      </c>
      <c r="AZ271" s="171">
        <f t="shared" si="62"/>
        <v>1</v>
      </c>
      <c r="BA271" s="172">
        <f t="shared" si="63"/>
        <v>1</v>
      </c>
      <c r="BB271" s="175">
        <f t="shared" si="126"/>
        <v>16</v>
      </c>
      <c r="BC271" s="176">
        <f t="shared" si="127"/>
        <v>15</v>
      </c>
      <c r="BD271" s="176">
        <f t="shared" si="128"/>
        <v>16</v>
      </c>
      <c r="BE271" s="240" t="str">
        <f t="shared" si="124"/>
        <v/>
      </c>
      <c r="BH271" s="210">
        <f>IF(AND(Input_Product=Elig!$C271,Elig_MatchAll_Ct&lt;22,$BC271=(Elig_MatchAll_Ct-1),AF271=0),C271,0)</f>
        <v>0</v>
      </c>
      <c r="BI271" s="210">
        <f>IF(AND(Input_Product=Elig!$C271,Elig_MatchAll_Ct&lt;22,$BC271=(Elig_MatchAll_Ct-1),AG271=0),D271,0)</f>
        <v>0</v>
      </c>
      <c r="BJ271" s="210">
        <f>IF(AND(Input_Product=Elig!$C271,Elig_MatchAll_Ct&lt;22,$BC271=(Elig_MatchAll_Ct-1),AH271=0),E271,0)</f>
        <v>0</v>
      </c>
      <c r="BK271" s="210">
        <f>IF(AND(Input_Product=Elig!$C271,Elig_MatchAll_Ct&lt;22,$BC271=(Elig_MatchAll_Ct-1),AI271=0),F271,0)</f>
        <v>0</v>
      </c>
      <c r="BL271" s="210">
        <f>IF(AND(Input_Product=Elig!$C271,Elig_MatchAll_Ct&lt;22,$BC271=(Elig_MatchAll_Ct-1),AJ271=0),G271,0)</f>
        <v>0</v>
      </c>
      <c r="BM271" s="210">
        <f>IF(AND(Input_Product=Elig!$C271,Elig_MatchAll_Ct&lt;22,$BC271=(Elig_MatchAll_Ct-1),AK271=0),H271,0)</f>
        <v>0</v>
      </c>
      <c r="BN271" s="210">
        <f>IF(AND(Input_Product=Elig!$C271,Elig_MatchAll_Ct&lt;22,$BC271=(Elig_MatchAll_Ct-1),AL271=0),I271,0)</f>
        <v>0</v>
      </c>
      <c r="BO271" s="210">
        <f>IF(AND(Input_Product=Elig!$C271,Elig_MatchAll_Ct&lt;22,$BC271=(Elig_MatchAll_Ct-1),AM271=0),J271,0)</f>
        <v>0</v>
      </c>
      <c r="BP271" s="210">
        <f>IF(AND(Input_Product=Elig!$C271,Elig_MatchAll_Ct&lt;22,$BC271=(Elig_MatchAll_Ct-1),AN271=0),K271,0)</f>
        <v>0</v>
      </c>
      <c r="BQ271" s="210">
        <f>IF(AND(Input_Product=Elig!$C271,Elig_MatchAll_Ct&lt;22,$BC271=(Elig_MatchAll_Ct-1),AP271=0),L271,0)</f>
        <v>0</v>
      </c>
      <c r="BR271" s="210">
        <f>IF(AND(Input_Product=Elig!$C271,Elig_MatchAll_Ct&lt;22,$BC271=(Elig_MatchAll_Ct-1),AO271=0),M271,0)</f>
        <v>0</v>
      </c>
      <c r="BS271" s="210">
        <f>IF(AND(Input_Product=Elig!$C271,Elig_MatchAll_Ct&lt;22,$BC271=(Elig_MatchAll_Ct-1),AQ271=0),N271,0)</f>
        <v>0</v>
      </c>
      <c r="BT271" s="210">
        <f>IF(AND(Input_Product=Elig!$C271,Elig_MatchAll_Ct&lt;22,$BC271=(Elig_MatchAll_Ct-1),AR271=0),O271,0)</f>
        <v>0</v>
      </c>
      <c r="BU271" s="210">
        <f>IF(AND(Input_Product=Elig!$C271,Elig_MatchAll_Ct&lt;22,$BC271=(Elig_MatchAll_Ct-1),AS271=0),P271,0)</f>
        <v>0</v>
      </c>
      <c r="BV271" s="211">
        <f>IF(AND(Input_Product=Elig!$C271,Elig_MatchAll_Ct&lt;22,$BC271=(Elig_MatchAll_Ct-1),AT271=0),Q271,0)</f>
        <v>0</v>
      </c>
      <c r="BW271" s="212">
        <f>IF(AND(Input_Product=Elig!$C271,Elig_MatchAll_Ct&lt;22,$BC271=(Elig_MatchAll_Ct-1),AU271=0),R271,0)</f>
        <v>0</v>
      </c>
      <c r="BX271" s="213">
        <f>IF(AND(Input_Product=Elig!$C271,Elig_MatchAll_Ct&lt;22,$BC271=(Elig_MatchAll_Ct-1),AU271=0),S271,0)</f>
        <v>0</v>
      </c>
      <c r="BY271" s="212">
        <f>IF(AND(Input_Product=Elig!$C271,Elig_MatchAll_Ct&lt;22,$BC271=(Elig_MatchAll_Ct-1),AV271=0),T271,0)</f>
        <v>0</v>
      </c>
      <c r="BZ271" s="213">
        <f>IF(AND(Input_Product=Elig!$C271,Elig_MatchAll_Ct&lt;22,$BC271=(Elig_MatchAll_Ct-1),AV271=0),U271,0)</f>
        <v>0</v>
      </c>
      <c r="CA271" s="212">
        <f>IF(AND(Input_Product=Elig!$C271,Elig_MatchAll_Ct&lt;22,$BC271=(Elig_MatchAll_Ct-1),AW271=0),V271,0)</f>
        <v>0</v>
      </c>
      <c r="CB271" s="213">
        <f>IF(AND(Input_Product=Elig!$C271,Elig_MatchAll_Ct&lt;22,$BC271=(Elig_MatchAll_Ct-1),AW271=0),W271,0)</f>
        <v>0</v>
      </c>
      <c r="CC271" s="212">
        <f>IF(AND(Input_Product=Elig!$C271,Elig_MatchAll_Ct&lt;22,$BC271=(Elig_MatchAll_Ct-1),AX271=0),X271,0)</f>
        <v>0</v>
      </c>
      <c r="CD271" s="213">
        <f>IF(AND(Input_Product=Elig!$C271,Elig_MatchAll_Ct&lt;22,$BC271=(Elig_MatchAll_Ct-1),AX271=0),Y271,0)</f>
        <v>0</v>
      </c>
      <c r="CE271" s="212">
        <f>IF(AND(Input_LTV&lt;=AE271,Input_Product=Elig!$C271,Elig_MatchAll_Ct&lt;22,$BC271=(Elig_MatchAll_Ct-1),AY271=0),Z271,0)</f>
        <v>0</v>
      </c>
      <c r="CF271" s="213">
        <f>IF(AND(Input_LTV&lt;=AE271,Input_Product=Elig!$C271,Elig_MatchAll_Ct&lt;22,$BC271=(Elig_MatchAll_Ct-1),AY271=0),AA271,0)</f>
        <v>0</v>
      </c>
      <c r="CG271" s="212">
        <f>IF(AND(Input_Product=Elig!$C271,Elig_MatchAll_Ct&lt;22,$BC271=(Elig_MatchAll_Ct-1),AZ271=0),AB271,0)</f>
        <v>0</v>
      </c>
      <c r="CH271" s="213">
        <f>IF(AND(Input_Product=Elig!$C271,Elig_MatchAll_Ct&lt;22,$BC271=(Elig_MatchAll_Ct-1),AZ271=0),AC271,0)</f>
        <v>0</v>
      </c>
      <c r="CI271" s="212">
        <f>IF(AND(Input_Product=Elig!$C271,Elig_MatchAll_Ct&lt;22,$BC271=(Elig_MatchAll_Ct-1),BA271=0),AD271,0)</f>
        <v>0</v>
      </c>
      <c r="CJ271" s="213">
        <f>IF(AND(Input_Product=Elig!$C271,Elig_MatchAll_Ct&lt;22,$BC271=(Elig_MatchAll_Ct-1),BA271=0),AE271,0)</f>
        <v>0</v>
      </c>
    </row>
    <row r="272" spans="2:88" ht="10.15" customHeight="1" x14ac:dyDescent="0.25">
      <c r="B272" s="1912" t="s">
        <v>3977</v>
      </c>
      <c r="C272" s="141" t="str">
        <f t="shared" si="118"/>
        <v>NonQM OO</v>
      </c>
      <c r="D272" s="142" t="s">
        <v>3885</v>
      </c>
      <c r="E272" s="143" t="s">
        <v>167</v>
      </c>
      <c r="F272" s="143" t="s">
        <v>331</v>
      </c>
      <c r="G272" s="143" t="s">
        <v>304</v>
      </c>
      <c r="H272" s="143" t="s">
        <v>446</v>
      </c>
      <c r="I272" s="142" t="s">
        <v>16</v>
      </c>
      <c r="J272" s="142" t="s">
        <v>1311</v>
      </c>
      <c r="K272" s="142" t="s">
        <v>1631</v>
      </c>
      <c r="L272" s="2131" t="s">
        <v>3920</v>
      </c>
      <c r="M272" s="143" t="s">
        <v>4203</v>
      </c>
      <c r="N272" s="143" t="s">
        <v>82</v>
      </c>
      <c r="O272" s="143" t="s">
        <v>310</v>
      </c>
      <c r="P272" s="143" t="s">
        <v>291</v>
      </c>
      <c r="Q272" s="143" t="s">
        <v>294</v>
      </c>
      <c r="R272" s="320">
        <v>3500000.01</v>
      </c>
      <c r="S272" s="320">
        <v>4000000</v>
      </c>
      <c r="T272" s="142">
        <v>0</v>
      </c>
      <c r="U272" s="142">
        <f t="shared" ref="U272" si="130">S272</f>
        <v>4000000</v>
      </c>
      <c r="V272" s="142">
        <v>0</v>
      </c>
      <c r="W272" s="142">
        <v>55</v>
      </c>
      <c r="X272" s="142">
        <v>0</v>
      </c>
      <c r="Y272" s="142">
        <v>999</v>
      </c>
      <c r="Z272" s="144">
        <v>720</v>
      </c>
      <c r="AA272" s="144">
        <v>999</v>
      </c>
      <c r="AB272" s="144">
        <v>9</v>
      </c>
      <c r="AC272" s="144">
        <v>999999</v>
      </c>
      <c r="AD272" s="142">
        <v>0</v>
      </c>
      <c r="AE272" s="320">
        <v>50</v>
      </c>
      <c r="AF272" s="170">
        <v>0</v>
      </c>
      <c r="AG272" s="171">
        <v>1</v>
      </c>
      <c r="AH272" s="171">
        <v>1</v>
      </c>
      <c r="AI272" s="171">
        <v>1</v>
      </c>
      <c r="AJ272" s="171">
        <v>0</v>
      </c>
      <c r="AK272" s="171">
        <v>0</v>
      </c>
      <c r="AL272" s="171">
        <v>1</v>
      </c>
      <c r="AM272" s="171">
        <v>1</v>
      </c>
      <c r="AN272" s="171">
        <v>1</v>
      </c>
      <c r="AO272" s="171">
        <v>1</v>
      </c>
      <c r="AP272" s="171">
        <v>1</v>
      </c>
      <c r="AQ272" s="171">
        <v>1</v>
      </c>
      <c r="AR272" s="171">
        <v>1</v>
      </c>
      <c r="AS272" s="171">
        <v>1</v>
      </c>
      <c r="AT272" s="171">
        <v>1</v>
      </c>
      <c r="AU272" s="171">
        <f t="shared" si="58"/>
        <v>0</v>
      </c>
      <c r="AV272" s="171">
        <f t="shared" si="59"/>
        <v>1</v>
      </c>
      <c r="AW272" s="171">
        <f t="shared" si="60"/>
        <v>1</v>
      </c>
      <c r="AX272" s="171">
        <f t="shared" si="100"/>
        <v>1</v>
      </c>
      <c r="AY272" s="171">
        <f t="shared" si="61"/>
        <v>1</v>
      </c>
      <c r="AZ272" s="171">
        <f t="shared" si="62"/>
        <v>1</v>
      </c>
      <c r="BA272" s="172">
        <f t="shared" si="63"/>
        <v>0</v>
      </c>
      <c r="BB272" s="175">
        <f t="shared" si="126"/>
        <v>17</v>
      </c>
      <c r="BC272" s="176">
        <f t="shared" si="127"/>
        <v>17</v>
      </c>
      <c r="BD272" s="176">
        <f t="shared" si="128"/>
        <v>17</v>
      </c>
      <c r="BE272" s="240" t="str">
        <f t="shared" si="124"/>
        <v/>
      </c>
      <c r="BH272" s="210">
        <f>IF(AND(Input_Product=Elig!$C272,Elig_MatchAll_Ct&lt;22,$BC272=(Elig_MatchAll_Ct-1),AF272=0),C272,0)</f>
        <v>0</v>
      </c>
      <c r="BI272" s="210">
        <f>IF(AND(Input_Product=Elig!$C272,Elig_MatchAll_Ct&lt;22,$BC272=(Elig_MatchAll_Ct-1),AG272=0),D272,0)</f>
        <v>0</v>
      </c>
      <c r="BJ272" s="210">
        <f>IF(AND(Input_Product=Elig!$C272,Elig_MatchAll_Ct&lt;22,$BC272=(Elig_MatchAll_Ct-1),AH272=0),E272,0)</f>
        <v>0</v>
      </c>
      <c r="BK272" s="210">
        <f>IF(AND(Input_Product=Elig!$C272,Elig_MatchAll_Ct&lt;22,$BC272=(Elig_MatchAll_Ct-1),AI272=0),F272,0)</f>
        <v>0</v>
      </c>
      <c r="BL272" s="210">
        <f>IF(AND(Input_Product=Elig!$C272,Elig_MatchAll_Ct&lt;22,$BC272=(Elig_MatchAll_Ct-1),AJ272=0),G272,0)</f>
        <v>0</v>
      </c>
      <c r="BM272" s="210">
        <f>IF(AND(Input_Product=Elig!$C272,Elig_MatchAll_Ct&lt;22,$BC272=(Elig_MatchAll_Ct-1),AK272=0),H272,0)</f>
        <v>0</v>
      </c>
      <c r="BN272" s="210">
        <f>IF(AND(Input_Product=Elig!$C272,Elig_MatchAll_Ct&lt;22,$BC272=(Elig_MatchAll_Ct-1),AL272=0),I272,0)</f>
        <v>0</v>
      </c>
      <c r="BO272" s="210">
        <f>IF(AND(Input_Product=Elig!$C272,Elig_MatchAll_Ct&lt;22,$BC272=(Elig_MatchAll_Ct-1),AM272=0),J272,0)</f>
        <v>0</v>
      </c>
      <c r="BP272" s="210">
        <f>IF(AND(Input_Product=Elig!$C272,Elig_MatchAll_Ct&lt;22,$BC272=(Elig_MatchAll_Ct-1),AN272=0),K272,0)</f>
        <v>0</v>
      </c>
      <c r="BQ272" s="210">
        <f>IF(AND(Input_Product=Elig!$C272,Elig_MatchAll_Ct&lt;22,$BC272=(Elig_MatchAll_Ct-1),AP272=0),L272,0)</f>
        <v>0</v>
      </c>
      <c r="BR272" s="210">
        <f>IF(AND(Input_Product=Elig!$C272,Elig_MatchAll_Ct&lt;22,$BC272=(Elig_MatchAll_Ct-1),AO272=0),M272,0)</f>
        <v>0</v>
      </c>
      <c r="BS272" s="210">
        <f>IF(AND(Input_Product=Elig!$C272,Elig_MatchAll_Ct&lt;22,$BC272=(Elig_MatchAll_Ct-1),AQ272=0),N272,0)</f>
        <v>0</v>
      </c>
      <c r="BT272" s="210">
        <f>IF(AND(Input_Product=Elig!$C272,Elig_MatchAll_Ct&lt;22,$BC272=(Elig_MatchAll_Ct-1),AR272=0),O272,0)</f>
        <v>0</v>
      </c>
      <c r="BU272" s="210">
        <f>IF(AND(Input_Product=Elig!$C272,Elig_MatchAll_Ct&lt;22,$BC272=(Elig_MatchAll_Ct-1),AS272=0),P272,0)</f>
        <v>0</v>
      </c>
      <c r="BV272" s="211">
        <f>IF(AND(Input_Product=Elig!$C272,Elig_MatchAll_Ct&lt;22,$BC272=(Elig_MatchAll_Ct-1),AT272=0),Q272,0)</f>
        <v>0</v>
      </c>
      <c r="BW272" s="212">
        <f>IF(AND(Input_Product=Elig!$C272,Elig_MatchAll_Ct&lt;22,$BC272=(Elig_MatchAll_Ct-1),AU272=0),R272,0)</f>
        <v>0</v>
      </c>
      <c r="BX272" s="213">
        <f>IF(AND(Input_Product=Elig!$C272,Elig_MatchAll_Ct&lt;22,$BC272=(Elig_MatchAll_Ct-1),AU272=0),S272,0)</f>
        <v>0</v>
      </c>
      <c r="BY272" s="212">
        <f>IF(AND(Input_Product=Elig!$C272,Elig_MatchAll_Ct&lt;22,$BC272=(Elig_MatchAll_Ct-1),AV272=0),T272,0)</f>
        <v>0</v>
      </c>
      <c r="BZ272" s="213">
        <f>IF(AND(Input_Product=Elig!$C272,Elig_MatchAll_Ct&lt;22,$BC272=(Elig_MatchAll_Ct-1),AV272=0),U272,0)</f>
        <v>0</v>
      </c>
      <c r="CA272" s="212">
        <f>IF(AND(Input_Product=Elig!$C272,Elig_MatchAll_Ct&lt;22,$BC272=(Elig_MatchAll_Ct-1),AW272=0),V272,0)</f>
        <v>0</v>
      </c>
      <c r="CB272" s="213">
        <f>IF(AND(Input_Product=Elig!$C272,Elig_MatchAll_Ct&lt;22,$BC272=(Elig_MatchAll_Ct-1),AW272=0),W272,0)</f>
        <v>0</v>
      </c>
      <c r="CC272" s="212">
        <f>IF(AND(Input_Product=Elig!$C272,Elig_MatchAll_Ct&lt;22,$BC272=(Elig_MatchAll_Ct-1),AX272=0),X272,0)</f>
        <v>0</v>
      </c>
      <c r="CD272" s="213">
        <f>IF(AND(Input_Product=Elig!$C272,Elig_MatchAll_Ct&lt;22,$BC272=(Elig_MatchAll_Ct-1),AX272=0),Y272,0)</f>
        <v>0</v>
      </c>
      <c r="CE272" s="212">
        <f>IF(AND(Input_LTV&lt;=AE272,Input_Product=Elig!$C272,Elig_MatchAll_Ct&lt;22,$BC272=(Elig_MatchAll_Ct-1),AY272=0),Z272,0)</f>
        <v>0</v>
      </c>
      <c r="CF272" s="213">
        <f>IF(AND(Input_LTV&lt;=AE272,Input_Product=Elig!$C272,Elig_MatchAll_Ct&lt;22,$BC272=(Elig_MatchAll_Ct-1),AY272=0),AA272,0)</f>
        <v>0</v>
      </c>
      <c r="CG272" s="212">
        <f>IF(AND(Input_Product=Elig!$C272,Elig_MatchAll_Ct&lt;22,$BC272=(Elig_MatchAll_Ct-1),AZ272=0),AB272,0)</f>
        <v>0</v>
      </c>
      <c r="CH272" s="213">
        <f>IF(AND(Input_Product=Elig!$C272,Elig_MatchAll_Ct&lt;22,$BC272=(Elig_MatchAll_Ct-1),AZ272=0),AC272,0)</f>
        <v>0</v>
      </c>
      <c r="CI272" s="212">
        <f>IF(AND(Input_Product=Elig!$C272,Elig_MatchAll_Ct&lt;22,$BC272=(Elig_MatchAll_Ct-1),BA272=0),AD272,0)</f>
        <v>0</v>
      </c>
      <c r="CJ272" s="213">
        <f>IF(AND(Input_Product=Elig!$C272,Elig_MatchAll_Ct&lt;22,$BC272=(Elig_MatchAll_Ct-1),BA272=0),AE272,0)</f>
        <v>0</v>
      </c>
    </row>
    <row r="273" spans="2:88" ht="10.15" customHeight="1" x14ac:dyDescent="0.25">
      <c r="B273" s="1912" t="s">
        <v>3978</v>
      </c>
      <c r="C273" s="141" t="str">
        <f t="shared" si="118"/>
        <v>NonQM OO</v>
      </c>
      <c r="D273" s="142" t="s">
        <v>3885</v>
      </c>
      <c r="E273" s="143" t="s">
        <v>167</v>
      </c>
      <c r="F273" s="143" t="s">
        <v>331</v>
      </c>
      <c r="G273" s="143" t="s">
        <v>468</v>
      </c>
      <c r="H273" s="143" t="s">
        <v>136</v>
      </c>
      <c r="I273" s="142" t="s">
        <v>274</v>
      </c>
      <c r="J273" s="142" t="s">
        <v>1311</v>
      </c>
      <c r="K273" s="142" t="s">
        <v>1631</v>
      </c>
      <c r="L273" s="2131" t="s">
        <v>3920</v>
      </c>
      <c r="M273" s="143" t="s">
        <v>4203</v>
      </c>
      <c r="N273" s="143" t="s">
        <v>82</v>
      </c>
      <c r="O273" s="143" t="s">
        <v>310</v>
      </c>
      <c r="P273" s="143" t="s">
        <v>291</v>
      </c>
      <c r="Q273" s="143" t="s">
        <v>294</v>
      </c>
      <c r="R273" s="320">
        <v>3500000.01</v>
      </c>
      <c r="S273" s="320">
        <v>4000000</v>
      </c>
      <c r="T273" s="142">
        <v>0</v>
      </c>
      <c r="U273" s="142">
        <v>0</v>
      </c>
      <c r="V273" s="142">
        <v>0</v>
      </c>
      <c r="W273" s="142">
        <v>55</v>
      </c>
      <c r="X273" s="142">
        <v>0</v>
      </c>
      <c r="Y273" s="142">
        <v>999</v>
      </c>
      <c r="Z273" s="144">
        <v>720</v>
      </c>
      <c r="AA273" s="144">
        <v>999</v>
      </c>
      <c r="AB273" s="144">
        <v>9</v>
      </c>
      <c r="AC273" s="144">
        <v>999999</v>
      </c>
      <c r="AD273" s="142">
        <v>0</v>
      </c>
      <c r="AE273" s="320">
        <v>70</v>
      </c>
      <c r="AF273" s="170">
        <v>0</v>
      </c>
      <c r="AG273" s="171">
        <v>1</v>
      </c>
      <c r="AH273" s="171">
        <v>1</v>
      </c>
      <c r="AI273" s="171">
        <v>1</v>
      </c>
      <c r="AJ273" s="171">
        <v>0</v>
      </c>
      <c r="AK273" s="171">
        <v>1</v>
      </c>
      <c r="AL273" s="171">
        <v>0</v>
      </c>
      <c r="AM273" s="171">
        <v>1</v>
      </c>
      <c r="AN273" s="171">
        <v>1</v>
      </c>
      <c r="AO273" s="171">
        <v>1</v>
      </c>
      <c r="AP273" s="171">
        <v>1</v>
      </c>
      <c r="AQ273" s="171">
        <v>1</v>
      </c>
      <c r="AR273" s="171">
        <v>1</v>
      </c>
      <c r="AS273" s="171">
        <v>1</v>
      </c>
      <c r="AT273" s="171">
        <v>1</v>
      </c>
      <c r="AU273" s="171">
        <f t="shared" si="58"/>
        <v>0</v>
      </c>
      <c r="AV273" s="171">
        <f t="shared" si="59"/>
        <v>0</v>
      </c>
      <c r="AW273" s="171">
        <f t="shared" si="60"/>
        <v>1</v>
      </c>
      <c r="AX273" s="171">
        <f t="shared" si="100"/>
        <v>1</v>
      </c>
      <c r="AY273" s="171">
        <f t="shared" si="61"/>
        <v>1</v>
      </c>
      <c r="AZ273" s="171">
        <f t="shared" si="62"/>
        <v>1</v>
      </c>
      <c r="BA273" s="172">
        <f t="shared" si="63"/>
        <v>1</v>
      </c>
      <c r="BB273" s="175">
        <f t="shared" si="126"/>
        <v>17</v>
      </c>
      <c r="BC273" s="176">
        <f t="shared" si="127"/>
        <v>16</v>
      </c>
      <c r="BD273" s="176">
        <f t="shared" si="128"/>
        <v>17</v>
      </c>
      <c r="BE273" s="240" t="str">
        <f t="shared" si="124"/>
        <v/>
      </c>
      <c r="BH273" s="210">
        <f>IF(AND(Input_Product=Elig!$C273,Elig_MatchAll_Ct&lt;22,$BC273=(Elig_MatchAll_Ct-1),AF273=0),C273,0)</f>
        <v>0</v>
      </c>
      <c r="BI273" s="210">
        <f>IF(AND(Input_Product=Elig!$C273,Elig_MatchAll_Ct&lt;22,$BC273=(Elig_MatchAll_Ct-1),AG273=0),D273,0)</f>
        <v>0</v>
      </c>
      <c r="BJ273" s="210">
        <f>IF(AND(Input_Product=Elig!$C273,Elig_MatchAll_Ct&lt;22,$BC273=(Elig_MatchAll_Ct-1),AH273=0),E273,0)</f>
        <v>0</v>
      </c>
      <c r="BK273" s="210">
        <f>IF(AND(Input_Product=Elig!$C273,Elig_MatchAll_Ct&lt;22,$BC273=(Elig_MatchAll_Ct-1),AI273=0),F273,0)</f>
        <v>0</v>
      </c>
      <c r="BL273" s="210">
        <f>IF(AND(Input_Product=Elig!$C273,Elig_MatchAll_Ct&lt;22,$BC273=(Elig_MatchAll_Ct-1),AJ273=0),G273,0)</f>
        <v>0</v>
      </c>
      <c r="BM273" s="210">
        <f>IF(AND(Input_Product=Elig!$C273,Elig_MatchAll_Ct&lt;22,$BC273=(Elig_MatchAll_Ct-1),AK273=0),H273,0)</f>
        <v>0</v>
      </c>
      <c r="BN273" s="210">
        <f>IF(AND(Input_Product=Elig!$C273,Elig_MatchAll_Ct&lt;22,$BC273=(Elig_MatchAll_Ct-1),AL273=0),I273,0)</f>
        <v>0</v>
      </c>
      <c r="BO273" s="210">
        <f>IF(AND(Input_Product=Elig!$C273,Elig_MatchAll_Ct&lt;22,$BC273=(Elig_MatchAll_Ct-1),AM273=0),J273,0)</f>
        <v>0</v>
      </c>
      <c r="BP273" s="210">
        <f>IF(AND(Input_Product=Elig!$C273,Elig_MatchAll_Ct&lt;22,$BC273=(Elig_MatchAll_Ct-1),AN273=0),K273,0)</f>
        <v>0</v>
      </c>
      <c r="BQ273" s="210">
        <f>IF(AND(Input_Product=Elig!$C273,Elig_MatchAll_Ct&lt;22,$BC273=(Elig_MatchAll_Ct-1),AP273=0),L273,0)</f>
        <v>0</v>
      </c>
      <c r="BR273" s="210">
        <f>IF(AND(Input_Product=Elig!$C273,Elig_MatchAll_Ct&lt;22,$BC273=(Elig_MatchAll_Ct-1),AO273=0),M273,0)</f>
        <v>0</v>
      </c>
      <c r="BS273" s="210">
        <f>IF(AND(Input_Product=Elig!$C273,Elig_MatchAll_Ct&lt;22,$BC273=(Elig_MatchAll_Ct-1),AQ273=0),N273,0)</f>
        <v>0</v>
      </c>
      <c r="BT273" s="210">
        <f>IF(AND(Input_Product=Elig!$C273,Elig_MatchAll_Ct&lt;22,$BC273=(Elig_MatchAll_Ct-1),AR273=0),O273,0)</f>
        <v>0</v>
      </c>
      <c r="BU273" s="210">
        <f>IF(AND(Input_Product=Elig!$C273,Elig_MatchAll_Ct&lt;22,$BC273=(Elig_MatchAll_Ct-1),AS273=0),P273,0)</f>
        <v>0</v>
      </c>
      <c r="BV273" s="211">
        <f>IF(AND(Input_Product=Elig!$C273,Elig_MatchAll_Ct&lt;22,$BC273=(Elig_MatchAll_Ct-1),AT273=0),Q273,0)</f>
        <v>0</v>
      </c>
      <c r="BW273" s="212">
        <f>IF(AND(Input_Product=Elig!$C273,Elig_MatchAll_Ct&lt;22,$BC273=(Elig_MatchAll_Ct-1),AU273=0),R273,0)</f>
        <v>0</v>
      </c>
      <c r="BX273" s="213">
        <f>IF(AND(Input_Product=Elig!$C273,Elig_MatchAll_Ct&lt;22,$BC273=(Elig_MatchAll_Ct-1),AU273=0),S273,0)</f>
        <v>0</v>
      </c>
      <c r="BY273" s="212">
        <f>IF(AND(Input_Product=Elig!$C273,Elig_MatchAll_Ct&lt;22,$BC273=(Elig_MatchAll_Ct-1),AV273=0),T273,0)</f>
        <v>0</v>
      </c>
      <c r="BZ273" s="213">
        <f>IF(AND(Input_Product=Elig!$C273,Elig_MatchAll_Ct&lt;22,$BC273=(Elig_MatchAll_Ct-1),AV273=0),U273,0)</f>
        <v>0</v>
      </c>
      <c r="CA273" s="212">
        <f>IF(AND(Input_Product=Elig!$C273,Elig_MatchAll_Ct&lt;22,$BC273=(Elig_MatchAll_Ct-1),AW273=0),V273,0)</f>
        <v>0</v>
      </c>
      <c r="CB273" s="213">
        <f>IF(AND(Input_Product=Elig!$C273,Elig_MatchAll_Ct&lt;22,$BC273=(Elig_MatchAll_Ct-1),AW273=0),W273,0)</f>
        <v>0</v>
      </c>
      <c r="CC273" s="212">
        <f>IF(AND(Input_Product=Elig!$C273,Elig_MatchAll_Ct&lt;22,$BC273=(Elig_MatchAll_Ct-1),AX273=0),X273,0)</f>
        <v>0</v>
      </c>
      <c r="CD273" s="213">
        <f>IF(AND(Input_Product=Elig!$C273,Elig_MatchAll_Ct&lt;22,$BC273=(Elig_MatchAll_Ct-1),AX273=0),Y273,0)</f>
        <v>0</v>
      </c>
      <c r="CE273" s="212">
        <f>IF(AND(Input_LTV&lt;=AE273,Input_Product=Elig!$C273,Elig_MatchAll_Ct&lt;22,$BC273=(Elig_MatchAll_Ct-1),AY273=0),Z273,0)</f>
        <v>0</v>
      </c>
      <c r="CF273" s="213">
        <f>IF(AND(Input_LTV&lt;=AE273,Input_Product=Elig!$C273,Elig_MatchAll_Ct&lt;22,$BC273=(Elig_MatchAll_Ct-1),AY273=0),AA273,0)</f>
        <v>0</v>
      </c>
      <c r="CG273" s="212">
        <f>IF(AND(Input_Product=Elig!$C273,Elig_MatchAll_Ct&lt;22,$BC273=(Elig_MatchAll_Ct-1),AZ273=0),AB273,0)</f>
        <v>0</v>
      </c>
      <c r="CH273" s="213">
        <f>IF(AND(Input_Product=Elig!$C273,Elig_MatchAll_Ct&lt;22,$BC273=(Elig_MatchAll_Ct-1),AZ273=0),AC273,0)</f>
        <v>0</v>
      </c>
      <c r="CI273" s="212">
        <f>IF(AND(Input_Product=Elig!$C273,Elig_MatchAll_Ct&lt;22,$BC273=(Elig_MatchAll_Ct-1),BA273=0),AD273,0)</f>
        <v>0</v>
      </c>
      <c r="CJ273" s="213">
        <f>IF(AND(Input_Product=Elig!$C273,Elig_MatchAll_Ct&lt;22,$BC273=(Elig_MatchAll_Ct-1),BA273=0),AE273,0)</f>
        <v>0</v>
      </c>
    </row>
    <row r="274" spans="2:88" ht="10.15" customHeight="1" x14ac:dyDescent="0.25">
      <c r="B274" s="1912" t="s">
        <v>3979</v>
      </c>
      <c r="C274" s="141" t="str">
        <f t="shared" si="118"/>
        <v>NonQM OO</v>
      </c>
      <c r="D274" s="142" t="s">
        <v>3885</v>
      </c>
      <c r="E274" s="143" t="s">
        <v>167</v>
      </c>
      <c r="F274" s="143" t="s">
        <v>331</v>
      </c>
      <c r="G274" s="143" t="s">
        <v>468</v>
      </c>
      <c r="H274" s="143" t="s">
        <v>136</v>
      </c>
      <c r="I274" s="142" t="s">
        <v>16</v>
      </c>
      <c r="J274" s="142" t="s">
        <v>1311</v>
      </c>
      <c r="K274" s="142" t="s">
        <v>1631</v>
      </c>
      <c r="L274" s="2131" t="s">
        <v>3920</v>
      </c>
      <c r="M274" s="143" t="s">
        <v>4203</v>
      </c>
      <c r="N274" s="143" t="s">
        <v>82</v>
      </c>
      <c r="O274" s="143" t="s">
        <v>310</v>
      </c>
      <c r="P274" s="143" t="s">
        <v>291</v>
      </c>
      <c r="Q274" s="143" t="s">
        <v>294</v>
      </c>
      <c r="R274" s="320">
        <v>3500000.01</v>
      </c>
      <c r="S274" s="320">
        <v>4000000</v>
      </c>
      <c r="T274" s="142">
        <v>0</v>
      </c>
      <c r="U274" s="142">
        <f t="shared" ref="U274" si="131">S274</f>
        <v>4000000</v>
      </c>
      <c r="V274" s="142">
        <v>0</v>
      </c>
      <c r="W274" s="142">
        <v>55</v>
      </c>
      <c r="X274" s="142">
        <v>0</v>
      </c>
      <c r="Y274" s="142">
        <v>999</v>
      </c>
      <c r="Z274" s="144">
        <v>720</v>
      </c>
      <c r="AA274" s="144">
        <v>999</v>
      </c>
      <c r="AB274" s="144">
        <v>9</v>
      </c>
      <c r="AC274" s="144">
        <v>999999</v>
      </c>
      <c r="AD274" s="142">
        <v>0</v>
      </c>
      <c r="AE274" s="320">
        <v>50</v>
      </c>
      <c r="AF274" s="170">
        <v>0</v>
      </c>
      <c r="AG274" s="171">
        <v>1</v>
      </c>
      <c r="AH274" s="171">
        <v>1</v>
      </c>
      <c r="AI274" s="171">
        <v>1</v>
      </c>
      <c r="AJ274" s="171">
        <v>0</v>
      </c>
      <c r="AK274" s="171">
        <v>1</v>
      </c>
      <c r="AL274" s="171">
        <v>1</v>
      </c>
      <c r="AM274" s="171">
        <v>1</v>
      </c>
      <c r="AN274" s="171">
        <v>1</v>
      </c>
      <c r="AO274" s="171">
        <v>1</v>
      </c>
      <c r="AP274" s="171">
        <v>1</v>
      </c>
      <c r="AQ274" s="171">
        <v>1</v>
      </c>
      <c r="AR274" s="171">
        <v>1</v>
      </c>
      <c r="AS274" s="171">
        <v>1</v>
      </c>
      <c r="AT274" s="171">
        <v>1</v>
      </c>
      <c r="AU274" s="171">
        <f t="shared" si="58"/>
        <v>0</v>
      </c>
      <c r="AV274" s="171">
        <f t="shared" si="59"/>
        <v>1</v>
      </c>
      <c r="AW274" s="171">
        <f t="shared" si="60"/>
        <v>1</v>
      </c>
      <c r="AX274" s="171">
        <f t="shared" si="100"/>
        <v>1</v>
      </c>
      <c r="AY274" s="171">
        <f t="shared" si="61"/>
        <v>1</v>
      </c>
      <c r="AZ274" s="171">
        <f t="shared" si="62"/>
        <v>1</v>
      </c>
      <c r="BA274" s="172">
        <f t="shared" si="63"/>
        <v>0</v>
      </c>
      <c r="BB274" s="175">
        <f t="shared" si="126"/>
        <v>18</v>
      </c>
      <c r="BC274" s="176">
        <f t="shared" si="127"/>
        <v>18</v>
      </c>
      <c r="BD274" s="176">
        <f t="shared" si="128"/>
        <v>18</v>
      </c>
      <c r="BE274" s="240" t="str">
        <f t="shared" si="124"/>
        <v/>
      </c>
      <c r="BH274" s="210">
        <f>IF(AND(Input_Product=Elig!$C274,Elig_MatchAll_Ct&lt;22,$BC274=(Elig_MatchAll_Ct-1),AF274=0),C274,0)</f>
        <v>0</v>
      </c>
      <c r="BI274" s="210">
        <f>IF(AND(Input_Product=Elig!$C274,Elig_MatchAll_Ct&lt;22,$BC274=(Elig_MatchAll_Ct-1),AG274=0),D274,0)</f>
        <v>0</v>
      </c>
      <c r="BJ274" s="210">
        <f>IF(AND(Input_Product=Elig!$C274,Elig_MatchAll_Ct&lt;22,$BC274=(Elig_MatchAll_Ct-1),AH274=0),E274,0)</f>
        <v>0</v>
      </c>
      <c r="BK274" s="210">
        <f>IF(AND(Input_Product=Elig!$C274,Elig_MatchAll_Ct&lt;22,$BC274=(Elig_MatchAll_Ct-1),AI274=0),F274,0)</f>
        <v>0</v>
      </c>
      <c r="BL274" s="210">
        <f>IF(AND(Input_Product=Elig!$C274,Elig_MatchAll_Ct&lt;22,$BC274=(Elig_MatchAll_Ct-1),AJ274=0),G274,0)</f>
        <v>0</v>
      </c>
      <c r="BM274" s="210">
        <f>IF(AND(Input_Product=Elig!$C274,Elig_MatchAll_Ct&lt;22,$BC274=(Elig_MatchAll_Ct-1),AK274=0),H274,0)</f>
        <v>0</v>
      </c>
      <c r="BN274" s="210">
        <f>IF(AND(Input_Product=Elig!$C274,Elig_MatchAll_Ct&lt;22,$BC274=(Elig_MatchAll_Ct-1),AL274=0),I274,0)</f>
        <v>0</v>
      </c>
      <c r="BO274" s="210">
        <f>IF(AND(Input_Product=Elig!$C274,Elig_MatchAll_Ct&lt;22,$BC274=(Elig_MatchAll_Ct-1),AM274=0),J274,0)</f>
        <v>0</v>
      </c>
      <c r="BP274" s="210">
        <f>IF(AND(Input_Product=Elig!$C274,Elig_MatchAll_Ct&lt;22,$BC274=(Elig_MatchAll_Ct-1),AN274=0),K274,0)</f>
        <v>0</v>
      </c>
      <c r="BQ274" s="210">
        <f>IF(AND(Input_Product=Elig!$C274,Elig_MatchAll_Ct&lt;22,$BC274=(Elig_MatchAll_Ct-1),AP274=0),L274,0)</f>
        <v>0</v>
      </c>
      <c r="BR274" s="210">
        <f>IF(AND(Input_Product=Elig!$C274,Elig_MatchAll_Ct&lt;22,$BC274=(Elig_MatchAll_Ct-1),AO274=0),M274,0)</f>
        <v>0</v>
      </c>
      <c r="BS274" s="210">
        <f>IF(AND(Input_Product=Elig!$C274,Elig_MatchAll_Ct&lt;22,$BC274=(Elig_MatchAll_Ct-1),AQ274=0),N274,0)</f>
        <v>0</v>
      </c>
      <c r="BT274" s="210">
        <f>IF(AND(Input_Product=Elig!$C274,Elig_MatchAll_Ct&lt;22,$BC274=(Elig_MatchAll_Ct-1),AR274=0),O274,0)</f>
        <v>0</v>
      </c>
      <c r="BU274" s="210">
        <f>IF(AND(Input_Product=Elig!$C274,Elig_MatchAll_Ct&lt;22,$BC274=(Elig_MatchAll_Ct-1),AS274=0),P274,0)</f>
        <v>0</v>
      </c>
      <c r="BV274" s="211">
        <f>IF(AND(Input_Product=Elig!$C274,Elig_MatchAll_Ct&lt;22,$BC274=(Elig_MatchAll_Ct-1),AT274=0),Q274,0)</f>
        <v>0</v>
      </c>
      <c r="BW274" s="212">
        <f>IF(AND(Input_Product=Elig!$C274,Elig_MatchAll_Ct&lt;22,$BC274=(Elig_MatchAll_Ct-1),AU274=0),R274,0)</f>
        <v>0</v>
      </c>
      <c r="BX274" s="213">
        <f>IF(AND(Input_Product=Elig!$C274,Elig_MatchAll_Ct&lt;22,$BC274=(Elig_MatchAll_Ct-1),AU274=0),S274,0)</f>
        <v>0</v>
      </c>
      <c r="BY274" s="212">
        <f>IF(AND(Input_Product=Elig!$C274,Elig_MatchAll_Ct&lt;22,$BC274=(Elig_MatchAll_Ct-1),AV274=0),T274,0)</f>
        <v>0</v>
      </c>
      <c r="BZ274" s="213">
        <f>IF(AND(Input_Product=Elig!$C274,Elig_MatchAll_Ct&lt;22,$BC274=(Elig_MatchAll_Ct-1),AV274=0),U274,0)</f>
        <v>0</v>
      </c>
      <c r="CA274" s="212">
        <f>IF(AND(Input_Product=Elig!$C274,Elig_MatchAll_Ct&lt;22,$BC274=(Elig_MatchAll_Ct-1),AW274=0),V274,0)</f>
        <v>0</v>
      </c>
      <c r="CB274" s="213">
        <f>IF(AND(Input_Product=Elig!$C274,Elig_MatchAll_Ct&lt;22,$BC274=(Elig_MatchAll_Ct-1),AW274=0),W274,0)</f>
        <v>0</v>
      </c>
      <c r="CC274" s="212">
        <f>IF(AND(Input_Product=Elig!$C274,Elig_MatchAll_Ct&lt;22,$BC274=(Elig_MatchAll_Ct-1),AX274=0),X274,0)</f>
        <v>0</v>
      </c>
      <c r="CD274" s="213">
        <f>IF(AND(Input_Product=Elig!$C274,Elig_MatchAll_Ct&lt;22,$BC274=(Elig_MatchAll_Ct-1),AX274=0),Y274,0)</f>
        <v>0</v>
      </c>
      <c r="CE274" s="212">
        <f>IF(AND(Input_LTV&lt;=AE274,Input_Product=Elig!$C274,Elig_MatchAll_Ct&lt;22,$BC274=(Elig_MatchAll_Ct-1),AY274=0),Z274,0)</f>
        <v>0</v>
      </c>
      <c r="CF274" s="213">
        <f>IF(AND(Input_LTV&lt;=AE274,Input_Product=Elig!$C274,Elig_MatchAll_Ct&lt;22,$BC274=(Elig_MatchAll_Ct-1),AY274=0),AA274,0)</f>
        <v>0</v>
      </c>
      <c r="CG274" s="212">
        <f>IF(AND(Input_Product=Elig!$C274,Elig_MatchAll_Ct&lt;22,$BC274=(Elig_MatchAll_Ct-1),AZ274=0),AB274,0)</f>
        <v>0</v>
      </c>
      <c r="CH274" s="213">
        <f>IF(AND(Input_Product=Elig!$C274,Elig_MatchAll_Ct&lt;22,$BC274=(Elig_MatchAll_Ct-1),AZ274=0),AC274,0)</f>
        <v>0</v>
      </c>
      <c r="CI274" s="212">
        <f>IF(AND(Input_Product=Elig!$C274,Elig_MatchAll_Ct&lt;22,$BC274=(Elig_MatchAll_Ct-1),BA274=0),AD274,0)</f>
        <v>0</v>
      </c>
      <c r="CJ274" s="213">
        <f>IF(AND(Input_Product=Elig!$C274,Elig_MatchAll_Ct&lt;22,$BC274=(Elig_MatchAll_Ct-1),BA274=0),AE274,0)</f>
        <v>0</v>
      </c>
    </row>
    <row r="275" spans="2:88" ht="10.15" customHeight="1" x14ac:dyDescent="0.25">
      <c r="B275" s="282" t="s">
        <v>971</v>
      </c>
      <c r="C275" s="281" t="str">
        <f t="shared" ref="C275:C352" si="132">Input_Name_Product2</f>
        <v>NonQM NOO</v>
      </c>
      <c r="D275" s="282" t="s">
        <v>3885</v>
      </c>
      <c r="E275" s="283" t="s">
        <v>167</v>
      </c>
      <c r="F275" s="283" t="s">
        <v>330</v>
      </c>
      <c r="G275" s="283" t="s">
        <v>303</v>
      </c>
      <c r="H275" s="283" t="s">
        <v>136</v>
      </c>
      <c r="I275" s="282" t="s">
        <v>274</v>
      </c>
      <c r="J275" s="282" t="s">
        <v>1311</v>
      </c>
      <c r="K275" s="282" t="s">
        <v>1631</v>
      </c>
      <c r="L275" s="2103" t="s">
        <v>312</v>
      </c>
      <c r="M275" s="283" t="s">
        <v>4203</v>
      </c>
      <c r="N275" s="283" t="s">
        <v>2685</v>
      </c>
      <c r="O275" s="283" t="s">
        <v>310</v>
      </c>
      <c r="P275" s="283" t="s">
        <v>291</v>
      </c>
      <c r="Q275" s="283" t="s">
        <v>294</v>
      </c>
      <c r="R275" s="323">
        <v>100000</v>
      </c>
      <c r="S275" s="282">
        <v>1000000</v>
      </c>
      <c r="T275" s="282">
        <v>0</v>
      </c>
      <c r="U275" s="282">
        <v>0</v>
      </c>
      <c r="V275" s="282">
        <v>0</v>
      </c>
      <c r="W275" s="282">
        <v>55</v>
      </c>
      <c r="X275" s="282">
        <v>0</v>
      </c>
      <c r="Y275" s="282">
        <v>999</v>
      </c>
      <c r="Z275" s="284">
        <v>720</v>
      </c>
      <c r="AA275" s="284">
        <v>999</v>
      </c>
      <c r="AB275" s="284">
        <v>3</v>
      </c>
      <c r="AC275" s="284">
        <v>999999</v>
      </c>
      <c r="AD275" s="282">
        <v>0</v>
      </c>
      <c r="AE275" s="2104">
        <v>85</v>
      </c>
      <c r="AF275" s="170">
        <v>0</v>
      </c>
      <c r="AG275" s="171">
        <v>1</v>
      </c>
      <c r="AH275" s="171">
        <v>1</v>
      </c>
      <c r="AI275" s="171">
        <v>0</v>
      </c>
      <c r="AJ275" s="171">
        <v>1</v>
      </c>
      <c r="AK275" s="171">
        <v>1</v>
      </c>
      <c r="AL275" s="171">
        <v>0</v>
      </c>
      <c r="AM275" s="171">
        <v>1</v>
      </c>
      <c r="AN275" s="171">
        <v>1</v>
      </c>
      <c r="AO275" s="171">
        <v>1</v>
      </c>
      <c r="AP275" s="171">
        <v>1</v>
      </c>
      <c r="AQ275" s="171">
        <v>1</v>
      </c>
      <c r="AR275" s="171">
        <v>1</v>
      </c>
      <c r="AS275" s="171">
        <v>1</v>
      </c>
      <c r="AT275" s="171">
        <v>1</v>
      </c>
      <c r="AU275" s="171">
        <f t="shared" si="58"/>
        <v>1</v>
      </c>
      <c r="AV275" s="171">
        <f t="shared" si="59"/>
        <v>0</v>
      </c>
      <c r="AW275" s="171">
        <f t="shared" si="60"/>
        <v>1</v>
      </c>
      <c r="AX275" s="171">
        <f t="shared" si="100"/>
        <v>1</v>
      </c>
      <c r="AY275" s="171">
        <f t="shared" si="61"/>
        <v>1</v>
      </c>
      <c r="AZ275" s="171">
        <f t="shared" si="62"/>
        <v>1</v>
      </c>
      <c r="BA275" s="172">
        <f t="shared" si="63"/>
        <v>1</v>
      </c>
      <c r="BB275" s="175">
        <f t="shared" si="72"/>
        <v>18</v>
      </c>
      <c r="BC275" s="176">
        <f t="shared" si="73"/>
        <v>17</v>
      </c>
      <c r="BD275" s="176">
        <f t="shared" si="74"/>
        <v>18</v>
      </c>
      <c r="BE275" s="240" t="str">
        <f t="shared" si="124"/>
        <v/>
      </c>
      <c r="BH275" s="216">
        <f>IF(AND(Input_Product=Elig!$C275,Elig_MatchAll_Ct&lt;22,$BC275=(Elig_MatchAll_Ct-1),AF275=0),C275,0)</f>
        <v>0</v>
      </c>
      <c r="BI275" s="216">
        <f>IF(AND(Input_Product=Elig!$C275,Elig_MatchAll_Ct&lt;22,$BC275=(Elig_MatchAll_Ct-1),AG275=0),D275,0)</f>
        <v>0</v>
      </c>
      <c r="BJ275" s="216">
        <f>IF(AND(Input_Product=Elig!$C275,Elig_MatchAll_Ct&lt;22,$BC275=(Elig_MatchAll_Ct-1),AH275=0),E275,0)</f>
        <v>0</v>
      </c>
      <c r="BK275" s="216">
        <f>IF(AND(Input_Product=Elig!$C275,Elig_MatchAll_Ct&lt;22,$BC275=(Elig_MatchAll_Ct-1),AI275=0),F275,0)</f>
        <v>0</v>
      </c>
      <c r="BL275" s="216">
        <f>IF(AND(Input_Product=Elig!$C275,Elig_MatchAll_Ct&lt;22,$BC275=(Elig_MatchAll_Ct-1),AJ275=0),G275,0)</f>
        <v>0</v>
      </c>
      <c r="BM275" s="216">
        <f>IF(AND(Input_Product=Elig!$C275,Elig_MatchAll_Ct&lt;22,$BC275=(Elig_MatchAll_Ct-1),AK275=0),H275,0)</f>
        <v>0</v>
      </c>
      <c r="BN275" s="216">
        <f>IF(AND(Input_Product=Elig!$C275,Elig_MatchAll_Ct&lt;22,$BC275=(Elig_MatchAll_Ct-1),AL275=0),I275,0)</f>
        <v>0</v>
      </c>
      <c r="BO275" s="216">
        <f>IF(AND(Input_Product=Elig!$C275,Elig_MatchAll_Ct&lt;22,$BC275=(Elig_MatchAll_Ct-1),AM275=0),J275,0)</f>
        <v>0</v>
      </c>
      <c r="BP275" s="216">
        <f>IF(AND(Input_Product=Elig!$C275,Elig_MatchAll_Ct&lt;22,$BC275=(Elig_MatchAll_Ct-1),AN275=0),K275,0)</f>
        <v>0</v>
      </c>
      <c r="BQ275" s="216">
        <f>IF(AND(Input_Product=Elig!$C275,Elig_MatchAll_Ct&lt;22,$BC275=(Elig_MatchAll_Ct-1),AP275=0),L275,0)</f>
        <v>0</v>
      </c>
      <c r="BR275" s="216">
        <f>IF(AND(Input_Product=Elig!$C275,Elig_MatchAll_Ct&lt;22,$BC275=(Elig_MatchAll_Ct-1),AO275=0),M275,0)</f>
        <v>0</v>
      </c>
      <c r="BS275" s="216">
        <f>IF(AND(Input_Product=Elig!$C275,Elig_MatchAll_Ct&lt;22,$BC275=(Elig_MatchAll_Ct-1),AQ275=0),N275,0)</f>
        <v>0</v>
      </c>
      <c r="BT275" s="216">
        <f>IF(AND(Input_Product=Elig!$C275,Elig_MatchAll_Ct&lt;22,$BC275=(Elig_MatchAll_Ct-1),AR275=0),O275,0)</f>
        <v>0</v>
      </c>
      <c r="BU275" s="216">
        <f>IF(AND(Input_Product=Elig!$C275,Elig_MatchAll_Ct&lt;22,$BC275=(Elig_MatchAll_Ct-1),AS275=0),P275,0)</f>
        <v>0</v>
      </c>
      <c r="BV275" s="217">
        <f>IF(AND(Input_Product=Elig!$C275,Elig_MatchAll_Ct&lt;22,$BC275=(Elig_MatchAll_Ct-1),AT275=0),Q275,0)</f>
        <v>0</v>
      </c>
      <c r="BW275" s="212">
        <f>IF(AND(Input_Product=Elig!$C275,Elig_MatchAll_Ct&lt;22,$BC275=(Elig_MatchAll_Ct-1),AU275=0),R275,0)</f>
        <v>0</v>
      </c>
      <c r="BX275" s="213">
        <f>IF(AND(Input_Product=Elig!$C275,Elig_MatchAll_Ct&lt;22,$BC275=(Elig_MatchAll_Ct-1),AU275=0),S275,0)</f>
        <v>0</v>
      </c>
      <c r="BY275" s="212">
        <f>IF(AND(Input_Product=Elig!$C275,Elig_MatchAll_Ct&lt;22,$BC275=(Elig_MatchAll_Ct-1),AV275=0),T275,0)</f>
        <v>0</v>
      </c>
      <c r="BZ275" s="213">
        <f>IF(AND(Input_Product=Elig!$C275,Elig_MatchAll_Ct&lt;22,$BC275=(Elig_MatchAll_Ct-1),AV275=0),U275,0)</f>
        <v>0</v>
      </c>
      <c r="CA275" s="212">
        <f>IF(AND(Input_Product=Elig!$C275,Elig_MatchAll_Ct&lt;22,$BC275=(Elig_MatchAll_Ct-1),AW275=0),V275,0)</f>
        <v>0</v>
      </c>
      <c r="CB275" s="213">
        <f>IF(AND(Input_Product=Elig!$C275,Elig_MatchAll_Ct&lt;22,$BC275=(Elig_MatchAll_Ct-1),AW275=0),W275,0)</f>
        <v>0</v>
      </c>
      <c r="CC275" s="212">
        <f>IF(AND(Input_Product=Elig!$C275,Elig_MatchAll_Ct&lt;22,$BC275=(Elig_MatchAll_Ct-1),AX275=0),X275,0)</f>
        <v>0</v>
      </c>
      <c r="CD275" s="213">
        <f>IF(AND(Input_Product=Elig!$C275,Elig_MatchAll_Ct&lt;22,$BC275=(Elig_MatchAll_Ct-1),AX275=0),Y275,0)</f>
        <v>0</v>
      </c>
      <c r="CE275" s="212">
        <f>IF(AND(Input_LTV&lt;=AE275,Input_Product=Elig!$C275,Elig_MatchAll_Ct&lt;22,$BC275=(Elig_MatchAll_Ct-1),AY275=0),Z275,0)</f>
        <v>0</v>
      </c>
      <c r="CF275" s="213">
        <f>IF(AND(Input_LTV&lt;=AE275,Input_Product=Elig!$C275,Elig_MatchAll_Ct&lt;22,$BC275=(Elig_MatchAll_Ct-1),AY275=0),AA275,0)</f>
        <v>0</v>
      </c>
      <c r="CG275" s="212">
        <f>IF(AND(Input_Product=Elig!$C275,Elig_MatchAll_Ct&lt;22,$BC275=(Elig_MatchAll_Ct-1),AZ275=0),AB275,0)</f>
        <v>0</v>
      </c>
      <c r="CH275" s="213">
        <f>IF(AND(Input_Product=Elig!$C275,Elig_MatchAll_Ct&lt;22,$BC275=(Elig_MatchAll_Ct-1),AZ275=0),AC275,0)</f>
        <v>0</v>
      </c>
      <c r="CI275" s="212">
        <f>IF(AND(Input_Product=Elig!$C275,Elig_MatchAll_Ct&lt;22,$BC275=(Elig_MatchAll_Ct-1),BA275=0),AD275,0)</f>
        <v>0</v>
      </c>
      <c r="CJ275" s="213">
        <f>IF(AND(Input_Product=Elig!$C275,Elig_MatchAll_Ct&lt;22,$BC275=(Elig_MatchAll_Ct-1),BA275=0),AE275,0)</f>
        <v>0</v>
      </c>
    </row>
    <row r="276" spans="2:88" ht="10.15" customHeight="1" x14ac:dyDescent="0.25">
      <c r="B276" s="287" t="s">
        <v>972</v>
      </c>
      <c r="C276" s="286" t="str">
        <f t="shared" si="132"/>
        <v>NonQM NOO</v>
      </c>
      <c r="D276" s="287" t="s">
        <v>3885</v>
      </c>
      <c r="E276" s="287" t="s">
        <v>167</v>
      </c>
      <c r="F276" s="287" t="s">
        <v>330</v>
      </c>
      <c r="G276" s="287" t="s">
        <v>303</v>
      </c>
      <c r="H276" s="287" t="s">
        <v>136</v>
      </c>
      <c r="I276" s="288" t="s">
        <v>274</v>
      </c>
      <c r="J276" s="288" t="s">
        <v>1311</v>
      </c>
      <c r="K276" s="288" t="s">
        <v>1631</v>
      </c>
      <c r="L276" s="300" t="s">
        <v>312</v>
      </c>
      <c r="M276" s="287" t="s">
        <v>4203</v>
      </c>
      <c r="N276" s="287" t="s">
        <v>2685</v>
      </c>
      <c r="O276" s="287" t="s">
        <v>310</v>
      </c>
      <c r="P276" s="287" t="s">
        <v>291</v>
      </c>
      <c r="Q276" s="287" t="s">
        <v>294</v>
      </c>
      <c r="R276" s="300">
        <v>100000</v>
      </c>
      <c r="S276" s="287">
        <v>1000000</v>
      </c>
      <c r="T276" s="287">
        <v>0</v>
      </c>
      <c r="U276" s="287">
        <v>0</v>
      </c>
      <c r="V276" s="287">
        <v>0</v>
      </c>
      <c r="W276" s="287">
        <v>55</v>
      </c>
      <c r="X276" s="287">
        <v>0</v>
      </c>
      <c r="Y276" s="287">
        <v>999</v>
      </c>
      <c r="Z276" s="289">
        <v>700</v>
      </c>
      <c r="AA276" s="289">
        <v>719</v>
      </c>
      <c r="AB276" s="289">
        <v>3</v>
      </c>
      <c r="AC276" s="289">
        <v>999999</v>
      </c>
      <c r="AD276" s="287">
        <v>0</v>
      </c>
      <c r="AE276" s="2105">
        <v>85</v>
      </c>
      <c r="AF276" s="170">
        <v>0</v>
      </c>
      <c r="AG276" s="171">
        <v>1</v>
      </c>
      <c r="AH276" s="171">
        <v>1</v>
      </c>
      <c r="AI276" s="171">
        <v>0</v>
      </c>
      <c r="AJ276" s="171">
        <v>1</v>
      </c>
      <c r="AK276" s="171">
        <v>1</v>
      </c>
      <c r="AL276" s="171">
        <v>0</v>
      </c>
      <c r="AM276" s="171">
        <v>1</v>
      </c>
      <c r="AN276" s="171">
        <v>1</v>
      </c>
      <c r="AO276" s="171">
        <v>1</v>
      </c>
      <c r="AP276" s="171">
        <v>1</v>
      </c>
      <c r="AQ276" s="171">
        <v>1</v>
      </c>
      <c r="AR276" s="171">
        <v>1</v>
      </c>
      <c r="AS276" s="171">
        <v>1</v>
      </c>
      <c r="AT276" s="171">
        <v>1</v>
      </c>
      <c r="AU276" s="171">
        <f t="shared" si="58"/>
        <v>1</v>
      </c>
      <c r="AV276" s="171">
        <f t="shared" si="59"/>
        <v>0</v>
      </c>
      <c r="AW276" s="171">
        <f t="shared" si="60"/>
        <v>1</v>
      </c>
      <c r="AX276" s="171">
        <f t="shared" si="100"/>
        <v>1</v>
      </c>
      <c r="AY276" s="171">
        <f t="shared" si="61"/>
        <v>0</v>
      </c>
      <c r="AZ276" s="171">
        <f t="shared" si="62"/>
        <v>1</v>
      </c>
      <c r="BA276" s="172">
        <f t="shared" si="63"/>
        <v>1</v>
      </c>
      <c r="BB276" s="175">
        <f t="shared" si="72"/>
        <v>17</v>
      </c>
      <c r="BC276" s="176">
        <f t="shared" si="73"/>
        <v>16</v>
      </c>
      <c r="BD276" s="176">
        <f t="shared" si="74"/>
        <v>17</v>
      </c>
      <c r="BE276" s="240" t="str">
        <f t="shared" si="124"/>
        <v/>
      </c>
      <c r="BH276" s="199">
        <f>IF(AND(Input_Product=Elig!$C276,Elig_MatchAll_Ct&lt;22,$BC276=(Elig_MatchAll_Ct-1),AF276=0),C276,0)</f>
        <v>0</v>
      </c>
      <c r="BI276" s="199">
        <f>IF(AND(Input_Product=Elig!$C276,Elig_MatchAll_Ct&lt;22,$BC276=(Elig_MatchAll_Ct-1),AG276=0),D276,0)</f>
        <v>0</v>
      </c>
      <c r="BJ276" s="199">
        <f>IF(AND(Input_Product=Elig!$C276,Elig_MatchAll_Ct&lt;22,$BC276=(Elig_MatchAll_Ct-1),AH276=0),E276,0)</f>
        <v>0</v>
      </c>
      <c r="BK276" s="199">
        <f>IF(AND(Input_Product=Elig!$C276,Elig_MatchAll_Ct&lt;22,$BC276=(Elig_MatchAll_Ct-1),AI276=0),F276,0)</f>
        <v>0</v>
      </c>
      <c r="BL276" s="199">
        <f>IF(AND(Input_Product=Elig!$C276,Elig_MatchAll_Ct&lt;22,$BC276=(Elig_MatchAll_Ct-1),AJ276=0),G276,0)</f>
        <v>0</v>
      </c>
      <c r="BM276" s="199">
        <f>IF(AND(Input_Product=Elig!$C276,Elig_MatchAll_Ct&lt;22,$BC276=(Elig_MatchAll_Ct-1),AK276=0),H276,0)</f>
        <v>0</v>
      </c>
      <c r="BN276" s="199">
        <f>IF(AND(Input_Product=Elig!$C276,Elig_MatchAll_Ct&lt;22,$BC276=(Elig_MatchAll_Ct-1),AL276=0),I276,0)</f>
        <v>0</v>
      </c>
      <c r="BO276" s="199">
        <f>IF(AND(Input_Product=Elig!$C276,Elig_MatchAll_Ct&lt;22,$BC276=(Elig_MatchAll_Ct-1),AM276=0),J276,0)</f>
        <v>0</v>
      </c>
      <c r="BP276" s="199">
        <f>IF(AND(Input_Product=Elig!$C276,Elig_MatchAll_Ct&lt;22,$BC276=(Elig_MatchAll_Ct-1),AN276=0),K276,0)</f>
        <v>0</v>
      </c>
      <c r="BQ276" s="199">
        <f>IF(AND(Input_Product=Elig!$C276,Elig_MatchAll_Ct&lt;22,$BC276=(Elig_MatchAll_Ct-1),AP276=0),L276,0)</f>
        <v>0</v>
      </c>
      <c r="BR276" s="199">
        <f>IF(AND(Input_Product=Elig!$C276,Elig_MatchAll_Ct&lt;22,$BC276=(Elig_MatchAll_Ct-1),AO276=0),M276,0)</f>
        <v>0</v>
      </c>
      <c r="BS276" s="199">
        <f>IF(AND(Input_Product=Elig!$C276,Elig_MatchAll_Ct&lt;22,$BC276=(Elig_MatchAll_Ct-1),AQ276=0),N276,0)</f>
        <v>0</v>
      </c>
      <c r="BT276" s="199">
        <f>IF(AND(Input_Product=Elig!$C276,Elig_MatchAll_Ct&lt;22,$BC276=(Elig_MatchAll_Ct-1),AR276=0),O276,0)</f>
        <v>0</v>
      </c>
      <c r="BU276" s="199">
        <f>IF(AND(Input_Product=Elig!$C276,Elig_MatchAll_Ct&lt;22,$BC276=(Elig_MatchAll_Ct-1),AS276=0),P276,0)</f>
        <v>0</v>
      </c>
      <c r="BV276" s="200">
        <f>IF(AND(Input_Product=Elig!$C276,Elig_MatchAll_Ct&lt;22,$BC276=(Elig_MatchAll_Ct-1),AT276=0),Q276,0)</f>
        <v>0</v>
      </c>
      <c r="BW276" s="201">
        <f>IF(AND(Input_Product=Elig!$C276,Elig_MatchAll_Ct&lt;22,$BC276=(Elig_MatchAll_Ct-1),AU276=0),R276,0)</f>
        <v>0</v>
      </c>
      <c r="BX276" s="202">
        <f>IF(AND(Input_Product=Elig!$C276,Elig_MatchAll_Ct&lt;22,$BC276=(Elig_MatchAll_Ct-1),AU276=0),S276,0)</f>
        <v>0</v>
      </c>
      <c r="BY276" s="201">
        <f>IF(AND(Input_Product=Elig!$C276,Elig_MatchAll_Ct&lt;22,$BC276=(Elig_MatchAll_Ct-1),AV276=0),T276,0)</f>
        <v>0</v>
      </c>
      <c r="BZ276" s="202">
        <f>IF(AND(Input_Product=Elig!$C276,Elig_MatchAll_Ct&lt;22,$BC276=(Elig_MatchAll_Ct-1),AV276=0),U276,0)</f>
        <v>0</v>
      </c>
      <c r="CA276" s="201">
        <f>IF(AND(Input_Product=Elig!$C276,Elig_MatchAll_Ct&lt;22,$BC276=(Elig_MatchAll_Ct-1),AW276=0),V276,0)</f>
        <v>0</v>
      </c>
      <c r="CB276" s="202">
        <f>IF(AND(Input_Product=Elig!$C276,Elig_MatchAll_Ct&lt;22,$BC276=(Elig_MatchAll_Ct-1),AW276=0),W276,0)</f>
        <v>0</v>
      </c>
      <c r="CC276" s="201">
        <f>IF(AND(Input_Product=Elig!$C276,Elig_MatchAll_Ct&lt;22,$BC276=(Elig_MatchAll_Ct-1),AX276=0),X276,0)</f>
        <v>0</v>
      </c>
      <c r="CD276" s="202">
        <f>IF(AND(Input_Product=Elig!$C276,Elig_MatchAll_Ct&lt;22,$BC276=(Elig_MatchAll_Ct-1),AX276=0),Y276,0)</f>
        <v>0</v>
      </c>
      <c r="CE276" s="201">
        <f>IF(AND(Input_LTV&lt;=AE276,Input_Product=Elig!$C276,Elig_MatchAll_Ct&lt;22,$BC276=(Elig_MatchAll_Ct-1),AY276=0),Z276,0)</f>
        <v>0</v>
      </c>
      <c r="CF276" s="202">
        <f>IF(AND(Input_LTV&lt;=AE276,Input_Product=Elig!$C276,Elig_MatchAll_Ct&lt;22,$BC276=(Elig_MatchAll_Ct-1),AY276=0),AA276,0)</f>
        <v>0</v>
      </c>
      <c r="CG276" s="201">
        <f>IF(AND(Input_Product=Elig!$C276,Elig_MatchAll_Ct&lt;22,$BC276=(Elig_MatchAll_Ct-1),AZ276=0),AB276,0)</f>
        <v>0</v>
      </c>
      <c r="CH276" s="202">
        <f>IF(AND(Input_Product=Elig!$C276,Elig_MatchAll_Ct&lt;22,$BC276=(Elig_MatchAll_Ct-1),AZ276=0),AC276,0)</f>
        <v>0</v>
      </c>
      <c r="CI276" s="201">
        <f>IF(AND(Input_Product=Elig!$C276,Elig_MatchAll_Ct&lt;22,$BC276=(Elig_MatchAll_Ct-1),BA276=0),AD276,0)</f>
        <v>0</v>
      </c>
      <c r="CJ276" s="202">
        <f>IF(AND(Input_Product=Elig!$C276,Elig_MatchAll_Ct&lt;22,$BC276=(Elig_MatchAll_Ct-1),BA276=0),AE276,0)</f>
        <v>0</v>
      </c>
    </row>
    <row r="277" spans="2:88" ht="10.15" customHeight="1" x14ac:dyDescent="0.25">
      <c r="B277" s="287" t="s">
        <v>973</v>
      </c>
      <c r="C277" s="286" t="str">
        <f t="shared" si="132"/>
        <v>NonQM NOO</v>
      </c>
      <c r="D277" s="287" t="s">
        <v>3885</v>
      </c>
      <c r="E277" s="287" t="s">
        <v>167</v>
      </c>
      <c r="F277" s="287" t="s">
        <v>330</v>
      </c>
      <c r="G277" s="287" t="s">
        <v>303</v>
      </c>
      <c r="H277" s="287" t="s">
        <v>136</v>
      </c>
      <c r="I277" s="288" t="s">
        <v>274</v>
      </c>
      <c r="J277" s="288" t="s">
        <v>1311</v>
      </c>
      <c r="K277" s="288" t="s">
        <v>1631</v>
      </c>
      <c r="L277" s="300" t="s">
        <v>312</v>
      </c>
      <c r="M277" s="287" t="s">
        <v>4203</v>
      </c>
      <c r="N277" s="287" t="s">
        <v>2685</v>
      </c>
      <c r="O277" s="287" t="s">
        <v>310</v>
      </c>
      <c r="P277" s="287" t="s">
        <v>291</v>
      </c>
      <c r="Q277" s="287" t="s">
        <v>294</v>
      </c>
      <c r="R277" s="300">
        <v>100000</v>
      </c>
      <c r="S277" s="287">
        <v>1000000</v>
      </c>
      <c r="T277" s="287">
        <v>0</v>
      </c>
      <c r="U277" s="287">
        <v>0</v>
      </c>
      <c r="V277" s="287">
        <v>0</v>
      </c>
      <c r="W277" s="287">
        <v>55</v>
      </c>
      <c r="X277" s="287">
        <v>0</v>
      </c>
      <c r="Y277" s="287">
        <v>999</v>
      </c>
      <c r="Z277" s="289">
        <v>680</v>
      </c>
      <c r="AA277" s="289">
        <v>699</v>
      </c>
      <c r="AB277" s="289">
        <v>3</v>
      </c>
      <c r="AC277" s="289">
        <v>999999</v>
      </c>
      <c r="AD277" s="287">
        <v>0</v>
      </c>
      <c r="AE277" s="2105">
        <v>80</v>
      </c>
      <c r="AF277" s="170">
        <v>0</v>
      </c>
      <c r="AG277" s="171">
        <v>1</v>
      </c>
      <c r="AH277" s="171">
        <v>1</v>
      </c>
      <c r="AI277" s="171">
        <v>0</v>
      </c>
      <c r="AJ277" s="171">
        <v>1</v>
      </c>
      <c r="AK277" s="171">
        <v>1</v>
      </c>
      <c r="AL277" s="171">
        <v>0</v>
      </c>
      <c r="AM277" s="171">
        <v>1</v>
      </c>
      <c r="AN277" s="171">
        <v>1</v>
      </c>
      <c r="AO277" s="171">
        <v>1</v>
      </c>
      <c r="AP277" s="171">
        <v>1</v>
      </c>
      <c r="AQ277" s="171">
        <v>1</v>
      </c>
      <c r="AR277" s="171">
        <v>1</v>
      </c>
      <c r="AS277" s="171">
        <v>1</v>
      </c>
      <c r="AT277" s="171">
        <v>1</v>
      </c>
      <c r="AU277" s="171">
        <f t="shared" si="58"/>
        <v>1</v>
      </c>
      <c r="AV277" s="171">
        <f t="shared" si="59"/>
        <v>0</v>
      </c>
      <c r="AW277" s="171">
        <f t="shared" si="60"/>
        <v>1</v>
      </c>
      <c r="AX277" s="171">
        <f t="shared" si="100"/>
        <v>1</v>
      </c>
      <c r="AY277" s="171">
        <f t="shared" si="61"/>
        <v>0</v>
      </c>
      <c r="AZ277" s="171">
        <f t="shared" si="62"/>
        <v>1</v>
      </c>
      <c r="BA277" s="172">
        <f t="shared" si="63"/>
        <v>1</v>
      </c>
      <c r="BB277" s="175">
        <f t="shared" si="72"/>
        <v>17</v>
      </c>
      <c r="BC277" s="176">
        <f t="shared" si="73"/>
        <v>16</v>
      </c>
      <c r="BD277" s="176">
        <f t="shared" si="74"/>
        <v>17</v>
      </c>
      <c r="BE277" s="240" t="str">
        <f t="shared" si="124"/>
        <v/>
      </c>
      <c r="BH277" s="199">
        <f>IF(AND(Input_Product=Elig!$C277,Elig_MatchAll_Ct&lt;22,$BC277=(Elig_MatchAll_Ct-1),AF277=0),C277,0)</f>
        <v>0</v>
      </c>
      <c r="BI277" s="199">
        <f>IF(AND(Input_Product=Elig!$C277,Elig_MatchAll_Ct&lt;22,$BC277=(Elig_MatchAll_Ct-1),AG277=0),D277,0)</f>
        <v>0</v>
      </c>
      <c r="BJ277" s="199">
        <f>IF(AND(Input_Product=Elig!$C277,Elig_MatchAll_Ct&lt;22,$BC277=(Elig_MatchAll_Ct-1),AH277=0),E277,0)</f>
        <v>0</v>
      </c>
      <c r="BK277" s="199">
        <f>IF(AND(Input_Product=Elig!$C277,Elig_MatchAll_Ct&lt;22,$BC277=(Elig_MatchAll_Ct-1),AI277=0),F277,0)</f>
        <v>0</v>
      </c>
      <c r="BL277" s="199">
        <f>IF(AND(Input_Product=Elig!$C277,Elig_MatchAll_Ct&lt;22,$BC277=(Elig_MatchAll_Ct-1),AJ277=0),G277,0)</f>
        <v>0</v>
      </c>
      <c r="BM277" s="199">
        <f>IF(AND(Input_Product=Elig!$C277,Elig_MatchAll_Ct&lt;22,$BC277=(Elig_MatchAll_Ct-1),AK277=0),H277,0)</f>
        <v>0</v>
      </c>
      <c r="BN277" s="199">
        <f>IF(AND(Input_Product=Elig!$C277,Elig_MatchAll_Ct&lt;22,$BC277=(Elig_MatchAll_Ct-1),AL277=0),I277,0)</f>
        <v>0</v>
      </c>
      <c r="BO277" s="199">
        <f>IF(AND(Input_Product=Elig!$C277,Elig_MatchAll_Ct&lt;22,$BC277=(Elig_MatchAll_Ct-1),AM277=0),J277,0)</f>
        <v>0</v>
      </c>
      <c r="BP277" s="199">
        <f>IF(AND(Input_Product=Elig!$C277,Elig_MatchAll_Ct&lt;22,$BC277=(Elig_MatchAll_Ct-1),AN277=0),K277,0)</f>
        <v>0</v>
      </c>
      <c r="BQ277" s="199">
        <f>IF(AND(Input_Product=Elig!$C277,Elig_MatchAll_Ct&lt;22,$BC277=(Elig_MatchAll_Ct-1),AP277=0),L277,0)</f>
        <v>0</v>
      </c>
      <c r="BR277" s="199">
        <f>IF(AND(Input_Product=Elig!$C277,Elig_MatchAll_Ct&lt;22,$BC277=(Elig_MatchAll_Ct-1),AO277=0),M277,0)</f>
        <v>0</v>
      </c>
      <c r="BS277" s="199">
        <f>IF(AND(Input_Product=Elig!$C277,Elig_MatchAll_Ct&lt;22,$BC277=(Elig_MatchAll_Ct-1),AQ277=0),N277,0)</f>
        <v>0</v>
      </c>
      <c r="BT277" s="199">
        <f>IF(AND(Input_Product=Elig!$C277,Elig_MatchAll_Ct&lt;22,$BC277=(Elig_MatchAll_Ct-1),AR277=0),O277,0)</f>
        <v>0</v>
      </c>
      <c r="BU277" s="199">
        <f>IF(AND(Input_Product=Elig!$C277,Elig_MatchAll_Ct&lt;22,$BC277=(Elig_MatchAll_Ct-1),AS277=0),P277,0)</f>
        <v>0</v>
      </c>
      <c r="BV277" s="200">
        <f>IF(AND(Input_Product=Elig!$C277,Elig_MatchAll_Ct&lt;22,$BC277=(Elig_MatchAll_Ct-1),AT277=0),Q277,0)</f>
        <v>0</v>
      </c>
      <c r="BW277" s="201">
        <f>IF(AND(Input_Product=Elig!$C277,Elig_MatchAll_Ct&lt;22,$BC277=(Elig_MatchAll_Ct-1),AU277=0),R277,0)</f>
        <v>0</v>
      </c>
      <c r="BX277" s="202">
        <f>IF(AND(Input_Product=Elig!$C277,Elig_MatchAll_Ct&lt;22,$BC277=(Elig_MatchAll_Ct-1),AU277=0),S277,0)</f>
        <v>0</v>
      </c>
      <c r="BY277" s="201">
        <f>IF(AND(Input_Product=Elig!$C277,Elig_MatchAll_Ct&lt;22,$BC277=(Elig_MatchAll_Ct-1),AV277=0),T277,0)</f>
        <v>0</v>
      </c>
      <c r="BZ277" s="202">
        <f>IF(AND(Input_Product=Elig!$C277,Elig_MatchAll_Ct&lt;22,$BC277=(Elig_MatchAll_Ct-1),AV277=0),U277,0)</f>
        <v>0</v>
      </c>
      <c r="CA277" s="201">
        <f>IF(AND(Input_Product=Elig!$C277,Elig_MatchAll_Ct&lt;22,$BC277=(Elig_MatchAll_Ct-1),AW277=0),V277,0)</f>
        <v>0</v>
      </c>
      <c r="CB277" s="202">
        <f>IF(AND(Input_Product=Elig!$C277,Elig_MatchAll_Ct&lt;22,$BC277=(Elig_MatchAll_Ct-1),AW277=0),W277,0)</f>
        <v>0</v>
      </c>
      <c r="CC277" s="201">
        <f>IF(AND(Input_Product=Elig!$C277,Elig_MatchAll_Ct&lt;22,$BC277=(Elig_MatchAll_Ct-1),AX277=0),X277,0)</f>
        <v>0</v>
      </c>
      <c r="CD277" s="202">
        <f>IF(AND(Input_Product=Elig!$C277,Elig_MatchAll_Ct&lt;22,$BC277=(Elig_MatchAll_Ct-1),AX277=0),Y277,0)</f>
        <v>0</v>
      </c>
      <c r="CE277" s="201">
        <f>IF(AND(Input_LTV&lt;=AE277,Input_Product=Elig!$C277,Elig_MatchAll_Ct&lt;22,$BC277=(Elig_MatchAll_Ct-1),AY277=0),Z277,0)</f>
        <v>0</v>
      </c>
      <c r="CF277" s="202">
        <f>IF(AND(Input_LTV&lt;=AE277,Input_Product=Elig!$C277,Elig_MatchAll_Ct&lt;22,$BC277=(Elig_MatchAll_Ct-1),AY277=0),AA277,0)</f>
        <v>0</v>
      </c>
      <c r="CG277" s="201">
        <f>IF(AND(Input_Product=Elig!$C277,Elig_MatchAll_Ct&lt;22,$BC277=(Elig_MatchAll_Ct-1),AZ277=0),AB277,0)</f>
        <v>0</v>
      </c>
      <c r="CH277" s="202">
        <f>IF(AND(Input_Product=Elig!$C277,Elig_MatchAll_Ct&lt;22,$BC277=(Elig_MatchAll_Ct-1),AZ277=0),AC277,0)</f>
        <v>0</v>
      </c>
      <c r="CI277" s="201">
        <f>IF(AND(Input_Product=Elig!$C277,Elig_MatchAll_Ct&lt;22,$BC277=(Elig_MatchAll_Ct-1),BA277=0),AD277,0)</f>
        <v>0</v>
      </c>
      <c r="CJ277" s="202">
        <f>IF(AND(Input_Product=Elig!$C277,Elig_MatchAll_Ct&lt;22,$BC277=(Elig_MatchAll_Ct-1),BA277=0),AE277,0)</f>
        <v>0</v>
      </c>
    </row>
    <row r="278" spans="2:88" ht="10.15" customHeight="1" x14ac:dyDescent="0.25">
      <c r="B278" s="287" t="s">
        <v>974</v>
      </c>
      <c r="C278" s="286" t="str">
        <f t="shared" si="132"/>
        <v>NonQM NOO</v>
      </c>
      <c r="D278" s="287" t="s">
        <v>3885</v>
      </c>
      <c r="E278" s="287" t="s">
        <v>167</v>
      </c>
      <c r="F278" s="287" t="s">
        <v>330</v>
      </c>
      <c r="G278" s="287" t="s">
        <v>303</v>
      </c>
      <c r="H278" s="287" t="s">
        <v>136</v>
      </c>
      <c r="I278" s="287" t="s">
        <v>274</v>
      </c>
      <c r="J278" s="287" t="s">
        <v>1311</v>
      </c>
      <c r="K278" s="287" t="s">
        <v>1631</v>
      </c>
      <c r="L278" s="300" t="s">
        <v>312</v>
      </c>
      <c r="M278" s="287" t="s">
        <v>4203</v>
      </c>
      <c r="N278" s="287" t="s">
        <v>2685</v>
      </c>
      <c r="O278" s="287" t="s">
        <v>310</v>
      </c>
      <c r="P278" s="287" t="s">
        <v>291</v>
      </c>
      <c r="Q278" s="287" t="s">
        <v>294</v>
      </c>
      <c r="R278" s="300">
        <v>100000</v>
      </c>
      <c r="S278" s="287">
        <v>1000000</v>
      </c>
      <c r="T278" s="287">
        <v>0</v>
      </c>
      <c r="U278" s="287">
        <v>0</v>
      </c>
      <c r="V278" s="287">
        <v>0</v>
      </c>
      <c r="W278" s="287">
        <v>50</v>
      </c>
      <c r="X278" s="287">
        <v>0</v>
      </c>
      <c r="Y278" s="287">
        <v>999</v>
      </c>
      <c r="Z278" s="289">
        <v>660</v>
      </c>
      <c r="AA278" s="289">
        <v>679</v>
      </c>
      <c r="AB278" s="289">
        <v>3</v>
      </c>
      <c r="AC278" s="289">
        <v>999999</v>
      </c>
      <c r="AD278" s="287">
        <v>0</v>
      </c>
      <c r="AE278" s="2105">
        <v>80</v>
      </c>
      <c r="AF278" s="170">
        <v>0</v>
      </c>
      <c r="AG278" s="171">
        <v>1</v>
      </c>
      <c r="AH278" s="171">
        <v>1</v>
      </c>
      <c r="AI278" s="171">
        <v>0</v>
      </c>
      <c r="AJ278" s="171">
        <v>1</v>
      </c>
      <c r="AK278" s="171">
        <v>1</v>
      </c>
      <c r="AL278" s="171">
        <v>0</v>
      </c>
      <c r="AM278" s="171">
        <v>1</v>
      </c>
      <c r="AN278" s="171">
        <v>1</v>
      </c>
      <c r="AO278" s="171">
        <v>1</v>
      </c>
      <c r="AP278" s="171">
        <v>1</v>
      </c>
      <c r="AQ278" s="171">
        <v>1</v>
      </c>
      <c r="AR278" s="171">
        <v>1</v>
      </c>
      <c r="AS278" s="171">
        <v>1</v>
      </c>
      <c r="AT278" s="171">
        <v>1</v>
      </c>
      <c r="AU278" s="171">
        <f t="shared" si="58"/>
        <v>1</v>
      </c>
      <c r="AV278" s="171">
        <f t="shared" si="59"/>
        <v>0</v>
      </c>
      <c r="AW278" s="171">
        <f t="shared" si="60"/>
        <v>1</v>
      </c>
      <c r="AX278" s="171">
        <f t="shared" si="100"/>
        <v>1</v>
      </c>
      <c r="AY278" s="171">
        <f t="shared" si="61"/>
        <v>0</v>
      </c>
      <c r="AZ278" s="171">
        <f t="shared" si="62"/>
        <v>1</v>
      </c>
      <c r="BA278" s="172">
        <f t="shared" si="63"/>
        <v>1</v>
      </c>
      <c r="BB278" s="175">
        <f t="shared" si="72"/>
        <v>17</v>
      </c>
      <c r="BC278" s="176">
        <f t="shared" si="73"/>
        <v>16</v>
      </c>
      <c r="BD278" s="176">
        <f t="shared" si="74"/>
        <v>17</v>
      </c>
      <c r="BE278" s="240" t="str">
        <f t="shared" si="124"/>
        <v/>
      </c>
      <c r="BH278" s="199">
        <f>IF(AND(Input_Product=Elig!$C278,Elig_MatchAll_Ct&lt;22,$BC278=(Elig_MatchAll_Ct-1),AF278=0),C278,0)</f>
        <v>0</v>
      </c>
      <c r="BI278" s="199">
        <f>IF(AND(Input_Product=Elig!$C278,Elig_MatchAll_Ct&lt;22,$BC278=(Elig_MatchAll_Ct-1),AG278=0),D278,0)</f>
        <v>0</v>
      </c>
      <c r="BJ278" s="199">
        <f>IF(AND(Input_Product=Elig!$C278,Elig_MatchAll_Ct&lt;22,$BC278=(Elig_MatchAll_Ct-1),AH278=0),E278,0)</f>
        <v>0</v>
      </c>
      <c r="BK278" s="199">
        <f>IF(AND(Input_Product=Elig!$C278,Elig_MatchAll_Ct&lt;22,$BC278=(Elig_MatchAll_Ct-1),AI278=0),F278,0)</f>
        <v>0</v>
      </c>
      <c r="BL278" s="199">
        <f>IF(AND(Input_Product=Elig!$C278,Elig_MatchAll_Ct&lt;22,$BC278=(Elig_MatchAll_Ct-1),AJ278=0),G278,0)</f>
        <v>0</v>
      </c>
      <c r="BM278" s="199">
        <f>IF(AND(Input_Product=Elig!$C278,Elig_MatchAll_Ct&lt;22,$BC278=(Elig_MatchAll_Ct-1),AK278=0),H278,0)</f>
        <v>0</v>
      </c>
      <c r="BN278" s="199">
        <f>IF(AND(Input_Product=Elig!$C278,Elig_MatchAll_Ct&lt;22,$BC278=(Elig_MatchAll_Ct-1),AL278=0),I278,0)</f>
        <v>0</v>
      </c>
      <c r="BO278" s="199">
        <f>IF(AND(Input_Product=Elig!$C278,Elig_MatchAll_Ct&lt;22,$BC278=(Elig_MatchAll_Ct-1),AM278=0),J278,0)</f>
        <v>0</v>
      </c>
      <c r="BP278" s="199">
        <f>IF(AND(Input_Product=Elig!$C278,Elig_MatchAll_Ct&lt;22,$BC278=(Elig_MatchAll_Ct-1),AN278=0),K278,0)</f>
        <v>0</v>
      </c>
      <c r="BQ278" s="199">
        <f>IF(AND(Input_Product=Elig!$C278,Elig_MatchAll_Ct&lt;22,$BC278=(Elig_MatchAll_Ct-1),AP278=0),L278,0)</f>
        <v>0</v>
      </c>
      <c r="BR278" s="199">
        <f>IF(AND(Input_Product=Elig!$C278,Elig_MatchAll_Ct&lt;22,$BC278=(Elig_MatchAll_Ct-1),AO278=0),M278,0)</f>
        <v>0</v>
      </c>
      <c r="BS278" s="199">
        <f>IF(AND(Input_Product=Elig!$C278,Elig_MatchAll_Ct&lt;22,$BC278=(Elig_MatchAll_Ct-1),AQ278=0),N278,0)</f>
        <v>0</v>
      </c>
      <c r="BT278" s="199">
        <f>IF(AND(Input_Product=Elig!$C278,Elig_MatchAll_Ct&lt;22,$BC278=(Elig_MatchAll_Ct-1),AR278=0),O278,0)</f>
        <v>0</v>
      </c>
      <c r="BU278" s="199">
        <f>IF(AND(Input_Product=Elig!$C278,Elig_MatchAll_Ct&lt;22,$BC278=(Elig_MatchAll_Ct-1),AS278=0),P278,0)</f>
        <v>0</v>
      </c>
      <c r="BV278" s="200">
        <f>IF(AND(Input_Product=Elig!$C278,Elig_MatchAll_Ct&lt;22,$BC278=(Elig_MatchAll_Ct-1),AT278=0),Q278,0)</f>
        <v>0</v>
      </c>
      <c r="BW278" s="201">
        <f>IF(AND(Input_Product=Elig!$C278,Elig_MatchAll_Ct&lt;22,$BC278=(Elig_MatchAll_Ct-1),AU278=0),R278,0)</f>
        <v>0</v>
      </c>
      <c r="BX278" s="202">
        <f>IF(AND(Input_Product=Elig!$C278,Elig_MatchAll_Ct&lt;22,$BC278=(Elig_MatchAll_Ct-1),AU278=0),S278,0)</f>
        <v>0</v>
      </c>
      <c r="BY278" s="201">
        <f>IF(AND(Input_Product=Elig!$C278,Elig_MatchAll_Ct&lt;22,$BC278=(Elig_MatchAll_Ct-1),AV278=0),T278,0)</f>
        <v>0</v>
      </c>
      <c r="BZ278" s="202">
        <f>IF(AND(Input_Product=Elig!$C278,Elig_MatchAll_Ct&lt;22,$BC278=(Elig_MatchAll_Ct-1),AV278=0),U278,0)</f>
        <v>0</v>
      </c>
      <c r="CA278" s="201">
        <f>IF(AND(Input_Product=Elig!$C278,Elig_MatchAll_Ct&lt;22,$BC278=(Elig_MatchAll_Ct-1),AW278=0),V278,0)</f>
        <v>0</v>
      </c>
      <c r="CB278" s="202">
        <f>IF(AND(Input_Product=Elig!$C278,Elig_MatchAll_Ct&lt;22,$BC278=(Elig_MatchAll_Ct-1),AW278=0),W278,0)</f>
        <v>0</v>
      </c>
      <c r="CC278" s="201">
        <f>IF(AND(Input_Product=Elig!$C278,Elig_MatchAll_Ct&lt;22,$BC278=(Elig_MatchAll_Ct-1),AX278=0),X278,0)</f>
        <v>0</v>
      </c>
      <c r="CD278" s="202">
        <f>IF(AND(Input_Product=Elig!$C278,Elig_MatchAll_Ct&lt;22,$BC278=(Elig_MatchAll_Ct-1),AX278=0),Y278,0)</f>
        <v>0</v>
      </c>
      <c r="CE278" s="201">
        <f>IF(AND(Input_LTV&lt;=AE278,Input_Product=Elig!$C278,Elig_MatchAll_Ct&lt;22,$BC278=(Elig_MatchAll_Ct-1),AY278=0),Z278,0)</f>
        <v>0</v>
      </c>
      <c r="CF278" s="202">
        <f>IF(AND(Input_LTV&lt;=AE278,Input_Product=Elig!$C278,Elig_MatchAll_Ct&lt;22,$BC278=(Elig_MatchAll_Ct-1),AY278=0),AA278,0)</f>
        <v>0</v>
      </c>
      <c r="CG278" s="201">
        <f>IF(AND(Input_Product=Elig!$C278,Elig_MatchAll_Ct&lt;22,$BC278=(Elig_MatchAll_Ct-1),AZ278=0),AB278,0)</f>
        <v>0</v>
      </c>
      <c r="CH278" s="202">
        <f>IF(AND(Input_Product=Elig!$C278,Elig_MatchAll_Ct&lt;22,$BC278=(Elig_MatchAll_Ct-1),AZ278=0),AC278,0)</f>
        <v>0</v>
      </c>
      <c r="CI278" s="201">
        <f>IF(AND(Input_Product=Elig!$C278,Elig_MatchAll_Ct&lt;22,$BC278=(Elig_MatchAll_Ct-1),BA278=0),AD278,0)</f>
        <v>0</v>
      </c>
      <c r="CJ278" s="202">
        <f>IF(AND(Input_Product=Elig!$C278,Elig_MatchAll_Ct&lt;22,$BC278=(Elig_MatchAll_Ct-1),BA278=0),AE278,0)</f>
        <v>0</v>
      </c>
    </row>
    <row r="279" spans="2:88" ht="10.15" customHeight="1" x14ac:dyDescent="0.25">
      <c r="B279" s="287" t="s">
        <v>975</v>
      </c>
      <c r="C279" s="286" t="str">
        <f t="shared" si="132"/>
        <v>NonQM NOO</v>
      </c>
      <c r="D279" s="287" t="s">
        <v>3885</v>
      </c>
      <c r="E279" s="287" t="s">
        <v>167</v>
      </c>
      <c r="F279" s="287" t="s">
        <v>330</v>
      </c>
      <c r="G279" s="287" t="s">
        <v>303</v>
      </c>
      <c r="H279" s="287" t="s">
        <v>136</v>
      </c>
      <c r="I279" s="287" t="s">
        <v>274</v>
      </c>
      <c r="J279" s="287" t="s">
        <v>1311</v>
      </c>
      <c r="K279" s="287" t="s">
        <v>1631</v>
      </c>
      <c r="L279" s="300" t="s">
        <v>312</v>
      </c>
      <c r="M279" s="287" t="s">
        <v>4203</v>
      </c>
      <c r="N279" s="287" t="s">
        <v>2685</v>
      </c>
      <c r="O279" s="287" t="s">
        <v>310</v>
      </c>
      <c r="P279" s="287" t="s">
        <v>291</v>
      </c>
      <c r="Q279" s="287" t="s">
        <v>294</v>
      </c>
      <c r="R279" s="300">
        <v>100000</v>
      </c>
      <c r="S279" s="287">
        <v>1000000</v>
      </c>
      <c r="T279" s="287">
        <v>0</v>
      </c>
      <c r="U279" s="287">
        <v>0</v>
      </c>
      <c r="V279" s="287">
        <v>0</v>
      </c>
      <c r="W279" s="287">
        <v>50</v>
      </c>
      <c r="X279" s="287">
        <v>0</v>
      </c>
      <c r="Y279" s="287">
        <v>999</v>
      </c>
      <c r="Z279" s="289">
        <v>640</v>
      </c>
      <c r="AA279" s="289">
        <v>659</v>
      </c>
      <c r="AB279" s="289">
        <v>3</v>
      </c>
      <c r="AC279" s="289">
        <v>999999</v>
      </c>
      <c r="AD279" s="287">
        <v>0</v>
      </c>
      <c r="AE279" s="290">
        <v>-999</v>
      </c>
      <c r="AF279" s="170">
        <v>0</v>
      </c>
      <c r="AG279" s="171">
        <v>1</v>
      </c>
      <c r="AH279" s="171">
        <v>1</v>
      </c>
      <c r="AI279" s="171">
        <v>0</v>
      </c>
      <c r="AJ279" s="171">
        <v>1</v>
      </c>
      <c r="AK279" s="171">
        <v>1</v>
      </c>
      <c r="AL279" s="171">
        <v>0</v>
      </c>
      <c r="AM279" s="171">
        <v>1</v>
      </c>
      <c r="AN279" s="171">
        <v>1</v>
      </c>
      <c r="AO279" s="171">
        <v>1</v>
      </c>
      <c r="AP279" s="171">
        <v>1</v>
      </c>
      <c r="AQ279" s="171">
        <v>1</v>
      </c>
      <c r="AR279" s="171">
        <v>1</v>
      </c>
      <c r="AS279" s="171">
        <v>1</v>
      </c>
      <c r="AT279" s="171">
        <v>1</v>
      </c>
      <c r="AU279" s="171">
        <f t="shared" si="58"/>
        <v>1</v>
      </c>
      <c r="AV279" s="171">
        <f t="shared" si="59"/>
        <v>0</v>
      </c>
      <c r="AW279" s="171">
        <f t="shared" si="60"/>
        <v>1</v>
      </c>
      <c r="AX279" s="171">
        <f t="shared" si="100"/>
        <v>1</v>
      </c>
      <c r="AY279" s="171">
        <f t="shared" si="61"/>
        <v>0</v>
      </c>
      <c r="AZ279" s="171">
        <f t="shared" si="62"/>
        <v>1</v>
      </c>
      <c r="BA279" s="172">
        <f t="shared" si="63"/>
        <v>0</v>
      </c>
      <c r="BB279" s="175">
        <f t="shared" si="72"/>
        <v>16</v>
      </c>
      <c r="BC279" s="176">
        <f t="shared" si="73"/>
        <v>16</v>
      </c>
      <c r="BD279" s="176">
        <f t="shared" si="74"/>
        <v>16</v>
      </c>
      <c r="BE279" s="240" t="str">
        <f t="shared" si="124"/>
        <v/>
      </c>
      <c r="BH279" s="199">
        <f>IF(AND(Input_Product=Elig!$C279,Elig_MatchAll_Ct&lt;22,$BC279=(Elig_MatchAll_Ct-1),AF279=0),C279,0)</f>
        <v>0</v>
      </c>
      <c r="BI279" s="199">
        <f>IF(AND(Input_Product=Elig!$C279,Elig_MatchAll_Ct&lt;22,$BC279=(Elig_MatchAll_Ct-1),AG279=0),D279,0)</f>
        <v>0</v>
      </c>
      <c r="BJ279" s="199">
        <f>IF(AND(Input_Product=Elig!$C279,Elig_MatchAll_Ct&lt;22,$BC279=(Elig_MatchAll_Ct-1),AH279=0),E279,0)</f>
        <v>0</v>
      </c>
      <c r="BK279" s="199">
        <f>IF(AND(Input_Product=Elig!$C279,Elig_MatchAll_Ct&lt;22,$BC279=(Elig_MatchAll_Ct-1),AI279=0),F279,0)</f>
        <v>0</v>
      </c>
      <c r="BL279" s="199">
        <f>IF(AND(Input_Product=Elig!$C279,Elig_MatchAll_Ct&lt;22,$BC279=(Elig_MatchAll_Ct-1),AJ279=0),G279,0)</f>
        <v>0</v>
      </c>
      <c r="BM279" s="199">
        <f>IF(AND(Input_Product=Elig!$C279,Elig_MatchAll_Ct&lt;22,$BC279=(Elig_MatchAll_Ct-1),AK279=0),H279,0)</f>
        <v>0</v>
      </c>
      <c r="BN279" s="199">
        <f>IF(AND(Input_Product=Elig!$C279,Elig_MatchAll_Ct&lt;22,$BC279=(Elig_MatchAll_Ct-1),AL279=0),I279,0)</f>
        <v>0</v>
      </c>
      <c r="BO279" s="199">
        <f>IF(AND(Input_Product=Elig!$C279,Elig_MatchAll_Ct&lt;22,$BC279=(Elig_MatchAll_Ct-1),AM279=0),J279,0)</f>
        <v>0</v>
      </c>
      <c r="BP279" s="199">
        <f>IF(AND(Input_Product=Elig!$C279,Elig_MatchAll_Ct&lt;22,$BC279=(Elig_MatchAll_Ct-1),AN279=0),K279,0)</f>
        <v>0</v>
      </c>
      <c r="BQ279" s="199">
        <f>IF(AND(Input_Product=Elig!$C279,Elig_MatchAll_Ct&lt;22,$BC279=(Elig_MatchAll_Ct-1),AP279=0),L279,0)</f>
        <v>0</v>
      </c>
      <c r="BR279" s="199">
        <f>IF(AND(Input_Product=Elig!$C279,Elig_MatchAll_Ct&lt;22,$BC279=(Elig_MatchAll_Ct-1),AO279=0),M279,0)</f>
        <v>0</v>
      </c>
      <c r="BS279" s="199">
        <f>IF(AND(Input_Product=Elig!$C279,Elig_MatchAll_Ct&lt;22,$BC279=(Elig_MatchAll_Ct-1),AQ279=0),N279,0)</f>
        <v>0</v>
      </c>
      <c r="BT279" s="199">
        <f>IF(AND(Input_Product=Elig!$C279,Elig_MatchAll_Ct&lt;22,$BC279=(Elig_MatchAll_Ct-1),AR279=0),O279,0)</f>
        <v>0</v>
      </c>
      <c r="BU279" s="199">
        <f>IF(AND(Input_Product=Elig!$C279,Elig_MatchAll_Ct&lt;22,$BC279=(Elig_MatchAll_Ct-1),AS279=0),P279,0)</f>
        <v>0</v>
      </c>
      <c r="BV279" s="200">
        <f>IF(AND(Input_Product=Elig!$C279,Elig_MatchAll_Ct&lt;22,$BC279=(Elig_MatchAll_Ct-1),AT279=0),Q279,0)</f>
        <v>0</v>
      </c>
      <c r="BW279" s="201">
        <f>IF(AND(Input_Product=Elig!$C279,Elig_MatchAll_Ct&lt;22,$BC279=(Elig_MatchAll_Ct-1),AU279=0),R279,0)</f>
        <v>0</v>
      </c>
      <c r="BX279" s="202">
        <f>IF(AND(Input_Product=Elig!$C279,Elig_MatchAll_Ct&lt;22,$BC279=(Elig_MatchAll_Ct-1),AU279=0),S279,0)</f>
        <v>0</v>
      </c>
      <c r="BY279" s="201">
        <f>IF(AND(Input_Product=Elig!$C279,Elig_MatchAll_Ct&lt;22,$BC279=(Elig_MatchAll_Ct-1),AV279=0),T279,0)</f>
        <v>0</v>
      </c>
      <c r="BZ279" s="202">
        <f>IF(AND(Input_Product=Elig!$C279,Elig_MatchAll_Ct&lt;22,$BC279=(Elig_MatchAll_Ct-1),AV279=0),U279,0)</f>
        <v>0</v>
      </c>
      <c r="CA279" s="201">
        <f>IF(AND(Input_Product=Elig!$C279,Elig_MatchAll_Ct&lt;22,$BC279=(Elig_MatchAll_Ct-1),AW279=0),V279,0)</f>
        <v>0</v>
      </c>
      <c r="CB279" s="202">
        <f>IF(AND(Input_Product=Elig!$C279,Elig_MatchAll_Ct&lt;22,$BC279=(Elig_MatchAll_Ct-1),AW279=0),W279,0)</f>
        <v>0</v>
      </c>
      <c r="CC279" s="201">
        <f>IF(AND(Input_Product=Elig!$C279,Elig_MatchAll_Ct&lt;22,$BC279=(Elig_MatchAll_Ct-1),AX279=0),X279,0)</f>
        <v>0</v>
      </c>
      <c r="CD279" s="202">
        <f>IF(AND(Input_Product=Elig!$C279,Elig_MatchAll_Ct&lt;22,$BC279=(Elig_MatchAll_Ct-1),AX279=0),Y279,0)</f>
        <v>0</v>
      </c>
      <c r="CE279" s="201">
        <f>IF(AND(Input_LTV&lt;=AE279,Input_Product=Elig!$C279,Elig_MatchAll_Ct&lt;22,$BC279=(Elig_MatchAll_Ct-1),AY279=0),Z279,0)</f>
        <v>0</v>
      </c>
      <c r="CF279" s="202">
        <f>IF(AND(Input_LTV&lt;=AE279,Input_Product=Elig!$C279,Elig_MatchAll_Ct&lt;22,$BC279=(Elig_MatchAll_Ct-1),AY279=0),AA279,0)</f>
        <v>0</v>
      </c>
      <c r="CG279" s="201">
        <f>IF(AND(Input_Product=Elig!$C279,Elig_MatchAll_Ct&lt;22,$BC279=(Elig_MatchAll_Ct-1),AZ279=0),AB279,0)</f>
        <v>0</v>
      </c>
      <c r="CH279" s="202">
        <f>IF(AND(Input_Product=Elig!$C279,Elig_MatchAll_Ct&lt;22,$BC279=(Elig_MatchAll_Ct-1),AZ279=0),AC279,0)</f>
        <v>0</v>
      </c>
      <c r="CI279" s="201">
        <f>IF(AND(Input_Product=Elig!$C279,Elig_MatchAll_Ct&lt;22,$BC279=(Elig_MatchAll_Ct-1),BA279=0),AD279,0)</f>
        <v>0</v>
      </c>
      <c r="CJ279" s="202">
        <f>IF(AND(Input_Product=Elig!$C279,Elig_MatchAll_Ct&lt;22,$BC279=(Elig_MatchAll_Ct-1),BA279=0),AE279,0)</f>
        <v>0</v>
      </c>
    </row>
    <row r="280" spans="2:88" ht="10.15" customHeight="1" x14ac:dyDescent="0.25">
      <c r="B280" s="287" t="s">
        <v>976</v>
      </c>
      <c r="C280" s="291" t="str">
        <f t="shared" si="132"/>
        <v>NonQM NOO</v>
      </c>
      <c r="D280" s="292" t="s">
        <v>3885</v>
      </c>
      <c r="E280" s="292" t="s">
        <v>167</v>
      </c>
      <c r="F280" s="292" t="s">
        <v>330</v>
      </c>
      <c r="G280" s="292" t="s">
        <v>303</v>
      </c>
      <c r="H280" s="292" t="s">
        <v>136</v>
      </c>
      <c r="I280" s="292" t="s">
        <v>274</v>
      </c>
      <c r="J280" s="292" t="s">
        <v>1311</v>
      </c>
      <c r="K280" s="292" t="s">
        <v>1631</v>
      </c>
      <c r="L280" s="324" t="s">
        <v>312</v>
      </c>
      <c r="M280" s="292" t="s">
        <v>4203</v>
      </c>
      <c r="N280" s="292" t="s">
        <v>2685</v>
      </c>
      <c r="O280" s="292" t="s">
        <v>310</v>
      </c>
      <c r="P280" s="292" t="s">
        <v>291</v>
      </c>
      <c r="Q280" s="292" t="s">
        <v>294</v>
      </c>
      <c r="R280" s="324">
        <v>100000</v>
      </c>
      <c r="S280" s="292">
        <v>1000000</v>
      </c>
      <c r="T280" s="292">
        <v>0</v>
      </c>
      <c r="U280" s="292">
        <v>0</v>
      </c>
      <c r="V280" s="292">
        <v>0</v>
      </c>
      <c r="W280" s="292">
        <v>50</v>
      </c>
      <c r="X280" s="292">
        <v>0</v>
      </c>
      <c r="Y280" s="292">
        <v>999</v>
      </c>
      <c r="Z280" s="293">
        <v>620</v>
      </c>
      <c r="AA280" s="293">
        <v>639</v>
      </c>
      <c r="AB280" s="293">
        <v>3</v>
      </c>
      <c r="AC280" s="293">
        <v>999999</v>
      </c>
      <c r="AD280" s="292">
        <v>0</v>
      </c>
      <c r="AE280" s="294">
        <v>-999</v>
      </c>
      <c r="AF280" s="170">
        <v>0</v>
      </c>
      <c r="AG280" s="171">
        <v>1</v>
      </c>
      <c r="AH280" s="171">
        <v>1</v>
      </c>
      <c r="AI280" s="171">
        <v>0</v>
      </c>
      <c r="AJ280" s="171">
        <v>1</v>
      </c>
      <c r="AK280" s="171">
        <v>1</v>
      </c>
      <c r="AL280" s="171">
        <v>0</v>
      </c>
      <c r="AM280" s="171">
        <v>1</v>
      </c>
      <c r="AN280" s="171">
        <v>1</v>
      </c>
      <c r="AO280" s="171">
        <v>1</v>
      </c>
      <c r="AP280" s="171">
        <v>1</v>
      </c>
      <c r="AQ280" s="171">
        <v>1</v>
      </c>
      <c r="AR280" s="171">
        <v>1</v>
      </c>
      <c r="AS280" s="171">
        <v>1</v>
      </c>
      <c r="AT280" s="171">
        <v>1</v>
      </c>
      <c r="AU280" s="171">
        <f t="shared" si="58"/>
        <v>1</v>
      </c>
      <c r="AV280" s="171">
        <f t="shared" si="59"/>
        <v>0</v>
      </c>
      <c r="AW280" s="171">
        <f t="shared" si="60"/>
        <v>1</v>
      </c>
      <c r="AX280" s="171">
        <f t="shared" si="100"/>
        <v>1</v>
      </c>
      <c r="AY280" s="171">
        <f t="shared" si="61"/>
        <v>0</v>
      </c>
      <c r="AZ280" s="171">
        <f t="shared" si="62"/>
        <v>1</v>
      </c>
      <c r="BA280" s="172">
        <f t="shared" si="63"/>
        <v>0</v>
      </c>
      <c r="BB280" s="175">
        <f t="shared" si="72"/>
        <v>16</v>
      </c>
      <c r="BC280" s="176">
        <f t="shared" si="73"/>
        <v>16</v>
      </c>
      <c r="BD280" s="176">
        <f t="shared" si="74"/>
        <v>16</v>
      </c>
      <c r="BE280" s="240" t="str">
        <f t="shared" si="124"/>
        <v/>
      </c>
      <c r="BH280" s="214">
        <f>IF(AND(Input_Product=Elig!$C280,Elig_MatchAll_Ct&lt;22,$BC280=(Elig_MatchAll_Ct-1),AF280=0),C280,0)</f>
        <v>0</v>
      </c>
      <c r="BI280" s="214">
        <f>IF(AND(Input_Product=Elig!$C280,Elig_MatchAll_Ct&lt;22,$BC280=(Elig_MatchAll_Ct-1),AG280=0),D280,0)</f>
        <v>0</v>
      </c>
      <c r="BJ280" s="214">
        <f>IF(AND(Input_Product=Elig!$C280,Elig_MatchAll_Ct&lt;22,$BC280=(Elig_MatchAll_Ct-1),AH280=0),E280,0)</f>
        <v>0</v>
      </c>
      <c r="BK280" s="214">
        <f>IF(AND(Input_Product=Elig!$C280,Elig_MatchAll_Ct&lt;22,$BC280=(Elig_MatchAll_Ct-1),AI280=0),F280,0)</f>
        <v>0</v>
      </c>
      <c r="BL280" s="214">
        <f>IF(AND(Input_Product=Elig!$C280,Elig_MatchAll_Ct&lt;22,$BC280=(Elig_MatchAll_Ct-1),AJ280=0),G280,0)</f>
        <v>0</v>
      </c>
      <c r="BM280" s="214">
        <f>IF(AND(Input_Product=Elig!$C280,Elig_MatchAll_Ct&lt;22,$BC280=(Elig_MatchAll_Ct-1),AK280=0),H280,0)</f>
        <v>0</v>
      </c>
      <c r="BN280" s="214">
        <f>IF(AND(Input_Product=Elig!$C280,Elig_MatchAll_Ct&lt;22,$BC280=(Elig_MatchAll_Ct-1),AL280=0),I280,0)</f>
        <v>0</v>
      </c>
      <c r="BO280" s="214">
        <f>IF(AND(Input_Product=Elig!$C280,Elig_MatchAll_Ct&lt;22,$BC280=(Elig_MatchAll_Ct-1),AM280=0),J280,0)</f>
        <v>0</v>
      </c>
      <c r="BP280" s="214">
        <f>IF(AND(Input_Product=Elig!$C280,Elig_MatchAll_Ct&lt;22,$BC280=(Elig_MatchAll_Ct-1),AN280=0),K280,0)</f>
        <v>0</v>
      </c>
      <c r="BQ280" s="214">
        <f>IF(AND(Input_Product=Elig!$C280,Elig_MatchAll_Ct&lt;22,$BC280=(Elig_MatchAll_Ct-1),AP280=0),L280,0)</f>
        <v>0</v>
      </c>
      <c r="BR280" s="214">
        <f>IF(AND(Input_Product=Elig!$C280,Elig_MatchAll_Ct&lt;22,$BC280=(Elig_MatchAll_Ct-1),AO280=0),M280,0)</f>
        <v>0</v>
      </c>
      <c r="BS280" s="214">
        <f>IF(AND(Input_Product=Elig!$C280,Elig_MatchAll_Ct&lt;22,$BC280=(Elig_MatchAll_Ct-1),AQ280=0),N280,0)</f>
        <v>0</v>
      </c>
      <c r="BT280" s="214">
        <f>IF(AND(Input_Product=Elig!$C280,Elig_MatchAll_Ct&lt;22,$BC280=(Elig_MatchAll_Ct-1),AR280=0),O280,0)</f>
        <v>0</v>
      </c>
      <c r="BU280" s="214">
        <f>IF(AND(Input_Product=Elig!$C280,Elig_MatchAll_Ct&lt;22,$BC280=(Elig_MatchAll_Ct-1),AS280=0),P280,0)</f>
        <v>0</v>
      </c>
      <c r="BV280" s="215">
        <f>IF(AND(Input_Product=Elig!$C280,Elig_MatchAll_Ct&lt;22,$BC280=(Elig_MatchAll_Ct-1),AT280=0),Q280,0)</f>
        <v>0</v>
      </c>
      <c r="BW280" s="207">
        <f>IF(AND(Input_Product=Elig!$C280,Elig_MatchAll_Ct&lt;22,$BC280=(Elig_MatchAll_Ct-1),AU280=0),R280,0)</f>
        <v>0</v>
      </c>
      <c r="BX280" s="208">
        <f>IF(AND(Input_Product=Elig!$C280,Elig_MatchAll_Ct&lt;22,$BC280=(Elig_MatchAll_Ct-1),AU280=0),S280,0)</f>
        <v>0</v>
      </c>
      <c r="BY280" s="207">
        <f>IF(AND(Input_Product=Elig!$C280,Elig_MatchAll_Ct&lt;22,$BC280=(Elig_MatchAll_Ct-1),AV280=0),T280,0)</f>
        <v>0</v>
      </c>
      <c r="BZ280" s="208">
        <f>IF(AND(Input_Product=Elig!$C280,Elig_MatchAll_Ct&lt;22,$BC280=(Elig_MatchAll_Ct-1),AV280=0),U280,0)</f>
        <v>0</v>
      </c>
      <c r="CA280" s="207">
        <f>IF(AND(Input_Product=Elig!$C280,Elig_MatchAll_Ct&lt;22,$BC280=(Elig_MatchAll_Ct-1),AW280=0),V280,0)</f>
        <v>0</v>
      </c>
      <c r="CB280" s="208">
        <f>IF(AND(Input_Product=Elig!$C280,Elig_MatchAll_Ct&lt;22,$BC280=(Elig_MatchAll_Ct-1),AW280=0),W280,0)</f>
        <v>0</v>
      </c>
      <c r="CC280" s="207">
        <f>IF(AND(Input_Product=Elig!$C280,Elig_MatchAll_Ct&lt;22,$BC280=(Elig_MatchAll_Ct-1),AX280=0),X280,0)</f>
        <v>0</v>
      </c>
      <c r="CD280" s="208">
        <f>IF(AND(Input_Product=Elig!$C280,Elig_MatchAll_Ct&lt;22,$BC280=(Elig_MatchAll_Ct-1),AX280=0),Y280,0)</f>
        <v>0</v>
      </c>
      <c r="CE280" s="207">
        <f>IF(AND(Input_LTV&lt;=AE280,Input_Product=Elig!$C280,Elig_MatchAll_Ct&lt;22,$BC280=(Elig_MatchAll_Ct-1),AY280=0),Z280,0)</f>
        <v>0</v>
      </c>
      <c r="CF280" s="208">
        <f>IF(AND(Input_LTV&lt;=AE280,Input_Product=Elig!$C280,Elig_MatchAll_Ct&lt;22,$BC280=(Elig_MatchAll_Ct-1),AY280=0),AA280,0)</f>
        <v>0</v>
      </c>
      <c r="CG280" s="207">
        <f>IF(AND(Input_Product=Elig!$C280,Elig_MatchAll_Ct&lt;22,$BC280=(Elig_MatchAll_Ct-1),AZ280=0),AB280,0)</f>
        <v>0</v>
      </c>
      <c r="CH280" s="208">
        <f>IF(AND(Input_Product=Elig!$C280,Elig_MatchAll_Ct&lt;22,$BC280=(Elig_MatchAll_Ct-1),AZ280=0),AC280,0)</f>
        <v>0</v>
      </c>
      <c r="CI280" s="207">
        <f>IF(AND(Input_Product=Elig!$C280,Elig_MatchAll_Ct&lt;22,$BC280=(Elig_MatchAll_Ct-1),BA280=0),AD280,0)</f>
        <v>0</v>
      </c>
      <c r="CJ280" s="209">
        <f>IF(AND(Input_Product=Elig!$C280,Elig_MatchAll_Ct&lt;22,$BC280=(Elig_MatchAll_Ct-1),BA280=0),AE280,0)</f>
        <v>0</v>
      </c>
    </row>
    <row r="281" spans="2:88" ht="10.15" customHeight="1" x14ac:dyDescent="0.25">
      <c r="B281" s="287" t="s">
        <v>977</v>
      </c>
      <c r="C281" s="281" t="str">
        <f t="shared" si="132"/>
        <v>NonQM NOO</v>
      </c>
      <c r="D281" s="282" t="s">
        <v>3885</v>
      </c>
      <c r="E281" s="283" t="s">
        <v>167</v>
      </c>
      <c r="F281" s="283" t="s">
        <v>330</v>
      </c>
      <c r="G281" s="283" t="s">
        <v>303</v>
      </c>
      <c r="H281" s="283" t="s">
        <v>136</v>
      </c>
      <c r="I281" s="282" t="s">
        <v>16</v>
      </c>
      <c r="J281" s="282" t="s">
        <v>1311</v>
      </c>
      <c r="K281" s="282" t="s">
        <v>1631</v>
      </c>
      <c r="L281" s="2103" t="s">
        <v>312</v>
      </c>
      <c r="M281" s="283" t="s">
        <v>4203</v>
      </c>
      <c r="N281" s="283" t="s">
        <v>2685</v>
      </c>
      <c r="O281" s="283" t="s">
        <v>310</v>
      </c>
      <c r="P281" s="283" t="s">
        <v>291</v>
      </c>
      <c r="Q281" s="283" t="s">
        <v>294</v>
      </c>
      <c r="R281" s="323">
        <v>100000</v>
      </c>
      <c r="S281" s="282">
        <v>1000000</v>
      </c>
      <c r="T281" s="282">
        <v>0</v>
      </c>
      <c r="U281" s="282">
        <f t="shared" ref="U281:U286" si="133">S281</f>
        <v>1000000</v>
      </c>
      <c r="V281" s="282">
        <v>0</v>
      </c>
      <c r="W281" s="282">
        <v>55</v>
      </c>
      <c r="X281" s="282">
        <v>0</v>
      </c>
      <c r="Y281" s="282">
        <v>999</v>
      </c>
      <c r="Z281" s="284">
        <v>720</v>
      </c>
      <c r="AA281" s="284">
        <v>999</v>
      </c>
      <c r="AB281" s="284">
        <v>3</v>
      </c>
      <c r="AC281" s="284">
        <v>999999</v>
      </c>
      <c r="AD281" s="282">
        <v>0</v>
      </c>
      <c r="AE281" s="2104">
        <v>80</v>
      </c>
      <c r="AF281" s="170">
        <v>0</v>
      </c>
      <c r="AG281" s="171">
        <v>1</v>
      </c>
      <c r="AH281" s="171">
        <v>1</v>
      </c>
      <c r="AI281" s="171">
        <v>0</v>
      </c>
      <c r="AJ281" s="171">
        <v>1</v>
      </c>
      <c r="AK281" s="171">
        <v>1</v>
      </c>
      <c r="AL281" s="171">
        <v>1</v>
      </c>
      <c r="AM281" s="171">
        <v>1</v>
      </c>
      <c r="AN281" s="171">
        <v>1</v>
      </c>
      <c r="AO281" s="171">
        <v>1</v>
      </c>
      <c r="AP281" s="171">
        <v>1</v>
      </c>
      <c r="AQ281" s="171">
        <v>1</v>
      </c>
      <c r="AR281" s="171">
        <v>1</v>
      </c>
      <c r="AS281" s="171">
        <v>1</v>
      </c>
      <c r="AT281" s="171">
        <v>1</v>
      </c>
      <c r="AU281" s="171">
        <f t="shared" si="58"/>
        <v>1</v>
      </c>
      <c r="AV281" s="171">
        <f t="shared" si="59"/>
        <v>1</v>
      </c>
      <c r="AW281" s="171">
        <f t="shared" si="60"/>
        <v>1</v>
      </c>
      <c r="AX281" s="171">
        <f t="shared" si="100"/>
        <v>1</v>
      </c>
      <c r="AY281" s="171">
        <f t="shared" si="61"/>
        <v>1</v>
      </c>
      <c r="AZ281" s="171">
        <f t="shared" si="62"/>
        <v>1</v>
      </c>
      <c r="BA281" s="172">
        <f t="shared" si="63"/>
        <v>1</v>
      </c>
      <c r="BB281" s="175">
        <f t="shared" si="72"/>
        <v>20</v>
      </c>
      <c r="BC281" s="176">
        <f t="shared" si="73"/>
        <v>19</v>
      </c>
      <c r="BD281" s="176">
        <f t="shared" si="74"/>
        <v>20</v>
      </c>
      <c r="BE281" s="240" t="str">
        <f t="shared" si="124"/>
        <v/>
      </c>
      <c r="BH281" s="216">
        <f>IF(AND(Input_Product=Elig!$C281,Elig_MatchAll_Ct&lt;22,$BC281=(Elig_MatchAll_Ct-1),AF281=0),C281,0)</f>
        <v>0</v>
      </c>
      <c r="BI281" s="216">
        <f>IF(AND(Input_Product=Elig!$C281,Elig_MatchAll_Ct&lt;22,$BC281=(Elig_MatchAll_Ct-1),AG281=0),D281,0)</f>
        <v>0</v>
      </c>
      <c r="BJ281" s="216">
        <f>IF(AND(Input_Product=Elig!$C281,Elig_MatchAll_Ct&lt;22,$BC281=(Elig_MatchAll_Ct-1),AH281=0),E281,0)</f>
        <v>0</v>
      </c>
      <c r="BK281" s="216">
        <f>IF(AND(Input_Product=Elig!$C281,Elig_MatchAll_Ct&lt;22,$BC281=(Elig_MatchAll_Ct-1),AI281=0),F281,0)</f>
        <v>0</v>
      </c>
      <c r="BL281" s="216">
        <f>IF(AND(Input_Product=Elig!$C281,Elig_MatchAll_Ct&lt;22,$BC281=(Elig_MatchAll_Ct-1),AJ281=0),G281,0)</f>
        <v>0</v>
      </c>
      <c r="BM281" s="216">
        <f>IF(AND(Input_Product=Elig!$C281,Elig_MatchAll_Ct&lt;22,$BC281=(Elig_MatchAll_Ct-1),AK281=0),H281,0)</f>
        <v>0</v>
      </c>
      <c r="BN281" s="216">
        <f>IF(AND(Input_Product=Elig!$C281,Elig_MatchAll_Ct&lt;22,$BC281=(Elig_MatchAll_Ct-1),AL281=0),I281,0)</f>
        <v>0</v>
      </c>
      <c r="BO281" s="216">
        <f>IF(AND(Input_Product=Elig!$C281,Elig_MatchAll_Ct&lt;22,$BC281=(Elig_MatchAll_Ct-1),AM281=0),J281,0)</f>
        <v>0</v>
      </c>
      <c r="BP281" s="216">
        <f>IF(AND(Input_Product=Elig!$C281,Elig_MatchAll_Ct&lt;22,$BC281=(Elig_MatchAll_Ct-1),AN281=0),K281,0)</f>
        <v>0</v>
      </c>
      <c r="BQ281" s="216">
        <f>IF(AND(Input_Product=Elig!$C281,Elig_MatchAll_Ct&lt;22,$BC281=(Elig_MatchAll_Ct-1),AP281=0),L281,0)</f>
        <v>0</v>
      </c>
      <c r="BR281" s="216">
        <f>IF(AND(Input_Product=Elig!$C281,Elig_MatchAll_Ct&lt;22,$BC281=(Elig_MatchAll_Ct-1),AO281=0),M281,0)</f>
        <v>0</v>
      </c>
      <c r="BS281" s="216">
        <f>IF(AND(Input_Product=Elig!$C281,Elig_MatchAll_Ct&lt;22,$BC281=(Elig_MatchAll_Ct-1),AQ281=0),N281,0)</f>
        <v>0</v>
      </c>
      <c r="BT281" s="216">
        <f>IF(AND(Input_Product=Elig!$C281,Elig_MatchAll_Ct&lt;22,$BC281=(Elig_MatchAll_Ct-1),AR281=0),O281,0)</f>
        <v>0</v>
      </c>
      <c r="BU281" s="216">
        <f>IF(AND(Input_Product=Elig!$C281,Elig_MatchAll_Ct&lt;22,$BC281=(Elig_MatchAll_Ct-1),AS281=0),P281,0)</f>
        <v>0</v>
      </c>
      <c r="BV281" s="217">
        <f>IF(AND(Input_Product=Elig!$C281,Elig_MatchAll_Ct&lt;22,$BC281=(Elig_MatchAll_Ct-1),AT281=0),Q281,0)</f>
        <v>0</v>
      </c>
      <c r="BW281" s="212">
        <f>IF(AND(Input_Product=Elig!$C281,Elig_MatchAll_Ct&lt;22,$BC281=(Elig_MatchAll_Ct-1),AU281=0),R281,0)</f>
        <v>0</v>
      </c>
      <c r="BX281" s="213">
        <f>IF(AND(Input_Product=Elig!$C281,Elig_MatchAll_Ct&lt;22,$BC281=(Elig_MatchAll_Ct-1),AU281=0),S281,0)</f>
        <v>0</v>
      </c>
      <c r="BY281" s="212">
        <f>IF(AND(Input_Product=Elig!$C281,Elig_MatchAll_Ct&lt;22,$BC281=(Elig_MatchAll_Ct-1),AV281=0),T281,0)</f>
        <v>0</v>
      </c>
      <c r="BZ281" s="213">
        <f>IF(AND(Input_Product=Elig!$C281,Elig_MatchAll_Ct&lt;22,$BC281=(Elig_MatchAll_Ct-1),AV281=0),U281,0)</f>
        <v>0</v>
      </c>
      <c r="CA281" s="212">
        <f>IF(AND(Input_Product=Elig!$C281,Elig_MatchAll_Ct&lt;22,$BC281=(Elig_MatchAll_Ct-1),AW281=0),V281,0)</f>
        <v>0</v>
      </c>
      <c r="CB281" s="213">
        <f>IF(AND(Input_Product=Elig!$C281,Elig_MatchAll_Ct&lt;22,$BC281=(Elig_MatchAll_Ct-1),AW281=0),W281,0)</f>
        <v>0</v>
      </c>
      <c r="CC281" s="212">
        <f>IF(AND(Input_Product=Elig!$C281,Elig_MatchAll_Ct&lt;22,$BC281=(Elig_MatchAll_Ct-1),AX281=0),X281,0)</f>
        <v>0</v>
      </c>
      <c r="CD281" s="213">
        <f>IF(AND(Input_Product=Elig!$C281,Elig_MatchAll_Ct&lt;22,$BC281=(Elig_MatchAll_Ct-1),AX281=0),Y281,0)</f>
        <v>0</v>
      </c>
      <c r="CE281" s="212">
        <f>IF(AND(Input_LTV&lt;=AE281,Input_Product=Elig!$C281,Elig_MatchAll_Ct&lt;22,$BC281=(Elig_MatchAll_Ct-1),AY281=0),Z281,0)</f>
        <v>0</v>
      </c>
      <c r="CF281" s="213">
        <f>IF(AND(Input_LTV&lt;=AE281,Input_Product=Elig!$C281,Elig_MatchAll_Ct&lt;22,$BC281=(Elig_MatchAll_Ct-1),AY281=0),AA281,0)</f>
        <v>0</v>
      </c>
      <c r="CG281" s="212">
        <f>IF(AND(Input_Product=Elig!$C281,Elig_MatchAll_Ct&lt;22,$BC281=(Elig_MatchAll_Ct-1),AZ281=0),AB281,0)</f>
        <v>0</v>
      </c>
      <c r="CH281" s="213">
        <f>IF(AND(Input_Product=Elig!$C281,Elig_MatchAll_Ct&lt;22,$BC281=(Elig_MatchAll_Ct-1),AZ281=0),AC281,0)</f>
        <v>0</v>
      </c>
      <c r="CI281" s="212">
        <f>IF(AND(Input_Product=Elig!$C281,Elig_MatchAll_Ct&lt;22,$BC281=(Elig_MatchAll_Ct-1),BA281=0),AD281,0)</f>
        <v>0</v>
      </c>
      <c r="CJ281" s="213">
        <f>IF(AND(Input_Product=Elig!$C281,Elig_MatchAll_Ct&lt;22,$BC281=(Elig_MatchAll_Ct-1),BA281=0),AE281,0)</f>
        <v>0</v>
      </c>
    </row>
    <row r="282" spans="2:88" ht="10.15" customHeight="1" x14ac:dyDescent="0.25">
      <c r="B282" s="287" t="s">
        <v>978</v>
      </c>
      <c r="C282" s="286" t="str">
        <f t="shared" si="132"/>
        <v>NonQM NOO</v>
      </c>
      <c r="D282" s="287" t="s">
        <v>3885</v>
      </c>
      <c r="E282" s="287" t="s">
        <v>167</v>
      </c>
      <c r="F282" s="287" t="s">
        <v>330</v>
      </c>
      <c r="G282" s="287" t="s">
        <v>303</v>
      </c>
      <c r="H282" s="287" t="s">
        <v>136</v>
      </c>
      <c r="I282" s="288" t="s">
        <v>16</v>
      </c>
      <c r="J282" s="288" t="s">
        <v>1311</v>
      </c>
      <c r="K282" s="288" t="s">
        <v>1631</v>
      </c>
      <c r="L282" s="300" t="s">
        <v>312</v>
      </c>
      <c r="M282" s="287" t="s">
        <v>4203</v>
      </c>
      <c r="N282" s="287" t="s">
        <v>2685</v>
      </c>
      <c r="O282" s="287" t="s">
        <v>310</v>
      </c>
      <c r="P282" s="287" t="s">
        <v>291</v>
      </c>
      <c r="Q282" s="287" t="s">
        <v>294</v>
      </c>
      <c r="R282" s="300">
        <v>100000</v>
      </c>
      <c r="S282" s="287">
        <v>1000000</v>
      </c>
      <c r="T282" s="287">
        <v>0</v>
      </c>
      <c r="U282" s="287">
        <f t="shared" si="133"/>
        <v>1000000</v>
      </c>
      <c r="V282" s="287">
        <v>0</v>
      </c>
      <c r="W282" s="287">
        <v>55</v>
      </c>
      <c r="X282" s="287">
        <v>0</v>
      </c>
      <c r="Y282" s="287">
        <v>999</v>
      </c>
      <c r="Z282" s="289">
        <v>700</v>
      </c>
      <c r="AA282" s="289">
        <v>719</v>
      </c>
      <c r="AB282" s="289">
        <v>3</v>
      </c>
      <c r="AC282" s="289">
        <v>999999</v>
      </c>
      <c r="AD282" s="287">
        <v>0</v>
      </c>
      <c r="AE282" s="2105">
        <v>80</v>
      </c>
      <c r="AF282" s="170">
        <v>0</v>
      </c>
      <c r="AG282" s="171">
        <v>1</v>
      </c>
      <c r="AH282" s="171">
        <v>1</v>
      </c>
      <c r="AI282" s="171">
        <v>0</v>
      </c>
      <c r="AJ282" s="171">
        <v>1</v>
      </c>
      <c r="AK282" s="171">
        <v>1</v>
      </c>
      <c r="AL282" s="171">
        <v>1</v>
      </c>
      <c r="AM282" s="171">
        <v>1</v>
      </c>
      <c r="AN282" s="171">
        <v>1</v>
      </c>
      <c r="AO282" s="171">
        <v>1</v>
      </c>
      <c r="AP282" s="171">
        <v>1</v>
      </c>
      <c r="AQ282" s="171">
        <v>1</v>
      </c>
      <c r="AR282" s="171">
        <v>1</v>
      </c>
      <c r="AS282" s="171">
        <v>1</v>
      </c>
      <c r="AT282" s="171">
        <v>1</v>
      </c>
      <c r="AU282" s="171">
        <f t="shared" si="58"/>
        <v>1</v>
      </c>
      <c r="AV282" s="171">
        <f t="shared" si="59"/>
        <v>1</v>
      </c>
      <c r="AW282" s="171">
        <f t="shared" si="60"/>
        <v>1</v>
      </c>
      <c r="AX282" s="171">
        <f t="shared" si="100"/>
        <v>1</v>
      </c>
      <c r="AY282" s="171">
        <f t="shared" si="61"/>
        <v>0</v>
      </c>
      <c r="AZ282" s="171">
        <f t="shared" si="62"/>
        <v>1</v>
      </c>
      <c r="BA282" s="172">
        <f t="shared" si="63"/>
        <v>1</v>
      </c>
      <c r="BB282" s="175">
        <f t="shared" si="72"/>
        <v>19</v>
      </c>
      <c r="BC282" s="176">
        <f t="shared" si="73"/>
        <v>18</v>
      </c>
      <c r="BD282" s="176">
        <f t="shared" si="74"/>
        <v>19</v>
      </c>
      <c r="BE282" s="240" t="str">
        <f t="shared" si="124"/>
        <v/>
      </c>
      <c r="BH282" s="199">
        <f>IF(AND(Input_Product=Elig!$C282,Elig_MatchAll_Ct&lt;22,$BC282=(Elig_MatchAll_Ct-1),AF282=0),C282,0)</f>
        <v>0</v>
      </c>
      <c r="BI282" s="199">
        <f>IF(AND(Input_Product=Elig!$C282,Elig_MatchAll_Ct&lt;22,$BC282=(Elig_MatchAll_Ct-1),AG282=0),D282,0)</f>
        <v>0</v>
      </c>
      <c r="BJ282" s="199">
        <f>IF(AND(Input_Product=Elig!$C282,Elig_MatchAll_Ct&lt;22,$BC282=(Elig_MatchAll_Ct-1),AH282=0),E282,0)</f>
        <v>0</v>
      </c>
      <c r="BK282" s="199">
        <f>IF(AND(Input_Product=Elig!$C282,Elig_MatchAll_Ct&lt;22,$BC282=(Elig_MatchAll_Ct-1),AI282=0),F282,0)</f>
        <v>0</v>
      </c>
      <c r="BL282" s="199">
        <f>IF(AND(Input_Product=Elig!$C282,Elig_MatchAll_Ct&lt;22,$BC282=(Elig_MatchAll_Ct-1),AJ282=0),G282,0)</f>
        <v>0</v>
      </c>
      <c r="BM282" s="199">
        <f>IF(AND(Input_Product=Elig!$C282,Elig_MatchAll_Ct&lt;22,$BC282=(Elig_MatchAll_Ct-1),AK282=0),H282,0)</f>
        <v>0</v>
      </c>
      <c r="BN282" s="199">
        <f>IF(AND(Input_Product=Elig!$C282,Elig_MatchAll_Ct&lt;22,$BC282=(Elig_MatchAll_Ct-1),AL282=0),I282,0)</f>
        <v>0</v>
      </c>
      <c r="BO282" s="199">
        <f>IF(AND(Input_Product=Elig!$C282,Elig_MatchAll_Ct&lt;22,$BC282=(Elig_MatchAll_Ct-1),AM282=0),J282,0)</f>
        <v>0</v>
      </c>
      <c r="BP282" s="199">
        <f>IF(AND(Input_Product=Elig!$C282,Elig_MatchAll_Ct&lt;22,$BC282=(Elig_MatchAll_Ct-1),AN282=0),K282,0)</f>
        <v>0</v>
      </c>
      <c r="BQ282" s="199">
        <f>IF(AND(Input_Product=Elig!$C282,Elig_MatchAll_Ct&lt;22,$BC282=(Elig_MatchAll_Ct-1),AP282=0),L282,0)</f>
        <v>0</v>
      </c>
      <c r="BR282" s="199">
        <f>IF(AND(Input_Product=Elig!$C282,Elig_MatchAll_Ct&lt;22,$BC282=(Elig_MatchAll_Ct-1),AO282=0),M282,0)</f>
        <v>0</v>
      </c>
      <c r="BS282" s="199">
        <f>IF(AND(Input_Product=Elig!$C282,Elig_MatchAll_Ct&lt;22,$BC282=(Elig_MatchAll_Ct-1),AQ282=0),N282,0)</f>
        <v>0</v>
      </c>
      <c r="BT282" s="199">
        <f>IF(AND(Input_Product=Elig!$C282,Elig_MatchAll_Ct&lt;22,$BC282=(Elig_MatchAll_Ct-1),AR282=0),O282,0)</f>
        <v>0</v>
      </c>
      <c r="BU282" s="199">
        <f>IF(AND(Input_Product=Elig!$C282,Elig_MatchAll_Ct&lt;22,$BC282=(Elig_MatchAll_Ct-1),AS282=0),P282,0)</f>
        <v>0</v>
      </c>
      <c r="BV282" s="200">
        <f>IF(AND(Input_Product=Elig!$C282,Elig_MatchAll_Ct&lt;22,$BC282=(Elig_MatchAll_Ct-1),AT282=0),Q282,0)</f>
        <v>0</v>
      </c>
      <c r="BW282" s="201">
        <f>IF(AND(Input_Product=Elig!$C282,Elig_MatchAll_Ct&lt;22,$BC282=(Elig_MatchAll_Ct-1),AU282=0),R282,0)</f>
        <v>0</v>
      </c>
      <c r="BX282" s="202">
        <f>IF(AND(Input_Product=Elig!$C282,Elig_MatchAll_Ct&lt;22,$BC282=(Elig_MatchAll_Ct-1),AU282=0),S282,0)</f>
        <v>0</v>
      </c>
      <c r="BY282" s="201">
        <f>IF(AND(Input_Product=Elig!$C282,Elig_MatchAll_Ct&lt;22,$BC282=(Elig_MatchAll_Ct-1),AV282=0),T282,0)</f>
        <v>0</v>
      </c>
      <c r="BZ282" s="202">
        <f>IF(AND(Input_Product=Elig!$C282,Elig_MatchAll_Ct&lt;22,$BC282=(Elig_MatchAll_Ct-1),AV282=0),U282,0)</f>
        <v>0</v>
      </c>
      <c r="CA282" s="201">
        <f>IF(AND(Input_Product=Elig!$C282,Elig_MatchAll_Ct&lt;22,$BC282=(Elig_MatchAll_Ct-1),AW282=0),V282,0)</f>
        <v>0</v>
      </c>
      <c r="CB282" s="202">
        <f>IF(AND(Input_Product=Elig!$C282,Elig_MatchAll_Ct&lt;22,$BC282=(Elig_MatchAll_Ct-1),AW282=0),W282,0)</f>
        <v>0</v>
      </c>
      <c r="CC282" s="201">
        <f>IF(AND(Input_Product=Elig!$C282,Elig_MatchAll_Ct&lt;22,$BC282=(Elig_MatchAll_Ct-1),AX282=0),X282,0)</f>
        <v>0</v>
      </c>
      <c r="CD282" s="202">
        <f>IF(AND(Input_Product=Elig!$C282,Elig_MatchAll_Ct&lt;22,$BC282=(Elig_MatchAll_Ct-1),AX282=0),Y282,0)</f>
        <v>0</v>
      </c>
      <c r="CE282" s="201">
        <f>IF(AND(Input_LTV&lt;=AE282,Input_Product=Elig!$C282,Elig_MatchAll_Ct&lt;22,$BC282=(Elig_MatchAll_Ct-1),AY282=0),Z282,0)</f>
        <v>0</v>
      </c>
      <c r="CF282" s="202">
        <f>IF(AND(Input_LTV&lt;=AE282,Input_Product=Elig!$C282,Elig_MatchAll_Ct&lt;22,$BC282=(Elig_MatchAll_Ct-1),AY282=0),AA282,0)</f>
        <v>0</v>
      </c>
      <c r="CG282" s="201">
        <f>IF(AND(Input_Product=Elig!$C282,Elig_MatchAll_Ct&lt;22,$BC282=(Elig_MatchAll_Ct-1),AZ282=0),AB282,0)</f>
        <v>0</v>
      </c>
      <c r="CH282" s="202">
        <f>IF(AND(Input_Product=Elig!$C282,Elig_MatchAll_Ct&lt;22,$BC282=(Elig_MatchAll_Ct-1),AZ282=0),AC282,0)</f>
        <v>0</v>
      </c>
      <c r="CI282" s="201">
        <f>IF(AND(Input_Product=Elig!$C282,Elig_MatchAll_Ct&lt;22,$BC282=(Elig_MatchAll_Ct-1),BA282=0),AD282,0)</f>
        <v>0</v>
      </c>
      <c r="CJ282" s="202">
        <f>IF(AND(Input_Product=Elig!$C282,Elig_MatchAll_Ct&lt;22,$BC282=(Elig_MatchAll_Ct-1),BA282=0),AE282,0)</f>
        <v>0</v>
      </c>
    </row>
    <row r="283" spans="2:88" ht="10.15" customHeight="1" x14ac:dyDescent="0.25">
      <c r="B283" s="287" t="s">
        <v>979</v>
      </c>
      <c r="C283" s="286" t="str">
        <f t="shared" si="132"/>
        <v>NonQM NOO</v>
      </c>
      <c r="D283" s="287" t="s">
        <v>3885</v>
      </c>
      <c r="E283" s="287" t="s">
        <v>167</v>
      </c>
      <c r="F283" s="287" t="s">
        <v>330</v>
      </c>
      <c r="G283" s="287" t="s">
        <v>303</v>
      </c>
      <c r="H283" s="287" t="s">
        <v>136</v>
      </c>
      <c r="I283" s="288" t="s">
        <v>16</v>
      </c>
      <c r="J283" s="288" t="s">
        <v>1311</v>
      </c>
      <c r="K283" s="288" t="s">
        <v>1631</v>
      </c>
      <c r="L283" s="300" t="s">
        <v>312</v>
      </c>
      <c r="M283" s="287" t="s">
        <v>4203</v>
      </c>
      <c r="N283" s="287" t="s">
        <v>2685</v>
      </c>
      <c r="O283" s="287" t="s">
        <v>310</v>
      </c>
      <c r="P283" s="287" t="s">
        <v>291</v>
      </c>
      <c r="Q283" s="287" t="s">
        <v>294</v>
      </c>
      <c r="R283" s="300">
        <v>100000</v>
      </c>
      <c r="S283" s="287">
        <v>1000000</v>
      </c>
      <c r="T283" s="287">
        <v>0</v>
      </c>
      <c r="U283" s="287">
        <f t="shared" si="133"/>
        <v>1000000</v>
      </c>
      <c r="V283" s="287">
        <v>0</v>
      </c>
      <c r="W283" s="287">
        <v>55</v>
      </c>
      <c r="X283" s="287">
        <v>0</v>
      </c>
      <c r="Y283" s="287">
        <v>999</v>
      </c>
      <c r="Z283" s="289">
        <v>680</v>
      </c>
      <c r="AA283" s="289">
        <v>699</v>
      </c>
      <c r="AB283" s="289">
        <v>3</v>
      </c>
      <c r="AC283" s="289">
        <v>999999</v>
      </c>
      <c r="AD283" s="287">
        <v>0</v>
      </c>
      <c r="AE283" s="2105">
        <v>75</v>
      </c>
      <c r="AF283" s="170">
        <v>0</v>
      </c>
      <c r="AG283" s="171">
        <v>1</v>
      </c>
      <c r="AH283" s="171">
        <v>1</v>
      </c>
      <c r="AI283" s="171">
        <v>0</v>
      </c>
      <c r="AJ283" s="171">
        <v>1</v>
      </c>
      <c r="AK283" s="171">
        <v>1</v>
      </c>
      <c r="AL283" s="171">
        <v>1</v>
      </c>
      <c r="AM283" s="171">
        <v>1</v>
      </c>
      <c r="AN283" s="171">
        <v>1</v>
      </c>
      <c r="AO283" s="171">
        <v>1</v>
      </c>
      <c r="AP283" s="171">
        <v>1</v>
      </c>
      <c r="AQ283" s="171">
        <v>1</v>
      </c>
      <c r="AR283" s="171">
        <v>1</v>
      </c>
      <c r="AS283" s="171">
        <v>1</v>
      </c>
      <c r="AT283" s="171">
        <v>1</v>
      </c>
      <c r="AU283" s="171">
        <f t="shared" si="58"/>
        <v>1</v>
      </c>
      <c r="AV283" s="171">
        <f t="shared" si="59"/>
        <v>1</v>
      </c>
      <c r="AW283" s="171">
        <f t="shared" si="60"/>
        <v>1</v>
      </c>
      <c r="AX283" s="171">
        <f t="shared" si="100"/>
        <v>1</v>
      </c>
      <c r="AY283" s="171">
        <f t="shared" si="61"/>
        <v>0</v>
      </c>
      <c r="AZ283" s="171">
        <f t="shared" si="62"/>
        <v>1</v>
      </c>
      <c r="BA283" s="172">
        <f t="shared" si="63"/>
        <v>1</v>
      </c>
      <c r="BB283" s="175">
        <f t="shared" si="72"/>
        <v>19</v>
      </c>
      <c r="BC283" s="176">
        <f t="shared" si="73"/>
        <v>18</v>
      </c>
      <c r="BD283" s="176">
        <f t="shared" si="74"/>
        <v>19</v>
      </c>
      <c r="BE283" s="240" t="str">
        <f t="shared" si="124"/>
        <v/>
      </c>
      <c r="BH283" s="199">
        <f>IF(AND(Input_Product=Elig!$C283,Elig_MatchAll_Ct&lt;22,$BC283=(Elig_MatchAll_Ct-1),AF283=0),C283,0)</f>
        <v>0</v>
      </c>
      <c r="BI283" s="199">
        <f>IF(AND(Input_Product=Elig!$C283,Elig_MatchAll_Ct&lt;22,$BC283=(Elig_MatchAll_Ct-1),AG283=0),D283,0)</f>
        <v>0</v>
      </c>
      <c r="BJ283" s="199">
        <f>IF(AND(Input_Product=Elig!$C283,Elig_MatchAll_Ct&lt;22,$BC283=(Elig_MatchAll_Ct-1),AH283=0),E283,0)</f>
        <v>0</v>
      </c>
      <c r="BK283" s="199">
        <f>IF(AND(Input_Product=Elig!$C283,Elig_MatchAll_Ct&lt;22,$BC283=(Elig_MatchAll_Ct-1),AI283=0),F283,0)</f>
        <v>0</v>
      </c>
      <c r="BL283" s="199">
        <f>IF(AND(Input_Product=Elig!$C283,Elig_MatchAll_Ct&lt;22,$BC283=(Elig_MatchAll_Ct-1),AJ283=0),G283,0)</f>
        <v>0</v>
      </c>
      <c r="BM283" s="199">
        <f>IF(AND(Input_Product=Elig!$C283,Elig_MatchAll_Ct&lt;22,$BC283=(Elig_MatchAll_Ct-1),AK283=0),H283,0)</f>
        <v>0</v>
      </c>
      <c r="BN283" s="199">
        <f>IF(AND(Input_Product=Elig!$C283,Elig_MatchAll_Ct&lt;22,$BC283=(Elig_MatchAll_Ct-1),AL283=0),I283,0)</f>
        <v>0</v>
      </c>
      <c r="BO283" s="199">
        <f>IF(AND(Input_Product=Elig!$C283,Elig_MatchAll_Ct&lt;22,$BC283=(Elig_MatchAll_Ct-1),AM283=0),J283,0)</f>
        <v>0</v>
      </c>
      <c r="BP283" s="199">
        <f>IF(AND(Input_Product=Elig!$C283,Elig_MatchAll_Ct&lt;22,$BC283=(Elig_MatchAll_Ct-1),AN283=0),K283,0)</f>
        <v>0</v>
      </c>
      <c r="BQ283" s="199">
        <f>IF(AND(Input_Product=Elig!$C283,Elig_MatchAll_Ct&lt;22,$BC283=(Elig_MatchAll_Ct-1),AP283=0),L283,0)</f>
        <v>0</v>
      </c>
      <c r="BR283" s="199">
        <f>IF(AND(Input_Product=Elig!$C283,Elig_MatchAll_Ct&lt;22,$BC283=(Elig_MatchAll_Ct-1),AO283=0),M283,0)</f>
        <v>0</v>
      </c>
      <c r="BS283" s="199">
        <f>IF(AND(Input_Product=Elig!$C283,Elig_MatchAll_Ct&lt;22,$BC283=(Elig_MatchAll_Ct-1),AQ283=0),N283,0)</f>
        <v>0</v>
      </c>
      <c r="BT283" s="199">
        <f>IF(AND(Input_Product=Elig!$C283,Elig_MatchAll_Ct&lt;22,$BC283=(Elig_MatchAll_Ct-1),AR283=0),O283,0)</f>
        <v>0</v>
      </c>
      <c r="BU283" s="199">
        <f>IF(AND(Input_Product=Elig!$C283,Elig_MatchAll_Ct&lt;22,$BC283=(Elig_MatchAll_Ct-1),AS283=0),P283,0)</f>
        <v>0</v>
      </c>
      <c r="BV283" s="200">
        <f>IF(AND(Input_Product=Elig!$C283,Elig_MatchAll_Ct&lt;22,$BC283=(Elig_MatchAll_Ct-1),AT283=0),Q283,0)</f>
        <v>0</v>
      </c>
      <c r="BW283" s="201">
        <f>IF(AND(Input_Product=Elig!$C283,Elig_MatchAll_Ct&lt;22,$BC283=(Elig_MatchAll_Ct-1),AU283=0),R283,0)</f>
        <v>0</v>
      </c>
      <c r="BX283" s="202">
        <f>IF(AND(Input_Product=Elig!$C283,Elig_MatchAll_Ct&lt;22,$BC283=(Elig_MatchAll_Ct-1),AU283=0),S283,0)</f>
        <v>0</v>
      </c>
      <c r="BY283" s="201">
        <f>IF(AND(Input_Product=Elig!$C283,Elig_MatchAll_Ct&lt;22,$BC283=(Elig_MatchAll_Ct-1),AV283=0),T283,0)</f>
        <v>0</v>
      </c>
      <c r="BZ283" s="202">
        <f>IF(AND(Input_Product=Elig!$C283,Elig_MatchAll_Ct&lt;22,$BC283=(Elig_MatchAll_Ct-1),AV283=0),U283,0)</f>
        <v>0</v>
      </c>
      <c r="CA283" s="201">
        <f>IF(AND(Input_Product=Elig!$C283,Elig_MatchAll_Ct&lt;22,$BC283=(Elig_MatchAll_Ct-1),AW283=0),V283,0)</f>
        <v>0</v>
      </c>
      <c r="CB283" s="202">
        <f>IF(AND(Input_Product=Elig!$C283,Elig_MatchAll_Ct&lt;22,$BC283=(Elig_MatchAll_Ct-1),AW283=0),W283,0)</f>
        <v>0</v>
      </c>
      <c r="CC283" s="201">
        <f>IF(AND(Input_Product=Elig!$C283,Elig_MatchAll_Ct&lt;22,$BC283=(Elig_MatchAll_Ct-1),AX283=0),X283,0)</f>
        <v>0</v>
      </c>
      <c r="CD283" s="202">
        <f>IF(AND(Input_Product=Elig!$C283,Elig_MatchAll_Ct&lt;22,$BC283=(Elig_MatchAll_Ct-1),AX283=0),Y283,0)</f>
        <v>0</v>
      </c>
      <c r="CE283" s="201">
        <f>IF(AND(Input_LTV&lt;=AE283,Input_Product=Elig!$C283,Elig_MatchAll_Ct&lt;22,$BC283=(Elig_MatchAll_Ct-1),AY283=0),Z283,0)</f>
        <v>0</v>
      </c>
      <c r="CF283" s="202">
        <f>IF(AND(Input_LTV&lt;=AE283,Input_Product=Elig!$C283,Elig_MatchAll_Ct&lt;22,$BC283=(Elig_MatchAll_Ct-1),AY283=0),AA283,0)</f>
        <v>0</v>
      </c>
      <c r="CG283" s="201">
        <f>IF(AND(Input_Product=Elig!$C283,Elig_MatchAll_Ct&lt;22,$BC283=(Elig_MatchAll_Ct-1),AZ283=0),AB283,0)</f>
        <v>0</v>
      </c>
      <c r="CH283" s="202">
        <f>IF(AND(Input_Product=Elig!$C283,Elig_MatchAll_Ct&lt;22,$BC283=(Elig_MatchAll_Ct-1),AZ283=0),AC283,0)</f>
        <v>0</v>
      </c>
      <c r="CI283" s="201">
        <f>IF(AND(Input_Product=Elig!$C283,Elig_MatchAll_Ct&lt;22,$BC283=(Elig_MatchAll_Ct-1),BA283=0),AD283,0)</f>
        <v>0</v>
      </c>
      <c r="CJ283" s="202">
        <f>IF(AND(Input_Product=Elig!$C283,Elig_MatchAll_Ct&lt;22,$BC283=(Elig_MatchAll_Ct-1),BA283=0),AE283,0)</f>
        <v>0</v>
      </c>
    </row>
    <row r="284" spans="2:88" ht="10.15" customHeight="1" x14ac:dyDescent="0.25">
      <c r="B284" s="287" t="s">
        <v>980</v>
      </c>
      <c r="C284" s="286" t="str">
        <f t="shared" si="132"/>
        <v>NonQM NOO</v>
      </c>
      <c r="D284" s="287" t="s">
        <v>3885</v>
      </c>
      <c r="E284" s="287" t="s">
        <v>167</v>
      </c>
      <c r="F284" s="287" t="s">
        <v>330</v>
      </c>
      <c r="G284" s="287" t="s">
        <v>303</v>
      </c>
      <c r="H284" s="287" t="s">
        <v>136</v>
      </c>
      <c r="I284" s="287" t="s">
        <v>16</v>
      </c>
      <c r="J284" s="287" t="s">
        <v>1311</v>
      </c>
      <c r="K284" s="287" t="s">
        <v>1631</v>
      </c>
      <c r="L284" s="300" t="s">
        <v>312</v>
      </c>
      <c r="M284" s="287" t="s">
        <v>4203</v>
      </c>
      <c r="N284" s="287" t="s">
        <v>2685</v>
      </c>
      <c r="O284" s="287" t="s">
        <v>310</v>
      </c>
      <c r="P284" s="287" t="s">
        <v>291</v>
      </c>
      <c r="Q284" s="287" t="s">
        <v>294</v>
      </c>
      <c r="R284" s="300">
        <v>100000</v>
      </c>
      <c r="S284" s="287">
        <v>1000000</v>
      </c>
      <c r="T284" s="287">
        <v>0</v>
      </c>
      <c r="U284" s="287">
        <f t="shared" si="133"/>
        <v>1000000</v>
      </c>
      <c r="V284" s="287">
        <v>0</v>
      </c>
      <c r="W284" s="287">
        <v>50</v>
      </c>
      <c r="X284" s="287">
        <v>0</v>
      </c>
      <c r="Y284" s="287">
        <v>999</v>
      </c>
      <c r="Z284" s="289">
        <v>660</v>
      </c>
      <c r="AA284" s="289">
        <v>679</v>
      </c>
      <c r="AB284" s="289">
        <v>3</v>
      </c>
      <c r="AC284" s="289">
        <v>999999</v>
      </c>
      <c r="AD284" s="287">
        <v>0</v>
      </c>
      <c r="AE284" s="290">
        <v>70</v>
      </c>
      <c r="AF284" s="170">
        <v>0</v>
      </c>
      <c r="AG284" s="171">
        <v>1</v>
      </c>
      <c r="AH284" s="171">
        <v>1</v>
      </c>
      <c r="AI284" s="171">
        <v>0</v>
      </c>
      <c r="AJ284" s="171">
        <v>1</v>
      </c>
      <c r="AK284" s="171">
        <v>1</v>
      </c>
      <c r="AL284" s="171">
        <v>1</v>
      </c>
      <c r="AM284" s="171">
        <v>1</v>
      </c>
      <c r="AN284" s="171">
        <v>1</v>
      </c>
      <c r="AO284" s="171">
        <v>1</v>
      </c>
      <c r="AP284" s="171">
        <v>1</v>
      </c>
      <c r="AQ284" s="171">
        <v>1</v>
      </c>
      <c r="AR284" s="171">
        <v>1</v>
      </c>
      <c r="AS284" s="171">
        <v>1</v>
      </c>
      <c r="AT284" s="171">
        <v>1</v>
      </c>
      <c r="AU284" s="171">
        <f t="shared" si="58"/>
        <v>1</v>
      </c>
      <c r="AV284" s="171">
        <f t="shared" si="59"/>
        <v>1</v>
      </c>
      <c r="AW284" s="171">
        <f t="shared" si="60"/>
        <v>1</v>
      </c>
      <c r="AX284" s="171">
        <f t="shared" si="100"/>
        <v>1</v>
      </c>
      <c r="AY284" s="171">
        <f t="shared" si="61"/>
        <v>0</v>
      </c>
      <c r="AZ284" s="171">
        <f t="shared" si="62"/>
        <v>1</v>
      </c>
      <c r="BA284" s="172">
        <f t="shared" si="63"/>
        <v>1</v>
      </c>
      <c r="BB284" s="175">
        <f t="shared" si="72"/>
        <v>19</v>
      </c>
      <c r="BC284" s="176">
        <f t="shared" si="73"/>
        <v>18</v>
      </c>
      <c r="BD284" s="176">
        <f t="shared" si="74"/>
        <v>19</v>
      </c>
      <c r="BE284" s="240" t="str">
        <f t="shared" si="124"/>
        <v/>
      </c>
      <c r="BH284" s="199">
        <f>IF(AND(Input_Product=Elig!$C284,Elig_MatchAll_Ct&lt;22,$BC284=(Elig_MatchAll_Ct-1),AF284=0),C284,0)</f>
        <v>0</v>
      </c>
      <c r="BI284" s="199">
        <f>IF(AND(Input_Product=Elig!$C284,Elig_MatchAll_Ct&lt;22,$BC284=(Elig_MatchAll_Ct-1),AG284=0),D284,0)</f>
        <v>0</v>
      </c>
      <c r="BJ284" s="199">
        <f>IF(AND(Input_Product=Elig!$C284,Elig_MatchAll_Ct&lt;22,$BC284=(Elig_MatchAll_Ct-1),AH284=0),E284,0)</f>
        <v>0</v>
      </c>
      <c r="BK284" s="199">
        <f>IF(AND(Input_Product=Elig!$C284,Elig_MatchAll_Ct&lt;22,$BC284=(Elig_MatchAll_Ct-1),AI284=0),F284,0)</f>
        <v>0</v>
      </c>
      <c r="BL284" s="199">
        <f>IF(AND(Input_Product=Elig!$C284,Elig_MatchAll_Ct&lt;22,$BC284=(Elig_MatchAll_Ct-1),AJ284=0),G284,0)</f>
        <v>0</v>
      </c>
      <c r="BM284" s="199">
        <f>IF(AND(Input_Product=Elig!$C284,Elig_MatchAll_Ct&lt;22,$BC284=(Elig_MatchAll_Ct-1),AK284=0),H284,0)</f>
        <v>0</v>
      </c>
      <c r="BN284" s="199">
        <f>IF(AND(Input_Product=Elig!$C284,Elig_MatchAll_Ct&lt;22,$BC284=(Elig_MatchAll_Ct-1),AL284=0),I284,0)</f>
        <v>0</v>
      </c>
      <c r="BO284" s="199">
        <f>IF(AND(Input_Product=Elig!$C284,Elig_MatchAll_Ct&lt;22,$BC284=(Elig_MatchAll_Ct-1),AM284=0),J284,0)</f>
        <v>0</v>
      </c>
      <c r="BP284" s="199">
        <f>IF(AND(Input_Product=Elig!$C284,Elig_MatchAll_Ct&lt;22,$BC284=(Elig_MatchAll_Ct-1),AN284=0),K284,0)</f>
        <v>0</v>
      </c>
      <c r="BQ284" s="199">
        <f>IF(AND(Input_Product=Elig!$C284,Elig_MatchAll_Ct&lt;22,$BC284=(Elig_MatchAll_Ct-1),AP284=0),L284,0)</f>
        <v>0</v>
      </c>
      <c r="BR284" s="199">
        <f>IF(AND(Input_Product=Elig!$C284,Elig_MatchAll_Ct&lt;22,$BC284=(Elig_MatchAll_Ct-1),AO284=0),M284,0)</f>
        <v>0</v>
      </c>
      <c r="BS284" s="199">
        <f>IF(AND(Input_Product=Elig!$C284,Elig_MatchAll_Ct&lt;22,$BC284=(Elig_MatchAll_Ct-1),AQ284=0),N284,0)</f>
        <v>0</v>
      </c>
      <c r="BT284" s="199">
        <f>IF(AND(Input_Product=Elig!$C284,Elig_MatchAll_Ct&lt;22,$BC284=(Elig_MatchAll_Ct-1),AR284=0),O284,0)</f>
        <v>0</v>
      </c>
      <c r="BU284" s="199">
        <f>IF(AND(Input_Product=Elig!$C284,Elig_MatchAll_Ct&lt;22,$BC284=(Elig_MatchAll_Ct-1),AS284=0),P284,0)</f>
        <v>0</v>
      </c>
      <c r="BV284" s="200">
        <f>IF(AND(Input_Product=Elig!$C284,Elig_MatchAll_Ct&lt;22,$BC284=(Elig_MatchAll_Ct-1),AT284=0),Q284,0)</f>
        <v>0</v>
      </c>
      <c r="BW284" s="201">
        <f>IF(AND(Input_Product=Elig!$C284,Elig_MatchAll_Ct&lt;22,$BC284=(Elig_MatchAll_Ct-1),AU284=0),R284,0)</f>
        <v>0</v>
      </c>
      <c r="BX284" s="202">
        <f>IF(AND(Input_Product=Elig!$C284,Elig_MatchAll_Ct&lt;22,$BC284=(Elig_MatchAll_Ct-1),AU284=0),S284,0)</f>
        <v>0</v>
      </c>
      <c r="BY284" s="201">
        <f>IF(AND(Input_Product=Elig!$C284,Elig_MatchAll_Ct&lt;22,$BC284=(Elig_MatchAll_Ct-1),AV284=0),T284,0)</f>
        <v>0</v>
      </c>
      <c r="BZ284" s="202">
        <f>IF(AND(Input_Product=Elig!$C284,Elig_MatchAll_Ct&lt;22,$BC284=(Elig_MatchAll_Ct-1),AV284=0),U284,0)</f>
        <v>0</v>
      </c>
      <c r="CA284" s="201">
        <f>IF(AND(Input_Product=Elig!$C284,Elig_MatchAll_Ct&lt;22,$BC284=(Elig_MatchAll_Ct-1),AW284=0),V284,0)</f>
        <v>0</v>
      </c>
      <c r="CB284" s="202">
        <f>IF(AND(Input_Product=Elig!$C284,Elig_MatchAll_Ct&lt;22,$BC284=(Elig_MatchAll_Ct-1),AW284=0),W284,0)</f>
        <v>0</v>
      </c>
      <c r="CC284" s="201">
        <f>IF(AND(Input_Product=Elig!$C284,Elig_MatchAll_Ct&lt;22,$BC284=(Elig_MatchAll_Ct-1),AX284=0),X284,0)</f>
        <v>0</v>
      </c>
      <c r="CD284" s="202">
        <f>IF(AND(Input_Product=Elig!$C284,Elig_MatchAll_Ct&lt;22,$BC284=(Elig_MatchAll_Ct-1),AX284=0),Y284,0)</f>
        <v>0</v>
      </c>
      <c r="CE284" s="201">
        <f>IF(AND(Input_LTV&lt;=AE284,Input_Product=Elig!$C284,Elig_MatchAll_Ct&lt;22,$BC284=(Elig_MatchAll_Ct-1),AY284=0),Z284,0)</f>
        <v>0</v>
      </c>
      <c r="CF284" s="202">
        <f>IF(AND(Input_LTV&lt;=AE284,Input_Product=Elig!$C284,Elig_MatchAll_Ct&lt;22,$BC284=(Elig_MatchAll_Ct-1),AY284=0),AA284,0)</f>
        <v>0</v>
      </c>
      <c r="CG284" s="201">
        <f>IF(AND(Input_Product=Elig!$C284,Elig_MatchAll_Ct&lt;22,$BC284=(Elig_MatchAll_Ct-1),AZ284=0),AB284,0)</f>
        <v>0</v>
      </c>
      <c r="CH284" s="202">
        <f>IF(AND(Input_Product=Elig!$C284,Elig_MatchAll_Ct&lt;22,$BC284=(Elig_MatchAll_Ct-1),AZ284=0),AC284,0)</f>
        <v>0</v>
      </c>
      <c r="CI284" s="201">
        <f>IF(AND(Input_Product=Elig!$C284,Elig_MatchAll_Ct&lt;22,$BC284=(Elig_MatchAll_Ct-1),BA284=0),AD284,0)</f>
        <v>0</v>
      </c>
      <c r="CJ284" s="202">
        <f>IF(AND(Input_Product=Elig!$C284,Elig_MatchAll_Ct&lt;22,$BC284=(Elig_MatchAll_Ct-1),BA284=0),AE284,0)</f>
        <v>0</v>
      </c>
    </row>
    <row r="285" spans="2:88" ht="10.15" customHeight="1" x14ac:dyDescent="0.25">
      <c r="B285" s="287" t="s">
        <v>981</v>
      </c>
      <c r="C285" s="286" t="str">
        <f t="shared" si="132"/>
        <v>NonQM NOO</v>
      </c>
      <c r="D285" s="287" t="s">
        <v>3885</v>
      </c>
      <c r="E285" s="287" t="s">
        <v>167</v>
      </c>
      <c r="F285" s="287" t="s">
        <v>330</v>
      </c>
      <c r="G285" s="287" t="s">
        <v>303</v>
      </c>
      <c r="H285" s="287" t="s">
        <v>136</v>
      </c>
      <c r="I285" s="287" t="s">
        <v>16</v>
      </c>
      <c r="J285" s="287" t="s">
        <v>1311</v>
      </c>
      <c r="K285" s="287" t="s">
        <v>1631</v>
      </c>
      <c r="L285" s="300" t="s">
        <v>312</v>
      </c>
      <c r="M285" s="287" t="s">
        <v>4203</v>
      </c>
      <c r="N285" s="287" t="s">
        <v>2685</v>
      </c>
      <c r="O285" s="287" t="s">
        <v>310</v>
      </c>
      <c r="P285" s="287" t="s">
        <v>291</v>
      </c>
      <c r="Q285" s="287" t="s">
        <v>294</v>
      </c>
      <c r="R285" s="300">
        <v>100000</v>
      </c>
      <c r="S285" s="287">
        <v>1000000</v>
      </c>
      <c r="T285" s="287">
        <v>0</v>
      </c>
      <c r="U285" s="287">
        <f t="shared" si="133"/>
        <v>1000000</v>
      </c>
      <c r="V285" s="287">
        <v>0</v>
      </c>
      <c r="W285" s="287">
        <v>50</v>
      </c>
      <c r="X285" s="287">
        <v>0</v>
      </c>
      <c r="Y285" s="287">
        <v>999</v>
      </c>
      <c r="Z285" s="289">
        <v>640</v>
      </c>
      <c r="AA285" s="289">
        <v>659</v>
      </c>
      <c r="AB285" s="289">
        <v>3</v>
      </c>
      <c r="AC285" s="289">
        <v>999999</v>
      </c>
      <c r="AD285" s="287">
        <v>0</v>
      </c>
      <c r="AE285" s="290">
        <v>-999</v>
      </c>
      <c r="AF285" s="170">
        <v>0</v>
      </c>
      <c r="AG285" s="171">
        <v>1</v>
      </c>
      <c r="AH285" s="171">
        <v>1</v>
      </c>
      <c r="AI285" s="171">
        <v>0</v>
      </c>
      <c r="AJ285" s="171">
        <v>1</v>
      </c>
      <c r="AK285" s="171">
        <v>1</v>
      </c>
      <c r="AL285" s="171">
        <v>1</v>
      </c>
      <c r="AM285" s="171">
        <v>1</v>
      </c>
      <c r="AN285" s="171">
        <v>1</v>
      </c>
      <c r="AO285" s="171">
        <v>1</v>
      </c>
      <c r="AP285" s="171">
        <v>1</v>
      </c>
      <c r="AQ285" s="171">
        <v>1</v>
      </c>
      <c r="AR285" s="171">
        <v>1</v>
      </c>
      <c r="AS285" s="171">
        <v>1</v>
      </c>
      <c r="AT285" s="171">
        <v>1</v>
      </c>
      <c r="AU285" s="171">
        <f t="shared" si="58"/>
        <v>1</v>
      </c>
      <c r="AV285" s="171">
        <f t="shared" si="59"/>
        <v>1</v>
      </c>
      <c r="AW285" s="171">
        <f t="shared" si="60"/>
        <v>1</v>
      </c>
      <c r="AX285" s="171">
        <f t="shared" si="100"/>
        <v>1</v>
      </c>
      <c r="AY285" s="171">
        <f t="shared" si="61"/>
        <v>0</v>
      </c>
      <c r="AZ285" s="171">
        <f t="shared" si="62"/>
        <v>1</v>
      </c>
      <c r="BA285" s="172">
        <f t="shared" si="63"/>
        <v>0</v>
      </c>
      <c r="BB285" s="175">
        <f t="shared" si="72"/>
        <v>18</v>
      </c>
      <c r="BC285" s="176">
        <f t="shared" si="73"/>
        <v>18</v>
      </c>
      <c r="BD285" s="176">
        <f t="shared" si="74"/>
        <v>18</v>
      </c>
      <c r="BE285" s="240" t="str">
        <f t="shared" si="124"/>
        <v/>
      </c>
      <c r="BH285" s="199">
        <f>IF(AND(Input_Product=Elig!$C285,Elig_MatchAll_Ct&lt;22,$BC285=(Elig_MatchAll_Ct-1),AF285=0),C285,0)</f>
        <v>0</v>
      </c>
      <c r="BI285" s="199">
        <f>IF(AND(Input_Product=Elig!$C285,Elig_MatchAll_Ct&lt;22,$BC285=(Elig_MatchAll_Ct-1),AG285=0),D285,0)</f>
        <v>0</v>
      </c>
      <c r="BJ285" s="199">
        <f>IF(AND(Input_Product=Elig!$C285,Elig_MatchAll_Ct&lt;22,$BC285=(Elig_MatchAll_Ct-1),AH285=0),E285,0)</f>
        <v>0</v>
      </c>
      <c r="BK285" s="199">
        <f>IF(AND(Input_Product=Elig!$C285,Elig_MatchAll_Ct&lt;22,$BC285=(Elig_MatchAll_Ct-1),AI285=0),F285,0)</f>
        <v>0</v>
      </c>
      <c r="BL285" s="199">
        <f>IF(AND(Input_Product=Elig!$C285,Elig_MatchAll_Ct&lt;22,$BC285=(Elig_MatchAll_Ct-1),AJ285=0),G285,0)</f>
        <v>0</v>
      </c>
      <c r="BM285" s="199">
        <f>IF(AND(Input_Product=Elig!$C285,Elig_MatchAll_Ct&lt;22,$BC285=(Elig_MatchAll_Ct-1),AK285=0),H285,0)</f>
        <v>0</v>
      </c>
      <c r="BN285" s="199">
        <f>IF(AND(Input_Product=Elig!$C285,Elig_MatchAll_Ct&lt;22,$BC285=(Elig_MatchAll_Ct-1),AL285=0),I285,0)</f>
        <v>0</v>
      </c>
      <c r="BO285" s="199">
        <f>IF(AND(Input_Product=Elig!$C285,Elig_MatchAll_Ct&lt;22,$BC285=(Elig_MatchAll_Ct-1),AM285=0),J285,0)</f>
        <v>0</v>
      </c>
      <c r="BP285" s="199">
        <f>IF(AND(Input_Product=Elig!$C285,Elig_MatchAll_Ct&lt;22,$BC285=(Elig_MatchAll_Ct-1),AN285=0),K285,0)</f>
        <v>0</v>
      </c>
      <c r="BQ285" s="199">
        <f>IF(AND(Input_Product=Elig!$C285,Elig_MatchAll_Ct&lt;22,$BC285=(Elig_MatchAll_Ct-1),AP285=0),L285,0)</f>
        <v>0</v>
      </c>
      <c r="BR285" s="199">
        <f>IF(AND(Input_Product=Elig!$C285,Elig_MatchAll_Ct&lt;22,$BC285=(Elig_MatchAll_Ct-1),AO285=0),M285,0)</f>
        <v>0</v>
      </c>
      <c r="BS285" s="199">
        <f>IF(AND(Input_Product=Elig!$C285,Elig_MatchAll_Ct&lt;22,$BC285=(Elig_MatchAll_Ct-1),AQ285=0),N285,0)</f>
        <v>0</v>
      </c>
      <c r="BT285" s="199">
        <f>IF(AND(Input_Product=Elig!$C285,Elig_MatchAll_Ct&lt;22,$BC285=(Elig_MatchAll_Ct-1),AR285=0),O285,0)</f>
        <v>0</v>
      </c>
      <c r="BU285" s="199">
        <f>IF(AND(Input_Product=Elig!$C285,Elig_MatchAll_Ct&lt;22,$BC285=(Elig_MatchAll_Ct-1),AS285=0),P285,0)</f>
        <v>0</v>
      </c>
      <c r="BV285" s="200">
        <f>IF(AND(Input_Product=Elig!$C285,Elig_MatchAll_Ct&lt;22,$BC285=(Elig_MatchAll_Ct-1),AT285=0),Q285,0)</f>
        <v>0</v>
      </c>
      <c r="BW285" s="201">
        <f>IF(AND(Input_Product=Elig!$C285,Elig_MatchAll_Ct&lt;22,$BC285=(Elig_MatchAll_Ct-1),AU285=0),R285,0)</f>
        <v>0</v>
      </c>
      <c r="BX285" s="202">
        <f>IF(AND(Input_Product=Elig!$C285,Elig_MatchAll_Ct&lt;22,$BC285=(Elig_MatchAll_Ct-1),AU285=0),S285,0)</f>
        <v>0</v>
      </c>
      <c r="BY285" s="201">
        <f>IF(AND(Input_Product=Elig!$C285,Elig_MatchAll_Ct&lt;22,$BC285=(Elig_MatchAll_Ct-1),AV285=0),T285,0)</f>
        <v>0</v>
      </c>
      <c r="BZ285" s="202">
        <f>IF(AND(Input_Product=Elig!$C285,Elig_MatchAll_Ct&lt;22,$BC285=(Elig_MatchAll_Ct-1),AV285=0),U285,0)</f>
        <v>0</v>
      </c>
      <c r="CA285" s="201">
        <f>IF(AND(Input_Product=Elig!$C285,Elig_MatchAll_Ct&lt;22,$BC285=(Elig_MatchAll_Ct-1),AW285=0),V285,0)</f>
        <v>0</v>
      </c>
      <c r="CB285" s="202">
        <f>IF(AND(Input_Product=Elig!$C285,Elig_MatchAll_Ct&lt;22,$BC285=(Elig_MatchAll_Ct-1),AW285=0),W285,0)</f>
        <v>0</v>
      </c>
      <c r="CC285" s="201">
        <f>IF(AND(Input_Product=Elig!$C285,Elig_MatchAll_Ct&lt;22,$BC285=(Elig_MatchAll_Ct-1),AX285=0),X285,0)</f>
        <v>0</v>
      </c>
      <c r="CD285" s="202">
        <f>IF(AND(Input_Product=Elig!$C285,Elig_MatchAll_Ct&lt;22,$BC285=(Elig_MatchAll_Ct-1),AX285=0),Y285,0)</f>
        <v>0</v>
      </c>
      <c r="CE285" s="201">
        <f>IF(AND(Input_LTV&lt;=AE285,Input_Product=Elig!$C285,Elig_MatchAll_Ct&lt;22,$BC285=(Elig_MatchAll_Ct-1),AY285=0),Z285,0)</f>
        <v>0</v>
      </c>
      <c r="CF285" s="202">
        <f>IF(AND(Input_LTV&lt;=AE285,Input_Product=Elig!$C285,Elig_MatchAll_Ct&lt;22,$BC285=(Elig_MatchAll_Ct-1),AY285=0),AA285,0)</f>
        <v>0</v>
      </c>
      <c r="CG285" s="201">
        <f>IF(AND(Input_Product=Elig!$C285,Elig_MatchAll_Ct&lt;22,$BC285=(Elig_MatchAll_Ct-1),AZ285=0),AB285,0)</f>
        <v>0</v>
      </c>
      <c r="CH285" s="202">
        <f>IF(AND(Input_Product=Elig!$C285,Elig_MatchAll_Ct&lt;22,$BC285=(Elig_MatchAll_Ct-1),AZ285=0),AC285,0)</f>
        <v>0</v>
      </c>
      <c r="CI285" s="201">
        <f>IF(AND(Input_Product=Elig!$C285,Elig_MatchAll_Ct&lt;22,$BC285=(Elig_MatchAll_Ct-1),BA285=0),AD285,0)</f>
        <v>0</v>
      </c>
      <c r="CJ285" s="202">
        <f>IF(AND(Input_Product=Elig!$C285,Elig_MatchAll_Ct&lt;22,$BC285=(Elig_MatchAll_Ct-1),BA285=0),AE285,0)</f>
        <v>0</v>
      </c>
    </row>
    <row r="286" spans="2:88" ht="10.15" customHeight="1" x14ac:dyDescent="0.25">
      <c r="B286" s="287" t="s">
        <v>982</v>
      </c>
      <c r="C286" s="291" t="str">
        <f t="shared" si="132"/>
        <v>NonQM NOO</v>
      </c>
      <c r="D286" s="292" t="s">
        <v>3885</v>
      </c>
      <c r="E286" s="292" t="s">
        <v>167</v>
      </c>
      <c r="F286" s="292" t="s">
        <v>330</v>
      </c>
      <c r="G286" s="292" t="s">
        <v>303</v>
      </c>
      <c r="H286" s="292" t="s">
        <v>136</v>
      </c>
      <c r="I286" s="292" t="s">
        <v>16</v>
      </c>
      <c r="J286" s="292" t="s">
        <v>1311</v>
      </c>
      <c r="K286" s="292" t="s">
        <v>1631</v>
      </c>
      <c r="L286" s="324" t="s">
        <v>312</v>
      </c>
      <c r="M286" s="292" t="s">
        <v>4203</v>
      </c>
      <c r="N286" s="292" t="s">
        <v>2685</v>
      </c>
      <c r="O286" s="292" t="s">
        <v>310</v>
      </c>
      <c r="P286" s="292" t="s">
        <v>291</v>
      </c>
      <c r="Q286" s="292" t="s">
        <v>294</v>
      </c>
      <c r="R286" s="324">
        <v>100000</v>
      </c>
      <c r="S286" s="292">
        <v>1000000</v>
      </c>
      <c r="T286" s="292">
        <v>0</v>
      </c>
      <c r="U286" s="292">
        <f t="shared" si="133"/>
        <v>1000000</v>
      </c>
      <c r="V286" s="292">
        <v>0</v>
      </c>
      <c r="W286" s="292">
        <v>50</v>
      </c>
      <c r="X286" s="292">
        <v>0</v>
      </c>
      <c r="Y286" s="292">
        <v>999</v>
      </c>
      <c r="Z286" s="293">
        <v>620</v>
      </c>
      <c r="AA286" s="293">
        <v>639</v>
      </c>
      <c r="AB286" s="293">
        <v>3</v>
      </c>
      <c r="AC286" s="293">
        <v>999999</v>
      </c>
      <c r="AD286" s="292">
        <v>0</v>
      </c>
      <c r="AE286" s="294">
        <v>-999</v>
      </c>
      <c r="AF286" s="170">
        <v>0</v>
      </c>
      <c r="AG286" s="171">
        <v>1</v>
      </c>
      <c r="AH286" s="171">
        <v>1</v>
      </c>
      <c r="AI286" s="171">
        <v>0</v>
      </c>
      <c r="AJ286" s="171">
        <v>1</v>
      </c>
      <c r="AK286" s="171">
        <v>1</v>
      </c>
      <c r="AL286" s="171">
        <v>1</v>
      </c>
      <c r="AM286" s="171">
        <v>1</v>
      </c>
      <c r="AN286" s="171">
        <v>1</v>
      </c>
      <c r="AO286" s="171">
        <v>1</v>
      </c>
      <c r="AP286" s="171">
        <v>1</v>
      </c>
      <c r="AQ286" s="171">
        <v>1</v>
      </c>
      <c r="AR286" s="171">
        <v>1</v>
      </c>
      <c r="AS286" s="171">
        <v>1</v>
      </c>
      <c r="AT286" s="171">
        <v>1</v>
      </c>
      <c r="AU286" s="171">
        <f t="shared" si="58"/>
        <v>1</v>
      </c>
      <c r="AV286" s="171">
        <f t="shared" si="59"/>
        <v>1</v>
      </c>
      <c r="AW286" s="171">
        <f t="shared" si="60"/>
        <v>1</v>
      </c>
      <c r="AX286" s="171">
        <f t="shared" si="100"/>
        <v>1</v>
      </c>
      <c r="AY286" s="171">
        <f t="shared" si="61"/>
        <v>0</v>
      </c>
      <c r="AZ286" s="171">
        <f t="shared" si="62"/>
        <v>1</v>
      </c>
      <c r="BA286" s="172">
        <f t="shared" si="63"/>
        <v>0</v>
      </c>
      <c r="BB286" s="175">
        <f t="shared" si="72"/>
        <v>18</v>
      </c>
      <c r="BC286" s="176">
        <f t="shared" si="73"/>
        <v>18</v>
      </c>
      <c r="BD286" s="176">
        <f t="shared" si="74"/>
        <v>18</v>
      </c>
      <c r="BE286" s="240" t="str">
        <f t="shared" si="124"/>
        <v/>
      </c>
      <c r="BH286" s="214">
        <f>IF(AND(Input_Product=Elig!$C286,Elig_MatchAll_Ct&lt;22,$BC286=(Elig_MatchAll_Ct-1),AF286=0),C286,0)</f>
        <v>0</v>
      </c>
      <c r="BI286" s="214">
        <f>IF(AND(Input_Product=Elig!$C286,Elig_MatchAll_Ct&lt;22,$BC286=(Elig_MatchAll_Ct-1),AG286=0),D286,0)</f>
        <v>0</v>
      </c>
      <c r="BJ286" s="214">
        <f>IF(AND(Input_Product=Elig!$C286,Elig_MatchAll_Ct&lt;22,$BC286=(Elig_MatchAll_Ct-1),AH286=0),E286,0)</f>
        <v>0</v>
      </c>
      <c r="BK286" s="214">
        <f>IF(AND(Input_Product=Elig!$C286,Elig_MatchAll_Ct&lt;22,$BC286=(Elig_MatchAll_Ct-1),AI286=0),F286,0)</f>
        <v>0</v>
      </c>
      <c r="BL286" s="214">
        <f>IF(AND(Input_Product=Elig!$C286,Elig_MatchAll_Ct&lt;22,$BC286=(Elig_MatchAll_Ct-1),AJ286=0),G286,0)</f>
        <v>0</v>
      </c>
      <c r="BM286" s="214">
        <f>IF(AND(Input_Product=Elig!$C286,Elig_MatchAll_Ct&lt;22,$BC286=(Elig_MatchAll_Ct-1),AK286=0),H286,0)</f>
        <v>0</v>
      </c>
      <c r="BN286" s="214">
        <f>IF(AND(Input_Product=Elig!$C286,Elig_MatchAll_Ct&lt;22,$BC286=(Elig_MatchAll_Ct-1),AL286=0),I286,0)</f>
        <v>0</v>
      </c>
      <c r="BO286" s="214">
        <f>IF(AND(Input_Product=Elig!$C286,Elig_MatchAll_Ct&lt;22,$BC286=(Elig_MatchAll_Ct-1),AM286=0),J286,0)</f>
        <v>0</v>
      </c>
      <c r="BP286" s="214">
        <f>IF(AND(Input_Product=Elig!$C286,Elig_MatchAll_Ct&lt;22,$BC286=(Elig_MatchAll_Ct-1),AN286=0),K286,0)</f>
        <v>0</v>
      </c>
      <c r="BQ286" s="214">
        <f>IF(AND(Input_Product=Elig!$C286,Elig_MatchAll_Ct&lt;22,$BC286=(Elig_MatchAll_Ct-1),AP286=0),L286,0)</f>
        <v>0</v>
      </c>
      <c r="BR286" s="214">
        <f>IF(AND(Input_Product=Elig!$C286,Elig_MatchAll_Ct&lt;22,$BC286=(Elig_MatchAll_Ct-1),AO286=0),M286,0)</f>
        <v>0</v>
      </c>
      <c r="BS286" s="214">
        <f>IF(AND(Input_Product=Elig!$C286,Elig_MatchAll_Ct&lt;22,$BC286=(Elig_MatchAll_Ct-1),AQ286=0),N286,0)</f>
        <v>0</v>
      </c>
      <c r="BT286" s="214">
        <f>IF(AND(Input_Product=Elig!$C286,Elig_MatchAll_Ct&lt;22,$BC286=(Elig_MatchAll_Ct-1),AR286=0),O286,0)</f>
        <v>0</v>
      </c>
      <c r="BU286" s="214">
        <f>IF(AND(Input_Product=Elig!$C286,Elig_MatchAll_Ct&lt;22,$BC286=(Elig_MatchAll_Ct-1),AS286=0),P286,0)</f>
        <v>0</v>
      </c>
      <c r="BV286" s="215">
        <f>IF(AND(Input_Product=Elig!$C286,Elig_MatchAll_Ct&lt;22,$BC286=(Elig_MatchAll_Ct-1),AT286=0),Q286,0)</f>
        <v>0</v>
      </c>
      <c r="BW286" s="207">
        <f>IF(AND(Input_Product=Elig!$C286,Elig_MatchAll_Ct&lt;22,$BC286=(Elig_MatchAll_Ct-1),AU286=0),R286,0)</f>
        <v>0</v>
      </c>
      <c r="BX286" s="208">
        <f>IF(AND(Input_Product=Elig!$C286,Elig_MatchAll_Ct&lt;22,$BC286=(Elig_MatchAll_Ct-1),AU286=0),S286,0)</f>
        <v>0</v>
      </c>
      <c r="BY286" s="207">
        <f>IF(AND(Input_Product=Elig!$C286,Elig_MatchAll_Ct&lt;22,$BC286=(Elig_MatchAll_Ct-1),AV286=0),T286,0)</f>
        <v>0</v>
      </c>
      <c r="BZ286" s="208">
        <f>IF(AND(Input_Product=Elig!$C286,Elig_MatchAll_Ct&lt;22,$BC286=(Elig_MatchAll_Ct-1),AV286=0),U286,0)</f>
        <v>0</v>
      </c>
      <c r="CA286" s="207">
        <f>IF(AND(Input_Product=Elig!$C286,Elig_MatchAll_Ct&lt;22,$BC286=(Elig_MatchAll_Ct-1),AW286=0),V286,0)</f>
        <v>0</v>
      </c>
      <c r="CB286" s="208">
        <f>IF(AND(Input_Product=Elig!$C286,Elig_MatchAll_Ct&lt;22,$BC286=(Elig_MatchAll_Ct-1),AW286=0),W286,0)</f>
        <v>0</v>
      </c>
      <c r="CC286" s="207">
        <f>IF(AND(Input_Product=Elig!$C286,Elig_MatchAll_Ct&lt;22,$BC286=(Elig_MatchAll_Ct-1),AX286=0),X286,0)</f>
        <v>0</v>
      </c>
      <c r="CD286" s="208">
        <f>IF(AND(Input_Product=Elig!$C286,Elig_MatchAll_Ct&lt;22,$BC286=(Elig_MatchAll_Ct-1),AX286=0),Y286,0)</f>
        <v>0</v>
      </c>
      <c r="CE286" s="207">
        <f>IF(AND(Input_LTV&lt;=AE286,Input_Product=Elig!$C286,Elig_MatchAll_Ct&lt;22,$BC286=(Elig_MatchAll_Ct-1),AY286=0),Z286,0)</f>
        <v>0</v>
      </c>
      <c r="CF286" s="208">
        <f>IF(AND(Input_LTV&lt;=AE286,Input_Product=Elig!$C286,Elig_MatchAll_Ct&lt;22,$BC286=(Elig_MatchAll_Ct-1),AY286=0),AA286,0)</f>
        <v>0</v>
      </c>
      <c r="CG286" s="207">
        <f>IF(AND(Input_Product=Elig!$C286,Elig_MatchAll_Ct&lt;22,$BC286=(Elig_MatchAll_Ct-1),AZ286=0),AB286,0)</f>
        <v>0</v>
      </c>
      <c r="CH286" s="208">
        <f>IF(AND(Input_Product=Elig!$C286,Elig_MatchAll_Ct&lt;22,$BC286=(Elig_MatchAll_Ct-1),AZ286=0),AC286,0)</f>
        <v>0</v>
      </c>
      <c r="CI286" s="207">
        <f>IF(AND(Input_Product=Elig!$C286,Elig_MatchAll_Ct&lt;22,$BC286=(Elig_MatchAll_Ct-1),BA286=0),AD286,0)</f>
        <v>0</v>
      </c>
      <c r="CJ286" s="209">
        <f>IF(AND(Input_Product=Elig!$C286,Elig_MatchAll_Ct&lt;22,$BC286=(Elig_MatchAll_Ct-1),BA286=0),AE286,0)</f>
        <v>0</v>
      </c>
    </row>
    <row r="287" spans="2:88" ht="10.15" customHeight="1" x14ac:dyDescent="0.25">
      <c r="B287" s="287" t="s">
        <v>983</v>
      </c>
      <c r="C287" s="281" t="str">
        <f t="shared" si="132"/>
        <v>NonQM NOO</v>
      </c>
      <c r="D287" s="282" t="s">
        <v>3885</v>
      </c>
      <c r="E287" s="283" t="s">
        <v>167</v>
      </c>
      <c r="F287" s="283" t="s">
        <v>330</v>
      </c>
      <c r="G287" s="2103" t="s">
        <v>304</v>
      </c>
      <c r="H287" s="283" t="s">
        <v>446</v>
      </c>
      <c r="I287" s="282" t="s">
        <v>274</v>
      </c>
      <c r="J287" s="282" t="s">
        <v>1311</v>
      </c>
      <c r="K287" s="282" t="s">
        <v>1631</v>
      </c>
      <c r="L287" s="2103" t="s">
        <v>312</v>
      </c>
      <c r="M287" s="283" t="s">
        <v>4203</v>
      </c>
      <c r="N287" s="283" t="s">
        <v>2685</v>
      </c>
      <c r="O287" s="283" t="s">
        <v>310</v>
      </c>
      <c r="P287" s="283" t="s">
        <v>291</v>
      </c>
      <c r="Q287" s="283" t="s">
        <v>294</v>
      </c>
      <c r="R287" s="323">
        <v>100000</v>
      </c>
      <c r="S287" s="282">
        <v>1000000</v>
      </c>
      <c r="T287" s="282">
        <v>0</v>
      </c>
      <c r="U287" s="282">
        <v>0</v>
      </c>
      <c r="V287" s="282">
        <v>0</v>
      </c>
      <c r="W287" s="282">
        <v>55</v>
      </c>
      <c r="X287" s="282">
        <v>0</v>
      </c>
      <c r="Y287" s="282">
        <v>999</v>
      </c>
      <c r="Z287" s="284">
        <v>720</v>
      </c>
      <c r="AA287" s="284">
        <v>999</v>
      </c>
      <c r="AB287" s="284">
        <v>3</v>
      </c>
      <c r="AC287" s="284">
        <v>999999</v>
      </c>
      <c r="AD287" s="282">
        <v>0</v>
      </c>
      <c r="AE287" s="2104">
        <v>85</v>
      </c>
      <c r="AF287" s="170">
        <v>0</v>
      </c>
      <c r="AG287" s="171">
        <v>1</v>
      </c>
      <c r="AH287" s="171">
        <v>1</v>
      </c>
      <c r="AI287" s="171">
        <v>0</v>
      </c>
      <c r="AJ287" s="171">
        <v>0</v>
      </c>
      <c r="AK287" s="171">
        <v>0</v>
      </c>
      <c r="AL287" s="171">
        <v>0</v>
      </c>
      <c r="AM287" s="171">
        <v>1</v>
      </c>
      <c r="AN287" s="171">
        <v>1</v>
      </c>
      <c r="AO287" s="171">
        <v>1</v>
      </c>
      <c r="AP287" s="171">
        <v>1</v>
      </c>
      <c r="AQ287" s="171">
        <v>1</v>
      </c>
      <c r="AR287" s="171">
        <v>1</v>
      </c>
      <c r="AS287" s="171">
        <v>1</v>
      </c>
      <c r="AT287" s="171">
        <v>1</v>
      </c>
      <c r="AU287" s="171">
        <f t="shared" si="58"/>
        <v>1</v>
      </c>
      <c r="AV287" s="171">
        <f t="shared" si="59"/>
        <v>0</v>
      </c>
      <c r="AW287" s="171">
        <f t="shared" si="60"/>
        <v>1</v>
      </c>
      <c r="AX287" s="171">
        <f t="shared" si="100"/>
        <v>1</v>
      </c>
      <c r="AY287" s="171">
        <f t="shared" si="61"/>
        <v>1</v>
      </c>
      <c r="AZ287" s="171">
        <f t="shared" si="62"/>
        <v>1</v>
      </c>
      <c r="BA287" s="172">
        <f t="shared" si="63"/>
        <v>1</v>
      </c>
      <c r="BB287" s="175">
        <f t="shared" si="72"/>
        <v>16</v>
      </c>
      <c r="BC287" s="176">
        <f t="shared" si="73"/>
        <v>15</v>
      </c>
      <c r="BD287" s="176">
        <f t="shared" si="74"/>
        <v>16</v>
      </c>
      <c r="BE287" s="240" t="str">
        <f t="shared" si="124"/>
        <v/>
      </c>
      <c r="BH287" s="216">
        <f>IF(AND(Input_Product=Elig!$C287,Elig_MatchAll_Ct&lt;22,$BC287=(Elig_MatchAll_Ct-1),AF287=0),C287,0)</f>
        <v>0</v>
      </c>
      <c r="BI287" s="216">
        <f>IF(AND(Input_Product=Elig!$C287,Elig_MatchAll_Ct&lt;22,$BC287=(Elig_MatchAll_Ct-1),AG287=0),D287,0)</f>
        <v>0</v>
      </c>
      <c r="BJ287" s="216">
        <f>IF(AND(Input_Product=Elig!$C287,Elig_MatchAll_Ct&lt;22,$BC287=(Elig_MatchAll_Ct-1),AH287=0),E287,0)</f>
        <v>0</v>
      </c>
      <c r="BK287" s="216">
        <f>IF(AND(Input_Product=Elig!$C287,Elig_MatchAll_Ct&lt;22,$BC287=(Elig_MatchAll_Ct-1),AI287=0),F287,0)</f>
        <v>0</v>
      </c>
      <c r="BL287" s="216">
        <f>IF(AND(Input_Product=Elig!$C287,Elig_MatchAll_Ct&lt;22,$BC287=(Elig_MatchAll_Ct-1),AJ287=0),G287,0)</f>
        <v>0</v>
      </c>
      <c r="BM287" s="216">
        <f>IF(AND(Input_Product=Elig!$C287,Elig_MatchAll_Ct&lt;22,$BC287=(Elig_MatchAll_Ct-1),AK287=0),H287,0)</f>
        <v>0</v>
      </c>
      <c r="BN287" s="216">
        <f>IF(AND(Input_Product=Elig!$C287,Elig_MatchAll_Ct&lt;22,$BC287=(Elig_MatchAll_Ct-1),AL287=0),I287,0)</f>
        <v>0</v>
      </c>
      <c r="BO287" s="216">
        <f>IF(AND(Input_Product=Elig!$C287,Elig_MatchAll_Ct&lt;22,$BC287=(Elig_MatchAll_Ct-1),AM287=0),J287,0)</f>
        <v>0</v>
      </c>
      <c r="BP287" s="216">
        <f>IF(AND(Input_Product=Elig!$C287,Elig_MatchAll_Ct&lt;22,$BC287=(Elig_MatchAll_Ct-1),AN287=0),K287,0)</f>
        <v>0</v>
      </c>
      <c r="BQ287" s="216">
        <f>IF(AND(Input_Product=Elig!$C287,Elig_MatchAll_Ct&lt;22,$BC287=(Elig_MatchAll_Ct-1),AP287=0),L287,0)</f>
        <v>0</v>
      </c>
      <c r="BR287" s="216">
        <f>IF(AND(Input_Product=Elig!$C287,Elig_MatchAll_Ct&lt;22,$BC287=(Elig_MatchAll_Ct-1),AO287=0),M287,0)</f>
        <v>0</v>
      </c>
      <c r="BS287" s="216">
        <f>IF(AND(Input_Product=Elig!$C287,Elig_MatchAll_Ct&lt;22,$BC287=(Elig_MatchAll_Ct-1),AQ287=0),N287,0)</f>
        <v>0</v>
      </c>
      <c r="BT287" s="216">
        <f>IF(AND(Input_Product=Elig!$C287,Elig_MatchAll_Ct&lt;22,$BC287=(Elig_MatchAll_Ct-1),AR287=0),O287,0)</f>
        <v>0</v>
      </c>
      <c r="BU287" s="216">
        <f>IF(AND(Input_Product=Elig!$C287,Elig_MatchAll_Ct&lt;22,$BC287=(Elig_MatchAll_Ct-1),AS287=0),P287,0)</f>
        <v>0</v>
      </c>
      <c r="BV287" s="217">
        <f>IF(AND(Input_Product=Elig!$C287,Elig_MatchAll_Ct&lt;22,$BC287=(Elig_MatchAll_Ct-1),AT287=0),Q287,0)</f>
        <v>0</v>
      </c>
      <c r="BW287" s="212">
        <f>IF(AND(Input_Product=Elig!$C287,Elig_MatchAll_Ct&lt;22,$BC287=(Elig_MatchAll_Ct-1),AU287=0),R287,0)</f>
        <v>0</v>
      </c>
      <c r="BX287" s="213">
        <f>IF(AND(Input_Product=Elig!$C287,Elig_MatchAll_Ct&lt;22,$BC287=(Elig_MatchAll_Ct-1),AU287=0),S287,0)</f>
        <v>0</v>
      </c>
      <c r="BY287" s="212">
        <f>IF(AND(Input_Product=Elig!$C287,Elig_MatchAll_Ct&lt;22,$BC287=(Elig_MatchAll_Ct-1),AV287=0),T287,0)</f>
        <v>0</v>
      </c>
      <c r="BZ287" s="213">
        <f>IF(AND(Input_Product=Elig!$C287,Elig_MatchAll_Ct&lt;22,$BC287=(Elig_MatchAll_Ct-1),AV287=0),U287,0)</f>
        <v>0</v>
      </c>
      <c r="CA287" s="212">
        <f>IF(AND(Input_Product=Elig!$C287,Elig_MatchAll_Ct&lt;22,$BC287=(Elig_MatchAll_Ct-1),AW287=0),V287,0)</f>
        <v>0</v>
      </c>
      <c r="CB287" s="213">
        <f>IF(AND(Input_Product=Elig!$C287,Elig_MatchAll_Ct&lt;22,$BC287=(Elig_MatchAll_Ct-1),AW287=0),W287,0)</f>
        <v>0</v>
      </c>
      <c r="CC287" s="212">
        <f>IF(AND(Input_Product=Elig!$C287,Elig_MatchAll_Ct&lt;22,$BC287=(Elig_MatchAll_Ct-1),AX287=0),X287,0)</f>
        <v>0</v>
      </c>
      <c r="CD287" s="213">
        <f>IF(AND(Input_Product=Elig!$C287,Elig_MatchAll_Ct&lt;22,$BC287=(Elig_MatchAll_Ct-1),AX287=0),Y287,0)</f>
        <v>0</v>
      </c>
      <c r="CE287" s="212">
        <f>IF(AND(Input_LTV&lt;=AE287,Input_Product=Elig!$C287,Elig_MatchAll_Ct&lt;22,$BC287=(Elig_MatchAll_Ct-1),AY287=0),Z287,0)</f>
        <v>0</v>
      </c>
      <c r="CF287" s="213">
        <f>IF(AND(Input_LTV&lt;=AE287,Input_Product=Elig!$C287,Elig_MatchAll_Ct&lt;22,$BC287=(Elig_MatchAll_Ct-1),AY287=0),AA287,0)</f>
        <v>0</v>
      </c>
      <c r="CG287" s="212">
        <f>IF(AND(Input_Product=Elig!$C287,Elig_MatchAll_Ct&lt;22,$BC287=(Elig_MatchAll_Ct-1),AZ287=0),AB287,0)</f>
        <v>0</v>
      </c>
      <c r="CH287" s="213">
        <f>IF(AND(Input_Product=Elig!$C287,Elig_MatchAll_Ct&lt;22,$BC287=(Elig_MatchAll_Ct-1),AZ287=0),AC287,0)</f>
        <v>0</v>
      </c>
      <c r="CI287" s="212">
        <f>IF(AND(Input_Product=Elig!$C287,Elig_MatchAll_Ct&lt;22,$BC287=(Elig_MatchAll_Ct-1),BA287=0),AD287,0)</f>
        <v>0</v>
      </c>
      <c r="CJ287" s="213">
        <f>IF(AND(Input_Product=Elig!$C287,Elig_MatchAll_Ct&lt;22,$BC287=(Elig_MatchAll_Ct-1),BA287=0),AE287,0)</f>
        <v>0</v>
      </c>
    </row>
    <row r="288" spans="2:88" ht="10.15" customHeight="1" x14ac:dyDescent="0.25">
      <c r="B288" s="287" t="s">
        <v>984</v>
      </c>
      <c r="C288" s="286" t="str">
        <f t="shared" si="132"/>
        <v>NonQM NOO</v>
      </c>
      <c r="D288" s="287" t="s">
        <v>3885</v>
      </c>
      <c r="E288" s="287" t="s">
        <v>167</v>
      </c>
      <c r="F288" s="287" t="s">
        <v>330</v>
      </c>
      <c r="G288" s="300" t="s">
        <v>304</v>
      </c>
      <c r="H288" s="287" t="s">
        <v>446</v>
      </c>
      <c r="I288" s="288" t="s">
        <v>274</v>
      </c>
      <c r="J288" s="288" t="s">
        <v>1311</v>
      </c>
      <c r="K288" s="288" t="s">
        <v>1631</v>
      </c>
      <c r="L288" s="300" t="s">
        <v>312</v>
      </c>
      <c r="M288" s="287" t="s">
        <v>4203</v>
      </c>
      <c r="N288" s="287" t="s">
        <v>2685</v>
      </c>
      <c r="O288" s="287" t="s">
        <v>310</v>
      </c>
      <c r="P288" s="287" t="s">
        <v>291</v>
      </c>
      <c r="Q288" s="287" t="s">
        <v>294</v>
      </c>
      <c r="R288" s="300">
        <v>100000</v>
      </c>
      <c r="S288" s="287">
        <v>1000000</v>
      </c>
      <c r="T288" s="287">
        <v>0</v>
      </c>
      <c r="U288" s="287">
        <v>0</v>
      </c>
      <c r="V288" s="287">
        <v>0</v>
      </c>
      <c r="W288" s="287">
        <v>55</v>
      </c>
      <c r="X288" s="287">
        <v>0</v>
      </c>
      <c r="Y288" s="287">
        <v>999</v>
      </c>
      <c r="Z288" s="289">
        <v>700</v>
      </c>
      <c r="AA288" s="289">
        <v>719</v>
      </c>
      <c r="AB288" s="289">
        <v>3</v>
      </c>
      <c r="AC288" s="289">
        <v>999999</v>
      </c>
      <c r="AD288" s="287">
        <v>0</v>
      </c>
      <c r="AE288" s="2105">
        <v>85</v>
      </c>
      <c r="AF288" s="170">
        <v>0</v>
      </c>
      <c r="AG288" s="171">
        <v>1</v>
      </c>
      <c r="AH288" s="171">
        <v>1</v>
      </c>
      <c r="AI288" s="171">
        <v>0</v>
      </c>
      <c r="AJ288" s="171">
        <v>0</v>
      </c>
      <c r="AK288" s="171">
        <v>0</v>
      </c>
      <c r="AL288" s="171">
        <v>0</v>
      </c>
      <c r="AM288" s="171">
        <v>1</v>
      </c>
      <c r="AN288" s="171">
        <v>1</v>
      </c>
      <c r="AO288" s="171">
        <v>1</v>
      </c>
      <c r="AP288" s="171">
        <v>1</v>
      </c>
      <c r="AQ288" s="171">
        <v>1</v>
      </c>
      <c r="AR288" s="171">
        <v>1</v>
      </c>
      <c r="AS288" s="171">
        <v>1</v>
      </c>
      <c r="AT288" s="171">
        <v>1</v>
      </c>
      <c r="AU288" s="171">
        <f t="shared" si="58"/>
        <v>1</v>
      </c>
      <c r="AV288" s="171">
        <f t="shared" si="59"/>
        <v>0</v>
      </c>
      <c r="AW288" s="171">
        <f t="shared" si="60"/>
        <v>1</v>
      </c>
      <c r="AX288" s="171">
        <f t="shared" si="100"/>
        <v>1</v>
      </c>
      <c r="AY288" s="171">
        <f t="shared" si="61"/>
        <v>0</v>
      </c>
      <c r="AZ288" s="171">
        <f t="shared" si="62"/>
        <v>1</v>
      </c>
      <c r="BA288" s="172">
        <f t="shared" si="63"/>
        <v>1</v>
      </c>
      <c r="BB288" s="175">
        <f t="shared" si="72"/>
        <v>15</v>
      </c>
      <c r="BC288" s="176">
        <f t="shared" si="73"/>
        <v>14</v>
      </c>
      <c r="BD288" s="176">
        <f t="shared" si="74"/>
        <v>15</v>
      </c>
      <c r="BE288" s="240" t="str">
        <f t="shared" si="124"/>
        <v/>
      </c>
      <c r="BH288" s="199">
        <f>IF(AND(Input_Product=Elig!$C288,Elig_MatchAll_Ct&lt;22,$BC288=(Elig_MatchAll_Ct-1),AF288=0),C288,0)</f>
        <v>0</v>
      </c>
      <c r="BI288" s="199">
        <f>IF(AND(Input_Product=Elig!$C288,Elig_MatchAll_Ct&lt;22,$BC288=(Elig_MatchAll_Ct-1),AG288=0),D288,0)</f>
        <v>0</v>
      </c>
      <c r="BJ288" s="199">
        <f>IF(AND(Input_Product=Elig!$C288,Elig_MatchAll_Ct&lt;22,$BC288=(Elig_MatchAll_Ct-1),AH288=0),E288,0)</f>
        <v>0</v>
      </c>
      <c r="BK288" s="199">
        <f>IF(AND(Input_Product=Elig!$C288,Elig_MatchAll_Ct&lt;22,$BC288=(Elig_MatchAll_Ct-1),AI288=0),F288,0)</f>
        <v>0</v>
      </c>
      <c r="BL288" s="199">
        <f>IF(AND(Input_Product=Elig!$C288,Elig_MatchAll_Ct&lt;22,$BC288=(Elig_MatchAll_Ct-1),AJ288=0),G288,0)</f>
        <v>0</v>
      </c>
      <c r="BM288" s="199">
        <f>IF(AND(Input_Product=Elig!$C288,Elig_MatchAll_Ct&lt;22,$BC288=(Elig_MatchAll_Ct-1),AK288=0),H288,0)</f>
        <v>0</v>
      </c>
      <c r="BN288" s="199">
        <f>IF(AND(Input_Product=Elig!$C288,Elig_MatchAll_Ct&lt;22,$BC288=(Elig_MatchAll_Ct-1),AL288=0),I288,0)</f>
        <v>0</v>
      </c>
      <c r="BO288" s="199">
        <f>IF(AND(Input_Product=Elig!$C288,Elig_MatchAll_Ct&lt;22,$BC288=(Elig_MatchAll_Ct-1),AM288=0),J288,0)</f>
        <v>0</v>
      </c>
      <c r="BP288" s="199">
        <f>IF(AND(Input_Product=Elig!$C288,Elig_MatchAll_Ct&lt;22,$BC288=(Elig_MatchAll_Ct-1),AN288=0),K288,0)</f>
        <v>0</v>
      </c>
      <c r="BQ288" s="199">
        <f>IF(AND(Input_Product=Elig!$C288,Elig_MatchAll_Ct&lt;22,$BC288=(Elig_MatchAll_Ct-1),AP288=0),L288,0)</f>
        <v>0</v>
      </c>
      <c r="BR288" s="199">
        <f>IF(AND(Input_Product=Elig!$C288,Elig_MatchAll_Ct&lt;22,$BC288=(Elig_MatchAll_Ct-1),AO288=0),M288,0)</f>
        <v>0</v>
      </c>
      <c r="BS288" s="199">
        <f>IF(AND(Input_Product=Elig!$C288,Elig_MatchAll_Ct&lt;22,$BC288=(Elig_MatchAll_Ct-1),AQ288=0),N288,0)</f>
        <v>0</v>
      </c>
      <c r="BT288" s="199">
        <f>IF(AND(Input_Product=Elig!$C288,Elig_MatchAll_Ct&lt;22,$BC288=(Elig_MatchAll_Ct-1),AR288=0),O288,0)</f>
        <v>0</v>
      </c>
      <c r="BU288" s="199">
        <f>IF(AND(Input_Product=Elig!$C288,Elig_MatchAll_Ct&lt;22,$BC288=(Elig_MatchAll_Ct-1),AS288=0),P288,0)</f>
        <v>0</v>
      </c>
      <c r="BV288" s="200">
        <f>IF(AND(Input_Product=Elig!$C288,Elig_MatchAll_Ct&lt;22,$BC288=(Elig_MatchAll_Ct-1),AT288=0),Q288,0)</f>
        <v>0</v>
      </c>
      <c r="BW288" s="201">
        <f>IF(AND(Input_Product=Elig!$C288,Elig_MatchAll_Ct&lt;22,$BC288=(Elig_MatchAll_Ct-1),AU288=0),R288,0)</f>
        <v>0</v>
      </c>
      <c r="BX288" s="202">
        <f>IF(AND(Input_Product=Elig!$C288,Elig_MatchAll_Ct&lt;22,$BC288=(Elig_MatchAll_Ct-1),AU288=0),S288,0)</f>
        <v>0</v>
      </c>
      <c r="BY288" s="201">
        <f>IF(AND(Input_Product=Elig!$C288,Elig_MatchAll_Ct&lt;22,$BC288=(Elig_MatchAll_Ct-1),AV288=0),T288,0)</f>
        <v>0</v>
      </c>
      <c r="BZ288" s="202">
        <f>IF(AND(Input_Product=Elig!$C288,Elig_MatchAll_Ct&lt;22,$BC288=(Elig_MatchAll_Ct-1),AV288=0),U288,0)</f>
        <v>0</v>
      </c>
      <c r="CA288" s="201">
        <f>IF(AND(Input_Product=Elig!$C288,Elig_MatchAll_Ct&lt;22,$BC288=(Elig_MatchAll_Ct-1),AW288=0),V288,0)</f>
        <v>0</v>
      </c>
      <c r="CB288" s="202">
        <f>IF(AND(Input_Product=Elig!$C288,Elig_MatchAll_Ct&lt;22,$BC288=(Elig_MatchAll_Ct-1),AW288=0),W288,0)</f>
        <v>0</v>
      </c>
      <c r="CC288" s="201">
        <f>IF(AND(Input_Product=Elig!$C288,Elig_MatchAll_Ct&lt;22,$BC288=(Elig_MatchAll_Ct-1),AX288=0),X288,0)</f>
        <v>0</v>
      </c>
      <c r="CD288" s="202">
        <f>IF(AND(Input_Product=Elig!$C288,Elig_MatchAll_Ct&lt;22,$BC288=(Elig_MatchAll_Ct-1),AX288=0),Y288,0)</f>
        <v>0</v>
      </c>
      <c r="CE288" s="201">
        <f>IF(AND(Input_LTV&lt;=AE288,Input_Product=Elig!$C288,Elig_MatchAll_Ct&lt;22,$BC288=(Elig_MatchAll_Ct-1),AY288=0),Z288,0)</f>
        <v>0</v>
      </c>
      <c r="CF288" s="202">
        <f>IF(AND(Input_LTV&lt;=AE288,Input_Product=Elig!$C288,Elig_MatchAll_Ct&lt;22,$BC288=(Elig_MatchAll_Ct-1),AY288=0),AA288,0)</f>
        <v>0</v>
      </c>
      <c r="CG288" s="201">
        <f>IF(AND(Input_Product=Elig!$C288,Elig_MatchAll_Ct&lt;22,$BC288=(Elig_MatchAll_Ct-1),AZ288=0),AB288,0)</f>
        <v>0</v>
      </c>
      <c r="CH288" s="202">
        <f>IF(AND(Input_Product=Elig!$C288,Elig_MatchAll_Ct&lt;22,$BC288=(Elig_MatchAll_Ct-1),AZ288=0),AC288,0)</f>
        <v>0</v>
      </c>
      <c r="CI288" s="201">
        <f>IF(AND(Input_Product=Elig!$C288,Elig_MatchAll_Ct&lt;22,$BC288=(Elig_MatchAll_Ct-1),BA288=0),AD288,0)</f>
        <v>0</v>
      </c>
      <c r="CJ288" s="202">
        <f>IF(AND(Input_Product=Elig!$C288,Elig_MatchAll_Ct&lt;22,$BC288=(Elig_MatchAll_Ct-1),BA288=0),AE288,0)</f>
        <v>0</v>
      </c>
    </row>
    <row r="289" spans="2:88" ht="10.15" customHeight="1" x14ac:dyDescent="0.25">
      <c r="B289" s="287" t="s">
        <v>985</v>
      </c>
      <c r="C289" s="286" t="str">
        <f t="shared" si="132"/>
        <v>NonQM NOO</v>
      </c>
      <c r="D289" s="287" t="s">
        <v>3885</v>
      </c>
      <c r="E289" s="287" t="s">
        <v>167</v>
      </c>
      <c r="F289" s="287" t="s">
        <v>330</v>
      </c>
      <c r="G289" s="300" t="s">
        <v>304</v>
      </c>
      <c r="H289" s="287" t="s">
        <v>446</v>
      </c>
      <c r="I289" s="288" t="s">
        <v>274</v>
      </c>
      <c r="J289" s="288" t="s">
        <v>1311</v>
      </c>
      <c r="K289" s="288" t="s">
        <v>1631</v>
      </c>
      <c r="L289" s="300" t="s">
        <v>312</v>
      </c>
      <c r="M289" s="287" t="s">
        <v>4203</v>
      </c>
      <c r="N289" s="287" t="s">
        <v>2685</v>
      </c>
      <c r="O289" s="287" t="s">
        <v>310</v>
      </c>
      <c r="P289" s="287" t="s">
        <v>291</v>
      </c>
      <c r="Q289" s="287" t="s">
        <v>294</v>
      </c>
      <c r="R289" s="300">
        <v>100000</v>
      </c>
      <c r="S289" s="287">
        <v>1000000</v>
      </c>
      <c r="T289" s="287">
        <v>0</v>
      </c>
      <c r="U289" s="287">
        <v>0</v>
      </c>
      <c r="V289" s="287">
        <v>0</v>
      </c>
      <c r="W289" s="287">
        <v>55</v>
      </c>
      <c r="X289" s="287">
        <v>0</v>
      </c>
      <c r="Y289" s="287">
        <v>999</v>
      </c>
      <c r="Z289" s="289">
        <v>680</v>
      </c>
      <c r="AA289" s="289">
        <v>699</v>
      </c>
      <c r="AB289" s="289">
        <v>3</v>
      </c>
      <c r="AC289" s="289">
        <v>999999</v>
      </c>
      <c r="AD289" s="287">
        <v>0</v>
      </c>
      <c r="AE289" s="2105">
        <v>80</v>
      </c>
      <c r="AF289" s="170">
        <v>0</v>
      </c>
      <c r="AG289" s="171">
        <v>1</v>
      </c>
      <c r="AH289" s="171">
        <v>1</v>
      </c>
      <c r="AI289" s="171">
        <v>0</v>
      </c>
      <c r="AJ289" s="171">
        <v>0</v>
      </c>
      <c r="AK289" s="171">
        <v>0</v>
      </c>
      <c r="AL289" s="171">
        <v>0</v>
      </c>
      <c r="AM289" s="171">
        <v>1</v>
      </c>
      <c r="AN289" s="171">
        <v>1</v>
      </c>
      <c r="AO289" s="171">
        <v>1</v>
      </c>
      <c r="AP289" s="171">
        <v>1</v>
      </c>
      <c r="AQ289" s="171">
        <v>1</v>
      </c>
      <c r="AR289" s="171">
        <v>1</v>
      </c>
      <c r="AS289" s="171">
        <v>1</v>
      </c>
      <c r="AT289" s="171">
        <v>1</v>
      </c>
      <c r="AU289" s="171">
        <f t="shared" si="58"/>
        <v>1</v>
      </c>
      <c r="AV289" s="171">
        <f t="shared" si="59"/>
        <v>0</v>
      </c>
      <c r="AW289" s="171">
        <f t="shared" si="60"/>
        <v>1</v>
      </c>
      <c r="AX289" s="171">
        <f t="shared" si="100"/>
        <v>1</v>
      </c>
      <c r="AY289" s="171">
        <f t="shared" si="61"/>
        <v>0</v>
      </c>
      <c r="AZ289" s="171">
        <f t="shared" si="62"/>
        <v>1</v>
      </c>
      <c r="BA289" s="172">
        <f t="shared" si="63"/>
        <v>1</v>
      </c>
      <c r="BB289" s="175">
        <f t="shared" si="72"/>
        <v>15</v>
      </c>
      <c r="BC289" s="176">
        <f t="shared" si="73"/>
        <v>14</v>
      </c>
      <c r="BD289" s="176">
        <f t="shared" si="74"/>
        <v>15</v>
      </c>
      <c r="BE289" s="240" t="str">
        <f t="shared" si="124"/>
        <v/>
      </c>
      <c r="BH289" s="199">
        <f>IF(AND(Input_Product=Elig!$C289,Elig_MatchAll_Ct&lt;22,$BC289=(Elig_MatchAll_Ct-1),AF289=0),C289,0)</f>
        <v>0</v>
      </c>
      <c r="BI289" s="199">
        <f>IF(AND(Input_Product=Elig!$C289,Elig_MatchAll_Ct&lt;22,$BC289=(Elig_MatchAll_Ct-1),AG289=0),D289,0)</f>
        <v>0</v>
      </c>
      <c r="BJ289" s="199">
        <f>IF(AND(Input_Product=Elig!$C289,Elig_MatchAll_Ct&lt;22,$BC289=(Elig_MatchAll_Ct-1),AH289=0),E289,0)</f>
        <v>0</v>
      </c>
      <c r="BK289" s="199">
        <f>IF(AND(Input_Product=Elig!$C289,Elig_MatchAll_Ct&lt;22,$BC289=(Elig_MatchAll_Ct-1),AI289=0),F289,0)</f>
        <v>0</v>
      </c>
      <c r="BL289" s="199">
        <f>IF(AND(Input_Product=Elig!$C289,Elig_MatchAll_Ct&lt;22,$BC289=(Elig_MatchAll_Ct-1),AJ289=0),G289,0)</f>
        <v>0</v>
      </c>
      <c r="BM289" s="199">
        <f>IF(AND(Input_Product=Elig!$C289,Elig_MatchAll_Ct&lt;22,$BC289=(Elig_MatchAll_Ct-1),AK289=0),H289,0)</f>
        <v>0</v>
      </c>
      <c r="BN289" s="199">
        <f>IF(AND(Input_Product=Elig!$C289,Elig_MatchAll_Ct&lt;22,$BC289=(Elig_MatchAll_Ct-1),AL289=0),I289,0)</f>
        <v>0</v>
      </c>
      <c r="BO289" s="199">
        <f>IF(AND(Input_Product=Elig!$C289,Elig_MatchAll_Ct&lt;22,$BC289=(Elig_MatchAll_Ct-1),AM289=0),J289,0)</f>
        <v>0</v>
      </c>
      <c r="BP289" s="199">
        <f>IF(AND(Input_Product=Elig!$C289,Elig_MatchAll_Ct&lt;22,$BC289=(Elig_MatchAll_Ct-1),AN289=0),K289,0)</f>
        <v>0</v>
      </c>
      <c r="BQ289" s="199">
        <f>IF(AND(Input_Product=Elig!$C289,Elig_MatchAll_Ct&lt;22,$BC289=(Elig_MatchAll_Ct-1),AP289=0),L289,0)</f>
        <v>0</v>
      </c>
      <c r="BR289" s="199">
        <f>IF(AND(Input_Product=Elig!$C289,Elig_MatchAll_Ct&lt;22,$BC289=(Elig_MatchAll_Ct-1),AO289=0),M289,0)</f>
        <v>0</v>
      </c>
      <c r="BS289" s="199">
        <f>IF(AND(Input_Product=Elig!$C289,Elig_MatchAll_Ct&lt;22,$BC289=(Elig_MatchAll_Ct-1),AQ289=0),N289,0)</f>
        <v>0</v>
      </c>
      <c r="BT289" s="199">
        <f>IF(AND(Input_Product=Elig!$C289,Elig_MatchAll_Ct&lt;22,$BC289=(Elig_MatchAll_Ct-1),AR289=0),O289,0)</f>
        <v>0</v>
      </c>
      <c r="BU289" s="199">
        <f>IF(AND(Input_Product=Elig!$C289,Elig_MatchAll_Ct&lt;22,$BC289=(Elig_MatchAll_Ct-1),AS289=0),P289,0)</f>
        <v>0</v>
      </c>
      <c r="BV289" s="200">
        <f>IF(AND(Input_Product=Elig!$C289,Elig_MatchAll_Ct&lt;22,$BC289=(Elig_MatchAll_Ct-1),AT289=0),Q289,0)</f>
        <v>0</v>
      </c>
      <c r="BW289" s="201">
        <f>IF(AND(Input_Product=Elig!$C289,Elig_MatchAll_Ct&lt;22,$BC289=(Elig_MatchAll_Ct-1),AU289=0),R289,0)</f>
        <v>0</v>
      </c>
      <c r="BX289" s="202">
        <f>IF(AND(Input_Product=Elig!$C289,Elig_MatchAll_Ct&lt;22,$BC289=(Elig_MatchAll_Ct-1),AU289=0),S289,0)</f>
        <v>0</v>
      </c>
      <c r="BY289" s="201">
        <f>IF(AND(Input_Product=Elig!$C289,Elig_MatchAll_Ct&lt;22,$BC289=(Elig_MatchAll_Ct-1),AV289=0),T289,0)</f>
        <v>0</v>
      </c>
      <c r="BZ289" s="202">
        <f>IF(AND(Input_Product=Elig!$C289,Elig_MatchAll_Ct&lt;22,$BC289=(Elig_MatchAll_Ct-1),AV289=0),U289,0)</f>
        <v>0</v>
      </c>
      <c r="CA289" s="201">
        <f>IF(AND(Input_Product=Elig!$C289,Elig_MatchAll_Ct&lt;22,$BC289=(Elig_MatchAll_Ct-1),AW289=0),V289,0)</f>
        <v>0</v>
      </c>
      <c r="CB289" s="202">
        <f>IF(AND(Input_Product=Elig!$C289,Elig_MatchAll_Ct&lt;22,$BC289=(Elig_MatchAll_Ct-1),AW289=0),W289,0)</f>
        <v>0</v>
      </c>
      <c r="CC289" s="201">
        <f>IF(AND(Input_Product=Elig!$C289,Elig_MatchAll_Ct&lt;22,$BC289=(Elig_MatchAll_Ct-1),AX289=0),X289,0)</f>
        <v>0</v>
      </c>
      <c r="CD289" s="202">
        <f>IF(AND(Input_Product=Elig!$C289,Elig_MatchAll_Ct&lt;22,$BC289=(Elig_MatchAll_Ct-1),AX289=0),Y289,0)</f>
        <v>0</v>
      </c>
      <c r="CE289" s="201">
        <f>IF(AND(Input_LTV&lt;=AE289,Input_Product=Elig!$C289,Elig_MatchAll_Ct&lt;22,$BC289=(Elig_MatchAll_Ct-1),AY289=0),Z289,0)</f>
        <v>0</v>
      </c>
      <c r="CF289" s="202">
        <f>IF(AND(Input_LTV&lt;=AE289,Input_Product=Elig!$C289,Elig_MatchAll_Ct&lt;22,$BC289=(Elig_MatchAll_Ct-1),AY289=0),AA289,0)</f>
        <v>0</v>
      </c>
      <c r="CG289" s="201">
        <f>IF(AND(Input_Product=Elig!$C289,Elig_MatchAll_Ct&lt;22,$BC289=(Elig_MatchAll_Ct-1),AZ289=0),AB289,0)</f>
        <v>0</v>
      </c>
      <c r="CH289" s="202">
        <f>IF(AND(Input_Product=Elig!$C289,Elig_MatchAll_Ct&lt;22,$BC289=(Elig_MatchAll_Ct-1),AZ289=0),AC289,0)</f>
        <v>0</v>
      </c>
      <c r="CI289" s="201">
        <f>IF(AND(Input_Product=Elig!$C289,Elig_MatchAll_Ct&lt;22,$BC289=(Elig_MatchAll_Ct-1),BA289=0),AD289,0)</f>
        <v>0</v>
      </c>
      <c r="CJ289" s="202">
        <f>IF(AND(Input_Product=Elig!$C289,Elig_MatchAll_Ct&lt;22,$BC289=(Elig_MatchAll_Ct-1),BA289=0),AE289,0)</f>
        <v>0</v>
      </c>
    </row>
    <row r="290" spans="2:88" ht="10.15" customHeight="1" x14ac:dyDescent="0.25">
      <c r="B290" s="287" t="s">
        <v>986</v>
      </c>
      <c r="C290" s="286" t="str">
        <f t="shared" si="132"/>
        <v>NonQM NOO</v>
      </c>
      <c r="D290" s="287" t="s">
        <v>3885</v>
      </c>
      <c r="E290" s="287" t="s">
        <v>167</v>
      </c>
      <c r="F290" s="287" t="s">
        <v>330</v>
      </c>
      <c r="G290" s="300" t="s">
        <v>304</v>
      </c>
      <c r="H290" s="287" t="s">
        <v>446</v>
      </c>
      <c r="I290" s="287" t="s">
        <v>274</v>
      </c>
      <c r="J290" s="287" t="s">
        <v>1311</v>
      </c>
      <c r="K290" s="287" t="s">
        <v>1631</v>
      </c>
      <c r="L290" s="300" t="s">
        <v>312</v>
      </c>
      <c r="M290" s="287" t="s">
        <v>4203</v>
      </c>
      <c r="N290" s="287" t="s">
        <v>2685</v>
      </c>
      <c r="O290" s="287" t="s">
        <v>310</v>
      </c>
      <c r="P290" s="287" t="s">
        <v>291</v>
      </c>
      <c r="Q290" s="287" t="s">
        <v>294</v>
      </c>
      <c r="R290" s="300">
        <v>100000</v>
      </c>
      <c r="S290" s="287">
        <v>1000000</v>
      </c>
      <c r="T290" s="287">
        <v>0</v>
      </c>
      <c r="U290" s="287">
        <v>0</v>
      </c>
      <c r="V290" s="287">
        <v>0</v>
      </c>
      <c r="W290" s="287">
        <v>50</v>
      </c>
      <c r="X290" s="287">
        <v>0</v>
      </c>
      <c r="Y290" s="287">
        <v>999</v>
      </c>
      <c r="Z290" s="289">
        <v>660</v>
      </c>
      <c r="AA290" s="289">
        <v>679</v>
      </c>
      <c r="AB290" s="289">
        <v>3</v>
      </c>
      <c r="AC290" s="289">
        <v>999999</v>
      </c>
      <c r="AD290" s="287">
        <v>0</v>
      </c>
      <c r="AE290" s="2105">
        <v>80</v>
      </c>
      <c r="AF290" s="170">
        <v>0</v>
      </c>
      <c r="AG290" s="171">
        <v>1</v>
      </c>
      <c r="AH290" s="171">
        <v>1</v>
      </c>
      <c r="AI290" s="171">
        <v>0</v>
      </c>
      <c r="AJ290" s="171">
        <v>0</v>
      </c>
      <c r="AK290" s="171">
        <v>0</v>
      </c>
      <c r="AL290" s="171">
        <v>0</v>
      </c>
      <c r="AM290" s="171">
        <v>1</v>
      </c>
      <c r="AN290" s="171">
        <v>1</v>
      </c>
      <c r="AO290" s="171">
        <v>1</v>
      </c>
      <c r="AP290" s="171">
        <v>1</v>
      </c>
      <c r="AQ290" s="171">
        <v>1</v>
      </c>
      <c r="AR290" s="171">
        <v>1</v>
      </c>
      <c r="AS290" s="171">
        <v>1</v>
      </c>
      <c r="AT290" s="171">
        <v>1</v>
      </c>
      <c r="AU290" s="171">
        <f t="shared" si="58"/>
        <v>1</v>
      </c>
      <c r="AV290" s="171">
        <f t="shared" si="59"/>
        <v>0</v>
      </c>
      <c r="AW290" s="171">
        <f t="shared" si="60"/>
        <v>1</v>
      </c>
      <c r="AX290" s="171">
        <f t="shared" si="100"/>
        <v>1</v>
      </c>
      <c r="AY290" s="171">
        <f t="shared" si="61"/>
        <v>0</v>
      </c>
      <c r="AZ290" s="171">
        <f t="shared" si="62"/>
        <v>1</v>
      </c>
      <c r="BA290" s="172">
        <f t="shared" si="63"/>
        <v>1</v>
      </c>
      <c r="BB290" s="175">
        <f t="shared" si="72"/>
        <v>15</v>
      </c>
      <c r="BC290" s="176">
        <f t="shared" si="73"/>
        <v>14</v>
      </c>
      <c r="BD290" s="176">
        <f t="shared" si="74"/>
        <v>15</v>
      </c>
      <c r="BE290" s="240" t="str">
        <f t="shared" si="124"/>
        <v/>
      </c>
      <c r="BH290" s="199">
        <f>IF(AND(Input_Product=Elig!$C290,Elig_MatchAll_Ct&lt;22,$BC290=(Elig_MatchAll_Ct-1),AF290=0),C290,0)</f>
        <v>0</v>
      </c>
      <c r="BI290" s="199">
        <f>IF(AND(Input_Product=Elig!$C290,Elig_MatchAll_Ct&lt;22,$BC290=(Elig_MatchAll_Ct-1),AG290=0),D290,0)</f>
        <v>0</v>
      </c>
      <c r="BJ290" s="199">
        <f>IF(AND(Input_Product=Elig!$C290,Elig_MatchAll_Ct&lt;22,$BC290=(Elig_MatchAll_Ct-1),AH290=0),E290,0)</f>
        <v>0</v>
      </c>
      <c r="BK290" s="199">
        <f>IF(AND(Input_Product=Elig!$C290,Elig_MatchAll_Ct&lt;22,$BC290=(Elig_MatchAll_Ct-1),AI290=0),F290,0)</f>
        <v>0</v>
      </c>
      <c r="BL290" s="199">
        <f>IF(AND(Input_Product=Elig!$C290,Elig_MatchAll_Ct&lt;22,$BC290=(Elig_MatchAll_Ct-1),AJ290=0),G290,0)</f>
        <v>0</v>
      </c>
      <c r="BM290" s="199">
        <f>IF(AND(Input_Product=Elig!$C290,Elig_MatchAll_Ct&lt;22,$BC290=(Elig_MatchAll_Ct-1),AK290=0),H290,0)</f>
        <v>0</v>
      </c>
      <c r="BN290" s="199">
        <f>IF(AND(Input_Product=Elig!$C290,Elig_MatchAll_Ct&lt;22,$BC290=(Elig_MatchAll_Ct-1),AL290=0),I290,0)</f>
        <v>0</v>
      </c>
      <c r="BO290" s="199">
        <f>IF(AND(Input_Product=Elig!$C290,Elig_MatchAll_Ct&lt;22,$BC290=(Elig_MatchAll_Ct-1),AM290=0),J290,0)</f>
        <v>0</v>
      </c>
      <c r="BP290" s="199">
        <f>IF(AND(Input_Product=Elig!$C290,Elig_MatchAll_Ct&lt;22,$BC290=(Elig_MatchAll_Ct-1),AN290=0),K290,0)</f>
        <v>0</v>
      </c>
      <c r="BQ290" s="199">
        <f>IF(AND(Input_Product=Elig!$C290,Elig_MatchAll_Ct&lt;22,$BC290=(Elig_MatchAll_Ct-1),AP290=0),L290,0)</f>
        <v>0</v>
      </c>
      <c r="BR290" s="199">
        <f>IF(AND(Input_Product=Elig!$C290,Elig_MatchAll_Ct&lt;22,$BC290=(Elig_MatchAll_Ct-1),AO290=0),M290,0)</f>
        <v>0</v>
      </c>
      <c r="BS290" s="199">
        <f>IF(AND(Input_Product=Elig!$C290,Elig_MatchAll_Ct&lt;22,$BC290=(Elig_MatchAll_Ct-1),AQ290=0),N290,0)</f>
        <v>0</v>
      </c>
      <c r="BT290" s="199">
        <f>IF(AND(Input_Product=Elig!$C290,Elig_MatchAll_Ct&lt;22,$BC290=(Elig_MatchAll_Ct-1),AR290=0),O290,0)</f>
        <v>0</v>
      </c>
      <c r="BU290" s="199">
        <f>IF(AND(Input_Product=Elig!$C290,Elig_MatchAll_Ct&lt;22,$BC290=(Elig_MatchAll_Ct-1),AS290=0),P290,0)</f>
        <v>0</v>
      </c>
      <c r="BV290" s="200">
        <f>IF(AND(Input_Product=Elig!$C290,Elig_MatchAll_Ct&lt;22,$BC290=(Elig_MatchAll_Ct-1),AT290=0),Q290,0)</f>
        <v>0</v>
      </c>
      <c r="BW290" s="201">
        <f>IF(AND(Input_Product=Elig!$C290,Elig_MatchAll_Ct&lt;22,$BC290=(Elig_MatchAll_Ct-1),AU290=0),R290,0)</f>
        <v>0</v>
      </c>
      <c r="BX290" s="202">
        <f>IF(AND(Input_Product=Elig!$C290,Elig_MatchAll_Ct&lt;22,$BC290=(Elig_MatchAll_Ct-1),AU290=0),S290,0)</f>
        <v>0</v>
      </c>
      <c r="BY290" s="201">
        <f>IF(AND(Input_Product=Elig!$C290,Elig_MatchAll_Ct&lt;22,$BC290=(Elig_MatchAll_Ct-1),AV290=0),T290,0)</f>
        <v>0</v>
      </c>
      <c r="BZ290" s="202">
        <f>IF(AND(Input_Product=Elig!$C290,Elig_MatchAll_Ct&lt;22,$BC290=(Elig_MatchAll_Ct-1),AV290=0),U290,0)</f>
        <v>0</v>
      </c>
      <c r="CA290" s="201">
        <f>IF(AND(Input_Product=Elig!$C290,Elig_MatchAll_Ct&lt;22,$BC290=(Elig_MatchAll_Ct-1),AW290=0),V290,0)</f>
        <v>0</v>
      </c>
      <c r="CB290" s="202">
        <f>IF(AND(Input_Product=Elig!$C290,Elig_MatchAll_Ct&lt;22,$BC290=(Elig_MatchAll_Ct-1),AW290=0),W290,0)</f>
        <v>0</v>
      </c>
      <c r="CC290" s="201">
        <f>IF(AND(Input_Product=Elig!$C290,Elig_MatchAll_Ct&lt;22,$BC290=(Elig_MatchAll_Ct-1),AX290=0),X290,0)</f>
        <v>0</v>
      </c>
      <c r="CD290" s="202">
        <f>IF(AND(Input_Product=Elig!$C290,Elig_MatchAll_Ct&lt;22,$BC290=(Elig_MatchAll_Ct-1),AX290=0),Y290,0)</f>
        <v>0</v>
      </c>
      <c r="CE290" s="201">
        <f>IF(AND(Input_LTV&lt;=AE290,Input_Product=Elig!$C290,Elig_MatchAll_Ct&lt;22,$BC290=(Elig_MatchAll_Ct-1),AY290=0),Z290,0)</f>
        <v>0</v>
      </c>
      <c r="CF290" s="202">
        <f>IF(AND(Input_LTV&lt;=AE290,Input_Product=Elig!$C290,Elig_MatchAll_Ct&lt;22,$BC290=(Elig_MatchAll_Ct-1),AY290=0),AA290,0)</f>
        <v>0</v>
      </c>
      <c r="CG290" s="201">
        <f>IF(AND(Input_Product=Elig!$C290,Elig_MatchAll_Ct&lt;22,$BC290=(Elig_MatchAll_Ct-1),AZ290=0),AB290,0)</f>
        <v>0</v>
      </c>
      <c r="CH290" s="202">
        <f>IF(AND(Input_Product=Elig!$C290,Elig_MatchAll_Ct&lt;22,$BC290=(Elig_MatchAll_Ct-1),AZ290=0),AC290,0)</f>
        <v>0</v>
      </c>
      <c r="CI290" s="201">
        <f>IF(AND(Input_Product=Elig!$C290,Elig_MatchAll_Ct&lt;22,$BC290=(Elig_MatchAll_Ct-1),BA290=0),AD290,0)</f>
        <v>0</v>
      </c>
      <c r="CJ290" s="202">
        <f>IF(AND(Input_Product=Elig!$C290,Elig_MatchAll_Ct&lt;22,$BC290=(Elig_MatchAll_Ct-1),BA290=0),AE290,0)</f>
        <v>0</v>
      </c>
    </row>
    <row r="291" spans="2:88" ht="10.15" customHeight="1" x14ac:dyDescent="0.25">
      <c r="B291" s="287" t="s">
        <v>987</v>
      </c>
      <c r="C291" s="286" t="str">
        <f t="shared" si="132"/>
        <v>NonQM NOO</v>
      </c>
      <c r="D291" s="287" t="s">
        <v>3885</v>
      </c>
      <c r="E291" s="287" t="s">
        <v>167</v>
      </c>
      <c r="F291" s="287" t="s">
        <v>330</v>
      </c>
      <c r="G291" s="300" t="s">
        <v>304</v>
      </c>
      <c r="H291" s="287" t="s">
        <v>446</v>
      </c>
      <c r="I291" s="287" t="s">
        <v>274</v>
      </c>
      <c r="J291" s="287" t="s">
        <v>1311</v>
      </c>
      <c r="K291" s="287" t="s">
        <v>1631</v>
      </c>
      <c r="L291" s="300" t="s">
        <v>312</v>
      </c>
      <c r="M291" s="287" t="s">
        <v>4203</v>
      </c>
      <c r="N291" s="287" t="s">
        <v>2685</v>
      </c>
      <c r="O291" s="287" t="s">
        <v>310</v>
      </c>
      <c r="P291" s="287" t="s">
        <v>291</v>
      </c>
      <c r="Q291" s="287" t="s">
        <v>294</v>
      </c>
      <c r="R291" s="300">
        <v>100000</v>
      </c>
      <c r="S291" s="287">
        <v>1000000</v>
      </c>
      <c r="T291" s="287">
        <v>0</v>
      </c>
      <c r="U291" s="287">
        <v>0</v>
      </c>
      <c r="V291" s="287">
        <v>0</v>
      </c>
      <c r="W291" s="287">
        <v>50</v>
      </c>
      <c r="X291" s="287">
        <v>0</v>
      </c>
      <c r="Y291" s="287">
        <v>999</v>
      </c>
      <c r="Z291" s="289">
        <v>640</v>
      </c>
      <c r="AA291" s="289">
        <v>659</v>
      </c>
      <c r="AB291" s="289">
        <v>3</v>
      </c>
      <c r="AC291" s="289">
        <v>999999</v>
      </c>
      <c r="AD291" s="287">
        <v>0</v>
      </c>
      <c r="AE291" s="290">
        <v>-999</v>
      </c>
      <c r="AF291" s="170">
        <v>0</v>
      </c>
      <c r="AG291" s="171">
        <v>1</v>
      </c>
      <c r="AH291" s="171">
        <v>1</v>
      </c>
      <c r="AI291" s="171">
        <v>0</v>
      </c>
      <c r="AJ291" s="171">
        <v>0</v>
      </c>
      <c r="AK291" s="171">
        <v>0</v>
      </c>
      <c r="AL291" s="171">
        <v>0</v>
      </c>
      <c r="AM291" s="171">
        <v>1</v>
      </c>
      <c r="AN291" s="171">
        <v>1</v>
      </c>
      <c r="AO291" s="171">
        <v>1</v>
      </c>
      <c r="AP291" s="171">
        <v>1</v>
      </c>
      <c r="AQ291" s="171">
        <v>1</v>
      </c>
      <c r="AR291" s="171">
        <v>1</v>
      </c>
      <c r="AS291" s="171">
        <v>1</v>
      </c>
      <c r="AT291" s="171">
        <v>1</v>
      </c>
      <c r="AU291" s="171">
        <f t="shared" si="58"/>
        <v>1</v>
      </c>
      <c r="AV291" s="171">
        <f t="shared" si="59"/>
        <v>0</v>
      </c>
      <c r="AW291" s="171">
        <f t="shared" si="60"/>
        <v>1</v>
      </c>
      <c r="AX291" s="171">
        <f t="shared" si="100"/>
        <v>1</v>
      </c>
      <c r="AY291" s="171">
        <f t="shared" si="61"/>
        <v>0</v>
      </c>
      <c r="AZ291" s="171">
        <f t="shared" si="62"/>
        <v>1</v>
      </c>
      <c r="BA291" s="172">
        <f t="shared" si="63"/>
        <v>0</v>
      </c>
      <c r="BB291" s="175">
        <f t="shared" si="72"/>
        <v>14</v>
      </c>
      <c r="BC291" s="176">
        <f t="shared" si="73"/>
        <v>14</v>
      </c>
      <c r="BD291" s="176">
        <f t="shared" si="74"/>
        <v>14</v>
      </c>
      <c r="BE291" s="240" t="str">
        <f t="shared" si="124"/>
        <v/>
      </c>
      <c r="BH291" s="199">
        <f>IF(AND(Input_Product=Elig!$C291,Elig_MatchAll_Ct&lt;22,$BC291=(Elig_MatchAll_Ct-1),AF291=0),C291,0)</f>
        <v>0</v>
      </c>
      <c r="BI291" s="199">
        <f>IF(AND(Input_Product=Elig!$C291,Elig_MatchAll_Ct&lt;22,$BC291=(Elig_MatchAll_Ct-1),AG291=0),D291,0)</f>
        <v>0</v>
      </c>
      <c r="BJ291" s="199">
        <f>IF(AND(Input_Product=Elig!$C291,Elig_MatchAll_Ct&lt;22,$BC291=(Elig_MatchAll_Ct-1),AH291=0),E291,0)</f>
        <v>0</v>
      </c>
      <c r="BK291" s="199">
        <f>IF(AND(Input_Product=Elig!$C291,Elig_MatchAll_Ct&lt;22,$BC291=(Elig_MatchAll_Ct-1),AI291=0),F291,0)</f>
        <v>0</v>
      </c>
      <c r="BL291" s="199">
        <f>IF(AND(Input_Product=Elig!$C291,Elig_MatchAll_Ct&lt;22,$BC291=(Elig_MatchAll_Ct-1),AJ291=0),G291,0)</f>
        <v>0</v>
      </c>
      <c r="BM291" s="199">
        <f>IF(AND(Input_Product=Elig!$C291,Elig_MatchAll_Ct&lt;22,$BC291=(Elig_MatchAll_Ct-1),AK291=0),H291,0)</f>
        <v>0</v>
      </c>
      <c r="BN291" s="199">
        <f>IF(AND(Input_Product=Elig!$C291,Elig_MatchAll_Ct&lt;22,$BC291=(Elig_MatchAll_Ct-1),AL291=0),I291,0)</f>
        <v>0</v>
      </c>
      <c r="BO291" s="199">
        <f>IF(AND(Input_Product=Elig!$C291,Elig_MatchAll_Ct&lt;22,$BC291=(Elig_MatchAll_Ct-1),AM291=0),J291,0)</f>
        <v>0</v>
      </c>
      <c r="BP291" s="199">
        <f>IF(AND(Input_Product=Elig!$C291,Elig_MatchAll_Ct&lt;22,$BC291=(Elig_MatchAll_Ct-1),AN291=0),K291,0)</f>
        <v>0</v>
      </c>
      <c r="BQ291" s="199">
        <f>IF(AND(Input_Product=Elig!$C291,Elig_MatchAll_Ct&lt;22,$BC291=(Elig_MatchAll_Ct-1),AP291=0),L291,0)</f>
        <v>0</v>
      </c>
      <c r="BR291" s="199">
        <f>IF(AND(Input_Product=Elig!$C291,Elig_MatchAll_Ct&lt;22,$BC291=(Elig_MatchAll_Ct-1),AO291=0),M291,0)</f>
        <v>0</v>
      </c>
      <c r="BS291" s="199">
        <f>IF(AND(Input_Product=Elig!$C291,Elig_MatchAll_Ct&lt;22,$BC291=(Elig_MatchAll_Ct-1),AQ291=0),N291,0)</f>
        <v>0</v>
      </c>
      <c r="BT291" s="199">
        <f>IF(AND(Input_Product=Elig!$C291,Elig_MatchAll_Ct&lt;22,$BC291=(Elig_MatchAll_Ct-1),AR291=0),O291,0)</f>
        <v>0</v>
      </c>
      <c r="BU291" s="199">
        <f>IF(AND(Input_Product=Elig!$C291,Elig_MatchAll_Ct&lt;22,$BC291=(Elig_MatchAll_Ct-1),AS291=0),P291,0)</f>
        <v>0</v>
      </c>
      <c r="BV291" s="200">
        <f>IF(AND(Input_Product=Elig!$C291,Elig_MatchAll_Ct&lt;22,$BC291=(Elig_MatchAll_Ct-1),AT291=0),Q291,0)</f>
        <v>0</v>
      </c>
      <c r="BW291" s="201">
        <f>IF(AND(Input_Product=Elig!$C291,Elig_MatchAll_Ct&lt;22,$BC291=(Elig_MatchAll_Ct-1),AU291=0),R291,0)</f>
        <v>0</v>
      </c>
      <c r="BX291" s="202">
        <f>IF(AND(Input_Product=Elig!$C291,Elig_MatchAll_Ct&lt;22,$BC291=(Elig_MatchAll_Ct-1),AU291=0),S291,0)</f>
        <v>0</v>
      </c>
      <c r="BY291" s="201">
        <f>IF(AND(Input_Product=Elig!$C291,Elig_MatchAll_Ct&lt;22,$BC291=(Elig_MatchAll_Ct-1),AV291=0),T291,0)</f>
        <v>0</v>
      </c>
      <c r="BZ291" s="202">
        <f>IF(AND(Input_Product=Elig!$C291,Elig_MatchAll_Ct&lt;22,$BC291=(Elig_MatchAll_Ct-1),AV291=0),U291,0)</f>
        <v>0</v>
      </c>
      <c r="CA291" s="201">
        <f>IF(AND(Input_Product=Elig!$C291,Elig_MatchAll_Ct&lt;22,$BC291=(Elig_MatchAll_Ct-1),AW291=0),V291,0)</f>
        <v>0</v>
      </c>
      <c r="CB291" s="202">
        <f>IF(AND(Input_Product=Elig!$C291,Elig_MatchAll_Ct&lt;22,$BC291=(Elig_MatchAll_Ct-1),AW291=0),W291,0)</f>
        <v>0</v>
      </c>
      <c r="CC291" s="201">
        <f>IF(AND(Input_Product=Elig!$C291,Elig_MatchAll_Ct&lt;22,$BC291=(Elig_MatchAll_Ct-1),AX291=0),X291,0)</f>
        <v>0</v>
      </c>
      <c r="CD291" s="202">
        <f>IF(AND(Input_Product=Elig!$C291,Elig_MatchAll_Ct&lt;22,$BC291=(Elig_MatchAll_Ct-1),AX291=0),Y291,0)</f>
        <v>0</v>
      </c>
      <c r="CE291" s="201">
        <f>IF(AND(Input_LTV&lt;=AE291,Input_Product=Elig!$C291,Elig_MatchAll_Ct&lt;22,$BC291=(Elig_MatchAll_Ct-1),AY291=0),Z291,0)</f>
        <v>0</v>
      </c>
      <c r="CF291" s="202">
        <f>IF(AND(Input_LTV&lt;=AE291,Input_Product=Elig!$C291,Elig_MatchAll_Ct&lt;22,$BC291=(Elig_MatchAll_Ct-1),AY291=0),AA291,0)</f>
        <v>0</v>
      </c>
      <c r="CG291" s="201">
        <f>IF(AND(Input_Product=Elig!$C291,Elig_MatchAll_Ct&lt;22,$BC291=(Elig_MatchAll_Ct-1),AZ291=0),AB291,0)</f>
        <v>0</v>
      </c>
      <c r="CH291" s="202">
        <f>IF(AND(Input_Product=Elig!$C291,Elig_MatchAll_Ct&lt;22,$BC291=(Elig_MatchAll_Ct-1),AZ291=0),AC291,0)</f>
        <v>0</v>
      </c>
      <c r="CI291" s="201">
        <f>IF(AND(Input_Product=Elig!$C291,Elig_MatchAll_Ct&lt;22,$BC291=(Elig_MatchAll_Ct-1),BA291=0),AD291,0)</f>
        <v>0</v>
      </c>
      <c r="CJ291" s="202">
        <f>IF(AND(Input_Product=Elig!$C291,Elig_MatchAll_Ct&lt;22,$BC291=(Elig_MatchAll_Ct-1),BA291=0),AE291,0)</f>
        <v>0</v>
      </c>
    </row>
    <row r="292" spans="2:88" ht="10.15" customHeight="1" x14ac:dyDescent="0.25">
      <c r="B292" s="287" t="s">
        <v>988</v>
      </c>
      <c r="C292" s="291" t="str">
        <f t="shared" si="132"/>
        <v>NonQM NOO</v>
      </c>
      <c r="D292" s="292" t="s">
        <v>3885</v>
      </c>
      <c r="E292" s="292" t="s">
        <v>167</v>
      </c>
      <c r="F292" s="292" t="s">
        <v>330</v>
      </c>
      <c r="G292" s="324" t="s">
        <v>304</v>
      </c>
      <c r="H292" s="292" t="s">
        <v>446</v>
      </c>
      <c r="I292" s="292" t="s">
        <v>274</v>
      </c>
      <c r="J292" s="292" t="s">
        <v>1311</v>
      </c>
      <c r="K292" s="292" t="s">
        <v>1631</v>
      </c>
      <c r="L292" s="324" t="s">
        <v>312</v>
      </c>
      <c r="M292" s="292" t="s">
        <v>4203</v>
      </c>
      <c r="N292" s="292" t="s">
        <v>2685</v>
      </c>
      <c r="O292" s="292" t="s">
        <v>310</v>
      </c>
      <c r="P292" s="292" t="s">
        <v>291</v>
      </c>
      <c r="Q292" s="292" t="s">
        <v>294</v>
      </c>
      <c r="R292" s="324">
        <v>100000</v>
      </c>
      <c r="S292" s="292">
        <v>1000000</v>
      </c>
      <c r="T292" s="292">
        <v>0</v>
      </c>
      <c r="U292" s="292">
        <v>0</v>
      </c>
      <c r="V292" s="292">
        <v>0</v>
      </c>
      <c r="W292" s="292">
        <v>50</v>
      </c>
      <c r="X292" s="292">
        <v>0</v>
      </c>
      <c r="Y292" s="292">
        <v>999</v>
      </c>
      <c r="Z292" s="293">
        <v>620</v>
      </c>
      <c r="AA292" s="293">
        <v>639</v>
      </c>
      <c r="AB292" s="293">
        <v>3</v>
      </c>
      <c r="AC292" s="293">
        <v>999999</v>
      </c>
      <c r="AD292" s="292">
        <v>0</v>
      </c>
      <c r="AE292" s="294">
        <v>-999</v>
      </c>
      <c r="AF292" s="170">
        <v>0</v>
      </c>
      <c r="AG292" s="171">
        <v>1</v>
      </c>
      <c r="AH292" s="171">
        <v>1</v>
      </c>
      <c r="AI292" s="171">
        <v>0</v>
      </c>
      <c r="AJ292" s="171">
        <v>0</v>
      </c>
      <c r="AK292" s="171">
        <v>0</v>
      </c>
      <c r="AL292" s="171">
        <v>0</v>
      </c>
      <c r="AM292" s="171">
        <v>1</v>
      </c>
      <c r="AN292" s="171">
        <v>1</v>
      </c>
      <c r="AO292" s="171">
        <v>1</v>
      </c>
      <c r="AP292" s="171">
        <v>1</v>
      </c>
      <c r="AQ292" s="171">
        <v>1</v>
      </c>
      <c r="AR292" s="171">
        <v>1</v>
      </c>
      <c r="AS292" s="171">
        <v>1</v>
      </c>
      <c r="AT292" s="171">
        <v>1</v>
      </c>
      <c r="AU292" s="171">
        <f t="shared" si="58"/>
        <v>1</v>
      </c>
      <c r="AV292" s="171">
        <f t="shared" si="59"/>
        <v>0</v>
      </c>
      <c r="AW292" s="171">
        <f t="shared" si="60"/>
        <v>1</v>
      </c>
      <c r="AX292" s="171">
        <f t="shared" si="100"/>
        <v>1</v>
      </c>
      <c r="AY292" s="171">
        <f t="shared" si="61"/>
        <v>0</v>
      </c>
      <c r="AZ292" s="171">
        <f t="shared" si="62"/>
        <v>1</v>
      </c>
      <c r="BA292" s="172">
        <f t="shared" si="63"/>
        <v>0</v>
      </c>
      <c r="BB292" s="175">
        <f t="shared" si="72"/>
        <v>14</v>
      </c>
      <c r="BC292" s="176">
        <f t="shared" si="73"/>
        <v>14</v>
      </c>
      <c r="BD292" s="176">
        <f t="shared" si="74"/>
        <v>14</v>
      </c>
      <c r="BE292" s="240" t="str">
        <f t="shared" si="124"/>
        <v/>
      </c>
      <c r="BH292" s="214">
        <f>IF(AND(Input_Product=Elig!$C292,Elig_MatchAll_Ct&lt;22,$BC292=(Elig_MatchAll_Ct-1),AF292=0),C292,0)</f>
        <v>0</v>
      </c>
      <c r="BI292" s="214">
        <f>IF(AND(Input_Product=Elig!$C292,Elig_MatchAll_Ct&lt;22,$BC292=(Elig_MatchAll_Ct-1),AG292=0),D292,0)</f>
        <v>0</v>
      </c>
      <c r="BJ292" s="214">
        <f>IF(AND(Input_Product=Elig!$C292,Elig_MatchAll_Ct&lt;22,$BC292=(Elig_MatchAll_Ct-1),AH292=0),E292,0)</f>
        <v>0</v>
      </c>
      <c r="BK292" s="214">
        <f>IF(AND(Input_Product=Elig!$C292,Elig_MatchAll_Ct&lt;22,$BC292=(Elig_MatchAll_Ct-1),AI292=0),F292,0)</f>
        <v>0</v>
      </c>
      <c r="BL292" s="214">
        <f>IF(AND(Input_Product=Elig!$C292,Elig_MatchAll_Ct&lt;22,$BC292=(Elig_MatchAll_Ct-1),AJ292=0),G292,0)</f>
        <v>0</v>
      </c>
      <c r="BM292" s="214">
        <f>IF(AND(Input_Product=Elig!$C292,Elig_MatchAll_Ct&lt;22,$BC292=(Elig_MatchAll_Ct-1),AK292=0),H292,0)</f>
        <v>0</v>
      </c>
      <c r="BN292" s="214">
        <f>IF(AND(Input_Product=Elig!$C292,Elig_MatchAll_Ct&lt;22,$BC292=(Elig_MatchAll_Ct-1),AL292=0),I292,0)</f>
        <v>0</v>
      </c>
      <c r="BO292" s="214">
        <f>IF(AND(Input_Product=Elig!$C292,Elig_MatchAll_Ct&lt;22,$BC292=(Elig_MatchAll_Ct-1),AM292=0),J292,0)</f>
        <v>0</v>
      </c>
      <c r="BP292" s="214">
        <f>IF(AND(Input_Product=Elig!$C292,Elig_MatchAll_Ct&lt;22,$BC292=(Elig_MatchAll_Ct-1),AN292=0),K292,0)</f>
        <v>0</v>
      </c>
      <c r="BQ292" s="214">
        <f>IF(AND(Input_Product=Elig!$C292,Elig_MatchAll_Ct&lt;22,$BC292=(Elig_MatchAll_Ct-1),AP292=0),L292,0)</f>
        <v>0</v>
      </c>
      <c r="BR292" s="214">
        <f>IF(AND(Input_Product=Elig!$C292,Elig_MatchAll_Ct&lt;22,$BC292=(Elig_MatchAll_Ct-1),AO292=0),M292,0)</f>
        <v>0</v>
      </c>
      <c r="BS292" s="214">
        <f>IF(AND(Input_Product=Elig!$C292,Elig_MatchAll_Ct&lt;22,$BC292=(Elig_MatchAll_Ct-1),AQ292=0),N292,0)</f>
        <v>0</v>
      </c>
      <c r="BT292" s="214">
        <f>IF(AND(Input_Product=Elig!$C292,Elig_MatchAll_Ct&lt;22,$BC292=(Elig_MatchAll_Ct-1),AR292=0),O292,0)</f>
        <v>0</v>
      </c>
      <c r="BU292" s="214">
        <f>IF(AND(Input_Product=Elig!$C292,Elig_MatchAll_Ct&lt;22,$BC292=(Elig_MatchAll_Ct-1),AS292=0),P292,0)</f>
        <v>0</v>
      </c>
      <c r="BV292" s="215">
        <f>IF(AND(Input_Product=Elig!$C292,Elig_MatchAll_Ct&lt;22,$BC292=(Elig_MatchAll_Ct-1),AT292=0),Q292,0)</f>
        <v>0</v>
      </c>
      <c r="BW292" s="207">
        <f>IF(AND(Input_Product=Elig!$C292,Elig_MatchAll_Ct&lt;22,$BC292=(Elig_MatchAll_Ct-1),AU292=0),R292,0)</f>
        <v>0</v>
      </c>
      <c r="BX292" s="208">
        <f>IF(AND(Input_Product=Elig!$C292,Elig_MatchAll_Ct&lt;22,$BC292=(Elig_MatchAll_Ct-1),AU292=0),S292,0)</f>
        <v>0</v>
      </c>
      <c r="BY292" s="207">
        <f>IF(AND(Input_Product=Elig!$C292,Elig_MatchAll_Ct&lt;22,$BC292=(Elig_MatchAll_Ct-1),AV292=0),T292,0)</f>
        <v>0</v>
      </c>
      <c r="BZ292" s="208">
        <f>IF(AND(Input_Product=Elig!$C292,Elig_MatchAll_Ct&lt;22,$BC292=(Elig_MatchAll_Ct-1),AV292=0),U292,0)</f>
        <v>0</v>
      </c>
      <c r="CA292" s="207">
        <f>IF(AND(Input_Product=Elig!$C292,Elig_MatchAll_Ct&lt;22,$BC292=(Elig_MatchAll_Ct-1),AW292=0),V292,0)</f>
        <v>0</v>
      </c>
      <c r="CB292" s="208">
        <f>IF(AND(Input_Product=Elig!$C292,Elig_MatchAll_Ct&lt;22,$BC292=(Elig_MatchAll_Ct-1),AW292=0),W292,0)</f>
        <v>0</v>
      </c>
      <c r="CC292" s="207">
        <f>IF(AND(Input_Product=Elig!$C292,Elig_MatchAll_Ct&lt;22,$BC292=(Elig_MatchAll_Ct-1),AX292=0),X292,0)</f>
        <v>0</v>
      </c>
      <c r="CD292" s="208">
        <f>IF(AND(Input_Product=Elig!$C292,Elig_MatchAll_Ct&lt;22,$BC292=(Elig_MatchAll_Ct-1),AX292=0),Y292,0)</f>
        <v>0</v>
      </c>
      <c r="CE292" s="207">
        <f>IF(AND(Input_LTV&lt;=AE292,Input_Product=Elig!$C292,Elig_MatchAll_Ct&lt;22,$BC292=(Elig_MatchAll_Ct-1),AY292=0),Z292,0)</f>
        <v>0</v>
      </c>
      <c r="CF292" s="208">
        <f>IF(AND(Input_LTV&lt;=AE292,Input_Product=Elig!$C292,Elig_MatchAll_Ct&lt;22,$BC292=(Elig_MatchAll_Ct-1),AY292=0),AA292,0)</f>
        <v>0</v>
      </c>
      <c r="CG292" s="207">
        <f>IF(AND(Input_Product=Elig!$C292,Elig_MatchAll_Ct&lt;22,$BC292=(Elig_MatchAll_Ct-1),AZ292=0),AB292,0)</f>
        <v>0</v>
      </c>
      <c r="CH292" s="208">
        <f>IF(AND(Input_Product=Elig!$C292,Elig_MatchAll_Ct&lt;22,$BC292=(Elig_MatchAll_Ct-1),AZ292=0),AC292,0)</f>
        <v>0</v>
      </c>
      <c r="CI292" s="207">
        <f>IF(AND(Input_Product=Elig!$C292,Elig_MatchAll_Ct&lt;22,$BC292=(Elig_MatchAll_Ct-1),BA292=0),AD292,0)</f>
        <v>0</v>
      </c>
      <c r="CJ292" s="209">
        <f>IF(AND(Input_Product=Elig!$C292,Elig_MatchAll_Ct&lt;22,$BC292=(Elig_MatchAll_Ct-1),BA292=0),AE292,0)</f>
        <v>0</v>
      </c>
    </row>
    <row r="293" spans="2:88" ht="10.15" customHeight="1" x14ac:dyDescent="0.25">
      <c r="B293" s="287" t="s">
        <v>989</v>
      </c>
      <c r="C293" s="281" t="str">
        <f t="shared" si="132"/>
        <v>NonQM NOO</v>
      </c>
      <c r="D293" s="282" t="s">
        <v>3885</v>
      </c>
      <c r="E293" s="283" t="s">
        <v>167</v>
      </c>
      <c r="F293" s="283" t="s">
        <v>330</v>
      </c>
      <c r="G293" s="2103" t="s">
        <v>304</v>
      </c>
      <c r="H293" s="283" t="s">
        <v>446</v>
      </c>
      <c r="I293" s="282" t="s">
        <v>16</v>
      </c>
      <c r="J293" s="282" t="s">
        <v>1311</v>
      </c>
      <c r="K293" s="282" t="s">
        <v>1631</v>
      </c>
      <c r="L293" s="2103" t="s">
        <v>312</v>
      </c>
      <c r="M293" s="283" t="s">
        <v>4203</v>
      </c>
      <c r="N293" s="283" t="s">
        <v>2685</v>
      </c>
      <c r="O293" s="283" t="s">
        <v>310</v>
      </c>
      <c r="P293" s="283" t="s">
        <v>291</v>
      </c>
      <c r="Q293" s="283" t="s">
        <v>294</v>
      </c>
      <c r="R293" s="323">
        <v>100000</v>
      </c>
      <c r="S293" s="282">
        <v>1000000</v>
      </c>
      <c r="T293" s="282">
        <v>0</v>
      </c>
      <c r="U293" s="282">
        <f t="shared" ref="U293:U298" si="134">S293</f>
        <v>1000000</v>
      </c>
      <c r="V293" s="282">
        <v>0</v>
      </c>
      <c r="W293" s="282">
        <v>55</v>
      </c>
      <c r="X293" s="282">
        <v>0</v>
      </c>
      <c r="Y293" s="282">
        <v>999</v>
      </c>
      <c r="Z293" s="284">
        <v>720</v>
      </c>
      <c r="AA293" s="284">
        <v>999</v>
      </c>
      <c r="AB293" s="284">
        <v>3</v>
      </c>
      <c r="AC293" s="284">
        <v>999999</v>
      </c>
      <c r="AD293" s="282">
        <v>0</v>
      </c>
      <c r="AE293" s="2104">
        <v>80</v>
      </c>
      <c r="AF293" s="170">
        <v>0</v>
      </c>
      <c r="AG293" s="171">
        <v>1</v>
      </c>
      <c r="AH293" s="171">
        <v>1</v>
      </c>
      <c r="AI293" s="171">
        <v>0</v>
      </c>
      <c r="AJ293" s="171">
        <v>0</v>
      </c>
      <c r="AK293" s="171">
        <v>0</v>
      </c>
      <c r="AL293" s="171">
        <v>1</v>
      </c>
      <c r="AM293" s="171">
        <v>1</v>
      </c>
      <c r="AN293" s="171">
        <v>1</v>
      </c>
      <c r="AO293" s="171">
        <v>1</v>
      </c>
      <c r="AP293" s="171">
        <v>1</v>
      </c>
      <c r="AQ293" s="171">
        <v>1</v>
      </c>
      <c r="AR293" s="171">
        <v>1</v>
      </c>
      <c r="AS293" s="171">
        <v>1</v>
      </c>
      <c r="AT293" s="171">
        <v>1</v>
      </c>
      <c r="AU293" s="171">
        <f t="shared" si="58"/>
        <v>1</v>
      </c>
      <c r="AV293" s="171">
        <f t="shared" si="59"/>
        <v>1</v>
      </c>
      <c r="AW293" s="171">
        <f t="shared" si="60"/>
        <v>1</v>
      </c>
      <c r="AX293" s="171">
        <f t="shared" si="100"/>
        <v>1</v>
      </c>
      <c r="AY293" s="171">
        <f t="shared" si="61"/>
        <v>1</v>
      </c>
      <c r="AZ293" s="171">
        <f t="shared" si="62"/>
        <v>1</v>
      </c>
      <c r="BA293" s="172">
        <f t="shared" si="63"/>
        <v>1</v>
      </c>
      <c r="BB293" s="175">
        <f t="shared" si="72"/>
        <v>18</v>
      </c>
      <c r="BC293" s="176">
        <f t="shared" si="73"/>
        <v>17</v>
      </c>
      <c r="BD293" s="176">
        <f t="shared" si="74"/>
        <v>18</v>
      </c>
      <c r="BE293" s="240" t="str">
        <f t="shared" si="124"/>
        <v/>
      </c>
      <c r="BH293" s="216">
        <f>IF(AND(Input_Product=Elig!$C293,Elig_MatchAll_Ct&lt;22,$BC293=(Elig_MatchAll_Ct-1),AF293=0),C293,0)</f>
        <v>0</v>
      </c>
      <c r="BI293" s="216">
        <f>IF(AND(Input_Product=Elig!$C293,Elig_MatchAll_Ct&lt;22,$BC293=(Elig_MatchAll_Ct-1),AG293=0),D293,0)</f>
        <v>0</v>
      </c>
      <c r="BJ293" s="216">
        <f>IF(AND(Input_Product=Elig!$C293,Elig_MatchAll_Ct&lt;22,$BC293=(Elig_MatchAll_Ct-1),AH293=0),E293,0)</f>
        <v>0</v>
      </c>
      <c r="BK293" s="216">
        <f>IF(AND(Input_Product=Elig!$C293,Elig_MatchAll_Ct&lt;22,$BC293=(Elig_MatchAll_Ct-1),AI293=0),F293,0)</f>
        <v>0</v>
      </c>
      <c r="BL293" s="216">
        <f>IF(AND(Input_Product=Elig!$C293,Elig_MatchAll_Ct&lt;22,$BC293=(Elig_MatchAll_Ct-1),AJ293=0),G293,0)</f>
        <v>0</v>
      </c>
      <c r="BM293" s="216">
        <f>IF(AND(Input_Product=Elig!$C293,Elig_MatchAll_Ct&lt;22,$BC293=(Elig_MatchAll_Ct-1),AK293=0),H293,0)</f>
        <v>0</v>
      </c>
      <c r="BN293" s="216">
        <f>IF(AND(Input_Product=Elig!$C293,Elig_MatchAll_Ct&lt;22,$BC293=(Elig_MatchAll_Ct-1),AL293=0),I293,0)</f>
        <v>0</v>
      </c>
      <c r="BO293" s="216">
        <f>IF(AND(Input_Product=Elig!$C293,Elig_MatchAll_Ct&lt;22,$BC293=(Elig_MatchAll_Ct-1),AM293=0),J293,0)</f>
        <v>0</v>
      </c>
      <c r="BP293" s="216">
        <f>IF(AND(Input_Product=Elig!$C293,Elig_MatchAll_Ct&lt;22,$BC293=(Elig_MatchAll_Ct-1),AN293=0),K293,0)</f>
        <v>0</v>
      </c>
      <c r="BQ293" s="216">
        <f>IF(AND(Input_Product=Elig!$C293,Elig_MatchAll_Ct&lt;22,$BC293=(Elig_MatchAll_Ct-1),AP293=0),L293,0)</f>
        <v>0</v>
      </c>
      <c r="BR293" s="216">
        <f>IF(AND(Input_Product=Elig!$C293,Elig_MatchAll_Ct&lt;22,$BC293=(Elig_MatchAll_Ct-1),AO293=0),M293,0)</f>
        <v>0</v>
      </c>
      <c r="BS293" s="216">
        <f>IF(AND(Input_Product=Elig!$C293,Elig_MatchAll_Ct&lt;22,$BC293=(Elig_MatchAll_Ct-1),AQ293=0),N293,0)</f>
        <v>0</v>
      </c>
      <c r="BT293" s="216">
        <f>IF(AND(Input_Product=Elig!$C293,Elig_MatchAll_Ct&lt;22,$BC293=(Elig_MatchAll_Ct-1),AR293=0),O293,0)</f>
        <v>0</v>
      </c>
      <c r="BU293" s="216">
        <f>IF(AND(Input_Product=Elig!$C293,Elig_MatchAll_Ct&lt;22,$BC293=(Elig_MatchAll_Ct-1),AS293=0),P293,0)</f>
        <v>0</v>
      </c>
      <c r="BV293" s="217">
        <f>IF(AND(Input_Product=Elig!$C293,Elig_MatchAll_Ct&lt;22,$BC293=(Elig_MatchAll_Ct-1),AT293=0),Q293,0)</f>
        <v>0</v>
      </c>
      <c r="BW293" s="212">
        <f>IF(AND(Input_Product=Elig!$C293,Elig_MatchAll_Ct&lt;22,$BC293=(Elig_MatchAll_Ct-1),AU293=0),R293,0)</f>
        <v>0</v>
      </c>
      <c r="BX293" s="213">
        <f>IF(AND(Input_Product=Elig!$C293,Elig_MatchAll_Ct&lt;22,$BC293=(Elig_MatchAll_Ct-1),AU293=0),S293,0)</f>
        <v>0</v>
      </c>
      <c r="BY293" s="212">
        <f>IF(AND(Input_Product=Elig!$C293,Elig_MatchAll_Ct&lt;22,$BC293=(Elig_MatchAll_Ct-1),AV293=0),T293,0)</f>
        <v>0</v>
      </c>
      <c r="BZ293" s="213">
        <f>IF(AND(Input_Product=Elig!$C293,Elig_MatchAll_Ct&lt;22,$BC293=(Elig_MatchAll_Ct-1),AV293=0),U293,0)</f>
        <v>0</v>
      </c>
      <c r="CA293" s="212">
        <f>IF(AND(Input_Product=Elig!$C293,Elig_MatchAll_Ct&lt;22,$BC293=(Elig_MatchAll_Ct-1),AW293=0),V293,0)</f>
        <v>0</v>
      </c>
      <c r="CB293" s="213">
        <f>IF(AND(Input_Product=Elig!$C293,Elig_MatchAll_Ct&lt;22,$BC293=(Elig_MatchAll_Ct-1),AW293=0),W293,0)</f>
        <v>0</v>
      </c>
      <c r="CC293" s="212">
        <f>IF(AND(Input_Product=Elig!$C293,Elig_MatchAll_Ct&lt;22,$BC293=(Elig_MatchAll_Ct-1),AX293=0),X293,0)</f>
        <v>0</v>
      </c>
      <c r="CD293" s="213">
        <f>IF(AND(Input_Product=Elig!$C293,Elig_MatchAll_Ct&lt;22,$BC293=(Elig_MatchAll_Ct-1),AX293=0),Y293,0)</f>
        <v>0</v>
      </c>
      <c r="CE293" s="212">
        <f>IF(AND(Input_LTV&lt;=AE293,Input_Product=Elig!$C293,Elig_MatchAll_Ct&lt;22,$BC293=(Elig_MatchAll_Ct-1),AY293=0),Z293,0)</f>
        <v>0</v>
      </c>
      <c r="CF293" s="213">
        <f>IF(AND(Input_LTV&lt;=AE293,Input_Product=Elig!$C293,Elig_MatchAll_Ct&lt;22,$BC293=(Elig_MatchAll_Ct-1),AY293=0),AA293,0)</f>
        <v>0</v>
      </c>
      <c r="CG293" s="212">
        <f>IF(AND(Input_Product=Elig!$C293,Elig_MatchAll_Ct&lt;22,$BC293=(Elig_MatchAll_Ct-1),AZ293=0),AB293,0)</f>
        <v>0</v>
      </c>
      <c r="CH293" s="213">
        <f>IF(AND(Input_Product=Elig!$C293,Elig_MatchAll_Ct&lt;22,$BC293=(Elig_MatchAll_Ct-1),AZ293=0),AC293,0)</f>
        <v>0</v>
      </c>
      <c r="CI293" s="212">
        <f>IF(AND(Input_Product=Elig!$C293,Elig_MatchAll_Ct&lt;22,$BC293=(Elig_MatchAll_Ct-1),BA293=0),AD293,0)</f>
        <v>0</v>
      </c>
      <c r="CJ293" s="213">
        <f>IF(AND(Input_Product=Elig!$C293,Elig_MatchAll_Ct&lt;22,$BC293=(Elig_MatchAll_Ct-1),BA293=0),AE293,0)</f>
        <v>0</v>
      </c>
    </row>
    <row r="294" spans="2:88" ht="10.15" customHeight="1" x14ac:dyDescent="0.25">
      <c r="B294" s="287" t="s">
        <v>990</v>
      </c>
      <c r="C294" s="286" t="str">
        <f t="shared" si="132"/>
        <v>NonQM NOO</v>
      </c>
      <c r="D294" s="287" t="s">
        <v>3885</v>
      </c>
      <c r="E294" s="287" t="s">
        <v>167</v>
      </c>
      <c r="F294" s="287" t="s">
        <v>330</v>
      </c>
      <c r="G294" s="300" t="s">
        <v>304</v>
      </c>
      <c r="H294" s="287" t="s">
        <v>446</v>
      </c>
      <c r="I294" s="288" t="s">
        <v>16</v>
      </c>
      <c r="J294" s="288" t="s">
        <v>1311</v>
      </c>
      <c r="K294" s="288" t="s">
        <v>1631</v>
      </c>
      <c r="L294" s="300" t="s">
        <v>312</v>
      </c>
      <c r="M294" s="287" t="s">
        <v>4203</v>
      </c>
      <c r="N294" s="287" t="s">
        <v>2685</v>
      </c>
      <c r="O294" s="287" t="s">
        <v>310</v>
      </c>
      <c r="P294" s="287" t="s">
        <v>291</v>
      </c>
      <c r="Q294" s="287" t="s">
        <v>294</v>
      </c>
      <c r="R294" s="300">
        <v>100000</v>
      </c>
      <c r="S294" s="287">
        <v>1000000</v>
      </c>
      <c r="T294" s="287">
        <v>0</v>
      </c>
      <c r="U294" s="287">
        <f t="shared" si="134"/>
        <v>1000000</v>
      </c>
      <c r="V294" s="287">
        <v>0</v>
      </c>
      <c r="W294" s="287">
        <v>55</v>
      </c>
      <c r="X294" s="287">
        <v>0</v>
      </c>
      <c r="Y294" s="287">
        <v>999</v>
      </c>
      <c r="Z294" s="289">
        <v>700</v>
      </c>
      <c r="AA294" s="289">
        <v>719</v>
      </c>
      <c r="AB294" s="289">
        <v>3</v>
      </c>
      <c r="AC294" s="289">
        <v>999999</v>
      </c>
      <c r="AD294" s="287">
        <v>0</v>
      </c>
      <c r="AE294" s="2105">
        <v>80</v>
      </c>
      <c r="AF294" s="170">
        <v>0</v>
      </c>
      <c r="AG294" s="171">
        <v>1</v>
      </c>
      <c r="AH294" s="171">
        <v>1</v>
      </c>
      <c r="AI294" s="171">
        <v>0</v>
      </c>
      <c r="AJ294" s="171">
        <v>0</v>
      </c>
      <c r="AK294" s="171">
        <v>0</v>
      </c>
      <c r="AL294" s="171">
        <v>1</v>
      </c>
      <c r="AM294" s="171">
        <v>1</v>
      </c>
      <c r="AN294" s="171">
        <v>1</v>
      </c>
      <c r="AO294" s="171">
        <v>1</v>
      </c>
      <c r="AP294" s="171">
        <v>1</v>
      </c>
      <c r="AQ294" s="171">
        <v>1</v>
      </c>
      <c r="AR294" s="171">
        <v>1</v>
      </c>
      <c r="AS294" s="171">
        <v>1</v>
      </c>
      <c r="AT294" s="171">
        <v>1</v>
      </c>
      <c r="AU294" s="171">
        <f t="shared" si="58"/>
        <v>1</v>
      </c>
      <c r="AV294" s="171">
        <f t="shared" si="59"/>
        <v>1</v>
      </c>
      <c r="AW294" s="171">
        <f t="shared" si="60"/>
        <v>1</v>
      </c>
      <c r="AX294" s="171">
        <f t="shared" si="100"/>
        <v>1</v>
      </c>
      <c r="AY294" s="171">
        <f t="shared" si="61"/>
        <v>0</v>
      </c>
      <c r="AZ294" s="171">
        <f t="shared" si="62"/>
        <v>1</v>
      </c>
      <c r="BA294" s="172">
        <f t="shared" si="63"/>
        <v>1</v>
      </c>
      <c r="BB294" s="175">
        <f t="shared" si="72"/>
        <v>17</v>
      </c>
      <c r="BC294" s="176">
        <f t="shared" si="73"/>
        <v>16</v>
      </c>
      <c r="BD294" s="176">
        <f t="shared" si="74"/>
        <v>17</v>
      </c>
      <c r="BE294" s="240" t="str">
        <f t="shared" si="124"/>
        <v/>
      </c>
      <c r="BH294" s="199">
        <f>IF(AND(Input_Product=Elig!$C294,Elig_MatchAll_Ct&lt;22,$BC294=(Elig_MatchAll_Ct-1),AF294=0),C294,0)</f>
        <v>0</v>
      </c>
      <c r="BI294" s="199">
        <f>IF(AND(Input_Product=Elig!$C294,Elig_MatchAll_Ct&lt;22,$BC294=(Elig_MatchAll_Ct-1),AG294=0),D294,0)</f>
        <v>0</v>
      </c>
      <c r="BJ294" s="199">
        <f>IF(AND(Input_Product=Elig!$C294,Elig_MatchAll_Ct&lt;22,$BC294=(Elig_MatchAll_Ct-1),AH294=0),E294,0)</f>
        <v>0</v>
      </c>
      <c r="BK294" s="199">
        <f>IF(AND(Input_Product=Elig!$C294,Elig_MatchAll_Ct&lt;22,$BC294=(Elig_MatchAll_Ct-1),AI294=0),F294,0)</f>
        <v>0</v>
      </c>
      <c r="BL294" s="199">
        <f>IF(AND(Input_Product=Elig!$C294,Elig_MatchAll_Ct&lt;22,$BC294=(Elig_MatchAll_Ct-1),AJ294=0),G294,0)</f>
        <v>0</v>
      </c>
      <c r="BM294" s="199">
        <f>IF(AND(Input_Product=Elig!$C294,Elig_MatchAll_Ct&lt;22,$BC294=(Elig_MatchAll_Ct-1),AK294=0),H294,0)</f>
        <v>0</v>
      </c>
      <c r="BN294" s="199">
        <f>IF(AND(Input_Product=Elig!$C294,Elig_MatchAll_Ct&lt;22,$BC294=(Elig_MatchAll_Ct-1),AL294=0),I294,0)</f>
        <v>0</v>
      </c>
      <c r="BO294" s="199">
        <f>IF(AND(Input_Product=Elig!$C294,Elig_MatchAll_Ct&lt;22,$BC294=(Elig_MatchAll_Ct-1),AM294=0),J294,0)</f>
        <v>0</v>
      </c>
      <c r="BP294" s="199">
        <f>IF(AND(Input_Product=Elig!$C294,Elig_MatchAll_Ct&lt;22,$BC294=(Elig_MatchAll_Ct-1),AN294=0),K294,0)</f>
        <v>0</v>
      </c>
      <c r="BQ294" s="199">
        <f>IF(AND(Input_Product=Elig!$C294,Elig_MatchAll_Ct&lt;22,$BC294=(Elig_MatchAll_Ct-1),AP294=0),L294,0)</f>
        <v>0</v>
      </c>
      <c r="BR294" s="199">
        <f>IF(AND(Input_Product=Elig!$C294,Elig_MatchAll_Ct&lt;22,$BC294=(Elig_MatchAll_Ct-1),AO294=0),M294,0)</f>
        <v>0</v>
      </c>
      <c r="BS294" s="199">
        <f>IF(AND(Input_Product=Elig!$C294,Elig_MatchAll_Ct&lt;22,$BC294=(Elig_MatchAll_Ct-1),AQ294=0),N294,0)</f>
        <v>0</v>
      </c>
      <c r="BT294" s="199">
        <f>IF(AND(Input_Product=Elig!$C294,Elig_MatchAll_Ct&lt;22,$BC294=(Elig_MatchAll_Ct-1),AR294=0),O294,0)</f>
        <v>0</v>
      </c>
      <c r="BU294" s="199">
        <f>IF(AND(Input_Product=Elig!$C294,Elig_MatchAll_Ct&lt;22,$BC294=(Elig_MatchAll_Ct-1),AS294=0),P294,0)</f>
        <v>0</v>
      </c>
      <c r="BV294" s="200">
        <f>IF(AND(Input_Product=Elig!$C294,Elig_MatchAll_Ct&lt;22,$BC294=(Elig_MatchAll_Ct-1),AT294=0),Q294,0)</f>
        <v>0</v>
      </c>
      <c r="BW294" s="201">
        <f>IF(AND(Input_Product=Elig!$C294,Elig_MatchAll_Ct&lt;22,$BC294=(Elig_MatchAll_Ct-1),AU294=0),R294,0)</f>
        <v>0</v>
      </c>
      <c r="BX294" s="202">
        <f>IF(AND(Input_Product=Elig!$C294,Elig_MatchAll_Ct&lt;22,$BC294=(Elig_MatchAll_Ct-1),AU294=0),S294,0)</f>
        <v>0</v>
      </c>
      <c r="BY294" s="201">
        <f>IF(AND(Input_Product=Elig!$C294,Elig_MatchAll_Ct&lt;22,$BC294=(Elig_MatchAll_Ct-1),AV294=0),T294,0)</f>
        <v>0</v>
      </c>
      <c r="BZ294" s="202">
        <f>IF(AND(Input_Product=Elig!$C294,Elig_MatchAll_Ct&lt;22,$BC294=(Elig_MatchAll_Ct-1),AV294=0),U294,0)</f>
        <v>0</v>
      </c>
      <c r="CA294" s="201">
        <f>IF(AND(Input_Product=Elig!$C294,Elig_MatchAll_Ct&lt;22,$BC294=(Elig_MatchAll_Ct-1),AW294=0),V294,0)</f>
        <v>0</v>
      </c>
      <c r="CB294" s="202">
        <f>IF(AND(Input_Product=Elig!$C294,Elig_MatchAll_Ct&lt;22,$BC294=(Elig_MatchAll_Ct-1),AW294=0),W294,0)</f>
        <v>0</v>
      </c>
      <c r="CC294" s="201">
        <f>IF(AND(Input_Product=Elig!$C294,Elig_MatchAll_Ct&lt;22,$BC294=(Elig_MatchAll_Ct-1),AX294=0),X294,0)</f>
        <v>0</v>
      </c>
      <c r="CD294" s="202">
        <f>IF(AND(Input_Product=Elig!$C294,Elig_MatchAll_Ct&lt;22,$BC294=(Elig_MatchAll_Ct-1),AX294=0),Y294,0)</f>
        <v>0</v>
      </c>
      <c r="CE294" s="201">
        <f>IF(AND(Input_LTV&lt;=AE294,Input_Product=Elig!$C294,Elig_MatchAll_Ct&lt;22,$BC294=(Elig_MatchAll_Ct-1),AY294=0),Z294,0)</f>
        <v>0</v>
      </c>
      <c r="CF294" s="202">
        <f>IF(AND(Input_LTV&lt;=AE294,Input_Product=Elig!$C294,Elig_MatchAll_Ct&lt;22,$BC294=(Elig_MatchAll_Ct-1),AY294=0),AA294,0)</f>
        <v>0</v>
      </c>
      <c r="CG294" s="201">
        <f>IF(AND(Input_Product=Elig!$C294,Elig_MatchAll_Ct&lt;22,$BC294=(Elig_MatchAll_Ct-1),AZ294=0),AB294,0)</f>
        <v>0</v>
      </c>
      <c r="CH294" s="202">
        <f>IF(AND(Input_Product=Elig!$C294,Elig_MatchAll_Ct&lt;22,$BC294=(Elig_MatchAll_Ct-1),AZ294=0),AC294,0)</f>
        <v>0</v>
      </c>
      <c r="CI294" s="201">
        <f>IF(AND(Input_Product=Elig!$C294,Elig_MatchAll_Ct&lt;22,$BC294=(Elig_MatchAll_Ct-1),BA294=0),AD294,0)</f>
        <v>0</v>
      </c>
      <c r="CJ294" s="202">
        <f>IF(AND(Input_Product=Elig!$C294,Elig_MatchAll_Ct&lt;22,$BC294=(Elig_MatchAll_Ct-1),BA294=0),AE294,0)</f>
        <v>0</v>
      </c>
    </row>
    <row r="295" spans="2:88" ht="10.15" customHeight="1" x14ac:dyDescent="0.25">
      <c r="B295" s="287" t="s">
        <v>991</v>
      </c>
      <c r="C295" s="286" t="str">
        <f t="shared" si="132"/>
        <v>NonQM NOO</v>
      </c>
      <c r="D295" s="287" t="s">
        <v>3885</v>
      </c>
      <c r="E295" s="287" t="s">
        <v>167</v>
      </c>
      <c r="F295" s="287" t="s">
        <v>330</v>
      </c>
      <c r="G295" s="300" t="s">
        <v>304</v>
      </c>
      <c r="H295" s="287" t="s">
        <v>446</v>
      </c>
      <c r="I295" s="288" t="s">
        <v>16</v>
      </c>
      <c r="J295" s="288" t="s">
        <v>1311</v>
      </c>
      <c r="K295" s="288" t="s">
        <v>1631</v>
      </c>
      <c r="L295" s="300" t="s">
        <v>312</v>
      </c>
      <c r="M295" s="287" t="s">
        <v>4203</v>
      </c>
      <c r="N295" s="287" t="s">
        <v>2685</v>
      </c>
      <c r="O295" s="287" t="s">
        <v>310</v>
      </c>
      <c r="P295" s="287" t="s">
        <v>291</v>
      </c>
      <c r="Q295" s="287" t="s">
        <v>294</v>
      </c>
      <c r="R295" s="300">
        <v>100000</v>
      </c>
      <c r="S295" s="287">
        <v>1000000</v>
      </c>
      <c r="T295" s="287">
        <v>0</v>
      </c>
      <c r="U295" s="287">
        <f t="shared" si="134"/>
        <v>1000000</v>
      </c>
      <c r="V295" s="287">
        <v>0</v>
      </c>
      <c r="W295" s="287">
        <v>55</v>
      </c>
      <c r="X295" s="287">
        <v>0</v>
      </c>
      <c r="Y295" s="287">
        <v>999</v>
      </c>
      <c r="Z295" s="289">
        <v>680</v>
      </c>
      <c r="AA295" s="289">
        <v>699</v>
      </c>
      <c r="AB295" s="289">
        <v>3</v>
      </c>
      <c r="AC295" s="289">
        <v>999999</v>
      </c>
      <c r="AD295" s="287">
        <v>0</v>
      </c>
      <c r="AE295" s="2105">
        <v>75</v>
      </c>
      <c r="AF295" s="170">
        <v>0</v>
      </c>
      <c r="AG295" s="171">
        <v>1</v>
      </c>
      <c r="AH295" s="171">
        <v>1</v>
      </c>
      <c r="AI295" s="171">
        <v>0</v>
      </c>
      <c r="AJ295" s="171">
        <v>0</v>
      </c>
      <c r="AK295" s="171">
        <v>0</v>
      </c>
      <c r="AL295" s="171">
        <v>1</v>
      </c>
      <c r="AM295" s="171">
        <v>1</v>
      </c>
      <c r="AN295" s="171">
        <v>1</v>
      </c>
      <c r="AO295" s="171">
        <v>1</v>
      </c>
      <c r="AP295" s="171">
        <v>1</v>
      </c>
      <c r="AQ295" s="171">
        <v>1</v>
      </c>
      <c r="AR295" s="171">
        <v>1</v>
      </c>
      <c r="AS295" s="171">
        <v>1</v>
      </c>
      <c r="AT295" s="171">
        <v>1</v>
      </c>
      <c r="AU295" s="171">
        <f t="shared" si="58"/>
        <v>1</v>
      </c>
      <c r="AV295" s="171">
        <f t="shared" si="59"/>
        <v>1</v>
      </c>
      <c r="AW295" s="171">
        <f t="shared" si="60"/>
        <v>1</v>
      </c>
      <c r="AX295" s="171">
        <f t="shared" si="100"/>
        <v>1</v>
      </c>
      <c r="AY295" s="171">
        <f t="shared" si="61"/>
        <v>0</v>
      </c>
      <c r="AZ295" s="171">
        <f t="shared" si="62"/>
        <v>1</v>
      </c>
      <c r="BA295" s="172">
        <f t="shared" si="63"/>
        <v>1</v>
      </c>
      <c r="BB295" s="175">
        <f t="shared" si="72"/>
        <v>17</v>
      </c>
      <c r="BC295" s="176">
        <f t="shared" si="73"/>
        <v>16</v>
      </c>
      <c r="BD295" s="176">
        <f t="shared" si="74"/>
        <v>17</v>
      </c>
      <c r="BE295" s="240" t="str">
        <f t="shared" si="124"/>
        <v/>
      </c>
      <c r="BH295" s="199">
        <f>IF(AND(Input_Product=Elig!$C295,Elig_MatchAll_Ct&lt;22,$BC295=(Elig_MatchAll_Ct-1),AF295=0),C295,0)</f>
        <v>0</v>
      </c>
      <c r="BI295" s="199">
        <f>IF(AND(Input_Product=Elig!$C295,Elig_MatchAll_Ct&lt;22,$BC295=(Elig_MatchAll_Ct-1),AG295=0),D295,0)</f>
        <v>0</v>
      </c>
      <c r="BJ295" s="199">
        <f>IF(AND(Input_Product=Elig!$C295,Elig_MatchAll_Ct&lt;22,$BC295=(Elig_MatchAll_Ct-1),AH295=0),E295,0)</f>
        <v>0</v>
      </c>
      <c r="BK295" s="199">
        <f>IF(AND(Input_Product=Elig!$C295,Elig_MatchAll_Ct&lt;22,$BC295=(Elig_MatchAll_Ct-1),AI295=0),F295,0)</f>
        <v>0</v>
      </c>
      <c r="BL295" s="199">
        <f>IF(AND(Input_Product=Elig!$C295,Elig_MatchAll_Ct&lt;22,$BC295=(Elig_MatchAll_Ct-1),AJ295=0),G295,0)</f>
        <v>0</v>
      </c>
      <c r="BM295" s="199">
        <f>IF(AND(Input_Product=Elig!$C295,Elig_MatchAll_Ct&lt;22,$BC295=(Elig_MatchAll_Ct-1),AK295=0),H295,0)</f>
        <v>0</v>
      </c>
      <c r="BN295" s="199">
        <f>IF(AND(Input_Product=Elig!$C295,Elig_MatchAll_Ct&lt;22,$BC295=(Elig_MatchAll_Ct-1),AL295=0),I295,0)</f>
        <v>0</v>
      </c>
      <c r="BO295" s="199">
        <f>IF(AND(Input_Product=Elig!$C295,Elig_MatchAll_Ct&lt;22,$BC295=(Elig_MatchAll_Ct-1),AM295=0),J295,0)</f>
        <v>0</v>
      </c>
      <c r="BP295" s="199">
        <f>IF(AND(Input_Product=Elig!$C295,Elig_MatchAll_Ct&lt;22,$BC295=(Elig_MatchAll_Ct-1),AN295=0),K295,0)</f>
        <v>0</v>
      </c>
      <c r="BQ295" s="199">
        <f>IF(AND(Input_Product=Elig!$C295,Elig_MatchAll_Ct&lt;22,$BC295=(Elig_MatchAll_Ct-1),AP295=0),L295,0)</f>
        <v>0</v>
      </c>
      <c r="BR295" s="199">
        <f>IF(AND(Input_Product=Elig!$C295,Elig_MatchAll_Ct&lt;22,$BC295=(Elig_MatchAll_Ct-1),AO295=0),M295,0)</f>
        <v>0</v>
      </c>
      <c r="BS295" s="199">
        <f>IF(AND(Input_Product=Elig!$C295,Elig_MatchAll_Ct&lt;22,$BC295=(Elig_MatchAll_Ct-1),AQ295=0),N295,0)</f>
        <v>0</v>
      </c>
      <c r="BT295" s="199">
        <f>IF(AND(Input_Product=Elig!$C295,Elig_MatchAll_Ct&lt;22,$BC295=(Elig_MatchAll_Ct-1),AR295=0),O295,0)</f>
        <v>0</v>
      </c>
      <c r="BU295" s="199">
        <f>IF(AND(Input_Product=Elig!$C295,Elig_MatchAll_Ct&lt;22,$BC295=(Elig_MatchAll_Ct-1),AS295=0),P295,0)</f>
        <v>0</v>
      </c>
      <c r="BV295" s="200">
        <f>IF(AND(Input_Product=Elig!$C295,Elig_MatchAll_Ct&lt;22,$BC295=(Elig_MatchAll_Ct-1),AT295=0),Q295,0)</f>
        <v>0</v>
      </c>
      <c r="BW295" s="201">
        <f>IF(AND(Input_Product=Elig!$C295,Elig_MatchAll_Ct&lt;22,$BC295=(Elig_MatchAll_Ct-1),AU295=0),R295,0)</f>
        <v>0</v>
      </c>
      <c r="BX295" s="202">
        <f>IF(AND(Input_Product=Elig!$C295,Elig_MatchAll_Ct&lt;22,$BC295=(Elig_MatchAll_Ct-1),AU295=0),S295,0)</f>
        <v>0</v>
      </c>
      <c r="BY295" s="201">
        <f>IF(AND(Input_Product=Elig!$C295,Elig_MatchAll_Ct&lt;22,$BC295=(Elig_MatchAll_Ct-1),AV295=0),T295,0)</f>
        <v>0</v>
      </c>
      <c r="BZ295" s="202">
        <f>IF(AND(Input_Product=Elig!$C295,Elig_MatchAll_Ct&lt;22,$BC295=(Elig_MatchAll_Ct-1),AV295=0),U295,0)</f>
        <v>0</v>
      </c>
      <c r="CA295" s="201">
        <f>IF(AND(Input_Product=Elig!$C295,Elig_MatchAll_Ct&lt;22,$BC295=(Elig_MatchAll_Ct-1),AW295=0),V295,0)</f>
        <v>0</v>
      </c>
      <c r="CB295" s="202">
        <f>IF(AND(Input_Product=Elig!$C295,Elig_MatchAll_Ct&lt;22,$BC295=(Elig_MatchAll_Ct-1),AW295=0),W295,0)</f>
        <v>0</v>
      </c>
      <c r="CC295" s="201">
        <f>IF(AND(Input_Product=Elig!$C295,Elig_MatchAll_Ct&lt;22,$BC295=(Elig_MatchAll_Ct-1),AX295=0),X295,0)</f>
        <v>0</v>
      </c>
      <c r="CD295" s="202">
        <f>IF(AND(Input_Product=Elig!$C295,Elig_MatchAll_Ct&lt;22,$BC295=(Elig_MatchAll_Ct-1),AX295=0),Y295,0)</f>
        <v>0</v>
      </c>
      <c r="CE295" s="201">
        <f>IF(AND(Input_LTV&lt;=AE295,Input_Product=Elig!$C295,Elig_MatchAll_Ct&lt;22,$BC295=(Elig_MatchAll_Ct-1),AY295=0),Z295,0)</f>
        <v>0</v>
      </c>
      <c r="CF295" s="202">
        <f>IF(AND(Input_LTV&lt;=AE295,Input_Product=Elig!$C295,Elig_MatchAll_Ct&lt;22,$BC295=(Elig_MatchAll_Ct-1),AY295=0),AA295,0)</f>
        <v>0</v>
      </c>
      <c r="CG295" s="201">
        <f>IF(AND(Input_Product=Elig!$C295,Elig_MatchAll_Ct&lt;22,$BC295=(Elig_MatchAll_Ct-1),AZ295=0),AB295,0)</f>
        <v>0</v>
      </c>
      <c r="CH295" s="202">
        <f>IF(AND(Input_Product=Elig!$C295,Elig_MatchAll_Ct&lt;22,$BC295=(Elig_MatchAll_Ct-1),AZ295=0),AC295,0)</f>
        <v>0</v>
      </c>
      <c r="CI295" s="201">
        <f>IF(AND(Input_Product=Elig!$C295,Elig_MatchAll_Ct&lt;22,$BC295=(Elig_MatchAll_Ct-1),BA295=0),AD295,0)</f>
        <v>0</v>
      </c>
      <c r="CJ295" s="202">
        <f>IF(AND(Input_Product=Elig!$C295,Elig_MatchAll_Ct&lt;22,$BC295=(Elig_MatchAll_Ct-1),BA295=0),AE295,0)</f>
        <v>0</v>
      </c>
    </row>
    <row r="296" spans="2:88" ht="10.15" customHeight="1" x14ac:dyDescent="0.25">
      <c r="B296" s="287" t="s">
        <v>992</v>
      </c>
      <c r="C296" s="286" t="str">
        <f t="shared" si="132"/>
        <v>NonQM NOO</v>
      </c>
      <c r="D296" s="287" t="s">
        <v>3885</v>
      </c>
      <c r="E296" s="287" t="s">
        <v>167</v>
      </c>
      <c r="F296" s="287" t="s">
        <v>330</v>
      </c>
      <c r="G296" s="300" t="s">
        <v>304</v>
      </c>
      <c r="H296" s="287" t="s">
        <v>446</v>
      </c>
      <c r="I296" s="287" t="s">
        <v>16</v>
      </c>
      <c r="J296" s="287" t="s">
        <v>1311</v>
      </c>
      <c r="K296" s="287" t="s">
        <v>1631</v>
      </c>
      <c r="L296" s="300" t="s">
        <v>312</v>
      </c>
      <c r="M296" s="287" t="s">
        <v>4203</v>
      </c>
      <c r="N296" s="287" t="s">
        <v>2685</v>
      </c>
      <c r="O296" s="287" t="s">
        <v>310</v>
      </c>
      <c r="P296" s="287" t="s">
        <v>291</v>
      </c>
      <c r="Q296" s="287" t="s">
        <v>294</v>
      </c>
      <c r="R296" s="300">
        <v>100000</v>
      </c>
      <c r="S296" s="287">
        <v>1000000</v>
      </c>
      <c r="T296" s="287">
        <v>0</v>
      </c>
      <c r="U296" s="287">
        <f t="shared" si="134"/>
        <v>1000000</v>
      </c>
      <c r="V296" s="287">
        <v>0</v>
      </c>
      <c r="W296" s="287">
        <v>50</v>
      </c>
      <c r="X296" s="287">
        <v>0</v>
      </c>
      <c r="Y296" s="287">
        <v>999</v>
      </c>
      <c r="Z296" s="289">
        <v>660</v>
      </c>
      <c r="AA296" s="289">
        <v>679</v>
      </c>
      <c r="AB296" s="289">
        <v>3</v>
      </c>
      <c r="AC296" s="289">
        <v>999999</v>
      </c>
      <c r="AD296" s="287">
        <v>0</v>
      </c>
      <c r="AE296" s="290">
        <v>70</v>
      </c>
      <c r="AF296" s="170">
        <v>0</v>
      </c>
      <c r="AG296" s="171">
        <v>1</v>
      </c>
      <c r="AH296" s="171">
        <v>1</v>
      </c>
      <c r="AI296" s="171">
        <v>0</v>
      </c>
      <c r="AJ296" s="171">
        <v>0</v>
      </c>
      <c r="AK296" s="171">
        <v>0</v>
      </c>
      <c r="AL296" s="171">
        <v>1</v>
      </c>
      <c r="AM296" s="171">
        <v>1</v>
      </c>
      <c r="AN296" s="171">
        <v>1</v>
      </c>
      <c r="AO296" s="171">
        <v>1</v>
      </c>
      <c r="AP296" s="171">
        <v>1</v>
      </c>
      <c r="AQ296" s="171">
        <v>1</v>
      </c>
      <c r="AR296" s="171">
        <v>1</v>
      </c>
      <c r="AS296" s="171">
        <v>1</v>
      </c>
      <c r="AT296" s="171">
        <v>1</v>
      </c>
      <c r="AU296" s="171">
        <f t="shared" si="58"/>
        <v>1</v>
      </c>
      <c r="AV296" s="171">
        <f t="shared" si="59"/>
        <v>1</v>
      </c>
      <c r="AW296" s="171">
        <f t="shared" si="60"/>
        <v>1</v>
      </c>
      <c r="AX296" s="171">
        <f t="shared" si="100"/>
        <v>1</v>
      </c>
      <c r="AY296" s="171">
        <f t="shared" si="61"/>
        <v>0</v>
      </c>
      <c r="AZ296" s="171">
        <f t="shared" si="62"/>
        <v>1</v>
      </c>
      <c r="BA296" s="172">
        <f t="shared" si="63"/>
        <v>1</v>
      </c>
      <c r="BB296" s="175">
        <f t="shared" si="72"/>
        <v>17</v>
      </c>
      <c r="BC296" s="176">
        <f t="shared" si="73"/>
        <v>16</v>
      </c>
      <c r="BD296" s="176">
        <f t="shared" si="74"/>
        <v>17</v>
      </c>
      <c r="BE296" s="240" t="str">
        <f t="shared" si="124"/>
        <v/>
      </c>
      <c r="BH296" s="199">
        <f>IF(AND(Input_Product=Elig!$C296,Elig_MatchAll_Ct&lt;22,$BC296=(Elig_MatchAll_Ct-1),AF296=0),C296,0)</f>
        <v>0</v>
      </c>
      <c r="BI296" s="199">
        <f>IF(AND(Input_Product=Elig!$C296,Elig_MatchAll_Ct&lt;22,$BC296=(Elig_MatchAll_Ct-1),AG296=0),D296,0)</f>
        <v>0</v>
      </c>
      <c r="BJ296" s="199">
        <f>IF(AND(Input_Product=Elig!$C296,Elig_MatchAll_Ct&lt;22,$BC296=(Elig_MatchAll_Ct-1),AH296=0),E296,0)</f>
        <v>0</v>
      </c>
      <c r="BK296" s="199">
        <f>IF(AND(Input_Product=Elig!$C296,Elig_MatchAll_Ct&lt;22,$BC296=(Elig_MatchAll_Ct-1),AI296=0),F296,0)</f>
        <v>0</v>
      </c>
      <c r="BL296" s="199">
        <f>IF(AND(Input_Product=Elig!$C296,Elig_MatchAll_Ct&lt;22,$BC296=(Elig_MatchAll_Ct-1),AJ296=0),G296,0)</f>
        <v>0</v>
      </c>
      <c r="BM296" s="199">
        <f>IF(AND(Input_Product=Elig!$C296,Elig_MatchAll_Ct&lt;22,$BC296=(Elig_MatchAll_Ct-1),AK296=0),H296,0)</f>
        <v>0</v>
      </c>
      <c r="BN296" s="199">
        <f>IF(AND(Input_Product=Elig!$C296,Elig_MatchAll_Ct&lt;22,$BC296=(Elig_MatchAll_Ct-1),AL296=0),I296,0)</f>
        <v>0</v>
      </c>
      <c r="BO296" s="199">
        <f>IF(AND(Input_Product=Elig!$C296,Elig_MatchAll_Ct&lt;22,$BC296=(Elig_MatchAll_Ct-1),AM296=0),J296,0)</f>
        <v>0</v>
      </c>
      <c r="BP296" s="199">
        <f>IF(AND(Input_Product=Elig!$C296,Elig_MatchAll_Ct&lt;22,$BC296=(Elig_MatchAll_Ct-1),AN296=0),K296,0)</f>
        <v>0</v>
      </c>
      <c r="BQ296" s="199">
        <f>IF(AND(Input_Product=Elig!$C296,Elig_MatchAll_Ct&lt;22,$BC296=(Elig_MatchAll_Ct-1),AP296=0),L296,0)</f>
        <v>0</v>
      </c>
      <c r="BR296" s="199">
        <f>IF(AND(Input_Product=Elig!$C296,Elig_MatchAll_Ct&lt;22,$BC296=(Elig_MatchAll_Ct-1),AO296=0),M296,0)</f>
        <v>0</v>
      </c>
      <c r="BS296" s="199">
        <f>IF(AND(Input_Product=Elig!$C296,Elig_MatchAll_Ct&lt;22,$BC296=(Elig_MatchAll_Ct-1),AQ296=0),N296,0)</f>
        <v>0</v>
      </c>
      <c r="BT296" s="199">
        <f>IF(AND(Input_Product=Elig!$C296,Elig_MatchAll_Ct&lt;22,$BC296=(Elig_MatchAll_Ct-1),AR296=0),O296,0)</f>
        <v>0</v>
      </c>
      <c r="BU296" s="199">
        <f>IF(AND(Input_Product=Elig!$C296,Elig_MatchAll_Ct&lt;22,$BC296=(Elig_MatchAll_Ct-1),AS296=0),P296,0)</f>
        <v>0</v>
      </c>
      <c r="BV296" s="200">
        <f>IF(AND(Input_Product=Elig!$C296,Elig_MatchAll_Ct&lt;22,$BC296=(Elig_MatchAll_Ct-1),AT296=0),Q296,0)</f>
        <v>0</v>
      </c>
      <c r="BW296" s="201">
        <f>IF(AND(Input_Product=Elig!$C296,Elig_MatchAll_Ct&lt;22,$BC296=(Elig_MatchAll_Ct-1),AU296=0),R296,0)</f>
        <v>0</v>
      </c>
      <c r="BX296" s="202">
        <f>IF(AND(Input_Product=Elig!$C296,Elig_MatchAll_Ct&lt;22,$BC296=(Elig_MatchAll_Ct-1),AU296=0),S296,0)</f>
        <v>0</v>
      </c>
      <c r="BY296" s="201">
        <f>IF(AND(Input_Product=Elig!$C296,Elig_MatchAll_Ct&lt;22,$BC296=(Elig_MatchAll_Ct-1),AV296=0),T296,0)</f>
        <v>0</v>
      </c>
      <c r="BZ296" s="202">
        <f>IF(AND(Input_Product=Elig!$C296,Elig_MatchAll_Ct&lt;22,$BC296=(Elig_MatchAll_Ct-1),AV296=0),U296,0)</f>
        <v>0</v>
      </c>
      <c r="CA296" s="201">
        <f>IF(AND(Input_Product=Elig!$C296,Elig_MatchAll_Ct&lt;22,$BC296=(Elig_MatchAll_Ct-1),AW296=0),V296,0)</f>
        <v>0</v>
      </c>
      <c r="CB296" s="202">
        <f>IF(AND(Input_Product=Elig!$C296,Elig_MatchAll_Ct&lt;22,$BC296=(Elig_MatchAll_Ct-1),AW296=0),W296,0)</f>
        <v>0</v>
      </c>
      <c r="CC296" s="201">
        <f>IF(AND(Input_Product=Elig!$C296,Elig_MatchAll_Ct&lt;22,$BC296=(Elig_MatchAll_Ct-1),AX296=0),X296,0)</f>
        <v>0</v>
      </c>
      <c r="CD296" s="202">
        <f>IF(AND(Input_Product=Elig!$C296,Elig_MatchAll_Ct&lt;22,$BC296=(Elig_MatchAll_Ct-1),AX296=0),Y296,0)</f>
        <v>0</v>
      </c>
      <c r="CE296" s="201">
        <f>IF(AND(Input_LTV&lt;=AE296,Input_Product=Elig!$C296,Elig_MatchAll_Ct&lt;22,$BC296=(Elig_MatchAll_Ct-1),AY296=0),Z296,0)</f>
        <v>0</v>
      </c>
      <c r="CF296" s="202">
        <f>IF(AND(Input_LTV&lt;=AE296,Input_Product=Elig!$C296,Elig_MatchAll_Ct&lt;22,$BC296=(Elig_MatchAll_Ct-1),AY296=0),AA296,0)</f>
        <v>0</v>
      </c>
      <c r="CG296" s="201">
        <f>IF(AND(Input_Product=Elig!$C296,Elig_MatchAll_Ct&lt;22,$BC296=(Elig_MatchAll_Ct-1),AZ296=0),AB296,0)</f>
        <v>0</v>
      </c>
      <c r="CH296" s="202">
        <f>IF(AND(Input_Product=Elig!$C296,Elig_MatchAll_Ct&lt;22,$BC296=(Elig_MatchAll_Ct-1),AZ296=0),AC296,0)</f>
        <v>0</v>
      </c>
      <c r="CI296" s="201">
        <f>IF(AND(Input_Product=Elig!$C296,Elig_MatchAll_Ct&lt;22,$BC296=(Elig_MatchAll_Ct-1),BA296=0),AD296,0)</f>
        <v>0</v>
      </c>
      <c r="CJ296" s="202">
        <f>IF(AND(Input_Product=Elig!$C296,Elig_MatchAll_Ct&lt;22,$BC296=(Elig_MatchAll_Ct-1),BA296=0),AE296,0)</f>
        <v>0</v>
      </c>
    </row>
    <row r="297" spans="2:88" ht="10.15" customHeight="1" x14ac:dyDescent="0.25">
      <c r="B297" s="287" t="s">
        <v>993</v>
      </c>
      <c r="C297" s="286" t="str">
        <f t="shared" si="132"/>
        <v>NonQM NOO</v>
      </c>
      <c r="D297" s="287" t="s">
        <v>3885</v>
      </c>
      <c r="E297" s="287" t="s">
        <v>167</v>
      </c>
      <c r="F297" s="287" t="s">
        <v>330</v>
      </c>
      <c r="G297" s="300" t="s">
        <v>304</v>
      </c>
      <c r="H297" s="287" t="s">
        <v>446</v>
      </c>
      <c r="I297" s="287" t="s">
        <v>16</v>
      </c>
      <c r="J297" s="287" t="s">
        <v>1311</v>
      </c>
      <c r="K297" s="287" t="s">
        <v>1631</v>
      </c>
      <c r="L297" s="300" t="s">
        <v>312</v>
      </c>
      <c r="M297" s="287" t="s">
        <v>4203</v>
      </c>
      <c r="N297" s="287" t="s">
        <v>2685</v>
      </c>
      <c r="O297" s="287" t="s">
        <v>310</v>
      </c>
      <c r="P297" s="287" t="s">
        <v>291</v>
      </c>
      <c r="Q297" s="287" t="s">
        <v>294</v>
      </c>
      <c r="R297" s="300">
        <v>100000</v>
      </c>
      <c r="S297" s="287">
        <v>1000000</v>
      </c>
      <c r="T297" s="287">
        <v>0</v>
      </c>
      <c r="U297" s="287">
        <f t="shared" si="134"/>
        <v>1000000</v>
      </c>
      <c r="V297" s="287">
        <v>0</v>
      </c>
      <c r="W297" s="287">
        <v>50</v>
      </c>
      <c r="X297" s="287">
        <v>0</v>
      </c>
      <c r="Y297" s="287">
        <v>999</v>
      </c>
      <c r="Z297" s="289">
        <v>640</v>
      </c>
      <c r="AA297" s="289">
        <v>659</v>
      </c>
      <c r="AB297" s="289">
        <v>3</v>
      </c>
      <c r="AC297" s="289">
        <v>999999</v>
      </c>
      <c r="AD297" s="287">
        <v>0</v>
      </c>
      <c r="AE297" s="290">
        <v>-999</v>
      </c>
      <c r="AF297" s="170">
        <v>0</v>
      </c>
      <c r="AG297" s="171">
        <v>1</v>
      </c>
      <c r="AH297" s="171">
        <v>1</v>
      </c>
      <c r="AI297" s="171">
        <v>0</v>
      </c>
      <c r="AJ297" s="171">
        <v>0</v>
      </c>
      <c r="AK297" s="171">
        <v>0</v>
      </c>
      <c r="AL297" s="171">
        <v>1</v>
      </c>
      <c r="AM297" s="171">
        <v>1</v>
      </c>
      <c r="AN297" s="171">
        <v>1</v>
      </c>
      <c r="AO297" s="171">
        <v>1</v>
      </c>
      <c r="AP297" s="171">
        <v>1</v>
      </c>
      <c r="AQ297" s="171">
        <v>1</v>
      </c>
      <c r="AR297" s="171">
        <v>1</v>
      </c>
      <c r="AS297" s="171">
        <v>1</v>
      </c>
      <c r="AT297" s="171">
        <v>1</v>
      </c>
      <c r="AU297" s="171">
        <f t="shared" si="58"/>
        <v>1</v>
      </c>
      <c r="AV297" s="171">
        <f t="shared" si="59"/>
        <v>1</v>
      </c>
      <c r="AW297" s="171">
        <f t="shared" si="60"/>
        <v>1</v>
      </c>
      <c r="AX297" s="171">
        <f t="shared" si="100"/>
        <v>1</v>
      </c>
      <c r="AY297" s="171">
        <f t="shared" si="61"/>
        <v>0</v>
      </c>
      <c r="AZ297" s="171">
        <f t="shared" si="62"/>
        <v>1</v>
      </c>
      <c r="BA297" s="172">
        <f t="shared" si="63"/>
        <v>0</v>
      </c>
      <c r="BB297" s="175">
        <f t="shared" si="72"/>
        <v>16</v>
      </c>
      <c r="BC297" s="176">
        <f t="shared" si="73"/>
        <v>16</v>
      </c>
      <c r="BD297" s="176">
        <f t="shared" si="74"/>
        <v>16</v>
      </c>
      <c r="BE297" s="240" t="str">
        <f t="shared" si="124"/>
        <v/>
      </c>
      <c r="BH297" s="199">
        <f>IF(AND(Input_Product=Elig!$C297,Elig_MatchAll_Ct&lt;22,$BC297=(Elig_MatchAll_Ct-1),AF297=0),C297,0)</f>
        <v>0</v>
      </c>
      <c r="BI297" s="199">
        <f>IF(AND(Input_Product=Elig!$C297,Elig_MatchAll_Ct&lt;22,$BC297=(Elig_MatchAll_Ct-1),AG297=0),D297,0)</f>
        <v>0</v>
      </c>
      <c r="BJ297" s="199">
        <f>IF(AND(Input_Product=Elig!$C297,Elig_MatchAll_Ct&lt;22,$BC297=(Elig_MatchAll_Ct-1),AH297=0),E297,0)</f>
        <v>0</v>
      </c>
      <c r="BK297" s="199">
        <f>IF(AND(Input_Product=Elig!$C297,Elig_MatchAll_Ct&lt;22,$BC297=(Elig_MatchAll_Ct-1),AI297=0),F297,0)</f>
        <v>0</v>
      </c>
      <c r="BL297" s="199">
        <f>IF(AND(Input_Product=Elig!$C297,Elig_MatchAll_Ct&lt;22,$BC297=(Elig_MatchAll_Ct-1),AJ297=0),G297,0)</f>
        <v>0</v>
      </c>
      <c r="BM297" s="199">
        <f>IF(AND(Input_Product=Elig!$C297,Elig_MatchAll_Ct&lt;22,$BC297=(Elig_MatchAll_Ct-1),AK297=0),H297,0)</f>
        <v>0</v>
      </c>
      <c r="BN297" s="199">
        <f>IF(AND(Input_Product=Elig!$C297,Elig_MatchAll_Ct&lt;22,$BC297=(Elig_MatchAll_Ct-1),AL297=0),I297,0)</f>
        <v>0</v>
      </c>
      <c r="BO297" s="199">
        <f>IF(AND(Input_Product=Elig!$C297,Elig_MatchAll_Ct&lt;22,$BC297=(Elig_MatchAll_Ct-1),AM297=0),J297,0)</f>
        <v>0</v>
      </c>
      <c r="BP297" s="199">
        <f>IF(AND(Input_Product=Elig!$C297,Elig_MatchAll_Ct&lt;22,$BC297=(Elig_MatchAll_Ct-1),AN297=0),K297,0)</f>
        <v>0</v>
      </c>
      <c r="BQ297" s="199">
        <f>IF(AND(Input_Product=Elig!$C297,Elig_MatchAll_Ct&lt;22,$BC297=(Elig_MatchAll_Ct-1),AP297=0),L297,0)</f>
        <v>0</v>
      </c>
      <c r="BR297" s="199">
        <f>IF(AND(Input_Product=Elig!$C297,Elig_MatchAll_Ct&lt;22,$BC297=(Elig_MatchAll_Ct-1),AO297=0),M297,0)</f>
        <v>0</v>
      </c>
      <c r="BS297" s="199">
        <f>IF(AND(Input_Product=Elig!$C297,Elig_MatchAll_Ct&lt;22,$BC297=(Elig_MatchAll_Ct-1),AQ297=0),N297,0)</f>
        <v>0</v>
      </c>
      <c r="BT297" s="199">
        <f>IF(AND(Input_Product=Elig!$C297,Elig_MatchAll_Ct&lt;22,$BC297=(Elig_MatchAll_Ct-1),AR297=0),O297,0)</f>
        <v>0</v>
      </c>
      <c r="BU297" s="199">
        <f>IF(AND(Input_Product=Elig!$C297,Elig_MatchAll_Ct&lt;22,$BC297=(Elig_MatchAll_Ct-1),AS297=0),P297,0)</f>
        <v>0</v>
      </c>
      <c r="BV297" s="200">
        <f>IF(AND(Input_Product=Elig!$C297,Elig_MatchAll_Ct&lt;22,$BC297=(Elig_MatchAll_Ct-1),AT297=0),Q297,0)</f>
        <v>0</v>
      </c>
      <c r="BW297" s="201">
        <f>IF(AND(Input_Product=Elig!$C297,Elig_MatchAll_Ct&lt;22,$BC297=(Elig_MatchAll_Ct-1),AU297=0),R297,0)</f>
        <v>0</v>
      </c>
      <c r="BX297" s="202">
        <f>IF(AND(Input_Product=Elig!$C297,Elig_MatchAll_Ct&lt;22,$BC297=(Elig_MatchAll_Ct-1),AU297=0),S297,0)</f>
        <v>0</v>
      </c>
      <c r="BY297" s="201">
        <f>IF(AND(Input_Product=Elig!$C297,Elig_MatchAll_Ct&lt;22,$BC297=(Elig_MatchAll_Ct-1),AV297=0),T297,0)</f>
        <v>0</v>
      </c>
      <c r="BZ297" s="202">
        <f>IF(AND(Input_Product=Elig!$C297,Elig_MatchAll_Ct&lt;22,$BC297=(Elig_MatchAll_Ct-1),AV297=0),U297,0)</f>
        <v>0</v>
      </c>
      <c r="CA297" s="201">
        <f>IF(AND(Input_Product=Elig!$C297,Elig_MatchAll_Ct&lt;22,$BC297=(Elig_MatchAll_Ct-1),AW297=0),V297,0)</f>
        <v>0</v>
      </c>
      <c r="CB297" s="202">
        <f>IF(AND(Input_Product=Elig!$C297,Elig_MatchAll_Ct&lt;22,$BC297=(Elig_MatchAll_Ct-1),AW297=0),W297,0)</f>
        <v>0</v>
      </c>
      <c r="CC297" s="201">
        <f>IF(AND(Input_Product=Elig!$C297,Elig_MatchAll_Ct&lt;22,$BC297=(Elig_MatchAll_Ct-1),AX297=0),X297,0)</f>
        <v>0</v>
      </c>
      <c r="CD297" s="202">
        <f>IF(AND(Input_Product=Elig!$C297,Elig_MatchAll_Ct&lt;22,$BC297=(Elig_MatchAll_Ct-1),AX297=0),Y297,0)</f>
        <v>0</v>
      </c>
      <c r="CE297" s="201">
        <f>IF(AND(Input_LTV&lt;=AE297,Input_Product=Elig!$C297,Elig_MatchAll_Ct&lt;22,$BC297=(Elig_MatchAll_Ct-1),AY297=0),Z297,0)</f>
        <v>0</v>
      </c>
      <c r="CF297" s="202">
        <f>IF(AND(Input_LTV&lt;=AE297,Input_Product=Elig!$C297,Elig_MatchAll_Ct&lt;22,$BC297=(Elig_MatchAll_Ct-1),AY297=0),AA297,0)</f>
        <v>0</v>
      </c>
      <c r="CG297" s="201">
        <f>IF(AND(Input_Product=Elig!$C297,Elig_MatchAll_Ct&lt;22,$BC297=(Elig_MatchAll_Ct-1),AZ297=0),AB297,0)</f>
        <v>0</v>
      </c>
      <c r="CH297" s="202">
        <f>IF(AND(Input_Product=Elig!$C297,Elig_MatchAll_Ct&lt;22,$BC297=(Elig_MatchAll_Ct-1),AZ297=0),AC297,0)</f>
        <v>0</v>
      </c>
      <c r="CI297" s="201">
        <f>IF(AND(Input_Product=Elig!$C297,Elig_MatchAll_Ct&lt;22,$BC297=(Elig_MatchAll_Ct-1),BA297=0),AD297,0)</f>
        <v>0</v>
      </c>
      <c r="CJ297" s="202">
        <f>IF(AND(Input_Product=Elig!$C297,Elig_MatchAll_Ct&lt;22,$BC297=(Elig_MatchAll_Ct-1),BA297=0),AE297,0)</f>
        <v>0</v>
      </c>
    </row>
    <row r="298" spans="2:88" ht="10.15" customHeight="1" x14ac:dyDescent="0.25">
      <c r="B298" s="287" t="s">
        <v>994</v>
      </c>
      <c r="C298" s="291" t="str">
        <f t="shared" si="132"/>
        <v>NonQM NOO</v>
      </c>
      <c r="D298" s="292" t="s">
        <v>3885</v>
      </c>
      <c r="E298" s="292" t="s">
        <v>167</v>
      </c>
      <c r="F298" s="292" t="s">
        <v>330</v>
      </c>
      <c r="G298" s="324" t="s">
        <v>304</v>
      </c>
      <c r="H298" s="292" t="s">
        <v>446</v>
      </c>
      <c r="I298" s="292" t="s">
        <v>16</v>
      </c>
      <c r="J298" s="292" t="s">
        <v>1311</v>
      </c>
      <c r="K298" s="292" t="s">
        <v>1631</v>
      </c>
      <c r="L298" s="324" t="s">
        <v>312</v>
      </c>
      <c r="M298" s="292" t="s">
        <v>4203</v>
      </c>
      <c r="N298" s="292" t="s">
        <v>2685</v>
      </c>
      <c r="O298" s="292" t="s">
        <v>310</v>
      </c>
      <c r="P298" s="292" t="s">
        <v>291</v>
      </c>
      <c r="Q298" s="292" t="s">
        <v>294</v>
      </c>
      <c r="R298" s="324">
        <v>100000</v>
      </c>
      <c r="S298" s="292">
        <v>1000000</v>
      </c>
      <c r="T298" s="292">
        <v>0</v>
      </c>
      <c r="U298" s="292">
        <f t="shared" si="134"/>
        <v>1000000</v>
      </c>
      <c r="V298" s="292">
        <v>0</v>
      </c>
      <c r="W298" s="292">
        <v>50</v>
      </c>
      <c r="X298" s="292">
        <v>0</v>
      </c>
      <c r="Y298" s="292">
        <v>999</v>
      </c>
      <c r="Z298" s="293">
        <v>620</v>
      </c>
      <c r="AA298" s="293">
        <v>639</v>
      </c>
      <c r="AB298" s="293">
        <v>3</v>
      </c>
      <c r="AC298" s="293">
        <v>999999</v>
      </c>
      <c r="AD298" s="292">
        <v>0</v>
      </c>
      <c r="AE298" s="294">
        <v>-999</v>
      </c>
      <c r="AF298" s="170">
        <v>0</v>
      </c>
      <c r="AG298" s="171">
        <v>1</v>
      </c>
      <c r="AH298" s="171">
        <v>1</v>
      </c>
      <c r="AI298" s="171">
        <v>0</v>
      </c>
      <c r="AJ298" s="171">
        <v>0</v>
      </c>
      <c r="AK298" s="171">
        <v>0</v>
      </c>
      <c r="AL298" s="171">
        <v>1</v>
      </c>
      <c r="AM298" s="171">
        <v>1</v>
      </c>
      <c r="AN298" s="171">
        <v>1</v>
      </c>
      <c r="AO298" s="171">
        <v>1</v>
      </c>
      <c r="AP298" s="171">
        <v>1</v>
      </c>
      <c r="AQ298" s="171">
        <v>1</v>
      </c>
      <c r="AR298" s="171">
        <v>1</v>
      </c>
      <c r="AS298" s="171">
        <v>1</v>
      </c>
      <c r="AT298" s="171">
        <v>1</v>
      </c>
      <c r="AU298" s="171">
        <f t="shared" si="58"/>
        <v>1</v>
      </c>
      <c r="AV298" s="171">
        <f t="shared" si="59"/>
        <v>1</v>
      </c>
      <c r="AW298" s="171">
        <f t="shared" si="60"/>
        <v>1</v>
      </c>
      <c r="AX298" s="171">
        <f t="shared" si="100"/>
        <v>1</v>
      </c>
      <c r="AY298" s="171">
        <f t="shared" si="61"/>
        <v>0</v>
      </c>
      <c r="AZ298" s="171">
        <f t="shared" si="62"/>
        <v>1</v>
      </c>
      <c r="BA298" s="172">
        <f t="shared" si="63"/>
        <v>0</v>
      </c>
      <c r="BB298" s="175">
        <f t="shared" si="72"/>
        <v>16</v>
      </c>
      <c r="BC298" s="176">
        <f t="shared" si="73"/>
        <v>16</v>
      </c>
      <c r="BD298" s="176">
        <f t="shared" si="74"/>
        <v>16</v>
      </c>
      <c r="BE298" s="240" t="str">
        <f t="shared" si="124"/>
        <v/>
      </c>
      <c r="BH298" s="214">
        <f>IF(AND(Input_Product=Elig!$C298,Elig_MatchAll_Ct&lt;22,$BC298=(Elig_MatchAll_Ct-1),AF298=0),C298,0)</f>
        <v>0</v>
      </c>
      <c r="BI298" s="214">
        <f>IF(AND(Input_Product=Elig!$C298,Elig_MatchAll_Ct&lt;22,$BC298=(Elig_MatchAll_Ct-1),AG298=0),D298,0)</f>
        <v>0</v>
      </c>
      <c r="BJ298" s="214">
        <f>IF(AND(Input_Product=Elig!$C298,Elig_MatchAll_Ct&lt;22,$BC298=(Elig_MatchAll_Ct-1),AH298=0),E298,0)</f>
        <v>0</v>
      </c>
      <c r="BK298" s="214">
        <f>IF(AND(Input_Product=Elig!$C298,Elig_MatchAll_Ct&lt;22,$BC298=(Elig_MatchAll_Ct-1),AI298=0),F298,0)</f>
        <v>0</v>
      </c>
      <c r="BL298" s="214">
        <f>IF(AND(Input_Product=Elig!$C298,Elig_MatchAll_Ct&lt;22,$BC298=(Elig_MatchAll_Ct-1),AJ298=0),G298,0)</f>
        <v>0</v>
      </c>
      <c r="BM298" s="214">
        <f>IF(AND(Input_Product=Elig!$C298,Elig_MatchAll_Ct&lt;22,$BC298=(Elig_MatchAll_Ct-1),AK298=0),H298,0)</f>
        <v>0</v>
      </c>
      <c r="BN298" s="214">
        <f>IF(AND(Input_Product=Elig!$C298,Elig_MatchAll_Ct&lt;22,$BC298=(Elig_MatchAll_Ct-1),AL298=0),I298,0)</f>
        <v>0</v>
      </c>
      <c r="BO298" s="214">
        <f>IF(AND(Input_Product=Elig!$C298,Elig_MatchAll_Ct&lt;22,$BC298=(Elig_MatchAll_Ct-1),AM298=0),J298,0)</f>
        <v>0</v>
      </c>
      <c r="BP298" s="214">
        <f>IF(AND(Input_Product=Elig!$C298,Elig_MatchAll_Ct&lt;22,$BC298=(Elig_MatchAll_Ct-1),AN298=0),K298,0)</f>
        <v>0</v>
      </c>
      <c r="BQ298" s="214">
        <f>IF(AND(Input_Product=Elig!$C298,Elig_MatchAll_Ct&lt;22,$BC298=(Elig_MatchAll_Ct-1),AP298=0),L298,0)</f>
        <v>0</v>
      </c>
      <c r="BR298" s="214">
        <f>IF(AND(Input_Product=Elig!$C298,Elig_MatchAll_Ct&lt;22,$BC298=(Elig_MatchAll_Ct-1),AO298=0),M298,0)</f>
        <v>0</v>
      </c>
      <c r="BS298" s="214">
        <f>IF(AND(Input_Product=Elig!$C298,Elig_MatchAll_Ct&lt;22,$BC298=(Elig_MatchAll_Ct-1),AQ298=0),N298,0)</f>
        <v>0</v>
      </c>
      <c r="BT298" s="214">
        <f>IF(AND(Input_Product=Elig!$C298,Elig_MatchAll_Ct&lt;22,$BC298=(Elig_MatchAll_Ct-1),AR298=0),O298,0)</f>
        <v>0</v>
      </c>
      <c r="BU298" s="214">
        <f>IF(AND(Input_Product=Elig!$C298,Elig_MatchAll_Ct&lt;22,$BC298=(Elig_MatchAll_Ct-1),AS298=0),P298,0)</f>
        <v>0</v>
      </c>
      <c r="BV298" s="215">
        <f>IF(AND(Input_Product=Elig!$C298,Elig_MatchAll_Ct&lt;22,$BC298=(Elig_MatchAll_Ct-1),AT298=0),Q298,0)</f>
        <v>0</v>
      </c>
      <c r="BW298" s="207">
        <f>IF(AND(Input_Product=Elig!$C298,Elig_MatchAll_Ct&lt;22,$BC298=(Elig_MatchAll_Ct-1),AU298=0),R298,0)</f>
        <v>0</v>
      </c>
      <c r="BX298" s="208">
        <f>IF(AND(Input_Product=Elig!$C298,Elig_MatchAll_Ct&lt;22,$BC298=(Elig_MatchAll_Ct-1),AU298=0),S298,0)</f>
        <v>0</v>
      </c>
      <c r="BY298" s="207">
        <f>IF(AND(Input_Product=Elig!$C298,Elig_MatchAll_Ct&lt;22,$BC298=(Elig_MatchAll_Ct-1),AV298=0),T298,0)</f>
        <v>0</v>
      </c>
      <c r="BZ298" s="208">
        <f>IF(AND(Input_Product=Elig!$C298,Elig_MatchAll_Ct&lt;22,$BC298=(Elig_MatchAll_Ct-1),AV298=0),U298,0)</f>
        <v>0</v>
      </c>
      <c r="CA298" s="207">
        <f>IF(AND(Input_Product=Elig!$C298,Elig_MatchAll_Ct&lt;22,$BC298=(Elig_MatchAll_Ct-1),AW298=0),V298,0)</f>
        <v>0</v>
      </c>
      <c r="CB298" s="208">
        <f>IF(AND(Input_Product=Elig!$C298,Elig_MatchAll_Ct&lt;22,$BC298=(Elig_MatchAll_Ct-1),AW298=0),W298,0)</f>
        <v>0</v>
      </c>
      <c r="CC298" s="207">
        <f>IF(AND(Input_Product=Elig!$C298,Elig_MatchAll_Ct&lt;22,$BC298=(Elig_MatchAll_Ct-1),AX298=0),X298,0)</f>
        <v>0</v>
      </c>
      <c r="CD298" s="208">
        <f>IF(AND(Input_Product=Elig!$C298,Elig_MatchAll_Ct&lt;22,$BC298=(Elig_MatchAll_Ct-1),AX298=0),Y298,0)</f>
        <v>0</v>
      </c>
      <c r="CE298" s="207">
        <f>IF(AND(Input_LTV&lt;=AE298,Input_Product=Elig!$C298,Elig_MatchAll_Ct&lt;22,$BC298=(Elig_MatchAll_Ct-1),AY298=0),Z298,0)</f>
        <v>0</v>
      </c>
      <c r="CF298" s="208">
        <f>IF(AND(Input_LTV&lt;=AE298,Input_Product=Elig!$C298,Elig_MatchAll_Ct&lt;22,$BC298=(Elig_MatchAll_Ct-1),AY298=0),AA298,0)</f>
        <v>0</v>
      </c>
      <c r="CG298" s="207">
        <f>IF(AND(Input_Product=Elig!$C298,Elig_MatchAll_Ct&lt;22,$BC298=(Elig_MatchAll_Ct-1),AZ298=0),AB298,0)</f>
        <v>0</v>
      </c>
      <c r="CH298" s="208">
        <f>IF(AND(Input_Product=Elig!$C298,Elig_MatchAll_Ct&lt;22,$BC298=(Elig_MatchAll_Ct-1),AZ298=0),AC298,0)</f>
        <v>0</v>
      </c>
      <c r="CI298" s="207">
        <f>IF(AND(Input_Product=Elig!$C298,Elig_MatchAll_Ct&lt;22,$BC298=(Elig_MatchAll_Ct-1),BA298=0),AD298,0)</f>
        <v>0</v>
      </c>
      <c r="CJ298" s="209">
        <f>IF(AND(Input_Product=Elig!$C298,Elig_MatchAll_Ct&lt;22,$BC298=(Elig_MatchAll_Ct-1),BA298=0),AE298,0)</f>
        <v>0</v>
      </c>
    </row>
    <row r="299" spans="2:88" ht="10.15" customHeight="1" x14ac:dyDescent="0.25">
      <c r="B299" s="287" t="s">
        <v>995</v>
      </c>
      <c r="C299" s="281" t="str">
        <f t="shared" si="132"/>
        <v>NonQM NOO</v>
      </c>
      <c r="D299" s="282" t="s">
        <v>3885</v>
      </c>
      <c r="E299" s="283" t="s">
        <v>167</v>
      </c>
      <c r="F299" s="283" t="s">
        <v>330</v>
      </c>
      <c r="G299" s="2103" t="s">
        <v>468</v>
      </c>
      <c r="H299" s="283" t="s">
        <v>136</v>
      </c>
      <c r="I299" s="282" t="s">
        <v>274</v>
      </c>
      <c r="J299" s="282" t="s">
        <v>1311</v>
      </c>
      <c r="K299" s="282" t="s">
        <v>1631</v>
      </c>
      <c r="L299" s="2103" t="s">
        <v>312</v>
      </c>
      <c r="M299" s="283" t="s">
        <v>4203</v>
      </c>
      <c r="N299" s="283" t="s">
        <v>2685</v>
      </c>
      <c r="O299" s="283" t="s">
        <v>310</v>
      </c>
      <c r="P299" s="283" t="s">
        <v>291</v>
      </c>
      <c r="Q299" s="283" t="s">
        <v>294</v>
      </c>
      <c r="R299" s="323">
        <v>100000</v>
      </c>
      <c r="S299" s="282">
        <v>1000000</v>
      </c>
      <c r="T299" s="282">
        <v>0</v>
      </c>
      <c r="U299" s="282">
        <v>0</v>
      </c>
      <c r="V299" s="282">
        <v>0</v>
      </c>
      <c r="W299" s="282">
        <v>55</v>
      </c>
      <c r="X299" s="282">
        <v>0</v>
      </c>
      <c r="Y299" s="282">
        <v>999</v>
      </c>
      <c r="Z299" s="284">
        <v>720</v>
      </c>
      <c r="AA299" s="284">
        <v>999</v>
      </c>
      <c r="AB299" s="284">
        <v>3</v>
      </c>
      <c r="AC299" s="284">
        <v>999999</v>
      </c>
      <c r="AD299" s="282">
        <v>0</v>
      </c>
      <c r="AE299" s="2104">
        <v>85</v>
      </c>
      <c r="AF299" s="170">
        <v>0</v>
      </c>
      <c r="AG299" s="171">
        <v>1</v>
      </c>
      <c r="AH299" s="171">
        <v>1</v>
      </c>
      <c r="AI299" s="171">
        <v>0</v>
      </c>
      <c r="AJ299" s="171">
        <v>0</v>
      </c>
      <c r="AK299" s="171">
        <v>1</v>
      </c>
      <c r="AL299" s="171">
        <v>0</v>
      </c>
      <c r="AM299" s="171">
        <v>1</v>
      </c>
      <c r="AN299" s="171">
        <v>1</v>
      </c>
      <c r="AO299" s="171">
        <v>1</v>
      </c>
      <c r="AP299" s="171">
        <v>1</v>
      </c>
      <c r="AQ299" s="171">
        <v>1</v>
      </c>
      <c r="AR299" s="171">
        <v>1</v>
      </c>
      <c r="AS299" s="171">
        <v>1</v>
      </c>
      <c r="AT299" s="171">
        <v>1</v>
      </c>
      <c r="AU299" s="171">
        <f t="shared" si="58"/>
        <v>1</v>
      </c>
      <c r="AV299" s="171">
        <f t="shared" si="59"/>
        <v>0</v>
      </c>
      <c r="AW299" s="171">
        <f t="shared" si="60"/>
        <v>1</v>
      </c>
      <c r="AX299" s="171">
        <f t="shared" si="100"/>
        <v>1</v>
      </c>
      <c r="AY299" s="171">
        <f t="shared" si="61"/>
        <v>1</v>
      </c>
      <c r="AZ299" s="171">
        <f t="shared" si="62"/>
        <v>1</v>
      </c>
      <c r="BA299" s="172">
        <f t="shared" si="63"/>
        <v>1</v>
      </c>
      <c r="BB299" s="175">
        <f t="shared" ref="BB299:BB310" si="135">SUM(AF299:BA299)</f>
        <v>17</v>
      </c>
      <c r="BC299" s="176">
        <f t="shared" ref="BC299:BC310" si="136">SUM(AF299:AZ299)</f>
        <v>16</v>
      </c>
      <c r="BD299" s="176">
        <f t="shared" ref="BD299:BD310" si="137">SUM(AG299:BA299)</f>
        <v>17</v>
      </c>
      <c r="BE299" s="240" t="str">
        <f t="shared" si="124"/>
        <v/>
      </c>
      <c r="BH299" s="216">
        <f>IF(AND(Input_Product=Elig!$C299,Elig_MatchAll_Ct&lt;22,$BC299=(Elig_MatchAll_Ct-1),AF299=0),C299,0)</f>
        <v>0</v>
      </c>
      <c r="BI299" s="216">
        <f>IF(AND(Input_Product=Elig!$C299,Elig_MatchAll_Ct&lt;22,$BC299=(Elig_MatchAll_Ct-1),AG299=0),D299,0)</f>
        <v>0</v>
      </c>
      <c r="BJ299" s="216">
        <f>IF(AND(Input_Product=Elig!$C299,Elig_MatchAll_Ct&lt;22,$BC299=(Elig_MatchAll_Ct-1),AH299=0),E299,0)</f>
        <v>0</v>
      </c>
      <c r="BK299" s="216">
        <f>IF(AND(Input_Product=Elig!$C299,Elig_MatchAll_Ct&lt;22,$BC299=(Elig_MatchAll_Ct-1),AI299=0),F299,0)</f>
        <v>0</v>
      </c>
      <c r="BL299" s="216">
        <f>IF(AND(Input_Product=Elig!$C299,Elig_MatchAll_Ct&lt;22,$BC299=(Elig_MatchAll_Ct-1),AJ299=0),G299,0)</f>
        <v>0</v>
      </c>
      <c r="BM299" s="216">
        <f>IF(AND(Input_Product=Elig!$C299,Elig_MatchAll_Ct&lt;22,$BC299=(Elig_MatchAll_Ct-1),AK299=0),H299,0)</f>
        <v>0</v>
      </c>
      <c r="BN299" s="216">
        <f>IF(AND(Input_Product=Elig!$C299,Elig_MatchAll_Ct&lt;22,$BC299=(Elig_MatchAll_Ct-1),AL299=0),I299,0)</f>
        <v>0</v>
      </c>
      <c r="BO299" s="216">
        <f>IF(AND(Input_Product=Elig!$C299,Elig_MatchAll_Ct&lt;22,$BC299=(Elig_MatchAll_Ct-1),AM299=0),J299,0)</f>
        <v>0</v>
      </c>
      <c r="BP299" s="216">
        <f>IF(AND(Input_Product=Elig!$C299,Elig_MatchAll_Ct&lt;22,$BC299=(Elig_MatchAll_Ct-1),AN299=0),K299,0)</f>
        <v>0</v>
      </c>
      <c r="BQ299" s="216">
        <f>IF(AND(Input_Product=Elig!$C299,Elig_MatchAll_Ct&lt;22,$BC299=(Elig_MatchAll_Ct-1),AP299=0),L299,0)</f>
        <v>0</v>
      </c>
      <c r="BR299" s="216">
        <f>IF(AND(Input_Product=Elig!$C299,Elig_MatchAll_Ct&lt;22,$BC299=(Elig_MatchAll_Ct-1),AO299=0),M299,0)</f>
        <v>0</v>
      </c>
      <c r="BS299" s="216">
        <f>IF(AND(Input_Product=Elig!$C299,Elig_MatchAll_Ct&lt;22,$BC299=(Elig_MatchAll_Ct-1),AQ299=0),N299,0)</f>
        <v>0</v>
      </c>
      <c r="BT299" s="216">
        <f>IF(AND(Input_Product=Elig!$C299,Elig_MatchAll_Ct&lt;22,$BC299=(Elig_MatchAll_Ct-1),AR299=0),O299,0)</f>
        <v>0</v>
      </c>
      <c r="BU299" s="216">
        <f>IF(AND(Input_Product=Elig!$C299,Elig_MatchAll_Ct&lt;22,$BC299=(Elig_MatchAll_Ct-1),AS299=0),P299,0)</f>
        <v>0</v>
      </c>
      <c r="BV299" s="217">
        <f>IF(AND(Input_Product=Elig!$C299,Elig_MatchAll_Ct&lt;22,$BC299=(Elig_MatchAll_Ct-1),AT299=0),Q299,0)</f>
        <v>0</v>
      </c>
      <c r="BW299" s="212">
        <f>IF(AND(Input_Product=Elig!$C299,Elig_MatchAll_Ct&lt;22,$BC299=(Elig_MatchAll_Ct-1),AU299=0),R299,0)</f>
        <v>0</v>
      </c>
      <c r="BX299" s="213">
        <f>IF(AND(Input_Product=Elig!$C299,Elig_MatchAll_Ct&lt;22,$BC299=(Elig_MatchAll_Ct-1),AU299=0),S299,0)</f>
        <v>0</v>
      </c>
      <c r="BY299" s="212">
        <f>IF(AND(Input_Product=Elig!$C299,Elig_MatchAll_Ct&lt;22,$BC299=(Elig_MatchAll_Ct-1),AV299=0),T299,0)</f>
        <v>0</v>
      </c>
      <c r="BZ299" s="213">
        <f>IF(AND(Input_Product=Elig!$C299,Elig_MatchAll_Ct&lt;22,$BC299=(Elig_MatchAll_Ct-1),AV299=0),U299,0)</f>
        <v>0</v>
      </c>
      <c r="CA299" s="212">
        <f>IF(AND(Input_Product=Elig!$C299,Elig_MatchAll_Ct&lt;22,$BC299=(Elig_MatchAll_Ct-1),AW299=0),V299,0)</f>
        <v>0</v>
      </c>
      <c r="CB299" s="213">
        <f>IF(AND(Input_Product=Elig!$C299,Elig_MatchAll_Ct&lt;22,$BC299=(Elig_MatchAll_Ct-1),AW299=0),W299,0)</f>
        <v>0</v>
      </c>
      <c r="CC299" s="212">
        <f>IF(AND(Input_Product=Elig!$C299,Elig_MatchAll_Ct&lt;22,$BC299=(Elig_MatchAll_Ct-1),AX299=0),X299,0)</f>
        <v>0</v>
      </c>
      <c r="CD299" s="213">
        <f>IF(AND(Input_Product=Elig!$C299,Elig_MatchAll_Ct&lt;22,$BC299=(Elig_MatchAll_Ct-1),AX299=0),Y299,0)</f>
        <v>0</v>
      </c>
      <c r="CE299" s="212">
        <f>IF(AND(Input_LTV&lt;=AE299,Input_Product=Elig!$C299,Elig_MatchAll_Ct&lt;22,$BC299=(Elig_MatchAll_Ct-1),AY299=0),Z299,0)</f>
        <v>0</v>
      </c>
      <c r="CF299" s="213">
        <f>IF(AND(Input_LTV&lt;=AE299,Input_Product=Elig!$C299,Elig_MatchAll_Ct&lt;22,$BC299=(Elig_MatchAll_Ct-1),AY299=0),AA299,0)</f>
        <v>0</v>
      </c>
      <c r="CG299" s="212">
        <f>IF(AND(Input_Product=Elig!$C299,Elig_MatchAll_Ct&lt;22,$BC299=(Elig_MatchAll_Ct-1),AZ299=0),AB299,0)</f>
        <v>0</v>
      </c>
      <c r="CH299" s="213">
        <f>IF(AND(Input_Product=Elig!$C299,Elig_MatchAll_Ct&lt;22,$BC299=(Elig_MatchAll_Ct-1),AZ299=0),AC299,0)</f>
        <v>0</v>
      </c>
      <c r="CI299" s="212">
        <f>IF(AND(Input_Product=Elig!$C299,Elig_MatchAll_Ct&lt;22,$BC299=(Elig_MatchAll_Ct-1),BA299=0),AD299,0)</f>
        <v>0</v>
      </c>
      <c r="CJ299" s="213">
        <f>IF(AND(Input_Product=Elig!$C299,Elig_MatchAll_Ct&lt;22,$BC299=(Elig_MatchAll_Ct-1),BA299=0),AE299,0)</f>
        <v>0</v>
      </c>
    </row>
    <row r="300" spans="2:88" ht="10.15" customHeight="1" x14ac:dyDescent="0.25">
      <c r="B300" s="287" t="s">
        <v>996</v>
      </c>
      <c r="C300" s="286" t="str">
        <f t="shared" si="132"/>
        <v>NonQM NOO</v>
      </c>
      <c r="D300" s="287" t="s">
        <v>3885</v>
      </c>
      <c r="E300" s="287" t="s">
        <v>167</v>
      </c>
      <c r="F300" s="287" t="s">
        <v>330</v>
      </c>
      <c r="G300" s="300" t="s">
        <v>468</v>
      </c>
      <c r="H300" s="287" t="s">
        <v>136</v>
      </c>
      <c r="I300" s="288" t="s">
        <v>274</v>
      </c>
      <c r="J300" s="288" t="s">
        <v>1311</v>
      </c>
      <c r="K300" s="288" t="s">
        <v>1631</v>
      </c>
      <c r="L300" s="300" t="s">
        <v>312</v>
      </c>
      <c r="M300" s="287" t="s">
        <v>4203</v>
      </c>
      <c r="N300" s="287" t="s">
        <v>2685</v>
      </c>
      <c r="O300" s="287" t="s">
        <v>310</v>
      </c>
      <c r="P300" s="287" t="s">
        <v>291</v>
      </c>
      <c r="Q300" s="287" t="s">
        <v>294</v>
      </c>
      <c r="R300" s="300">
        <v>100000</v>
      </c>
      <c r="S300" s="287">
        <v>1000000</v>
      </c>
      <c r="T300" s="287">
        <v>0</v>
      </c>
      <c r="U300" s="287">
        <v>0</v>
      </c>
      <c r="V300" s="287">
        <v>0</v>
      </c>
      <c r="W300" s="287">
        <v>55</v>
      </c>
      <c r="X300" s="287">
        <v>0</v>
      </c>
      <c r="Y300" s="287">
        <v>999</v>
      </c>
      <c r="Z300" s="289">
        <v>700</v>
      </c>
      <c r="AA300" s="289">
        <v>719</v>
      </c>
      <c r="AB300" s="289">
        <v>3</v>
      </c>
      <c r="AC300" s="289">
        <v>999999</v>
      </c>
      <c r="AD300" s="287">
        <v>0</v>
      </c>
      <c r="AE300" s="2105">
        <v>85</v>
      </c>
      <c r="AF300" s="170">
        <v>0</v>
      </c>
      <c r="AG300" s="171">
        <v>1</v>
      </c>
      <c r="AH300" s="171">
        <v>1</v>
      </c>
      <c r="AI300" s="171">
        <v>0</v>
      </c>
      <c r="AJ300" s="171">
        <v>0</v>
      </c>
      <c r="AK300" s="171">
        <v>1</v>
      </c>
      <c r="AL300" s="171">
        <v>0</v>
      </c>
      <c r="AM300" s="171">
        <v>1</v>
      </c>
      <c r="AN300" s="171">
        <v>1</v>
      </c>
      <c r="AO300" s="171">
        <v>1</v>
      </c>
      <c r="AP300" s="171">
        <v>1</v>
      </c>
      <c r="AQ300" s="171">
        <v>1</v>
      </c>
      <c r="AR300" s="171">
        <v>1</v>
      </c>
      <c r="AS300" s="171">
        <v>1</v>
      </c>
      <c r="AT300" s="171">
        <v>1</v>
      </c>
      <c r="AU300" s="171">
        <f t="shared" si="58"/>
        <v>1</v>
      </c>
      <c r="AV300" s="171">
        <f t="shared" si="59"/>
        <v>0</v>
      </c>
      <c r="AW300" s="171">
        <f t="shared" si="60"/>
        <v>1</v>
      </c>
      <c r="AX300" s="171">
        <f t="shared" si="100"/>
        <v>1</v>
      </c>
      <c r="AY300" s="171">
        <f t="shared" si="61"/>
        <v>0</v>
      </c>
      <c r="AZ300" s="171">
        <f t="shared" si="62"/>
        <v>1</v>
      </c>
      <c r="BA300" s="172">
        <f t="shared" si="63"/>
        <v>1</v>
      </c>
      <c r="BB300" s="175">
        <f t="shared" si="135"/>
        <v>16</v>
      </c>
      <c r="BC300" s="176">
        <f t="shared" si="136"/>
        <v>15</v>
      </c>
      <c r="BD300" s="176">
        <f t="shared" si="137"/>
        <v>16</v>
      </c>
      <c r="BE300" s="240" t="str">
        <f t="shared" si="124"/>
        <v/>
      </c>
      <c r="BH300" s="199">
        <f>IF(AND(Input_Product=Elig!$C300,Elig_MatchAll_Ct&lt;22,$BC300=(Elig_MatchAll_Ct-1),AF300=0),C300,0)</f>
        <v>0</v>
      </c>
      <c r="BI300" s="199">
        <f>IF(AND(Input_Product=Elig!$C300,Elig_MatchAll_Ct&lt;22,$BC300=(Elig_MatchAll_Ct-1),AG300=0),D300,0)</f>
        <v>0</v>
      </c>
      <c r="BJ300" s="199">
        <f>IF(AND(Input_Product=Elig!$C300,Elig_MatchAll_Ct&lt;22,$BC300=(Elig_MatchAll_Ct-1),AH300=0),E300,0)</f>
        <v>0</v>
      </c>
      <c r="BK300" s="199">
        <f>IF(AND(Input_Product=Elig!$C300,Elig_MatchAll_Ct&lt;22,$BC300=(Elig_MatchAll_Ct-1),AI300=0),F300,0)</f>
        <v>0</v>
      </c>
      <c r="BL300" s="199">
        <f>IF(AND(Input_Product=Elig!$C300,Elig_MatchAll_Ct&lt;22,$BC300=(Elig_MatchAll_Ct-1),AJ300=0),G300,0)</f>
        <v>0</v>
      </c>
      <c r="BM300" s="199">
        <f>IF(AND(Input_Product=Elig!$C300,Elig_MatchAll_Ct&lt;22,$BC300=(Elig_MatchAll_Ct-1),AK300=0),H300,0)</f>
        <v>0</v>
      </c>
      <c r="BN300" s="199">
        <f>IF(AND(Input_Product=Elig!$C300,Elig_MatchAll_Ct&lt;22,$BC300=(Elig_MatchAll_Ct-1),AL300=0),I300,0)</f>
        <v>0</v>
      </c>
      <c r="BO300" s="199">
        <f>IF(AND(Input_Product=Elig!$C300,Elig_MatchAll_Ct&lt;22,$BC300=(Elig_MatchAll_Ct-1),AM300=0),J300,0)</f>
        <v>0</v>
      </c>
      <c r="BP300" s="199">
        <f>IF(AND(Input_Product=Elig!$C300,Elig_MatchAll_Ct&lt;22,$BC300=(Elig_MatchAll_Ct-1),AN300=0),K300,0)</f>
        <v>0</v>
      </c>
      <c r="BQ300" s="199">
        <f>IF(AND(Input_Product=Elig!$C300,Elig_MatchAll_Ct&lt;22,$BC300=(Elig_MatchAll_Ct-1),AP300=0),L300,0)</f>
        <v>0</v>
      </c>
      <c r="BR300" s="199">
        <f>IF(AND(Input_Product=Elig!$C300,Elig_MatchAll_Ct&lt;22,$BC300=(Elig_MatchAll_Ct-1),AO300=0),M300,0)</f>
        <v>0</v>
      </c>
      <c r="BS300" s="199">
        <f>IF(AND(Input_Product=Elig!$C300,Elig_MatchAll_Ct&lt;22,$BC300=(Elig_MatchAll_Ct-1),AQ300=0),N300,0)</f>
        <v>0</v>
      </c>
      <c r="BT300" s="199">
        <f>IF(AND(Input_Product=Elig!$C300,Elig_MatchAll_Ct&lt;22,$BC300=(Elig_MatchAll_Ct-1),AR300=0),O300,0)</f>
        <v>0</v>
      </c>
      <c r="BU300" s="199">
        <f>IF(AND(Input_Product=Elig!$C300,Elig_MatchAll_Ct&lt;22,$BC300=(Elig_MatchAll_Ct-1),AS300=0),P300,0)</f>
        <v>0</v>
      </c>
      <c r="BV300" s="200">
        <f>IF(AND(Input_Product=Elig!$C300,Elig_MatchAll_Ct&lt;22,$BC300=(Elig_MatchAll_Ct-1),AT300=0),Q300,0)</f>
        <v>0</v>
      </c>
      <c r="BW300" s="201">
        <f>IF(AND(Input_Product=Elig!$C300,Elig_MatchAll_Ct&lt;22,$BC300=(Elig_MatchAll_Ct-1),AU300=0),R300,0)</f>
        <v>0</v>
      </c>
      <c r="BX300" s="202">
        <f>IF(AND(Input_Product=Elig!$C300,Elig_MatchAll_Ct&lt;22,$BC300=(Elig_MatchAll_Ct-1),AU300=0),S300,0)</f>
        <v>0</v>
      </c>
      <c r="BY300" s="201">
        <f>IF(AND(Input_Product=Elig!$C300,Elig_MatchAll_Ct&lt;22,$BC300=(Elig_MatchAll_Ct-1),AV300=0),T300,0)</f>
        <v>0</v>
      </c>
      <c r="BZ300" s="202">
        <f>IF(AND(Input_Product=Elig!$C300,Elig_MatchAll_Ct&lt;22,$BC300=(Elig_MatchAll_Ct-1),AV300=0),U300,0)</f>
        <v>0</v>
      </c>
      <c r="CA300" s="201">
        <f>IF(AND(Input_Product=Elig!$C300,Elig_MatchAll_Ct&lt;22,$BC300=(Elig_MatchAll_Ct-1),AW300=0),V300,0)</f>
        <v>0</v>
      </c>
      <c r="CB300" s="202">
        <f>IF(AND(Input_Product=Elig!$C300,Elig_MatchAll_Ct&lt;22,$BC300=(Elig_MatchAll_Ct-1),AW300=0),W300,0)</f>
        <v>0</v>
      </c>
      <c r="CC300" s="201">
        <f>IF(AND(Input_Product=Elig!$C300,Elig_MatchAll_Ct&lt;22,$BC300=(Elig_MatchAll_Ct-1),AX300=0),X300,0)</f>
        <v>0</v>
      </c>
      <c r="CD300" s="202">
        <f>IF(AND(Input_Product=Elig!$C300,Elig_MatchAll_Ct&lt;22,$BC300=(Elig_MatchAll_Ct-1),AX300=0),Y300,0)</f>
        <v>0</v>
      </c>
      <c r="CE300" s="201">
        <f>IF(AND(Input_LTV&lt;=AE300,Input_Product=Elig!$C300,Elig_MatchAll_Ct&lt;22,$BC300=(Elig_MatchAll_Ct-1),AY300=0),Z300,0)</f>
        <v>0</v>
      </c>
      <c r="CF300" s="202">
        <f>IF(AND(Input_LTV&lt;=AE300,Input_Product=Elig!$C300,Elig_MatchAll_Ct&lt;22,$BC300=(Elig_MatchAll_Ct-1),AY300=0),AA300,0)</f>
        <v>0</v>
      </c>
      <c r="CG300" s="201">
        <f>IF(AND(Input_Product=Elig!$C300,Elig_MatchAll_Ct&lt;22,$BC300=(Elig_MatchAll_Ct-1),AZ300=0),AB300,0)</f>
        <v>0</v>
      </c>
      <c r="CH300" s="202">
        <f>IF(AND(Input_Product=Elig!$C300,Elig_MatchAll_Ct&lt;22,$BC300=(Elig_MatchAll_Ct-1),AZ300=0),AC300,0)</f>
        <v>0</v>
      </c>
      <c r="CI300" s="201">
        <f>IF(AND(Input_Product=Elig!$C300,Elig_MatchAll_Ct&lt;22,$BC300=(Elig_MatchAll_Ct-1),BA300=0),AD300,0)</f>
        <v>0</v>
      </c>
      <c r="CJ300" s="202">
        <f>IF(AND(Input_Product=Elig!$C300,Elig_MatchAll_Ct&lt;22,$BC300=(Elig_MatchAll_Ct-1),BA300=0),AE300,0)</f>
        <v>0</v>
      </c>
    </row>
    <row r="301" spans="2:88" ht="10.15" customHeight="1" x14ac:dyDescent="0.25">
      <c r="B301" s="287" t="s">
        <v>997</v>
      </c>
      <c r="C301" s="286" t="str">
        <f t="shared" si="132"/>
        <v>NonQM NOO</v>
      </c>
      <c r="D301" s="287" t="s">
        <v>3885</v>
      </c>
      <c r="E301" s="287" t="s">
        <v>167</v>
      </c>
      <c r="F301" s="287" t="s">
        <v>330</v>
      </c>
      <c r="G301" s="300" t="s">
        <v>468</v>
      </c>
      <c r="H301" s="287" t="s">
        <v>136</v>
      </c>
      <c r="I301" s="288" t="s">
        <v>274</v>
      </c>
      <c r="J301" s="288" t="s">
        <v>1311</v>
      </c>
      <c r="K301" s="288" t="s">
        <v>1631</v>
      </c>
      <c r="L301" s="300" t="s">
        <v>312</v>
      </c>
      <c r="M301" s="287" t="s">
        <v>4203</v>
      </c>
      <c r="N301" s="287" t="s">
        <v>2685</v>
      </c>
      <c r="O301" s="287" t="s">
        <v>310</v>
      </c>
      <c r="P301" s="287" t="s">
        <v>291</v>
      </c>
      <c r="Q301" s="287" t="s">
        <v>294</v>
      </c>
      <c r="R301" s="300">
        <v>100000</v>
      </c>
      <c r="S301" s="287">
        <v>1000000</v>
      </c>
      <c r="T301" s="287">
        <v>0</v>
      </c>
      <c r="U301" s="287">
        <v>0</v>
      </c>
      <c r="V301" s="287">
        <v>0</v>
      </c>
      <c r="W301" s="287">
        <v>55</v>
      </c>
      <c r="X301" s="287">
        <v>0</v>
      </c>
      <c r="Y301" s="287">
        <v>999</v>
      </c>
      <c r="Z301" s="289">
        <v>680</v>
      </c>
      <c r="AA301" s="289">
        <v>699</v>
      </c>
      <c r="AB301" s="289">
        <v>3</v>
      </c>
      <c r="AC301" s="289">
        <v>999999</v>
      </c>
      <c r="AD301" s="287">
        <v>0</v>
      </c>
      <c r="AE301" s="2105">
        <v>80</v>
      </c>
      <c r="AF301" s="170">
        <v>0</v>
      </c>
      <c r="AG301" s="171">
        <v>1</v>
      </c>
      <c r="AH301" s="171">
        <v>1</v>
      </c>
      <c r="AI301" s="171">
        <v>0</v>
      </c>
      <c r="AJ301" s="171">
        <v>0</v>
      </c>
      <c r="AK301" s="171">
        <v>1</v>
      </c>
      <c r="AL301" s="171">
        <v>0</v>
      </c>
      <c r="AM301" s="171">
        <v>1</v>
      </c>
      <c r="AN301" s="171">
        <v>1</v>
      </c>
      <c r="AO301" s="171">
        <v>1</v>
      </c>
      <c r="AP301" s="171">
        <v>1</v>
      </c>
      <c r="AQ301" s="171">
        <v>1</v>
      </c>
      <c r="AR301" s="171">
        <v>1</v>
      </c>
      <c r="AS301" s="171">
        <v>1</v>
      </c>
      <c r="AT301" s="171">
        <v>1</v>
      </c>
      <c r="AU301" s="171">
        <f t="shared" si="58"/>
        <v>1</v>
      </c>
      <c r="AV301" s="171">
        <f t="shared" si="59"/>
        <v>0</v>
      </c>
      <c r="AW301" s="171">
        <f t="shared" si="60"/>
        <v>1</v>
      </c>
      <c r="AX301" s="171">
        <f t="shared" si="100"/>
        <v>1</v>
      </c>
      <c r="AY301" s="171">
        <f t="shared" si="61"/>
        <v>0</v>
      </c>
      <c r="AZ301" s="171">
        <f t="shared" si="62"/>
        <v>1</v>
      </c>
      <c r="BA301" s="172">
        <f t="shared" si="63"/>
        <v>1</v>
      </c>
      <c r="BB301" s="175">
        <f t="shared" si="135"/>
        <v>16</v>
      </c>
      <c r="BC301" s="176">
        <f t="shared" si="136"/>
        <v>15</v>
      </c>
      <c r="BD301" s="176">
        <f t="shared" si="137"/>
        <v>16</v>
      </c>
      <c r="BE301" s="240" t="str">
        <f t="shared" si="124"/>
        <v/>
      </c>
      <c r="BH301" s="199">
        <f>IF(AND(Input_Product=Elig!$C301,Elig_MatchAll_Ct&lt;22,$BC301=(Elig_MatchAll_Ct-1),AF301=0),C301,0)</f>
        <v>0</v>
      </c>
      <c r="BI301" s="199">
        <f>IF(AND(Input_Product=Elig!$C301,Elig_MatchAll_Ct&lt;22,$BC301=(Elig_MatchAll_Ct-1),AG301=0),D301,0)</f>
        <v>0</v>
      </c>
      <c r="BJ301" s="199">
        <f>IF(AND(Input_Product=Elig!$C301,Elig_MatchAll_Ct&lt;22,$BC301=(Elig_MatchAll_Ct-1),AH301=0),E301,0)</f>
        <v>0</v>
      </c>
      <c r="BK301" s="199">
        <f>IF(AND(Input_Product=Elig!$C301,Elig_MatchAll_Ct&lt;22,$BC301=(Elig_MatchAll_Ct-1),AI301=0),F301,0)</f>
        <v>0</v>
      </c>
      <c r="BL301" s="199">
        <f>IF(AND(Input_Product=Elig!$C301,Elig_MatchAll_Ct&lt;22,$BC301=(Elig_MatchAll_Ct-1),AJ301=0),G301,0)</f>
        <v>0</v>
      </c>
      <c r="BM301" s="199">
        <f>IF(AND(Input_Product=Elig!$C301,Elig_MatchAll_Ct&lt;22,$BC301=(Elig_MatchAll_Ct-1),AK301=0),H301,0)</f>
        <v>0</v>
      </c>
      <c r="BN301" s="199">
        <f>IF(AND(Input_Product=Elig!$C301,Elig_MatchAll_Ct&lt;22,$BC301=(Elig_MatchAll_Ct-1),AL301=0),I301,0)</f>
        <v>0</v>
      </c>
      <c r="BO301" s="199">
        <f>IF(AND(Input_Product=Elig!$C301,Elig_MatchAll_Ct&lt;22,$BC301=(Elig_MatchAll_Ct-1),AM301=0),J301,0)</f>
        <v>0</v>
      </c>
      <c r="BP301" s="199">
        <f>IF(AND(Input_Product=Elig!$C301,Elig_MatchAll_Ct&lt;22,$BC301=(Elig_MatchAll_Ct-1),AN301=0),K301,0)</f>
        <v>0</v>
      </c>
      <c r="BQ301" s="199">
        <f>IF(AND(Input_Product=Elig!$C301,Elig_MatchAll_Ct&lt;22,$BC301=(Elig_MatchAll_Ct-1),AP301=0),L301,0)</f>
        <v>0</v>
      </c>
      <c r="BR301" s="199">
        <f>IF(AND(Input_Product=Elig!$C301,Elig_MatchAll_Ct&lt;22,$BC301=(Elig_MatchAll_Ct-1),AO301=0),M301,0)</f>
        <v>0</v>
      </c>
      <c r="BS301" s="199">
        <f>IF(AND(Input_Product=Elig!$C301,Elig_MatchAll_Ct&lt;22,$BC301=(Elig_MatchAll_Ct-1),AQ301=0),N301,0)</f>
        <v>0</v>
      </c>
      <c r="BT301" s="199">
        <f>IF(AND(Input_Product=Elig!$C301,Elig_MatchAll_Ct&lt;22,$BC301=(Elig_MatchAll_Ct-1),AR301=0),O301,0)</f>
        <v>0</v>
      </c>
      <c r="BU301" s="199">
        <f>IF(AND(Input_Product=Elig!$C301,Elig_MatchAll_Ct&lt;22,$BC301=(Elig_MatchAll_Ct-1),AS301=0),P301,0)</f>
        <v>0</v>
      </c>
      <c r="BV301" s="200">
        <f>IF(AND(Input_Product=Elig!$C301,Elig_MatchAll_Ct&lt;22,$BC301=(Elig_MatchAll_Ct-1),AT301=0),Q301,0)</f>
        <v>0</v>
      </c>
      <c r="BW301" s="201">
        <f>IF(AND(Input_Product=Elig!$C301,Elig_MatchAll_Ct&lt;22,$BC301=(Elig_MatchAll_Ct-1),AU301=0),R301,0)</f>
        <v>0</v>
      </c>
      <c r="BX301" s="202">
        <f>IF(AND(Input_Product=Elig!$C301,Elig_MatchAll_Ct&lt;22,$BC301=(Elig_MatchAll_Ct-1),AU301=0),S301,0)</f>
        <v>0</v>
      </c>
      <c r="BY301" s="201">
        <f>IF(AND(Input_Product=Elig!$C301,Elig_MatchAll_Ct&lt;22,$BC301=(Elig_MatchAll_Ct-1),AV301=0),T301,0)</f>
        <v>0</v>
      </c>
      <c r="BZ301" s="202">
        <f>IF(AND(Input_Product=Elig!$C301,Elig_MatchAll_Ct&lt;22,$BC301=(Elig_MatchAll_Ct-1),AV301=0),U301,0)</f>
        <v>0</v>
      </c>
      <c r="CA301" s="201">
        <f>IF(AND(Input_Product=Elig!$C301,Elig_MatchAll_Ct&lt;22,$BC301=(Elig_MatchAll_Ct-1),AW301=0),V301,0)</f>
        <v>0</v>
      </c>
      <c r="CB301" s="202">
        <f>IF(AND(Input_Product=Elig!$C301,Elig_MatchAll_Ct&lt;22,$BC301=(Elig_MatchAll_Ct-1),AW301=0),W301,0)</f>
        <v>0</v>
      </c>
      <c r="CC301" s="201">
        <f>IF(AND(Input_Product=Elig!$C301,Elig_MatchAll_Ct&lt;22,$BC301=(Elig_MatchAll_Ct-1),AX301=0),X301,0)</f>
        <v>0</v>
      </c>
      <c r="CD301" s="202">
        <f>IF(AND(Input_Product=Elig!$C301,Elig_MatchAll_Ct&lt;22,$BC301=(Elig_MatchAll_Ct-1),AX301=0),Y301,0)</f>
        <v>0</v>
      </c>
      <c r="CE301" s="201">
        <f>IF(AND(Input_LTV&lt;=AE301,Input_Product=Elig!$C301,Elig_MatchAll_Ct&lt;22,$BC301=(Elig_MatchAll_Ct-1),AY301=0),Z301,0)</f>
        <v>0</v>
      </c>
      <c r="CF301" s="202">
        <f>IF(AND(Input_LTV&lt;=AE301,Input_Product=Elig!$C301,Elig_MatchAll_Ct&lt;22,$BC301=(Elig_MatchAll_Ct-1),AY301=0),AA301,0)</f>
        <v>0</v>
      </c>
      <c r="CG301" s="201">
        <f>IF(AND(Input_Product=Elig!$C301,Elig_MatchAll_Ct&lt;22,$BC301=(Elig_MatchAll_Ct-1),AZ301=0),AB301,0)</f>
        <v>0</v>
      </c>
      <c r="CH301" s="202">
        <f>IF(AND(Input_Product=Elig!$C301,Elig_MatchAll_Ct&lt;22,$BC301=(Elig_MatchAll_Ct-1),AZ301=0),AC301,0)</f>
        <v>0</v>
      </c>
      <c r="CI301" s="201">
        <f>IF(AND(Input_Product=Elig!$C301,Elig_MatchAll_Ct&lt;22,$BC301=(Elig_MatchAll_Ct-1),BA301=0),AD301,0)</f>
        <v>0</v>
      </c>
      <c r="CJ301" s="202">
        <f>IF(AND(Input_Product=Elig!$C301,Elig_MatchAll_Ct&lt;22,$BC301=(Elig_MatchAll_Ct-1),BA301=0),AE301,0)</f>
        <v>0</v>
      </c>
    </row>
    <row r="302" spans="2:88" ht="10.15" customHeight="1" x14ac:dyDescent="0.25">
      <c r="B302" s="287" t="s">
        <v>998</v>
      </c>
      <c r="C302" s="286" t="str">
        <f t="shared" si="132"/>
        <v>NonQM NOO</v>
      </c>
      <c r="D302" s="287" t="s">
        <v>3885</v>
      </c>
      <c r="E302" s="287" t="s">
        <v>167</v>
      </c>
      <c r="F302" s="287" t="s">
        <v>330</v>
      </c>
      <c r="G302" s="300" t="s">
        <v>468</v>
      </c>
      <c r="H302" s="287" t="s">
        <v>136</v>
      </c>
      <c r="I302" s="287" t="s">
        <v>274</v>
      </c>
      <c r="J302" s="287" t="s">
        <v>1311</v>
      </c>
      <c r="K302" s="287" t="s">
        <v>1631</v>
      </c>
      <c r="L302" s="300" t="s">
        <v>312</v>
      </c>
      <c r="M302" s="287" t="s">
        <v>4203</v>
      </c>
      <c r="N302" s="287" t="s">
        <v>2685</v>
      </c>
      <c r="O302" s="287" t="s">
        <v>310</v>
      </c>
      <c r="P302" s="287" t="s">
        <v>291</v>
      </c>
      <c r="Q302" s="287" t="s">
        <v>294</v>
      </c>
      <c r="R302" s="300">
        <v>100000</v>
      </c>
      <c r="S302" s="287">
        <v>1000000</v>
      </c>
      <c r="T302" s="287">
        <v>0</v>
      </c>
      <c r="U302" s="287">
        <v>0</v>
      </c>
      <c r="V302" s="287">
        <v>0</v>
      </c>
      <c r="W302" s="287">
        <v>50</v>
      </c>
      <c r="X302" s="287">
        <v>0</v>
      </c>
      <c r="Y302" s="287">
        <v>999</v>
      </c>
      <c r="Z302" s="289">
        <v>660</v>
      </c>
      <c r="AA302" s="289">
        <v>679</v>
      </c>
      <c r="AB302" s="289">
        <v>3</v>
      </c>
      <c r="AC302" s="289">
        <v>999999</v>
      </c>
      <c r="AD302" s="287">
        <v>0</v>
      </c>
      <c r="AE302" s="2105">
        <v>80</v>
      </c>
      <c r="AF302" s="170">
        <v>0</v>
      </c>
      <c r="AG302" s="171">
        <v>1</v>
      </c>
      <c r="AH302" s="171">
        <v>1</v>
      </c>
      <c r="AI302" s="171">
        <v>0</v>
      </c>
      <c r="AJ302" s="171">
        <v>0</v>
      </c>
      <c r="AK302" s="171">
        <v>1</v>
      </c>
      <c r="AL302" s="171">
        <v>0</v>
      </c>
      <c r="AM302" s="171">
        <v>1</v>
      </c>
      <c r="AN302" s="171">
        <v>1</v>
      </c>
      <c r="AO302" s="171">
        <v>1</v>
      </c>
      <c r="AP302" s="171">
        <v>1</v>
      </c>
      <c r="AQ302" s="171">
        <v>1</v>
      </c>
      <c r="AR302" s="171">
        <v>1</v>
      </c>
      <c r="AS302" s="171">
        <v>1</v>
      </c>
      <c r="AT302" s="171">
        <v>1</v>
      </c>
      <c r="AU302" s="171">
        <f t="shared" si="58"/>
        <v>1</v>
      </c>
      <c r="AV302" s="171">
        <f t="shared" si="59"/>
        <v>0</v>
      </c>
      <c r="AW302" s="171">
        <f t="shared" si="60"/>
        <v>1</v>
      </c>
      <c r="AX302" s="171">
        <f t="shared" si="100"/>
        <v>1</v>
      </c>
      <c r="AY302" s="171">
        <f t="shared" si="61"/>
        <v>0</v>
      </c>
      <c r="AZ302" s="171">
        <f t="shared" si="62"/>
        <v>1</v>
      </c>
      <c r="BA302" s="172">
        <f t="shared" si="63"/>
        <v>1</v>
      </c>
      <c r="BB302" s="175">
        <f t="shared" si="135"/>
        <v>16</v>
      </c>
      <c r="BC302" s="176">
        <f t="shared" si="136"/>
        <v>15</v>
      </c>
      <c r="BD302" s="176">
        <f t="shared" si="137"/>
        <v>16</v>
      </c>
      <c r="BE302" s="240" t="str">
        <f t="shared" si="124"/>
        <v/>
      </c>
      <c r="BH302" s="199">
        <f>IF(AND(Input_Product=Elig!$C302,Elig_MatchAll_Ct&lt;22,$BC302=(Elig_MatchAll_Ct-1),AF302=0),C302,0)</f>
        <v>0</v>
      </c>
      <c r="BI302" s="199">
        <f>IF(AND(Input_Product=Elig!$C302,Elig_MatchAll_Ct&lt;22,$BC302=(Elig_MatchAll_Ct-1),AG302=0),D302,0)</f>
        <v>0</v>
      </c>
      <c r="BJ302" s="199">
        <f>IF(AND(Input_Product=Elig!$C302,Elig_MatchAll_Ct&lt;22,$BC302=(Elig_MatchAll_Ct-1),AH302=0),E302,0)</f>
        <v>0</v>
      </c>
      <c r="BK302" s="199">
        <f>IF(AND(Input_Product=Elig!$C302,Elig_MatchAll_Ct&lt;22,$BC302=(Elig_MatchAll_Ct-1),AI302=0),F302,0)</f>
        <v>0</v>
      </c>
      <c r="BL302" s="199">
        <f>IF(AND(Input_Product=Elig!$C302,Elig_MatchAll_Ct&lt;22,$BC302=(Elig_MatchAll_Ct-1),AJ302=0),G302,0)</f>
        <v>0</v>
      </c>
      <c r="BM302" s="199">
        <f>IF(AND(Input_Product=Elig!$C302,Elig_MatchAll_Ct&lt;22,$BC302=(Elig_MatchAll_Ct-1),AK302=0),H302,0)</f>
        <v>0</v>
      </c>
      <c r="BN302" s="199">
        <f>IF(AND(Input_Product=Elig!$C302,Elig_MatchAll_Ct&lt;22,$BC302=(Elig_MatchAll_Ct-1),AL302=0),I302,0)</f>
        <v>0</v>
      </c>
      <c r="BO302" s="199">
        <f>IF(AND(Input_Product=Elig!$C302,Elig_MatchAll_Ct&lt;22,$BC302=(Elig_MatchAll_Ct-1),AM302=0),J302,0)</f>
        <v>0</v>
      </c>
      <c r="BP302" s="199">
        <f>IF(AND(Input_Product=Elig!$C302,Elig_MatchAll_Ct&lt;22,$BC302=(Elig_MatchAll_Ct-1),AN302=0),K302,0)</f>
        <v>0</v>
      </c>
      <c r="BQ302" s="199">
        <f>IF(AND(Input_Product=Elig!$C302,Elig_MatchAll_Ct&lt;22,$BC302=(Elig_MatchAll_Ct-1),AP302=0),L302,0)</f>
        <v>0</v>
      </c>
      <c r="BR302" s="199">
        <f>IF(AND(Input_Product=Elig!$C302,Elig_MatchAll_Ct&lt;22,$BC302=(Elig_MatchAll_Ct-1),AO302=0),M302,0)</f>
        <v>0</v>
      </c>
      <c r="BS302" s="199">
        <f>IF(AND(Input_Product=Elig!$C302,Elig_MatchAll_Ct&lt;22,$BC302=(Elig_MatchAll_Ct-1),AQ302=0),N302,0)</f>
        <v>0</v>
      </c>
      <c r="BT302" s="199">
        <f>IF(AND(Input_Product=Elig!$C302,Elig_MatchAll_Ct&lt;22,$BC302=(Elig_MatchAll_Ct-1),AR302=0),O302,0)</f>
        <v>0</v>
      </c>
      <c r="BU302" s="199">
        <f>IF(AND(Input_Product=Elig!$C302,Elig_MatchAll_Ct&lt;22,$BC302=(Elig_MatchAll_Ct-1),AS302=0),P302,0)</f>
        <v>0</v>
      </c>
      <c r="BV302" s="200">
        <f>IF(AND(Input_Product=Elig!$C302,Elig_MatchAll_Ct&lt;22,$BC302=(Elig_MatchAll_Ct-1),AT302=0),Q302,0)</f>
        <v>0</v>
      </c>
      <c r="BW302" s="201">
        <f>IF(AND(Input_Product=Elig!$C302,Elig_MatchAll_Ct&lt;22,$BC302=(Elig_MatchAll_Ct-1),AU302=0),R302,0)</f>
        <v>0</v>
      </c>
      <c r="BX302" s="202">
        <f>IF(AND(Input_Product=Elig!$C302,Elig_MatchAll_Ct&lt;22,$BC302=(Elig_MatchAll_Ct-1),AU302=0),S302,0)</f>
        <v>0</v>
      </c>
      <c r="BY302" s="201">
        <f>IF(AND(Input_Product=Elig!$C302,Elig_MatchAll_Ct&lt;22,$BC302=(Elig_MatchAll_Ct-1),AV302=0),T302,0)</f>
        <v>0</v>
      </c>
      <c r="BZ302" s="202">
        <f>IF(AND(Input_Product=Elig!$C302,Elig_MatchAll_Ct&lt;22,$BC302=(Elig_MatchAll_Ct-1),AV302=0),U302,0)</f>
        <v>0</v>
      </c>
      <c r="CA302" s="201">
        <f>IF(AND(Input_Product=Elig!$C302,Elig_MatchAll_Ct&lt;22,$BC302=(Elig_MatchAll_Ct-1),AW302=0),V302,0)</f>
        <v>0</v>
      </c>
      <c r="CB302" s="202">
        <f>IF(AND(Input_Product=Elig!$C302,Elig_MatchAll_Ct&lt;22,$BC302=(Elig_MatchAll_Ct-1),AW302=0),W302,0)</f>
        <v>0</v>
      </c>
      <c r="CC302" s="201">
        <f>IF(AND(Input_Product=Elig!$C302,Elig_MatchAll_Ct&lt;22,$BC302=(Elig_MatchAll_Ct-1),AX302=0),X302,0)</f>
        <v>0</v>
      </c>
      <c r="CD302" s="202">
        <f>IF(AND(Input_Product=Elig!$C302,Elig_MatchAll_Ct&lt;22,$BC302=(Elig_MatchAll_Ct-1),AX302=0),Y302,0)</f>
        <v>0</v>
      </c>
      <c r="CE302" s="201">
        <f>IF(AND(Input_LTV&lt;=AE302,Input_Product=Elig!$C302,Elig_MatchAll_Ct&lt;22,$BC302=(Elig_MatchAll_Ct-1),AY302=0),Z302,0)</f>
        <v>0</v>
      </c>
      <c r="CF302" s="202">
        <f>IF(AND(Input_LTV&lt;=AE302,Input_Product=Elig!$C302,Elig_MatchAll_Ct&lt;22,$BC302=(Elig_MatchAll_Ct-1),AY302=0),AA302,0)</f>
        <v>0</v>
      </c>
      <c r="CG302" s="201">
        <f>IF(AND(Input_Product=Elig!$C302,Elig_MatchAll_Ct&lt;22,$BC302=(Elig_MatchAll_Ct-1),AZ302=0),AB302,0)</f>
        <v>0</v>
      </c>
      <c r="CH302" s="202">
        <f>IF(AND(Input_Product=Elig!$C302,Elig_MatchAll_Ct&lt;22,$BC302=(Elig_MatchAll_Ct-1),AZ302=0),AC302,0)</f>
        <v>0</v>
      </c>
      <c r="CI302" s="201">
        <f>IF(AND(Input_Product=Elig!$C302,Elig_MatchAll_Ct&lt;22,$BC302=(Elig_MatchAll_Ct-1),BA302=0),AD302,0)</f>
        <v>0</v>
      </c>
      <c r="CJ302" s="202">
        <f>IF(AND(Input_Product=Elig!$C302,Elig_MatchAll_Ct&lt;22,$BC302=(Elig_MatchAll_Ct-1),BA302=0),AE302,0)</f>
        <v>0</v>
      </c>
    </row>
    <row r="303" spans="2:88" ht="10.15" customHeight="1" x14ac:dyDescent="0.25">
      <c r="B303" s="287" t="s">
        <v>999</v>
      </c>
      <c r="C303" s="286" t="str">
        <f t="shared" si="132"/>
        <v>NonQM NOO</v>
      </c>
      <c r="D303" s="287" t="s">
        <v>3885</v>
      </c>
      <c r="E303" s="287" t="s">
        <v>167</v>
      </c>
      <c r="F303" s="287" t="s">
        <v>330</v>
      </c>
      <c r="G303" s="300" t="s">
        <v>468</v>
      </c>
      <c r="H303" s="287" t="s">
        <v>136</v>
      </c>
      <c r="I303" s="287" t="s">
        <v>274</v>
      </c>
      <c r="J303" s="287" t="s">
        <v>1311</v>
      </c>
      <c r="K303" s="287" t="s">
        <v>1631</v>
      </c>
      <c r="L303" s="300" t="s">
        <v>312</v>
      </c>
      <c r="M303" s="287" t="s">
        <v>4203</v>
      </c>
      <c r="N303" s="287" t="s">
        <v>2685</v>
      </c>
      <c r="O303" s="287" t="s">
        <v>310</v>
      </c>
      <c r="P303" s="287" t="s">
        <v>291</v>
      </c>
      <c r="Q303" s="287" t="s">
        <v>294</v>
      </c>
      <c r="R303" s="300">
        <v>100000</v>
      </c>
      <c r="S303" s="287">
        <v>1000000</v>
      </c>
      <c r="T303" s="287">
        <v>0</v>
      </c>
      <c r="U303" s="287">
        <v>0</v>
      </c>
      <c r="V303" s="287">
        <v>0</v>
      </c>
      <c r="W303" s="287">
        <v>50</v>
      </c>
      <c r="X303" s="287">
        <v>0</v>
      </c>
      <c r="Y303" s="287">
        <v>999</v>
      </c>
      <c r="Z303" s="289">
        <v>640</v>
      </c>
      <c r="AA303" s="289">
        <v>659</v>
      </c>
      <c r="AB303" s="289">
        <v>3</v>
      </c>
      <c r="AC303" s="289">
        <v>999999</v>
      </c>
      <c r="AD303" s="287">
        <v>0</v>
      </c>
      <c r="AE303" s="290">
        <v>-999</v>
      </c>
      <c r="AF303" s="170">
        <v>0</v>
      </c>
      <c r="AG303" s="171">
        <v>1</v>
      </c>
      <c r="AH303" s="171">
        <v>1</v>
      </c>
      <c r="AI303" s="171">
        <v>0</v>
      </c>
      <c r="AJ303" s="171">
        <v>0</v>
      </c>
      <c r="AK303" s="171">
        <v>1</v>
      </c>
      <c r="AL303" s="171">
        <v>0</v>
      </c>
      <c r="AM303" s="171">
        <v>1</v>
      </c>
      <c r="AN303" s="171">
        <v>1</v>
      </c>
      <c r="AO303" s="171">
        <v>1</v>
      </c>
      <c r="AP303" s="171">
        <v>1</v>
      </c>
      <c r="AQ303" s="171">
        <v>1</v>
      </c>
      <c r="AR303" s="171">
        <v>1</v>
      </c>
      <c r="AS303" s="171">
        <v>1</v>
      </c>
      <c r="AT303" s="171">
        <v>1</v>
      </c>
      <c r="AU303" s="171">
        <f t="shared" si="58"/>
        <v>1</v>
      </c>
      <c r="AV303" s="171">
        <f t="shared" si="59"/>
        <v>0</v>
      </c>
      <c r="AW303" s="171">
        <f t="shared" si="60"/>
        <v>1</v>
      </c>
      <c r="AX303" s="171">
        <f t="shared" si="100"/>
        <v>1</v>
      </c>
      <c r="AY303" s="171">
        <f t="shared" si="61"/>
        <v>0</v>
      </c>
      <c r="AZ303" s="171">
        <f t="shared" si="62"/>
        <v>1</v>
      </c>
      <c r="BA303" s="172">
        <f t="shared" si="63"/>
        <v>0</v>
      </c>
      <c r="BB303" s="175">
        <f t="shared" si="135"/>
        <v>15</v>
      </c>
      <c r="BC303" s="176">
        <f t="shared" si="136"/>
        <v>15</v>
      </c>
      <c r="BD303" s="176">
        <f t="shared" si="137"/>
        <v>15</v>
      </c>
      <c r="BE303" s="240" t="str">
        <f t="shared" si="124"/>
        <v/>
      </c>
      <c r="BH303" s="199">
        <f>IF(AND(Input_Product=Elig!$C303,Elig_MatchAll_Ct&lt;22,$BC303=(Elig_MatchAll_Ct-1),AF303=0),C303,0)</f>
        <v>0</v>
      </c>
      <c r="BI303" s="199">
        <f>IF(AND(Input_Product=Elig!$C303,Elig_MatchAll_Ct&lt;22,$BC303=(Elig_MatchAll_Ct-1),AG303=0),D303,0)</f>
        <v>0</v>
      </c>
      <c r="BJ303" s="199">
        <f>IF(AND(Input_Product=Elig!$C303,Elig_MatchAll_Ct&lt;22,$BC303=(Elig_MatchAll_Ct-1),AH303=0),E303,0)</f>
        <v>0</v>
      </c>
      <c r="BK303" s="199">
        <f>IF(AND(Input_Product=Elig!$C303,Elig_MatchAll_Ct&lt;22,$BC303=(Elig_MatchAll_Ct-1),AI303=0),F303,0)</f>
        <v>0</v>
      </c>
      <c r="BL303" s="199">
        <f>IF(AND(Input_Product=Elig!$C303,Elig_MatchAll_Ct&lt;22,$BC303=(Elig_MatchAll_Ct-1),AJ303=0),G303,0)</f>
        <v>0</v>
      </c>
      <c r="BM303" s="199">
        <f>IF(AND(Input_Product=Elig!$C303,Elig_MatchAll_Ct&lt;22,$BC303=(Elig_MatchAll_Ct-1),AK303=0),H303,0)</f>
        <v>0</v>
      </c>
      <c r="BN303" s="199">
        <f>IF(AND(Input_Product=Elig!$C303,Elig_MatchAll_Ct&lt;22,$BC303=(Elig_MatchAll_Ct-1),AL303=0),I303,0)</f>
        <v>0</v>
      </c>
      <c r="BO303" s="199">
        <f>IF(AND(Input_Product=Elig!$C303,Elig_MatchAll_Ct&lt;22,$BC303=(Elig_MatchAll_Ct-1),AM303=0),J303,0)</f>
        <v>0</v>
      </c>
      <c r="BP303" s="199">
        <f>IF(AND(Input_Product=Elig!$C303,Elig_MatchAll_Ct&lt;22,$BC303=(Elig_MatchAll_Ct-1),AN303=0),K303,0)</f>
        <v>0</v>
      </c>
      <c r="BQ303" s="199">
        <f>IF(AND(Input_Product=Elig!$C303,Elig_MatchAll_Ct&lt;22,$BC303=(Elig_MatchAll_Ct-1),AP303=0),L303,0)</f>
        <v>0</v>
      </c>
      <c r="BR303" s="199">
        <f>IF(AND(Input_Product=Elig!$C303,Elig_MatchAll_Ct&lt;22,$BC303=(Elig_MatchAll_Ct-1),AO303=0),M303,0)</f>
        <v>0</v>
      </c>
      <c r="BS303" s="199">
        <f>IF(AND(Input_Product=Elig!$C303,Elig_MatchAll_Ct&lt;22,$BC303=(Elig_MatchAll_Ct-1),AQ303=0),N303,0)</f>
        <v>0</v>
      </c>
      <c r="BT303" s="199">
        <f>IF(AND(Input_Product=Elig!$C303,Elig_MatchAll_Ct&lt;22,$BC303=(Elig_MatchAll_Ct-1),AR303=0),O303,0)</f>
        <v>0</v>
      </c>
      <c r="BU303" s="199">
        <f>IF(AND(Input_Product=Elig!$C303,Elig_MatchAll_Ct&lt;22,$BC303=(Elig_MatchAll_Ct-1),AS303=0),P303,0)</f>
        <v>0</v>
      </c>
      <c r="BV303" s="200">
        <f>IF(AND(Input_Product=Elig!$C303,Elig_MatchAll_Ct&lt;22,$BC303=(Elig_MatchAll_Ct-1),AT303=0),Q303,0)</f>
        <v>0</v>
      </c>
      <c r="BW303" s="201">
        <f>IF(AND(Input_Product=Elig!$C303,Elig_MatchAll_Ct&lt;22,$BC303=(Elig_MatchAll_Ct-1),AU303=0),R303,0)</f>
        <v>0</v>
      </c>
      <c r="BX303" s="202">
        <f>IF(AND(Input_Product=Elig!$C303,Elig_MatchAll_Ct&lt;22,$BC303=(Elig_MatchAll_Ct-1),AU303=0),S303,0)</f>
        <v>0</v>
      </c>
      <c r="BY303" s="201">
        <f>IF(AND(Input_Product=Elig!$C303,Elig_MatchAll_Ct&lt;22,$BC303=(Elig_MatchAll_Ct-1),AV303=0),T303,0)</f>
        <v>0</v>
      </c>
      <c r="BZ303" s="202">
        <f>IF(AND(Input_Product=Elig!$C303,Elig_MatchAll_Ct&lt;22,$BC303=(Elig_MatchAll_Ct-1),AV303=0),U303,0)</f>
        <v>0</v>
      </c>
      <c r="CA303" s="201">
        <f>IF(AND(Input_Product=Elig!$C303,Elig_MatchAll_Ct&lt;22,$BC303=(Elig_MatchAll_Ct-1),AW303=0),V303,0)</f>
        <v>0</v>
      </c>
      <c r="CB303" s="202">
        <f>IF(AND(Input_Product=Elig!$C303,Elig_MatchAll_Ct&lt;22,$BC303=(Elig_MatchAll_Ct-1),AW303=0),W303,0)</f>
        <v>0</v>
      </c>
      <c r="CC303" s="201">
        <f>IF(AND(Input_Product=Elig!$C303,Elig_MatchAll_Ct&lt;22,$BC303=(Elig_MatchAll_Ct-1),AX303=0),X303,0)</f>
        <v>0</v>
      </c>
      <c r="CD303" s="202">
        <f>IF(AND(Input_Product=Elig!$C303,Elig_MatchAll_Ct&lt;22,$BC303=(Elig_MatchAll_Ct-1),AX303=0),Y303,0)</f>
        <v>0</v>
      </c>
      <c r="CE303" s="201">
        <f>IF(AND(Input_LTV&lt;=AE303,Input_Product=Elig!$C303,Elig_MatchAll_Ct&lt;22,$BC303=(Elig_MatchAll_Ct-1),AY303=0),Z303,0)</f>
        <v>0</v>
      </c>
      <c r="CF303" s="202">
        <f>IF(AND(Input_LTV&lt;=AE303,Input_Product=Elig!$C303,Elig_MatchAll_Ct&lt;22,$BC303=(Elig_MatchAll_Ct-1),AY303=0),AA303,0)</f>
        <v>0</v>
      </c>
      <c r="CG303" s="201">
        <f>IF(AND(Input_Product=Elig!$C303,Elig_MatchAll_Ct&lt;22,$BC303=(Elig_MatchAll_Ct-1),AZ303=0),AB303,0)</f>
        <v>0</v>
      </c>
      <c r="CH303" s="202">
        <f>IF(AND(Input_Product=Elig!$C303,Elig_MatchAll_Ct&lt;22,$BC303=(Elig_MatchAll_Ct-1),AZ303=0),AC303,0)</f>
        <v>0</v>
      </c>
      <c r="CI303" s="201">
        <f>IF(AND(Input_Product=Elig!$C303,Elig_MatchAll_Ct&lt;22,$BC303=(Elig_MatchAll_Ct-1),BA303=0),AD303,0)</f>
        <v>0</v>
      </c>
      <c r="CJ303" s="202">
        <f>IF(AND(Input_Product=Elig!$C303,Elig_MatchAll_Ct&lt;22,$BC303=(Elig_MatchAll_Ct-1),BA303=0),AE303,0)</f>
        <v>0</v>
      </c>
    </row>
    <row r="304" spans="2:88" ht="10.15" customHeight="1" x14ac:dyDescent="0.25">
      <c r="B304" s="287" t="s">
        <v>1000</v>
      </c>
      <c r="C304" s="291" t="str">
        <f t="shared" si="132"/>
        <v>NonQM NOO</v>
      </c>
      <c r="D304" s="292" t="s">
        <v>3885</v>
      </c>
      <c r="E304" s="292" t="s">
        <v>167</v>
      </c>
      <c r="F304" s="292" t="s">
        <v>330</v>
      </c>
      <c r="G304" s="324" t="s">
        <v>468</v>
      </c>
      <c r="H304" s="292" t="s">
        <v>136</v>
      </c>
      <c r="I304" s="292" t="s">
        <v>274</v>
      </c>
      <c r="J304" s="292" t="s">
        <v>1311</v>
      </c>
      <c r="K304" s="292" t="s">
        <v>1631</v>
      </c>
      <c r="L304" s="324" t="s">
        <v>312</v>
      </c>
      <c r="M304" s="292" t="s">
        <v>4203</v>
      </c>
      <c r="N304" s="292" t="s">
        <v>2685</v>
      </c>
      <c r="O304" s="292" t="s">
        <v>310</v>
      </c>
      <c r="P304" s="292" t="s">
        <v>291</v>
      </c>
      <c r="Q304" s="292" t="s">
        <v>294</v>
      </c>
      <c r="R304" s="324">
        <v>100000</v>
      </c>
      <c r="S304" s="292">
        <v>1000000</v>
      </c>
      <c r="T304" s="292">
        <v>0</v>
      </c>
      <c r="U304" s="292">
        <v>0</v>
      </c>
      <c r="V304" s="292">
        <v>0</v>
      </c>
      <c r="W304" s="292">
        <v>50</v>
      </c>
      <c r="X304" s="292">
        <v>0</v>
      </c>
      <c r="Y304" s="292">
        <v>999</v>
      </c>
      <c r="Z304" s="293">
        <v>620</v>
      </c>
      <c r="AA304" s="293">
        <v>639</v>
      </c>
      <c r="AB304" s="293">
        <v>3</v>
      </c>
      <c r="AC304" s="293">
        <v>999999</v>
      </c>
      <c r="AD304" s="292">
        <v>0</v>
      </c>
      <c r="AE304" s="294">
        <v>-999</v>
      </c>
      <c r="AF304" s="170">
        <v>0</v>
      </c>
      <c r="AG304" s="171">
        <v>1</v>
      </c>
      <c r="AH304" s="171">
        <v>1</v>
      </c>
      <c r="AI304" s="171">
        <v>0</v>
      </c>
      <c r="AJ304" s="171">
        <v>0</v>
      </c>
      <c r="AK304" s="171">
        <v>1</v>
      </c>
      <c r="AL304" s="171">
        <v>0</v>
      </c>
      <c r="AM304" s="171">
        <v>1</v>
      </c>
      <c r="AN304" s="171">
        <v>1</v>
      </c>
      <c r="AO304" s="171">
        <v>1</v>
      </c>
      <c r="AP304" s="171">
        <v>1</v>
      </c>
      <c r="AQ304" s="171">
        <v>1</v>
      </c>
      <c r="AR304" s="171">
        <v>1</v>
      </c>
      <c r="AS304" s="171">
        <v>1</v>
      </c>
      <c r="AT304" s="171">
        <v>1</v>
      </c>
      <c r="AU304" s="171">
        <f t="shared" si="58"/>
        <v>1</v>
      </c>
      <c r="AV304" s="171">
        <f t="shared" si="59"/>
        <v>0</v>
      </c>
      <c r="AW304" s="171">
        <f t="shared" si="60"/>
        <v>1</v>
      </c>
      <c r="AX304" s="171">
        <f t="shared" si="100"/>
        <v>1</v>
      </c>
      <c r="AY304" s="171">
        <f t="shared" si="61"/>
        <v>0</v>
      </c>
      <c r="AZ304" s="171">
        <f t="shared" si="62"/>
        <v>1</v>
      </c>
      <c r="BA304" s="172">
        <f t="shared" si="63"/>
        <v>0</v>
      </c>
      <c r="BB304" s="175">
        <f t="shared" si="135"/>
        <v>15</v>
      </c>
      <c r="BC304" s="176">
        <f t="shared" si="136"/>
        <v>15</v>
      </c>
      <c r="BD304" s="176">
        <f t="shared" si="137"/>
        <v>15</v>
      </c>
      <c r="BE304" s="240" t="str">
        <f t="shared" si="124"/>
        <v/>
      </c>
      <c r="BH304" s="214">
        <f>IF(AND(Input_Product=Elig!$C304,Elig_MatchAll_Ct&lt;22,$BC304=(Elig_MatchAll_Ct-1),AF304=0),C304,0)</f>
        <v>0</v>
      </c>
      <c r="BI304" s="214">
        <f>IF(AND(Input_Product=Elig!$C304,Elig_MatchAll_Ct&lt;22,$BC304=(Elig_MatchAll_Ct-1),AG304=0),D304,0)</f>
        <v>0</v>
      </c>
      <c r="BJ304" s="214">
        <f>IF(AND(Input_Product=Elig!$C304,Elig_MatchAll_Ct&lt;22,$BC304=(Elig_MatchAll_Ct-1),AH304=0),E304,0)</f>
        <v>0</v>
      </c>
      <c r="BK304" s="214">
        <f>IF(AND(Input_Product=Elig!$C304,Elig_MatchAll_Ct&lt;22,$BC304=(Elig_MatchAll_Ct-1),AI304=0),F304,0)</f>
        <v>0</v>
      </c>
      <c r="BL304" s="214">
        <f>IF(AND(Input_Product=Elig!$C304,Elig_MatchAll_Ct&lt;22,$BC304=(Elig_MatchAll_Ct-1),AJ304=0),G304,0)</f>
        <v>0</v>
      </c>
      <c r="BM304" s="214">
        <f>IF(AND(Input_Product=Elig!$C304,Elig_MatchAll_Ct&lt;22,$BC304=(Elig_MatchAll_Ct-1),AK304=0),H304,0)</f>
        <v>0</v>
      </c>
      <c r="BN304" s="214">
        <f>IF(AND(Input_Product=Elig!$C304,Elig_MatchAll_Ct&lt;22,$BC304=(Elig_MatchAll_Ct-1),AL304=0),I304,0)</f>
        <v>0</v>
      </c>
      <c r="BO304" s="214">
        <f>IF(AND(Input_Product=Elig!$C304,Elig_MatchAll_Ct&lt;22,$BC304=(Elig_MatchAll_Ct-1),AM304=0),J304,0)</f>
        <v>0</v>
      </c>
      <c r="BP304" s="214">
        <f>IF(AND(Input_Product=Elig!$C304,Elig_MatchAll_Ct&lt;22,$BC304=(Elig_MatchAll_Ct-1),AN304=0),K304,0)</f>
        <v>0</v>
      </c>
      <c r="BQ304" s="214">
        <f>IF(AND(Input_Product=Elig!$C304,Elig_MatchAll_Ct&lt;22,$BC304=(Elig_MatchAll_Ct-1),AP304=0),L304,0)</f>
        <v>0</v>
      </c>
      <c r="BR304" s="214">
        <f>IF(AND(Input_Product=Elig!$C304,Elig_MatchAll_Ct&lt;22,$BC304=(Elig_MatchAll_Ct-1),AO304=0),M304,0)</f>
        <v>0</v>
      </c>
      <c r="BS304" s="214">
        <f>IF(AND(Input_Product=Elig!$C304,Elig_MatchAll_Ct&lt;22,$BC304=(Elig_MatchAll_Ct-1),AQ304=0),N304,0)</f>
        <v>0</v>
      </c>
      <c r="BT304" s="214">
        <f>IF(AND(Input_Product=Elig!$C304,Elig_MatchAll_Ct&lt;22,$BC304=(Elig_MatchAll_Ct-1),AR304=0),O304,0)</f>
        <v>0</v>
      </c>
      <c r="BU304" s="214">
        <f>IF(AND(Input_Product=Elig!$C304,Elig_MatchAll_Ct&lt;22,$BC304=(Elig_MatchAll_Ct-1),AS304=0),P304,0)</f>
        <v>0</v>
      </c>
      <c r="BV304" s="215">
        <f>IF(AND(Input_Product=Elig!$C304,Elig_MatchAll_Ct&lt;22,$BC304=(Elig_MatchAll_Ct-1),AT304=0),Q304,0)</f>
        <v>0</v>
      </c>
      <c r="BW304" s="207">
        <f>IF(AND(Input_Product=Elig!$C304,Elig_MatchAll_Ct&lt;22,$BC304=(Elig_MatchAll_Ct-1),AU304=0),R304,0)</f>
        <v>0</v>
      </c>
      <c r="BX304" s="208">
        <f>IF(AND(Input_Product=Elig!$C304,Elig_MatchAll_Ct&lt;22,$BC304=(Elig_MatchAll_Ct-1),AU304=0),S304,0)</f>
        <v>0</v>
      </c>
      <c r="BY304" s="207">
        <f>IF(AND(Input_Product=Elig!$C304,Elig_MatchAll_Ct&lt;22,$BC304=(Elig_MatchAll_Ct-1),AV304=0),T304,0)</f>
        <v>0</v>
      </c>
      <c r="BZ304" s="208">
        <f>IF(AND(Input_Product=Elig!$C304,Elig_MatchAll_Ct&lt;22,$BC304=(Elig_MatchAll_Ct-1),AV304=0),U304,0)</f>
        <v>0</v>
      </c>
      <c r="CA304" s="207">
        <f>IF(AND(Input_Product=Elig!$C304,Elig_MatchAll_Ct&lt;22,$BC304=(Elig_MatchAll_Ct-1),AW304=0),V304,0)</f>
        <v>0</v>
      </c>
      <c r="CB304" s="208">
        <f>IF(AND(Input_Product=Elig!$C304,Elig_MatchAll_Ct&lt;22,$BC304=(Elig_MatchAll_Ct-1),AW304=0),W304,0)</f>
        <v>0</v>
      </c>
      <c r="CC304" s="207">
        <f>IF(AND(Input_Product=Elig!$C304,Elig_MatchAll_Ct&lt;22,$BC304=(Elig_MatchAll_Ct-1),AX304=0),X304,0)</f>
        <v>0</v>
      </c>
      <c r="CD304" s="208">
        <f>IF(AND(Input_Product=Elig!$C304,Elig_MatchAll_Ct&lt;22,$BC304=(Elig_MatchAll_Ct-1),AX304=0),Y304,0)</f>
        <v>0</v>
      </c>
      <c r="CE304" s="207">
        <f>IF(AND(Input_LTV&lt;=AE304,Input_Product=Elig!$C304,Elig_MatchAll_Ct&lt;22,$BC304=(Elig_MatchAll_Ct-1),AY304=0),Z304,0)</f>
        <v>0</v>
      </c>
      <c r="CF304" s="208">
        <f>IF(AND(Input_LTV&lt;=AE304,Input_Product=Elig!$C304,Elig_MatchAll_Ct&lt;22,$BC304=(Elig_MatchAll_Ct-1),AY304=0),AA304,0)</f>
        <v>0</v>
      </c>
      <c r="CG304" s="207">
        <f>IF(AND(Input_Product=Elig!$C304,Elig_MatchAll_Ct&lt;22,$BC304=(Elig_MatchAll_Ct-1),AZ304=0),AB304,0)</f>
        <v>0</v>
      </c>
      <c r="CH304" s="208">
        <f>IF(AND(Input_Product=Elig!$C304,Elig_MatchAll_Ct&lt;22,$BC304=(Elig_MatchAll_Ct-1),AZ304=0),AC304,0)</f>
        <v>0</v>
      </c>
      <c r="CI304" s="207">
        <f>IF(AND(Input_Product=Elig!$C304,Elig_MatchAll_Ct&lt;22,$BC304=(Elig_MatchAll_Ct-1),BA304=0),AD304,0)</f>
        <v>0</v>
      </c>
      <c r="CJ304" s="209">
        <f>IF(AND(Input_Product=Elig!$C304,Elig_MatchAll_Ct&lt;22,$BC304=(Elig_MatchAll_Ct-1),BA304=0),AE304,0)</f>
        <v>0</v>
      </c>
    </row>
    <row r="305" spans="2:88" ht="10.15" customHeight="1" x14ac:dyDescent="0.25">
      <c r="B305" s="287" t="s">
        <v>1001</v>
      </c>
      <c r="C305" s="281" t="str">
        <f t="shared" si="132"/>
        <v>NonQM NOO</v>
      </c>
      <c r="D305" s="282" t="s">
        <v>3885</v>
      </c>
      <c r="E305" s="283" t="s">
        <v>167</v>
      </c>
      <c r="F305" s="283" t="s">
        <v>330</v>
      </c>
      <c r="G305" s="2103" t="s">
        <v>468</v>
      </c>
      <c r="H305" s="283" t="s">
        <v>136</v>
      </c>
      <c r="I305" s="282" t="s">
        <v>16</v>
      </c>
      <c r="J305" s="282" t="s">
        <v>1311</v>
      </c>
      <c r="K305" s="282" t="s">
        <v>1631</v>
      </c>
      <c r="L305" s="2103" t="s">
        <v>312</v>
      </c>
      <c r="M305" s="283" t="s">
        <v>4203</v>
      </c>
      <c r="N305" s="283" t="s">
        <v>2685</v>
      </c>
      <c r="O305" s="283" t="s">
        <v>310</v>
      </c>
      <c r="P305" s="283" t="s">
        <v>291</v>
      </c>
      <c r="Q305" s="283" t="s">
        <v>294</v>
      </c>
      <c r="R305" s="323">
        <v>100000</v>
      </c>
      <c r="S305" s="282">
        <v>1000000</v>
      </c>
      <c r="T305" s="282">
        <v>0</v>
      </c>
      <c r="U305" s="282">
        <f t="shared" ref="U305:U310" si="138">S305</f>
        <v>1000000</v>
      </c>
      <c r="V305" s="282">
        <v>0</v>
      </c>
      <c r="W305" s="282">
        <v>55</v>
      </c>
      <c r="X305" s="282">
        <v>0</v>
      </c>
      <c r="Y305" s="282">
        <v>999</v>
      </c>
      <c r="Z305" s="284">
        <v>720</v>
      </c>
      <c r="AA305" s="284">
        <v>999</v>
      </c>
      <c r="AB305" s="284">
        <v>3</v>
      </c>
      <c r="AC305" s="284">
        <v>999999</v>
      </c>
      <c r="AD305" s="282">
        <v>0</v>
      </c>
      <c r="AE305" s="2104">
        <v>80</v>
      </c>
      <c r="AF305" s="170">
        <v>0</v>
      </c>
      <c r="AG305" s="171">
        <v>1</v>
      </c>
      <c r="AH305" s="171">
        <v>1</v>
      </c>
      <c r="AI305" s="171">
        <v>0</v>
      </c>
      <c r="AJ305" s="171">
        <v>0</v>
      </c>
      <c r="AK305" s="171">
        <v>1</v>
      </c>
      <c r="AL305" s="171">
        <v>1</v>
      </c>
      <c r="AM305" s="171">
        <v>1</v>
      </c>
      <c r="AN305" s="171">
        <v>1</v>
      </c>
      <c r="AO305" s="171">
        <v>1</v>
      </c>
      <c r="AP305" s="171">
        <v>1</v>
      </c>
      <c r="AQ305" s="171">
        <v>1</v>
      </c>
      <c r="AR305" s="171">
        <v>1</v>
      </c>
      <c r="AS305" s="171">
        <v>1</v>
      </c>
      <c r="AT305" s="171">
        <v>1</v>
      </c>
      <c r="AU305" s="171">
        <f t="shared" si="58"/>
        <v>1</v>
      </c>
      <c r="AV305" s="171">
        <f t="shared" si="59"/>
        <v>1</v>
      </c>
      <c r="AW305" s="171">
        <f t="shared" si="60"/>
        <v>1</v>
      </c>
      <c r="AX305" s="171">
        <f t="shared" si="100"/>
        <v>1</v>
      </c>
      <c r="AY305" s="171">
        <f t="shared" si="61"/>
        <v>1</v>
      </c>
      <c r="AZ305" s="171">
        <f t="shared" si="62"/>
        <v>1</v>
      </c>
      <c r="BA305" s="172">
        <f t="shared" si="63"/>
        <v>1</v>
      </c>
      <c r="BB305" s="175">
        <f t="shared" si="135"/>
        <v>19</v>
      </c>
      <c r="BC305" s="176">
        <f t="shared" si="136"/>
        <v>18</v>
      </c>
      <c r="BD305" s="176">
        <f t="shared" si="137"/>
        <v>19</v>
      </c>
      <c r="BE305" s="240" t="str">
        <f t="shared" si="124"/>
        <v/>
      </c>
      <c r="BH305" s="216">
        <f>IF(AND(Input_Product=Elig!$C305,Elig_MatchAll_Ct&lt;22,$BC305=(Elig_MatchAll_Ct-1),AF305=0),C305,0)</f>
        <v>0</v>
      </c>
      <c r="BI305" s="216">
        <f>IF(AND(Input_Product=Elig!$C305,Elig_MatchAll_Ct&lt;22,$BC305=(Elig_MatchAll_Ct-1),AG305=0),D305,0)</f>
        <v>0</v>
      </c>
      <c r="BJ305" s="216">
        <f>IF(AND(Input_Product=Elig!$C305,Elig_MatchAll_Ct&lt;22,$BC305=(Elig_MatchAll_Ct-1),AH305=0),E305,0)</f>
        <v>0</v>
      </c>
      <c r="BK305" s="216">
        <f>IF(AND(Input_Product=Elig!$C305,Elig_MatchAll_Ct&lt;22,$BC305=(Elig_MatchAll_Ct-1),AI305=0),F305,0)</f>
        <v>0</v>
      </c>
      <c r="BL305" s="216">
        <f>IF(AND(Input_Product=Elig!$C305,Elig_MatchAll_Ct&lt;22,$BC305=(Elig_MatchAll_Ct-1),AJ305=0),G305,0)</f>
        <v>0</v>
      </c>
      <c r="BM305" s="216">
        <f>IF(AND(Input_Product=Elig!$C305,Elig_MatchAll_Ct&lt;22,$BC305=(Elig_MatchAll_Ct-1),AK305=0),H305,0)</f>
        <v>0</v>
      </c>
      <c r="BN305" s="216">
        <f>IF(AND(Input_Product=Elig!$C305,Elig_MatchAll_Ct&lt;22,$BC305=(Elig_MatchAll_Ct-1),AL305=0),I305,0)</f>
        <v>0</v>
      </c>
      <c r="BO305" s="216">
        <f>IF(AND(Input_Product=Elig!$C305,Elig_MatchAll_Ct&lt;22,$BC305=(Elig_MatchAll_Ct-1),AM305=0),J305,0)</f>
        <v>0</v>
      </c>
      <c r="BP305" s="216">
        <f>IF(AND(Input_Product=Elig!$C305,Elig_MatchAll_Ct&lt;22,$BC305=(Elig_MatchAll_Ct-1),AN305=0),K305,0)</f>
        <v>0</v>
      </c>
      <c r="BQ305" s="216">
        <f>IF(AND(Input_Product=Elig!$C305,Elig_MatchAll_Ct&lt;22,$BC305=(Elig_MatchAll_Ct-1),AP305=0),L305,0)</f>
        <v>0</v>
      </c>
      <c r="BR305" s="216">
        <f>IF(AND(Input_Product=Elig!$C305,Elig_MatchAll_Ct&lt;22,$BC305=(Elig_MatchAll_Ct-1),AO305=0),M305,0)</f>
        <v>0</v>
      </c>
      <c r="BS305" s="216">
        <f>IF(AND(Input_Product=Elig!$C305,Elig_MatchAll_Ct&lt;22,$BC305=(Elig_MatchAll_Ct-1),AQ305=0),N305,0)</f>
        <v>0</v>
      </c>
      <c r="BT305" s="216">
        <f>IF(AND(Input_Product=Elig!$C305,Elig_MatchAll_Ct&lt;22,$BC305=(Elig_MatchAll_Ct-1),AR305=0),O305,0)</f>
        <v>0</v>
      </c>
      <c r="BU305" s="216">
        <f>IF(AND(Input_Product=Elig!$C305,Elig_MatchAll_Ct&lt;22,$BC305=(Elig_MatchAll_Ct-1),AS305=0),P305,0)</f>
        <v>0</v>
      </c>
      <c r="BV305" s="217">
        <f>IF(AND(Input_Product=Elig!$C305,Elig_MatchAll_Ct&lt;22,$BC305=(Elig_MatchAll_Ct-1),AT305=0),Q305,0)</f>
        <v>0</v>
      </c>
      <c r="BW305" s="212">
        <f>IF(AND(Input_Product=Elig!$C305,Elig_MatchAll_Ct&lt;22,$BC305=(Elig_MatchAll_Ct-1),AU305=0),R305,0)</f>
        <v>0</v>
      </c>
      <c r="BX305" s="213">
        <f>IF(AND(Input_Product=Elig!$C305,Elig_MatchAll_Ct&lt;22,$BC305=(Elig_MatchAll_Ct-1),AU305=0),S305,0)</f>
        <v>0</v>
      </c>
      <c r="BY305" s="212">
        <f>IF(AND(Input_Product=Elig!$C305,Elig_MatchAll_Ct&lt;22,$BC305=(Elig_MatchAll_Ct-1),AV305=0),T305,0)</f>
        <v>0</v>
      </c>
      <c r="BZ305" s="213">
        <f>IF(AND(Input_Product=Elig!$C305,Elig_MatchAll_Ct&lt;22,$BC305=(Elig_MatchAll_Ct-1),AV305=0),U305,0)</f>
        <v>0</v>
      </c>
      <c r="CA305" s="212">
        <f>IF(AND(Input_Product=Elig!$C305,Elig_MatchAll_Ct&lt;22,$BC305=(Elig_MatchAll_Ct-1),AW305=0),V305,0)</f>
        <v>0</v>
      </c>
      <c r="CB305" s="213">
        <f>IF(AND(Input_Product=Elig!$C305,Elig_MatchAll_Ct&lt;22,$BC305=(Elig_MatchAll_Ct-1),AW305=0),W305,0)</f>
        <v>0</v>
      </c>
      <c r="CC305" s="212">
        <f>IF(AND(Input_Product=Elig!$C305,Elig_MatchAll_Ct&lt;22,$BC305=(Elig_MatchAll_Ct-1),AX305=0),X305,0)</f>
        <v>0</v>
      </c>
      <c r="CD305" s="213">
        <f>IF(AND(Input_Product=Elig!$C305,Elig_MatchAll_Ct&lt;22,$BC305=(Elig_MatchAll_Ct-1),AX305=0),Y305,0)</f>
        <v>0</v>
      </c>
      <c r="CE305" s="212">
        <f>IF(AND(Input_LTV&lt;=AE305,Input_Product=Elig!$C305,Elig_MatchAll_Ct&lt;22,$BC305=(Elig_MatchAll_Ct-1),AY305=0),Z305,0)</f>
        <v>0</v>
      </c>
      <c r="CF305" s="213">
        <f>IF(AND(Input_LTV&lt;=AE305,Input_Product=Elig!$C305,Elig_MatchAll_Ct&lt;22,$BC305=(Elig_MatchAll_Ct-1),AY305=0),AA305,0)</f>
        <v>0</v>
      </c>
      <c r="CG305" s="212">
        <f>IF(AND(Input_Product=Elig!$C305,Elig_MatchAll_Ct&lt;22,$BC305=(Elig_MatchAll_Ct-1),AZ305=0),AB305,0)</f>
        <v>0</v>
      </c>
      <c r="CH305" s="213">
        <f>IF(AND(Input_Product=Elig!$C305,Elig_MatchAll_Ct&lt;22,$BC305=(Elig_MatchAll_Ct-1),AZ305=0),AC305,0)</f>
        <v>0</v>
      </c>
      <c r="CI305" s="212">
        <f>IF(AND(Input_Product=Elig!$C305,Elig_MatchAll_Ct&lt;22,$BC305=(Elig_MatchAll_Ct-1),BA305=0),AD305,0)</f>
        <v>0</v>
      </c>
      <c r="CJ305" s="213">
        <f>IF(AND(Input_Product=Elig!$C305,Elig_MatchAll_Ct&lt;22,$BC305=(Elig_MatchAll_Ct-1),BA305=0),AE305,0)</f>
        <v>0</v>
      </c>
    </row>
    <row r="306" spans="2:88" ht="10.15" customHeight="1" x14ac:dyDescent="0.25">
      <c r="B306" s="287" t="s">
        <v>1002</v>
      </c>
      <c r="C306" s="286" t="str">
        <f t="shared" si="132"/>
        <v>NonQM NOO</v>
      </c>
      <c r="D306" s="287" t="s">
        <v>3885</v>
      </c>
      <c r="E306" s="287" t="s">
        <v>167</v>
      </c>
      <c r="F306" s="287" t="s">
        <v>330</v>
      </c>
      <c r="G306" s="300" t="s">
        <v>468</v>
      </c>
      <c r="H306" s="287" t="s">
        <v>136</v>
      </c>
      <c r="I306" s="288" t="s">
        <v>16</v>
      </c>
      <c r="J306" s="288" t="s">
        <v>1311</v>
      </c>
      <c r="K306" s="288" t="s">
        <v>1631</v>
      </c>
      <c r="L306" s="300" t="s">
        <v>312</v>
      </c>
      <c r="M306" s="287" t="s">
        <v>4203</v>
      </c>
      <c r="N306" s="287" t="s">
        <v>2685</v>
      </c>
      <c r="O306" s="287" t="s">
        <v>310</v>
      </c>
      <c r="P306" s="287" t="s">
        <v>291</v>
      </c>
      <c r="Q306" s="287" t="s">
        <v>294</v>
      </c>
      <c r="R306" s="300">
        <v>100000</v>
      </c>
      <c r="S306" s="287">
        <v>1000000</v>
      </c>
      <c r="T306" s="287">
        <v>0</v>
      </c>
      <c r="U306" s="287">
        <f t="shared" si="138"/>
        <v>1000000</v>
      </c>
      <c r="V306" s="287">
        <v>0</v>
      </c>
      <c r="W306" s="287">
        <v>55</v>
      </c>
      <c r="X306" s="287">
        <v>0</v>
      </c>
      <c r="Y306" s="287">
        <v>999</v>
      </c>
      <c r="Z306" s="289">
        <v>700</v>
      </c>
      <c r="AA306" s="289">
        <v>719</v>
      </c>
      <c r="AB306" s="289">
        <v>3</v>
      </c>
      <c r="AC306" s="289">
        <v>999999</v>
      </c>
      <c r="AD306" s="287">
        <v>0</v>
      </c>
      <c r="AE306" s="2105">
        <v>80</v>
      </c>
      <c r="AF306" s="170">
        <v>0</v>
      </c>
      <c r="AG306" s="171">
        <v>1</v>
      </c>
      <c r="AH306" s="171">
        <v>1</v>
      </c>
      <c r="AI306" s="171">
        <v>0</v>
      </c>
      <c r="AJ306" s="171">
        <v>0</v>
      </c>
      <c r="AK306" s="171">
        <v>1</v>
      </c>
      <c r="AL306" s="171">
        <v>1</v>
      </c>
      <c r="AM306" s="171">
        <v>1</v>
      </c>
      <c r="AN306" s="171">
        <v>1</v>
      </c>
      <c r="AO306" s="171">
        <v>1</v>
      </c>
      <c r="AP306" s="171">
        <v>1</v>
      </c>
      <c r="AQ306" s="171">
        <v>1</v>
      </c>
      <c r="AR306" s="171">
        <v>1</v>
      </c>
      <c r="AS306" s="171">
        <v>1</v>
      </c>
      <c r="AT306" s="171">
        <v>1</v>
      </c>
      <c r="AU306" s="171">
        <f t="shared" si="58"/>
        <v>1</v>
      </c>
      <c r="AV306" s="171">
        <f t="shared" si="59"/>
        <v>1</v>
      </c>
      <c r="AW306" s="171">
        <f t="shared" si="60"/>
        <v>1</v>
      </c>
      <c r="AX306" s="171">
        <f t="shared" si="100"/>
        <v>1</v>
      </c>
      <c r="AY306" s="171">
        <f t="shared" si="61"/>
        <v>0</v>
      </c>
      <c r="AZ306" s="171">
        <f t="shared" si="62"/>
        <v>1</v>
      </c>
      <c r="BA306" s="172">
        <f t="shared" si="63"/>
        <v>1</v>
      </c>
      <c r="BB306" s="175">
        <f t="shared" si="135"/>
        <v>18</v>
      </c>
      <c r="BC306" s="176">
        <f t="shared" si="136"/>
        <v>17</v>
      </c>
      <c r="BD306" s="176">
        <f t="shared" si="137"/>
        <v>18</v>
      </c>
      <c r="BE306" s="240" t="str">
        <f t="shared" si="124"/>
        <v/>
      </c>
      <c r="BH306" s="199">
        <f>IF(AND(Input_Product=Elig!$C306,Elig_MatchAll_Ct&lt;22,$BC306=(Elig_MatchAll_Ct-1),AF306=0),C306,0)</f>
        <v>0</v>
      </c>
      <c r="BI306" s="199">
        <f>IF(AND(Input_Product=Elig!$C306,Elig_MatchAll_Ct&lt;22,$BC306=(Elig_MatchAll_Ct-1),AG306=0),D306,0)</f>
        <v>0</v>
      </c>
      <c r="BJ306" s="199">
        <f>IF(AND(Input_Product=Elig!$C306,Elig_MatchAll_Ct&lt;22,$BC306=(Elig_MatchAll_Ct-1),AH306=0),E306,0)</f>
        <v>0</v>
      </c>
      <c r="BK306" s="199">
        <f>IF(AND(Input_Product=Elig!$C306,Elig_MatchAll_Ct&lt;22,$BC306=(Elig_MatchAll_Ct-1),AI306=0),F306,0)</f>
        <v>0</v>
      </c>
      <c r="BL306" s="199">
        <f>IF(AND(Input_Product=Elig!$C306,Elig_MatchAll_Ct&lt;22,$BC306=(Elig_MatchAll_Ct-1),AJ306=0),G306,0)</f>
        <v>0</v>
      </c>
      <c r="BM306" s="199">
        <f>IF(AND(Input_Product=Elig!$C306,Elig_MatchAll_Ct&lt;22,$BC306=(Elig_MatchAll_Ct-1),AK306=0),H306,0)</f>
        <v>0</v>
      </c>
      <c r="BN306" s="199">
        <f>IF(AND(Input_Product=Elig!$C306,Elig_MatchAll_Ct&lt;22,$BC306=(Elig_MatchAll_Ct-1),AL306=0),I306,0)</f>
        <v>0</v>
      </c>
      <c r="BO306" s="199">
        <f>IF(AND(Input_Product=Elig!$C306,Elig_MatchAll_Ct&lt;22,$BC306=(Elig_MatchAll_Ct-1),AM306=0),J306,0)</f>
        <v>0</v>
      </c>
      <c r="BP306" s="199">
        <f>IF(AND(Input_Product=Elig!$C306,Elig_MatchAll_Ct&lt;22,$BC306=(Elig_MatchAll_Ct-1),AN306=0),K306,0)</f>
        <v>0</v>
      </c>
      <c r="BQ306" s="199">
        <f>IF(AND(Input_Product=Elig!$C306,Elig_MatchAll_Ct&lt;22,$BC306=(Elig_MatchAll_Ct-1),AP306=0),L306,0)</f>
        <v>0</v>
      </c>
      <c r="BR306" s="199">
        <f>IF(AND(Input_Product=Elig!$C306,Elig_MatchAll_Ct&lt;22,$BC306=(Elig_MatchAll_Ct-1),AO306=0),M306,0)</f>
        <v>0</v>
      </c>
      <c r="BS306" s="199">
        <f>IF(AND(Input_Product=Elig!$C306,Elig_MatchAll_Ct&lt;22,$BC306=(Elig_MatchAll_Ct-1),AQ306=0),N306,0)</f>
        <v>0</v>
      </c>
      <c r="BT306" s="199">
        <f>IF(AND(Input_Product=Elig!$C306,Elig_MatchAll_Ct&lt;22,$BC306=(Elig_MatchAll_Ct-1),AR306=0),O306,0)</f>
        <v>0</v>
      </c>
      <c r="BU306" s="199">
        <f>IF(AND(Input_Product=Elig!$C306,Elig_MatchAll_Ct&lt;22,$BC306=(Elig_MatchAll_Ct-1),AS306=0),P306,0)</f>
        <v>0</v>
      </c>
      <c r="BV306" s="200">
        <f>IF(AND(Input_Product=Elig!$C306,Elig_MatchAll_Ct&lt;22,$BC306=(Elig_MatchAll_Ct-1),AT306=0),Q306,0)</f>
        <v>0</v>
      </c>
      <c r="BW306" s="201">
        <f>IF(AND(Input_Product=Elig!$C306,Elig_MatchAll_Ct&lt;22,$BC306=(Elig_MatchAll_Ct-1),AU306=0),R306,0)</f>
        <v>0</v>
      </c>
      <c r="BX306" s="202">
        <f>IF(AND(Input_Product=Elig!$C306,Elig_MatchAll_Ct&lt;22,$BC306=(Elig_MatchAll_Ct-1),AU306=0),S306,0)</f>
        <v>0</v>
      </c>
      <c r="BY306" s="201">
        <f>IF(AND(Input_Product=Elig!$C306,Elig_MatchAll_Ct&lt;22,$BC306=(Elig_MatchAll_Ct-1),AV306=0),T306,0)</f>
        <v>0</v>
      </c>
      <c r="BZ306" s="202">
        <f>IF(AND(Input_Product=Elig!$C306,Elig_MatchAll_Ct&lt;22,$BC306=(Elig_MatchAll_Ct-1),AV306=0),U306,0)</f>
        <v>0</v>
      </c>
      <c r="CA306" s="201">
        <f>IF(AND(Input_Product=Elig!$C306,Elig_MatchAll_Ct&lt;22,$BC306=(Elig_MatchAll_Ct-1),AW306=0),V306,0)</f>
        <v>0</v>
      </c>
      <c r="CB306" s="202">
        <f>IF(AND(Input_Product=Elig!$C306,Elig_MatchAll_Ct&lt;22,$BC306=(Elig_MatchAll_Ct-1),AW306=0),W306,0)</f>
        <v>0</v>
      </c>
      <c r="CC306" s="201">
        <f>IF(AND(Input_Product=Elig!$C306,Elig_MatchAll_Ct&lt;22,$BC306=(Elig_MatchAll_Ct-1),AX306=0),X306,0)</f>
        <v>0</v>
      </c>
      <c r="CD306" s="202">
        <f>IF(AND(Input_Product=Elig!$C306,Elig_MatchAll_Ct&lt;22,$BC306=(Elig_MatchAll_Ct-1),AX306=0),Y306,0)</f>
        <v>0</v>
      </c>
      <c r="CE306" s="201">
        <f>IF(AND(Input_LTV&lt;=AE306,Input_Product=Elig!$C306,Elig_MatchAll_Ct&lt;22,$BC306=(Elig_MatchAll_Ct-1),AY306=0),Z306,0)</f>
        <v>0</v>
      </c>
      <c r="CF306" s="202">
        <f>IF(AND(Input_LTV&lt;=AE306,Input_Product=Elig!$C306,Elig_MatchAll_Ct&lt;22,$BC306=(Elig_MatchAll_Ct-1),AY306=0),AA306,0)</f>
        <v>0</v>
      </c>
      <c r="CG306" s="201">
        <f>IF(AND(Input_Product=Elig!$C306,Elig_MatchAll_Ct&lt;22,$BC306=(Elig_MatchAll_Ct-1),AZ306=0),AB306,0)</f>
        <v>0</v>
      </c>
      <c r="CH306" s="202">
        <f>IF(AND(Input_Product=Elig!$C306,Elig_MatchAll_Ct&lt;22,$BC306=(Elig_MatchAll_Ct-1),AZ306=0),AC306,0)</f>
        <v>0</v>
      </c>
      <c r="CI306" s="201">
        <f>IF(AND(Input_Product=Elig!$C306,Elig_MatchAll_Ct&lt;22,$BC306=(Elig_MatchAll_Ct-1),BA306=0),AD306,0)</f>
        <v>0</v>
      </c>
      <c r="CJ306" s="202">
        <f>IF(AND(Input_Product=Elig!$C306,Elig_MatchAll_Ct&lt;22,$BC306=(Elig_MatchAll_Ct-1),BA306=0),AE306,0)</f>
        <v>0</v>
      </c>
    </row>
    <row r="307" spans="2:88" ht="10.15" customHeight="1" x14ac:dyDescent="0.25">
      <c r="B307" s="287" t="s">
        <v>1003</v>
      </c>
      <c r="C307" s="286" t="str">
        <f t="shared" si="132"/>
        <v>NonQM NOO</v>
      </c>
      <c r="D307" s="287" t="s">
        <v>3885</v>
      </c>
      <c r="E307" s="287" t="s">
        <v>167</v>
      </c>
      <c r="F307" s="287" t="s">
        <v>330</v>
      </c>
      <c r="G307" s="300" t="s">
        <v>468</v>
      </c>
      <c r="H307" s="287" t="s">
        <v>136</v>
      </c>
      <c r="I307" s="288" t="s">
        <v>16</v>
      </c>
      <c r="J307" s="288" t="s">
        <v>1311</v>
      </c>
      <c r="K307" s="288" t="s">
        <v>1631</v>
      </c>
      <c r="L307" s="300" t="s">
        <v>312</v>
      </c>
      <c r="M307" s="287" t="s">
        <v>4203</v>
      </c>
      <c r="N307" s="287" t="s">
        <v>2685</v>
      </c>
      <c r="O307" s="287" t="s">
        <v>310</v>
      </c>
      <c r="P307" s="287" t="s">
        <v>291</v>
      </c>
      <c r="Q307" s="287" t="s">
        <v>294</v>
      </c>
      <c r="R307" s="300">
        <v>100000</v>
      </c>
      <c r="S307" s="287">
        <v>1000000</v>
      </c>
      <c r="T307" s="287">
        <v>0</v>
      </c>
      <c r="U307" s="287">
        <f t="shared" si="138"/>
        <v>1000000</v>
      </c>
      <c r="V307" s="287">
        <v>0</v>
      </c>
      <c r="W307" s="287">
        <v>55</v>
      </c>
      <c r="X307" s="287">
        <v>0</v>
      </c>
      <c r="Y307" s="287">
        <v>999</v>
      </c>
      <c r="Z307" s="289">
        <v>680</v>
      </c>
      <c r="AA307" s="289">
        <v>699</v>
      </c>
      <c r="AB307" s="289">
        <v>3</v>
      </c>
      <c r="AC307" s="289">
        <v>999999</v>
      </c>
      <c r="AD307" s="287">
        <v>0</v>
      </c>
      <c r="AE307" s="2105">
        <v>75</v>
      </c>
      <c r="AF307" s="170">
        <v>0</v>
      </c>
      <c r="AG307" s="171">
        <v>1</v>
      </c>
      <c r="AH307" s="171">
        <v>1</v>
      </c>
      <c r="AI307" s="171">
        <v>0</v>
      </c>
      <c r="AJ307" s="171">
        <v>0</v>
      </c>
      <c r="AK307" s="171">
        <v>1</v>
      </c>
      <c r="AL307" s="171">
        <v>1</v>
      </c>
      <c r="AM307" s="171">
        <v>1</v>
      </c>
      <c r="AN307" s="171">
        <v>1</v>
      </c>
      <c r="AO307" s="171">
        <v>1</v>
      </c>
      <c r="AP307" s="171">
        <v>1</v>
      </c>
      <c r="AQ307" s="171">
        <v>1</v>
      </c>
      <c r="AR307" s="171">
        <v>1</v>
      </c>
      <c r="AS307" s="171">
        <v>1</v>
      </c>
      <c r="AT307" s="171">
        <v>1</v>
      </c>
      <c r="AU307" s="171">
        <f t="shared" si="58"/>
        <v>1</v>
      </c>
      <c r="AV307" s="171">
        <f t="shared" si="59"/>
        <v>1</v>
      </c>
      <c r="AW307" s="171">
        <f t="shared" si="60"/>
        <v>1</v>
      </c>
      <c r="AX307" s="171">
        <f t="shared" si="100"/>
        <v>1</v>
      </c>
      <c r="AY307" s="171">
        <f t="shared" si="61"/>
        <v>0</v>
      </c>
      <c r="AZ307" s="171">
        <f t="shared" si="62"/>
        <v>1</v>
      </c>
      <c r="BA307" s="172">
        <f t="shared" si="63"/>
        <v>1</v>
      </c>
      <c r="BB307" s="175">
        <f t="shared" si="135"/>
        <v>18</v>
      </c>
      <c r="BC307" s="176">
        <f t="shared" si="136"/>
        <v>17</v>
      </c>
      <c r="BD307" s="176">
        <f t="shared" si="137"/>
        <v>18</v>
      </c>
      <c r="BE307" s="240" t="str">
        <f t="shared" si="124"/>
        <v/>
      </c>
      <c r="BH307" s="199">
        <f>IF(AND(Input_Product=Elig!$C307,Elig_MatchAll_Ct&lt;22,$BC307=(Elig_MatchAll_Ct-1),AF307=0),C307,0)</f>
        <v>0</v>
      </c>
      <c r="BI307" s="199">
        <f>IF(AND(Input_Product=Elig!$C307,Elig_MatchAll_Ct&lt;22,$BC307=(Elig_MatchAll_Ct-1),AG307=0),D307,0)</f>
        <v>0</v>
      </c>
      <c r="BJ307" s="199">
        <f>IF(AND(Input_Product=Elig!$C307,Elig_MatchAll_Ct&lt;22,$BC307=(Elig_MatchAll_Ct-1),AH307=0),E307,0)</f>
        <v>0</v>
      </c>
      <c r="BK307" s="199">
        <f>IF(AND(Input_Product=Elig!$C307,Elig_MatchAll_Ct&lt;22,$BC307=(Elig_MatchAll_Ct-1),AI307=0),F307,0)</f>
        <v>0</v>
      </c>
      <c r="BL307" s="199">
        <f>IF(AND(Input_Product=Elig!$C307,Elig_MatchAll_Ct&lt;22,$BC307=(Elig_MatchAll_Ct-1),AJ307=0),G307,0)</f>
        <v>0</v>
      </c>
      <c r="BM307" s="199">
        <f>IF(AND(Input_Product=Elig!$C307,Elig_MatchAll_Ct&lt;22,$BC307=(Elig_MatchAll_Ct-1),AK307=0),H307,0)</f>
        <v>0</v>
      </c>
      <c r="BN307" s="199">
        <f>IF(AND(Input_Product=Elig!$C307,Elig_MatchAll_Ct&lt;22,$BC307=(Elig_MatchAll_Ct-1),AL307=0),I307,0)</f>
        <v>0</v>
      </c>
      <c r="BO307" s="199">
        <f>IF(AND(Input_Product=Elig!$C307,Elig_MatchAll_Ct&lt;22,$BC307=(Elig_MatchAll_Ct-1),AM307=0),J307,0)</f>
        <v>0</v>
      </c>
      <c r="BP307" s="199">
        <f>IF(AND(Input_Product=Elig!$C307,Elig_MatchAll_Ct&lt;22,$BC307=(Elig_MatchAll_Ct-1),AN307=0),K307,0)</f>
        <v>0</v>
      </c>
      <c r="BQ307" s="199">
        <f>IF(AND(Input_Product=Elig!$C307,Elig_MatchAll_Ct&lt;22,$BC307=(Elig_MatchAll_Ct-1),AP307=0),L307,0)</f>
        <v>0</v>
      </c>
      <c r="BR307" s="199">
        <f>IF(AND(Input_Product=Elig!$C307,Elig_MatchAll_Ct&lt;22,$BC307=(Elig_MatchAll_Ct-1),AO307=0),M307,0)</f>
        <v>0</v>
      </c>
      <c r="BS307" s="199">
        <f>IF(AND(Input_Product=Elig!$C307,Elig_MatchAll_Ct&lt;22,$BC307=(Elig_MatchAll_Ct-1),AQ307=0),N307,0)</f>
        <v>0</v>
      </c>
      <c r="BT307" s="199">
        <f>IF(AND(Input_Product=Elig!$C307,Elig_MatchAll_Ct&lt;22,$BC307=(Elig_MatchAll_Ct-1),AR307=0),O307,0)</f>
        <v>0</v>
      </c>
      <c r="BU307" s="199">
        <f>IF(AND(Input_Product=Elig!$C307,Elig_MatchAll_Ct&lt;22,$BC307=(Elig_MatchAll_Ct-1),AS307=0),P307,0)</f>
        <v>0</v>
      </c>
      <c r="BV307" s="200">
        <f>IF(AND(Input_Product=Elig!$C307,Elig_MatchAll_Ct&lt;22,$BC307=(Elig_MatchAll_Ct-1),AT307=0),Q307,0)</f>
        <v>0</v>
      </c>
      <c r="BW307" s="201">
        <f>IF(AND(Input_Product=Elig!$C307,Elig_MatchAll_Ct&lt;22,$BC307=(Elig_MatchAll_Ct-1),AU307=0),R307,0)</f>
        <v>0</v>
      </c>
      <c r="BX307" s="202">
        <f>IF(AND(Input_Product=Elig!$C307,Elig_MatchAll_Ct&lt;22,$BC307=(Elig_MatchAll_Ct-1),AU307=0),S307,0)</f>
        <v>0</v>
      </c>
      <c r="BY307" s="201">
        <f>IF(AND(Input_Product=Elig!$C307,Elig_MatchAll_Ct&lt;22,$BC307=(Elig_MatchAll_Ct-1),AV307=0),T307,0)</f>
        <v>0</v>
      </c>
      <c r="BZ307" s="202">
        <f>IF(AND(Input_Product=Elig!$C307,Elig_MatchAll_Ct&lt;22,$BC307=(Elig_MatchAll_Ct-1),AV307=0),U307,0)</f>
        <v>0</v>
      </c>
      <c r="CA307" s="201">
        <f>IF(AND(Input_Product=Elig!$C307,Elig_MatchAll_Ct&lt;22,$BC307=(Elig_MatchAll_Ct-1),AW307=0),V307,0)</f>
        <v>0</v>
      </c>
      <c r="CB307" s="202">
        <f>IF(AND(Input_Product=Elig!$C307,Elig_MatchAll_Ct&lt;22,$BC307=(Elig_MatchAll_Ct-1),AW307=0),W307,0)</f>
        <v>0</v>
      </c>
      <c r="CC307" s="201">
        <f>IF(AND(Input_Product=Elig!$C307,Elig_MatchAll_Ct&lt;22,$BC307=(Elig_MatchAll_Ct-1),AX307=0),X307,0)</f>
        <v>0</v>
      </c>
      <c r="CD307" s="202">
        <f>IF(AND(Input_Product=Elig!$C307,Elig_MatchAll_Ct&lt;22,$BC307=(Elig_MatchAll_Ct-1),AX307=0),Y307,0)</f>
        <v>0</v>
      </c>
      <c r="CE307" s="201">
        <f>IF(AND(Input_LTV&lt;=AE307,Input_Product=Elig!$C307,Elig_MatchAll_Ct&lt;22,$BC307=(Elig_MatchAll_Ct-1),AY307=0),Z307,0)</f>
        <v>0</v>
      </c>
      <c r="CF307" s="202">
        <f>IF(AND(Input_LTV&lt;=AE307,Input_Product=Elig!$C307,Elig_MatchAll_Ct&lt;22,$BC307=(Elig_MatchAll_Ct-1),AY307=0),AA307,0)</f>
        <v>0</v>
      </c>
      <c r="CG307" s="201">
        <f>IF(AND(Input_Product=Elig!$C307,Elig_MatchAll_Ct&lt;22,$BC307=(Elig_MatchAll_Ct-1),AZ307=0),AB307,0)</f>
        <v>0</v>
      </c>
      <c r="CH307" s="202">
        <f>IF(AND(Input_Product=Elig!$C307,Elig_MatchAll_Ct&lt;22,$BC307=(Elig_MatchAll_Ct-1),AZ307=0),AC307,0)</f>
        <v>0</v>
      </c>
      <c r="CI307" s="201">
        <f>IF(AND(Input_Product=Elig!$C307,Elig_MatchAll_Ct&lt;22,$BC307=(Elig_MatchAll_Ct-1),BA307=0),AD307,0)</f>
        <v>0</v>
      </c>
      <c r="CJ307" s="202">
        <f>IF(AND(Input_Product=Elig!$C307,Elig_MatchAll_Ct&lt;22,$BC307=(Elig_MatchAll_Ct-1),BA307=0),AE307,0)</f>
        <v>0</v>
      </c>
    </row>
    <row r="308" spans="2:88" ht="10.15" customHeight="1" x14ac:dyDescent="0.25">
      <c r="B308" s="287" t="s">
        <v>1004</v>
      </c>
      <c r="C308" s="286" t="str">
        <f t="shared" si="132"/>
        <v>NonQM NOO</v>
      </c>
      <c r="D308" s="287" t="s">
        <v>3885</v>
      </c>
      <c r="E308" s="287" t="s">
        <v>167</v>
      </c>
      <c r="F308" s="287" t="s">
        <v>330</v>
      </c>
      <c r="G308" s="300" t="s">
        <v>468</v>
      </c>
      <c r="H308" s="287" t="s">
        <v>136</v>
      </c>
      <c r="I308" s="287" t="s">
        <v>16</v>
      </c>
      <c r="J308" s="287" t="s">
        <v>1311</v>
      </c>
      <c r="K308" s="287" t="s">
        <v>1631</v>
      </c>
      <c r="L308" s="300" t="s">
        <v>312</v>
      </c>
      <c r="M308" s="287" t="s">
        <v>4203</v>
      </c>
      <c r="N308" s="287" t="s">
        <v>2685</v>
      </c>
      <c r="O308" s="287" t="s">
        <v>310</v>
      </c>
      <c r="P308" s="287" t="s">
        <v>291</v>
      </c>
      <c r="Q308" s="287" t="s">
        <v>294</v>
      </c>
      <c r="R308" s="300">
        <v>100000</v>
      </c>
      <c r="S308" s="287">
        <v>1000000</v>
      </c>
      <c r="T308" s="287">
        <v>0</v>
      </c>
      <c r="U308" s="287">
        <f t="shared" si="138"/>
        <v>1000000</v>
      </c>
      <c r="V308" s="287">
        <v>0</v>
      </c>
      <c r="W308" s="287">
        <v>50</v>
      </c>
      <c r="X308" s="287">
        <v>0</v>
      </c>
      <c r="Y308" s="287">
        <v>999</v>
      </c>
      <c r="Z308" s="289">
        <v>660</v>
      </c>
      <c r="AA308" s="289">
        <v>679</v>
      </c>
      <c r="AB308" s="289">
        <v>3</v>
      </c>
      <c r="AC308" s="289">
        <v>999999</v>
      </c>
      <c r="AD308" s="287">
        <v>0</v>
      </c>
      <c r="AE308" s="290">
        <v>70</v>
      </c>
      <c r="AF308" s="170">
        <v>0</v>
      </c>
      <c r="AG308" s="171">
        <v>1</v>
      </c>
      <c r="AH308" s="171">
        <v>1</v>
      </c>
      <c r="AI308" s="171">
        <v>0</v>
      </c>
      <c r="AJ308" s="171">
        <v>0</v>
      </c>
      <c r="AK308" s="171">
        <v>1</v>
      </c>
      <c r="AL308" s="171">
        <v>1</v>
      </c>
      <c r="AM308" s="171">
        <v>1</v>
      </c>
      <c r="AN308" s="171">
        <v>1</v>
      </c>
      <c r="AO308" s="171">
        <v>1</v>
      </c>
      <c r="AP308" s="171">
        <v>1</v>
      </c>
      <c r="AQ308" s="171">
        <v>1</v>
      </c>
      <c r="AR308" s="171">
        <v>1</v>
      </c>
      <c r="AS308" s="171">
        <v>1</v>
      </c>
      <c r="AT308" s="171">
        <v>1</v>
      </c>
      <c r="AU308" s="171">
        <f t="shared" si="58"/>
        <v>1</v>
      </c>
      <c r="AV308" s="171">
        <f t="shared" si="59"/>
        <v>1</v>
      </c>
      <c r="AW308" s="171">
        <f t="shared" si="60"/>
        <v>1</v>
      </c>
      <c r="AX308" s="171">
        <f t="shared" si="100"/>
        <v>1</v>
      </c>
      <c r="AY308" s="171">
        <f t="shared" si="61"/>
        <v>0</v>
      </c>
      <c r="AZ308" s="171">
        <f t="shared" si="62"/>
        <v>1</v>
      </c>
      <c r="BA308" s="172">
        <f t="shared" si="63"/>
        <v>1</v>
      </c>
      <c r="BB308" s="175">
        <f t="shared" si="135"/>
        <v>18</v>
      </c>
      <c r="BC308" s="176">
        <f t="shared" si="136"/>
        <v>17</v>
      </c>
      <c r="BD308" s="176">
        <f t="shared" si="137"/>
        <v>18</v>
      </c>
      <c r="BE308" s="240" t="str">
        <f t="shared" si="124"/>
        <v/>
      </c>
      <c r="BH308" s="199">
        <f>IF(AND(Input_Product=Elig!$C308,Elig_MatchAll_Ct&lt;22,$BC308=(Elig_MatchAll_Ct-1),AF308=0),C308,0)</f>
        <v>0</v>
      </c>
      <c r="BI308" s="199">
        <f>IF(AND(Input_Product=Elig!$C308,Elig_MatchAll_Ct&lt;22,$BC308=(Elig_MatchAll_Ct-1),AG308=0),D308,0)</f>
        <v>0</v>
      </c>
      <c r="BJ308" s="199">
        <f>IF(AND(Input_Product=Elig!$C308,Elig_MatchAll_Ct&lt;22,$BC308=(Elig_MatchAll_Ct-1),AH308=0),E308,0)</f>
        <v>0</v>
      </c>
      <c r="BK308" s="199">
        <f>IF(AND(Input_Product=Elig!$C308,Elig_MatchAll_Ct&lt;22,$BC308=(Elig_MatchAll_Ct-1),AI308=0),F308,0)</f>
        <v>0</v>
      </c>
      <c r="BL308" s="199">
        <f>IF(AND(Input_Product=Elig!$C308,Elig_MatchAll_Ct&lt;22,$BC308=(Elig_MatchAll_Ct-1),AJ308=0),G308,0)</f>
        <v>0</v>
      </c>
      <c r="BM308" s="199">
        <f>IF(AND(Input_Product=Elig!$C308,Elig_MatchAll_Ct&lt;22,$BC308=(Elig_MatchAll_Ct-1),AK308=0),H308,0)</f>
        <v>0</v>
      </c>
      <c r="BN308" s="199">
        <f>IF(AND(Input_Product=Elig!$C308,Elig_MatchAll_Ct&lt;22,$BC308=(Elig_MatchAll_Ct-1),AL308=0),I308,0)</f>
        <v>0</v>
      </c>
      <c r="BO308" s="199">
        <f>IF(AND(Input_Product=Elig!$C308,Elig_MatchAll_Ct&lt;22,$BC308=(Elig_MatchAll_Ct-1),AM308=0),J308,0)</f>
        <v>0</v>
      </c>
      <c r="BP308" s="199">
        <f>IF(AND(Input_Product=Elig!$C308,Elig_MatchAll_Ct&lt;22,$BC308=(Elig_MatchAll_Ct-1),AN308=0),K308,0)</f>
        <v>0</v>
      </c>
      <c r="BQ308" s="199">
        <f>IF(AND(Input_Product=Elig!$C308,Elig_MatchAll_Ct&lt;22,$BC308=(Elig_MatchAll_Ct-1),AP308=0),L308,0)</f>
        <v>0</v>
      </c>
      <c r="BR308" s="199">
        <f>IF(AND(Input_Product=Elig!$C308,Elig_MatchAll_Ct&lt;22,$BC308=(Elig_MatchAll_Ct-1),AO308=0),M308,0)</f>
        <v>0</v>
      </c>
      <c r="BS308" s="199">
        <f>IF(AND(Input_Product=Elig!$C308,Elig_MatchAll_Ct&lt;22,$BC308=(Elig_MatchAll_Ct-1),AQ308=0),N308,0)</f>
        <v>0</v>
      </c>
      <c r="BT308" s="199">
        <f>IF(AND(Input_Product=Elig!$C308,Elig_MatchAll_Ct&lt;22,$BC308=(Elig_MatchAll_Ct-1),AR308=0),O308,0)</f>
        <v>0</v>
      </c>
      <c r="BU308" s="199">
        <f>IF(AND(Input_Product=Elig!$C308,Elig_MatchAll_Ct&lt;22,$BC308=(Elig_MatchAll_Ct-1),AS308=0),P308,0)</f>
        <v>0</v>
      </c>
      <c r="BV308" s="200">
        <f>IF(AND(Input_Product=Elig!$C308,Elig_MatchAll_Ct&lt;22,$BC308=(Elig_MatchAll_Ct-1),AT308=0),Q308,0)</f>
        <v>0</v>
      </c>
      <c r="BW308" s="201">
        <f>IF(AND(Input_Product=Elig!$C308,Elig_MatchAll_Ct&lt;22,$BC308=(Elig_MatchAll_Ct-1),AU308=0),R308,0)</f>
        <v>0</v>
      </c>
      <c r="BX308" s="202">
        <f>IF(AND(Input_Product=Elig!$C308,Elig_MatchAll_Ct&lt;22,$BC308=(Elig_MatchAll_Ct-1),AU308=0),S308,0)</f>
        <v>0</v>
      </c>
      <c r="BY308" s="201">
        <f>IF(AND(Input_Product=Elig!$C308,Elig_MatchAll_Ct&lt;22,$BC308=(Elig_MatchAll_Ct-1),AV308=0),T308,0)</f>
        <v>0</v>
      </c>
      <c r="BZ308" s="202">
        <f>IF(AND(Input_Product=Elig!$C308,Elig_MatchAll_Ct&lt;22,$BC308=(Elig_MatchAll_Ct-1),AV308=0),U308,0)</f>
        <v>0</v>
      </c>
      <c r="CA308" s="201">
        <f>IF(AND(Input_Product=Elig!$C308,Elig_MatchAll_Ct&lt;22,$BC308=(Elig_MatchAll_Ct-1),AW308=0),V308,0)</f>
        <v>0</v>
      </c>
      <c r="CB308" s="202">
        <f>IF(AND(Input_Product=Elig!$C308,Elig_MatchAll_Ct&lt;22,$BC308=(Elig_MatchAll_Ct-1),AW308=0),W308,0)</f>
        <v>0</v>
      </c>
      <c r="CC308" s="201">
        <f>IF(AND(Input_Product=Elig!$C308,Elig_MatchAll_Ct&lt;22,$BC308=(Elig_MatchAll_Ct-1),AX308=0),X308,0)</f>
        <v>0</v>
      </c>
      <c r="CD308" s="202">
        <f>IF(AND(Input_Product=Elig!$C308,Elig_MatchAll_Ct&lt;22,$BC308=(Elig_MatchAll_Ct-1),AX308=0),Y308,0)</f>
        <v>0</v>
      </c>
      <c r="CE308" s="201">
        <f>IF(AND(Input_LTV&lt;=AE308,Input_Product=Elig!$C308,Elig_MatchAll_Ct&lt;22,$BC308=(Elig_MatchAll_Ct-1),AY308=0),Z308,0)</f>
        <v>0</v>
      </c>
      <c r="CF308" s="202">
        <f>IF(AND(Input_LTV&lt;=AE308,Input_Product=Elig!$C308,Elig_MatchAll_Ct&lt;22,$BC308=(Elig_MatchAll_Ct-1),AY308=0),AA308,0)</f>
        <v>0</v>
      </c>
      <c r="CG308" s="201">
        <f>IF(AND(Input_Product=Elig!$C308,Elig_MatchAll_Ct&lt;22,$BC308=(Elig_MatchAll_Ct-1),AZ308=0),AB308,0)</f>
        <v>0</v>
      </c>
      <c r="CH308" s="202">
        <f>IF(AND(Input_Product=Elig!$C308,Elig_MatchAll_Ct&lt;22,$BC308=(Elig_MatchAll_Ct-1),AZ308=0),AC308,0)</f>
        <v>0</v>
      </c>
      <c r="CI308" s="201">
        <f>IF(AND(Input_Product=Elig!$C308,Elig_MatchAll_Ct&lt;22,$BC308=(Elig_MatchAll_Ct-1),BA308=0),AD308,0)</f>
        <v>0</v>
      </c>
      <c r="CJ308" s="202">
        <f>IF(AND(Input_Product=Elig!$C308,Elig_MatchAll_Ct&lt;22,$BC308=(Elig_MatchAll_Ct-1),BA308=0),AE308,0)</f>
        <v>0</v>
      </c>
    </row>
    <row r="309" spans="2:88" ht="10.15" customHeight="1" x14ac:dyDescent="0.25">
      <c r="B309" s="287" t="s">
        <v>1005</v>
      </c>
      <c r="C309" s="286" t="str">
        <f t="shared" si="132"/>
        <v>NonQM NOO</v>
      </c>
      <c r="D309" s="287" t="s">
        <v>3885</v>
      </c>
      <c r="E309" s="287" t="s">
        <v>167</v>
      </c>
      <c r="F309" s="287" t="s">
        <v>330</v>
      </c>
      <c r="G309" s="300" t="s">
        <v>468</v>
      </c>
      <c r="H309" s="287" t="s">
        <v>136</v>
      </c>
      <c r="I309" s="287" t="s">
        <v>16</v>
      </c>
      <c r="J309" s="287" t="s">
        <v>1311</v>
      </c>
      <c r="K309" s="287" t="s">
        <v>1631</v>
      </c>
      <c r="L309" s="300" t="s">
        <v>312</v>
      </c>
      <c r="M309" s="287" t="s">
        <v>4203</v>
      </c>
      <c r="N309" s="287" t="s">
        <v>2685</v>
      </c>
      <c r="O309" s="287" t="s">
        <v>310</v>
      </c>
      <c r="P309" s="287" t="s">
        <v>291</v>
      </c>
      <c r="Q309" s="287" t="s">
        <v>294</v>
      </c>
      <c r="R309" s="300">
        <v>100000</v>
      </c>
      <c r="S309" s="287">
        <v>1000000</v>
      </c>
      <c r="T309" s="287">
        <v>0</v>
      </c>
      <c r="U309" s="287">
        <f t="shared" si="138"/>
        <v>1000000</v>
      </c>
      <c r="V309" s="287">
        <v>0</v>
      </c>
      <c r="W309" s="287">
        <v>50</v>
      </c>
      <c r="X309" s="287">
        <v>0</v>
      </c>
      <c r="Y309" s="287">
        <v>999</v>
      </c>
      <c r="Z309" s="289">
        <v>640</v>
      </c>
      <c r="AA309" s="289">
        <v>659</v>
      </c>
      <c r="AB309" s="289">
        <v>3</v>
      </c>
      <c r="AC309" s="289">
        <v>999999</v>
      </c>
      <c r="AD309" s="287">
        <v>0</v>
      </c>
      <c r="AE309" s="290">
        <v>-999</v>
      </c>
      <c r="AF309" s="170">
        <v>0</v>
      </c>
      <c r="AG309" s="171">
        <v>1</v>
      </c>
      <c r="AH309" s="171">
        <v>1</v>
      </c>
      <c r="AI309" s="171">
        <v>0</v>
      </c>
      <c r="AJ309" s="171">
        <v>0</v>
      </c>
      <c r="AK309" s="171">
        <v>1</v>
      </c>
      <c r="AL309" s="171">
        <v>1</v>
      </c>
      <c r="AM309" s="171">
        <v>1</v>
      </c>
      <c r="AN309" s="171">
        <v>1</v>
      </c>
      <c r="AO309" s="171">
        <v>1</v>
      </c>
      <c r="AP309" s="171">
        <v>1</v>
      </c>
      <c r="AQ309" s="171">
        <v>1</v>
      </c>
      <c r="AR309" s="171">
        <v>1</v>
      </c>
      <c r="AS309" s="171">
        <v>1</v>
      </c>
      <c r="AT309" s="171">
        <v>1</v>
      </c>
      <c r="AU309" s="171">
        <f t="shared" si="58"/>
        <v>1</v>
      </c>
      <c r="AV309" s="171">
        <f t="shared" si="59"/>
        <v>1</v>
      </c>
      <c r="AW309" s="171">
        <f t="shared" si="60"/>
        <v>1</v>
      </c>
      <c r="AX309" s="171">
        <f t="shared" si="100"/>
        <v>1</v>
      </c>
      <c r="AY309" s="171">
        <f t="shared" si="61"/>
        <v>0</v>
      </c>
      <c r="AZ309" s="171">
        <f t="shared" si="62"/>
        <v>1</v>
      </c>
      <c r="BA309" s="172">
        <f t="shared" si="63"/>
        <v>0</v>
      </c>
      <c r="BB309" s="175">
        <f t="shared" si="135"/>
        <v>17</v>
      </c>
      <c r="BC309" s="176">
        <f t="shared" si="136"/>
        <v>17</v>
      </c>
      <c r="BD309" s="176">
        <f t="shared" si="137"/>
        <v>17</v>
      </c>
      <c r="BE309" s="240" t="str">
        <f t="shared" si="124"/>
        <v/>
      </c>
      <c r="BH309" s="199">
        <f>IF(AND(Input_Product=Elig!$C309,Elig_MatchAll_Ct&lt;22,$BC309=(Elig_MatchAll_Ct-1),AF309=0),C309,0)</f>
        <v>0</v>
      </c>
      <c r="BI309" s="199">
        <f>IF(AND(Input_Product=Elig!$C309,Elig_MatchAll_Ct&lt;22,$BC309=(Elig_MatchAll_Ct-1),AG309=0),D309,0)</f>
        <v>0</v>
      </c>
      <c r="BJ309" s="199">
        <f>IF(AND(Input_Product=Elig!$C309,Elig_MatchAll_Ct&lt;22,$BC309=(Elig_MatchAll_Ct-1),AH309=0),E309,0)</f>
        <v>0</v>
      </c>
      <c r="BK309" s="199">
        <f>IF(AND(Input_Product=Elig!$C309,Elig_MatchAll_Ct&lt;22,$BC309=(Elig_MatchAll_Ct-1),AI309=0),F309,0)</f>
        <v>0</v>
      </c>
      <c r="BL309" s="199">
        <f>IF(AND(Input_Product=Elig!$C309,Elig_MatchAll_Ct&lt;22,$BC309=(Elig_MatchAll_Ct-1),AJ309=0),G309,0)</f>
        <v>0</v>
      </c>
      <c r="BM309" s="199">
        <f>IF(AND(Input_Product=Elig!$C309,Elig_MatchAll_Ct&lt;22,$BC309=(Elig_MatchAll_Ct-1),AK309=0),H309,0)</f>
        <v>0</v>
      </c>
      <c r="BN309" s="199">
        <f>IF(AND(Input_Product=Elig!$C309,Elig_MatchAll_Ct&lt;22,$BC309=(Elig_MatchAll_Ct-1),AL309=0),I309,0)</f>
        <v>0</v>
      </c>
      <c r="BO309" s="199">
        <f>IF(AND(Input_Product=Elig!$C309,Elig_MatchAll_Ct&lt;22,$BC309=(Elig_MatchAll_Ct-1),AM309=0),J309,0)</f>
        <v>0</v>
      </c>
      <c r="BP309" s="199">
        <f>IF(AND(Input_Product=Elig!$C309,Elig_MatchAll_Ct&lt;22,$BC309=(Elig_MatchAll_Ct-1),AN309=0),K309,0)</f>
        <v>0</v>
      </c>
      <c r="BQ309" s="199">
        <f>IF(AND(Input_Product=Elig!$C309,Elig_MatchAll_Ct&lt;22,$BC309=(Elig_MatchAll_Ct-1),AP309=0),L309,0)</f>
        <v>0</v>
      </c>
      <c r="BR309" s="199">
        <f>IF(AND(Input_Product=Elig!$C309,Elig_MatchAll_Ct&lt;22,$BC309=(Elig_MatchAll_Ct-1),AO309=0),M309,0)</f>
        <v>0</v>
      </c>
      <c r="BS309" s="199">
        <f>IF(AND(Input_Product=Elig!$C309,Elig_MatchAll_Ct&lt;22,$BC309=(Elig_MatchAll_Ct-1),AQ309=0),N309,0)</f>
        <v>0</v>
      </c>
      <c r="BT309" s="199">
        <f>IF(AND(Input_Product=Elig!$C309,Elig_MatchAll_Ct&lt;22,$BC309=(Elig_MatchAll_Ct-1),AR309=0),O309,0)</f>
        <v>0</v>
      </c>
      <c r="BU309" s="199">
        <f>IF(AND(Input_Product=Elig!$C309,Elig_MatchAll_Ct&lt;22,$BC309=(Elig_MatchAll_Ct-1),AS309=0),P309,0)</f>
        <v>0</v>
      </c>
      <c r="BV309" s="200">
        <f>IF(AND(Input_Product=Elig!$C309,Elig_MatchAll_Ct&lt;22,$BC309=(Elig_MatchAll_Ct-1),AT309=0),Q309,0)</f>
        <v>0</v>
      </c>
      <c r="BW309" s="201">
        <f>IF(AND(Input_Product=Elig!$C309,Elig_MatchAll_Ct&lt;22,$BC309=(Elig_MatchAll_Ct-1),AU309=0),R309,0)</f>
        <v>0</v>
      </c>
      <c r="BX309" s="202">
        <f>IF(AND(Input_Product=Elig!$C309,Elig_MatchAll_Ct&lt;22,$BC309=(Elig_MatchAll_Ct-1),AU309=0),S309,0)</f>
        <v>0</v>
      </c>
      <c r="BY309" s="201">
        <f>IF(AND(Input_Product=Elig!$C309,Elig_MatchAll_Ct&lt;22,$BC309=(Elig_MatchAll_Ct-1),AV309=0),T309,0)</f>
        <v>0</v>
      </c>
      <c r="BZ309" s="202">
        <f>IF(AND(Input_Product=Elig!$C309,Elig_MatchAll_Ct&lt;22,$BC309=(Elig_MatchAll_Ct-1),AV309=0),U309,0)</f>
        <v>0</v>
      </c>
      <c r="CA309" s="201">
        <f>IF(AND(Input_Product=Elig!$C309,Elig_MatchAll_Ct&lt;22,$BC309=(Elig_MatchAll_Ct-1),AW309=0),V309,0)</f>
        <v>0</v>
      </c>
      <c r="CB309" s="202">
        <f>IF(AND(Input_Product=Elig!$C309,Elig_MatchAll_Ct&lt;22,$BC309=(Elig_MatchAll_Ct-1),AW309=0),W309,0)</f>
        <v>0</v>
      </c>
      <c r="CC309" s="201">
        <f>IF(AND(Input_Product=Elig!$C309,Elig_MatchAll_Ct&lt;22,$BC309=(Elig_MatchAll_Ct-1),AX309=0),X309,0)</f>
        <v>0</v>
      </c>
      <c r="CD309" s="202">
        <f>IF(AND(Input_Product=Elig!$C309,Elig_MatchAll_Ct&lt;22,$BC309=(Elig_MatchAll_Ct-1),AX309=0),Y309,0)</f>
        <v>0</v>
      </c>
      <c r="CE309" s="201">
        <f>IF(AND(Input_LTV&lt;=AE309,Input_Product=Elig!$C309,Elig_MatchAll_Ct&lt;22,$BC309=(Elig_MatchAll_Ct-1),AY309=0),Z309,0)</f>
        <v>0</v>
      </c>
      <c r="CF309" s="202">
        <f>IF(AND(Input_LTV&lt;=AE309,Input_Product=Elig!$C309,Elig_MatchAll_Ct&lt;22,$BC309=(Elig_MatchAll_Ct-1),AY309=0),AA309,0)</f>
        <v>0</v>
      </c>
      <c r="CG309" s="201">
        <f>IF(AND(Input_Product=Elig!$C309,Elig_MatchAll_Ct&lt;22,$BC309=(Elig_MatchAll_Ct-1),AZ309=0),AB309,0)</f>
        <v>0</v>
      </c>
      <c r="CH309" s="202">
        <f>IF(AND(Input_Product=Elig!$C309,Elig_MatchAll_Ct&lt;22,$BC309=(Elig_MatchAll_Ct-1),AZ309=0),AC309,0)</f>
        <v>0</v>
      </c>
      <c r="CI309" s="201">
        <f>IF(AND(Input_Product=Elig!$C309,Elig_MatchAll_Ct&lt;22,$BC309=(Elig_MatchAll_Ct-1),BA309=0),AD309,0)</f>
        <v>0</v>
      </c>
      <c r="CJ309" s="202">
        <f>IF(AND(Input_Product=Elig!$C309,Elig_MatchAll_Ct&lt;22,$BC309=(Elig_MatchAll_Ct-1),BA309=0),AE309,0)</f>
        <v>0</v>
      </c>
    </row>
    <row r="310" spans="2:88" ht="10.15" customHeight="1" x14ac:dyDescent="0.25">
      <c r="B310" s="287" t="s">
        <v>1006</v>
      </c>
      <c r="C310" s="291" t="str">
        <f t="shared" si="132"/>
        <v>NonQM NOO</v>
      </c>
      <c r="D310" s="292" t="s">
        <v>3885</v>
      </c>
      <c r="E310" s="292" t="s">
        <v>167</v>
      </c>
      <c r="F310" s="292" t="s">
        <v>330</v>
      </c>
      <c r="G310" s="324" t="s">
        <v>468</v>
      </c>
      <c r="H310" s="292" t="s">
        <v>136</v>
      </c>
      <c r="I310" s="292" t="s">
        <v>16</v>
      </c>
      <c r="J310" s="292" t="s">
        <v>1311</v>
      </c>
      <c r="K310" s="292" t="s">
        <v>1631</v>
      </c>
      <c r="L310" s="324" t="s">
        <v>312</v>
      </c>
      <c r="M310" s="292" t="s">
        <v>4203</v>
      </c>
      <c r="N310" s="292" t="s">
        <v>2685</v>
      </c>
      <c r="O310" s="292" t="s">
        <v>310</v>
      </c>
      <c r="P310" s="292" t="s">
        <v>291</v>
      </c>
      <c r="Q310" s="292" t="s">
        <v>294</v>
      </c>
      <c r="R310" s="324">
        <v>100000</v>
      </c>
      <c r="S310" s="292">
        <v>1000000</v>
      </c>
      <c r="T310" s="292">
        <v>0</v>
      </c>
      <c r="U310" s="292">
        <f t="shared" si="138"/>
        <v>1000000</v>
      </c>
      <c r="V310" s="292">
        <v>0</v>
      </c>
      <c r="W310" s="292">
        <v>50</v>
      </c>
      <c r="X310" s="292">
        <v>0</v>
      </c>
      <c r="Y310" s="292">
        <v>999</v>
      </c>
      <c r="Z310" s="293">
        <v>620</v>
      </c>
      <c r="AA310" s="293">
        <v>639</v>
      </c>
      <c r="AB310" s="293">
        <v>3</v>
      </c>
      <c r="AC310" s="293">
        <v>999999</v>
      </c>
      <c r="AD310" s="292">
        <v>0</v>
      </c>
      <c r="AE310" s="294">
        <v>-999</v>
      </c>
      <c r="AF310" s="170">
        <v>0</v>
      </c>
      <c r="AG310" s="171">
        <v>1</v>
      </c>
      <c r="AH310" s="171">
        <v>1</v>
      </c>
      <c r="AI310" s="171">
        <v>0</v>
      </c>
      <c r="AJ310" s="171">
        <v>0</v>
      </c>
      <c r="AK310" s="171">
        <v>1</v>
      </c>
      <c r="AL310" s="171">
        <v>1</v>
      </c>
      <c r="AM310" s="171">
        <v>1</v>
      </c>
      <c r="AN310" s="171">
        <v>1</v>
      </c>
      <c r="AO310" s="171">
        <v>1</v>
      </c>
      <c r="AP310" s="171">
        <v>1</v>
      </c>
      <c r="AQ310" s="171">
        <v>1</v>
      </c>
      <c r="AR310" s="171">
        <v>1</v>
      </c>
      <c r="AS310" s="171">
        <v>1</v>
      </c>
      <c r="AT310" s="171">
        <v>1</v>
      </c>
      <c r="AU310" s="171">
        <f t="shared" si="58"/>
        <v>1</v>
      </c>
      <c r="AV310" s="171">
        <f t="shared" si="59"/>
        <v>1</v>
      </c>
      <c r="AW310" s="171">
        <f t="shared" si="60"/>
        <v>1</v>
      </c>
      <c r="AX310" s="171">
        <f t="shared" si="100"/>
        <v>1</v>
      </c>
      <c r="AY310" s="171">
        <f t="shared" si="61"/>
        <v>0</v>
      </c>
      <c r="AZ310" s="171">
        <f t="shared" si="62"/>
        <v>1</v>
      </c>
      <c r="BA310" s="172">
        <f t="shared" si="63"/>
        <v>0</v>
      </c>
      <c r="BB310" s="175">
        <f t="shared" si="135"/>
        <v>17</v>
      </c>
      <c r="BC310" s="176">
        <f t="shared" si="136"/>
        <v>17</v>
      </c>
      <c r="BD310" s="176">
        <f t="shared" si="137"/>
        <v>17</v>
      </c>
      <c r="BE310" s="240" t="str">
        <f t="shared" si="124"/>
        <v/>
      </c>
      <c r="BH310" s="214">
        <f>IF(AND(Input_Product=Elig!$C310,Elig_MatchAll_Ct&lt;22,$BC310=(Elig_MatchAll_Ct-1),AF310=0),C310,0)</f>
        <v>0</v>
      </c>
      <c r="BI310" s="214">
        <f>IF(AND(Input_Product=Elig!$C310,Elig_MatchAll_Ct&lt;22,$BC310=(Elig_MatchAll_Ct-1),AG310=0),D310,0)</f>
        <v>0</v>
      </c>
      <c r="BJ310" s="214">
        <f>IF(AND(Input_Product=Elig!$C310,Elig_MatchAll_Ct&lt;22,$BC310=(Elig_MatchAll_Ct-1),AH310=0),E310,0)</f>
        <v>0</v>
      </c>
      <c r="BK310" s="214">
        <f>IF(AND(Input_Product=Elig!$C310,Elig_MatchAll_Ct&lt;22,$BC310=(Elig_MatchAll_Ct-1),AI310=0),F310,0)</f>
        <v>0</v>
      </c>
      <c r="BL310" s="214">
        <f>IF(AND(Input_Product=Elig!$C310,Elig_MatchAll_Ct&lt;22,$BC310=(Elig_MatchAll_Ct-1),AJ310=0),G310,0)</f>
        <v>0</v>
      </c>
      <c r="BM310" s="214">
        <f>IF(AND(Input_Product=Elig!$C310,Elig_MatchAll_Ct&lt;22,$BC310=(Elig_MatchAll_Ct-1),AK310=0),H310,0)</f>
        <v>0</v>
      </c>
      <c r="BN310" s="214">
        <f>IF(AND(Input_Product=Elig!$C310,Elig_MatchAll_Ct&lt;22,$BC310=(Elig_MatchAll_Ct-1),AL310=0),I310,0)</f>
        <v>0</v>
      </c>
      <c r="BO310" s="214">
        <f>IF(AND(Input_Product=Elig!$C310,Elig_MatchAll_Ct&lt;22,$BC310=(Elig_MatchAll_Ct-1),AM310=0),J310,0)</f>
        <v>0</v>
      </c>
      <c r="BP310" s="214">
        <f>IF(AND(Input_Product=Elig!$C310,Elig_MatchAll_Ct&lt;22,$BC310=(Elig_MatchAll_Ct-1),AN310=0),K310,0)</f>
        <v>0</v>
      </c>
      <c r="BQ310" s="214">
        <f>IF(AND(Input_Product=Elig!$C310,Elig_MatchAll_Ct&lt;22,$BC310=(Elig_MatchAll_Ct-1),AP310=0),L310,0)</f>
        <v>0</v>
      </c>
      <c r="BR310" s="214">
        <f>IF(AND(Input_Product=Elig!$C310,Elig_MatchAll_Ct&lt;22,$BC310=(Elig_MatchAll_Ct-1),AO310=0),M310,0)</f>
        <v>0</v>
      </c>
      <c r="BS310" s="214">
        <f>IF(AND(Input_Product=Elig!$C310,Elig_MatchAll_Ct&lt;22,$BC310=(Elig_MatchAll_Ct-1),AQ310=0),N310,0)</f>
        <v>0</v>
      </c>
      <c r="BT310" s="214">
        <f>IF(AND(Input_Product=Elig!$C310,Elig_MatchAll_Ct&lt;22,$BC310=(Elig_MatchAll_Ct-1),AR310=0),O310,0)</f>
        <v>0</v>
      </c>
      <c r="BU310" s="214">
        <f>IF(AND(Input_Product=Elig!$C310,Elig_MatchAll_Ct&lt;22,$BC310=(Elig_MatchAll_Ct-1),AS310=0),P310,0)</f>
        <v>0</v>
      </c>
      <c r="BV310" s="215">
        <f>IF(AND(Input_Product=Elig!$C310,Elig_MatchAll_Ct&lt;22,$BC310=(Elig_MatchAll_Ct-1),AT310=0),Q310,0)</f>
        <v>0</v>
      </c>
      <c r="BW310" s="207">
        <f>IF(AND(Input_Product=Elig!$C310,Elig_MatchAll_Ct&lt;22,$BC310=(Elig_MatchAll_Ct-1),AU310=0),R310,0)</f>
        <v>0</v>
      </c>
      <c r="BX310" s="208">
        <f>IF(AND(Input_Product=Elig!$C310,Elig_MatchAll_Ct&lt;22,$BC310=(Elig_MatchAll_Ct-1),AU310=0),S310,0)</f>
        <v>0</v>
      </c>
      <c r="BY310" s="207">
        <f>IF(AND(Input_Product=Elig!$C310,Elig_MatchAll_Ct&lt;22,$BC310=(Elig_MatchAll_Ct-1),AV310=0),T310,0)</f>
        <v>0</v>
      </c>
      <c r="BZ310" s="208">
        <f>IF(AND(Input_Product=Elig!$C310,Elig_MatchAll_Ct&lt;22,$BC310=(Elig_MatchAll_Ct-1),AV310=0),U310,0)</f>
        <v>0</v>
      </c>
      <c r="CA310" s="207">
        <f>IF(AND(Input_Product=Elig!$C310,Elig_MatchAll_Ct&lt;22,$BC310=(Elig_MatchAll_Ct-1),AW310=0),V310,0)</f>
        <v>0</v>
      </c>
      <c r="CB310" s="208">
        <f>IF(AND(Input_Product=Elig!$C310,Elig_MatchAll_Ct&lt;22,$BC310=(Elig_MatchAll_Ct-1),AW310=0),W310,0)</f>
        <v>0</v>
      </c>
      <c r="CC310" s="207">
        <f>IF(AND(Input_Product=Elig!$C310,Elig_MatchAll_Ct&lt;22,$BC310=(Elig_MatchAll_Ct-1),AX310=0),X310,0)</f>
        <v>0</v>
      </c>
      <c r="CD310" s="208">
        <f>IF(AND(Input_Product=Elig!$C310,Elig_MatchAll_Ct&lt;22,$BC310=(Elig_MatchAll_Ct-1),AX310=0),Y310,0)</f>
        <v>0</v>
      </c>
      <c r="CE310" s="207">
        <f>IF(AND(Input_LTV&lt;=AE310,Input_Product=Elig!$C310,Elig_MatchAll_Ct&lt;22,$BC310=(Elig_MatchAll_Ct-1),AY310=0),Z310,0)</f>
        <v>0</v>
      </c>
      <c r="CF310" s="208">
        <f>IF(AND(Input_LTV&lt;=AE310,Input_Product=Elig!$C310,Elig_MatchAll_Ct&lt;22,$BC310=(Elig_MatchAll_Ct-1),AY310=0),AA310,0)</f>
        <v>0</v>
      </c>
      <c r="CG310" s="207">
        <f>IF(AND(Input_Product=Elig!$C310,Elig_MatchAll_Ct&lt;22,$BC310=(Elig_MatchAll_Ct-1),AZ310=0),AB310,0)</f>
        <v>0</v>
      </c>
      <c r="CH310" s="208">
        <f>IF(AND(Input_Product=Elig!$C310,Elig_MatchAll_Ct&lt;22,$BC310=(Elig_MatchAll_Ct-1),AZ310=0),AC310,0)</f>
        <v>0</v>
      </c>
      <c r="CI310" s="207">
        <f>IF(AND(Input_Product=Elig!$C310,Elig_MatchAll_Ct&lt;22,$BC310=(Elig_MatchAll_Ct-1),BA310=0),AD310,0)</f>
        <v>0</v>
      </c>
      <c r="CJ310" s="209">
        <f>IF(AND(Input_Product=Elig!$C310,Elig_MatchAll_Ct&lt;22,$BC310=(Elig_MatchAll_Ct-1),BA310=0),AE310,0)</f>
        <v>0</v>
      </c>
    </row>
    <row r="311" spans="2:88" ht="10.15" customHeight="1" x14ac:dyDescent="0.25">
      <c r="B311" s="287" t="s">
        <v>1007</v>
      </c>
      <c r="C311" s="281" t="str">
        <f t="shared" si="132"/>
        <v>NonQM NOO</v>
      </c>
      <c r="D311" s="282" t="s">
        <v>3885</v>
      </c>
      <c r="E311" s="283" t="s">
        <v>167</v>
      </c>
      <c r="F311" s="283" t="s">
        <v>330</v>
      </c>
      <c r="G311" s="283" t="s">
        <v>179</v>
      </c>
      <c r="H311" s="283" t="s">
        <v>136</v>
      </c>
      <c r="I311" s="282" t="s">
        <v>274</v>
      </c>
      <c r="J311" s="282" t="s">
        <v>1311</v>
      </c>
      <c r="K311" s="282" t="s">
        <v>1631</v>
      </c>
      <c r="L311" s="2103" t="s">
        <v>312</v>
      </c>
      <c r="M311" s="283" t="s">
        <v>4203</v>
      </c>
      <c r="N311" s="283" t="s">
        <v>2685</v>
      </c>
      <c r="O311" s="283" t="s">
        <v>310</v>
      </c>
      <c r="P311" s="283" t="s">
        <v>291</v>
      </c>
      <c r="Q311" s="283" t="s">
        <v>294</v>
      </c>
      <c r="R311" s="323">
        <v>100000</v>
      </c>
      <c r="S311" s="282">
        <v>1000000</v>
      </c>
      <c r="T311" s="282">
        <v>0</v>
      </c>
      <c r="U311" s="282">
        <v>0</v>
      </c>
      <c r="V311" s="282">
        <v>0</v>
      </c>
      <c r="W311" s="282">
        <v>55</v>
      </c>
      <c r="X311" s="282">
        <v>0</v>
      </c>
      <c r="Y311" s="282">
        <v>999</v>
      </c>
      <c r="Z311" s="284">
        <v>720</v>
      </c>
      <c r="AA311" s="284">
        <v>999</v>
      </c>
      <c r="AB311" s="284">
        <v>3</v>
      </c>
      <c r="AC311" s="284">
        <v>999999</v>
      </c>
      <c r="AD311" s="282">
        <v>0</v>
      </c>
      <c r="AE311" s="285">
        <v>75</v>
      </c>
      <c r="AF311" s="170">
        <v>0</v>
      </c>
      <c r="AG311" s="171">
        <v>1</v>
      </c>
      <c r="AH311" s="171">
        <v>1</v>
      </c>
      <c r="AI311" s="171">
        <v>0</v>
      </c>
      <c r="AJ311" s="171">
        <v>0</v>
      </c>
      <c r="AK311" s="171">
        <v>1</v>
      </c>
      <c r="AL311" s="171">
        <v>0</v>
      </c>
      <c r="AM311" s="171">
        <v>1</v>
      </c>
      <c r="AN311" s="171">
        <v>1</v>
      </c>
      <c r="AO311" s="171">
        <v>1</v>
      </c>
      <c r="AP311" s="171">
        <v>1</v>
      </c>
      <c r="AQ311" s="171">
        <v>1</v>
      </c>
      <c r="AR311" s="171">
        <v>1</v>
      </c>
      <c r="AS311" s="171">
        <v>1</v>
      </c>
      <c r="AT311" s="171">
        <v>1</v>
      </c>
      <c r="AU311" s="171">
        <f t="shared" si="58"/>
        <v>1</v>
      </c>
      <c r="AV311" s="171">
        <f t="shared" si="59"/>
        <v>0</v>
      </c>
      <c r="AW311" s="171">
        <f t="shared" si="60"/>
        <v>1</v>
      </c>
      <c r="AX311" s="171">
        <f t="shared" si="100"/>
        <v>1</v>
      </c>
      <c r="AY311" s="171">
        <f t="shared" si="61"/>
        <v>1</v>
      </c>
      <c r="AZ311" s="171">
        <f t="shared" si="62"/>
        <v>1</v>
      </c>
      <c r="BA311" s="172">
        <f t="shared" si="63"/>
        <v>1</v>
      </c>
      <c r="BB311" s="175">
        <f t="shared" si="72"/>
        <v>17</v>
      </c>
      <c r="BC311" s="176">
        <f t="shared" si="73"/>
        <v>16</v>
      </c>
      <c r="BD311" s="176">
        <f t="shared" si="74"/>
        <v>17</v>
      </c>
      <c r="BE311" s="240" t="str">
        <f t="shared" si="124"/>
        <v/>
      </c>
      <c r="BH311" s="216">
        <f>IF(AND(Input_Product=Elig!$C311,Elig_MatchAll_Ct&lt;22,$BC311=(Elig_MatchAll_Ct-1),AF311=0),C311,0)</f>
        <v>0</v>
      </c>
      <c r="BI311" s="216">
        <f>IF(AND(Input_Product=Elig!$C311,Elig_MatchAll_Ct&lt;22,$BC311=(Elig_MatchAll_Ct-1),AG311=0),D311,0)</f>
        <v>0</v>
      </c>
      <c r="BJ311" s="216">
        <f>IF(AND(Input_Product=Elig!$C311,Elig_MatchAll_Ct&lt;22,$BC311=(Elig_MatchAll_Ct-1),AH311=0),E311,0)</f>
        <v>0</v>
      </c>
      <c r="BK311" s="216">
        <f>IF(AND(Input_Product=Elig!$C311,Elig_MatchAll_Ct&lt;22,$BC311=(Elig_MatchAll_Ct-1),AI311=0),F311,0)</f>
        <v>0</v>
      </c>
      <c r="BL311" s="216">
        <f>IF(AND(Input_Product=Elig!$C311,Elig_MatchAll_Ct&lt;22,$BC311=(Elig_MatchAll_Ct-1),AJ311=0),G311,0)</f>
        <v>0</v>
      </c>
      <c r="BM311" s="216">
        <f>IF(AND(Input_Product=Elig!$C311,Elig_MatchAll_Ct&lt;22,$BC311=(Elig_MatchAll_Ct-1),AK311=0),H311,0)</f>
        <v>0</v>
      </c>
      <c r="BN311" s="216">
        <f>IF(AND(Input_Product=Elig!$C311,Elig_MatchAll_Ct&lt;22,$BC311=(Elig_MatchAll_Ct-1),AL311=0),I311,0)</f>
        <v>0</v>
      </c>
      <c r="BO311" s="216">
        <f>IF(AND(Input_Product=Elig!$C311,Elig_MatchAll_Ct&lt;22,$BC311=(Elig_MatchAll_Ct-1),AM311=0),J311,0)</f>
        <v>0</v>
      </c>
      <c r="BP311" s="216">
        <f>IF(AND(Input_Product=Elig!$C311,Elig_MatchAll_Ct&lt;22,$BC311=(Elig_MatchAll_Ct-1),AN311=0),K311,0)</f>
        <v>0</v>
      </c>
      <c r="BQ311" s="216">
        <f>IF(AND(Input_Product=Elig!$C311,Elig_MatchAll_Ct&lt;22,$BC311=(Elig_MatchAll_Ct-1),AP311=0),L311,0)</f>
        <v>0</v>
      </c>
      <c r="BR311" s="216">
        <f>IF(AND(Input_Product=Elig!$C311,Elig_MatchAll_Ct&lt;22,$BC311=(Elig_MatchAll_Ct-1),AO311=0),M311,0)</f>
        <v>0</v>
      </c>
      <c r="BS311" s="216">
        <f>IF(AND(Input_Product=Elig!$C311,Elig_MatchAll_Ct&lt;22,$BC311=(Elig_MatchAll_Ct-1),AQ311=0),N311,0)</f>
        <v>0</v>
      </c>
      <c r="BT311" s="216">
        <f>IF(AND(Input_Product=Elig!$C311,Elig_MatchAll_Ct&lt;22,$BC311=(Elig_MatchAll_Ct-1),AR311=0),O311,0)</f>
        <v>0</v>
      </c>
      <c r="BU311" s="216">
        <f>IF(AND(Input_Product=Elig!$C311,Elig_MatchAll_Ct&lt;22,$BC311=(Elig_MatchAll_Ct-1),AS311=0),P311,0)</f>
        <v>0</v>
      </c>
      <c r="BV311" s="217">
        <f>IF(AND(Input_Product=Elig!$C311,Elig_MatchAll_Ct&lt;22,$BC311=(Elig_MatchAll_Ct-1),AT311=0),Q311,0)</f>
        <v>0</v>
      </c>
      <c r="BW311" s="212">
        <f>IF(AND(Input_Product=Elig!$C311,Elig_MatchAll_Ct&lt;22,$BC311=(Elig_MatchAll_Ct-1),AU311=0),R311,0)</f>
        <v>0</v>
      </c>
      <c r="BX311" s="213">
        <f>IF(AND(Input_Product=Elig!$C311,Elig_MatchAll_Ct&lt;22,$BC311=(Elig_MatchAll_Ct-1),AU311=0),S311,0)</f>
        <v>0</v>
      </c>
      <c r="BY311" s="212">
        <f>IF(AND(Input_Product=Elig!$C311,Elig_MatchAll_Ct&lt;22,$BC311=(Elig_MatchAll_Ct-1),AV311=0),T311,0)</f>
        <v>0</v>
      </c>
      <c r="BZ311" s="213">
        <f>IF(AND(Input_Product=Elig!$C311,Elig_MatchAll_Ct&lt;22,$BC311=(Elig_MatchAll_Ct-1),AV311=0),U311,0)</f>
        <v>0</v>
      </c>
      <c r="CA311" s="212">
        <f>IF(AND(Input_Product=Elig!$C311,Elig_MatchAll_Ct&lt;22,$BC311=(Elig_MatchAll_Ct-1),AW311=0),V311,0)</f>
        <v>0</v>
      </c>
      <c r="CB311" s="213">
        <f>IF(AND(Input_Product=Elig!$C311,Elig_MatchAll_Ct&lt;22,$BC311=(Elig_MatchAll_Ct-1),AW311=0),W311,0)</f>
        <v>0</v>
      </c>
      <c r="CC311" s="212">
        <f>IF(AND(Input_Product=Elig!$C311,Elig_MatchAll_Ct&lt;22,$BC311=(Elig_MatchAll_Ct-1),AX311=0),X311,0)</f>
        <v>0</v>
      </c>
      <c r="CD311" s="213">
        <f>IF(AND(Input_Product=Elig!$C311,Elig_MatchAll_Ct&lt;22,$BC311=(Elig_MatchAll_Ct-1),AX311=0),Y311,0)</f>
        <v>0</v>
      </c>
      <c r="CE311" s="212">
        <f>IF(AND(Input_LTV&lt;=AE311,Input_Product=Elig!$C311,Elig_MatchAll_Ct&lt;22,$BC311=(Elig_MatchAll_Ct-1),AY311=0),Z311,0)</f>
        <v>0</v>
      </c>
      <c r="CF311" s="213">
        <f>IF(AND(Input_LTV&lt;=AE311,Input_Product=Elig!$C311,Elig_MatchAll_Ct&lt;22,$BC311=(Elig_MatchAll_Ct-1),AY311=0),AA311,0)</f>
        <v>0</v>
      </c>
      <c r="CG311" s="212">
        <f>IF(AND(Input_Product=Elig!$C311,Elig_MatchAll_Ct&lt;22,$BC311=(Elig_MatchAll_Ct-1),AZ311=0),AB311,0)</f>
        <v>0</v>
      </c>
      <c r="CH311" s="213">
        <f>IF(AND(Input_Product=Elig!$C311,Elig_MatchAll_Ct&lt;22,$BC311=(Elig_MatchAll_Ct-1),AZ311=0),AC311,0)</f>
        <v>0</v>
      </c>
      <c r="CI311" s="212">
        <f>IF(AND(Input_Product=Elig!$C311,Elig_MatchAll_Ct&lt;22,$BC311=(Elig_MatchAll_Ct-1),BA311=0),AD311,0)</f>
        <v>0</v>
      </c>
      <c r="CJ311" s="213">
        <f>IF(AND(Input_Product=Elig!$C311,Elig_MatchAll_Ct&lt;22,$BC311=(Elig_MatchAll_Ct-1),BA311=0),AE311,0)</f>
        <v>0</v>
      </c>
    </row>
    <row r="312" spans="2:88" ht="10.15" customHeight="1" x14ac:dyDescent="0.25">
      <c r="B312" s="287" t="s">
        <v>1008</v>
      </c>
      <c r="C312" s="286" t="str">
        <f t="shared" si="132"/>
        <v>NonQM NOO</v>
      </c>
      <c r="D312" s="287" t="s">
        <v>3885</v>
      </c>
      <c r="E312" s="287" t="s">
        <v>167</v>
      </c>
      <c r="F312" s="287" t="s">
        <v>330</v>
      </c>
      <c r="G312" s="287" t="s">
        <v>179</v>
      </c>
      <c r="H312" s="287" t="s">
        <v>136</v>
      </c>
      <c r="I312" s="288" t="s">
        <v>274</v>
      </c>
      <c r="J312" s="288" t="s">
        <v>1311</v>
      </c>
      <c r="K312" s="288" t="s">
        <v>1631</v>
      </c>
      <c r="L312" s="300" t="s">
        <v>312</v>
      </c>
      <c r="M312" s="287" t="s">
        <v>4203</v>
      </c>
      <c r="N312" s="287" t="s">
        <v>2685</v>
      </c>
      <c r="O312" s="287" t="s">
        <v>310</v>
      </c>
      <c r="P312" s="287" t="s">
        <v>291</v>
      </c>
      <c r="Q312" s="287" t="s">
        <v>294</v>
      </c>
      <c r="R312" s="300">
        <v>100000</v>
      </c>
      <c r="S312" s="287">
        <v>1000000</v>
      </c>
      <c r="T312" s="287">
        <v>0</v>
      </c>
      <c r="U312" s="287">
        <v>0</v>
      </c>
      <c r="V312" s="287">
        <v>0</v>
      </c>
      <c r="W312" s="287">
        <v>55</v>
      </c>
      <c r="X312" s="287">
        <v>0</v>
      </c>
      <c r="Y312" s="287">
        <v>999</v>
      </c>
      <c r="Z312" s="289">
        <v>700</v>
      </c>
      <c r="AA312" s="289">
        <v>719</v>
      </c>
      <c r="AB312" s="289">
        <v>3</v>
      </c>
      <c r="AC312" s="289">
        <v>999999</v>
      </c>
      <c r="AD312" s="287">
        <v>0</v>
      </c>
      <c r="AE312" s="290">
        <v>75</v>
      </c>
      <c r="AF312" s="170">
        <v>0</v>
      </c>
      <c r="AG312" s="171">
        <v>1</v>
      </c>
      <c r="AH312" s="171">
        <v>1</v>
      </c>
      <c r="AI312" s="171">
        <v>0</v>
      </c>
      <c r="AJ312" s="171">
        <v>0</v>
      </c>
      <c r="AK312" s="171">
        <v>1</v>
      </c>
      <c r="AL312" s="171">
        <v>0</v>
      </c>
      <c r="AM312" s="171">
        <v>1</v>
      </c>
      <c r="AN312" s="171">
        <v>1</v>
      </c>
      <c r="AO312" s="171">
        <v>1</v>
      </c>
      <c r="AP312" s="171">
        <v>1</v>
      </c>
      <c r="AQ312" s="171">
        <v>1</v>
      </c>
      <c r="AR312" s="171">
        <v>1</v>
      </c>
      <c r="AS312" s="171">
        <v>1</v>
      </c>
      <c r="AT312" s="171">
        <v>1</v>
      </c>
      <c r="AU312" s="171">
        <f t="shared" si="58"/>
        <v>1</v>
      </c>
      <c r="AV312" s="171">
        <f t="shared" si="59"/>
        <v>0</v>
      </c>
      <c r="AW312" s="171">
        <f t="shared" si="60"/>
        <v>1</v>
      </c>
      <c r="AX312" s="171">
        <f t="shared" si="100"/>
        <v>1</v>
      </c>
      <c r="AY312" s="171">
        <f t="shared" si="61"/>
        <v>0</v>
      </c>
      <c r="AZ312" s="171">
        <f t="shared" si="62"/>
        <v>1</v>
      </c>
      <c r="BA312" s="172">
        <f t="shared" si="63"/>
        <v>1</v>
      </c>
      <c r="BB312" s="175">
        <f t="shared" si="72"/>
        <v>16</v>
      </c>
      <c r="BC312" s="176">
        <f t="shared" si="73"/>
        <v>15</v>
      </c>
      <c r="BD312" s="176">
        <f t="shared" si="74"/>
        <v>16</v>
      </c>
      <c r="BE312" s="240" t="str">
        <f t="shared" si="124"/>
        <v/>
      </c>
      <c r="BH312" s="199">
        <f>IF(AND(Input_Product=Elig!$C312,Elig_MatchAll_Ct&lt;22,$BC312=(Elig_MatchAll_Ct-1),AF312=0),C312,0)</f>
        <v>0</v>
      </c>
      <c r="BI312" s="199">
        <f>IF(AND(Input_Product=Elig!$C312,Elig_MatchAll_Ct&lt;22,$BC312=(Elig_MatchAll_Ct-1),AG312=0),D312,0)</f>
        <v>0</v>
      </c>
      <c r="BJ312" s="199">
        <f>IF(AND(Input_Product=Elig!$C312,Elig_MatchAll_Ct&lt;22,$BC312=(Elig_MatchAll_Ct-1),AH312=0),E312,0)</f>
        <v>0</v>
      </c>
      <c r="BK312" s="199">
        <f>IF(AND(Input_Product=Elig!$C312,Elig_MatchAll_Ct&lt;22,$BC312=(Elig_MatchAll_Ct-1),AI312=0),F312,0)</f>
        <v>0</v>
      </c>
      <c r="BL312" s="199">
        <f>IF(AND(Input_Product=Elig!$C312,Elig_MatchAll_Ct&lt;22,$BC312=(Elig_MatchAll_Ct-1),AJ312=0),G312,0)</f>
        <v>0</v>
      </c>
      <c r="BM312" s="199">
        <f>IF(AND(Input_Product=Elig!$C312,Elig_MatchAll_Ct&lt;22,$BC312=(Elig_MatchAll_Ct-1),AK312=0),H312,0)</f>
        <v>0</v>
      </c>
      <c r="BN312" s="199">
        <f>IF(AND(Input_Product=Elig!$C312,Elig_MatchAll_Ct&lt;22,$BC312=(Elig_MatchAll_Ct-1),AL312=0),I312,0)</f>
        <v>0</v>
      </c>
      <c r="BO312" s="199">
        <f>IF(AND(Input_Product=Elig!$C312,Elig_MatchAll_Ct&lt;22,$BC312=(Elig_MatchAll_Ct-1),AM312=0),J312,0)</f>
        <v>0</v>
      </c>
      <c r="BP312" s="199">
        <f>IF(AND(Input_Product=Elig!$C312,Elig_MatchAll_Ct&lt;22,$BC312=(Elig_MatchAll_Ct-1),AN312=0),K312,0)</f>
        <v>0</v>
      </c>
      <c r="BQ312" s="199">
        <f>IF(AND(Input_Product=Elig!$C312,Elig_MatchAll_Ct&lt;22,$BC312=(Elig_MatchAll_Ct-1),AP312=0),L312,0)</f>
        <v>0</v>
      </c>
      <c r="BR312" s="199">
        <f>IF(AND(Input_Product=Elig!$C312,Elig_MatchAll_Ct&lt;22,$BC312=(Elig_MatchAll_Ct-1),AO312=0),M312,0)</f>
        <v>0</v>
      </c>
      <c r="BS312" s="199">
        <f>IF(AND(Input_Product=Elig!$C312,Elig_MatchAll_Ct&lt;22,$BC312=(Elig_MatchAll_Ct-1),AQ312=0),N312,0)</f>
        <v>0</v>
      </c>
      <c r="BT312" s="199">
        <f>IF(AND(Input_Product=Elig!$C312,Elig_MatchAll_Ct&lt;22,$BC312=(Elig_MatchAll_Ct-1),AR312=0),O312,0)</f>
        <v>0</v>
      </c>
      <c r="BU312" s="199">
        <f>IF(AND(Input_Product=Elig!$C312,Elig_MatchAll_Ct&lt;22,$BC312=(Elig_MatchAll_Ct-1),AS312=0),P312,0)</f>
        <v>0</v>
      </c>
      <c r="BV312" s="200">
        <f>IF(AND(Input_Product=Elig!$C312,Elig_MatchAll_Ct&lt;22,$BC312=(Elig_MatchAll_Ct-1),AT312=0),Q312,0)</f>
        <v>0</v>
      </c>
      <c r="BW312" s="201">
        <f>IF(AND(Input_Product=Elig!$C312,Elig_MatchAll_Ct&lt;22,$BC312=(Elig_MatchAll_Ct-1),AU312=0),R312,0)</f>
        <v>0</v>
      </c>
      <c r="BX312" s="202">
        <f>IF(AND(Input_Product=Elig!$C312,Elig_MatchAll_Ct&lt;22,$BC312=(Elig_MatchAll_Ct-1),AU312=0),S312,0)</f>
        <v>0</v>
      </c>
      <c r="BY312" s="201">
        <f>IF(AND(Input_Product=Elig!$C312,Elig_MatchAll_Ct&lt;22,$BC312=(Elig_MatchAll_Ct-1),AV312=0),T312,0)</f>
        <v>0</v>
      </c>
      <c r="BZ312" s="202">
        <f>IF(AND(Input_Product=Elig!$C312,Elig_MatchAll_Ct&lt;22,$BC312=(Elig_MatchAll_Ct-1),AV312=0),U312,0)</f>
        <v>0</v>
      </c>
      <c r="CA312" s="201">
        <f>IF(AND(Input_Product=Elig!$C312,Elig_MatchAll_Ct&lt;22,$BC312=(Elig_MatchAll_Ct-1),AW312=0),V312,0)</f>
        <v>0</v>
      </c>
      <c r="CB312" s="202">
        <f>IF(AND(Input_Product=Elig!$C312,Elig_MatchAll_Ct&lt;22,$BC312=(Elig_MatchAll_Ct-1),AW312=0),W312,0)</f>
        <v>0</v>
      </c>
      <c r="CC312" s="201">
        <f>IF(AND(Input_Product=Elig!$C312,Elig_MatchAll_Ct&lt;22,$BC312=(Elig_MatchAll_Ct-1),AX312=0),X312,0)</f>
        <v>0</v>
      </c>
      <c r="CD312" s="202">
        <f>IF(AND(Input_Product=Elig!$C312,Elig_MatchAll_Ct&lt;22,$BC312=(Elig_MatchAll_Ct-1),AX312=0),Y312,0)</f>
        <v>0</v>
      </c>
      <c r="CE312" s="201">
        <f>IF(AND(Input_LTV&lt;=AE312,Input_Product=Elig!$C312,Elig_MatchAll_Ct&lt;22,$BC312=(Elig_MatchAll_Ct-1),AY312=0),Z312,0)</f>
        <v>0</v>
      </c>
      <c r="CF312" s="202">
        <f>IF(AND(Input_LTV&lt;=AE312,Input_Product=Elig!$C312,Elig_MatchAll_Ct&lt;22,$BC312=(Elig_MatchAll_Ct-1),AY312=0),AA312,0)</f>
        <v>0</v>
      </c>
      <c r="CG312" s="201">
        <f>IF(AND(Input_Product=Elig!$C312,Elig_MatchAll_Ct&lt;22,$BC312=(Elig_MatchAll_Ct-1),AZ312=0),AB312,0)</f>
        <v>0</v>
      </c>
      <c r="CH312" s="202">
        <f>IF(AND(Input_Product=Elig!$C312,Elig_MatchAll_Ct&lt;22,$BC312=(Elig_MatchAll_Ct-1),AZ312=0),AC312,0)</f>
        <v>0</v>
      </c>
      <c r="CI312" s="201">
        <f>IF(AND(Input_Product=Elig!$C312,Elig_MatchAll_Ct&lt;22,$BC312=(Elig_MatchAll_Ct-1),BA312=0),AD312,0)</f>
        <v>0</v>
      </c>
      <c r="CJ312" s="202">
        <f>IF(AND(Input_Product=Elig!$C312,Elig_MatchAll_Ct&lt;22,$BC312=(Elig_MatchAll_Ct-1),BA312=0),AE312,0)</f>
        <v>0</v>
      </c>
    </row>
    <row r="313" spans="2:88" ht="10.15" customHeight="1" x14ac:dyDescent="0.25">
      <c r="B313" s="287" t="s">
        <v>1009</v>
      </c>
      <c r="C313" s="286" t="str">
        <f t="shared" si="132"/>
        <v>NonQM NOO</v>
      </c>
      <c r="D313" s="287" t="s">
        <v>3885</v>
      </c>
      <c r="E313" s="287" t="s">
        <v>167</v>
      </c>
      <c r="F313" s="287" t="s">
        <v>330</v>
      </c>
      <c r="G313" s="287" t="s">
        <v>179</v>
      </c>
      <c r="H313" s="287" t="s">
        <v>136</v>
      </c>
      <c r="I313" s="288" t="s">
        <v>274</v>
      </c>
      <c r="J313" s="288" t="s">
        <v>1311</v>
      </c>
      <c r="K313" s="288" t="s">
        <v>1631</v>
      </c>
      <c r="L313" s="300" t="s">
        <v>312</v>
      </c>
      <c r="M313" s="287" t="s">
        <v>4203</v>
      </c>
      <c r="N313" s="287" t="s">
        <v>2685</v>
      </c>
      <c r="O313" s="287" t="s">
        <v>310</v>
      </c>
      <c r="P313" s="287" t="s">
        <v>291</v>
      </c>
      <c r="Q313" s="287" t="s">
        <v>294</v>
      </c>
      <c r="R313" s="300">
        <v>100000</v>
      </c>
      <c r="S313" s="287">
        <v>1000000</v>
      </c>
      <c r="T313" s="287">
        <v>0</v>
      </c>
      <c r="U313" s="287">
        <v>0</v>
      </c>
      <c r="V313" s="287">
        <v>0</v>
      </c>
      <c r="W313" s="287">
        <v>55</v>
      </c>
      <c r="X313" s="287">
        <v>0</v>
      </c>
      <c r="Y313" s="287">
        <v>999</v>
      </c>
      <c r="Z313" s="289">
        <v>680</v>
      </c>
      <c r="AA313" s="289">
        <v>699</v>
      </c>
      <c r="AB313" s="289">
        <v>3</v>
      </c>
      <c r="AC313" s="289">
        <v>999999</v>
      </c>
      <c r="AD313" s="287">
        <v>0</v>
      </c>
      <c r="AE313" s="290">
        <v>75</v>
      </c>
      <c r="AF313" s="170">
        <v>0</v>
      </c>
      <c r="AG313" s="171">
        <v>1</v>
      </c>
      <c r="AH313" s="171">
        <v>1</v>
      </c>
      <c r="AI313" s="171">
        <v>0</v>
      </c>
      <c r="AJ313" s="171">
        <v>0</v>
      </c>
      <c r="AK313" s="171">
        <v>1</v>
      </c>
      <c r="AL313" s="171">
        <v>0</v>
      </c>
      <c r="AM313" s="171">
        <v>1</v>
      </c>
      <c r="AN313" s="171">
        <v>1</v>
      </c>
      <c r="AO313" s="171">
        <v>1</v>
      </c>
      <c r="AP313" s="171">
        <v>1</v>
      </c>
      <c r="AQ313" s="171">
        <v>1</v>
      </c>
      <c r="AR313" s="171">
        <v>1</v>
      </c>
      <c r="AS313" s="171">
        <v>1</v>
      </c>
      <c r="AT313" s="171">
        <v>1</v>
      </c>
      <c r="AU313" s="171">
        <f t="shared" si="58"/>
        <v>1</v>
      </c>
      <c r="AV313" s="171">
        <f t="shared" si="59"/>
        <v>0</v>
      </c>
      <c r="AW313" s="171">
        <f t="shared" si="60"/>
        <v>1</v>
      </c>
      <c r="AX313" s="171">
        <f t="shared" si="100"/>
        <v>1</v>
      </c>
      <c r="AY313" s="171">
        <f t="shared" si="61"/>
        <v>0</v>
      </c>
      <c r="AZ313" s="171">
        <f t="shared" si="62"/>
        <v>1</v>
      </c>
      <c r="BA313" s="172">
        <f t="shared" si="63"/>
        <v>1</v>
      </c>
      <c r="BB313" s="175">
        <f t="shared" si="72"/>
        <v>16</v>
      </c>
      <c r="BC313" s="176">
        <f t="shared" si="73"/>
        <v>15</v>
      </c>
      <c r="BD313" s="176">
        <f t="shared" si="74"/>
        <v>16</v>
      </c>
      <c r="BE313" s="240" t="str">
        <f t="shared" si="124"/>
        <v/>
      </c>
      <c r="BH313" s="199">
        <f>IF(AND(Input_Product=Elig!$C313,Elig_MatchAll_Ct&lt;22,$BC313=(Elig_MatchAll_Ct-1),AF313=0),C313,0)</f>
        <v>0</v>
      </c>
      <c r="BI313" s="199">
        <f>IF(AND(Input_Product=Elig!$C313,Elig_MatchAll_Ct&lt;22,$BC313=(Elig_MatchAll_Ct-1),AG313=0),D313,0)</f>
        <v>0</v>
      </c>
      <c r="BJ313" s="199">
        <f>IF(AND(Input_Product=Elig!$C313,Elig_MatchAll_Ct&lt;22,$BC313=(Elig_MatchAll_Ct-1),AH313=0),E313,0)</f>
        <v>0</v>
      </c>
      <c r="BK313" s="199">
        <f>IF(AND(Input_Product=Elig!$C313,Elig_MatchAll_Ct&lt;22,$BC313=(Elig_MatchAll_Ct-1),AI313=0),F313,0)</f>
        <v>0</v>
      </c>
      <c r="BL313" s="199">
        <f>IF(AND(Input_Product=Elig!$C313,Elig_MatchAll_Ct&lt;22,$BC313=(Elig_MatchAll_Ct-1),AJ313=0),G313,0)</f>
        <v>0</v>
      </c>
      <c r="BM313" s="199">
        <f>IF(AND(Input_Product=Elig!$C313,Elig_MatchAll_Ct&lt;22,$BC313=(Elig_MatchAll_Ct-1),AK313=0),H313,0)</f>
        <v>0</v>
      </c>
      <c r="BN313" s="199">
        <f>IF(AND(Input_Product=Elig!$C313,Elig_MatchAll_Ct&lt;22,$BC313=(Elig_MatchAll_Ct-1),AL313=0),I313,0)</f>
        <v>0</v>
      </c>
      <c r="BO313" s="199">
        <f>IF(AND(Input_Product=Elig!$C313,Elig_MatchAll_Ct&lt;22,$BC313=(Elig_MatchAll_Ct-1),AM313=0),J313,0)</f>
        <v>0</v>
      </c>
      <c r="BP313" s="199">
        <f>IF(AND(Input_Product=Elig!$C313,Elig_MatchAll_Ct&lt;22,$BC313=(Elig_MatchAll_Ct-1),AN313=0),K313,0)</f>
        <v>0</v>
      </c>
      <c r="BQ313" s="199">
        <f>IF(AND(Input_Product=Elig!$C313,Elig_MatchAll_Ct&lt;22,$BC313=(Elig_MatchAll_Ct-1),AP313=0),L313,0)</f>
        <v>0</v>
      </c>
      <c r="BR313" s="199">
        <f>IF(AND(Input_Product=Elig!$C313,Elig_MatchAll_Ct&lt;22,$BC313=(Elig_MatchAll_Ct-1),AO313=0),M313,0)</f>
        <v>0</v>
      </c>
      <c r="BS313" s="199">
        <f>IF(AND(Input_Product=Elig!$C313,Elig_MatchAll_Ct&lt;22,$BC313=(Elig_MatchAll_Ct-1),AQ313=0),N313,0)</f>
        <v>0</v>
      </c>
      <c r="BT313" s="199">
        <f>IF(AND(Input_Product=Elig!$C313,Elig_MatchAll_Ct&lt;22,$BC313=(Elig_MatchAll_Ct-1),AR313=0),O313,0)</f>
        <v>0</v>
      </c>
      <c r="BU313" s="199">
        <f>IF(AND(Input_Product=Elig!$C313,Elig_MatchAll_Ct&lt;22,$BC313=(Elig_MatchAll_Ct-1),AS313=0),P313,0)</f>
        <v>0</v>
      </c>
      <c r="BV313" s="200">
        <f>IF(AND(Input_Product=Elig!$C313,Elig_MatchAll_Ct&lt;22,$BC313=(Elig_MatchAll_Ct-1),AT313=0),Q313,0)</f>
        <v>0</v>
      </c>
      <c r="BW313" s="201">
        <f>IF(AND(Input_Product=Elig!$C313,Elig_MatchAll_Ct&lt;22,$BC313=(Elig_MatchAll_Ct-1),AU313=0),R313,0)</f>
        <v>0</v>
      </c>
      <c r="BX313" s="202">
        <f>IF(AND(Input_Product=Elig!$C313,Elig_MatchAll_Ct&lt;22,$BC313=(Elig_MatchAll_Ct-1),AU313=0),S313,0)</f>
        <v>0</v>
      </c>
      <c r="BY313" s="201">
        <f>IF(AND(Input_Product=Elig!$C313,Elig_MatchAll_Ct&lt;22,$BC313=(Elig_MatchAll_Ct-1),AV313=0),T313,0)</f>
        <v>0</v>
      </c>
      <c r="BZ313" s="202">
        <f>IF(AND(Input_Product=Elig!$C313,Elig_MatchAll_Ct&lt;22,$BC313=(Elig_MatchAll_Ct-1),AV313=0),U313,0)</f>
        <v>0</v>
      </c>
      <c r="CA313" s="201">
        <f>IF(AND(Input_Product=Elig!$C313,Elig_MatchAll_Ct&lt;22,$BC313=(Elig_MatchAll_Ct-1),AW313=0),V313,0)</f>
        <v>0</v>
      </c>
      <c r="CB313" s="202">
        <f>IF(AND(Input_Product=Elig!$C313,Elig_MatchAll_Ct&lt;22,$BC313=(Elig_MatchAll_Ct-1),AW313=0),W313,0)</f>
        <v>0</v>
      </c>
      <c r="CC313" s="201">
        <f>IF(AND(Input_Product=Elig!$C313,Elig_MatchAll_Ct&lt;22,$BC313=(Elig_MatchAll_Ct-1),AX313=0),X313,0)</f>
        <v>0</v>
      </c>
      <c r="CD313" s="202">
        <f>IF(AND(Input_Product=Elig!$C313,Elig_MatchAll_Ct&lt;22,$BC313=(Elig_MatchAll_Ct-1),AX313=0),Y313,0)</f>
        <v>0</v>
      </c>
      <c r="CE313" s="201">
        <f>IF(AND(Input_LTV&lt;=AE313,Input_Product=Elig!$C313,Elig_MatchAll_Ct&lt;22,$BC313=(Elig_MatchAll_Ct-1),AY313=0),Z313,0)</f>
        <v>0</v>
      </c>
      <c r="CF313" s="202">
        <f>IF(AND(Input_LTV&lt;=AE313,Input_Product=Elig!$C313,Elig_MatchAll_Ct&lt;22,$BC313=(Elig_MatchAll_Ct-1),AY313=0),AA313,0)</f>
        <v>0</v>
      </c>
      <c r="CG313" s="201">
        <f>IF(AND(Input_Product=Elig!$C313,Elig_MatchAll_Ct&lt;22,$BC313=(Elig_MatchAll_Ct-1),AZ313=0),AB313,0)</f>
        <v>0</v>
      </c>
      <c r="CH313" s="202">
        <f>IF(AND(Input_Product=Elig!$C313,Elig_MatchAll_Ct&lt;22,$BC313=(Elig_MatchAll_Ct-1),AZ313=0),AC313,0)</f>
        <v>0</v>
      </c>
      <c r="CI313" s="201">
        <f>IF(AND(Input_Product=Elig!$C313,Elig_MatchAll_Ct&lt;22,$BC313=(Elig_MatchAll_Ct-1),BA313=0),AD313,0)</f>
        <v>0</v>
      </c>
      <c r="CJ313" s="202">
        <f>IF(AND(Input_Product=Elig!$C313,Elig_MatchAll_Ct&lt;22,$BC313=(Elig_MatchAll_Ct-1),BA313=0),AE313,0)</f>
        <v>0</v>
      </c>
    </row>
    <row r="314" spans="2:88" ht="10.15" customHeight="1" x14ac:dyDescent="0.25">
      <c r="B314" s="287" t="s">
        <v>1010</v>
      </c>
      <c r="C314" s="286" t="str">
        <f t="shared" si="132"/>
        <v>NonQM NOO</v>
      </c>
      <c r="D314" s="287" t="s">
        <v>3885</v>
      </c>
      <c r="E314" s="287" t="s">
        <v>167</v>
      </c>
      <c r="F314" s="287" t="s">
        <v>330</v>
      </c>
      <c r="G314" s="287" t="s">
        <v>179</v>
      </c>
      <c r="H314" s="287" t="s">
        <v>136</v>
      </c>
      <c r="I314" s="288" t="s">
        <v>274</v>
      </c>
      <c r="J314" s="288" t="s">
        <v>1311</v>
      </c>
      <c r="K314" s="288" t="s">
        <v>1631</v>
      </c>
      <c r="L314" s="300" t="s">
        <v>312</v>
      </c>
      <c r="M314" s="287" t="s">
        <v>4203</v>
      </c>
      <c r="N314" s="287" t="s">
        <v>2685</v>
      </c>
      <c r="O314" s="287" t="s">
        <v>310</v>
      </c>
      <c r="P314" s="287" t="s">
        <v>291</v>
      </c>
      <c r="Q314" s="287" t="s">
        <v>294</v>
      </c>
      <c r="R314" s="300">
        <v>100000</v>
      </c>
      <c r="S314" s="287">
        <v>1000000</v>
      </c>
      <c r="T314" s="287">
        <v>0</v>
      </c>
      <c r="U314" s="287">
        <v>0</v>
      </c>
      <c r="V314" s="287">
        <v>0</v>
      </c>
      <c r="W314" s="287">
        <v>50</v>
      </c>
      <c r="X314" s="287">
        <v>0</v>
      </c>
      <c r="Y314" s="287">
        <v>999</v>
      </c>
      <c r="Z314" s="289">
        <v>660</v>
      </c>
      <c r="AA314" s="289">
        <v>679</v>
      </c>
      <c r="AB314" s="289">
        <v>3</v>
      </c>
      <c r="AC314" s="289">
        <v>999999</v>
      </c>
      <c r="AD314" s="287">
        <v>0</v>
      </c>
      <c r="AE314" s="290">
        <v>70</v>
      </c>
      <c r="AF314" s="170">
        <v>0</v>
      </c>
      <c r="AG314" s="171">
        <v>1</v>
      </c>
      <c r="AH314" s="171">
        <v>1</v>
      </c>
      <c r="AI314" s="171">
        <v>0</v>
      </c>
      <c r="AJ314" s="171">
        <v>0</v>
      </c>
      <c r="AK314" s="171">
        <v>1</v>
      </c>
      <c r="AL314" s="171">
        <v>0</v>
      </c>
      <c r="AM314" s="171">
        <v>1</v>
      </c>
      <c r="AN314" s="171">
        <v>1</v>
      </c>
      <c r="AO314" s="171">
        <v>1</v>
      </c>
      <c r="AP314" s="171">
        <v>1</v>
      </c>
      <c r="AQ314" s="171">
        <v>1</v>
      </c>
      <c r="AR314" s="171">
        <v>1</v>
      </c>
      <c r="AS314" s="171">
        <v>1</v>
      </c>
      <c r="AT314" s="171">
        <v>1</v>
      </c>
      <c r="AU314" s="171">
        <f t="shared" si="58"/>
        <v>1</v>
      </c>
      <c r="AV314" s="171">
        <f t="shared" si="59"/>
        <v>0</v>
      </c>
      <c r="AW314" s="171">
        <f t="shared" si="60"/>
        <v>1</v>
      </c>
      <c r="AX314" s="171">
        <f t="shared" si="100"/>
        <v>1</v>
      </c>
      <c r="AY314" s="171">
        <f t="shared" si="61"/>
        <v>0</v>
      </c>
      <c r="AZ314" s="171">
        <f t="shared" si="62"/>
        <v>1</v>
      </c>
      <c r="BA314" s="172">
        <f t="shared" si="63"/>
        <v>1</v>
      </c>
      <c r="BB314" s="175">
        <f t="shared" si="72"/>
        <v>16</v>
      </c>
      <c r="BC314" s="176">
        <f t="shared" si="73"/>
        <v>15</v>
      </c>
      <c r="BD314" s="176">
        <f t="shared" si="74"/>
        <v>16</v>
      </c>
      <c r="BE314" s="240" t="str">
        <f t="shared" si="124"/>
        <v/>
      </c>
      <c r="BH314" s="199">
        <f>IF(AND(Input_Product=Elig!$C314,Elig_MatchAll_Ct&lt;22,$BC314=(Elig_MatchAll_Ct-1),AF314=0),C314,0)</f>
        <v>0</v>
      </c>
      <c r="BI314" s="199">
        <f>IF(AND(Input_Product=Elig!$C314,Elig_MatchAll_Ct&lt;22,$BC314=(Elig_MatchAll_Ct-1),AG314=0),D314,0)</f>
        <v>0</v>
      </c>
      <c r="BJ314" s="199">
        <f>IF(AND(Input_Product=Elig!$C314,Elig_MatchAll_Ct&lt;22,$BC314=(Elig_MatchAll_Ct-1),AH314=0),E314,0)</f>
        <v>0</v>
      </c>
      <c r="BK314" s="199">
        <f>IF(AND(Input_Product=Elig!$C314,Elig_MatchAll_Ct&lt;22,$BC314=(Elig_MatchAll_Ct-1),AI314=0),F314,0)</f>
        <v>0</v>
      </c>
      <c r="BL314" s="199">
        <f>IF(AND(Input_Product=Elig!$C314,Elig_MatchAll_Ct&lt;22,$BC314=(Elig_MatchAll_Ct-1),AJ314=0),G314,0)</f>
        <v>0</v>
      </c>
      <c r="BM314" s="199">
        <f>IF(AND(Input_Product=Elig!$C314,Elig_MatchAll_Ct&lt;22,$BC314=(Elig_MatchAll_Ct-1),AK314=0),H314,0)</f>
        <v>0</v>
      </c>
      <c r="BN314" s="199">
        <f>IF(AND(Input_Product=Elig!$C314,Elig_MatchAll_Ct&lt;22,$BC314=(Elig_MatchAll_Ct-1),AL314=0),I314,0)</f>
        <v>0</v>
      </c>
      <c r="BO314" s="199">
        <f>IF(AND(Input_Product=Elig!$C314,Elig_MatchAll_Ct&lt;22,$BC314=(Elig_MatchAll_Ct-1),AM314=0),J314,0)</f>
        <v>0</v>
      </c>
      <c r="BP314" s="199">
        <f>IF(AND(Input_Product=Elig!$C314,Elig_MatchAll_Ct&lt;22,$BC314=(Elig_MatchAll_Ct-1),AN314=0),K314,0)</f>
        <v>0</v>
      </c>
      <c r="BQ314" s="199">
        <f>IF(AND(Input_Product=Elig!$C314,Elig_MatchAll_Ct&lt;22,$BC314=(Elig_MatchAll_Ct-1),AP314=0),L314,0)</f>
        <v>0</v>
      </c>
      <c r="BR314" s="199">
        <f>IF(AND(Input_Product=Elig!$C314,Elig_MatchAll_Ct&lt;22,$BC314=(Elig_MatchAll_Ct-1),AO314=0),M314,0)</f>
        <v>0</v>
      </c>
      <c r="BS314" s="199">
        <f>IF(AND(Input_Product=Elig!$C314,Elig_MatchAll_Ct&lt;22,$BC314=(Elig_MatchAll_Ct-1),AQ314=0),N314,0)</f>
        <v>0</v>
      </c>
      <c r="BT314" s="199">
        <f>IF(AND(Input_Product=Elig!$C314,Elig_MatchAll_Ct&lt;22,$BC314=(Elig_MatchAll_Ct-1),AR314=0),O314,0)</f>
        <v>0</v>
      </c>
      <c r="BU314" s="199">
        <f>IF(AND(Input_Product=Elig!$C314,Elig_MatchAll_Ct&lt;22,$BC314=(Elig_MatchAll_Ct-1),AS314=0),P314,0)</f>
        <v>0</v>
      </c>
      <c r="BV314" s="200">
        <f>IF(AND(Input_Product=Elig!$C314,Elig_MatchAll_Ct&lt;22,$BC314=(Elig_MatchAll_Ct-1),AT314=0),Q314,0)</f>
        <v>0</v>
      </c>
      <c r="BW314" s="201">
        <f>IF(AND(Input_Product=Elig!$C314,Elig_MatchAll_Ct&lt;22,$BC314=(Elig_MatchAll_Ct-1),AU314=0),R314,0)</f>
        <v>0</v>
      </c>
      <c r="BX314" s="202">
        <f>IF(AND(Input_Product=Elig!$C314,Elig_MatchAll_Ct&lt;22,$BC314=(Elig_MatchAll_Ct-1),AU314=0),S314,0)</f>
        <v>0</v>
      </c>
      <c r="BY314" s="201">
        <f>IF(AND(Input_Product=Elig!$C314,Elig_MatchAll_Ct&lt;22,$BC314=(Elig_MatchAll_Ct-1),AV314=0),T314,0)</f>
        <v>0</v>
      </c>
      <c r="BZ314" s="202">
        <f>IF(AND(Input_Product=Elig!$C314,Elig_MatchAll_Ct&lt;22,$BC314=(Elig_MatchAll_Ct-1),AV314=0),U314,0)</f>
        <v>0</v>
      </c>
      <c r="CA314" s="201">
        <f>IF(AND(Input_Product=Elig!$C314,Elig_MatchAll_Ct&lt;22,$BC314=(Elig_MatchAll_Ct-1),AW314=0),V314,0)</f>
        <v>0</v>
      </c>
      <c r="CB314" s="202">
        <f>IF(AND(Input_Product=Elig!$C314,Elig_MatchAll_Ct&lt;22,$BC314=(Elig_MatchAll_Ct-1),AW314=0),W314,0)</f>
        <v>0</v>
      </c>
      <c r="CC314" s="201">
        <f>IF(AND(Input_Product=Elig!$C314,Elig_MatchAll_Ct&lt;22,$BC314=(Elig_MatchAll_Ct-1),AX314=0),X314,0)</f>
        <v>0</v>
      </c>
      <c r="CD314" s="202">
        <f>IF(AND(Input_Product=Elig!$C314,Elig_MatchAll_Ct&lt;22,$BC314=(Elig_MatchAll_Ct-1),AX314=0),Y314,0)</f>
        <v>0</v>
      </c>
      <c r="CE314" s="201">
        <f>IF(AND(Input_LTV&lt;=AE314,Input_Product=Elig!$C314,Elig_MatchAll_Ct&lt;22,$BC314=(Elig_MatchAll_Ct-1),AY314=0),Z314,0)</f>
        <v>0</v>
      </c>
      <c r="CF314" s="202">
        <f>IF(AND(Input_LTV&lt;=AE314,Input_Product=Elig!$C314,Elig_MatchAll_Ct&lt;22,$BC314=(Elig_MatchAll_Ct-1),AY314=0),AA314,0)</f>
        <v>0</v>
      </c>
      <c r="CG314" s="201">
        <f>IF(AND(Input_Product=Elig!$C314,Elig_MatchAll_Ct&lt;22,$BC314=(Elig_MatchAll_Ct-1),AZ314=0),AB314,0)</f>
        <v>0</v>
      </c>
      <c r="CH314" s="202">
        <f>IF(AND(Input_Product=Elig!$C314,Elig_MatchAll_Ct&lt;22,$BC314=(Elig_MatchAll_Ct-1),AZ314=0),AC314,0)</f>
        <v>0</v>
      </c>
      <c r="CI314" s="201">
        <f>IF(AND(Input_Product=Elig!$C314,Elig_MatchAll_Ct&lt;22,$BC314=(Elig_MatchAll_Ct-1),BA314=0),AD314,0)</f>
        <v>0</v>
      </c>
      <c r="CJ314" s="202">
        <f>IF(AND(Input_Product=Elig!$C314,Elig_MatchAll_Ct&lt;22,$BC314=(Elig_MatchAll_Ct-1),BA314=0),AE314,0)</f>
        <v>0</v>
      </c>
    </row>
    <row r="315" spans="2:88" ht="10.15" customHeight="1" x14ac:dyDescent="0.25">
      <c r="B315" s="287" t="s">
        <v>1011</v>
      </c>
      <c r="C315" s="286" t="str">
        <f t="shared" si="132"/>
        <v>NonQM NOO</v>
      </c>
      <c r="D315" s="287" t="s">
        <v>3885</v>
      </c>
      <c r="E315" s="287" t="s">
        <v>167</v>
      </c>
      <c r="F315" s="287" t="s">
        <v>330</v>
      </c>
      <c r="G315" s="287" t="s">
        <v>179</v>
      </c>
      <c r="H315" s="287" t="s">
        <v>136</v>
      </c>
      <c r="I315" s="288" t="s">
        <v>274</v>
      </c>
      <c r="J315" s="288" t="s">
        <v>1311</v>
      </c>
      <c r="K315" s="288" t="s">
        <v>1631</v>
      </c>
      <c r="L315" s="300" t="s">
        <v>312</v>
      </c>
      <c r="M315" s="287" t="s">
        <v>4203</v>
      </c>
      <c r="N315" s="287" t="s">
        <v>2685</v>
      </c>
      <c r="O315" s="287" t="s">
        <v>310</v>
      </c>
      <c r="P315" s="287" t="s">
        <v>291</v>
      </c>
      <c r="Q315" s="287" t="s">
        <v>294</v>
      </c>
      <c r="R315" s="300">
        <v>100000</v>
      </c>
      <c r="S315" s="287">
        <v>1000000</v>
      </c>
      <c r="T315" s="287">
        <v>0</v>
      </c>
      <c r="U315" s="287">
        <v>0</v>
      </c>
      <c r="V315" s="287">
        <v>0</v>
      </c>
      <c r="W315" s="287">
        <v>50</v>
      </c>
      <c r="X315" s="287">
        <v>0</v>
      </c>
      <c r="Y315" s="287">
        <v>999</v>
      </c>
      <c r="Z315" s="289">
        <v>640</v>
      </c>
      <c r="AA315" s="289">
        <v>659</v>
      </c>
      <c r="AB315" s="289">
        <v>3</v>
      </c>
      <c r="AC315" s="289">
        <v>999999</v>
      </c>
      <c r="AD315" s="287">
        <v>0</v>
      </c>
      <c r="AE315" s="290">
        <v>-999</v>
      </c>
      <c r="AF315" s="170">
        <v>0</v>
      </c>
      <c r="AG315" s="171">
        <v>1</v>
      </c>
      <c r="AH315" s="171">
        <v>1</v>
      </c>
      <c r="AI315" s="171">
        <v>0</v>
      </c>
      <c r="AJ315" s="171">
        <v>0</v>
      </c>
      <c r="AK315" s="171">
        <v>1</v>
      </c>
      <c r="AL315" s="171">
        <v>0</v>
      </c>
      <c r="AM315" s="171">
        <v>1</v>
      </c>
      <c r="AN315" s="171">
        <v>1</v>
      </c>
      <c r="AO315" s="171">
        <v>1</v>
      </c>
      <c r="AP315" s="171">
        <v>1</v>
      </c>
      <c r="AQ315" s="171">
        <v>1</v>
      </c>
      <c r="AR315" s="171">
        <v>1</v>
      </c>
      <c r="AS315" s="171">
        <v>1</v>
      </c>
      <c r="AT315" s="171">
        <v>1</v>
      </c>
      <c r="AU315" s="171">
        <f t="shared" si="58"/>
        <v>1</v>
      </c>
      <c r="AV315" s="171">
        <f t="shared" si="59"/>
        <v>0</v>
      </c>
      <c r="AW315" s="171">
        <f t="shared" si="60"/>
        <v>1</v>
      </c>
      <c r="AX315" s="171">
        <f t="shared" si="100"/>
        <v>1</v>
      </c>
      <c r="AY315" s="171">
        <f t="shared" si="61"/>
        <v>0</v>
      </c>
      <c r="AZ315" s="171">
        <f t="shared" si="62"/>
        <v>1</v>
      </c>
      <c r="BA315" s="172">
        <f t="shared" si="63"/>
        <v>0</v>
      </c>
      <c r="BB315" s="175">
        <f t="shared" si="72"/>
        <v>15</v>
      </c>
      <c r="BC315" s="176">
        <f t="shared" si="73"/>
        <v>15</v>
      </c>
      <c r="BD315" s="176">
        <f t="shared" si="74"/>
        <v>15</v>
      </c>
      <c r="BE315" s="240" t="str">
        <f t="shared" si="124"/>
        <v/>
      </c>
      <c r="BH315" s="199">
        <f>IF(AND(Input_Product=Elig!$C315,Elig_MatchAll_Ct&lt;22,$BC315=(Elig_MatchAll_Ct-1),AF315=0),C315,0)</f>
        <v>0</v>
      </c>
      <c r="BI315" s="199">
        <f>IF(AND(Input_Product=Elig!$C315,Elig_MatchAll_Ct&lt;22,$BC315=(Elig_MatchAll_Ct-1),AG315=0),D315,0)</f>
        <v>0</v>
      </c>
      <c r="BJ315" s="199">
        <f>IF(AND(Input_Product=Elig!$C315,Elig_MatchAll_Ct&lt;22,$BC315=(Elig_MatchAll_Ct-1),AH315=0),E315,0)</f>
        <v>0</v>
      </c>
      <c r="BK315" s="199">
        <f>IF(AND(Input_Product=Elig!$C315,Elig_MatchAll_Ct&lt;22,$BC315=(Elig_MatchAll_Ct-1),AI315=0),F315,0)</f>
        <v>0</v>
      </c>
      <c r="BL315" s="199">
        <f>IF(AND(Input_Product=Elig!$C315,Elig_MatchAll_Ct&lt;22,$BC315=(Elig_MatchAll_Ct-1),AJ315=0),G315,0)</f>
        <v>0</v>
      </c>
      <c r="BM315" s="199">
        <f>IF(AND(Input_Product=Elig!$C315,Elig_MatchAll_Ct&lt;22,$BC315=(Elig_MatchAll_Ct-1),AK315=0),H315,0)</f>
        <v>0</v>
      </c>
      <c r="BN315" s="199">
        <f>IF(AND(Input_Product=Elig!$C315,Elig_MatchAll_Ct&lt;22,$BC315=(Elig_MatchAll_Ct-1),AL315=0),I315,0)</f>
        <v>0</v>
      </c>
      <c r="BO315" s="199">
        <f>IF(AND(Input_Product=Elig!$C315,Elig_MatchAll_Ct&lt;22,$BC315=(Elig_MatchAll_Ct-1),AM315=0),J315,0)</f>
        <v>0</v>
      </c>
      <c r="BP315" s="199">
        <f>IF(AND(Input_Product=Elig!$C315,Elig_MatchAll_Ct&lt;22,$BC315=(Elig_MatchAll_Ct-1),AN315=0),K315,0)</f>
        <v>0</v>
      </c>
      <c r="BQ315" s="199">
        <f>IF(AND(Input_Product=Elig!$C315,Elig_MatchAll_Ct&lt;22,$BC315=(Elig_MatchAll_Ct-1),AP315=0),L315,0)</f>
        <v>0</v>
      </c>
      <c r="BR315" s="199">
        <f>IF(AND(Input_Product=Elig!$C315,Elig_MatchAll_Ct&lt;22,$BC315=(Elig_MatchAll_Ct-1),AO315=0),M315,0)</f>
        <v>0</v>
      </c>
      <c r="BS315" s="199">
        <f>IF(AND(Input_Product=Elig!$C315,Elig_MatchAll_Ct&lt;22,$BC315=(Elig_MatchAll_Ct-1),AQ315=0),N315,0)</f>
        <v>0</v>
      </c>
      <c r="BT315" s="199">
        <f>IF(AND(Input_Product=Elig!$C315,Elig_MatchAll_Ct&lt;22,$BC315=(Elig_MatchAll_Ct-1),AR315=0),O315,0)</f>
        <v>0</v>
      </c>
      <c r="BU315" s="199">
        <f>IF(AND(Input_Product=Elig!$C315,Elig_MatchAll_Ct&lt;22,$BC315=(Elig_MatchAll_Ct-1),AS315=0),P315,0)</f>
        <v>0</v>
      </c>
      <c r="BV315" s="200">
        <f>IF(AND(Input_Product=Elig!$C315,Elig_MatchAll_Ct&lt;22,$BC315=(Elig_MatchAll_Ct-1),AT315=0),Q315,0)</f>
        <v>0</v>
      </c>
      <c r="BW315" s="201">
        <f>IF(AND(Input_Product=Elig!$C315,Elig_MatchAll_Ct&lt;22,$BC315=(Elig_MatchAll_Ct-1),AU315=0),R315,0)</f>
        <v>0</v>
      </c>
      <c r="BX315" s="202">
        <f>IF(AND(Input_Product=Elig!$C315,Elig_MatchAll_Ct&lt;22,$BC315=(Elig_MatchAll_Ct-1),AU315=0),S315,0)</f>
        <v>0</v>
      </c>
      <c r="BY315" s="201">
        <f>IF(AND(Input_Product=Elig!$C315,Elig_MatchAll_Ct&lt;22,$BC315=(Elig_MatchAll_Ct-1),AV315=0),T315,0)</f>
        <v>0</v>
      </c>
      <c r="BZ315" s="202">
        <f>IF(AND(Input_Product=Elig!$C315,Elig_MatchAll_Ct&lt;22,$BC315=(Elig_MatchAll_Ct-1),AV315=0),U315,0)</f>
        <v>0</v>
      </c>
      <c r="CA315" s="201">
        <f>IF(AND(Input_Product=Elig!$C315,Elig_MatchAll_Ct&lt;22,$BC315=(Elig_MatchAll_Ct-1),AW315=0),V315,0)</f>
        <v>0</v>
      </c>
      <c r="CB315" s="202">
        <f>IF(AND(Input_Product=Elig!$C315,Elig_MatchAll_Ct&lt;22,$BC315=(Elig_MatchAll_Ct-1),AW315=0),W315,0)</f>
        <v>0</v>
      </c>
      <c r="CC315" s="201">
        <f>IF(AND(Input_Product=Elig!$C315,Elig_MatchAll_Ct&lt;22,$BC315=(Elig_MatchAll_Ct-1),AX315=0),X315,0)</f>
        <v>0</v>
      </c>
      <c r="CD315" s="202">
        <f>IF(AND(Input_Product=Elig!$C315,Elig_MatchAll_Ct&lt;22,$BC315=(Elig_MatchAll_Ct-1),AX315=0),Y315,0)</f>
        <v>0</v>
      </c>
      <c r="CE315" s="201">
        <f>IF(AND(Input_LTV&lt;=AE315,Input_Product=Elig!$C315,Elig_MatchAll_Ct&lt;22,$BC315=(Elig_MatchAll_Ct-1),AY315=0),Z315,0)</f>
        <v>0</v>
      </c>
      <c r="CF315" s="202">
        <f>IF(AND(Input_LTV&lt;=AE315,Input_Product=Elig!$C315,Elig_MatchAll_Ct&lt;22,$BC315=(Elig_MatchAll_Ct-1),AY315=0),AA315,0)</f>
        <v>0</v>
      </c>
      <c r="CG315" s="201">
        <f>IF(AND(Input_Product=Elig!$C315,Elig_MatchAll_Ct&lt;22,$BC315=(Elig_MatchAll_Ct-1),AZ315=0),AB315,0)</f>
        <v>0</v>
      </c>
      <c r="CH315" s="202">
        <f>IF(AND(Input_Product=Elig!$C315,Elig_MatchAll_Ct&lt;22,$BC315=(Elig_MatchAll_Ct-1),AZ315=0),AC315,0)</f>
        <v>0</v>
      </c>
      <c r="CI315" s="201">
        <f>IF(AND(Input_Product=Elig!$C315,Elig_MatchAll_Ct&lt;22,$BC315=(Elig_MatchAll_Ct-1),BA315=0),AD315,0)</f>
        <v>0</v>
      </c>
      <c r="CJ315" s="202">
        <f>IF(AND(Input_Product=Elig!$C315,Elig_MatchAll_Ct&lt;22,$BC315=(Elig_MatchAll_Ct-1),BA315=0),AE315,0)</f>
        <v>0</v>
      </c>
    </row>
    <row r="316" spans="2:88" ht="10.15" customHeight="1" x14ac:dyDescent="0.25">
      <c r="B316" s="287" t="s">
        <v>1012</v>
      </c>
      <c r="C316" s="291" t="str">
        <f t="shared" si="132"/>
        <v>NonQM NOO</v>
      </c>
      <c r="D316" s="292" t="s">
        <v>3885</v>
      </c>
      <c r="E316" s="292" t="s">
        <v>167</v>
      </c>
      <c r="F316" s="292" t="s">
        <v>330</v>
      </c>
      <c r="G316" s="292" t="s">
        <v>179</v>
      </c>
      <c r="H316" s="292" t="s">
        <v>136</v>
      </c>
      <c r="I316" s="295" t="s">
        <v>274</v>
      </c>
      <c r="J316" s="295" t="s">
        <v>1311</v>
      </c>
      <c r="K316" s="295" t="s">
        <v>1631</v>
      </c>
      <c r="L316" s="324" t="s">
        <v>312</v>
      </c>
      <c r="M316" s="292" t="s">
        <v>4203</v>
      </c>
      <c r="N316" s="292" t="s">
        <v>2685</v>
      </c>
      <c r="O316" s="292" t="s">
        <v>310</v>
      </c>
      <c r="P316" s="292" t="s">
        <v>291</v>
      </c>
      <c r="Q316" s="292" t="s">
        <v>294</v>
      </c>
      <c r="R316" s="324">
        <v>100000</v>
      </c>
      <c r="S316" s="292">
        <v>1000000</v>
      </c>
      <c r="T316" s="292">
        <v>0</v>
      </c>
      <c r="U316" s="292">
        <v>0</v>
      </c>
      <c r="V316" s="292">
        <v>0</v>
      </c>
      <c r="W316" s="292">
        <v>50</v>
      </c>
      <c r="X316" s="292">
        <v>0</v>
      </c>
      <c r="Y316" s="292">
        <v>999</v>
      </c>
      <c r="Z316" s="293">
        <v>620</v>
      </c>
      <c r="AA316" s="293">
        <v>639</v>
      </c>
      <c r="AB316" s="293">
        <v>3</v>
      </c>
      <c r="AC316" s="293">
        <v>999999</v>
      </c>
      <c r="AD316" s="292">
        <v>0</v>
      </c>
      <c r="AE316" s="294">
        <v>-999</v>
      </c>
      <c r="AF316" s="170">
        <v>0</v>
      </c>
      <c r="AG316" s="171">
        <v>1</v>
      </c>
      <c r="AH316" s="171">
        <v>1</v>
      </c>
      <c r="AI316" s="171">
        <v>0</v>
      </c>
      <c r="AJ316" s="171">
        <v>0</v>
      </c>
      <c r="AK316" s="171">
        <v>1</v>
      </c>
      <c r="AL316" s="171">
        <v>0</v>
      </c>
      <c r="AM316" s="171">
        <v>1</v>
      </c>
      <c r="AN316" s="171">
        <v>1</v>
      </c>
      <c r="AO316" s="171">
        <v>1</v>
      </c>
      <c r="AP316" s="171">
        <v>1</v>
      </c>
      <c r="AQ316" s="171">
        <v>1</v>
      </c>
      <c r="AR316" s="171">
        <v>1</v>
      </c>
      <c r="AS316" s="171">
        <v>1</v>
      </c>
      <c r="AT316" s="171">
        <v>1</v>
      </c>
      <c r="AU316" s="171">
        <f t="shared" si="58"/>
        <v>1</v>
      </c>
      <c r="AV316" s="171">
        <f t="shared" si="59"/>
        <v>0</v>
      </c>
      <c r="AW316" s="171">
        <f t="shared" si="60"/>
        <v>1</v>
      </c>
      <c r="AX316" s="171">
        <f t="shared" si="100"/>
        <v>1</v>
      </c>
      <c r="AY316" s="171">
        <f t="shared" si="61"/>
        <v>0</v>
      </c>
      <c r="AZ316" s="171">
        <f t="shared" si="62"/>
        <v>1</v>
      </c>
      <c r="BA316" s="172">
        <f t="shared" si="63"/>
        <v>0</v>
      </c>
      <c r="BB316" s="175">
        <f t="shared" si="72"/>
        <v>15</v>
      </c>
      <c r="BC316" s="176">
        <f t="shared" si="73"/>
        <v>15</v>
      </c>
      <c r="BD316" s="176">
        <f t="shared" si="74"/>
        <v>15</v>
      </c>
      <c r="BE316" s="240" t="str">
        <f t="shared" si="124"/>
        <v/>
      </c>
      <c r="BH316" s="214">
        <f>IF(AND(Input_Product=Elig!$C316,Elig_MatchAll_Ct&lt;22,$BC316=(Elig_MatchAll_Ct-1),AF316=0),C316,0)</f>
        <v>0</v>
      </c>
      <c r="BI316" s="214">
        <f>IF(AND(Input_Product=Elig!$C316,Elig_MatchAll_Ct&lt;22,$BC316=(Elig_MatchAll_Ct-1),AG316=0),D316,0)</f>
        <v>0</v>
      </c>
      <c r="BJ316" s="214">
        <f>IF(AND(Input_Product=Elig!$C316,Elig_MatchAll_Ct&lt;22,$BC316=(Elig_MatchAll_Ct-1),AH316=0),E316,0)</f>
        <v>0</v>
      </c>
      <c r="BK316" s="214">
        <f>IF(AND(Input_Product=Elig!$C316,Elig_MatchAll_Ct&lt;22,$BC316=(Elig_MatchAll_Ct-1),AI316=0),F316,0)</f>
        <v>0</v>
      </c>
      <c r="BL316" s="214">
        <f>IF(AND(Input_Product=Elig!$C316,Elig_MatchAll_Ct&lt;22,$BC316=(Elig_MatchAll_Ct-1),AJ316=0),G316,0)</f>
        <v>0</v>
      </c>
      <c r="BM316" s="214">
        <f>IF(AND(Input_Product=Elig!$C316,Elig_MatchAll_Ct&lt;22,$BC316=(Elig_MatchAll_Ct-1),AK316=0),H316,0)</f>
        <v>0</v>
      </c>
      <c r="BN316" s="214">
        <f>IF(AND(Input_Product=Elig!$C316,Elig_MatchAll_Ct&lt;22,$BC316=(Elig_MatchAll_Ct-1),AL316=0),I316,0)</f>
        <v>0</v>
      </c>
      <c r="BO316" s="214">
        <f>IF(AND(Input_Product=Elig!$C316,Elig_MatchAll_Ct&lt;22,$BC316=(Elig_MatchAll_Ct-1),AM316=0),J316,0)</f>
        <v>0</v>
      </c>
      <c r="BP316" s="214">
        <f>IF(AND(Input_Product=Elig!$C316,Elig_MatchAll_Ct&lt;22,$BC316=(Elig_MatchAll_Ct-1),AN316=0),K316,0)</f>
        <v>0</v>
      </c>
      <c r="BQ316" s="214">
        <f>IF(AND(Input_Product=Elig!$C316,Elig_MatchAll_Ct&lt;22,$BC316=(Elig_MatchAll_Ct-1),AP316=0),L316,0)</f>
        <v>0</v>
      </c>
      <c r="BR316" s="214">
        <f>IF(AND(Input_Product=Elig!$C316,Elig_MatchAll_Ct&lt;22,$BC316=(Elig_MatchAll_Ct-1),AO316=0),M316,0)</f>
        <v>0</v>
      </c>
      <c r="BS316" s="214">
        <f>IF(AND(Input_Product=Elig!$C316,Elig_MatchAll_Ct&lt;22,$BC316=(Elig_MatchAll_Ct-1),AQ316=0),N316,0)</f>
        <v>0</v>
      </c>
      <c r="BT316" s="214">
        <f>IF(AND(Input_Product=Elig!$C316,Elig_MatchAll_Ct&lt;22,$BC316=(Elig_MatchAll_Ct-1),AR316=0),O316,0)</f>
        <v>0</v>
      </c>
      <c r="BU316" s="214">
        <f>IF(AND(Input_Product=Elig!$C316,Elig_MatchAll_Ct&lt;22,$BC316=(Elig_MatchAll_Ct-1),AS316=0),P316,0)</f>
        <v>0</v>
      </c>
      <c r="BV316" s="215">
        <f>IF(AND(Input_Product=Elig!$C316,Elig_MatchAll_Ct&lt;22,$BC316=(Elig_MatchAll_Ct-1),AT316=0),Q316,0)</f>
        <v>0</v>
      </c>
      <c r="BW316" s="207">
        <f>IF(AND(Input_Product=Elig!$C316,Elig_MatchAll_Ct&lt;22,$BC316=(Elig_MatchAll_Ct-1),AU316=0),R316,0)</f>
        <v>0</v>
      </c>
      <c r="BX316" s="208">
        <f>IF(AND(Input_Product=Elig!$C316,Elig_MatchAll_Ct&lt;22,$BC316=(Elig_MatchAll_Ct-1),AU316=0),S316,0)</f>
        <v>0</v>
      </c>
      <c r="BY316" s="207">
        <f>IF(AND(Input_Product=Elig!$C316,Elig_MatchAll_Ct&lt;22,$BC316=(Elig_MatchAll_Ct-1),AV316=0),T316,0)</f>
        <v>0</v>
      </c>
      <c r="BZ316" s="208">
        <f>IF(AND(Input_Product=Elig!$C316,Elig_MatchAll_Ct&lt;22,$BC316=(Elig_MatchAll_Ct-1),AV316=0),U316,0)</f>
        <v>0</v>
      </c>
      <c r="CA316" s="207">
        <f>IF(AND(Input_Product=Elig!$C316,Elig_MatchAll_Ct&lt;22,$BC316=(Elig_MatchAll_Ct-1),AW316=0),V316,0)</f>
        <v>0</v>
      </c>
      <c r="CB316" s="208">
        <f>IF(AND(Input_Product=Elig!$C316,Elig_MatchAll_Ct&lt;22,$BC316=(Elig_MatchAll_Ct-1),AW316=0),W316,0)</f>
        <v>0</v>
      </c>
      <c r="CC316" s="207">
        <f>IF(AND(Input_Product=Elig!$C316,Elig_MatchAll_Ct&lt;22,$BC316=(Elig_MatchAll_Ct-1),AX316=0),X316,0)</f>
        <v>0</v>
      </c>
      <c r="CD316" s="208">
        <f>IF(AND(Input_Product=Elig!$C316,Elig_MatchAll_Ct&lt;22,$BC316=(Elig_MatchAll_Ct-1),AX316=0),Y316,0)</f>
        <v>0</v>
      </c>
      <c r="CE316" s="207">
        <f>IF(AND(Input_LTV&lt;=AE316,Input_Product=Elig!$C316,Elig_MatchAll_Ct&lt;22,$BC316=(Elig_MatchAll_Ct-1),AY316=0),Z316,0)</f>
        <v>0</v>
      </c>
      <c r="CF316" s="208">
        <f>IF(AND(Input_LTV&lt;=AE316,Input_Product=Elig!$C316,Elig_MatchAll_Ct&lt;22,$BC316=(Elig_MatchAll_Ct-1),AY316=0),AA316,0)</f>
        <v>0</v>
      </c>
      <c r="CG316" s="207">
        <f>IF(AND(Input_Product=Elig!$C316,Elig_MatchAll_Ct&lt;22,$BC316=(Elig_MatchAll_Ct-1),AZ316=0),AB316,0)</f>
        <v>0</v>
      </c>
      <c r="CH316" s="208">
        <f>IF(AND(Input_Product=Elig!$C316,Elig_MatchAll_Ct&lt;22,$BC316=(Elig_MatchAll_Ct-1),AZ316=0),AC316,0)</f>
        <v>0</v>
      </c>
      <c r="CI316" s="207">
        <f>IF(AND(Input_Product=Elig!$C316,Elig_MatchAll_Ct&lt;22,$BC316=(Elig_MatchAll_Ct-1),BA316=0),AD316,0)</f>
        <v>0</v>
      </c>
      <c r="CJ316" s="209">
        <f>IF(AND(Input_Product=Elig!$C316,Elig_MatchAll_Ct&lt;22,$BC316=(Elig_MatchAll_Ct-1),BA316=0),AE316,0)</f>
        <v>0</v>
      </c>
    </row>
    <row r="317" spans="2:88" ht="10.15" customHeight="1" x14ac:dyDescent="0.25">
      <c r="B317" s="287" t="s">
        <v>1013</v>
      </c>
      <c r="C317" s="281" t="str">
        <f t="shared" si="132"/>
        <v>NonQM NOO</v>
      </c>
      <c r="D317" s="282" t="s">
        <v>3885</v>
      </c>
      <c r="E317" s="283" t="s">
        <v>167</v>
      </c>
      <c r="F317" s="283" t="s">
        <v>330</v>
      </c>
      <c r="G317" s="282" t="s">
        <v>179</v>
      </c>
      <c r="H317" s="282" t="s">
        <v>136</v>
      </c>
      <c r="I317" s="282" t="s">
        <v>16</v>
      </c>
      <c r="J317" s="282" t="s">
        <v>1311</v>
      </c>
      <c r="K317" s="282" t="s">
        <v>1631</v>
      </c>
      <c r="L317" s="2103" t="s">
        <v>312</v>
      </c>
      <c r="M317" s="283" t="s">
        <v>4203</v>
      </c>
      <c r="N317" s="283" t="s">
        <v>2685</v>
      </c>
      <c r="O317" s="283" t="s">
        <v>310</v>
      </c>
      <c r="P317" s="283" t="s">
        <v>291</v>
      </c>
      <c r="Q317" s="283" t="s">
        <v>294</v>
      </c>
      <c r="R317" s="323">
        <v>100000</v>
      </c>
      <c r="S317" s="282">
        <v>1000000</v>
      </c>
      <c r="T317" s="282">
        <v>0</v>
      </c>
      <c r="U317" s="282">
        <f t="shared" ref="U317:U322" si="139">S317</f>
        <v>1000000</v>
      </c>
      <c r="V317" s="282">
        <v>0</v>
      </c>
      <c r="W317" s="282">
        <v>55</v>
      </c>
      <c r="X317" s="282">
        <v>0</v>
      </c>
      <c r="Y317" s="282">
        <v>999</v>
      </c>
      <c r="Z317" s="284">
        <v>720</v>
      </c>
      <c r="AA317" s="284">
        <v>999</v>
      </c>
      <c r="AB317" s="284">
        <v>3</v>
      </c>
      <c r="AC317" s="284">
        <v>999999</v>
      </c>
      <c r="AD317" s="282">
        <v>0</v>
      </c>
      <c r="AE317" s="285">
        <v>70</v>
      </c>
      <c r="AF317" s="170">
        <v>0</v>
      </c>
      <c r="AG317" s="171">
        <v>1</v>
      </c>
      <c r="AH317" s="171">
        <v>1</v>
      </c>
      <c r="AI317" s="171">
        <v>0</v>
      </c>
      <c r="AJ317" s="171">
        <v>0</v>
      </c>
      <c r="AK317" s="171">
        <v>1</v>
      </c>
      <c r="AL317" s="171">
        <v>1</v>
      </c>
      <c r="AM317" s="171">
        <v>1</v>
      </c>
      <c r="AN317" s="171">
        <v>1</v>
      </c>
      <c r="AO317" s="171">
        <v>1</v>
      </c>
      <c r="AP317" s="171">
        <v>1</v>
      </c>
      <c r="AQ317" s="171">
        <v>1</v>
      </c>
      <c r="AR317" s="171">
        <v>1</v>
      </c>
      <c r="AS317" s="171">
        <v>1</v>
      </c>
      <c r="AT317" s="171">
        <v>1</v>
      </c>
      <c r="AU317" s="171">
        <f t="shared" si="58"/>
        <v>1</v>
      </c>
      <c r="AV317" s="171">
        <f t="shared" si="59"/>
        <v>1</v>
      </c>
      <c r="AW317" s="171">
        <f t="shared" si="60"/>
        <v>1</v>
      </c>
      <c r="AX317" s="171">
        <f t="shared" si="100"/>
        <v>1</v>
      </c>
      <c r="AY317" s="171">
        <f t="shared" si="61"/>
        <v>1</v>
      </c>
      <c r="AZ317" s="171">
        <f t="shared" si="62"/>
        <v>1</v>
      </c>
      <c r="BA317" s="172">
        <f t="shared" si="63"/>
        <v>1</v>
      </c>
      <c r="BB317" s="175">
        <f t="shared" si="72"/>
        <v>19</v>
      </c>
      <c r="BC317" s="176">
        <f t="shared" si="73"/>
        <v>18</v>
      </c>
      <c r="BD317" s="176">
        <f t="shared" si="74"/>
        <v>19</v>
      </c>
      <c r="BE317" s="240" t="str">
        <f t="shared" si="124"/>
        <v/>
      </c>
      <c r="BH317" s="216">
        <f>IF(AND(Input_Product=Elig!$C317,Elig_MatchAll_Ct&lt;22,$BC317=(Elig_MatchAll_Ct-1),AF317=0),C317,0)</f>
        <v>0</v>
      </c>
      <c r="BI317" s="216">
        <f>IF(AND(Input_Product=Elig!$C317,Elig_MatchAll_Ct&lt;22,$BC317=(Elig_MatchAll_Ct-1),AG317=0),D317,0)</f>
        <v>0</v>
      </c>
      <c r="BJ317" s="216">
        <f>IF(AND(Input_Product=Elig!$C317,Elig_MatchAll_Ct&lt;22,$BC317=(Elig_MatchAll_Ct-1),AH317=0),E317,0)</f>
        <v>0</v>
      </c>
      <c r="BK317" s="216">
        <f>IF(AND(Input_Product=Elig!$C317,Elig_MatchAll_Ct&lt;22,$BC317=(Elig_MatchAll_Ct-1),AI317=0),F317,0)</f>
        <v>0</v>
      </c>
      <c r="BL317" s="216">
        <f>IF(AND(Input_Product=Elig!$C317,Elig_MatchAll_Ct&lt;22,$BC317=(Elig_MatchAll_Ct-1),AJ317=0),G317,0)</f>
        <v>0</v>
      </c>
      <c r="BM317" s="216">
        <f>IF(AND(Input_Product=Elig!$C317,Elig_MatchAll_Ct&lt;22,$BC317=(Elig_MatchAll_Ct-1),AK317=0),H317,0)</f>
        <v>0</v>
      </c>
      <c r="BN317" s="216">
        <f>IF(AND(Input_Product=Elig!$C317,Elig_MatchAll_Ct&lt;22,$BC317=(Elig_MatchAll_Ct-1),AL317=0),I317,0)</f>
        <v>0</v>
      </c>
      <c r="BO317" s="216">
        <f>IF(AND(Input_Product=Elig!$C317,Elig_MatchAll_Ct&lt;22,$BC317=(Elig_MatchAll_Ct-1),AM317=0),J317,0)</f>
        <v>0</v>
      </c>
      <c r="BP317" s="216">
        <f>IF(AND(Input_Product=Elig!$C317,Elig_MatchAll_Ct&lt;22,$BC317=(Elig_MatchAll_Ct-1),AN317=0),K317,0)</f>
        <v>0</v>
      </c>
      <c r="BQ317" s="216">
        <f>IF(AND(Input_Product=Elig!$C317,Elig_MatchAll_Ct&lt;22,$BC317=(Elig_MatchAll_Ct-1),AP317=0),L317,0)</f>
        <v>0</v>
      </c>
      <c r="BR317" s="216">
        <f>IF(AND(Input_Product=Elig!$C317,Elig_MatchAll_Ct&lt;22,$BC317=(Elig_MatchAll_Ct-1),AO317=0),M317,0)</f>
        <v>0</v>
      </c>
      <c r="BS317" s="216">
        <f>IF(AND(Input_Product=Elig!$C317,Elig_MatchAll_Ct&lt;22,$BC317=(Elig_MatchAll_Ct-1),AQ317=0),N317,0)</f>
        <v>0</v>
      </c>
      <c r="BT317" s="216">
        <f>IF(AND(Input_Product=Elig!$C317,Elig_MatchAll_Ct&lt;22,$BC317=(Elig_MatchAll_Ct-1),AR317=0),O317,0)</f>
        <v>0</v>
      </c>
      <c r="BU317" s="216">
        <f>IF(AND(Input_Product=Elig!$C317,Elig_MatchAll_Ct&lt;22,$BC317=(Elig_MatchAll_Ct-1),AS317=0),P317,0)</f>
        <v>0</v>
      </c>
      <c r="BV317" s="217">
        <f>IF(AND(Input_Product=Elig!$C317,Elig_MatchAll_Ct&lt;22,$BC317=(Elig_MatchAll_Ct-1),AT317=0),Q317,0)</f>
        <v>0</v>
      </c>
      <c r="BW317" s="212">
        <f>IF(AND(Input_Product=Elig!$C317,Elig_MatchAll_Ct&lt;22,$BC317=(Elig_MatchAll_Ct-1),AU317=0),R317,0)</f>
        <v>0</v>
      </c>
      <c r="BX317" s="213">
        <f>IF(AND(Input_Product=Elig!$C317,Elig_MatchAll_Ct&lt;22,$BC317=(Elig_MatchAll_Ct-1),AU317=0),S317,0)</f>
        <v>0</v>
      </c>
      <c r="BY317" s="212">
        <f>IF(AND(Input_Product=Elig!$C317,Elig_MatchAll_Ct&lt;22,$BC317=(Elig_MatchAll_Ct-1),AV317=0),T317,0)</f>
        <v>0</v>
      </c>
      <c r="BZ317" s="213">
        <f>IF(AND(Input_Product=Elig!$C317,Elig_MatchAll_Ct&lt;22,$BC317=(Elig_MatchAll_Ct-1),AV317=0),U317,0)</f>
        <v>0</v>
      </c>
      <c r="CA317" s="212">
        <f>IF(AND(Input_Product=Elig!$C317,Elig_MatchAll_Ct&lt;22,$BC317=(Elig_MatchAll_Ct-1),AW317=0),V317,0)</f>
        <v>0</v>
      </c>
      <c r="CB317" s="213">
        <f>IF(AND(Input_Product=Elig!$C317,Elig_MatchAll_Ct&lt;22,$BC317=(Elig_MatchAll_Ct-1),AW317=0),W317,0)</f>
        <v>0</v>
      </c>
      <c r="CC317" s="212">
        <f>IF(AND(Input_Product=Elig!$C317,Elig_MatchAll_Ct&lt;22,$BC317=(Elig_MatchAll_Ct-1),AX317=0),X317,0)</f>
        <v>0</v>
      </c>
      <c r="CD317" s="213">
        <f>IF(AND(Input_Product=Elig!$C317,Elig_MatchAll_Ct&lt;22,$BC317=(Elig_MatchAll_Ct-1),AX317=0),Y317,0)</f>
        <v>0</v>
      </c>
      <c r="CE317" s="212">
        <f>IF(AND(Input_LTV&lt;=AE317,Input_Product=Elig!$C317,Elig_MatchAll_Ct&lt;22,$BC317=(Elig_MatchAll_Ct-1),AY317=0),Z317,0)</f>
        <v>0</v>
      </c>
      <c r="CF317" s="213">
        <f>IF(AND(Input_LTV&lt;=AE317,Input_Product=Elig!$C317,Elig_MatchAll_Ct&lt;22,$BC317=(Elig_MatchAll_Ct-1),AY317=0),AA317,0)</f>
        <v>0</v>
      </c>
      <c r="CG317" s="212">
        <f>IF(AND(Input_Product=Elig!$C317,Elig_MatchAll_Ct&lt;22,$BC317=(Elig_MatchAll_Ct-1),AZ317=0),AB317,0)</f>
        <v>0</v>
      </c>
      <c r="CH317" s="213">
        <f>IF(AND(Input_Product=Elig!$C317,Elig_MatchAll_Ct&lt;22,$BC317=(Elig_MatchAll_Ct-1),AZ317=0),AC317,0)</f>
        <v>0</v>
      </c>
      <c r="CI317" s="212">
        <f>IF(AND(Input_Product=Elig!$C317,Elig_MatchAll_Ct&lt;22,$BC317=(Elig_MatchAll_Ct-1),BA317=0),AD317,0)</f>
        <v>0</v>
      </c>
      <c r="CJ317" s="213">
        <f>IF(AND(Input_Product=Elig!$C317,Elig_MatchAll_Ct&lt;22,$BC317=(Elig_MatchAll_Ct-1),BA317=0),AE317,0)</f>
        <v>0</v>
      </c>
    </row>
    <row r="318" spans="2:88" ht="10.15" customHeight="1" x14ac:dyDescent="0.25">
      <c r="B318" s="287" t="s">
        <v>1014</v>
      </c>
      <c r="C318" s="286" t="str">
        <f t="shared" si="132"/>
        <v>NonQM NOO</v>
      </c>
      <c r="D318" s="287" t="s">
        <v>3885</v>
      </c>
      <c r="E318" s="287" t="s">
        <v>167</v>
      </c>
      <c r="F318" s="287" t="s">
        <v>330</v>
      </c>
      <c r="G318" s="287" t="s">
        <v>179</v>
      </c>
      <c r="H318" s="287" t="s">
        <v>136</v>
      </c>
      <c r="I318" s="288" t="s">
        <v>16</v>
      </c>
      <c r="J318" s="288" t="s">
        <v>1311</v>
      </c>
      <c r="K318" s="288" t="s">
        <v>1631</v>
      </c>
      <c r="L318" s="300" t="s">
        <v>312</v>
      </c>
      <c r="M318" s="287" t="s">
        <v>4203</v>
      </c>
      <c r="N318" s="287" t="s">
        <v>2685</v>
      </c>
      <c r="O318" s="287" t="s">
        <v>310</v>
      </c>
      <c r="P318" s="287" t="s">
        <v>291</v>
      </c>
      <c r="Q318" s="287" t="s">
        <v>294</v>
      </c>
      <c r="R318" s="300">
        <v>100000</v>
      </c>
      <c r="S318" s="287">
        <v>1000000</v>
      </c>
      <c r="T318" s="287">
        <v>0</v>
      </c>
      <c r="U318" s="287">
        <f t="shared" si="139"/>
        <v>1000000</v>
      </c>
      <c r="V318" s="287">
        <v>0</v>
      </c>
      <c r="W318" s="287">
        <v>55</v>
      </c>
      <c r="X318" s="287">
        <v>0</v>
      </c>
      <c r="Y318" s="287">
        <v>999</v>
      </c>
      <c r="Z318" s="289">
        <v>700</v>
      </c>
      <c r="AA318" s="289">
        <v>719</v>
      </c>
      <c r="AB318" s="289">
        <v>3</v>
      </c>
      <c r="AC318" s="289">
        <v>999999</v>
      </c>
      <c r="AD318" s="287">
        <v>0</v>
      </c>
      <c r="AE318" s="290">
        <v>70</v>
      </c>
      <c r="AF318" s="170">
        <v>0</v>
      </c>
      <c r="AG318" s="171">
        <v>1</v>
      </c>
      <c r="AH318" s="171">
        <v>1</v>
      </c>
      <c r="AI318" s="171">
        <v>0</v>
      </c>
      <c r="AJ318" s="171">
        <v>0</v>
      </c>
      <c r="AK318" s="171">
        <v>1</v>
      </c>
      <c r="AL318" s="171">
        <v>1</v>
      </c>
      <c r="AM318" s="171">
        <v>1</v>
      </c>
      <c r="AN318" s="171">
        <v>1</v>
      </c>
      <c r="AO318" s="171">
        <v>1</v>
      </c>
      <c r="AP318" s="171">
        <v>1</v>
      </c>
      <c r="AQ318" s="171">
        <v>1</v>
      </c>
      <c r="AR318" s="171">
        <v>1</v>
      </c>
      <c r="AS318" s="171">
        <v>1</v>
      </c>
      <c r="AT318" s="171">
        <v>1</v>
      </c>
      <c r="AU318" s="171">
        <f t="shared" si="58"/>
        <v>1</v>
      </c>
      <c r="AV318" s="171">
        <f t="shared" si="59"/>
        <v>1</v>
      </c>
      <c r="AW318" s="171">
        <f t="shared" si="60"/>
        <v>1</v>
      </c>
      <c r="AX318" s="171">
        <f t="shared" si="100"/>
        <v>1</v>
      </c>
      <c r="AY318" s="171">
        <f t="shared" si="61"/>
        <v>0</v>
      </c>
      <c r="AZ318" s="171">
        <f t="shared" si="62"/>
        <v>1</v>
      </c>
      <c r="BA318" s="172">
        <f t="shared" si="63"/>
        <v>1</v>
      </c>
      <c r="BB318" s="175">
        <f t="shared" si="72"/>
        <v>18</v>
      </c>
      <c r="BC318" s="176">
        <f t="shared" si="73"/>
        <v>17</v>
      </c>
      <c r="BD318" s="176">
        <f t="shared" si="74"/>
        <v>18</v>
      </c>
      <c r="BE318" s="240" t="str">
        <f t="shared" si="124"/>
        <v/>
      </c>
      <c r="BH318" s="199">
        <f>IF(AND(Input_Product=Elig!$C318,Elig_MatchAll_Ct&lt;22,$BC318=(Elig_MatchAll_Ct-1),AF318=0),C318,0)</f>
        <v>0</v>
      </c>
      <c r="BI318" s="199">
        <f>IF(AND(Input_Product=Elig!$C318,Elig_MatchAll_Ct&lt;22,$BC318=(Elig_MatchAll_Ct-1),AG318=0),D318,0)</f>
        <v>0</v>
      </c>
      <c r="BJ318" s="199">
        <f>IF(AND(Input_Product=Elig!$C318,Elig_MatchAll_Ct&lt;22,$BC318=(Elig_MatchAll_Ct-1),AH318=0),E318,0)</f>
        <v>0</v>
      </c>
      <c r="BK318" s="199">
        <f>IF(AND(Input_Product=Elig!$C318,Elig_MatchAll_Ct&lt;22,$BC318=(Elig_MatchAll_Ct-1),AI318=0),F318,0)</f>
        <v>0</v>
      </c>
      <c r="BL318" s="199">
        <f>IF(AND(Input_Product=Elig!$C318,Elig_MatchAll_Ct&lt;22,$BC318=(Elig_MatchAll_Ct-1),AJ318=0),G318,0)</f>
        <v>0</v>
      </c>
      <c r="BM318" s="199">
        <f>IF(AND(Input_Product=Elig!$C318,Elig_MatchAll_Ct&lt;22,$BC318=(Elig_MatchAll_Ct-1),AK318=0),H318,0)</f>
        <v>0</v>
      </c>
      <c r="BN318" s="199">
        <f>IF(AND(Input_Product=Elig!$C318,Elig_MatchAll_Ct&lt;22,$BC318=(Elig_MatchAll_Ct-1),AL318=0),I318,0)</f>
        <v>0</v>
      </c>
      <c r="BO318" s="199">
        <f>IF(AND(Input_Product=Elig!$C318,Elig_MatchAll_Ct&lt;22,$BC318=(Elig_MatchAll_Ct-1),AM318=0),J318,0)</f>
        <v>0</v>
      </c>
      <c r="BP318" s="199">
        <f>IF(AND(Input_Product=Elig!$C318,Elig_MatchAll_Ct&lt;22,$BC318=(Elig_MatchAll_Ct-1),AN318=0),K318,0)</f>
        <v>0</v>
      </c>
      <c r="BQ318" s="199">
        <f>IF(AND(Input_Product=Elig!$C318,Elig_MatchAll_Ct&lt;22,$BC318=(Elig_MatchAll_Ct-1),AP318=0),L318,0)</f>
        <v>0</v>
      </c>
      <c r="BR318" s="199">
        <f>IF(AND(Input_Product=Elig!$C318,Elig_MatchAll_Ct&lt;22,$BC318=(Elig_MatchAll_Ct-1),AO318=0),M318,0)</f>
        <v>0</v>
      </c>
      <c r="BS318" s="199">
        <f>IF(AND(Input_Product=Elig!$C318,Elig_MatchAll_Ct&lt;22,$BC318=(Elig_MatchAll_Ct-1),AQ318=0),N318,0)</f>
        <v>0</v>
      </c>
      <c r="BT318" s="199">
        <f>IF(AND(Input_Product=Elig!$C318,Elig_MatchAll_Ct&lt;22,$BC318=(Elig_MatchAll_Ct-1),AR318=0),O318,0)</f>
        <v>0</v>
      </c>
      <c r="BU318" s="199">
        <f>IF(AND(Input_Product=Elig!$C318,Elig_MatchAll_Ct&lt;22,$BC318=(Elig_MatchAll_Ct-1),AS318=0),P318,0)</f>
        <v>0</v>
      </c>
      <c r="BV318" s="200">
        <f>IF(AND(Input_Product=Elig!$C318,Elig_MatchAll_Ct&lt;22,$BC318=(Elig_MatchAll_Ct-1),AT318=0),Q318,0)</f>
        <v>0</v>
      </c>
      <c r="BW318" s="201">
        <f>IF(AND(Input_Product=Elig!$C318,Elig_MatchAll_Ct&lt;22,$BC318=(Elig_MatchAll_Ct-1),AU318=0),R318,0)</f>
        <v>0</v>
      </c>
      <c r="BX318" s="202">
        <f>IF(AND(Input_Product=Elig!$C318,Elig_MatchAll_Ct&lt;22,$BC318=(Elig_MatchAll_Ct-1),AU318=0),S318,0)</f>
        <v>0</v>
      </c>
      <c r="BY318" s="201">
        <f>IF(AND(Input_Product=Elig!$C318,Elig_MatchAll_Ct&lt;22,$BC318=(Elig_MatchAll_Ct-1),AV318=0),T318,0)</f>
        <v>0</v>
      </c>
      <c r="BZ318" s="202">
        <f>IF(AND(Input_Product=Elig!$C318,Elig_MatchAll_Ct&lt;22,$BC318=(Elig_MatchAll_Ct-1),AV318=0),U318,0)</f>
        <v>0</v>
      </c>
      <c r="CA318" s="201">
        <f>IF(AND(Input_Product=Elig!$C318,Elig_MatchAll_Ct&lt;22,$BC318=(Elig_MatchAll_Ct-1),AW318=0),V318,0)</f>
        <v>0</v>
      </c>
      <c r="CB318" s="202">
        <f>IF(AND(Input_Product=Elig!$C318,Elig_MatchAll_Ct&lt;22,$BC318=(Elig_MatchAll_Ct-1),AW318=0),W318,0)</f>
        <v>0</v>
      </c>
      <c r="CC318" s="201">
        <f>IF(AND(Input_Product=Elig!$C318,Elig_MatchAll_Ct&lt;22,$BC318=(Elig_MatchAll_Ct-1),AX318=0),X318,0)</f>
        <v>0</v>
      </c>
      <c r="CD318" s="202">
        <f>IF(AND(Input_Product=Elig!$C318,Elig_MatchAll_Ct&lt;22,$BC318=(Elig_MatchAll_Ct-1),AX318=0),Y318,0)</f>
        <v>0</v>
      </c>
      <c r="CE318" s="201">
        <f>IF(AND(Input_LTV&lt;=AE318,Input_Product=Elig!$C318,Elig_MatchAll_Ct&lt;22,$BC318=(Elig_MatchAll_Ct-1),AY318=0),Z318,0)</f>
        <v>0</v>
      </c>
      <c r="CF318" s="202">
        <f>IF(AND(Input_LTV&lt;=AE318,Input_Product=Elig!$C318,Elig_MatchAll_Ct&lt;22,$BC318=(Elig_MatchAll_Ct-1),AY318=0),AA318,0)</f>
        <v>0</v>
      </c>
      <c r="CG318" s="201">
        <f>IF(AND(Input_Product=Elig!$C318,Elig_MatchAll_Ct&lt;22,$BC318=(Elig_MatchAll_Ct-1),AZ318=0),AB318,0)</f>
        <v>0</v>
      </c>
      <c r="CH318" s="202">
        <f>IF(AND(Input_Product=Elig!$C318,Elig_MatchAll_Ct&lt;22,$BC318=(Elig_MatchAll_Ct-1),AZ318=0),AC318,0)</f>
        <v>0</v>
      </c>
      <c r="CI318" s="201">
        <f>IF(AND(Input_Product=Elig!$C318,Elig_MatchAll_Ct&lt;22,$BC318=(Elig_MatchAll_Ct-1),BA318=0),AD318,0)</f>
        <v>0</v>
      </c>
      <c r="CJ318" s="202">
        <f>IF(AND(Input_Product=Elig!$C318,Elig_MatchAll_Ct&lt;22,$BC318=(Elig_MatchAll_Ct-1),BA318=0),AE318,0)</f>
        <v>0</v>
      </c>
    </row>
    <row r="319" spans="2:88" ht="10.15" customHeight="1" x14ac:dyDescent="0.25">
      <c r="B319" s="287" t="s">
        <v>1015</v>
      </c>
      <c r="C319" s="286" t="str">
        <f t="shared" si="132"/>
        <v>NonQM NOO</v>
      </c>
      <c r="D319" s="287" t="s">
        <v>3885</v>
      </c>
      <c r="E319" s="287" t="s">
        <v>167</v>
      </c>
      <c r="F319" s="287" t="s">
        <v>330</v>
      </c>
      <c r="G319" s="287" t="s">
        <v>179</v>
      </c>
      <c r="H319" s="287" t="s">
        <v>136</v>
      </c>
      <c r="I319" s="288" t="s">
        <v>16</v>
      </c>
      <c r="J319" s="288" t="s">
        <v>1311</v>
      </c>
      <c r="K319" s="288" t="s">
        <v>1631</v>
      </c>
      <c r="L319" s="300" t="s">
        <v>312</v>
      </c>
      <c r="M319" s="287" t="s">
        <v>4203</v>
      </c>
      <c r="N319" s="287" t="s">
        <v>2685</v>
      </c>
      <c r="O319" s="287" t="s">
        <v>310</v>
      </c>
      <c r="P319" s="287" t="s">
        <v>291</v>
      </c>
      <c r="Q319" s="287" t="s">
        <v>294</v>
      </c>
      <c r="R319" s="300">
        <v>100000</v>
      </c>
      <c r="S319" s="287">
        <v>1000000</v>
      </c>
      <c r="T319" s="287">
        <v>0</v>
      </c>
      <c r="U319" s="287">
        <f t="shared" si="139"/>
        <v>1000000</v>
      </c>
      <c r="V319" s="287">
        <v>0</v>
      </c>
      <c r="W319" s="287">
        <v>55</v>
      </c>
      <c r="X319" s="287">
        <v>0</v>
      </c>
      <c r="Y319" s="287">
        <v>999</v>
      </c>
      <c r="Z319" s="289">
        <v>680</v>
      </c>
      <c r="AA319" s="289">
        <v>699</v>
      </c>
      <c r="AB319" s="289">
        <v>3</v>
      </c>
      <c r="AC319" s="289">
        <v>999999</v>
      </c>
      <c r="AD319" s="287">
        <v>0</v>
      </c>
      <c r="AE319" s="290">
        <v>65</v>
      </c>
      <c r="AF319" s="170">
        <v>0</v>
      </c>
      <c r="AG319" s="171">
        <v>1</v>
      </c>
      <c r="AH319" s="171">
        <v>1</v>
      </c>
      <c r="AI319" s="171">
        <v>0</v>
      </c>
      <c r="AJ319" s="171">
        <v>0</v>
      </c>
      <c r="AK319" s="171">
        <v>1</v>
      </c>
      <c r="AL319" s="171">
        <v>1</v>
      </c>
      <c r="AM319" s="171">
        <v>1</v>
      </c>
      <c r="AN319" s="171">
        <v>1</v>
      </c>
      <c r="AO319" s="171">
        <v>1</v>
      </c>
      <c r="AP319" s="171">
        <v>1</v>
      </c>
      <c r="AQ319" s="171">
        <v>1</v>
      </c>
      <c r="AR319" s="171">
        <v>1</v>
      </c>
      <c r="AS319" s="171">
        <v>1</v>
      </c>
      <c r="AT319" s="171">
        <v>1</v>
      </c>
      <c r="AU319" s="171">
        <f t="shared" si="58"/>
        <v>1</v>
      </c>
      <c r="AV319" s="171">
        <f t="shared" si="59"/>
        <v>1</v>
      </c>
      <c r="AW319" s="171">
        <f t="shared" si="60"/>
        <v>1</v>
      </c>
      <c r="AX319" s="171">
        <f t="shared" si="100"/>
        <v>1</v>
      </c>
      <c r="AY319" s="171">
        <f t="shared" si="61"/>
        <v>0</v>
      </c>
      <c r="AZ319" s="171">
        <f t="shared" si="62"/>
        <v>1</v>
      </c>
      <c r="BA319" s="172">
        <f t="shared" si="63"/>
        <v>1</v>
      </c>
      <c r="BB319" s="175">
        <f t="shared" si="72"/>
        <v>18</v>
      </c>
      <c r="BC319" s="176">
        <f t="shared" si="73"/>
        <v>17</v>
      </c>
      <c r="BD319" s="176">
        <f t="shared" si="74"/>
        <v>18</v>
      </c>
      <c r="BE319" s="240" t="str">
        <f t="shared" si="124"/>
        <v/>
      </c>
      <c r="BH319" s="199">
        <f>IF(AND(Input_Product=Elig!$C319,Elig_MatchAll_Ct&lt;22,$BC319=(Elig_MatchAll_Ct-1),AF319=0),C319,0)</f>
        <v>0</v>
      </c>
      <c r="BI319" s="199">
        <f>IF(AND(Input_Product=Elig!$C319,Elig_MatchAll_Ct&lt;22,$BC319=(Elig_MatchAll_Ct-1),AG319=0),D319,0)</f>
        <v>0</v>
      </c>
      <c r="BJ319" s="199">
        <f>IF(AND(Input_Product=Elig!$C319,Elig_MatchAll_Ct&lt;22,$BC319=(Elig_MatchAll_Ct-1),AH319=0),E319,0)</f>
        <v>0</v>
      </c>
      <c r="BK319" s="199">
        <f>IF(AND(Input_Product=Elig!$C319,Elig_MatchAll_Ct&lt;22,$BC319=(Elig_MatchAll_Ct-1),AI319=0),F319,0)</f>
        <v>0</v>
      </c>
      <c r="BL319" s="199">
        <f>IF(AND(Input_Product=Elig!$C319,Elig_MatchAll_Ct&lt;22,$BC319=(Elig_MatchAll_Ct-1),AJ319=0),G319,0)</f>
        <v>0</v>
      </c>
      <c r="BM319" s="199">
        <f>IF(AND(Input_Product=Elig!$C319,Elig_MatchAll_Ct&lt;22,$BC319=(Elig_MatchAll_Ct-1),AK319=0),H319,0)</f>
        <v>0</v>
      </c>
      <c r="BN319" s="199">
        <f>IF(AND(Input_Product=Elig!$C319,Elig_MatchAll_Ct&lt;22,$BC319=(Elig_MatchAll_Ct-1),AL319=0),I319,0)</f>
        <v>0</v>
      </c>
      <c r="BO319" s="199">
        <f>IF(AND(Input_Product=Elig!$C319,Elig_MatchAll_Ct&lt;22,$BC319=(Elig_MatchAll_Ct-1),AM319=0),J319,0)</f>
        <v>0</v>
      </c>
      <c r="BP319" s="199">
        <f>IF(AND(Input_Product=Elig!$C319,Elig_MatchAll_Ct&lt;22,$BC319=(Elig_MatchAll_Ct-1),AN319=0),K319,0)</f>
        <v>0</v>
      </c>
      <c r="BQ319" s="199">
        <f>IF(AND(Input_Product=Elig!$C319,Elig_MatchAll_Ct&lt;22,$BC319=(Elig_MatchAll_Ct-1),AP319=0),L319,0)</f>
        <v>0</v>
      </c>
      <c r="BR319" s="199">
        <f>IF(AND(Input_Product=Elig!$C319,Elig_MatchAll_Ct&lt;22,$BC319=(Elig_MatchAll_Ct-1),AO319=0),M319,0)</f>
        <v>0</v>
      </c>
      <c r="BS319" s="199">
        <f>IF(AND(Input_Product=Elig!$C319,Elig_MatchAll_Ct&lt;22,$BC319=(Elig_MatchAll_Ct-1),AQ319=0),N319,0)</f>
        <v>0</v>
      </c>
      <c r="BT319" s="199">
        <f>IF(AND(Input_Product=Elig!$C319,Elig_MatchAll_Ct&lt;22,$BC319=(Elig_MatchAll_Ct-1),AR319=0),O319,0)</f>
        <v>0</v>
      </c>
      <c r="BU319" s="199">
        <f>IF(AND(Input_Product=Elig!$C319,Elig_MatchAll_Ct&lt;22,$BC319=(Elig_MatchAll_Ct-1),AS319=0),P319,0)</f>
        <v>0</v>
      </c>
      <c r="BV319" s="200">
        <f>IF(AND(Input_Product=Elig!$C319,Elig_MatchAll_Ct&lt;22,$BC319=(Elig_MatchAll_Ct-1),AT319=0),Q319,0)</f>
        <v>0</v>
      </c>
      <c r="BW319" s="201">
        <f>IF(AND(Input_Product=Elig!$C319,Elig_MatchAll_Ct&lt;22,$BC319=(Elig_MatchAll_Ct-1),AU319=0),R319,0)</f>
        <v>0</v>
      </c>
      <c r="BX319" s="202">
        <f>IF(AND(Input_Product=Elig!$C319,Elig_MatchAll_Ct&lt;22,$BC319=(Elig_MatchAll_Ct-1),AU319=0),S319,0)</f>
        <v>0</v>
      </c>
      <c r="BY319" s="201">
        <f>IF(AND(Input_Product=Elig!$C319,Elig_MatchAll_Ct&lt;22,$BC319=(Elig_MatchAll_Ct-1),AV319=0),T319,0)</f>
        <v>0</v>
      </c>
      <c r="BZ319" s="202">
        <f>IF(AND(Input_Product=Elig!$C319,Elig_MatchAll_Ct&lt;22,$BC319=(Elig_MatchAll_Ct-1),AV319=0),U319,0)</f>
        <v>0</v>
      </c>
      <c r="CA319" s="201">
        <f>IF(AND(Input_Product=Elig!$C319,Elig_MatchAll_Ct&lt;22,$BC319=(Elig_MatchAll_Ct-1),AW319=0),V319,0)</f>
        <v>0</v>
      </c>
      <c r="CB319" s="202">
        <f>IF(AND(Input_Product=Elig!$C319,Elig_MatchAll_Ct&lt;22,$BC319=(Elig_MatchAll_Ct-1),AW319=0),W319,0)</f>
        <v>0</v>
      </c>
      <c r="CC319" s="201">
        <f>IF(AND(Input_Product=Elig!$C319,Elig_MatchAll_Ct&lt;22,$BC319=(Elig_MatchAll_Ct-1),AX319=0),X319,0)</f>
        <v>0</v>
      </c>
      <c r="CD319" s="202">
        <f>IF(AND(Input_Product=Elig!$C319,Elig_MatchAll_Ct&lt;22,$BC319=(Elig_MatchAll_Ct-1),AX319=0),Y319,0)</f>
        <v>0</v>
      </c>
      <c r="CE319" s="201">
        <f>IF(AND(Input_LTV&lt;=AE319,Input_Product=Elig!$C319,Elig_MatchAll_Ct&lt;22,$BC319=(Elig_MatchAll_Ct-1),AY319=0),Z319,0)</f>
        <v>0</v>
      </c>
      <c r="CF319" s="202">
        <f>IF(AND(Input_LTV&lt;=AE319,Input_Product=Elig!$C319,Elig_MatchAll_Ct&lt;22,$BC319=(Elig_MatchAll_Ct-1),AY319=0),AA319,0)</f>
        <v>0</v>
      </c>
      <c r="CG319" s="201">
        <f>IF(AND(Input_Product=Elig!$C319,Elig_MatchAll_Ct&lt;22,$BC319=(Elig_MatchAll_Ct-1),AZ319=0),AB319,0)</f>
        <v>0</v>
      </c>
      <c r="CH319" s="202">
        <f>IF(AND(Input_Product=Elig!$C319,Elig_MatchAll_Ct&lt;22,$BC319=(Elig_MatchAll_Ct-1),AZ319=0),AC319,0)</f>
        <v>0</v>
      </c>
      <c r="CI319" s="201">
        <f>IF(AND(Input_Product=Elig!$C319,Elig_MatchAll_Ct&lt;22,$BC319=(Elig_MatchAll_Ct-1),BA319=0),AD319,0)</f>
        <v>0</v>
      </c>
      <c r="CJ319" s="202">
        <f>IF(AND(Input_Product=Elig!$C319,Elig_MatchAll_Ct&lt;22,$BC319=(Elig_MatchAll_Ct-1),BA319=0),AE319,0)</f>
        <v>0</v>
      </c>
    </row>
    <row r="320" spans="2:88" ht="10.15" customHeight="1" x14ac:dyDescent="0.25">
      <c r="B320" s="287" t="s">
        <v>1016</v>
      </c>
      <c r="C320" s="286" t="str">
        <f t="shared" si="132"/>
        <v>NonQM NOO</v>
      </c>
      <c r="D320" s="287" t="s">
        <v>3885</v>
      </c>
      <c r="E320" s="287" t="s">
        <v>167</v>
      </c>
      <c r="F320" s="287" t="s">
        <v>330</v>
      </c>
      <c r="G320" s="287" t="s">
        <v>179</v>
      </c>
      <c r="H320" s="287" t="s">
        <v>136</v>
      </c>
      <c r="I320" s="288" t="s">
        <v>16</v>
      </c>
      <c r="J320" s="288" t="s">
        <v>1311</v>
      </c>
      <c r="K320" s="288" t="s">
        <v>1631</v>
      </c>
      <c r="L320" s="300" t="s">
        <v>312</v>
      </c>
      <c r="M320" s="287" t="s">
        <v>4203</v>
      </c>
      <c r="N320" s="287" t="s">
        <v>2685</v>
      </c>
      <c r="O320" s="287" t="s">
        <v>310</v>
      </c>
      <c r="P320" s="287" t="s">
        <v>291</v>
      </c>
      <c r="Q320" s="287" t="s">
        <v>294</v>
      </c>
      <c r="R320" s="300">
        <v>100000</v>
      </c>
      <c r="S320" s="287">
        <v>1000000</v>
      </c>
      <c r="T320" s="287">
        <v>0</v>
      </c>
      <c r="U320" s="287">
        <f t="shared" si="139"/>
        <v>1000000</v>
      </c>
      <c r="V320" s="287">
        <v>0</v>
      </c>
      <c r="W320" s="287">
        <v>50</v>
      </c>
      <c r="X320" s="287">
        <v>0</v>
      </c>
      <c r="Y320" s="287">
        <v>999</v>
      </c>
      <c r="Z320" s="289">
        <v>660</v>
      </c>
      <c r="AA320" s="289">
        <v>679</v>
      </c>
      <c r="AB320" s="289">
        <v>3</v>
      </c>
      <c r="AC320" s="289">
        <v>999999</v>
      </c>
      <c r="AD320" s="287">
        <v>0</v>
      </c>
      <c r="AE320" s="290">
        <v>65</v>
      </c>
      <c r="AF320" s="170">
        <v>0</v>
      </c>
      <c r="AG320" s="171">
        <v>1</v>
      </c>
      <c r="AH320" s="171">
        <v>1</v>
      </c>
      <c r="AI320" s="171">
        <v>0</v>
      </c>
      <c r="AJ320" s="171">
        <v>0</v>
      </c>
      <c r="AK320" s="171">
        <v>1</v>
      </c>
      <c r="AL320" s="171">
        <v>1</v>
      </c>
      <c r="AM320" s="171">
        <v>1</v>
      </c>
      <c r="AN320" s="171">
        <v>1</v>
      </c>
      <c r="AO320" s="171">
        <v>1</v>
      </c>
      <c r="AP320" s="171">
        <v>1</v>
      </c>
      <c r="AQ320" s="171">
        <v>1</v>
      </c>
      <c r="AR320" s="171">
        <v>1</v>
      </c>
      <c r="AS320" s="171">
        <v>1</v>
      </c>
      <c r="AT320" s="171">
        <v>1</v>
      </c>
      <c r="AU320" s="171">
        <f t="shared" si="58"/>
        <v>1</v>
      </c>
      <c r="AV320" s="171">
        <f t="shared" si="59"/>
        <v>1</v>
      </c>
      <c r="AW320" s="171">
        <f t="shared" si="60"/>
        <v>1</v>
      </c>
      <c r="AX320" s="171">
        <f t="shared" si="100"/>
        <v>1</v>
      </c>
      <c r="AY320" s="171">
        <f t="shared" si="61"/>
        <v>0</v>
      </c>
      <c r="AZ320" s="171">
        <f t="shared" si="62"/>
        <v>1</v>
      </c>
      <c r="BA320" s="172">
        <f t="shared" si="63"/>
        <v>1</v>
      </c>
      <c r="BB320" s="175">
        <f t="shared" si="72"/>
        <v>18</v>
      </c>
      <c r="BC320" s="176">
        <f t="shared" si="73"/>
        <v>17</v>
      </c>
      <c r="BD320" s="176">
        <f t="shared" si="74"/>
        <v>18</v>
      </c>
      <c r="BE320" s="240" t="str">
        <f t="shared" si="124"/>
        <v/>
      </c>
      <c r="BH320" s="199">
        <f>IF(AND(Input_Product=Elig!$C320,Elig_MatchAll_Ct&lt;22,$BC320=(Elig_MatchAll_Ct-1),AF320=0),C320,0)</f>
        <v>0</v>
      </c>
      <c r="BI320" s="199">
        <f>IF(AND(Input_Product=Elig!$C320,Elig_MatchAll_Ct&lt;22,$BC320=(Elig_MatchAll_Ct-1),AG320=0),D320,0)</f>
        <v>0</v>
      </c>
      <c r="BJ320" s="199">
        <f>IF(AND(Input_Product=Elig!$C320,Elig_MatchAll_Ct&lt;22,$BC320=(Elig_MatchAll_Ct-1),AH320=0),E320,0)</f>
        <v>0</v>
      </c>
      <c r="BK320" s="199">
        <f>IF(AND(Input_Product=Elig!$C320,Elig_MatchAll_Ct&lt;22,$BC320=(Elig_MatchAll_Ct-1),AI320=0),F320,0)</f>
        <v>0</v>
      </c>
      <c r="BL320" s="199">
        <f>IF(AND(Input_Product=Elig!$C320,Elig_MatchAll_Ct&lt;22,$BC320=(Elig_MatchAll_Ct-1),AJ320=0),G320,0)</f>
        <v>0</v>
      </c>
      <c r="BM320" s="199">
        <f>IF(AND(Input_Product=Elig!$C320,Elig_MatchAll_Ct&lt;22,$BC320=(Elig_MatchAll_Ct-1),AK320=0),H320,0)</f>
        <v>0</v>
      </c>
      <c r="BN320" s="199">
        <f>IF(AND(Input_Product=Elig!$C320,Elig_MatchAll_Ct&lt;22,$BC320=(Elig_MatchAll_Ct-1),AL320=0),I320,0)</f>
        <v>0</v>
      </c>
      <c r="BO320" s="199">
        <f>IF(AND(Input_Product=Elig!$C320,Elig_MatchAll_Ct&lt;22,$BC320=(Elig_MatchAll_Ct-1),AM320=0),J320,0)</f>
        <v>0</v>
      </c>
      <c r="BP320" s="199">
        <f>IF(AND(Input_Product=Elig!$C320,Elig_MatchAll_Ct&lt;22,$BC320=(Elig_MatchAll_Ct-1),AN320=0),K320,0)</f>
        <v>0</v>
      </c>
      <c r="BQ320" s="199">
        <f>IF(AND(Input_Product=Elig!$C320,Elig_MatchAll_Ct&lt;22,$BC320=(Elig_MatchAll_Ct-1),AP320=0),L320,0)</f>
        <v>0</v>
      </c>
      <c r="BR320" s="199">
        <f>IF(AND(Input_Product=Elig!$C320,Elig_MatchAll_Ct&lt;22,$BC320=(Elig_MatchAll_Ct-1),AO320=0),M320,0)</f>
        <v>0</v>
      </c>
      <c r="BS320" s="199">
        <f>IF(AND(Input_Product=Elig!$C320,Elig_MatchAll_Ct&lt;22,$BC320=(Elig_MatchAll_Ct-1),AQ320=0),N320,0)</f>
        <v>0</v>
      </c>
      <c r="BT320" s="199">
        <f>IF(AND(Input_Product=Elig!$C320,Elig_MatchAll_Ct&lt;22,$BC320=(Elig_MatchAll_Ct-1),AR320=0),O320,0)</f>
        <v>0</v>
      </c>
      <c r="BU320" s="199">
        <f>IF(AND(Input_Product=Elig!$C320,Elig_MatchAll_Ct&lt;22,$BC320=(Elig_MatchAll_Ct-1),AS320=0),P320,0)</f>
        <v>0</v>
      </c>
      <c r="BV320" s="200">
        <f>IF(AND(Input_Product=Elig!$C320,Elig_MatchAll_Ct&lt;22,$BC320=(Elig_MatchAll_Ct-1),AT320=0),Q320,0)</f>
        <v>0</v>
      </c>
      <c r="BW320" s="201">
        <f>IF(AND(Input_Product=Elig!$C320,Elig_MatchAll_Ct&lt;22,$BC320=(Elig_MatchAll_Ct-1),AU320=0),R320,0)</f>
        <v>0</v>
      </c>
      <c r="BX320" s="202">
        <f>IF(AND(Input_Product=Elig!$C320,Elig_MatchAll_Ct&lt;22,$BC320=(Elig_MatchAll_Ct-1),AU320=0),S320,0)</f>
        <v>0</v>
      </c>
      <c r="BY320" s="201">
        <f>IF(AND(Input_Product=Elig!$C320,Elig_MatchAll_Ct&lt;22,$BC320=(Elig_MatchAll_Ct-1),AV320=0),T320,0)</f>
        <v>0</v>
      </c>
      <c r="BZ320" s="202">
        <f>IF(AND(Input_Product=Elig!$C320,Elig_MatchAll_Ct&lt;22,$BC320=(Elig_MatchAll_Ct-1),AV320=0),U320,0)</f>
        <v>0</v>
      </c>
      <c r="CA320" s="201">
        <f>IF(AND(Input_Product=Elig!$C320,Elig_MatchAll_Ct&lt;22,$BC320=(Elig_MatchAll_Ct-1),AW320=0),V320,0)</f>
        <v>0</v>
      </c>
      <c r="CB320" s="202">
        <f>IF(AND(Input_Product=Elig!$C320,Elig_MatchAll_Ct&lt;22,$BC320=(Elig_MatchAll_Ct-1),AW320=0),W320,0)</f>
        <v>0</v>
      </c>
      <c r="CC320" s="201">
        <f>IF(AND(Input_Product=Elig!$C320,Elig_MatchAll_Ct&lt;22,$BC320=(Elig_MatchAll_Ct-1),AX320=0),X320,0)</f>
        <v>0</v>
      </c>
      <c r="CD320" s="202">
        <f>IF(AND(Input_Product=Elig!$C320,Elig_MatchAll_Ct&lt;22,$BC320=(Elig_MatchAll_Ct-1),AX320=0),Y320,0)</f>
        <v>0</v>
      </c>
      <c r="CE320" s="201">
        <f>IF(AND(Input_LTV&lt;=AE320,Input_Product=Elig!$C320,Elig_MatchAll_Ct&lt;22,$BC320=(Elig_MatchAll_Ct-1),AY320=0),Z320,0)</f>
        <v>0</v>
      </c>
      <c r="CF320" s="202">
        <f>IF(AND(Input_LTV&lt;=AE320,Input_Product=Elig!$C320,Elig_MatchAll_Ct&lt;22,$BC320=(Elig_MatchAll_Ct-1),AY320=0),AA320,0)</f>
        <v>0</v>
      </c>
      <c r="CG320" s="201">
        <f>IF(AND(Input_Product=Elig!$C320,Elig_MatchAll_Ct&lt;22,$BC320=(Elig_MatchAll_Ct-1),AZ320=0),AB320,0)</f>
        <v>0</v>
      </c>
      <c r="CH320" s="202">
        <f>IF(AND(Input_Product=Elig!$C320,Elig_MatchAll_Ct&lt;22,$BC320=(Elig_MatchAll_Ct-1),AZ320=0),AC320,0)</f>
        <v>0</v>
      </c>
      <c r="CI320" s="201">
        <f>IF(AND(Input_Product=Elig!$C320,Elig_MatchAll_Ct&lt;22,$BC320=(Elig_MatchAll_Ct-1),BA320=0),AD320,0)</f>
        <v>0</v>
      </c>
      <c r="CJ320" s="202">
        <f>IF(AND(Input_Product=Elig!$C320,Elig_MatchAll_Ct&lt;22,$BC320=(Elig_MatchAll_Ct-1),BA320=0),AE320,0)</f>
        <v>0</v>
      </c>
    </row>
    <row r="321" spans="2:88" ht="10.15" customHeight="1" x14ac:dyDescent="0.25">
      <c r="B321" s="287" t="s">
        <v>1017</v>
      </c>
      <c r="C321" s="286" t="str">
        <f t="shared" si="132"/>
        <v>NonQM NOO</v>
      </c>
      <c r="D321" s="287" t="s">
        <v>3885</v>
      </c>
      <c r="E321" s="287" t="s">
        <v>167</v>
      </c>
      <c r="F321" s="287" t="s">
        <v>330</v>
      </c>
      <c r="G321" s="287" t="s">
        <v>179</v>
      </c>
      <c r="H321" s="287" t="s">
        <v>136</v>
      </c>
      <c r="I321" s="288" t="s">
        <v>16</v>
      </c>
      <c r="J321" s="288" t="s">
        <v>1311</v>
      </c>
      <c r="K321" s="288" t="s">
        <v>1631</v>
      </c>
      <c r="L321" s="300" t="s">
        <v>312</v>
      </c>
      <c r="M321" s="287" t="s">
        <v>4203</v>
      </c>
      <c r="N321" s="287" t="s">
        <v>2685</v>
      </c>
      <c r="O321" s="287" t="s">
        <v>310</v>
      </c>
      <c r="P321" s="287" t="s">
        <v>291</v>
      </c>
      <c r="Q321" s="287" t="s">
        <v>294</v>
      </c>
      <c r="R321" s="300">
        <v>100000</v>
      </c>
      <c r="S321" s="287">
        <v>1000000</v>
      </c>
      <c r="T321" s="287">
        <v>0</v>
      </c>
      <c r="U321" s="287">
        <f t="shared" si="139"/>
        <v>1000000</v>
      </c>
      <c r="V321" s="287">
        <v>0</v>
      </c>
      <c r="W321" s="287">
        <v>50</v>
      </c>
      <c r="X321" s="287">
        <v>0</v>
      </c>
      <c r="Y321" s="287">
        <v>999</v>
      </c>
      <c r="Z321" s="289">
        <v>640</v>
      </c>
      <c r="AA321" s="289">
        <v>659</v>
      </c>
      <c r="AB321" s="289">
        <v>3</v>
      </c>
      <c r="AC321" s="289">
        <v>999999</v>
      </c>
      <c r="AD321" s="287">
        <v>0</v>
      </c>
      <c r="AE321" s="290">
        <v>-999</v>
      </c>
      <c r="AF321" s="170">
        <v>0</v>
      </c>
      <c r="AG321" s="171">
        <v>1</v>
      </c>
      <c r="AH321" s="171">
        <v>1</v>
      </c>
      <c r="AI321" s="171">
        <v>0</v>
      </c>
      <c r="AJ321" s="171">
        <v>0</v>
      </c>
      <c r="AK321" s="171">
        <v>1</v>
      </c>
      <c r="AL321" s="171">
        <v>1</v>
      </c>
      <c r="AM321" s="171">
        <v>1</v>
      </c>
      <c r="AN321" s="171">
        <v>1</v>
      </c>
      <c r="AO321" s="171">
        <v>1</v>
      </c>
      <c r="AP321" s="171">
        <v>1</v>
      </c>
      <c r="AQ321" s="171">
        <v>1</v>
      </c>
      <c r="AR321" s="171">
        <v>1</v>
      </c>
      <c r="AS321" s="171">
        <v>1</v>
      </c>
      <c r="AT321" s="171">
        <v>1</v>
      </c>
      <c r="AU321" s="171">
        <f t="shared" ref="AU321:AU396" si="140">IF(AND(Input_LoanAmt&gt;=Elig_LoanAmt_Min,Input_LoanAmt&lt;=Elig_LoanAmt_Max),1,0)</f>
        <v>1</v>
      </c>
      <c r="AV321" s="171">
        <f t="shared" ref="AV321:AV396" si="141">IF(AND(Input_CashoutAmt&gt;=Elig_CashoutAmt_Min,Input_CashoutAmt&lt;=Elig_CashoutAmt_Max),1,0)</f>
        <v>1</v>
      </c>
      <c r="AW321" s="171">
        <f t="shared" ref="AW321:AW396" si="142">IF(AND(Input_DTI&gt;=Elig_DTI_Min,Input_DTI&lt;=Elig_DTI_Max),1,0)</f>
        <v>1</v>
      </c>
      <c r="AX321" s="171">
        <f t="shared" si="100"/>
        <v>1</v>
      </c>
      <c r="AY321" s="171">
        <f t="shared" ref="AY321:AY396" si="143">IF(AND(Input_CreditScore&gt;=Elig_CreditScore_Min,Input_CreditScore&lt;=Elig_CreditScore_Max),1,0)</f>
        <v>0</v>
      </c>
      <c r="AZ321" s="171">
        <f t="shared" ref="AZ321:AZ396" si="144">IF(AND(Input_ReservesMonths&gt;=Elig_Reserves_Min,Input_ReservesMonths&lt;=Elig_Reserves_Max),1,0)</f>
        <v>1</v>
      </c>
      <c r="BA321" s="172">
        <f t="shared" ref="BA321:BA396" si="145">IF(AND(Input_LTV&gt;=Elig_LTV_Min,Input_LTV&lt;=Elig_LTV_Max),1,0)</f>
        <v>0</v>
      </c>
      <c r="BB321" s="175">
        <f t="shared" si="72"/>
        <v>17</v>
      </c>
      <c r="BC321" s="176">
        <f t="shared" si="73"/>
        <v>17</v>
      </c>
      <c r="BD321" s="176">
        <f t="shared" si="74"/>
        <v>17</v>
      </c>
      <c r="BE321" s="240" t="str">
        <f t="shared" si="124"/>
        <v/>
      </c>
      <c r="BH321" s="199">
        <f>IF(AND(Input_Product=Elig!$C321,Elig_MatchAll_Ct&lt;22,$BC321=(Elig_MatchAll_Ct-1),AF321=0),C321,0)</f>
        <v>0</v>
      </c>
      <c r="BI321" s="199">
        <f>IF(AND(Input_Product=Elig!$C321,Elig_MatchAll_Ct&lt;22,$BC321=(Elig_MatchAll_Ct-1),AG321=0),D321,0)</f>
        <v>0</v>
      </c>
      <c r="BJ321" s="199">
        <f>IF(AND(Input_Product=Elig!$C321,Elig_MatchAll_Ct&lt;22,$BC321=(Elig_MatchAll_Ct-1),AH321=0),E321,0)</f>
        <v>0</v>
      </c>
      <c r="BK321" s="199">
        <f>IF(AND(Input_Product=Elig!$C321,Elig_MatchAll_Ct&lt;22,$BC321=(Elig_MatchAll_Ct-1),AI321=0),F321,0)</f>
        <v>0</v>
      </c>
      <c r="BL321" s="199">
        <f>IF(AND(Input_Product=Elig!$C321,Elig_MatchAll_Ct&lt;22,$BC321=(Elig_MatchAll_Ct-1),AJ321=0),G321,0)</f>
        <v>0</v>
      </c>
      <c r="BM321" s="199">
        <f>IF(AND(Input_Product=Elig!$C321,Elig_MatchAll_Ct&lt;22,$BC321=(Elig_MatchAll_Ct-1),AK321=0),H321,0)</f>
        <v>0</v>
      </c>
      <c r="BN321" s="199">
        <f>IF(AND(Input_Product=Elig!$C321,Elig_MatchAll_Ct&lt;22,$BC321=(Elig_MatchAll_Ct-1),AL321=0),I321,0)</f>
        <v>0</v>
      </c>
      <c r="BO321" s="199">
        <f>IF(AND(Input_Product=Elig!$C321,Elig_MatchAll_Ct&lt;22,$BC321=(Elig_MatchAll_Ct-1),AM321=0),J321,0)</f>
        <v>0</v>
      </c>
      <c r="BP321" s="199">
        <f>IF(AND(Input_Product=Elig!$C321,Elig_MatchAll_Ct&lt;22,$BC321=(Elig_MatchAll_Ct-1),AN321=0),K321,0)</f>
        <v>0</v>
      </c>
      <c r="BQ321" s="199">
        <f>IF(AND(Input_Product=Elig!$C321,Elig_MatchAll_Ct&lt;22,$BC321=(Elig_MatchAll_Ct-1),AP321=0),L321,0)</f>
        <v>0</v>
      </c>
      <c r="BR321" s="199">
        <f>IF(AND(Input_Product=Elig!$C321,Elig_MatchAll_Ct&lt;22,$BC321=(Elig_MatchAll_Ct-1),AO321=0),M321,0)</f>
        <v>0</v>
      </c>
      <c r="BS321" s="199">
        <f>IF(AND(Input_Product=Elig!$C321,Elig_MatchAll_Ct&lt;22,$BC321=(Elig_MatchAll_Ct-1),AQ321=0),N321,0)</f>
        <v>0</v>
      </c>
      <c r="BT321" s="199">
        <f>IF(AND(Input_Product=Elig!$C321,Elig_MatchAll_Ct&lt;22,$BC321=(Elig_MatchAll_Ct-1),AR321=0),O321,0)</f>
        <v>0</v>
      </c>
      <c r="BU321" s="199">
        <f>IF(AND(Input_Product=Elig!$C321,Elig_MatchAll_Ct&lt;22,$BC321=(Elig_MatchAll_Ct-1),AS321=0),P321,0)</f>
        <v>0</v>
      </c>
      <c r="BV321" s="200">
        <f>IF(AND(Input_Product=Elig!$C321,Elig_MatchAll_Ct&lt;22,$BC321=(Elig_MatchAll_Ct-1),AT321=0),Q321,0)</f>
        <v>0</v>
      </c>
      <c r="BW321" s="201">
        <f>IF(AND(Input_Product=Elig!$C321,Elig_MatchAll_Ct&lt;22,$BC321=(Elig_MatchAll_Ct-1),AU321=0),R321,0)</f>
        <v>0</v>
      </c>
      <c r="BX321" s="202">
        <f>IF(AND(Input_Product=Elig!$C321,Elig_MatchAll_Ct&lt;22,$BC321=(Elig_MatchAll_Ct-1),AU321=0),S321,0)</f>
        <v>0</v>
      </c>
      <c r="BY321" s="201">
        <f>IF(AND(Input_Product=Elig!$C321,Elig_MatchAll_Ct&lt;22,$BC321=(Elig_MatchAll_Ct-1),AV321=0),T321,0)</f>
        <v>0</v>
      </c>
      <c r="BZ321" s="202">
        <f>IF(AND(Input_Product=Elig!$C321,Elig_MatchAll_Ct&lt;22,$BC321=(Elig_MatchAll_Ct-1),AV321=0),U321,0)</f>
        <v>0</v>
      </c>
      <c r="CA321" s="201">
        <f>IF(AND(Input_Product=Elig!$C321,Elig_MatchAll_Ct&lt;22,$BC321=(Elig_MatchAll_Ct-1),AW321=0),V321,0)</f>
        <v>0</v>
      </c>
      <c r="CB321" s="202">
        <f>IF(AND(Input_Product=Elig!$C321,Elig_MatchAll_Ct&lt;22,$BC321=(Elig_MatchAll_Ct-1),AW321=0),W321,0)</f>
        <v>0</v>
      </c>
      <c r="CC321" s="201">
        <f>IF(AND(Input_Product=Elig!$C321,Elig_MatchAll_Ct&lt;22,$BC321=(Elig_MatchAll_Ct-1),AX321=0),X321,0)</f>
        <v>0</v>
      </c>
      <c r="CD321" s="202">
        <f>IF(AND(Input_Product=Elig!$C321,Elig_MatchAll_Ct&lt;22,$BC321=(Elig_MatchAll_Ct-1),AX321=0),Y321,0)</f>
        <v>0</v>
      </c>
      <c r="CE321" s="201">
        <f>IF(AND(Input_LTV&lt;=AE321,Input_Product=Elig!$C321,Elig_MatchAll_Ct&lt;22,$BC321=(Elig_MatchAll_Ct-1),AY321=0),Z321,0)</f>
        <v>0</v>
      </c>
      <c r="CF321" s="202">
        <f>IF(AND(Input_LTV&lt;=AE321,Input_Product=Elig!$C321,Elig_MatchAll_Ct&lt;22,$BC321=(Elig_MatchAll_Ct-1),AY321=0),AA321,0)</f>
        <v>0</v>
      </c>
      <c r="CG321" s="201">
        <f>IF(AND(Input_Product=Elig!$C321,Elig_MatchAll_Ct&lt;22,$BC321=(Elig_MatchAll_Ct-1),AZ321=0),AB321,0)</f>
        <v>0</v>
      </c>
      <c r="CH321" s="202">
        <f>IF(AND(Input_Product=Elig!$C321,Elig_MatchAll_Ct&lt;22,$BC321=(Elig_MatchAll_Ct-1),AZ321=0),AC321,0)</f>
        <v>0</v>
      </c>
      <c r="CI321" s="201">
        <f>IF(AND(Input_Product=Elig!$C321,Elig_MatchAll_Ct&lt;22,$BC321=(Elig_MatchAll_Ct-1),BA321=0),AD321,0)</f>
        <v>0</v>
      </c>
      <c r="CJ321" s="202">
        <f>IF(AND(Input_Product=Elig!$C321,Elig_MatchAll_Ct&lt;22,$BC321=(Elig_MatchAll_Ct-1),BA321=0),AE321,0)</f>
        <v>0</v>
      </c>
    </row>
    <row r="322" spans="2:88" ht="10.15" customHeight="1" x14ac:dyDescent="0.25">
      <c r="B322" s="287" t="s">
        <v>1018</v>
      </c>
      <c r="C322" s="291" t="str">
        <f t="shared" si="132"/>
        <v>NonQM NOO</v>
      </c>
      <c r="D322" s="292" t="s">
        <v>3885</v>
      </c>
      <c r="E322" s="292" t="s">
        <v>167</v>
      </c>
      <c r="F322" s="292" t="s">
        <v>330</v>
      </c>
      <c r="G322" s="292" t="s">
        <v>179</v>
      </c>
      <c r="H322" s="292" t="s">
        <v>136</v>
      </c>
      <c r="I322" s="295" t="s">
        <v>16</v>
      </c>
      <c r="J322" s="295" t="s">
        <v>1311</v>
      </c>
      <c r="K322" s="295" t="s">
        <v>1631</v>
      </c>
      <c r="L322" s="324" t="s">
        <v>312</v>
      </c>
      <c r="M322" s="292" t="s">
        <v>4203</v>
      </c>
      <c r="N322" s="292" t="s">
        <v>2685</v>
      </c>
      <c r="O322" s="292" t="s">
        <v>310</v>
      </c>
      <c r="P322" s="292" t="s">
        <v>291</v>
      </c>
      <c r="Q322" s="292" t="s">
        <v>294</v>
      </c>
      <c r="R322" s="324">
        <v>100000</v>
      </c>
      <c r="S322" s="292">
        <v>1000000</v>
      </c>
      <c r="T322" s="292">
        <v>0</v>
      </c>
      <c r="U322" s="292">
        <f t="shared" si="139"/>
        <v>1000000</v>
      </c>
      <c r="V322" s="292">
        <v>0</v>
      </c>
      <c r="W322" s="292">
        <v>50</v>
      </c>
      <c r="X322" s="292">
        <v>0</v>
      </c>
      <c r="Y322" s="292">
        <v>999</v>
      </c>
      <c r="Z322" s="293">
        <v>620</v>
      </c>
      <c r="AA322" s="293">
        <v>639</v>
      </c>
      <c r="AB322" s="293">
        <v>3</v>
      </c>
      <c r="AC322" s="293">
        <v>999999</v>
      </c>
      <c r="AD322" s="292">
        <v>0</v>
      </c>
      <c r="AE322" s="294">
        <v>-999</v>
      </c>
      <c r="AF322" s="170">
        <v>0</v>
      </c>
      <c r="AG322" s="171">
        <v>1</v>
      </c>
      <c r="AH322" s="171">
        <v>1</v>
      </c>
      <c r="AI322" s="171">
        <v>0</v>
      </c>
      <c r="AJ322" s="171">
        <v>0</v>
      </c>
      <c r="AK322" s="171">
        <v>1</v>
      </c>
      <c r="AL322" s="171">
        <v>1</v>
      </c>
      <c r="AM322" s="171">
        <v>1</v>
      </c>
      <c r="AN322" s="171">
        <v>1</v>
      </c>
      <c r="AO322" s="171">
        <v>1</v>
      </c>
      <c r="AP322" s="171">
        <v>1</v>
      </c>
      <c r="AQ322" s="171">
        <v>1</v>
      </c>
      <c r="AR322" s="171">
        <v>1</v>
      </c>
      <c r="AS322" s="171">
        <v>1</v>
      </c>
      <c r="AT322" s="171">
        <v>1</v>
      </c>
      <c r="AU322" s="171">
        <f t="shared" si="140"/>
        <v>1</v>
      </c>
      <c r="AV322" s="171">
        <f t="shared" si="141"/>
        <v>1</v>
      </c>
      <c r="AW322" s="171">
        <f t="shared" si="142"/>
        <v>1</v>
      </c>
      <c r="AX322" s="171">
        <f t="shared" si="100"/>
        <v>1</v>
      </c>
      <c r="AY322" s="171">
        <f t="shared" si="143"/>
        <v>0</v>
      </c>
      <c r="AZ322" s="171">
        <f t="shared" si="144"/>
        <v>1</v>
      </c>
      <c r="BA322" s="172">
        <f t="shared" si="145"/>
        <v>0</v>
      </c>
      <c r="BB322" s="175">
        <f t="shared" si="72"/>
        <v>17</v>
      </c>
      <c r="BC322" s="176">
        <f t="shared" si="73"/>
        <v>17</v>
      </c>
      <c r="BD322" s="176">
        <f t="shared" si="74"/>
        <v>17</v>
      </c>
      <c r="BE322" s="240" t="str">
        <f t="shared" si="124"/>
        <v/>
      </c>
      <c r="BH322" s="214">
        <f>IF(AND(Input_Product=Elig!$C322,Elig_MatchAll_Ct&lt;22,$BC322=(Elig_MatchAll_Ct-1),AF322=0),C322,0)</f>
        <v>0</v>
      </c>
      <c r="BI322" s="214">
        <f>IF(AND(Input_Product=Elig!$C322,Elig_MatchAll_Ct&lt;22,$BC322=(Elig_MatchAll_Ct-1),AG322=0),D322,0)</f>
        <v>0</v>
      </c>
      <c r="BJ322" s="214">
        <f>IF(AND(Input_Product=Elig!$C322,Elig_MatchAll_Ct&lt;22,$BC322=(Elig_MatchAll_Ct-1),AH322=0),E322,0)</f>
        <v>0</v>
      </c>
      <c r="BK322" s="214">
        <f>IF(AND(Input_Product=Elig!$C322,Elig_MatchAll_Ct&lt;22,$BC322=(Elig_MatchAll_Ct-1),AI322=0),F322,0)</f>
        <v>0</v>
      </c>
      <c r="BL322" s="214">
        <f>IF(AND(Input_Product=Elig!$C322,Elig_MatchAll_Ct&lt;22,$BC322=(Elig_MatchAll_Ct-1),AJ322=0),G322,0)</f>
        <v>0</v>
      </c>
      <c r="BM322" s="214">
        <f>IF(AND(Input_Product=Elig!$C322,Elig_MatchAll_Ct&lt;22,$BC322=(Elig_MatchAll_Ct-1),AK322=0),H322,0)</f>
        <v>0</v>
      </c>
      <c r="BN322" s="214">
        <f>IF(AND(Input_Product=Elig!$C322,Elig_MatchAll_Ct&lt;22,$BC322=(Elig_MatchAll_Ct-1),AL322=0),I322,0)</f>
        <v>0</v>
      </c>
      <c r="BO322" s="214">
        <f>IF(AND(Input_Product=Elig!$C322,Elig_MatchAll_Ct&lt;22,$BC322=(Elig_MatchAll_Ct-1),AM322=0),J322,0)</f>
        <v>0</v>
      </c>
      <c r="BP322" s="214">
        <f>IF(AND(Input_Product=Elig!$C322,Elig_MatchAll_Ct&lt;22,$BC322=(Elig_MatchAll_Ct-1),AN322=0),K322,0)</f>
        <v>0</v>
      </c>
      <c r="BQ322" s="214">
        <f>IF(AND(Input_Product=Elig!$C322,Elig_MatchAll_Ct&lt;22,$BC322=(Elig_MatchAll_Ct-1),AP322=0),L322,0)</f>
        <v>0</v>
      </c>
      <c r="BR322" s="214">
        <f>IF(AND(Input_Product=Elig!$C322,Elig_MatchAll_Ct&lt;22,$BC322=(Elig_MatchAll_Ct-1),AO322=0),M322,0)</f>
        <v>0</v>
      </c>
      <c r="BS322" s="214">
        <f>IF(AND(Input_Product=Elig!$C322,Elig_MatchAll_Ct&lt;22,$BC322=(Elig_MatchAll_Ct-1),AQ322=0),N322,0)</f>
        <v>0</v>
      </c>
      <c r="BT322" s="214">
        <f>IF(AND(Input_Product=Elig!$C322,Elig_MatchAll_Ct&lt;22,$BC322=(Elig_MatchAll_Ct-1),AR322=0),O322,0)</f>
        <v>0</v>
      </c>
      <c r="BU322" s="214">
        <f>IF(AND(Input_Product=Elig!$C322,Elig_MatchAll_Ct&lt;22,$BC322=(Elig_MatchAll_Ct-1),AS322=0),P322,0)</f>
        <v>0</v>
      </c>
      <c r="BV322" s="215">
        <f>IF(AND(Input_Product=Elig!$C322,Elig_MatchAll_Ct&lt;22,$BC322=(Elig_MatchAll_Ct-1),AT322=0),Q322,0)</f>
        <v>0</v>
      </c>
      <c r="BW322" s="207">
        <f>IF(AND(Input_Product=Elig!$C322,Elig_MatchAll_Ct&lt;22,$BC322=(Elig_MatchAll_Ct-1),AU322=0),R322,0)</f>
        <v>0</v>
      </c>
      <c r="BX322" s="208">
        <f>IF(AND(Input_Product=Elig!$C322,Elig_MatchAll_Ct&lt;22,$BC322=(Elig_MatchAll_Ct-1),AU322=0),S322,0)</f>
        <v>0</v>
      </c>
      <c r="BY322" s="207">
        <f>IF(AND(Input_Product=Elig!$C322,Elig_MatchAll_Ct&lt;22,$BC322=(Elig_MatchAll_Ct-1),AV322=0),T322,0)</f>
        <v>0</v>
      </c>
      <c r="BZ322" s="208">
        <f>IF(AND(Input_Product=Elig!$C322,Elig_MatchAll_Ct&lt;22,$BC322=(Elig_MatchAll_Ct-1),AV322=0),U322,0)</f>
        <v>0</v>
      </c>
      <c r="CA322" s="207">
        <f>IF(AND(Input_Product=Elig!$C322,Elig_MatchAll_Ct&lt;22,$BC322=(Elig_MatchAll_Ct-1),AW322=0),V322,0)</f>
        <v>0</v>
      </c>
      <c r="CB322" s="208">
        <f>IF(AND(Input_Product=Elig!$C322,Elig_MatchAll_Ct&lt;22,$BC322=(Elig_MatchAll_Ct-1),AW322=0),W322,0)</f>
        <v>0</v>
      </c>
      <c r="CC322" s="207">
        <f>IF(AND(Input_Product=Elig!$C322,Elig_MatchAll_Ct&lt;22,$BC322=(Elig_MatchAll_Ct-1),AX322=0),X322,0)</f>
        <v>0</v>
      </c>
      <c r="CD322" s="208">
        <f>IF(AND(Input_Product=Elig!$C322,Elig_MatchAll_Ct&lt;22,$BC322=(Elig_MatchAll_Ct-1),AX322=0),Y322,0)</f>
        <v>0</v>
      </c>
      <c r="CE322" s="207">
        <f>IF(AND(Input_LTV&lt;=AE322,Input_Product=Elig!$C322,Elig_MatchAll_Ct&lt;22,$BC322=(Elig_MatchAll_Ct-1),AY322=0),Z322,0)</f>
        <v>0</v>
      </c>
      <c r="CF322" s="208">
        <f>IF(AND(Input_LTV&lt;=AE322,Input_Product=Elig!$C322,Elig_MatchAll_Ct&lt;22,$BC322=(Elig_MatchAll_Ct-1),AY322=0),AA322,0)</f>
        <v>0</v>
      </c>
      <c r="CG322" s="207">
        <f>IF(AND(Input_Product=Elig!$C322,Elig_MatchAll_Ct&lt;22,$BC322=(Elig_MatchAll_Ct-1),AZ322=0),AB322,0)</f>
        <v>0</v>
      </c>
      <c r="CH322" s="208">
        <f>IF(AND(Input_Product=Elig!$C322,Elig_MatchAll_Ct&lt;22,$BC322=(Elig_MatchAll_Ct-1),AZ322=0),AC322,0)</f>
        <v>0</v>
      </c>
      <c r="CI322" s="207">
        <f>IF(AND(Input_Product=Elig!$C322,Elig_MatchAll_Ct&lt;22,$BC322=(Elig_MatchAll_Ct-1),BA322=0),AD322,0)</f>
        <v>0</v>
      </c>
      <c r="CJ322" s="209">
        <f>IF(AND(Input_Product=Elig!$C322,Elig_MatchAll_Ct&lt;22,$BC322=(Elig_MatchAll_Ct-1),BA322=0),AE322,0)</f>
        <v>0</v>
      </c>
    </row>
    <row r="323" spans="2:88" ht="10.15" customHeight="1" x14ac:dyDescent="0.25">
      <c r="B323" s="287" t="s">
        <v>1019</v>
      </c>
      <c r="C323" s="281" t="str">
        <f t="shared" si="132"/>
        <v>NonQM NOO</v>
      </c>
      <c r="D323" s="282" t="s">
        <v>3885</v>
      </c>
      <c r="E323" s="283" t="s">
        <v>167</v>
      </c>
      <c r="F323" s="283" t="s">
        <v>330</v>
      </c>
      <c r="G323" s="283" t="s">
        <v>305</v>
      </c>
      <c r="H323" s="283" t="s">
        <v>136</v>
      </c>
      <c r="I323" s="282" t="s">
        <v>274</v>
      </c>
      <c r="J323" s="282" t="s">
        <v>1311</v>
      </c>
      <c r="K323" s="282" t="s">
        <v>1631</v>
      </c>
      <c r="L323" s="2103" t="s">
        <v>312</v>
      </c>
      <c r="M323" s="283" t="s">
        <v>4203</v>
      </c>
      <c r="N323" s="283" t="s">
        <v>2685</v>
      </c>
      <c r="O323" s="283" t="s">
        <v>310</v>
      </c>
      <c r="P323" s="283" t="s">
        <v>291</v>
      </c>
      <c r="Q323" s="283" t="s">
        <v>294</v>
      </c>
      <c r="R323" s="323">
        <v>100000</v>
      </c>
      <c r="S323" s="282">
        <v>1000000</v>
      </c>
      <c r="T323" s="282">
        <v>0</v>
      </c>
      <c r="U323" s="282">
        <v>0</v>
      </c>
      <c r="V323" s="282">
        <v>0</v>
      </c>
      <c r="W323" s="282">
        <v>55</v>
      </c>
      <c r="X323" s="282">
        <v>0</v>
      </c>
      <c r="Y323" s="282">
        <v>999</v>
      </c>
      <c r="Z323" s="284">
        <v>720</v>
      </c>
      <c r="AA323" s="284">
        <v>999</v>
      </c>
      <c r="AB323" s="284">
        <v>3</v>
      </c>
      <c r="AC323" s="284">
        <v>999999</v>
      </c>
      <c r="AD323" s="282">
        <v>0</v>
      </c>
      <c r="AE323" s="285">
        <v>75</v>
      </c>
      <c r="AF323" s="170">
        <v>0</v>
      </c>
      <c r="AG323" s="171">
        <v>1</v>
      </c>
      <c r="AH323" s="171">
        <v>1</v>
      </c>
      <c r="AI323" s="171">
        <v>0</v>
      </c>
      <c r="AJ323" s="171">
        <v>0</v>
      </c>
      <c r="AK323" s="171">
        <v>1</v>
      </c>
      <c r="AL323" s="171">
        <v>0</v>
      </c>
      <c r="AM323" s="171">
        <v>1</v>
      </c>
      <c r="AN323" s="171">
        <v>1</v>
      </c>
      <c r="AO323" s="171">
        <v>1</v>
      </c>
      <c r="AP323" s="171">
        <v>1</v>
      </c>
      <c r="AQ323" s="171">
        <v>1</v>
      </c>
      <c r="AR323" s="171">
        <v>1</v>
      </c>
      <c r="AS323" s="171">
        <v>1</v>
      </c>
      <c r="AT323" s="171">
        <v>1</v>
      </c>
      <c r="AU323" s="171">
        <f t="shared" si="140"/>
        <v>1</v>
      </c>
      <c r="AV323" s="171">
        <f t="shared" si="141"/>
        <v>0</v>
      </c>
      <c r="AW323" s="171">
        <f t="shared" si="142"/>
        <v>1</v>
      </c>
      <c r="AX323" s="171">
        <f t="shared" si="100"/>
        <v>1</v>
      </c>
      <c r="AY323" s="171">
        <f t="shared" si="143"/>
        <v>1</v>
      </c>
      <c r="AZ323" s="171">
        <f t="shared" si="144"/>
        <v>1</v>
      </c>
      <c r="BA323" s="172">
        <f t="shared" si="145"/>
        <v>1</v>
      </c>
      <c r="BB323" s="175">
        <f t="shared" si="72"/>
        <v>17</v>
      </c>
      <c r="BC323" s="176">
        <f t="shared" si="73"/>
        <v>16</v>
      </c>
      <c r="BD323" s="176">
        <f t="shared" si="74"/>
        <v>17</v>
      </c>
      <c r="BE323" s="240" t="str">
        <f t="shared" si="124"/>
        <v/>
      </c>
      <c r="BH323" s="216">
        <f>IF(AND(Input_Product=Elig!$C323,Elig_MatchAll_Ct&lt;22,$BC323=(Elig_MatchAll_Ct-1),AF323=0),C323,0)</f>
        <v>0</v>
      </c>
      <c r="BI323" s="216">
        <f>IF(AND(Input_Product=Elig!$C323,Elig_MatchAll_Ct&lt;22,$BC323=(Elig_MatchAll_Ct-1),AG323=0),D323,0)</f>
        <v>0</v>
      </c>
      <c r="BJ323" s="216">
        <f>IF(AND(Input_Product=Elig!$C323,Elig_MatchAll_Ct&lt;22,$BC323=(Elig_MatchAll_Ct-1),AH323=0),E323,0)</f>
        <v>0</v>
      </c>
      <c r="BK323" s="216">
        <f>IF(AND(Input_Product=Elig!$C323,Elig_MatchAll_Ct&lt;22,$BC323=(Elig_MatchAll_Ct-1),AI323=0),F323,0)</f>
        <v>0</v>
      </c>
      <c r="BL323" s="216">
        <f>IF(AND(Input_Product=Elig!$C323,Elig_MatchAll_Ct&lt;22,$BC323=(Elig_MatchAll_Ct-1),AJ323=0),G323,0)</f>
        <v>0</v>
      </c>
      <c r="BM323" s="216">
        <f>IF(AND(Input_Product=Elig!$C323,Elig_MatchAll_Ct&lt;22,$BC323=(Elig_MatchAll_Ct-1),AK323=0),H323,0)</f>
        <v>0</v>
      </c>
      <c r="BN323" s="216">
        <f>IF(AND(Input_Product=Elig!$C323,Elig_MatchAll_Ct&lt;22,$BC323=(Elig_MatchAll_Ct-1),AL323=0),I323,0)</f>
        <v>0</v>
      </c>
      <c r="BO323" s="216">
        <f>IF(AND(Input_Product=Elig!$C323,Elig_MatchAll_Ct&lt;22,$BC323=(Elig_MatchAll_Ct-1),AM323=0),J323,0)</f>
        <v>0</v>
      </c>
      <c r="BP323" s="216">
        <f>IF(AND(Input_Product=Elig!$C323,Elig_MatchAll_Ct&lt;22,$BC323=(Elig_MatchAll_Ct-1),AN323=0),K323,0)</f>
        <v>0</v>
      </c>
      <c r="BQ323" s="216">
        <f>IF(AND(Input_Product=Elig!$C323,Elig_MatchAll_Ct&lt;22,$BC323=(Elig_MatchAll_Ct-1),AP323=0),L323,0)</f>
        <v>0</v>
      </c>
      <c r="BR323" s="216">
        <f>IF(AND(Input_Product=Elig!$C323,Elig_MatchAll_Ct&lt;22,$BC323=(Elig_MatchAll_Ct-1),AO323=0),M323,0)</f>
        <v>0</v>
      </c>
      <c r="BS323" s="216">
        <f>IF(AND(Input_Product=Elig!$C323,Elig_MatchAll_Ct&lt;22,$BC323=(Elig_MatchAll_Ct-1),AQ323=0),N323,0)</f>
        <v>0</v>
      </c>
      <c r="BT323" s="216">
        <f>IF(AND(Input_Product=Elig!$C323,Elig_MatchAll_Ct&lt;22,$BC323=(Elig_MatchAll_Ct-1),AR323=0),O323,0)</f>
        <v>0</v>
      </c>
      <c r="BU323" s="216">
        <f>IF(AND(Input_Product=Elig!$C323,Elig_MatchAll_Ct&lt;22,$BC323=(Elig_MatchAll_Ct-1),AS323=0),P323,0)</f>
        <v>0</v>
      </c>
      <c r="BV323" s="217">
        <f>IF(AND(Input_Product=Elig!$C323,Elig_MatchAll_Ct&lt;22,$BC323=(Elig_MatchAll_Ct-1),AT323=0),Q323,0)</f>
        <v>0</v>
      </c>
      <c r="BW323" s="212">
        <f>IF(AND(Input_Product=Elig!$C323,Elig_MatchAll_Ct&lt;22,$BC323=(Elig_MatchAll_Ct-1),AU323=0),R323,0)</f>
        <v>0</v>
      </c>
      <c r="BX323" s="213">
        <f>IF(AND(Input_Product=Elig!$C323,Elig_MatchAll_Ct&lt;22,$BC323=(Elig_MatchAll_Ct-1),AU323=0),S323,0)</f>
        <v>0</v>
      </c>
      <c r="BY323" s="212">
        <f>IF(AND(Input_Product=Elig!$C323,Elig_MatchAll_Ct&lt;22,$BC323=(Elig_MatchAll_Ct-1),AV323=0),T323,0)</f>
        <v>0</v>
      </c>
      <c r="BZ323" s="213">
        <f>IF(AND(Input_Product=Elig!$C323,Elig_MatchAll_Ct&lt;22,$BC323=(Elig_MatchAll_Ct-1),AV323=0),U323,0)</f>
        <v>0</v>
      </c>
      <c r="CA323" s="212">
        <f>IF(AND(Input_Product=Elig!$C323,Elig_MatchAll_Ct&lt;22,$BC323=(Elig_MatchAll_Ct-1),AW323=0),V323,0)</f>
        <v>0</v>
      </c>
      <c r="CB323" s="213">
        <f>IF(AND(Input_Product=Elig!$C323,Elig_MatchAll_Ct&lt;22,$BC323=(Elig_MatchAll_Ct-1),AW323=0),W323,0)</f>
        <v>0</v>
      </c>
      <c r="CC323" s="212">
        <f>IF(AND(Input_Product=Elig!$C323,Elig_MatchAll_Ct&lt;22,$BC323=(Elig_MatchAll_Ct-1),AX323=0),X323,0)</f>
        <v>0</v>
      </c>
      <c r="CD323" s="213">
        <f>IF(AND(Input_Product=Elig!$C323,Elig_MatchAll_Ct&lt;22,$BC323=(Elig_MatchAll_Ct-1),AX323=0),Y323,0)</f>
        <v>0</v>
      </c>
      <c r="CE323" s="212">
        <f>IF(AND(Input_LTV&lt;=AE323,Input_Product=Elig!$C323,Elig_MatchAll_Ct&lt;22,$BC323=(Elig_MatchAll_Ct-1),AY323=0),Z323,0)</f>
        <v>0</v>
      </c>
      <c r="CF323" s="213">
        <f>IF(AND(Input_LTV&lt;=AE323,Input_Product=Elig!$C323,Elig_MatchAll_Ct&lt;22,$BC323=(Elig_MatchAll_Ct-1),AY323=0),AA323,0)</f>
        <v>0</v>
      </c>
      <c r="CG323" s="212">
        <f>IF(AND(Input_Product=Elig!$C323,Elig_MatchAll_Ct&lt;22,$BC323=(Elig_MatchAll_Ct-1),AZ323=0),AB323,0)</f>
        <v>0</v>
      </c>
      <c r="CH323" s="213">
        <f>IF(AND(Input_Product=Elig!$C323,Elig_MatchAll_Ct&lt;22,$BC323=(Elig_MatchAll_Ct-1),AZ323=0),AC323,0)</f>
        <v>0</v>
      </c>
      <c r="CI323" s="212">
        <f>IF(AND(Input_Product=Elig!$C323,Elig_MatchAll_Ct&lt;22,$BC323=(Elig_MatchAll_Ct-1),BA323=0),AD323,0)</f>
        <v>0</v>
      </c>
      <c r="CJ323" s="213">
        <f>IF(AND(Input_Product=Elig!$C323,Elig_MatchAll_Ct&lt;22,$BC323=(Elig_MatchAll_Ct-1),BA323=0),AE323,0)</f>
        <v>0</v>
      </c>
    </row>
    <row r="324" spans="2:88" ht="10.15" customHeight="1" x14ac:dyDescent="0.25">
      <c r="B324" s="287" t="s">
        <v>1020</v>
      </c>
      <c r="C324" s="286" t="str">
        <f t="shared" si="132"/>
        <v>NonQM NOO</v>
      </c>
      <c r="D324" s="287" t="s">
        <v>3885</v>
      </c>
      <c r="E324" s="287" t="s">
        <v>167</v>
      </c>
      <c r="F324" s="287" t="s">
        <v>330</v>
      </c>
      <c r="G324" s="287" t="s">
        <v>305</v>
      </c>
      <c r="H324" s="287" t="s">
        <v>136</v>
      </c>
      <c r="I324" s="288" t="s">
        <v>274</v>
      </c>
      <c r="J324" s="288" t="s">
        <v>1311</v>
      </c>
      <c r="K324" s="288" t="s">
        <v>1631</v>
      </c>
      <c r="L324" s="300" t="s">
        <v>312</v>
      </c>
      <c r="M324" s="287" t="s">
        <v>4203</v>
      </c>
      <c r="N324" s="287" t="s">
        <v>2685</v>
      </c>
      <c r="O324" s="287" t="s">
        <v>310</v>
      </c>
      <c r="P324" s="287" t="s">
        <v>291</v>
      </c>
      <c r="Q324" s="287" t="s">
        <v>294</v>
      </c>
      <c r="R324" s="300">
        <v>100000</v>
      </c>
      <c r="S324" s="287">
        <v>1000000</v>
      </c>
      <c r="T324" s="287">
        <v>0</v>
      </c>
      <c r="U324" s="287">
        <v>0</v>
      </c>
      <c r="V324" s="287">
        <v>0</v>
      </c>
      <c r="W324" s="287">
        <v>55</v>
      </c>
      <c r="X324" s="287">
        <v>0</v>
      </c>
      <c r="Y324" s="287">
        <v>999</v>
      </c>
      <c r="Z324" s="289">
        <v>700</v>
      </c>
      <c r="AA324" s="289">
        <v>719</v>
      </c>
      <c r="AB324" s="289">
        <v>3</v>
      </c>
      <c r="AC324" s="289">
        <v>999999</v>
      </c>
      <c r="AD324" s="287">
        <v>0</v>
      </c>
      <c r="AE324" s="290">
        <v>75</v>
      </c>
      <c r="AF324" s="170">
        <v>0</v>
      </c>
      <c r="AG324" s="171">
        <v>1</v>
      </c>
      <c r="AH324" s="171">
        <v>1</v>
      </c>
      <c r="AI324" s="171">
        <v>0</v>
      </c>
      <c r="AJ324" s="171">
        <v>0</v>
      </c>
      <c r="AK324" s="171">
        <v>1</v>
      </c>
      <c r="AL324" s="171">
        <v>0</v>
      </c>
      <c r="AM324" s="171">
        <v>1</v>
      </c>
      <c r="AN324" s="171">
        <v>1</v>
      </c>
      <c r="AO324" s="171">
        <v>1</v>
      </c>
      <c r="AP324" s="171">
        <v>1</v>
      </c>
      <c r="AQ324" s="171">
        <v>1</v>
      </c>
      <c r="AR324" s="171">
        <v>1</v>
      </c>
      <c r="AS324" s="171">
        <v>1</v>
      </c>
      <c r="AT324" s="171">
        <v>1</v>
      </c>
      <c r="AU324" s="171">
        <f t="shared" si="140"/>
        <v>1</v>
      </c>
      <c r="AV324" s="171">
        <f t="shared" si="141"/>
        <v>0</v>
      </c>
      <c r="AW324" s="171">
        <f t="shared" si="142"/>
        <v>1</v>
      </c>
      <c r="AX324" s="171">
        <f t="shared" si="100"/>
        <v>1</v>
      </c>
      <c r="AY324" s="171">
        <f t="shared" si="143"/>
        <v>0</v>
      </c>
      <c r="AZ324" s="171">
        <f t="shared" si="144"/>
        <v>1</v>
      </c>
      <c r="BA324" s="172">
        <f t="shared" si="145"/>
        <v>1</v>
      </c>
      <c r="BB324" s="175">
        <f t="shared" si="72"/>
        <v>16</v>
      </c>
      <c r="BC324" s="176">
        <f t="shared" si="73"/>
        <v>15</v>
      </c>
      <c r="BD324" s="176">
        <f t="shared" si="74"/>
        <v>16</v>
      </c>
      <c r="BE324" s="240" t="str">
        <f t="shared" si="124"/>
        <v/>
      </c>
      <c r="BH324" s="199">
        <f>IF(AND(Input_Product=Elig!$C324,Elig_MatchAll_Ct&lt;22,$BC324=(Elig_MatchAll_Ct-1),AF324=0),C324,0)</f>
        <v>0</v>
      </c>
      <c r="BI324" s="199">
        <f>IF(AND(Input_Product=Elig!$C324,Elig_MatchAll_Ct&lt;22,$BC324=(Elig_MatchAll_Ct-1),AG324=0),D324,0)</f>
        <v>0</v>
      </c>
      <c r="BJ324" s="199">
        <f>IF(AND(Input_Product=Elig!$C324,Elig_MatchAll_Ct&lt;22,$BC324=(Elig_MatchAll_Ct-1),AH324=0),E324,0)</f>
        <v>0</v>
      </c>
      <c r="BK324" s="199">
        <f>IF(AND(Input_Product=Elig!$C324,Elig_MatchAll_Ct&lt;22,$BC324=(Elig_MatchAll_Ct-1),AI324=0),F324,0)</f>
        <v>0</v>
      </c>
      <c r="BL324" s="199">
        <f>IF(AND(Input_Product=Elig!$C324,Elig_MatchAll_Ct&lt;22,$BC324=(Elig_MatchAll_Ct-1),AJ324=0),G324,0)</f>
        <v>0</v>
      </c>
      <c r="BM324" s="199">
        <f>IF(AND(Input_Product=Elig!$C324,Elig_MatchAll_Ct&lt;22,$BC324=(Elig_MatchAll_Ct-1),AK324=0),H324,0)</f>
        <v>0</v>
      </c>
      <c r="BN324" s="199">
        <f>IF(AND(Input_Product=Elig!$C324,Elig_MatchAll_Ct&lt;22,$BC324=(Elig_MatchAll_Ct-1),AL324=0),I324,0)</f>
        <v>0</v>
      </c>
      <c r="BO324" s="199">
        <f>IF(AND(Input_Product=Elig!$C324,Elig_MatchAll_Ct&lt;22,$BC324=(Elig_MatchAll_Ct-1),AM324=0),J324,0)</f>
        <v>0</v>
      </c>
      <c r="BP324" s="199">
        <f>IF(AND(Input_Product=Elig!$C324,Elig_MatchAll_Ct&lt;22,$BC324=(Elig_MatchAll_Ct-1),AN324=0),K324,0)</f>
        <v>0</v>
      </c>
      <c r="BQ324" s="199">
        <f>IF(AND(Input_Product=Elig!$C324,Elig_MatchAll_Ct&lt;22,$BC324=(Elig_MatchAll_Ct-1),AP324=0),L324,0)</f>
        <v>0</v>
      </c>
      <c r="BR324" s="199">
        <f>IF(AND(Input_Product=Elig!$C324,Elig_MatchAll_Ct&lt;22,$BC324=(Elig_MatchAll_Ct-1),AO324=0),M324,0)</f>
        <v>0</v>
      </c>
      <c r="BS324" s="199">
        <f>IF(AND(Input_Product=Elig!$C324,Elig_MatchAll_Ct&lt;22,$BC324=(Elig_MatchAll_Ct-1),AQ324=0),N324,0)</f>
        <v>0</v>
      </c>
      <c r="BT324" s="199">
        <f>IF(AND(Input_Product=Elig!$C324,Elig_MatchAll_Ct&lt;22,$BC324=(Elig_MatchAll_Ct-1),AR324=0),O324,0)</f>
        <v>0</v>
      </c>
      <c r="BU324" s="199">
        <f>IF(AND(Input_Product=Elig!$C324,Elig_MatchAll_Ct&lt;22,$BC324=(Elig_MatchAll_Ct-1),AS324=0),P324,0)</f>
        <v>0</v>
      </c>
      <c r="BV324" s="200">
        <f>IF(AND(Input_Product=Elig!$C324,Elig_MatchAll_Ct&lt;22,$BC324=(Elig_MatchAll_Ct-1),AT324=0),Q324,0)</f>
        <v>0</v>
      </c>
      <c r="BW324" s="201">
        <f>IF(AND(Input_Product=Elig!$C324,Elig_MatchAll_Ct&lt;22,$BC324=(Elig_MatchAll_Ct-1),AU324=0),R324,0)</f>
        <v>0</v>
      </c>
      <c r="BX324" s="202">
        <f>IF(AND(Input_Product=Elig!$C324,Elig_MatchAll_Ct&lt;22,$BC324=(Elig_MatchAll_Ct-1),AU324=0),S324,0)</f>
        <v>0</v>
      </c>
      <c r="BY324" s="201">
        <f>IF(AND(Input_Product=Elig!$C324,Elig_MatchAll_Ct&lt;22,$BC324=(Elig_MatchAll_Ct-1),AV324=0),T324,0)</f>
        <v>0</v>
      </c>
      <c r="BZ324" s="202">
        <f>IF(AND(Input_Product=Elig!$C324,Elig_MatchAll_Ct&lt;22,$BC324=(Elig_MatchAll_Ct-1),AV324=0),U324,0)</f>
        <v>0</v>
      </c>
      <c r="CA324" s="201">
        <f>IF(AND(Input_Product=Elig!$C324,Elig_MatchAll_Ct&lt;22,$BC324=(Elig_MatchAll_Ct-1),AW324=0),V324,0)</f>
        <v>0</v>
      </c>
      <c r="CB324" s="202">
        <f>IF(AND(Input_Product=Elig!$C324,Elig_MatchAll_Ct&lt;22,$BC324=(Elig_MatchAll_Ct-1),AW324=0),W324,0)</f>
        <v>0</v>
      </c>
      <c r="CC324" s="201">
        <f>IF(AND(Input_Product=Elig!$C324,Elig_MatchAll_Ct&lt;22,$BC324=(Elig_MatchAll_Ct-1),AX324=0),X324,0)</f>
        <v>0</v>
      </c>
      <c r="CD324" s="202">
        <f>IF(AND(Input_Product=Elig!$C324,Elig_MatchAll_Ct&lt;22,$BC324=(Elig_MatchAll_Ct-1),AX324=0),Y324,0)</f>
        <v>0</v>
      </c>
      <c r="CE324" s="201">
        <f>IF(AND(Input_LTV&lt;=AE324,Input_Product=Elig!$C324,Elig_MatchAll_Ct&lt;22,$BC324=(Elig_MatchAll_Ct-1),AY324=0),Z324,0)</f>
        <v>0</v>
      </c>
      <c r="CF324" s="202">
        <f>IF(AND(Input_LTV&lt;=AE324,Input_Product=Elig!$C324,Elig_MatchAll_Ct&lt;22,$BC324=(Elig_MatchAll_Ct-1),AY324=0),AA324,0)</f>
        <v>0</v>
      </c>
      <c r="CG324" s="201">
        <f>IF(AND(Input_Product=Elig!$C324,Elig_MatchAll_Ct&lt;22,$BC324=(Elig_MatchAll_Ct-1),AZ324=0),AB324,0)</f>
        <v>0</v>
      </c>
      <c r="CH324" s="202">
        <f>IF(AND(Input_Product=Elig!$C324,Elig_MatchAll_Ct&lt;22,$BC324=(Elig_MatchAll_Ct-1),AZ324=0),AC324,0)</f>
        <v>0</v>
      </c>
      <c r="CI324" s="201">
        <f>IF(AND(Input_Product=Elig!$C324,Elig_MatchAll_Ct&lt;22,$BC324=(Elig_MatchAll_Ct-1),BA324=0),AD324,0)</f>
        <v>0</v>
      </c>
      <c r="CJ324" s="202">
        <f>IF(AND(Input_Product=Elig!$C324,Elig_MatchAll_Ct&lt;22,$BC324=(Elig_MatchAll_Ct-1),BA324=0),AE324,0)</f>
        <v>0</v>
      </c>
    </row>
    <row r="325" spans="2:88" ht="10.15" customHeight="1" x14ac:dyDescent="0.25">
      <c r="B325" s="287" t="s">
        <v>1021</v>
      </c>
      <c r="C325" s="286" t="str">
        <f t="shared" si="132"/>
        <v>NonQM NOO</v>
      </c>
      <c r="D325" s="287" t="s">
        <v>3885</v>
      </c>
      <c r="E325" s="287" t="s">
        <v>167</v>
      </c>
      <c r="F325" s="287" t="s">
        <v>330</v>
      </c>
      <c r="G325" s="287" t="s">
        <v>305</v>
      </c>
      <c r="H325" s="287" t="s">
        <v>136</v>
      </c>
      <c r="I325" s="288" t="s">
        <v>274</v>
      </c>
      <c r="J325" s="288" t="s">
        <v>1311</v>
      </c>
      <c r="K325" s="288" t="s">
        <v>1631</v>
      </c>
      <c r="L325" s="300" t="s">
        <v>312</v>
      </c>
      <c r="M325" s="287" t="s">
        <v>4203</v>
      </c>
      <c r="N325" s="287" t="s">
        <v>2685</v>
      </c>
      <c r="O325" s="287" t="s">
        <v>310</v>
      </c>
      <c r="P325" s="287" t="s">
        <v>291</v>
      </c>
      <c r="Q325" s="287" t="s">
        <v>294</v>
      </c>
      <c r="R325" s="300">
        <v>100000</v>
      </c>
      <c r="S325" s="287">
        <v>1000000</v>
      </c>
      <c r="T325" s="287">
        <v>0</v>
      </c>
      <c r="U325" s="287">
        <v>0</v>
      </c>
      <c r="V325" s="287">
        <v>0</v>
      </c>
      <c r="W325" s="287">
        <v>55</v>
      </c>
      <c r="X325" s="287">
        <v>0</v>
      </c>
      <c r="Y325" s="287">
        <v>999</v>
      </c>
      <c r="Z325" s="289">
        <v>680</v>
      </c>
      <c r="AA325" s="289">
        <v>699</v>
      </c>
      <c r="AB325" s="289">
        <v>3</v>
      </c>
      <c r="AC325" s="289">
        <v>999999</v>
      </c>
      <c r="AD325" s="287">
        <v>0</v>
      </c>
      <c r="AE325" s="290">
        <v>75</v>
      </c>
      <c r="AF325" s="170">
        <v>0</v>
      </c>
      <c r="AG325" s="171">
        <v>1</v>
      </c>
      <c r="AH325" s="171">
        <v>1</v>
      </c>
      <c r="AI325" s="171">
        <v>0</v>
      </c>
      <c r="AJ325" s="171">
        <v>0</v>
      </c>
      <c r="AK325" s="171">
        <v>1</v>
      </c>
      <c r="AL325" s="171">
        <v>0</v>
      </c>
      <c r="AM325" s="171">
        <v>1</v>
      </c>
      <c r="AN325" s="171">
        <v>1</v>
      </c>
      <c r="AO325" s="171">
        <v>1</v>
      </c>
      <c r="AP325" s="171">
        <v>1</v>
      </c>
      <c r="AQ325" s="171">
        <v>1</v>
      </c>
      <c r="AR325" s="171">
        <v>1</v>
      </c>
      <c r="AS325" s="171">
        <v>1</v>
      </c>
      <c r="AT325" s="171">
        <v>1</v>
      </c>
      <c r="AU325" s="171">
        <f t="shared" si="140"/>
        <v>1</v>
      </c>
      <c r="AV325" s="171">
        <f t="shared" si="141"/>
        <v>0</v>
      </c>
      <c r="AW325" s="171">
        <f t="shared" si="142"/>
        <v>1</v>
      </c>
      <c r="AX325" s="171">
        <f t="shared" si="100"/>
        <v>1</v>
      </c>
      <c r="AY325" s="171">
        <f t="shared" si="143"/>
        <v>0</v>
      </c>
      <c r="AZ325" s="171">
        <f t="shared" si="144"/>
        <v>1</v>
      </c>
      <c r="BA325" s="172">
        <f t="shared" si="145"/>
        <v>1</v>
      </c>
      <c r="BB325" s="175">
        <f t="shared" si="72"/>
        <v>16</v>
      </c>
      <c r="BC325" s="176">
        <f t="shared" si="73"/>
        <v>15</v>
      </c>
      <c r="BD325" s="176">
        <f t="shared" si="74"/>
        <v>16</v>
      </c>
      <c r="BE325" s="240" t="str">
        <f t="shared" si="124"/>
        <v/>
      </c>
      <c r="BH325" s="199">
        <f>IF(AND(Input_Product=Elig!$C325,Elig_MatchAll_Ct&lt;22,$BC325=(Elig_MatchAll_Ct-1),AF325=0),C325,0)</f>
        <v>0</v>
      </c>
      <c r="BI325" s="199">
        <f>IF(AND(Input_Product=Elig!$C325,Elig_MatchAll_Ct&lt;22,$BC325=(Elig_MatchAll_Ct-1),AG325=0),D325,0)</f>
        <v>0</v>
      </c>
      <c r="BJ325" s="199">
        <f>IF(AND(Input_Product=Elig!$C325,Elig_MatchAll_Ct&lt;22,$BC325=(Elig_MatchAll_Ct-1),AH325=0),E325,0)</f>
        <v>0</v>
      </c>
      <c r="BK325" s="199">
        <f>IF(AND(Input_Product=Elig!$C325,Elig_MatchAll_Ct&lt;22,$BC325=(Elig_MatchAll_Ct-1),AI325=0),F325,0)</f>
        <v>0</v>
      </c>
      <c r="BL325" s="199">
        <f>IF(AND(Input_Product=Elig!$C325,Elig_MatchAll_Ct&lt;22,$BC325=(Elig_MatchAll_Ct-1),AJ325=0),G325,0)</f>
        <v>0</v>
      </c>
      <c r="BM325" s="199">
        <f>IF(AND(Input_Product=Elig!$C325,Elig_MatchAll_Ct&lt;22,$BC325=(Elig_MatchAll_Ct-1),AK325=0),H325,0)</f>
        <v>0</v>
      </c>
      <c r="BN325" s="199">
        <f>IF(AND(Input_Product=Elig!$C325,Elig_MatchAll_Ct&lt;22,$BC325=(Elig_MatchAll_Ct-1),AL325=0),I325,0)</f>
        <v>0</v>
      </c>
      <c r="BO325" s="199">
        <f>IF(AND(Input_Product=Elig!$C325,Elig_MatchAll_Ct&lt;22,$BC325=(Elig_MatchAll_Ct-1),AM325=0),J325,0)</f>
        <v>0</v>
      </c>
      <c r="BP325" s="199">
        <f>IF(AND(Input_Product=Elig!$C325,Elig_MatchAll_Ct&lt;22,$BC325=(Elig_MatchAll_Ct-1),AN325=0),K325,0)</f>
        <v>0</v>
      </c>
      <c r="BQ325" s="199">
        <f>IF(AND(Input_Product=Elig!$C325,Elig_MatchAll_Ct&lt;22,$BC325=(Elig_MatchAll_Ct-1),AP325=0),L325,0)</f>
        <v>0</v>
      </c>
      <c r="BR325" s="199">
        <f>IF(AND(Input_Product=Elig!$C325,Elig_MatchAll_Ct&lt;22,$BC325=(Elig_MatchAll_Ct-1),AO325=0),M325,0)</f>
        <v>0</v>
      </c>
      <c r="BS325" s="199">
        <f>IF(AND(Input_Product=Elig!$C325,Elig_MatchAll_Ct&lt;22,$BC325=(Elig_MatchAll_Ct-1),AQ325=0),N325,0)</f>
        <v>0</v>
      </c>
      <c r="BT325" s="199">
        <f>IF(AND(Input_Product=Elig!$C325,Elig_MatchAll_Ct&lt;22,$BC325=(Elig_MatchAll_Ct-1),AR325=0),O325,0)</f>
        <v>0</v>
      </c>
      <c r="BU325" s="199">
        <f>IF(AND(Input_Product=Elig!$C325,Elig_MatchAll_Ct&lt;22,$BC325=(Elig_MatchAll_Ct-1),AS325=0),P325,0)</f>
        <v>0</v>
      </c>
      <c r="BV325" s="200">
        <f>IF(AND(Input_Product=Elig!$C325,Elig_MatchAll_Ct&lt;22,$BC325=(Elig_MatchAll_Ct-1),AT325=0),Q325,0)</f>
        <v>0</v>
      </c>
      <c r="BW325" s="201">
        <f>IF(AND(Input_Product=Elig!$C325,Elig_MatchAll_Ct&lt;22,$BC325=(Elig_MatchAll_Ct-1),AU325=0),R325,0)</f>
        <v>0</v>
      </c>
      <c r="BX325" s="202">
        <f>IF(AND(Input_Product=Elig!$C325,Elig_MatchAll_Ct&lt;22,$BC325=(Elig_MatchAll_Ct-1),AU325=0),S325,0)</f>
        <v>0</v>
      </c>
      <c r="BY325" s="201">
        <f>IF(AND(Input_Product=Elig!$C325,Elig_MatchAll_Ct&lt;22,$BC325=(Elig_MatchAll_Ct-1),AV325=0),T325,0)</f>
        <v>0</v>
      </c>
      <c r="BZ325" s="202">
        <f>IF(AND(Input_Product=Elig!$C325,Elig_MatchAll_Ct&lt;22,$BC325=(Elig_MatchAll_Ct-1),AV325=0),U325,0)</f>
        <v>0</v>
      </c>
      <c r="CA325" s="201">
        <f>IF(AND(Input_Product=Elig!$C325,Elig_MatchAll_Ct&lt;22,$BC325=(Elig_MatchAll_Ct-1),AW325=0),V325,0)</f>
        <v>0</v>
      </c>
      <c r="CB325" s="202">
        <f>IF(AND(Input_Product=Elig!$C325,Elig_MatchAll_Ct&lt;22,$BC325=(Elig_MatchAll_Ct-1),AW325=0),W325,0)</f>
        <v>0</v>
      </c>
      <c r="CC325" s="201">
        <f>IF(AND(Input_Product=Elig!$C325,Elig_MatchAll_Ct&lt;22,$BC325=(Elig_MatchAll_Ct-1),AX325=0),X325,0)</f>
        <v>0</v>
      </c>
      <c r="CD325" s="202">
        <f>IF(AND(Input_Product=Elig!$C325,Elig_MatchAll_Ct&lt;22,$BC325=(Elig_MatchAll_Ct-1),AX325=0),Y325,0)</f>
        <v>0</v>
      </c>
      <c r="CE325" s="201">
        <f>IF(AND(Input_LTV&lt;=AE325,Input_Product=Elig!$C325,Elig_MatchAll_Ct&lt;22,$BC325=(Elig_MatchAll_Ct-1),AY325=0),Z325,0)</f>
        <v>0</v>
      </c>
      <c r="CF325" s="202">
        <f>IF(AND(Input_LTV&lt;=AE325,Input_Product=Elig!$C325,Elig_MatchAll_Ct&lt;22,$BC325=(Elig_MatchAll_Ct-1),AY325=0),AA325,0)</f>
        <v>0</v>
      </c>
      <c r="CG325" s="201">
        <f>IF(AND(Input_Product=Elig!$C325,Elig_MatchAll_Ct&lt;22,$BC325=(Elig_MatchAll_Ct-1),AZ325=0),AB325,0)</f>
        <v>0</v>
      </c>
      <c r="CH325" s="202">
        <f>IF(AND(Input_Product=Elig!$C325,Elig_MatchAll_Ct&lt;22,$BC325=(Elig_MatchAll_Ct-1),AZ325=0),AC325,0)</f>
        <v>0</v>
      </c>
      <c r="CI325" s="201">
        <f>IF(AND(Input_Product=Elig!$C325,Elig_MatchAll_Ct&lt;22,$BC325=(Elig_MatchAll_Ct-1),BA325=0),AD325,0)</f>
        <v>0</v>
      </c>
      <c r="CJ325" s="202">
        <f>IF(AND(Input_Product=Elig!$C325,Elig_MatchAll_Ct&lt;22,$BC325=(Elig_MatchAll_Ct-1),BA325=0),AE325,0)</f>
        <v>0</v>
      </c>
    </row>
    <row r="326" spans="2:88" ht="10.15" customHeight="1" x14ac:dyDescent="0.25">
      <c r="B326" s="287" t="s">
        <v>1022</v>
      </c>
      <c r="C326" s="286" t="str">
        <f t="shared" si="132"/>
        <v>NonQM NOO</v>
      </c>
      <c r="D326" s="287" t="s">
        <v>3885</v>
      </c>
      <c r="E326" s="287" t="s">
        <v>167</v>
      </c>
      <c r="F326" s="287" t="s">
        <v>330</v>
      </c>
      <c r="G326" s="287" t="s">
        <v>305</v>
      </c>
      <c r="H326" s="287" t="s">
        <v>136</v>
      </c>
      <c r="I326" s="287" t="s">
        <v>274</v>
      </c>
      <c r="J326" s="287" t="s">
        <v>1311</v>
      </c>
      <c r="K326" s="287" t="s">
        <v>1631</v>
      </c>
      <c r="L326" s="300" t="s">
        <v>312</v>
      </c>
      <c r="M326" s="287" t="s">
        <v>4203</v>
      </c>
      <c r="N326" s="287" t="s">
        <v>2685</v>
      </c>
      <c r="O326" s="287" t="s">
        <v>310</v>
      </c>
      <c r="P326" s="287" t="s">
        <v>291</v>
      </c>
      <c r="Q326" s="287" t="s">
        <v>294</v>
      </c>
      <c r="R326" s="300">
        <v>100000</v>
      </c>
      <c r="S326" s="287">
        <v>1000000</v>
      </c>
      <c r="T326" s="287">
        <v>0</v>
      </c>
      <c r="U326" s="287">
        <v>0</v>
      </c>
      <c r="V326" s="287">
        <v>0</v>
      </c>
      <c r="W326" s="287">
        <v>50</v>
      </c>
      <c r="X326" s="287">
        <v>0</v>
      </c>
      <c r="Y326" s="287">
        <v>999</v>
      </c>
      <c r="Z326" s="289">
        <v>660</v>
      </c>
      <c r="AA326" s="289">
        <v>679</v>
      </c>
      <c r="AB326" s="289">
        <v>3</v>
      </c>
      <c r="AC326" s="289">
        <v>999999</v>
      </c>
      <c r="AD326" s="287">
        <v>0</v>
      </c>
      <c r="AE326" s="290">
        <v>70</v>
      </c>
      <c r="AF326" s="170">
        <v>0</v>
      </c>
      <c r="AG326" s="171">
        <v>1</v>
      </c>
      <c r="AH326" s="171">
        <v>1</v>
      </c>
      <c r="AI326" s="171">
        <v>0</v>
      </c>
      <c r="AJ326" s="171">
        <v>0</v>
      </c>
      <c r="AK326" s="171">
        <v>1</v>
      </c>
      <c r="AL326" s="171">
        <v>0</v>
      </c>
      <c r="AM326" s="171">
        <v>1</v>
      </c>
      <c r="AN326" s="171">
        <v>1</v>
      </c>
      <c r="AO326" s="171">
        <v>1</v>
      </c>
      <c r="AP326" s="171">
        <v>1</v>
      </c>
      <c r="AQ326" s="171">
        <v>1</v>
      </c>
      <c r="AR326" s="171">
        <v>1</v>
      </c>
      <c r="AS326" s="171">
        <v>1</v>
      </c>
      <c r="AT326" s="171">
        <v>1</v>
      </c>
      <c r="AU326" s="171">
        <f t="shared" si="140"/>
        <v>1</v>
      </c>
      <c r="AV326" s="171">
        <f t="shared" si="141"/>
        <v>0</v>
      </c>
      <c r="AW326" s="171">
        <f t="shared" si="142"/>
        <v>1</v>
      </c>
      <c r="AX326" s="171">
        <f t="shared" si="100"/>
        <v>1</v>
      </c>
      <c r="AY326" s="171">
        <f t="shared" si="143"/>
        <v>0</v>
      </c>
      <c r="AZ326" s="171">
        <f t="shared" si="144"/>
        <v>1</v>
      </c>
      <c r="BA326" s="172">
        <f t="shared" si="145"/>
        <v>1</v>
      </c>
      <c r="BB326" s="175">
        <f t="shared" si="72"/>
        <v>16</v>
      </c>
      <c r="BC326" s="176">
        <f t="shared" si="73"/>
        <v>15</v>
      </c>
      <c r="BD326" s="176">
        <f t="shared" si="74"/>
        <v>16</v>
      </c>
      <c r="BE326" s="240" t="str">
        <f t="shared" si="124"/>
        <v/>
      </c>
      <c r="BH326" s="199">
        <f>IF(AND(Input_Product=Elig!$C326,Elig_MatchAll_Ct&lt;22,$BC326=(Elig_MatchAll_Ct-1),AF326=0),C326,0)</f>
        <v>0</v>
      </c>
      <c r="BI326" s="199">
        <f>IF(AND(Input_Product=Elig!$C326,Elig_MatchAll_Ct&lt;22,$BC326=(Elig_MatchAll_Ct-1),AG326=0),D326,0)</f>
        <v>0</v>
      </c>
      <c r="BJ326" s="199">
        <f>IF(AND(Input_Product=Elig!$C326,Elig_MatchAll_Ct&lt;22,$BC326=(Elig_MatchAll_Ct-1),AH326=0),E326,0)</f>
        <v>0</v>
      </c>
      <c r="BK326" s="199">
        <f>IF(AND(Input_Product=Elig!$C326,Elig_MatchAll_Ct&lt;22,$BC326=(Elig_MatchAll_Ct-1),AI326=0),F326,0)</f>
        <v>0</v>
      </c>
      <c r="BL326" s="199">
        <f>IF(AND(Input_Product=Elig!$C326,Elig_MatchAll_Ct&lt;22,$BC326=(Elig_MatchAll_Ct-1),AJ326=0),G326,0)</f>
        <v>0</v>
      </c>
      <c r="BM326" s="199">
        <f>IF(AND(Input_Product=Elig!$C326,Elig_MatchAll_Ct&lt;22,$BC326=(Elig_MatchAll_Ct-1),AK326=0),H326,0)</f>
        <v>0</v>
      </c>
      <c r="BN326" s="199">
        <f>IF(AND(Input_Product=Elig!$C326,Elig_MatchAll_Ct&lt;22,$BC326=(Elig_MatchAll_Ct-1),AL326=0),I326,0)</f>
        <v>0</v>
      </c>
      <c r="BO326" s="199">
        <f>IF(AND(Input_Product=Elig!$C326,Elig_MatchAll_Ct&lt;22,$BC326=(Elig_MatchAll_Ct-1),AM326=0),J326,0)</f>
        <v>0</v>
      </c>
      <c r="BP326" s="199">
        <f>IF(AND(Input_Product=Elig!$C326,Elig_MatchAll_Ct&lt;22,$BC326=(Elig_MatchAll_Ct-1),AN326=0),K326,0)</f>
        <v>0</v>
      </c>
      <c r="BQ326" s="199">
        <f>IF(AND(Input_Product=Elig!$C326,Elig_MatchAll_Ct&lt;22,$BC326=(Elig_MatchAll_Ct-1),AP326=0),L326,0)</f>
        <v>0</v>
      </c>
      <c r="BR326" s="199">
        <f>IF(AND(Input_Product=Elig!$C326,Elig_MatchAll_Ct&lt;22,$BC326=(Elig_MatchAll_Ct-1),AO326=0),M326,0)</f>
        <v>0</v>
      </c>
      <c r="BS326" s="199">
        <f>IF(AND(Input_Product=Elig!$C326,Elig_MatchAll_Ct&lt;22,$BC326=(Elig_MatchAll_Ct-1),AQ326=0),N326,0)</f>
        <v>0</v>
      </c>
      <c r="BT326" s="199">
        <f>IF(AND(Input_Product=Elig!$C326,Elig_MatchAll_Ct&lt;22,$BC326=(Elig_MatchAll_Ct-1),AR326=0),O326,0)</f>
        <v>0</v>
      </c>
      <c r="BU326" s="199">
        <f>IF(AND(Input_Product=Elig!$C326,Elig_MatchAll_Ct&lt;22,$BC326=(Elig_MatchAll_Ct-1),AS326=0),P326,0)</f>
        <v>0</v>
      </c>
      <c r="BV326" s="200">
        <f>IF(AND(Input_Product=Elig!$C326,Elig_MatchAll_Ct&lt;22,$BC326=(Elig_MatchAll_Ct-1),AT326=0),Q326,0)</f>
        <v>0</v>
      </c>
      <c r="BW326" s="201">
        <f>IF(AND(Input_Product=Elig!$C326,Elig_MatchAll_Ct&lt;22,$BC326=(Elig_MatchAll_Ct-1),AU326=0),R326,0)</f>
        <v>0</v>
      </c>
      <c r="BX326" s="202">
        <f>IF(AND(Input_Product=Elig!$C326,Elig_MatchAll_Ct&lt;22,$BC326=(Elig_MatchAll_Ct-1),AU326=0),S326,0)</f>
        <v>0</v>
      </c>
      <c r="BY326" s="201">
        <f>IF(AND(Input_Product=Elig!$C326,Elig_MatchAll_Ct&lt;22,$BC326=(Elig_MatchAll_Ct-1),AV326=0),T326,0)</f>
        <v>0</v>
      </c>
      <c r="BZ326" s="202">
        <f>IF(AND(Input_Product=Elig!$C326,Elig_MatchAll_Ct&lt;22,$BC326=(Elig_MatchAll_Ct-1),AV326=0),U326,0)</f>
        <v>0</v>
      </c>
      <c r="CA326" s="201">
        <f>IF(AND(Input_Product=Elig!$C326,Elig_MatchAll_Ct&lt;22,$BC326=(Elig_MatchAll_Ct-1),AW326=0),V326,0)</f>
        <v>0</v>
      </c>
      <c r="CB326" s="202">
        <f>IF(AND(Input_Product=Elig!$C326,Elig_MatchAll_Ct&lt;22,$BC326=(Elig_MatchAll_Ct-1),AW326=0),W326,0)</f>
        <v>0</v>
      </c>
      <c r="CC326" s="201">
        <f>IF(AND(Input_Product=Elig!$C326,Elig_MatchAll_Ct&lt;22,$BC326=(Elig_MatchAll_Ct-1),AX326=0),X326,0)</f>
        <v>0</v>
      </c>
      <c r="CD326" s="202">
        <f>IF(AND(Input_Product=Elig!$C326,Elig_MatchAll_Ct&lt;22,$BC326=(Elig_MatchAll_Ct-1),AX326=0),Y326,0)</f>
        <v>0</v>
      </c>
      <c r="CE326" s="201">
        <f>IF(AND(Input_LTV&lt;=AE326,Input_Product=Elig!$C326,Elig_MatchAll_Ct&lt;22,$BC326=(Elig_MatchAll_Ct-1),AY326=0),Z326,0)</f>
        <v>0</v>
      </c>
      <c r="CF326" s="202">
        <f>IF(AND(Input_LTV&lt;=AE326,Input_Product=Elig!$C326,Elig_MatchAll_Ct&lt;22,$BC326=(Elig_MatchAll_Ct-1),AY326=0),AA326,0)</f>
        <v>0</v>
      </c>
      <c r="CG326" s="201">
        <f>IF(AND(Input_Product=Elig!$C326,Elig_MatchAll_Ct&lt;22,$BC326=(Elig_MatchAll_Ct-1),AZ326=0),AB326,0)</f>
        <v>0</v>
      </c>
      <c r="CH326" s="202">
        <f>IF(AND(Input_Product=Elig!$C326,Elig_MatchAll_Ct&lt;22,$BC326=(Elig_MatchAll_Ct-1),AZ326=0),AC326,0)</f>
        <v>0</v>
      </c>
      <c r="CI326" s="201">
        <f>IF(AND(Input_Product=Elig!$C326,Elig_MatchAll_Ct&lt;22,$BC326=(Elig_MatchAll_Ct-1),BA326=0),AD326,0)</f>
        <v>0</v>
      </c>
      <c r="CJ326" s="202">
        <f>IF(AND(Input_Product=Elig!$C326,Elig_MatchAll_Ct&lt;22,$BC326=(Elig_MatchAll_Ct-1),BA326=0),AE326,0)</f>
        <v>0</v>
      </c>
    </row>
    <row r="327" spans="2:88" ht="10.15" customHeight="1" x14ac:dyDescent="0.25">
      <c r="B327" s="287" t="s">
        <v>1023</v>
      </c>
      <c r="C327" s="286" t="str">
        <f t="shared" si="132"/>
        <v>NonQM NOO</v>
      </c>
      <c r="D327" s="287" t="s">
        <v>3885</v>
      </c>
      <c r="E327" s="287" t="s">
        <v>167</v>
      </c>
      <c r="F327" s="287" t="s">
        <v>330</v>
      </c>
      <c r="G327" s="287" t="s">
        <v>305</v>
      </c>
      <c r="H327" s="287" t="s">
        <v>136</v>
      </c>
      <c r="I327" s="287" t="s">
        <v>274</v>
      </c>
      <c r="J327" s="287" t="s">
        <v>1311</v>
      </c>
      <c r="K327" s="287" t="s">
        <v>1631</v>
      </c>
      <c r="L327" s="300" t="s">
        <v>312</v>
      </c>
      <c r="M327" s="287" t="s">
        <v>4203</v>
      </c>
      <c r="N327" s="287" t="s">
        <v>2685</v>
      </c>
      <c r="O327" s="287" t="s">
        <v>310</v>
      </c>
      <c r="P327" s="287" t="s">
        <v>291</v>
      </c>
      <c r="Q327" s="287" t="s">
        <v>294</v>
      </c>
      <c r="R327" s="300">
        <v>100000</v>
      </c>
      <c r="S327" s="287">
        <v>1000000</v>
      </c>
      <c r="T327" s="287">
        <v>0</v>
      </c>
      <c r="U327" s="287">
        <v>0</v>
      </c>
      <c r="V327" s="287">
        <v>0</v>
      </c>
      <c r="W327" s="287">
        <v>50</v>
      </c>
      <c r="X327" s="287">
        <v>0</v>
      </c>
      <c r="Y327" s="287">
        <v>999</v>
      </c>
      <c r="Z327" s="289">
        <v>640</v>
      </c>
      <c r="AA327" s="289">
        <v>659</v>
      </c>
      <c r="AB327" s="289">
        <v>3</v>
      </c>
      <c r="AC327" s="289">
        <v>999999</v>
      </c>
      <c r="AD327" s="287">
        <v>0</v>
      </c>
      <c r="AE327" s="290">
        <v>-999</v>
      </c>
      <c r="AF327" s="170">
        <v>0</v>
      </c>
      <c r="AG327" s="171">
        <v>1</v>
      </c>
      <c r="AH327" s="171">
        <v>1</v>
      </c>
      <c r="AI327" s="171">
        <v>0</v>
      </c>
      <c r="AJ327" s="171">
        <v>0</v>
      </c>
      <c r="AK327" s="171">
        <v>1</v>
      </c>
      <c r="AL327" s="171">
        <v>0</v>
      </c>
      <c r="AM327" s="171">
        <v>1</v>
      </c>
      <c r="AN327" s="171">
        <v>1</v>
      </c>
      <c r="AO327" s="171">
        <v>1</v>
      </c>
      <c r="AP327" s="171">
        <v>1</v>
      </c>
      <c r="AQ327" s="171">
        <v>1</v>
      </c>
      <c r="AR327" s="171">
        <v>1</v>
      </c>
      <c r="AS327" s="171">
        <v>1</v>
      </c>
      <c r="AT327" s="171">
        <v>1</v>
      </c>
      <c r="AU327" s="171">
        <f t="shared" si="140"/>
        <v>1</v>
      </c>
      <c r="AV327" s="171">
        <f t="shared" si="141"/>
        <v>0</v>
      </c>
      <c r="AW327" s="171">
        <f t="shared" si="142"/>
        <v>1</v>
      </c>
      <c r="AX327" s="171">
        <f t="shared" si="100"/>
        <v>1</v>
      </c>
      <c r="AY327" s="171">
        <f t="shared" si="143"/>
        <v>0</v>
      </c>
      <c r="AZ327" s="171">
        <f t="shared" si="144"/>
        <v>1</v>
      </c>
      <c r="BA327" s="172">
        <f t="shared" si="145"/>
        <v>0</v>
      </c>
      <c r="BB327" s="175">
        <f t="shared" si="72"/>
        <v>15</v>
      </c>
      <c r="BC327" s="176">
        <f t="shared" si="73"/>
        <v>15</v>
      </c>
      <c r="BD327" s="176">
        <f t="shared" si="74"/>
        <v>15</v>
      </c>
      <c r="BE327" s="240" t="str">
        <f t="shared" ref="BE327:BE390" si="146">IF(BD327=21,C327,"")</f>
        <v/>
      </c>
      <c r="BH327" s="199">
        <f>IF(AND(Input_Product=Elig!$C327,Elig_MatchAll_Ct&lt;22,$BC327=(Elig_MatchAll_Ct-1),AF327=0),C327,0)</f>
        <v>0</v>
      </c>
      <c r="BI327" s="199">
        <f>IF(AND(Input_Product=Elig!$C327,Elig_MatchAll_Ct&lt;22,$BC327=(Elig_MatchAll_Ct-1),AG327=0),D327,0)</f>
        <v>0</v>
      </c>
      <c r="BJ327" s="199">
        <f>IF(AND(Input_Product=Elig!$C327,Elig_MatchAll_Ct&lt;22,$BC327=(Elig_MatchAll_Ct-1),AH327=0),E327,0)</f>
        <v>0</v>
      </c>
      <c r="BK327" s="199">
        <f>IF(AND(Input_Product=Elig!$C327,Elig_MatchAll_Ct&lt;22,$BC327=(Elig_MatchAll_Ct-1),AI327=0),F327,0)</f>
        <v>0</v>
      </c>
      <c r="BL327" s="199">
        <f>IF(AND(Input_Product=Elig!$C327,Elig_MatchAll_Ct&lt;22,$BC327=(Elig_MatchAll_Ct-1),AJ327=0),G327,0)</f>
        <v>0</v>
      </c>
      <c r="BM327" s="199">
        <f>IF(AND(Input_Product=Elig!$C327,Elig_MatchAll_Ct&lt;22,$BC327=(Elig_MatchAll_Ct-1),AK327=0),H327,0)</f>
        <v>0</v>
      </c>
      <c r="BN327" s="199">
        <f>IF(AND(Input_Product=Elig!$C327,Elig_MatchAll_Ct&lt;22,$BC327=(Elig_MatchAll_Ct-1),AL327=0),I327,0)</f>
        <v>0</v>
      </c>
      <c r="BO327" s="199">
        <f>IF(AND(Input_Product=Elig!$C327,Elig_MatchAll_Ct&lt;22,$BC327=(Elig_MatchAll_Ct-1),AM327=0),J327,0)</f>
        <v>0</v>
      </c>
      <c r="BP327" s="199">
        <f>IF(AND(Input_Product=Elig!$C327,Elig_MatchAll_Ct&lt;22,$BC327=(Elig_MatchAll_Ct-1),AN327=0),K327,0)</f>
        <v>0</v>
      </c>
      <c r="BQ327" s="199">
        <f>IF(AND(Input_Product=Elig!$C327,Elig_MatchAll_Ct&lt;22,$BC327=(Elig_MatchAll_Ct-1),AP327=0),L327,0)</f>
        <v>0</v>
      </c>
      <c r="BR327" s="199">
        <f>IF(AND(Input_Product=Elig!$C327,Elig_MatchAll_Ct&lt;22,$BC327=(Elig_MatchAll_Ct-1),AO327=0),M327,0)</f>
        <v>0</v>
      </c>
      <c r="BS327" s="199">
        <f>IF(AND(Input_Product=Elig!$C327,Elig_MatchAll_Ct&lt;22,$BC327=(Elig_MatchAll_Ct-1),AQ327=0),N327,0)</f>
        <v>0</v>
      </c>
      <c r="BT327" s="199">
        <f>IF(AND(Input_Product=Elig!$C327,Elig_MatchAll_Ct&lt;22,$BC327=(Elig_MatchAll_Ct-1),AR327=0),O327,0)</f>
        <v>0</v>
      </c>
      <c r="BU327" s="199">
        <f>IF(AND(Input_Product=Elig!$C327,Elig_MatchAll_Ct&lt;22,$BC327=(Elig_MatchAll_Ct-1),AS327=0),P327,0)</f>
        <v>0</v>
      </c>
      <c r="BV327" s="200">
        <f>IF(AND(Input_Product=Elig!$C327,Elig_MatchAll_Ct&lt;22,$BC327=(Elig_MatchAll_Ct-1),AT327=0),Q327,0)</f>
        <v>0</v>
      </c>
      <c r="BW327" s="201">
        <f>IF(AND(Input_Product=Elig!$C327,Elig_MatchAll_Ct&lt;22,$BC327=(Elig_MatchAll_Ct-1),AU327=0),R327,0)</f>
        <v>0</v>
      </c>
      <c r="BX327" s="202">
        <f>IF(AND(Input_Product=Elig!$C327,Elig_MatchAll_Ct&lt;22,$BC327=(Elig_MatchAll_Ct-1),AU327=0),S327,0)</f>
        <v>0</v>
      </c>
      <c r="BY327" s="201">
        <f>IF(AND(Input_Product=Elig!$C327,Elig_MatchAll_Ct&lt;22,$BC327=(Elig_MatchAll_Ct-1),AV327=0),T327,0)</f>
        <v>0</v>
      </c>
      <c r="BZ327" s="202">
        <f>IF(AND(Input_Product=Elig!$C327,Elig_MatchAll_Ct&lt;22,$BC327=(Elig_MatchAll_Ct-1),AV327=0),U327,0)</f>
        <v>0</v>
      </c>
      <c r="CA327" s="201">
        <f>IF(AND(Input_Product=Elig!$C327,Elig_MatchAll_Ct&lt;22,$BC327=(Elig_MatchAll_Ct-1),AW327=0),V327,0)</f>
        <v>0</v>
      </c>
      <c r="CB327" s="202">
        <f>IF(AND(Input_Product=Elig!$C327,Elig_MatchAll_Ct&lt;22,$BC327=(Elig_MatchAll_Ct-1),AW327=0),W327,0)</f>
        <v>0</v>
      </c>
      <c r="CC327" s="201">
        <f>IF(AND(Input_Product=Elig!$C327,Elig_MatchAll_Ct&lt;22,$BC327=(Elig_MatchAll_Ct-1),AX327=0),X327,0)</f>
        <v>0</v>
      </c>
      <c r="CD327" s="202">
        <f>IF(AND(Input_Product=Elig!$C327,Elig_MatchAll_Ct&lt;22,$BC327=(Elig_MatchAll_Ct-1),AX327=0),Y327,0)</f>
        <v>0</v>
      </c>
      <c r="CE327" s="201">
        <f>IF(AND(Input_LTV&lt;=AE327,Input_Product=Elig!$C327,Elig_MatchAll_Ct&lt;22,$BC327=(Elig_MatchAll_Ct-1),AY327=0),Z327,0)</f>
        <v>0</v>
      </c>
      <c r="CF327" s="202">
        <f>IF(AND(Input_LTV&lt;=AE327,Input_Product=Elig!$C327,Elig_MatchAll_Ct&lt;22,$BC327=(Elig_MatchAll_Ct-1),AY327=0),AA327,0)</f>
        <v>0</v>
      </c>
      <c r="CG327" s="201">
        <f>IF(AND(Input_Product=Elig!$C327,Elig_MatchAll_Ct&lt;22,$BC327=(Elig_MatchAll_Ct-1),AZ327=0),AB327,0)</f>
        <v>0</v>
      </c>
      <c r="CH327" s="202">
        <f>IF(AND(Input_Product=Elig!$C327,Elig_MatchAll_Ct&lt;22,$BC327=(Elig_MatchAll_Ct-1),AZ327=0),AC327,0)</f>
        <v>0</v>
      </c>
      <c r="CI327" s="201">
        <f>IF(AND(Input_Product=Elig!$C327,Elig_MatchAll_Ct&lt;22,$BC327=(Elig_MatchAll_Ct-1),BA327=0),AD327,0)</f>
        <v>0</v>
      </c>
      <c r="CJ327" s="202">
        <f>IF(AND(Input_Product=Elig!$C327,Elig_MatchAll_Ct&lt;22,$BC327=(Elig_MatchAll_Ct-1),BA327=0),AE327,0)</f>
        <v>0</v>
      </c>
    </row>
    <row r="328" spans="2:88" ht="10.15" customHeight="1" x14ac:dyDescent="0.25">
      <c r="B328" s="287" t="s">
        <v>1024</v>
      </c>
      <c r="C328" s="291" t="str">
        <f t="shared" si="132"/>
        <v>NonQM NOO</v>
      </c>
      <c r="D328" s="292" t="s">
        <v>3885</v>
      </c>
      <c r="E328" s="292" t="s">
        <v>167</v>
      </c>
      <c r="F328" s="292" t="s">
        <v>330</v>
      </c>
      <c r="G328" s="292" t="s">
        <v>305</v>
      </c>
      <c r="H328" s="292" t="s">
        <v>136</v>
      </c>
      <c r="I328" s="292" t="s">
        <v>274</v>
      </c>
      <c r="J328" s="292" t="s">
        <v>1311</v>
      </c>
      <c r="K328" s="292" t="s">
        <v>1631</v>
      </c>
      <c r="L328" s="324" t="s">
        <v>312</v>
      </c>
      <c r="M328" s="292" t="s">
        <v>4203</v>
      </c>
      <c r="N328" s="292" t="s">
        <v>2685</v>
      </c>
      <c r="O328" s="292" t="s">
        <v>310</v>
      </c>
      <c r="P328" s="292" t="s">
        <v>291</v>
      </c>
      <c r="Q328" s="292" t="s">
        <v>294</v>
      </c>
      <c r="R328" s="324">
        <v>100000</v>
      </c>
      <c r="S328" s="292">
        <v>1000000</v>
      </c>
      <c r="T328" s="292">
        <v>0</v>
      </c>
      <c r="U328" s="292">
        <v>0</v>
      </c>
      <c r="V328" s="292">
        <v>0</v>
      </c>
      <c r="W328" s="292">
        <v>50</v>
      </c>
      <c r="X328" s="292">
        <v>0</v>
      </c>
      <c r="Y328" s="292">
        <v>999</v>
      </c>
      <c r="Z328" s="293">
        <v>620</v>
      </c>
      <c r="AA328" s="293">
        <v>639</v>
      </c>
      <c r="AB328" s="293">
        <v>3</v>
      </c>
      <c r="AC328" s="293">
        <v>999999</v>
      </c>
      <c r="AD328" s="292">
        <v>0</v>
      </c>
      <c r="AE328" s="294">
        <v>-999</v>
      </c>
      <c r="AF328" s="170">
        <v>0</v>
      </c>
      <c r="AG328" s="171">
        <v>1</v>
      </c>
      <c r="AH328" s="171">
        <v>1</v>
      </c>
      <c r="AI328" s="171">
        <v>0</v>
      </c>
      <c r="AJ328" s="171">
        <v>0</v>
      </c>
      <c r="AK328" s="171">
        <v>1</v>
      </c>
      <c r="AL328" s="171">
        <v>0</v>
      </c>
      <c r="AM328" s="171">
        <v>1</v>
      </c>
      <c r="AN328" s="171">
        <v>1</v>
      </c>
      <c r="AO328" s="171">
        <v>1</v>
      </c>
      <c r="AP328" s="171">
        <v>1</v>
      </c>
      <c r="AQ328" s="171">
        <v>1</v>
      </c>
      <c r="AR328" s="171">
        <v>1</v>
      </c>
      <c r="AS328" s="171">
        <v>1</v>
      </c>
      <c r="AT328" s="171">
        <v>1</v>
      </c>
      <c r="AU328" s="171">
        <f t="shared" si="140"/>
        <v>1</v>
      </c>
      <c r="AV328" s="171">
        <f t="shared" si="141"/>
        <v>0</v>
      </c>
      <c r="AW328" s="171">
        <f t="shared" si="142"/>
        <v>1</v>
      </c>
      <c r="AX328" s="171">
        <f t="shared" si="100"/>
        <v>1</v>
      </c>
      <c r="AY328" s="171">
        <f t="shared" si="143"/>
        <v>0</v>
      </c>
      <c r="AZ328" s="171">
        <f t="shared" si="144"/>
        <v>1</v>
      </c>
      <c r="BA328" s="172">
        <f t="shared" si="145"/>
        <v>0</v>
      </c>
      <c r="BB328" s="175">
        <f t="shared" ref="BB328:BB403" si="147">SUM(AF328:BA328)</f>
        <v>15</v>
      </c>
      <c r="BC328" s="176">
        <f t="shared" ref="BC328:BC403" si="148">SUM(AF328:AZ328)</f>
        <v>15</v>
      </c>
      <c r="BD328" s="176">
        <f t="shared" ref="BD328:BD403" si="149">SUM(AG328:BA328)</f>
        <v>15</v>
      </c>
      <c r="BE328" s="240" t="str">
        <f t="shared" si="146"/>
        <v/>
      </c>
      <c r="BH328" s="214">
        <f>IF(AND(Input_Product=Elig!$C328,Elig_MatchAll_Ct&lt;22,$BC328=(Elig_MatchAll_Ct-1),AF328=0),C328,0)</f>
        <v>0</v>
      </c>
      <c r="BI328" s="214">
        <f>IF(AND(Input_Product=Elig!$C328,Elig_MatchAll_Ct&lt;22,$BC328=(Elig_MatchAll_Ct-1),AG328=0),D328,0)</f>
        <v>0</v>
      </c>
      <c r="BJ328" s="214">
        <f>IF(AND(Input_Product=Elig!$C328,Elig_MatchAll_Ct&lt;22,$BC328=(Elig_MatchAll_Ct-1),AH328=0),E328,0)</f>
        <v>0</v>
      </c>
      <c r="BK328" s="214">
        <f>IF(AND(Input_Product=Elig!$C328,Elig_MatchAll_Ct&lt;22,$BC328=(Elig_MatchAll_Ct-1),AI328=0),F328,0)</f>
        <v>0</v>
      </c>
      <c r="BL328" s="214">
        <f>IF(AND(Input_Product=Elig!$C328,Elig_MatchAll_Ct&lt;22,$BC328=(Elig_MatchAll_Ct-1),AJ328=0),G328,0)</f>
        <v>0</v>
      </c>
      <c r="BM328" s="214">
        <f>IF(AND(Input_Product=Elig!$C328,Elig_MatchAll_Ct&lt;22,$BC328=(Elig_MatchAll_Ct-1),AK328=0),H328,0)</f>
        <v>0</v>
      </c>
      <c r="BN328" s="214">
        <f>IF(AND(Input_Product=Elig!$C328,Elig_MatchAll_Ct&lt;22,$BC328=(Elig_MatchAll_Ct-1),AL328=0),I328,0)</f>
        <v>0</v>
      </c>
      <c r="BO328" s="214">
        <f>IF(AND(Input_Product=Elig!$C328,Elig_MatchAll_Ct&lt;22,$BC328=(Elig_MatchAll_Ct-1),AM328=0),J328,0)</f>
        <v>0</v>
      </c>
      <c r="BP328" s="214">
        <f>IF(AND(Input_Product=Elig!$C328,Elig_MatchAll_Ct&lt;22,$BC328=(Elig_MatchAll_Ct-1),AN328=0),K328,0)</f>
        <v>0</v>
      </c>
      <c r="BQ328" s="214">
        <f>IF(AND(Input_Product=Elig!$C328,Elig_MatchAll_Ct&lt;22,$BC328=(Elig_MatchAll_Ct-1),AP328=0),L328,0)</f>
        <v>0</v>
      </c>
      <c r="BR328" s="214">
        <f>IF(AND(Input_Product=Elig!$C328,Elig_MatchAll_Ct&lt;22,$BC328=(Elig_MatchAll_Ct-1),AO328=0),M328,0)</f>
        <v>0</v>
      </c>
      <c r="BS328" s="214">
        <f>IF(AND(Input_Product=Elig!$C328,Elig_MatchAll_Ct&lt;22,$BC328=(Elig_MatchAll_Ct-1),AQ328=0),N328,0)</f>
        <v>0</v>
      </c>
      <c r="BT328" s="214">
        <f>IF(AND(Input_Product=Elig!$C328,Elig_MatchAll_Ct&lt;22,$BC328=(Elig_MatchAll_Ct-1),AR328=0),O328,0)</f>
        <v>0</v>
      </c>
      <c r="BU328" s="214">
        <f>IF(AND(Input_Product=Elig!$C328,Elig_MatchAll_Ct&lt;22,$BC328=(Elig_MatchAll_Ct-1),AS328=0),P328,0)</f>
        <v>0</v>
      </c>
      <c r="BV328" s="215">
        <f>IF(AND(Input_Product=Elig!$C328,Elig_MatchAll_Ct&lt;22,$BC328=(Elig_MatchAll_Ct-1),AT328=0),Q328,0)</f>
        <v>0</v>
      </c>
      <c r="BW328" s="207">
        <f>IF(AND(Input_Product=Elig!$C328,Elig_MatchAll_Ct&lt;22,$BC328=(Elig_MatchAll_Ct-1),AU328=0),R328,0)</f>
        <v>0</v>
      </c>
      <c r="BX328" s="208">
        <f>IF(AND(Input_Product=Elig!$C328,Elig_MatchAll_Ct&lt;22,$BC328=(Elig_MatchAll_Ct-1),AU328=0),S328,0)</f>
        <v>0</v>
      </c>
      <c r="BY328" s="207">
        <f>IF(AND(Input_Product=Elig!$C328,Elig_MatchAll_Ct&lt;22,$BC328=(Elig_MatchAll_Ct-1),AV328=0),T328,0)</f>
        <v>0</v>
      </c>
      <c r="BZ328" s="208">
        <f>IF(AND(Input_Product=Elig!$C328,Elig_MatchAll_Ct&lt;22,$BC328=(Elig_MatchAll_Ct-1),AV328=0),U328,0)</f>
        <v>0</v>
      </c>
      <c r="CA328" s="207">
        <f>IF(AND(Input_Product=Elig!$C328,Elig_MatchAll_Ct&lt;22,$BC328=(Elig_MatchAll_Ct-1),AW328=0),V328,0)</f>
        <v>0</v>
      </c>
      <c r="CB328" s="208">
        <f>IF(AND(Input_Product=Elig!$C328,Elig_MatchAll_Ct&lt;22,$BC328=(Elig_MatchAll_Ct-1),AW328=0),W328,0)</f>
        <v>0</v>
      </c>
      <c r="CC328" s="207">
        <f>IF(AND(Input_Product=Elig!$C328,Elig_MatchAll_Ct&lt;22,$BC328=(Elig_MatchAll_Ct-1),AX328=0),X328,0)</f>
        <v>0</v>
      </c>
      <c r="CD328" s="208">
        <f>IF(AND(Input_Product=Elig!$C328,Elig_MatchAll_Ct&lt;22,$BC328=(Elig_MatchAll_Ct-1),AX328=0),Y328,0)</f>
        <v>0</v>
      </c>
      <c r="CE328" s="207">
        <f>IF(AND(Input_LTV&lt;=AE328,Input_Product=Elig!$C328,Elig_MatchAll_Ct&lt;22,$BC328=(Elig_MatchAll_Ct-1),AY328=0),Z328,0)</f>
        <v>0</v>
      </c>
      <c r="CF328" s="208">
        <f>IF(AND(Input_LTV&lt;=AE328,Input_Product=Elig!$C328,Elig_MatchAll_Ct&lt;22,$BC328=(Elig_MatchAll_Ct-1),AY328=0),AA328,0)</f>
        <v>0</v>
      </c>
      <c r="CG328" s="207">
        <f>IF(AND(Input_Product=Elig!$C328,Elig_MatchAll_Ct&lt;22,$BC328=(Elig_MatchAll_Ct-1),AZ328=0),AB328,0)</f>
        <v>0</v>
      </c>
      <c r="CH328" s="208">
        <f>IF(AND(Input_Product=Elig!$C328,Elig_MatchAll_Ct&lt;22,$BC328=(Elig_MatchAll_Ct-1),AZ328=0),AC328,0)</f>
        <v>0</v>
      </c>
      <c r="CI328" s="207">
        <f>IF(AND(Input_Product=Elig!$C328,Elig_MatchAll_Ct&lt;22,$BC328=(Elig_MatchAll_Ct-1),BA328=0),AD328,0)</f>
        <v>0</v>
      </c>
      <c r="CJ328" s="209">
        <f>IF(AND(Input_Product=Elig!$C328,Elig_MatchAll_Ct&lt;22,$BC328=(Elig_MatchAll_Ct-1),BA328=0),AE328,0)</f>
        <v>0</v>
      </c>
    </row>
    <row r="329" spans="2:88" ht="10.15" customHeight="1" x14ac:dyDescent="0.25">
      <c r="B329" s="287" t="s">
        <v>1025</v>
      </c>
      <c r="C329" s="281" t="str">
        <f t="shared" si="132"/>
        <v>NonQM NOO</v>
      </c>
      <c r="D329" s="282" t="s">
        <v>3885</v>
      </c>
      <c r="E329" s="283" t="s">
        <v>167</v>
      </c>
      <c r="F329" s="283" t="s">
        <v>330</v>
      </c>
      <c r="G329" s="283" t="s">
        <v>305</v>
      </c>
      <c r="H329" s="283" t="s">
        <v>136</v>
      </c>
      <c r="I329" s="282" t="s">
        <v>16</v>
      </c>
      <c r="J329" s="282" t="s">
        <v>1311</v>
      </c>
      <c r="K329" s="282" t="s">
        <v>1631</v>
      </c>
      <c r="L329" s="2103" t="s">
        <v>312</v>
      </c>
      <c r="M329" s="283" t="s">
        <v>4203</v>
      </c>
      <c r="N329" s="283" t="s">
        <v>2685</v>
      </c>
      <c r="O329" s="283" t="s">
        <v>310</v>
      </c>
      <c r="P329" s="283" t="s">
        <v>291</v>
      </c>
      <c r="Q329" s="283" t="s">
        <v>294</v>
      </c>
      <c r="R329" s="323">
        <v>100000</v>
      </c>
      <c r="S329" s="282">
        <v>1000000</v>
      </c>
      <c r="T329" s="282">
        <v>0</v>
      </c>
      <c r="U329" s="282">
        <f t="shared" ref="U329:U334" si="150">S329</f>
        <v>1000000</v>
      </c>
      <c r="V329" s="282">
        <v>0</v>
      </c>
      <c r="W329" s="282">
        <v>55</v>
      </c>
      <c r="X329" s="282">
        <v>0</v>
      </c>
      <c r="Y329" s="282">
        <v>999</v>
      </c>
      <c r="Z329" s="284">
        <v>720</v>
      </c>
      <c r="AA329" s="284">
        <v>999</v>
      </c>
      <c r="AB329" s="284">
        <v>3</v>
      </c>
      <c r="AC329" s="284">
        <v>999999</v>
      </c>
      <c r="AD329" s="282">
        <v>0</v>
      </c>
      <c r="AE329" s="285">
        <v>70</v>
      </c>
      <c r="AF329" s="170">
        <v>0</v>
      </c>
      <c r="AG329" s="171">
        <v>1</v>
      </c>
      <c r="AH329" s="171">
        <v>1</v>
      </c>
      <c r="AI329" s="171">
        <v>0</v>
      </c>
      <c r="AJ329" s="171">
        <v>0</v>
      </c>
      <c r="AK329" s="171">
        <v>1</v>
      </c>
      <c r="AL329" s="171">
        <v>1</v>
      </c>
      <c r="AM329" s="171">
        <v>1</v>
      </c>
      <c r="AN329" s="171">
        <v>1</v>
      </c>
      <c r="AO329" s="171">
        <v>1</v>
      </c>
      <c r="AP329" s="171">
        <v>1</v>
      </c>
      <c r="AQ329" s="171">
        <v>1</v>
      </c>
      <c r="AR329" s="171">
        <v>1</v>
      </c>
      <c r="AS329" s="171">
        <v>1</v>
      </c>
      <c r="AT329" s="171">
        <v>1</v>
      </c>
      <c r="AU329" s="171">
        <f t="shared" si="140"/>
        <v>1</v>
      </c>
      <c r="AV329" s="171">
        <f t="shared" si="141"/>
        <v>1</v>
      </c>
      <c r="AW329" s="171">
        <f t="shared" si="142"/>
        <v>1</v>
      </c>
      <c r="AX329" s="171">
        <f t="shared" si="100"/>
        <v>1</v>
      </c>
      <c r="AY329" s="171">
        <f t="shared" si="143"/>
        <v>1</v>
      </c>
      <c r="AZ329" s="171">
        <f t="shared" si="144"/>
        <v>1</v>
      </c>
      <c r="BA329" s="172">
        <f t="shared" si="145"/>
        <v>1</v>
      </c>
      <c r="BB329" s="175">
        <f t="shared" si="147"/>
        <v>19</v>
      </c>
      <c r="BC329" s="176">
        <f t="shared" si="148"/>
        <v>18</v>
      </c>
      <c r="BD329" s="176">
        <f t="shared" si="149"/>
        <v>19</v>
      </c>
      <c r="BE329" s="240" t="str">
        <f t="shared" si="146"/>
        <v/>
      </c>
      <c r="BH329" s="216">
        <f>IF(AND(Input_Product=Elig!$C329,Elig_MatchAll_Ct&lt;22,$BC329=(Elig_MatchAll_Ct-1),AF329=0),C329,0)</f>
        <v>0</v>
      </c>
      <c r="BI329" s="216">
        <f>IF(AND(Input_Product=Elig!$C329,Elig_MatchAll_Ct&lt;22,$BC329=(Elig_MatchAll_Ct-1),AG329=0),D329,0)</f>
        <v>0</v>
      </c>
      <c r="BJ329" s="216">
        <f>IF(AND(Input_Product=Elig!$C329,Elig_MatchAll_Ct&lt;22,$BC329=(Elig_MatchAll_Ct-1),AH329=0),E329,0)</f>
        <v>0</v>
      </c>
      <c r="BK329" s="216">
        <f>IF(AND(Input_Product=Elig!$C329,Elig_MatchAll_Ct&lt;22,$BC329=(Elig_MatchAll_Ct-1),AI329=0),F329,0)</f>
        <v>0</v>
      </c>
      <c r="BL329" s="216">
        <f>IF(AND(Input_Product=Elig!$C329,Elig_MatchAll_Ct&lt;22,$BC329=(Elig_MatchAll_Ct-1),AJ329=0),G329,0)</f>
        <v>0</v>
      </c>
      <c r="BM329" s="216">
        <f>IF(AND(Input_Product=Elig!$C329,Elig_MatchAll_Ct&lt;22,$BC329=(Elig_MatchAll_Ct-1),AK329=0),H329,0)</f>
        <v>0</v>
      </c>
      <c r="BN329" s="216">
        <f>IF(AND(Input_Product=Elig!$C329,Elig_MatchAll_Ct&lt;22,$BC329=(Elig_MatchAll_Ct-1),AL329=0),I329,0)</f>
        <v>0</v>
      </c>
      <c r="BO329" s="216">
        <f>IF(AND(Input_Product=Elig!$C329,Elig_MatchAll_Ct&lt;22,$BC329=(Elig_MatchAll_Ct-1),AM329=0),J329,0)</f>
        <v>0</v>
      </c>
      <c r="BP329" s="216">
        <f>IF(AND(Input_Product=Elig!$C329,Elig_MatchAll_Ct&lt;22,$BC329=(Elig_MatchAll_Ct-1),AN329=0),K329,0)</f>
        <v>0</v>
      </c>
      <c r="BQ329" s="216">
        <f>IF(AND(Input_Product=Elig!$C329,Elig_MatchAll_Ct&lt;22,$BC329=(Elig_MatchAll_Ct-1),AP329=0),L329,0)</f>
        <v>0</v>
      </c>
      <c r="BR329" s="216">
        <f>IF(AND(Input_Product=Elig!$C329,Elig_MatchAll_Ct&lt;22,$BC329=(Elig_MatchAll_Ct-1),AO329=0),M329,0)</f>
        <v>0</v>
      </c>
      <c r="BS329" s="216">
        <f>IF(AND(Input_Product=Elig!$C329,Elig_MatchAll_Ct&lt;22,$BC329=(Elig_MatchAll_Ct-1),AQ329=0),N329,0)</f>
        <v>0</v>
      </c>
      <c r="BT329" s="216">
        <f>IF(AND(Input_Product=Elig!$C329,Elig_MatchAll_Ct&lt;22,$BC329=(Elig_MatchAll_Ct-1),AR329=0),O329,0)</f>
        <v>0</v>
      </c>
      <c r="BU329" s="216">
        <f>IF(AND(Input_Product=Elig!$C329,Elig_MatchAll_Ct&lt;22,$BC329=(Elig_MatchAll_Ct-1),AS329=0),P329,0)</f>
        <v>0</v>
      </c>
      <c r="BV329" s="217">
        <f>IF(AND(Input_Product=Elig!$C329,Elig_MatchAll_Ct&lt;22,$BC329=(Elig_MatchAll_Ct-1),AT329=0),Q329,0)</f>
        <v>0</v>
      </c>
      <c r="BW329" s="212">
        <f>IF(AND(Input_Product=Elig!$C329,Elig_MatchAll_Ct&lt;22,$BC329=(Elig_MatchAll_Ct-1),AU329=0),R329,0)</f>
        <v>0</v>
      </c>
      <c r="BX329" s="213">
        <f>IF(AND(Input_Product=Elig!$C329,Elig_MatchAll_Ct&lt;22,$BC329=(Elig_MatchAll_Ct-1),AU329=0),S329,0)</f>
        <v>0</v>
      </c>
      <c r="BY329" s="212">
        <f>IF(AND(Input_Product=Elig!$C329,Elig_MatchAll_Ct&lt;22,$BC329=(Elig_MatchAll_Ct-1),AV329=0),T329,0)</f>
        <v>0</v>
      </c>
      <c r="BZ329" s="213">
        <f>IF(AND(Input_Product=Elig!$C329,Elig_MatchAll_Ct&lt;22,$BC329=(Elig_MatchAll_Ct-1),AV329=0),U329,0)</f>
        <v>0</v>
      </c>
      <c r="CA329" s="212">
        <f>IF(AND(Input_Product=Elig!$C329,Elig_MatchAll_Ct&lt;22,$BC329=(Elig_MatchAll_Ct-1),AW329=0),V329,0)</f>
        <v>0</v>
      </c>
      <c r="CB329" s="213">
        <f>IF(AND(Input_Product=Elig!$C329,Elig_MatchAll_Ct&lt;22,$BC329=(Elig_MatchAll_Ct-1),AW329=0),W329,0)</f>
        <v>0</v>
      </c>
      <c r="CC329" s="212">
        <f>IF(AND(Input_Product=Elig!$C329,Elig_MatchAll_Ct&lt;22,$BC329=(Elig_MatchAll_Ct-1),AX329=0),X329,0)</f>
        <v>0</v>
      </c>
      <c r="CD329" s="213">
        <f>IF(AND(Input_Product=Elig!$C329,Elig_MatchAll_Ct&lt;22,$BC329=(Elig_MatchAll_Ct-1),AX329=0),Y329,0)</f>
        <v>0</v>
      </c>
      <c r="CE329" s="212">
        <f>IF(AND(Input_LTV&lt;=AE329,Input_Product=Elig!$C329,Elig_MatchAll_Ct&lt;22,$BC329=(Elig_MatchAll_Ct-1),AY329=0),Z329,0)</f>
        <v>0</v>
      </c>
      <c r="CF329" s="213">
        <f>IF(AND(Input_LTV&lt;=AE329,Input_Product=Elig!$C329,Elig_MatchAll_Ct&lt;22,$BC329=(Elig_MatchAll_Ct-1),AY329=0),AA329,0)</f>
        <v>0</v>
      </c>
      <c r="CG329" s="212">
        <f>IF(AND(Input_Product=Elig!$C329,Elig_MatchAll_Ct&lt;22,$BC329=(Elig_MatchAll_Ct-1),AZ329=0),AB329,0)</f>
        <v>0</v>
      </c>
      <c r="CH329" s="213">
        <f>IF(AND(Input_Product=Elig!$C329,Elig_MatchAll_Ct&lt;22,$BC329=(Elig_MatchAll_Ct-1),AZ329=0),AC329,0)</f>
        <v>0</v>
      </c>
      <c r="CI329" s="212">
        <f>IF(AND(Input_Product=Elig!$C329,Elig_MatchAll_Ct&lt;22,$BC329=(Elig_MatchAll_Ct-1),BA329=0),AD329,0)</f>
        <v>0</v>
      </c>
      <c r="CJ329" s="213">
        <f>IF(AND(Input_Product=Elig!$C329,Elig_MatchAll_Ct&lt;22,$BC329=(Elig_MatchAll_Ct-1),BA329=0),AE329,0)</f>
        <v>0</v>
      </c>
    </row>
    <row r="330" spans="2:88" ht="10.15" customHeight="1" x14ac:dyDescent="0.25">
      <c r="B330" s="287" t="s">
        <v>1026</v>
      </c>
      <c r="C330" s="286" t="str">
        <f t="shared" si="132"/>
        <v>NonQM NOO</v>
      </c>
      <c r="D330" s="287" t="s">
        <v>3885</v>
      </c>
      <c r="E330" s="287" t="s">
        <v>167</v>
      </c>
      <c r="F330" s="287" t="s">
        <v>330</v>
      </c>
      <c r="G330" s="287" t="s">
        <v>305</v>
      </c>
      <c r="H330" s="287" t="s">
        <v>136</v>
      </c>
      <c r="I330" s="288" t="s">
        <v>16</v>
      </c>
      <c r="J330" s="288" t="s">
        <v>1311</v>
      </c>
      <c r="K330" s="288" t="s">
        <v>1631</v>
      </c>
      <c r="L330" s="300" t="s">
        <v>312</v>
      </c>
      <c r="M330" s="287" t="s">
        <v>4203</v>
      </c>
      <c r="N330" s="287" t="s">
        <v>2685</v>
      </c>
      <c r="O330" s="287" t="s">
        <v>310</v>
      </c>
      <c r="P330" s="287" t="s">
        <v>291</v>
      </c>
      <c r="Q330" s="287" t="s">
        <v>294</v>
      </c>
      <c r="R330" s="300">
        <v>100000</v>
      </c>
      <c r="S330" s="287">
        <v>1000000</v>
      </c>
      <c r="T330" s="287">
        <v>0</v>
      </c>
      <c r="U330" s="287">
        <f t="shared" si="150"/>
        <v>1000000</v>
      </c>
      <c r="V330" s="287">
        <v>0</v>
      </c>
      <c r="W330" s="287">
        <v>55</v>
      </c>
      <c r="X330" s="287">
        <v>0</v>
      </c>
      <c r="Y330" s="287">
        <v>999</v>
      </c>
      <c r="Z330" s="289">
        <v>700</v>
      </c>
      <c r="AA330" s="289">
        <v>719</v>
      </c>
      <c r="AB330" s="289">
        <v>3</v>
      </c>
      <c r="AC330" s="289">
        <v>999999</v>
      </c>
      <c r="AD330" s="287">
        <v>0</v>
      </c>
      <c r="AE330" s="290">
        <v>70</v>
      </c>
      <c r="AF330" s="170">
        <v>0</v>
      </c>
      <c r="AG330" s="171">
        <v>1</v>
      </c>
      <c r="AH330" s="171">
        <v>1</v>
      </c>
      <c r="AI330" s="171">
        <v>0</v>
      </c>
      <c r="AJ330" s="171">
        <v>0</v>
      </c>
      <c r="AK330" s="171">
        <v>1</v>
      </c>
      <c r="AL330" s="171">
        <v>1</v>
      </c>
      <c r="AM330" s="171">
        <v>1</v>
      </c>
      <c r="AN330" s="171">
        <v>1</v>
      </c>
      <c r="AO330" s="171">
        <v>1</v>
      </c>
      <c r="AP330" s="171">
        <v>1</v>
      </c>
      <c r="AQ330" s="171">
        <v>1</v>
      </c>
      <c r="AR330" s="171">
        <v>1</v>
      </c>
      <c r="AS330" s="171">
        <v>1</v>
      </c>
      <c r="AT330" s="171">
        <v>1</v>
      </c>
      <c r="AU330" s="171">
        <f t="shared" si="140"/>
        <v>1</v>
      </c>
      <c r="AV330" s="171">
        <f t="shared" si="141"/>
        <v>1</v>
      </c>
      <c r="AW330" s="171">
        <f t="shared" si="142"/>
        <v>1</v>
      </c>
      <c r="AX330" s="171">
        <f t="shared" si="100"/>
        <v>1</v>
      </c>
      <c r="AY330" s="171">
        <f t="shared" si="143"/>
        <v>0</v>
      </c>
      <c r="AZ330" s="171">
        <f t="shared" si="144"/>
        <v>1</v>
      </c>
      <c r="BA330" s="172">
        <f t="shared" si="145"/>
        <v>1</v>
      </c>
      <c r="BB330" s="175">
        <f t="shared" si="147"/>
        <v>18</v>
      </c>
      <c r="BC330" s="176">
        <f t="shared" si="148"/>
        <v>17</v>
      </c>
      <c r="BD330" s="176">
        <f t="shared" si="149"/>
        <v>18</v>
      </c>
      <c r="BE330" s="240" t="str">
        <f t="shared" si="146"/>
        <v/>
      </c>
      <c r="BH330" s="199">
        <f>IF(AND(Input_Product=Elig!$C330,Elig_MatchAll_Ct&lt;22,$BC330=(Elig_MatchAll_Ct-1),AF330=0),C330,0)</f>
        <v>0</v>
      </c>
      <c r="BI330" s="199">
        <f>IF(AND(Input_Product=Elig!$C330,Elig_MatchAll_Ct&lt;22,$BC330=(Elig_MatchAll_Ct-1),AG330=0),D330,0)</f>
        <v>0</v>
      </c>
      <c r="BJ330" s="199">
        <f>IF(AND(Input_Product=Elig!$C330,Elig_MatchAll_Ct&lt;22,$BC330=(Elig_MatchAll_Ct-1),AH330=0),E330,0)</f>
        <v>0</v>
      </c>
      <c r="BK330" s="199">
        <f>IF(AND(Input_Product=Elig!$C330,Elig_MatchAll_Ct&lt;22,$BC330=(Elig_MatchAll_Ct-1),AI330=0),F330,0)</f>
        <v>0</v>
      </c>
      <c r="BL330" s="199">
        <f>IF(AND(Input_Product=Elig!$C330,Elig_MatchAll_Ct&lt;22,$BC330=(Elig_MatchAll_Ct-1),AJ330=0),G330,0)</f>
        <v>0</v>
      </c>
      <c r="BM330" s="199">
        <f>IF(AND(Input_Product=Elig!$C330,Elig_MatchAll_Ct&lt;22,$BC330=(Elig_MatchAll_Ct-1),AK330=0),H330,0)</f>
        <v>0</v>
      </c>
      <c r="BN330" s="199">
        <f>IF(AND(Input_Product=Elig!$C330,Elig_MatchAll_Ct&lt;22,$BC330=(Elig_MatchAll_Ct-1),AL330=0),I330,0)</f>
        <v>0</v>
      </c>
      <c r="BO330" s="199">
        <f>IF(AND(Input_Product=Elig!$C330,Elig_MatchAll_Ct&lt;22,$BC330=(Elig_MatchAll_Ct-1),AM330=0),J330,0)</f>
        <v>0</v>
      </c>
      <c r="BP330" s="199">
        <f>IF(AND(Input_Product=Elig!$C330,Elig_MatchAll_Ct&lt;22,$BC330=(Elig_MatchAll_Ct-1),AN330=0),K330,0)</f>
        <v>0</v>
      </c>
      <c r="BQ330" s="199">
        <f>IF(AND(Input_Product=Elig!$C330,Elig_MatchAll_Ct&lt;22,$BC330=(Elig_MatchAll_Ct-1),AP330=0),L330,0)</f>
        <v>0</v>
      </c>
      <c r="BR330" s="199">
        <f>IF(AND(Input_Product=Elig!$C330,Elig_MatchAll_Ct&lt;22,$BC330=(Elig_MatchAll_Ct-1),AO330=0),M330,0)</f>
        <v>0</v>
      </c>
      <c r="BS330" s="199">
        <f>IF(AND(Input_Product=Elig!$C330,Elig_MatchAll_Ct&lt;22,$BC330=(Elig_MatchAll_Ct-1),AQ330=0),N330,0)</f>
        <v>0</v>
      </c>
      <c r="BT330" s="199">
        <f>IF(AND(Input_Product=Elig!$C330,Elig_MatchAll_Ct&lt;22,$BC330=(Elig_MatchAll_Ct-1),AR330=0),O330,0)</f>
        <v>0</v>
      </c>
      <c r="BU330" s="199">
        <f>IF(AND(Input_Product=Elig!$C330,Elig_MatchAll_Ct&lt;22,$BC330=(Elig_MatchAll_Ct-1),AS330=0),P330,0)</f>
        <v>0</v>
      </c>
      <c r="BV330" s="200">
        <f>IF(AND(Input_Product=Elig!$C330,Elig_MatchAll_Ct&lt;22,$BC330=(Elig_MatchAll_Ct-1),AT330=0),Q330,0)</f>
        <v>0</v>
      </c>
      <c r="BW330" s="201">
        <f>IF(AND(Input_Product=Elig!$C330,Elig_MatchAll_Ct&lt;22,$BC330=(Elig_MatchAll_Ct-1),AU330=0),R330,0)</f>
        <v>0</v>
      </c>
      <c r="BX330" s="202">
        <f>IF(AND(Input_Product=Elig!$C330,Elig_MatchAll_Ct&lt;22,$BC330=(Elig_MatchAll_Ct-1),AU330=0),S330,0)</f>
        <v>0</v>
      </c>
      <c r="BY330" s="201">
        <f>IF(AND(Input_Product=Elig!$C330,Elig_MatchAll_Ct&lt;22,$BC330=(Elig_MatchAll_Ct-1),AV330=0),T330,0)</f>
        <v>0</v>
      </c>
      <c r="BZ330" s="202">
        <f>IF(AND(Input_Product=Elig!$C330,Elig_MatchAll_Ct&lt;22,$BC330=(Elig_MatchAll_Ct-1),AV330=0),U330,0)</f>
        <v>0</v>
      </c>
      <c r="CA330" s="201">
        <f>IF(AND(Input_Product=Elig!$C330,Elig_MatchAll_Ct&lt;22,$BC330=(Elig_MatchAll_Ct-1),AW330=0),V330,0)</f>
        <v>0</v>
      </c>
      <c r="CB330" s="202">
        <f>IF(AND(Input_Product=Elig!$C330,Elig_MatchAll_Ct&lt;22,$BC330=(Elig_MatchAll_Ct-1),AW330=0),W330,0)</f>
        <v>0</v>
      </c>
      <c r="CC330" s="201">
        <f>IF(AND(Input_Product=Elig!$C330,Elig_MatchAll_Ct&lt;22,$BC330=(Elig_MatchAll_Ct-1),AX330=0),X330,0)</f>
        <v>0</v>
      </c>
      <c r="CD330" s="202">
        <f>IF(AND(Input_Product=Elig!$C330,Elig_MatchAll_Ct&lt;22,$BC330=(Elig_MatchAll_Ct-1),AX330=0),Y330,0)</f>
        <v>0</v>
      </c>
      <c r="CE330" s="201">
        <f>IF(AND(Input_LTV&lt;=AE330,Input_Product=Elig!$C330,Elig_MatchAll_Ct&lt;22,$BC330=(Elig_MatchAll_Ct-1),AY330=0),Z330,0)</f>
        <v>0</v>
      </c>
      <c r="CF330" s="202">
        <f>IF(AND(Input_LTV&lt;=AE330,Input_Product=Elig!$C330,Elig_MatchAll_Ct&lt;22,$BC330=(Elig_MatchAll_Ct-1),AY330=0),AA330,0)</f>
        <v>0</v>
      </c>
      <c r="CG330" s="201">
        <f>IF(AND(Input_Product=Elig!$C330,Elig_MatchAll_Ct&lt;22,$BC330=(Elig_MatchAll_Ct-1),AZ330=0),AB330,0)</f>
        <v>0</v>
      </c>
      <c r="CH330" s="202">
        <f>IF(AND(Input_Product=Elig!$C330,Elig_MatchAll_Ct&lt;22,$BC330=(Elig_MatchAll_Ct-1),AZ330=0),AC330,0)</f>
        <v>0</v>
      </c>
      <c r="CI330" s="201">
        <f>IF(AND(Input_Product=Elig!$C330,Elig_MatchAll_Ct&lt;22,$BC330=(Elig_MatchAll_Ct-1),BA330=0),AD330,0)</f>
        <v>0</v>
      </c>
      <c r="CJ330" s="202">
        <f>IF(AND(Input_Product=Elig!$C330,Elig_MatchAll_Ct&lt;22,$BC330=(Elig_MatchAll_Ct-1),BA330=0),AE330,0)</f>
        <v>0</v>
      </c>
    </row>
    <row r="331" spans="2:88" ht="10.15" customHeight="1" x14ac:dyDescent="0.25">
      <c r="B331" s="287" t="s">
        <v>1027</v>
      </c>
      <c r="C331" s="286" t="str">
        <f t="shared" si="132"/>
        <v>NonQM NOO</v>
      </c>
      <c r="D331" s="287" t="s">
        <v>3885</v>
      </c>
      <c r="E331" s="287" t="s">
        <v>167</v>
      </c>
      <c r="F331" s="287" t="s">
        <v>330</v>
      </c>
      <c r="G331" s="287" t="s">
        <v>305</v>
      </c>
      <c r="H331" s="287" t="s">
        <v>136</v>
      </c>
      <c r="I331" s="288" t="s">
        <v>16</v>
      </c>
      <c r="J331" s="288" t="s">
        <v>1311</v>
      </c>
      <c r="K331" s="288" t="s">
        <v>1631</v>
      </c>
      <c r="L331" s="300" t="s">
        <v>312</v>
      </c>
      <c r="M331" s="287" t="s">
        <v>4203</v>
      </c>
      <c r="N331" s="287" t="s">
        <v>2685</v>
      </c>
      <c r="O331" s="287" t="s">
        <v>310</v>
      </c>
      <c r="P331" s="287" t="s">
        <v>291</v>
      </c>
      <c r="Q331" s="287" t="s">
        <v>294</v>
      </c>
      <c r="R331" s="300">
        <v>100000</v>
      </c>
      <c r="S331" s="287">
        <v>1000000</v>
      </c>
      <c r="T331" s="287">
        <v>0</v>
      </c>
      <c r="U331" s="287">
        <f t="shared" si="150"/>
        <v>1000000</v>
      </c>
      <c r="V331" s="287">
        <v>0</v>
      </c>
      <c r="W331" s="287">
        <v>55</v>
      </c>
      <c r="X331" s="287">
        <v>0</v>
      </c>
      <c r="Y331" s="287">
        <v>999</v>
      </c>
      <c r="Z331" s="289">
        <v>680</v>
      </c>
      <c r="AA331" s="289">
        <v>699</v>
      </c>
      <c r="AB331" s="289">
        <v>3</v>
      </c>
      <c r="AC331" s="289">
        <v>999999</v>
      </c>
      <c r="AD331" s="287">
        <v>0</v>
      </c>
      <c r="AE331" s="290">
        <v>65</v>
      </c>
      <c r="AF331" s="170">
        <v>0</v>
      </c>
      <c r="AG331" s="171">
        <v>1</v>
      </c>
      <c r="AH331" s="171">
        <v>1</v>
      </c>
      <c r="AI331" s="171">
        <v>0</v>
      </c>
      <c r="AJ331" s="171">
        <v>0</v>
      </c>
      <c r="AK331" s="171">
        <v>1</v>
      </c>
      <c r="AL331" s="171">
        <v>1</v>
      </c>
      <c r="AM331" s="171">
        <v>1</v>
      </c>
      <c r="AN331" s="171">
        <v>1</v>
      </c>
      <c r="AO331" s="171">
        <v>1</v>
      </c>
      <c r="AP331" s="171">
        <v>1</v>
      </c>
      <c r="AQ331" s="171">
        <v>1</v>
      </c>
      <c r="AR331" s="171">
        <v>1</v>
      </c>
      <c r="AS331" s="171">
        <v>1</v>
      </c>
      <c r="AT331" s="171">
        <v>1</v>
      </c>
      <c r="AU331" s="171">
        <f t="shared" si="140"/>
        <v>1</v>
      </c>
      <c r="AV331" s="171">
        <f t="shared" si="141"/>
        <v>1</v>
      </c>
      <c r="AW331" s="171">
        <f t="shared" si="142"/>
        <v>1</v>
      </c>
      <c r="AX331" s="171">
        <f t="shared" si="100"/>
        <v>1</v>
      </c>
      <c r="AY331" s="171">
        <f t="shared" si="143"/>
        <v>0</v>
      </c>
      <c r="AZ331" s="171">
        <f t="shared" si="144"/>
        <v>1</v>
      </c>
      <c r="BA331" s="172">
        <f t="shared" si="145"/>
        <v>1</v>
      </c>
      <c r="BB331" s="175">
        <f t="shared" si="147"/>
        <v>18</v>
      </c>
      <c r="BC331" s="176">
        <f t="shared" si="148"/>
        <v>17</v>
      </c>
      <c r="BD331" s="176">
        <f t="shared" si="149"/>
        <v>18</v>
      </c>
      <c r="BE331" s="240" t="str">
        <f t="shared" si="146"/>
        <v/>
      </c>
      <c r="BH331" s="199">
        <f>IF(AND(Input_Product=Elig!$C331,Elig_MatchAll_Ct&lt;22,$BC331=(Elig_MatchAll_Ct-1),AF331=0),C331,0)</f>
        <v>0</v>
      </c>
      <c r="BI331" s="199">
        <f>IF(AND(Input_Product=Elig!$C331,Elig_MatchAll_Ct&lt;22,$BC331=(Elig_MatchAll_Ct-1),AG331=0),D331,0)</f>
        <v>0</v>
      </c>
      <c r="BJ331" s="199">
        <f>IF(AND(Input_Product=Elig!$C331,Elig_MatchAll_Ct&lt;22,$BC331=(Elig_MatchAll_Ct-1),AH331=0),E331,0)</f>
        <v>0</v>
      </c>
      <c r="BK331" s="199">
        <f>IF(AND(Input_Product=Elig!$C331,Elig_MatchAll_Ct&lt;22,$BC331=(Elig_MatchAll_Ct-1),AI331=0),F331,0)</f>
        <v>0</v>
      </c>
      <c r="BL331" s="199">
        <f>IF(AND(Input_Product=Elig!$C331,Elig_MatchAll_Ct&lt;22,$BC331=(Elig_MatchAll_Ct-1),AJ331=0),G331,0)</f>
        <v>0</v>
      </c>
      <c r="BM331" s="199">
        <f>IF(AND(Input_Product=Elig!$C331,Elig_MatchAll_Ct&lt;22,$BC331=(Elig_MatchAll_Ct-1),AK331=0),H331,0)</f>
        <v>0</v>
      </c>
      <c r="BN331" s="199">
        <f>IF(AND(Input_Product=Elig!$C331,Elig_MatchAll_Ct&lt;22,$BC331=(Elig_MatchAll_Ct-1),AL331=0),I331,0)</f>
        <v>0</v>
      </c>
      <c r="BO331" s="199">
        <f>IF(AND(Input_Product=Elig!$C331,Elig_MatchAll_Ct&lt;22,$BC331=(Elig_MatchAll_Ct-1),AM331=0),J331,0)</f>
        <v>0</v>
      </c>
      <c r="BP331" s="199">
        <f>IF(AND(Input_Product=Elig!$C331,Elig_MatchAll_Ct&lt;22,$BC331=(Elig_MatchAll_Ct-1),AN331=0),K331,0)</f>
        <v>0</v>
      </c>
      <c r="BQ331" s="199">
        <f>IF(AND(Input_Product=Elig!$C331,Elig_MatchAll_Ct&lt;22,$BC331=(Elig_MatchAll_Ct-1),AP331=0),L331,0)</f>
        <v>0</v>
      </c>
      <c r="BR331" s="199">
        <f>IF(AND(Input_Product=Elig!$C331,Elig_MatchAll_Ct&lt;22,$BC331=(Elig_MatchAll_Ct-1),AO331=0),M331,0)</f>
        <v>0</v>
      </c>
      <c r="BS331" s="199">
        <f>IF(AND(Input_Product=Elig!$C331,Elig_MatchAll_Ct&lt;22,$BC331=(Elig_MatchAll_Ct-1),AQ331=0),N331,0)</f>
        <v>0</v>
      </c>
      <c r="BT331" s="199">
        <f>IF(AND(Input_Product=Elig!$C331,Elig_MatchAll_Ct&lt;22,$BC331=(Elig_MatchAll_Ct-1),AR331=0),O331,0)</f>
        <v>0</v>
      </c>
      <c r="BU331" s="199">
        <f>IF(AND(Input_Product=Elig!$C331,Elig_MatchAll_Ct&lt;22,$BC331=(Elig_MatchAll_Ct-1),AS331=0),P331,0)</f>
        <v>0</v>
      </c>
      <c r="BV331" s="200">
        <f>IF(AND(Input_Product=Elig!$C331,Elig_MatchAll_Ct&lt;22,$BC331=(Elig_MatchAll_Ct-1),AT331=0),Q331,0)</f>
        <v>0</v>
      </c>
      <c r="BW331" s="201">
        <f>IF(AND(Input_Product=Elig!$C331,Elig_MatchAll_Ct&lt;22,$BC331=(Elig_MatchAll_Ct-1),AU331=0),R331,0)</f>
        <v>0</v>
      </c>
      <c r="BX331" s="202">
        <f>IF(AND(Input_Product=Elig!$C331,Elig_MatchAll_Ct&lt;22,$BC331=(Elig_MatchAll_Ct-1),AU331=0),S331,0)</f>
        <v>0</v>
      </c>
      <c r="BY331" s="201">
        <f>IF(AND(Input_Product=Elig!$C331,Elig_MatchAll_Ct&lt;22,$BC331=(Elig_MatchAll_Ct-1),AV331=0),T331,0)</f>
        <v>0</v>
      </c>
      <c r="BZ331" s="202">
        <f>IF(AND(Input_Product=Elig!$C331,Elig_MatchAll_Ct&lt;22,$BC331=(Elig_MatchAll_Ct-1),AV331=0),U331,0)</f>
        <v>0</v>
      </c>
      <c r="CA331" s="201">
        <f>IF(AND(Input_Product=Elig!$C331,Elig_MatchAll_Ct&lt;22,$BC331=(Elig_MatchAll_Ct-1),AW331=0),V331,0)</f>
        <v>0</v>
      </c>
      <c r="CB331" s="202">
        <f>IF(AND(Input_Product=Elig!$C331,Elig_MatchAll_Ct&lt;22,$BC331=(Elig_MatchAll_Ct-1),AW331=0),W331,0)</f>
        <v>0</v>
      </c>
      <c r="CC331" s="201">
        <f>IF(AND(Input_Product=Elig!$C331,Elig_MatchAll_Ct&lt;22,$BC331=(Elig_MatchAll_Ct-1),AX331=0),X331,0)</f>
        <v>0</v>
      </c>
      <c r="CD331" s="202">
        <f>IF(AND(Input_Product=Elig!$C331,Elig_MatchAll_Ct&lt;22,$BC331=(Elig_MatchAll_Ct-1),AX331=0),Y331,0)</f>
        <v>0</v>
      </c>
      <c r="CE331" s="201">
        <f>IF(AND(Input_LTV&lt;=AE331,Input_Product=Elig!$C331,Elig_MatchAll_Ct&lt;22,$BC331=(Elig_MatchAll_Ct-1),AY331=0),Z331,0)</f>
        <v>0</v>
      </c>
      <c r="CF331" s="202">
        <f>IF(AND(Input_LTV&lt;=AE331,Input_Product=Elig!$C331,Elig_MatchAll_Ct&lt;22,$BC331=(Elig_MatchAll_Ct-1),AY331=0),AA331,0)</f>
        <v>0</v>
      </c>
      <c r="CG331" s="201">
        <f>IF(AND(Input_Product=Elig!$C331,Elig_MatchAll_Ct&lt;22,$BC331=(Elig_MatchAll_Ct-1),AZ331=0),AB331,0)</f>
        <v>0</v>
      </c>
      <c r="CH331" s="202">
        <f>IF(AND(Input_Product=Elig!$C331,Elig_MatchAll_Ct&lt;22,$BC331=(Elig_MatchAll_Ct-1),AZ331=0),AC331,0)</f>
        <v>0</v>
      </c>
      <c r="CI331" s="201">
        <f>IF(AND(Input_Product=Elig!$C331,Elig_MatchAll_Ct&lt;22,$BC331=(Elig_MatchAll_Ct-1),BA331=0),AD331,0)</f>
        <v>0</v>
      </c>
      <c r="CJ331" s="202">
        <f>IF(AND(Input_Product=Elig!$C331,Elig_MatchAll_Ct&lt;22,$BC331=(Elig_MatchAll_Ct-1),BA331=0),AE331,0)</f>
        <v>0</v>
      </c>
    </row>
    <row r="332" spans="2:88" ht="10.15" customHeight="1" x14ac:dyDescent="0.25">
      <c r="B332" s="287" t="s">
        <v>1028</v>
      </c>
      <c r="C332" s="286" t="str">
        <f t="shared" si="132"/>
        <v>NonQM NOO</v>
      </c>
      <c r="D332" s="287" t="s">
        <v>3885</v>
      </c>
      <c r="E332" s="287" t="s">
        <v>167</v>
      </c>
      <c r="F332" s="287" t="s">
        <v>330</v>
      </c>
      <c r="G332" s="287" t="s">
        <v>305</v>
      </c>
      <c r="H332" s="287" t="s">
        <v>136</v>
      </c>
      <c r="I332" s="287" t="s">
        <v>16</v>
      </c>
      <c r="J332" s="287" t="s">
        <v>1311</v>
      </c>
      <c r="K332" s="287" t="s">
        <v>1631</v>
      </c>
      <c r="L332" s="300" t="s">
        <v>312</v>
      </c>
      <c r="M332" s="287" t="s">
        <v>4203</v>
      </c>
      <c r="N332" s="287" t="s">
        <v>2685</v>
      </c>
      <c r="O332" s="287" t="s">
        <v>310</v>
      </c>
      <c r="P332" s="287" t="s">
        <v>291</v>
      </c>
      <c r="Q332" s="287" t="s">
        <v>294</v>
      </c>
      <c r="R332" s="300">
        <v>100000</v>
      </c>
      <c r="S332" s="287">
        <v>1000000</v>
      </c>
      <c r="T332" s="287">
        <v>0</v>
      </c>
      <c r="U332" s="287">
        <f t="shared" si="150"/>
        <v>1000000</v>
      </c>
      <c r="V332" s="287">
        <v>0</v>
      </c>
      <c r="W332" s="287">
        <v>50</v>
      </c>
      <c r="X332" s="287">
        <v>0</v>
      </c>
      <c r="Y332" s="287">
        <v>999</v>
      </c>
      <c r="Z332" s="289">
        <v>660</v>
      </c>
      <c r="AA332" s="289">
        <v>679</v>
      </c>
      <c r="AB332" s="289">
        <v>3</v>
      </c>
      <c r="AC332" s="289">
        <v>999999</v>
      </c>
      <c r="AD332" s="287">
        <v>0</v>
      </c>
      <c r="AE332" s="290">
        <v>65</v>
      </c>
      <c r="AF332" s="170">
        <v>0</v>
      </c>
      <c r="AG332" s="171">
        <v>1</v>
      </c>
      <c r="AH332" s="171">
        <v>1</v>
      </c>
      <c r="AI332" s="171">
        <v>0</v>
      </c>
      <c r="AJ332" s="171">
        <v>0</v>
      </c>
      <c r="AK332" s="171">
        <v>1</v>
      </c>
      <c r="AL332" s="171">
        <v>1</v>
      </c>
      <c r="AM332" s="171">
        <v>1</v>
      </c>
      <c r="AN332" s="171">
        <v>1</v>
      </c>
      <c r="AO332" s="171">
        <v>1</v>
      </c>
      <c r="AP332" s="171">
        <v>1</v>
      </c>
      <c r="AQ332" s="171">
        <v>1</v>
      </c>
      <c r="AR332" s="171">
        <v>1</v>
      </c>
      <c r="AS332" s="171">
        <v>1</v>
      </c>
      <c r="AT332" s="171">
        <v>1</v>
      </c>
      <c r="AU332" s="171">
        <f t="shared" si="140"/>
        <v>1</v>
      </c>
      <c r="AV332" s="171">
        <f t="shared" si="141"/>
        <v>1</v>
      </c>
      <c r="AW332" s="171">
        <f t="shared" si="142"/>
        <v>1</v>
      </c>
      <c r="AX332" s="171">
        <f t="shared" si="100"/>
        <v>1</v>
      </c>
      <c r="AY332" s="171">
        <f t="shared" si="143"/>
        <v>0</v>
      </c>
      <c r="AZ332" s="171">
        <f t="shared" si="144"/>
        <v>1</v>
      </c>
      <c r="BA332" s="172">
        <f t="shared" si="145"/>
        <v>1</v>
      </c>
      <c r="BB332" s="175">
        <f t="shared" si="147"/>
        <v>18</v>
      </c>
      <c r="BC332" s="176">
        <f t="shared" si="148"/>
        <v>17</v>
      </c>
      <c r="BD332" s="176">
        <f t="shared" si="149"/>
        <v>18</v>
      </c>
      <c r="BE332" s="240" t="str">
        <f t="shared" si="146"/>
        <v/>
      </c>
      <c r="BH332" s="199">
        <f>IF(AND(Input_Product=Elig!$C332,Elig_MatchAll_Ct&lt;22,$BC332=(Elig_MatchAll_Ct-1),AF332=0),C332,0)</f>
        <v>0</v>
      </c>
      <c r="BI332" s="199">
        <f>IF(AND(Input_Product=Elig!$C332,Elig_MatchAll_Ct&lt;22,$BC332=(Elig_MatchAll_Ct-1),AG332=0),D332,0)</f>
        <v>0</v>
      </c>
      <c r="BJ332" s="199">
        <f>IF(AND(Input_Product=Elig!$C332,Elig_MatchAll_Ct&lt;22,$BC332=(Elig_MatchAll_Ct-1),AH332=0),E332,0)</f>
        <v>0</v>
      </c>
      <c r="BK332" s="199">
        <f>IF(AND(Input_Product=Elig!$C332,Elig_MatchAll_Ct&lt;22,$BC332=(Elig_MatchAll_Ct-1),AI332=0),F332,0)</f>
        <v>0</v>
      </c>
      <c r="BL332" s="199">
        <f>IF(AND(Input_Product=Elig!$C332,Elig_MatchAll_Ct&lt;22,$BC332=(Elig_MatchAll_Ct-1),AJ332=0),G332,0)</f>
        <v>0</v>
      </c>
      <c r="BM332" s="199">
        <f>IF(AND(Input_Product=Elig!$C332,Elig_MatchAll_Ct&lt;22,$BC332=(Elig_MatchAll_Ct-1),AK332=0),H332,0)</f>
        <v>0</v>
      </c>
      <c r="BN332" s="199">
        <f>IF(AND(Input_Product=Elig!$C332,Elig_MatchAll_Ct&lt;22,$BC332=(Elig_MatchAll_Ct-1),AL332=0),I332,0)</f>
        <v>0</v>
      </c>
      <c r="BO332" s="199">
        <f>IF(AND(Input_Product=Elig!$C332,Elig_MatchAll_Ct&lt;22,$BC332=(Elig_MatchAll_Ct-1),AM332=0),J332,0)</f>
        <v>0</v>
      </c>
      <c r="BP332" s="199">
        <f>IF(AND(Input_Product=Elig!$C332,Elig_MatchAll_Ct&lt;22,$BC332=(Elig_MatchAll_Ct-1),AN332=0),K332,0)</f>
        <v>0</v>
      </c>
      <c r="BQ332" s="199">
        <f>IF(AND(Input_Product=Elig!$C332,Elig_MatchAll_Ct&lt;22,$BC332=(Elig_MatchAll_Ct-1),AP332=0),L332,0)</f>
        <v>0</v>
      </c>
      <c r="BR332" s="199">
        <f>IF(AND(Input_Product=Elig!$C332,Elig_MatchAll_Ct&lt;22,$BC332=(Elig_MatchAll_Ct-1),AO332=0),M332,0)</f>
        <v>0</v>
      </c>
      <c r="BS332" s="199">
        <f>IF(AND(Input_Product=Elig!$C332,Elig_MatchAll_Ct&lt;22,$BC332=(Elig_MatchAll_Ct-1),AQ332=0),N332,0)</f>
        <v>0</v>
      </c>
      <c r="BT332" s="199">
        <f>IF(AND(Input_Product=Elig!$C332,Elig_MatchAll_Ct&lt;22,$BC332=(Elig_MatchAll_Ct-1),AR332=0),O332,0)</f>
        <v>0</v>
      </c>
      <c r="BU332" s="199">
        <f>IF(AND(Input_Product=Elig!$C332,Elig_MatchAll_Ct&lt;22,$BC332=(Elig_MatchAll_Ct-1),AS332=0),P332,0)</f>
        <v>0</v>
      </c>
      <c r="BV332" s="200">
        <f>IF(AND(Input_Product=Elig!$C332,Elig_MatchAll_Ct&lt;22,$BC332=(Elig_MatchAll_Ct-1),AT332=0),Q332,0)</f>
        <v>0</v>
      </c>
      <c r="BW332" s="201">
        <f>IF(AND(Input_Product=Elig!$C332,Elig_MatchAll_Ct&lt;22,$BC332=(Elig_MatchAll_Ct-1),AU332=0),R332,0)</f>
        <v>0</v>
      </c>
      <c r="BX332" s="202">
        <f>IF(AND(Input_Product=Elig!$C332,Elig_MatchAll_Ct&lt;22,$BC332=(Elig_MatchAll_Ct-1),AU332=0),S332,0)</f>
        <v>0</v>
      </c>
      <c r="BY332" s="201">
        <f>IF(AND(Input_Product=Elig!$C332,Elig_MatchAll_Ct&lt;22,$BC332=(Elig_MatchAll_Ct-1),AV332=0),T332,0)</f>
        <v>0</v>
      </c>
      <c r="BZ332" s="202">
        <f>IF(AND(Input_Product=Elig!$C332,Elig_MatchAll_Ct&lt;22,$BC332=(Elig_MatchAll_Ct-1),AV332=0),U332,0)</f>
        <v>0</v>
      </c>
      <c r="CA332" s="201">
        <f>IF(AND(Input_Product=Elig!$C332,Elig_MatchAll_Ct&lt;22,$BC332=(Elig_MatchAll_Ct-1),AW332=0),V332,0)</f>
        <v>0</v>
      </c>
      <c r="CB332" s="202">
        <f>IF(AND(Input_Product=Elig!$C332,Elig_MatchAll_Ct&lt;22,$BC332=(Elig_MatchAll_Ct-1),AW332=0),W332,0)</f>
        <v>0</v>
      </c>
      <c r="CC332" s="201">
        <f>IF(AND(Input_Product=Elig!$C332,Elig_MatchAll_Ct&lt;22,$BC332=(Elig_MatchAll_Ct-1),AX332=0),X332,0)</f>
        <v>0</v>
      </c>
      <c r="CD332" s="202">
        <f>IF(AND(Input_Product=Elig!$C332,Elig_MatchAll_Ct&lt;22,$BC332=(Elig_MatchAll_Ct-1),AX332=0),Y332,0)</f>
        <v>0</v>
      </c>
      <c r="CE332" s="201">
        <f>IF(AND(Input_LTV&lt;=AE332,Input_Product=Elig!$C332,Elig_MatchAll_Ct&lt;22,$BC332=(Elig_MatchAll_Ct-1),AY332=0),Z332,0)</f>
        <v>0</v>
      </c>
      <c r="CF332" s="202">
        <f>IF(AND(Input_LTV&lt;=AE332,Input_Product=Elig!$C332,Elig_MatchAll_Ct&lt;22,$BC332=(Elig_MatchAll_Ct-1),AY332=0),AA332,0)</f>
        <v>0</v>
      </c>
      <c r="CG332" s="201">
        <f>IF(AND(Input_Product=Elig!$C332,Elig_MatchAll_Ct&lt;22,$BC332=(Elig_MatchAll_Ct-1),AZ332=0),AB332,0)</f>
        <v>0</v>
      </c>
      <c r="CH332" s="202">
        <f>IF(AND(Input_Product=Elig!$C332,Elig_MatchAll_Ct&lt;22,$BC332=(Elig_MatchAll_Ct-1),AZ332=0),AC332,0)</f>
        <v>0</v>
      </c>
      <c r="CI332" s="201">
        <f>IF(AND(Input_Product=Elig!$C332,Elig_MatchAll_Ct&lt;22,$BC332=(Elig_MatchAll_Ct-1),BA332=0),AD332,0)</f>
        <v>0</v>
      </c>
      <c r="CJ332" s="202">
        <f>IF(AND(Input_Product=Elig!$C332,Elig_MatchAll_Ct&lt;22,$BC332=(Elig_MatchAll_Ct-1),BA332=0),AE332,0)</f>
        <v>0</v>
      </c>
    </row>
    <row r="333" spans="2:88" ht="10.15" customHeight="1" x14ac:dyDescent="0.25">
      <c r="B333" s="287" t="s">
        <v>1029</v>
      </c>
      <c r="C333" s="286" t="str">
        <f t="shared" si="132"/>
        <v>NonQM NOO</v>
      </c>
      <c r="D333" s="287" t="s">
        <v>3885</v>
      </c>
      <c r="E333" s="287" t="s">
        <v>167</v>
      </c>
      <c r="F333" s="287" t="s">
        <v>330</v>
      </c>
      <c r="G333" s="287" t="s">
        <v>305</v>
      </c>
      <c r="H333" s="287" t="s">
        <v>136</v>
      </c>
      <c r="I333" s="287" t="s">
        <v>16</v>
      </c>
      <c r="J333" s="287" t="s">
        <v>1311</v>
      </c>
      <c r="K333" s="287" t="s">
        <v>1631</v>
      </c>
      <c r="L333" s="300" t="s">
        <v>312</v>
      </c>
      <c r="M333" s="287" t="s">
        <v>4203</v>
      </c>
      <c r="N333" s="287" t="s">
        <v>2685</v>
      </c>
      <c r="O333" s="287" t="s">
        <v>310</v>
      </c>
      <c r="P333" s="287" t="s">
        <v>291</v>
      </c>
      <c r="Q333" s="287" t="s">
        <v>294</v>
      </c>
      <c r="R333" s="300">
        <v>100000</v>
      </c>
      <c r="S333" s="287">
        <v>1000000</v>
      </c>
      <c r="T333" s="287">
        <v>0</v>
      </c>
      <c r="U333" s="287">
        <f t="shared" si="150"/>
        <v>1000000</v>
      </c>
      <c r="V333" s="287">
        <v>0</v>
      </c>
      <c r="W333" s="287">
        <v>50</v>
      </c>
      <c r="X333" s="287">
        <v>0</v>
      </c>
      <c r="Y333" s="287">
        <v>999</v>
      </c>
      <c r="Z333" s="289">
        <v>640</v>
      </c>
      <c r="AA333" s="289">
        <v>659</v>
      </c>
      <c r="AB333" s="289">
        <v>3</v>
      </c>
      <c r="AC333" s="289">
        <v>999999</v>
      </c>
      <c r="AD333" s="287">
        <v>0</v>
      </c>
      <c r="AE333" s="290">
        <v>-999</v>
      </c>
      <c r="AF333" s="170">
        <v>0</v>
      </c>
      <c r="AG333" s="171">
        <v>1</v>
      </c>
      <c r="AH333" s="171">
        <v>1</v>
      </c>
      <c r="AI333" s="171">
        <v>0</v>
      </c>
      <c r="AJ333" s="171">
        <v>0</v>
      </c>
      <c r="AK333" s="171">
        <v>1</v>
      </c>
      <c r="AL333" s="171">
        <v>1</v>
      </c>
      <c r="AM333" s="171">
        <v>1</v>
      </c>
      <c r="AN333" s="171">
        <v>1</v>
      </c>
      <c r="AO333" s="171">
        <v>1</v>
      </c>
      <c r="AP333" s="171">
        <v>1</v>
      </c>
      <c r="AQ333" s="171">
        <v>1</v>
      </c>
      <c r="AR333" s="171">
        <v>1</v>
      </c>
      <c r="AS333" s="171">
        <v>1</v>
      </c>
      <c r="AT333" s="171">
        <v>1</v>
      </c>
      <c r="AU333" s="171">
        <f t="shared" si="140"/>
        <v>1</v>
      </c>
      <c r="AV333" s="171">
        <f t="shared" si="141"/>
        <v>1</v>
      </c>
      <c r="AW333" s="171">
        <f t="shared" si="142"/>
        <v>1</v>
      </c>
      <c r="AX333" s="171">
        <f t="shared" si="100"/>
        <v>1</v>
      </c>
      <c r="AY333" s="171">
        <f t="shared" si="143"/>
        <v>0</v>
      </c>
      <c r="AZ333" s="171">
        <f t="shared" si="144"/>
        <v>1</v>
      </c>
      <c r="BA333" s="172">
        <f t="shared" si="145"/>
        <v>0</v>
      </c>
      <c r="BB333" s="175">
        <f t="shared" si="147"/>
        <v>17</v>
      </c>
      <c r="BC333" s="176">
        <f t="shared" si="148"/>
        <v>17</v>
      </c>
      <c r="BD333" s="176">
        <f t="shared" si="149"/>
        <v>17</v>
      </c>
      <c r="BE333" s="240" t="str">
        <f t="shared" si="146"/>
        <v/>
      </c>
      <c r="BH333" s="199">
        <f>IF(AND(Input_Product=Elig!$C333,Elig_MatchAll_Ct&lt;22,$BC333=(Elig_MatchAll_Ct-1),AF333=0),C333,0)</f>
        <v>0</v>
      </c>
      <c r="BI333" s="199">
        <f>IF(AND(Input_Product=Elig!$C333,Elig_MatchAll_Ct&lt;22,$BC333=(Elig_MatchAll_Ct-1),AG333=0),D333,0)</f>
        <v>0</v>
      </c>
      <c r="BJ333" s="199">
        <f>IF(AND(Input_Product=Elig!$C333,Elig_MatchAll_Ct&lt;22,$BC333=(Elig_MatchAll_Ct-1),AH333=0),E333,0)</f>
        <v>0</v>
      </c>
      <c r="BK333" s="199">
        <f>IF(AND(Input_Product=Elig!$C333,Elig_MatchAll_Ct&lt;22,$BC333=(Elig_MatchAll_Ct-1),AI333=0),F333,0)</f>
        <v>0</v>
      </c>
      <c r="BL333" s="199">
        <f>IF(AND(Input_Product=Elig!$C333,Elig_MatchAll_Ct&lt;22,$BC333=(Elig_MatchAll_Ct-1),AJ333=0),G333,0)</f>
        <v>0</v>
      </c>
      <c r="BM333" s="199">
        <f>IF(AND(Input_Product=Elig!$C333,Elig_MatchAll_Ct&lt;22,$BC333=(Elig_MatchAll_Ct-1),AK333=0),H333,0)</f>
        <v>0</v>
      </c>
      <c r="BN333" s="199">
        <f>IF(AND(Input_Product=Elig!$C333,Elig_MatchAll_Ct&lt;22,$BC333=(Elig_MatchAll_Ct-1),AL333=0),I333,0)</f>
        <v>0</v>
      </c>
      <c r="BO333" s="199">
        <f>IF(AND(Input_Product=Elig!$C333,Elig_MatchAll_Ct&lt;22,$BC333=(Elig_MatchAll_Ct-1),AM333=0),J333,0)</f>
        <v>0</v>
      </c>
      <c r="BP333" s="199">
        <f>IF(AND(Input_Product=Elig!$C333,Elig_MatchAll_Ct&lt;22,$BC333=(Elig_MatchAll_Ct-1),AN333=0),K333,0)</f>
        <v>0</v>
      </c>
      <c r="BQ333" s="199">
        <f>IF(AND(Input_Product=Elig!$C333,Elig_MatchAll_Ct&lt;22,$BC333=(Elig_MatchAll_Ct-1),AP333=0),L333,0)</f>
        <v>0</v>
      </c>
      <c r="BR333" s="199">
        <f>IF(AND(Input_Product=Elig!$C333,Elig_MatchAll_Ct&lt;22,$BC333=(Elig_MatchAll_Ct-1),AO333=0),M333,0)</f>
        <v>0</v>
      </c>
      <c r="BS333" s="199">
        <f>IF(AND(Input_Product=Elig!$C333,Elig_MatchAll_Ct&lt;22,$BC333=(Elig_MatchAll_Ct-1),AQ333=0),N333,0)</f>
        <v>0</v>
      </c>
      <c r="BT333" s="199">
        <f>IF(AND(Input_Product=Elig!$C333,Elig_MatchAll_Ct&lt;22,$BC333=(Elig_MatchAll_Ct-1),AR333=0),O333,0)</f>
        <v>0</v>
      </c>
      <c r="BU333" s="199">
        <f>IF(AND(Input_Product=Elig!$C333,Elig_MatchAll_Ct&lt;22,$BC333=(Elig_MatchAll_Ct-1),AS333=0),P333,0)</f>
        <v>0</v>
      </c>
      <c r="BV333" s="200">
        <f>IF(AND(Input_Product=Elig!$C333,Elig_MatchAll_Ct&lt;22,$BC333=(Elig_MatchAll_Ct-1),AT333=0),Q333,0)</f>
        <v>0</v>
      </c>
      <c r="BW333" s="201">
        <f>IF(AND(Input_Product=Elig!$C333,Elig_MatchAll_Ct&lt;22,$BC333=(Elig_MatchAll_Ct-1),AU333=0),R333,0)</f>
        <v>0</v>
      </c>
      <c r="BX333" s="202">
        <f>IF(AND(Input_Product=Elig!$C333,Elig_MatchAll_Ct&lt;22,$BC333=(Elig_MatchAll_Ct-1),AU333=0),S333,0)</f>
        <v>0</v>
      </c>
      <c r="BY333" s="201">
        <f>IF(AND(Input_Product=Elig!$C333,Elig_MatchAll_Ct&lt;22,$BC333=(Elig_MatchAll_Ct-1),AV333=0),T333,0)</f>
        <v>0</v>
      </c>
      <c r="BZ333" s="202">
        <f>IF(AND(Input_Product=Elig!$C333,Elig_MatchAll_Ct&lt;22,$BC333=(Elig_MatchAll_Ct-1),AV333=0),U333,0)</f>
        <v>0</v>
      </c>
      <c r="CA333" s="201">
        <f>IF(AND(Input_Product=Elig!$C333,Elig_MatchAll_Ct&lt;22,$BC333=(Elig_MatchAll_Ct-1),AW333=0),V333,0)</f>
        <v>0</v>
      </c>
      <c r="CB333" s="202">
        <f>IF(AND(Input_Product=Elig!$C333,Elig_MatchAll_Ct&lt;22,$BC333=(Elig_MatchAll_Ct-1),AW333=0),W333,0)</f>
        <v>0</v>
      </c>
      <c r="CC333" s="201">
        <f>IF(AND(Input_Product=Elig!$C333,Elig_MatchAll_Ct&lt;22,$BC333=(Elig_MatchAll_Ct-1),AX333=0),X333,0)</f>
        <v>0</v>
      </c>
      <c r="CD333" s="202">
        <f>IF(AND(Input_Product=Elig!$C333,Elig_MatchAll_Ct&lt;22,$BC333=(Elig_MatchAll_Ct-1),AX333=0),Y333,0)</f>
        <v>0</v>
      </c>
      <c r="CE333" s="201">
        <f>IF(AND(Input_LTV&lt;=AE333,Input_Product=Elig!$C333,Elig_MatchAll_Ct&lt;22,$BC333=(Elig_MatchAll_Ct-1),AY333=0),Z333,0)</f>
        <v>0</v>
      </c>
      <c r="CF333" s="202">
        <f>IF(AND(Input_LTV&lt;=AE333,Input_Product=Elig!$C333,Elig_MatchAll_Ct&lt;22,$BC333=(Elig_MatchAll_Ct-1),AY333=0),AA333,0)</f>
        <v>0</v>
      </c>
      <c r="CG333" s="201">
        <f>IF(AND(Input_Product=Elig!$C333,Elig_MatchAll_Ct&lt;22,$BC333=(Elig_MatchAll_Ct-1),AZ333=0),AB333,0)</f>
        <v>0</v>
      </c>
      <c r="CH333" s="202">
        <f>IF(AND(Input_Product=Elig!$C333,Elig_MatchAll_Ct&lt;22,$BC333=(Elig_MatchAll_Ct-1),AZ333=0),AC333,0)</f>
        <v>0</v>
      </c>
      <c r="CI333" s="201">
        <f>IF(AND(Input_Product=Elig!$C333,Elig_MatchAll_Ct&lt;22,$BC333=(Elig_MatchAll_Ct-1),BA333=0),AD333,0)</f>
        <v>0</v>
      </c>
      <c r="CJ333" s="202">
        <f>IF(AND(Input_Product=Elig!$C333,Elig_MatchAll_Ct&lt;22,$BC333=(Elig_MatchAll_Ct-1),BA333=0),AE333,0)</f>
        <v>0</v>
      </c>
    </row>
    <row r="334" spans="2:88" ht="10.15" customHeight="1" x14ac:dyDescent="0.25">
      <c r="B334" s="287" t="s">
        <v>1030</v>
      </c>
      <c r="C334" s="291" t="str">
        <f t="shared" si="132"/>
        <v>NonQM NOO</v>
      </c>
      <c r="D334" s="292" t="s">
        <v>3885</v>
      </c>
      <c r="E334" s="292" t="s">
        <v>167</v>
      </c>
      <c r="F334" s="292" t="s">
        <v>330</v>
      </c>
      <c r="G334" s="292" t="s">
        <v>305</v>
      </c>
      <c r="H334" s="292" t="s">
        <v>136</v>
      </c>
      <c r="I334" s="292" t="s">
        <v>16</v>
      </c>
      <c r="J334" s="292" t="s">
        <v>1311</v>
      </c>
      <c r="K334" s="292" t="s">
        <v>1631</v>
      </c>
      <c r="L334" s="324" t="s">
        <v>312</v>
      </c>
      <c r="M334" s="292" t="s">
        <v>4203</v>
      </c>
      <c r="N334" s="292" t="s">
        <v>2685</v>
      </c>
      <c r="O334" s="292" t="s">
        <v>310</v>
      </c>
      <c r="P334" s="292" t="s">
        <v>291</v>
      </c>
      <c r="Q334" s="292" t="s">
        <v>294</v>
      </c>
      <c r="R334" s="324">
        <v>100000</v>
      </c>
      <c r="S334" s="292">
        <v>1000000</v>
      </c>
      <c r="T334" s="292">
        <v>0</v>
      </c>
      <c r="U334" s="292">
        <f t="shared" si="150"/>
        <v>1000000</v>
      </c>
      <c r="V334" s="292">
        <v>0</v>
      </c>
      <c r="W334" s="292">
        <v>50</v>
      </c>
      <c r="X334" s="292">
        <v>0</v>
      </c>
      <c r="Y334" s="292">
        <v>999</v>
      </c>
      <c r="Z334" s="293">
        <v>620</v>
      </c>
      <c r="AA334" s="293">
        <v>639</v>
      </c>
      <c r="AB334" s="293">
        <v>3</v>
      </c>
      <c r="AC334" s="293">
        <v>999999</v>
      </c>
      <c r="AD334" s="292">
        <v>0</v>
      </c>
      <c r="AE334" s="294">
        <v>-999</v>
      </c>
      <c r="AF334" s="170">
        <v>0</v>
      </c>
      <c r="AG334" s="171">
        <v>1</v>
      </c>
      <c r="AH334" s="171">
        <v>1</v>
      </c>
      <c r="AI334" s="171">
        <v>0</v>
      </c>
      <c r="AJ334" s="171">
        <v>0</v>
      </c>
      <c r="AK334" s="171">
        <v>1</v>
      </c>
      <c r="AL334" s="171">
        <v>1</v>
      </c>
      <c r="AM334" s="171">
        <v>1</v>
      </c>
      <c r="AN334" s="171">
        <v>1</v>
      </c>
      <c r="AO334" s="171">
        <v>1</v>
      </c>
      <c r="AP334" s="171">
        <v>1</v>
      </c>
      <c r="AQ334" s="171">
        <v>1</v>
      </c>
      <c r="AR334" s="171">
        <v>1</v>
      </c>
      <c r="AS334" s="171">
        <v>1</v>
      </c>
      <c r="AT334" s="171">
        <v>1</v>
      </c>
      <c r="AU334" s="171">
        <f t="shared" si="140"/>
        <v>1</v>
      </c>
      <c r="AV334" s="171">
        <f t="shared" si="141"/>
        <v>1</v>
      </c>
      <c r="AW334" s="171">
        <f t="shared" si="142"/>
        <v>1</v>
      </c>
      <c r="AX334" s="171">
        <f t="shared" si="100"/>
        <v>1</v>
      </c>
      <c r="AY334" s="171">
        <f t="shared" si="143"/>
        <v>0</v>
      </c>
      <c r="AZ334" s="171">
        <f t="shared" si="144"/>
        <v>1</v>
      </c>
      <c r="BA334" s="172">
        <f t="shared" si="145"/>
        <v>0</v>
      </c>
      <c r="BB334" s="175">
        <f t="shared" si="147"/>
        <v>17</v>
      </c>
      <c r="BC334" s="176">
        <f t="shared" si="148"/>
        <v>17</v>
      </c>
      <c r="BD334" s="176">
        <f t="shared" si="149"/>
        <v>17</v>
      </c>
      <c r="BE334" s="240" t="str">
        <f t="shared" si="146"/>
        <v/>
      </c>
      <c r="BH334" s="214">
        <f>IF(AND(Input_Product=Elig!$C334,Elig_MatchAll_Ct&lt;22,$BC334=(Elig_MatchAll_Ct-1),AF334=0),C334,0)</f>
        <v>0</v>
      </c>
      <c r="BI334" s="214">
        <f>IF(AND(Input_Product=Elig!$C334,Elig_MatchAll_Ct&lt;22,$BC334=(Elig_MatchAll_Ct-1),AG334=0),D334,0)</f>
        <v>0</v>
      </c>
      <c r="BJ334" s="214">
        <f>IF(AND(Input_Product=Elig!$C334,Elig_MatchAll_Ct&lt;22,$BC334=(Elig_MatchAll_Ct-1),AH334=0),E334,0)</f>
        <v>0</v>
      </c>
      <c r="BK334" s="214">
        <f>IF(AND(Input_Product=Elig!$C334,Elig_MatchAll_Ct&lt;22,$BC334=(Elig_MatchAll_Ct-1),AI334=0),F334,0)</f>
        <v>0</v>
      </c>
      <c r="BL334" s="214">
        <f>IF(AND(Input_Product=Elig!$C334,Elig_MatchAll_Ct&lt;22,$BC334=(Elig_MatchAll_Ct-1),AJ334=0),G334,0)</f>
        <v>0</v>
      </c>
      <c r="BM334" s="214">
        <f>IF(AND(Input_Product=Elig!$C334,Elig_MatchAll_Ct&lt;22,$BC334=(Elig_MatchAll_Ct-1),AK334=0),H334,0)</f>
        <v>0</v>
      </c>
      <c r="BN334" s="214">
        <f>IF(AND(Input_Product=Elig!$C334,Elig_MatchAll_Ct&lt;22,$BC334=(Elig_MatchAll_Ct-1),AL334=0),I334,0)</f>
        <v>0</v>
      </c>
      <c r="BO334" s="214">
        <f>IF(AND(Input_Product=Elig!$C334,Elig_MatchAll_Ct&lt;22,$BC334=(Elig_MatchAll_Ct-1),AM334=0),J334,0)</f>
        <v>0</v>
      </c>
      <c r="BP334" s="214">
        <f>IF(AND(Input_Product=Elig!$C334,Elig_MatchAll_Ct&lt;22,$BC334=(Elig_MatchAll_Ct-1),AN334=0),K334,0)</f>
        <v>0</v>
      </c>
      <c r="BQ334" s="214">
        <f>IF(AND(Input_Product=Elig!$C334,Elig_MatchAll_Ct&lt;22,$BC334=(Elig_MatchAll_Ct-1),AP334=0),L334,0)</f>
        <v>0</v>
      </c>
      <c r="BR334" s="214">
        <f>IF(AND(Input_Product=Elig!$C334,Elig_MatchAll_Ct&lt;22,$BC334=(Elig_MatchAll_Ct-1),AO334=0),M334,0)</f>
        <v>0</v>
      </c>
      <c r="BS334" s="214">
        <f>IF(AND(Input_Product=Elig!$C334,Elig_MatchAll_Ct&lt;22,$BC334=(Elig_MatchAll_Ct-1),AQ334=0),N334,0)</f>
        <v>0</v>
      </c>
      <c r="BT334" s="214">
        <f>IF(AND(Input_Product=Elig!$C334,Elig_MatchAll_Ct&lt;22,$BC334=(Elig_MatchAll_Ct-1),AR334=0),O334,0)</f>
        <v>0</v>
      </c>
      <c r="BU334" s="214">
        <f>IF(AND(Input_Product=Elig!$C334,Elig_MatchAll_Ct&lt;22,$BC334=(Elig_MatchAll_Ct-1),AS334=0),P334,0)</f>
        <v>0</v>
      </c>
      <c r="BV334" s="215">
        <f>IF(AND(Input_Product=Elig!$C334,Elig_MatchAll_Ct&lt;22,$BC334=(Elig_MatchAll_Ct-1),AT334=0),Q334,0)</f>
        <v>0</v>
      </c>
      <c r="BW334" s="207">
        <f>IF(AND(Input_Product=Elig!$C334,Elig_MatchAll_Ct&lt;22,$BC334=(Elig_MatchAll_Ct-1),AU334=0),R334,0)</f>
        <v>0</v>
      </c>
      <c r="BX334" s="208">
        <f>IF(AND(Input_Product=Elig!$C334,Elig_MatchAll_Ct&lt;22,$BC334=(Elig_MatchAll_Ct-1),AU334=0),S334,0)</f>
        <v>0</v>
      </c>
      <c r="BY334" s="207">
        <f>IF(AND(Input_Product=Elig!$C334,Elig_MatchAll_Ct&lt;22,$BC334=(Elig_MatchAll_Ct-1),AV334=0),T334,0)</f>
        <v>0</v>
      </c>
      <c r="BZ334" s="208">
        <f>IF(AND(Input_Product=Elig!$C334,Elig_MatchAll_Ct&lt;22,$BC334=(Elig_MatchAll_Ct-1),AV334=0),U334,0)</f>
        <v>0</v>
      </c>
      <c r="CA334" s="207">
        <f>IF(AND(Input_Product=Elig!$C334,Elig_MatchAll_Ct&lt;22,$BC334=(Elig_MatchAll_Ct-1),AW334=0),V334,0)</f>
        <v>0</v>
      </c>
      <c r="CB334" s="208">
        <f>IF(AND(Input_Product=Elig!$C334,Elig_MatchAll_Ct&lt;22,$BC334=(Elig_MatchAll_Ct-1),AW334=0),W334,0)</f>
        <v>0</v>
      </c>
      <c r="CC334" s="207">
        <f>IF(AND(Input_Product=Elig!$C334,Elig_MatchAll_Ct&lt;22,$BC334=(Elig_MatchAll_Ct-1),AX334=0),X334,0)</f>
        <v>0</v>
      </c>
      <c r="CD334" s="208">
        <f>IF(AND(Input_Product=Elig!$C334,Elig_MatchAll_Ct&lt;22,$BC334=(Elig_MatchAll_Ct-1),AX334=0),Y334,0)</f>
        <v>0</v>
      </c>
      <c r="CE334" s="207">
        <f>IF(AND(Input_LTV&lt;=AE334,Input_Product=Elig!$C334,Elig_MatchAll_Ct&lt;22,$BC334=(Elig_MatchAll_Ct-1),AY334=0),Z334,0)</f>
        <v>0</v>
      </c>
      <c r="CF334" s="208">
        <f>IF(AND(Input_LTV&lt;=AE334,Input_Product=Elig!$C334,Elig_MatchAll_Ct&lt;22,$BC334=(Elig_MatchAll_Ct-1),AY334=0),AA334,0)</f>
        <v>0</v>
      </c>
      <c r="CG334" s="207">
        <f>IF(AND(Input_Product=Elig!$C334,Elig_MatchAll_Ct&lt;22,$BC334=(Elig_MatchAll_Ct-1),AZ334=0),AB334,0)</f>
        <v>0</v>
      </c>
      <c r="CH334" s="208">
        <f>IF(AND(Input_Product=Elig!$C334,Elig_MatchAll_Ct&lt;22,$BC334=(Elig_MatchAll_Ct-1),AZ334=0),AC334,0)</f>
        <v>0</v>
      </c>
      <c r="CI334" s="207">
        <f>IF(AND(Input_Product=Elig!$C334,Elig_MatchAll_Ct&lt;22,$BC334=(Elig_MatchAll_Ct-1),BA334=0),AD334,0)</f>
        <v>0</v>
      </c>
      <c r="CJ334" s="209">
        <f>IF(AND(Input_Product=Elig!$C334,Elig_MatchAll_Ct&lt;22,$BC334=(Elig_MatchAll_Ct-1),BA334=0),AE334,0)</f>
        <v>0</v>
      </c>
    </row>
    <row r="335" spans="2:88" ht="10.15" customHeight="1" x14ac:dyDescent="0.25">
      <c r="B335" s="287" t="s">
        <v>1031</v>
      </c>
      <c r="C335" s="281" t="str">
        <f t="shared" si="132"/>
        <v>NonQM NOO</v>
      </c>
      <c r="D335" s="282" t="s">
        <v>3885</v>
      </c>
      <c r="E335" s="283" t="s">
        <v>167</v>
      </c>
      <c r="F335" s="283" t="s">
        <v>330</v>
      </c>
      <c r="G335" s="283" t="s">
        <v>181</v>
      </c>
      <c r="H335" s="283" t="s">
        <v>136</v>
      </c>
      <c r="I335" s="282" t="s">
        <v>274</v>
      </c>
      <c r="J335" s="282" t="s">
        <v>1311</v>
      </c>
      <c r="K335" s="282" t="s">
        <v>1631</v>
      </c>
      <c r="L335" s="2103" t="s">
        <v>312</v>
      </c>
      <c r="M335" s="283" t="s">
        <v>4203</v>
      </c>
      <c r="N335" s="283" t="s">
        <v>2685</v>
      </c>
      <c r="O335" s="283" t="s">
        <v>310</v>
      </c>
      <c r="P335" s="283" t="s">
        <v>291</v>
      </c>
      <c r="Q335" s="283" t="s">
        <v>294</v>
      </c>
      <c r="R335" s="323">
        <v>100000</v>
      </c>
      <c r="S335" s="282">
        <v>1000000</v>
      </c>
      <c r="T335" s="282">
        <v>0</v>
      </c>
      <c r="U335" s="282">
        <v>0</v>
      </c>
      <c r="V335" s="282">
        <v>0</v>
      </c>
      <c r="W335" s="282">
        <v>55</v>
      </c>
      <c r="X335" s="282">
        <v>0.75</v>
      </c>
      <c r="Y335" s="282">
        <v>999</v>
      </c>
      <c r="Z335" s="284">
        <v>720</v>
      </c>
      <c r="AA335" s="284">
        <v>999</v>
      </c>
      <c r="AB335" s="284">
        <v>3</v>
      </c>
      <c r="AC335" s="284">
        <v>999999</v>
      </c>
      <c r="AD335" s="282">
        <v>0</v>
      </c>
      <c r="AE335" s="2152">
        <v>80</v>
      </c>
      <c r="AF335" s="170">
        <v>0</v>
      </c>
      <c r="AG335" s="171">
        <v>1</v>
      </c>
      <c r="AH335" s="171">
        <v>1</v>
      </c>
      <c r="AI335" s="171">
        <v>0</v>
      </c>
      <c r="AJ335" s="171">
        <v>0</v>
      </c>
      <c r="AK335" s="171">
        <v>1</v>
      </c>
      <c r="AL335" s="171">
        <v>0</v>
      </c>
      <c r="AM335" s="171">
        <v>1</v>
      </c>
      <c r="AN335" s="171">
        <v>1</v>
      </c>
      <c r="AO335" s="171">
        <v>1</v>
      </c>
      <c r="AP335" s="171">
        <v>1</v>
      </c>
      <c r="AQ335" s="171">
        <v>1</v>
      </c>
      <c r="AR335" s="171">
        <v>1</v>
      </c>
      <c r="AS335" s="171">
        <v>1</v>
      </c>
      <c r="AT335" s="171">
        <v>1</v>
      </c>
      <c r="AU335" s="171">
        <f t="shared" si="140"/>
        <v>1</v>
      </c>
      <c r="AV335" s="171">
        <f t="shared" si="141"/>
        <v>0</v>
      </c>
      <c r="AW335" s="171">
        <f t="shared" si="142"/>
        <v>1</v>
      </c>
      <c r="AX335" s="171">
        <f t="shared" si="100"/>
        <v>0</v>
      </c>
      <c r="AY335" s="171">
        <f t="shared" si="143"/>
        <v>1</v>
      </c>
      <c r="AZ335" s="171">
        <f t="shared" si="144"/>
        <v>1</v>
      </c>
      <c r="BA335" s="172">
        <f t="shared" si="145"/>
        <v>1</v>
      </c>
      <c r="BB335" s="175">
        <f t="shared" si="147"/>
        <v>16</v>
      </c>
      <c r="BC335" s="176">
        <f t="shared" si="148"/>
        <v>15</v>
      </c>
      <c r="BD335" s="176">
        <f t="shared" si="149"/>
        <v>16</v>
      </c>
      <c r="BE335" s="240" t="str">
        <f t="shared" si="146"/>
        <v/>
      </c>
      <c r="BH335" s="216">
        <f>IF(AND(Input_Product=Elig!$C335,Elig_MatchAll_Ct&lt;22,$BC335=(Elig_MatchAll_Ct-1),AF335=0),C335,0)</f>
        <v>0</v>
      </c>
      <c r="BI335" s="216">
        <f>IF(AND(Input_Product=Elig!$C335,Elig_MatchAll_Ct&lt;22,$BC335=(Elig_MatchAll_Ct-1),AG335=0),D335,0)</f>
        <v>0</v>
      </c>
      <c r="BJ335" s="216">
        <f>IF(AND(Input_Product=Elig!$C335,Elig_MatchAll_Ct&lt;22,$BC335=(Elig_MatchAll_Ct-1),AH335=0),E335,0)</f>
        <v>0</v>
      </c>
      <c r="BK335" s="216">
        <f>IF(AND(Input_Product=Elig!$C335,Elig_MatchAll_Ct&lt;22,$BC335=(Elig_MatchAll_Ct-1),AI335=0),F335,0)</f>
        <v>0</v>
      </c>
      <c r="BL335" s="216">
        <f>IF(AND(Input_Product=Elig!$C335,Elig_MatchAll_Ct&lt;22,$BC335=(Elig_MatchAll_Ct-1),AJ335=0),G335,0)</f>
        <v>0</v>
      </c>
      <c r="BM335" s="216">
        <f>IF(AND(Input_Product=Elig!$C335,Elig_MatchAll_Ct&lt;22,$BC335=(Elig_MatchAll_Ct-1),AK335=0),H335,0)</f>
        <v>0</v>
      </c>
      <c r="BN335" s="216">
        <f>IF(AND(Input_Product=Elig!$C335,Elig_MatchAll_Ct&lt;22,$BC335=(Elig_MatchAll_Ct-1),AL335=0),I335,0)</f>
        <v>0</v>
      </c>
      <c r="BO335" s="216">
        <f>IF(AND(Input_Product=Elig!$C335,Elig_MatchAll_Ct&lt;22,$BC335=(Elig_MatchAll_Ct-1),AM335=0),J335,0)</f>
        <v>0</v>
      </c>
      <c r="BP335" s="216">
        <f>IF(AND(Input_Product=Elig!$C335,Elig_MatchAll_Ct&lt;22,$BC335=(Elig_MatchAll_Ct-1),AN335=0),K335,0)</f>
        <v>0</v>
      </c>
      <c r="BQ335" s="216">
        <f>IF(AND(Input_Product=Elig!$C335,Elig_MatchAll_Ct&lt;22,$BC335=(Elig_MatchAll_Ct-1),AP335=0),L335,0)</f>
        <v>0</v>
      </c>
      <c r="BR335" s="216">
        <f>IF(AND(Input_Product=Elig!$C335,Elig_MatchAll_Ct&lt;22,$BC335=(Elig_MatchAll_Ct-1),AO335=0),M335,0)</f>
        <v>0</v>
      </c>
      <c r="BS335" s="216">
        <f>IF(AND(Input_Product=Elig!$C335,Elig_MatchAll_Ct&lt;22,$BC335=(Elig_MatchAll_Ct-1),AQ335=0),N335,0)</f>
        <v>0</v>
      </c>
      <c r="BT335" s="216">
        <f>IF(AND(Input_Product=Elig!$C335,Elig_MatchAll_Ct&lt;22,$BC335=(Elig_MatchAll_Ct-1),AR335=0),O335,0)</f>
        <v>0</v>
      </c>
      <c r="BU335" s="216">
        <f>IF(AND(Input_Product=Elig!$C335,Elig_MatchAll_Ct&lt;22,$BC335=(Elig_MatchAll_Ct-1),AS335=0),P335,0)</f>
        <v>0</v>
      </c>
      <c r="BV335" s="217">
        <f>IF(AND(Input_Product=Elig!$C335,Elig_MatchAll_Ct&lt;22,$BC335=(Elig_MatchAll_Ct-1),AT335=0),Q335,0)</f>
        <v>0</v>
      </c>
      <c r="BW335" s="212">
        <f>IF(AND(Input_Product=Elig!$C335,Elig_MatchAll_Ct&lt;22,$BC335=(Elig_MatchAll_Ct-1),AU335=0),R335,0)</f>
        <v>0</v>
      </c>
      <c r="BX335" s="213">
        <f>IF(AND(Input_Product=Elig!$C335,Elig_MatchAll_Ct&lt;22,$BC335=(Elig_MatchAll_Ct-1),AU335=0),S335,0)</f>
        <v>0</v>
      </c>
      <c r="BY335" s="212">
        <f>IF(AND(Input_Product=Elig!$C335,Elig_MatchAll_Ct&lt;22,$BC335=(Elig_MatchAll_Ct-1),AV335=0),T335,0)</f>
        <v>0</v>
      </c>
      <c r="BZ335" s="213">
        <f>IF(AND(Input_Product=Elig!$C335,Elig_MatchAll_Ct&lt;22,$BC335=(Elig_MatchAll_Ct-1),AV335=0),U335,0)</f>
        <v>0</v>
      </c>
      <c r="CA335" s="212">
        <f>IF(AND(Input_Product=Elig!$C335,Elig_MatchAll_Ct&lt;22,$BC335=(Elig_MatchAll_Ct-1),AW335=0),V335,0)</f>
        <v>0</v>
      </c>
      <c r="CB335" s="213">
        <f>IF(AND(Input_Product=Elig!$C335,Elig_MatchAll_Ct&lt;22,$BC335=(Elig_MatchAll_Ct-1),AW335=0),W335,0)</f>
        <v>0</v>
      </c>
      <c r="CC335" s="212">
        <f>IF(AND(Input_Product=Elig!$C335,Elig_MatchAll_Ct&lt;22,$BC335=(Elig_MatchAll_Ct-1),AX335=0),X335,0)</f>
        <v>0</v>
      </c>
      <c r="CD335" s="213">
        <f>IF(AND(Input_Product=Elig!$C335,Elig_MatchAll_Ct&lt;22,$BC335=(Elig_MatchAll_Ct-1),AX335=0),Y335,0)</f>
        <v>0</v>
      </c>
      <c r="CE335" s="212">
        <f>IF(AND(Input_LTV&lt;=AE335,Input_Product=Elig!$C335,Elig_MatchAll_Ct&lt;22,$BC335=(Elig_MatchAll_Ct-1),AY335=0),Z335,0)</f>
        <v>0</v>
      </c>
      <c r="CF335" s="213">
        <f>IF(AND(Input_LTV&lt;=AE335,Input_Product=Elig!$C335,Elig_MatchAll_Ct&lt;22,$BC335=(Elig_MatchAll_Ct-1),AY335=0),AA335,0)</f>
        <v>0</v>
      </c>
      <c r="CG335" s="212">
        <f>IF(AND(Input_Product=Elig!$C335,Elig_MatchAll_Ct&lt;22,$BC335=(Elig_MatchAll_Ct-1),AZ335=0),AB335,0)</f>
        <v>0</v>
      </c>
      <c r="CH335" s="213">
        <f>IF(AND(Input_Product=Elig!$C335,Elig_MatchAll_Ct&lt;22,$BC335=(Elig_MatchAll_Ct-1),AZ335=0),AC335,0)</f>
        <v>0</v>
      </c>
      <c r="CI335" s="212">
        <f>IF(AND(Input_Product=Elig!$C335,Elig_MatchAll_Ct&lt;22,$BC335=(Elig_MatchAll_Ct-1),BA335=0),AD335,0)</f>
        <v>0</v>
      </c>
      <c r="CJ335" s="213">
        <f>IF(AND(Input_Product=Elig!$C335,Elig_MatchAll_Ct&lt;22,$BC335=(Elig_MatchAll_Ct-1),BA335=0),AE335,0)</f>
        <v>0</v>
      </c>
    </row>
    <row r="336" spans="2:88" ht="10.15" customHeight="1" x14ac:dyDescent="0.25">
      <c r="B336" s="287" t="s">
        <v>1032</v>
      </c>
      <c r="C336" s="286" t="str">
        <f t="shared" si="132"/>
        <v>NonQM NOO</v>
      </c>
      <c r="D336" s="287" t="s">
        <v>3885</v>
      </c>
      <c r="E336" s="287" t="s">
        <v>167</v>
      </c>
      <c r="F336" s="287" t="s">
        <v>330</v>
      </c>
      <c r="G336" s="287" t="s">
        <v>181</v>
      </c>
      <c r="H336" s="287" t="s">
        <v>136</v>
      </c>
      <c r="I336" s="288" t="s">
        <v>274</v>
      </c>
      <c r="J336" s="288" t="s">
        <v>1311</v>
      </c>
      <c r="K336" s="288" t="s">
        <v>1631</v>
      </c>
      <c r="L336" s="300" t="s">
        <v>312</v>
      </c>
      <c r="M336" s="287" t="s">
        <v>4203</v>
      </c>
      <c r="N336" s="287" t="s">
        <v>2685</v>
      </c>
      <c r="O336" s="287" t="s">
        <v>310</v>
      </c>
      <c r="P336" s="287" t="s">
        <v>291</v>
      </c>
      <c r="Q336" s="287" t="s">
        <v>294</v>
      </c>
      <c r="R336" s="300">
        <v>100000</v>
      </c>
      <c r="S336" s="287">
        <v>1000000</v>
      </c>
      <c r="T336" s="287">
        <v>0</v>
      </c>
      <c r="U336" s="287">
        <v>0</v>
      </c>
      <c r="V336" s="287">
        <v>0</v>
      </c>
      <c r="W336" s="287">
        <v>55</v>
      </c>
      <c r="X336" s="287">
        <v>0.75</v>
      </c>
      <c r="Y336" s="287">
        <v>999</v>
      </c>
      <c r="Z336" s="289">
        <v>700</v>
      </c>
      <c r="AA336" s="289">
        <v>719</v>
      </c>
      <c r="AB336" s="289">
        <v>3</v>
      </c>
      <c r="AC336" s="289">
        <v>999999</v>
      </c>
      <c r="AD336" s="287">
        <v>0</v>
      </c>
      <c r="AE336" s="2153">
        <v>80</v>
      </c>
      <c r="AF336" s="170">
        <v>0</v>
      </c>
      <c r="AG336" s="171">
        <v>1</v>
      </c>
      <c r="AH336" s="171">
        <v>1</v>
      </c>
      <c r="AI336" s="171">
        <v>0</v>
      </c>
      <c r="AJ336" s="171">
        <v>0</v>
      </c>
      <c r="AK336" s="171">
        <v>1</v>
      </c>
      <c r="AL336" s="171">
        <v>0</v>
      </c>
      <c r="AM336" s="171">
        <v>1</v>
      </c>
      <c r="AN336" s="171">
        <v>1</v>
      </c>
      <c r="AO336" s="171">
        <v>1</v>
      </c>
      <c r="AP336" s="171">
        <v>1</v>
      </c>
      <c r="AQ336" s="171">
        <v>1</v>
      </c>
      <c r="AR336" s="171">
        <v>1</v>
      </c>
      <c r="AS336" s="171">
        <v>1</v>
      </c>
      <c r="AT336" s="171">
        <v>1</v>
      </c>
      <c r="AU336" s="171">
        <f t="shared" si="140"/>
        <v>1</v>
      </c>
      <c r="AV336" s="171">
        <f t="shared" si="141"/>
        <v>0</v>
      </c>
      <c r="AW336" s="171">
        <f t="shared" si="142"/>
        <v>1</v>
      </c>
      <c r="AX336" s="171">
        <f t="shared" si="100"/>
        <v>0</v>
      </c>
      <c r="AY336" s="171">
        <f t="shared" si="143"/>
        <v>0</v>
      </c>
      <c r="AZ336" s="171">
        <f t="shared" si="144"/>
        <v>1</v>
      </c>
      <c r="BA336" s="172">
        <f t="shared" si="145"/>
        <v>1</v>
      </c>
      <c r="BB336" s="175">
        <f t="shared" si="147"/>
        <v>15</v>
      </c>
      <c r="BC336" s="176">
        <f t="shared" si="148"/>
        <v>14</v>
      </c>
      <c r="BD336" s="176">
        <f t="shared" si="149"/>
        <v>15</v>
      </c>
      <c r="BE336" s="240" t="str">
        <f t="shared" si="146"/>
        <v/>
      </c>
      <c r="BH336" s="199">
        <f>IF(AND(Input_Product=Elig!$C336,Elig_MatchAll_Ct&lt;22,$BC336=(Elig_MatchAll_Ct-1),AF336=0),C336,0)</f>
        <v>0</v>
      </c>
      <c r="BI336" s="199">
        <f>IF(AND(Input_Product=Elig!$C336,Elig_MatchAll_Ct&lt;22,$BC336=(Elig_MatchAll_Ct-1),AG336=0),D336,0)</f>
        <v>0</v>
      </c>
      <c r="BJ336" s="199">
        <f>IF(AND(Input_Product=Elig!$C336,Elig_MatchAll_Ct&lt;22,$BC336=(Elig_MatchAll_Ct-1),AH336=0),E336,0)</f>
        <v>0</v>
      </c>
      <c r="BK336" s="199">
        <f>IF(AND(Input_Product=Elig!$C336,Elig_MatchAll_Ct&lt;22,$BC336=(Elig_MatchAll_Ct-1),AI336=0),F336,0)</f>
        <v>0</v>
      </c>
      <c r="BL336" s="199">
        <f>IF(AND(Input_Product=Elig!$C336,Elig_MatchAll_Ct&lt;22,$BC336=(Elig_MatchAll_Ct-1),AJ336=0),G336,0)</f>
        <v>0</v>
      </c>
      <c r="BM336" s="199">
        <f>IF(AND(Input_Product=Elig!$C336,Elig_MatchAll_Ct&lt;22,$BC336=(Elig_MatchAll_Ct-1),AK336=0),H336,0)</f>
        <v>0</v>
      </c>
      <c r="BN336" s="199">
        <f>IF(AND(Input_Product=Elig!$C336,Elig_MatchAll_Ct&lt;22,$BC336=(Elig_MatchAll_Ct-1),AL336=0),I336,0)</f>
        <v>0</v>
      </c>
      <c r="BO336" s="199">
        <f>IF(AND(Input_Product=Elig!$C336,Elig_MatchAll_Ct&lt;22,$BC336=(Elig_MatchAll_Ct-1),AM336=0),J336,0)</f>
        <v>0</v>
      </c>
      <c r="BP336" s="199">
        <f>IF(AND(Input_Product=Elig!$C336,Elig_MatchAll_Ct&lt;22,$BC336=(Elig_MatchAll_Ct-1),AN336=0),K336,0)</f>
        <v>0</v>
      </c>
      <c r="BQ336" s="199">
        <f>IF(AND(Input_Product=Elig!$C336,Elig_MatchAll_Ct&lt;22,$BC336=(Elig_MatchAll_Ct-1),AP336=0),L336,0)</f>
        <v>0</v>
      </c>
      <c r="BR336" s="199">
        <f>IF(AND(Input_Product=Elig!$C336,Elig_MatchAll_Ct&lt;22,$BC336=(Elig_MatchAll_Ct-1),AO336=0),M336,0)</f>
        <v>0</v>
      </c>
      <c r="BS336" s="199">
        <f>IF(AND(Input_Product=Elig!$C336,Elig_MatchAll_Ct&lt;22,$BC336=(Elig_MatchAll_Ct-1),AQ336=0),N336,0)</f>
        <v>0</v>
      </c>
      <c r="BT336" s="199">
        <f>IF(AND(Input_Product=Elig!$C336,Elig_MatchAll_Ct&lt;22,$BC336=(Elig_MatchAll_Ct-1),AR336=0),O336,0)</f>
        <v>0</v>
      </c>
      <c r="BU336" s="199">
        <f>IF(AND(Input_Product=Elig!$C336,Elig_MatchAll_Ct&lt;22,$BC336=(Elig_MatchAll_Ct-1),AS336=0),P336,0)</f>
        <v>0</v>
      </c>
      <c r="BV336" s="200">
        <f>IF(AND(Input_Product=Elig!$C336,Elig_MatchAll_Ct&lt;22,$BC336=(Elig_MatchAll_Ct-1),AT336=0),Q336,0)</f>
        <v>0</v>
      </c>
      <c r="BW336" s="201">
        <f>IF(AND(Input_Product=Elig!$C336,Elig_MatchAll_Ct&lt;22,$BC336=(Elig_MatchAll_Ct-1),AU336=0),R336,0)</f>
        <v>0</v>
      </c>
      <c r="BX336" s="202">
        <f>IF(AND(Input_Product=Elig!$C336,Elig_MatchAll_Ct&lt;22,$BC336=(Elig_MatchAll_Ct-1),AU336=0),S336,0)</f>
        <v>0</v>
      </c>
      <c r="BY336" s="201">
        <f>IF(AND(Input_Product=Elig!$C336,Elig_MatchAll_Ct&lt;22,$BC336=(Elig_MatchAll_Ct-1),AV336=0),T336,0)</f>
        <v>0</v>
      </c>
      <c r="BZ336" s="202">
        <f>IF(AND(Input_Product=Elig!$C336,Elig_MatchAll_Ct&lt;22,$BC336=(Elig_MatchAll_Ct-1),AV336=0),U336,0)</f>
        <v>0</v>
      </c>
      <c r="CA336" s="201">
        <f>IF(AND(Input_Product=Elig!$C336,Elig_MatchAll_Ct&lt;22,$BC336=(Elig_MatchAll_Ct-1),AW336=0),V336,0)</f>
        <v>0</v>
      </c>
      <c r="CB336" s="202">
        <f>IF(AND(Input_Product=Elig!$C336,Elig_MatchAll_Ct&lt;22,$BC336=(Elig_MatchAll_Ct-1),AW336=0),W336,0)</f>
        <v>0</v>
      </c>
      <c r="CC336" s="201">
        <f>IF(AND(Input_Product=Elig!$C336,Elig_MatchAll_Ct&lt;22,$BC336=(Elig_MatchAll_Ct-1),AX336=0),X336,0)</f>
        <v>0</v>
      </c>
      <c r="CD336" s="202">
        <f>IF(AND(Input_Product=Elig!$C336,Elig_MatchAll_Ct&lt;22,$BC336=(Elig_MatchAll_Ct-1),AX336=0),Y336,0)</f>
        <v>0</v>
      </c>
      <c r="CE336" s="201">
        <f>IF(AND(Input_LTV&lt;=AE336,Input_Product=Elig!$C336,Elig_MatchAll_Ct&lt;22,$BC336=(Elig_MatchAll_Ct-1),AY336=0),Z336,0)</f>
        <v>0</v>
      </c>
      <c r="CF336" s="202">
        <f>IF(AND(Input_LTV&lt;=AE336,Input_Product=Elig!$C336,Elig_MatchAll_Ct&lt;22,$BC336=(Elig_MatchAll_Ct-1),AY336=0),AA336,0)</f>
        <v>0</v>
      </c>
      <c r="CG336" s="201">
        <f>IF(AND(Input_Product=Elig!$C336,Elig_MatchAll_Ct&lt;22,$BC336=(Elig_MatchAll_Ct-1),AZ336=0),AB336,0)</f>
        <v>0</v>
      </c>
      <c r="CH336" s="202">
        <f>IF(AND(Input_Product=Elig!$C336,Elig_MatchAll_Ct&lt;22,$BC336=(Elig_MatchAll_Ct-1),AZ336=0),AC336,0)</f>
        <v>0</v>
      </c>
      <c r="CI336" s="201">
        <f>IF(AND(Input_Product=Elig!$C336,Elig_MatchAll_Ct&lt;22,$BC336=(Elig_MatchAll_Ct-1),BA336=0),AD336,0)</f>
        <v>0</v>
      </c>
      <c r="CJ336" s="202">
        <f>IF(AND(Input_Product=Elig!$C336,Elig_MatchAll_Ct&lt;22,$BC336=(Elig_MatchAll_Ct-1),BA336=0),AE336,0)</f>
        <v>0</v>
      </c>
    </row>
    <row r="337" spans="2:88" ht="10.15" customHeight="1" x14ac:dyDescent="0.25">
      <c r="B337" s="287" t="s">
        <v>1033</v>
      </c>
      <c r="C337" s="286" t="str">
        <f t="shared" si="132"/>
        <v>NonQM NOO</v>
      </c>
      <c r="D337" s="287" t="s">
        <v>3885</v>
      </c>
      <c r="E337" s="287" t="s">
        <v>167</v>
      </c>
      <c r="F337" s="287" t="s">
        <v>330</v>
      </c>
      <c r="G337" s="287" t="s">
        <v>181</v>
      </c>
      <c r="H337" s="287" t="s">
        <v>136</v>
      </c>
      <c r="I337" s="288" t="s">
        <v>274</v>
      </c>
      <c r="J337" s="288" t="s">
        <v>1311</v>
      </c>
      <c r="K337" s="288" t="s">
        <v>1631</v>
      </c>
      <c r="L337" s="300" t="s">
        <v>312</v>
      </c>
      <c r="M337" s="287" t="s">
        <v>4203</v>
      </c>
      <c r="N337" s="287" t="s">
        <v>2685</v>
      </c>
      <c r="O337" s="287" t="s">
        <v>310</v>
      </c>
      <c r="P337" s="287" t="s">
        <v>291</v>
      </c>
      <c r="Q337" s="287" t="s">
        <v>294</v>
      </c>
      <c r="R337" s="300">
        <v>100000</v>
      </c>
      <c r="S337" s="287">
        <v>1000000</v>
      </c>
      <c r="T337" s="287">
        <v>0</v>
      </c>
      <c r="U337" s="287">
        <v>0</v>
      </c>
      <c r="V337" s="287">
        <v>0</v>
      </c>
      <c r="W337" s="287">
        <v>55</v>
      </c>
      <c r="X337" s="287">
        <v>0.75</v>
      </c>
      <c r="Y337" s="287">
        <v>999</v>
      </c>
      <c r="Z337" s="289">
        <v>680</v>
      </c>
      <c r="AA337" s="289">
        <v>699</v>
      </c>
      <c r="AB337" s="289">
        <v>3</v>
      </c>
      <c r="AC337" s="289">
        <v>999999</v>
      </c>
      <c r="AD337" s="287">
        <v>0</v>
      </c>
      <c r="AE337" s="2105">
        <v>80</v>
      </c>
      <c r="AF337" s="170">
        <v>0</v>
      </c>
      <c r="AG337" s="171">
        <v>1</v>
      </c>
      <c r="AH337" s="171">
        <v>1</v>
      </c>
      <c r="AI337" s="171">
        <v>0</v>
      </c>
      <c r="AJ337" s="171">
        <v>0</v>
      </c>
      <c r="AK337" s="171">
        <v>1</v>
      </c>
      <c r="AL337" s="171">
        <v>0</v>
      </c>
      <c r="AM337" s="171">
        <v>1</v>
      </c>
      <c r="AN337" s="171">
        <v>1</v>
      </c>
      <c r="AO337" s="171">
        <v>1</v>
      </c>
      <c r="AP337" s="171">
        <v>1</v>
      </c>
      <c r="AQ337" s="171">
        <v>1</v>
      </c>
      <c r="AR337" s="171">
        <v>1</v>
      </c>
      <c r="AS337" s="171">
        <v>1</v>
      </c>
      <c r="AT337" s="171">
        <v>1</v>
      </c>
      <c r="AU337" s="171">
        <f t="shared" si="140"/>
        <v>1</v>
      </c>
      <c r="AV337" s="171">
        <f t="shared" si="141"/>
        <v>0</v>
      </c>
      <c r="AW337" s="171">
        <f t="shared" si="142"/>
        <v>1</v>
      </c>
      <c r="AX337" s="171">
        <f t="shared" si="100"/>
        <v>0</v>
      </c>
      <c r="AY337" s="171">
        <f t="shared" si="143"/>
        <v>0</v>
      </c>
      <c r="AZ337" s="171">
        <f t="shared" si="144"/>
        <v>1</v>
      </c>
      <c r="BA337" s="172">
        <f t="shared" si="145"/>
        <v>1</v>
      </c>
      <c r="BB337" s="175">
        <f t="shared" si="147"/>
        <v>15</v>
      </c>
      <c r="BC337" s="176">
        <f t="shared" si="148"/>
        <v>14</v>
      </c>
      <c r="BD337" s="176">
        <f t="shared" si="149"/>
        <v>15</v>
      </c>
      <c r="BE337" s="240" t="str">
        <f t="shared" si="146"/>
        <v/>
      </c>
      <c r="BH337" s="199">
        <f>IF(AND(Input_Product=Elig!$C337,Elig_MatchAll_Ct&lt;22,$BC337=(Elig_MatchAll_Ct-1),AF337=0),C337,0)</f>
        <v>0</v>
      </c>
      <c r="BI337" s="199">
        <f>IF(AND(Input_Product=Elig!$C337,Elig_MatchAll_Ct&lt;22,$BC337=(Elig_MatchAll_Ct-1),AG337=0),D337,0)</f>
        <v>0</v>
      </c>
      <c r="BJ337" s="199">
        <f>IF(AND(Input_Product=Elig!$C337,Elig_MatchAll_Ct&lt;22,$BC337=(Elig_MatchAll_Ct-1),AH337=0),E337,0)</f>
        <v>0</v>
      </c>
      <c r="BK337" s="199">
        <f>IF(AND(Input_Product=Elig!$C337,Elig_MatchAll_Ct&lt;22,$BC337=(Elig_MatchAll_Ct-1),AI337=0),F337,0)</f>
        <v>0</v>
      </c>
      <c r="BL337" s="199">
        <f>IF(AND(Input_Product=Elig!$C337,Elig_MatchAll_Ct&lt;22,$BC337=(Elig_MatchAll_Ct-1),AJ337=0),G337,0)</f>
        <v>0</v>
      </c>
      <c r="BM337" s="199">
        <f>IF(AND(Input_Product=Elig!$C337,Elig_MatchAll_Ct&lt;22,$BC337=(Elig_MatchAll_Ct-1),AK337=0),H337,0)</f>
        <v>0</v>
      </c>
      <c r="BN337" s="199">
        <f>IF(AND(Input_Product=Elig!$C337,Elig_MatchAll_Ct&lt;22,$BC337=(Elig_MatchAll_Ct-1),AL337=0),I337,0)</f>
        <v>0</v>
      </c>
      <c r="BO337" s="199">
        <f>IF(AND(Input_Product=Elig!$C337,Elig_MatchAll_Ct&lt;22,$BC337=(Elig_MatchAll_Ct-1),AM337=0),J337,0)</f>
        <v>0</v>
      </c>
      <c r="BP337" s="199">
        <f>IF(AND(Input_Product=Elig!$C337,Elig_MatchAll_Ct&lt;22,$BC337=(Elig_MatchAll_Ct-1),AN337=0),K337,0)</f>
        <v>0</v>
      </c>
      <c r="BQ337" s="199">
        <f>IF(AND(Input_Product=Elig!$C337,Elig_MatchAll_Ct&lt;22,$BC337=(Elig_MatchAll_Ct-1),AP337=0),L337,0)</f>
        <v>0</v>
      </c>
      <c r="BR337" s="199">
        <f>IF(AND(Input_Product=Elig!$C337,Elig_MatchAll_Ct&lt;22,$BC337=(Elig_MatchAll_Ct-1),AO337=0),M337,0)</f>
        <v>0</v>
      </c>
      <c r="BS337" s="199">
        <f>IF(AND(Input_Product=Elig!$C337,Elig_MatchAll_Ct&lt;22,$BC337=(Elig_MatchAll_Ct-1),AQ337=0),N337,0)</f>
        <v>0</v>
      </c>
      <c r="BT337" s="199">
        <f>IF(AND(Input_Product=Elig!$C337,Elig_MatchAll_Ct&lt;22,$BC337=(Elig_MatchAll_Ct-1),AR337=0),O337,0)</f>
        <v>0</v>
      </c>
      <c r="BU337" s="199">
        <f>IF(AND(Input_Product=Elig!$C337,Elig_MatchAll_Ct&lt;22,$BC337=(Elig_MatchAll_Ct-1),AS337=0),P337,0)</f>
        <v>0</v>
      </c>
      <c r="BV337" s="200">
        <f>IF(AND(Input_Product=Elig!$C337,Elig_MatchAll_Ct&lt;22,$BC337=(Elig_MatchAll_Ct-1),AT337=0),Q337,0)</f>
        <v>0</v>
      </c>
      <c r="BW337" s="201">
        <f>IF(AND(Input_Product=Elig!$C337,Elig_MatchAll_Ct&lt;22,$BC337=(Elig_MatchAll_Ct-1),AU337=0),R337,0)</f>
        <v>0</v>
      </c>
      <c r="BX337" s="202">
        <f>IF(AND(Input_Product=Elig!$C337,Elig_MatchAll_Ct&lt;22,$BC337=(Elig_MatchAll_Ct-1),AU337=0),S337,0)</f>
        <v>0</v>
      </c>
      <c r="BY337" s="201">
        <f>IF(AND(Input_Product=Elig!$C337,Elig_MatchAll_Ct&lt;22,$BC337=(Elig_MatchAll_Ct-1),AV337=0),T337,0)</f>
        <v>0</v>
      </c>
      <c r="BZ337" s="202">
        <f>IF(AND(Input_Product=Elig!$C337,Elig_MatchAll_Ct&lt;22,$BC337=(Elig_MatchAll_Ct-1),AV337=0),U337,0)</f>
        <v>0</v>
      </c>
      <c r="CA337" s="201">
        <f>IF(AND(Input_Product=Elig!$C337,Elig_MatchAll_Ct&lt;22,$BC337=(Elig_MatchAll_Ct-1),AW337=0),V337,0)</f>
        <v>0</v>
      </c>
      <c r="CB337" s="202">
        <f>IF(AND(Input_Product=Elig!$C337,Elig_MatchAll_Ct&lt;22,$BC337=(Elig_MatchAll_Ct-1),AW337=0),W337,0)</f>
        <v>0</v>
      </c>
      <c r="CC337" s="201">
        <f>IF(AND(Input_Product=Elig!$C337,Elig_MatchAll_Ct&lt;22,$BC337=(Elig_MatchAll_Ct-1),AX337=0),X337,0)</f>
        <v>0</v>
      </c>
      <c r="CD337" s="202">
        <f>IF(AND(Input_Product=Elig!$C337,Elig_MatchAll_Ct&lt;22,$BC337=(Elig_MatchAll_Ct-1),AX337=0),Y337,0)</f>
        <v>0</v>
      </c>
      <c r="CE337" s="201">
        <f>IF(AND(Input_LTV&lt;=AE337,Input_Product=Elig!$C337,Elig_MatchAll_Ct&lt;22,$BC337=(Elig_MatchAll_Ct-1),AY337=0),Z337,0)</f>
        <v>0</v>
      </c>
      <c r="CF337" s="202">
        <f>IF(AND(Input_LTV&lt;=AE337,Input_Product=Elig!$C337,Elig_MatchAll_Ct&lt;22,$BC337=(Elig_MatchAll_Ct-1),AY337=0),AA337,0)</f>
        <v>0</v>
      </c>
      <c r="CG337" s="201">
        <f>IF(AND(Input_Product=Elig!$C337,Elig_MatchAll_Ct&lt;22,$BC337=(Elig_MatchAll_Ct-1),AZ337=0),AB337,0)</f>
        <v>0</v>
      </c>
      <c r="CH337" s="202">
        <f>IF(AND(Input_Product=Elig!$C337,Elig_MatchAll_Ct&lt;22,$BC337=(Elig_MatchAll_Ct-1),AZ337=0),AC337,0)</f>
        <v>0</v>
      </c>
      <c r="CI337" s="201">
        <f>IF(AND(Input_Product=Elig!$C337,Elig_MatchAll_Ct&lt;22,$BC337=(Elig_MatchAll_Ct-1),BA337=0),AD337,0)</f>
        <v>0</v>
      </c>
      <c r="CJ337" s="202">
        <f>IF(AND(Input_Product=Elig!$C337,Elig_MatchAll_Ct&lt;22,$BC337=(Elig_MatchAll_Ct-1),BA337=0),AE337,0)</f>
        <v>0</v>
      </c>
    </row>
    <row r="338" spans="2:88" ht="10.15" customHeight="1" x14ac:dyDescent="0.25">
      <c r="B338" s="287" t="s">
        <v>1034</v>
      </c>
      <c r="C338" s="286" t="str">
        <f t="shared" si="132"/>
        <v>NonQM NOO</v>
      </c>
      <c r="D338" s="287" t="s">
        <v>3885</v>
      </c>
      <c r="E338" s="287" t="s">
        <v>167</v>
      </c>
      <c r="F338" s="287" t="s">
        <v>330</v>
      </c>
      <c r="G338" s="287" t="s">
        <v>181</v>
      </c>
      <c r="H338" s="287" t="s">
        <v>136</v>
      </c>
      <c r="I338" s="287" t="s">
        <v>274</v>
      </c>
      <c r="J338" s="287" t="s">
        <v>1311</v>
      </c>
      <c r="K338" s="287" t="s">
        <v>1631</v>
      </c>
      <c r="L338" s="300" t="s">
        <v>312</v>
      </c>
      <c r="M338" s="287" t="s">
        <v>4203</v>
      </c>
      <c r="N338" s="287" t="s">
        <v>2685</v>
      </c>
      <c r="O338" s="287" t="s">
        <v>310</v>
      </c>
      <c r="P338" s="287" t="s">
        <v>291</v>
      </c>
      <c r="Q338" s="287" t="s">
        <v>294</v>
      </c>
      <c r="R338" s="300">
        <v>100000</v>
      </c>
      <c r="S338" s="287">
        <v>1000000</v>
      </c>
      <c r="T338" s="287">
        <v>0</v>
      </c>
      <c r="U338" s="287">
        <v>0</v>
      </c>
      <c r="V338" s="287">
        <v>0</v>
      </c>
      <c r="W338" s="287">
        <v>50</v>
      </c>
      <c r="X338" s="287">
        <v>0.75</v>
      </c>
      <c r="Y338" s="287">
        <v>999</v>
      </c>
      <c r="Z338" s="2106">
        <v>660</v>
      </c>
      <c r="AA338" s="2106">
        <v>679</v>
      </c>
      <c r="AB338" s="289">
        <v>3</v>
      </c>
      <c r="AC338" s="289">
        <v>999999</v>
      </c>
      <c r="AD338" s="287">
        <v>0</v>
      </c>
      <c r="AE338" s="290">
        <v>75</v>
      </c>
      <c r="AF338" s="170">
        <v>0</v>
      </c>
      <c r="AG338" s="171">
        <v>1</v>
      </c>
      <c r="AH338" s="171">
        <v>1</v>
      </c>
      <c r="AI338" s="171">
        <v>0</v>
      </c>
      <c r="AJ338" s="171">
        <v>0</v>
      </c>
      <c r="AK338" s="171">
        <v>1</v>
      </c>
      <c r="AL338" s="171">
        <v>0</v>
      </c>
      <c r="AM338" s="171">
        <v>1</v>
      </c>
      <c r="AN338" s="171">
        <v>1</v>
      </c>
      <c r="AO338" s="171">
        <v>1</v>
      </c>
      <c r="AP338" s="171">
        <v>1</v>
      </c>
      <c r="AQ338" s="171">
        <v>1</v>
      </c>
      <c r="AR338" s="171">
        <v>1</v>
      </c>
      <c r="AS338" s="171">
        <v>1</v>
      </c>
      <c r="AT338" s="171">
        <v>1</v>
      </c>
      <c r="AU338" s="171">
        <f t="shared" si="140"/>
        <v>1</v>
      </c>
      <c r="AV338" s="171">
        <f t="shared" si="141"/>
        <v>0</v>
      </c>
      <c r="AW338" s="171">
        <f t="shared" si="142"/>
        <v>1</v>
      </c>
      <c r="AX338" s="171">
        <f t="shared" si="100"/>
        <v>0</v>
      </c>
      <c r="AY338" s="171">
        <f t="shared" si="143"/>
        <v>0</v>
      </c>
      <c r="AZ338" s="171">
        <f t="shared" si="144"/>
        <v>1</v>
      </c>
      <c r="BA338" s="172">
        <f t="shared" si="145"/>
        <v>1</v>
      </c>
      <c r="BB338" s="175">
        <f t="shared" si="147"/>
        <v>15</v>
      </c>
      <c r="BC338" s="176">
        <f t="shared" si="148"/>
        <v>14</v>
      </c>
      <c r="BD338" s="176">
        <f t="shared" si="149"/>
        <v>15</v>
      </c>
      <c r="BE338" s="240" t="str">
        <f t="shared" si="146"/>
        <v/>
      </c>
      <c r="BH338" s="199">
        <f>IF(AND(Input_Product=Elig!$C338,Elig_MatchAll_Ct&lt;22,$BC338=(Elig_MatchAll_Ct-1),AF338=0),C338,0)</f>
        <v>0</v>
      </c>
      <c r="BI338" s="199">
        <f>IF(AND(Input_Product=Elig!$C338,Elig_MatchAll_Ct&lt;22,$BC338=(Elig_MatchAll_Ct-1),AG338=0),D338,0)</f>
        <v>0</v>
      </c>
      <c r="BJ338" s="199">
        <f>IF(AND(Input_Product=Elig!$C338,Elig_MatchAll_Ct&lt;22,$BC338=(Elig_MatchAll_Ct-1),AH338=0),E338,0)</f>
        <v>0</v>
      </c>
      <c r="BK338" s="199">
        <f>IF(AND(Input_Product=Elig!$C338,Elig_MatchAll_Ct&lt;22,$BC338=(Elig_MatchAll_Ct-1),AI338=0),F338,0)</f>
        <v>0</v>
      </c>
      <c r="BL338" s="199">
        <f>IF(AND(Input_Product=Elig!$C338,Elig_MatchAll_Ct&lt;22,$BC338=(Elig_MatchAll_Ct-1),AJ338=0),G338,0)</f>
        <v>0</v>
      </c>
      <c r="BM338" s="199">
        <f>IF(AND(Input_Product=Elig!$C338,Elig_MatchAll_Ct&lt;22,$BC338=(Elig_MatchAll_Ct-1),AK338=0),H338,0)</f>
        <v>0</v>
      </c>
      <c r="BN338" s="199">
        <f>IF(AND(Input_Product=Elig!$C338,Elig_MatchAll_Ct&lt;22,$BC338=(Elig_MatchAll_Ct-1),AL338=0),I338,0)</f>
        <v>0</v>
      </c>
      <c r="BO338" s="199">
        <f>IF(AND(Input_Product=Elig!$C338,Elig_MatchAll_Ct&lt;22,$BC338=(Elig_MatchAll_Ct-1),AM338=0),J338,0)</f>
        <v>0</v>
      </c>
      <c r="BP338" s="199">
        <f>IF(AND(Input_Product=Elig!$C338,Elig_MatchAll_Ct&lt;22,$BC338=(Elig_MatchAll_Ct-1),AN338=0),K338,0)</f>
        <v>0</v>
      </c>
      <c r="BQ338" s="199">
        <f>IF(AND(Input_Product=Elig!$C338,Elig_MatchAll_Ct&lt;22,$BC338=(Elig_MatchAll_Ct-1),AP338=0),L338,0)</f>
        <v>0</v>
      </c>
      <c r="BR338" s="199">
        <f>IF(AND(Input_Product=Elig!$C338,Elig_MatchAll_Ct&lt;22,$BC338=(Elig_MatchAll_Ct-1),AO338=0),M338,0)</f>
        <v>0</v>
      </c>
      <c r="BS338" s="199">
        <f>IF(AND(Input_Product=Elig!$C338,Elig_MatchAll_Ct&lt;22,$BC338=(Elig_MatchAll_Ct-1),AQ338=0),N338,0)</f>
        <v>0</v>
      </c>
      <c r="BT338" s="199">
        <f>IF(AND(Input_Product=Elig!$C338,Elig_MatchAll_Ct&lt;22,$BC338=(Elig_MatchAll_Ct-1),AR338=0),O338,0)</f>
        <v>0</v>
      </c>
      <c r="BU338" s="199">
        <f>IF(AND(Input_Product=Elig!$C338,Elig_MatchAll_Ct&lt;22,$BC338=(Elig_MatchAll_Ct-1),AS338=0),P338,0)</f>
        <v>0</v>
      </c>
      <c r="BV338" s="200">
        <f>IF(AND(Input_Product=Elig!$C338,Elig_MatchAll_Ct&lt;22,$BC338=(Elig_MatchAll_Ct-1),AT338=0),Q338,0)</f>
        <v>0</v>
      </c>
      <c r="BW338" s="201">
        <f>IF(AND(Input_Product=Elig!$C338,Elig_MatchAll_Ct&lt;22,$BC338=(Elig_MatchAll_Ct-1),AU338=0),R338,0)</f>
        <v>0</v>
      </c>
      <c r="BX338" s="202">
        <f>IF(AND(Input_Product=Elig!$C338,Elig_MatchAll_Ct&lt;22,$BC338=(Elig_MatchAll_Ct-1),AU338=0),S338,0)</f>
        <v>0</v>
      </c>
      <c r="BY338" s="201">
        <f>IF(AND(Input_Product=Elig!$C338,Elig_MatchAll_Ct&lt;22,$BC338=(Elig_MatchAll_Ct-1),AV338=0),T338,0)</f>
        <v>0</v>
      </c>
      <c r="BZ338" s="202">
        <f>IF(AND(Input_Product=Elig!$C338,Elig_MatchAll_Ct&lt;22,$BC338=(Elig_MatchAll_Ct-1),AV338=0),U338,0)</f>
        <v>0</v>
      </c>
      <c r="CA338" s="201">
        <f>IF(AND(Input_Product=Elig!$C338,Elig_MatchAll_Ct&lt;22,$BC338=(Elig_MatchAll_Ct-1),AW338=0),V338,0)</f>
        <v>0</v>
      </c>
      <c r="CB338" s="202">
        <f>IF(AND(Input_Product=Elig!$C338,Elig_MatchAll_Ct&lt;22,$BC338=(Elig_MatchAll_Ct-1),AW338=0),W338,0)</f>
        <v>0</v>
      </c>
      <c r="CC338" s="201">
        <f>IF(AND(Input_Product=Elig!$C338,Elig_MatchAll_Ct&lt;22,$BC338=(Elig_MatchAll_Ct-1),AX338=0),X338,0)</f>
        <v>0</v>
      </c>
      <c r="CD338" s="202">
        <f>IF(AND(Input_Product=Elig!$C338,Elig_MatchAll_Ct&lt;22,$BC338=(Elig_MatchAll_Ct-1),AX338=0),Y338,0)</f>
        <v>0</v>
      </c>
      <c r="CE338" s="201">
        <f>IF(AND(Input_LTV&lt;=AE338,Input_Product=Elig!$C338,Elig_MatchAll_Ct&lt;22,$BC338=(Elig_MatchAll_Ct-1),AY338=0),Z338,0)</f>
        <v>0</v>
      </c>
      <c r="CF338" s="202">
        <f>IF(AND(Input_LTV&lt;=AE338,Input_Product=Elig!$C338,Elig_MatchAll_Ct&lt;22,$BC338=(Elig_MatchAll_Ct-1),AY338=0),AA338,0)</f>
        <v>0</v>
      </c>
      <c r="CG338" s="201">
        <f>IF(AND(Input_Product=Elig!$C338,Elig_MatchAll_Ct&lt;22,$BC338=(Elig_MatchAll_Ct-1),AZ338=0),AB338,0)</f>
        <v>0</v>
      </c>
      <c r="CH338" s="202">
        <f>IF(AND(Input_Product=Elig!$C338,Elig_MatchAll_Ct&lt;22,$BC338=(Elig_MatchAll_Ct-1),AZ338=0),AC338,0)</f>
        <v>0</v>
      </c>
      <c r="CI338" s="201">
        <f>IF(AND(Input_Product=Elig!$C338,Elig_MatchAll_Ct&lt;22,$BC338=(Elig_MatchAll_Ct-1),BA338=0),AD338,0)</f>
        <v>0</v>
      </c>
      <c r="CJ338" s="202">
        <f>IF(AND(Input_Product=Elig!$C338,Elig_MatchAll_Ct&lt;22,$BC338=(Elig_MatchAll_Ct-1),BA338=0),AE338,0)</f>
        <v>0</v>
      </c>
    </row>
    <row r="339" spans="2:88" ht="10.15" customHeight="1" x14ac:dyDescent="0.25">
      <c r="B339" s="287" t="s">
        <v>1035</v>
      </c>
      <c r="C339" s="286" t="str">
        <f t="shared" si="132"/>
        <v>NonQM NOO</v>
      </c>
      <c r="D339" s="287" t="s">
        <v>3885</v>
      </c>
      <c r="E339" s="287" t="s">
        <v>167</v>
      </c>
      <c r="F339" s="287" t="s">
        <v>330</v>
      </c>
      <c r="G339" s="287" t="s">
        <v>181</v>
      </c>
      <c r="H339" s="287" t="s">
        <v>136</v>
      </c>
      <c r="I339" s="287" t="s">
        <v>274</v>
      </c>
      <c r="J339" s="287" t="s">
        <v>1311</v>
      </c>
      <c r="K339" s="287" t="s">
        <v>1631</v>
      </c>
      <c r="L339" s="300" t="s">
        <v>312</v>
      </c>
      <c r="M339" s="287" t="s">
        <v>4203</v>
      </c>
      <c r="N339" s="287" t="s">
        <v>2685</v>
      </c>
      <c r="O339" s="287" t="s">
        <v>45</v>
      </c>
      <c r="P339" s="287" t="s">
        <v>291</v>
      </c>
      <c r="Q339" s="287" t="s">
        <v>294</v>
      </c>
      <c r="R339" s="300">
        <v>100000</v>
      </c>
      <c r="S339" s="287">
        <v>1000000</v>
      </c>
      <c r="T339" s="287">
        <v>0</v>
      </c>
      <c r="U339" s="287">
        <v>0</v>
      </c>
      <c r="V339" s="287">
        <v>0</v>
      </c>
      <c r="W339" s="287">
        <v>50</v>
      </c>
      <c r="X339" s="300">
        <v>1</v>
      </c>
      <c r="Y339" s="287">
        <v>999</v>
      </c>
      <c r="Z339" s="2106">
        <v>660</v>
      </c>
      <c r="AA339" s="2106">
        <v>679</v>
      </c>
      <c r="AB339" s="289">
        <v>3</v>
      </c>
      <c r="AC339" s="289">
        <v>999999</v>
      </c>
      <c r="AD339" s="287">
        <v>0</v>
      </c>
      <c r="AE339" s="290">
        <v>75</v>
      </c>
      <c r="AF339" s="170">
        <v>0</v>
      </c>
      <c r="AG339" s="171">
        <v>1</v>
      </c>
      <c r="AH339" s="171">
        <v>1</v>
      </c>
      <c r="AI339" s="171">
        <v>0</v>
      </c>
      <c r="AJ339" s="171">
        <v>0</v>
      </c>
      <c r="AK339" s="171">
        <v>1</v>
      </c>
      <c r="AL339" s="171">
        <v>0</v>
      </c>
      <c r="AM339" s="171">
        <v>1</v>
      </c>
      <c r="AN339" s="171">
        <v>1</v>
      </c>
      <c r="AO339" s="171">
        <v>1</v>
      </c>
      <c r="AP339" s="171">
        <v>1</v>
      </c>
      <c r="AQ339" s="171">
        <v>1</v>
      </c>
      <c r="AR339" s="171">
        <v>0</v>
      </c>
      <c r="AS339" s="171">
        <v>1</v>
      </c>
      <c r="AT339" s="171">
        <v>1</v>
      </c>
      <c r="AU339" s="171">
        <f t="shared" si="140"/>
        <v>1</v>
      </c>
      <c r="AV339" s="171">
        <f t="shared" si="141"/>
        <v>0</v>
      </c>
      <c r="AW339" s="171">
        <f t="shared" si="142"/>
        <v>1</v>
      </c>
      <c r="AX339" s="171">
        <f t="shared" si="100"/>
        <v>0</v>
      </c>
      <c r="AY339" s="171">
        <f t="shared" si="143"/>
        <v>0</v>
      </c>
      <c r="AZ339" s="171">
        <f t="shared" si="144"/>
        <v>1</v>
      </c>
      <c r="BA339" s="172">
        <f t="shared" si="145"/>
        <v>1</v>
      </c>
      <c r="BB339" s="175">
        <f t="shared" si="147"/>
        <v>14</v>
      </c>
      <c r="BC339" s="176">
        <f t="shared" si="148"/>
        <v>13</v>
      </c>
      <c r="BD339" s="176">
        <f t="shared" si="149"/>
        <v>14</v>
      </c>
      <c r="BE339" s="240" t="str">
        <f t="shared" si="146"/>
        <v/>
      </c>
      <c r="BH339" s="199">
        <f>IF(AND(Input_Product=Elig!$C339,Elig_MatchAll_Ct&lt;22,$BC339=(Elig_MatchAll_Ct-1),AF339=0),C339,0)</f>
        <v>0</v>
      </c>
      <c r="BI339" s="199">
        <f>IF(AND(Input_Product=Elig!$C339,Elig_MatchAll_Ct&lt;22,$BC339=(Elig_MatchAll_Ct-1),AG339=0),D339,0)</f>
        <v>0</v>
      </c>
      <c r="BJ339" s="199">
        <f>IF(AND(Input_Product=Elig!$C339,Elig_MatchAll_Ct&lt;22,$BC339=(Elig_MatchAll_Ct-1),AH339=0),E339,0)</f>
        <v>0</v>
      </c>
      <c r="BK339" s="199">
        <f>IF(AND(Input_Product=Elig!$C339,Elig_MatchAll_Ct&lt;22,$BC339=(Elig_MatchAll_Ct-1),AI339=0),F339,0)</f>
        <v>0</v>
      </c>
      <c r="BL339" s="199">
        <f>IF(AND(Input_Product=Elig!$C339,Elig_MatchAll_Ct&lt;22,$BC339=(Elig_MatchAll_Ct-1),AJ339=0),G339,0)</f>
        <v>0</v>
      </c>
      <c r="BM339" s="199">
        <f>IF(AND(Input_Product=Elig!$C339,Elig_MatchAll_Ct&lt;22,$BC339=(Elig_MatchAll_Ct-1),AK339=0),H339,0)</f>
        <v>0</v>
      </c>
      <c r="BN339" s="199">
        <f>IF(AND(Input_Product=Elig!$C339,Elig_MatchAll_Ct&lt;22,$BC339=(Elig_MatchAll_Ct-1),AL339=0),I339,0)</f>
        <v>0</v>
      </c>
      <c r="BO339" s="199">
        <f>IF(AND(Input_Product=Elig!$C339,Elig_MatchAll_Ct&lt;22,$BC339=(Elig_MatchAll_Ct-1),AM339=0),J339,0)</f>
        <v>0</v>
      </c>
      <c r="BP339" s="199">
        <f>IF(AND(Input_Product=Elig!$C339,Elig_MatchAll_Ct&lt;22,$BC339=(Elig_MatchAll_Ct-1),AN339=0),K339,0)</f>
        <v>0</v>
      </c>
      <c r="BQ339" s="199">
        <f>IF(AND(Input_Product=Elig!$C339,Elig_MatchAll_Ct&lt;22,$BC339=(Elig_MatchAll_Ct-1),AP339=0),L339,0)</f>
        <v>0</v>
      </c>
      <c r="BR339" s="199">
        <f>IF(AND(Input_Product=Elig!$C339,Elig_MatchAll_Ct&lt;22,$BC339=(Elig_MatchAll_Ct-1),AO339=0),M339,0)</f>
        <v>0</v>
      </c>
      <c r="BS339" s="199">
        <f>IF(AND(Input_Product=Elig!$C339,Elig_MatchAll_Ct&lt;22,$BC339=(Elig_MatchAll_Ct-1),AQ339=0),N339,0)</f>
        <v>0</v>
      </c>
      <c r="BT339" s="199">
        <f>IF(AND(Input_Product=Elig!$C339,Elig_MatchAll_Ct&lt;22,$BC339=(Elig_MatchAll_Ct-1),AR339=0),O339,0)</f>
        <v>0</v>
      </c>
      <c r="BU339" s="199">
        <f>IF(AND(Input_Product=Elig!$C339,Elig_MatchAll_Ct&lt;22,$BC339=(Elig_MatchAll_Ct-1),AS339=0),P339,0)</f>
        <v>0</v>
      </c>
      <c r="BV339" s="200">
        <f>IF(AND(Input_Product=Elig!$C339,Elig_MatchAll_Ct&lt;22,$BC339=(Elig_MatchAll_Ct-1),AT339=0),Q339,0)</f>
        <v>0</v>
      </c>
      <c r="BW339" s="201">
        <f>IF(AND(Input_Product=Elig!$C339,Elig_MatchAll_Ct&lt;22,$BC339=(Elig_MatchAll_Ct-1),AU339=0),R339,0)</f>
        <v>0</v>
      </c>
      <c r="BX339" s="202">
        <f>IF(AND(Input_Product=Elig!$C339,Elig_MatchAll_Ct&lt;22,$BC339=(Elig_MatchAll_Ct-1),AU339=0),S339,0)</f>
        <v>0</v>
      </c>
      <c r="BY339" s="201">
        <f>IF(AND(Input_Product=Elig!$C339,Elig_MatchAll_Ct&lt;22,$BC339=(Elig_MatchAll_Ct-1),AV339=0),T339,0)</f>
        <v>0</v>
      </c>
      <c r="BZ339" s="202">
        <f>IF(AND(Input_Product=Elig!$C339,Elig_MatchAll_Ct&lt;22,$BC339=(Elig_MatchAll_Ct-1),AV339=0),U339,0)</f>
        <v>0</v>
      </c>
      <c r="CA339" s="201">
        <f>IF(AND(Input_Product=Elig!$C339,Elig_MatchAll_Ct&lt;22,$BC339=(Elig_MatchAll_Ct-1),AW339=0),V339,0)</f>
        <v>0</v>
      </c>
      <c r="CB339" s="202">
        <f>IF(AND(Input_Product=Elig!$C339,Elig_MatchAll_Ct&lt;22,$BC339=(Elig_MatchAll_Ct-1),AW339=0),W339,0)</f>
        <v>0</v>
      </c>
      <c r="CC339" s="201">
        <f>IF(AND(Input_Product=Elig!$C339,Elig_MatchAll_Ct&lt;22,$BC339=(Elig_MatchAll_Ct-1),AX339=0),X339,0)</f>
        <v>0</v>
      </c>
      <c r="CD339" s="202">
        <f>IF(AND(Input_Product=Elig!$C339,Elig_MatchAll_Ct&lt;22,$BC339=(Elig_MatchAll_Ct-1),AX339=0),Y339,0)</f>
        <v>0</v>
      </c>
      <c r="CE339" s="201">
        <f>IF(AND(Input_LTV&lt;=AE339,Input_Product=Elig!$C339,Elig_MatchAll_Ct&lt;22,$BC339=(Elig_MatchAll_Ct-1),AY339=0),Z339,0)</f>
        <v>0</v>
      </c>
      <c r="CF339" s="202">
        <f>IF(AND(Input_LTV&lt;=AE339,Input_Product=Elig!$C339,Elig_MatchAll_Ct&lt;22,$BC339=(Elig_MatchAll_Ct-1),AY339=0),AA339,0)</f>
        <v>0</v>
      </c>
      <c r="CG339" s="201">
        <f>IF(AND(Input_Product=Elig!$C339,Elig_MatchAll_Ct&lt;22,$BC339=(Elig_MatchAll_Ct-1),AZ339=0),AB339,0)</f>
        <v>0</v>
      </c>
      <c r="CH339" s="202">
        <f>IF(AND(Input_Product=Elig!$C339,Elig_MatchAll_Ct&lt;22,$BC339=(Elig_MatchAll_Ct-1),AZ339=0),AC339,0)</f>
        <v>0</v>
      </c>
      <c r="CI339" s="201">
        <f>IF(AND(Input_Product=Elig!$C339,Elig_MatchAll_Ct&lt;22,$BC339=(Elig_MatchAll_Ct-1),BA339=0),AD339,0)</f>
        <v>0</v>
      </c>
      <c r="CJ339" s="202">
        <f>IF(AND(Input_Product=Elig!$C339,Elig_MatchAll_Ct&lt;22,$BC339=(Elig_MatchAll_Ct-1),BA339=0),AE339,0)</f>
        <v>0</v>
      </c>
    </row>
    <row r="340" spans="2:88" ht="10.15" customHeight="1" x14ac:dyDescent="0.25">
      <c r="B340" s="287" t="s">
        <v>1036</v>
      </c>
      <c r="C340" s="286" t="str">
        <f t="shared" si="132"/>
        <v>NonQM NOO</v>
      </c>
      <c r="D340" s="287" t="s">
        <v>3885</v>
      </c>
      <c r="E340" s="287" t="s">
        <v>167</v>
      </c>
      <c r="F340" s="287" t="s">
        <v>330</v>
      </c>
      <c r="G340" s="287" t="s">
        <v>181</v>
      </c>
      <c r="H340" s="287" t="s">
        <v>136</v>
      </c>
      <c r="I340" s="287" t="s">
        <v>274</v>
      </c>
      <c r="J340" s="287" t="s">
        <v>1311</v>
      </c>
      <c r="K340" s="287" t="s">
        <v>1631</v>
      </c>
      <c r="L340" s="300" t="s">
        <v>312</v>
      </c>
      <c r="M340" s="287" t="s">
        <v>4203</v>
      </c>
      <c r="N340" s="287" t="s">
        <v>2685</v>
      </c>
      <c r="O340" s="287" t="s">
        <v>310</v>
      </c>
      <c r="P340" s="287" t="s">
        <v>291</v>
      </c>
      <c r="Q340" s="287" t="s">
        <v>294</v>
      </c>
      <c r="R340" s="300">
        <v>100000</v>
      </c>
      <c r="S340" s="287">
        <v>1000000</v>
      </c>
      <c r="T340" s="287">
        <v>0</v>
      </c>
      <c r="U340" s="287">
        <v>0</v>
      </c>
      <c r="V340" s="287">
        <v>0</v>
      </c>
      <c r="W340" s="287">
        <v>50</v>
      </c>
      <c r="X340" s="287">
        <v>0.75</v>
      </c>
      <c r="Y340" s="287">
        <v>999</v>
      </c>
      <c r="Z340" s="289">
        <v>640</v>
      </c>
      <c r="AA340" s="289">
        <v>659</v>
      </c>
      <c r="AB340" s="289">
        <v>3</v>
      </c>
      <c r="AC340" s="289">
        <v>999999</v>
      </c>
      <c r="AD340" s="287">
        <v>0</v>
      </c>
      <c r="AE340" s="2105">
        <v>75</v>
      </c>
      <c r="AF340" s="170">
        <v>0</v>
      </c>
      <c r="AG340" s="171">
        <v>1</v>
      </c>
      <c r="AH340" s="171">
        <v>1</v>
      </c>
      <c r="AI340" s="171">
        <v>0</v>
      </c>
      <c r="AJ340" s="171">
        <v>0</v>
      </c>
      <c r="AK340" s="171">
        <v>1</v>
      </c>
      <c r="AL340" s="171">
        <v>0</v>
      </c>
      <c r="AM340" s="171">
        <v>1</v>
      </c>
      <c r="AN340" s="171">
        <v>1</v>
      </c>
      <c r="AO340" s="171">
        <v>1</v>
      </c>
      <c r="AP340" s="171">
        <v>1</v>
      </c>
      <c r="AQ340" s="171">
        <v>1</v>
      </c>
      <c r="AR340" s="171">
        <v>1</v>
      </c>
      <c r="AS340" s="171">
        <v>1</v>
      </c>
      <c r="AT340" s="171">
        <v>1</v>
      </c>
      <c r="AU340" s="171">
        <f t="shared" si="140"/>
        <v>1</v>
      </c>
      <c r="AV340" s="171">
        <f t="shared" si="141"/>
        <v>0</v>
      </c>
      <c r="AW340" s="171">
        <f t="shared" si="142"/>
        <v>1</v>
      </c>
      <c r="AX340" s="171">
        <f t="shared" si="100"/>
        <v>0</v>
      </c>
      <c r="AY340" s="171">
        <f t="shared" si="143"/>
        <v>0</v>
      </c>
      <c r="AZ340" s="171">
        <f t="shared" si="144"/>
        <v>1</v>
      </c>
      <c r="BA340" s="172">
        <f t="shared" si="145"/>
        <v>1</v>
      </c>
      <c r="BB340" s="175">
        <f t="shared" si="147"/>
        <v>15</v>
      </c>
      <c r="BC340" s="176">
        <f t="shared" si="148"/>
        <v>14</v>
      </c>
      <c r="BD340" s="176">
        <f t="shared" si="149"/>
        <v>15</v>
      </c>
      <c r="BE340" s="240" t="str">
        <f t="shared" si="146"/>
        <v/>
      </c>
      <c r="BH340" s="199">
        <f>IF(AND(Input_Product=Elig!$C340,Elig_MatchAll_Ct&lt;22,$BC340=(Elig_MatchAll_Ct-1),AF340=0),C340,0)</f>
        <v>0</v>
      </c>
      <c r="BI340" s="199">
        <f>IF(AND(Input_Product=Elig!$C340,Elig_MatchAll_Ct&lt;22,$BC340=(Elig_MatchAll_Ct-1),AG340=0),D340,0)</f>
        <v>0</v>
      </c>
      <c r="BJ340" s="199">
        <f>IF(AND(Input_Product=Elig!$C340,Elig_MatchAll_Ct&lt;22,$BC340=(Elig_MatchAll_Ct-1),AH340=0),E340,0)</f>
        <v>0</v>
      </c>
      <c r="BK340" s="199">
        <f>IF(AND(Input_Product=Elig!$C340,Elig_MatchAll_Ct&lt;22,$BC340=(Elig_MatchAll_Ct-1),AI340=0),F340,0)</f>
        <v>0</v>
      </c>
      <c r="BL340" s="199">
        <f>IF(AND(Input_Product=Elig!$C340,Elig_MatchAll_Ct&lt;22,$BC340=(Elig_MatchAll_Ct-1),AJ340=0),G340,0)</f>
        <v>0</v>
      </c>
      <c r="BM340" s="199">
        <f>IF(AND(Input_Product=Elig!$C340,Elig_MatchAll_Ct&lt;22,$BC340=(Elig_MatchAll_Ct-1),AK340=0),H340,0)</f>
        <v>0</v>
      </c>
      <c r="BN340" s="199">
        <f>IF(AND(Input_Product=Elig!$C340,Elig_MatchAll_Ct&lt;22,$BC340=(Elig_MatchAll_Ct-1),AL340=0),I340,0)</f>
        <v>0</v>
      </c>
      <c r="BO340" s="199">
        <f>IF(AND(Input_Product=Elig!$C340,Elig_MatchAll_Ct&lt;22,$BC340=(Elig_MatchAll_Ct-1),AM340=0),J340,0)</f>
        <v>0</v>
      </c>
      <c r="BP340" s="199">
        <f>IF(AND(Input_Product=Elig!$C340,Elig_MatchAll_Ct&lt;22,$BC340=(Elig_MatchAll_Ct-1),AN340=0),K340,0)</f>
        <v>0</v>
      </c>
      <c r="BQ340" s="199">
        <f>IF(AND(Input_Product=Elig!$C340,Elig_MatchAll_Ct&lt;22,$BC340=(Elig_MatchAll_Ct-1),AP340=0),L340,0)</f>
        <v>0</v>
      </c>
      <c r="BR340" s="199">
        <f>IF(AND(Input_Product=Elig!$C340,Elig_MatchAll_Ct&lt;22,$BC340=(Elig_MatchAll_Ct-1),AO340=0),M340,0)</f>
        <v>0</v>
      </c>
      <c r="BS340" s="199">
        <f>IF(AND(Input_Product=Elig!$C340,Elig_MatchAll_Ct&lt;22,$BC340=(Elig_MatchAll_Ct-1),AQ340=0),N340,0)</f>
        <v>0</v>
      </c>
      <c r="BT340" s="199">
        <f>IF(AND(Input_Product=Elig!$C340,Elig_MatchAll_Ct&lt;22,$BC340=(Elig_MatchAll_Ct-1),AR340=0),O340,0)</f>
        <v>0</v>
      </c>
      <c r="BU340" s="199">
        <f>IF(AND(Input_Product=Elig!$C340,Elig_MatchAll_Ct&lt;22,$BC340=(Elig_MatchAll_Ct-1),AS340=0),P340,0)</f>
        <v>0</v>
      </c>
      <c r="BV340" s="200">
        <f>IF(AND(Input_Product=Elig!$C340,Elig_MatchAll_Ct&lt;22,$BC340=(Elig_MatchAll_Ct-1),AT340=0),Q340,0)</f>
        <v>0</v>
      </c>
      <c r="BW340" s="201">
        <f>IF(AND(Input_Product=Elig!$C340,Elig_MatchAll_Ct&lt;22,$BC340=(Elig_MatchAll_Ct-1),AU340=0),R340,0)</f>
        <v>0</v>
      </c>
      <c r="BX340" s="202">
        <f>IF(AND(Input_Product=Elig!$C340,Elig_MatchAll_Ct&lt;22,$BC340=(Elig_MatchAll_Ct-1),AU340=0),S340,0)</f>
        <v>0</v>
      </c>
      <c r="BY340" s="201">
        <f>IF(AND(Input_Product=Elig!$C340,Elig_MatchAll_Ct&lt;22,$BC340=(Elig_MatchAll_Ct-1),AV340=0),T340,0)</f>
        <v>0</v>
      </c>
      <c r="BZ340" s="202">
        <f>IF(AND(Input_Product=Elig!$C340,Elig_MatchAll_Ct&lt;22,$BC340=(Elig_MatchAll_Ct-1),AV340=0),U340,0)</f>
        <v>0</v>
      </c>
      <c r="CA340" s="201">
        <f>IF(AND(Input_Product=Elig!$C340,Elig_MatchAll_Ct&lt;22,$BC340=(Elig_MatchAll_Ct-1),AW340=0),V340,0)</f>
        <v>0</v>
      </c>
      <c r="CB340" s="202">
        <f>IF(AND(Input_Product=Elig!$C340,Elig_MatchAll_Ct&lt;22,$BC340=(Elig_MatchAll_Ct-1),AW340=0),W340,0)</f>
        <v>0</v>
      </c>
      <c r="CC340" s="201">
        <f>IF(AND(Input_Product=Elig!$C340,Elig_MatchAll_Ct&lt;22,$BC340=(Elig_MatchAll_Ct-1),AX340=0),X340,0)</f>
        <v>0</v>
      </c>
      <c r="CD340" s="202">
        <f>IF(AND(Input_Product=Elig!$C340,Elig_MatchAll_Ct&lt;22,$BC340=(Elig_MatchAll_Ct-1),AX340=0),Y340,0)</f>
        <v>0</v>
      </c>
      <c r="CE340" s="201">
        <f>IF(AND(Input_LTV&lt;=AE340,Input_Product=Elig!$C340,Elig_MatchAll_Ct&lt;22,$BC340=(Elig_MatchAll_Ct-1),AY340=0),Z340,0)</f>
        <v>0</v>
      </c>
      <c r="CF340" s="202">
        <f>IF(AND(Input_LTV&lt;=AE340,Input_Product=Elig!$C340,Elig_MatchAll_Ct&lt;22,$BC340=(Elig_MatchAll_Ct-1),AY340=0),AA340,0)</f>
        <v>0</v>
      </c>
      <c r="CG340" s="201">
        <f>IF(AND(Input_Product=Elig!$C340,Elig_MatchAll_Ct&lt;22,$BC340=(Elig_MatchAll_Ct-1),AZ340=0),AB340,0)</f>
        <v>0</v>
      </c>
      <c r="CH340" s="202">
        <f>IF(AND(Input_Product=Elig!$C340,Elig_MatchAll_Ct&lt;22,$BC340=(Elig_MatchAll_Ct-1),AZ340=0),AC340,0)</f>
        <v>0</v>
      </c>
      <c r="CI340" s="201">
        <f>IF(AND(Input_Product=Elig!$C340,Elig_MatchAll_Ct&lt;22,$BC340=(Elig_MatchAll_Ct-1),BA340=0),AD340,0)</f>
        <v>0</v>
      </c>
      <c r="CJ340" s="202">
        <f>IF(AND(Input_Product=Elig!$C340,Elig_MatchAll_Ct&lt;22,$BC340=(Elig_MatchAll_Ct-1),BA340=0),AE340,0)</f>
        <v>0</v>
      </c>
    </row>
    <row r="341" spans="2:88" ht="10.15" customHeight="1" x14ac:dyDescent="0.25">
      <c r="B341" s="287" t="s">
        <v>1037</v>
      </c>
      <c r="C341" s="291" t="str">
        <f t="shared" si="132"/>
        <v>NonQM NOO</v>
      </c>
      <c r="D341" s="292" t="s">
        <v>3885</v>
      </c>
      <c r="E341" s="292" t="s">
        <v>167</v>
      </c>
      <c r="F341" s="292" t="s">
        <v>330</v>
      </c>
      <c r="G341" s="292" t="s">
        <v>181</v>
      </c>
      <c r="H341" s="292" t="s">
        <v>136</v>
      </c>
      <c r="I341" s="292" t="s">
        <v>274</v>
      </c>
      <c r="J341" s="292" t="s">
        <v>1311</v>
      </c>
      <c r="K341" s="292" t="s">
        <v>1631</v>
      </c>
      <c r="L341" s="324" t="s">
        <v>312</v>
      </c>
      <c r="M341" s="292" t="s">
        <v>4203</v>
      </c>
      <c r="N341" s="292" t="s">
        <v>2685</v>
      </c>
      <c r="O341" s="292" t="s">
        <v>310</v>
      </c>
      <c r="P341" s="292" t="s">
        <v>291</v>
      </c>
      <c r="Q341" s="292" t="s">
        <v>294</v>
      </c>
      <c r="R341" s="324">
        <v>100000</v>
      </c>
      <c r="S341" s="292">
        <v>1000000</v>
      </c>
      <c r="T341" s="292">
        <v>0</v>
      </c>
      <c r="U341" s="292">
        <v>0</v>
      </c>
      <c r="V341" s="292">
        <v>0</v>
      </c>
      <c r="W341" s="292">
        <v>50</v>
      </c>
      <c r="X341" s="292">
        <v>0.75</v>
      </c>
      <c r="Y341" s="292">
        <v>999</v>
      </c>
      <c r="Z341" s="293">
        <v>620</v>
      </c>
      <c r="AA341" s="293">
        <v>639</v>
      </c>
      <c r="AB341" s="293">
        <v>3</v>
      </c>
      <c r="AC341" s="293">
        <v>999999</v>
      </c>
      <c r="AD341" s="292">
        <v>0</v>
      </c>
      <c r="AE341" s="2154">
        <v>-999</v>
      </c>
      <c r="AF341" s="170">
        <v>0</v>
      </c>
      <c r="AG341" s="171">
        <v>1</v>
      </c>
      <c r="AH341" s="171">
        <v>1</v>
      </c>
      <c r="AI341" s="171">
        <v>0</v>
      </c>
      <c r="AJ341" s="171">
        <v>0</v>
      </c>
      <c r="AK341" s="171">
        <v>1</v>
      </c>
      <c r="AL341" s="171">
        <v>0</v>
      </c>
      <c r="AM341" s="171">
        <v>1</v>
      </c>
      <c r="AN341" s="171">
        <v>1</v>
      </c>
      <c r="AO341" s="171">
        <v>1</v>
      </c>
      <c r="AP341" s="171">
        <v>1</v>
      </c>
      <c r="AQ341" s="171">
        <v>1</v>
      </c>
      <c r="AR341" s="171">
        <v>1</v>
      </c>
      <c r="AS341" s="171">
        <v>1</v>
      </c>
      <c r="AT341" s="171">
        <v>1</v>
      </c>
      <c r="AU341" s="171">
        <f t="shared" si="140"/>
        <v>1</v>
      </c>
      <c r="AV341" s="171">
        <f t="shared" si="141"/>
        <v>0</v>
      </c>
      <c r="AW341" s="171">
        <f t="shared" si="142"/>
        <v>1</v>
      </c>
      <c r="AX341" s="171">
        <f t="shared" si="100"/>
        <v>0</v>
      </c>
      <c r="AY341" s="171">
        <f t="shared" si="143"/>
        <v>0</v>
      </c>
      <c r="AZ341" s="171">
        <f t="shared" si="144"/>
        <v>1</v>
      </c>
      <c r="BA341" s="172">
        <f t="shared" si="145"/>
        <v>0</v>
      </c>
      <c r="BB341" s="175">
        <f t="shared" si="147"/>
        <v>14</v>
      </c>
      <c r="BC341" s="176">
        <f t="shared" si="148"/>
        <v>14</v>
      </c>
      <c r="BD341" s="176">
        <f t="shared" si="149"/>
        <v>14</v>
      </c>
      <c r="BE341" s="240" t="str">
        <f t="shared" si="146"/>
        <v/>
      </c>
      <c r="BH341" s="214">
        <f>IF(AND(Input_Product=Elig!$C341,Elig_MatchAll_Ct&lt;22,$BC341=(Elig_MatchAll_Ct-1),AF341=0),C341,0)</f>
        <v>0</v>
      </c>
      <c r="BI341" s="214">
        <f>IF(AND(Input_Product=Elig!$C341,Elig_MatchAll_Ct&lt;22,$BC341=(Elig_MatchAll_Ct-1),AG341=0),D341,0)</f>
        <v>0</v>
      </c>
      <c r="BJ341" s="214">
        <f>IF(AND(Input_Product=Elig!$C341,Elig_MatchAll_Ct&lt;22,$BC341=(Elig_MatchAll_Ct-1),AH341=0),E341,0)</f>
        <v>0</v>
      </c>
      <c r="BK341" s="214">
        <f>IF(AND(Input_Product=Elig!$C341,Elig_MatchAll_Ct&lt;22,$BC341=(Elig_MatchAll_Ct-1),AI341=0),F341,0)</f>
        <v>0</v>
      </c>
      <c r="BL341" s="214">
        <f>IF(AND(Input_Product=Elig!$C341,Elig_MatchAll_Ct&lt;22,$BC341=(Elig_MatchAll_Ct-1),AJ341=0),G341,0)</f>
        <v>0</v>
      </c>
      <c r="BM341" s="214">
        <f>IF(AND(Input_Product=Elig!$C341,Elig_MatchAll_Ct&lt;22,$BC341=(Elig_MatchAll_Ct-1),AK341=0),H341,0)</f>
        <v>0</v>
      </c>
      <c r="BN341" s="214">
        <f>IF(AND(Input_Product=Elig!$C341,Elig_MatchAll_Ct&lt;22,$BC341=(Elig_MatchAll_Ct-1),AL341=0),I341,0)</f>
        <v>0</v>
      </c>
      <c r="BO341" s="214">
        <f>IF(AND(Input_Product=Elig!$C341,Elig_MatchAll_Ct&lt;22,$BC341=(Elig_MatchAll_Ct-1),AM341=0),J341,0)</f>
        <v>0</v>
      </c>
      <c r="BP341" s="214">
        <f>IF(AND(Input_Product=Elig!$C341,Elig_MatchAll_Ct&lt;22,$BC341=(Elig_MatchAll_Ct-1),AN341=0),K341,0)</f>
        <v>0</v>
      </c>
      <c r="BQ341" s="214">
        <f>IF(AND(Input_Product=Elig!$C341,Elig_MatchAll_Ct&lt;22,$BC341=(Elig_MatchAll_Ct-1),AP341=0),L341,0)</f>
        <v>0</v>
      </c>
      <c r="BR341" s="214">
        <f>IF(AND(Input_Product=Elig!$C341,Elig_MatchAll_Ct&lt;22,$BC341=(Elig_MatchAll_Ct-1),AO341=0),M341,0)</f>
        <v>0</v>
      </c>
      <c r="BS341" s="214">
        <f>IF(AND(Input_Product=Elig!$C341,Elig_MatchAll_Ct&lt;22,$BC341=(Elig_MatchAll_Ct-1),AQ341=0),N341,0)</f>
        <v>0</v>
      </c>
      <c r="BT341" s="214">
        <f>IF(AND(Input_Product=Elig!$C341,Elig_MatchAll_Ct&lt;22,$BC341=(Elig_MatchAll_Ct-1),AR341=0),O341,0)</f>
        <v>0</v>
      </c>
      <c r="BU341" s="214">
        <f>IF(AND(Input_Product=Elig!$C341,Elig_MatchAll_Ct&lt;22,$BC341=(Elig_MatchAll_Ct-1),AS341=0),P341,0)</f>
        <v>0</v>
      </c>
      <c r="BV341" s="215">
        <f>IF(AND(Input_Product=Elig!$C341,Elig_MatchAll_Ct&lt;22,$BC341=(Elig_MatchAll_Ct-1),AT341=0),Q341,0)</f>
        <v>0</v>
      </c>
      <c r="BW341" s="207">
        <f>IF(AND(Input_Product=Elig!$C341,Elig_MatchAll_Ct&lt;22,$BC341=(Elig_MatchAll_Ct-1),AU341=0),R341,0)</f>
        <v>0</v>
      </c>
      <c r="BX341" s="208">
        <f>IF(AND(Input_Product=Elig!$C341,Elig_MatchAll_Ct&lt;22,$BC341=(Elig_MatchAll_Ct-1),AU341=0),S341,0)</f>
        <v>0</v>
      </c>
      <c r="BY341" s="207">
        <f>IF(AND(Input_Product=Elig!$C341,Elig_MatchAll_Ct&lt;22,$BC341=(Elig_MatchAll_Ct-1),AV341=0),T341,0)</f>
        <v>0</v>
      </c>
      <c r="BZ341" s="208">
        <f>IF(AND(Input_Product=Elig!$C341,Elig_MatchAll_Ct&lt;22,$BC341=(Elig_MatchAll_Ct-1),AV341=0),U341,0)</f>
        <v>0</v>
      </c>
      <c r="CA341" s="207">
        <f>IF(AND(Input_Product=Elig!$C341,Elig_MatchAll_Ct&lt;22,$BC341=(Elig_MatchAll_Ct-1),AW341=0),V341,0)</f>
        <v>0</v>
      </c>
      <c r="CB341" s="208">
        <f>IF(AND(Input_Product=Elig!$C341,Elig_MatchAll_Ct&lt;22,$BC341=(Elig_MatchAll_Ct-1),AW341=0),W341,0)</f>
        <v>0</v>
      </c>
      <c r="CC341" s="207">
        <f>IF(AND(Input_Product=Elig!$C341,Elig_MatchAll_Ct&lt;22,$BC341=(Elig_MatchAll_Ct-1),AX341=0),X341,0)</f>
        <v>0</v>
      </c>
      <c r="CD341" s="208">
        <f>IF(AND(Input_Product=Elig!$C341,Elig_MatchAll_Ct&lt;22,$BC341=(Elig_MatchAll_Ct-1),AX341=0),Y341,0)</f>
        <v>0</v>
      </c>
      <c r="CE341" s="207">
        <f>IF(AND(Input_LTV&lt;=AE341,Input_Product=Elig!$C341,Elig_MatchAll_Ct&lt;22,$BC341=(Elig_MatchAll_Ct-1),AY341=0),Z341,0)</f>
        <v>0</v>
      </c>
      <c r="CF341" s="208">
        <f>IF(AND(Input_LTV&lt;=AE341,Input_Product=Elig!$C341,Elig_MatchAll_Ct&lt;22,$BC341=(Elig_MatchAll_Ct-1),AY341=0),AA341,0)</f>
        <v>0</v>
      </c>
      <c r="CG341" s="207">
        <f>IF(AND(Input_Product=Elig!$C341,Elig_MatchAll_Ct&lt;22,$BC341=(Elig_MatchAll_Ct-1),AZ341=0),AB341,0)</f>
        <v>0</v>
      </c>
      <c r="CH341" s="208">
        <f>IF(AND(Input_Product=Elig!$C341,Elig_MatchAll_Ct&lt;22,$BC341=(Elig_MatchAll_Ct-1),AZ341=0),AC341,0)</f>
        <v>0</v>
      </c>
      <c r="CI341" s="207">
        <f>IF(AND(Input_Product=Elig!$C341,Elig_MatchAll_Ct&lt;22,$BC341=(Elig_MatchAll_Ct-1),BA341=0),AD341,0)</f>
        <v>0</v>
      </c>
      <c r="CJ341" s="209">
        <f>IF(AND(Input_Product=Elig!$C341,Elig_MatchAll_Ct&lt;22,$BC341=(Elig_MatchAll_Ct-1),BA341=0),AE341,0)</f>
        <v>0</v>
      </c>
    </row>
    <row r="342" spans="2:88" ht="10.15" customHeight="1" x14ac:dyDescent="0.25">
      <c r="B342" s="287" t="s">
        <v>1038</v>
      </c>
      <c r="C342" s="281" t="str">
        <f t="shared" si="132"/>
        <v>NonQM NOO</v>
      </c>
      <c r="D342" s="282" t="s">
        <v>3885</v>
      </c>
      <c r="E342" s="283" t="s">
        <v>167</v>
      </c>
      <c r="F342" s="283" t="s">
        <v>330</v>
      </c>
      <c r="G342" s="283" t="s">
        <v>181</v>
      </c>
      <c r="H342" s="283" t="s">
        <v>136</v>
      </c>
      <c r="I342" s="282" t="s">
        <v>16</v>
      </c>
      <c r="J342" s="282" t="s">
        <v>1311</v>
      </c>
      <c r="K342" s="282" t="s">
        <v>1631</v>
      </c>
      <c r="L342" s="2103" t="s">
        <v>312</v>
      </c>
      <c r="M342" s="283" t="s">
        <v>4203</v>
      </c>
      <c r="N342" s="283" t="s">
        <v>2685</v>
      </c>
      <c r="O342" s="283" t="s">
        <v>310</v>
      </c>
      <c r="P342" s="283" t="s">
        <v>291</v>
      </c>
      <c r="Q342" s="283" t="s">
        <v>294</v>
      </c>
      <c r="R342" s="323">
        <v>100000</v>
      </c>
      <c r="S342" s="282">
        <v>1000000</v>
      </c>
      <c r="T342" s="282">
        <v>0</v>
      </c>
      <c r="U342" s="282">
        <f t="shared" ref="U342:U348" si="151">S342</f>
        <v>1000000</v>
      </c>
      <c r="V342" s="282">
        <v>0</v>
      </c>
      <c r="W342" s="282">
        <v>55</v>
      </c>
      <c r="X342" s="282">
        <v>1</v>
      </c>
      <c r="Y342" s="282">
        <v>999</v>
      </c>
      <c r="Z342" s="284">
        <v>720</v>
      </c>
      <c r="AA342" s="284">
        <v>999</v>
      </c>
      <c r="AB342" s="284">
        <v>3</v>
      </c>
      <c r="AC342" s="284">
        <v>999999</v>
      </c>
      <c r="AD342" s="282">
        <v>0</v>
      </c>
      <c r="AE342" s="2104">
        <v>80</v>
      </c>
      <c r="AF342" s="170">
        <v>0</v>
      </c>
      <c r="AG342" s="171">
        <v>1</v>
      </c>
      <c r="AH342" s="171">
        <v>1</v>
      </c>
      <c r="AI342" s="171">
        <v>0</v>
      </c>
      <c r="AJ342" s="171">
        <v>0</v>
      </c>
      <c r="AK342" s="171">
        <v>1</v>
      </c>
      <c r="AL342" s="171">
        <v>1</v>
      </c>
      <c r="AM342" s="171">
        <v>1</v>
      </c>
      <c r="AN342" s="171">
        <v>1</v>
      </c>
      <c r="AO342" s="171">
        <v>1</v>
      </c>
      <c r="AP342" s="171">
        <v>1</v>
      </c>
      <c r="AQ342" s="171">
        <v>1</v>
      </c>
      <c r="AR342" s="171">
        <v>1</v>
      </c>
      <c r="AS342" s="171">
        <v>1</v>
      </c>
      <c r="AT342" s="171">
        <v>1</v>
      </c>
      <c r="AU342" s="171">
        <f t="shared" si="140"/>
        <v>1</v>
      </c>
      <c r="AV342" s="171">
        <f t="shared" si="141"/>
        <v>1</v>
      </c>
      <c r="AW342" s="171">
        <f t="shared" si="142"/>
        <v>1</v>
      </c>
      <c r="AX342" s="171">
        <f t="shared" si="100"/>
        <v>0</v>
      </c>
      <c r="AY342" s="171">
        <f t="shared" si="143"/>
        <v>1</v>
      </c>
      <c r="AZ342" s="171">
        <f t="shared" si="144"/>
        <v>1</v>
      </c>
      <c r="BA342" s="172">
        <f t="shared" si="145"/>
        <v>1</v>
      </c>
      <c r="BB342" s="175">
        <f t="shared" si="147"/>
        <v>18</v>
      </c>
      <c r="BC342" s="176">
        <f t="shared" si="148"/>
        <v>17</v>
      </c>
      <c r="BD342" s="176">
        <f t="shared" si="149"/>
        <v>18</v>
      </c>
      <c r="BE342" s="240" t="str">
        <f t="shared" si="146"/>
        <v/>
      </c>
      <c r="BH342" s="216">
        <f>IF(AND(Input_Product=Elig!$C342,Elig_MatchAll_Ct&lt;22,$BC342=(Elig_MatchAll_Ct-1),AF342=0),C342,0)</f>
        <v>0</v>
      </c>
      <c r="BI342" s="216">
        <f>IF(AND(Input_Product=Elig!$C342,Elig_MatchAll_Ct&lt;22,$BC342=(Elig_MatchAll_Ct-1),AG342=0),D342,0)</f>
        <v>0</v>
      </c>
      <c r="BJ342" s="216">
        <f>IF(AND(Input_Product=Elig!$C342,Elig_MatchAll_Ct&lt;22,$BC342=(Elig_MatchAll_Ct-1),AH342=0),E342,0)</f>
        <v>0</v>
      </c>
      <c r="BK342" s="216">
        <f>IF(AND(Input_Product=Elig!$C342,Elig_MatchAll_Ct&lt;22,$BC342=(Elig_MatchAll_Ct-1),AI342=0),F342,0)</f>
        <v>0</v>
      </c>
      <c r="BL342" s="216">
        <f>IF(AND(Input_Product=Elig!$C342,Elig_MatchAll_Ct&lt;22,$BC342=(Elig_MatchAll_Ct-1),AJ342=0),G342,0)</f>
        <v>0</v>
      </c>
      <c r="BM342" s="216">
        <f>IF(AND(Input_Product=Elig!$C342,Elig_MatchAll_Ct&lt;22,$BC342=(Elig_MatchAll_Ct-1),AK342=0),H342,0)</f>
        <v>0</v>
      </c>
      <c r="BN342" s="216">
        <f>IF(AND(Input_Product=Elig!$C342,Elig_MatchAll_Ct&lt;22,$BC342=(Elig_MatchAll_Ct-1),AL342=0),I342,0)</f>
        <v>0</v>
      </c>
      <c r="BO342" s="216">
        <f>IF(AND(Input_Product=Elig!$C342,Elig_MatchAll_Ct&lt;22,$BC342=(Elig_MatchAll_Ct-1),AM342=0),J342,0)</f>
        <v>0</v>
      </c>
      <c r="BP342" s="216">
        <f>IF(AND(Input_Product=Elig!$C342,Elig_MatchAll_Ct&lt;22,$BC342=(Elig_MatchAll_Ct-1),AN342=0),K342,0)</f>
        <v>0</v>
      </c>
      <c r="BQ342" s="216">
        <f>IF(AND(Input_Product=Elig!$C342,Elig_MatchAll_Ct&lt;22,$BC342=(Elig_MatchAll_Ct-1),AP342=0),L342,0)</f>
        <v>0</v>
      </c>
      <c r="BR342" s="216">
        <f>IF(AND(Input_Product=Elig!$C342,Elig_MatchAll_Ct&lt;22,$BC342=(Elig_MatchAll_Ct-1),AO342=0),M342,0)</f>
        <v>0</v>
      </c>
      <c r="BS342" s="216">
        <f>IF(AND(Input_Product=Elig!$C342,Elig_MatchAll_Ct&lt;22,$BC342=(Elig_MatchAll_Ct-1),AQ342=0),N342,0)</f>
        <v>0</v>
      </c>
      <c r="BT342" s="216">
        <f>IF(AND(Input_Product=Elig!$C342,Elig_MatchAll_Ct&lt;22,$BC342=(Elig_MatchAll_Ct-1),AR342=0),O342,0)</f>
        <v>0</v>
      </c>
      <c r="BU342" s="216">
        <f>IF(AND(Input_Product=Elig!$C342,Elig_MatchAll_Ct&lt;22,$BC342=(Elig_MatchAll_Ct-1),AS342=0),P342,0)</f>
        <v>0</v>
      </c>
      <c r="BV342" s="217">
        <f>IF(AND(Input_Product=Elig!$C342,Elig_MatchAll_Ct&lt;22,$BC342=(Elig_MatchAll_Ct-1),AT342=0),Q342,0)</f>
        <v>0</v>
      </c>
      <c r="BW342" s="212">
        <f>IF(AND(Input_Product=Elig!$C342,Elig_MatchAll_Ct&lt;22,$BC342=(Elig_MatchAll_Ct-1),AU342=0),R342,0)</f>
        <v>0</v>
      </c>
      <c r="BX342" s="213">
        <f>IF(AND(Input_Product=Elig!$C342,Elig_MatchAll_Ct&lt;22,$BC342=(Elig_MatchAll_Ct-1),AU342=0),S342,0)</f>
        <v>0</v>
      </c>
      <c r="BY342" s="212">
        <f>IF(AND(Input_Product=Elig!$C342,Elig_MatchAll_Ct&lt;22,$BC342=(Elig_MatchAll_Ct-1),AV342=0),T342,0)</f>
        <v>0</v>
      </c>
      <c r="BZ342" s="213">
        <f>IF(AND(Input_Product=Elig!$C342,Elig_MatchAll_Ct&lt;22,$BC342=(Elig_MatchAll_Ct-1),AV342=0),U342,0)</f>
        <v>0</v>
      </c>
      <c r="CA342" s="212">
        <f>IF(AND(Input_Product=Elig!$C342,Elig_MatchAll_Ct&lt;22,$BC342=(Elig_MatchAll_Ct-1),AW342=0),V342,0)</f>
        <v>0</v>
      </c>
      <c r="CB342" s="213">
        <f>IF(AND(Input_Product=Elig!$C342,Elig_MatchAll_Ct&lt;22,$BC342=(Elig_MatchAll_Ct-1),AW342=0),W342,0)</f>
        <v>0</v>
      </c>
      <c r="CC342" s="212">
        <f>IF(AND(Input_Product=Elig!$C342,Elig_MatchAll_Ct&lt;22,$BC342=(Elig_MatchAll_Ct-1),AX342=0),X342,0)</f>
        <v>0</v>
      </c>
      <c r="CD342" s="213">
        <f>IF(AND(Input_Product=Elig!$C342,Elig_MatchAll_Ct&lt;22,$BC342=(Elig_MatchAll_Ct-1),AX342=0),Y342,0)</f>
        <v>0</v>
      </c>
      <c r="CE342" s="212">
        <f>IF(AND(Input_LTV&lt;=AE342,Input_Product=Elig!$C342,Elig_MatchAll_Ct&lt;22,$BC342=(Elig_MatchAll_Ct-1),AY342=0),Z342,0)</f>
        <v>0</v>
      </c>
      <c r="CF342" s="213">
        <f>IF(AND(Input_LTV&lt;=AE342,Input_Product=Elig!$C342,Elig_MatchAll_Ct&lt;22,$BC342=(Elig_MatchAll_Ct-1),AY342=0),AA342,0)</f>
        <v>0</v>
      </c>
      <c r="CG342" s="212">
        <f>IF(AND(Input_Product=Elig!$C342,Elig_MatchAll_Ct&lt;22,$BC342=(Elig_MatchAll_Ct-1),AZ342=0),AB342,0)</f>
        <v>0</v>
      </c>
      <c r="CH342" s="213">
        <f>IF(AND(Input_Product=Elig!$C342,Elig_MatchAll_Ct&lt;22,$BC342=(Elig_MatchAll_Ct-1),AZ342=0),AC342,0)</f>
        <v>0</v>
      </c>
      <c r="CI342" s="212">
        <f>IF(AND(Input_Product=Elig!$C342,Elig_MatchAll_Ct&lt;22,$BC342=(Elig_MatchAll_Ct-1),BA342=0),AD342,0)</f>
        <v>0</v>
      </c>
      <c r="CJ342" s="213">
        <f>IF(AND(Input_Product=Elig!$C342,Elig_MatchAll_Ct&lt;22,$BC342=(Elig_MatchAll_Ct-1),BA342=0),AE342,0)</f>
        <v>0</v>
      </c>
    </row>
    <row r="343" spans="2:88" ht="10.15" customHeight="1" x14ac:dyDescent="0.25">
      <c r="B343" s="287" t="s">
        <v>1039</v>
      </c>
      <c r="C343" s="286" t="str">
        <f t="shared" si="132"/>
        <v>NonQM NOO</v>
      </c>
      <c r="D343" s="287" t="s">
        <v>3885</v>
      </c>
      <c r="E343" s="287" t="s">
        <v>167</v>
      </c>
      <c r="F343" s="287" t="s">
        <v>330</v>
      </c>
      <c r="G343" s="287" t="s">
        <v>181</v>
      </c>
      <c r="H343" s="287" t="s">
        <v>136</v>
      </c>
      <c r="I343" s="288" t="s">
        <v>16</v>
      </c>
      <c r="J343" s="288" t="s">
        <v>1311</v>
      </c>
      <c r="K343" s="288" t="s">
        <v>1631</v>
      </c>
      <c r="L343" s="300" t="s">
        <v>312</v>
      </c>
      <c r="M343" s="287" t="s">
        <v>4203</v>
      </c>
      <c r="N343" s="287" t="s">
        <v>2685</v>
      </c>
      <c r="O343" s="287" t="s">
        <v>310</v>
      </c>
      <c r="P343" s="287" t="s">
        <v>291</v>
      </c>
      <c r="Q343" s="287" t="s">
        <v>294</v>
      </c>
      <c r="R343" s="300">
        <v>100000</v>
      </c>
      <c r="S343" s="287">
        <v>1000000</v>
      </c>
      <c r="T343" s="287">
        <v>0</v>
      </c>
      <c r="U343" s="287">
        <f t="shared" si="151"/>
        <v>1000000</v>
      </c>
      <c r="V343" s="287">
        <v>0</v>
      </c>
      <c r="W343" s="287">
        <v>55</v>
      </c>
      <c r="X343" s="287">
        <v>1</v>
      </c>
      <c r="Y343" s="287">
        <v>999</v>
      </c>
      <c r="Z343" s="289">
        <v>700</v>
      </c>
      <c r="AA343" s="289">
        <v>719</v>
      </c>
      <c r="AB343" s="289">
        <v>3</v>
      </c>
      <c r="AC343" s="289">
        <v>999999</v>
      </c>
      <c r="AD343" s="287">
        <v>0</v>
      </c>
      <c r="AE343" s="2105">
        <v>80</v>
      </c>
      <c r="AF343" s="170">
        <v>0</v>
      </c>
      <c r="AG343" s="171">
        <v>1</v>
      </c>
      <c r="AH343" s="171">
        <v>1</v>
      </c>
      <c r="AI343" s="171">
        <v>0</v>
      </c>
      <c r="AJ343" s="171">
        <v>0</v>
      </c>
      <c r="AK343" s="171">
        <v>1</v>
      </c>
      <c r="AL343" s="171">
        <v>1</v>
      </c>
      <c r="AM343" s="171">
        <v>1</v>
      </c>
      <c r="AN343" s="171">
        <v>1</v>
      </c>
      <c r="AO343" s="171">
        <v>1</v>
      </c>
      <c r="AP343" s="171">
        <v>1</v>
      </c>
      <c r="AQ343" s="171">
        <v>1</v>
      </c>
      <c r="AR343" s="171">
        <v>1</v>
      </c>
      <c r="AS343" s="171">
        <v>1</v>
      </c>
      <c r="AT343" s="171">
        <v>1</v>
      </c>
      <c r="AU343" s="171">
        <f t="shared" si="140"/>
        <v>1</v>
      </c>
      <c r="AV343" s="171">
        <f t="shared" si="141"/>
        <v>1</v>
      </c>
      <c r="AW343" s="171">
        <f t="shared" si="142"/>
        <v>1</v>
      </c>
      <c r="AX343" s="171">
        <f t="shared" si="100"/>
        <v>0</v>
      </c>
      <c r="AY343" s="171">
        <f t="shared" si="143"/>
        <v>0</v>
      </c>
      <c r="AZ343" s="171">
        <f t="shared" si="144"/>
        <v>1</v>
      </c>
      <c r="BA343" s="172">
        <f t="shared" si="145"/>
        <v>1</v>
      </c>
      <c r="BB343" s="175">
        <f t="shared" si="147"/>
        <v>17</v>
      </c>
      <c r="BC343" s="176">
        <f t="shared" si="148"/>
        <v>16</v>
      </c>
      <c r="BD343" s="176">
        <f t="shared" si="149"/>
        <v>17</v>
      </c>
      <c r="BE343" s="240" t="str">
        <f t="shared" si="146"/>
        <v/>
      </c>
      <c r="BH343" s="199">
        <f>IF(AND(Input_Product=Elig!$C343,Elig_MatchAll_Ct&lt;22,$BC343=(Elig_MatchAll_Ct-1),AF343=0),C343,0)</f>
        <v>0</v>
      </c>
      <c r="BI343" s="199">
        <f>IF(AND(Input_Product=Elig!$C343,Elig_MatchAll_Ct&lt;22,$BC343=(Elig_MatchAll_Ct-1),AG343=0),D343,0)</f>
        <v>0</v>
      </c>
      <c r="BJ343" s="199">
        <f>IF(AND(Input_Product=Elig!$C343,Elig_MatchAll_Ct&lt;22,$BC343=(Elig_MatchAll_Ct-1),AH343=0),E343,0)</f>
        <v>0</v>
      </c>
      <c r="BK343" s="199">
        <f>IF(AND(Input_Product=Elig!$C343,Elig_MatchAll_Ct&lt;22,$BC343=(Elig_MatchAll_Ct-1),AI343=0),F343,0)</f>
        <v>0</v>
      </c>
      <c r="BL343" s="199">
        <f>IF(AND(Input_Product=Elig!$C343,Elig_MatchAll_Ct&lt;22,$BC343=(Elig_MatchAll_Ct-1),AJ343=0),G343,0)</f>
        <v>0</v>
      </c>
      <c r="BM343" s="199">
        <f>IF(AND(Input_Product=Elig!$C343,Elig_MatchAll_Ct&lt;22,$BC343=(Elig_MatchAll_Ct-1),AK343=0),H343,0)</f>
        <v>0</v>
      </c>
      <c r="BN343" s="199">
        <f>IF(AND(Input_Product=Elig!$C343,Elig_MatchAll_Ct&lt;22,$BC343=(Elig_MatchAll_Ct-1),AL343=0),I343,0)</f>
        <v>0</v>
      </c>
      <c r="BO343" s="199">
        <f>IF(AND(Input_Product=Elig!$C343,Elig_MatchAll_Ct&lt;22,$BC343=(Elig_MatchAll_Ct-1),AM343=0),J343,0)</f>
        <v>0</v>
      </c>
      <c r="BP343" s="199">
        <f>IF(AND(Input_Product=Elig!$C343,Elig_MatchAll_Ct&lt;22,$BC343=(Elig_MatchAll_Ct-1),AN343=0),K343,0)</f>
        <v>0</v>
      </c>
      <c r="BQ343" s="199">
        <f>IF(AND(Input_Product=Elig!$C343,Elig_MatchAll_Ct&lt;22,$BC343=(Elig_MatchAll_Ct-1),AP343=0),L343,0)</f>
        <v>0</v>
      </c>
      <c r="BR343" s="199">
        <f>IF(AND(Input_Product=Elig!$C343,Elig_MatchAll_Ct&lt;22,$BC343=(Elig_MatchAll_Ct-1),AO343=0),M343,0)</f>
        <v>0</v>
      </c>
      <c r="BS343" s="199">
        <f>IF(AND(Input_Product=Elig!$C343,Elig_MatchAll_Ct&lt;22,$BC343=(Elig_MatchAll_Ct-1),AQ343=0),N343,0)</f>
        <v>0</v>
      </c>
      <c r="BT343" s="199">
        <f>IF(AND(Input_Product=Elig!$C343,Elig_MatchAll_Ct&lt;22,$BC343=(Elig_MatchAll_Ct-1),AR343=0),O343,0)</f>
        <v>0</v>
      </c>
      <c r="BU343" s="199">
        <f>IF(AND(Input_Product=Elig!$C343,Elig_MatchAll_Ct&lt;22,$BC343=(Elig_MatchAll_Ct-1),AS343=0),P343,0)</f>
        <v>0</v>
      </c>
      <c r="BV343" s="200">
        <f>IF(AND(Input_Product=Elig!$C343,Elig_MatchAll_Ct&lt;22,$BC343=(Elig_MatchAll_Ct-1),AT343=0),Q343,0)</f>
        <v>0</v>
      </c>
      <c r="BW343" s="201">
        <f>IF(AND(Input_Product=Elig!$C343,Elig_MatchAll_Ct&lt;22,$BC343=(Elig_MatchAll_Ct-1),AU343=0),R343,0)</f>
        <v>0</v>
      </c>
      <c r="BX343" s="202">
        <f>IF(AND(Input_Product=Elig!$C343,Elig_MatchAll_Ct&lt;22,$BC343=(Elig_MatchAll_Ct-1),AU343=0),S343,0)</f>
        <v>0</v>
      </c>
      <c r="BY343" s="201">
        <f>IF(AND(Input_Product=Elig!$C343,Elig_MatchAll_Ct&lt;22,$BC343=(Elig_MatchAll_Ct-1),AV343=0),T343,0)</f>
        <v>0</v>
      </c>
      <c r="BZ343" s="202">
        <f>IF(AND(Input_Product=Elig!$C343,Elig_MatchAll_Ct&lt;22,$BC343=(Elig_MatchAll_Ct-1),AV343=0),U343,0)</f>
        <v>0</v>
      </c>
      <c r="CA343" s="201">
        <f>IF(AND(Input_Product=Elig!$C343,Elig_MatchAll_Ct&lt;22,$BC343=(Elig_MatchAll_Ct-1),AW343=0),V343,0)</f>
        <v>0</v>
      </c>
      <c r="CB343" s="202">
        <f>IF(AND(Input_Product=Elig!$C343,Elig_MatchAll_Ct&lt;22,$BC343=(Elig_MatchAll_Ct-1),AW343=0),W343,0)</f>
        <v>0</v>
      </c>
      <c r="CC343" s="201">
        <f>IF(AND(Input_Product=Elig!$C343,Elig_MatchAll_Ct&lt;22,$BC343=(Elig_MatchAll_Ct-1),AX343=0),X343,0)</f>
        <v>0</v>
      </c>
      <c r="CD343" s="202">
        <f>IF(AND(Input_Product=Elig!$C343,Elig_MatchAll_Ct&lt;22,$BC343=(Elig_MatchAll_Ct-1),AX343=0),Y343,0)</f>
        <v>0</v>
      </c>
      <c r="CE343" s="201">
        <f>IF(AND(Input_LTV&lt;=AE343,Input_Product=Elig!$C343,Elig_MatchAll_Ct&lt;22,$BC343=(Elig_MatchAll_Ct-1),AY343=0),Z343,0)</f>
        <v>0</v>
      </c>
      <c r="CF343" s="202">
        <f>IF(AND(Input_LTV&lt;=AE343,Input_Product=Elig!$C343,Elig_MatchAll_Ct&lt;22,$BC343=(Elig_MatchAll_Ct-1),AY343=0),AA343,0)</f>
        <v>0</v>
      </c>
      <c r="CG343" s="201">
        <f>IF(AND(Input_Product=Elig!$C343,Elig_MatchAll_Ct&lt;22,$BC343=(Elig_MatchAll_Ct-1),AZ343=0),AB343,0)</f>
        <v>0</v>
      </c>
      <c r="CH343" s="202">
        <f>IF(AND(Input_Product=Elig!$C343,Elig_MatchAll_Ct&lt;22,$BC343=(Elig_MatchAll_Ct-1),AZ343=0),AC343,0)</f>
        <v>0</v>
      </c>
      <c r="CI343" s="201">
        <f>IF(AND(Input_Product=Elig!$C343,Elig_MatchAll_Ct&lt;22,$BC343=(Elig_MatchAll_Ct-1),BA343=0),AD343,0)</f>
        <v>0</v>
      </c>
      <c r="CJ343" s="202">
        <f>IF(AND(Input_Product=Elig!$C343,Elig_MatchAll_Ct&lt;22,$BC343=(Elig_MatchAll_Ct-1),BA343=0),AE343,0)</f>
        <v>0</v>
      </c>
    </row>
    <row r="344" spans="2:88" ht="10.15" customHeight="1" x14ac:dyDescent="0.25">
      <c r="B344" s="287" t="s">
        <v>1040</v>
      </c>
      <c r="C344" s="286" t="str">
        <f t="shared" si="132"/>
        <v>NonQM NOO</v>
      </c>
      <c r="D344" s="287" t="s">
        <v>3885</v>
      </c>
      <c r="E344" s="287" t="s">
        <v>167</v>
      </c>
      <c r="F344" s="287" t="s">
        <v>330</v>
      </c>
      <c r="G344" s="287" t="s">
        <v>181</v>
      </c>
      <c r="H344" s="287" t="s">
        <v>136</v>
      </c>
      <c r="I344" s="288" t="s">
        <v>16</v>
      </c>
      <c r="J344" s="288" t="s">
        <v>1311</v>
      </c>
      <c r="K344" s="288" t="s">
        <v>1631</v>
      </c>
      <c r="L344" s="300" t="s">
        <v>312</v>
      </c>
      <c r="M344" s="287" t="s">
        <v>4203</v>
      </c>
      <c r="N344" s="287" t="s">
        <v>2685</v>
      </c>
      <c r="O344" s="287" t="s">
        <v>310</v>
      </c>
      <c r="P344" s="287" t="s">
        <v>291</v>
      </c>
      <c r="Q344" s="287" t="s">
        <v>294</v>
      </c>
      <c r="R344" s="300">
        <v>100000</v>
      </c>
      <c r="S344" s="287">
        <v>1000000</v>
      </c>
      <c r="T344" s="287">
        <v>0</v>
      </c>
      <c r="U344" s="287">
        <f t="shared" si="151"/>
        <v>1000000</v>
      </c>
      <c r="V344" s="287">
        <v>0</v>
      </c>
      <c r="W344" s="287">
        <v>55</v>
      </c>
      <c r="X344" s="287">
        <v>1</v>
      </c>
      <c r="Y344" s="287">
        <v>999</v>
      </c>
      <c r="Z344" s="289">
        <v>680</v>
      </c>
      <c r="AA344" s="289">
        <v>699</v>
      </c>
      <c r="AB344" s="289">
        <v>3</v>
      </c>
      <c r="AC344" s="289">
        <v>999999</v>
      </c>
      <c r="AD344" s="287">
        <v>0</v>
      </c>
      <c r="AE344" s="2105">
        <v>75</v>
      </c>
      <c r="AF344" s="170">
        <v>0</v>
      </c>
      <c r="AG344" s="171">
        <v>1</v>
      </c>
      <c r="AH344" s="171">
        <v>1</v>
      </c>
      <c r="AI344" s="171">
        <v>0</v>
      </c>
      <c r="AJ344" s="171">
        <v>0</v>
      </c>
      <c r="AK344" s="171">
        <v>1</v>
      </c>
      <c r="AL344" s="171">
        <v>1</v>
      </c>
      <c r="AM344" s="171">
        <v>1</v>
      </c>
      <c r="AN344" s="171">
        <v>1</v>
      </c>
      <c r="AO344" s="171">
        <v>1</v>
      </c>
      <c r="AP344" s="171">
        <v>1</v>
      </c>
      <c r="AQ344" s="171">
        <v>1</v>
      </c>
      <c r="AR344" s="171">
        <v>1</v>
      </c>
      <c r="AS344" s="171">
        <v>1</v>
      </c>
      <c r="AT344" s="171">
        <v>1</v>
      </c>
      <c r="AU344" s="171">
        <f t="shared" si="140"/>
        <v>1</v>
      </c>
      <c r="AV344" s="171">
        <f t="shared" si="141"/>
        <v>1</v>
      </c>
      <c r="AW344" s="171">
        <f t="shared" si="142"/>
        <v>1</v>
      </c>
      <c r="AX344" s="171">
        <f t="shared" si="100"/>
        <v>0</v>
      </c>
      <c r="AY344" s="171">
        <f t="shared" si="143"/>
        <v>0</v>
      </c>
      <c r="AZ344" s="171">
        <f t="shared" si="144"/>
        <v>1</v>
      </c>
      <c r="BA344" s="172">
        <f t="shared" si="145"/>
        <v>1</v>
      </c>
      <c r="BB344" s="175">
        <f t="shared" si="147"/>
        <v>17</v>
      </c>
      <c r="BC344" s="176">
        <f t="shared" si="148"/>
        <v>16</v>
      </c>
      <c r="BD344" s="176">
        <f t="shared" si="149"/>
        <v>17</v>
      </c>
      <c r="BE344" s="240" t="str">
        <f t="shared" si="146"/>
        <v/>
      </c>
      <c r="BH344" s="199">
        <f>IF(AND(Input_Product=Elig!$C344,Elig_MatchAll_Ct&lt;22,$BC344=(Elig_MatchAll_Ct-1),AF344=0),C344,0)</f>
        <v>0</v>
      </c>
      <c r="BI344" s="199">
        <f>IF(AND(Input_Product=Elig!$C344,Elig_MatchAll_Ct&lt;22,$BC344=(Elig_MatchAll_Ct-1),AG344=0),D344,0)</f>
        <v>0</v>
      </c>
      <c r="BJ344" s="199">
        <f>IF(AND(Input_Product=Elig!$C344,Elig_MatchAll_Ct&lt;22,$BC344=(Elig_MatchAll_Ct-1),AH344=0),E344,0)</f>
        <v>0</v>
      </c>
      <c r="BK344" s="199">
        <f>IF(AND(Input_Product=Elig!$C344,Elig_MatchAll_Ct&lt;22,$BC344=(Elig_MatchAll_Ct-1),AI344=0),F344,0)</f>
        <v>0</v>
      </c>
      <c r="BL344" s="199">
        <f>IF(AND(Input_Product=Elig!$C344,Elig_MatchAll_Ct&lt;22,$BC344=(Elig_MatchAll_Ct-1),AJ344=0),G344,0)</f>
        <v>0</v>
      </c>
      <c r="BM344" s="199">
        <f>IF(AND(Input_Product=Elig!$C344,Elig_MatchAll_Ct&lt;22,$BC344=(Elig_MatchAll_Ct-1),AK344=0),H344,0)</f>
        <v>0</v>
      </c>
      <c r="BN344" s="199">
        <f>IF(AND(Input_Product=Elig!$C344,Elig_MatchAll_Ct&lt;22,$BC344=(Elig_MatchAll_Ct-1),AL344=0),I344,0)</f>
        <v>0</v>
      </c>
      <c r="BO344" s="199">
        <f>IF(AND(Input_Product=Elig!$C344,Elig_MatchAll_Ct&lt;22,$BC344=(Elig_MatchAll_Ct-1),AM344=0),J344,0)</f>
        <v>0</v>
      </c>
      <c r="BP344" s="199">
        <f>IF(AND(Input_Product=Elig!$C344,Elig_MatchAll_Ct&lt;22,$BC344=(Elig_MatchAll_Ct-1),AN344=0),K344,0)</f>
        <v>0</v>
      </c>
      <c r="BQ344" s="199">
        <f>IF(AND(Input_Product=Elig!$C344,Elig_MatchAll_Ct&lt;22,$BC344=(Elig_MatchAll_Ct-1),AP344=0),L344,0)</f>
        <v>0</v>
      </c>
      <c r="BR344" s="199">
        <f>IF(AND(Input_Product=Elig!$C344,Elig_MatchAll_Ct&lt;22,$BC344=(Elig_MatchAll_Ct-1),AO344=0),M344,0)</f>
        <v>0</v>
      </c>
      <c r="BS344" s="199">
        <f>IF(AND(Input_Product=Elig!$C344,Elig_MatchAll_Ct&lt;22,$BC344=(Elig_MatchAll_Ct-1),AQ344=0),N344,0)</f>
        <v>0</v>
      </c>
      <c r="BT344" s="199">
        <f>IF(AND(Input_Product=Elig!$C344,Elig_MatchAll_Ct&lt;22,$BC344=(Elig_MatchAll_Ct-1),AR344=0),O344,0)</f>
        <v>0</v>
      </c>
      <c r="BU344" s="199">
        <f>IF(AND(Input_Product=Elig!$C344,Elig_MatchAll_Ct&lt;22,$BC344=(Elig_MatchAll_Ct-1),AS344=0),P344,0)</f>
        <v>0</v>
      </c>
      <c r="BV344" s="200">
        <f>IF(AND(Input_Product=Elig!$C344,Elig_MatchAll_Ct&lt;22,$BC344=(Elig_MatchAll_Ct-1),AT344=0),Q344,0)</f>
        <v>0</v>
      </c>
      <c r="BW344" s="201">
        <f>IF(AND(Input_Product=Elig!$C344,Elig_MatchAll_Ct&lt;22,$BC344=(Elig_MatchAll_Ct-1),AU344=0),R344,0)</f>
        <v>0</v>
      </c>
      <c r="BX344" s="202">
        <f>IF(AND(Input_Product=Elig!$C344,Elig_MatchAll_Ct&lt;22,$BC344=(Elig_MatchAll_Ct-1),AU344=0),S344,0)</f>
        <v>0</v>
      </c>
      <c r="BY344" s="201">
        <f>IF(AND(Input_Product=Elig!$C344,Elig_MatchAll_Ct&lt;22,$BC344=(Elig_MatchAll_Ct-1),AV344=0),T344,0)</f>
        <v>0</v>
      </c>
      <c r="BZ344" s="202">
        <f>IF(AND(Input_Product=Elig!$C344,Elig_MatchAll_Ct&lt;22,$BC344=(Elig_MatchAll_Ct-1),AV344=0),U344,0)</f>
        <v>0</v>
      </c>
      <c r="CA344" s="201">
        <f>IF(AND(Input_Product=Elig!$C344,Elig_MatchAll_Ct&lt;22,$BC344=(Elig_MatchAll_Ct-1),AW344=0),V344,0)</f>
        <v>0</v>
      </c>
      <c r="CB344" s="202">
        <f>IF(AND(Input_Product=Elig!$C344,Elig_MatchAll_Ct&lt;22,$BC344=(Elig_MatchAll_Ct-1),AW344=0),W344,0)</f>
        <v>0</v>
      </c>
      <c r="CC344" s="201">
        <f>IF(AND(Input_Product=Elig!$C344,Elig_MatchAll_Ct&lt;22,$BC344=(Elig_MatchAll_Ct-1),AX344=0),X344,0)</f>
        <v>0</v>
      </c>
      <c r="CD344" s="202">
        <f>IF(AND(Input_Product=Elig!$C344,Elig_MatchAll_Ct&lt;22,$BC344=(Elig_MatchAll_Ct-1),AX344=0),Y344,0)</f>
        <v>0</v>
      </c>
      <c r="CE344" s="201">
        <f>IF(AND(Input_LTV&lt;=AE344,Input_Product=Elig!$C344,Elig_MatchAll_Ct&lt;22,$BC344=(Elig_MatchAll_Ct-1),AY344=0),Z344,0)</f>
        <v>0</v>
      </c>
      <c r="CF344" s="202">
        <f>IF(AND(Input_LTV&lt;=AE344,Input_Product=Elig!$C344,Elig_MatchAll_Ct&lt;22,$BC344=(Elig_MatchAll_Ct-1),AY344=0),AA344,0)</f>
        <v>0</v>
      </c>
      <c r="CG344" s="201">
        <f>IF(AND(Input_Product=Elig!$C344,Elig_MatchAll_Ct&lt;22,$BC344=(Elig_MatchAll_Ct-1),AZ344=0),AB344,0)</f>
        <v>0</v>
      </c>
      <c r="CH344" s="202">
        <f>IF(AND(Input_Product=Elig!$C344,Elig_MatchAll_Ct&lt;22,$BC344=(Elig_MatchAll_Ct-1),AZ344=0),AC344,0)</f>
        <v>0</v>
      </c>
      <c r="CI344" s="201">
        <f>IF(AND(Input_Product=Elig!$C344,Elig_MatchAll_Ct&lt;22,$BC344=(Elig_MatchAll_Ct-1),BA344=0),AD344,0)</f>
        <v>0</v>
      </c>
      <c r="CJ344" s="202">
        <f>IF(AND(Input_Product=Elig!$C344,Elig_MatchAll_Ct&lt;22,$BC344=(Elig_MatchAll_Ct-1),BA344=0),AE344,0)</f>
        <v>0</v>
      </c>
    </row>
    <row r="345" spans="2:88" ht="10.15" customHeight="1" x14ac:dyDescent="0.25">
      <c r="B345" s="287" t="s">
        <v>1041</v>
      </c>
      <c r="C345" s="286" t="str">
        <f t="shared" si="132"/>
        <v>NonQM NOO</v>
      </c>
      <c r="D345" s="287" t="s">
        <v>3885</v>
      </c>
      <c r="E345" s="287" t="s">
        <v>167</v>
      </c>
      <c r="F345" s="287" t="s">
        <v>330</v>
      </c>
      <c r="G345" s="287" t="s">
        <v>181</v>
      </c>
      <c r="H345" s="287" t="s">
        <v>136</v>
      </c>
      <c r="I345" s="287" t="s">
        <v>16</v>
      </c>
      <c r="J345" s="287" t="s">
        <v>1311</v>
      </c>
      <c r="K345" s="287" t="s">
        <v>1631</v>
      </c>
      <c r="L345" s="300" t="s">
        <v>312</v>
      </c>
      <c r="M345" s="287" t="s">
        <v>4203</v>
      </c>
      <c r="N345" s="287" t="s">
        <v>2685</v>
      </c>
      <c r="O345" s="287" t="s">
        <v>310</v>
      </c>
      <c r="P345" s="287" t="s">
        <v>291</v>
      </c>
      <c r="Q345" s="287" t="s">
        <v>294</v>
      </c>
      <c r="R345" s="300">
        <v>100000</v>
      </c>
      <c r="S345" s="287">
        <v>1000000</v>
      </c>
      <c r="T345" s="287">
        <v>0</v>
      </c>
      <c r="U345" s="287">
        <f t="shared" si="151"/>
        <v>1000000</v>
      </c>
      <c r="V345" s="287">
        <v>0</v>
      </c>
      <c r="W345" s="287">
        <v>50</v>
      </c>
      <c r="X345" s="287">
        <v>1</v>
      </c>
      <c r="Y345" s="287">
        <v>999</v>
      </c>
      <c r="Z345" s="2106">
        <v>660</v>
      </c>
      <c r="AA345" s="2106">
        <v>679</v>
      </c>
      <c r="AB345" s="289">
        <v>3</v>
      </c>
      <c r="AC345" s="289">
        <v>999999</v>
      </c>
      <c r="AD345" s="287">
        <v>0</v>
      </c>
      <c r="AE345" s="2105">
        <v>75</v>
      </c>
      <c r="AF345" s="170">
        <v>0</v>
      </c>
      <c r="AG345" s="171">
        <v>1</v>
      </c>
      <c r="AH345" s="171">
        <v>1</v>
      </c>
      <c r="AI345" s="171">
        <v>0</v>
      </c>
      <c r="AJ345" s="171">
        <v>0</v>
      </c>
      <c r="AK345" s="171">
        <v>1</v>
      </c>
      <c r="AL345" s="171">
        <v>1</v>
      </c>
      <c r="AM345" s="171">
        <v>1</v>
      </c>
      <c r="AN345" s="171">
        <v>1</v>
      </c>
      <c r="AO345" s="171">
        <v>1</v>
      </c>
      <c r="AP345" s="171">
        <v>1</v>
      </c>
      <c r="AQ345" s="171">
        <v>1</v>
      </c>
      <c r="AR345" s="171">
        <v>1</v>
      </c>
      <c r="AS345" s="171">
        <v>1</v>
      </c>
      <c r="AT345" s="171">
        <v>1</v>
      </c>
      <c r="AU345" s="171">
        <f t="shared" si="140"/>
        <v>1</v>
      </c>
      <c r="AV345" s="171">
        <f t="shared" si="141"/>
        <v>1</v>
      </c>
      <c r="AW345" s="171">
        <f t="shared" si="142"/>
        <v>1</v>
      </c>
      <c r="AX345" s="171">
        <f t="shared" ref="AX345:AX420" si="152">IF(AND(Input_DSCR&gt;=Elig_DSCR_Min,Input_DSCR&lt;=Elig_DSCR_Max),1,0)</f>
        <v>0</v>
      </c>
      <c r="AY345" s="171">
        <f t="shared" si="143"/>
        <v>0</v>
      </c>
      <c r="AZ345" s="171">
        <f t="shared" si="144"/>
        <v>1</v>
      </c>
      <c r="BA345" s="172">
        <f t="shared" si="145"/>
        <v>1</v>
      </c>
      <c r="BB345" s="175">
        <f t="shared" si="147"/>
        <v>17</v>
      </c>
      <c r="BC345" s="176">
        <f t="shared" si="148"/>
        <v>16</v>
      </c>
      <c r="BD345" s="176">
        <f t="shared" si="149"/>
        <v>17</v>
      </c>
      <c r="BE345" s="240" t="str">
        <f t="shared" si="146"/>
        <v/>
      </c>
      <c r="BH345" s="199">
        <f>IF(AND(Input_Product=Elig!$C345,Elig_MatchAll_Ct&lt;22,$BC345=(Elig_MatchAll_Ct-1),AF345=0),C345,0)</f>
        <v>0</v>
      </c>
      <c r="BI345" s="199">
        <f>IF(AND(Input_Product=Elig!$C345,Elig_MatchAll_Ct&lt;22,$BC345=(Elig_MatchAll_Ct-1),AG345=0),D345,0)</f>
        <v>0</v>
      </c>
      <c r="BJ345" s="199">
        <f>IF(AND(Input_Product=Elig!$C345,Elig_MatchAll_Ct&lt;22,$BC345=(Elig_MatchAll_Ct-1),AH345=0),E345,0)</f>
        <v>0</v>
      </c>
      <c r="BK345" s="199">
        <f>IF(AND(Input_Product=Elig!$C345,Elig_MatchAll_Ct&lt;22,$BC345=(Elig_MatchAll_Ct-1),AI345=0),F345,0)</f>
        <v>0</v>
      </c>
      <c r="BL345" s="199">
        <f>IF(AND(Input_Product=Elig!$C345,Elig_MatchAll_Ct&lt;22,$BC345=(Elig_MatchAll_Ct-1),AJ345=0),G345,0)</f>
        <v>0</v>
      </c>
      <c r="BM345" s="199">
        <f>IF(AND(Input_Product=Elig!$C345,Elig_MatchAll_Ct&lt;22,$BC345=(Elig_MatchAll_Ct-1),AK345=0),H345,0)</f>
        <v>0</v>
      </c>
      <c r="BN345" s="199">
        <f>IF(AND(Input_Product=Elig!$C345,Elig_MatchAll_Ct&lt;22,$BC345=(Elig_MatchAll_Ct-1),AL345=0),I345,0)</f>
        <v>0</v>
      </c>
      <c r="BO345" s="199">
        <f>IF(AND(Input_Product=Elig!$C345,Elig_MatchAll_Ct&lt;22,$BC345=(Elig_MatchAll_Ct-1),AM345=0),J345,0)</f>
        <v>0</v>
      </c>
      <c r="BP345" s="199">
        <f>IF(AND(Input_Product=Elig!$C345,Elig_MatchAll_Ct&lt;22,$BC345=(Elig_MatchAll_Ct-1),AN345=0),K345,0)</f>
        <v>0</v>
      </c>
      <c r="BQ345" s="199">
        <f>IF(AND(Input_Product=Elig!$C345,Elig_MatchAll_Ct&lt;22,$BC345=(Elig_MatchAll_Ct-1),AP345=0),L345,0)</f>
        <v>0</v>
      </c>
      <c r="BR345" s="199">
        <f>IF(AND(Input_Product=Elig!$C345,Elig_MatchAll_Ct&lt;22,$BC345=(Elig_MatchAll_Ct-1),AO345=0),M345,0)</f>
        <v>0</v>
      </c>
      <c r="BS345" s="199">
        <f>IF(AND(Input_Product=Elig!$C345,Elig_MatchAll_Ct&lt;22,$BC345=(Elig_MatchAll_Ct-1),AQ345=0),N345,0)</f>
        <v>0</v>
      </c>
      <c r="BT345" s="199">
        <f>IF(AND(Input_Product=Elig!$C345,Elig_MatchAll_Ct&lt;22,$BC345=(Elig_MatchAll_Ct-1),AR345=0),O345,0)</f>
        <v>0</v>
      </c>
      <c r="BU345" s="199">
        <f>IF(AND(Input_Product=Elig!$C345,Elig_MatchAll_Ct&lt;22,$BC345=(Elig_MatchAll_Ct-1),AS345=0),P345,0)</f>
        <v>0</v>
      </c>
      <c r="BV345" s="200">
        <f>IF(AND(Input_Product=Elig!$C345,Elig_MatchAll_Ct&lt;22,$BC345=(Elig_MatchAll_Ct-1),AT345=0),Q345,0)</f>
        <v>0</v>
      </c>
      <c r="BW345" s="201">
        <f>IF(AND(Input_Product=Elig!$C345,Elig_MatchAll_Ct&lt;22,$BC345=(Elig_MatchAll_Ct-1),AU345=0),R345,0)</f>
        <v>0</v>
      </c>
      <c r="BX345" s="202">
        <f>IF(AND(Input_Product=Elig!$C345,Elig_MatchAll_Ct&lt;22,$BC345=(Elig_MatchAll_Ct-1),AU345=0),S345,0)</f>
        <v>0</v>
      </c>
      <c r="BY345" s="201">
        <f>IF(AND(Input_Product=Elig!$C345,Elig_MatchAll_Ct&lt;22,$BC345=(Elig_MatchAll_Ct-1),AV345=0),T345,0)</f>
        <v>0</v>
      </c>
      <c r="BZ345" s="202">
        <f>IF(AND(Input_Product=Elig!$C345,Elig_MatchAll_Ct&lt;22,$BC345=(Elig_MatchAll_Ct-1),AV345=0),U345,0)</f>
        <v>0</v>
      </c>
      <c r="CA345" s="201">
        <f>IF(AND(Input_Product=Elig!$C345,Elig_MatchAll_Ct&lt;22,$BC345=(Elig_MatchAll_Ct-1),AW345=0),V345,0)</f>
        <v>0</v>
      </c>
      <c r="CB345" s="202">
        <f>IF(AND(Input_Product=Elig!$C345,Elig_MatchAll_Ct&lt;22,$BC345=(Elig_MatchAll_Ct-1),AW345=0),W345,0)</f>
        <v>0</v>
      </c>
      <c r="CC345" s="201">
        <f>IF(AND(Input_Product=Elig!$C345,Elig_MatchAll_Ct&lt;22,$BC345=(Elig_MatchAll_Ct-1),AX345=0),X345,0)</f>
        <v>0</v>
      </c>
      <c r="CD345" s="202">
        <f>IF(AND(Input_Product=Elig!$C345,Elig_MatchAll_Ct&lt;22,$BC345=(Elig_MatchAll_Ct-1),AX345=0),Y345,0)</f>
        <v>0</v>
      </c>
      <c r="CE345" s="201">
        <f>IF(AND(Input_LTV&lt;=AE345,Input_Product=Elig!$C345,Elig_MatchAll_Ct&lt;22,$BC345=(Elig_MatchAll_Ct-1),AY345=0),Z345,0)</f>
        <v>0</v>
      </c>
      <c r="CF345" s="202">
        <f>IF(AND(Input_LTV&lt;=AE345,Input_Product=Elig!$C345,Elig_MatchAll_Ct&lt;22,$BC345=(Elig_MatchAll_Ct-1),AY345=0),AA345,0)</f>
        <v>0</v>
      </c>
      <c r="CG345" s="201">
        <f>IF(AND(Input_Product=Elig!$C345,Elig_MatchAll_Ct&lt;22,$BC345=(Elig_MatchAll_Ct-1),AZ345=0),AB345,0)</f>
        <v>0</v>
      </c>
      <c r="CH345" s="202">
        <f>IF(AND(Input_Product=Elig!$C345,Elig_MatchAll_Ct&lt;22,$BC345=(Elig_MatchAll_Ct-1),AZ345=0),AC345,0)</f>
        <v>0</v>
      </c>
      <c r="CI345" s="201">
        <f>IF(AND(Input_Product=Elig!$C345,Elig_MatchAll_Ct&lt;22,$BC345=(Elig_MatchAll_Ct-1),BA345=0),AD345,0)</f>
        <v>0</v>
      </c>
      <c r="CJ345" s="202">
        <f>IF(AND(Input_Product=Elig!$C345,Elig_MatchAll_Ct&lt;22,$BC345=(Elig_MatchAll_Ct-1),BA345=0),AE345,0)</f>
        <v>0</v>
      </c>
    </row>
    <row r="346" spans="2:88" ht="10.15" customHeight="1" x14ac:dyDescent="0.25">
      <c r="B346" s="287" t="s">
        <v>1042</v>
      </c>
      <c r="C346" s="286" t="str">
        <f t="shared" si="132"/>
        <v>NonQM NOO</v>
      </c>
      <c r="D346" s="287" t="s">
        <v>3885</v>
      </c>
      <c r="E346" s="287" t="s">
        <v>167</v>
      </c>
      <c r="F346" s="287" t="s">
        <v>330</v>
      </c>
      <c r="G346" s="287" t="s">
        <v>181</v>
      </c>
      <c r="H346" s="287" t="s">
        <v>136</v>
      </c>
      <c r="I346" s="287" t="s">
        <v>16</v>
      </c>
      <c r="J346" s="287" t="s">
        <v>1311</v>
      </c>
      <c r="K346" s="287" t="s">
        <v>1631</v>
      </c>
      <c r="L346" s="300" t="s">
        <v>312</v>
      </c>
      <c r="M346" s="287" t="s">
        <v>4203</v>
      </c>
      <c r="N346" s="287" t="s">
        <v>2685</v>
      </c>
      <c r="O346" s="287" t="s">
        <v>45</v>
      </c>
      <c r="P346" s="287" t="s">
        <v>291</v>
      </c>
      <c r="Q346" s="287" t="s">
        <v>294</v>
      </c>
      <c r="R346" s="300">
        <v>100000</v>
      </c>
      <c r="S346" s="287">
        <v>1000000</v>
      </c>
      <c r="T346" s="287">
        <v>0</v>
      </c>
      <c r="U346" s="287">
        <f t="shared" si="151"/>
        <v>1000000</v>
      </c>
      <c r="V346" s="287">
        <v>0</v>
      </c>
      <c r="W346" s="287">
        <v>50</v>
      </c>
      <c r="X346" s="300">
        <v>1</v>
      </c>
      <c r="Y346" s="287">
        <v>999</v>
      </c>
      <c r="Z346" s="2106">
        <v>660</v>
      </c>
      <c r="AA346" s="2106">
        <v>679</v>
      </c>
      <c r="AB346" s="289">
        <v>3</v>
      </c>
      <c r="AC346" s="289">
        <v>999999</v>
      </c>
      <c r="AD346" s="287">
        <v>0</v>
      </c>
      <c r="AE346" s="2105">
        <v>75</v>
      </c>
      <c r="AF346" s="170">
        <v>0</v>
      </c>
      <c r="AG346" s="171">
        <v>1</v>
      </c>
      <c r="AH346" s="171">
        <v>1</v>
      </c>
      <c r="AI346" s="171">
        <v>0</v>
      </c>
      <c r="AJ346" s="171">
        <v>0</v>
      </c>
      <c r="AK346" s="171">
        <v>1</v>
      </c>
      <c r="AL346" s="171">
        <v>1</v>
      </c>
      <c r="AM346" s="171">
        <v>1</v>
      </c>
      <c r="AN346" s="171">
        <v>1</v>
      </c>
      <c r="AO346" s="171">
        <v>1</v>
      </c>
      <c r="AP346" s="171">
        <v>1</v>
      </c>
      <c r="AQ346" s="171">
        <v>1</v>
      </c>
      <c r="AR346" s="171">
        <v>0</v>
      </c>
      <c r="AS346" s="171">
        <v>1</v>
      </c>
      <c r="AT346" s="171">
        <v>1</v>
      </c>
      <c r="AU346" s="171">
        <f t="shared" si="140"/>
        <v>1</v>
      </c>
      <c r="AV346" s="171">
        <f t="shared" si="141"/>
        <v>1</v>
      </c>
      <c r="AW346" s="171">
        <f t="shared" si="142"/>
        <v>1</v>
      </c>
      <c r="AX346" s="171">
        <f t="shared" si="152"/>
        <v>0</v>
      </c>
      <c r="AY346" s="171">
        <f t="shared" si="143"/>
        <v>0</v>
      </c>
      <c r="AZ346" s="171">
        <f t="shared" si="144"/>
        <v>1</v>
      </c>
      <c r="BA346" s="172">
        <f t="shared" si="145"/>
        <v>1</v>
      </c>
      <c r="BB346" s="175">
        <f t="shared" si="147"/>
        <v>16</v>
      </c>
      <c r="BC346" s="176">
        <f t="shared" si="148"/>
        <v>15</v>
      </c>
      <c r="BD346" s="176">
        <f t="shared" si="149"/>
        <v>16</v>
      </c>
      <c r="BE346" s="240" t="str">
        <f t="shared" si="146"/>
        <v/>
      </c>
      <c r="BH346" s="199">
        <f>IF(AND(Input_Product=Elig!$C346,Elig_MatchAll_Ct&lt;22,$BC346=(Elig_MatchAll_Ct-1),AF346=0),C346,0)</f>
        <v>0</v>
      </c>
      <c r="BI346" s="199">
        <f>IF(AND(Input_Product=Elig!$C346,Elig_MatchAll_Ct&lt;22,$BC346=(Elig_MatchAll_Ct-1),AG346=0),D346,0)</f>
        <v>0</v>
      </c>
      <c r="BJ346" s="199">
        <f>IF(AND(Input_Product=Elig!$C346,Elig_MatchAll_Ct&lt;22,$BC346=(Elig_MatchAll_Ct-1),AH346=0),E346,0)</f>
        <v>0</v>
      </c>
      <c r="BK346" s="199">
        <f>IF(AND(Input_Product=Elig!$C346,Elig_MatchAll_Ct&lt;22,$BC346=(Elig_MatchAll_Ct-1),AI346=0),F346,0)</f>
        <v>0</v>
      </c>
      <c r="BL346" s="199">
        <f>IF(AND(Input_Product=Elig!$C346,Elig_MatchAll_Ct&lt;22,$BC346=(Elig_MatchAll_Ct-1),AJ346=0),G346,0)</f>
        <v>0</v>
      </c>
      <c r="BM346" s="199">
        <f>IF(AND(Input_Product=Elig!$C346,Elig_MatchAll_Ct&lt;22,$BC346=(Elig_MatchAll_Ct-1),AK346=0),H346,0)</f>
        <v>0</v>
      </c>
      <c r="BN346" s="199">
        <f>IF(AND(Input_Product=Elig!$C346,Elig_MatchAll_Ct&lt;22,$BC346=(Elig_MatchAll_Ct-1),AL346=0),I346,0)</f>
        <v>0</v>
      </c>
      <c r="BO346" s="199">
        <f>IF(AND(Input_Product=Elig!$C346,Elig_MatchAll_Ct&lt;22,$BC346=(Elig_MatchAll_Ct-1),AM346=0),J346,0)</f>
        <v>0</v>
      </c>
      <c r="BP346" s="199">
        <f>IF(AND(Input_Product=Elig!$C346,Elig_MatchAll_Ct&lt;22,$BC346=(Elig_MatchAll_Ct-1),AN346=0),K346,0)</f>
        <v>0</v>
      </c>
      <c r="BQ346" s="199">
        <f>IF(AND(Input_Product=Elig!$C346,Elig_MatchAll_Ct&lt;22,$BC346=(Elig_MatchAll_Ct-1),AP346=0),L346,0)</f>
        <v>0</v>
      </c>
      <c r="BR346" s="199">
        <f>IF(AND(Input_Product=Elig!$C346,Elig_MatchAll_Ct&lt;22,$BC346=(Elig_MatchAll_Ct-1),AO346=0),M346,0)</f>
        <v>0</v>
      </c>
      <c r="BS346" s="199">
        <f>IF(AND(Input_Product=Elig!$C346,Elig_MatchAll_Ct&lt;22,$BC346=(Elig_MatchAll_Ct-1),AQ346=0),N346,0)</f>
        <v>0</v>
      </c>
      <c r="BT346" s="199">
        <f>IF(AND(Input_Product=Elig!$C346,Elig_MatchAll_Ct&lt;22,$BC346=(Elig_MatchAll_Ct-1),AR346=0),O346,0)</f>
        <v>0</v>
      </c>
      <c r="BU346" s="199">
        <f>IF(AND(Input_Product=Elig!$C346,Elig_MatchAll_Ct&lt;22,$BC346=(Elig_MatchAll_Ct-1),AS346=0),P346,0)</f>
        <v>0</v>
      </c>
      <c r="BV346" s="200">
        <f>IF(AND(Input_Product=Elig!$C346,Elig_MatchAll_Ct&lt;22,$BC346=(Elig_MatchAll_Ct-1),AT346=0),Q346,0)</f>
        <v>0</v>
      </c>
      <c r="BW346" s="201">
        <f>IF(AND(Input_Product=Elig!$C346,Elig_MatchAll_Ct&lt;22,$BC346=(Elig_MatchAll_Ct-1),AU346=0),R346,0)</f>
        <v>0</v>
      </c>
      <c r="BX346" s="202">
        <f>IF(AND(Input_Product=Elig!$C346,Elig_MatchAll_Ct&lt;22,$BC346=(Elig_MatchAll_Ct-1),AU346=0),S346,0)</f>
        <v>0</v>
      </c>
      <c r="BY346" s="201">
        <f>IF(AND(Input_Product=Elig!$C346,Elig_MatchAll_Ct&lt;22,$BC346=(Elig_MatchAll_Ct-1),AV346=0),T346,0)</f>
        <v>0</v>
      </c>
      <c r="BZ346" s="202">
        <f>IF(AND(Input_Product=Elig!$C346,Elig_MatchAll_Ct&lt;22,$BC346=(Elig_MatchAll_Ct-1),AV346=0),U346,0)</f>
        <v>0</v>
      </c>
      <c r="CA346" s="201">
        <f>IF(AND(Input_Product=Elig!$C346,Elig_MatchAll_Ct&lt;22,$BC346=(Elig_MatchAll_Ct-1),AW346=0),V346,0)</f>
        <v>0</v>
      </c>
      <c r="CB346" s="202">
        <f>IF(AND(Input_Product=Elig!$C346,Elig_MatchAll_Ct&lt;22,$BC346=(Elig_MatchAll_Ct-1),AW346=0),W346,0)</f>
        <v>0</v>
      </c>
      <c r="CC346" s="201">
        <f>IF(AND(Input_Product=Elig!$C346,Elig_MatchAll_Ct&lt;22,$BC346=(Elig_MatchAll_Ct-1),AX346=0),X346,0)</f>
        <v>0</v>
      </c>
      <c r="CD346" s="202">
        <f>IF(AND(Input_Product=Elig!$C346,Elig_MatchAll_Ct&lt;22,$BC346=(Elig_MatchAll_Ct-1),AX346=0),Y346,0)</f>
        <v>0</v>
      </c>
      <c r="CE346" s="201">
        <f>IF(AND(Input_LTV&lt;=AE346,Input_Product=Elig!$C346,Elig_MatchAll_Ct&lt;22,$BC346=(Elig_MatchAll_Ct-1),AY346=0),Z346,0)</f>
        <v>0</v>
      </c>
      <c r="CF346" s="202">
        <f>IF(AND(Input_LTV&lt;=AE346,Input_Product=Elig!$C346,Elig_MatchAll_Ct&lt;22,$BC346=(Elig_MatchAll_Ct-1),AY346=0),AA346,0)</f>
        <v>0</v>
      </c>
      <c r="CG346" s="201">
        <f>IF(AND(Input_Product=Elig!$C346,Elig_MatchAll_Ct&lt;22,$BC346=(Elig_MatchAll_Ct-1),AZ346=0),AB346,0)</f>
        <v>0</v>
      </c>
      <c r="CH346" s="202">
        <f>IF(AND(Input_Product=Elig!$C346,Elig_MatchAll_Ct&lt;22,$BC346=(Elig_MatchAll_Ct-1),AZ346=0),AC346,0)</f>
        <v>0</v>
      </c>
      <c r="CI346" s="201">
        <f>IF(AND(Input_Product=Elig!$C346,Elig_MatchAll_Ct&lt;22,$BC346=(Elig_MatchAll_Ct-1),BA346=0),AD346,0)</f>
        <v>0</v>
      </c>
      <c r="CJ346" s="202">
        <f>IF(AND(Input_Product=Elig!$C346,Elig_MatchAll_Ct&lt;22,$BC346=(Elig_MatchAll_Ct-1),BA346=0),AE346,0)</f>
        <v>0</v>
      </c>
    </row>
    <row r="347" spans="2:88" ht="10.15" customHeight="1" x14ac:dyDescent="0.25">
      <c r="B347" s="287" t="s">
        <v>1043</v>
      </c>
      <c r="C347" s="286" t="str">
        <f t="shared" si="132"/>
        <v>NonQM NOO</v>
      </c>
      <c r="D347" s="287" t="s">
        <v>3885</v>
      </c>
      <c r="E347" s="287" t="s">
        <v>167</v>
      </c>
      <c r="F347" s="287" t="s">
        <v>330</v>
      </c>
      <c r="G347" s="287" t="s">
        <v>181</v>
      </c>
      <c r="H347" s="287" t="s">
        <v>136</v>
      </c>
      <c r="I347" s="287" t="s">
        <v>16</v>
      </c>
      <c r="J347" s="287" t="s">
        <v>1311</v>
      </c>
      <c r="K347" s="287" t="s">
        <v>1631</v>
      </c>
      <c r="L347" s="300" t="s">
        <v>312</v>
      </c>
      <c r="M347" s="287" t="s">
        <v>4203</v>
      </c>
      <c r="N347" s="287" t="s">
        <v>2685</v>
      </c>
      <c r="O347" s="287" t="s">
        <v>310</v>
      </c>
      <c r="P347" s="287" t="s">
        <v>291</v>
      </c>
      <c r="Q347" s="287" t="s">
        <v>294</v>
      </c>
      <c r="R347" s="300">
        <v>100000</v>
      </c>
      <c r="S347" s="287">
        <v>1000000</v>
      </c>
      <c r="T347" s="287">
        <v>0</v>
      </c>
      <c r="U347" s="287">
        <f t="shared" si="151"/>
        <v>1000000</v>
      </c>
      <c r="V347" s="287">
        <v>0</v>
      </c>
      <c r="W347" s="287">
        <v>50</v>
      </c>
      <c r="X347" s="287">
        <v>1</v>
      </c>
      <c r="Y347" s="287">
        <v>999</v>
      </c>
      <c r="Z347" s="289">
        <v>640</v>
      </c>
      <c r="AA347" s="289">
        <v>659</v>
      </c>
      <c r="AB347" s="289">
        <v>3</v>
      </c>
      <c r="AC347" s="289">
        <v>999999</v>
      </c>
      <c r="AD347" s="287">
        <v>0</v>
      </c>
      <c r="AE347" s="2105">
        <v>70</v>
      </c>
      <c r="AF347" s="170">
        <v>0</v>
      </c>
      <c r="AG347" s="171">
        <v>1</v>
      </c>
      <c r="AH347" s="171">
        <v>1</v>
      </c>
      <c r="AI347" s="171">
        <v>0</v>
      </c>
      <c r="AJ347" s="171">
        <v>0</v>
      </c>
      <c r="AK347" s="171">
        <v>1</v>
      </c>
      <c r="AL347" s="171">
        <v>1</v>
      </c>
      <c r="AM347" s="171">
        <v>1</v>
      </c>
      <c r="AN347" s="171">
        <v>1</v>
      </c>
      <c r="AO347" s="171">
        <v>1</v>
      </c>
      <c r="AP347" s="171">
        <v>1</v>
      </c>
      <c r="AQ347" s="171">
        <v>1</v>
      </c>
      <c r="AR347" s="171">
        <v>1</v>
      </c>
      <c r="AS347" s="171">
        <v>1</v>
      </c>
      <c r="AT347" s="171">
        <v>1</v>
      </c>
      <c r="AU347" s="171">
        <f t="shared" si="140"/>
        <v>1</v>
      </c>
      <c r="AV347" s="171">
        <f t="shared" si="141"/>
        <v>1</v>
      </c>
      <c r="AW347" s="171">
        <f t="shared" si="142"/>
        <v>1</v>
      </c>
      <c r="AX347" s="171">
        <f t="shared" si="152"/>
        <v>0</v>
      </c>
      <c r="AY347" s="171">
        <f t="shared" si="143"/>
        <v>0</v>
      </c>
      <c r="AZ347" s="171">
        <f t="shared" si="144"/>
        <v>1</v>
      </c>
      <c r="BA347" s="172">
        <f t="shared" si="145"/>
        <v>1</v>
      </c>
      <c r="BB347" s="175">
        <f t="shared" si="147"/>
        <v>17</v>
      </c>
      <c r="BC347" s="176">
        <f t="shared" si="148"/>
        <v>16</v>
      </c>
      <c r="BD347" s="176">
        <f t="shared" si="149"/>
        <v>17</v>
      </c>
      <c r="BE347" s="240" t="str">
        <f t="shared" si="146"/>
        <v/>
      </c>
      <c r="BH347" s="199">
        <f>IF(AND(Input_Product=Elig!$C347,Elig_MatchAll_Ct&lt;22,$BC347=(Elig_MatchAll_Ct-1),AF347=0),C347,0)</f>
        <v>0</v>
      </c>
      <c r="BI347" s="199">
        <f>IF(AND(Input_Product=Elig!$C347,Elig_MatchAll_Ct&lt;22,$BC347=(Elig_MatchAll_Ct-1),AG347=0),D347,0)</f>
        <v>0</v>
      </c>
      <c r="BJ347" s="199">
        <f>IF(AND(Input_Product=Elig!$C347,Elig_MatchAll_Ct&lt;22,$BC347=(Elig_MatchAll_Ct-1),AH347=0),E347,0)</f>
        <v>0</v>
      </c>
      <c r="BK347" s="199">
        <f>IF(AND(Input_Product=Elig!$C347,Elig_MatchAll_Ct&lt;22,$BC347=(Elig_MatchAll_Ct-1),AI347=0),F347,0)</f>
        <v>0</v>
      </c>
      <c r="BL347" s="199">
        <f>IF(AND(Input_Product=Elig!$C347,Elig_MatchAll_Ct&lt;22,$BC347=(Elig_MatchAll_Ct-1),AJ347=0),G347,0)</f>
        <v>0</v>
      </c>
      <c r="BM347" s="199">
        <f>IF(AND(Input_Product=Elig!$C347,Elig_MatchAll_Ct&lt;22,$BC347=(Elig_MatchAll_Ct-1),AK347=0),H347,0)</f>
        <v>0</v>
      </c>
      <c r="BN347" s="199">
        <f>IF(AND(Input_Product=Elig!$C347,Elig_MatchAll_Ct&lt;22,$BC347=(Elig_MatchAll_Ct-1),AL347=0),I347,0)</f>
        <v>0</v>
      </c>
      <c r="BO347" s="199">
        <f>IF(AND(Input_Product=Elig!$C347,Elig_MatchAll_Ct&lt;22,$BC347=(Elig_MatchAll_Ct-1),AM347=0),J347,0)</f>
        <v>0</v>
      </c>
      <c r="BP347" s="199">
        <f>IF(AND(Input_Product=Elig!$C347,Elig_MatchAll_Ct&lt;22,$BC347=(Elig_MatchAll_Ct-1),AN347=0),K347,0)</f>
        <v>0</v>
      </c>
      <c r="BQ347" s="199">
        <f>IF(AND(Input_Product=Elig!$C347,Elig_MatchAll_Ct&lt;22,$BC347=(Elig_MatchAll_Ct-1),AP347=0),L347,0)</f>
        <v>0</v>
      </c>
      <c r="BR347" s="199">
        <f>IF(AND(Input_Product=Elig!$C347,Elig_MatchAll_Ct&lt;22,$BC347=(Elig_MatchAll_Ct-1),AO347=0),M347,0)</f>
        <v>0</v>
      </c>
      <c r="BS347" s="199">
        <f>IF(AND(Input_Product=Elig!$C347,Elig_MatchAll_Ct&lt;22,$BC347=(Elig_MatchAll_Ct-1),AQ347=0),N347,0)</f>
        <v>0</v>
      </c>
      <c r="BT347" s="199">
        <f>IF(AND(Input_Product=Elig!$C347,Elig_MatchAll_Ct&lt;22,$BC347=(Elig_MatchAll_Ct-1),AR347=0),O347,0)</f>
        <v>0</v>
      </c>
      <c r="BU347" s="199">
        <f>IF(AND(Input_Product=Elig!$C347,Elig_MatchAll_Ct&lt;22,$BC347=(Elig_MatchAll_Ct-1),AS347=0),P347,0)</f>
        <v>0</v>
      </c>
      <c r="BV347" s="200">
        <f>IF(AND(Input_Product=Elig!$C347,Elig_MatchAll_Ct&lt;22,$BC347=(Elig_MatchAll_Ct-1),AT347=0),Q347,0)</f>
        <v>0</v>
      </c>
      <c r="BW347" s="201">
        <f>IF(AND(Input_Product=Elig!$C347,Elig_MatchAll_Ct&lt;22,$BC347=(Elig_MatchAll_Ct-1),AU347=0),R347,0)</f>
        <v>0</v>
      </c>
      <c r="BX347" s="202">
        <f>IF(AND(Input_Product=Elig!$C347,Elig_MatchAll_Ct&lt;22,$BC347=(Elig_MatchAll_Ct-1),AU347=0),S347,0)</f>
        <v>0</v>
      </c>
      <c r="BY347" s="201">
        <f>IF(AND(Input_Product=Elig!$C347,Elig_MatchAll_Ct&lt;22,$BC347=(Elig_MatchAll_Ct-1),AV347=0),T347,0)</f>
        <v>0</v>
      </c>
      <c r="BZ347" s="202">
        <f>IF(AND(Input_Product=Elig!$C347,Elig_MatchAll_Ct&lt;22,$BC347=(Elig_MatchAll_Ct-1),AV347=0),U347,0)</f>
        <v>0</v>
      </c>
      <c r="CA347" s="201">
        <f>IF(AND(Input_Product=Elig!$C347,Elig_MatchAll_Ct&lt;22,$BC347=(Elig_MatchAll_Ct-1),AW347=0),V347,0)</f>
        <v>0</v>
      </c>
      <c r="CB347" s="202">
        <f>IF(AND(Input_Product=Elig!$C347,Elig_MatchAll_Ct&lt;22,$BC347=(Elig_MatchAll_Ct-1),AW347=0),W347,0)</f>
        <v>0</v>
      </c>
      <c r="CC347" s="201">
        <f>IF(AND(Input_Product=Elig!$C347,Elig_MatchAll_Ct&lt;22,$BC347=(Elig_MatchAll_Ct-1),AX347=0),X347,0)</f>
        <v>0</v>
      </c>
      <c r="CD347" s="202">
        <f>IF(AND(Input_Product=Elig!$C347,Elig_MatchAll_Ct&lt;22,$BC347=(Elig_MatchAll_Ct-1),AX347=0),Y347,0)</f>
        <v>0</v>
      </c>
      <c r="CE347" s="201">
        <f>IF(AND(Input_LTV&lt;=AE347,Input_Product=Elig!$C347,Elig_MatchAll_Ct&lt;22,$BC347=(Elig_MatchAll_Ct-1),AY347=0),Z347,0)</f>
        <v>0</v>
      </c>
      <c r="CF347" s="202">
        <f>IF(AND(Input_LTV&lt;=AE347,Input_Product=Elig!$C347,Elig_MatchAll_Ct&lt;22,$BC347=(Elig_MatchAll_Ct-1),AY347=0),AA347,0)</f>
        <v>0</v>
      </c>
      <c r="CG347" s="201">
        <f>IF(AND(Input_Product=Elig!$C347,Elig_MatchAll_Ct&lt;22,$BC347=(Elig_MatchAll_Ct-1),AZ347=0),AB347,0)</f>
        <v>0</v>
      </c>
      <c r="CH347" s="202">
        <f>IF(AND(Input_Product=Elig!$C347,Elig_MatchAll_Ct&lt;22,$BC347=(Elig_MatchAll_Ct-1),AZ347=0),AC347,0)</f>
        <v>0</v>
      </c>
      <c r="CI347" s="201">
        <f>IF(AND(Input_Product=Elig!$C347,Elig_MatchAll_Ct&lt;22,$BC347=(Elig_MatchAll_Ct-1),BA347=0),AD347,0)</f>
        <v>0</v>
      </c>
      <c r="CJ347" s="202">
        <f>IF(AND(Input_Product=Elig!$C347,Elig_MatchAll_Ct&lt;22,$BC347=(Elig_MatchAll_Ct-1),BA347=0),AE347,0)</f>
        <v>0</v>
      </c>
    </row>
    <row r="348" spans="2:88" ht="10.15" customHeight="1" x14ac:dyDescent="0.25">
      <c r="B348" s="287" t="s">
        <v>1044</v>
      </c>
      <c r="C348" s="291" t="str">
        <f t="shared" si="132"/>
        <v>NonQM NOO</v>
      </c>
      <c r="D348" s="292" t="s">
        <v>3885</v>
      </c>
      <c r="E348" s="292" t="s">
        <v>167</v>
      </c>
      <c r="F348" s="292" t="s">
        <v>330</v>
      </c>
      <c r="G348" s="292" t="s">
        <v>181</v>
      </c>
      <c r="H348" s="292" t="s">
        <v>136</v>
      </c>
      <c r="I348" s="292" t="s">
        <v>16</v>
      </c>
      <c r="J348" s="292" t="s">
        <v>1311</v>
      </c>
      <c r="K348" s="292" t="s">
        <v>1631</v>
      </c>
      <c r="L348" s="324" t="s">
        <v>312</v>
      </c>
      <c r="M348" s="292" t="s">
        <v>4203</v>
      </c>
      <c r="N348" s="292" t="s">
        <v>2685</v>
      </c>
      <c r="O348" s="292" t="s">
        <v>310</v>
      </c>
      <c r="P348" s="292" t="s">
        <v>291</v>
      </c>
      <c r="Q348" s="292" t="s">
        <v>294</v>
      </c>
      <c r="R348" s="324">
        <v>100000</v>
      </c>
      <c r="S348" s="292">
        <v>1000000</v>
      </c>
      <c r="T348" s="292">
        <v>0</v>
      </c>
      <c r="U348" s="292">
        <f t="shared" si="151"/>
        <v>1000000</v>
      </c>
      <c r="V348" s="292">
        <v>0</v>
      </c>
      <c r="W348" s="292">
        <v>50</v>
      </c>
      <c r="X348" s="292">
        <v>1</v>
      </c>
      <c r="Y348" s="292">
        <v>999</v>
      </c>
      <c r="Z348" s="293">
        <v>620</v>
      </c>
      <c r="AA348" s="293">
        <v>639</v>
      </c>
      <c r="AB348" s="293">
        <v>3</v>
      </c>
      <c r="AC348" s="293">
        <v>999999</v>
      </c>
      <c r="AD348" s="292">
        <v>0</v>
      </c>
      <c r="AE348" s="2154">
        <v>-999</v>
      </c>
      <c r="AF348" s="170">
        <v>0</v>
      </c>
      <c r="AG348" s="171">
        <v>1</v>
      </c>
      <c r="AH348" s="171">
        <v>1</v>
      </c>
      <c r="AI348" s="171">
        <v>0</v>
      </c>
      <c r="AJ348" s="171">
        <v>0</v>
      </c>
      <c r="AK348" s="171">
        <v>1</v>
      </c>
      <c r="AL348" s="171">
        <v>1</v>
      </c>
      <c r="AM348" s="171">
        <v>1</v>
      </c>
      <c r="AN348" s="171">
        <v>1</v>
      </c>
      <c r="AO348" s="171">
        <v>1</v>
      </c>
      <c r="AP348" s="171">
        <v>1</v>
      </c>
      <c r="AQ348" s="171">
        <v>1</v>
      </c>
      <c r="AR348" s="171">
        <v>1</v>
      </c>
      <c r="AS348" s="171">
        <v>1</v>
      </c>
      <c r="AT348" s="171">
        <v>1</v>
      </c>
      <c r="AU348" s="171">
        <f t="shared" si="140"/>
        <v>1</v>
      </c>
      <c r="AV348" s="171">
        <f t="shared" si="141"/>
        <v>1</v>
      </c>
      <c r="AW348" s="171">
        <f t="shared" si="142"/>
        <v>1</v>
      </c>
      <c r="AX348" s="171">
        <f t="shared" si="152"/>
        <v>0</v>
      </c>
      <c r="AY348" s="171">
        <f t="shared" si="143"/>
        <v>0</v>
      </c>
      <c r="AZ348" s="171">
        <f t="shared" si="144"/>
        <v>1</v>
      </c>
      <c r="BA348" s="172">
        <f t="shared" si="145"/>
        <v>0</v>
      </c>
      <c r="BB348" s="175">
        <f t="shared" si="147"/>
        <v>16</v>
      </c>
      <c r="BC348" s="176">
        <f t="shared" si="148"/>
        <v>16</v>
      </c>
      <c r="BD348" s="176">
        <f t="shared" si="149"/>
        <v>16</v>
      </c>
      <c r="BE348" s="240" t="str">
        <f t="shared" si="146"/>
        <v/>
      </c>
      <c r="BH348" s="214">
        <f>IF(AND(Input_Product=Elig!$C348,Elig_MatchAll_Ct&lt;22,$BC348=(Elig_MatchAll_Ct-1),AF348=0),C348,0)</f>
        <v>0</v>
      </c>
      <c r="BI348" s="214">
        <f>IF(AND(Input_Product=Elig!$C348,Elig_MatchAll_Ct&lt;22,$BC348=(Elig_MatchAll_Ct-1),AG348=0),D348,0)</f>
        <v>0</v>
      </c>
      <c r="BJ348" s="214">
        <f>IF(AND(Input_Product=Elig!$C348,Elig_MatchAll_Ct&lt;22,$BC348=(Elig_MatchAll_Ct-1),AH348=0),E348,0)</f>
        <v>0</v>
      </c>
      <c r="BK348" s="214">
        <f>IF(AND(Input_Product=Elig!$C348,Elig_MatchAll_Ct&lt;22,$BC348=(Elig_MatchAll_Ct-1),AI348=0),F348,0)</f>
        <v>0</v>
      </c>
      <c r="BL348" s="214">
        <f>IF(AND(Input_Product=Elig!$C348,Elig_MatchAll_Ct&lt;22,$BC348=(Elig_MatchAll_Ct-1),AJ348=0),G348,0)</f>
        <v>0</v>
      </c>
      <c r="BM348" s="214">
        <f>IF(AND(Input_Product=Elig!$C348,Elig_MatchAll_Ct&lt;22,$BC348=(Elig_MatchAll_Ct-1),AK348=0),H348,0)</f>
        <v>0</v>
      </c>
      <c r="BN348" s="214">
        <f>IF(AND(Input_Product=Elig!$C348,Elig_MatchAll_Ct&lt;22,$BC348=(Elig_MatchAll_Ct-1),AL348=0),I348,0)</f>
        <v>0</v>
      </c>
      <c r="BO348" s="214">
        <f>IF(AND(Input_Product=Elig!$C348,Elig_MatchAll_Ct&lt;22,$BC348=(Elig_MatchAll_Ct-1),AM348=0),J348,0)</f>
        <v>0</v>
      </c>
      <c r="BP348" s="214">
        <f>IF(AND(Input_Product=Elig!$C348,Elig_MatchAll_Ct&lt;22,$BC348=(Elig_MatchAll_Ct-1),AN348=0),K348,0)</f>
        <v>0</v>
      </c>
      <c r="BQ348" s="214">
        <f>IF(AND(Input_Product=Elig!$C348,Elig_MatchAll_Ct&lt;22,$BC348=(Elig_MatchAll_Ct-1),AP348=0),L348,0)</f>
        <v>0</v>
      </c>
      <c r="BR348" s="214">
        <f>IF(AND(Input_Product=Elig!$C348,Elig_MatchAll_Ct&lt;22,$BC348=(Elig_MatchAll_Ct-1),AO348=0),M348,0)</f>
        <v>0</v>
      </c>
      <c r="BS348" s="214">
        <f>IF(AND(Input_Product=Elig!$C348,Elig_MatchAll_Ct&lt;22,$BC348=(Elig_MatchAll_Ct-1),AQ348=0),N348,0)</f>
        <v>0</v>
      </c>
      <c r="BT348" s="214">
        <f>IF(AND(Input_Product=Elig!$C348,Elig_MatchAll_Ct&lt;22,$BC348=(Elig_MatchAll_Ct-1),AR348=0),O348,0)</f>
        <v>0</v>
      </c>
      <c r="BU348" s="214">
        <f>IF(AND(Input_Product=Elig!$C348,Elig_MatchAll_Ct&lt;22,$BC348=(Elig_MatchAll_Ct-1),AS348=0),P348,0)</f>
        <v>0</v>
      </c>
      <c r="BV348" s="215">
        <f>IF(AND(Input_Product=Elig!$C348,Elig_MatchAll_Ct&lt;22,$BC348=(Elig_MatchAll_Ct-1),AT348=0),Q348,0)</f>
        <v>0</v>
      </c>
      <c r="BW348" s="207">
        <f>IF(AND(Input_Product=Elig!$C348,Elig_MatchAll_Ct&lt;22,$BC348=(Elig_MatchAll_Ct-1),AU348=0),R348,0)</f>
        <v>0</v>
      </c>
      <c r="BX348" s="208">
        <f>IF(AND(Input_Product=Elig!$C348,Elig_MatchAll_Ct&lt;22,$BC348=(Elig_MatchAll_Ct-1),AU348=0),S348,0)</f>
        <v>0</v>
      </c>
      <c r="BY348" s="207">
        <f>IF(AND(Input_Product=Elig!$C348,Elig_MatchAll_Ct&lt;22,$BC348=(Elig_MatchAll_Ct-1),AV348=0),T348,0)</f>
        <v>0</v>
      </c>
      <c r="BZ348" s="208">
        <f>IF(AND(Input_Product=Elig!$C348,Elig_MatchAll_Ct&lt;22,$BC348=(Elig_MatchAll_Ct-1),AV348=0),U348,0)</f>
        <v>0</v>
      </c>
      <c r="CA348" s="207">
        <f>IF(AND(Input_Product=Elig!$C348,Elig_MatchAll_Ct&lt;22,$BC348=(Elig_MatchAll_Ct-1),AW348=0),V348,0)</f>
        <v>0</v>
      </c>
      <c r="CB348" s="208">
        <f>IF(AND(Input_Product=Elig!$C348,Elig_MatchAll_Ct&lt;22,$BC348=(Elig_MatchAll_Ct-1),AW348=0),W348,0)</f>
        <v>0</v>
      </c>
      <c r="CC348" s="207">
        <f>IF(AND(Input_Product=Elig!$C348,Elig_MatchAll_Ct&lt;22,$BC348=(Elig_MatchAll_Ct-1),AX348=0),X348,0)</f>
        <v>0</v>
      </c>
      <c r="CD348" s="208">
        <f>IF(AND(Input_Product=Elig!$C348,Elig_MatchAll_Ct&lt;22,$BC348=(Elig_MatchAll_Ct-1),AX348=0),Y348,0)</f>
        <v>0</v>
      </c>
      <c r="CE348" s="207">
        <f>IF(AND(Input_LTV&lt;=AE348,Input_Product=Elig!$C348,Elig_MatchAll_Ct&lt;22,$BC348=(Elig_MatchAll_Ct-1),AY348=0),Z348,0)</f>
        <v>0</v>
      </c>
      <c r="CF348" s="208">
        <f>IF(AND(Input_LTV&lt;=AE348,Input_Product=Elig!$C348,Elig_MatchAll_Ct&lt;22,$BC348=(Elig_MatchAll_Ct-1),AY348=0),AA348,0)</f>
        <v>0</v>
      </c>
      <c r="CG348" s="207">
        <f>IF(AND(Input_Product=Elig!$C348,Elig_MatchAll_Ct&lt;22,$BC348=(Elig_MatchAll_Ct-1),AZ348=0),AB348,0)</f>
        <v>0</v>
      </c>
      <c r="CH348" s="208">
        <f>IF(AND(Input_Product=Elig!$C348,Elig_MatchAll_Ct&lt;22,$BC348=(Elig_MatchAll_Ct-1),AZ348=0),AC348,0)</f>
        <v>0</v>
      </c>
      <c r="CI348" s="207">
        <f>IF(AND(Input_Product=Elig!$C348,Elig_MatchAll_Ct&lt;22,$BC348=(Elig_MatchAll_Ct-1),BA348=0),AD348,0)</f>
        <v>0</v>
      </c>
      <c r="CJ348" s="209">
        <f>IF(AND(Input_Product=Elig!$C348,Elig_MatchAll_Ct&lt;22,$BC348=(Elig_MatchAll_Ct-1),BA348=0),AE348,0)</f>
        <v>0</v>
      </c>
    </row>
    <row r="349" spans="2:88" ht="10.15" customHeight="1" x14ac:dyDescent="0.25">
      <c r="B349" s="287" t="s">
        <v>1045</v>
      </c>
      <c r="C349" s="281" t="str">
        <f t="shared" si="132"/>
        <v>NonQM NOO</v>
      </c>
      <c r="D349" s="282" t="s">
        <v>3885</v>
      </c>
      <c r="E349" s="283" t="s">
        <v>167</v>
      </c>
      <c r="F349" s="283" t="s">
        <v>330</v>
      </c>
      <c r="G349" s="283" t="s">
        <v>303</v>
      </c>
      <c r="H349" s="283" t="s">
        <v>136</v>
      </c>
      <c r="I349" s="282" t="s">
        <v>274</v>
      </c>
      <c r="J349" s="282" t="s">
        <v>1311</v>
      </c>
      <c r="K349" s="282" t="s">
        <v>1631</v>
      </c>
      <c r="L349" s="2103" t="s">
        <v>312</v>
      </c>
      <c r="M349" s="283" t="s">
        <v>4203</v>
      </c>
      <c r="N349" s="283" t="s">
        <v>2685</v>
      </c>
      <c r="O349" s="283" t="s">
        <v>310</v>
      </c>
      <c r="P349" s="283" t="s">
        <v>291</v>
      </c>
      <c r="Q349" s="283" t="s">
        <v>294</v>
      </c>
      <c r="R349" s="282">
        <v>1000000.01</v>
      </c>
      <c r="S349" s="282">
        <v>1500000</v>
      </c>
      <c r="T349" s="282">
        <v>0</v>
      </c>
      <c r="U349" s="282">
        <v>0</v>
      </c>
      <c r="V349" s="282">
        <v>0</v>
      </c>
      <c r="W349" s="282">
        <v>55</v>
      </c>
      <c r="X349" s="282">
        <v>0</v>
      </c>
      <c r="Y349" s="282">
        <v>999</v>
      </c>
      <c r="Z349" s="284">
        <v>720</v>
      </c>
      <c r="AA349" s="284">
        <v>999</v>
      </c>
      <c r="AB349" s="284">
        <v>6</v>
      </c>
      <c r="AC349" s="284">
        <v>999999</v>
      </c>
      <c r="AD349" s="282">
        <v>0</v>
      </c>
      <c r="AE349" s="2104">
        <v>85</v>
      </c>
      <c r="AF349" s="170">
        <v>0</v>
      </c>
      <c r="AG349" s="171">
        <v>1</v>
      </c>
      <c r="AH349" s="171">
        <v>1</v>
      </c>
      <c r="AI349" s="171">
        <v>0</v>
      </c>
      <c r="AJ349" s="171">
        <v>1</v>
      </c>
      <c r="AK349" s="171">
        <v>1</v>
      </c>
      <c r="AL349" s="171">
        <v>0</v>
      </c>
      <c r="AM349" s="171">
        <v>1</v>
      </c>
      <c r="AN349" s="171">
        <v>1</v>
      </c>
      <c r="AO349" s="171">
        <v>1</v>
      </c>
      <c r="AP349" s="171">
        <v>1</v>
      </c>
      <c r="AQ349" s="171">
        <v>1</v>
      </c>
      <c r="AR349" s="171">
        <v>1</v>
      </c>
      <c r="AS349" s="171">
        <v>1</v>
      </c>
      <c r="AT349" s="171">
        <v>1</v>
      </c>
      <c r="AU349" s="171">
        <f t="shared" si="140"/>
        <v>0</v>
      </c>
      <c r="AV349" s="171">
        <f t="shared" si="141"/>
        <v>0</v>
      </c>
      <c r="AW349" s="171">
        <f t="shared" si="142"/>
        <v>1</v>
      </c>
      <c r="AX349" s="171">
        <f t="shared" si="152"/>
        <v>1</v>
      </c>
      <c r="AY349" s="171">
        <f t="shared" si="143"/>
        <v>1</v>
      </c>
      <c r="AZ349" s="171">
        <f t="shared" si="144"/>
        <v>1</v>
      </c>
      <c r="BA349" s="172">
        <f t="shared" si="145"/>
        <v>1</v>
      </c>
      <c r="BB349" s="175">
        <f t="shared" si="147"/>
        <v>17</v>
      </c>
      <c r="BC349" s="176">
        <f t="shared" si="148"/>
        <v>16</v>
      </c>
      <c r="BD349" s="176">
        <f t="shared" si="149"/>
        <v>17</v>
      </c>
      <c r="BE349" s="240" t="str">
        <f t="shared" si="146"/>
        <v/>
      </c>
      <c r="BH349" s="216">
        <f>IF(AND(Input_Product=Elig!$C349,Elig_MatchAll_Ct&lt;22,$BC349=(Elig_MatchAll_Ct-1),AF349=0),C349,0)</f>
        <v>0</v>
      </c>
      <c r="BI349" s="216">
        <f>IF(AND(Input_Product=Elig!$C349,Elig_MatchAll_Ct&lt;22,$BC349=(Elig_MatchAll_Ct-1),AG349=0),D349,0)</f>
        <v>0</v>
      </c>
      <c r="BJ349" s="216">
        <f>IF(AND(Input_Product=Elig!$C349,Elig_MatchAll_Ct&lt;22,$BC349=(Elig_MatchAll_Ct-1),AH349=0),E349,0)</f>
        <v>0</v>
      </c>
      <c r="BK349" s="216">
        <f>IF(AND(Input_Product=Elig!$C349,Elig_MatchAll_Ct&lt;22,$BC349=(Elig_MatchAll_Ct-1),AI349=0),F349,0)</f>
        <v>0</v>
      </c>
      <c r="BL349" s="216">
        <f>IF(AND(Input_Product=Elig!$C349,Elig_MatchAll_Ct&lt;22,$BC349=(Elig_MatchAll_Ct-1),AJ349=0),G349,0)</f>
        <v>0</v>
      </c>
      <c r="BM349" s="216">
        <f>IF(AND(Input_Product=Elig!$C349,Elig_MatchAll_Ct&lt;22,$BC349=(Elig_MatchAll_Ct-1),AK349=0),H349,0)</f>
        <v>0</v>
      </c>
      <c r="BN349" s="216">
        <f>IF(AND(Input_Product=Elig!$C349,Elig_MatchAll_Ct&lt;22,$BC349=(Elig_MatchAll_Ct-1),AL349=0),I349,0)</f>
        <v>0</v>
      </c>
      <c r="BO349" s="216">
        <f>IF(AND(Input_Product=Elig!$C349,Elig_MatchAll_Ct&lt;22,$BC349=(Elig_MatchAll_Ct-1),AM349=0),J349,0)</f>
        <v>0</v>
      </c>
      <c r="BP349" s="216">
        <f>IF(AND(Input_Product=Elig!$C349,Elig_MatchAll_Ct&lt;22,$BC349=(Elig_MatchAll_Ct-1),AN349=0),K349,0)</f>
        <v>0</v>
      </c>
      <c r="BQ349" s="216">
        <f>IF(AND(Input_Product=Elig!$C349,Elig_MatchAll_Ct&lt;22,$BC349=(Elig_MatchAll_Ct-1),AP349=0),L349,0)</f>
        <v>0</v>
      </c>
      <c r="BR349" s="216">
        <f>IF(AND(Input_Product=Elig!$C349,Elig_MatchAll_Ct&lt;22,$BC349=(Elig_MatchAll_Ct-1),AO349=0),M349,0)</f>
        <v>0</v>
      </c>
      <c r="BS349" s="216">
        <f>IF(AND(Input_Product=Elig!$C349,Elig_MatchAll_Ct&lt;22,$BC349=(Elig_MatchAll_Ct-1),AQ349=0),N349,0)</f>
        <v>0</v>
      </c>
      <c r="BT349" s="216">
        <f>IF(AND(Input_Product=Elig!$C349,Elig_MatchAll_Ct&lt;22,$BC349=(Elig_MatchAll_Ct-1),AR349=0),O349,0)</f>
        <v>0</v>
      </c>
      <c r="BU349" s="216">
        <f>IF(AND(Input_Product=Elig!$C349,Elig_MatchAll_Ct&lt;22,$BC349=(Elig_MatchAll_Ct-1),AS349=0),P349,0)</f>
        <v>0</v>
      </c>
      <c r="BV349" s="217">
        <f>IF(AND(Input_Product=Elig!$C349,Elig_MatchAll_Ct&lt;22,$BC349=(Elig_MatchAll_Ct-1),AT349=0),Q349,0)</f>
        <v>0</v>
      </c>
      <c r="BW349" s="212">
        <f>IF(AND(Input_Product=Elig!$C349,Elig_MatchAll_Ct&lt;22,$BC349=(Elig_MatchAll_Ct-1),AU349=0),R349,0)</f>
        <v>0</v>
      </c>
      <c r="BX349" s="213">
        <f>IF(AND(Input_Product=Elig!$C349,Elig_MatchAll_Ct&lt;22,$BC349=(Elig_MatchAll_Ct-1),AU349=0),S349,0)</f>
        <v>0</v>
      </c>
      <c r="BY349" s="212">
        <f>IF(AND(Input_Product=Elig!$C349,Elig_MatchAll_Ct&lt;22,$BC349=(Elig_MatchAll_Ct-1),AV349=0),T349,0)</f>
        <v>0</v>
      </c>
      <c r="BZ349" s="213">
        <f>IF(AND(Input_Product=Elig!$C349,Elig_MatchAll_Ct&lt;22,$BC349=(Elig_MatchAll_Ct-1),AV349=0),U349,0)</f>
        <v>0</v>
      </c>
      <c r="CA349" s="212">
        <f>IF(AND(Input_Product=Elig!$C349,Elig_MatchAll_Ct&lt;22,$BC349=(Elig_MatchAll_Ct-1),AW349=0),V349,0)</f>
        <v>0</v>
      </c>
      <c r="CB349" s="213">
        <f>IF(AND(Input_Product=Elig!$C349,Elig_MatchAll_Ct&lt;22,$BC349=(Elig_MatchAll_Ct-1),AW349=0),W349,0)</f>
        <v>0</v>
      </c>
      <c r="CC349" s="212">
        <f>IF(AND(Input_Product=Elig!$C349,Elig_MatchAll_Ct&lt;22,$BC349=(Elig_MatchAll_Ct-1),AX349=0),X349,0)</f>
        <v>0</v>
      </c>
      <c r="CD349" s="213">
        <f>IF(AND(Input_Product=Elig!$C349,Elig_MatchAll_Ct&lt;22,$BC349=(Elig_MatchAll_Ct-1),AX349=0),Y349,0)</f>
        <v>0</v>
      </c>
      <c r="CE349" s="212">
        <f>IF(AND(Input_LTV&lt;=AE349,Input_Product=Elig!$C349,Elig_MatchAll_Ct&lt;22,$BC349=(Elig_MatchAll_Ct-1),AY349=0),Z349,0)</f>
        <v>0</v>
      </c>
      <c r="CF349" s="213">
        <f>IF(AND(Input_LTV&lt;=AE349,Input_Product=Elig!$C349,Elig_MatchAll_Ct&lt;22,$BC349=(Elig_MatchAll_Ct-1),AY349=0),AA349,0)</f>
        <v>0</v>
      </c>
      <c r="CG349" s="212">
        <f>IF(AND(Input_Product=Elig!$C349,Elig_MatchAll_Ct&lt;22,$BC349=(Elig_MatchAll_Ct-1),AZ349=0),AB349,0)</f>
        <v>0</v>
      </c>
      <c r="CH349" s="213">
        <f>IF(AND(Input_Product=Elig!$C349,Elig_MatchAll_Ct&lt;22,$BC349=(Elig_MatchAll_Ct-1),AZ349=0),AC349,0)</f>
        <v>0</v>
      </c>
      <c r="CI349" s="212">
        <f>IF(AND(Input_Product=Elig!$C349,Elig_MatchAll_Ct&lt;22,$BC349=(Elig_MatchAll_Ct-1),BA349=0),AD349,0)</f>
        <v>0</v>
      </c>
      <c r="CJ349" s="213">
        <f>IF(AND(Input_Product=Elig!$C349,Elig_MatchAll_Ct&lt;22,$BC349=(Elig_MatchAll_Ct-1),BA349=0),AE349,0)</f>
        <v>0</v>
      </c>
    </row>
    <row r="350" spans="2:88" ht="10.15" customHeight="1" x14ac:dyDescent="0.25">
      <c r="B350" s="287" t="s">
        <v>1046</v>
      </c>
      <c r="C350" s="286" t="str">
        <f t="shared" si="132"/>
        <v>NonQM NOO</v>
      </c>
      <c r="D350" s="287" t="s">
        <v>3885</v>
      </c>
      <c r="E350" s="287" t="s">
        <v>167</v>
      </c>
      <c r="F350" s="287" t="s">
        <v>330</v>
      </c>
      <c r="G350" s="287" t="s">
        <v>303</v>
      </c>
      <c r="H350" s="287" t="s">
        <v>136</v>
      </c>
      <c r="I350" s="288" t="s">
        <v>274</v>
      </c>
      <c r="J350" s="288" t="s">
        <v>1311</v>
      </c>
      <c r="K350" s="288" t="s">
        <v>1631</v>
      </c>
      <c r="L350" s="300" t="s">
        <v>312</v>
      </c>
      <c r="M350" s="287" t="s">
        <v>4203</v>
      </c>
      <c r="N350" s="287" t="s">
        <v>2685</v>
      </c>
      <c r="O350" s="287" t="s">
        <v>310</v>
      </c>
      <c r="P350" s="287" t="s">
        <v>291</v>
      </c>
      <c r="Q350" s="287" t="s">
        <v>294</v>
      </c>
      <c r="R350" s="287">
        <v>1000000.01</v>
      </c>
      <c r="S350" s="287">
        <v>1500000</v>
      </c>
      <c r="T350" s="287">
        <v>0</v>
      </c>
      <c r="U350" s="287">
        <v>0</v>
      </c>
      <c r="V350" s="287">
        <v>0</v>
      </c>
      <c r="W350" s="287">
        <v>55</v>
      </c>
      <c r="X350" s="287">
        <v>0</v>
      </c>
      <c r="Y350" s="287">
        <v>999</v>
      </c>
      <c r="Z350" s="289">
        <v>700</v>
      </c>
      <c r="AA350" s="289">
        <v>719</v>
      </c>
      <c r="AB350" s="289">
        <v>6</v>
      </c>
      <c r="AC350" s="289">
        <v>999999</v>
      </c>
      <c r="AD350" s="287">
        <v>0</v>
      </c>
      <c r="AE350" s="290">
        <v>80</v>
      </c>
      <c r="AF350" s="170">
        <v>0</v>
      </c>
      <c r="AG350" s="171">
        <v>1</v>
      </c>
      <c r="AH350" s="171">
        <v>1</v>
      </c>
      <c r="AI350" s="171">
        <v>0</v>
      </c>
      <c r="AJ350" s="171">
        <v>1</v>
      </c>
      <c r="AK350" s="171">
        <v>1</v>
      </c>
      <c r="AL350" s="171">
        <v>0</v>
      </c>
      <c r="AM350" s="171">
        <v>1</v>
      </c>
      <c r="AN350" s="171">
        <v>1</v>
      </c>
      <c r="AO350" s="171">
        <v>1</v>
      </c>
      <c r="AP350" s="171">
        <v>1</v>
      </c>
      <c r="AQ350" s="171">
        <v>1</v>
      </c>
      <c r="AR350" s="171">
        <v>1</v>
      </c>
      <c r="AS350" s="171">
        <v>1</v>
      </c>
      <c r="AT350" s="171">
        <v>1</v>
      </c>
      <c r="AU350" s="171">
        <f t="shared" si="140"/>
        <v>0</v>
      </c>
      <c r="AV350" s="171">
        <f t="shared" si="141"/>
        <v>0</v>
      </c>
      <c r="AW350" s="171">
        <f t="shared" si="142"/>
        <v>1</v>
      </c>
      <c r="AX350" s="171">
        <f t="shared" si="152"/>
        <v>1</v>
      </c>
      <c r="AY350" s="171">
        <f t="shared" si="143"/>
        <v>0</v>
      </c>
      <c r="AZ350" s="171">
        <f t="shared" si="144"/>
        <v>1</v>
      </c>
      <c r="BA350" s="172">
        <f t="shared" si="145"/>
        <v>1</v>
      </c>
      <c r="BB350" s="175">
        <f t="shared" si="147"/>
        <v>16</v>
      </c>
      <c r="BC350" s="176">
        <f t="shared" si="148"/>
        <v>15</v>
      </c>
      <c r="BD350" s="176">
        <f t="shared" si="149"/>
        <v>16</v>
      </c>
      <c r="BE350" s="240" t="str">
        <f t="shared" si="146"/>
        <v/>
      </c>
      <c r="BH350" s="199">
        <f>IF(AND(Input_Product=Elig!$C350,Elig_MatchAll_Ct&lt;22,$BC350=(Elig_MatchAll_Ct-1),AF350=0),C350,0)</f>
        <v>0</v>
      </c>
      <c r="BI350" s="199">
        <f>IF(AND(Input_Product=Elig!$C350,Elig_MatchAll_Ct&lt;22,$BC350=(Elig_MatchAll_Ct-1),AG350=0),D350,0)</f>
        <v>0</v>
      </c>
      <c r="BJ350" s="199">
        <f>IF(AND(Input_Product=Elig!$C350,Elig_MatchAll_Ct&lt;22,$BC350=(Elig_MatchAll_Ct-1),AH350=0),E350,0)</f>
        <v>0</v>
      </c>
      <c r="BK350" s="199">
        <f>IF(AND(Input_Product=Elig!$C350,Elig_MatchAll_Ct&lt;22,$BC350=(Elig_MatchAll_Ct-1),AI350=0),F350,0)</f>
        <v>0</v>
      </c>
      <c r="BL350" s="199">
        <f>IF(AND(Input_Product=Elig!$C350,Elig_MatchAll_Ct&lt;22,$BC350=(Elig_MatchAll_Ct-1),AJ350=0),G350,0)</f>
        <v>0</v>
      </c>
      <c r="BM350" s="199">
        <f>IF(AND(Input_Product=Elig!$C350,Elig_MatchAll_Ct&lt;22,$BC350=(Elig_MatchAll_Ct-1),AK350=0),H350,0)</f>
        <v>0</v>
      </c>
      <c r="BN350" s="199">
        <f>IF(AND(Input_Product=Elig!$C350,Elig_MatchAll_Ct&lt;22,$BC350=(Elig_MatchAll_Ct-1),AL350=0),I350,0)</f>
        <v>0</v>
      </c>
      <c r="BO350" s="199">
        <f>IF(AND(Input_Product=Elig!$C350,Elig_MatchAll_Ct&lt;22,$BC350=(Elig_MatchAll_Ct-1),AM350=0),J350,0)</f>
        <v>0</v>
      </c>
      <c r="BP350" s="199">
        <f>IF(AND(Input_Product=Elig!$C350,Elig_MatchAll_Ct&lt;22,$BC350=(Elig_MatchAll_Ct-1),AN350=0),K350,0)</f>
        <v>0</v>
      </c>
      <c r="BQ350" s="199">
        <f>IF(AND(Input_Product=Elig!$C350,Elig_MatchAll_Ct&lt;22,$BC350=(Elig_MatchAll_Ct-1),AP350=0),L350,0)</f>
        <v>0</v>
      </c>
      <c r="BR350" s="199">
        <f>IF(AND(Input_Product=Elig!$C350,Elig_MatchAll_Ct&lt;22,$BC350=(Elig_MatchAll_Ct-1),AO350=0),M350,0)</f>
        <v>0</v>
      </c>
      <c r="BS350" s="199">
        <f>IF(AND(Input_Product=Elig!$C350,Elig_MatchAll_Ct&lt;22,$BC350=(Elig_MatchAll_Ct-1),AQ350=0),N350,0)</f>
        <v>0</v>
      </c>
      <c r="BT350" s="199">
        <f>IF(AND(Input_Product=Elig!$C350,Elig_MatchAll_Ct&lt;22,$BC350=(Elig_MatchAll_Ct-1),AR350=0),O350,0)</f>
        <v>0</v>
      </c>
      <c r="BU350" s="199">
        <f>IF(AND(Input_Product=Elig!$C350,Elig_MatchAll_Ct&lt;22,$BC350=(Elig_MatchAll_Ct-1),AS350=0),P350,0)</f>
        <v>0</v>
      </c>
      <c r="BV350" s="200">
        <f>IF(AND(Input_Product=Elig!$C350,Elig_MatchAll_Ct&lt;22,$BC350=(Elig_MatchAll_Ct-1),AT350=0),Q350,0)</f>
        <v>0</v>
      </c>
      <c r="BW350" s="201">
        <f>IF(AND(Input_Product=Elig!$C350,Elig_MatchAll_Ct&lt;22,$BC350=(Elig_MatchAll_Ct-1),AU350=0),R350,0)</f>
        <v>0</v>
      </c>
      <c r="BX350" s="202">
        <f>IF(AND(Input_Product=Elig!$C350,Elig_MatchAll_Ct&lt;22,$BC350=(Elig_MatchAll_Ct-1),AU350=0),S350,0)</f>
        <v>0</v>
      </c>
      <c r="BY350" s="201">
        <f>IF(AND(Input_Product=Elig!$C350,Elig_MatchAll_Ct&lt;22,$BC350=(Elig_MatchAll_Ct-1),AV350=0),T350,0)</f>
        <v>0</v>
      </c>
      <c r="BZ350" s="202">
        <f>IF(AND(Input_Product=Elig!$C350,Elig_MatchAll_Ct&lt;22,$BC350=(Elig_MatchAll_Ct-1),AV350=0),U350,0)</f>
        <v>0</v>
      </c>
      <c r="CA350" s="201">
        <f>IF(AND(Input_Product=Elig!$C350,Elig_MatchAll_Ct&lt;22,$BC350=(Elig_MatchAll_Ct-1),AW350=0),V350,0)</f>
        <v>0</v>
      </c>
      <c r="CB350" s="202">
        <f>IF(AND(Input_Product=Elig!$C350,Elig_MatchAll_Ct&lt;22,$BC350=(Elig_MatchAll_Ct-1),AW350=0),W350,0)</f>
        <v>0</v>
      </c>
      <c r="CC350" s="201">
        <f>IF(AND(Input_Product=Elig!$C350,Elig_MatchAll_Ct&lt;22,$BC350=(Elig_MatchAll_Ct-1),AX350=0),X350,0)</f>
        <v>0</v>
      </c>
      <c r="CD350" s="202">
        <f>IF(AND(Input_Product=Elig!$C350,Elig_MatchAll_Ct&lt;22,$BC350=(Elig_MatchAll_Ct-1),AX350=0),Y350,0)</f>
        <v>0</v>
      </c>
      <c r="CE350" s="201">
        <f>IF(AND(Input_LTV&lt;=AE350,Input_Product=Elig!$C350,Elig_MatchAll_Ct&lt;22,$BC350=(Elig_MatchAll_Ct-1),AY350=0),Z350,0)</f>
        <v>0</v>
      </c>
      <c r="CF350" s="202">
        <f>IF(AND(Input_LTV&lt;=AE350,Input_Product=Elig!$C350,Elig_MatchAll_Ct&lt;22,$BC350=(Elig_MatchAll_Ct-1),AY350=0),AA350,0)</f>
        <v>0</v>
      </c>
      <c r="CG350" s="201">
        <f>IF(AND(Input_Product=Elig!$C350,Elig_MatchAll_Ct&lt;22,$BC350=(Elig_MatchAll_Ct-1),AZ350=0),AB350,0)</f>
        <v>0</v>
      </c>
      <c r="CH350" s="202">
        <f>IF(AND(Input_Product=Elig!$C350,Elig_MatchAll_Ct&lt;22,$BC350=(Elig_MatchAll_Ct-1),AZ350=0),AC350,0)</f>
        <v>0</v>
      </c>
      <c r="CI350" s="201">
        <f>IF(AND(Input_Product=Elig!$C350,Elig_MatchAll_Ct&lt;22,$BC350=(Elig_MatchAll_Ct-1),BA350=0),AD350,0)</f>
        <v>0</v>
      </c>
      <c r="CJ350" s="202">
        <f>IF(AND(Input_Product=Elig!$C350,Elig_MatchAll_Ct&lt;22,$BC350=(Elig_MatchAll_Ct-1),BA350=0),AE350,0)</f>
        <v>0</v>
      </c>
    </row>
    <row r="351" spans="2:88" ht="10.15" customHeight="1" x14ac:dyDescent="0.25">
      <c r="B351" s="287" t="s">
        <v>1047</v>
      </c>
      <c r="C351" s="286" t="str">
        <f t="shared" si="132"/>
        <v>NonQM NOO</v>
      </c>
      <c r="D351" s="287" t="s">
        <v>3885</v>
      </c>
      <c r="E351" s="287" t="s">
        <v>167</v>
      </c>
      <c r="F351" s="287" t="s">
        <v>330</v>
      </c>
      <c r="G351" s="287" t="s">
        <v>303</v>
      </c>
      <c r="H351" s="287" t="s">
        <v>136</v>
      </c>
      <c r="I351" s="288" t="s">
        <v>274</v>
      </c>
      <c r="J351" s="288" t="s">
        <v>1311</v>
      </c>
      <c r="K351" s="288" t="s">
        <v>1631</v>
      </c>
      <c r="L351" s="300" t="s">
        <v>312</v>
      </c>
      <c r="M351" s="287" t="s">
        <v>4203</v>
      </c>
      <c r="N351" s="287" t="s">
        <v>2685</v>
      </c>
      <c r="O351" s="287" t="s">
        <v>310</v>
      </c>
      <c r="P351" s="287" t="s">
        <v>291</v>
      </c>
      <c r="Q351" s="287" t="s">
        <v>294</v>
      </c>
      <c r="R351" s="287">
        <v>1000000.01</v>
      </c>
      <c r="S351" s="287">
        <v>1500000</v>
      </c>
      <c r="T351" s="287">
        <v>0</v>
      </c>
      <c r="U351" s="287">
        <v>0</v>
      </c>
      <c r="V351" s="287">
        <v>0</v>
      </c>
      <c r="W351" s="287">
        <v>55</v>
      </c>
      <c r="X351" s="287">
        <v>0</v>
      </c>
      <c r="Y351" s="287">
        <v>999</v>
      </c>
      <c r="Z351" s="289">
        <v>680</v>
      </c>
      <c r="AA351" s="289">
        <v>699</v>
      </c>
      <c r="AB351" s="289">
        <v>6</v>
      </c>
      <c r="AC351" s="289">
        <v>999999</v>
      </c>
      <c r="AD351" s="287">
        <v>0</v>
      </c>
      <c r="AE351" s="2105">
        <v>80</v>
      </c>
      <c r="AF351" s="170">
        <v>0</v>
      </c>
      <c r="AG351" s="171">
        <v>1</v>
      </c>
      <c r="AH351" s="171">
        <v>1</v>
      </c>
      <c r="AI351" s="171">
        <v>0</v>
      </c>
      <c r="AJ351" s="171">
        <v>1</v>
      </c>
      <c r="AK351" s="171">
        <v>1</v>
      </c>
      <c r="AL351" s="171">
        <v>0</v>
      </c>
      <c r="AM351" s="171">
        <v>1</v>
      </c>
      <c r="AN351" s="171">
        <v>1</v>
      </c>
      <c r="AO351" s="171">
        <v>1</v>
      </c>
      <c r="AP351" s="171">
        <v>1</v>
      </c>
      <c r="AQ351" s="171">
        <v>1</v>
      </c>
      <c r="AR351" s="171">
        <v>1</v>
      </c>
      <c r="AS351" s="171">
        <v>1</v>
      </c>
      <c r="AT351" s="171">
        <v>1</v>
      </c>
      <c r="AU351" s="171">
        <f t="shared" si="140"/>
        <v>0</v>
      </c>
      <c r="AV351" s="171">
        <f t="shared" si="141"/>
        <v>0</v>
      </c>
      <c r="AW351" s="171">
        <f t="shared" si="142"/>
        <v>1</v>
      </c>
      <c r="AX351" s="171">
        <f t="shared" si="152"/>
        <v>1</v>
      </c>
      <c r="AY351" s="171">
        <f t="shared" si="143"/>
        <v>0</v>
      </c>
      <c r="AZ351" s="171">
        <f t="shared" si="144"/>
        <v>1</v>
      </c>
      <c r="BA351" s="172">
        <f t="shared" si="145"/>
        <v>1</v>
      </c>
      <c r="BB351" s="175">
        <f t="shared" si="147"/>
        <v>16</v>
      </c>
      <c r="BC351" s="176">
        <f t="shared" si="148"/>
        <v>15</v>
      </c>
      <c r="BD351" s="176">
        <f t="shared" si="149"/>
        <v>16</v>
      </c>
      <c r="BE351" s="240" t="str">
        <f t="shared" si="146"/>
        <v/>
      </c>
      <c r="BH351" s="199">
        <f>IF(AND(Input_Product=Elig!$C351,Elig_MatchAll_Ct&lt;22,$BC351=(Elig_MatchAll_Ct-1),AF351=0),C351,0)</f>
        <v>0</v>
      </c>
      <c r="BI351" s="199">
        <f>IF(AND(Input_Product=Elig!$C351,Elig_MatchAll_Ct&lt;22,$BC351=(Elig_MatchAll_Ct-1),AG351=0),D351,0)</f>
        <v>0</v>
      </c>
      <c r="BJ351" s="199">
        <f>IF(AND(Input_Product=Elig!$C351,Elig_MatchAll_Ct&lt;22,$BC351=(Elig_MatchAll_Ct-1),AH351=0),E351,0)</f>
        <v>0</v>
      </c>
      <c r="BK351" s="199">
        <f>IF(AND(Input_Product=Elig!$C351,Elig_MatchAll_Ct&lt;22,$BC351=(Elig_MatchAll_Ct-1),AI351=0),F351,0)</f>
        <v>0</v>
      </c>
      <c r="BL351" s="199">
        <f>IF(AND(Input_Product=Elig!$C351,Elig_MatchAll_Ct&lt;22,$BC351=(Elig_MatchAll_Ct-1),AJ351=0),G351,0)</f>
        <v>0</v>
      </c>
      <c r="BM351" s="199">
        <f>IF(AND(Input_Product=Elig!$C351,Elig_MatchAll_Ct&lt;22,$BC351=(Elig_MatchAll_Ct-1),AK351=0),H351,0)</f>
        <v>0</v>
      </c>
      <c r="BN351" s="199">
        <f>IF(AND(Input_Product=Elig!$C351,Elig_MatchAll_Ct&lt;22,$BC351=(Elig_MatchAll_Ct-1),AL351=0),I351,0)</f>
        <v>0</v>
      </c>
      <c r="BO351" s="199">
        <f>IF(AND(Input_Product=Elig!$C351,Elig_MatchAll_Ct&lt;22,$BC351=(Elig_MatchAll_Ct-1),AM351=0),J351,0)</f>
        <v>0</v>
      </c>
      <c r="BP351" s="199">
        <f>IF(AND(Input_Product=Elig!$C351,Elig_MatchAll_Ct&lt;22,$BC351=(Elig_MatchAll_Ct-1),AN351=0),K351,0)</f>
        <v>0</v>
      </c>
      <c r="BQ351" s="199">
        <f>IF(AND(Input_Product=Elig!$C351,Elig_MatchAll_Ct&lt;22,$BC351=(Elig_MatchAll_Ct-1),AP351=0),L351,0)</f>
        <v>0</v>
      </c>
      <c r="BR351" s="199">
        <f>IF(AND(Input_Product=Elig!$C351,Elig_MatchAll_Ct&lt;22,$BC351=(Elig_MatchAll_Ct-1),AO351=0),M351,0)</f>
        <v>0</v>
      </c>
      <c r="BS351" s="199">
        <f>IF(AND(Input_Product=Elig!$C351,Elig_MatchAll_Ct&lt;22,$BC351=(Elig_MatchAll_Ct-1),AQ351=0),N351,0)</f>
        <v>0</v>
      </c>
      <c r="BT351" s="199">
        <f>IF(AND(Input_Product=Elig!$C351,Elig_MatchAll_Ct&lt;22,$BC351=(Elig_MatchAll_Ct-1),AR351=0),O351,0)</f>
        <v>0</v>
      </c>
      <c r="BU351" s="199">
        <f>IF(AND(Input_Product=Elig!$C351,Elig_MatchAll_Ct&lt;22,$BC351=(Elig_MatchAll_Ct-1),AS351=0),P351,0)</f>
        <v>0</v>
      </c>
      <c r="BV351" s="200">
        <f>IF(AND(Input_Product=Elig!$C351,Elig_MatchAll_Ct&lt;22,$BC351=(Elig_MatchAll_Ct-1),AT351=0),Q351,0)</f>
        <v>0</v>
      </c>
      <c r="BW351" s="201">
        <f>IF(AND(Input_Product=Elig!$C351,Elig_MatchAll_Ct&lt;22,$BC351=(Elig_MatchAll_Ct-1),AU351=0),R351,0)</f>
        <v>0</v>
      </c>
      <c r="BX351" s="202">
        <f>IF(AND(Input_Product=Elig!$C351,Elig_MatchAll_Ct&lt;22,$BC351=(Elig_MatchAll_Ct-1),AU351=0),S351,0)</f>
        <v>0</v>
      </c>
      <c r="BY351" s="201">
        <f>IF(AND(Input_Product=Elig!$C351,Elig_MatchAll_Ct&lt;22,$BC351=(Elig_MatchAll_Ct-1),AV351=0),T351,0)</f>
        <v>0</v>
      </c>
      <c r="BZ351" s="202">
        <f>IF(AND(Input_Product=Elig!$C351,Elig_MatchAll_Ct&lt;22,$BC351=(Elig_MatchAll_Ct-1),AV351=0),U351,0)</f>
        <v>0</v>
      </c>
      <c r="CA351" s="201">
        <f>IF(AND(Input_Product=Elig!$C351,Elig_MatchAll_Ct&lt;22,$BC351=(Elig_MatchAll_Ct-1),AW351=0),V351,0)</f>
        <v>0</v>
      </c>
      <c r="CB351" s="202">
        <f>IF(AND(Input_Product=Elig!$C351,Elig_MatchAll_Ct&lt;22,$BC351=(Elig_MatchAll_Ct-1),AW351=0),W351,0)</f>
        <v>0</v>
      </c>
      <c r="CC351" s="201">
        <f>IF(AND(Input_Product=Elig!$C351,Elig_MatchAll_Ct&lt;22,$BC351=(Elig_MatchAll_Ct-1),AX351=0),X351,0)</f>
        <v>0</v>
      </c>
      <c r="CD351" s="202">
        <f>IF(AND(Input_Product=Elig!$C351,Elig_MatchAll_Ct&lt;22,$BC351=(Elig_MatchAll_Ct-1),AX351=0),Y351,0)</f>
        <v>0</v>
      </c>
      <c r="CE351" s="201">
        <f>IF(AND(Input_LTV&lt;=AE351,Input_Product=Elig!$C351,Elig_MatchAll_Ct&lt;22,$BC351=(Elig_MatchAll_Ct-1),AY351=0),Z351,0)</f>
        <v>0</v>
      </c>
      <c r="CF351" s="202">
        <f>IF(AND(Input_LTV&lt;=AE351,Input_Product=Elig!$C351,Elig_MatchAll_Ct&lt;22,$BC351=(Elig_MatchAll_Ct-1),AY351=0),AA351,0)</f>
        <v>0</v>
      </c>
      <c r="CG351" s="201">
        <f>IF(AND(Input_Product=Elig!$C351,Elig_MatchAll_Ct&lt;22,$BC351=(Elig_MatchAll_Ct-1),AZ351=0),AB351,0)</f>
        <v>0</v>
      </c>
      <c r="CH351" s="202">
        <f>IF(AND(Input_Product=Elig!$C351,Elig_MatchAll_Ct&lt;22,$BC351=(Elig_MatchAll_Ct-1),AZ351=0),AC351,0)</f>
        <v>0</v>
      </c>
      <c r="CI351" s="201">
        <f>IF(AND(Input_Product=Elig!$C351,Elig_MatchAll_Ct&lt;22,$BC351=(Elig_MatchAll_Ct-1),BA351=0),AD351,0)</f>
        <v>0</v>
      </c>
      <c r="CJ351" s="202">
        <f>IF(AND(Input_Product=Elig!$C351,Elig_MatchAll_Ct&lt;22,$BC351=(Elig_MatchAll_Ct-1),BA351=0),AE351,0)</f>
        <v>0</v>
      </c>
    </row>
    <row r="352" spans="2:88" ht="10.15" customHeight="1" x14ac:dyDescent="0.25">
      <c r="B352" s="287" t="s">
        <v>1048</v>
      </c>
      <c r="C352" s="286" t="str">
        <f t="shared" si="132"/>
        <v>NonQM NOO</v>
      </c>
      <c r="D352" s="287" t="s">
        <v>3885</v>
      </c>
      <c r="E352" s="287" t="s">
        <v>167</v>
      </c>
      <c r="F352" s="287" t="s">
        <v>330</v>
      </c>
      <c r="G352" s="287" t="s">
        <v>303</v>
      </c>
      <c r="H352" s="287" t="s">
        <v>136</v>
      </c>
      <c r="I352" s="287" t="s">
        <v>274</v>
      </c>
      <c r="J352" s="287" t="s">
        <v>1311</v>
      </c>
      <c r="K352" s="287" t="s">
        <v>1631</v>
      </c>
      <c r="L352" s="300" t="s">
        <v>312</v>
      </c>
      <c r="M352" s="287" t="s">
        <v>4203</v>
      </c>
      <c r="N352" s="287" t="s">
        <v>2685</v>
      </c>
      <c r="O352" s="287" t="s">
        <v>310</v>
      </c>
      <c r="P352" s="287" t="s">
        <v>291</v>
      </c>
      <c r="Q352" s="287" t="s">
        <v>294</v>
      </c>
      <c r="R352" s="287">
        <v>1000000.01</v>
      </c>
      <c r="S352" s="287">
        <v>1500000</v>
      </c>
      <c r="T352" s="287">
        <v>0</v>
      </c>
      <c r="U352" s="287">
        <v>0</v>
      </c>
      <c r="V352" s="287">
        <v>0</v>
      </c>
      <c r="W352" s="287">
        <v>50</v>
      </c>
      <c r="X352" s="287">
        <v>0</v>
      </c>
      <c r="Y352" s="287">
        <v>999</v>
      </c>
      <c r="Z352" s="289">
        <v>660</v>
      </c>
      <c r="AA352" s="289">
        <v>679</v>
      </c>
      <c r="AB352" s="289">
        <v>6</v>
      </c>
      <c r="AC352" s="289">
        <v>999999</v>
      </c>
      <c r="AD352" s="287">
        <v>0</v>
      </c>
      <c r="AE352" s="290">
        <v>75</v>
      </c>
      <c r="AF352" s="170">
        <v>0</v>
      </c>
      <c r="AG352" s="171">
        <v>1</v>
      </c>
      <c r="AH352" s="171">
        <v>1</v>
      </c>
      <c r="AI352" s="171">
        <v>0</v>
      </c>
      <c r="AJ352" s="171">
        <v>1</v>
      </c>
      <c r="AK352" s="171">
        <v>1</v>
      </c>
      <c r="AL352" s="171">
        <v>0</v>
      </c>
      <c r="AM352" s="171">
        <v>1</v>
      </c>
      <c r="AN352" s="171">
        <v>1</v>
      </c>
      <c r="AO352" s="171">
        <v>1</v>
      </c>
      <c r="AP352" s="171">
        <v>1</v>
      </c>
      <c r="AQ352" s="171">
        <v>1</v>
      </c>
      <c r="AR352" s="171">
        <v>1</v>
      </c>
      <c r="AS352" s="171">
        <v>1</v>
      </c>
      <c r="AT352" s="171">
        <v>1</v>
      </c>
      <c r="AU352" s="171">
        <f t="shared" si="140"/>
        <v>0</v>
      </c>
      <c r="AV352" s="171">
        <f t="shared" si="141"/>
        <v>0</v>
      </c>
      <c r="AW352" s="171">
        <f t="shared" si="142"/>
        <v>1</v>
      </c>
      <c r="AX352" s="171">
        <f t="shared" si="152"/>
        <v>1</v>
      </c>
      <c r="AY352" s="171">
        <f t="shared" si="143"/>
        <v>0</v>
      </c>
      <c r="AZ352" s="171">
        <f t="shared" si="144"/>
        <v>1</v>
      </c>
      <c r="BA352" s="172">
        <f t="shared" si="145"/>
        <v>1</v>
      </c>
      <c r="BB352" s="175">
        <f t="shared" si="147"/>
        <v>16</v>
      </c>
      <c r="BC352" s="176">
        <f t="shared" si="148"/>
        <v>15</v>
      </c>
      <c r="BD352" s="176">
        <f t="shared" si="149"/>
        <v>16</v>
      </c>
      <c r="BE352" s="240" t="str">
        <f t="shared" si="146"/>
        <v/>
      </c>
      <c r="BH352" s="199">
        <f>IF(AND(Input_Product=Elig!$C352,Elig_MatchAll_Ct&lt;22,$BC352=(Elig_MatchAll_Ct-1),AF352=0),C352,0)</f>
        <v>0</v>
      </c>
      <c r="BI352" s="199">
        <f>IF(AND(Input_Product=Elig!$C352,Elig_MatchAll_Ct&lt;22,$BC352=(Elig_MatchAll_Ct-1),AG352=0),D352,0)</f>
        <v>0</v>
      </c>
      <c r="BJ352" s="199">
        <f>IF(AND(Input_Product=Elig!$C352,Elig_MatchAll_Ct&lt;22,$BC352=(Elig_MatchAll_Ct-1),AH352=0),E352,0)</f>
        <v>0</v>
      </c>
      <c r="BK352" s="199">
        <f>IF(AND(Input_Product=Elig!$C352,Elig_MatchAll_Ct&lt;22,$BC352=(Elig_MatchAll_Ct-1),AI352=0),F352,0)</f>
        <v>0</v>
      </c>
      <c r="BL352" s="199">
        <f>IF(AND(Input_Product=Elig!$C352,Elig_MatchAll_Ct&lt;22,$BC352=(Elig_MatchAll_Ct-1),AJ352=0),G352,0)</f>
        <v>0</v>
      </c>
      <c r="BM352" s="199">
        <f>IF(AND(Input_Product=Elig!$C352,Elig_MatchAll_Ct&lt;22,$BC352=(Elig_MatchAll_Ct-1),AK352=0),H352,0)</f>
        <v>0</v>
      </c>
      <c r="BN352" s="199">
        <f>IF(AND(Input_Product=Elig!$C352,Elig_MatchAll_Ct&lt;22,$BC352=(Elig_MatchAll_Ct-1),AL352=0),I352,0)</f>
        <v>0</v>
      </c>
      <c r="BO352" s="199">
        <f>IF(AND(Input_Product=Elig!$C352,Elig_MatchAll_Ct&lt;22,$BC352=(Elig_MatchAll_Ct-1),AM352=0),J352,0)</f>
        <v>0</v>
      </c>
      <c r="BP352" s="199">
        <f>IF(AND(Input_Product=Elig!$C352,Elig_MatchAll_Ct&lt;22,$BC352=(Elig_MatchAll_Ct-1),AN352=0),K352,0)</f>
        <v>0</v>
      </c>
      <c r="BQ352" s="199">
        <f>IF(AND(Input_Product=Elig!$C352,Elig_MatchAll_Ct&lt;22,$BC352=(Elig_MatchAll_Ct-1),AP352=0),L352,0)</f>
        <v>0</v>
      </c>
      <c r="BR352" s="199">
        <f>IF(AND(Input_Product=Elig!$C352,Elig_MatchAll_Ct&lt;22,$BC352=(Elig_MatchAll_Ct-1),AO352=0),M352,0)</f>
        <v>0</v>
      </c>
      <c r="BS352" s="199">
        <f>IF(AND(Input_Product=Elig!$C352,Elig_MatchAll_Ct&lt;22,$BC352=(Elig_MatchAll_Ct-1),AQ352=0),N352,0)</f>
        <v>0</v>
      </c>
      <c r="BT352" s="199">
        <f>IF(AND(Input_Product=Elig!$C352,Elig_MatchAll_Ct&lt;22,$BC352=(Elig_MatchAll_Ct-1),AR352=0),O352,0)</f>
        <v>0</v>
      </c>
      <c r="BU352" s="199">
        <f>IF(AND(Input_Product=Elig!$C352,Elig_MatchAll_Ct&lt;22,$BC352=(Elig_MatchAll_Ct-1),AS352=0),P352,0)</f>
        <v>0</v>
      </c>
      <c r="BV352" s="200">
        <f>IF(AND(Input_Product=Elig!$C352,Elig_MatchAll_Ct&lt;22,$BC352=(Elig_MatchAll_Ct-1),AT352=0),Q352,0)</f>
        <v>0</v>
      </c>
      <c r="BW352" s="201">
        <f>IF(AND(Input_Product=Elig!$C352,Elig_MatchAll_Ct&lt;22,$BC352=(Elig_MatchAll_Ct-1),AU352=0),R352,0)</f>
        <v>0</v>
      </c>
      <c r="BX352" s="202">
        <f>IF(AND(Input_Product=Elig!$C352,Elig_MatchAll_Ct&lt;22,$BC352=(Elig_MatchAll_Ct-1),AU352=0),S352,0)</f>
        <v>0</v>
      </c>
      <c r="BY352" s="201">
        <f>IF(AND(Input_Product=Elig!$C352,Elig_MatchAll_Ct&lt;22,$BC352=(Elig_MatchAll_Ct-1),AV352=0),T352,0)</f>
        <v>0</v>
      </c>
      <c r="BZ352" s="202">
        <f>IF(AND(Input_Product=Elig!$C352,Elig_MatchAll_Ct&lt;22,$BC352=(Elig_MatchAll_Ct-1),AV352=0),U352,0)</f>
        <v>0</v>
      </c>
      <c r="CA352" s="201">
        <f>IF(AND(Input_Product=Elig!$C352,Elig_MatchAll_Ct&lt;22,$BC352=(Elig_MatchAll_Ct-1),AW352=0),V352,0)</f>
        <v>0</v>
      </c>
      <c r="CB352" s="202">
        <f>IF(AND(Input_Product=Elig!$C352,Elig_MatchAll_Ct&lt;22,$BC352=(Elig_MatchAll_Ct-1),AW352=0),W352,0)</f>
        <v>0</v>
      </c>
      <c r="CC352" s="201">
        <f>IF(AND(Input_Product=Elig!$C352,Elig_MatchAll_Ct&lt;22,$BC352=(Elig_MatchAll_Ct-1),AX352=0),X352,0)</f>
        <v>0</v>
      </c>
      <c r="CD352" s="202">
        <f>IF(AND(Input_Product=Elig!$C352,Elig_MatchAll_Ct&lt;22,$BC352=(Elig_MatchAll_Ct-1),AX352=0),Y352,0)</f>
        <v>0</v>
      </c>
      <c r="CE352" s="201">
        <f>IF(AND(Input_LTV&lt;=AE352,Input_Product=Elig!$C352,Elig_MatchAll_Ct&lt;22,$BC352=(Elig_MatchAll_Ct-1),AY352=0),Z352,0)</f>
        <v>0</v>
      </c>
      <c r="CF352" s="202">
        <f>IF(AND(Input_LTV&lt;=AE352,Input_Product=Elig!$C352,Elig_MatchAll_Ct&lt;22,$BC352=(Elig_MatchAll_Ct-1),AY352=0),AA352,0)</f>
        <v>0</v>
      </c>
      <c r="CG352" s="201">
        <f>IF(AND(Input_Product=Elig!$C352,Elig_MatchAll_Ct&lt;22,$BC352=(Elig_MatchAll_Ct-1),AZ352=0),AB352,0)</f>
        <v>0</v>
      </c>
      <c r="CH352" s="202">
        <f>IF(AND(Input_Product=Elig!$C352,Elig_MatchAll_Ct&lt;22,$BC352=(Elig_MatchAll_Ct-1),AZ352=0),AC352,0)</f>
        <v>0</v>
      </c>
      <c r="CI352" s="201">
        <f>IF(AND(Input_Product=Elig!$C352,Elig_MatchAll_Ct&lt;22,$BC352=(Elig_MatchAll_Ct-1),BA352=0),AD352,0)</f>
        <v>0</v>
      </c>
      <c r="CJ352" s="202">
        <f>IF(AND(Input_Product=Elig!$C352,Elig_MatchAll_Ct&lt;22,$BC352=(Elig_MatchAll_Ct-1),BA352=0),AE352,0)</f>
        <v>0</v>
      </c>
    </row>
    <row r="353" spans="2:88" ht="10.15" customHeight="1" x14ac:dyDescent="0.25">
      <c r="B353" s="287" t="s">
        <v>1049</v>
      </c>
      <c r="C353" s="286" t="str">
        <f t="shared" ref="C353:C430" si="153">Input_Name_Product2</f>
        <v>NonQM NOO</v>
      </c>
      <c r="D353" s="287" t="s">
        <v>3885</v>
      </c>
      <c r="E353" s="287" t="s">
        <v>167</v>
      </c>
      <c r="F353" s="287" t="s">
        <v>330</v>
      </c>
      <c r="G353" s="287" t="s">
        <v>303</v>
      </c>
      <c r="H353" s="287" t="s">
        <v>136</v>
      </c>
      <c r="I353" s="287" t="s">
        <v>274</v>
      </c>
      <c r="J353" s="287" t="s">
        <v>1311</v>
      </c>
      <c r="K353" s="287" t="s">
        <v>1631</v>
      </c>
      <c r="L353" s="300" t="s">
        <v>312</v>
      </c>
      <c r="M353" s="287" t="s">
        <v>4203</v>
      </c>
      <c r="N353" s="287" t="s">
        <v>2685</v>
      </c>
      <c r="O353" s="287" t="s">
        <v>310</v>
      </c>
      <c r="P353" s="287" t="s">
        <v>291</v>
      </c>
      <c r="Q353" s="287" t="s">
        <v>294</v>
      </c>
      <c r="R353" s="287">
        <v>1000000.01</v>
      </c>
      <c r="S353" s="287">
        <v>1500000</v>
      </c>
      <c r="T353" s="287">
        <v>0</v>
      </c>
      <c r="U353" s="287">
        <v>0</v>
      </c>
      <c r="V353" s="287">
        <v>0</v>
      </c>
      <c r="W353" s="287">
        <v>50</v>
      </c>
      <c r="X353" s="287">
        <v>0</v>
      </c>
      <c r="Y353" s="287">
        <v>999</v>
      </c>
      <c r="Z353" s="289">
        <v>640</v>
      </c>
      <c r="AA353" s="289">
        <v>659</v>
      </c>
      <c r="AB353" s="289">
        <v>6</v>
      </c>
      <c r="AC353" s="289">
        <v>999999</v>
      </c>
      <c r="AD353" s="287">
        <v>0</v>
      </c>
      <c r="AE353" s="290">
        <v>-999</v>
      </c>
      <c r="AF353" s="170">
        <v>0</v>
      </c>
      <c r="AG353" s="171">
        <v>1</v>
      </c>
      <c r="AH353" s="171">
        <v>1</v>
      </c>
      <c r="AI353" s="171">
        <v>0</v>
      </c>
      <c r="AJ353" s="171">
        <v>1</v>
      </c>
      <c r="AK353" s="171">
        <v>1</v>
      </c>
      <c r="AL353" s="171">
        <v>0</v>
      </c>
      <c r="AM353" s="171">
        <v>1</v>
      </c>
      <c r="AN353" s="171">
        <v>1</v>
      </c>
      <c r="AO353" s="171">
        <v>1</v>
      </c>
      <c r="AP353" s="171">
        <v>1</v>
      </c>
      <c r="AQ353" s="171">
        <v>1</v>
      </c>
      <c r="AR353" s="171">
        <v>1</v>
      </c>
      <c r="AS353" s="171">
        <v>1</v>
      </c>
      <c r="AT353" s="171">
        <v>1</v>
      </c>
      <c r="AU353" s="171">
        <f t="shared" si="140"/>
        <v>0</v>
      </c>
      <c r="AV353" s="171">
        <f t="shared" si="141"/>
        <v>0</v>
      </c>
      <c r="AW353" s="171">
        <f t="shared" si="142"/>
        <v>1</v>
      </c>
      <c r="AX353" s="171">
        <f t="shared" si="152"/>
        <v>1</v>
      </c>
      <c r="AY353" s="171">
        <f t="shared" si="143"/>
        <v>0</v>
      </c>
      <c r="AZ353" s="171">
        <f t="shared" si="144"/>
        <v>1</v>
      </c>
      <c r="BA353" s="172">
        <f t="shared" si="145"/>
        <v>0</v>
      </c>
      <c r="BB353" s="175">
        <f t="shared" si="147"/>
        <v>15</v>
      </c>
      <c r="BC353" s="176">
        <f t="shared" si="148"/>
        <v>15</v>
      </c>
      <c r="BD353" s="176">
        <f t="shared" si="149"/>
        <v>15</v>
      </c>
      <c r="BE353" s="240" t="str">
        <f t="shared" si="146"/>
        <v/>
      </c>
      <c r="BH353" s="199">
        <f>IF(AND(Input_Product=Elig!$C353,Elig_MatchAll_Ct&lt;22,$BC353=(Elig_MatchAll_Ct-1),AF353=0),C353,0)</f>
        <v>0</v>
      </c>
      <c r="BI353" s="199">
        <f>IF(AND(Input_Product=Elig!$C353,Elig_MatchAll_Ct&lt;22,$BC353=(Elig_MatchAll_Ct-1),AG353=0),D353,0)</f>
        <v>0</v>
      </c>
      <c r="BJ353" s="199">
        <f>IF(AND(Input_Product=Elig!$C353,Elig_MatchAll_Ct&lt;22,$BC353=(Elig_MatchAll_Ct-1),AH353=0),E353,0)</f>
        <v>0</v>
      </c>
      <c r="BK353" s="199">
        <f>IF(AND(Input_Product=Elig!$C353,Elig_MatchAll_Ct&lt;22,$BC353=(Elig_MatchAll_Ct-1),AI353=0),F353,0)</f>
        <v>0</v>
      </c>
      <c r="BL353" s="199">
        <f>IF(AND(Input_Product=Elig!$C353,Elig_MatchAll_Ct&lt;22,$BC353=(Elig_MatchAll_Ct-1),AJ353=0),G353,0)</f>
        <v>0</v>
      </c>
      <c r="BM353" s="199">
        <f>IF(AND(Input_Product=Elig!$C353,Elig_MatchAll_Ct&lt;22,$BC353=(Elig_MatchAll_Ct-1),AK353=0),H353,0)</f>
        <v>0</v>
      </c>
      <c r="BN353" s="199">
        <f>IF(AND(Input_Product=Elig!$C353,Elig_MatchAll_Ct&lt;22,$BC353=(Elig_MatchAll_Ct-1),AL353=0),I353,0)</f>
        <v>0</v>
      </c>
      <c r="BO353" s="199">
        <f>IF(AND(Input_Product=Elig!$C353,Elig_MatchAll_Ct&lt;22,$BC353=(Elig_MatchAll_Ct-1),AM353=0),J353,0)</f>
        <v>0</v>
      </c>
      <c r="BP353" s="199">
        <f>IF(AND(Input_Product=Elig!$C353,Elig_MatchAll_Ct&lt;22,$BC353=(Elig_MatchAll_Ct-1),AN353=0),K353,0)</f>
        <v>0</v>
      </c>
      <c r="BQ353" s="199">
        <f>IF(AND(Input_Product=Elig!$C353,Elig_MatchAll_Ct&lt;22,$BC353=(Elig_MatchAll_Ct-1),AP353=0),L353,0)</f>
        <v>0</v>
      </c>
      <c r="BR353" s="199">
        <f>IF(AND(Input_Product=Elig!$C353,Elig_MatchAll_Ct&lt;22,$BC353=(Elig_MatchAll_Ct-1),AO353=0),M353,0)</f>
        <v>0</v>
      </c>
      <c r="BS353" s="199">
        <f>IF(AND(Input_Product=Elig!$C353,Elig_MatchAll_Ct&lt;22,$BC353=(Elig_MatchAll_Ct-1),AQ353=0),N353,0)</f>
        <v>0</v>
      </c>
      <c r="BT353" s="199">
        <f>IF(AND(Input_Product=Elig!$C353,Elig_MatchAll_Ct&lt;22,$BC353=(Elig_MatchAll_Ct-1),AR353=0),O353,0)</f>
        <v>0</v>
      </c>
      <c r="BU353" s="199">
        <f>IF(AND(Input_Product=Elig!$C353,Elig_MatchAll_Ct&lt;22,$BC353=(Elig_MatchAll_Ct-1),AS353=0),P353,0)</f>
        <v>0</v>
      </c>
      <c r="BV353" s="200">
        <f>IF(AND(Input_Product=Elig!$C353,Elig_MatchAll_Ct&lt;22,$BC353=(Elig_MatchAll_Ct-1),AT353=0),Q353,0)</f>
        <v>0</v>
      </c>
      <c r="BW353" s="201">
        <f>IF(AND(Input_Product=Elig!$C353,Elig_MatchAll_Ct&lt;22,$BC353=(Elig_MatchAll_Ct-1),AU353=0),R353,0)</f>
        <v>0</v>
      </c>
      <c r="BX353" s="202">
        <f>IF(AND(Input_Product=Elig!$C353,Elig_MatchAll_Ct&lt;22,$BC353=(Elig_MatchAll_Ct-1),AU353=0),S353,0)</f>
        <v>0</v>
      </c>
      <c r="BY353" s="201">
        <f>IF(AND(Input_Product=Elig!$C353,Elig_MatchAll_Ct&lt;22,$BC353=(Elig_MatchAll_Ct-1),AV353=0),T353,0)</f>
        <v>0</v>
      </c>
      <c r="BZ353" s="202">
        <f>IF(AND(Input_Product=Elig!$C353,Elig_MatchAll_Ct&lt;22,$BC353=(Elig_MatchAll_Ct-1),AV353=0),U353,0)</f>
        <v>0</v>
      </c>
      <c r="CA353" s="201">
        <f>IF(AND(Input_Product=Elig!$C353,Elig_MatchAll_Ct&lt;22,$BC353=(Elig_MatchAll_Ct-1),AW353=0),V353,0)</f>
        <v>0</v>
      </c>
      <c r="CB353" s="202">
        <f>IF(AND(Input_Product=Elig!$C353,Elig_MatchAll_Ct&lt;22,$BC353=(Elig_MatchAll_Ct-1),AW353=0),W353,0)</f>
        <v>0</v>
      </c>
      <c r="CC353" s="201">
        <f>IF(AND(Input_Product=Elig!$C353,Elig_MatchAll_Ct&lt;22,$BC353=(Elig_MatchAll_Ct-1),AX353=0),X353,0)</f>
        <v>0</v>
      </c>
      <c r="CD353" s="202">
        <f>IF(AND(Input_Product=Elig!$C353,Elig_MatchAll_Ct&lt;22,$BC353=(Elig_MatchAll_Ct-1),AX353=0),Y353,0)</f>
        <v>0</v>
      </c>
      <c r="CE353" s="201">
        <f>IF(AND(Input_LTV&lt;=AE353,Input_Product=Elig!$C353,Elig_MatchAll_Ct&lt;22,$BC353=(Elig_MatchAll_Ct-1),AY353=0),Z353,0)</f>
        <v>0</v>
      </c>
      <c r="CF353" s="202">
        <f>IF(AND(Input_LTV&lt;=AE353,Input_Product=Elig!$C353,Elig_MatchAll_Ct&lt;22,$BC353=(Elig_MatchAll_Ct-1),AY353=0),AA353,0)</f>
        <v>0</v>
      </c>
      <c r="CG353" s="201">
        <f>IF(AND(Input_Product=Elig!$C353,Elig_MatchAll_Ct&lt;22,$BC353=(Elig_MatchAll_Ct-1),AZ353=0),AB353,0)</f>
        <v>0</v>
      </c>
      <c r="CH353" s="202">
        <f>IF(AND(Input_Product=Elig!$C353,Elig_MatchAll_Ct&lt;22,$BC353=(Elig_MatchAll_Ct-1),AZ353=0),AC353,0)</f>
        <v>0</v>
      </c>
      <c r="CI353" s="201">
        <f>IF(AND(Input_Product=Elig!$C353,Elig_MatchAll_Ct&lt;22,$BC353=(Elig_MatchAll_Ct-1),BA353=0),AD353,0)</f>
        <v>0</v>
      </c>
      <c r="CJ353" s="202">
        <f>IF(AND(Input_Product=Elig!$C353,Elig_MatchAll_Ct&lt;22,$BC353=(Elig_MatchAll_Ct-1),BA353=0),AE353,0)</f>
        <v>0</v>
      </c>
    </row>
    <row r="354" spans="2:88" ht="10.15" customHeight="1" x14ac:dyDescent="0.25">
      <c r="B354" s="287" t="s">
        <v>1050</v>
      </c>
      <c r="C354" s="291" t="str">
        <f t="shared" si="153"/>
        <v>NonQM NOO</v>
      </c>
      <c r="D354" s="292" t="s">
        <v>3885</v>
      </c>
      <c r="E354" s="292" t="s">
        <v>167</v>
      </c>
      <c r="F354" s="292" t="s">
        <v>330</v>
      </c>
      <c r="G354" s="292" t="s">
        <v>303</v>
      </c>
      <c r="H354" s="292" t="s">
        <v>136</v>
      </c>
      <c r="I354" s="292" t="s">
        <v>274</v>
      </c>
      <c r="J354" s="292" t="s">
        <v>1311</v>
      </c>
      <c r="K354" s="292" t="s">
        <v>1631</v>
      </c>
      <c r="L354" s="324" t="s">
        <v>312</v>
      </c>
      <c r="M354" s="292" t="s">
        <v>4203</v>
      </c>
      <c r="N354" s="292" t="s">
        <v>2685</v>
      </c>
      <c r="O354" s="292" t="s">
        <v>310</v>
      </c>
      <c r="P354" s="292" t="s">
        <v>291</v>
      </c>
      <c r="Q354" s="292" t="s">
        <v>294</v>
      </c>
      <c r="R354" s="292">
        <v>1000000.01</v>
      </c>
      <c r="S354" s="292">
        <v>1500000</v>
      </c>
      <c r="T354" s="292">
        <v>0</v>
      </c>
      <c r="U354" s="292">
        <v>0</v>
      </c>
      <c r="V354" s="292">
        <v>0</v>
      </c>
      <c r="W354" s="292">
        <v>50</v>
      </c>
      <c r="X354" s="292">
        <v>0</v>
      </c>
      <c r="Y354" s="292">
        <v>999</v>
      </c>
      <c r="Z354" s="293">
        <v>620</v>
      </c>
      <c r="AA354" s="293">
        <v>639</v>
      </c>
      <c r="AB354" s="293">
        <v>6</v>
      </c>
      <c r="AC354" s="293">
        <v>999999</v>
      </c>
      <c r="AD354" s="292">
        <v>0</v>
      </c>
      <c r="AE354" s="294">
        <v>-999</v>
      </c>
      <c r="AF354" s="170">
        <v>0</v>
      </c>
      <c r="AG354" s="171">
        <v>1</v>
      </c>
      <c r="AH354" s="171">
        <v>1</v>
      </c>
      <c r="AI354" s="171">
        <v>0</v>
      </c>
      <c r="AJ354" s="171">
        <v>1</v>
      </c>
      <c r="AK354" s="171">
        <v>1</v>
      </c>
      <c r="AL354" s="171">
        <v>0</v>
      </c>
      <c r="AM354" s="171">
        <v>1</v>
      </c>
      <c r="AN354" s="171">
        <v>1</v>
      </c>
      <c r="AO354" s="171">
        <v>1</v>
      </c>
      <c r="AP354" s="171">
        <v>1</v>
      </c>
      <c r="AQ354" s="171">
        <v>1</v>
      </c>
      <c r="AR354" s="171">
        <v>1</v>
      </c>
      <c r="AS354" s="171">
        <v>1</v>
      </c>
      <c r="AT354" s="171">
        <v>1</v>
      </c>
      <c r="AU354" s="171">
        <f t="shared" si="140"/>
        <v>0</v>
      </c>
      <c r="AV354" s="171">
        <f t="shared" si="141"/>
        <v>0</v>
      </c>
      <c r="AW354" s="171">
        <f t="shared" si="142"/>
        <v>1</v>
      </c>
      <c r="AX354" s="171">
        <f t="shared" si="152"/>
        <v>1</v>
      </c>
      <c r="AY354" s="171">
        <f t="shared" si="143"/>
        <v>0</v>
      </c>
      <c r="AZ354" s="171">
        <f t="shared" si="144"/>
        <v>1</v>
      </c>
      <c r="BA354" s="172">
        <f t="shared" si="145"/>
        <v>0</v>
      </c>
      <c r="BB354" s="175">
        <f t="shared" si="147"/>
        <v>15</v>
      </c>
      <c r="BC354" s="176">
        <f t="shared" si="148"/>
        <v>15</v>
      </c>
      <c r="BD354" s="176">
        <f t="shared" si="149"/>
        <v>15</v>
      </c>
      <c r="BE354" s="240" t="str">
        <f t="shared" si="146"/>
        <v/>
      </c>
      <c r="BH354" s="214">
        <f>IF(AND(Input_Product=Elig!$C354,Elig_MatchAll_Ct&lt;22,$BC354=(Elig_MatchAll_Ct-1),AF354=0),C354,0)</f>
        <v>0</v>
      </c>
      <c r="BI354" s="214">
        <f>IF(AND(Input_Product=Elig!$C354,Elig_MatchAll_Ct&lt;22,$BC354=(Elig_MatchAll_Ct-1),AG354=0),D354,0)</f>
        <v>0</v>
      </c>
      <c r="BJ354" s="214">
        <f>IF(AND(Input_Product=Elig!$C354,Elig_MatchAll_Ct&lt;22,$BC354=(Elig_MatchAll_Ct-1),AH354=0),E354,0)</f>
        <v>0</v>
      </c>
      <c r="BK354" s="214">
        <f>IF(AND(Input_Product=Elig!$C354,Elig_MatchAll_Ct&lt;22,$BC354=(Elig_MatchAll_Ct-1),AI354=0),F354,0)</f>
        <v>0</v>
      </c>
      <c r="BL354" s="214">
        <f>IF(AND(Input_Product=Elig!$C354,Elig_MatchAll_Ct&lt;22,$BC354=(Elig_MatchAll_Ct-1),AJ354=0),G354,0)</f>
        <v>0</v>
      </c>
      <c r="BM354" s="214">
        <f>IF(AND(Input_Product=Elig!$C354,Elig_MatchAll_Ct&lt;22,$BC354=(Elig_MatchAll_Ct-1),AK354=0),H354,0)</f>
        <v>0</v>
      </c>
      <c r="BN354" s="214">
        <f>IF(AND(Input_Product=Elig!$C354,Elig_MatchAll_Ct&lt;22,$BC354=(Elig_MatchAll_Ct-1),AL354=0),I354,0)</f>
        <v>0</v>
      </c>
      <c r="BO354" s="214">
        <f>IF(AND(Input_Product=Elig!$C354,Elig_MatchAll_Ct&lt;22,$BC354=(Elig_MatchAll_Ct-1),AM354=0),J354,0)</f>
        <v>0</v>
      </c>
      <c r="BP354" s="214">
        <f>IF(AND(Input_Product=Elig!$C354,Elig_MatchAll_Ct&lt;22,$BC354=(Elig_MatchAll_Ct-1),AN354=0),K354,0)</f>
        <v>0</v>
      </c>
      <c r="BQ354" s="214">
        <f>IF(AND(Input_Product=Elig!$C354,Elig_MatchAll_Ct&lt;22,$BC354=(Elig_MatchAll_Ct-1),AP354=0),L354,0)</f>
        <v>0</v>
      </c>
      <c r="BR354" s="214">
        <f>IF(AND(Input_Product=Elig!$C354,Elig_MatchAll_Ct&lt;22,$BC354=(Elig_MatchAll_Ct-1),AO354=0),M354,0)</f>
        <v>0</v>
      </c>
      <c r="BS354" s="214">
        <f>IF(AND(Input_Product=Elig!$C354,Elig_MatchAll_Ct&lt;22,$BC354=(Elig_MatchAll_Ct-1),AQ354=0),N354,0)</f>
        <v>0</v>
      </c>
      <c r="BT354" s="214">
        <f>IF(AND(Input_Product=Elig!$C354,Elig_MatchAll_Ct&lt;22,$BC354=(Elig_MatchAll_Ct-1),AR354=0),O354,0)</f>
        <v>0</v>
      </c>
      <c r="BU354" s="214">
        <f>IF(AND(Input_Product=Elig!$C354,Elig_MatchAll_Ct&lt;22,$BC354=(Elig_MatchAll_Ct-1),AS354=0),P354,0)</f>
        <v>0</v>
      </c>
      <c r="BV354" s="215">
        <f>IF(AND(Input_Product=Elig!$C354,Elig_MatchAll_Ct&lt;22,$BC354=(Elig_MatchAll_Ct-1),AT354=0),Q354,0)</f>
        <v>0</v>
      </c>
      <c r="BW354" s="207">
        <f>IF(AND(Input_Product=Elig!$C354,Elig_MatchAll_Ct&lt;22,$BC354=(Elig_MatchAll_Ct-1),AU354=0),R354,0)</f>
        <v>0</v>
      </c>
      <c r="BX354" s="208">
        <f>IF(AND(Input_Product=Elig!$C354,Elig_MatchAll_Ct&lt;22,$BC354=(Elig_MatchAll_Ct-1),AU354=0),S354,0)</f>
        <v>0</v>
      </c>
      <c r="BY354" s="207">
        <f>IF(AND(Input_Product=Elig!$C354,Elig_MatchAll_Ct&lt;22,$BC354=(Elig_MatchAll_Ct-1),AV354=0),T354,0)</f>
        <v>0</v>
      </c>
      <c r="BZ354" s="208">
        <f>IF(AND(Input_Product=Elig!$C354,Elig_MatchAll_Ct&lt;22,$BC354=(Elig_MatchAll_Ct-1),AV354=0),U354,0)</f>
        <v>0</v>
      </c>
      <c r="CA354" s="207">
        <f>IF(AND(Input_Product=Elig!$C354,Elig_MatchAll_Ct&lt;22,$BC354=(Elig_MatchAll_Ct-1),AW354=0),V354,0)</f>
        <v>0</v>
      </c>
      <c r="CB354" s="208">
        <f>IF(AND(Input_Product=Elig!$C354,Elig_MatchAll_Ct&lt;22,$BC354=(Elig_MatchAll_Ct-1),AW354=0),W354,0)</f>
        <v>0</v>
      </c>
      <c r="CC354" s="207">
        <f>IF(AND(Input_Product=Elig!$C354,Elig_MatchAll_Ct&lt;22,$BC354=(Elig_MatchAll_Ct-1),AX354=0),X354,0)</f>
        <v>0</v>
      </c>
      <c r="CD354" s="208">
        <f>IF(AND(Input_Product=Elig!$C354,Elig_MatchAll_Ct&lt;22,$BC354=(Elig_MatchAll_Ct-1),AX354=0),Y354,0)</f>
        <v>0</v>
      </c>
      <c r="CE354" s="207">
        <f>IF(AND(Input_LTV&lt;=AE354,Input_Product=Elig!$C354,Elig_MatchAll_Ct&lt;22,$BC354=(Elig_MatchAll_Ct-1),AY354=0),Z354,0)</f>
        <v>0</v>
      </c>
      <c r="CF354" s="208">
        <f>IF(AND(Input_LTV&lt;=AE354,Input_Product=Elig!$C354,Elig_MatchAll_Ct&lt;22,$BC354=(Elig_MatchAll_Ct-1),AY354=0),AA354,0)</f>
        <v>0</v>
      </c>
      <c r="CG354" s="207">
        <f>IF(AND(Input_Product=Elig!$C354,Elig_MatchAll_Ct&lt;22,$BC354=(Elig_MatchAll_Ct-1),AZ354=0),AB354,0)</f>
        <v>0</v>
      </c>
      <c r="CH354" s="208">
        <f>IF(AND(Input_Product=Elig!$C354,Elig_MatchAll_Ct&lt;22,$BC354=(Elig_MatchAll_Ct-1),AZ354=0),AC354,0)</f>
        <v>0</v>
      </c>
      <c r="CI354" s="207">
        <f>IF(AND(Input_Product=Elig!$C354,Elig_MatchAll_Ct&lt;22,$BC354=(Elig_MatchAll_Ct-1),BA354=0),AD354,0)</f>
        <v>0</v>
      </c>
      <c r="CJ354" s="209">
        <f>IF(AND(Input_Product=Elig!$C354,Elig_MatchAll_Ct&lt;22,$BC354=(Elig_MatchAll_Ct-1),BA354=0),AE354,0)</f>
        <v>0</v>
      </c>
    </row>
    <row r="355" spans="2:88" ht="10.15" customHeight="1" x14ac:dyDescent="0.25">
      <c r="B355" s="287" t="s">
        <v>1051</v>
      </c>
      <c r="C355" s="281" t="str">
        <f t="shared" si="153"/>
        <v>NonQM NOO</v>
      </c>
      <c r="D355" s="282" t="s">
        <v>3885</v>
      </c>
      <c r="E355" s="283" t="s">
        <v>167</v>
      </c>
      <c r="F355" s="283" t="s">
        <v>330</v>
      </c>
      <c r="G355" s="283" t="s">
        <v>303</v>
      </c>
      <c r="H355" s="283" t="s">
        <v>136</v>
      </c>
      <c r="I355" s="282" t="s">
        <v>16</v>
      </c>
      <c r="J355" s="282" t="s">
        <v>1311</v>
      </c>
      <c r="K355" s="282" t="s">
        <v>1631</v>
      </c>
      <c r="L355" s="2103" t="s">
        <v>312</v>
      </c>
      <c r="M355" s="283" t="s">
        <v>4203</v>
      </c>
      <c r="N355" s="283" t="s">
        <v>2685</v>
      </c>
      <c r="O355" s="283" t="s">
        <v>310</v>
      </c>
      <c r="P355" s="283" t="s">
        <v>291</v>
      </c>
      <c r="Q355" s="283" t="s">
        <v>294</v>
      </c>
      <c r="R355" s="282">
        <v>1000000.01</v>
      </c>
      <c r="S355" s="282">
        <v>1500000</v>
      </c>
      <c r="T355" s="282">
        <v>0</v>
      </c>
      <c r="U355" s="282">
        <f t="shared" ref="U355:U360" si="154">S355</f>
        <v>1500000</v>
      </c>
      <c r="V355" s="282">
        <v>0</v>
      </c>
      <c r="W355" s="282">
        <v>55</v>
      </c>
      <c r="X355" s="282">
        <v>0</v>
      </c>
      <c r="Y355" s="282">
        <v>999</v>
      </c>
      <c r="Z355" s="284">
        <v>720</v>
      </c>
      <c r="AA355" s="284">
        <v>999</v>
      </c>
      <c r="AB355" s="284">
        <v>6</v>
      </c>
      <c r="AC355" s="284">
        <v>999999</v>
      </c>
      <c r="AD355" s="282">
        <v>0</v>
      </c>
      <c r="AE355" s="2104">
        <v>80</v>
      </c>
      <c r="AF355" s="170">
        <v>0</v>
      </c>
      <c r="AG355" s="171">
        <v>1</v>
      </c>
      <c r="AH355" s="171">
        <v>1</v>
      </c>
      <c r="AI355" s="171">
        <v>0</v>
      </c>
      <c r="AJ355" s="171">
        <v>1</v>
      </c>
      <c r="AK355" s="171">
        <v>1</v>
      </c>
      <c r="AL355" s="171">
        <v>1</v>
      </c>
      <c r="AM355" s="171">
        <v>1</v>
      </c>
      <c r="AN355" s="171">
        <v>1</v>
      </c>
      <c r="AO355" s="171">
        <v>1</v>
      </c>
      <c r="AP355" s="171">
        <v>1</v>
      </c>
      <c r="AQ355" s="171">
        <v>1</v>
      </c>
      <c r="AR355" s="171">
        <v>1</v>
      </c>
      <c r="AS355" s="171">
        <v>1</v>
      </c>
      <c r="AT355" s="171">
        <v>1</v>
      </c>
      <c r="AU355" s="171">
        <f t="shared" si="140"/>
        <v>0</v>
      </c>
      <c r="AV355" s="171">
        <f t="shared" si="141"/>
        <v>1</v>
      </c>
      <c r="AW355" s="171">
        <f t="shared" si="142"/>
        <v>1</v>
      </c>
      <c r="AX355" s="171">
        <f t="shared" si="152"/>
        <v>1</v>
      </c>
      <c r="AY355" s="171">
        <f t="shared" si="143"/>
        <v>1</v>
      </c>
      <c r="AZ355" s="171">
        <f t="shared" si="144"/>
        <v>1</v>
      </c>
      <c r="BA355" s="172">
        <f t="shared" si="145"/>
        <v>1</v>
      </c>
      <c r="BB355" s="175">
        <f t="shared" si="147"/>
        <v>19</v>
      </c>
      <c r="BC355" s="176">
        <f t="shared" si="148"/>
        <v>18</v>
      </c>
      <c r="BD355" s="176">
        <f t="shared" si="149"/>
        <v>19</v>
      </c>
      <c r="BE355" s="240" t="str">
        <f t="shared" si="146"/>
        <v/>
      </c>
      <c r="BH355" s="216">
        <f>IF(AND(Input_Product=Elig!$C355,Elig_MatchAll_Ct&lt;22,$BC355=(Elig_MatchAll_Ct-1),AF355=0),C355,0)</f>
        <v>0</v>
      </c>
      <c r="BI355" s="216">
        <f>IF(AND(Input_Product=Elig!$C355,Elig_MatchAll_Ct&lt;22,$BC355=(Elig_MatchAll_Ct-1),AG355=0),D355,0)</f>
        <v>0</v>
      </c>
      <c r="BJ355" s="216">
        <f>IF(AND(Input_Product=Elig!$C355,Elig_MatchAll_Ct&lt;22,$BC355=(Elig_MatchAll_Ct-1),AH355=0),E355,0)</f>
        <v>0</v>
      </c>
      <c r="BK355" s="216">
        <f>IF(AND(Input_Product=Elig!$C355,Elig_MatchAll_Ct&lt;22,$BC355=(Elig_MatchAll_Ct-1),AI355=0),F355,0)</f>
        <v>0</v>
      </c>
      <c r="BL355" s="216">
        <f>IF(AND(Input_Product=Elig!$C355,Elig_MatchAll_Ct&lt;22,$BC355=(Elig_MatchAll_Ct-1),AJ355=0),G355,0)</f>
        <v>0</v>
      </c>
      <c r="BM355" s="216">
        <f>IF(AND(Input_Product=Elig!$C355,Elig_MatchAll_Ct&lt;22,$BC355=(Elig_MatchAll_Ct-1),AK355=0),H355,0)</f>
        <v>0</v>
      </c>
      <c r="BN355" s="216">
        <f>IF(AND(Input_Product=Elig!$C355,Elig_MatchAll_Ct&lt;22,$BC355=(Elig_MatchAll_Ct-1),AL355=0),I355,0)</f>
        <v>0</v>
      </c>
      <c r="BO355" s="216">
        <f>IF(AND(Input_Product=Elig!$C355,Elig_MatchAll_Ct&lt;22,$BC355=(Elig_MatchAll_Ct-1),AM355=0),J355,0)</f>
        <v>0</v>
      </c>
      <c r="BP355" s="216">
        <f>IF(AND(Input_Product=Elig!$C355,Elig_MatchAll_Ct&lt;22,$BC355=(Elig_MatchAll_Ct-1),AN355=0),K355,0)</f>
        <v>0</v>
      </c>
      <c r="BQ355" s="216">
        <f>IF(AND(Input_Product=Elig!$C355,Elig_MatchAll_Ct&lt;22,$BC355=(Elig_MatchAll_Ct-1),AP355=0),L355,0)</f>
        <v>0</v>
      </c>
      <c r="BR355" s="216">
        <f>IF(AND(Input_Product=Elig!$C355,Elig_MatchAll_Ct&lt;22,$BC355=(Elig_MatchAll_Ct-1),AO355=0),M355,0)</f>
        <v>0</v>
      </c>
      <c r="BS355" s="216">
        <f>IF(AND(Input_Product=Elig!$C355,Elig_MatchAll_Ct&lt;22,$BC355=(Elig_MatchAll_Ct-1),AQ355=0),N355,0)</f>
        <v>0</v>
      </c>
      <c r="BT355" s="216">
        <f>IF(AND(Input_Product=Elig!$C355,Elig_MatchAll_Ct&lt;22,$BC355=(Elig_MatchAll_Ct-1),AR355=0),O355,0)</f>
        <v>0</v>
      </c>
      <c r="BU355" s="216">
        <f>IF(AND(Input_Product=Elig!$C355,Elig_MatchAll_Ct&lt;22,$BC355=(Elig_MatchAll_Ct-1),AS355=0),P355,0)</f>
        <v>0</v>
      </c>
      <c r="BV355" s="217">
        <f>IF(AND(Input_Product=Elig!$C355,Elig_MatchAll_Ct&lt;22,$BC355=(Elig_MatchAll_Ct-1),AT355=0),Q355,0)</f>
        <v>0</v>
      </c>
      <c r="BW355" s="212">
        <f>IF(AND(Input_Product=Elig!$C355,Elig_MatchAll_Ct&lt;22,$BC355=(Elig_MatchAll_Ct-1),AU355=0),R355,0)</f>
        <v>0</v>
      </c>
      <c r="BX355" s="213">
        <f>IF(AND(Input_Product=Elig!$C355,Elig_MatchAll_Ct&lt;22,$BC355=(Elig_MatchAll_Ct-1),AU355=0),S355,0)</f>
        <v>0</v>
      </c>
      <c r="BY355" s="212">
        <f>IF(AND(Input_Product=Elig!$C355,Elig_MatchAll_Ct&lt;22,$BC355=(Elig_MatchAll_Ct-1),AV355=0),T355,0)</f>
        <v>0</v>
      </c>
      <c r="BZ355" s="213">
        <f>IF(AND(Input_Product=Elig!$C355,Elig_MatchAll_Ct&lt;22,$BC355=(Elig_MatchAll_Ct-1),AV355=0),U355,0)</f>
        <v>0</v>
      </c>
      <c r="CA355" s="212">
        <f>IF(AND(Input_Product=Elig!$C355,Elig_MatchAll_Ct&lt;22,$BC355=(Elig_MatchAll_Ct-1),AW355=0),V355,0)</f>
        <v>0</v>
      </c>
      <c r="CB355" s="213">
        <f>IF(AND(Input_Product=Elig!$C355,Elig_MatchAll_Ct&lt;22,$BC355=(Elig_MatchAll_Ct-1),AW355=0),W355,0)</f>
        <v>0</v>
      </c>
      <c r="CC355" s="212">
        <f>IF(AND(Input_Product=Elig!$C355,Elig_MatchAll_Ct&lt;22,$BC355=(Elig_MatchAll_Ct-1),AX355=0),X355,0)</f>
        <v>0</v>
      </c>
      <c r="CD355" s="213">
        <f>IF(AND(Input_Product=Elig!$C355,Elig_MatchAll_Ct&lt;22,$BC355=(Elig_MatchAll_Ct-1),AX355=0),Y355,0)</f>
        <v>0</v>
      </c>
      <c r="CE355" s="212">
        <f>IF(AND(Input_LTV&lt;=AE355,Input_Product=Elig!$C355,Elig_MatchAll_Ct&lt;22,$BC355=(Elig_MatchAll_Ct-1),AY355=0),Z355,0)</f>
        <v>0</v>
      </c>
      <c r="CF355" s="213">
        <f>IF(AND(Input_LTV&lt;=AE355,Input_Product=Elig!$C355,Elig_MatchAll_Ct&lt;22,$BC355=(Elig_MatchAll_Ct-1),AY355=0),AA355,0)</f>
        <v>0</v>
      </c>
      <c r="CG355" s="212">
        <f>IF(AND(Input_Product=Elig!$C355,Elig_MatchAll_Ct&lt;22,$BC355=(Elig_MatchAll_Ct-1),AZ355=0),AB355,0)</f>
        <v>0</v>
      </c>
      <c r="CH355" s="213">
        <f>IF(AND(Input_Product=Elig!$C355,Elig_MatchAll_Ct&lt;22,$BC355=(Elig_MatchAll_Ct-1),AZ355=0),AC355,0)</f>
        <v>0</v>
      </c>
      <c r="CI355" s="212">
        <f>IF(AND(Input_Product=Elig!$C355,Elig_MatchAll_Ct&lt;22,$BC355=(Elig_MatchAll_Ct-1),BA355=0),AD355,0)</f>
        <v>0</v>
      </c>
      <c r="CJ355" s="213">
        <f>IF(AND(Input_Product=Elig!$C355,Elig_MatchAll_Ct&lt;22,$BC355=(Elig_MatchAll_Ct-1),BA355=0),AE355,0)</f>
        <v>0</v>
      </c>
    </row>
    <row r="356" spans="2:88" ht="10.15" customHeight="1" x14ac:dyDescent="0.25">
      <c r="B356" s="287" t="s">
        <v>1052</v>
      </c>
      <c r="C356" s="286" t="str">
        <f t="shared" si="153"/>
        <v>NonQM NOO</v>
      </c>
      <c r="D356" s="287" t="s">
        <v>3885</v>
      </c>
      <c r="E356" s="287" t="s">
        <v>167</v>
      </c>
      <c r="F356" s="287" t="s">
        <v>330</v>
      </c>
      <c r="G356" s="287" t="s">
        <v>303</v>
      </c>
      <c r="H356" s="287" t="s">
        <v>136</v>
      </c>
      <c r="I356" s="288" t="s">
        <v>16</v>
      </c>
      <c r="J356" s="288" t="s">
        <v>1311</v>
      </c>
      <c r="K356" s="288" t="s">
        <v>1631</v>
      </c>
      <c r="L356" s="300" t="s">
        <v>312</v>
      </c>
      <c r="M356" s="287" t="s">
        <v>4203</v>
      </c>
      <c r="N356" s="287" t="s">
        <v>2685</v>
      </c>
      <c r="O356" s="287" t="s">
        <v>310</v>
      </c>
      <c r="P356" s="287" t="s">
        <v>291</v>
      </c>
      <c r="Q356" s="287" t="s">
        <v>294</v>
      </c>
      <c r="R356" s="287">
        <v>1000000.01</v>
      </c>
      <c r="S356" s="287">
        <v>1500000</v>
      </c>
      <c r="T356" s="287">
        <v>0</v>
      </c>
      <c r="U356" s="287">
        <f t="shared" si="154"/>
        <v>1500000</v>
      </c>
      <c r="V356" s="287">
        <v>0</v>
      </c>
      <c r="W356" s="287">
        <v>55</v>
      </c>
      <c r="X356" s="287">
        <v>0</v>
      </c>
      <c r="Y356" s="287">
        <v>999</v>
      </c>
      <c r="Z356" s="289">
        <v>700</v>
      </c>
      <c r="AA356" s="289">
        <v>719</v>
      </c>
      <c r="AB356" s="289">
        <v>6</v>
      </c>
      <c r="AC356" s="289">
        <v>999999</v>
      </c>
      <c r="AD356" s="287">
        <v>0</v>
      </c>
      <c r="AE356" s="290">
        <v>75</v>
      </c>
      <c r="AF356" s="170">
        <v>0</v>
      </c>
      <c r="AG356" s="171">
        <v>1</v>
      </c>
      <c r="AH356" s="171">
        <v>1</v>
      </c>
      <c r="AI356" s="171">
        <v>0</v>
      </c>
      <c r="AJ356" s="171">
        <v>1</v>
      </c>
      <c r="AK356" s="171">
        <v>1</v>
      </c>
      <c r="AL356" s="171">
        <v>1</v>
      </c>
      <c r="AM356" s="171">
        <v>1</v>
      </c>
      <c r="AN356" s="171">
        <v>1</v>
      </c>
      <c r="AO356" s="171">
        <v>1</v>
      </c>
      <c r="AP356" s="171">
        <v>1</v>
      </c>
      <c r="AQ356" s="171">
        <v>1</v>
      </c>
      <c r="AR356" s="171">
        <v>1</v>
      </c>
      <c r="AS356" s="171">
        <v>1</v>
      </c>
      <c r="AT356" s="171">
        <v>1</v>
      </c>
      <c r="AU356" s="171">
        <f t="shared" si="140"/>
        <v>0</v>
      </c>
      <c r="AV356" s="171">
        <f t="shared" si="141"/>
        <v>1</v>
      </c>
      <c r="AW356" s="171">
        <f t="shared" si="142"/>
        <v>1</v>
      </c>
      <c r="AX356" s="171">
        <f t="shared" si="152"/>
        <v>1</v>
      </c>
      <c r="AY356" s="171">
        <f t="shared" si="143"/>
        <v>0</v>
      </c>
      <c r="AZ356" s="171">
        <f t="shared" si="144"/>
        <v>1</v>
      </c>
      <c r="BA356" s="172">
        <f t="shared" si="145"/>
        <v>1</v>
      </c>
      <c r="BB356" s="175">
        <f t="shared" si="147"/>
        <v>18</v>
      </c>
      <c r="BC356" s="176">
        <f t="shared" si="148"/>
        <v>17</v>
      </c>
      <c r="BD356" s="176">
        <f t="shared" si="149"/>
        <v>18</v>
      </c>
      <c r="BE356" s="240" t="str">
        <f t="shared" si="146"/>
        <v/>
      </c>
      <c r="BH356" s="199">
        <f>IF(AND(Input_Product=Elig!$C356,Elig_MatchAll_Ct&lt;22,$BC356=(Elig_MatchAll_Ct-1),AF356=0),C356,0)</f>
        <v>0</v>
      </c>
      <c r="BI356" s="199">
        <f>IF(AND(Input_Product=Elig!$C356,Elig_MatchAll_Ct&lt;22,$BC356=(Elig_MatchAll_Ct-1),AG356=0),D356,0)</f>
        <v>0</v>
      </c>
      <c r="BJ356" s="199">
        <f>IF(AND(Input_Product=Elig!$C356,Elig_MatchAll_Ct&lt;22,$BC356=(Elig_MatchAll_Ct-1),AH356=0),E356,0)</f>
        <v>0</v>
      </c>
      <c r="BK356" s="199">
        <f>IF(AND(Input_Product=Elig!$C356,Elig_MatchAll_Ct&lt;22,$BC356=(Elig_MatchAll_Ct-1),AI356=0),F356,0)</f>
        <v>0</v>
      </c>
      <c r="BL356" s="199">
        <f>IF(AND(Input_Product=Elig!$C356,Elig_MatchAll_Ct&lt;22,$BC356=(Elig_MatchAll_Ct-1),AJ356=0),G356,0)</f>
        <v>0</v>
      </c>
      <c r="BM356" s="199">
        <f>IF(AND(Input_Product=Elig!$C356,Elig_MatchAll_Ct&lt;22,$BC356=(Elig_MatchAll_Ct-1),AK356=0),H356,0)</f>
        <v>0</v>
      </c>
      <c r="BN356" s="199">
        <f>IF(AND(Input_Product=Elig!$C356,Elig_MatchAll_Ct&lt;22,$BC356=(Elig_MatchAll_Ct-1),AL356=0),I356,0)</f>
        <v>0</v>
      </c>
      <c r="BO356" s="199">
        <f>IF(AND(Input_Product=Elig!$C356,Elig_MatchAll_Ct&lt;22,$BC356=(Elig_MatchAll_Ct-1),AM356=0),J356,0)</f>
        <v>0</v>
      </c>
      <c r="BP356" s="199">
        <f>IF(AND(Input_Product=Elig!$C356,Elig_MatchAll_Ct&lt;22,$BC356=(Elig_MatchAll_Ct-1),AN356=0),K356,0)</f>
        <v>0</v>
      </c>
      <c r="BQ356" s="199">
        <f>IF(AND(Input_Product=Elig!$C356,Elig_MatchAll_Ct&lt;22,$BC356=(Elig_MatchAll_Ct-1),AP356=0),L356,0)</f>
        <v>0</v>
      </c>
      <c r="BR356" s="199">
        <f>IF(AND(Input_Product=Elig!$C356,Elig_MatchAll_Ct&lt;22,$BC356=(Elig_MatchAll_Ct-1),AO356=0),M356,0)</f>
        <v>0</v>
      </c>
      <c r="BS356" s="199">
        <f>IF(AND(Input_Product=Elig!$C356,Elig_MatchAll_Ct&lt;22,$BC356=(Elig_MatchAll_Ct-1),AQ356=0),N356,0)</f>
        <v>0</v>
      </c>
      <c r="BT356" s="199">
        <f>IF(AND(Input_Product=Elig!$C356,Elig_MatchAll_Ct&lt;22,$BC356=(Elig_MatchAll_Ct-1),AR356=0),O356,0)</f>
        <v>0</v>
      </c>
      <c r="BU356" s="199">
        <f>IF(AND(Input_Product=Elig!$C356,Elig_MatchAll_Ct&lt;22,$BC356=(Elig_MatchAll_Ct-1),AS356=0),P356,0)</f>
        <v>0</v>
      </c>
      <c r="BV356" s="200">
        <f>IF(AND(Input_Product=Elig!$C356,Elig_MatchAll_Ct&lt;22,$BC356=(Elig_MatchAll_Ct-1),AT356=0),Q356,0)</f>
        <v>0</v>
      </c>
      <c r="BW356" s="201">
        <f>IF(AND(Input_Product=Elig!$C356,Elig_MatchAll_Ct&lt;22,$BC356=(Elig_MatchAll_Ct-1),AU356=0),R356,0)</f>
        <v>0</v>
      </c>
      <c r="BX356" s="202">
        <f>IF(AND(Input_Product=Elig!$C356,Elig_MatchAll_Ct&lt;22,$BC356=(Elig_MatchAll_Ct-1),AU356=0),S356,0)</f>
        <v>0</v>
      </c>
      <c r="BY356" s="201">
        <f>IF(AND(Input_Product=Elig!$C356,Elig_MatchAll_Ct&lt;22,$BC356=(Elig_MatchAll_Ct-1),AV356=0),T356,0)</f>
        <v>0</v>
      </c>
      <c r="BZ356" s="202">
        <f>IF(AND(Input_Product=Elig!$C356,Elig_MatchAll_Ct&lt;22,$BC356=(Elig_MatchAll_Ct-1),AV356=0),U356,0)</f>
        <v>0</v>
      </c>
      <c r="CA356" s="201">
        <f>IF(AND(Input_Product=Elig!$C356,Elig_MatchAll_Ct&lt;22,$BC356=(Elig_MatchAll_Ct-1),AW356=0),V356,0)</f>
        <v>0</v>
      </c>
      <c r="CB356" s="202">
        <f>IF(AND(Input_Product=Elig!$C356,Elig_MatchAll_Ct&lt;22,$BC356=(Elig_MatchAll_Ct-1),AW356=0),W356,0)</f>
        <v>0</v>
      </c>
      <c r="CC356" s="201">
        <f>IF(AND(Input_Product=Elig!$C356,Elig_MatchAll_Ct&lt;22,$BC356=(Elig_MatchAll_Ct-1),AX356=0),X356,0)</f>
        <v>0</v>
      </c>
      <c r="CD356" s="202">
        <f>IF(AND(Input_Product=Elig!$C356,Elig_MatchAll_Ct&lt;22,$BC356=(Elig_MatchAll_Ct-1),AX356=0),Y356,0)</f>
        <v>0</v>
      </c>
      <c r="CE356" s="201">
        <f>IF(AND(Input_LTV&lt;=AE356,Input_Product=Elig!$C356,Elig_MatchAll_Ct&lt;22,$BC356=(Elig_MatchAll_Ct-1),AY356=0),Z356,0)</f>
        <v>0</v>
      </c>
      <c r="CF356" s="202">
        <f>IF(AND(Input_LTV&lt;=AE356,Input_Product=Elig!$C356,Elig_MatchAll_Ct&lt;22,$BC356=(Elig_MatchAll_Ct-1),AY356=0),AA356,0)</f>
        <v>0</v>
      </c>
      <c r="CG356" s="201">
        <f>IF(AND(Input_Product=Elig!$C356,Elig_MatchAll_Ct&lt;22,$BC356=(Elig_MatchAll_Ct-1),AZ356=0),AB356,0)</f>
        <v>0</v>
      </c>
      <c r="CH356" s="202">
        <f>IF(AND(Input_Product=Elig!$C356,Elig_MatchAll_Ct&lt;22,$BC356=(Elig_MatchAll_Ct-1),AZ356=0),AC356,0)</f>
        <v>0</v>
      </c>
      <c r="CI356" s="201">
        <f>IF(AND(Input_Product=Elig!$C356,Elig_MatchAll_Ct&lt;22,$BC356=(Elig_MatchAll_Ct-1),BA356=0),AD356,0)</f>
        <v>0</v>
      </c>
      <c r="CJ356" s="202">
        <f>IF(AND(Input_Product=Elig!$C356,Elig_MatchAll_Ct&lt;22,$BC356=(Elig_MatchAll_Ct-1),BA356=0),AE356,0)</f>
        <v>0</v>
      </c>
    </row>
    <row r="357" spans="2:88" ht="10.15" customHeight="1" x14ac:dyDescent="0.25">
      <c r="B357" s="287" t="s">
        <v>1053</v>
      </c>
      <c r="C357" s="286" t="str">
        <f t="shared" si="153"/>
        <v>NonQM NOO</v>
      </c>
      <c r="D357" s="287" t="s">
        <v>3885</v>
      </c>
      <c r="E357" s="287" t="s">
        <v>167</v>
      </c>
      <c r="F357" s="287" t="s">
        <v>330</v>
      </c>
      <c r="G357" s="287" t="s">
        <v>303</v>
      </c>
      <c r="H357" s="287" t="s">
        <v>136</v>
      </c>
      <c r="I357" s="288" t="s">
        <v>16</v>
      </c>
      <c r="J357" s="288" t="s">
        <v>1311</v>
      </c>
      <c r="K357" s="288" t="s">
        <v>1631</v>
      </c>
      <c r="L357" s="300" t="s">
        <v>312</v>
      </c>
      <c r="M357" s="287" t="s">
        <v>4203</v>
      </c>
      <c r="N357" s="287" t="s">
        <v>2685</v>
      </c>
      <c r="O357" s="287" t="s">
        <v>310</v>
      </c>
      <c r="P357" s="287" t="s">
        <v>291</v>
      </c>
      <c r="Q357" s="287" t="s">
        <v>294</v>
      </c>
      <c r="R357" s="287">
        <v>1000000.01</v>
      </c>
      <c r="S357" s="287">
        <v>1500000</v>
      </c>
      <c r="T357" s="287">
        <v>0</v>
      </c>
      <c r="U357" s="287">
        <f t="shared" si="154"/>
        <v>1500000</v>
      </c>
      <c r="V357" s="287">
        <v>0</v>
      </c>
      <c r="W357" s="287">
        <v>55</v>
      </c>
      <c r="X357" s="287">
        <v>0</v>
      </c>
      <c r="Y357" s="287">
        <v>999</v>
      </c>
      <c r="Z357" s="289">
        <v>680</v>
      </c>
      <c r="AA357" s="289">
        <v>699</v>
      </c>
      <c r="AB357" s="289">
        <v>6</v>
      </c>
      <c r="AC357" s="289">
        <v>999999</v>
      </c>
      <c r="AD357" s="287">
        <v>0</v>
      </c>
      <c r="AE357" s="2105">
        <v>75</v>
      </c>
      <c r="AF357" s="170">
        <v>0</v>
      </c>
      <c r="AG357" s="171">
        <v>1</v>
      </c>
      <c r="AH357" s="171">
        <v>1</v>
      </c>
      <c r="AI357" s="171">
        <v>0</v>
      </c>
      <c r="AJ357" s="171">
        <v>1</v>
      </c>
      <c r="AK357" s="171">
        <v>1</v>
      </c>
      <c r="AL357" s="171">
        <v>1</v>
      </c>
      <c r="AM357" s="171">
        <v>1</v>
      </c>
      <c r="AN357" s="171">
        <v>1</v>
      </c>
      <c r="AO357" s="171">
        <v>1</v>
      </c>
      <c r="AP357" s="171">
        <v>1</v>
      </c>
      <c r="AQ357" s="171">
        <v>1</v>
      </c>
      <c r="AR357" s="171">
        <v>1</v>
      </c>
      <c r="AS357" s="171">
        <v>1</v>
      </c>
      <c r="AT357" s="171">
        <v>1</v>
      </c>
      <c r="AU357" s="171">
        <f t="shared" si="140"/>
        <v>0</v>
      </c>
      <c r="AV357" s="171">
        <f t="shared" si="141"/>
        <v>1</v>
      </c>
      <c r="AW357" s="171">
        <f t="shared" si="142"/>
        <v>1</v>
      </c>
      <c r="AX357" s="171">
        <f t="shared" si="152"/>
        <v>1</v>
      </c>
      <c r="AY357" s="171">
        <f t="shared" si="143"/>
        <v>0</v>
      </c>
      <c r="AZ357" s="171">
        <f t="shared" si="144"/>
        <v>1</v>
      </c>
      <c r="BA357" s="172">
        <f t="shared" si="145"/>
        <v>1</v>
      </c>
      <c r="BB357" s="175">
        <f t="shared" si="147"/>
        <v>18</v>
      </c>
      <c r="BC357" s="176">
        <f t="shared" si="148"/>
        <v>17</v>
      </c>
      <c r="BD357" s="176">
        <f t="shared" si="149"/>
        <v>18</v>
      </c>
      <c r="BE357" s="240" t="str">
        <f t="shared" si="146"/>
        <v/>
      </c>
      <c r="BH357" s="199">
        <f>IF(AND(Input_Product=Elig!$C357,Elig_MatchAll_Ct&lt;22,$BC357=(Elig_MatchAll_Ct-1),AF357=0),C357,0)</f>
        <v>0</v>
      </c>
      <c r="BI357" s="199">
        <f>IF(AND(Input_Product=Elig!$C357,Elig_MatchAll_Ct&lt;22,$BC357=(Elig_MatchAll_Ct-1),AG357=0),D357,0)</f>
        <v>0</v>
      </c>
      <c r="BJ357" s="199">
        <f>IF(AND(Input_Product=Elig!$C357,Elig_MatchAll_Ct&lt;22,$BC357=(Elig_MatchAll_Ct-1),AH357=0),E357,0)</f>
        <v>0</v>
      </c>
      <c r="BK357" s="199">
        <f>IF(AND(Input_Product=Elig!$C357,Elig_MatchAll_Ct&lt;22,$BC357=(Elig_MatchAll_Ct-1),AI357=0),F357,0)</f>
        <v>0</v>
      </c>
      <c r="BL357" s="199">
        <f>IF(AND(Input_Product=Elig!$C357,Elig_MatchAll_Ct&lt;22,$BC357=(Elig_MatchAll_Ct-1),AJ357=0),G357,0)</f>
        <v>0</v>
      </c>
      <c r="BM357" s="199">
        <f>IF(AND(Input_Product=Elig!$C357,Elig_MatchAll_Ct&lt;22,$BC357=(Elig_MatchAll_Ct-1),AK357=0),H357,0)</f>
        <v>0</v>
      </c>
      <c r="BN357" s="199">
        <f>IF(AND(Input_Product=Elig!$C357,Elig_MatchAll_Ct&lt;22,$BC357=(Elig_MatchAll_Ct-1),AL357=0),I357,0)</f>
        <v>0</v>
      </c>
      <c r="BO357" s="199">
        <f>IF(AND(Input_Product=Elig!$C357,Elig_MatchAll_Ct&lt;22,$BC357=(Elig_MatchAll_Ct-1),AM357=0),J357,0)</f>
        <v>0</v>
      </c>
      <c r="BP357" s="199">
        <f>IF(AND(Input_Product=Elig!$C357,Elig_MatchAll_Ct&lt;22,$BC357=(Elig_MatchAll_Ct-1),AN357=0),K357,0)</f>
        <v>0</v>
      </c>
      <c r="BQ357" s="199">
        <f>IF(AND(Input_Product=Elig!$C357,Elig_MatchAll_Ct&lt;22,$BC357=(Elig_MatchAll_Ct-1),AP357=0),L357,0)</f>
        <v>0</v>
      </c>
      <c r="BR357" s="199">
        <f>IF(AND(Input_Product=Elig!$C357,Elig_MatchAll_Ct&lt;22,$BC357=(Elig_MatchAll_Ct-1),AO357=0),M357,0)</f>
        <v>0</v>
      </c>
      <c r="BS357" s="199">
        <f>IF(AND(Input_Product=Elig!$C357,Elig_MatchAll_Ct&lt;22,$BC357=(Elig_MatchAll_Ct-1),AQ357=0),N357,0)</f>
        <v>0</v>
      </c>
      <c r="BT357" s="199">
        <f>IF(AND(Input_Product=Elig!$C357,Elig_MatchAll_Ct&lt;22,$BC357=(Elig_MatchAll_Ct-1),AR357=0),O357,0)</f>
        <v>0</v>
      </c>
      <c r="BU357" s="199">
        <f>IF(AND(Input_Product=Elig!$C357,Elig_MatchAll_Ct&lt;22,$BC357=(Elig_MatchAll_Ct-1),AS357=0),P357,0)</f>
        <v>0</v>
      </c>
      <c r="BV357" s="200">
        <f>IF(AND(Input_Product=Elig!$C357,Elig_MatchAll_Ct&lt;22,$BC357=(Elig_MatchAll_Ct-1),AT357=0),Q357,0)</f>
        <v>0</v>
      </c>
      <c r="BW357" s="201">
        <f>IF(AND(Input_Product=Elig!$C357,Elig_MatchAll_Ct&lt;22,$BC357=(Elig_MatchAll_Ct-1),AU357=0),R357,0)</f>
        <v>0</v>
      </c>
      <c r="BX357" s="202">
        <f>IF(AND(Input_Product=Elig!$C357,Elig_MatchAll_Ct&lt;22,$BC357=(Elig_MatchAll_Ct-1),AU357=0),S357,0)</f>
        <v>0</v>
      </c>
      <c r="BY357" s="201">
        <f>IF(AND(Input_Product=Elig!$C357,Elig_MatchAll_Ct&lt;22,$BC357=(Elig_MatchAll_Ct-1),AV357=0),T357,0)</f>
        <v>0</v>
      </c>
      <c r="BZ357" s="202">
        <f>IF(AND(Input_Product=Elig!$C357,Elig_MatchAll_Ct&lt;22,$BC357=(Elig_MatchAll_Ct-1),AV357=0),U357,0)</f>
        <v>0</v>
      </c>
      <c r="CA357" s="201">
        <f>IF(AND(Input_Product=Elig!$C357,Elig_MatchAll_Ct&lt;22,$BC357=(Elig_MatchAll_Ct-1),AW357=0),V357,0)</f>
        <v>0</v>
      </c>
      <c r="CB357" s="202">
        <f>IF(AND(Input_Product=Elig!$C357,Elig_MatchAll_Ct&lt;22,$BC357=(Elig_MatchAll_Ct-1),AW357=0),W357,0)</f>
        <v>0</v>
      </c>
      <c r="CC357" s="201">
        <f>IF(AND(Input_Product=Elig!$C357,Elig_MatchAll_Ct&lt;22,$BC357=(Elig_MatchAll_Ct-1),AX357=0),X357,0)</f>
        <v>0</v>
      </c>
      <c r="CD357" s="202">
        <f>IF(AND(Input_Product=Elig!$C357,Elig_MatchAll_Ct&lt;22,$BC357=(Elig_MatchAll_Ct-1),AX357=0),Y357,0)</f>
        <v>0</v>
      </c>
      <c r="CE357" s="201">
        <f>IF(AND(Input_LTV&lt;=AE357,Input_Product=Elig!$C357,Elig_MatchAll_Ct&lt;22,$BC357=(Elig_MatchAll_Ct-1),AY357=0),Z357,0)</f>
        <v>0</v>
      </c>
      <c r="CF357" s="202">
        <f>IF(AND(Input_LTV&lt;=AE357,Input_Product=Elig!$C357,Elig_MatchAll_Ct&lt;22,$BC357=(Elig_MatchAll_Ct-1),AY357=0),AA357,0)</f>
        <v>0</v>
      </c>
      <c r="CG357" s="201">
        <f>IF(AND(Input_Product=Elig!$C357,Elig_MatchAll_Ct&lt;22,$BC357=(Elig_MatchAll_Ct-1),AZ357=0),AB357,0)</f>
        <v>0</v>
      </c>
      <c r="CH357" s="202">
        <f>IF(AND(Input_Product=Elig!$C357,Elig_MatchAll_Ct&lt;22,$BC357=(Elig_MatchAll_Ct-1),AZ357=0),AC357,0)</f>
        <v>0</v>
      </c>
      <c r="CI357" s="201">
        <f>IF(AND(Input_Product=Elig!$C357,Elig_MatchAll_Ct&lt;22,$BC357=(Elig_MatchAll_Ct-1),BA357=0),AD357,0)</f>
        <v>0</v>
      </c>
      <c r="CJ357" s="202">
        <f>IF(AND(Input_Product=Elig!$C357,Elig_MatchAll_Ct&lt;22,$BC357=(Elig_MatchAll_Ct-1),BA357=0),AE357,0)</f>
        <v>0</v>
      </c>
    </row>
    <row r="358" spans="2:88" ht="10.15" customHeight="1" x14ac:dyDescent="0.25">
      <c r="B358" s="287" t="s">
        <v>1054</v>
      </c>
      <c r="C358" s="286" t="str">
        <f t="shared" si="153"/>
        <v>NonQM NOO</v>
      </c>
      <c r="D358" s="287" t="s">
        <v>3885</v>
      </c>
      <c r="E358" s="287" t="s">
        <v>167</v>
      </c>
      <c r="F358" s="287" t="s">
        <v>330</v>
      </c>
      <c r="G358" s="287" t="s">
        <v>303</v>
      </c>
      <c r="H358" s="287" t="s">
        <v>136</v>
      </c>
      <c r="I358" s="287" t="s">
        <v>16</v>
      </c>
      <c r="J358" s="287" t="s">
        <v>1311</v>
      </c>
      <c r="K358" s="287" t="s">
        <v>1631</v>
      </c>
      <c r="L358" s="300" t="s">
        <v>312</v>
      </c>
      <c r="M358" s="287" t="s">
        <v>4203</v>
      </c>
      <c r="N358" s="287" t="s">
        <v>2685</v>
      </c>
      <c r="O358" s="287" t="s">
        <v>310</v>
      </c>
      <c r="P358" s="287" t="s">
        <v>291</v>
      </c>
      <c r="Q358" s="287" t="s">
        <v>294</v>
      </c>
      <c r="R358" s="287">
        <v>1000000.01</v>
      </c>
      <c r="S358" s="287">
        <v>1500000</v>
      </c>
      <c r="T358" s="287">
        <v>0</v>
      </c>
      <c r="U358" s="287">
        <f t="shared" si="154"/>
        <v>1500000</v>
      </c>
      <c r="V358" s="287">
        <v>0</v>
      </c>
      <c r="W358" s="287">
        <v>50</v>
      </c>
      <c r="X358" s="287">
        <v>0</v>
      </c>
      <c r="Y358" s="287">
        <v>999</v>
      </c>
      <c r="Z358" s="289">
        <v>660</v>
      </c>
      <c r="AA358" s="289">
        <v>679</v>
      </c>
      <c r="AB358" s="289">
        <v>6</v>
      </c>
      <c r="AC358" s="289">
        <v>999999</v>
      </c>
      <c r="AD358" s="287">
        <v>0</v>
      </c>
      <c r="AE358" s="290">
        <v>70</v>
      </c>
      <c r="AF358" s="170">
        <v>0</v>
      </c>
      <c r="AG358" s="171">
        <v>1</v>
      </c>
      <c r="AH358" s="171">
        <v>1</v>
      </c>
      <c r="AI358" s="171">
        <v>0</v>
      </c>
      <c r="AJ358" s="171">
        <v>1</v>
      </c>
      <c r="AK358" s="171">
        <v>1</v>
      </c>
      <c r="AL358" s="171">
        <v>1</v>
      </c>
      <c r="AM358" s="171">
        <v>1</v>
      </c>
      <c r="AN358" s="171">
        <v>1</v>
      </c>
      <c r="AO358" s="171">
        <v>1</v>
      </c>
      <c r="AP358" s="171">
        <v>1</v>
      </c>
      <c r="AQ358" s="171">
        <v>1</v>
      </c>
      <c r="AR358" s="171">
        <v>1</v>
      </c>
      <c r="AS358" s="171">
        <v>1</v>
      </c>
      <c r="AT358" s="171">
        <v>1</v>
      </c>
      <c r="AU358" s="171">
        <f t="shared" si="140"/>
        <v>0</v>
      </c>
      <c r="AV358" s="171">
        <f t="shared" si="141"/>
        <v>1</v>
      </c>
      <c r="AW358" s="171">
        <f t="shared" si="142"/>
        <v>1</v>
      </c>
      <c r="AX358" s="171">
        <f t="shared" si="152"/>
        <v>1</v>
      </c>
      <c r="AY358" s="171">
        <f t="shared" si="143"/>
        <v>0</v>
      </c>
      <c r="AZ358" s="171">
        <f t="shared" si="144"/>
        <v>1</v>
      </c>
      <c r="BA358" s="172">
        <f t="shared" si="145"/>
        <v>1</v>
      </c>
      <c r="BB358" s="175">
        <f t="shared" si="147"/>
        <v>18</v>
      </c>
      <c r="BC358" s="176">
        <f t="shared" si="148"/>
        <v>17</v>
      </c>
      <c r="BD358" s="176">
        <f t="shared" si="149"/>
        <v>18</v>
      </c>
      <c r="BE358" s="240" t="str">
        <f t="shared" si="146"/>
        <v/>
      </c>
      <c r="BH358" s="199">
        <f>IF(AND(Input_Product=Elig!$C358,Elig_MatchAll_Ct&lt;22,$BC358=(Elig_MatchAll_Ct-1),AF358=0),C358,0)</f>
        <v>0</v>
      </c>
      <c r="BI358" s="199">
        <f>IF(AND(Input_Product=Elig!$C358,Elig_MatchAll_Ct&lt;22,$BC358=(Elig_MatchAll_Ct-1),AG358=0),D358,0)</f>
        <v>0</v>
      </c>
      <c r="BJ358" s="199">
        <f>IF(AND(Input_Product=Elig!$C358,Elig_MatchAll_Ct&lt;22,$BC358=(Elig_MatchAll_Ct-1),AH358=0),E358,0)</f>
        <v>0</v>
      </c>
      <c r="BK358" s="199">
        <f>IF(AND(Input_Product=Elig!$C358,Elig_MatchAll_Ct&lt;22,$BC358=(Elig_MatchAll_Ct-1),AI358=0),F358,0)</f>
        <v>0</v>
      </c>
      <c r="BL358" s="199">
        <f>IF(AND(Input_Product=Elig!$C358,Elig_MatchAll_Ct&lt;22,$BC358=(Elig_MatchAll_Ct-1),AJ358=0),G358,0)</f>
        <v>0</v>
      </c>
      <c r="BM358" s="199">
        <f>IF(AND(Input_Product=Elig!$C358,Elig_MatchAll_Ct&lt;22,$BC358=(Elig_MatchAll_Ct-1),AK358=0),H358,0)</f>
        <v>0</v>
      </c>
      <c r="BN358" s="199">
        <f>IF(AND(Input_Product=Elig!$C358,Elig_MatchAll_Ct&lt;22,$BC358=(Elig_MatchAll_Ct-1),AL358=0),I358,0)</f>
        <v>0</v>
      </c>
      <c r="BO358" s="199">
        <f>IF(AND(Input_Product=Elig!$C358,Elig_MatchAll_Ct&lt;22,$BC358=(Elig_MatchAll_Ct-1),AM358=0),J358,0)</f>
        <v>0</v>
      </c>
      <c r="BP358" s="199">
        <f>IF(AND(Input_Product=Elig!$C358,Elig_MatchAll_Ct&lt;22,$BC358=(Elig_MatchAll_Ct-1),AN358=0),K358,0)</f>
        <v>0</v>
      </c>
      <c r="BQ358" s="199">
        <f>IF(AND(Input_Product=Elig!$C358,Elig_MatchAll_Ct&lt;22,$BC358=(Elig_MatchAll_Ct-1),AP358=0),L358,0)</f>
        <v>0</v>
      </c>
      <c r="BR358" s="199">
        <f>IF(AND(Input_Product=Elig!$C358,Elig_MatchAll_Ct&lt;22,$BC358=(Elig_MatchAll_Ct-1),AO358=0),M358,0)</f>
        <v>0</v>
      </c>
      <c r="BS358" s="199">
        <f>IF(AND(Input_Product=Elig!$C358,Elig_MatchAll_Ct&lt;22,$BC358=(Elig_MatchAll_Ct-1),AQ358=0),N358,0)</f>
        <v>0</v>
      </c>
      <c r="BT358" s="199">
        <f>IF(AND(Input_Product=Elig!$C358,Elig_MatchAll_Ct&lt;22,$BC358=(Elig_MatchAll_Ct-1),AR358=0),O358,0)</f>
        <v>0</v>
      </c>
      <c r="BU358" s="199">
        <f>IF(AND(Input_Product=Elig!$C358,Elig_MatchAll_Ct&lt;22,$BC358=(Elig_MatchAll_Ct-1),AS358=0),P358,0)</f>
        <v>0</v>
      </c>
      <c r="BV358" s="200">
        <f>IF(AND(Input_Product=Elig!$C358,Elig_MatchAll_Ct&lt;22,$BC358=(Elig_MatchAll_Ct-1),AT358=0),Q358,0)</f>
        <v>0</v>
      </c>
      <c r="BW358" s="201">
        <f>IF(AND(Input_Product=Elig!$C358,Elig_MatchAll_Ct&lt;22,$BC358=(Elig_MatchAll_Ct-1),AU358=0),R358,0)</f>
        <v>0</v>
      </c>
      <c r="BX358" s="202">
        <f>IF(AND(Input_Product=Elig!$C358,Elig_MatchAll_Ct&lt;22,$BC358=(Elig_MatchAll_Ct-1),AU358=0),S358,0)</f>
        <v>0</v>
      </c>
      <c r="BY358" s="201">
        <f>IF(AND(Input_Product=Elig!$C358,Elig_MatchAll_Ct&lt;22,$BC358=(Elig_MatchAll_Ct-1),AV358=0),T358,0)</f>
        <v>0</v>
      </c>
      <c r="BZ358" s="202">
        <f>IF(AND(Input_Product=Elig!$C358,Elig_MatchAll_Ct&lt;22,$BC358=(Elig_MatchAll_Ct-1),AV358=0),U358,0)</f>
        <v>0</v>
      </c>
      <c r="CA358" s="201">
        <f>IF(AND(Input_Product=Elig!$C358,Elig_MatchAll_Ct&lt;22,$BC358=(Elig_MatchAll_Ct-1),AW358=0),V358,0)</f>
        <v>0</v>
      </c>
      <c r="CB358" s="202">
        <f>IF(AND(Input_Product=Elig!$C358,Elig_MatchAll_Ct&lt;22,$BC358=(Elig_MatchAll_Ct-1),AW358=0),W358,0)</f>
        <v>0</v>
      </c>
      <c r="CC358" s="201">
        <f>IF(AND(Input_Product=Elig!$C358,Elig_MatchAll_Ct&lt;22,$BC358=(Elig_MatchAll_Ct-1),AX358=0),X358,0)</f>
        <v>0</v>
      </c>
      <c r="CD358" s="202">
        <f>IF(AND(Input_Product=Elig!$C358,Elig_MatchAll_Ct&lt;22,$BC358=(Elig_MatchAll_Ct-1),AX358=0),Y358,0)</f>
        <v>0</v>
      </c>
      <c r="CE358" s="201">
        <f>IF(AND(Input_LTV&lt;=AE358,Input_Product=Elig!$C358,Elig_MatchAll_Ct&lt;22,$BC358=(Elig_MatchAll_Ct-1),AY358=0),Z358,0)</f>
        <v>0</v>
      </c>
      <c r="CF358" s="202">
        <f>IF(AND(Input_LTV&lt;=AE358,Input_Product=Elig!$C358,Elig_MatchAll_Ct&lt;22,$BC358=(Elig_MatchAll_Ct-1),AY358=0),AA358,0)</f>
        <v>0</v>
      </c>
      <c r="CG358" s="201">
        <f>IF(AND(Input_Product=Elig!$C358,Elig_MatchAll_Ct&lt;22,$BC358=(Elig_MatchAll_Ct-1),AZ358=0),AB358,0)</f>
        <v>0</v>
      </c>
      <c r="CH358" s="202">
        <f>IF(AND(Input_Product=Elig!$C358,Elig_MatchAll_Ct&lt;22,$BC358=(Elig_MatchAll_Ct-1),AZ358=0),AC358,0)</f>
        <v>0</v>
      </c>
      <c r="CI358" s="201">
        <f>IF(AND(Input_Product=Elig!$C358,Elig_MatchAll_Ct&lt;22,$BC358=(Elig_MatchAll_Ct-1),BA358=0),AD358,0)</f>
        <v>0</v>
      </c>
      <c r="CJ358" s="202">
        <f>IF(AND(Input_Product=Elig!$C358,Elig_MatchAll_Ct&lt;22,$BC358=(Elig_MatchAll_Ct-1),BA358=0),AE358,0)</f>
        <v>0</v>
      </c>
    </row>
    <row r="359" spans="2:88" ht="10.15" customHeight="1" x14ac:dyDescent="0.25">
      <c r="B359" s="287" t="s">
        <v>1055</v>
      </c>
      <c r="C359" s="286" t="str">
        <f t="shared" si="153"/>
        <v>NonQM NOO</v>
      </c>
      <c r="D359" s="287" t="s">
        <v>3885</v>
      </c>
      <c r="E359" s="287" t="s">
        <v>167</v>
      </c>
      <c r="F359" s="287" t="s">
        <v>330</v>
      </c>
      <c r="G359" s="287" t="s">
        <v>303</v>
      </c>
      <c r="H359" s="287" t="s">
        <v>136</v>
      </c>
      <c r="I359" s="287" t="s">
        <v>16</v>
      </c>
      <c r="J359" s="287" t="s">
        <v>1311</v>
      </c>
      <c r="K359" s="287" t="s">
        <v>1631</v>
      </c>
      <c r="L359" s="300" t="s">
        <v>312</v>
      </c>
      <c r="M359" s="287" t="s">
        <v>4203</v>
      </c>
      <c r="N359" s="287" t="s">
        <v>2685</v>
      </c>
      <c r="O359" s="287" t="s">
        <v>310</v>
      </c>
      <c r="P359" s="287" t="s">
        <v>291</v>
      </c>
      <c r="Q359" s="287" t="s">
        <v>294</v>
      </c>
      <c r="R359" s="287">
        <v>1000000.01</v>
      </c>
      <c r="S359" s="287">
        <v>1500000</v>
      </c>
      <c r="T359" s="287">
        <v>0</v>
      </c>
      <c r="U359" s="287">
        <f t="shared" si="154"/>
        <v>1500000</v>
      </c>
      <c r="V359" s="287">
        <v>0</v>
      </c>
      <c r="W359" s="287">
        <v>50</v>
      </c>
      <c r="X359" s="287">
        <v>0</v>
      </c>
      <c r="Y359" s="287">
        <v>999</v>
      </c>
      <c r="Z359" s="289">
        <v>640</v>
      </c>
      <c r="AA359" s="289">
        <v>659</v>
      </c>
      <c r="AB359" s="289">
        <v>6</v>
      </c>
      <c r="AC359" s="289">
        <v>999999</v>
      </c>
      <c r="AD359" s="287">
        <v>0</v>
      </c>
      <c r="AE359" s="290">
        <v>-999</v>
      </c>
      <c r="AF359" s="170">
        <v>0</v>
      </c>
      <c r="AG359" s="171">
        <v>1</v>
      </c>
      <c r="AH359" s="171">
        <v>1</v>
      </c>
      <c r="AI359" s="171">
        <v>0</v>
      </c>
      <c r="AJ359" s="171">
        <v>1</v>
      </c>
      <c r="AK359" s="171">
        <v>1</v>
      </c>
      <c r="AL359" s="171">
        <v>1</v>
      </c>
      <c r="AM359" s="171">
        <v>1</v>
      </c>
      <c r="AN359" s="171">
        <v>1</v>
      </c>
      <c r="AO359" s="171">
        <v>1</v>
      </c>
      <c r="AP359" s="171">
        <v>1</v>
      </c>
      <c r="AQ359" s="171">
        <v>1</v>
      </c>
      <c r="AR359" s="171">
        <v>1</v>
      </c>
      <c r="AS359" s="171">
        <v>1</v>
      </c>
      <c r="AT359" s="171">
        <v>1</v>
      </c>
      <c r="AU359" s="171">
        <f t="shared" si="140"/>
        <v>0</v>
      </c>
      <c r="AV359" s="171">
        <f t="shared" si="141"/>
        <v>1</v>
      </c>
      <c r="AW359" s="171">
        <f t="shared" si="142"/>
        <v>1</v>
      </c>
      <c r="AX359" s="171">
        <f t="shared" si="152"/>
        <v>1</v>
      </c>
      <c r="AY359" s="171">
        <f t="shared" si="143"/>
        <v>0</v>
      </c>
      <c r="AZ359" s="171">
        <f t="shared" si="144"/>
        <v>1</v>
      </c>
      <c r="BA359" s="172">
        <f t="shared" si="145"/>
        <v>0</v>
      </c>
      <c r="BB359" s="175">
        <f t="shared" si="147"/>
        <v>17</v>
      </c>
      <c r="BC359" s="176">
        <f t="shared" si="148"/>
        <v>17</v>
      </c>
      <c r="BD359" s="176">
        <f t="shared" si="149"/>
        <v>17</v>
      </c>
      <c r="BE359" s="240" t="str">
        <f t="shared" si="146"/>
        <v/>
      </c>
      <c r="BH359" s="199">
        <f>IF(AND(Input_Product=Elig!$C359,Elig_MatchAll_Ct&lt;22,$BC359=(Elig_MatchAll_Ct-1),AF359=0),C359,0)</f>
        <v>0</v>
      </c>
      <c r="BI359" s="199">
        <f>IF(AND(Input_Product=Elig!$C359,Elig_MatchAll_Ct&lt;22,$BC359=(Elig_MatchAll_Ct-1),AG359=0),D359,0)</f>
        <v>0</v>
      </c>
      <c r="BJ359" s="199">
        <f>IF(AND(Input_Product=Elig!$C359,Elig_MatchAll_Ct&lt;22,$BC359=(Elig_MatchAll_Ct-1),AH359=0),E359,0)</f>
        <v>0</v>
      </c>
      <c r="BK359" s="199">
        <f>IF(AND(Input_Product=Elig!$C359,Elig_MatchAll_Ct&lt;22,$BC359=(Elig_MatchAll_Ct-1),AI359=0),F359,0)</f>
        <v>0</v>
      </c>
      <c r="BL359" s="199">
        <f>IF(AND(Input_Product=Elig!$C359,Elig_MatchAll_Ct&lt;22,$BC359=(Elig_MatchAll_Ct-1),AJ359=0),G359,0)</f>
        <v>0</v>
      </c>
      <c r="BM359" s="199">
        <f>IF(AND(Input_Product=Elig!$C359,Elig_MatchAll_Ct&lt;22,$BC359=(Elig_MatchAll_Ct-1),AK359=0),H359,0)</f>
        <v>0</v>
      </c>
      <c r="BN359" s="199">
        <f>IF(AND(Input_Product=Elig!$C359,Elig_MatchAll_Ct&lt;22,$BC359=(Elig_MatchAll_Ct-1),AL359=0),I359,0)</f>
        <v>0</v>
      </c>
      <c r="BO359" s="199">
        <f>IF(AND(Input_Product=Elig!$C359,Elig_MatchAll_Ct&lt;22,$BC359=(Elig_MatchAll_Ct-1),AM359=0),J359,0)</f>
        <v>0</v>
      </c>
      <c r="BP359" s="199">
        <f>IF(AND(Input_Product=Elig!$C359,Elig_MatchAll_Ct&lt;22,$BC359=(Elig_MatchAll_Ct-1),AN359=0),K359,0)</f>
        <v>0</v>
      </c>
      <c r="BQ359" s="199">
        <f>IF(AND(Input_Product=Elig!$C359,Elig_MatchAll_Ct&lt;22,$BC359=(Elig_MatchAll_Ct-1),AP359=0),L359,0)</f>
        <v>0</v>
      </c>
      <c r="BR359" s="199">
        <f>IF(AND(Input_Product=Elig!$C359,Elig_MatchAll_Ct&lt;22,$BC359=(Elig_MatchAll_Ct-1),AO359=0),M359,0)</f>
        <v>0</v>
      </c>
      <c r="BS359" s="199">
        <f>IF(AND(Input_Product=Elig!$C359,Elig_MatchAll_Ct&lt;22,$BC359=(Elig_MatchAll_Ct-1),AQ359=0),N359,0)</f>
        <v>0</v>
      </c>
      <c r="BT359" s="199">
        <f>IF(AND(Input_Product=Elig!$C359,Elig_MatchAll_Ct&lt;22,$BC359=(Elig_MatchAll_Ct-1),AR359=0),O359,0)</f>
        <v>0</v>
      </c>
      <c r="BU359" s="199">
        <f>IF(AND(Input_Product=Elig!$C359,Elig_MatchAll_Ct&lt;22,$BC359=(Elig_MatchAll_Ct-1),AS359=0),P359,0)</f>
        <v>0</v>
      </c>
      <c r="BV359" s="200">
        <f>IF(AND(Input_Product=Elig!$C359,Elig_MatchAll_Ct&lt;22,$BC359=(Elig_MatchAll_Ct-1),AT359=0),Q359,0)</f>
        <v>0</v>
      </c>
      <c r="BW359" s="201">
        <f>IF(AND(Input_Product=Elig!$C359,Elig_MatchAll_Ct&lt;22,$BC359=(Elig_MatchAll_Ct-1),AU359=0),R359,0)</f>
        <v>0</v>
      </c>
      <c r="BX359" s="202">
        <f>IF(AND(Input_Product=Elig!$C359,Elig_MatchAll_Ct&lt;22,$BC359=(Elig_MatchAll_Ct-1),AU359=0),S359,0)</f>
        <v>0</v>
      </c>
      <c r="BY359" s="201">
        <f>IF(AND(Input_Product=Elig!$C359,Elig_MatchAll_Ct&lt;22,$BC359=(Elig_MatchAll_Ct-1),AV359=0),T359,0)</f>
        <v>0</v>
      </c>
      <c r="BZ359" s="202">
        <f>IF(AND(Input_Product=Elig!$C359,Elig_MatchAll_Ct&lt;22,$BC359=(Elig_MatchAll_Ct-1),AV359=0),U359,0)</f>
        <v>0</v>
      </c>
      <c r="CA359" s="201">
        <f>IF(AND(Input_Product=Elig!$C359,Elig_MatchAll_Ct&lt;22,$BC359=(Elig_MatchAll_Ct-1),AW359=0),V359,0)</f>
        <v>0</v>
      </c>
      <c r="CB359" s="202">
        <f>IF(AND(Input_Product=Elig!$C359,Elig_MatchAll_Ct&lt;22,$BC359=(Elig_MatchAll_Ct-1),AW359=0),W359,0)</f>
        <v>0</v>
      </c>
      <c r="CC359" s="201">
        <f>IF(AND(Input_Product=Elig!$C359,Elig_MatchAll_Ct&lt;22,$BC359=(Elig_MatchAll_Ct-1),AX359=0),X359,0)</f>
        <v>0</v>
      </c>
      <c r="CD359" s="202">
        <f>IF(AND(Input_Product=Elig!$C359,Elig_MatchAll_Ct&lt;22,$BC359=(Elig_MatchAll_Ct-1),AX359=0),Y359,0)</f>
        <v>0</v>
      </c>
      <c r="CE359" s="201">
        <f>IF(AND(Input_LTV&lt;=AE359,Input_Product=Elig!$C359,Elig_MatchAll_Ct&lt;22,$BC359=(Elig_MatchAll_Ct-1),AY359=0),Z359,0)</f>
        <v>0</v>
      </c>
      <c r="CF359" s="202">
        <f>IF(AND(Input_LTV&lt;=AE359,Input_Product=Elig!$C359,Elig_MatchAll_Ct&lt;22,$BC359=(Elig_MatchAll_Ct-1),AY359=0),AA359,0)</f>
        <v>0</v>
      </c>
      <c r="CG359" s="201">
        <f>IF(AND(Input_Product=Elig!$C359,Elig_MatchAll_Ct&lt;22,$BC359=(Elig_MatchAll_Ct-1),AZ359=0),AB359,0)</f>
        <v>0</v>
      </c>
      <c r="CH359" s="202">
        <f>IF(AND(Input_Product=Elig!$C359,Elig_MatchAll_Ct&lt;22,$BC359=(Elig_MatchAll_Ct-1),AZ359=0),AC359,0)</f>
        <v>0</v>
      </c>
      <c r="CI359" s="201">
        <f>IF(AND(Input_Product=Elig!$C359,Elig_MatchAll_Ct&lt;22,$BC359=(Elig_MatchAll_Ct-1),BA359=0),AD359,0)</f>
        <v>0</v>
      </c>
      <c r="CJ359" s="202">
        <f>IF(AND(Input_Product=Elig!$C359,Elig_MatchAll_Ct&lt;22,$BC359=(Elig_MatchAll_Ct-1),BA359=0),AE359,0)</f>
        <v>0</v>
      </c>
    </row>
    <row r="360" spans="2:88" ht="10.15" customHeight="1" x14ac:dyDescent="0.25">
      <c r="B360" s="287" t="s">
        <v>1056</v>
      </c>
      <c r="C360" s="291" t="str">
        <f t="shared" si="153"/>
        <v>NonQM NOO</v>
      </c>
      <c r="D360" s="292" t="s">
        <v>3885</v>
      </c>
      <c r="E360" s="292" t="s">
        <v>167</v>
      </c>
      <c r="F360" s="292" t="s">
        <v>330</v>
      </c>
      <c r="G360" s="292" t="s">
        <v>303</v>
      </c>
      <c r="H360" s="292" t="s">
        <v>136</v>
      </c>
      <c r="I360" s="292" t="s">
        <v>16</v>
      </c>
      <c r="J360" s="292" t="s">
        <v>1311</v>
      </c>
      <c r="K360" s="292" t="s">
        <v>1631</v>
      </c>
      <c r="L360" s="324" t="s">
        <v>312</v>
      </c>
      <c r="M360" s="292" t="s">
        <v>4203</v>
      </c>
      <c r="N360" s="292" t="s">
        <v>2685</v>
      </c>
      <c r="O360" s="292" t="s">
        <v>310</v>
      </c>
      <c r="P360" s="292" t="s">
        <v>291</v>
      </c>
      <c r="Q360" s="292" t="s">
        <v>294</v>
      </c>
      <c r="R360" s="292">
        <v>1000000.01</v>
      </c>
      <c r="S360" s="292">
        <v>1500000</v>
      </c>
      <c r="T360" s="292">
        <v>0</v>
      </c>
      <c r="U360" s="292">
        <f t="shared" si="154"/>
        <v>1500000</v>
      </c>
      <c r="V360" s="292">
        <v>0</v>
      </c>
      <c r="W360" s="292">
        <v>50</v>
      </c>
      <c r="X360" s="292">
        <v>0</v>
      </c>
      <c r="Y360" s="292">
        <v>999</v>
      </c>
      <c r="Z360" s="293">
        <v>620</v>
      </c>
      <c r="AA360" s="293">
        <v>639</v>
      </c>
      <c r="AB360" s="293">
        <v>6</v>
      </c>
      <c r="AC360" s="293">
        <v>999999</v>
      </c>
      <c r="AD360" s="292">
        <v>0</v>
      </c>
      <c r="AE360" s="294">
        <v>-999</v>
      </c>
      <c r="AF360" s="170">
        <v>0</v>
      </c>
      <c r="AG360" s="171">
        <v>1</v>
      </c>
      <c r="AH360" s="171">
        <v>1</v>
      </c>
      <c r="AI360" s="171">
        <v>0</v>
      </c>
      <c r="AJ360" s="171">
        <v>1</v>
      </c>
      <c r="AK360" s="171">
        <v>1</v>
      </c>
      <c r="AL360" s="171">
        <v>1</v>
      </c>
      <c r="AM360" s="171">
        <v>1</v>
      </c>
      <c r="AN360" s="171">
        <v>1</v>
      </c>
      <c r="AO360" s="171">
        <v>1</v>
      </c>
      <c r="AP360" s="171">
        <v>1</v>
      </c>
      <c r="AQ360" s="171">
        <v>1</v>
      </c>
      <c r="AR360" s="171">
        <v>1</v>
      </c>
      <c r="AS360" s="171">
        <v>1</v>
      </c>
      <c r="AT360" s="171">
        <v>1</v>
      </c>
      <c r="AU360" s="171">
        <f t="shared" si="140"/>
        <v>0</v>
      </c>
      <c r="AV360" s="171">
        <f t="shared" si="141"/>
        <v>1</v>
      </c>
      <c r="AW360" s="171">
        <f t="shared" si="142"/>
        <v>1</v>
      </c>
      <c r="AX360" s="171">
        <f t="shared" si="152"/>
        <v>1</v>
      </c>
      <c r="AY360" s="171">
        <f t="shared" si="143"/>
        <v>0</v>
      </c>
      <c r="AZ360" s="171">
        <f t="shared" si="144"/>
        <v>1</v>
      </c>
      <c r="BA360" s="172">
        <f t="shared" si="145"/>
        <v>0</v>
      </c>
      <c r="BB360" s="175">
        <f t="shared" si="147"/>
        <v>17</v>
      </c>
      <c r="BC360" s="176">
        <f t="shared" si="148"/>
        <v>17</v>
      </c>
      <c r="BD360" s="176">
        <f t="shared" si="149"/>
        <v>17</v>
      </c>
      <c r="BE360" s="240" t="str">
        <f t="shared" si="146"/>
        <v/>
      </c>
      <c r="BH360" s="214">
        <f>IF(AND(Input_Product=Elig!$C360,Elig_MatchAll_Ct&lt;22,$BC360=(Elig_MatchAll_Ct-1),AF360=0),C360,0)</f>
        <v>0</v>
      </c>
      <c r="BI360" s="214">
        <f>IF(AND(Input_Product=Elig!$C360,Elig_MatchAll_Ct&lt;22,$BC360=(Elig_MatchAll_Ct-1),AG360=0),D360,0)</f>
        <v>0</v>
      </c>
      <c r="BJ360" s="214">
        <f>IF(AND(Input_Product=Elig!$C360,Elig_MatchAll_Ct&lt;22,$BC360=(Elig_MatchAll_Ct-1),AH360=0),E360,0)</f>
        <v>0</v>
      </c>
      <c r="BK360" s="214">
        <f>IF(AND(Input_Product=Elig!$C360,Elig_MatchAll_Ct&lt;22,$BC360=(Elig_MatchAll_Ct-1),AI360=0),F360,0)</f>
        <v>0</v>
      </c>
      <c r="BL360" s="214">
        <f>IF(AND(Input_Product=Elig!$C360,Elig_MatchAll_Ct&lt;22,$BC360=(Elig_MatchAll_Ct-1),AJ360=0),G360,0)</f>
        <v>0</v>
      </c>
      <c r="BM360" s="214">
        <f>IF(AND(Input_Product=Elig!$C360,Elig_MatchAll_Ct&lt;22,$BC360=(Elig_MatchAll_Ct-1),AK360=0),H360,0)</f>
        <v>0</v>
      </c>
      <c r="BN360" s="214">
        <f>IF(AND(Input_Product=Elig!$C360,Elig_MatchAll_Ct&lt;22,$BC360=(Elig_MatchAll_Ct-1),AL360=0),I360,0)</f>
        <v>0</v>
      </c>
      <c r="BO360" s="214">
        <f>IF(AND(Input_Product=Elig!$C360,Elig_MatchAll_Ct&lt;22,$BC360=(Elig_MatchAll_Ct-1),AM360=0),J360,0)</f>
        <v>0</v>
      </c>
      <c r="BP360" s="214">
        <f>IF(AND(Input_Product=Elig!$C360,Elig_MatchAll_Ct&lt;22,$BC360=(Elig_MatchAll_Ct-1),AN360=0),K360,0)</f>
        <v>0</v>
      </c>
      <c r="BQ360" s="214">
        <f>IF(AND(Input_Product=Elig!$C360,Elig_MatchAll_Ct&lt;22,$BC360=(Elig_MatchAll_Ct-1),AP360=0),L360,0)</f>
        <v>0</v>
      </c>
      <c r="BR360" s="214">
        <f>IF(AND(Input_Product=Elig!$C360,Elig_MatchAll_Ct&lt;22,$BC360=(Elig_MatchAll_Ct-1),AO360=0),M360,0)</f>
        <v>0</v>
      </c>
      <c r="BS360" s="214">
        <f>IF(AND(Input_Product=Elig!$C360,Elig_MatchAll_Ct&lt;22,$BC360=(Elig_MatchAll_Ct-1),AQ360=0),N360,0)</f>
        <v>0</v>
      </c>
      <c r="BT360" s="214">
        <f>IF(AND(Input_Product=Elig!$C360,Elig_MatchAll_Ct&lt;22,$BC360=(Elig_MatchAll_Ct-1),AR360=0),O360,0)</f>
        <v>0</v>
      </c>
      <c r="BU360" s="214">
        <f>IF(AND(Input_Product=Elig!$C360,Elig_MatchAll_Ct&lt;22,$BC360=(Elig_MatchAll_Ct-1),AS360=0),P360,0)</f>
        <v>0</v>
      </c>
      <c r="BV360" s="215">
        <f>IF(AND(Input_Product=Elig!$C360,Elig_MatchAll_Ct&lt;22,$BC360=(Elig_MatchAll_Ct-1),AT360=0),Q360,0)</f>
        <v>0</v>
      </c>
      <c r="BW360" s="207">
        <f>IF(AND(Input_Product=Elig!$C360,Elig_MatchAll_Ct&lt;22,$BC360=(Elig_MatchAll_Ct-1),AU360=0),R360,0)</f>
        <v>0</v>
      </c>
      <c r="BX360" s="208">
        <f>IF(AND(Input_Product=Elig!$C360,Elig_MatchAll_Ct&lt;22,$BC360=(Elig_MatchAll_Ct-1),AU360=0),S360,0)</f>
        <v>0</v>
      </c>
      <c r="BY360" s="207">
        <f>IF(AND(Input_Product=Elig!$C360,Elig_MatchAll_Ct&lt;22,$BC360=(Elig_MatchAll_Ct-1),AV360=0),T360,0)</f>
        <v>0</v>
      </c>
      <c r="BZ360" s="208">
        <f>IF(AND(Input_Product=Elig!$C360,Elig_MatchAll_Ct&lt;22,$BC360=(Elig_MatchAll_Ct-1),AV360=0),U360,0)</f>
        <v>0</v>
      </c>
      <c r="CA360" s="207">
        <f>IF(AND(Input_Product=Elig!$C360,Elig_MatchAll_Ct&lt;22,$BC360=(Elig_MatchAll_Ct-1),AW360=0),V360,0)</f>
        <v>0</v>
      </c>
      <c r="CB360" s="208">
        <f>IF(AND(Input_Product=Elig!$C360,Elig_MatchAll_Ct&lt;22,$BC360=(Elig_MatchAll_Ct-1),AW360=0),W360,0)</f>
        <v>0</v>
      </c>
      <c r="CC360" s="207">
        <f>IF(AND(Input_Product=Elig!$C360,Elig_MatchAll_Ct&lt;22,$BC360=(Elig_MatchAll_Ct-1),AX360=0),X360,0)</f>
        <v>0</v>
      </c>
      <c r="CD360" s="208">
        <f>IF(AND(Input_Product=Elig!$C360,Elig_MatchAll_Ct&lt;22,$BC360=(Elig_MatchAll_Ct-1),AX360=0),Y360,0)</f>
        <v>0</v>
      </c>
      <c r="CE360" s="207">
        <f>IF(AND(Input_LTV&lt;=AE360,Input_Product=Elig!$C360,Elig_MatchAll_Ct&lt;22,$BC360=(Elig_MatchAll_Ct-1),AY360=0),Z360,0)</f>
        <v>0</v>
      </c>
      <c r="CF360" s="208">
        <f>IF(AND(Input_LTV&lt;=AE360,Input_Product=Elig!$C360,Elig_MatchAll_Ct&lt;22,$BC360=(Elig_MatchAll_Ct-1),AY360=0),AA360,0)</f>
        <v>0</v>
      </c>
      <c r="CG360" s="207">
        <f>IF(AND(Input_Product=Elig!$C360,Elig_MatchAll_Ct&lt;22,$BC360=(Elig_MatchAll_Ct-1),AZ360=0),AB360,0)</f>
        <v>0</v>
      </c>
      <c r="CH360" s="208">
        <f>IF(AND(Input_Product=Elig!$C360,Elig_MatchAll_Ct&lt;22,$BC360=(Elig_MatchAll_Ct-1),AZ360=0),AC360,0)</f>
        <v>0</v>
      </c>
      <c r="CI360" s="207">
        <f>IF(AND(Input_Product=Elig!$C360,Elig_MatchAll_Ct&lt;22,$BC360=(Elig_MatchAll_Ct-1),BA360=0),AD360,0)</f>
        <v>0</v>
      </c>
      <c r="CJ360" s="209">
        <f>IF(AND(Input_Product=Elig!$C360,Elig_MatchAll_Ct&lt;22,$BC360=(Elig_MatchAll_Ct-1),BA360=0),AE360,0)</f>
        <v>0</v>
      </c>
    </row>
    <row r="361" spans="2:88" ht="10.15" customHeight="1" x14ac:dyDescent="0.25">
      <c r="B361" s="287" t="s">
        <v>1057</v>
      </c>
      <c r="C361" s="281" t="str">
        <f t="shared" si="153"/>
        <v>NonQM NOO</v>
      </c>
      <c r="D361" s="282" t="s">
        <v>3885</v>
      </c>
      <c r="E361" s="283" t="s">
        <v>167</v>
      </c>
      <c r="F361" s="283" t="s">
        <v>330</v>
      </c>
      <c r="G361" s="2103" t="s">
        <v>304</v>
      </c>
      <c r="H361" s="283" t="s">
        <v>446</v>
      </c>
      <c r="I361" s="282" t="s">
        <v>274</v>
      </c>
      <c r="J361" s="282" t="s">
        <v>1311</v>
      </c>
      <c r="K361" s="282" t="s">
        <v>1631</v>
      </c>
      <c r="L361" s="2103" t="s">
        <v>312</v>
      </c>
      <c r="M361" s="283" t="s">
        <v>4203</v>
      </c>
      <c r="N361" s="283" t="s">
        <v>2685</v>
      </c>
      <c r="O361" s="283" t="s">
        <v>310</v>
      </c>
      <c r="P361" s="283" t="s">
        <v>291</v>
      </c>
      <c r="Q361" s="283" t="s">
        <v>294</v>
      </c>
      <c r="R361" s="282">
        <v>1000000.01</v>
      </c>
      <c r="S361" s="282">
        <v>1500000</v>
      </c>
      <c r="T361" s="282">
        <v>0</v>
      </c>
      <c r="U361" s="282">
        <v>0</v>
      </c>
      <c r="V361" s="282">
        <v>0</v>
      </c>
      <c r="W361" s="282">
        <v>55</v>
      </c>
      <c r="X361" s="282">
        <v>0</v>
      </c>
      <c r="Y361" s="282">
        <v>999</v>
      </c>
      <c r="Z361" s="284">
        <v>720</v>
      </c>
      <c r="AA361" s="284">
        <v>999</v>
      </c>
      <c r="AB361" s="284">
        <v>6</v>
      </c>
      <c r="AC361" s="284">
        <v>999999</v>
      </c>
      <c r="AD361" s="282">
        <v>0</v>
      </c>
      <c r="AE361" s="2104">
        <v>85</v>
      </c>
      <c r="AF361" s="170">
        <v>0</v>
      </c>
      <c r="AG361" s="171">
        <v>1</v>
      </c>
      <c r="AH361" s="171">
        <v>1</v>
      </c>
      <c r="AI361" s="171">
        <v>0</v>
      </c>
      <c r="AJ361" s="171">
        <v>0</v>
      </c>
      <c r="AK361" s="171">
        <v>0</v>
      </c>
      <c r="AL361" s="171">
        <v>0</v>
      </c>
      <c r="AM361" s="171">
        <v>1</v>
      </c>
      <c r="AN361" s="171">
        <v>1</v>
      </c>
      <c r="AO361" s="171">
        <v>1</v>
      </c>
      <c r="AP361" s="171">
        <v>1</v>
      </c>
      <c r="AQ361" s="171">
        <v>1</v>
      </c>
      <c r="AR361" s="171">
        <v>1</v>
      </c>
      <c r="AS361" s="171">
        <v>1</v>
      </c>
      <c r="AT361" s="171">
        <v>1</v>
      </c>
      <c r="AU361" s="171">
        <f t="shared" si="140"/>
        <v>0</v>
      </c>
      <c r="AV361" s="171">
        <f t="shared" si="141"/>
        <v>0</v>
      </c>
      <c r="AW361" s="171">
        <f t="shared" si="142"/>
        <v>1</v>
      </c>
      <c r="AX361" s="171">
        <f t="shared" si="152"/>
        <v>1</v>
      </c>
      <c r="AY361" s="171">
        <f t="shared" si="143"/>
        <v>1</v>
      </c>
      <c r="AZ361" s="171">
        <f t="shared" si="144"/>
        <v>1</v>
      </c>
      <c r="BA361" s="172">
        <f t="shared" si="145"/>
        <v>1</v>
      </c>
      <c r="BB361" s="175">
        <f t="shared" si="147"/>
        <v>15</v>
      </c>
      <c r="BC361" s="176">
        <f t="shared" si="148"/>
        <v>14</v>
      </c>
      <c r="BD361" s="176">
        <f t="shared" si="149"/>
        <v>15</v>
      </c>
      <c r="BE361" s="240" t="str">
        <f t="shared" si="146"/>
        <v/>
      </c>
      <c r="BH361" s="216">
        <f>IF(AND(Input_Product=Elig!$C361,Elig_MatchAll_Ct&lt;22,$BC361=(Elig_MatchAll_Ct-1),AF361=0),C361,0)</f>
        <v>0</v>
      </c>
      <c r="BI361" s="216">
        <f>IF(AND(Input_Product=Elig!$C361,Elig_MatchAll_Ct&lt;22,$BC361=(Elig_MatchAll_Ct-1),AG361=0),D361,0)</f>
        <v>0</v>
      </c>
      <c r="BJ361" s="216">
        <f>IF(AND(Input_Product=Elig!$C361,Elig_MatchAll_Ct&lt;22,$BC361=(Elig_MatchAll_Ct-1),AH361=0),E361,0)</f>
        <v>0</v>
      </c>
      <c r="BK361" s="216">
        <f>IF(AND(Input_Product=Elig!$C361,Elig_MatchAll_Ct&lt;22,$BC361=(Elig_MatchAll_Ct-1),AI361=0),F361,0)</f>
        <v>0</v>
      </c>
      <c r="BL361" s="216">
        <f>IF(AND(Input_Product=Elig!$C361,Elig_MatchAll_Ct&lt;22,$BC361=(Elig_MatchAll_Ct-1),AJ361=0),G361,0)</f>
        <v>0</v>
      </c>
      <c r="BM361" s="216">
        <f>IF(AND(Input_Product=Elig!$C361,Elig_MatchAll_Ct&lt;22,$BC361=(Elig_MatchAll_Ct-1),AK361=0),H361,0)</f>
        <v>0</v>
      </c>
      <c r="BN361" s="216">
        <f>IF(AND(Input_Product=Elig!$C361,Elig_MatchAll_Ct&lt;22,$BC361=(Elig_MatchAll_Ct-1),AL361=0),I361,0)</f>
        <v>0</v>
      </c>
      <c r="BO361" s="216">
        <f>IF(AND(Input_Product=Elig!$C361,Elig_MatchAll_Ct&lt;22,$BC361=(Elig_MatchAll_Ct-1),AM361=0),J361,0)</f>
        <v>0</v>
      </c>
      <c r="BP361" s="216">
        <f>IF(AND(Input_Product=Elig!$C361,Elig_MatchAll_Ct&lt;22,$BC361=(Elig_MatchAll_Ct-1),AN361=0),K361,0)</f>
        <v>0</v>
      </c>
      <c r="BQ361" s="216">
        <f>IF(AND(Input_Product=Elig!$C361,Elig_MatchAll_Ct&lt;22,$BC361=(Elig_MatchAll_Ct-1),AP361=0),L361,0)</f>
        <v>0</v>
      </c>
      <c r="BR361" s="216">
        <f>IF(AND(Input_Product=Elig!$C361,Elig_MatchAll_Ct&lt;22,$BC361=(Elig_MatchAll_Ct-1),AO361=0),M361,0)</f>
        <v>0</v>
      </c>
      <c r="BS361" s="216">
        <f>IF(AND(Input_Product=Elig!$C361,Elig_MatchAll_Ct&lt;22,$BC361=(Elig_MatchAll_Ct-1),AQ361=0),N361,0)</f>
        <v>0</v>
      </c>
      <c r="BT361" s="216">
        <f>IF(AND(Input_Product=Elig!$C361,Elig_MatchAll_Ct&lt;22,$BC361=(Elig_MatchAll_Ct-1),AR361=0),O361,0)</f>
        <v>0</v>
      </c>
      <c r="BU361" s="216">
        <f>IF(AND(Input_Product=Elig!$C361,Elig_MatchAll_Ct&lt;22,$BC361=(Elig_MatchAll_Ct-1),AS361=0),P361,0)</f>
        <v>0</v>
      </c>
      <c r="BV361" s="217">
        <f>IF(AND(Input_Product=Elig!$C361,Elig_MatchAll_Ct&lt;22,$BC361=(Elig_MatchAll_Ct-1),AT361=0),Q361,0)</f>
        <v>0</v>
      </c>
      <c r="BW361" s="218">
        <f>IF(AND(Input_Product=Elig!$C361,Elig_MatchAll_Ct&lt;22,$BC361=(Elig_MatchAll_Ct-1),AU361=0),R361,0)</f>
        <v>0</v>
      </c>
      <c r="BX361" s="219">
        <f>IF(AND(Input_Product=Elig!$C361,Elig_MatchAll_Ct&lt;22,$BC361=(Elig_MatchAll_Ct-1),AU361=0),S361,0)</f>
        <v>0</v>
      </c>
      <c r="BY361" s="218">
        <f>IF(AND(Input_Product=Elig!$C361,Elig_MatchAll_Ct&lt;22,$BC361=(Elig_MatchAll_Ct-1),AV361=0),T361,0)</f>
        <v>0</v>
      </c>
      <c r="BZ361" s="219">
        <f>IF(AND(Input_Product=Elig!$C361,Elig_MatchAll_Ct&lt;22,$BC361=(Elig_MatchAll_Ct-1),AV361=0),U361,0)</f>
        <v>0</v>
      </c>
      <c r="CA361" s="218">
        <f>IF(AND(Input_Product=Elig!$C361,Elig_MatchAll_Ct&lt;22,$BC361=(Elig_MatchAll_Ct-1),AW361=0),V361,0)</f>
        <v>0</v>
      </c>
      <c r="CB361" s="219">
        <f>IF(AND(Input_Product=Elig!$C361,Elig_MatchAll_Ct&lt;22,$BC361=(Elig_MatchAll_Ct-1),AW361=0),W361,0)</f>
        <v>0</v>
      </c>
      <c r="CC361" s="218">
        <f>IF(AND(Input_Product=Elig!$C361,Elig_MatchAll_Ct&lt;22,$BC361=(Elig_MatchAll_Ct-1),AX361=0),X361,0)</f>
        <v>0</v>
      </c>
      <c r="CD361" s="219">
        <f>IF(AND(Input_Product=Elig!$C361,Elig_MatchAll_Ct&lt;22,$BC361=(Elig_MatchAll_Ct-1),AX361=0),Y361,0)</f>
        <v>0</v>
      </c>
      <c r="CE361" s="218">
        <f>IF(AND(Input_LTV&lt;=AE361,Input_Product=Elig!$C361,Elig_MatchAll_Ct&lt;22,$BC361=(Elig_MatchAll_Ct-1),AY361=0),Z361,0)</f>
        <v>0</v>
      </c>
      <c r="CF361" s="219">
        <f>IF(AND(Input_LTV&lt;=AE361,Input_Product=Elig!$C361,Elig_MatchAll_Ct&lt;22,$BC361=(Elig_MatchAll_Ct-1),AY361=0),AA361,0)</f>
        <v>0</v>
      </c>
      <c r="CG361" s="218">
        <f>IF(AND(Input_Product=Elig!$C361,Elig_MatchAll_Ct&lt;22,$BC361=(Elig_MatchAll_Ct-1),AZ361=0),AB361,0)</f>
        <v>0</v>
      </c>
      <c r="CH361" s="219">
        <f>IF(AND(Input_Product=Elig!$C361,Elig_MatchAll_Ct&lt;22,$BC361=(Elig_MatchAll_Ct-1),AZ361=0),AC361,0)</f>
        <v>0</v>
      </c>
      <c r="CI361" s="218">
        <f>IF(AND(Input_Product=Elig!$C361,Elig_MatchAll_Ct&lt;22,$BC361=(Elig_MatchAll_Ct-1),BA361=0),AD361,0)</f>
        <v>0</v>
      </c>
      <c r="CJ361" s="219">
        <f>IF(AND(Input_Product=Elig!$C361,Elig_MatchAll_Ct&lt;22,$BC361=(Elig_MatchAll_Ct-1),BA361=0),AE361,0)</f>
        <v>0</v>
      </c>
    </row>
    <row r="362" spans="2:88" ht="10.15" customHeight="1" x14ac:dyDescent="0.25">
      <c r="B362" s="287" t="s">
        <v>1058</v>
      </c>
      <c r="C362" s="286" t="str">
        <f t="shared" si="153"/>
        <v>NonQM NOO</v>
      </c>
      <c r="D362" s="287" t="s">
        <v>3885</v>
      </c>
      <c r="E362" s="287" t="s">
        <v>167</v>
      </c>
      <c r="F362" s="287" t="s">
        <v>330</v>
      </c>
      <c r="G362" s="300" t="s">
        <v>304</v>
      </c>
      <c r="H362" s="287" t="s">
        <v>446</v>
      </c>
      <c r="I362" s="288" t="s">
        <v>274</v>
      </c>
      <c r="J362" s="288" t="s">
        <v>1311</v>
      </c>
      <c r="K362" s="288" t="s">
        <v>1631</v>
      </c>
      <c r="L362" s="300" t="s">
        <v>312</v>
      </c>
      <c r="M362" s="287" t="s">
        <v>4203</v>
      </c>
      <c r="N362" s="287" t="s">
        <v>2685</v>
      </c>
      <c r="O362" s="287" t="s">
        <v>310</v>
      </c>
      <c r="P362" s="287" t="s">
        <v>291</v>
      </c>
      <c r="Q362" s="287" t="s">
        <v>294</v>
      </c>
      <c r="R362" s="287">
        <v>1000000.01</v>
      </c>
      <c r="S362" s="287">
        <v>1500000</v>
      </c>
      <c r="T362" s="287">
        <v>0</v>
      </c>
      <c r="U362" s="287">
        <v>0</v>
      </c>
      <c r="V362" s="287">
        <v>0</v>
      </c>
      <c r="W362" s="287">
        <v>55</v>
      </c>
      <c r="X362" s="287">
        <v>0</v>
      </c>
      <c r="Y362" s="287">
        <v>999</v>
      </c>
      <c r="Z362" s="289">
        <v>700</v>
      </c>
      <c r="AA362" s="289">
        <v>719</v>
      </c>
      <c r="AB362" s="289">
        <v>6</v>
      </c>
      <c r="AC362" s="289">
        <v>999999</v>
      </c>
      <c r="AD362" s="287">
        <v>0</v>
      </c>
      <c r="AE362" s="290">
        <v>80</v>
      </c>
      <c r="AF362" s="170">
        <v>0</v>
      </c>
      <c r="AG362" s="171">
        <v>1</v>
      </c>
      <c r="AH362" s="171">
        <v>1</v>
      </c>
      <c r="AI362" s="171">
        <v>0</v>
      </c>
      <c r="AJ362" s="171">
        <v>0</v>
      </c>
      <c r="AK362" s="171">
        <v>0</v>
      </c>
      <c r="AL362" s="171">
        <v>0</v>
      </c>
      <c r="AM362" s="171">
        <v>1</v>
      </c>
      <c r="AN362" s="171">
        <v>1</v>
      </c>
      <c r="AO362" s="171">
        <v>1</v>
      </c>
      <c r="AP362" s="171">
        <v>1</v>
      </c>
      <c r="AQ362" s="171">
        <v>1</v>
      </c>
      <c r="AR362" s="171">
        <v>1</v>
      </c>
      <c r="AS362" s="171">
        <v>1</v>
      </c>
      <c r="AT362" s="171">
        <v>1</v>
      </c>
      <c r="AU362" s="171">
        <f t="shared" si="140"/>
        <v>0</v>
      </c>
      <c r="AV362" s="171">
        <f t="shared" si="141"/>
        <v>0</v>
      </c>
      <c r="AW362" s="171">
        <f t="shared" si="142"/>
        <v>1</v>
      </c>
      <c r="AX362" s="171">
        <f t="shared" si="152"/>
        <v>1</v>
      </c>
      <c r="AY362" s="171">
        <f t="shared" si="143"/>
        <v>0</v>
      </c>
      <c r="AZ362" s="171">
        <f t="shared" si="144"/>
        <v>1</v>
      </c>
      <c r="BA362" s="172">
        <f t="shared" si="145"/>
        <v>1</v>
      </c>
      <c r="BB362" s="175">
        <f t="shared" si="147"/>
        <v>14</v>
      </c>
      <c r="BC362" s="176">
        <f t="shared" si="148"/>
        <v>13</v>
      </c>
      <c r="BD362" s="176">
        <f t="shared" si="149"/>
        <v>14</v>
      </c>
      <c r="BE362" s="240" t="str">
        <f t="shared" si="146"/>
        <v/>
      </c>
      <c r="BH362" s="199">
        <f>IF(AND(Input_Product=Elig!$C362,Elig_MatchAll_Ct&lt;22,$BC362=(Elig_MatchAll_Ct-1),AF362=0),C362,0)</f>
        <v>0</v>
      </c>
      <c r="BI362" s="199">
        <f>IF(AND(Input_Product=Elig!$C362,Elig_MatchAll_Ct&lt;22,$BC362=(Elig_MatchAll_Ct-1),AG362=0),D362,0)</f>
        <v>0</v>
      </c>
      <c r="BJ362" s="199">
        <f>IF(AND(Input_Product=Elig!$C362,Elig_MatchAll_Ct&lt;22,$BC362=(Elig_MatchAll_Ct-1),AH362=0),E362,0)</f>
        <v>0</v>
      </c>
      <c r="BK362" s="199">
        <f>IF(AND(Input_Product=Elig!$C362,Elig_MatchAll_Ct&lt;22,$BC362=(Elig_MatchAll_Ct-1),AI362=0),F362,0)</f>
        <v>0</v>
      </c>
      <c r="BL362" s="199">
        <f>IF(AND(Input_Product=Elig!$C362,Elig_MatchAll_Ct&lt;22,$BC362=(Elig_MatchAll_Ct-1),AJ362=0),G362,0)</f>
        <v>0</v>
      </c>
      <c r="BM362" s="199">
        <f>IF(AND(Input_Product=Elig!$C362,Elig_MatchAll_Ct&lt;22,$BC362=(Elig_MatchAll_Ct-1),AK362=0),H362,0)</f>
        <v>0</v>
      </c>
      <c r="BN362" s="199">
        <f>IF(AND(Input_Product=Elig!$C362,Elig_MatchAll_Ct&lt;22,$BC362=(Elig_MatchAll_Ct-1),AL362=0),I362,0)</f>
        <v>0</v>
      </c>
      <c r="BO362" s="199">
        <f>IF(AND(Input_Product=Elig!$C362,Elig_MatchAll_Ct&lt;22,$BC362=(Elig_MatchAll_Ct-1),AM362=0),J362,0)</f>
        <v>0</v>
      </c>
      <c r="BP362" s="199">
        <f>IF(AND(Input_Product=Elig!$C362,Elig_MatchAll_Ct&lt;22,$BC362=(Elig_MatchAll_Ct-1),AN362=0),K362,0)</f>
        <v>0</v>
      </c>
      <c r="BQ362" s="199">
        <f>IF(AND(Input_Product=Elig!$C362,Elig_MatchAll_Ct&lt;22,$BC362=(Elig_MatchAll_Ct-1),AP362=0),L362,0)</f>
        <v>0</v>
      </c>
      <c r="BR362" s="199">
        <f>IF(AND(Input_Product=Elig!$C362,Elig_MatchAll_Ct&lt;22,$BC362=(Elig_MatchAll_Ct-1),AO362=0),M362,0)</f>
        <v>0</v>
      </c>
      <c r="BS362" s="199">
        <f>IF(AND(Input_Product=Elig!$C362,Elig_MatchAll_Ct&lt;22,$BC362=(Elig_MatchAll_Ct-1),AQ362=0),N362,0)</f>
        <v>0</v>
      </c>
      <c r="BT362" s="199">
        <f>IF(AND(Input_Product=Elig!$C362,Elig_MatchAll_Ct&lt;22,$BC362=(Elig_MatchAll_Ct-1),AR362=0),O362,0)</f>
        <v>0</v>
      </c>
      <c r="BU362" s="199">
        <f>IF(AND(Input_Product=Elig!$C362,Elig_MatchAll_Ct&lt;22,$BC362=(Elig_MatchAll_Ct-1),AS362=0),P362,0)</f>
        <v>0</v>
      </c>
      <c r="BV362" s="200">
        <f>IF(AND(Input_Product=Elig!$C362,Elig_MatchAll_Ct&lt;22,$BC362=(Elig_MatchAll_Ct-1),AT362=0),Q362,0)</f>
        <v>0</v>
      </c>
      <c r="BW362" s="201">
        <f>IF(AND(Input_Product=Elig!$C362,Elig_MatchAll_Ct&lt;22,$BC362=(Elig_MatchAll_Ct-1),AU362=0),R362,0)</f>
        <v>0</v>
      </c>
      <c r="BX362" s="202">
        <f>IF(AND(Input_Product=Elig!$C362,Elig_MatchAll_Ct&lt;22,$BC362=(Elig_MatchAll_Ct-1),AU362=0),S362,0)</f>
        <v>0</v>
      </c>
      <c r="BY362" s="201">
        <f>IF(AND(Input_Product=Elig!$C362,Elig_MatchAll_Ct&lt;22,$BC362=(Elig_MatchAll_Ct-1),AV362=0),T362,0)</f>
        <v>0</v>
      </c>
      <c r="BZ362" s="202">
        <f>IF(AND(Input_Product=Elig!$C362,Elig_MatchAll_Ct&lt;22,$BC362=(Elig_MatchAll_Ct-1),AV362=0),U362,0)</f>
        <v>0</v>
      </c>
      <c r="CA362" s="201">
        <f>IF(AND(Input_Product=Elig!$C362,Elig_MatchAll_Ct&lt;22,$BC362=(Elig_MatchAll_Ct-1),AW362=0),V362,0)</f>
        <v>0</v>
      </c>
      <c r="CB362" s="202">
        <f>IF(AND(Input_Product=Elig!$C362,Elig_MatchAll_Ct&lt;22,$BC362=(Elig_MatchAll_Ct-1),AW362=0),W362,0)</f>
        <v>0</v>
      </c>
      <c r="CC362" s="201">
        <f>IF(AND(Input_Product=Elig!$C362,Elig_MatchAll_Ct&lt;22,$BC362=(Elig_MatchAll_Ct-1),AX362=0),X362,0)</f>
        <v>0</v>
      </c>
      <c r="CD362" s="202">
        <f>IF(AND(Input_Product=Elig!$C362,Elig_MatchAll_Ct&lt;22,$BC362=(Elig_MatchAll_Ct-1),AX362=0),Y362,0)</f>
        <v>0</v>
      </c>
      <c r="CE362" s="201">
        <f>IF(AND(Input_LTV&lt;=AE362,Input_Product=Elig!$C362,Elig_MatchAll_Ct&lt;22,$BC362=(Elig_MatchAll_Ct-1),AY362=0),Z362,0)</f>
        <v>0</v>
      </c>
      <c r="CF362" s="202">
        <f>IF(AND(Input_LTV&lt;=AE362,Input_Product=Elig!$C362,Elig_MatchAll_Ct&lt;22,$BC362=(Elig_MatchAll_Ct-1),AY362=0),AA362,0)</f>
        <v>0</v>
      </c>
      <c r="CG362" s="201">
        <f>IF(AND(Input_Product=Elig!$C362,Elig_MatchAll_Ct&lt;22,$BC362=(Elig_MatchAll_Ct-1),AZ362=0),AB362,0)</f>
        <v>0</v>
      </c>
      <c r="CH362" s="202">
        <f>IF(AND(Input_Product=Elig!$C362,Elig_MatchAll_Ct&lt;22,$BC362=(Elig_MatchAll_Ct-1),AZ362=0),AC362,0)</f>
        <v>0</v>
      </c>
      <c r="CI362" s="201">
        <f>IF(AND(Input_Product=Elig!$C362,Elig_MatchAll_Ct&lt;22,$BC362=(Elig_MatchAll_Ct-1),BA362=0),AD362,0)</f>
        <v>0</v>
      </c>
      <c r="CJ362" s="202">
        <f>IF(AND(Input_Product=Elig!$C362,Elig_MatchAll_Ct&lt;22,$BC362=(Elig_MatchAll_Ct-1),BA362=0),AE362,0)</f>
        <v>0</v>
      </c>
    </row>
    <row r="363" spans="2:88" ht="10.15" customHeight="1" x14ac:dyDescent="0.25">
      <c r="B363" s="287" t="s">
        <v>1059</v>
      </c>
      <c r="C363" s="286" t="str">
        <f t="shared" si="153"/>
        <v>NonQM NOO</v>
      </c>
      <c r="D363" s="287" t="s">
        <v>3885</v>
      </c>
      <c r="E363" s="287" t="s">
        <v>167</v>
      </c>
      <c r="F363" s="287" t="s">
        <v>330</v>
      </c>
      <c r="G363" s="300" t="s">
        <v>304</v>
      </c>
      <c r="H363" s="287" t="s">
        <v>446</v>
      </c>
      <c r="I363" s="288" t="s">
        <v>274</v>
      </c>
      <c r="J363" s="288" t="s">
        <v>1311</v>
      </c>
      <c r="K363" s="288" t="s">
        <v>1631</v>
      </c>
      <c r="L363" s="300" t="s">
        <v>312</v>
      </c>
      <c r="M363" s="287" t="s">
        <v>4203</v>
      </c>
      <c r="N363" s="287" t="s">
        <v>2685</v>
      </c>
      <c r="O363" s="287" t="s">
        <v>310</v>
      </c>
      <c r="P363" s="287" t="s">
        <v>291</v>
      </c>
      <c r="Q363" s="287" t="s">
        <v>294</v>
      </c>
      <c r="R363" s="287">
        <v>1000000.01</v>
      </c>
      <c r="S363" s="287">
        <v>1500000</v>
      </c>
      <c r="T363" s="287">
        <v>0</v>
      </c>
      <c r="U363" s="287">
        <v>0</v>
      </c>
      <c r="V363" s="287">
        <v>0</v>
      </c>
      <c r="W363" s="287">
        <v>55</v>
      </c>
      <c r="X363" s="287">
        <v>0</v>
      </c>
      <c r="Y363" s="287">
        <v>999</v>
      </c>
      <c r="Z363" s="289">
        <v>680</v>
      </c>
      <c r="AA363" s="289">
        <v>699</v>
      </c>
      <c r="AB363" s="289">
        <v>6</v>
      </c>
      <c r="AC363" s="289">
        <v>999999</v>
      </c>
      <c r="AD363" s="287">
        <v>0</v>
      </c>
      <c r="AE363" s="2105">
        <v>80</v>
      </c>
      <c r="AF363" s="170">
        <v>0</v>
      </c>
      <c r="AG363" s="171">
        <v>1</v>
      </c>
      <c r="AH363" s="171">
        <v>1</v>
      </c>
      <c r="AI363" s="171">
        <v>0</v>
      </c>
      <c r="AJ363" s="171">
        <v>0</v>
      </c>
      <c r="AK363" s="171">
        <v>0</v>
      </c>
      <c r="AL363" s="171">
        <v>0</v>
      </c>
      <c r="AM363" s="171">
        <v>1</v>
      </c>
      <c r="AN363" s="171">
        <v>1</v>
      </c>
      <c r="AO363" s="171">
        <v>1</v>
      </c>
      <c r="AP363" s="171">
        <v>1</v>
      </c>
      <c r="AQ363" s="171">
        <v>1</v>
      </c>
      <c r="AR363" s="171">
        <v>1</v>
      </c>
      <c r="AS363" s="171">
        <v>1</v>
      </c>
      <c r="AT363" s="171">
        <v>1</v>
      </c>
      <c r="AU363" s="171">
        <f t="shared" si="140"/>
        <v>0</v>
      </c>
      <c r="AV363" s="171">
        <f t="shared" si="141"/>
        <v>0</v>
      </c>
      <c r="AW363" s="171">
        <f t="shared" si="142"/>
        <v>1</v>
      </c>
      <c r="AX363" s="171">
        <f t="shared" si="152"/>
        <v>1</v>
      </c>
      <c r="AY363" s="171">
        <f t="shared" si="143"/>
        <v>0</v>
      </c>
      <c r="AZ363" s="171">
        <f t="shared" si="144"/>
        <v>1</v>
      </c>
      <c r="BA363" s="172">
        <f t="shared" si="145"/>
        <v>1</v>
      </c>
      <c r="BB363" s="175">
        <f t="shared" si="147"/>
        <v>14</v>
      </c>
      <c r="BC363" s="176">
        <f t="shared" si="148"/>
        <v>13</v>
      </c>
      <c r="BD363" s="176">
        <f t="shared" si="149"/>
        <v>14</v>
      </c>
      <c r="BE363" s="240" t="str">
        <f t="shared" si="146"/>
        <v/>
      </c>
      <c r="BH363" s="199">
        <f>IF(AND(Input_Product=Elig!$C363,Elig_MatchAll_Ct&lt;22,$BC363=(Elig_MatchAll_Ct-1),AF363=0),C363,0)</f>
        <v>0</v>
      </c>
      <c r="BI363" s="199">
        <f>IF(AND(Input_Product=Elig!$C363,Elig_MatchAll_Ct&lt;22,$BC363=(Elig_MatchAll_Ct-1),AG363=0),D363,0)</f>
        <v>0</v>
      </c>
      <c r="BJ363" s="199">
        <f>IF(AND(Input_Product=Elig!$C363,Elig_MatchAll_Ct&lt;22,$BC363=(Elig_MatchAll_Ct-1),AH363=0),E363,0)</f>
        <v>0</v>
      </c>
      <c r="BK363" s="199">
        <f>IF(AND(Input_Product=Elig!$C363,Elig_MatchAll_Ct&lt;22,$BC363=(Elig_MatchAll_Ct-1),AI363=0),F363,0)</f>
        <v>0</v>
      </c>
      <c r="BL363" s="199">
        <f>IF(AND(Input_Product=Elig!$C363,Elig_MatchAll_Ct&lt;22,$BC363=(Elig_MatchAll_Ct-1),AJ363=0),G363,0)</f>
        <v>0</v>
      </c>
      <c r="BM363" s="199">
        <f>IF(AND(Input_Product=Elig!$C363,Elig_MatchAll_Ct&lt;22,$BC363=(Elig_MatchAll_Ct-1),AK363=0),H363,0)</f>
        <v>0</v>
      </c>
      <c r="BN363" s="199">
        <f>IF(AND(Input_Product=Elig!$C363,Elig_MatchAll_Ct&lt;22,$BC363=(Elig_MatchAll_Ct-1),AL363=0),I363,0)</f>
        <v>0</v>
      </c>
      <c r="BO363" s="199">
        <f>IF(AND(Input_Product=Elig!$C363,Elig_MatchAll_Ct&lt;22,$BC363=(Elig_MatchAll_Ct-1),AM363=0),J363,0)</f>
        <v>0</v>
      </c>
      <c r="BP363" s="199">
        <f>IF(AND(Input_Product=Elig!$C363,Elig_MatchAll_Ct&lt;22,$BC363=(Elig_MatchAll_Ct-1),AN363=0),K363,0)</f>
        <v>0</v>
      </c>
      <c r="BQ363" s="199">
        <f>IF(AND(Input_Product=Elig!$C363,Elig_MatchAll_Ct&lt;22,$BC363=(Elig_MatchAll_Ct-1),AP363=0),L363,0)</f>
        <v>0</v>
      </c>
      <c r="BR363" s="199">
        <f>IF(AND(Input_Product=Elig!$C363,Elig_MatchAll_Ct&lt;22,$BC363=(Elig_MatchAll_Ct-1),AO363=0),M363,0)</f>
        <v>0</v>
      </c>
      <c r="BS363" s="199">
        <f>IF(AND(Input_Product=Elig!$C363,Elig_MatchAll_Ct&lt;22,$BC363=(Elig_MatchAll_Ct-1),AQ363=0),N363,0)</f>
        <v>0</v>
      </c>
      <c r="BT363" s="199">
        <f>IF(AND(Input_Product=Elig!$C363,Elig_MatchAll_Ct&lt;22,$BC363=(Elig_MatchAll_Ct-1),AR363=0),O363,0)</f>
        <v>0</v>
      </c>
      <c r="BU363" s="199">
        <f>IF(AND(Input_Product=Elig!$C363,Elig_MatchAll_Ct&lt;22,$BC363=(Elig_MatchAll_Ct-1),AS363=0),P363,0)</f>
        <v>0</v>
      </c>
      <c r="BV363" s="200">
        <f>IF(AND(Input_Product=Elig!$C363,Elig_MatchAll_Ct&lt;22,$BC363=(Elig_MatchAll_Ct-1),AT363=0),Q363,0)</f>
        <v>0</v>
      </c>
      <c r="BW363" s="201">
        <f>IF(AND(Input_Product=Elig!$C363,Elig_MatchAll_Ct&lt;22,$BC363=(Elig_MatchAll_Ct-1),AU363=0),R363,0)</f>
        <v>0</v>
      </c>
      <c r="BX363" s="202">
        <f>IF(AND(Input_Product=Elig!$C363,Elig_MatchAll_Ct&lt;22,$BC363=(Elig_MatchAll_Ct-1),AU363=0),S363,0)</f>
        <v>0</v>
      </c>
      <c r="BY363" s="201">
        <f>IF(AND(Input_Product=Elig!$C363,Elig_MatchAll_Ct&lt;22,$BC363=(Elig_MatchAll_Ct-1),AV363=0),T363,0)</f>
        <v>0</v>
      </c>
      <c r="BZ363" s="202">
        <f>IF(AND(Input_Product=Elig!$C363,Elig_MatchAll_Ct&lt;22,$BC363=(Elig_MatchAll_Ct-1),AV363=0),U363,0)</f>
        <v>0</v>
      </c>
      <c r="CA363" s="201">
        <f>IF(AND(Input_Product=Elig!$C363,Elig_MatchAll_Ct&lt;22,$BC363=(Elig_MatchAll_Ct-1),AW363=0),V363,0)</f>
        <v>0</v>
      </c>
      <c r="CB363" s="202">
        <f>IF(AND(Input_Product=Elig!$C363,Elig_MatchAll_Ct&lt;22,$BC363=(Elig_MatchAll_Ct-1),AW363=0),W363,0)</f>
        <v>0</v>
      </c>
      <c r="CC363" s="201">
        <f>IF(AND(Input_Product=Elig!$C363,Elig_MatchAll_Ct&lt;22,$BC363=(Elig_MatchAll_Ct-1),AX363=0),X363,0)</f>
        <v>0</v>
      </c>
      <c r="CD363" s="202">
        <f>IF(AND(Input_Product=Elig!$C363,Elig_MatchAll_Ct&lt;22,$BC363=(Elig_MatchAll_Ct-1),AX363=0),Y363,0)</f>
        <v>0</v>
      </c>
      <c r="CE363" s="201">
        <f>IF(AND(Input_LTV&lt;=AE363,Input_Product=Elig!$C363,Elig_MatchAll_Ct&lt;22,$BC363=(Elig_MatchAll_Ct-1),AY363=0),Z363,0)</f>
        <v>0</v>
      </c>
      <c r="CF363" s="202">
        <f>IF(AND(Input_LTV&lt;=AE363,Input_Product=Elig!$C363,Elig_MatchAll_Ct&lt;22,$BC363=(Elig_MatchAll_Ct-1),AY363=0),AA363,0)</f>
        <v>0</v>
      </c>
      <c r="CG363" s="201">
        <f>IF(AND(Input_Product=Elig!$C363,Elig_MatchAll_Ct&lt;22,$BC363=(Elig_MatchAll_Ct-1),AZ363=0),AB363,0)</f>
        <v>0</v>
      </c>
      <c r="CH363" s="202">
        <f>IF(AND(Input_Product=Elig!$C363,Elig_MatchAll_Ct&lt;22,$BC363=(Elig_MatchAll_Ct-1),AZ363=0),AC363,0)</f>
        <v>0</v>
      </c>
      <c r="CI363" s="201">
        <f>IF(AND(Input_Product=Elig!$C363,Elig_MatchAll_Ct&lt;22,$BC363=(Elig_MatchAll_Ct-1),BA363=0),AD363,0)</f>
        <v>0</v>
      </c>
      <c r="CJ363" s="202">
        <f>IF(AND(Input_Product=Elig!$C363,Elig_MatchAll_Ct&lt;22,$BC363=(Elig_MatchAll_Ct-1),BA363=0),AE363,0)</f>
        <v>0</v>
      </c>
    </row>
    <row r="364" spans="2:88" ht="10.15" customHeight="1" x14ac:dyDescent="0.25">
      <c r="B364" s="287" t="s">
        <v>1060</v>
      </c>
      <c r="C364" s="286" t="str">
        <f t="shared" si="153"/>
        <v>NonQM NOO</v>
      </c>
      <c r="D364" s="287" t="s">
        <v>3885</v>
      </c>
      <c r="E364" s="287" t="s">
        <v>167</v>
      </c>
      <c r="F364" s="287" t="s">
        <v>330</v>
      </c>
      <c r="G364" s="300" t="s">
        <v>304</v>
      </c>
      <c r="H364" s="287" t="s">
        <v>446</v>
      </c>
      <c r="I364" s="287" t="s">
        <v>274</v>
      </c>
      <c r="J364" s="287" t="s">
        <v>1311</v>
      </c>
      <c r="K364" s="287" t="s">
        <v>1631</v>
      </c>
      <c r="L364" s="300" t="s">
        <v>312</v>
      </c>
      <c r="M364" s="287" t="s">
        <v>4203</v>
      </c>
      <c r="N364" s="287" t="s">
        <v>2685</v>
      </c>
      <c r="O364" s="287" t="s">
        <v>310</v>
      </c>
      <c r="P364" s="287" t="s">
        <v>291</v>
      </c>
      <c r="Q364" s="287" t="s">
        <v>294</v>
      </c>
      <c r="R364" s="287">
        <v>1000000.01</v>
      </c>
      <c r="S364" s="287">
        <v>1500000</v>
      </c>
      <c r="T364" s="287">
        <v>0</v>
      </c>
      <c r="U364" s="287">
        <v>0</v>
      </c>
      <c r="V364" s="287">
        <v>0</v>
      </c>
      <c r="W364" s="287">
        <v>50</v>
      </c>
      <c r="X364" s="287">
        <v>0</v>
      </c>
      <c r="Y364" s="287">
        <v>999</v>
      </c>
      <c r="Z364" s="289">
        <v>660</v>
      </c>
      <c r="AA364" s="289">
        <v>679</v>
      </c>
      <c r="AB364" s="289">
        <v>6</v>
      </c>
      <c r="AC364" s="289">
        <v>999999</v>
      </c>
      <c r="AD364" s="287">
        <v>0</v>
      </c>
      <c r="AE364" s="290">
        <v>75</v>
      </c>
      <c r="AF364" s="170">
        <v>0</v>
      </c>
      <c r="AG364" s="171">
        <v>1</v>
      </c>
      <c r="AH364" s="171">
        <v>1</v>
      </c>
      <c r="AI364" s="171">
        <v>0</v>
      </c>
      <c r="AJ364" s="171">
        <v>0</v>
      </c>
      <c r="AK364" s="171">
        <v>0</v>
      </c>
      <c r="AL364" s="171">
        <v>0</v>
      </c>
      <c r="AM364" s="171">
        <v>1</v>
      </c>
      <c r="AN364" s="171">
        <v>1</v>
      </c>
      <c r="AO364" s="171">
        <v>1</v>
      </c>
      <c r="AP364" s="171">
        <v>1</v>
      </c>
      <c r="AQ364" s="171">
        <v>1</v>
      </c>
      <c r="AR364" s="171">
        <v>1</v>
      </c>
      <c r="AS364" s="171">
        <v>1</v>
      </c>
      <c r="AT364" s="171">
        <v>1</v>
      </c>
      <c r="AU364" s="171">
        <f t="shared" si="140"/>
        <v>0</v>
      </c>
      <c r="AV364" s="171">
        <f t="shared" si="141"/>
        <v>0</v>
      </c>
      <c r="AW364" s="171">
        <f t="shared" si="142"/>
        <v>1</v>
      </c>
      <c r="AX364" s="171">
        <f t="shared" si="152"/>
        <v>1</v>
      </c>
      <c r="AY364" s="171">
        <f t="shared" si="143"/>
        <v>0</v>
      </c>
      <c r="AZ364" s="171">
        <f t="shared" si="144"/>
        <v>1</v>
      </c>
      <c r="BA364" s="172">
        <f t="shared" si="145"/>
        <v>1</v>
      </c>
      <c r="BB364" s="175">
        <f t="shared" si="147"/>
        <v>14</v>
      </c>
      <c r="BC364" s="176">
        <f t="shared" si="148"/>
        <v>13</v>
      </c>
      <c r="BD364" s="176">
        <f t="shared" si="149"/>
        <v>14</v>
      </c>
      <c r="BE364" s="240" t="str">
        <f t="shared" si="146"/>
        <v/>
      </c>
      <c r="BH364" s="199">
        <f>IF(AND(Input_Product=Elig!$C364,Elig_MatchAll_Ct&lt;22,$BC364=(Elig_MatchAll_Ct-1),AF364=0),C364,0)</f>
        <v>0</v>
      </c>
      <c r="BI364" s="199">
        <f>IF(AND(Input_Product=Elig!$C364,Elig_MatchAll_Ct&lt;22,$BC364=(Elig_MatchAll_Ct-1),AG364=0),D364,0)</f>
        <v>0</v>
      </c>
      <c r="BJ364" s="199">
        <f>IF(AND(Input_Product=Elig!$C364,Elig_MatchAll_Ct&lt;22,$BC364=(Elig_MatchAll_Ct-1),AH364=0),E364,0)</f>
        <v>0</v>
      </c>
      <c r="BK364" s="199">
        <f>IF(AND(Input_Product=Elig!$C364,Elig_MatchAll_Ct&lt;22,$BC364=(Elig_MatchAll_Ct-1),AI364=0),F364,0)</f>
        <v>0</v>
      </c>
      <c r="BL364" s="199">
        <f>IF(AND(Input_Product=Elig!$C364,Elig_MatchAll_Ct&lt;22,$BC364=(Elig_MatchAll_Ct-1),AJ364=0),G364,0)</f>
        <v>0</v>
      </c>
      <c r="BM364" s="199">
        <f>IF(AND(Input_Product=Elig!$C364,Elig_MatchAll_Ct&lt;22,$BC364=(Elig_MatchAll_Ct-1),AK364=0),H364,0)</f>
        <v>0</v>
      </c>
      <c r="BN364" s="199">
        <f>IF(AND(Input_Product=Elig!$C364,Elig_MatchAll_Ct&lt;22,$BC364=(Elig_MatchAll_Ct-1),AL364=0),I364,0)</f>
        <v>0</v>
      </c>
      <c r="BO364" s="199">
        <f>IF(AND(Input_Product=Elig!$C364,Elig_MatchAll_Ct&lt;22,$BC364=(Elig_MatchAll_Ct-1),AM364=0),J364,0)</f>
        <v>0</v>
      </c>
      <c r="BP364" s="199">
        <f>IF(AND(Input_Product=Elig!$C364,Elig_MatchAll_Ct&lt;22,$BC364=(Elig_MatchAll_Ct-1),AN364=0),K364,0)</f>
        <v>0</v>
      </c>
      <c r="BQ364" s="199">
        <f>IF(AND(Input_Product=Elig!$C364,Elig_MatchAll_Ct&lt;22,$BC364=(Elig_MatchAll_Ct-1),AP364=0),L364,0)</f>
        <v>0</v>
      </c>
      <c r="BR364" s="199">
        <f>IF(AND(Input_Product=Elig!$C364,Elig_MatchAll_Ct&lt;22,$BC364=(Elig_MatchAll_Ct-1),AO364=0),M364,0)</f>
        <v>0</v>
      </c>
      <c r="BS364" s="199">
        <f>IF(AND(Input_Product=Elig!$C364,Elig_MatchAll_Ct&lt;22,$BC364=(Elig_MatchAll_Ct-1),AQ364=0),N364,0)</f>
        <v>0</v>
      </c>
      <c r="BT364" s="199">
        <f>IF(AND(Input_Product=Elig!$C364,Elig_MatchAll_Ct&lt;22,$BC364=(Elig_MatchAll_Ct-1),AR364=0),O364,0)</f>
        <v>0</v>
      </c>
      <c r="BU364" s="199">
        <f>IF(AND(Input_Product=Elig!$C364,Elig_MatchAll_Ct&lt;22,$BC364=(Elig_MatchAll_Ct-1),AS364=0),P364,0)</f>
        <v>0</v>
      </c>
      <c r="BV364" s="200">
        <f>IF(AND(Input_Product=Elig!$C364,Elig_MatchAll_Ct&lt;22,$BC364=(Elig_MatchAll_Ct-1),AT364=0),Q364,0)</f>
        <v>0</v>
      </c>
      <c r="BW364" s="201">
        <f>IF(AND(Input_Product=Elig!$C364,Elig_MatchAll_Ct&lt;22,$BC364=(Elig_MatchAll_Ct-1),AU364=0),R364,0)</f>
        <v>0</v>
      </c>
      <c r="BX364" s="202">
        <f>IF(AND(Input_Product=Elig!$C364,Elig_MatchAll_Ct&lt;22,$BC364=(Elig_MatchAll_Ct-1),AU364=0),S364,0)</f>
        <v>0</v>
      </c>
      <c r="BY364" s="201">
        <f>IF(AND(Input_Product=Elig!$C364,Elig_MatchAll_Ct&lt;22,$BC364=(Elig_MatchAll_Ct-1),AV364=0),T364,0)</f>
        <v>0</v>
      </c>
      <c r="BZ364" s="202">
        <f>IF(AND(Input_Product=Elig!$C364,Elig_MatchAll_Ct&lt;22,$BC364=(Elig_MatchAll_Ct-1),AV364=0),U364,0)</f>
        <v>0</v>
      </c>
      <c r="CA364" s="201">
        <f>IF(AND(Input_Product=Elig!$C364,Elig_MatchAll_Ct&lt;22,$BC364=(Elig_MatchAll_Ct-1),AW364=0),V364,0)</f>
        <v>0</v>
      </c>
      <c r="CB364" s="202">
        <f>IF(AND(Input_Product=Elig!$C364,Elig_MatchAll_Ct&lt;22,$BC364=(Elig_MatchAll_Ct-1),AW364=0),W364,0)</f>
        <v>0</v>
      </c>
      <c r="CC364" s="201">
        <f>IF(AND(Input_Product=Elig!$C364,Elig_MatchAll_Ct&lt;22,$BC364=(Elig_MatchAll_Ct-1),AX364=0),X364,0)</f>
        <v>0</v>
      </c>
      <c r="CD364" s="202">
        <f>IF(AND(Input_Product=Elig!$C364,Elig_MatchAll_Ct&lt;22,$BC364=(Elig_MatchAll_Ct-1),AX364=0),Y364,0)</f>
        <v>0</v>
      </c>
      <c r="CE364" s="201">
        <f>IF(AND(Input_LTV&lt;=AE364,Input_Product=Elig!$C364,Elig_MatchAll_Ct&lt;22,$BC364=(Elig_MatchAll_Ct-1),AY364=0),Z364,0)</f>
        <v>0</v>
      </c>
      <c r="CF364" s="202">
        <f>IF(AND(Input_LTV&lt;=AE364,Input_Product=Elig!$C364,Elig_MatchAll_Ct&lt;22,$BC364=(Elig_MatchAll_Ct-1),AY364=0),AA364,0)</f>
        <v>0</v>
      </c>
      <c r="CG364" s="201">
        <f>IF(AND(Input_Product=Elig!$C364,Elig_MatchAll_Ct&lt;22,$BC364=(Elig_MatchAll_Ct-1),AZ364=0),AB364,0)</f>
        <v>0</v>
      </c>
      <c r="CH364" s="202">
        <f>IF(AND(Input_Product=Elig!$C364,Elig_MatchAll_Ct&lt;22,$BC364=(Elig_MatchAll_Ct-1),AZ364=0),AC364,0)</f>
        <v>0</v>
      </c>
      <c r="CI364" s="201">
        <f>IF(AND(Input_Product=Elig!$C364,Elig_MatchAll_Ct&lt;22,$BC364=(Elig_MatchAll_Ct-1),BA364=0),AD364,0)</f>
        <v>0</v>
      </c>
      <c r="CJ364" s="202">
        <f>IF(AND(Input_Product=Elig!$C364,Elig_MatchAll_Ct&lt;22,$BC364=(Elig_MatchAll_Ct-1),BA364=0),AE364,0)</f>
        <v>0</v>
      </c>
    </row>
    <row r="365" spans="2:88" ht="10.15" customHeight="1" x14ac:dyDescent="0.25">
      <c r="B365" s="287" t="s">
        <v>1061</v>
      </c>
      <c r="C365" s="286" t="str">
        <f t="shared" si="153"/>
        <v>NonQM NOO</v>
      </c>
      <c r="D365" s="287" t="s">
        <v>3885</v>
      </c>
      <c r="E365" s="287" t="s">
        <v>167</v>
      </c>
      <c r="F365" s="287" t="s">
        <v>330</v>
      </c>
      <c r="G365" s="300" t="s">
        <v>304</v>
      </c>
      <c r="H365" s="287" t="s">
        <v>446</v>
      </c>
      <c r="I365" s="287" t="s">
        <v>274</v>
      </c>
      <c r="J365" s="287" t="s">
        <v>1311</v>
      </c>
      <c r="K365" s="287" t="s">
        <v>1631</v>
      </c>
      <c r="L365" s="300" t="s">
        <v>312</v>
      </c>
      <c r="M365" s="287" t="s">
        <v>4203</v>
      </c>
      <c r="N365" s="287" t="s">
        <v>2685</v>
      </c>
      <c r="O365" s="287" t="s">
        <v>310</v>
      </c>
      <c r="P365" s="287" t="s">
        <v>291</v>
      </c>
      <c r="Q365" s="287" t="s">
        <v>294</v>
      </c>
      <c r="R365" s="287">
        <v>1000000.01</v>
      </c>
      <c r="S365" s="287">
        <v>1500000</v>
      </c>
      <c r="T365" s="287">
        <v>0</v>
      </c>
      <c r="U365" s="287">
        <v>0</v>
      </c>
      <c r="V365" s="287">
        <v>0</v>
      </c>
      <c r="W365" s="287">
        <v>50</v>
      </c>
      <c r="X365" s="287">
        <v>0</v>
      </c>
      <c r="Y365" s="287">
        <v>999</v>
      </c>
      <c r="Z365" s="289">
        <v>640</v>
      </c>
      <c r="AA365" s="289">
        <v>659</v>
      </c>
      <c r="AB365" s="289">
        <v>6</v>
      </c>
      <c r="AC365" s="289">
        <v>999999</v>
      </c>
      <c r="AD365" s="287">
        <v>0</v>
      </c>
      <c r="AE365" s="290">
        <v>-999</v>
      </c>
      <c r="AF365" s="170">
        <v>0</v>
      </c>
      <c r="AG365" s="171">
        <v>1</v>
      </c>
      <c r="AH365" s="171">
        <v>1</v>
      </c>
      <c r="AI365" s="171">
        <v>0</v>
      </c>
      <c r="AJ365" s="171">
        <v>0</v>
      </c>
      <c r="AK365" s="171">
        <v>0</v>
      </c>
      <c r="AL365" s="171">
        <v>0</v>
      </c>
      <c r="AM365" s="171">
        <v>1</v>
      </c>
      <c r="AN365" s="171">
        <v>1</v>
      </c>
      <c r="AO365" s="171">
        <v>1</v>
      </c>
      <c r="AP365" s="171">
        <v>1</v>
      </c>
      <c r="AQ365" s="171">
        <v>1</v>
      </c>
      <c r="AR365" s="171">
        <v>1</v>
      </c>
      <c r="AS365" s="171">
        <v>1</v>
      </c>
      <c r="AT365" s="171">
        <v>1</v>
      </c>
      <c r="AU365" s="171">
        <f t="shared" si="140"/>
        <v>0</v>
      </c>
      <c r="AV365" s="171">
        <f t="shared" si="141"/>
        <v>0</v>
      </c>
      <c r="AW365" s="171">
        <f t="shared" si="142"/>
        <v>1</v>
      </c>
      <c r="AX365" s="171">
        <f t="shared" si="152"/>
        <v>1</v>
      </c>
      <c r="AY365" s="171">
        <f t="shared" si="143"/>
        <v>0</v>
      </c>
      <c r="AZ365" s="171">
        <f t="shared" si="144"/>
        <v>1</v>
      </c>
      <c r="BA365" s="172">
        <f t="shared" si="145"/>
        <v>0</v>
      </c>
      <c r="BB365" s="175">
        <f t="shared" si="147"/>
        <v>13</v>
      </c>
      <c r="BC365" s="176">
        <f t="shared" si="148"/>
        <v>13</v>
      </c>
      <c r="BD365" s="176">
        <f t="shared" si="149"/>
        <v>13</v>
      </c>
      <c r="BE365" s="240" t="str">
        <f t="shared" si="146"/>
        <v/>
      </c>
      <c r="BH365" s="199">
        <f>IF(AND(Input_Product=Elig!$C365,Elig_MatchAll_Ct&lt;22,$BC365=(Elig_MatchAll_Ct-1),AF365=0),C365,0)</f>
        <v>0</v>
      </c>
      <c r="BI365" s="199">
        <f>IF(AND(Input_Product=Elig!$C365,Elig_MatchAll_Ct&lt;22,$BC365=(Elig_MatchAll_Ct-1),AG365=0),D365,0)</f>
        <v>0</v>
      </c>
      <c r="BJ365" s="199">
        <f>IF(AND(Input_Product=Elig!$C365,Elig_MatchAll_Ct&lt;22,$BC365=(Elig_MatchAll_Ct-1),AH365=0),E365,0)</f>
        <v>0</v>
      </c>
      <c r="BK365" s="199">
        <f>IF(AND(Input_Product=Elig!$C365,Elig_MatchAll_Ct&lt;22,$BC365=(Elig_MatchAll_Ct-1),AI365=0),F365,0)</f>
        <v>0</v>
      </c>
      <c r="BL365" s="199">
        <f>IF(AND(Input_Product=Elig!$C365,Elig_MatchAll_Ct&lt;22,$BC365=(Elig_MatchAll_Ct-1),AJ365=0),G365,0)</f>
        <v>0</v>
      </c>
      <c r="BM365" s="199">
        <f>IF(AND(Input_Product=Elig!$C365,Elig_MatchAll_Ct&lt;22,$BC365=(Elig_MatchAll_Ct-1),AK365=0),H365,0)</f>
        <v>0</v>
      </c>
      <c r="BN365" s="199">
        <f>IF(AND(Input_Product=Elig!$C365,Elig_MatchAll_Ct&lt;22,$BC365=(Elig_MatchAll_Ct-1),AL365=0),I365,0)</f>
        <v>0</v>
      </c>
      <c r="BO365" s="199">
        <f>IF(AND(Input_Product=Elig!$C365,Elig_MatchAll_Ct&lt;22,$BC365=(Elig_MatchAll_Ct-1),AM365=0),J365,0)</f>
        <v>0</v>
      </c>
      <c r="BP365" s="199">
        <f>IF(AND(Input_Product=Elig!$C365,Elig_MatchAll_Ct&lt;22,$BC365=(Elig_MatchAll_Ct-1),AN365=0),K365,0)</f>
        <v>0</v>
      </c>
      <c r="BQ365" s="199">
        <f>IF(AND(Input_Product=Elig!$C365,Elig_MatchAll_Ct&lt;22,$BC365=(Elig_MatchAll_Ct-1),AP365=0),L365,0)</f>
        <v>0</v>
      </c>
      <c r="BR365" s="199">
        <f>IF(AND(Input_Product=Elig!$C365,Elig_MatchAll_Ct&lt;22,$BC365=(Elig_MatchAll_Ct-1),AO365=0),M365,0)</f>
        <v>0</v>
      </c>
      <c r="BS365" s="199">
        <f>IF(AND(Input_Product=Elig!$C365,Elig_MatchAll_Ct&lt;22,$BC365=(Elig_MatchAll_Ct-1),AQ365=0),N365,0)</f>
        <v>0</v>
      </c>
      <c r="BT365" s="199">
        <f>IF(AND(Input_Product=Elig!$C365,Elig_MatchAll_Ct&lt;22,$BC365=(Elig_MatchAll_Ct-1),AR365=0),O365,0)</f>
        <v>0</v>
      </c>
      <c r="BU365" s="199">
        <f>IF(AND(Input_Product=Elig!$C365,Elig_MatchAll_Ct&lt;22,$BC365=(Elig_MatchAll_Ct-1),AS365=0),P365,0)</f>
        <v>0</v>
      </c>
      <c r="BV365" s="200">
        <f>IF(AND(Input_Product=Elig!$C365,Elig_MatchAll_Ct&lt;22,$BC365=(Elig_MatchAll_Ct-1),AT365=0),Q365,0)</f>
        <v>0</v>
      </c>
      <c r="BW365" s="201">
        <f>IF(AND(Input_Product=Elig!$C365,Elig_MatchAll_Ct&lt;22,$BC365=(Elig_MatchAll_Ct-1),AU365=0),R365,0)</f>
        <v>0</v>
      </c>
      <c r="BX365" s="202">
        <f>IF(AND(Input_Product=Elig!$C365,Elig_MatchAll_Ct&lt;22,$BC365=(Elig_MatchAll_Ct-1),AU365=0),S365,0)</f>
        <v>0</v>
      </c>
      <c r="BY365" s="201">
        <f>IF(AND(Input_Product=Elig!$C365,Elig_MatchAll_Ct&lt;22,$BC365=(Elig_MatchAll_Ct-1),AV365=0),T365,0)</f>
        <v>0</v>
      </c>
      <c r="BZ365" s="202">
        <f>IF(AND(Input_Product=Elig!$C365,Elig_MatchAll_Ct&lt;22,$BC365=(Elig_MatchAll_Ct-1),AV365=0),U365,0)</f>
        <v>0</v>
      </c>
      <c r="CA365" s="201">
        <f>IF(AND(Input_Product=Elig!$C365,Elig_MatchAll_Ct&lt;22,$BC365=(Elig_MatchAll_Ct-1),AW365=0),V365,0)</f>
        <v>0</v>
      </c>
      <c r="CB365" s="202">
        <f>IF(AND(Input_Product=Elig!$C365,Elig_MatchAll_Ct&lt;22,$BC365=(Elig_MatchAll_Ct-1),AW365=0),W365,0)</f>
        <v>0</v>
      </c>
      <c r="CC365" s="201">
        <f>IF(AND(Input_Product=Elig!$C365,Elig_MatchAll_Ct&lt;22,$BC365=(Elig_MatchAll_Ct-1),AX365=0),X365,0)</f>
        <v>0</v>
      </c>
      <c r="CD365" s="202">
        <f>IF(AND(Input_Product=Elig!$C365,Elig_MatchAll_Ct&lt;22,$BC365=(Elig_MatchAll_Ct-1),AX365=0),Y365,0)</f>
        <v>0</v>
      </c>
      <c r="CE365" s="201">
        <f>IF(AND(Input_LTV&lt;=AE365,Input_Product=Elig!$C365,Elig_MatchAll_Ct&lt;22,$BC365=(Elig_MatchAll_Ct-1),AY365=0),Z365,0)</f>
        <v>0</v>
      </c>
      <c r="CF365" s="202">
        <f>IF(AND(Input_LTV&lt;=AE365,Input_Product=Elig!$C365,Elig_MatchAll_Ct&lt;22,$BC365=(Elig_MatchAll_Ct-1),AY365=0),AA365,0)</f>
        <v>0</v>
      </c>
      <c r="CG365" s="201">
        <f>IF(AND(Input_Product=Elig!$C365,Elig_MatchAll_Ct&lt;22,$BC365=(Elig_MatchAll_Ct-1),AZ365=0),AB365,0)</f>
        <v>0</v>
      </c>
      <c r="CH365" s="202">
        <f>IF(AND(Input_Product=Elig!$C365,Elig_MatchAll_Ct&lt;22,$BC365=(Elig_MatchAll_Ct-1),AZ365=0),AC365,0)</f>
        <v>0</v>
      </c>
      <c r="CI365" s="201">
        <f>IF(AND(Input_Product=Elig!$C365,Elig_MatchAll_Ct&lt;22,$BC365=(Elig_MatchAll_Ct-1),BA365=0),AD365,0)</f>
        <v>0</v>
      </c>
      <c r="CJ365" s="202">
        <f>IF(AND(Input_Product=Elig!$C365,Elig_MatchAll_Ct&lt;22,$BC365=(Elig_MatchAll_Ct-1),BA365=0),AE365,0)</f>
        <v>0</v>
      </c>
    </row>
    <row r="366" spans="2:88" ht="10.15" customHeight="1" x14ac:dyDescent="0.25">
      <c r="B366" s="287" t="s">
        <v>1062</v>
      </c>
      <c r="C366" s="291" t="str">
        <f t="shared" si="153"/>
        <v>NonQM NOO</v>
      </c>
      <c r="D366" s="292" t="s">
        <v>3885</v>
      </c>
      <c r="E366" s="292" t="s">
        <v>167</v>
      </c>
      <c r="F366" s="292" t="s">
        <v>330</v>
      </c>
      <c r="G366" s="324" t="s">
        <v>304</v>
      </c>
      <c r="H366" s="292" t="s">
        <v>446</v>
      </c>
      <c r="I366" s="292" t="s">
        <v>274</v>
      </c>
      <c r="J366" s="292" t="s">
        <v>1311</v>
      </c>
      <c r="K366" s="292" t="s">
        <v>1631</v>
      </c>
      <c r="L366" s="324" t="s">
        <v>312</v>
      </c>
      <c r="M366" s="292" t="s">
        <v>4203</v>
      </c>
      <c r="N366" s="292" t="s">
        <v>2685</v>
      </c>
      <c r="O366" s="292" t="s">
        <v>310</v>
      </c>
      <c r="P366" s="292" t="s">
        <v>291</v>
      </c>
      <c r="Q366" s="292" t="s">
        <v>294</v>
      </c>
      <c r="R366" s="292">
        <v>1000000.01</v>
      </c>
      <c r="S366" s="292">
        <v>1500000</v>
      </c>
      <c r="T366" s="292">
        <v>0</v>
      </c>
      <c r="U366" s="292">
        <v>0</v>
      </c>
      <c r="V366" s="292">
        <v>0</v>
      </c>
      <c r="W366" s="292">
        <v>50</v>
      </c>
      <c r="X366" s="292">
        <v>0</v>
      </c>
      <c r="Y366" s="292">
        <v>999</v>
      </c>
      <c r="Z366" s="293">
        <v>620</v>
      </c>
      <c r="AA366" s="293">
        <v>639</v>
      </c>
      <c r="AB366" s="293">
        <v>6</v>
      </c>
      <c r="AC366" s="293">
        <v>999999</v>
      </c>
      <c r="AD366" s="292">
        <v>0</v>
      </c>
      <c r="AE366" s="294">
        <v>-999</v>
      </c>
      <c r="AF366" s="170">
        <v>0</v>
      </c>
      <c r="AG366" s="171">
        <v>1</v>
      </c>
      <c r="AH366" s="171">
        <v>1</v>
      </c>
      <c r="AI366" s="171">
        <v>0</v>
      </c>
      <c r="AJ366" s="171">
        <v>0</v>
      </c>
      <c r="AK366" s="171">
        <v>0</v>
      </c>
      <c r="AL366" s="171">
        <v>0</v>
      </c>
      <c r="AM366" s="171">
        <v>1</v>
      </c>
      <c r="AN366" s="171">
        <v>1</v>
      </c>
      <c r="AO366" s="171">
        <v>1</v>
      </c>
      <c r="AP366" s="171">
        <v>1</v>
      </c>
      <c r="AQ366" s="171">
        <v>1</v>
      </c>
      <c r="AR366" s="171">
        <v>1</v>
      </c>
      <c r="AS366" s="171">
        <v>1</v>
      </c>
      <c r="AT366" s="171">
        <v>1</v>
      </c>
      <c r="AU366" s="171">
        <f t="shared" si="140"/>
        <v>0</v>
      </c>
      <c r="AV366" s="171">
        <f t="shared" si="141"/>
        <v>0</v>
      </c>
      <c r="AW366" s="171">
        <f t="shared" si="142"/>
        <v>1</v>
      </c>
      <c r="AX366" s="171">
        <f t="shared" si="152"/>
        <v>1</v>
      </c>
      <c r="AY366" s="171">
        <f t="shared" si="143"/>
        <v>0</v>
      </c>
      <c r="AZ366" s="171">
        <f t="shared" si="144"/>
        <v>1</v>
      </c>
      <c r="BA366" s="172">
        <f t="shared" si="145"/>
        <v>0</v>
      </c>
      <c r="BB366" s="175">
        <f t="shared" si="147"/>
        <v>13</v>
      </c>
      <c r="BC366" s="176">
        <f t="shared" si="148"/>
        <v>13</v>
      </c>
      <c r="BD366" s="176">
        <f t="shared" si="149"/>
        <v>13</v>
      </c>
      <c r="BE366" s="240" t="str">
        <f t="shared" si="146"/>
        <v/>
      </c>
      <c r="BH366" s="214">
        <f>IF(AND(Input_Product=Elig!$C366,Elig_MatchAll_Ct&lt;22,$BC366=(Elig_MatchAll_Ct-1),AF366=0),C366,0)</f>
        <v>0</v>
      </c>
      <c r="BI366" s="214">
        <f>IF(AND(Input_Product=Elig!$C366,Elig_MatchAll_Ct&lt;22,$BC366=(Elig_MatchAll_Ct-1),AG366=0),D366,0)</f>
        <v>0</v>
      </c>
      <c r="BJ366" s="214">
        <f>IF(AND(Input_Product=Elig!$C366,Elig_MatchAll_Ct&lt;22,$BC366=(Elig_MatchAll_Ct-1),AH366=0),E366,0)</f>
        <v>0</v>
      </c>
      <c r="BK366" s="214">
        <f>IF(AND(Input_Product=Elig!$C366,Elig_MatchAll_Ct&lt;22,$BC366=(Elig_MatchAll_Ct-1),AI366=0),F366,0)</f>
        <v>0</v>
      </c>
      <c r="BL366" s="214">
        <f>IF(AND(Input_Product=Elig!$C366,Elig_MatchAll_Ct&lt;22,$BC366=(Elig_MatchAll_Ct-1),AJ366=0),G366,0)</f>
        <v>0</v>
      </c>
      <c r="BM366" s="214">
        <f>IF(AND(Input_Product=Elig!$C366,Elig_MatchAll_Ct&lt;22,$BC366=(Elig_MatchAll_Ct-1),AK366=0),H366,0)</f>
        <v>0</v>
      </c>
      <c r="BN366" s="214">
        <f>IF(AND(Input_Product=Elig!$C366,Elig_MatchAll_Ct&lt;22,$BC366=(Elig_MatchAll_Ct-1),AL366=0),I366,0)</f>
        <v>0</v>
      </c>
      <c r="BO366" s="214">
        <f>IF(AND(Input_Product=Elig!$C366,Elig_MatchAll_Ct&lt;22,$BC366=(Elig_MatchAll_Ct-1),AM366=0),J366,0)</f>
        <v>0</v>
      </c>
      <c r="BP366" s="214">
        <f>IF(AND(Input_Product=Elig!$C366,Elig_MatchAll_Ct&lt;22,$BC366=(Elig_MatchAll_Ct-1),AN366=0),K366,0)</f>
        <v>0</v>
      </c>
      <c r="BQ366" s="214">
        <f>IF(AND(Input_Product=Elig!$C366,Elig_MatchAll_Ct&lt;22,$BC366=(Elig_MatchAll_Ct-1),AP366=0),L366,0)</f>
        <v>0</v>
      </c>
      <c r="BR366" s="214">
        <f>IF(AND(Input_Product=Elig!$C366,Elig_MatchAll_Ct&lt;22,$BC366=(Elig_MatchAll_Ct-1),AO366=0),M366,0)</f>
        <v>0</v>
      </c>
      <c r="BS366" s="214">
        <f>IF(AND(Input_Product=Elig!$C366,Elig_MatchAll_Ct&lt;22,$BC366=(Elig_MatchAll_Ct-1),AQ366=0),N366,0)</f>
        <v>0</v>
      </c>
      <c r="BT366" s="214">
        <f>IF(AND(Input_Product=Elig!$C366,Elig_MatchAll_Ct&lt;22,$BC366=(Elig_MatchAll_Ct-1),AR366=0),O366,0)</f>
        <v>0</v>
      </c>
      <c r="BU366" s="214">
        <f>IF(AND(Input_Product=Elig!$C366,Elig_MatchAll_Ct&lt;22,$BC366=(Elig_MatchAll_Ct-1),AS366=0),P366,0)</f>
        <v>0</v>
      </c>
      <c r="BV366" s="215">
        <f>IF(AND(Input_Product=Elig!$C366,Elig_MatchAll_Ct&lt;22,$BC366=(Elig_MatchAll_Ct-1),AT366=0),Q366,0)</f>
        <v>0</v>
      </c>
      <c r="BW366" s="207">
        <f>IF(AND(Input_Product=Elig!$C366,Elig_MatchAll_Ct&lt;22,$BC366=(Elig_MatchAll_Ct-1),AU366=0),R366,0)</f>
        <v>0</v>
      </c>
      <c r="BX366" s="208">
        <f>IF(AND(Input_Product=Elig!$C366,Elig_MatchAll_Ct&lt;22,$BC366=(Elig_MatchAll_Ct-1),AU366=0),S366,0)</f>
        <v>0</v>
      </c>
      <c r="BY366" s="207">
        <f>IF(AND(Input_Product=Elig!$C366,Elig_MatchAll_Ct&lt;22,$BC366=(Elig_MatchAll_Ct-1),AV366=0),T366,0)</f>
        <v>0</v>
      </c>
      <c r="BZ366" s="208">
        <f>IF(AND(Input_Product=Elig!$C366,Elig_MatchAll_Ct&lt;22,$BC366=(Elig_MatchAll_Ct-1),AV366=0),U366,0)</f>
        <v>0</v>
      </c>
      <c r="CA366" s="207">
        <f>IF(AND(Input_Product=Elig!$C366,Elig_MatchAll_Ct&lt;22,$BC366=(Elig_MatchAll_Ct-1),AW366=0),V366,0)</f>
        <v>0</v>
      </c>
      <c r="CB366" s="208">
        <f>IF(AND(Input_Product=Elig!$C366,Elig_MatchAll_Ct&lt;22,$BC366=(Elig_MatchAll_Ct-1),AW366=0),W366,0)</f>
        <v>0</v>
      </c>
      <c r="CC366" s="207">
        <f>IF(AND(Input_Product=Elig!$C366,Elig_MatchAll_Ct&lt;22,$BC366=(Elig_MatchAll_Ct-1),AX366=0),X366,0)</f>
        <v>0</v>
      </c>
      <c r="CD366" s="208">
        <f>IF(AND(Input_Product=Elig!$C366,Elig_MatchAll_Ct&lt;22,$BC366=(Elig_MatchAll_Ct-1),AX366=0),Y366,0)</f>
        <v>0</v>
      </c>
      <c r="CE366" s="207">
        <f>IF(AND(Input_LTV&lt;=AE366,Input_Product=Elig!$C366,Elig_MatchAll_Ct&lt;22,$BC366=(Elig_MatchAll_Ct-1),AY366=0),Z366,0)</f>
        <v>0</v>
      </c>
      <c r="CF366" s="208">
        <f>IF(AND(Input_LTV&lt;=AE366,Input_Product=Elig!$C366,Elig_MatchAll_Ct&lt;22,$BC366=(Elig_MatchAll_Ct-1),AY366=0),AA366,0)</f>
        <v>0</v>
      </c>
      <c r="CG366" s="207">
        <f>IF(AND(Input_Product=Elig!$C366,Elig_MatchAll_Ct&lt;22,$BC366=(Elig_MatchAll_Ct-1),AZ366=0),AB366,0)</f>
        <v>0</v>
      </c>
      <c r="CH366" s="208">
        <f>IF(AND(Input_Product=Elig!$C366,Elig_MatchAll_Ct&lt;22,$BC366=(Elig_MatchAll_Ct-1),AZ366=0),AC366,0)</f>
        <v>0</v>
      </c>
      <c r="CI366" s="207">
        <f>IF(AND(Input_Product=Elig!$C366,Elig_MatchAll_Ct&lt;22,$BC366=(Elig_MatchAll_Ct-1),BA366=0),AD366,0)</f>
        <v>0</v>
      </c>
      <c r="CJ366" s="209">
        <f>IF(AND(Input_Product=Elig!$C366,Elig_MatchAll_Ct&lt;22,$BC366=(Elig_MatchAll_Ct-1),BA366=0),AE366,0)</f>
        <v>0</v>
      </c>
    </row>
    <row r="367" spans="2:88" ht="10.15" customHeight="1" x14ac:dyDescent="0.25">
      <c r="B367" s="287" t="s">
        <v>1063</v>
      </c>
      <c r="C367" s="281" t="str">
        <f t="shared" si="153"/>
        <v>NonQM NOO</v>
      </c>
      <c r="D367" s="282" t="s">
        <v>3885</v>
      </c>
      <c r="E367" s="283" t="s">
        <v>167</v>
      </c>
      <c r="F367" s="283" t="s">
        <v>330</v>
      </c>
      <c r="G367" s="2103" t="s">
        <v>304</v>
      </c>
      <c r="H367" s="283" t="s">
        <v>446</v>
      </c>
      <c r="I367" s="282" t="s">
        <v>16</v>
      </c>
      <c r="J367" s="282" t="s">
        <v>1311</v>
      </c>
      <c r="K367" s="282" t="s">
        <v>1631</v>
      </c>
      <c r="L367" s="2103" t="s">
        <v>312</v>
      </c>
      <c r="M367" s="283" t="s">
        <v>4203</v>
      </c>
      <c r="N367" s="283" t="s">
        <v>2685</v>
      </c>
      <c r="O367" s="283" t="s">
        <v>310</v>
      </c>
      <c r="P367" s="283" t="s">
        <v>291</v>
      </c>
      <c r="Q367" s="283" t="s">
        <v>294</v>
      </c>
      <c r="R367" s="282">
        <v>1000000.01</v>
      </c>
      <c r="S367" s="282">
        <v>1500000</v>
      </c>
      <c r="T367" s="282">
        <v>0</v>
      </c>
      <c r="U367" s="282">
        <f t="shared" ref="U367:U372" si="155">S367</f>
        <v>1500000</v>
      </c>
      <c r="V367" s="282">
        <v>0</v>
      </c>
      <c r="W367" s="282">
        <v>55</v>
      </c>
      <c r="X367" s="282">
        <v>0</v>
      </c>
      <c r="Y367" s="282">
        <v>999</v>
      </c>
      <c r="Z367" s="284">
        <v>720</v>
      </c>
      <c r="AA367" s="284">
        <v>999</v>
      </c>
      <c r="AB367" s="284">
        <v>6</v>
      </c>
      <c r="AC367" s="284">
        <v>999999</v>
      </c>
      <c r="AD367" s="282">
        <v>0</v>
      </c>
      <c r="AE367" s="2104">
        <v>80</v>
      </c>
      <c r="AF367" s="170">
        <v>0</v>
      </c>
      <c r="AG367" s="171">
        <v>1</v>
      </c>
      <c r="AH367" s="171">
        <v>1</v>
      </c>
      <c r="AI367" s="171">
        <v>0</v>
      </c>
      <c r="AJ367" s="171">
        <v>0</v>
      </c>
      <c r="AK367" s="171">
        <v>0</v>
      </c>
      <c r="AL367" s="171">
        <v>1</v>
      </c>
      <c r="AM367" s="171">
        <v>1</v>
      </c>
      <c r="AN367" s="171">
        <v>1</v>
      </c>
      <c r="AO367" s="171">
        <v>1</v>
      </c>
      <c r="AP367" s="171">
        <v>1</v>
      </c>
      <c r="AQ367" s="171">
        <v>1</v>
      </c>
      <c r="AR367" s="171">
        <v>1</v>
      </c>
      <c r="AS367" s="171">
        <v>1</v>
      </c>
      <c r="AT367" s="171">
        <v>1</v>
      </c>
      <c r="AU367" s="171">
        <f t="shared" si="140"/>
        <v>0</v>
      </c>
      <c r="AV367" s="171">
        <f t="shared" si="141"/>
        <v>1</v>
      </c>
      <c r="AW367" s="171">
        <f t="shared" si="142"/>
        <v>1</v>
      </c>
      <c r="AX367" s="171">
        <f t="shared" si="152"/>
        <v>1</v>
      </c>
      <c r="AY367" s="171">
        <f t="shared" si="143"/>
        <v>1</v>
      </c>
      <c r="AZ367" s="171">
        <f t="shared" si="144"/>
        <v>1</v>
      </c>
      <c r="BA367" s="172">
        <f t="shared" si="145"/>
        <v>1</v>
      </c>
      <c r="BB367" s="175">
        <f t="shared" si="147"/>
        <v>17</v>
      </c>
      <c r="BC367" s="176">
        <f t="shared" si="148"/>
        <v>16</v>
      </c>
      <c r="BD367" s="176">
        <f t="shared" si="149"/>
        <v>17</v>
      </c>
      <c r="BE367" s="240" t="str">
        <f t="shared" si="146"/>
        <v/>
      </c>
      <c r="BH367" s="216">
        <f>IF(AND(Input_Product=Elig!$C367,Elig_MatchAll_Ct&lt;22,$BC367=(Elig_MatchAll_Ct-1),AF367=0),C367,0)</f>
        <v>0</v>
      </c>
      <c r="BI367" s="216">
        <f>IF(AND(Input_Product=Elig!$C367,Elig_MatchAll_Ct&lt;22,$BC367=(Elig_MatchAll_Ct-1),AG367=0),D367,0)</f>
        <v>0</v>
      </c>
      <c r="BJ367" s="216">
        <f>IF(AND(Input_Product=Elig!$C367,Elig_MatchAll_Ct&lt;22,$BC367=(Elig_MatchAll_Ct-1),AH367=0),E367,0)</f>
        <v>0</v>
      </c>
      <c r="BK367" s="216">
        <f>IF(AND(Input_Product=Elig!$C367,Elig_MatchAll_Ct&lt;22,$BC367=(Elig_MatchAll_Ct-1),AI367=0),F367,0)</f>
        <v>0</v>
      </c>
      <c r="BL367" s="216">
        <f>IF(AND(Input_Product=Elig!$C367,Elig_MatchAll_Ct&lt;22,$BC367=(Elig_MatchAll_Ct-1),AJ367=0),G367,0)</f>
        <v>0</v>
      </c>
      <c r="BM367" s="216">
        <f>IF(AND(Input_Product=Elig!$C367,Elig_MatchAll_Ct&lt;22,$BC367=(Elig_MatchAll_Ct-1),AK367=0),H367,0)</f>
        <v>0</v>
      </c>
      <c r="BN367" s="216">
        <f>IF(AND(Input_Product=Elig!$C367,Elig_MatchAll_Ct&lt;22,$BC367=(Elig_MatchAll_Ct-1),AL367=0),I367,0)</f>
        <v>0</v>
      </c>
      <c r="BO367" s="216">
        <f>IF(AND(Input_Product=Elig!$C367,Elig_MatchAll_Ct&lt;22,$BC367=(Elig_MatchAll_Ct-1),AM367=0),J367,0)</f>
        <v>0</v>
      </c>
      <c r="BP367" s="216">
        <f>IF(AND(Input_Product=Elig!$C367,Elig_MatchAll_Ct&lt;22,$BC367=(Elig_MatchAll_Ct-1),AN367=0),K367,0)</f>
        <v>0</v>
      </c>
      <c r="BQ367" s="216">
        <f>IF(AND(Input_Product=Elig!$C367,Elig_MatchAll_Ct&lt;22,$BC367=(Elig_MatchAll_Ct-1),AP367=0),L367,0)</f>
        <v>0</v>
      </c>
      <c r="BR367" s="216">
        <f>IF(AND(Input_Product=Elig!$C367,Elig_MatchAll_Ct&lt;22,$BC367=(Elig_MatchAll_Ct-1),AO367=0),M367,0)</f>
        <v>0</v>
      </c>
      <c r="BS367" s="216">
        <f>IF(AND(Input_Product=Elig!$C367,Elig_MatchAll_Ct&lt;22,$BC367=(Elig_MatchAll_Ct-1),AQ367=0),N367,0)</f>
        <v>0</v>
      </c>
      <c r="BT367" s="216">
        <f>IF(AND(Input_Product=Elig!$C367,Elig_MatchAll_Ct&lt;22,$BC367=(Elig_MatchAll_Ct-1),AR367=0),O367,0)</f>
        <v>0</v>
      </c>
      <c r="BU367" s="216">
        <f>IF(AND(Input_Product=Elig!$C367,Elig_MatchAll_Ct&lt;22,$BC367=(Elig_MatchAll_Ct-1),AS367=0),P367,0)</f>
        <v>0</v>
      </c>
      <c r="BV367" s="217">
        <f>IF(AND(Input_Product=Elig!$C367,Elig_MatchAll_Ct&lt;22,$BC367=(Elig_MatchAll_Ct-1),AT367=0),Q367,0)</f>
        <v>0</v>
      </c>
      <c r="BW367" s="218">
        <f>IF(AND(Input_Product=Elig!$C367,Elig_MatchAll_Ct&lt;22,$BC367=(Elig_MatchAll_Ct-1),AU367=0),R367,0)</f>
        <v>0</v>
      </c>
      <c r="BX367" s="219">
        <f>IF(AND(Input_Product=Elig!$C367,Elig_MatchAll_Ct&lt;22,$BC367=(Elig_MatchAll_Ct-1),AU367=0),S367,0)</f>
        <v>0</v>
      </c>
      <c r="BY367" s="218">
        <f>IF(AND(Input_Product=Elig!$C367,Elig_MatchAll_Ct&lt;22,$BC367=(Elig_MatchAll_Ct-1),AV367=0),T367,0)</f>
        <v>0</v>
      </c>
      <c r="BZ367" s="219">
        <f>IF(AND(Input_Product=Elig!$C367,Elig_MatchAll_Ct&lt;22,$BC367=(Elig_MatchAll_Ct-1),AV367=0),U367,0)</f>
        <v>0</v>
      </c>
      <c r="CA367" s="218">
        <f>IF(AND(Input_Product=Elig!$C367,Elig_MatchAll_Ct&lt;22,$BC367=(Elig_MatchAll_Ct-1),AW367=0),V367,0)</f>
        <v>0</v>
      </c>
      <c r="CB367" s="219">
        <f>IF(AND(Input_Product=Elig!$C367,Elig_MatchAll_Ct&lt;22,$BC367=(Elig_MatchAll_Ct-1),AW367=0),W367,0)</f>
        <v>0</v>
      </c>
      <c r="CC367" s="218">
        <f>IF(AND(Input_Product=Elig!$C367,Elig_MatchAll_Ct&lt;22,$BC367=(Elig_MatchAll_Ct-1),AX367=0),X367,0)</f>
        <v>0</v>
      </c>
      <c r="CD367" s="219">
        <f>IF(AND(Input_Product=Elig!$C367,Elig_MatchAll_Ct&lt;22,$BC367=(Elig_MatchAll_Ct-1),AX367=0),Y367,0)</f>
        <v>0</v>
      </c>
      <c r="CE367" s="218">
        <f>IF(AND(Input_LTV&lt;=AE367,Input_Product=Elig!$C367,Elig_MatchAll_Ct&lt;22,$BC367=(Elig_MatchAll_Ct-1),AY367=0),Z367,0)</f>
        <v>0</v>
      </c>
      <c r="CF367" s="219">
        <f>IF(AND(Input_LTV&lt;=AE367,Input_Product=Elig!$C367,Elig_MatchAll_Ct&lt;22,$BC367=(Elig_MatchAll_Ct-1),AY367=0),AA367,0)</f>
        <v>0</v>
      </c>
      <c r="CG367" s="218">
        <f>IF(AND(Input_Product=Elig!$C367,Elig_MatchAll_Ct&lt;22,$BC367=(Elig_MatchAll_Ct-1),AZ367=0),AB367,0)</f>
        <v>0</v>
      </c>
      <c r="CH367" s="219">
        <f>IF(AND(Input_Product=Elig!$C367,Elig_MatchAll_Ct&lt;22,$BC367=(Elig_MatchAll_Ct-1),AZ367=0),AC367,0)</f>
        <v>0</v>
      </c>
      <c r="CI367" s="218">
        <f>IF(AND(Input_Product=Elig!$C367,Elig_MatchAll_Ct&lt;22,$BC367=(Elig_MatchAll_Ct-1),BA367=0),AD367,0)</f>
        <v>0</v>
      </c>
      <c r="CJ367" s="219">
        <f>IF(AND(Input_Product=Elig!$C367,Elig_MatchAll_Ct&lt;22,$BC367=(Elig_MatchAll_Ct-1),BA367=0),AE367,0)</f>
        <v>0</v>
      </c>
    </row>
    <row r="368" spans="2:88" ht="10.15" customHeight="1" x14ac:dyDescent="0.25">
      <c r="B368" s="287" t="s">
        <v>1064</v>
      </c>
      <c r="C368" s="286" t="str">
        <f t="shared" si="153"/>
        <v>NonQM NOO</v>
      </c>
      <c r="D368" s="287" t="s">
        <v>3885</v>
      </c>
      <c r="E368" s="287" t="s">
        <v>167</v>
      </c>
      <c r="F368" s="287" t="s">
        <v>330</v>
      </c>
      <c r="G368" s="300" t="s">
        <v>304</v>
      </c>
      <c r="H368" s="287" t="s">
        <v>446</v>
      </c>
      <c r="I368" s="288" t="s">
        <v>16</v>
      </c>
      <c r="J368" s="288" t="s">
        <v>1311</v>
      </c>
      <c r="K368" s="288" t="s">
        <v>1631</v>
      </c>
      <c r="L368" s="300" t="s">
        <v>312</v>
      </c>
      <c r="M368" s="287" t="s">
        <v>4203</v>
      </c>
      <c r="N368" s="287" t="s">
        <v>2685</v>
      </c>
      <c r="O368" s="287" t="s">
        <v>310</v>
      </c>
      <c r="P368" s="287" t="s">
        <v>291</v>
      </c>
      <c r="Q368" s="287" t="s">
        <v>294</v>
      </c>
      <c r="R368" s="287">
        <v>1000000.01</v>
      </c>
      <c r="S368" s="287">
        <v>1500000</v>
      </c>
      <c r="T368" s="287">
        <v>0</v>
      </c>
      <c r="U368" s="287">
        <f t="shared" si="155"/>
        <v>1500000</v>
      </c>
      <c r="V368" s="287">
        <v>0</v>
      </c>
      <c r="W368" s="287">
        <v>55</v>
      </c>
      <c r="X368" s="287">
        <v>0</v>
      </c>
      <c r="Y368" s="287">
        <v>999</v>
      </c>
      <c r="Z368" s="289">
        <v>700</v>
      </c>
      <c r="AA368" s="289">
        <v>719</v>
      </c>
      <c r="AB368" s="289">
        <v>6</v>
      </c>
      <c r="AC368" s="289">
        <v>999999</v>
      </c>
      <c r="AD368" s="287">
        <v>0</v>
      </c>
      <c r="AE368" s="290">
        <v>75</v>
      </c>
      <c r="AF368" s="170">
        <v>0</v>
      </c>
      <c r="AG368" s="171">
        <v>1</v>
      </c>
      <c r="AH368" s="171">
        <v>1</v>
      </c>
      <c r="AI368" s="171">
        <v>0</v>
      </c>
      <c r="AJ368" s="171">
        <v>0</v>
      </c>
      <c r="AK368" s="171">
        <v>0</v>
      </c>
      <c r="AL368" s="171">
        <v>1</v>
      </c>
      <c r="AM368" s="171">
        <v>1</v>
      </c>
      <c r="AN368" s="171">
        <v>1</v>
      </c>
      <c r="AO368" s="171">
        <v>1</v>
      </c>
      <c r="AP368" s="171">
        <v>1</v>
      </c>
      <c r="AQ368" s="171">
        <v>1</v>
      </c>
      <c r="AR368" s="171">
        <v>1</v>
      </c>
      <c r="AS368" s="171">
        <v>1</v>
      </c>
      <c r="AT368" s="171">
        <v>1</v>
      </c>
      <c r="AU368" s="171">
        <f t="shared" si="140"/>
        <v>0</v>
      </c>
      <c r="AV368" s="171">
        <f t="shared" si="141"/>
        <v>1</v>
      </c>
      <c r="AW368" s="171">
        <f t="shared" si="142"/>
        <v>1</v>
      </c>
      <c r="AX368" s="171">
        <f t="shared" si="152"/>
        <v>1</v>
      </c>
      <c r="AY368" s="171">
        <f t="shared" si="143"/>
        <v>0</v>
      </c>
      <c r="AZ368" s="171">
        <f t="shared" si="144"/>
        <v>1</v>
      </c>
      <c r="BA368" s="172">
        <f t="shared" si="145"/>
        <v>1</v>
      </c>
      <c r="BB368" s="175">
        <f t="shared" si="147"/>
        <v>16</v>
      </c>
      <c r="BC368" s="176">
        <f t="shared" si="148"/>
        <v>15</v>
      </c>
      <c r="BD368" s="176">
        <f t="shared" si="149"/>
        <v>16</v>
      </c>
      <c r="BE368" s="240" t="str">
        <f t="shared" si="146"/>
        <v/>
      </c>
      <c r="BH368" s="199">
        <f>IF(AND(Input_Product=Elig!$C368,Elig_MatchAll_Ct&lt;22,$BC368=(Elig_MatchAll_Ct-1),AF368=0),C368,0)</f>
        <v>0</v>
      </c>
      <c r="BI368" s="199">
        <f>IF(AND(Input_Product=Elig!$C368,Elig_MatchAll_Ct&lt;22,$BC368=(Elig_MatchAll_Ct-1),AG368=0),D368,0)</f>
        <v>0</v>
      </c>
      <c r="BJ368" s="199">
        <f>IF(AND(Input_Product=Elig!$C368,Elig_MatchAll_Ct&lt;22,$BC368=(Elig_MatchAll_Ct-1),AH368=0),E368,0)</f>
        <v>0</v>
      </c>
      <c r="BK368" s="199">
        <f>IF(AND(Input_Product=Elig!$C368,Elig_MatchAll_Ct&lt;22,$BC368=(Elig_MatchAll_Ct-1),AI368=0),F368,0)</f>
        <v>0</v>
      </c>
      <c r="BL368" s="199">
        <f>IF(AND(Input_Product=Elig!$C368,Elig_MatchAll_Ct&lt;22,$BC368=(Elig_MatchAll_Ct-1),AJ368=0),G368,0)</f>
        <v>0</v>
      </c>
      <c r="BM368" s="199">
        <f>IF(AND(Input_Product=Elig!$C368,Elig_MatchAll_Ct&lt;22,$BC368=(Elig_MatchAll_Ct-1),AK368=0),H368,0)</f>
        <v>0</v>
      </c>
      <c r="BN368" s="199">
        <f>IF(AND(Input_Product=Elig!$C368,Elig_MatchAll_Ct&lt;22,$BC368=(Elig_MatchAll_Ct-1),AL368=0),I368,0)</f>
        <v>0</v>
      </c>
      <c r="BO368" s="199">
        <f>IF(AND(Input_Product=Elig!$C368,Elig_MatchAll_Ct&lt;22,$BC368=(Elig_MatchAll_Ct-1),AM368=0),J368,0)</f>
        <v>0</v>
      </c>
      <c r="BP368" s="199">
        <f>IF(AND(Input_Product=Elig!$C368,Elig_MatchAll_Ct&lt;22,$BC368=(Elig_MatchAll_Ct-1),AN368=0),K368,0)</f>
        <v>0</v>
      </c>
      <c r="BQ368" s="199">
        <f>IF(AND(Input_Product=Elig!$C368,Elig_MatchAll_Ct&lt;22,$BC368=(Elig_MatchAll_Ct-1),AP368=0),L368,0)</f>
        <v>0</v>
      </c>
      <c r="BR368" s="199">
        <f>IF(AND(Input_Product=Elig!$C368,Elig_MatchAll_Ct&lt;22,$BC368=(Elig_MatchAll_Ct-1),AO368=0),M368,0)</f>
        <v>0</v>
      </c>
      <c r="BS368" s="199">
        <f>IF(AND(Input_Product=Elig!$C368,Elig_MatchAll_Ct&lt;22,$BC368=(Elig_MatchAll_Ct-1),AQ368=0),N368,0)</f>
        <v>0</v>
      </c>
      <c r="BT368" s="199">
        <f>IF(AND(Input_Product=Elig!$C368,Elig_MatchAll_Ct&lt;22,$BC368=(Elig_MatchAll_Ct-1),AR368=0),O368,0)</f>
        <v>0</v>
      </c>
      <c r="BU368" s="199">
        <f>IF(AND(Input_Product=Elig!$C368,Elig_MatchAll_Ct&lt;22,$BC368=(Elig_MatchAll_Ct-1),AS368=0),P368,0)</f>
        <v>0</v>
      </c>
      <c r="BV368" s="200">
        <f>IF(AND(Input_Product=Elig!$C368,Elig_MatchAll_Ct&lt;22,$BC368=(Elig_MatchAll_Ct-1),AT368=0),Q368,0)</f>
        <v>0</v>
      </c>
      <c r="BW368" s="201">
        <f>IF(AND(Input_Product=Elig!$C368,Elig_MatchAll_Ct&lt;22,$BC368=(Elig_MatchAll_Ct-1),AU368=0),R368,0)</f>
        <v>0</v>
      </c>
      <c r="BX368" s="202">
        <f>IF(AND(Input_Product=Elig!$C368,Elig_MatchAll_Ct&lt;22,$BC368=(Elig_MatchAll_Ct-1),AU368=0),S368,0)</f>
        <v>0</v>
      </c>
      <c r="BY368" s="201">
        <f>IF(AND(Input_Product=Elig!$C368,Elig_MatchAll_Ct&lt;22,$BC368=(Elig_MatchAll_Ct-1),AV368=0),T368,0)</f>
        <v>0</v>
      </c>
      <c r="BZ368" s="202">
        <f>IF(AND(Input_Product=Elig!$C368,Elig_MatchAll_Ct&lt;22,$BC368=(Elig_MatchAll_Ct-1),AV368=0),U368,0)</f>
        <v>0</v>
      </c>
      <c r="CA368" s="201">
        <f>IF(AND(Input_Product=Elig!$C368,Elig_MatchAll_Ct&lt;22,$BC368=(Elig_MatchAll_Ct-1),AW368=0),V368,0)</f>
        <v>0</v>
      </c>
      <c r="CB368" s="202">
        <f>IF(AND(Input_Product=Elig!$C368,Elig_MatchAll_Ct&lt;22,$BC368=(Elig_MatchAll_Ct-1),AW368=0),W368,0)</f>
        <v>0</v>
      </c>
      <c r="CC368" s="201">
        <f>IF(AND(Input_Product=Elig!$C368,Elig_MatchAll_Ct&lt;22,$BC368=(Elig_MatchAll_Ct-1),AX368=0),X368,0)</f>
        <v>0</v>
      </c>
      <c r="CD368" s="202">
        <f>IF(AND(Input_Product=Elig!$C368,Elig_MatchAll_Ct&lt;22,$BC368=(Elig_MatchAll_Ct-1),AX368=0),Y368,0)</f>
        <v>0</v>
      </c>
      <c r="CE368" s="201">
        <f>IF(AND(Input_LTV&lt;=AE368,Input_Product=Elig!$C368,Elig_MatchAll_Ct&lt;22,$BC368=(Elig_MatchAll_Ct-1),AY368=0),Z368,0)</f>
        <v>0</v>
      </c>
      <c r="CF368" s="202">
        <f>IF(AND(Input_LTV&lt;=AE368,Input_Product=Elig!$C368,Elig_MatchAll_Ct&lt;22,$BC368=(Elig_MatchAll_Ct-1),AY368=0),AA368,0)</f>
        <v>0</v>
      </c>
      <c r="CG368" s="201">
        <f>IF(AND(Input_Product=Elig!$C368,Elig_MatchAll_Ct&lt;22,$BC368=(Elig_MatchAll_Ct-1),AZ368=0),AB368,0)</f>
        <v>0</v>
      </c>
      <c r="CH368" s="202">
        <f>IF(AND(Input_Product=Elig!$C368,Elig_MatchAll_Ct&lt;22,$BC368=(Elig_MatchAll_Ct-1),AZ368=0),AC368,0)</f>
        <v>0</v>
      </c>
      <c r="CI368" s="201">
        <f>IF(AND(Input_Product=Elig!$C368,Elig_MatchAll_Ct&lt;22,$BC368=(Elig_MatchAll_Ct-1),BA368=0),AD368,0)</f>
        <v>0</v>
      </c>
      <c r="CJ368" s="202">
        <f>IF(AND(Input_Product=Elig!$C368,Elig_MatchAll_Ct&lt;22,$BC368=(Elig_MatchAll_Ct-1),BA368=0),AE368,0)</f>
        <v>0</v>
      </c>
    </row>
    <row r="369" spans="2:88" ht="10.15" customHeight="1" x14ac:dyDescent="0.25">
      <c r="B369" s="287" t="s">
        <v>1065</v>
      </c>
      <c r="C369" s="286" t="str">
        <f t="shared" si="153"/>
        <v>NonQM NOO</v>
      </c>
      <c r="D369" s="287" t="s">
        <v>3885</v>
      </c>
      <c r="E369" s="287" t="s">
        <v>167</v>
      </c>
      <c r="F369" s="287" t="s">
        <v>330</v>
      </c>
      <c r="G369" s="300" t="s">
        <v>304</v>
      </c>
      <c r="H369" s="287" t="s">
        <v>446</v>
      </c>
      <c r="I369" s="288" t="s">
        <v>16</v>
      </c>
      <c r="J369" s="288" t="s">
        <v>1311</v>
      </c>
      <c r="K369" s="288" t="s">
        <v>1631</v>
      </c>
      <c r="L369" s="300" t="s">
        <v>312</v>
      </c>
      <c r="M369" s="287" t="s">
        <v>4203</v>
      </c>
      <c r="N369" s="287" t="s">
        <v>2685</v>
      </c>
      <c r="O369" s="287" t="s">
        <v>310</v>
      </c>
      <c r="P369" s="287" t="s">
        <v>291</v>
      </c>
      <c r="Q369" s="287" t="s">
        <v>294</v>
      </c>
      <c r="R369" s="287">
        <v>1000000.01</v>
      </c>
      <c r="S369" s="287">
        <v>1500000</v>
      </c>
      <c r="T369" s="287">
        <v>0</v>
      </c>
      <c r="U369" s="287">
        <f t="shared" si="155"/>
        <v>1500000</v>
      </c>
      <c r="V369" s="287">
        <v>0</v>
      </c>
      <c r="W369" s="287">
        <v>55</v>
      </c>
      <c r="X369" s="287">
        <v>0</v>
      </c>
      <c r="Y369" s="287">
        <v>999</v>
      </c>
      <c r="Z369" s="289">
        <v>680</v>
      </c>
      <c r="AA369" s="289">
        <v>699</v>
      </c>
      <c r="AB369" s="289">
        <v>6</v>
      </c>
      <c r="AC369" s="289">
        <v>999999</v>
      </c>
      <c r="AD369" s="287">
        <v>0</v>
      </c>
      <c r="AE369" s="2105">
        <v>75</v>
      </c>
      <c r="AF369" s="170">
        <v>0</v>
      </c>
      <c r="AG369" s="171">
        <v>1</v>
      </c>
      <c r="AH369" s="171">
        <v>1</v>
      </c>
      <c r="AI369" s="171">
        <v>0</v>
      </c>
      <c r="AJ369" s="171">
        <v>0</v>
      </c>
      <c r="AK369" s="171">
        <v>0</v>
      </c>
      <c r="AL369" s="171">
        <v>1</v>
      </c>
      <c r="AM369" s="171">
        <v>1</v>
      </c>
      <c r="AN369" s="171">
        <v>1</v>
      </c>
      <c r="AO369" s="171">
        <v>1</v>
      </c>
      <c r="AP369" s="171">
        <v>1</v>
      </c>
      <c r="AQ369" s="171">
        <v>1</v>
      </c>
      <c r="AR369" s="171">
        <v>1</v>
      </c>
      <c r="AS369" s="171">
        <v>1</v>
      </c>
      <c r="AT369" s="171">
        <v>1</v>
      </c>
      <c r="AU369" s="171">
        <f t="shared" si="140"/>
        <v>0</v>
      </c>
      <c r="AV369" s="171">
        <f t="shared" si="141"/>
        <v>1</v>
      </c>
      <c r="AW369" s="171">
        <f t="shared" si="142"/>
        <v>1</v>
      </c>
      <c r="AX369" s="171">
        <f t="shared" si="152"/>
        <v>1</v>
      </c>
      <c r="AY369" s="171">
        <f t="shared" si="143"/>
        <v>0</v>
      </c>
      <c r="AZ369" s="171">
        <f t="shared" si="144"/>
        <v>1</v>
      </c>
      <c r="BA369" s="172">
        <f t="shared" si="145"/>
        <v>1</v>
      </c>
      <c r="BB369" s="175">
        <f t="shared" si="147"/>
        <v>16</v>
      </c>
      <c r="BC369" s="176">
        <f t="shared" si="148"/>
        <v>15</v>
      </c>
      <c r="BD369" s="176">
        <f t="shared" si="149"/>
        <v>16</v>
      </c>
      <c r="BE369" s="240" t="str">
        <f t="shared" si="146"/>
        <v/>
      </c>
      <c r="BH369" s="199">
        <f>IF(AND(Input_Product=Elig!$C369,Elig_MatchAll_Ct&lt;22,$BC369=(Elig_MatchAll_Ct-1),AF369=0),C369,0)</f>
        <v>0</v>
      </c>
      <c r="BI369" s="199">
        <f>IF(AND(Input_Product=Elig!$C369,Elig_MatchAll_Ct&lt;22,$BC369=(Elig_MatchAll_Ct-1),AG369=0),D369,0)</f>
        <v>0</v>
      </c>
      <c r="BJ369" s="199">
        <f>IF(AND(Input_Product=Elig!$C369,Elig_MatchAll_Ct&lt;22,$BC369=(Elig_MatchAll_Ct-1),AH369=0),E369,0)</f>
        <v>0</v>
      </c>
      <c r="BK369" s="199">
        <f>IF(AND(Input_Product=Elig!$C369,Elig_MatchAll_Ct&lt;22,$BC369=(Elig_MatchAll_Ct-1),AI369=0),F369,0)</f>
        <v>0</v>
      </c>
      <c r="BL369" s="199">
        <f>IF(AND(Input_Product=Elig!$C369,Elig_MatchAll_Ct&lt;22,$BC369=(Elig_MatchAll_Ct-1),AJ369=0),G369,0)</f>
        <v>0</v>
      </c>
      <c r="BM369" s="199">
        <f>IF(AND(Input_Product=Elig!$C369,Elig_MatchAll_Ct&lt;22,$BC369=(Elig_MatchAll_Ct-1),AK369=0),H369,0)</f>
        <v>0</v>
      </c>
      <c r="BN369" s="199">
        <f>IF(AND(Input_Product=Elig!$C369,Elig_MatchAll_Ct&lt;22,$BC369=(Elig_MatchAll_Ct-1),AL369=0),I369,0)</f>
        <v>0</v>
      </c>
      <c r="BO369" s="199">
        <f>IF(AND(Input_Product=Elig!$C369,Elig_MatchAll_Ct&lt;22,$BC369=(Elig_MatchAll_Ct-1),AM369=0),J369,0)</f>
        <v>0</v>
      </c>
      <c r="BP369" s="199">
        <f>IF(AND(Input_Product=Elig!$C369,Elig_MatchAll_Ct&lt;22,$BC369=(Elig_MatchAll_Ct-1),AN369=0),K369,0)</f>
        <v>0</v>
      </c>
      <c r="BQ369" s="199">
        <f>IF(AND(Input_Product=Elig!$C369,Elig_MatchAll_Ct&lt;22,$BC369=(Elig_MatchAll_Ct-1),AP369=0),L369,0)</f>
        <v>0</v>
      </c>
      <c r="BR369" s="199">
        <f>IF(AND(Input_Product=Elig!$C369,Elig_MatchAll_Ct&lt;22,$BC369=(Elig_MatchAll_Ct-1),AO369=0),M369,0)</f>
        <v>0</v>
      </c>
      <c r="BS369" s="199">
        <f>IF(AND(Input_Product=Elig!$C369,Elig_MatchAll_Ct&lt;22,$BC369=(Elig_MatchAll_Ct-1),AQ369=0),N369,0)</f>
        <v>0</v>
      </c>
      <c r="BT369" s="199">
        <f>IF(AND(Input_Product=Elig!$C369,Elig_MatchAll_Ct&lt;22,$BC369=(Elig_MatchAll_Ct-1),AR369=0),O369,0)</f>
        <v>0</v>
      </c>
      <c r="BU369" s="199">
        <f>IF(AND(Input_Product=Elig!$C369,Elig_MatchAll_Ct&lt;22,$BC369=(Elig_MatchAll_Ct-1),AS369=0),P369,0)</f>
        <v>0</v>
      </c>
      <c r="BV369" s="200">
        <f>IF(AND(Input_Product=Elig!$C369,Elig_MatchAll_Ct&lt;22,$BC369=(Elig_MatchAll_Ct-1),AT369=0),Q369,0)</f>
        <v>0</v>
      </c>
      <c r="BW369" s="201">
        <f>IF(AND(Input_Product=Elig!$C369,Elig_MatchAll_Ct&lt;22,$BC369=(Elig_MatchAll_Ct-1),AU369=0),R369,0)</f>
        <v>0</v>
      </c>
      <c r="BX369" s="202">
        <f>IF(AND(Input_Product=Elig!$C369,Elig_MatchAll_Ct&lt;22,$BC369=(Elig_MatchAll_Ct-1),AU369=0),S369,0)</f>
        <v>0</v>
      </c>
      <c r="BY369" s="201">
        <f>IF(AND(Input_Product=Elig!$C369,Elig_MatchAll_Ct&lt;22,$BC369=(Elig_MatchAll_Ct-1),AV369=0),T369,0)</f>
        <v>0</v>
      </c>
      <c r="BZ369" s="202">
        <f>IF(AND(Input_Product=Elig!$C369,Elig_MatchAll_Ct&lt;22,$BC369=(Elig_MatchAll_Ct-1),AV369=0),U369,0)</f>
        <v>0</v>
      </c>
      <c r="CA369" s="201">
        <f>IF(AND(Input_Product=Elig!$C369,Elig_MatchAll_Ct&lt;22,$BC369=(Elig_MatchAll_Ct-1),AW369=0),V369,0)</f>
        <v>0</v>
      </c>
      <c r="CB369" s="202">
        <f>IF(AND(Input_Product=Elig!$C369,Elig_MatchAll_Ct&lt;22,$BC369=(Elig_MatchAll_Ct-1),AW369=0),W369,0)</f>
        <v>0</v>
      </c>
      <c r="CC369" s="201">
        <f>IF(AND(Input_Product=Elig!$C369,Elig_MatchAll_Ct&lt;22,$BC369=(Elig_MatchAll_Ct-1),AX369=0),X369,0)</f>
        <v>0</v>
      </c>
      <c r="CD369" s="202">
        <f>IF(AND(Input_Product=Elig!$C369,Elig_MatchAll_Ct&lt;22,$BC369=(Elig_MatchAll_Ct-1),AX369=0),Y369,0)</f>
        <v>0</v>
      </c>
      <c r="CE369" s="201">
        <f>IF(AND(Input_LTV&lt;=AE369,Input_Product=Elig!$C369,Elig_MatchAll_Ct&lt;22,$BC369=(Elig_MatchAll_Ct-1),AY369=0),Z369,0)</f>
        <v>0</v>
      </c>
      <c r="CF369" s="202">
        <f>IF(AND(Input_LTV&lt;=AE369,Input_Product=Elig!$C369,Elig_MatchAll_Ct&lt;22,$BC369=(Elig_MatchAll_Ct-1),AY369=0),AA369,0)</f>
        <v>0</v>
      </c>
      <c r="CG369" s="201">
        <f>IF(AND(Input_Product=Elig!$C369,Elig_MatchAll_Ct&lt;22,$BC369=(Elig_MatchAll_Ct-1),AZ369=0),AB369,0)</f>
        <v>0</v>
      </c>
      <c r="CH369" s="202">
        <f>IF(AND(Input_Product=Elig!$C369,Elig_MatchAll_Ct&lt;22,$BC369=(Elig_MatchAll_Ct-1),AZ369=0),AC369,0)</f>
        <v>0</v>
      </c>
      <c r="CI369" s="201">
        <f>IF(AND(Input_Product=Elig!$C369,Elig_MatchAll_Ct&lt;22,$BC369=(Elig_MatchAll_Ct-1),BA369=0),AD369,0)</f>
        <v>0</v>
      </c>
      <c r="CJ369" s="202">
        <f>IF(AND(Input_Product=Elig!$C369,Elig_MatchAll_Ct&lt;22,$BC369=(Elig_MatchAll_Ct-1),BA369=0),AE369,0)</f>
        <v>0</v>
      </c>
    </row>
    <row r="370" spans="2:88" ht="10.15" customHeight="1" x14ac:dyDescent="0.25">
      <c r="B370" s="287" t="s">
        <v>1066</v>
      </c>
      <c r="C370" s="286" t="str">
        <f t="shared" si="153"/>
        <v>NonQM NOO</v>
      </c>
      <c r="D370" s="287" t="s">
        <v>3885</v>
      </c>
      <c r="E370" s="287" t="s">
        <v>167</v>
      </c>
      <c r="F370" s="287" t="s">
        <v>330</v>
      </c>
      <c r="G370" s="300" t="s">
        <v>304</v>
      </c>
      <c r="H370" s="287" t="s">
        <v>446</v>
      </c>
      <c r="I370" s="287" t="s">
        <v>16</v>
      </c>
      <c r="J370" s="287" t="s">
        <v>1311</v>
      </c>
      <c r="K370" s="287" t="s">
        <v>1631</v>
      </c>
      <c r="L370" s="300" t="s">
        <v>312</v>
      </c>
      <c r="M370" s="287" t="s">
        <v>4203</v>
      </c>
      <c r="N370" s="287" t="s">
        <v>2685</v>
      </c>
      <c r="O370" s="287" t="s">
        <v>310</v>
      </c>
      <c r="P370" s="287" t="s">
        <v>291</v>
      </c>
      <c r="Q370" s="287" t="s">
        <v>294</v>
      </c>
      <c r="R370" s="287">
        <v>1000000.01</v>
      </c>
      <c r="S370" s="287">
        <v>1500000</v>
      </c>
      <c r="T370" s="287">
        <v>0</v>
      </c>
      <c r="U370" s="287">
        <f t="shared" si="155"/>
        <v>1500000</v>
      </c>
      <c r="V370" s="287">
        <v>0</v>
      </c>
      <c r="W370" s="287">
        <v>50</v>
      </c>
      <c r="X370" s="287">
        <v>0</v>
      </c>
      <c r="Y370" s="287">
        <v>999</v>
      </c>
      <c r="Z370" s="289">
        <v>660</v>
      </c>
      <c r="AA370" s="289">
        <v>679</v>
      </c>
      <c r="AB370" s="289">
        <v>6</v>
      </c>
      <c r="AC370" s="289">
        <v>999999</v>
      </c>
      <c r="AD370" s="287">
        <v>0</v>
      </c>
      <c r="AE370" s="290">
        <v>70</v>
      </c>
      <c r="AF370" s="170">
        <v>0</v>
      </c>
      <c r="AG370" s="171">
        <v>1</v>
      </c>
      <c r="AH370" s="171">
        <v>1</v>
      </c>
      <c r="AI370" s="171">
        <v>0</v>
      </c>
      <c r="AJ370" s="171">
        <v>0</v>
      </c>
      <c r="AK370" s="171">
        <v>0</v>
      </c>
      <c r="AL370" s="171">
        <v>1</v>
      </c>
      <c r="AM370" s="171">
        <v>1</v>
      </c>
      <c r="AN370" s="171">
        <v>1</v>
      </c>
      <c r="AO370" s="171">
        <v>1</v>
      </c>
      <c r="AP370" s="171">
        <v>1</v>
      </c>
      <c r="AQ370" s="171">
        <v>1</v>
      </c>
      <c r="AR370" s="171">
        <v>1</v>
      </c>
      <c r="AS370" s="171">
        <v>1</v>
      </c>
      <c r="AT370" s="171">
        <v>1</v>
      </c>
      <c r="AU370" s="171">
        <f t="shared" si="140"/>
        <v>0</v>
      </c>
      <c r="AV370" s="171">
        <f t="shared" si="141"/>
        <v>1</v>
      </c>
      <c r="AW370" s="171">
        <f t="shared" si="142"/>
        <v>1</v>
      </c>
      <c r="AX370" s="171">
        <f t="shared" si="152"/>
        <v>1</v>
      </c>
      <c r="AY370" s="171">
        <f t="shared" si="143"/>
        <v>0</v>
      </c>
      <c r="AZ370" s="171">
        <f t="shared" si="144"/>
        <v>1</v>
      </c>
      <c r="BA370" s="172">
        <f t="shared" si="145"/>
        <v>1</v>
      </c>
      <c r="BB370" s="175">
        <f t="shared" si="147"/>
        <v>16</v>
      </c>
      <c r="BC370" s="176">
        <f t="shared" si="148"/>
        <v>15</v>
      </c>
      <c r="BD370" s="176">
        <f t="shared" si="149"/>
        <v>16</v>
      </c>
      <c r="BE370" s="240" t="str">
        <f t="shared" si="146"/>
        <v/>
      </c>
      <c r="BH370" s="199">
        <f>IF(AND(Input_Product=Elig!$C370,Elig_MatchAll_Ct&lt;22,$BC370=(Elig_MatchAll_Ct-1),AF370=0),C370,0)</f>
        <v>0</v>
      </c>
      <c r="BI370" s="199">
        <f>IF(AND(Input_Product=Elig!$C370,Elig_MatchAll_Ct&lt;22,$BC370=(Elig_MatchAll_Ct-1),AG370=0),D370,0)</f>
        <v>0</v>
      </c>
      <c r="BJ370" s="199">
        <f>IF(AND(Input_Product=Elig!$C370,Elig_MatchAll_Ct&lt;22,$BC370=(Elig_MatchAll_Ct-1),AH370=0),E370,0)</f>
        <v>0</v>
      </c>
      <c r="BK370" s="199">
        <f>IF(AND(Input_Product=Elig!$C370,Elig_MatchAll_Ct&lt;22,$BC370=(Elig_MatchAll_Ct-1),AI370=0),F370,0)</f>
        <v>0</v>
      </c>
      <c r="BL370" s="199">
        <f>IF(AND(Input_Product=Elig!$C370,Elig_MatchAll_Ct&lt;22,$BC370=(Elig_MatchAll_Ct-1),AJ370=0),G370,0)</f>
        <v>0</v>
      </c>
      <c r="BM370" s="199">
        <f>IF(AND(Input_Product=Elig!$C370,Elig_MatchAll_Ct&lt;22,$BC370=(Elig_MatchAll_Ct-1),AK370=0),H370,0)</f>
        <v>0</v>
      </c>
      <c r="BN370" s="199">
        <f>IF(AND(Input_Product=Elig!$C370,Elig_MatchAll_Ct&lt;22,$BC370=(Elig_MatchAll_Ct-1),AL370=0),I370,0)</f>
        <v>0</v>
      </c>
      <c r="BO370" s="199">
        <f>IF(AND(Input_Product=Elig!$C370,Elig_MatchAll_Ct&lt;22,$BC370=(Elig_MatchAll_Ct-1),AM370=0),J370,0)</f>
        <v>0</v>
      </c>
      <c r="BP370" s="199">
        <f>IF(AND(Input_Product=Elig!$C370,Elig_MatchAll_Ct&lt;22,$BC370=(Elig_MatchAll_Ct-1),AN370=0),K370,0)</f>
        <v>0</v>
      </c>
      <c r="BQ370" s="199">
        <f>IF(AND(Input_Product=Elig!$C370,Elig_MatchAll_Ct&lt;22,$BC370=(Elig_MatchAll_Ct-1),AP370=0),L370,0)</f>
        <v>0</v>
      </c>
      <c r="BR370" s="199">
        <f>IF(AND(Input_Product=Elig!$C370,Elig_MatchAll_Ct&lt;22,$BC370=(Elig_MatchAll_Ct-1),AO370=0),M370,0)</f>
        <v>0</v>
      </c>
      <c r="BS370" s="199">
        <f>IF(AND(Input_Product=Elig!$C370,Elig_MatchAll_Ct&lt;22,$BC370=(Elig_MatchAll_Ct-1),AQ370=0),N370,0)</f>
        <v>0</v>
      </c>
      <c r="BT370" s="199">
        <f>IF(AND(Input_Product=Elig!$C370,Elig_MatchAll_Ct&lt;22,$BC370=(Elig_MatchAll_Ct-1),AR370=0),O370,0)</f>
        <v>0</v>
      </c>
      <c r="BU370" s="199">
        <f>IF(AND(Input_Product=Elig!$C370,Elig_MatchAll_Ct&lt;22,$BC370=(Elig_MatchAll_Ct-1),AS370=0),P370,0)</f>
        <v>0</v>
      </c>
      <c r="BV370" s="200">
        <f>IF(AND(Input_Product=Elig!$C370,Elig_MatchAll_Ct&lt;22,$BC370=(Elig_MatchAll_Ct-1),AT370=0),Q370,0)</f>
        <v>0</v>
      </c>
      <c r="BW370" s="201">
        <f>IF(AND(Input_Product=Elig!$C370,Elig_MatchAll_Ct&lt;22,$BC370=(Elig_MatchAll_Ct-1),AU370=0),R370,0)</f>
        <v>0</v>
      </c>
      <c r="BX370" s="202">
        <f>IF(AND(Input_Product=Elig!$C370,Elig_MatchAll_Ct&lt;22,$BC370=(Elig_MatchAll_Ct-1),AU370=0),S370,0)</f>
        <v>0</v>
      </c>
      <c r="BY370" s="201">
        <f>IF(AND(Input_Product=Elig!$C370,Elig_MatchAll_Ct&lt;22,$BC370=(Elig_MatchAll_Ct-1),AV370=0),T370,0)</f>
        <v>0</v>
      </c>
      <c r="BZ370" s="202">
        <f>IF(AND(Input_Product=Elig!$C370,Elig_MatchAll_Ct&lt;22,$BC370=(Elig_MatchAll_Ct-1),AV370=0),U370,0)</f>
        <v>0</v>
      </c>
      <c r="CA370" s="201">
        <f>IF(AND(Input_Product=Elig!$C370,Elig_MatchAll_Ct&lt;22,$BC370=(Elig_MatchAll_Ct-1),AW370=0),V370,0)</f>
        <v>0</v>
      </c>
      <c r="CB370" s="202">
        <f>IF(AND(Input_Product=Elig!$C370,Elig_MatchAll_Ct&lt;22,$BC370=(Elig_MatchAll_Ct-1),AW370=0),W370,0)</f>
        <v>0</v>
      </c>
      <c r="CC370" s="201">
        <f>IF(AND(Input_Product=Elig!$C370,Elig_MatchAll_Ct&lt;22,$BC370=(Elig_MatchAll_Ct-1),AX370=0),X370,0)</f>
        <v>0</v>
      </c>
      <c r="CD370" s="202">
        <f>IF(AND(Input_Product=Elig!$C370,Elig_MatchAll_Ct&lt;22,$BC370=(Elig_MatchAll_Ct-1),AX370=0),Y370,0)</f>
        <v>0</v>
      </c>
      <c r="CE370" s="201">
        <f>IF(AND(Input_LTV&lt;=AE370,Input_Product=Elig!$C370,Elig_MatchAll_Ct&lt;22,$BC370=(Elig_MatchAll_Ct-1),AY370=0),Z370,0)</f>
        <v>0</v>
      </c>
      <c r="CF370" s="202">
        <f>IF(AND(Input_LTV&lt;=AE370,Input_Product=Elig!$C370,Elig_MatchAll_Ct&lt;22,$BC370=(Elig_MatchAll_Ct-1),AY370=0),AA370,0)</f>
        <v>0</v>
      </c>
      <c r="CG370" s="201">
        <f>IF(AND(Input_Product=Elig!$C370,Elig_MatchAll_Ct&lt;22,$BC370=(Elig_MatchAll_Ct-1),AZ370=0),AB370,0)</f>
        <v>0</v>
      </c>
      <c r="CH370" s="202">
        <f>IF(AND(Input_Product=Elig!$C370,Elig_MatchAll_Ct&lt;22,$BC370=(Elig_MatchAll_Ct-1),AZ370=0),AC370,0)</f>
        <v>0</v>
      </c>
      <c r="CI370" s="201">
        <f>IF(AND(Input_Product=Elig!$C370,Elig_MatchAll_Ct&lt;22,$BC370=(Elig_MatchAll_Ct-1),BA370=0),AD370,0)</f>
        <v>0</v>
      </c>
      <c r="CJ370" s="202">
        <f>IF(AND(Input_Product=Elig!$C370,Elig_MatchAll_Ct&lt;22,$BC370=(Elig_MatchAll_Ct-1),BA370=0),AE370,0)</f>
        <v>0</v>
      </c>
    </row>
    <row r="371" spans="2:88" ht="10.15" customHeight="1" x14ac:dyDescent="0.25">
      <c r="B371" s="287" t="s">
        <v>1067</v>
      </c>
      <c r="C371" s="286" t="str">
        <f t="shared" si="153"/>
        <v>NonQM NOO</v>
      </c>
      <c r="D371" s="287" t="s">
        <v>3885</v>
      </c>
      <c r="E371" s="287" t="s">
        <v>167</v>
      </c>
      <c r="F371" s="287" t="s">
        <v>330</v>
      </c>
      <c r="G371" s="300" t="s">
        <v>304</v>
      </c>
      <c r="H371" s="287" t="s">
        <v>446</v>
      </c>
      <c r="I371" s="287" t="s">
        <v>16</v>
      </c>
      <c r="J371" s="287" t="s">
        <v>1311</v>
      </c>
      <c r="K371" s="287" t="s">
        <v>1631</v>
      </c>
      <c r="L371" s="300" t="s">
        <v>312</v>
      </c>
      <c r="M371" s="287" t="s">
        <v>4203</v>
      </c>
      <c r="N371" s="287" t="s">
        <v>2685</v>
      </c>
      <c r="O371" s="287" t="s">
        <v>310</v>
      </c>
      <c r="P371" s="287" t="s">
        <v>291</v>
      </c>
      <c r="Q371" s="287" t="s">
        <v>294</v>
      </c>
      <c r="R371" s="287">
        <v>1000000.01</v>
      </c>
      <c r="S371" s="287">
        <v>1500000</v>
      </c>
      <c r="T371" s="287">
        <v>0</v>
      </c>
      <c r="U371" s="287">
        <f t="shared" si="155"/>
        <v>1500000</v>
      </c>
      <c r="V371" s="287">
        <v>0</v>
      </c>
      <c r="W371" s="287">
        <v>50</v>
      </c>
      <c r="X371" s="287">
        <v>0</v>
      </c>
      <c r="Y371" s="287">
        <v>999</v>
      </c>
      <c r="Z371" s="289">
        <v>640</v>
      </c>
      <c r="AA371" s="289">
        <v>659</v>
      </c>
      <c r="AB371" s="289">
        <v>6</v>
      </c>
      <c r="AC371" s="289">
        <v>999999</v>
      </c>
      <c r="AD371" s="287">
        <v>0</v>
      </c>
      <c r="AE371" s="290">
        <v>-999</v>
      </c>
      <c r="AF371" s="170">
        <v>0</v>
      </c>
      <c r="AG371" s="171">
        <v>1</v>
      </c>
      <c r="AH371" s="171">
        <v>1</v>
      </c>
      <c r="AI371" s="171">
        <v>0</v>
      </c>
      <c r="AJ371" s="171">
        <v>0</v>
      </c>
      <c r="AK371" s="171">
        <v>0</v>
      </c>
      <c r="AL371" s="171">
        <v>1</v>
      </c>
      <c r="AM371" s="171">
        <v>1</v>
      </c>
      <c r="AN371" s="171">
        <v>1</v>
      </c>
      <c r="AO371" s="171">
        <v>1</v>
      </c>
      <c r="AP371" s="171">
        <v>1</v>
      </c>
      <c r="AQ371" s="171">
        <v>1</v>
      </c>
      <c r="AR371" s="171">
        <v>1</v>
      </c>
      <c r="AS371" s="171">
        <v>1</v>
      </c>
      <c r="AT371" s="171">
        <v>1</v>
      </c>
      <c r="AU371" s="171">
        <f t="shared" si="140"/>
        <v>0</v>
      </c>
      <c r="AV371" s="171">
        <f t="shared" si="141"/>
        <v>1</v>
      </c>
      <c r="AW371" s="171">
        <f t="shared" si="142"/>
        <v>1</v>
      </c>
      <c r="AX371" s="171">
        <f t="shared" si="152"/>
        <v>1</v>
      </c>
      <c r="AY371" s="171">
        <f t="shared" si="143"/>
        <v>0</v>
      </c>
      <c r="AZ371" s="171">
        <f t="shared" si="144"/>
        <v>1</v>
      </c>
      <c r="BA371" s="172">
        <f t="shared" si="145"/>
        <v>0</v>
      </c>
      <c r="BB371" s="175">
        <f t="shared" si="147"/>
        <v>15</v>
      </c>
      <c r="BC371" s="176">
        <f t="shared" si="148"/>
        <v>15</v>
      </c>
      <c r="BD371" s="176">
        <f t="shared" si="149"/>
        <v>15</v>
      </c>
      <c r="BE371" s="240" t="str">
        <f t="shared" si="146"/>
        <v/>
      </c>
      <c r="BH371" s="199">
        <f>IF(AND(Input_Product=Elig!$C371,Elig_MatchAll_Ct&lt;22,$BC371=(Elig_MatchAll_Ct-1),AF371=0),C371,0)</f>
        <v>0</v>
      </c>
      <c r="BI371" s="199">
        <f>IF(AND(Input_Product=Elig!$C371,Elig_MatchAll_Ct&lt;22,$BC371=(Elig_MatchAll_Ct-1),AG371=0),D371,0)</f>
        <v>0</v>
      </c>
      <c r="BJ371" s="199">
        <f>IF(AND(Input_Product=Elig!$C371,Elig_MatchAll_Ct&lt;22,$BC371=(Elig_MatchAll_Ct-1),AH371=0),E371,0)</f>
        <v>0</v>
      </c>
      <c r="BK371" s="199">
        <f>IF(AND(Input_Product=Elig!$C371,Elig_MatchAll_Ct&lt;22,$BC371=(Elig_MatchAll_Ct-1),AI371=0),F371,0)</f>
        <v>0</v>
      </c>
      <c r="BL371" s="199">
        <f>IF(AND(Input_Product=Elig!$C371,Elig_MatchAll_Ct&lt;22,$BC371=(Elig_MatchAll_Ct-1),AJ371=0),G371,0)</f>
        <v>0</v>
      </c>
      <c r="BM371" s="199">
        <f>IF(AND(Input_Product=Elig!$C371,Elig_MatchAll_Ct&lt;22,$BC371=(Elig_MatchAll_Ct-1),AK371=0),H371,0)</f>
        <v>0</v>
      </c>
      <c r="BN371" s="199">
        <f>IF(AND(Input_Product=Elig!$C371,Elig_MatchAll_Ct&lt;22,$BC371=(Elig_MatchAll_Ct-1),AL371=0),I371,0)</f>
        <v>0</v>
      </c>
      <c r="BO371" s="199">
        <f>IF(AND(Input_Product=Elig!$C371,Elig_MatchAll_Ct&lt;22,$BC371=(Elig_MatchAll_Ct-1),AM371=0),J371,0)</f>
        <v>0</v>
      </c>
      <c r="BP371" s="199">
        <f>IF(AND(Input_Product=Elig!$C371,Elig_MatchAll_Ct&lt;22,$BC371=(Elig_MatchAll_Ct-1),AN371=0),K371,0)</f>
        <v>0</v>
      </c>
      <c r="BQ371" s="199">
        <f>IF(AND(Input_Product=Elig!$C371,Elig_MatchAll_Ct&lt;22,$BC371=(Elig_MatchAll_Ct-1),AP371=0),L371,0)</f>
        <v>0</v>
      </c>
      <c r="BR371" s="199">
        <f>IF(AND(Input_Product=Elig!$C371,Elig_MatchAll_Ct&lt;22,$BC371=(Elig_MatchAll_Ct-1),AO371=0),M371,0)</f>
        <v>0</v>
      </c>
      <c r="BS371" s="199">
        <f>IF(AND(Input_Product=Elig!$C371,Elig_MatchAll_Ct&lt;22,$BC371=(Elig_MatchAll_Ct-1),AQ371=0),N371,0)</f>
        <v>0</v>
      </c>
      <c r="BT371" s="199">
        <f>IF(AND(Input_Product=Elig!$C371,Elig_MatchAll_Ct&lt;22,$BC371=(Elig_MatchAll_Ct-1),AR371=0),O371,0)</f>
        <v>0</v>
      </c>
      <c r="BU371" s="199">
        <f>IF(AND(Input_Product=Elig!$C371,Elig_MatchAll_Ct&lt;22,$BC371=(Elig_MatchAll_Ct-1),AS371=0),P371,0)</f>
        <v>0</v>
      </c>
      <c r="BV371" s="200">
        <f>IF(AND(Input_Product=Elig!$C371,Elig_MatchAll_Ct&lt;22,$BC371=(Elig_MatchAll_Ct-1),AT371=0),Q371,0)</f>
        <v>0</v>
      </c>
      <c r="BW371" s="201">
        <f>IF(AND(Input_Product=Elig!$C371,Elig_MatchAll_Ct&lt;22,$BC371=(Elig_MatchAll_Ct-1),AU371=0),R371,0)</f>
        <v>0</v>
      </c>
      <c r="BX371" s="202">
        <f>IF(AND(Input_Product=Elig!$C371,Elig_MatchAll_Ct&lt;22,$BC371=(Elig_MatchAll_Ct-1),AU371=0),S371,0)</f>
        <v>0</v>
      </c>
      <c r="BY371" s="201">
        <f>IF(AND(Input_Product=Elig!$C371,Elig_MatchAll_Ct&lt;22,$BC371=(Elig_MatchAll_Ct-1),AV371=0),T371,0)</f>
        <v>0</v>
      </c>
      <c r="BZ371" s="202">
        <f>IF(AND(Input_Product=Elig!$C371,Elig_MatchAll_Ct&lt;22,$BC371=(Elig_MatchAll_Ct-1),AV371=0),U371,0)</f>
        <v>0</v>
      </c>
      <c r="CA371" s="201">
        <f>IF(AND(Input_Product=Elig!$C371,Elig_MatchAll_Ct&lt;22,$BC371=(Elig_MatchAll_Ct-1),AW371=0),V371,0)</f>
        <v>0</v>
      </c>
      <c r="CB371" s="202">
        <f>IF(AND(Input_Product=Elig!$C371,Elig_MatchAll_Ct&lt;22,$BC371=(Elig_MatchAll_Ct-1),AW371=0),W371,0)</f>
        <v>0</v>
      </c>
      <c r="CC371" s="201">
        <f>IF(AND(Input_Product=Elig!$C371,Elig_MatchAll_Ct&lt;22,$BC371=(Elig_MatchAll_Ct-1),AX371=0),X371,0)</f>
        <v>0</v>
      </c>
      <c r="CD371" s="202">
        <f>IF(AND(Input_Product=Elig!$C371,Elig_MatchAll_Ct&lt;22,$BC371=(Elig_MatchAll_Ct-1),AX371=0),Y371,0)</f>
        <v>0</v>
      </c>
      <c r="CE371" s="201">
        <f>IF(AND(Input_LTV&lt;=AE371,Input_Product=Elig!$C371,Elig_MatchAll_Ct&lt;22,$BC371=(Elig_MatchAll_Ct-1),AY371=0),Z371,0)</f>
        <v>0</v>
      </c>
      <c r="CF371" s="202">
        <f>IF(AND(Input_LTV&lt;=AE371,Input_Product=Elig!$C371,Elig_MatchAll_Ct&lt;22,$BC371=(Elig_MatchAll_Ct-1),AY371=0),AA371,0)</f>
        <v>0</v>
      </c>
      <c r="CG371" s="201">
        <f>IF(AND(Input_Product=Elig!$C371,Elig_MatchAll_Ct&lt;22,$BC371=(Elig_MatchAll_Ct-1),AZ371=0),AB371,0)</f>
        <v>0</v>
      </c>
      <c r="CH371" s="202">
        <f>IF(AND(Input_Product=Elig!$C371,Elig_MatchAll_Ct&lt;22,$BC371=(Elig_MatchAll_Ct-1),AZ371=0),AC371,0)</f>
        <v>0</v>
      </c>
      <c r="CI371" s="201">
        <f>IF(AND(Input_Product=Elig!$C371,Elig_MatchAll_Ct&lt;22,$BC371=(Elig_MatchAll_Ct-1),BA371=0),AD371,0)</f>
        <v>0</v>
      </c>
      <c r="CJ371" s="202">
        <f>IF(AND(Input_Product=Elig!$C371,Elig_MatchAll_Ct&lt;22,$BC371=(Elig_MatchAll_Ct-1),BA371=0),AE371,0)</f>
        <v>0</v>
      </c>
    </row>
    <row r="372" spans="2:88" ht="10.15" customHeight="1" x14ac:dyDescent="0.25">
      <c r="B372" s="287" t="s">
        <v>1068</v>
      </c>
      <c r="C372" s="291" t="str">
        <f t="shared" si="153"/>
        <v>NonQM NOO</v>
      </c>
      <c r="D372" s="292" t="s">
        <v>3885</v>
      </c>
      <c r="E372" s="292" t="s">
        <v>167</v>
      </c>
      <c r="F372" s="292" t="s">
        <v>330</v>
      </c>
      <c r="G372" s="324" t="s">
        <v>304</v>
      </c>
      <c r="H372" s="292" t="s">
        <v>446</v>
      </c>
      <c r="I372" s="292" t="s">
        <v>16</v>
      </c>
      <c r="J372" s="292" t="s">
        <v>1311</v>
      </c>
      <c r="K372" s="292" t="s">
        <v>1631</v>
      </c>
      <c r="L372" s="324" t="s">
        <v>312</v>
      </c>
      <c r="M372" s="292" t="s">
        <v>4203</v>
      </c>
      <c r="N372" s="292" t="s">
        <v>2685</v>
      </c>
      <c r="O372" s="292" t="s">
        <v>310</v>
      </c>
      <c r="P372" s="292" t="s">
        <v>291</v>
      </c>
      <c r="Q372" s="292" t="s">
        <v>294</v>
      </c>
      <c r="R372" s="292">
        <v>1000000.01</v>
      </c>
      <c r="S372" s="292">
        <v>1500000</v>
      </c>
      <c r="T372" s="292">
        <v>0</v>
      </c>
      <c r="U372" s="292">
        <f t="shared" si="155"/>
        <v>1500000</v>
      </c>
      <c r="V372" s="292">
        <v>0</v>
      </c>
      <c r="W372" s="292">
        <v>50</v>
      </c>
      <c r="X372" s="292">
        <v>0</v>
      </c>
      <c r="Y372" s="292">
        <v>999</v>
      </c>
      <c r="Z372" s="293">
        <v>620</v>
      </c>
      <c r="AA372" s="293">
        <v>639</v>
      </c>
      <c r="AB372" s="293">
        <v>6</v>
      </c>
      <c r="AC372" s="293">
        <v>999999</v>
      </c>
      <c r="AD372" s="292">
        <v>0</v>
      </c>
      <c r="AE372" s="294">
        <v>-999</v>
      </c>
      <c r="AF372" s="170">
        <v>0</v>
      </c>
      <c r="AG372" s="171">
        <v>1</v>
      </c>
      <c r="AH372" s="171">
        <v>1</v>
      </c>
      <c r="AI372" s="171">
        <v>0</v>
      </c>
      <c r="AJ372" s="171">
        <v>0</v>
      </c>
      <c r="AK372" s="171">
        <v>0</v>
      </c>
      <c r="AL372" s="171">
        <v>1</v>
      </c>
      <c r="AM372" s="171">
        <v>1</v>
      </c>
      <c r="AN372" s="171">
        <v>1</v>
      </c>
      <c r="AO372" s="171">
        <v>1</v>
      </c>
      <c r="AP372" s="171">
        <v>1</v>
      </c>
      <c r="AQ372" s="171">
        <v>1</v>
      </c>
      <c r="AR372" s="171">
        <v>1</v>
      </c>
      <c r="AS372" s="171">
        <v>1</v>
      </c>
      <c r="AT372" s="171">
        <v>1</v>
      </c>
      <c r="AU372" s="171">
        <f t="shared" si="140"/>
        <v>0</v>
      </c>
      <c r="AV372" s="171">
        <f t="shared" si="141"/>
        <v>1</v>
      </c>
      <c r="AW372" s="171">
        <f t="shared" si="142"/>
        <v>1</v>
      </c>
      <c r="AX372" s="171">
        <f t="shared" si="152"/>
        <v>1</v>
      </c>
      <c r="AY372" s="171">
        <f t="shared" si="143"/>
        <v>0</v>
      </c>
      <c r="AZ372" s="171">
        <f t="shared" si="144"/>
        <v>1</v>
      </c>
      <c r="BA372" s="172">
        <f t="shared" si="145"/>
        <v>0</v>
      </c>
      <c r="BB372" s="175">
        <f t="shared" si="147"/>
        <v>15</v>
      </c>
      <c r="BC372" s="176">
        <f t="shared" si="148"/>
        <v>15</v>
      </c>
      <c r="BD372" s="176">
        <f t="shared" si="149"/>
        <v>15</v>
      </c>
      <c r="BE372" s="240" t="str">
        <f t="shared" si="146"/>
        <v/>
      </c>
      <c r="BH372" s="214">
        <f>IF(AND(Input_Product=Elig!$C372,Elig_MatchAll_Ct&lt;22,$BC372=(Elig_MatchAll_Ct-1),AF372=0),C372,0)</f>
        <v>0</v>
      </c>
      <c r="BI372" s="214">
        <f>IF(AND(Input_Product=Elig!$C372,Elig_MatchAll_Ct&lt;22,$BC372=(Elig_MatchAll_Ct-1),AG372=0),D372,0)</f>
        <v>0</v>
      </c>
      <c r="BJ372" s="214">
        <f>IF(AND(Input_Product=Elig!$C372,Elig_MatchAll_Ct&lt;22,$BC372=(Elig_MatchAll_Ct-1),AH372=0),E372,0)</f>
        <v>0</v>
      </c>
      <c r="BK372" s="214">
        <f>IF(AND(Input_Product=Elig!$C372,Elig_MatchAll_Ct&lt;22,$BC372=(Elig_MatchAll_Ct-1),AI372=0),F372,0)</f>
        <v>0</v>
      </c>
      <c r="BL372" s="214">
        <f>IF(AND(Input_Product=Elig!$C372,Elig_MatchAll_Ct&lt;22,$BC372=(Elig_MatchAll_Ct-1),AJ372=0),G372,0)</f>
        <v>0</v>
      </c>
      <c r="BM372" s="214">
        <f>IF(AND(Input_Product=Elig!$C372,Elig_MatchAll_Ct&lt;22,$BC372=(Elig_MatchAll_Ct-1),AK372=0),H372,0)</f>
        <v>0</v>
      </c>
      <c r="BN372" s="214">
        <f>IF(AND(Input_Product=Elig!$C372,Elig_MatchAll_Ct&lt;22,$BC372=(Elig_MatchAll_Ct-1),AL372=0),I372,0)</f>
        <v>0</v>
      </c>
      <c r="BO372" s="214">
        <f>IF(AND(Input_Product=Elig!$C372,Elig_MatchAll_Ct&lt;22,$BC372=(Elig_MatchAll_Ct-1),AM372=0),J372,0)</f>
        <v>0</v>
      </c>
      <c r="BP372" s="214">
        <f>IF(AND(Input_Product=Elig!$C372,Elig_MatchAll_Ct&lt;22,$BC372=(Elig_MatchAll_Ct-1),AN372=0),K372,0)</f>
        <v>0</v>
      </c>
      <c r="BQ372" s="214">
        <f>IF(AND(Input_Product=Elig!$C372,Elig_MatchAll_Ct&lt;22,$BC372=(Elig_MatchAll_Ct-1),AP372=0),L372,0)</f>
        <v>0</v>
      </c>
      <c r="BR372" s="214">
        <f>IF(AND(Input_Product=Elig!$C372,Elig_MatchAll_Ct&lt;22,$BC372=(Elig_MatchAll_Ct-1),AO372=0),M372,0)</f>
        <v>0</v>
      </c>
      <c r="BS372" s="214">
        <f>IF(AND(Input_Product=Elig!$C372,Elig_MatchAll_Ct&lt;22,$BC372=(Elig_MatchAll_Ct-1),AQ372=0),N372,0)</f>
        <v>0</v>
      </c>
      <c r="BT372" s="214">
        <f>IF(AND(Input_Product=Elig!$C372,Elig_MatchAll_Ct&lt;22,$BC372=(Elig_MatchAll_Ct-1),AR372=0),O372,0)</f>
        <v>0</v>
      </c>
      <c r="BU372" s="214">
        <f>IF(AND(Input_Product=Elig!$C372,Elig_MatchAll_Ct&lt;22,$BC372=(Elig_MatchAll_Ct-1),AS372=0),P372,0)</f>
        <v>0</v>
      </c>
      <c r="BV372" s="215">
        <f>IF(AND(Input_Product=Elig!$C372,Elig_MatchAll_Ct&lt;22,$BC372=(Elig_MatchAll_Ct-1),AT372=0),Q372,0)</f>
        <v>0</v>
      </c>
      <c r="BW372" s="207">
        <f>IF(AND(Input_Product=Elig!$C372,Elig_MatchAll_Ct&lt;22,$BC372=(Elig_MatchAll_Ct-1),AU372=0),R372,0)</f>
        <v>0</v>
      </c>
      <c r="BX372" s="208">
        <f>IF(AND(Input_Product=Elig!$C372,Elig_MatchAll_Ct&lt;22,$BC372=(Elig_MatchAll_Ct-1),AU372=0),S372,0)</f>
        <v>0</v>
      </c>
      <c r="BY372" s="207">
        <f>IF(AND(Input_Product=Elig!$C372,Elig_MatchAll_Ct&lt;22,$BC372=(Elig_MatchAll_Ct-1),AV372=0),T372,0)</f>
        <v>0</v>
      </c>
      <c r="BZ372" s="208">
        <f>IF(AND(Input_Product=Elig!$C372,Elig_MatchAll_Ct&lt;22,$BC372=(Elig_MatchAll_Ct-1),AV372=0),U372,0)</f>
        <v>0</v>
      </c>
      <c r="CA372" s="207">
        <f>IF(AND(Input_Product=Elig!$C372,Elig_MatchAll_Ct&lt;22,$BC372=(Elig_MatchAll_Ct-1),AW372=0),V372,0)</f>
        <v>0</v>
      </c>
      <c r="CB372" s="208">
        <f>IF(AND(Input_Product=Elig!$C372,Elig_MatchAll_Ct&lt;22,$BC372=(Elig_MatchAll_Ct-1),AW372=0),W372,0)</f>
        <v>0</v>
      </c>
      <c r="CC372" s="207">
        <f>IF(AND(Input_Product=Elig!$C372,Elig_MatchAll_Ct&lt;22,$BC372=(Elig_MatchAll_Ct-1),AX372=0),X372,0)</f>
        <v>0</v>
      </c>
      <c r="CD372" s="208">
        <f>IF(AND(Input_Product=Elig!$C372,Elig_MatchAll_Ct&lt;22,$BC372=(Elig_MatchAll_Ct-1),AX372=0),Y372,0)</f>
        <v>0</v>
      </c>
      <c r="CE372" s="207">
        <f>IF(AND(Input_LTV&lt;=AE372,Input_Product=Elig!$C372,Elig_MatchAll_Ct&lt;22,$BC372=(Elig_MatchAll_Ct-1),AY372=0),Z372,0)</f>
        <v>0</v>
      </c>
      <c r="CF372" s="208">
        <f>IF(AND(Input_LTV&lt;=AE372,Input_Product=Elig!$C372,Elig_MatchAll_Ct&lt;22,$BC372=(Elig_MatchAll_Ct-1),AY372=0),AA372,0)</f>
        <v>0</v>
      </c>
      <c r="CG372" s="207">
        <f>IF(AND(Input_Product=Elig!$C372,Elig_MatchAll_Ct&lt;22,$BC372=(Elig_MatchAll_Ct-1),AZ372=0),AB372,0)</f>
        <v>0</v>
      </c>
      <c r="CH372" s="208">
        <f>IF(AND(Input_Product=Elig!$C372,Elig_MatchAll_Ct&lt;22,$BC372=(Elig_MatchAll_Ct-1),AZ372=0),AC372,0)</f>
        <v>0</v>
      </c>
      <c r="CI372" s="207">
        <f>IF(AND(Input_Product=Elig!$C372,Elig_MatchAll_Ct&lt;22,$BC372=(Elig_MatchAll_Ct-1),BA372=0),AD372,0)</f>
        <v>0</v>
      </c>
      <c r="CJ372" s="209">
        <f>IF(AND(Input_Product=Elig!$C372,Elig_MatchAll_Ct&lt;22,$BC372=(Elig_MatchAll_Ct-1),BA372=0),AE372,0)</f>
        <v>0</v>
      </c>
    </row>
    <row r="373" spans="2:88" ht="10.15" customHeight="1" x14ac:dyDescent="0.25">
      <c r="B373" s="287" t="s">
        <v>1069</v>
      </c>
      <c r="C373" s="281" t="str">
        <f t="shared" si="153"/>
        <v>NonQM NOO</v>
      </c>
      <c r="D373" s="282" t="s">
        <v>3885</v>
      </c>
      <c r="E373" s="283" t="s">
        <v>167</v>
      </c>
      <c r="F373" s="283" t="s">
        <v>330</v>
      </c>
      <c r="G373" s="2103" t="s">
        <v>468</v>
      </c>
      <c r="H373" s="283" t="s">
        <v>136</v>
      </c>
      <c r="I373" s="282" t="s">
        <v>274</v>
      </c>
      <c r="J373" s="282" t="s">
        <v>1311</v>
      </c>
      <c r="K373" s="282" t="s">
        <v>1631</v>
      </c>
      <c r="L373" s="2103" t="s">
        <v>312</v>
      </c>
      <c r="M373" s="283" t="s">
        <v>4203</v>
      </c>
      <c r="N373" s="283" t="s">
        <v>2685</v>
      </c>
      <c r="O373" s="283" t="s">
        <v>310</v>
      </c>
      <c r="P373" s="283" t="s">
        <v>291</v>
      </c>
      <c r="Q373" s="283" t="s">
        <v>294</v>
      </c>
      <c r="R373" s="282">
        <v>1000000.01</v>
      </c>
      <c r="S373" s="282">
        <v>1500000</v>
      </c>
      <c r="T373" s="282">
        <v>0</v>
      </c>
      <c r="U373" s="282">
        <v>0</v>
      </c>
      <c r="V373" s="282">
        <v>0</v>
      </c>
      <c r="W373" s="282">
        <v>55</v>
      </c>
      <c r="X373" s="282">
        <v>0</v>
      </c>
      <c r="Y373" s="282">
        <v>999</v>
      </c>
      <c r="Z373" s="284">
        <v>720</v>
      </c>
      <c r="AA373" s="284">
        <v>999</v>
      </c>
      <c r="AB373" s="284">
        <v>6</v>
      </c>
      <c r="AC373" s="284">
        <v>999999</v>
      </c>
      <c r="AD373" s="282">
        <v>0</v>
      </c>
      <c r="AE373" s="2104">
        <v>85</v>
      </c>
      <c r="AF373" s="170">
        <v>0</v>
      </c>
      <c r="AG373" s="171">
        <v>1</v>
      </c>
      <c r="AH373" s="171">
        <v>1</v>
      </c>
      <c r="AI373" s="171">
        <v>0</v>
      </c>
      <c r="AJ373" s="171">
        <v>0</v>
      </c>
      <c r="AK373" s="171">
        <v>1</v>
      </c>
      <c r="AL373" s="171">
        <v>0</v>
      </c>
      <c r="AM373" s="171">
        <v>1</v>
      </c>
      <c r="AN373" s="171">
        <v>1</v>
      </c>
      <c r="AO373" s="171">
        <v>1</v>
      </c>
      <c r="AP373" s="171">
        <v>1</v>
      </c>
      <c r="AQ373" s="171">
        <v>1</v>
      </c>
      <c r="AR373" s="171">
        <v>1</v>
      </c>
      <c r="AS373" s="171">
        <v>1</v>
      </c>
      <c r="AT373" s="171">
        <v>1</v>
      </c>
      <c r="AU373" s="171">
        <f t="shared" si="140"/>
        <v>0</v>
      </c>
      <c r="AV373" s="171">
        <f t="shared" si="141"/>
        <v>0</v>
      </c>
      <c r="AW373" s="171">
        <f t="shared" si="142"/>
        <v>1</v>
      </c>
      <c r="AX373" s="171">
        <f t="shared" si="152"/>
        <v>1</v>
      </c>
      <c r="AY373" s="171">
        <f t="shared" si="143"/>
        <v>1</v>
      </c>
      <c r="AZ373" s="171">
        <f t="shared" si="144"/>
        <v>1</v>
      </c>
      <c r="BA373" s="172">
        <f t="shared" si="145"/>
        <v>1</v>
      </c>
      <c r="BB373" s="175">
        <f t="shared" ref="BB373:BB384" si="156">SUM(AF373:BA373)</f>
        <v>16</v>
      </c>
      <c r="BC373" s="176">
        <f t="shared" ref="BC373:BC384" si="157">SUM(AF373:AZ373)</f>
        <v>15</v>
      </c>
      <c r="BD373" s="176">
        <f t="shared" ref="BD373:BD384" si="158">SUM(AG373:BA373)</f>
        <v>16</v>
      </c>
      <c r="BE373" s="240" t="str">
        <f t="shared" si="146"/>
        <v/>
      </c>
      <c r="BH373" s="216">
        <f>IF(AND(Input_Product=Elig!$C373,Elig_MatchAll_Ct&lt;22,$BC373=(Elig_MatchAll_Ct-1),AF373=0),C373,0)</f>
        <v>0</v>
      </c>
      <c r="BI373" s="216">
        <f>IF(AND(Input_Product=Elig!$C373,Elig_MatchAll_Ct&lt;22,$BC373=(Elig_MatchAll_Ct-1),AG373=0),D373,0)</f>
        <v>0</v>
      </c>
      <c r="BJ373" s="216">
        <f>IF(AND(Input_Product=Elig!$C373,Elig_MatchAll_Ct&lt;22,$BC373=(Elig_MatchAll_Ct-1),AH373=0),E373,0)</f>
        <v>0</v>
      </c>
      <c r="BK373" s="216">
        <f>IF(AND(Input_Product=Elig!$C373,Elig_MatchAll_Ct&lt;22,$BC373=(Elig_MatchAll_Ct-1),AI373=0),F373,0)</f>
        <v>0</v>
      </c>
      <c r="BL373" s="216">
        <f>IF(AND(Input_Product=Elig!$C373,Elig_MatchAll_Ct&lt;22,$BC373=(Elig_MatchAll_Ct-1),AJ373=0),G373,0)</f>
        <v>0</v>
      </c>
      <c r="BM373" s="216">
        <f>IF(AND(Input_Product=Elig!$C373,Elig_MatchAll_Ct&lt;22,$BC373=(Elig_MatchAll_Ct-1),AK373=0),H373,0)</f>
        <v>0</v>
      </c>
      <c r="BN373" s="216">
        <f>IF(AND(Input_Product=Elig!$C373,Elig_MatchAll_Ct&lt;22,$BC373=(Elig_MatchAll_Ct-1),AL373=0),I373,0)</f>
        <v>0</v>
      </c>
      <c r="BO373" s="216">
        <f>IF(AND(Input_Product=Elig!$C373,Elig_MatchAll_Ct&lt;22,$BC373=(Elig_MatchAll_Ct-1),AM373=0),J373,0)</f>
        <v>0</v>
      </c>
      <c r="BP373" s="216">
        <f>IF(AND(Input_Product=Elig!$C373,Elig_MatchAll_Ct&lt;22,$BC373=(Elig_MatchAll_Ct-1),AN373=0),K373,0)</f>
        <v>0</v>
      </c>
      <c r="BQ373" s="216">
        <f>IF(AND(Input_Product=Elig!$C373,Elig_MatchAll_Ct&lt;22,$BC373=(Elig_MatchAll_Ct-1),AP373=0),L373,0)</f>
        <v>0</v>
      </c>
      <c r="BR373" s="216">
        <f>IF(AND(Input_Product=Elig!$C373,Elig_MatchAll_Ct&lt;22,$BC373=(Elig_MatchAll_Ct-1),AO373=0),M373,0)</f>
        <v>0</v>
      </c>
      <c r="BS373" s="216">
        <f>IF(AND(Input_Product=Elig!$C373,Elig_MatchAll_Ct&lt;22,$BC373=(Elig_MatchAll_Ct-1),AQ373=0),N373,0)</f>
        <v>0</v>
      </c>
      <c r="BT373" s="216">
        <f>IF(AND(Input_Product=Elig!$C373,Elig_MatchAll_Ct&lt;22,$BC373=(Elig_MatchAll_Ct-1),AR373=0),O373,0)</f>
        <v>0</v>
      </c>
      <c r="BU373" s="216">
        <f>IF(AND(Input_Product=Elig!$C373,Elig_MatchAll_Ct&lt;22,$BC373=(Elig_MatchAll_Ct-1),AS373=0),P373,0)</f>
        <v>0</v>
      </c>
      <c r="BV373" s="217">
        <f>IF(AND(Input_Product=Elig!$C373,Elig_MatchAll_Ct&lt;22,$BC373=(Elig_MatchAll_Ct-1),AT373=0),Q373,0)</f>
        <v>0</v>
      </c>
      <c r="BW373" s="218">
        <f>IF(AND(Input_Product=Elig!$C373,Elig_MatchAll_Ct&lt;22,$BC373=(Elig_MatchAll_Ct-1),AU373=0),R373,0)</f>
        <v>0</v>
      </c>
      <c r="BX373" s="219">
        <f>IF(AND(Input_Product=Elig!$C373,Elig_MatchAll_Ct&lt;22,$BC373=(Elig_MatchAll_Ct-1),AU373=0),S373,0)</f>
        <v>0</v>
      </c>
      <c r="BY373" s="218">
        <f>IF(AND(Input_Product=Elig!$C373,Elig_MatchAll_Ct&lt;22,$BC373=(Elig_MatchAll_Ct-1),AV373=0),T373,0)</f>
        <v>0</v>
      </c>
      <c r="BZ373" s="219">
        <f>IF(AND(Input_Product=Elig!$C373,Elig_MatchAll_Ct&lt;22,$BC373=(Elig_MatchAll_Ct-1),AV373=0),U373,0)</f>
        <v>0</v>
      </c>
      <c r="CA373" s="218">
        <f>IF(AND(Input_Product=Elig!$C373,Elig_MatchAll_Ct&lt;22,$BC373=(Elig_MatchAll_Ct-1),AW373=0),V373,0)</f>
        <v>0</v>
      </c>
      <c r="CB373" s="219">
        <f>IF(AND(Input_Product=Elig!$C373,Elig_MatchAll_Ct&lt;22,$BC373=(Elig_MatchAll_Ct-1),AW373=0),W373,0)</f>
        <v>0</v>
      </c>
      <c r="CC373" s="218">
        <f>IF(AND(Input_Product=Elig!$C373,Elig_MatchAll_Ct&lt;22,$BC373=(Elig_MatchAll_Ct-1),AX373=0),X373,0)</f>
        <v>0</v>
      </c>
      <c r="CD373" s="219">
        <f>IF(AND(Input_Product=Elig!$C373,Elig_MatchAll_Ct&lt;22,$BC373=(Elig_MatchAll_Ct-1),AX373=0),Y373,0)</f>
        <v>0</v>
      </c>
      <c r="CE373" s="218">
        <f>IF(AND(Input_LTV&lt;=AE373,Input_Product=Elig!$C373,Elig_MatchAll_Ct&lt;22,$BC373=(Elig_MatchAll_Ct-1),AY373=0),Z373,0)</f>
        <v>0</v>
      </c>
      <c r="CF373" s="219">
        <f>IF(AND(Input_LTV&lt;=AE373,Input_Product=Elig!$C373,Elig_MatchAll_Ct&lt;22,$BC373=(Elig_MatchAll_Ct-1),AY373=0),AA373,0)</f>
        <v>0</v>
      </c>
      <c r="CG373" s="218">
        <f>IF(AND(Input_Product=Elig!$C373,Elig_MatchAll_Ct&lt;22,$BC373=(Elig_MatchAll_Ct-1),AZ373=0),AB373,0)</f>
        <v>0</v>
      </c>
      <c r="CH373" s="219">
        <f>IF(AND(Input_Product=Elig!$C373,Elig_MatchAll_Ct&lt;22,$BC373=(Elig_MatchAll_Ct-1),AZ373=0),AC373,0)</f>
        <v>0</v>
      </c>
      <c r="CI373" s="218">
        <f>IF(AND(Input_Product=Elig!$C373,Elig_MatchAll_Ct&lt;22,$BC373=(Elig_MatchAll_Ct-1),BA373=0),AD373,0)</f>
        <v>0</v>
      </c>
      <c r="CJ373" s="219">
        <f>IF(AND(Input_Product=Elig!$C373,Elig_MatchAll_Ct&lt;22,$BC373=(Elig_MatchAll_Ct-1),BA373=0),AE373,0)</f>
        <v>0</v>
      </c>
    </row>
    <row r="374" spans="2:88" ht="10.15" customHeight="1" x14ac:dyDescent="0.25">
      <c r="B374" s="287" t="s">
        <v>1070</v>
      </c>
      <c r="C374" s="286" t="str">
        <f t="shared" si="153"/>
        <v>NonQM NOO</v>
      </c>
      <c r="D374" s="287" t="s">
        <v>3885</v>
      </c>
      <c r="E374" s="287" t="s">
        <v>167</v>
      </c>
      <c r="F374" s="287" t="s">
        <v>330</v>
      </c>
      <c r="G374" s="300" t="s">
        <v>468</v>
      </c>
      <c r="H374" s="287" t="s">
        <v>136</v>
      </c>
      <c r="I374" s="288" t="s">
        <v>274</v>
      </c>
      <c r="J374" s="288" t="s">
        <v>1311</v>
      </c>
      <c r="K374" s="288" t="s">
        <v>1631</v>
      </c>
      <c r="L374" s="300" t="s">
        <v>312</v>
      </c>
      <c r="M374" s="287" t="s">
        <v>4203</v>
      </c>
      <c r="N374" s="287" t="s">
        <v>2685</v>
      </c>
      <c r="O374" s="287" t="s">
        <v>310</v>
      </c>
      <c r="P374" s="287" t="s">
        <v>291</v>
      </c>
      <c r="Q374" s="287" t="s">
        <v>294</v>
      </c>
      <c r="R374" s="287">
        <v>1000000.01</v>
      </c>
      <c r="S374" s="287">
        <v>1500000</v>
      </c>
      <c r="T374" s="287">
        <v>0</v>
      </c>
      <c r="U374" s="287">
        <v>0</v>
      </c>
      <c r="V374" s="287">
        <v>0</v>
      </c>
      <c r="W374" s="287">
        <v>55</v>
      </c>
      <c r="X374" s="287">
        <v>0</v>
      </c>
      <c r="Y374" s="287">
        <v>999</v>
      </c>
      <c r="Z374" s="289">
        <v>700</v>
      </c>
      <c r="AA374" s="289">
        <v>719</v>
      </c>
      <c r="AB374" s="289">
        <v>6</v>
      </c>
      <c r="AC374" s="289">
        <v>999999</v>
      </c>
      <c r="AD374" s="287">
        <v>0</v>
      </c>
      <c r="AE374" s="290">
        <v>80</v>
      </c>
      <c r="AF374" s="170">
        <v>0</v>
      </c>
      <c r="AG374" s="171">
        <v>1</v>
      </c>
      <c r="AH374" s="171">
        <v>1</v>
      </c>
      <c r="AI374" s="171">
        <v>0</v>
      </c>
      <c r="AJ374" s="171">
        <v>0</v>
      </c>
      <c r="AK374" s="171">
        <v>1</v>
      </c>
      <c r="AL374" s="171">
        <v>0</v>
      </c>
      <c r="AM374" s="171">
        <v>1</v>
      </c>
      <c r="AN374" s="171">
        <v>1</v>
      </c>
      <c r="AO374" s="171">
        <v>1</v>
      </c>
      <c r="AP374" s="171">
        <v>1</v>
      </c>
      <c r="AQ374" s="171">
        <v>1</v>
      </c>
      <c r="AR374" s="171">
        <v>1</v>
      </c>
      <c r="AS374" s="171">
        <v>1</v>
      </c>
      <c r="AT374" s="171">
        <v>1</v>
      </c>
      <c r="AU374" s="171">
        <f t="shared" si="140"/>
        <v>0</v>
      </c>
      <c r="AV374" s="171">
        <f t="shared" si="141"/>
        <v>0</v>
      </c>
      <c r="AW374" s="171">
        <f t="shared" si="142"/>
        <v>1</v>
      </c>
      <c r="AX374" s="171">
        <f t="shared" si="152"/>
        <v>1</v>
      </c>
      <c r="AY374" s="171">
        <f t="shared" si="143"/>
        <v>0</v>
      </c>
      <c r="AZ374" s="171">
        <f t="shared" si="144"/>
        <v>1</v>
      </c>
      <c r="BA374" s="172">
        <f t="shared" si="145"/>
        <v>1</v>
      </c>
      <c r="BB374" s="175">
        <f t="shared" si="156"/>
        <v>15</v>
      </c>
      <c r="BC374" s="176">
        <f t="shared" si="157"/>
        <v>14</v>
      </c>
      <c r="BD374" s="176">
        <f t="shared" si="158"/>
        <v>15</v>
      </c>
      <c r="BE374" s="240" t="str">
        <f t="shared" si="146"/>
        <v/>
      </c>
      <c r="BH374" s="199">
        <f>IF(AND(Input_Product=Elig!$C374,Elig_MatchAll_Ct&lt;22,$BC374=(Elig_MatchAll_Ct-1),AF374=0),C374,0)</f>
        <v>0</v>
      </c>
      <c r="BI374" s="199">
        <f>IF(AND(Input_Product=Elig!$C374,Elig_MatchAll_Ct&lt;22,$BC374=(Elig_MatchAll_Ct-1),AG374=0),D374,0)</f>
        <v>0</v>
      </c>
      <c r="BJ374" s="199">
        <f>IF(AND(Input_Product=Elig!$C374,Elig_MatchAll_Ct&lt;22,$BC374=(Elig_MatchAll_Ct-1),AH374=0),E374,0)</f>
        <v>0</v>
      </c>
      <c r="BK374" s="199">
        <f>IF(AND(Input_Product=Elig!$C374,Elig_MatchAll_Ct&lt;22,$BC374=(Elig_MatchAll_Ct-1),AI374=0),F374,0)</f>
        <v>0</v>
      </c>
      <c r="BL374" s="199">
        <f>IF(AND(Input_Product=Elig!$C374,Elig_MatchAll_Ct&lt;22,$BC374=(Elig_MatchAll_Ct-1),AJ374=0),G374,0)</f>
        <v>0</v>
      </c>
      <c r="BM374" s="199">
        <f>IF(AND(Input_Product=Elig!$C374,Elig_MatchAll_Ct&lt;22,$BC374=(Elig_MatchAll_Ct-1),AK374=0),H374,0)</f>
        <v>0</v>
      </c>
      <c r="BN374" s="199">
        <f>IF(AND(Input_Product=Elig!$C374,Elig_MatchAll_Ct&lt;22,$BC374=(Elig_MatchAll_Ct-1),AL374=0),I374,0)</f>
        <v>0</v>
      </c>
      <c r="BO374" s="199">
        <f>IF(AND(Input_Product=Elig!$C374,Elig_MatchAll_Ct&lt;22,$BC374=(Elig_MatchAll_Ct-1),AM374=0),J374,0)</f>
        <v>0</v>
      </c>
      <c r="BP374" s="199">
        <f>IF(AND(Input_Product=Elig!$C374,Elig_MatchAll_Ct&lt;22,$BC374=(Elig_MatchAll_Ct-1),AN374=0),K374,0)</f>
        <v>0</v>
      </c>
      <c r="BQ374" s="199">
        <f>IF(AND(Input_Product=Elig!$C374,Elig_MatchAll_Ct&lt;22,$BC374=(Elig_MatchAll_Ct-1),AP374=0),L374,0)</f>
        <v>0</v>
      </c>
      <c r="BR374" s="199">
        <f>IF(AND(Input_Product=Elig!$C374,Elig_MatchAll_Ct&lt;22,$BC374=(Elig_MatchAll_Ct-1),AO374=0),M374,0)</f>
        <v>0</v>
      </c>
      <c r="BS374" s="199">
        <f>IF(AND(Input_Product=Elig!$C374,Elig_MatchAll_Ct&lt;22,$BC374=(Elig_MatchAll_Ct-1),AQ374=0),N374,0)</f>
        <v>0</v>
      </c>
      <c r="BT374" s="199">
        <f>IF(AND(Input_Product=Elig!$C374,Elig_MatchAll_Ct&lt;22,$BC374=(Elig_MatchAll_Ct-1),AR374=0),O374,0)</f>
        <v>0</v>
      </c>
      <c r="BU374" s="199">
        <f>IF(AND(Input_Product=Elig!$C374,Elig_MatchAll_Ct&lt;22,$BC374=(Elig_MatchAll_Ct-1),AS374=0),P374,0)</f>
        <v>0</v>
      </c>
      <c r="BV374" s="200">
        <f>IF(AND(Input_Product=Elig!$C374,Elig_MatchAll_Ct&lt;22,$BC374=(Elig_MatchAll_Ct-1),AT374=0),Q374,0)</f>
        <v>0</v>
      </c>
      <c r="BW374" s="201">
        <f>IF(AND(Input_Product=Elig!$C374,Elig_MatchAll_Ct&lt;22,$BC374=(Elig_MatchAll_Ct-1),AU374=0),R374,0)</f>
        <v>0</v>
      </c>
      <c r="BX374" s="202">
        <f>IF(AND(Input_Product=Elig!$C374,Elig_MatchAll_Ct&lt;22,$BC374=(Elig_MatchAll_Ct-1),AU374=0),S374,0)</f>
        <v>0</v>
      </c>
      <c r="BY374" s="201">
        <f>IF(AND(Input_Product=Elig!$C374,Elig_MatchAll_Ct&lt;22,$BC374=(Elig_MatchAll_Ct-1),AV374=0),T374,0)</f>
        <v>0</v>
      </c>
      <c r="BZ374" s="202">
        <f>IF(AND(Input_Product=Elig!$C374,Elig_MatchAll_Ct&lt;22,$BC374=(Elig_MatchAll_Ct-1),AV374=0),U374,0)</f>
        <v>0</v>
      </c>
      <c r="CA374" s="201">
        <f>IF(AND(Input_Product=Elig!$C374,Elig_MatchAll_Ct&lt;22,$BC374=(Elig_MatchAll_Ct-1),AW374=0),V374,0)</f>
        <v>0</v>
      </c>
      <c r="CB374" s="202">
        <f>IF(AND(Input_Product=Elig!$C374,Elig_MatchAll_Ct&lt;22,$BC374=(Elig_MatchAll_Ct-1),AW374=0),W374,0)</f>
        <v>0</v>
      </c>
      <c r="CC374" s="201">
        <f>IF(AND(Input_Product=Elig!$C374,Elig_MatchAll_Ct&lt;22,$BC374=(Elig_MatchAll_Ct-1),AX374=0),X374,0)</f>
        <v>0</v>
      </c>
      <c r="CD374" s="202">
        <f>IF(AND(Input_Product=Elig!$C374,Elig_MatchAll_Ct&lt;22,$BC374=(Elig_MatchAll_Ct-1),AX374=0),Y374,0)</f>
        <v>0</v>
      </c>
      <c r="CE374" s="201">
        <f>IF(AND(Input_LTV&lt;=AE374,Input_Product=Elig!$C374,Elig_MatchAll_Ct&lt;22,$BC374=(Elig_MatchAll_Ct-1),AY374=0),Z374,0)</f>
        <v>0</v>
      </c>
      <c r="CF374" s="202">
        <f>IF(AND(Input_LTV&lt;=AE374,Input_Product=Elig!$C374,Elig_MatchAll_Ct&lt;22,$BC374=(Elig_MatchAll_Ct-1),AY374=0),AA374,0)</f>
        <v>0</v>
      </c>
      <c r="CG374" s="201">
        <f>IF(AND(Input_Product=Elig!$C374,Elig_MatchAll_Ct&lt;22,$BC374=(Elig_MatchAll_Ct-1),AZ374=0),AB374,0)</f>
        <v>0</v>
      </c>
      <c r="CH374" s="202">
        <f>IF(AND(Input_Product=Elig!$C374,Elig_MatchAll_Ct&lt;22,$BC374=(Elig_MatchAll_Ct-1),AZ374=0),AC374,0)</f>
        <v>0</v>
      </c>
      <c r="CI374" s="201">
        <f>IF(AND(Input_Product=Elig!$C374,Elig_MatchAll_Ct&lt;22,$BC374=(Elig_MatchAll_Ct-1),BA374=0),AD374,0)</f>
        <v>0</v>
      </c>
      <c r="CJ374" s="202">
        <f>IF(AND(Input_Product=Elig!$C374,Elig_MatchAll_Ct&lt;22,$BC374=(Elig_MatchAll_Ct-1),BA374=0),AE374,0)</f>
        <v>0</v>
      </c>
    </row>
    <row r="375" spans="2:88" ht="10.15" customHeight="1" x14ac:dyDescent="0.25">
      <c r="B375" s="287" t="s">
        <v>1071</v>
      </c>
      <c r="C375" s="286" t="str">
        <f t="shared" si="153"/>
        <v>NonQM NOO</v>
      </c>
      <c r="D375" s="287" t="s">
        <v>3885</v>
      </c>
      <c r="E375" s="287" t="s">
        <v>167</v>
      </c>
      <c r="F375" s="287" t="s">
        <v>330</v>
      </c>
      <c r="G375" s="300" t="s">
        <v>468</v>
      </c>
      <c r="H375" s="287" t="s">
        <v>136</v>
      </c>
      <c r="I375" s="288" t="s">
        <v>274</v>
      </c>
      <c r="J375" s="288" t="s">
        <v>1311</v>
      </c>
      <c r="K375" s="288" t="s">
        <v>1631</v>
      </c>
      <c r="L375" s="300" t="s">
        <v>312</v>
      </c>
      <c r="M375" s="287" t="s">
        <v>4203</v>
      </c>
      <c r="N375" s="287" t="s">
        <v>2685</v>
      </c>
      <c r="O375" s="287" t="s">
        <v>310</v>
      </c>
      <c r="P375" s="287" t="s">
        <v>291</v>
      </c>
      <c r="Q375" s="287" t="s">
        <v>294</v>
      </c>
      <c r="R375" s="287">
        <v>1000000.01</v>
      </c>
      <c r="S375" s="287">
        <v>1500000</v>
      </c>
      <c r="T375" s="287">
        <v>0</v>
      </c>
      <c r="U375" s="287">
        <v>0</v>
      </c>
      <c r="V375" s="287">
        <v>0</v>
      </c>
      <c r="W375" s="287">
        <v>55</v>
      </c>
      <c r="X375" s="287">
        <v>0</v>
      </c>
      <c r="Y375" s="287">
        <v>999</v>
      </c>
      <c r="Z375" s="289">
        <v>680</v>
      </c>
      <c r="AA375" s="289">
        <v>699</v>
      </c>
      <c r="AB375" s="289">
        <v>6</v>
      </c>
      <c r="AC375" s="289">
        <v>999999</v>
      </c>
      <c r="AD375" s="287">
        <v>0</v>
      </c>
      <c r="AE375" s="2105">
        <v>80</v>
      </c>
      <c r="AF375" s="170">
        <v>0</v>
      </c>
      <c r="AG375" s="171">
        <v>1</v>
      </c>
      <c r="AH375" s="171">
        <v>1</v>
      </c>
      <c r="AI375" s="171">
        <v>0</v>
      </c>
      <c r="AJ375" s="171">
        <v>0</v>
      </c>
      <c r="AK375" s="171">
        <v>1</v>
      </c>
      <c r="AL375" s="171">
        <v>0</v>
      </c>
      <c r="AM375" s="171">
        <v>1</v>
      </c>
      <c r="AN375" s="171">
        <v>1</v>
      </c>
      <c r="AO375" s="171">
        <v>1</v>
      </c>
      <c r="AP375" s="171">
        <v>1</v>
      </c>
      <c r="AQ375" s="171">
        <v>1</v>
      </c>
      <c r="AR375" s="171">
        <v>1</v>
      </c>
      <c r="AS375" s="171">
        <v>1</v>
      </c>
      <c r="AT375" s="171">
        <v>1</v>
      </c>
      <c r="AU375" s="171">
        <f t="shared" si="140"/>
        <v>0</v>
      </c>
      <c r="AV375" s="171">
        <f t="shared" si="141"/>
        <v>0</v>
      </c>
      <c r="AW375" s="171">
        <f t="shared" si="142"/>
        <v>1</v>
      </c>
      <c r="AX375" s="171">
        <f t="shared" si="152"/>
        <v>1</v>
      </c>
      <c r="AY375" s="171">
        <f t="shared" si="143"/>
        <v>0</v>
      </c>
      <c r="AZ375" s="171">
        <f t="shared" si="144"/>
        <v>1</v>
      </c>
      <c r="BA375" s="172">
        <f t="shared" si="145"/>
        <v>1</v>
      </c>
      <c r="BB375" s="175">
        <f t="shared" si="156"/>
        <v>15</v>
      </c>
      <c r="BC375" s="176">
        <f t="shared" si="157"/>
        <v>14</v>
      </c>
      <c r="BD375" s="176">
        <f t="shared" si="158"/>
        <v>15</v>
      </c>
      <c r="BE375" s="240" t="str">
        <f t="shared" si="146"/>
        <v/>
      </c>
      <c r="BH375" s="199">
        <f>IF(AND(Input_Product=Elig!$C375,Elig_MatchAll_Ct&lt;22,$BC375=(Elig_MatchAll_Ct-1),AF375=0),C375,0)</f>
        <v>0</v>
      </c>
      <c r="BI375" s="199">
        <f>IF(AND(Input_Product=Elig!$C375,Elig_MatchAll_Ct&lt;22,$BC375=(Elig_MatchAll_Ct-1),AG375=0),D375,0)</f>
        <v>0</v>
      </c>
      <c r="BJ375" s="199">
        <f>IF(AND(Input_Product=Elig!$C375,Elig_MatchAll_Ct&lt;22,$BC375=(Elig_MatchAll_Ct-1),AH375=0),E375,0)</f>
        <v>0</v>
      </c>
      <c r="BK375" s="199">
        <f>IF(AND(Input_Product=Elig!$C375,Elig_MatchAll_Ct&lt;22,$BC375=(Elig_MatchAll_Ct-1),AI375=0),F375,0)</f>
        <v>0</v>
      </c>
      <c r="BL375" s="199">
        <f>IF(AND(Input_Product=Elig!$C375,Elig_MatchAll_Ct&lt;22,$BC375=(Elig_MatchAll_Ct-1),AJ375=0),G375,0)</f>
        <v>0</v>
      </c>
      <c r="BM375" s="199">
        <f>IF(AND(Input_Product=Elig!$C375,Elig_MatchAll_Ct&lt;22,$BC375=(Elig_MatchAll_Ct-1),AK375=0),H375,0)</f>
        <v>0</v>
      </c>
      <c r="BN375" s="199">
        <f>IF(AND(Input_Product=Elig!$C375,Elig_MatchAll_Ct&lt;22,$BC375=(Elig_MatchAll_Ct-1),AL375=0),I375,0)</f>
        <v>0</v>
      </c>
      <c r="BO375" s="199">
        <f>IF(AND(Input_Product=Elig!$C375,Elig_MatchAll_Ct&lt;22,$BC375=(Elig_MatchAll_Ct-1),AM375=0),J375,0)</f>
        <v>0</v>
      </c>
      <c r="BP375" s="199">
        <f>IF(AND(Input_Product=Elig!$C375,Elig_MatchAll_Ct&lt;22,$BC375=(Elig_MatchAll_Ct-1),AN375=0),K375,0)</f>
        <v>0</v>
      </c>
      <c r="BQ375" s="199">
        <f>IF(AND(Input_Product=Elig!$C375,Elig_MatchAll_Ct&lt;22,$BC375=(Elig_MatchAll_Ct-1),AP375=0),L375,0)</f>
        <v>0</v>
      </c>
      <c r="BR375" s="199">
        <f>IF(AND(Input_Product=Elig!$C375,Elig_MatchAll_Ct&lt;22,$BC375=(Elig_MatchAll_Ct-1),AO375=0),M375,0)</f>
        <v>0</v>
      </c>
      <c r="BS375" s="199">
        <f>IF(AND(Input_Product=Elig!$C375,Elig_MatchAll_Ct&lt;22,$BC375=(Elig_MatchAll_Ct-1),AQ375=0),N375,0)</f>
        <v>0</v>
      </c>
      <c r="BT375" s="199">
        <f>IF(AND(Input_Product=Elig!$C375,Elig_MatchAll_Ct&lt;22,$BC375=(Elig_MatchAll_Ct-1),AR375=0),O375,0)</f>
        <v>0</v>
      </c>
      <c r="BU375" s="199">
        <f>IF(AND(Input_Product=Elig!$C375,Elig_MatchAll_Ct&lt;22,$BC375=(Elig_MatchAll_Ct-1),AS375=0),P375,0)</f>
        <v>0</v>
      </c>
      <c r="BV375" s="200">
        <f>IF(AND(Input_Product=Elig!$C375,Elig_MatchAll_Ct&lt;22,$BC375=(Elig_MatchAll_Ct-1),AT375=0),Q375,0)</f>
        <v>0</v>
      </c>
      <c r="BW375" s="201">
        <f>IF(AND(Input_Product=Elig!$C375,Elig_MatchAll_Ct&lt;22,$BC375=(Elig_MatchAll_Ct-1),AU375=0),R375,0)</f>
        <v>0</v>
      </c>
      <c r="BX375" s="202">
        <f>IF(AND(Input_Product=Elig!$C375,Elig_MatchAll_Ct&lt;22,$BC375=(Elig_MatchAll_Ct-1),AU375=0),S375,0)</f>
        <v>0</v>
      </c>
      <c r="BY375" s="201">
        <f>IF(AND(Input_Product=Elig!$C375,Elig_MatchAll_Ct&lt;22,$BC375=(Elig_MatchAll_Ct-1),AV375=0),T375,0)</f>
        <v>0</v>
      </c>
      <c r="BZ375" s="202">
        <f>IF(AND(Input_Product=Elig!$C375,Elig_MatchAll_Ct&lt;22,$BC375=(Elig_MatchAll_Ct-1),AV375=0),U375,0)</f>
        <v>0</v>
      </c>
      <c r="CA375" s="201">
        <f>IF(AND(Input_Product=Elig!$C375,Elig_MatchAll_Ct&lt;22,$BC375=(Elig_MatchAll_Ct-1),AW375=0),V375,0)</f>
        <v>0</v>
      </c>
      <c r="CB375" s="202">
        <f>IF(AND(Input_Product=Elig!$C375,Elig_MatchAll_Ct&lt;22,$BC375=(Elig_MatchAll_Ct-1),AW375=0),W375,0)</f>
        <v>0</v>
      </c>
      <c r="CC375" s="201">
        <f>IF(AND(Input_Product=Elig!$C375,Elig_MatchAll_Ct&lt;22,$BC375=(Elig_MatchAll_Ct-1),AX375=0),X375,0)</f>
        <v>0</v>
      </c>
      <c r="CD375" s="202">
        <f>IF(AND(Input_Product=Elig!$C375,Elig_MatchAll_Ct&lt;22,$BC375=(Elig_MatchAll_Ct-1),AX375=0),Y375,0)</f>
        <v>0</v>
      </c>
      <c r="CE375" s="201">
        <f>IF(AND(Input_LTV&lt;=AE375,Input_Product=Elig!$C375,Elig_MatchAll_Ct&lt;22,$BC375=(Elig_MatchAll_Ct-1),AY375=0),Z375,0)</f>
        <v>0</v>
      </c>
      <c r="CF375" s="202">
        <f>IF(AND(Input_LTV&lt;=AE375,Input_Product=Elig!$C375,Elig_MatchAll_Ct&lt;22,$BC375=(Elig_MatchAll_Ct-1),AY375=0),AA375,0)</f>
        <v>0</v>
      </c>
      <c r="CG375" s="201">
        <f>IF(AND(Input_Product=Elig!$C375,Elig_MatchAll_Ct&lt;22,$BC375=(Elig_MatchAll_Ct-1),AZ375=0),AB375,0)</f>
        <v>0</v>
      </c>
      <c r="CH375" s="202">
        <f>IF(AND(Input_Product=Elig!$C375,Elig_MatchAll_Ct&lt;22,$BC375=(Elig_MatchAll_Ct-1),AZ375=0),AC375,0)</f>
        <v>0</v>
      </c>
      <c r="CI375" s="201">
        <f>IF(AND(Input_Product=Elig!$C375,Elig_MatchAll_Ct&lt;22,$BC375=(Elig_MatchAll_Ct-1),BA375=0),AD375,0)</f>
        <v>0</v>
      </c>
      <c r="CJ375" s="202">
        <f>IF(AND(Input_Product=Elig!$C375,Elig_MatchAll_Ct&lt;22,$BC375=(Elig_MatchAll_Ct-1),BA375=0),AE375,0)</f>
        <v>0</v>
      </c>
    </row>
    <row r="376" spans="2:88" ht="10.15" customHeight="1" x14ac:dyDescent="0.25">
      <c r="B376" s="287" t="s">
        <v>1072</v>
      </c>
      <c r="C376" s="286" t="str">
        <f t="shared" si="153"/>
        <v>NonQM NOO</v>
      </c>
      <c r="D376" s="287" t="s">
        <v>3885</v>
      </c>
      <c r="E376" s="287" t="s">
        <v>167</v>
      </c>
      <c r="F376" s="287" t="s">
        <v>330</v>
      </c>
      <c r="G376" s="300" t="s">
        <v>468</v>
      </c>
      <c r="H376" s="287" t="s">
        <v>136</v>
      </c>
      <c r="I376" s="287" t="s">
        <v>274</v>
      </c>
      <c r="J376" s="287" t="s">
        <v>1311</v>
      </c>
      <c r="K376" s="287" t="s">
        <v>1631</v>
      </c>
      <c r="L376" s="300" t="s">
        <v>312</v>
      </c>
      <c r="M376" s="287" t="s">
        <v>4203</v>
      </c>
      <c r="N376" s="287" t="s">
        <v>2685</v>
      </c>
      <c r="O376" s="287" t="s">
        <v>310</v>
      </c>
      <c r="P376" s="287" t="s">
        <v>291</v>
      </c>
      <c r="Q376" s="287" t="s">
        <v>294</v>
      </c>
      <c r="R376" s="287">
        <v>1000000.01</v>
      </c>
      <c r="S376" s="287">
        <v>1500000</v>
      </c>
      <c r="T376" s="287">
        <v>0</v>
      </c>
      <c r="U376" s="287">
        <v>0</v>
      </c>
      <c r="V376" s="287">
        <v>0</v>
      </c>
      <c r="W376" s="287">
        <v>50</v>
      </c>
      <c r="X376" s="287">
        <v>0</v>
      </c>
      <c r="Y376" s="287">
        <v>999</v>
      </c>
      <c r="Z376" s="289">
        <v>660</v>
      </c>
      <c r="AA376" s="289">
        <v>679</v>
      </c>
      <c r="AB376" s="289">
        <v>6</v>
      </c>
      <c r="AC376" s="289">
        <v>999999</v>
      </c>
      <c r="AD376" s="287">
        <v>0</v>
      </c>
      <c r="AE376" s="290">
        <v>75</v>
      </c>
      <c r="AF376" s="170">
        <v>0</v>
      </c>
      <c r="AG376" s="171">
        <v>1</v>
      </c>
      <c r="AH376" s="171">
        <v>1</v>
      </c>
      <c r="AI376" s="171">
        <v>0</v>
      </c>
      <c r="AJ376" s="171">
        <v>0</v>
      </c>
      <c r="AK376" s="171">
        <v>1</v>
      </c>
      <c r="AL376" s="171">
        <v>0</v>
      </c>
      <c r="AM376" s="171">
        <v>1</v>
      </c>
      <c r="AN376" s="171">
        <v>1</v>
      </c>
      <c r="AO376" s="171">
        <v>1</v>
      </c>
      <c r="AP376" s="171">
        <v>1</v>
      </c>
      <c r="AQ376" s="171">
        <v>1</v>
      </c>
      <c r="AR376" s="171">
        <v>1</v>
      </c>
      <c r="AS376" s="171">
        <v>1</v>
      </c>
      <c r="AT376" s="171">
        <v>1</v>
      </c>
      <c r="AU376" s="171">
        <f t="shared" si="140"/>
        <v>0</v>
      </c>
      <c r="AV376" s="171">
        <f t="shared" si="141"/>
        <v>0</v>
      </c>
      <c r="AW376" s="171">
        <f t="shared" si="142"/>
        <v>1</v>
      </c>
      <c r="AX376" s="171">
        <f t="shared" si="152"/>
        <v>1</v>
      </c>
      <c r="AY376" s="171">
        <f t="shared" si="143"/>
        <v>0</v>
      </c>
      <c r="AZ376" s="171">
        <f t="shared" si="144"/>
        <v>1</v>
      </c>
      <c r="BA376" s="172">
        <f t="shared" si="145"/>
        <v>1</v>
      </c>
      <c r="BB376" s="175">
        <f t="shared" si="156"/>
        <v>15</v>
      </c>
      <c r="BC376" s="176">
        <f t="shared" si="157"/>
        <v>14</v>
      </c>
      <c r="BD376" s="176">
        <f t="shared" si="158"/>
        <v>15</v>
      </c>
      <c r="BE376" s="240" t="str">
        <f t="shared" si="146"/>
        <v/>
      </c>
      <c r="BH376" s="199">
        <f>IF(AND(Input_Product=Elig!$C376,Elig_MatchAll_Ct&lt;22,$BC376=(Elig_MatchAll_Ct-1),AF376=0),C376,0)</f>
        <v>0</v>
      </c>
      <c r="BI376" s="199">
        <f>IF(AND(Input_Product=Elig!$C376,Elig_MatchAll_Ct&lt;22,$BC376=(Elig_MatchAll_Ct-1),AG376=0),D376,0)</f>
        <v>0</v>
      </c>
      <c r="BJ376" s="199">
        <f>IF(AND(Input_Product=Elig!$C376,Elig_MatchAll_Ct&lt;22,$BC376=(Elig_MatchAll_Ct-1),AH376=0),E376,0)</f>
        <v>0</v>
      </c>
      <c r="BK376" s="199">
        <f>IF(AND(Input_Product=Elig!$C376,Elig_MatchAll_Ct&lt;22,$BC376=(Elig_MatchAll_Ct-1),AI376=0),F376,0)</f>
        <v>0</v>
      </c>
      <c r="BL376" s="199">
        <f>IF(AND(Input_Product=Elig!$C376,Elig_MatchAll_Ct&lt;22,$BC376=(Elig_MatchAll_Ct-1),AJ376=0),G376,0)</f>
        <v>0</v>
      </c>
      <c r="BM376" s="199">
        <f>IF(AND(Input_Product=Elig!$C376,Elig_MatchAll_Ct&lt;22,$BC376=(Elig_MatchAll_Ct-1),AK376=0),H376,0)</f>
        <v>0</v>
      </c>
      <c r="BN376" s="199">
        <f>IF(AND(Input_Product=Elig!$C376,Elig_MatchAll_Ct&lt;22,$BC376=(Elig_MatchAll_Ct-1),AL376=0),I376,0)</f>
        <v>0</v>
      </c>
      <c r="BO376" s="199">
        <f>IF(AND(Input_Product=Elig!$C376,Elig_MatchAll_Ct&lt;22,$BC376=(Elig_MatchAll_Ct-1),AM376=0),J376,0)</f>
        <v>0</v>
      </c>
      <c r="BP376" s="199">
        <f>IF(AND(Input_Product=Elig!$C376,Elig_MatchAll_Ct&lt;22,$BC376=(Elig_MatchAll_Ct-1),AN376=0),K376,0)</f>
        <v>0</v>
      </c>
      <c r="BQ376" s="199">
        <f>IF(AND(Input_Product=Elig!$C376,Elig_MatchAll_Ct&lt;22,$BC376=(Elig_MatchAll_Ct-1),AP376=0),L376,0)</f>
        <v>0</v>
      </c>
      <c r="BR376" s="199">
        <f>IF(AND(Input_Product=Elig!$C376,Elig_MatchAll_Ct&lt;22,$BC376=(Elig_MatchAll_Ct-1),AO376=0),M376,0)</f>
        <v>0</v>
      </c>
      <c r="BS376" s="199">
        <f>IF(AND(Input_Product=Elig!$C376,Elig_MatchAll_Ct&lt;22,$BC376=(Elig_MatchAll_Ct-1),AQ376=0),N376,0)</f>
        <v>0</v>
      </c>
      <c r="BT376" s="199">
        <f>IF(AND(Input_Product=Elig!$C376,Elig_MatchAll_Ct&lt;22,$BC376=(Elig_MatchAll_Ct-1),AR376=0),O376,0)</f>
        <v>0</v>
      </c>
      <c r="BU376" s="199">
        <f>IF(AND(Input_Product=Elig!$C376,Elig_MatchAll_Ct&lt;22,$BC376=(Elig_MatchAll_Ct-1),AS376=0),P376,0)</f>
        <v>0</v>
      </c>
      <c r="BV376" s="200">
        <f>IF(AND(Input_Product=Elig!$C376,Elig_MatchAll_Ct&lt;22,$BC376=(Elig_MatchAll_Ct-1),AT376=0),Q376,0)</f>
        <v>0</v>
      </c>
      <c r="BW376" s="201">
        <f>IF(AND(Input_Product=Elig!$C376,Elig_MatchAll_Ct&lt;22,$BC376=(Elig_MatchAll_Ct-1),AU376=0),R376,0)</f>
        <v>0</v>
      </c>
      <c r="BX376" s="202">
        <f>IF(AND(Input_Product=Elig!$C376,Elig_MatchAll_Ct&lt;22,$BC376=(Elig_MatchAll_Ct-1),AU376=0),S376,0)</f>
        <v>0</v>
      </c>
      <c r="BY376" s="201">
        <f>IF(AND(Input_Product=Elig!$C376,Elig_MatchAll_Ct&lt;22,$BC376=(Elig_MatchAll_Ct-1),AV376=0),T376,0)</f>
        <v>0</v>
      </c>
      <c r="BZ376" s="202">
        <f>IF(AND(Input_Product=Elig!$C376,Elig_MatchAll_Ct&lt;22,$BC376=(Elig_MatchAll_Ct-1),AV376=0),U376,0)</f>
        <v>0</v>
      </c>
      <c r="CA376" s="201">
        <f>IF(AND(Input_Product=Elig!$C376,Elig_MatchAll_Ct&lt;22,$BC376=(Elig_MatchAll_Ct-1),AW376=0),V376,0)</f>
        <v>0</v>
      </c>
      <c r="CB376" s="202">
        <f>IF(AND(Input_Product=Elig!$C376,Elig_MatchAll_Ct&lt;22,$BC376=(Elig_MatchAll_Ct-1),AW376=0),W376,0)</f>
        <v>0</v>
      </c>
      <c r="CC376" s="201">
        <f>IF(AND(Input_Product=Elig!$C376,Elig_MatchAll_Ct&lt;22,$BC376=(Elig_MatchAll_Ct-1),AX376=0),X376,0)</f>
        <v>0</v>
      </c>
      <c r="CD376" s="202">
        <f>IF(AND(Input_Product=Elig!$C376,Elig_MatchAll_Ct&lt;22,$BC376=(Elig_MatchAll_Ct-1),AX376=0),Y376,0)</f>
        <v>0</v>
      </c>
      <c r="CE376" s="201">
        <f>IF(AND(Input_LTV&lt;=AE376,Input_Product=Elig!$C376,Elig_MatchAll_Ct&lt;22,$BC376=(Elig_MatchAll_Ct-1),AY376=0),Z376,0)</f>
        <v>0</v>
      </c>
      <c r="CF376" s="202">
        <f>IF(AND(Input_LTV&lt;=AE376,Input_Product=Elig!$C376,Elig_MatchAll_Ct&lt;22,$BC376=(Elig_MatchAll_Ct-1),AY376=0),AA376,0)</f>
        <v>0</v>
      </c>
      <c r="CG376" s="201">
        <f>IF(AND(Input_Product=Elig!$C376,Elig_MatchAll_Ct&lt;22,$BC376=(Elig_MatchAll_Ct-1),AZ376=0),AB376,0)</f>
        <v>0</v>
      </c>
      <c r="CH376" s="202">
        <f>IF(AND(Input_Product=Elig!$C376,Elig_MatchAll_Ct&lt;22,$BC376=(Elig_MatchAll_Ct-1),AZ376=0),AC376,0)</f>
        <v>0</v>
      </c>
      <c r="CI376" s="201">
        <f>IF(AND(Input_Product=Elig!$C376,Elig_MatchAll_Ct&lt;22,$BC376=(Elig_MatchAll_Ct-1),BA376=0),AD376,0)</f>
        <v>0</v>
      </c>
      <c r="CJ376" s="202">
        <f>IF(AND(Input_Product=Elig!$C376,Elig_MatchAll_Ct&lt;22,$BC376=(Elig_MatchAll_Ct-1),BA376=0),AE376,0)</f>
        <v>0</v>
      </c>
    </row>
    <row r="377" spans="2:88" ht="10.15" customHeight="1" x14ac:dyDescent="0.25">
      <c r="B377" s="287" t="s">
        <v>1073</v>
      </c>
      <c r="C377" s="286" t="str">
        <f t="shared" si="153"/>
        <v>NonQM NOO</v>
      </c>
      <c r="D377" s="287" t="s">
        <v>3885</v>
      </c>
      <c r="E377" s="287" t="s">
        <v>167</v>
      </c>
      <c r="F377" s="287" t="s">
        <v>330</v>
      </c>
      <c r="G377" s="300" t="s">
        <v>468</v>
      </c>
      <c r="H377" s="287" t="s">
        <v>136</v>
      </c>
      <c r="I377" s="287" t="s">
        <v>274</v>
      </c>
      <c r="J377" s="287" t="s">
        <v>1311</v>
      </c>
      <c r="K377" s="287" t="s">
        <v>1631</v>
      </c>
      <c r="L377" s="300" t="s">
        <v>312</v>
      </c>
      <c r="M377" s="287" t="s">
        <v>4203</v>
      </c>
      <c r="N377" s="287" t="s">
        <v>2685</v>
      </c>
      <c r="O377" s="287" t="s">
        <v>310</v>
      </c>
      <c r="P377" s="287" t="s">
        <v>291</v>
      </c>
      <c r="Q377" s="287" t="s">
        <v>294</v>
      </c>
      <c r="R377" s="287">
        <v>1000000.01</v>
      </c>
      <c r="S377" s="287">
        <v>1500000</v>
      </c>
      <c r="T377" s="287">
        <v>0</v>
      </c>
      <c r="U377" s="287">
        <v>0</v>
      </c>
      <c r="V377" s="287">
        <v>0</v>
      </c>
      <c r="W377" s="287">
        <v>50</v>
      </c>
      <c r="X377" s="287">
        <v>0</v>
      </c>
      <c r="Y377" s="287">
        <v>999</v>
      </c>
      <c r="Z377" s="289">
        <v>640</v>
      </c>
      <c r="AA377" s="289">
        <v>659</v>
      </c>
      <c r="AB377" s="289">
        <v>6</v>
      </c>
      <c r="AC377" s="289">
        <v>999999</v>
      </c>
      <c r="AD377" s="287">
        <v>0</v>
      </c>
      <c r="AE377" s="290">
        <v>-999</v>
      </c>
      <c r="AF377" s="170">
        <v>0</v>
      </c>
      <c r="AG377" s="171">
        <v>1</v>
      </c>
      <c r="AH377" s="171">
        <v>1</v>
      </c>
      <c r="AI377" s="171">
        <v>0</v>
      </c>
      <c r="AJ377" s="171">
        <v>0</v>
      </c>
      <c r="AK377" s="171">
        <v>1</v>
      </c>
      <c r="AL377" s="171">
        <v>0</v>
      </c>
      <c r="AM377" s="171">
        <v>1</v>
      </c>
      <c r="AN377" s="171">
        <v>1</v>
      </c>
      <c r="AO377" s="171">
        <v>1</v>
      </c>
      <c r="AP377" s="171">
        <v>1</v>
      </c>
      <c r="AQ377" s="171">
        <v>1</v>
      </c>
      <c r="AR377" s="171">
        <v>1</v>
      </c>
      <c r="AS377" s="171">
        <v>1</v>
      </c>
      <c r="AT377" s="171">
        <v>1</v>
      </c>
      <c r="AU377" s="171">
        <f t="shared" si="140"/>
        <v>0</v>
      </c>
      <c r="AV377" s="171">
        <f t="shared" si="141"/>
        <v>0</v>
      </c>
      <c r="AW377" s="171">
        <f t="shared" si="142"/>
        <v>1</v>
      </c>
      <c r="AX377" s="171">
        <f t="shared" si="152"/>
        <v>1</v>
      </c>
      <c r="AY377" s="171">
        <f t="shared" si="143"/>
        <v>0</v>
      </c>
      <c r="AZ377" s="171">
        <f t="shared" si="144"/>
        <v>1</v>
      </c>
      <c r="BA377" s="172">
        <f t="shared" si="145"/>
        <v>0</v>
      </c>
      <c r="BB377" s="175">
        <f t="shared" si="156"/>
        <v>14</v>
      </c>
      <c r="BC377" s="176">
        <f t="shared" si="157"/>
        <v>14</v>
      </c>
      <c r="BD377" s="176">
        <f t="shared" si="158"/>
        <v>14</v>
      </c>
      <c r="BE377" s="240" t="str">
        <f t="shared" si="146"/>
        <v/>
      </c>
      <c r="BH377" s="199">
        <f>IF(AND(Input_Product=Elig!$C377,Elig_MatchAll_Ct&lt;22,$BC377=(Elig_MatchAll_Ct-1),AF377=0),C377,0)</f>
        <v>0</v>
      </c>
      <c r="BI377" s="199">
        <f>IF(AND(Input_Product=Elig!$C377,Elig_MatchAll_Ct&lt;22,$BC377=(Elig_MatchAll_Ct-1),AG377=0),D377,0)</f>
        <v>0</v>
      </c>
      <c r="BJ377" s="199">
        <f>IF(AND(Input_Product=Elig!$C377,Elig_MatchAll_Ct&lt;22,$BC377=(Elig_MatchAll_Ct-1),AH377=0),E377,0)</f>
        <v>0</v>
      </c>
      <c r="BK377" s="199">
        <f>IF(AND(Input_Product=Elig!$C377,Elig_MatchAll_Ct&lt;22,$BC377=(Elig_MatchAll_Ct-1),AI377=0),F377,0)</f>
        <v>0</v>
      </c>
      <c r="BL377" s="199">
        <f>IF(AND(Input_Product=Elig!$C377,Elig_MatchAll_Ct&lt;22,$BC377=(Elig_MatchAll_Ct-1),AJ377=0),G377,0)</f>
        <v>0</v>
      </c>
      <c r="BM377" s="199">
        <f>IF(AND(Input_Product=Elig!$C377,Elig_MatchAll_Ct&lt;22,$BC377=(Elig_MatchAll_Ct-1),AK377=0),H377,0)</f>
        <v>0</v>
      </c>
      <c r="BN377" s="199">
        <f>IF(AND(Input_Product=Elig!$C377,Elig_MatchAll_Ct&lt;22,$BC377=(Elig_MatchAll_Ct-1),AL377=0),I377,0)</f>
        <v>0</v>
      </c>
      <c r="BO377" s="199">
        <f>IF(AND(Input_Product=Elig!$C377,Elig_MatchAll_Ct&lt;22,$BC377=(Elig_MatchAll_Ct-1),AM377=0),J377,0)</f>
        <v>0</v>
      </c>
      <c r="BP377" s="199">
        <f>IF(AND(Input_Product=Elig!$C377,Elig_MatchAll_Ct&lt;22,$BC377=(Elig_MatchAll_Ct-1),AN377=0),K377,0)</f>
        <v>0</v>
      </c>
      <c r="BQ377" s="199">
        <f>IF(AND(Input_Product=Elig!$C377,Elig_MatchAll_Ct&lt;22,$BC377=(Elig_MatchAll_Ct-1),AP377=0),L377,0)</f>
        <v>0</v>
      </c>
      <c r="BR377" s="199">
        <f>IF(AND(Input_Product=Elig!$C377,Elig_MatchAll_Ct&lt;22,$BC377=(Elig_MatchAll_Ct-1),AO377=0),M377,0)</f>
        <v>0</v>
      </c>
      <c r="BS377" s="199">
        <f>IF(AND(Input_Product=Elig!$C377,Elig_MatchAll_Ct&lt;22,$BC377=(Elig_MatchAll_Ct-1),AQ377=0),N377,0)</f>
        <v>0</v>
      </c>
      <c r="BT377" s="199">
        <f>IF(AND(Input_Product=Elig!$C377,Elig_MatchAll_Ct&lt;22,$BC377=(Elig_MatchAll_Ct-1),AR377=0),O377,0)</f>
        <v>0</v>
      </c>
      <c r="BU377" s="199">
        <f>IF(AND(Input_Product=Elig!$C377,Elig_MatchAll_Ct&lt;22,$BC377=(Elig_MatchAll_Ct-1),AS377=0),P377,0)</f>
        <v>0</v>
      </c>
      <c r="BV377" s="200">
        <f>IF(AND(Input_Product=Elig!$C377,Elig_MatchAll_Ct&lt;22,$BC377=(Elig_MatchAll_Ct-1),AT377=0),Q377,0)</f>
        <v>0</v>
      </c>
      <c r="BW377" s="201">
        <f>IF(AND(Input_Product=Elig!$C377,Elig_MatchAll_Ct&lt;22,$BC377=(Elig_MatchAll_Ct-1),AU377=0),R377,0)</f>
        <v>0</v>
      </c>
      <c r="BX377" s="202">
        <f>IF(AND(Input_Product=Elig!$C377,Elig_MatchAll_Ct&lt;22,$BC377=(Elig_MatchAll_Ct-1),AU377=0),S377,0)</f>
        <v>0</v>
      </c>
      <c r="BY377" s="201">
        <f>IF(AND(Input_Product=Elig!$C377,Elig_MatchAll_Ct&lt;22,$BC377=(Elig_MatchAll_Ct-1),AV377=0),T377,0)</f>
        <v>0</v>
      </c>
      <c r="BZ377" s="202">
        <f>IF(AND(Input_Product=Elig!$C377,Elig_MatchAll_Ct&lt;22,$BC377=(Elig_MatchAll_Ct-1),AV377=0),U377,0)</f>
        <v>0</v>
      </c>
      <c r="CA377" s="201">
        <f>IF(AND(Input_Product=Elig!$C377,Elig_MatchAll_Ct&lt;22,$BC377=(Elig_MatchAll_Ct-1),AW377=0),V377,0)</f>
        <v>0</v>
      </c>
      <c r="CB377" s="202">
        <f>IF(AND(Input_Product=Elig!$C377,Elig_MatchAll_Ct&lt;22,$BC377=(Elig_MatchAll_Ct-1),AW377=0),W377,0)</f>
        <v>0</v>
      </c>
      <c r="CC377" s="201">
        <f>IF(AND(Input_Product=Elig!$C377,Elig_MatchAll_Ct&lt;22,$BC377=(Elig_MatchAll_Ct-1),AX377=0),X377,0)</f>
        <v>0</v>
      </c>
      <c r="CD377" s="202">
        <f>IF(AND(Input_Product=Elig!$C377,Elig_MatchAll_Ct&lt;22,$BC377=(Elig_MatchAll_Ct-1),AX377=0),Y377,0)</f>
        <v>0</v>
      </c>
      <c r="CE377" s="201">
        <f>IF(AND(Input_LTV&lt;=AE377,Input_Product=Elig!$C377,Elig_MatchAll_Ct&lt;22,$BC377=(Elig_MatchAll_Ct-1),AY377=0),Z377,0)</f>
        <v>0</v>
      </c>
      <c r="CF377" s="202">
        <f>IF(AND(Input_LTV&lt;=AE377,Input_Product=Elig!$C377,Elig_MatchAll_Ct&lt;22,$BC377=(Elig_MatchAll_Ct-1),AY377=0),AA377,0)</f>
        <v>0</v>
      </c>
      <c r="CG377" s="201">
        <f>IF(AND(Input_Product=Elig!$C377,Elig_MatchAll_Ct&lt;22,$BC377=(Elig_MatchAll_Ct-1),AZ377=0),AB377,0)</f>
        <v>0</v>
      </c>
      <c r="CH377" s="202">
        <f>IF(AND(Input_Product=Elig!$C377,Elig_MatchAll_Ct&lt;22,$BC377=(Elig_MatchAll_Ct-1),AZ377=0),AC377,0)</f>
        <v>0</v>
      </c>
      <c r="CI377" s="201">
        <f>IF(AND(Input_Product=Elig!$C377,Elig_MatchAll_Ct&lt;22,$BC377=(Elig_MatchAll_Ct-1),BA377=0),AD377,0)</f>
        <v>0</v>
      </c>
      <c r="CJ377" s="202">
        <f>IF(AND(Input_Product=Elig!$C377,Elig_MatchAll_Ct&lt;22,$BC377=(Elig_MatchAll_Ct-1),BA377=0),AE377,0)</f>
        <v>0</v>
      </c>
    </row>
    <row r="378" spans="2:88" ht="10.15" customHeight="1" x14ac:dyDescent="0.25">
      <c r="B378" s="287" t="s">
        <v>1074</v>
      </c>
      <c r="C378" s="291" t="str">
        <f t="shared" si="153"/>
        <v>NonQM NOO</v>
      </c>
      <c r="D378" s="292" t="s">
        <v>3885</v>
      </c>
      <c r="E378" s="292" t="s">
        <v>167</v>
      </c>
      <c r="F378" s="292" t="s">
        <v>330</v>
      </c>
      <c r="G378" s="324" t="s">
        <v>468</v>
      </c>
      <c r="H378" s="292" t="s">
        <v>136</v>
      </c>
      <c r="I378" s="292" t="s">
        <v>274</v>
      </c>
      <c r="J378" s="292" t="s">
        <v>1311</v>
      </c>
      <c r="K378" s="292" t="s">
        <v>1631</v>
      </c>
      <c r="L378" s="324" t="s">
        <v>312</v>
      </c>
      <c r="M378" s="292" t="s">
        <v>4203</v>
      </c>
      <c r="N378" s="292" t="s">
        <v>2685</v>
      </c>
      <c r="O378" s="292" t="s">
        <v>310</v>
      </c>
      <c r="P378" s="292" t="s">
        <v>291</v>
      </c>
      <c r="Q378" s="292" t="s">
        <v>294</v>
      </c>
      <c r="R378" s="292">
        <v>1000000.01</v>
      </c>
      <c r="S378" s="292">
        <v>1500000</v>
      </c>
      <c r="T378" s="292">
        <v>0</v>
      </c>
      <c r="U378" s="292">
        <v>0</v>
      </c>
      <c r="V378" s="292">
        <v>0</v>
      </c>
      <c r="W378" s="292">
        <v>50</v>
      </c>
      <c r="X378" s="292">
        <v>0</v>
      </c>
      <c r="Y378" s="292">
        <v>999</v>
      </c>
      <c r="Z378" s="293">
        <v>620</v>
      </c>
      <c r="AA378" s="293">
        <v>639</v>
      </c>
      <c r="AB378" s="293">
        <v>6</v>
      </c>
      <c r="AC378" s="293">
        <v>999999</v>
      </c>
      <c r="AD378" s="292">
        <v>0</v>
      </c>
      <c r="AE378" s="294">
        <v>-999</v>
      </c>
      <c r="AF378" s="170">
        <v>0</v>
      </c>
      <c r="AG378" s="171">
        <v>1</v>
      </c>
      <c r="AH378" s="171">
        <v>1</v>
      </c>
      <c r="AI378" s="171">
        <v>0</v>
      </c>
      <c r="AJ378" s="171">
        <v>0</v>
      </c>
      <c r="AK378" s="171">
        <v>1</v>
      </c>
      <c r="AL378" s="171">
        <v>0</v>
      </c>
      <c r="AM378" s="171">
        <v>1</v>
      </c>
      <c r="AN378" s="171">
        <v>1</v>
      </c>
      <c r="AO378" s="171">
        <v>1</v>
      </c>
      <c r="AP378" s="171">
        <v>1</v>
      </c>
      <c r="AQ378" s="171">
        <v>1</v>
      </c>
      <c r="AR378" s="171">
        <v>1</v>
      </c>
      <c r="AS378" s="171">
        <v>1</v>
      </c>
      <c r="AT378" s="171">
        <v>1</v>
      </c>
      <c r="AU378" s="171">
        <f t="shared" si="140"/>
        <v>0</v>
      </c>
      <c r="AV378" s="171">
        <f t="shared" si="141"/>
        <v>0</v>
      </c>
      <c r="AW378" s="171">
        <f t="shared" si="142"/>
        <v>1</v>
      </c>
      <c r="AX378" s="171">
        <f t="shared" si="152"/>
        <v>1</v>
      </c>
      <c r="AY378" s="171">
        <f t="shared" si="143"/>
        <v>0</v>
      </c>
      <c r="AZ378" s="171">
        <f t="shared" si="144"/>
        <v>1</v>
      </c>
      <c r="BA378" s="172">
        <f t="shared" si="145"/>
        <v>0</v>
      </c>
      <c r="BB378" s="175">
        <f t="shared" si="156"/>
        <v>14</v>
      </c>
      <c r="BC378" s="176">
        <f t="shared" si="157"/>
        <v>14</v>
      </c>
      <c r="BD378" s="176">
        <f t="shared" si="158"/>
        <v>14</v>
      </c>
      <c r="BE378" s="240" t="str">
        <f t="shared" si="146"/>
        <v/>
      </c>
      <c r="BH378" s="214">
        <f>IF(AND(Input_Product=Elig!$C378,Elig_MatchAll_Ct&lt;22,$BC378=(Elig_MatchAll_Ct-1),AF378=0),C378,0)</f>
        <v>0</v>
      </c>
      <c r="BI378" s="214">
        <f>IF(AND(Input_Product=Elig!$C378,Elig_MatchAll_Ct&lt;22,$BC378=(Elig_MatchAll_Ct-1),AG378=0),D378,0)</f>
        <v>0</v>
      </c>
      <c r="BJ378" s="214">
        <f>IF(AND(Input_Product=Elig!$C378,Elig_MatchAll_Ct&lt;22,$BC378=(Elig_MatchAll_Ct-1),AH378=0),E378,0)</f>
        <v>0</v>
      </c>
      <c r="BK378" s="214">
        <f>IF(AND(Input_Product=Elig!$C378,Elig_MatchAll_Ct&lt;22,$BC378=(Elig_MatchAll_Ct-1),AI378=0),F378,0)</f>
        <v>0</v>
      </c>
      <c r="BL378" s="214">
        <f>IF(AND(Input_Product=Elig!$C378,Elig_MatchAll_Ct&lt;22,$BC378=(Elig_MatchAll_Ct-1),AJ378=0),G378,0)</f>
        <v>0</v>
      </c>
      <c r="BM378" s="214">
        <f>IF(AND(Input_Product=Elig!$C378,Elig_MatchAll_Ct&lt;22,$BC378=(Elig_MatchAll_Ct-1),AK378=0),H378,0)</f>
        <v>0</v>
      </c>
      <c r="BN378" s="214">
        <f>IF(AND(Input_Product=Elig!$C378,Elig_MatchAll_Ct&lt;22,$BC378=(Elig_MatchAll_Ct-1),AL378=0),I378,0)</f>
        <v>0</v>
      </c>
      <c r="BO378" s="214">
        <f>IF(AND(Input_Product=Elig!$C378,Elig_MatchAll_Ct&lt;22,$BC378=(Elig_MatchAll_Ct-1),AM378=0),J378,0)</f>
        <v>0</v>
      </c>
      <c r="BP378" s="214">
        <f>IF(AND(Input_Product=Elig!$C378,Elig_MatchAll_Ct&lt;22,$BC378=(Elig_MatchAll_Ct-1),AN378=0),K378,0)</f>
        <v>0</v>
      </c>
      <c r="BQ378" s="214">
        <f>IF(AND(Input_Product=Elig!$C378,Elig_MatchAll_Ct&lt;22,$BC378=(Elig_MatchAll_Ct-1),AP378=0),L378,0)</f>
        <v>0</v>
      </c>
      <c r="BR378" s="214">
        <f>IF(AND(Input_Product=Elig!$C378,Elig_MatchAll_Ct&lt;22,$BC378=(Elig_MatchAll_Ct-1),AO378=0),M378,0)</f>
        <v>0</v>
      </c>
      <c r="BS378" s="214">
        <f>IF(AND(Input_Product=Elig!$C378,Elig_MatchAll_Ct&lt;22,$BC378=(Elig_MatchAll_Ct-1),AQ378=0),N378,0)</f>
        <v>0</v>
      </c>
      <c r="BT378" s="214">
        <f>IF(AND(Input_Product=Elig!$C378,Elig_MatchAll_Ct&lt;22,$BC378=(Elig_MatchAll_Ct-1),AR378=0),O378,0)</f>
        <v>0</v>
      </c>
      <c r="BU378" s="214">
        <f>IF(AND(Input_Product=Elig!$C378,Elig_MatchAll_Ct&lt;22,$BC378=(Elig_MatchAll_Ct-1),AS378=0),P378,0)</f>
        <v>0</v>
      </c>
      <c r="BV378" s="215">
        <f>IF(AND(Input_Product=Elig!$C378,Elig_MatchAll_Ct&lt;22,$BC378=(Elig_MatchAll_Ct-1),AT378=0),Q378,0)</f>
        <v>0</v>
      </c>
      <c r="BW378" s="207">
        <f>IF(AND(Input_Product=Elig!$C378,Elig_MatchAll_Ct&lt;22,$BC378=(Elig_MatchAll_Ct-1),AU378=0),R378,0)</f>
        <v>0</v>
      </c>
      <c r="BX378" s="208">
        <f>IF(AND(Input_Product=Elig!$C378,Elig_MatchAll_Ct&lt;22,$BC378=(Elig_MatchAll_Ct-1),AU378=0),S378,0)</f>
        <v>0</v>
      </c>
      <c r="BY378" s="207">
        <f>IF(AND(Input_Product=Elig!$C378,Elig_MatchAll_Ct&lt;22,$BC378=(Elig_MatchAll_Ct-1),AV378=0),T378,0)</f>
        <v>0</v>
      </c>
      <c r="BZ378" s="208">
        <f>IF(AND(Input_Product=Elig!$C378,Elig_MatchAll_Ct&lt;22,$BC378=(Elig_MatchAll_Ct-1),AV378=0),U378,0)</f>
        <v>0</v>
      </c>
      <c r="CA378" s="207">
        <f>IF(AND(Input_Product=Elig!$C378,Elig_MatchAll_Ct&lt;22,$BC378=(Elig_MatchAll_Ct-1),AW378=0),V378,0)</f>
        <v>0</v>
      </c>
      <c r="CB378" s="208">
        <f>IF(AND(Input_Product=Elig!$C378,Elig_MatchAll_Ct&lt;22,$BC378=(Elig_MatchAll_Ct-1),AW378=0),W378,0)</f>
        <v>0</v>
      </c>
      <c r="CC378" s="207">
        <f>IF(AND(Input_Product=Elig!$C378,Elig_MatchAll_Ct&lt;22,$BC378=(Elig_MatchAll_Ct-1),AX378=0),X378,0)</f>
        <v>0</v>
      </c>
      <c r="CD378" s="208">
        <f>IF(AND(Input_Product=Elig!$C378,Elig_MatchAll_Ct&lt;22,$BC378=(Elig_MatchAll_Ct-1),AX378=0),Y378,0)</f>
        <v>0</v>
      </c>
      <c r="CE378" s="207">
        <f>IF(AND(Input_LTV&lt;=AE378,Input_Product=Elig!$C378,Elig_MatchAll_Ct&lt;22,$BC378=(Elig_MatchAll_Ct-1),AY378=0),Z378,0)</f>
        <v>0</v>
      </c>
      <c r="CF378" s="208">
        <f>IF(AND(Input_LTV&lt;=AE378,Input_Product=Elig!$C378,Elig_MatchAll_Ct&lt;22,$BC378=(Elig_MatchAll_Ct-1),AY378=0),AA378,0)</f>
        <v>0</v>
      </c>
      <c r="CG378" s="207">
        <f>IF(AND(Input_Product=Elig!$C378,Elig_MatchAll_Ct&lt;22,$BC378=(Elig_MatchAll_Ct-1),AZ378=0),AB378,0)</f>
        <v>0</v>
      </c>
      <c r="CH378" s="208">
        <f>IF(AND(Input_Product=Elig!$C378,Elig_MatchAll_Ct&lt;22,$BC378=(Elig_MatchAll_Ct-1),AZ378=0),AC378,0)</f>
        <v>0</v>
      </c>
      <c r="CI378" s="207">
        <f>IF(AND(Input_Product=Elig!$C378,Elig_MatchAll_Ct&lt;22,$BC378=(Elig_MatchAll_Ct-1),BA378=0),AD378,0)</f>
        <v>0</v>
      </c>
      <c r="CJ378" s="209">
        <f>IF(AND(Input_Product=Elig!$C378,Elig_MatchAll_Ct&lt;22,$BC378=(Elig_MatchAll_Ct-1),BA378=0),AE378,0)</f>
        <v>0</v>
      </c>
    </row>
    <row r="379" spans="2:88" ht="10.15" customHeight="1" x14ac:dyDescent="0.25">
      <c r="B379" s="287" t="s">
        <v>1075</v>
      </c>
      <c r="C379" s="281" t="str">
        <f t="shared" si="153"/>
        <v>NonQM NOO</v>
      </c>
      <c r="D379" s="282" t="s">
        <v>3885</v>
      </c>
      <c r="E379" s="283" t="s">
        <v>167</v>
      </c>
      <c r="F379" s="283" t="s">
        <v>330</v>
      </c>
      <c r="G379" s="2103" t="s">
        <v>468</v>
      </c>
      <c r="H379" s="283" t="s">
        <v>136</v>
      </c>
      <c r="I379" s="282" t="s">
        <v>16</v>
      </c>
      <c r="J379" s="282" t="s">
        <v>1311</v>
      </c>
      <c r="K379" s="282" t="s">
        <v>1631</v>
      </c>
      <c r="L379" s="2103" t="s">
        <v>312</v>
      </c>
      <c r="M379" s="283" t="s">
        <v>4203</v>
      </c>
      <c r="N379" s="283" t="s">
        <v>2685</v>
      </c>
      <c r="O379" s="283" t="s">
        <v>310</v>
      </c>
      <c r="P379" s="283" t="s">
        <v>291</v>
      </c>
      <c r="Q379" s="283" t="s">
        <v>294</v>
      </c>
      <c r="R379" s="282">
        <v>1000000.01</v>
      </c>
      <c r="S379" s="282">
        <v>1500000</v>
      </c>
      <c r="T379" s="282">
        <v>0</v>
      </c>
      <c r="U379" s="282">
        <f t="shared" ref="U379:U384" si="159">S379</f>
        <v>1500000</v>
      </c>
      <c r="V379" s="282">
        <v>0</v>
      </c>
      <c r="W379" s="282">
        <v>55</v>
      </c>
      <c r="X379" s="282">
        <v>0</v>
      </c>
      <c r="Y379" s="282">
        <v>999</v>
      </c>
      <c r="Z379" s="284">
        <v>720</v>
      </c>
      <c r="AA379" s="284">
        <v>999</v>
      </c>
      <c r="AB379" s="284">
        <v>6</v>
      </c>
      <c r="AC379" s="284">
        <v>999999</v>
      </c>
      <c r="AD379" s="282">
        <v>0</v>
      </c>
      <c r="AE379" s="2104">
        <v>80</v>
      </c>
      <c r="AF379" s="170">
        <v>0</v>
      </c>
      <c r="AG379" s="171">
        <v>1</v>
      </c>
      <c r="AH379" s="171">
        <v>1</v>
      </c>
      <c r="AI379" s="171">
        <v>0</v>
      </c>
      <c r="AJ379" s="171">
        <v>0</v>
      </c>
      <c r="AK379" s="171">
        <v>1</v>
      </c>
      <c r="AL379" s="171">
        <v>1</v>
      </c>
      <c r="AM379" s="171">
        <v>1</v>
      </c>
      <c r="AN379" s="171">
        <v>1</v>
      </c>
      <c r="AO379" s="171">
        <v>1</v>
      </c>
      <c r="AP379" s="171">
        <v>1</v>
      </c>
      <c r="AQ379" s="171">
        <v>1</v>
      </c>
      <c r="AR379" s="171">
        <v>1</v>
      </c>
      <c r="AS379" s="171">
        <v>1</v>
      </c>
      <c r="AT379" s="171">
        <v>1</v>
      </c>
      <c r="AU379" s="171">
        <f t="shared" si="140"/>
        <v>0</v>
      </c>
      <c r="AV379" s="171">
        <f t="shared" si="141"/>
        <v>1</v>
      </c>
      <c r="AW379" s="171">
        <f t="shared" si="142"/>
        <v>1</v>
      </c>
      <c r="AX379" s="171">
        <f t="shared" si="152"/>
        <v>1</v>
      </c>
      <c r="AY379" s="171">
        <f t="shared" si="143"/>
        <v>1</v>
      </c>
      <c r="AZ379" s="171">
        <f t="shared" si="144"/>
        <v>1</v>
      </c>
      <c r="BA379" s="172">
        <f t="shared" si="145"/>
        <v>1</v>
      </c>
      <c r="BB379" s="175">
        <f t="shared" si="156"/>
        <v>18</v>
      </c>
      <c r="BC379" s="176">
        <f t="shared" si="157"/>
        <v>17</v>
      </c>
      <c r="BD379" s="176">
        <f t="shared" si="158"/>
        <v>18</v>
      </c>
      <c r="BE379" s="240" t="str">
        <f t="shared" si="146"/>
        <v/>
      </c>
      <c r="BH379" s="216">
        <f>IF(AND(Input_Product=Elig!$C379,Elig_MatchAll_Ct&lt;22,$BC379=(Elig_MatchAll_Ct-1),AF379=0),C379,0)</f>
        <v>0</v>
      </c>
      <c r="BI379" s="216">
        <f>IF(AND(Input_Product=Elig!$C379,Elig_MatchAll_Ct&lt;22,$BC379=(Elig_MatchAll_Ct-1),AG379=0),D379,0)</f>
        <v>0</v>
      </c>
      <c r="BJ379" s="216">
        <f>IF(AND(Input_Product=Elig!$C379,Elig_MatchAll_Ct&lt;22,$BC379=(Elig_MatchAll_Ct-1),AH379=0),E379,0)</f>
        <v>0</v>
      </c>
      <c r="BK379" s="216">
        <f>IF(AND(Input_Product=Elig!$C379,Elig_MatchAll_Ct&lt;22,$BC379=(Elig_MatchAll_Ct-1),AI379=0),F379,0)</f>
        <v>0</v>
      </c>
      <c r="BL379" s="216">
        <f>IF(AND(Input_Product=Elig!$C379,Elig_MatchAll_Ct&lt;22,$BC379=(Elig_MatchAll_Ct-1),AJ379=0),G379,0)</f>
        <v>0</v>
      </c>
      <c r="BM379" s="216">
        <f>IF(AND(Input_Product=Elig!$C379,Elig_MatchAll_Ct&lt;22,$BC379=(Elig_MatchAll_Ct-1),AK379=0),H379,0)</f>
        <v>0</v>
      </c>
      <c r="BN379" s="216">
        <f>IF(AND(Input_Product=Elig!$C379,Elig_MatchAll_Ct&lt;22,$BC379=(Elig_MatchAll_Ct-1),AL379=0),I379,0)</f>
        <v>0</v>
      </c>
      <c r="BO379" s="216">
        <f>IF(AND(Input_Product=Elig!$C379,Elig_MatchAll_Ct&lt;22,$BC379=(Elig_MatchAll_Ct-1),AM379=0),J379,0)</f>
        <v>0</v>
      </c>
      <c r="BP379" s="216">
        <f>IF(AND(Input_Product=Elig!$C379,Elig_MatchAll_Ct&lt;22,$BC379=(Elig_MatchAll_Ct-1),AN379=0),K379,0)</f>
        <v>0</v>
      </c>
      <c r="BQ379" s="216">
        <f>IF(AND(Input_Product=Elig!$C379,Elig_MatchAll_Ct&lt;22,$BC379=(Elig_MatchAll_Ct-1),AP379=0),L379,0)</f>
        <v>0</v>
      </c>
      <c r="BR379" s="216">
        <f>IF(AND(Input_Product=Elig!$C379,Elig_MatchAll_Ct&lt;22,$BC379=(Elig_MatchAll_Ct-1),AO379=0),M379,0)</f>
        <v>0</v>
      </c>
      <c r="BS379" s="216">
        <f>IF(AND(Input_Product=Elig!$C379,Elig_MatchAll_Ct&lt;22,$BC379=(Elig_MatchAll_Ct-1),AQ379=0),N379,0)</f>
        <v>0</v>
      </c>
      <c r="BT379" s="216">
        <f>IF(AND(Input_Product=Elig!$C379,Elig_MatchAll_Ct&lt;22,$BC379=(Elig_MatchAll_Ct-1),AR379=0),O379,0)</f>
        <v>0</v>
      </c>
      <c r="BU379" s="216">
        <f>IF(AND(Input_Product=Elig!$C379,Elig_MatchAll_Ct&lt;22,$BC379=(Elig_MatchAll_Ct-1),AS379=0),P379,0)</f>
        <v>0</v>
      </c>
      <c r="BV379" s="217">
        <f>IF(AND(Input_Product=Elig!$C379,Elig_MatchAll_Ct&lt;22,$BC379=(Elig_MatchAll_Ct-1),AT379=0),Q379,0)</f>
        <v>0</v>
      </c>
      <c r="BW379" s="218">
        <f>IF(AND(Input_Product=Elig!$C379,Elig_MatchAll_Ct&lt;22,$BC379=(Elig_MatchAll_Ct-1),AU379=0),R379,0)</f>
        <v>0</v>
      </c>
      <c r="BX379" s="219">
        <f>IF(AND(Input_Product=Elig!$C379,Elig_MatchAll_Ct&lt;22,$BC379=(Elig_MatchAll_Ct-1),AU379=0),S379,0)</f>
        <v>0</v>
      </c>
      <c r="BY379" s="218">
        <f>IF(AND(Input_Product=Elig!$C379,Elig_MatchAll_Ct&lt;22,$BC379=(Elig_MatchAll_Ct-1),AV379=0),T379,0)</f>
        <v>0</v>
      </c>
      <c r="BZ379" s="219">
        <f>IF(AND(Input_Product=Elig!$C379,Elig_MatchAll_Ct&lt;22,$BC379=(Elig_MatchAll_Ct-1),AV379=0),U379,0)</f>
        <v>0</v>
      </c>
      <c r="CA379" s="218">
        <f>IF(AND(Input_Product=Elig!$C379,Elig_MatchAll_Ct&lt;22,$BC379=(Elig_MatchAll_Ct-1),AW379=0),V379,0)</f>
        <v>0</v>
      </c>
      <c r="CB379" s="219">
        <f>IF(AND(Input_Product=Elig!$C379,Elig_MatchAll_Ct&lt;22,$BC379=(Elig_MatchAll_Ct-1),AW379=0),W379,0)</f>
        <v>0</v>
      </c>
      <c r="CC379" s="218">
        <f>IF(AND(Input_Product=Elig!$C379,Elig_MatchAll_Ct&lt;22,$BC379=(Elig_MatchAll_Ct-1),AX379=0),X379,0)</f>
        <v>0</v>
      </c>
      <c r="CD379" s="219">
        <f>IF(AND(Input_Product=Elig!$C379,Elig_MatchAll_Ct&lt;22,$BC379=(Elig_MatchAll_Ct-1),AX379=0),Y379,0)</f>
        <v>0</v>
      </c>
      <c r="CE379" s="218">
        <f>IF(AND(Input_LTV&lt;=AE379,Input_Product=Elig!$C379,Elig_MatchAll_Ct&lt;22,$BC379=(Elig_MatchAll_Ct-1),AY379=0),Z379,0)</f>
        <v>0</v>
      </c>
      <c r="CF379" s="219">
        <f>IF(AND(Input_LTV&lt;=AE379,Input_Product=Elig!$C379,Elig_MatchAll_Ct&lt;22,$BC379=(Elig_MatchAll_Ct-1),AY379=0),AA379,0)</f>
        <v>0</v>
      </c>
      <c r="CG379" s="218">
        <f>IF(AND(Input_Product=Elig!$C379,Elig_MatchAll_Ct&lt;22,$BC379=(Elig_MatchAll_Ct-1),AZ379=0),AB379,0)</f>
        <v>0</v>
      </c>
      <c r="CH379" s="219">
        <f>IF(AND(Input_Product=Elig!$C379,Elig_MatchAll_Ct&lt;22,$BC379=(Elig_MatchAll_Ct-1),AZ379=0),AC379,0)</f>
        <v>0</v>
      </c>
      <c r="CI379" s="218">
        <f>IF(AND(Input_Product=Elig!$C379,Elig_MatchAll_Ct&lt;22,$BC379=(Elig_MatchAll_Ct-1),BA379=0),AD379,0)</f>
        <v>0</v>
      </c>
      <c r="CJ379" s="219">
        <f>IF(AND(Input_Product=Elig!$C379,Elig_MatchAll_Ct&lt;22,$BC379=(Elig_MatchAll_Ct-1),BA379=0),AE379,0)</f>
        <v>0</v>
      </c>
    </row>
    <row r="380" spans="2:88" ht="10.15" customHeight="1" x14ac:dyDescent="0.25">
      <c r="B380" s="287" t="s">
        <v>1076</v>
      </c>
      <c r="C380" s="286" t="str">
        <f t="shared" si="153"/>
        <v>NonQM NOO</v>
      </c>
      <c r="D380" s="287" t="s">
        <v>3885</v>
      </c>
      <c r="E380" s="287" t="s">
        <v>167</v>
      </c>
      <c r="F380" s="287" t="s">
        <v>330</v>
      </c>
      <c r="G380" s="300" t="s">
        <v>468</v>
      </c>
      <c r="H380" s="287" t="s">
        <v>136</v>
      </c>
      <c r="I380" s="288" t="s">
        <v>16</v>
      </c>
      <c r="J380" s="288" t="s">
        <v>1311</v>
      </c>
      <c r="K380" s="288" t="s">
        <v>1631</v>
      </c>
      <c r="L380" s="300" t="s">
        <v>312</v>
      </c>
      <c r="M380" s="287" t="s">
        <v>4203</v>
      </c>
      <c r="N380" s="287" t="s">
        <v>2685</v>
      </c>
      <c r="O380" s="287" t="s">
        <v>310</v>
      </c>
      <c r="P380" s="287" t="s">
        <v>291</v>
      </c>
      <c r="Q380" s="287" t="s">
        <v>294</v>
      </c>
      <c r="R380" s="287">
        <v>1000000.01</v>
      </c>
      <c r="S380" s="287">
        <v>1500000</v>
      </c>
      <c r="T380" s="287">
        <v>0</v>
      </c>
      <c r="U380" s="287">
        <f t="shared" si="159"/>
        <v>1500000</v>
      </c>
      <c r="V380" s="287">
        <v>0</v>
      </c>
      <c r="W380" s="287">
        <v>55</v>
      </c>
      <c r="X380" s="287">
        <v>0</v>
      </c>
      <c r="Y380" s="287">
        <v>999</v>
      </c>
      <c r="Z380" s="289">
        <v>700</v>
      </c>
      <c r="AA380" s="289">
        <v>719</v>
      </c>
      <c r="AB380" s="289">
        <v>6</v>
      </c>
      <c r="AC380" s="289">
        <v>999999</v>
      </c>
      <c r="AD380" s="287">
        <v>0</v>
      </c>
      <c r="AE380" s="290">
        <v>75</v>
      </c>
      <c r="AF380" s="170">
        <v>0</v>
      </c>
      <c r="AG380" s="171">
        <v>1</v>
      </c>
      <c r="AH380" s="171">
        <v>1</v>
      </c>
      <c r="AI380" s="171">
        <v>0</v>
      </c>
      <c r="AJ380" s="171">
        <v>0</v>
      </c>
      <c r="AK380" s="171">
        <v>1</v>
      </c>
      <c r="AL380" s="171">
        <v>1</v>
      </c>
      <c r="AM380" s="171">
        <v>1</v>
      </c>
      <c r="AN380" s="171">
        <v>1</v>
      </c>
      <c r="AO380" s="171">
        <v>1</v>
      </c>
      <c r="AP380" s="171">
        <v>1</v>
      </c>
      <c r="AQ380" s="171">
        <v>1</v>
      </c>
      <c r="AR380" s="171">
        <v>1</v>
      </c>
      <c r="AS380" s="171">
        <v>1</v>
      </c>
      <c r="AT380" s="171">
        <v>1</v>
      </c>
      <c r="AU380" s="171">
        <f t="shared" si="140"/>
        <v>0</v>
      </c>
      <c r="AV380" s="171">
        <f t="shared" si="141"/>
        <v>1</v>
      </c>
      <c r="AW380" s="171">
        <f t="shared" si="142"/>
        <v>1</v>
      </c>
      <c r="AX380" s="171">
        <f t="shared" si="152"/>
        <v>1</v>
      </c>
      <c r="AY380" s="171">
        <f t="shared" si="143"/>
        <v>0</v>
      </c>
      <c r="AZ380" s="171">
        <f t="shared" si="144"/>
        <v>1</v>
      </c>
      <c r="BA380" s="172">
        <f t="shared" si="145"/>
        <v>1</v>
      </c>
      <c r="BB380" s="175">
        <f t="shared" si="156"/>
        <v>17</v>
      </c>
      <c r="BC380" s="176">
        <f t="shared" si="157"/>
        <v>16</v>
      </c>
      <c r="BD380" s="176">
        <f t="shared" si="158"/>
        <v>17</v>
      </c>
      <c r="BE380" s="240" t="str">
        <f t="shared" si="146"/>
        <v/>
      </c>
      <c r="BH380" s="199">
        <f>IF(AND(Input_Product=Elig!$C380,Elig_MatchAll_Ct&lt;22,$BC380=(Elig_MatchAll_Ct-1),AF380=0),C380,0)</f>
        <v>0</v>
      </c>
      <c r="BI380" s="199">
        <f>IF(AND(Input_Product=Elig!$C380,Elig_MatchAll_Ct&lt;22,$BC380=(Elig_MatchAll_Ct-1),AG380=0),D380,0)</f>
        <v>0</v>
      </c>
      <c r="BJ380" s="199">
        <f>IF(AND(Input_Product=Elig!$C380,Elig_MatchAll_Ct&lt;22,$BC380=(Elig_MatchAll_Ct-1),AH380=0),E380,0)</f>
        <v>0</v>
      </c>
      <c r="BK380" s="199">
        <f>IF(AND(Input_Product=Elig!$C380,Elig_MatchAll_Ct&lt;22,$BC380=(Elig_MatchAll_Ct-1),AI380=0),F380,0)</f>
        <v>0</v>
      </c>
      <c r="BL380" s="199">
        <f>IF(AND(Input_Product=Elig!$C380,Elig_MatchAll_Ct&lt;22,$BC380=(Elig_MatchAll_Ct-1),AJ380=0),G380,0)</f>
        <v>0</v>
      </c>
      <c r="BM380" s="199">
        <f>IF(AND(Input_Product=Elig!$C380,Elig_MatchAll_Ct&lt;22,$BC380=(Elig_MatchAll_Ct-1),AK380=0),H380,0)</f>
        <v>0</v>
      </c>
      <c r="BN380" s="199">
        <f>IF(AND(Input_Product=Elig!$C380,Elig_MatchAll_Ct&lt;22,$BC380=(Elig_MatchAll_Ct-1),AL380=0),I380,0)</f>
        <v>0</v>
      </c>
      <c r="BO380" s="199">
        <f>IF(AND(Input_Product=Elig!$C380,Elig_MatchAll_Ct&lt;22,$BC380=(Elig_MatchAll_Ct-1),AM380=0),J380,0)</f>
        <v>0</v>
      </c>
      <c r="BP380" s="199">
        <f>IF(AND(Input_Product=Elig!$C380,Elig_MatchAll_Ct&lt;22,$BC380=(Elig_MatchAll_Ct-1),AN380=0),K380,0)</f>
        <v>0</v>
      </c>
      <c r="BQ380" s="199">
        <f>IF(AND(Input_Product=Elig!$C380,Elig_MatchAll_Ct&lt;22,$BC380=(Elig_MatchAll_Ct-1),AP380=0),L380,0)</f>
        <v>0</v>
      </c>
      <c r="BR380" s="199">
        <f>IF(AND(Input_Product=Elig!$C380,Elig_MatchAll_Ct&lt;22,$BC380=(Elig_MatchAll_Ct-1),AO380=0),M380,0)</f>
        <v>0</v>
      </c>
      <c r="BS380" s="199">
        <f>IF(AND(Input_Product=Elig!$C380,Elig_MatchAll_Ct&lt;22,$BC380=(Elig_MatchAll_Ct-1),AQ380=0),N380,0)</f>
        <v>0</v>
      </c>
      <c r="BT380" s="199">
        <f>IF(AND(Input_Product=Elig!$C380,Elig_MatchAll_Ct&lt;22,$BC380=(Elig_MatchAll_Ct-1),AR380=0),O380,0)</f>
        <v>0</v>
      </c>
      <c r="BU380" s="199">
        <f>IF(AND(Input_Product=Elig!$C380,Elig_MatchAll_Ct&lt;22,$BC380=(Elig_MatchAll_Ct-1),AS380=0),P380,0)</f>
        <v>0</v>
      </c>
      <c r="BV380" s="200">
        <f>IF(AND(Input_Product=Elig!$C380,Elig_MatchAll_Ct&lt;22,$BC380=(Elig_MatchAll_Ct-1),AT380=0),Q380,0)</f>
        <v>0</v>
      </c>
      <c r="BW380" s="201">
        <f>IF(AND(Input_Product=Elig!$C380,Elig_MatchAll_Ct&lt;22,$BC380=(Elig_MatchAll_Ct-1),AU380=0),R380,0)</f>
        <v>0</v>
      </c>
      <c r="BX380" s="202">
        <f>IF(AND(Input_Product=Elig!$C380,Elig_MatchAll_Ct&lt;22,$BC380=(Elig_MatchAll_Ct-1),AU380=0),S380,0)</f>
        <v>0</v>
      </c>
      <c r="BY380" s="201">
        <f>IF(AND(Input_Product=Elig!$C380,Elig_MatchAll_Ct&lt;22,$BC380=(Elig_MatchAll_Ct-1),AV380=0),T380,0)</f>
        <v>0</v>
      </c>
      <c r="BZ380" s="202">
        <f>IF(AND(Input_Product=Elig!$C380,Elig_MatchAll_Ct&lt;22,$BC380=(Elig_MatchAll_Ct-1),AV380=0),U380,0)</f>
        <v>0</v>
      </c>
      <c r="CA380" s="201">
        <f>IF(AND(Input_Product=Elig!$C380,Elig_MatchAll_Ct&lt;22,$BC380=(Elig_MatchAll_Ct-1),AW380=0),V380,0)</f>
        <v>0</v>
      </c>
      <c r="CB380" s="202">
        <f>IF(AND(Input_Product=Elig!$C380,Elig_MatchAll_Ct&lt;22,$BC380=(Elig_MatchAll_Ct-1),AW380=0),W380,0)</f>
        <v>0</v>
      </c>
      <c r="CC380" s="201">
        <f>IF(AND(Input_Product=Elig!$C380,Elig_MatchAll_Ct&lt;22,$BC380=(Elig_MatchAll_Ct-1),AX380=0),X380,0)</f>
        <v>0</v>
      </c>
      <c r="CD380" s="202">
        <f>IF(AND(Input_Product=Elig!$C380,Elig_MatchAll_Ct&lt;22,$BC380=(Elig_MatchAll_Ct-1),AX380=0),Y380,0)</f>
        <v>0</v>
      </c>
      <c r="CE380" s="201">
        <f>IF(AND(Input_LTV&lt;=AE380,Input_Product=Elig!$C380,Elig_MatchAll_Ct&lt;22,$BC380=(Elig_MatchAll_Ct-1),AY380=0),Z380,0)</f>
        <v>0</v>
      </c>
      <c r="CF380" s="202">
        <f>IF(AND(Input_LTV&lt;=AE380,Input_Product=Elig!$C380,Elig_MatchAll_Ct&lt;22,$BC380=(Elig_MatchAll_Ct-1),AY380=0),AA380,0)</f>
        <v>0</v>
      </c>
      <c r="CG380" s="201">
        <f>IF(AND(Input_Product=Elig!$C380,Elig_MatchAll_Ct&lt;22,$BC380=(Elig_MatchAll_Ct-1),AZ380=0),AB380,0)</f>
        <v>0</v>
      </c>
      <c r="CH380" s="202">
        <f>IF(AND(Input_Product=Elig!$C380,Elig_MatchAll_Ct&lt;22,$BC380=(Elig_MatchAll_Ct-1),AZ380=0),AC380,0)</f>
        <v>0</v>
      </c>
      <c r="CI380" s="201">
        <f>IF(AND(Input_Product=Elig!$C380,Elig_MatchAll_Ct&lt;22,$BC380=(Elig_MatchAll_Ct-1),BA380=0),AD380,0)</f>
        <v>0</v>
      </c>
      <c r="CJ380" s="202">
        <f>IF(AND(Input_Product=Elig!$C380,Elig_MatchAll_Ct&lt;22,$BC380=(Elig_MatchAll_Ct-1),BA380=0),AE380,0)</f>
        <v>0</v>
      </c>
    </row>
    <row r="381" spans="2:88" ht="10.15" customHeight="1" x14ac:dyDescent="0.25">
      <c r="B381" s="287" t="s">
        <v>1077</v>
      </c>
      <c r="C381" s="286" t="str">
        <f t="shared" si="153"/>
        <v>NonQM NOO</v>
      </c>
      <c r="D381" s="287" t="s">
        <v>3885</v>
      </c>
      <c r="E381" s="287" t="s">
        <v>167</v>
      </c>
      <c r="F381" s="287" t="s">
        <v>330</v>
      </c>
      <c r="G381" s="300" t="s">
        <v>468</v>
      </c>
      <c r="H381" s="287" t="s">
        <v>136</v>
      </c>
      <c r="I381" s="288" t="s">
        <v>16</v>
      </c>
      <c r="J381" s="288" t="s">
        <v>1311</v>
      </c>
      <c r="K381" s="288" t="s">
        <v>1631</v>
      </c>
      <c r="L381" s="300" t="s">
        <v>312</v>
      </c>
      <c r="M381" s="287" t="s">
        <v>4203</v>
      </c>
      <c r="N381" s="287" t="s">
        <v>2685</v>
      </c>
      <c r="O381" s="287" t="s">
        <v>310</v>
      </c>
      <c r="P381" s="287" t="s">
        <v>291</v>
      </c>
      <c r="Q381" s="287" t="s">
        <v>294</v>
      </c>
      <c r="R381" s="287">
        <v>1000000.01</v>
      </c>
      <c r="S381" s="287">
        <v>1500000</v>
      </c>
      <c r="T381" s="287">
        <v>0</v>
      </c>
      <c r="U381" s="287">
        <f t="shared" si="159"/>
        <v>1500000</v>
      </c>
      <c r="V381" s="287">
        <v>0</v>
      </c>
      <c r="W381" s="287">
        <v>55</v>
      </c>
      <c r="X381" s="287">
        <v>0</v>
      </c>
      <c r="Y381" s="287">
        <v>999</v>
      </c>
      <c r="Z381" s="289">
        <v>680</v>
      </c>
      <c r="AA381" s="289">
        <v>699</v>
      </c>
      <c r="AB381" s="289">
        <v>6</v>
      </c>
      <c r="AC381" s="289">
        <v>999999</v>
      </c>
      <c r="AD381" s="287">
        <v>0</v>
      </c>
      <c r="AE381" s="2105">
        <v>75</v>
      </c>
      <c r="AF381" s="170">
        <v>0</v>
      </c>
      <c r="AG381" s="171">
        <v>1</v>
      </c>
      <c r="AH381" s="171">
        <v>1</v>
      </c>
      <c r="AI381" s="171">
        <v>0</v>
      </c>
      <c r="AJ381" s="171">
        <v>0</v>
      </c>
      <c r="AK381" s="171">
        <v>1</v>
      </c>
      <c r="AL381" s="171">
        <v>1</v>
      </c>
      <c r="AM381" s="171">
        <v>1</v>
      </c>
      <c r="AN381" s="171">
        <v>1</v>
      </c>
      <c r="AO381" s="171">
        <v>1</v>
      </c>
      <c r="AP381" s="171">
        <v>1</v>
      </c>
      <c r="AQ381" s="171">
        <v>1</v>
      </c>
      <c r="AR381" s="171">
        <v>1</v>
      </c>
      <c r="AS381" s="171">
        <v>1</v>
      </c>
      <c r="AT381" s="171">
        <v>1</v>
      </c>
      <c r="AU381" s="171">
        <f t="shared" si="140"/>
        <v>0</v>
      </c>
      <c r="AV381" s="171">
        <f t="shared" si="141"/>
        <v>1</v>
      </c>
      <c r="AW381" s="171">
        <f t="shared" si="142"/>
        <v>1</v>
      </c>
      <c r="AX381" s="171">
        <f t="shared" si="152"/>
        <v>1</v>
      </c>
      <c r="AY381" s="171">
        <f t="shared" si="143"/>
        <v>0</v>
      </c>
      <c r="AZ381" s="171">
        <f t="shared" si="144"/>
        <v>1</v>
      </c>
      <c r="BA381" s="172">
        <f t="shared" si="145"/>
        <v>1</v>
      </c>
      <c r="BB381" s="175">
        <f t="shared" si="156"/>
        <v>17</v>
      </c>
      <c r="BC381" s="176">
        <f t="shared" si="157"/>
        <v>16</v>
      </c>
      <c r="BD381" s="176">
        <f t="shared" si="158"/>
        <v>17</v>
      </c>
      <c r="BE381" s="240" t="str">
        <f t="shared" si="146"/>
        <v/>
      </c>
      <c r="BH381" s="199">
        <f>IF(AND(Input_Product=Elig!$C381,Elig_MatchAll_Ct&lt;22,$BC381=(Elig_MatchAll_Ct-1),AF381=0),C381,0)</f>
        <v>0</v>
      </c>
      <c r="BI381" s="199">
        <f>IF(AND(Input_Product=Elig!$C381,Elig_MatchAll_Ct&lt;22,$BC381=(Elig_MatchAll_Ct-1),AG381=0),D381,0)</f>
        <v>0</v>
      </c>
      <c r="BJ381" s="199">
        <f>IF(AND(Input_Product=Elig!$C381,Elig_MatchAll_Ct&lt;22,$BC381=(Elig_MatchAll_Ct-1),AH381=0),E381,0)</f>
        <v>0</v>
      </c>
      <c r="BK381" s="199">
        <f>IF(AND(Input_Product=Elig!$C381,Elig_MatchAll_Ct&lt;22,$BC381=(Elig_MatchAll_Ct-1),AI381=0),F381,0)</f>
        <v>0</v>
      </c>
      <c r="BL381" s="199">
        <f>IF(AND(Input_Product=Elig!$C381,Elig_MatchAll_Ct&lt;22,$BC381=(Elig_MatchAll_Ct-1),AJ381=0),G381,0)</f>
        <v>0</v>
      </c>
      <c r="BM381" s="199">
        <f>IF(AND(Input_Product=Elig!$C381,Elig_MatchAll_Ct&lt;22,$BC381=(Elig_MatchAll_Ct-1),AK381=0),H381,0)</f>
        <v>0</v>
      </c>
      <c r="BN381" s="199">
        <f>IF(AND(Input_Product=Elig!$C381,Elig_MatchAll_Ct&lt;22,$BC381=(Elig_MatchAll_Ct-1),AL381=0),I381,0)</f>
        <v>0</v>
      </c>
      <c r="BO381" s="199">
        <f>IF(AND(Input_Product=Elig!$C381,Elig_MatchAll_Ct&lt;22,$BC381=(Elig_MatchAll_Ct-1),AM381=0),J381,0)</f>
        <v>0</v>
      </c>
      <c r="BP381" s="199">
        <f>IF(AND(Input_Product=Elig!$C381,Elig_MatchAll_Ct&lt;22,$BC381=(Elig_MatchAll_Ct-1),AN381=0),K381,0)</f>
        <v>0</v>
      </c>
      <c r="BQ381" s="199">
        <f>IF(AND(Input_Product=Elig!$C381,Elig_MatchAll_Ct&lt;22,$BC381=(Elig_MatchAll_Ct-1),AP381=0),L381,0)</f>
        <v>0</v>
      </c>
      <c r="BR381" s="199">
        <f>IF(AND(Input_Product=Elig!$C381,Elig_MatchAll_Ct&lt;22,$BC381=(Elig_MatchAll_Ct-1),AO381=0),M381,0)</f>
        <v>0</v>
      </c>
      <c r="BS381" s="199">
        <f>IF(AND(Input_Product=Elig!$C381,Elig_MatchAll_Ct&lt;22,$BC381=(Elig_MatchAll_Ct-1),AQ381=0),N381,0)</f>
        <v>0</v>
      </c>
      <c r="BT381" s="199">
        <f>IF(AND(Input_Product=Elig!$C381,Elig_MatchAll_Ct&lt;22,$BC381=(Elig_MatchAll_Ct-1),AR381=0),O381,0)</f>
        <v>0</v>
      </c>
      <c r="BU381" s="199">
        <f>IF(AND(Input_Product=Elig!$C381,Elig_MatchAll_Ct&lt;22,$BC381=(Elig_MatchAll_Ct-1),AS381=0),P381,0)</f>
        <v>0</v>
      </c>
      <c r="BV381" s="200">
        <f>IF(AND(Input_Product=Elig!$C381,Elig_MatchAll_Ct&lt;22,$BC381=(Elig_MatchAll_Ct-1),AT381=0),Q381,0)</f>
        <v>0</v>
      </c>
      <c r="BW381" s="201">
        <f>IF(AND(Input_Product=Elig!$C381,Elig_MatchAll_Ct&lt;22,$BC381=(Elig_MatchAll_Ct-1),AU381=0),R381,0)</f>
        <v>0</v>
      </c>
      <c r="BX381" s="202">
        <f>IF(AND(Input_Product=Elig!$C381,Elig_MatchAll_Ct&lt;22,$BC381=(Elig_MatchAll_Ct-1),AU381=0),S381,0)</f>
        <v>0</v>
      </c>
      <c r="BY381" s="201">
        <f>IF(AND(Input_Product=Elig!$C381,Elig_MatchAll_Ct&lt;22,$BC381=(Elig_MatchAll_Ct-1),AV381=0),T381,0)</f>
        <v>0</v>
      </c>
      <c r="BZ381" s="202">
        <f>IF(AND(Input_Product=Elig!$C381,Elig_MatchAll_Ct&lt;22,$BC381=(Elig_MatchAll_Ct-1),AV381=0),U381,0)</f>
        <v>0</v>
      </c>
      <c r="CA381" s="201">
        <f>IF(AND(Input_Product=Elig!$C381,Elig_MatchAll_Ct&lt;22,$BC381=(Elig_MatchAll_Ct-1),AW381=0),V381,0)</f>
        <v>0</v>
      </c>
      <c r="CB381" s="202">
        <f>IF(AND(Input_Product=Elig!$C381,Elig_MatchAll_Ct&lt;22,$BC381=(Elig_MatchAll_Ct-1),AW381=0),W381,0)</f>
        <v>0</v>
      </c>
      <c r="CC381" s="201">
        <f>IF(AND(Input_Product=Elig!$C381,Elig_MatchAll_Ct&lt;22,$BC381=(Elig_MatchAll_Ct-1),AX381=0),X381,0)</f>
        <v>0</v>
      </c>
      <c r="CD381" s="202">
        <f>IF(AND(Input_Product=Elig!$C381,Elig_MatchAll_Ct&lt;22,$BC381=(Elig_MatchAll_Ct-1),AX381=0),Y381,0)</f>
        <v>0</v>
      </c>
      <c r="CE381" s="201">
        <f>IF(AND(Input_LTV&lt;=AE381,Input_Product=Elig!$C381,Elig_MatchAll_Ct&lt;22,$BC381=(Elig_MatchAll_Ct-1),AY381=0),Z381,0)</f>
        <v>0</v>
      </c>
      <c r="CF381" s="202">
        <f>IF(AND(Input_LTV&lt;=AE381,Input_Product=Elig!$C381,Elig_MatchAll_Ct&lt;22,$BC381=(Elig_MatchAll_Ct-1),AY381=0),AA381,0)</f>
        <v>0</v>
      </c>
      <c r="CG381" s="201">
        <f>IF(AND(Input_Product=Elig!$C381,Elig_MatchAll_Ct&lt;22,$BC381=(Elig_MatchAll_Ct-1),AZ381=0),AB381,0)</f>
        <v>0</v>
      </c>
      <c r="CH381" s="202">
        <f>IF(AND(Input_Product=Elig!$C381,Elig_MatchAll_Ct&lt;22,$BC381=(Elig_MatchAll_Ct-1),AZ381=0),AC381,0)</f>
        <v>0</v>
      </c>
      <c r="CI381" s="201">
        <f>IF(AND(Input_Product=Elig!$C381,Elig_MatchAll_Ct&lt;22,$BC381=(Elig_MatchAll_Ct-1),BA381=0),AD381,0)</f>
        <v>0</v>
      </c>
      <c r="CJ381" s="202">
        <f>IF(AND(Input_Product=Elig!$C381,Elig_MatchAll_Ct&lt;22,$BC381=(Elig_MatchAll_Ct-1),BA381=0),AE381,0)</f>
        <v>0</v>
      </c>
    </row>
    <row r="382" spans="2:88" ht="10.15" customHeight="1" x14ac:dyDescent="0.25">
      <c r="B382" s="287" t="s">
        <v>1078</v>
      </c>
      <c r="C382" s="286" t="str">
        <f t="shared" si="153"/>
        <v>NonQM NOO</v>
      </c>
      <c r="D382" s="287" t="s">
        <v>3885</v>
      </c>
      <c r="E382" s="287" t="s">
        <v>167</v>
      </c>
      <c r="F382" s="287" t="s">
        <v>330</v>
      </c>
      <c r="G382" s="300" t="s">
        <v>468</v>
      </c>
      <c r="H382" s="287" t="s">
        <v>136</v>
      </c>
      <c r="I382" s="287" t="s">
        <v>16</v>
      </c>
      <c r="J382" s="287" t="s">
        <v>1311</v>
      </c>
      <c r="K382" s="287" t="s">
        <v>1631</v>
      </c>
      <c r="L382" s="300" t="s">
        <v>312</v>
      </c>
      <c r="M382" s="287" t="s">
        <v>4203</v>
      </c>
      <c r="N382" s="287" t="s">
        <v>2685</v>
      </c>
      <c r="O382" s="287" t="s">
        <v>310</v>
      </c>
      <c r="P382" s="287" t="s">
        <v>291</v>
      </c>
      <c r="Q382" s="287" t="s">
        <v>294</v>
      </c>
      <c r="R382" s="287">
        <v>1000000.01</v>
      </c>
      <c r="S382" s="287">
        <v>1500000</v>
      </c>
      <c r="T382" s="287">
        <v>0</v>
      </c>
      <c r="U382" s="287">
        <f t="shared" si="159"/>
        <v>1500000</v>
      </c>
      <c r="V382" s="287">
        <v>0</v>
      </c>
      <c r="W382" s="287">
        <v>50</v>
      </c>
      <c r="X382" s="287">
        <v>0</v>
      </c>
      <c r="Y382" s="287">
        <v>999</v>
      </c>
      <c r="Z382" s="289">
        <v>660</v>
      </c>
      <c r="AA382" s="289">
        <v>679</v>
      </c>
      <c r="AB382" s="289">
        <v>6</v>
      </c>
      <c r="AC382" s="289">
        <v>999999</v>
      </c>
      <c r="AD382" s="287">
        <v>0</v>
      </c>
      <c r="AE382" s="290">
        <v>70</v>
      </c>
      <c r="AF382" s="170">
        <v>0</v>
      </c>
      <c r="AG382" s="171">
        <v>1</v>
      </c>
      <c r="AH382" s="171">
        <v>1</v>
      </c>
      <c r="AI382" s="171">
        <v>0</v>
      </c>
      <c r="AJ382" s="171">
        <v>0</v>
      </c>
      <c r="AK382" s="171">
        <v>1</v>
      </c>
      <c r="AL382" s="171">
        <v>1</v>
      </c>
      <c r="AM382" s="171">
        <v>1</v>
      </c>
      <c r="AN382" s="171">
        <v>1</v>
      </c>
      <c r="AO382" s="171">
        <v>1</v>
      </c>
      <c r="AP382" s="171">
        <v>1</v>
      </c>
      <c r="AQ382" s="171">
        <v>1</v>
      </c>
      <c r="AR382" s="171">
        <v>1</v>
      </c>
      <c r="AS382" s="171">
        <v>1</v>
      </c>
      <c r="AT382" s="171">
        <v>1</v>
      </c>
      <c r="AU382" s="171">
        <f t="shared" si="140"/>
        <v>0</v>
      </c>
      <c r="AV382" s="171">
        <f t="shared" si="141"/>
        <v>1</v>
      </c>
      <c r="AW382" s="171">
        <f t="shared" si="142"/>
        <v>1</v>
      </c>
      <c r="AX382" s="171">
        <f t="shared" si="152"/>
        <v>1</v>
      </c>
      <c r="AY382" s="171">
        <f t="shared" si="143"/>
        <v>0</v>
      </c>
      <c r="AZ382" s="171">
        <f t="shared" si="144"/>
        <v>1</v>
      </c>
      <c r="BA382" s="172">
        <f t="shared" si="145"/>
        <v>1</v>
      </c>
      <c r="BB382" s="175">
        <f t="shared" si="156"/>
        <v>17</v>
      </c>
      <c r="BC382" s="176">
        <f t="shared" si="157"/>
        <v>16</v>
      </c>
      <c r="BD382" s="176">
        <f t="shared" si="158"/>
        <v>17</v>
      </c>
      <c r="BE382" s="240" t="str">
        <f t="shared" si="146"/>
        <v/>
      </c>
      <c r="BH382" s="199">
        <f>IF(AND(Input_Product=Elig!$C382,Elig_MatchAll_Ct&lt;22,$BC382=(Elig_MatchAll_Ct-1),AF382=0),C382,0)</f>
        <v>0</v>
      </c>
      <c r="BI382" s="199">
        <f>IF(AND(Input_Product=Elig!$C382,Elig_MatchAll_Ct&lt;22,$BC382=(Elig_MatchAll_Ct-1),AG382=0),D382,0)</f>
        <v>0</v>
      </c>
      <c r="BJ382" s="199">
        <f>IF(AND(Input_Product=Elig!$C382,Elig_MatchAll_Ct&lt;22,$BC382=(Elig_MatchAll_Ct-1),AH382=0),E382,0)</f>
        <v>0</v>
      </c>
      <c r="BK382" s="199">
        <f>IF(AND(Input_Product=Elig!$C382,Elig_MatchAll_Ct&lt;22,$BC382=(Elig_MatchAll_Ct-1),AI382=0),F382,0)</f>
        <v>0</v>
      </c>
      <c r="BL382" s="199">
        <f>IF(AND(Input_Product=Elig!$C382,Elig_MatchAll_Ct&lt;22,$BC382=(Elig_MatchAll_Ct-1),AJ382=0),G382,0)</f>
        <v>0</v>
      </c>
      <c r="BM382" s="199">
        <f>IF(AND(Input_Product=Elig!$C382,Elig_MatchAll_Ct&lt;22,$BC382=(Elig_MatchAll_Ct-1),AK382=0),H382,0)</f>
        <v>0</v>
      </c>
      <c r="BN382" s="199">
        <f>IF(AND(Input_Product=Elig!$C382,Elig_MatchAll_Ct&lt;22,$BC382=(Elig_MatchAll_Ct-1),AL382=0),I382,0)</f>
        <v>0</v>
      </c>
      <c r="BO382" s="199">
        <f>IF(AND(Input_Product=Elig!$C382,Elig_MatchAll_Ct&lt;22,$BC382=(Elig_MatchAll_Ct-1),AM382=0),J382,0)</f>
        <v>0</v>
      </c>
      <c r="BP382" s="199">
        <f>IF(AND(Input_Product=Elig!$C382,Elig_MatchAll_Ct&lt;22,$BC382=(Elig_MatchAll_Ct-1),AN382=0),K382,0)</f>
        <v>0</v>
      </c>
      <c r="BQ382" s="199">
        <f>IF(AND(Input_Product=Elig!$C382,Elig_MatchAll_Ct&lt;22,$BC382=(Elig_MatchAll_Ct-1),AP382=0),L382,0)</f>
        <v>0</v>
      </c>
      <c r="BR382" s="199">
        <f>IF(AND(Input_Product=Elig!$C382,Elig_MatchAll_Ct&lt;22,$BC382=(Elig_MatchAll_Ct-1),AO382=0),M382,0)</f>
        <v>0</v>
      </c>
      <c r="BS382" s="199">
        <f>IF(AND(Input_Product=Elig!$C382,Elig_MatchAll_Ct&lt;22,$BC382=(Elig_MatchAll_Ct-1),AQ382=0),N382,0)</f>
        <v>0</v>
      </c>
      <c r="BT382" s="199">
        <f>IF(AND(Input_Product=Elig!$C382,Elig_MatchAll_Ct&lt;22,$BC382=(Elig_MatchAll_Ct-1),AR382=0),O382,0)</f>
        <v>0</v>
      </c>
      <c r="BU382" s="199">
        <f>IF(AND(Input_Product=Elig!$C382,Elig_MatchAll_Ct&lt;22,$BC382=(Elig_MatchAll_Ct-1),AS382=0),P382,0)</f>
        <v>0</v>
      </c>
      <c r="BV382" s="200">
        <f>IF(AND(Input_Product=Elig!$C382,Elig_MatchAll_Ct&lt;22,$BC382=(Elig_MatchAll_Ct-1),AT382=0),Q382,0)</f>
        <v>0</v>
      </c>
      <c r="BW382" s="201">
        <f>IF(AND(Input_Product=Elig!$C382,Elig_MatchAll_Ct&lt;22,$BC382=(Elig_MatchAll_Ct-1),AU382=0),R382,0)</f>
        <v>0</v>
      </c>
      <c r="BX382" s="202">
        <f>IF(AND(Input_Product=Elig!$C382,Elig_MatchAll_Ct&lt;22,$BC382=(Elig_MatchAll_Ct-1),AU382=0),S382,0)</f>
        <v>0</v>
      </c>
      <c r="BY382" s="201">
        <f>IF(AND(Input_Product=Elig!$C382,Elig_MatchAll_Ct&lt;22,$BC382=(Elig_MatchAll_Ct-1),AV382=0),T382,0)</f>
        <v>0</v>
      </c>
      <c r="BZ382" s="202">
        <f>IF(AND(Input_Product=Elig!$C382,Elig_MatchAll_Ct&lt;22,$BC382=(Elig_MatchAll_Ct-1),AV382=0),U382,0)</f>
        <v>0</v>
      </c>
      <c r="CA382" s="201">
        <f>IF(AND(Input_Product=Elig!$C382,Elig_MatchAll_Ct&lt;22,$BC382=(Elig_MatchAll_Ct-1),AW382=0),V382,0)</f>
        <v>0</v>
      </c>
      <c r="CB382" s="202">
        <f>IF(AND(Input_Product=Elig!$C382,Elig_MatchAll_Ct&lt;22,$BC382=(Elig_MatchAll_Ct-1),AW382=0),W382,0)</f>
        <v>0</v>
      </c>
      <c r="CC382" s="201">
        <f>IF(AND(Input_Product=Elig!$C382,Elig_MatchAll_Ct&lt;22,$BC382=(Elig_MatchAll_Ct-1),AX382=0),X382,0)</f>
        <v>0</v>
      </c>
      <c r="CD382" s="202">
        <f>IF(AND(Input_Product=Elig!$C382,Elig_MatchAll_Ct&lt;22,$BC382=(Elig_MatchAll_Ct-1),AX382=0),Y382,0)</f>
        <v>0</v>
      </c>
      <c r="CE382" s="201">
        <f>IF(AND(Input_LTV&lt;=AE382,Input_Product=Elig!$C382,Elig_MatchAll_Ct&lt;22,$BC382=(Elig_MatchAll_Ct-1),AY382=0),Z382,0)</f>
        <v>0</v>
      </c>
      <c r="CF382" s="202">
        <f>IF(AND(Input_LTV&lt;=AE382,Input_Product=Elig!$C382,Elig_MatchAll_Ct&lt;22,$BC382=(Elig_MatchAll_Ct-1),AY382=0),AA382,0)</f>
        <v>0</v>
      </c>
      <c r="CG382" s="201">
        <f>IF(AND(Input_Product=Elig!$C382,Elig_MatchAll_Ct&lt;22,$BC382=(Elig_MatchAll_Ct-1),AZ382=0),AB382,0)</f>
        <v>0</v>
      </c>
      <c r="CH382" s="202">
        <f>IF(AND(Input_Product=Elig!$C382,Elig_MatchAll_Ct&lt;22,$BC382=(Elig_MatchAll_Ct-1),AZ382=0),AC382,0)</f>
        <v>0</v>
      </c>
      <c r="CI382" s="201">
        <f>IF(AND(Input_Product=Elig!$C382,Elig_MatchAll_Ct&lt;22,$BC382=(Elig_MatchAll_Ct-1),BA382=0),AD382,0)</f>
        <v>0</v>
      </c>
      <c r="CJ382" s="202">
        <f>IF(AND(Input_Product=Elig!$C382,Elig_MatchAll_Ct&lt;22,$BC382=(Elig_MatchAll_Ct-1),BA382=0),AE382,0)</f>
        <v>0</v>
      </c>
    </row>
    <row r="383" spans="2:88" ht="10.15" customHeight="1" x14ac:dyDescent="0.25">
      <c r="B383" s="287" t="s">
        <v>1079</v>
      </c>
      <c r="C383" s="286" t="str">
        <f t="shared" si="153"/>
        <v>NonQM NOO</v>
      </c>
      <c r="D383" s="287" t="s">
        <v>3885</v>
      </c>
      <c r="E383" s="287" t="s">
        <v>167</v>
      </c>
      <c r="F383" s="287" t="s">
        <v>330</v>
      </c>
      <c r="G383" s="300" t="s">
        <v>468</v>
      </c>
      <c r="H383" s="287" t="s">
        <v>136</v>
      </c>
      <c r="I383" s="287" t="s">
        <v>16</v>
      </c>
      <c r="J383" s="287" t="s">
        <v>1311</v>
      </c>
      <c r="K383" s="287" t="s">
        <v>1631</v>
      </c>
      <c r="L383" s="300" t="s">
        <v>312</v>
      </c>
      <c r="M383" s="287" t="s">
        <v>4203</v>
      </c>
      <c r="N383" s="287" t="s">
        <v>2685</v>
      </c>
      <c r="O383" s="287" t="s">
        <v>310</v>
      </c>
      <c r="P383" s="287" t="s">
        <v>291</v>
      </c>
      <c r="Q383" s="287" t="s">
        <v>294</v>
      </c>
      <c r="R383" s="287">
        <v>1000000.01</v>
      </c>
      <c r="S383" s="287">
        <v>1500000</v>
      </c>
      <c r="T383" s="287">
        <v>0</v>
      </c>
      <c r="U383" s="287">
        <f t="shared" si="159"/>
        <v>1500000</v>
      </c>
      <c r="V383" s="287">
        <v>0</v>
      </c>
      <c r="W383" s="287">
        <v>50</v>
      </c>
      <c r="X383" s="287">
        <v>0</v>
      </c>
      <c r="Y383" s="287">
        <v>999</v>
      </c>
      <c r="Z383" s="289">
        <v>640</v>
      </c>
      <c r="AA383" s="289">
        <v>659</v>
      </c>
      <c r="AB383" s="289">
        <v>6</v>
      </c>
      <c r="AC383" s="289">
        <v>999999</v>
      </c>
      <c r="AD383" s="287">
        <v>0</v>
      </c>
      <c r="AE383" s="290">
        <v>-999</v>
      </c>
      <c r="AF383" s="170">
        <v>0</v>
      </c>
      <c r="AG383" s="171">
        <v>1</v>
      </c>
      <c r="AH383" s="171">
        <v>1</v>
      </c>
      <c r="AI383" s="171">
        <v>0</v>
      </c>
      <c r="AJ383" s="171">
        <v>0</v>
      </c>
      <c r="AK383" s="171">
        <v>1</v>
      </c>
      <c r="AL383" s="171">
        <v>1</v>
      </c>
      <c r="AM383" s="171">
        <v>1</v>
      </c>
      <c r="AN383" s="171">
        <v>1</v>
      </c>
      <c r="AO383" s="171">
        <v>1</v>
      </c>
      <c r="AP383" s="171">
        <v>1</v>
      </c>
      <c r="AQ383" s="171">
        <v>1</v>
      </c>
      <c r="AR383" s="171">
        <v>1</v>
      </c>
      <c r="AS383" s="171">
        <v>1</v>
      </c>
      <c r="AT383" s="171">
        <v>1</v>
      </c>
      <c r="AU383" s="171">
        <f t="shared" si="140"/>
        <v>0</v>
      </c>
      <c r="AV383" s="171">
        <f t="shared" si="141"/>
        <v>1</v>
      </c>
      <c r="AW383" s="171">
        <f t="shared" si="142"/>
        <v>1</v>
      </c>
      <c r="AX383" s="171">
        <f t="shared" si="152"/>
        <v>1</v>
      </c>
      <c r="AY383" s="171">
        <f t="shared" si="143"/>
        <v>0</v>
      </c>
      <c r="AZ383" s="171">
        <f t="shared" si="144"/>
        <v>1</v>
      </c>
      <c r="BA383" s="172">
        <f t="shared" si="145"/>
        <v>0</v>
      </c>
      <c r="BB383" s="175">
        <f t="shared" si="156"/>
        <v>16</v>
      </c>
      <c r="BC383" s="176">
        <f t="shared" si="157"/>
        <v>16</v>
      </c>
      <c r="BD383" s="176">
        <f t="shared" si="158"/>
        <v>16</v>
      </c>
      <c r="BE383" s="240" t="str">
        <f t="shared" si="146"/>
        <v/>
      </c>
      <c r="BH383" s="199">
        <f>IF(AND(Input_Product=Elig!$C383,Elig_MatchAll_Ct&lt;22,$BC383=(Elig_MatchAll_Ct-1),AF383=0),C383,0)</f>
        <v>0</v>
      </c>
      <c r="BI383" s="199">
        <f>IF(AND(Input_Product=Elig!$C383,Elig_MatchAll_Ct&lt;22,$BC383=(Elig_MatchAll_Ct-1),AG383=0),D383,0)</f>
        <v>0</v>
      </c>
      <c r="BJ383" s="199">
        <f>IF(AND(Input_Product=Elig!$C383,Elig_MatchAll_Ct&lt;22,$BC383=(Elig_MatchAll_Ct-1),AH383=0),E383,0)</f>
        <v>0</v>
      </c>
      <c r="BK383" s="199">
        <f>IF(AND(Input_Product=Elig!$C383,Elig_MatchAll_Ct&lt;22,$BC383=(Elig_MatchAll_Ct-1),AI383=0),F383,0)</f>
        <v>0</v>
      </c>
      <c r="BL383" s="199">
        <f>IF(AND(Input_Product=Elig!$C383,Elig_MatchAll_Ct&lt;22,$BC383=(Elig_MatchAll_Ct-1),AJ383=0),G383,0)</f>
        <v>0</v>
      </c>
      <c r="BM383" s="199">
        <f>IF(AND(Input_Product=Elig!$C383,Elig_MatchAll_Ct&lt;22,$BC383=(Elig_MatchAll_Ct-1),AK383=0),H383,0)</f>
        <v>0</v>
      </c>
      <c r="BN383" s="199">
        <f>IF(AND(Input_Product=Elig!$C383,Elig_MatchAll_Ct&lt;22,$BC383=(Elig_MatchAll_Ct-1),AL383=0),I383,0)</f>
        <v>0</v>
      </c>
      <c r="BO383" s="199">
        <f>IF(AND(Input_Product=Elig!$C383,Elig_MatchAll_Ct&lt;22,$BC383=(Elig_MatchAll_Ct-1),AM383=0),J383,0)</f>
        <v>0</v>
      </c>
      <c r="BP383" s="199">
        <f>IF(AND(Input_Product=Elig!$C383,Elig_MatchAll_Ct&lt;22,$BC383=(Elig_MatchAll_Ct-1),AN383=0),K383,0)</f>
        <v>0</v>
      </c>
      <c r="BQ383" s="199">
        <f>IF(AND(Input_Product=Elig!$C383,Elig_MatchAll_Ct&lt;22,$BC383=(Elig_MatchAll_Ct-1),AP383=0),L383,0)</f>
        <v>0</v>
      </c>
      <c r="BR383" s="199">
        <f>IF(AND(Input_Product=Elig!$C383,Elig_MatchAll_Ct&lt;22,$BC383=(Elig_MatchAll_Ct-1),AO383=0),M383,0)</f>
        <v>0</v>
      </c>
      <c r="BS383" s="199">
        <f>IF(AND(Input_Product=Elig!$C383,Elig_MatchAll_Ct&lt;22,$BC383=(Elig_MatchAll_Ct-1),AQ383=0),N383,0)</f>
        <v>0</v>
      </c>
      <c r="BT383" s="199">
        <f>IF(AND(Input_Product=Elig!$C383,Elig_MatchAll_Ct&lt;22,$BC383=(Elig_MatchAll_Ct-1),AR383=0),O383,0)</f>
        <v>0</v>
      </c>
      <c r="BU383" s="199">
        <f>IF(AND(Input_Product=Elig!$C383,Elig_MatchAll_Ct&lt;22,$BC383=(Elig_MatchAll_Ct-1),AS383=0),P383,0)</f>
        <v>0</v>
      </c>
      <c r="BV383" s="200">
        <f>IF(AND(Input_Product=Elig!$C383,Elig_MatchAll_Ct&lt;22,$BC383=(Elig_MatchAll_Ct-1),AT383=0),Q383,0)</f>
        <v>0</v>
      </c>
      <c r="BW383" s="201">
        <f>IF(AND(Input_Product=Elig!$C383,Elig_MatchAll_Ct&lt;22,$BC383=(Elig_MatchAll_Ct-1),AU383=0),R383,0)</f>
        <v>0</v>
      </c>
      <c r="BX383" s="202">
        <f>IF(AND(Input_Product=Elig!$C383,Elig_MatchAll_Ct&lt;22,$BC383=(Elig_MatchAll_Ct-1),AU383=0),S383,0)</f>
        <v>0</v>
      </c>
      <c r="BY383" s="201">
        <f>IF(AND(Input_Product=Elig!$C383,Elig_MatchAll_Ct&lt;22,$BC383=(Elig_MatchAll_Ct-1),AV383=0),T383,0)</f>
        <v>0</v>
      </c>
      <c r="BZ383" s="202">
        <f>IF(AND(Input_Product=Elig!$C383,Elig_MatchAll_Ct&lt;22,$BC383=(Elig_MatchAll_Ct-1),AV383=0),U383,0)</f>
        <v>0</v>
      </c>
      <c r="CA383" s="201">
        <f>IF(AND(Input_Product=Elig!$C383,Elig_MatchAll_Ct&lt;22,$BC383=(Elig_MatchAll_Ct-1),AW383=0),V383,0)</f>
        <v>0</v>
      </c>
      <c r="CB383" s="202">
        <f>IF(AND(Input_Product=Elig!$C383,Elig_MatchAll_Ct&lt;22,$BC383=(Elig_MatchAll_Ct-1),AW383=0),W383,0)</f>
        <v>0</v>
      </c>
      <c r="CC383" s="201">
        <f>IF(AND(Input_Product=Elig!$C383,Elig_MatchAll_Ct&lt;22,$BC383=(Elig_MatchAll_Ct-1),AX383=0),X383,0)</f>
        <v>0</v>
      </c>
      <c r="CD383" s="202">
        <f>IF(AND(Input_Product=Elig!$C383,Elig_MatchAll_Ct&lt;22,$BC383=(Elig_MatchAll_Ct-1),AX383=0),Y383,0)</f>
        <v>0</v>
      </c>
      <c r="CE383" s="201">
        <f>IF(AND(Input_LTV&lt;=AE383,Input_Product=Elig!$C383,Elig_MatchAll_Ct&lt;22,$BC383=(Elig_MatchAll_Ct-1),AY383=0),Z383,0)</f>
        <v>0</v>
      </c>
      <c r="CF383" s="202">
        <f>IF(AND(Input_LTV&lt;=AE383,Input_Product=Elig!$C383,Elig_MatchAll_Ct&lt;22,$BC383=(Elig_MatchAll_Ct-1),AY383=0),AA383,0)</f>
        <v>0</v>
      </c>
      <c r="CG383" s="201">
        <f>IF(AND(Input_Product=Elig!$C383,Elig_MatchAll_Ct&lt;22,$BC383=(Elig_MatchAll_Ct-1),AZ383=0),AB383,0)</f>
        <v>0</v>
      </c>
      <c r="CH383" s="202">
        <f>IF(AND(Input_Product=Elig!$C383,Elig_MatchAll_Ct&lt;22,$BC383=(Elig_MatchAll_Ct-1),AZ383=0),AC383,0)</f>
        <v>0</v>
      </c>
      <c r="CI383" s="201">
        <f>IF(AND(Input_Product=Elig!$C383,Elig_MatchAll_Ct&lt;22,$BC383=(Elig_MatchAll_Ct-1),BA383=0),AD383,0)</f>
        <v>0</v>
      </c>
      <c r="CJ383" s="202">
        <f>IF(AND(Input_Product=Elig!$C383,Elig_MatchAll_Ct&lt;22,$BC383=(Elig_MatchAll_Ct-1),BA383=0),AE383,0)</f>
        <v>0</v>
      </c>
    </row>
    <row r="384" spans="2:88" ht="10.15" customHeight="1" x14ac:dyDescent="0.25">
      <c r="B384" s="287" t="s">
        <v>1080</v>
      </c>
      <c r="C384" s="291" t="str">
        <f t="shared" si="153"/>
        <v>NonQM NOO</v>
      </c>
      <c r="D384" s="292" t="s">
        <v>3885</v>
      </c>
      <c r="E384" s="292" t="s">
        <v>167</v>
      </c>
      <c r="F384" s="292" t="s">
        <v>330</v>
      </c>
      <c r="G384" s="324" t="s">
        <v>468</v>
      </c>
      <c r="H384" s="292" t="s">
        <v>136</v>
      </c>
      <c r="I384" s="292" t="s">
        <v>16</v>
      </c>
      <c r="J384" s="292" t="s">
        <v>1311</v>
      </c>
      <c r="K384" s="292" t="s">
        <v>1631</v>
      </c>
      <c r="L384" s="324" t="s">
        <v>312</v>
      </c>
      <c r="M384" s="292" t="s">
        <v>4203</v>
      </c>
      <c r="N384" s="292" t="s">
        <v>2685</v>
      </c>
      <c r="O384" s="292" t="s">
        <v>310</v>
      </c>
      <c r="P384" s="292" t="s">
        <v>291</v>
      </c>
      <c r="Q384" s="292" t="s">
        <v>294</v>
      </c>
      <c r="R384" s="292">
        <v>1000000.01</v>
      </c>
      <c r="S384" s="292">
        <v>1500000</v>
      </c>
      <c r="T384" s="292">
        <v>0</v>
      </c>
      <c r="U384" s="292">
        <f t="shared" si="159"/>
        <v>1500000</v>
      </c>
      <c r="V384" s="292">
        <v>0</v>
      </c>
      <c r="W384" s="292">
        <v>50</v>
      </c>
      <c r="X384" s="292">
        <v>0</v>
      </c>
      <c r="Y384" s="292">
        <v>999</v>
      </c>
      <c r="Z384" s="293">
        <v>620</v>
      </c>
      <c r="AA384" s="293">
        <v>639</v>
      </c>
      <c r="AB384" s="293">
        <v>6</v>
      </c>
      <c r="AC384" s="293">
        <v>999999</v>
      </c>
      <c r="AD384" s="292">
        <v>0</v>
      </c>
      <c r="AE384" s="294">
        <v>-999</v>
      </c>
      <c r="AF384" s="170">
        <v>0</v>
      </c>
      <c r="AG384" s="171">
        <v>1</v>
      </c>
      <c r="AH384" s="171">
        <v>1</v>
      </c>
      <c r="AI384" s="171">
        <v>0</v>
      </c>
      <c r="AJ384" s="171">
        <v>0</v>
      </c>
      <c r="AK384" s="171">
        <v>1</v>
      </c>
      <c r="AL384" s="171">
        <v>1</v>
      </c>
      <c r="AM384" s="171">
        <v>1</v>
      </c>
      <c r="AN384" s="171">
        <v>1</v>
      </c>
      <c r="AO384" s="171">
        <v>1</v>
      </c>
      <c r="AP384" s="171">
        <v>1</v>
      </c>
      <c r="AQ384" s="171">
        <v>1</v>
      </c>
      <c r="AR384" s="171">
        <v>1</v>
      </c>
      <c r="AS384" s="171">
        <v>1</v>
      </c>
      <c r="AT384" s="171">
        <v>1</v>
      </c>
      <c r="AU384" s="171">
        <f t="shared" si="140"/>
        <v>0</v>
      </c>
      <c r="AV384" s="171">
        <f t="shared" si="141"/>
        <v>1</v>
      </c>
      <c r="AW384" s="171">
        <f t="shared" si="142"/>
        <v>1</v>
      </c>
      <c r="AX384" s="171">
        <f t="shared" si="152"/>
        <v>1</v>
      </c>
      <c r="AY384" s="171">
        <f t="shared" si="143"/>
        <v>0</v>
      </c>
      <c r="AZ384" s="171">
        <f t="shared" si="144"/>
        <v>1</v>
      </c>
      <c r="BA384" s="172">
        <f t="shared" si="145"/>
        <v>0</v>
      </c>
      <c r="BB384" s="175">
        <f t="shared" si="156"/>
        <v>16</v>
      </c>
      <c r="BC384" s="176">
        <f t="shared" si="157"/>
        <v>16</v>
      </c>
      <c r="BD384" s="176">
        <f t="shared" si="158"/>
        <v>16</v>
      </c>
      <c r="BE384" s="240" t="str">
        <f t="shared" si="146"/>
        <v/>
      </c>
      <c r="BH384" s="214">
        <f>IF(AND(Input_Product=Elig!$C384,Elig_MatchAll_Ct&lt;22,$BC384=(Elig_MatchAll_Ct-1),AF384=0),C384,0)</f>
        <v>0</v>
      </c>
      <c r="BI384" s="214">
        <f>IF(AND(Input_Product=Elig!$C384,Elig_MatchAll_Ct&lt;22,$BC384=(Elig_MatchAll_Ct-1),AG384=0),D384,0)</f>
        <v>0</v>
      </c>
      <c r="BJ384" s="214">
        <f>IF(AND(Input_Product=Elig!$C384,Elig_MatchAll_Ct&lt;22,$BC384=(Elig_MatchAll_Ct-1),AH384=0),E384,0)</f>
        <v>0</v>
      </c>
      <c r="BK384" s="214">
        <f>IF(AND(Input_Product=Elig!$C384,Elig_MatchAll_Ct&lt;22,$BC384=(Elig_MatchAll_Ct-1),AI384=0),F384,0)</f>
        <v>0</v>
      </c>
      <c r="BL384" s="214">
        <f>IF(AND(Input_Product=Elig!$C384,Elig_MatchAll_Ct&lt;22,$BC384=(Elig_MatchAll_Ct-1),AJ384=0),G384,0)</f>
        <v>0</v>
      </c>
      <c r="BM384" s="214">
        <f>IF(AND(Input_Product=Elig!$C384,Elig_MatchAll_Ct&lt;22,$BC384=(Elig_MatchAll_Ct-1),AK384=0),H384,0)</f>
        <v>0</v>
      </c>
      <c r="BN384" s="214">
        <f>IF(AND(Input_Product=Elig!$C384,Elig_MatchAll_Ct&lt;22,$BC384=(Elig_MatchAll_Ct-1),AL384=0),I384,0)</f>
        <v>0</v>
      </c>
      <c r="BO384" s="214">
        <f>IF(AND(Input_Product=Elig!$C384,Elig_MatchAll_Ct&lt;22,$BC384=(Elig_MatchAll_Ct-1),AM384=0),J384,0)</f>
        <v>0</v>
      </c>
      <c r="BP384" s="214">
        <f>IF(AND(Input_Product=Elig!$C384,Elig_MatchAll_Ct&lt;22,$BC384=(Elig_MatchAll_Ct-1),AN384=0),K384,0)</f>
        <v>0</v>
      </c>
      <c r="BQ384" s="214">
        <f>IF(AND(Input_Product=Elig!$C384,Elig_MatchAll_Ct&lt;22,$BC384=(Elig_MatchAll_Ct-1),AP384=0),L384,0)</f>
        <v>0</v>
      </c>
      <c r="BR384" s="214">
        <f>IF(AND(Input_Product=Elig!$C384,Elig_MatchAll_Ct&lt;22,$BC384=(Elig_MatchAll_Ct-1),AO384=0),M384,0)</f>
        <v>0</v>
      </c>
      <c r="BS384" s="214">
        <f>IF(AND(Input_Product=Elig!$C384,Elig_MatchAll_Ct&lt;22,$BC384=(Elig_MatchAll_Ct-1),AQ384=0),N384,0)</f>
        <v>0</v>
      </c>
      <c r="BT384" s="214">
        <f>IF(AND(Input_Product=Elig!$C384,Elig_MatchAll_Ct&lt;22,$BC384=(Elig_MatchAll_Ct-1),AR384=0),O384,0)</f>
        <v>0</v>
      </c>
      <c r="BU384" s="214">
        <f>IF(AND(Input_Product=Elig!$C384,Elig_MatchAll_Ct&lt;22,$BC384=(Elig_MatchAll_Ct-1),AS384=0),P384,0)</f>
        <v>0</v>
      </c>
      <c r="BV384" s="215">
        <f>IF(AND(Input_Product=Elig!$C384,Elig_MatchAll_Ct&lt;22,$BC384=(Elig_MatchAll_Ct-1),AT384=0),Q384,0)</f>
        <v>0</v>
      </c>
      <c r="BW384" s="207">
        <f>IF(AND(Input_Product=Elig!$C384,Elig_MatchAll_Ct&lt;22,$BC384=(Elig_MatchAll_Ct-1),AU384=0),R384,0)</f>
        <v>0</v>
      </c>
      <c r="BX384" s="208">
        <f>IF(AND(Input_Product=Elig!$C384,Elig_MatchAll_Ct&lt;22,$BC384=(Elig_MatchAll_Ct-1),AU384=0),S384,0)</f>
        <v>0</v>
      </c>
      <c r="BY384" s="207">
        <f>IF(AND(Input_Product=Elig!$C384,Elig_MatchAll_Ct&lt;22,$BC384=(Elig_MatchAll_Ct-1),AV384=0),T384,0)</f>
        <v>0</v>
      </c>
      <c r="BZ384" s="208">
        <f>IF(AND(Input_Product=Elig!$C384,Elig_MatchAll_Ct&lt;22,$BC384=(Elig_MatchAll_Ct-1),AV384=0),U384,0)</f>
        <v>0</v>
      </c>
      <c r="CA384" s="207">
        <f>IF(AND(Input_Product=Elig!$C384,Elig_MatchAll_Ct&lt;22,$BC384=(Elig_MatchAll_Ct-1),AW384=0),V384,0)</f>
        <v>0</v>
      </c>
      <c r="CB384" s="208">
        <f>IF(AND(Input_Product=Elig!$C384,Elig_MatchAll_Ct&lt;22,$BC384=(Elig_MatchAll_Ct-1),AW384=0),W384,0)</f>
        <v>0</v>
      </c>
      <c r="CC384" s="207">
        <f>IF(AND(Input_Product=Elig!$C384,Elig_MatchAll_Ct&lt;22,$BC384=(Elig_MatchAll_Ct-1),AX384=0),X384,0)</f>
        <v>0</v>
      </c>
      <c r="CD384" s="208">
        <f>IF(AND(Input_Product=Elig!$C384,Elig_MatchAll_Ct&lt;22,$BC384=(Elig_MatchAll_Ct-1),AX384=0),Y384,0)</f>
        <v>0</v>
      </c>
      <c r="CE384" s="207">
        <f>IF(AND(Input_LTV&lt;=AE384,Input_Product=Elig!$C384,Elig_MatchAll_Ct&lt;22,$BC384=(Elig_MatchAll_Ct-1),AY384=0),Z384,0)</f>
        <v>0</v>
      </c>
      <c r="CF384" s="208">
        <f>IF(AND(Input_LTV&lt;=AE384,Input_Product=Elig!$C384,Elig_MatchAll_Ct&lt;22,$BC384=(Elig_MatchAll_Ct-1),AY384=0),AA384,0)</f>
        <v>0</v>
      </c>
      <c r="CG384" s="207">
        <f>IF(AND(Input_Product=Elig!$C384,Elig_MatchAll_Ct&lt;22,$BC384=(Elig_MatchAll_Ct-1),AZ384=0),AB384,0)</f>
        <v>0</v>
      </c>
      <c r="CH384" s="208">
        <f>IF(AND(Input_Product=Elig!$C384,Elig_MatchAll_Ct&lt;22,$BC384=(Elig_MatchAll_Ct-1),AZ384=0),AC384,0)</f>
        <v>0</v>
      </c>
      <c r="CI384" s="207">
        <f>IF(AND(Input_Product=Elig!$C384,Elig_MatchAll_Ct&lt;22,$BC384=(Elig_MatchAll_Ct-1),BA384=0),AD384,0)</f>
        <v>0</v>
      </c>
      <c r="CJ384" s="209">
        <f>IF(AND(Input_Product=Elig!$C384,Elig_MatchAll_Ct&lt;22,$BC384=(Elig_MatchAll_Ct-1),BA384=0),AE384,0)</f>
        <v>0</v>
      </c>
    </row>
    <row r="385" spans="2:88" ht="10.15" customHeight="1" x14ac:dyDescent="0.25">
      <c r="B385" s="287" t="s">
        <v>1081</v>
      </c>
      <c r="C385" s="281" t="str">
        <f t="shared" si="153"/>
        <v>NonQM NOO</v>
      </c>
      <c r="D385" s="282" t="s">
        <v>3885</v>
      </c>
      <c r="E385" s="283" t="s">
        <v>167</v>
      </c>
      <c r="F385" s="283" t="s">
        <v>330</v>
      </c>
      <c r="G385" s="283" t="s">
        <v>179</v>
      </c>
      <c r="H385" s="283" t="s">
        <v>136</v>
      </c>
      <c r="I385" s="282" t="s">
        <v>274</v>
      </c>
      <c r="J385" s="282" t="s">
        <v>1311</v>
      </c>
      <c r="K385" s="282" t="s">
        <v>1631</v>
      </c>
      <c r="L385" s="2103" t="s">
        <v>312</v>
      </c>
      <c r="M385" s="283" t="s">
        <v>4203</v>
      </c>
      <c r="N385" s="283" t="s">
        <v>2685</v>
      </c>
      <c r="O385" s="283" t="s">
        <v>310</v>
      </c>
      <c r="P385" s="283" t="s">
        <v>291</v>
      </c>
      <c r="Q385" s="283" t="s">
        <v>294</v>
      </c>
      <c r="R385" s="282">
        <v>1000000.01</v>
      </c>
      <c r="S385" s="282">
        <v>1500000</v>
      </c>
      <c r="T385" s="282">
        <v>0</v>
      </c>
      <c r="U385" s="282">
        <v>0</v>
      </c>
      <c r="V385" s="282">
        <v>0</v>
      </c>
      <c r="W385" s="282">
        <v>55</v>
      </c>
      <c r="X385" s="282">
        <v>0</v>
      </c>
      <c r="Y385" s="282">
        <v>999</v>
      </c>
      <c r="Z385" s="284">
        <v>720</v>
      </c>
      <c r="AA385" s="284">
        <v>999</v>
      </c>
      <c r="AB385" s="284">
        <v>6</v>
      </c>
      <c r="AC385" s="284">
        <v>999999</v>
      </c>
      <c r="AD385" s="282">
        <v>0</v>
      </c>
      <c r="AE385" s="2104">
        <v>75</v>
      </c>
      <c r="AF385" s="170">
        <v>0</v>
      </c>
      <c r="AG385" s="171">
        <v>1</v>
      </c>
      <c r="AH385" s="171">
        <v>1</v>
      </c>
      <c r="AI385" s="171">
        <v>0</v>
      </c>
      <c r="AJ385" s="171">
        <v>0</v>
      </c>
      <c r="AK385" s="171">
        <v>1</v>
      </c>
      <c r="AL385" s="171">
        <v>0</v>
      </c>
      <c r="AM385" s="171">
        <v>1</v>
      </c>
      <c r="AN385" s="171">
        <v>1</v>
      </c>
      <c r="AO385" s="171">
        <v>1</v>
      </c>
      <c r="AP385" s="171">
        <v>1</v>
      </c>
      <c r="AQ385" s="171">
        <v>1</v>
      </c>
      <c r="AR385" s="171">
        <v>1</v>
      </c>
      <c r="AS385" s="171">
        <v>1</v>
      </c>
      <c r="AT385" s="171">
        <v>1</v>
      </c>
      <c r="AU385" s="171">
        <f t="shared" si="140"/>
        <v>0</v>
      </c>
      <c r="AV385" s="171">
        <f t="shared" si="141"/>
        <v>0</v>
      </c>
      <c r="AW385" s="171">
        <f t="shared" si="142"/>
        <v>1</v>
      </c>
      <c r="AX385" s="171">
        <f t="shared" si="152"/>
        <v>1</v>
      </c>
      <c r="AY385" s="171">
        <f t="shared" si="143"/>
        <v>1</v>
      </c>
      <c r="AZ385" s="171">
        <f t="shared" si="144"/>
        <v>1</v>
      </c>
      <c r="BA385" s="172">
        <f t="shared" si="145"/>
        <v>1</v>
      </c>
      <c r="BB385" s="175">
        <f t="shared" si="147"/>
        <v>16</v>
      </c>
      <c r="BC385" s="176">
        <f t="shared" si="148"/>
        <v>15</v>
      </c>
      <c r="BD385" s="176">
        <f t="shared" si="149"/>
        <v>16</v>
      </c>
      <c r="BE385" s="240" t="str">
        <f t="shared" si="146"/>
        <v/>
      </c>
      <c r="BH385" s="216">
        <f>IF(AND(Input_Product=Elig!$C385,Elig_MatchAll_Ct&lt;22,$BC385=(Elig_MatchAll_Ct-1),AF385=0),C385,0)</f>
        <v>0</v>
      </c>
      <c r="BI385" s="216">
        <f>IF(AND(Input_Product=Elig!$C385,Elig_MatchAll_Ct&lt;22,$BC385=(Elig_MatchAll_Ct-1),AG385=0),D385,0)</f>
        <v>0</v>
      </c>
      <c r="BJ385" s="216">
        <f>IF(AND(Input_Product=Elig!$C385,Elig_MatchAll_Ct&lt;22,$BC385=(Elig_MatchAll_Ct-1),AH385=0),E385,0)</f>
        <v>0</v>
      </c>
      <c r="BK385" s="216">
        <f>IF(AND(Input_Product=Elig!$C385,Elig_MatchAll_Ct&lt;22,$BC385=(Elig_MatchAll_Ct-1),AI385=0),F385,0)</f>
        <v>0</v>
      </c>
      <c r="BL385" s="216">
        <f>IF(AND(Input_Product=Elig!$C385,Elig_MatchAll_Ct&lt;22,$BC385=(Elig_MatchAll_Ct-1),AJ385=0),G385,0)</f>
        <v>0</v>
      </c>
      <c r="BM385" s="216">
        <f>IF(AND(Input_Product=Elig!$C385,Elig_MatchAll_Ct&lt;22,$BC385=(Elig_MatchAll_Ct-1),AK385=0),H385,0)</f>
        <v>0</v>
      </c>
      <c r="BN385" s="216">
        <f>IF(AND(Input_Product=Elig!$C385,Elig_MatchAll_Ct&lt;22,$BC385=(Elig_MatchAll_Ct-1),AL385=0),I385,0)</f>
        <v>0</v>
      </c>
      <c r="BO385" s="216">
        <f>IF(AND(Input_Product=Elig!$C385,Elig_MatchAll_Ct&lt;22,$BC385=(Elig_MatchAll_Ct-1),AM385=0),J385,0)</f>
        <v>0</v>
      </c>
      <c r="BP385" s="216">
        <f>IF(AND(Input_Product=Elig!$C385,Elig_MatchAll_Ct&lt;22,$BC385=(Elig_MatchAll_Ct-1),AN385=0),K385,0)</f>
        <v>0</v>
      </c>
      <c r="BQ385" s="216">
        <f>IF(AND(Input_Product=Elig!$C385,Elig_MatchAll_Ct&lt;22,$BC385=(Elig_MatchAll_Ct-1),AP385=0),L385,0)</f>
        <v>0</v>
      </c>
      <c r="BR385" s="216">
        <f>IF(AND(Input_Product=Elig!$C385,Elig_MatchAll_Ct&lt;22,$BC385=(Elig_MatchAll_Ct-1),AO385=0),M385,0)</f>
        <v>0</v>
      </c>
      <c r="BS385" s="216">
        <f>IF(AND(Input_Product=Elig!$C385,Elig_MatchAll_Ct&lt;22,$BC385=(Elig_MatchAll_Ct-1),AQ385=0),N385,0)</f>
        <v>0</v>
      </c>
      <c r="BT385" s="216">
        <f>IF(AND(Input_Product=Elig!$C385,Elig_MatchAll_Ct&lt;22,$BC385=(Elig_MatchAll_Ct-1),AR385=0),O385,0)</f>
        <v>0</v>
      </c>
      <c r="BU385" s="216">
        <f>IF(AND(Input_Product=Elig!$C385,Elig_MatchAll_Ct&lt;22,$BC385=(Elig_MatchAll_Ct-1),AS385=0),P385,0)</f>
        <v>0</v>
      </c>
      <c r="BV385" s="217">
        <f>IF(AND(Input_Product=Elig!$C385,Elig_MatchAll_Ct&lt;22,$BC385=(Elig_MatchAll_Ct-1),AT385=0),Q385,0)</f>
        <v>0</v>
      </c>
      <c r="BW385" s="218">
        <f>IF(AND(Input_Product=Elig!$C385,Elig_MatchAll_Ct&lt;22,$BC385=(Elig_MatchAll_Ct-1),AU385=0),R385,0)</f>
        <v>0</v>
      </c>
      <c r="BX385" s="219">
        <f>IF(AND(Input_Product=Elig!$C385,Elig_MatchAll_Ct&lt;22,$BC385=(Elig_MatchAll_Ct-1),AU385=0),S385,0)</f>
        <v>0</v>
      </c>
      <c r="BY385" s="218">
        <f>IF(AND(Input_Product=Elig!$C385,Elig_MatchAll_Ct&lt;22,$BC385=(Elig_MatchAll_Ct-1),AV385=0),T385,0)</f>
        <v>0</v>
      </c>
      <c r="BZ385" s="219">
        <f>IF(AND(Input_Product=Elig!$C385,Elig_MatchAll_Ct&lt;22,$BC385=(Elig_MatchAll_Ct-1),AV385=0),U385,0)</f>
        <v>0</v>
      </c>
      <c r="CA385" s="218">
        <f>IF(AND(Input_Product=Elig!$C385,Elig_MatchAll_Ct&lt;22,$BC385=(Elig_MatchAll_Ct-1),AW385=0),V385,0)</f>
        <v>0</v>
      </c>
      <c r="CB385" s="219">
        <f>IF(AND(Input_Product=Elig!$C385,Elig_MatchAll_Ct&lt;22,$BC385=(Elig_MatchAll_Ct-1),AW385=0),W385,0)</f>
        <v>0</v>
      </c>
      <c r="CC385" s="218">
        <f>IF(AND(Input_Product=Elig!$C385,Elig_MatchAll_Ct&lt;22,$BC385=(Elig_MatchAll_Ct-1),AX385=0),X385,0)</f>
        <v>0</v>
      </c>
      <c r="CD385" s="219">
        <f>IF(AND(Input_Product=Elig!$C385,Elig_MatchAll_Ct&lt;22,$BC385=(Elig_MatchAll_Ct-1),AX385=0),Y385,0)</f>
        <v>0</v>
      </c>
      <c r="CE385" s="218">
        <f>IF(AND(Input_LTV&lt;=AE385,Input_Product=Elig!$C385,Elig_MatchAll_Ct&lt;22,$BC385=(Elig_MatchAll_Ct-1),AY385=0),Z385,0)</f>
        <v>0</v>
      </c>
      <c r="CF385" s="219">
        <f>IF(AND(Input_LTV&lt;=AE385,Input_Product=Elig!$C385,Elig_MatchAll_Ct&lt;22,$BC385=(Elig_MatchAll_Ct-1),AY385=0),AA385,0)</f>
        <v>0</v>
      </c>
      <c r="CG385" s="218">
        <f>IF(AND(Input_Product=Elig!$C385,Elig_MatchAll_Ct&lt;22,$BC385=(Elig_MatchAll_Ct-1),AZ385=0),AB385,0)</f>
        <v>0</v>
      </c>
      <c r="CH385" s="219">
        <f>IF(AND(Input_Product=Elig!$C385,Elig_MatchAll_Ct&lt;22,$BC385=(Elig_MatchAll_Ct-1),AZ385=0),AC385,0)</f>
        <v>0</v>
      </c>
      <c r="CI385" s="218">
        <f>IF(AND(Input_Product=Elig!$C385,Elig_MatchAll_Ct&lt;22,$BC385=(Elig_MatchAll_Ct-1),BA385=0),AD385,0)</f>
        <v>0</v>
      </c>
      <c r="CJ385" s="219">
        <f>IF(AND(Input_Product=Elig!$C385,Elig_MatchAll_Ct&lt;22,$BC385=(Elig_MatchAll_Ct-1),BA385=0),AE385,0)</f>
        <v>0</v>
      </c>
    </row>
    <row r="386" spans="2:88" ht="10.15" customHeight="1" x14ac:dyDescent="0.25">
      <c r="B386" s="287" t="s">
        <v>1082</v>
      </c>
      <c r="C386" s="286" t="str">
        <f t="shared" si="153"/>
        <v>NonQM NOO</v>
      </c>
      <c r="D386" s="287" t="s">
        <v>3885</v>
      </c>
      <c r="E386" s="287" t="s">
        <v>167</v>
      </c>
      <c r="F386" s="287" t="s">
        <v>330</v>
      </c>
      <c r="G386" s="287" t="s">
        <v>179</v>
      </c>
      <c r="H386" s="287" t="s">
        <v>136</v>
      </c>
      <c r="I386" s="288" t="s">
        <v>274</v>
      </c>
      <c r="J386" s="288" t="s">
        <v>1311</v>
      </c>
      <c r="K386" s="288" t="s">
        <v>1631</v>
      </c>
      <c r="L386" s="300" t="s">
        <v>312</v>
      </c>
      <c r="M386" s="287" t="s">
        <v>4203</v>
      </c>
      <c r="N386" s="287" t="s">
        <v>2685</v>
      </c>
      <c r="O386" s="287" t="s">
        <v>310</v>
      </c>
      <c r="P386" s="287" t="s">
        <v>291</v>
      </c>
      <c r="Q386" s="287" t="s">
        <v>294</v>
      </c>
      <c r="R386" s="287">
        <v>1000000.01</v>
      </c>
      <c r="S386" s="287">
        <v>1500000</v>
      </c>
      <c r="T386" s="287">
        <v>0</v>
      </c>
      <c r="U386" s="287">
        <v>0</v>
      </c>
      <c r="V386" s="287">
        <v>0</v>
      </c>
      <c r="W386" s="287">
        <v>55</v>
      </c>
      <c r="X386" s="287">
        <v>0</v>
      </c>
      <c r="Y386" s="287">
        <v>999</v>
      </c>
      <c r="Z386" s="289">
        <v>700</v>
      </c>
      <c r="AA386" s="289">
        <v>719</v>
      </c>
      <c r="AB386" s="289">
        <v>6</v>
      </c>
      <c r="AC386" s="289">
        <v>999999</v>
      </c>
      <c r="AD386" s="287">
        <v>0</v>
      </c>
      <c r="AE386" s="2105">
        <v>75</v>
      </c>
      <c r="AF386" s="170">
        <v>0</v>
      </c>
      <c r="AG386" s="171">
        <v>1</v>
      </c>
      <c r="AH386" s="171">
        <v>1</v>
      </c>
      <c r="AI386" s="171">
        <v>0</v>
      </c>
      <c r="AJ386" s="171">
        <v>0</v>
      </c>
      <c r="AK386" s="171">
        <v>1</v>
      </c>
      <c r="AL386" s="171">
        <v>0</v>
      </c>
      <c r="AM386" s="171">
        <v>1</v>
      </c>
      <c r="AN386" s="171">
        <v>1</v>
      </c>
      <c r="AO386" s="171">
        <v>1</v>
      </c>
      <c r="AP386" s="171">
        <v>1</v>
      </c>
      <c r="AQ386" s="171">
        <v>1</v>
      </c>
      <c r="AR386" s="171">
        <v>1</v>
      </c>
      <c r="AS386" s="171">
        <v>1</v>
      </c>
      <c r="AT386" s="171">
        <v>1</v>
      </c>
      <c r="AU386" s="171">
        <f t="shared" si="140"/>
        <v>0</v>
      </c>
      <c r="AV386" s="171">
        <f t="shared" si="141"/>
        <v>0</v>
      </c>
      <c r="AW386" s="171">
        <f t="shared" si="142"/>
        <v>1</v>
      </c>
      <c r="AX386" s="171">
        <f t="shared" si="152"/>
        <v>1</v>
      </c>
      <c r="AY386" s="171">
        <f t="shared" si="143"/>
        <v>0</v>
      </c>
      <c r="AZ386" s="171">
        <f t="shared" si="144"/>
        <v>1</v>
      </c>
      <c r="BA386" s="172">
        <f t="shared" si="145"/>
        <v>1</v>
      </c>
      <c r="BB386" s="175">
        <f t="shared" si="147"/>
        <v>15</v>
      </c>
      <c r="BC386" s="176">
        <f t="shared" si="148"/>
        <v>14</v>
      </c>
      <c r="BD386" s="176">
        <f t="shared" si="149"/>
        <v>15</v>
      </c>
      <c r="BE386" s="240" t="str">
        <f t="shared" si="146"/>
        <v/>
      </c>
      <c r="BH386" s="199">
        <f>IF(AND(Input_Product=Elig!$C386,Elig_MatchAll_Ct&lt;22,$BC386=(Elig_MatchAll_Ct-1),AF386=0),C386,0)</f>
        <v>0</v>
      </c>
      <c r="BI386" s="199">
        <f>IF(AND(Input_Product=Elig!$C386,Elig_MatchAll_Ct&lt;22,$BC386=(Elig_MatchAll_Ct-1),AG386=0),D386,0)</f>
        <v>0</v>
      </c>
      <c r="BJ386" s="199">
        <f>IF(AND(Input_Product=Elig!$C386,Elig_MatchAll_Ct&lt;22,$BC386=(Elig_MatchAll_Ct-1),AH386=0),E386,0)</f>
        <v>0</v>
      </c>
      <c r="BK386" s="199">
        <f>IF(AND(Input_Product=Elig!$C386,Elig_MatchAll_Ct&lt;22,$BC386=(Elig_MatchAll_Ct-1),AI386=0),F386,0)</f>
        <v>0</v>
      </c>
      <c r="BL386" s="199">
        <f>IF(AND(Input_Product=Elig!$C386,Elig_MatchAll_Ct&lt;22,$BC386=(Elig_MatchAll_Ct-1),AJ386=0),G386,0)</f>
        <v>0</v>
      </c>
      <c r="BM386" s="199">
        <f>IF(AND(Input_Product=Elig!$C386,Elig_MatchAll_Ct&lt;22,$BC386=(Elig_MatchAll_Ct-1),AK386=0),H386,0)</f>
        <v>0</v>
      </c>
      <c r="BN386" s="199">
        <f>IF(AND(Input_Product=Elig!$C386,Elig_MatchAll_Ct&lt;22,$BC386=(Elig_MatchAll_Ct-1),AL386=0),I386,0)</f>
        <v>0</v>
      </c>
      <c r="BO386" s="199">
        <f>IF(AND(Input_Product=Elig!$C386,Elig_MatchAll_Ct&lt;22,$BC386=(Elig_MatchAll_Ct-1),AM386=0),J386,0)</f>
        <v>0</v>
      </c>
      <c r="BP386" s="199">
        <f>IF(AND(Input_Product=Elig!$C386,Elig_MatchAll_Ct&lt;22,$BC386=(Elig_MatchAll_Ct-1),AN386=0),K386,0)</f>
        <v>0</v>
      </c>
      <c r="BQ386" s="199">
        <f>IF(AND(Input_Product=Elig!$C386,Elig_MatchAll_Ct&lt;22,$BC386=(Elig_MatchAll_Ct-1),AP386=0),L386,0)</f>
        <v>0</v>
      </c>
      <c r="BR386" s="199">
        <f>IF(AND(Input_Product=Elig!$C386,Elig_MatchAll_Ct&lt;22,$BC386=(Elig_MatchAll_Ct-1),AO386=0),M386,0)</f>
        <v>0</v>
      </c>
      <c r="BS386" s="199">
        <f>IF(AND(Input_Product=Elig!$C386,Elig_MatchAll_Ct&lt;22,$BC386=(Elig_MatchAll_Ct-1),AQ386=0),N386,0)</f>
        <v>0</v>
      </c>
      <c r="BT386" s="199">
        <f>IF(AND(Input_Product=Elig!$C386,Elig_MatchAll_Ct&lt;22,$BC386=(Elig_MatchAll_Ct-1),AR386=0),O386,0)</f>
        <v>0</v>
      </c>
      <c r="BU386" s="199">
        <f>IF(AND(Input_Product=Elig!$C386,Elig_MatchAll_Ct&lt;22,$BC386=(Elig_MatchAll_Ct-1),AS386=0),P386,0)</f>
        <v>0</v>
      </c>
      <c r="BV386" s="200">
        <f>IF(AND(Input_Product=Elig!$C386,Elig_MatchAll_Ct&lt;22,$BC386=(Elig_MatchAll_Ct-1),AT386=0),Q386,0)</f>
        <v>0</v>
      </c>
      <c r="BW386" s="201">
        <f>IF(AND(Input_Product=Elig!$C386,Elig_MatchAll_Ct&lt;22,$BC386=(Elig_MatchAll_Ct-1),AU386=0),R386,0)</f>
        <v>0</v>
      </c>
      <c r="BX386" s="202">
        <f>IF(AND(Input_Product=Elig!$C386,Elig_MatchAll_Ct&lt;22,$BC386=(Elig_MatchAll_Ct-1),AU386=0),S386,0)</f>
        <v>0</v>
      </c>
      <c r="BY386" s="201">
        <f>IF(AND(Input_Product=Elig!$C386,Elig_MatchAll_Ct&lt;22,$BC386=(Elig_MatchAll_Ct-1),AV386=0),T386,0)</f>
        <v>0</v>
      </c>
      <c r="BZ386" s="202">
        <f>IF(AND(Input_Product=Elig!$C386,Elig_MatchAll_Ct&lt;22,$BC386=(Elig_MatchAll_Ct-1),AV386=0),U386,0)</f>
        <v>0</v>
      </c>
      <c r="CA386" s="201">
        <f>IF(AND(Input_Product=Elig!$C386,Elig_MatchAll_Ct&lt;22,$BC386=(Elig_MatchAll_Ct-1),AW386=0),V386,0)</f>
        <v>0</v>
      </c>
      <c r="CB386" s="202">
        <f>IF(AND(Input_Product=Elig!$C386,Elig_MatchAll_Ct&lt;22,$BC386=(Elig_MatchAll_Ct-1),AW386=0),W386,0)</f>
        <v>0</v>
      </c>
      <c r="CC386" s="201">
        <f>IF(AND(Input_Product=Elig!$C386,Elig_MatchAll_Ct&lt;22,$BC386=(Elig_MatchAll_Ct-1),AX386=0),X386,0)</f>
        <v>0</v>
      </c>
      <c r="CD386" s="202">
        <f>IF(AND(Input_Product=Elig!$C386,Elig_MatchAll_Ct&lt;22,$BC386=(Elig_MatchAll_Ct-1),AX386=0),Y386,0)</f>
        <v>0</v>
      </c>
      <c r="CE386" s="201">
        <f>IF(AND(Input_LTV&lt;=AE386,Input_Product=Elig!$C386,Elig_MatchAll_Ct&lt;22,$BC386=(Elig_MatchAll_Ct-1),AY386=0),Z386,0)</f>
        <v>0</v>
      </c>
      <c r="CF386" s="202">
        <f>IF(AND(Input_LTV&lt;=AE386,Input_Product=Elig!$C386,Elig_MatchAll_Ct&lt;22,$BC386=(Elig_MatchAll_Ct-1),AY386=0),AA386,0)</f>
        <v>0</v>
      </c>
      <c r="CG386" s="201">
        <f>IF(AND(Input_Product=Elig!$C386,Elig_MatchAll_Ct&lt;22,$BC386=(Elig_MatchAll_Ct-1),AZ386=0),AB386,0)</f>
        <v>0</v>
      </c>
      <c r="CH386" s="202">
        <f>IF(AND(Input_Product=Elig!$C386,Elig_MatchAll_Ct&lt;22,$BC386=(Elig_MatchAll_Ct-1),AZ386=0),AC386,0)</f>
        <v>0</v>
      </c>
      <c r="CI386" s="201">
        <f>IF(AND(Input_Product=Elig!$C386,Elig_MatchAll_Ct&lt;22,$BC386=(Elig_MatchAll_Ct-1),BA386=0),AD386,0)</f>
        <v>0</v>
      </c>
      <c r="CJ386" s="202">
        <f>IF(AND(Input_Product=Elig!$C386,Elig_MatchAll_Ct&lt;22,$BC386=(Elig_MatchAll_Ct-1),BA386=0),AE386,0)</f>
        <v>0</v>
      </c>
    </row>
    <row r="387" spans="2:88" ht="10.15" customHeight="1" x14ac:dyDescent="0.25">
      <c r="B387" s="287" t="s">
        <v>1083</v>
      </c>
      <c r="C387" s="286" t="str">
        <f t="shared" si="153"/>
        <v>NonQM NOO</v>
      </c>
      <c r="D387" s="287" t="s">
        <v>3885</v>
      </c>
      <c r="E387" s="287" t="s">
        <v>167</v>
      </c>
      <c r="F387" s="287" t="s">
        <v>330</v>
      </c>
      <c r="G387" s="287" t="s">
        <v>179</v>
      </c>
      <c r="H387" s="287" t="s">
        <v>136</v>
      </c>
      <c r="I387" s="288" t="s">
        <v>274</v>
      </c>
      <c r="J387" s="288" t="s">
        <v>1311</v>
      </c>
      <c r="K387" s="288" t="s">
        <v>1631</v>
      </c>
      <c r="L387" s="300" t="s">
        <v>312</v>
      </c>
      <c r="M387" s="287" t="s">
        <v>4203</v>
      </c>
      <c r="N387" s="287" t="s">
        <v>2685</v>
      </c>
      <c r="O387" s="287" t="s">
        <v>310</v>
      </c>
      <c r="P387" s="287" t="s">
        <v>291</v>
      </c>
      <c r="Q387" s="287" t="s">
        <v>294</v>
      </c>
      <c r="R387" s="287">
        <v>1000000.01</v>
      </c>
      <c r="S387" s="287">
        <v>1500000</v>
      </c>
      <c r="T387" s="287">
        <v>0</v>
      </c>
      <c r="U387" s="287">
        <v>0</v>
      </c>
      <c r="V387" s="287">
        <v>0</v>
      </c>
      <c r="W387" s="287">
        <v>55</v>
      </c>
      <c r="X387" s="287">
        <v>0</v>
      </c>
      <c r="Y387" s="287">
        <v>999</v>
      </c>
      <c r="Z387" s="289">
        <v>680</v>
      </c>
      <c r="AA387" s="289">
        <v>699</v>
      </c>
      <c r="AB387" s="289">
        <v>6</v>
      </c>
      <c r="AC387" s="289">
        <v>999999</v>
      </c>
      <c r="AD387" s="287">
        <v>0</v>
      </c>
      <c r="AE387" s="290">
        <v>70</v>
      </c>
      <c r="AF387" s="170">
        <v>0</v>
      </c>
      <c r="AG387" s="171">
        <v>1</v>
      </c>
      <c r="AH387" s="171">
        <v>1</v>
      </c>
      <c r="AI387" s="171">
        <v>0</v>
      </c>
      <c r="AJ387" s="171">
        <v>0</v>
      </c>
      <c r="AK387" s="171">
        <v>1</v>
      </c>
      <c r="AL387" s="171">
        <v>0</v>
      </c>
      <c r="AM387" s="171">
        <v>1</v>
      </c>
      <c r="AN387" s="171">
        <v>1</v>
      </c>
      <c r="AO387" s="171">
        <v>1</v>
      </c>
      <c r="AP387" s="171">
        <v>1</v>
      </c>
      <c r="AQ387" s="171">
        <v>1</v>
      </c>
      <c r="AR387" s="171">
        <v>1</v>
      </c>
      <c r="AS387" s="171">
        <v>1</v>
      </c>
      <c r="AT387" s="171">
        <v>1</v>
      </c>
      <c r="AU387" s="171">
        <f t="shared" si="140"/>
        <v>0</v>
      </c>
      <c r="AV387" s="171">
        <f t="shared" si="141"/>
        <v>0</v>
      </c>
      <c r="AW387" s="171">
        <f t="shared" si="142"/>
        <v>1</v>
      </c>
      <c r="AX387" s="171">
        <f t="shared" si="152"/>
        <v>1</v>
      </c>
      <c r="AY387" s="171">
        <f t="shared" si="143"/>
        <v>0</v>
      </c>
      <c r="AZ387" s="171">
        <f t="shared" si="144"/>
        <v>1</v>
      </c>
      <c r="BA387" s="172">
        <f t="shared" si="145"/>
        <v>1</v>
      </c>
      <c r="BB387" s="175">
        <f t="shared" si="147"/>
        <v>15</v>
      </c>
      <c r="BC387" s="176">
        <f t="shared" si="148"/>
        <v>14</v>
      </c>
      <c r="BD387" s="176">
        <f t="shared" si="149"/>
        <v>15</v>
      </c>
      <c r="BE387" s="240" t="str">
        <f t="shared" si="146"/>
        <v/>
      </c>
      <c r="BH387" s="199">
        <f>IF(AND(Input_Product=Elig!$C387,Elig_MatchAll_Ct&lt;22,$BC387=(Elig_MatchAll_Ct-1),AF387=0),C387,0)</f>
        <v>0</v>
      </c>
      <c r="BI387" s="199">
        <f>IF(AND(Input_Product=Elig!$C387,Elig_MatchAll_Ct&lt;22,$BC387=(Elig_MatchAll_Ct-1),AG387=0),D387,0)</f>
        <v>0</v>
      </c>
      <c r="BJ387" s="199">
        <f>IF(AND(Input_Product=Elig!$C387,Elig_MatchAll_Ct&lt;22,$BC387=(Elig_MatchAll_Ct-1),AH387=0),E387,0)</f>
        <v>0</v>
      </c>
      <c r="BK387" s="199">
        <f>IF(AND(Input_Product=Elig!$C387,Elig_MatchAll_Ct&lt;22,$BC387=(Elig_MatchAll_Ct-1),AI387=0),F387,0)</f>
        <v>0</v>
      </c>
      <c r="BL387" s="199">
        <f>IF(AND(Input_Product=Elig!$C387,Elig_MatchAll_Ct&lt;22,$BC387=(Elig_MatchAll_Ct-1),AJ387=0),G387,0)</f>
        <v>0</v>
      </c>
      <c r="BM387" s="199">
        <f>IF(AND(Input_Product=Elig!$C387,Elig_MatchAll_Ct&lt;22,$BC387=(Elig_MatchAll_Ct-1),AK387=0),H387,0)</f>
        <v>0</v>
      </c>
      <c r="BN387" s="199">
        <f>IF(AND(Input_Product=Elig!$C387,Elig_MatchAll_Ct&lt;22,$BC387=(Elig_MatchAll_Ct-1),AL387=0),I387,0)</f>
        <v>0</v>
      </c>
      <c r="BO387" s="199">
        <f>IF(AND(Input_Product=Elig!$C387,Elig_MatchAll_Ct&lt;22,$BC387=(Elig_MatchAll_Ct-1),AM387=0),J387,0)</f>
        <v>0</v>
      </c>
      <c r="BP387" s="199">
        <f>IF(AND(Input_Product=Elig!$C387,Elig_MatchAll_Ct&lt;22,$BC387=(Elig_MatchAll_Ct-1),AN387=0),K387,0)</f>
        <v>0</v>
      </c>
      <c r="BQ387" s="199">
        <f>IF(AND(Input_Product=Elig!$C387,Elig_MatchAll_Ct&lt;22,$BC387=(Elig_MatchAll_Ct-1),AP387=0),L387,0)</f>
        <v>0</v>
      </c>
      <c r="BR387" s="199">
        <f>IF(AND(Input_Product=Elig!$C387,Elig_MatchAll_Ct&lt;22,$BC387=(Elig_MatchAll_Ct-1),AO387=0),M387,0)</f>
        <v>0</v>
      </c>
      <c r="BS387" s="199">
        <f>IF(AND(Input_Product=Elig!$C387,Elig_MatchAll_Ct&lt;22,$BC387=(Elig_MatchAll_Ct-1),AQ387=0),N387,0)</f>
        <v>0</v>
      </c>
      <c r="BT387" s="199">
        <f>IF(AND(Input_Product=Elig!$C387,Elig_MatchAll_Ct&lt;22,$BC387=(Elig_MatchAll_Ct-1),AR387=0),O387,0)</f>
        <v>0</v>
      </c>
      <c r="BU387" s="199">
        <f>IF(AND(Input_Product=Elig!$C387,Elig_MatchAll_Ct&lt;22,$BC387=(Elig_MatchAll_Ct-1),AS387=0),P387,0)</f>
        <v>0</v>
      </c>
      <c r="BV387" s="200">
        <f>IF(AND(Input_Product=Elig!$C387,Elig_MatchAll_Ct&lt;22,$BC387=(Elig_MatchAll_Ct-1),AT387=0),Q387,0)</f>
        <v>0</v>
      </c>
      <c r="BW387" s="201">
        <f>IF(AND(Input_Product=Elig!$C387,Elig_MatchAll_Ct&lt;22,$BC387=(Elig_MatchAll_Ct-1),AU387=0),R387,0)</f>
        <v>0</v>
      </c>
      <c r="BX387" s="202">
        <f>IF(AND(Input_Product=Elig!$C387,Elig_MatchAll_Ct&lt;22,$BC387=(Elig_MatchAll_Ct-1),AU387=0),S387,0)</f>
        <v>0</v>
      </c>
      <c r="BY387" s="201">
        <f>IF(AND(Input_Product=Elig!$C387,Elig_MatchAll_Ct&lt;22,$BC387=(Elig_MatchAll_Ct-1),AV387=0),T387,0)</f>
        <v>0</v>
      </c>
      <c r="BZ387" s="202">
        <f>IF(AND(Input_Product=Elig!$C387,Elig_MatchAll_Ct&lt;22,$BC387=(Elig_MatchAll_Ct-1),AV387=0),U387,0)</f>
        <v>0</v>
      </c>
      <c r="CA387" s="201">
        <f>IF(AND(Input_Product=Elig!$C387,Elig_MatchAll_Ct&lt;22,$BC387=(Elig_MatchAll_Ct-1),AW387=0),V387,0)</f>
        <v>0</v>
      </c>
      <c r="CB387" s="202">
        <f>IF(AND(Input_Product=Elig!$C387,Elig_MatchAll_Ct&lt;22,$BC387=(Elig_MatchAll_Ct-1),AW387=0),W387,0)</f>
        <v>0</v>
      </c>
      <c r="CC387" s="201">
        <f>IF(AND(Input_Product=Elig!$C387,Elig_MatchAll_Ct&lt;22,$BC387=(Elig_MatchAll_Ct-1),AX387=0),X387,0)</f>
        <v>0</v>
      </c>
      <c r="CD387" s="202">
        <f>IF(AND(Input_Product=Elig!$C387,Elig_MatchAll_Ct&lt;22,$BC387=(Elig_MatchAll_Ct-1),AX387=0),Y387,0)</f>
        <v>0</v>
      </c>
      <c r="CE387" s="201">
        <f>IF(AND(Input_LTV&lt;=AE387,Input_Product=Elig!$C387,Elig_MatchAll_Ct&lt;22,$BC387=(Elig_MatchAll_Ct-1),AY387=0),Z387,0)</f>
        <v>0</v>
      </c>
      <c r="CF387" s="202">
        <f>IF(AND(Input_LTV&lt;=AE387,Input_Product=Elig!$C387,Elig_MatchAll_Ct&lt;22,$BC387=(Elig_MatchAll_Ct-1),AY387=0),AA387,0)</f>
        <v>0</v>
      </c>
      <c r="CG387" s="201">
        <f>IF(AND(Input_Product=Elig!$C387,Elig_MatchAll_Ct&lt;22,$BC387=(Elig_MatchAll_Ct-1),AZ387=0),AB387,0)</f>
        <v>0</v>
      </c>
      <c r="CH387" s="202">
        <f>IF(AND(Input_Product=Elig!$C387,Elig_MatchAll_Ct&lt;22,$BC387=(Elig_MatchAll_Ct-1),AZ387=0),AC387,0)</f>
        <v>0</v>
      </c>
      <c r="CI387" s="201">
        <f>IF(AND(Input_Product=Elig!$C387,Elig_MatchAll_Ct&lt;22,$BC387=(Elig_MatchAll_Ct-1),BA387=0),AD387,0)</f>
        <v>0</v>
      </c>
      <c r="CJ387" s="202">
        <f>IF(AND(Input_Product=Elig!$C387,Elig_MatchAll_Ct&lt;22,$BC387=(Elig_MatchAll_Ct-1),BA387=0),AE387,0)</f>
        <v>0</v>
      </c>
    </row>
    <row r="388" spans="2:88" ht="10.15" customHeight="1" x14ac:dyDescent="0.25">
      <c r="B388" s="287" t="s">
        <v>1084</v>
      </c>
      <c r="C388" s="286" t="str">
        <f t="shared" si="153"/>
        <v>NonQM NOO</v>
      </c>
      <c r="D388" s="287" t="s">
        <v>3885</v>
      </c>
      <c r="E388" s="287" t="s">
        <v>167</v>
      </c>
      <c r="F388" s="287" t="s">
        <v>330</v>
      </c>
      <c r="G388" s="287" t="s">
        <v>179</v>
      </c>
      <c r="H388" s="287" t="s">
        <v>136</v>
      </c>
      <c r="I388" s="288" t="s">
        <v>274</v>
      </c>
      <c r="J388" s="288" t="s">
        <v>1311</v>
      </c>
      <c r="K388" s="288" t="s">
        <v>1631</v>
      </c>
      <c r="L388" s="300" t="s">
        <v>312</v>
      </c>
      <c r="M388" s="287" t="s">
        <v>4203</v>
      </c>
      <c r="N388" s="287" t="s">
        <v>2685</v>
      </c>
      <c r="O388" s="287" t="s">
        <v>310</v>
      </c>
      <c r="P388" s="287" t="s">
        <v>291</v>
      </c>
      <c r="Q388" s="287" t="s">
        <v>294</v>
      </c>
      <c r="R388" s="287">
        <v>1000000.01</v>
      </c>
      <c r="S388" s="287">
        <v>1500000</v>
      </c>
      <c r="T388" s="287">
        <v>0</v>
      </c>
      <c r="U388" s="287">
        <v>0</v>
      </c>
      <c r="V388" s="287">
        <v>0</v>
      </c>
      <c r="W388" s="287">
        <v>50</v>
      </c>
      <c r="X388" s="287">
        <v>0</v>
      </c>
      <c r="Y388" s="287">
        <v>999</v>
      </c>
      <c r="Z388" s="289">
        <v>660</v>
      </c>
      <c r="AA388" s="289">
        <v>679</v>
      </c>
      <c r="AB388" s="289">
        <v>6</v>
      </c>
      <c r="AC388" s="289">
        <v>999999</v>
      </c>
      <c r="AD388" s="287">
        <v>0</v>
      </c>
      <c r="AE388" s="290">
        <v>70</v>
      </c>
      <c r="AF388" s="170">
        <v>0</v>
      </c>
      <c r="AG388" s="171">
        <v>1</v>
      </c>
      <c r="AH388" s="171">
        <v>1</v>
      </c>
      <c r="AI388" s="171">
        <v>0</v>
      </c>
      <c r="AJ388" s="171">
        <v>0</v>
      </c>
      <c r="AK388" s="171">
        <v>1</v>
      </c>
      <c r="AL388" s="171">
        <v>0</v>
      </c>
      <c r="AM388" s="171">
        <v>1</v>
      </c>
      <c r="AN388" s="171">
        <v>1</v>
      </c>
      <c r="AO388" s="171">
        <v>1</v>
      </c>
      <c r="AP388" s="171">
        <v>1</v>
      </c>
      <c r="AQ388" s="171">
        <v>1</v>
      </c>
      <c r="AR388" s="171">
        <v>1</v>
      </c>
      <c r="AS388" s="171">
        <v>1</v>
      </c>
      <c r="AT388" s="171">
        <v>1</v>
      </c>
      <c r="AU388" s="171">
        <f t="shared" si="140"/>
        <v>0</v>
      </c>
      <c r="AV388" s="171">
        <f t="shared" si="141"/>
        <v>0</v>
      </c>
      <c r="AW388" s="171">
        <f t="shared" si="142"/>
        <v>1</v>
      </c>
      <c r="AX388" s="171">
        <f t="shared" si="152"/>
        <v>1</v>
      </c>
      <c r="AY388" s="171">
        <f t="shared" si="143"/>
        <v>0</v>
      </c>
      <c r="AZ388" s="171">
        <f t="shared" si="144"/>
        <v>1</v>
      </c>
      <c r="BA388" s="172">
        <f t="shared" si="145"/>
        <v>1</v>
      </c>
      <c r="BB388" s="175">
        <f t="shared" si="147"/>
        <v>15</v>
      </c>
      <c r="BC388" s="176">
        <f t="shared" si="148"/>
        <v>14</v>
      </c>
      <c r="BD388" s="176">
        <f t="shared" si="149"/>
        <v>15</v>
      </c>
      <c r="BE388" s="240" t="str">
        <f t="shared" si="146"/>
        <v/>
      </c>
      <c r="BH388" s="199">
        <f>IF(AND(Input_Product=Elig!$C388,Elig_MatchAll_Ct&lt;22,$BC388=(Elig_MatchAll_Ct-1),AF388=0),C388,0)</f>
        <v>0</v>
      </c>
      <c r="BI388" s="199">
        <f>IF(AND(Input_Product=Elig!$C388,Elig_MatchAll_Ct&lt;22,$BC388=(Elig_MatchAll_Ct-1),AG388=0),D388,0)</f>
        <v>0</v>
      </c>
      <c r="BJ388" s="199">
        <f>IF(AND(Input_Product=Elig!$C388,Elig_MatchAll_Ct&lt;22,$BC388=(Elig_MatchAll_Ct-1),AH388=0),E388,0)</f>
        <v>0</v>
      </c>
      <c r="BK388" s="199">
        <f>IF(AND(Input_Product=Elig!$C388,Elig_MatchAll_Ct&lt;22,$BC388=(Elig_MatchAll_Ct-1),AI388=0),F388,0)</f>
        <v>0</v>
      </c>
      <c r="BL388" s="199">
        <f>IF(AND(Input_Product=Elig!$C388,Elig_MatchAll_Ct&lt;22,$BC388=(Elig_MatchAll_Ct-1),AJ388=0),G388,0)</f>
        <v>0</v>
      </c>
      <c r="BM388" s="199">
        <f>IF(AND(Input_Product=Elig!$C388,Elig_MatchAll_Ct&lt;22,$BC388=(Elig_MatchAll_Ct-1),AK388=0),H388,0)</f>
        <v>0</v>
      </c>
      <c r="BN388" s="199">
        <f>IF(AND(Input_Product=Elig!$C388,Elig_MatchAll_Ct&lt;22,$BC388=(Elig_MatchAll_Ct-1),AL388=0),I388,0)</f>
        <v>0</v>
      </c>
      <c r="BO388" s="199">
        <f>IF(AND(Input_Product=Elig!$C388,Elig_MatchAll_Ct&lt;22,$BC388=(Elig_MatchAll_Ct-1),AM388=0),J388,0)</f>
        <v>0</v>
      </c>
      <c r="BP388" s="199">
        <f>IF(AND(Input_Product=Elig!$C388,Elig_MatchAll_Ct&lt;22,$BC388=(Elig_MatchAll_Ct-1),AN388=0),K388,0)</f>
        <v>0</v>
      </c>
      <c r="BQ388" s="199">
        <f>IF(AND(Input_Product=Elig!$C388,Elig_MatchAll_Ct&lt;22,$BC388=(Elig_MatchAll_Ct-1),AP388=0),L388,0)</f>
        <v>0</v>
      </c>
      <c r="BR388" s="199">
        <f>IF(AND(Input_Product=Elig!$C388,Elig_MatchAll_Ct&lt;22,$BC388=(Elig_MatchAll_Ct-1),AO388=0),M388,0)</f>
        <v>0</v>
      </c>
      <c r="BS388" s="199">
        <f>IF(AND(Input_Product=Elig!$C388,Elig_MatchAll_Ct&lt;22,$BC388=(Elig_MatchAll_Ct-1),AQ388=0),N388,0)</f>
        <v>0</v>
      </c>
      <c r="BT388" s="199">
        <f>IF(AND(Input_Product=Elig!$C388,Elig_MatchAll_Ct&lt;22,$BC388=(Elig_MatchAll_Ct-1),AR388=0),O388,0)</f>
        <v>0</v>
      </c>
      <c r="BU388" s="199">
        <f>IF(AND(Input_Product=Elig!$C388,Elig_MatchAll_Ct&lt;22,$BC388=(Elig_MatchAll_Ct-1),AS388=0),P388,0)</f>
        <v>0</v>
      </c>
      <c r="BV388" s="200">
        <f>IF(AND(Input_Product=Elig!$C388,Elig_MatchAll_Ct&lt;22,$BC388=(Elig_MatchAll_Ct-1),AT388=0),Q388,0)</f>
        <v>0</v>
      </c>
      <c r="BW388" s="201">
        <f>IF(AND(Input_Product=Elig!$C388,Elig_MatchAll_Ct&lt;22,$BC388=(Elig_MatchAll_Ct-1),AU388=0),R388,0)</f>
        <v>0</v>
      </c>
      <c r="BX388" s="202">
        <f>IF(AND(Input_Product=Elig!$C388,Elig_MatchAll_Ct&lt;22,$BC388=(Elig_MatchAll_Ct-1),AU388=0),S388,0)</f>
        <v>0</v>
      </c>
      <c r="BY388" s="201">
        <f>IF(AND(Input_Product=Elig!$C388,Elig_MatchAll_Ct&lt;22,$BC388=(Elig_MatchAll_Ct-1),AV388=0),T388,0)</f>
        <v>0</v>
      </c>
      <c r="BZ388" s="202">
        <f>IF(AND(Input_Product=Elig!$C388,Elig_MatchAll_Ct&lt;22,$BC388=(Elig_MatchAll_Ct-1),AV388=0),U388,0)</f>
        <v>0</v>
      </c>
      <c r="CA388" s="201">
        <f>IF(AND(Input_Product=Elig!$C388,Elig_MatchAll_Ct&lt;22,$BC388=(Elig_MatchAll_Ct-1),AW388=0),V388,0)</f>
        <v>0</v>
      </c>
      <c r="CB388" s="202">
        <f>IF(AND(Input_Product=Elig!$C388,Elig_MatchAll_Ct&lt;22,$BC388=(Elig_MatchAll_Ct-1),AW388=0),W388,0)</f>
        <v>0</v>
      </c>
      <c r="CC388" s="201">
        <f>IF(AND(Input_Product=Elig!$C388,Elig_MatchAll_Ct&lt;22,$BC388=(Elig_MatchAll_Ct-1),AX388=0),X388,0)</f>
        <v>0</v>
      </c>
      <c r="CD388" s="202">
        <f>IF(AND(Input_Product=Elig!$C388,Elig_MatchAll_Ct&lt;22,$BC388=(Elig_MatchAll_Ct-1),AX388=0),Y388,0)</f>
        <v>0</v>
      </c>
      <c r="CE388" s="201">
        <f>IF(AND(Input_LTV&lt;=AE388,Input_Product=Elig!$C388,Elig_MatchAll_Ct&lt;22,$BC388=(Elig_MatchAll_Ct-1),AY388=0),Z388,0)</f>
        <v>0</v>
      </c>
      <c r="CF388" s="202">
        <f>IF(AND(Input_LTV&lt;=AE388,Input_Product=Elig!$C388,Elig_MatchAll_Ct&lt;22,$BC388=(Elig_MatchAll_Ct-1),AY388=0),AA388,0)</f>
        <v>0</v>
      </c>
      <c r="CG388" s="201">
        <f>IF(AND(Input_Product=Elig!$C388,Elig_MatchAll_Ct&lt;22,$BC388=(Elig_MatchAll_Ct-1),AZ388=0),AB388,0)</f>
        <v>0</v>
      </c>
      <c r="CH388" s="202">
        <f>IF(AND(Input_Product=Elig!$C388,Elig_MatchAll_Ct&lt;22,$BC388=(Elig_MatchAll_Ct-1),AZ388=0),AC388,0)</f>
        <v>0</v>
      </c>
      <c r="CI388" s="201">
        <f>IF(AND(Input_Product=Elig!$C388,Elig_MatchAll_Ct&lt;22,$BC388=(Elig_MatchAll_Ct-1),BA388=0),AD388,0)</f>
        <v>0</v>
      </c>
      <c r="CJ388" s="202">
        <f>IF(AND(Input_Product=Elig!$C388,Elig_MatchAll_Ct&lt;22,$BC388=(Elig_MatchAll_Ct-1),BA388=0),AE388,0)</f>
        <v>0</v>
      </c>
    </row>
    <row r="389" spans="2:88" ht="10.15" customHeight="1" x14ac:dyDescent="0.25">
      <c r="B389" s="287" t="s">
        <v>1085</v>
      </c>
      <c r="C389" s="286" t="str">
        <f t="shared" si="153"/>
        <v>NonQM NOO</v>
      </c>
      <c r="D389" s="287" t="s">
        <v>3885</v>
      </c>
      <c r="E389" s="287" t="s">
        <v>167</v>
      </c>
      <c r="F389" s="287" t="s">
        <v>330</v>
      </c>
      <c r="G389" s="287" t="s">
        <v>179</v>
      </c>
      <c r="H389" s="287" t="s">
        <v>136</v>
      </c>
      <c r="I389" s="288" t="s">
        <v>274</v>
      </c>
      <c r="J389" s="288" t="s">
        <v>1311</v>
      </c>
      <c r="K389" s="288" t="s">
        <v>1631</v>
      </c>
      <c r="L389" s="300" t="s">
        <v>312</v>
      </c>
      <c r="M389" s="287" t="s">
        <v>4203</v>
      </c>
      <c r="N389" s="287" t="s">
        <v>2685</v>
      </c>
      <c r="O389" s="287" t="s">
        <v>310</v>
      </c>
      <c r="P389" s="287" t="s">
        <v>291</v>
      </c>
      <c r="Q389" s="287" t="s">
        <v>294</v>
      </c>
      <c r="R389" s="287">
        <v>1000000.01</v>
      </c>
      <c r="S389" s="287">
        <v>1500000</v>
      </c>
      <c r="T389" s="287">
        <v>0</v>
      </c>
      <c r="U389" s="287">
        <v>0</v>
      </c>
      <c r="V389" s="287">
        <v>0</v>
      </c>
      <c r="W389" s="287">
        <v>50</v>
      </c>
      <c r="X389" s="287">
        <v>0</v>
      </c>
      <c r="Y389" s="287">
        <v>999</v>
      </c>
      <c r="Z389" s="289">
        <v>640</v>
      </c>
      <c r="AA389" s="289">
        <v>659</v>
      </c>
      <c r="AB389" s="289">
        <v>6</v>
      </c>
      <c r="AC389" s="289">
        <v>999999</v>
      </c>
      <c r="AD389" s="287">
        <v>0</v>
      </c>
      <c r="AE389" s="290">
        <v>-999</v>
      </c>
      <c r="AF389" s="170">
        <v>0</v>
      </c>
      <c r="AG389" s="171">
        <v>1</v>
      </c>
      <c r="AH389" s="171">
        <v>1</v>
      </c>
      <c r="AI389" s="171">
        <v>0</v>
      </c>
      <c r="AJ389" s="171">
        <v>0</v>
      </c>
      <c r="AK389" s="171">
        <v>1</v>
      </c>
      <c r="AL389" s="171">
        <v>0</v>
      </c>
      <c r="AM389" s="171">
        <v>1</v>
      </c>
      <c r="AN389" s="171">
        <v>1</v>
      </c>
      <c r="AO389" s="171">
        <v>1</v>
      </c>
      <c r="AP389" s="171">
        <v>1</v>
      </c>
      <c r="AQ389" s="171">
        <v>1</v>
      </c>
      <c r="AR389" s="171">
        <v>1</v>
      </c>
      <c r="AS389" s="171">
        <v>1</v>
      </c>
      <c r="AT389" s="171">
        <v>1</v>
      </c>
      <c r="AU389" s="171">
        <f t="shared" si="140"/>
        <v>0</v>
      </c>
      <c r="AV389" s="171">
        <f t="shared" si="141"/>
        <v>0</v>
      </c>
      <c r="AW389" s="171">
        <f t="shared" si="142"/>
        <v>1</v>
      </c>
      <c r="AX389" s="171">
        <f t="shared" si="152"/>
        <v>1</v>
      </c>
      <c r="AY389" s="171">
        <f t="shared" si="143"/>
        <v>0</v>
      </c>
      <c r="AZ389" s="171">
        <f t="shared" si="144"/>
        <v>1</v>
      </c>
      <c r="BA389" s="172">
        <f t="shared" si="145"/>
        <v>0</v>
      </c>
      <c r="BB389" s="175">
        <f t="shared" si="147"/>
        <v>14</v>
      </c>
      <c r="BC389" s="176">
        <f t="shared" si="148"/>
        <v>14</v>
      </c>
      <c r="BD389" s="176">
        <f t="shared" si="149"/>
        <v>14</v>
      </c>
      <c r="BE389" s="240" t="str">
        <f t="shared" si="146"/>
        <v/>
      </c>
      <c r="BH389" s="199">
        <f>IF(AND(Input_Product=Elig!$C389,Elig_MatchAll_Ct&lt;22,$BC389=(Elig_MatchAll_Ct-1),AF389=0),C389,0)</f>
        <v>0</v>
      </c>
      <c r="BI389" s="199">
        <f>IF(AND(Input_Product=Elig!$C389,Elig_MatchAll_Ct&lt;22,$BC389=(Elig_MatchAll_Ct-1),AG389=0),D389,0)</f>
        <v>0</v>
      </c>
      <c r="BJ389" s="199">
        <f>IF(AND(Input_Product=Elig!$C389,Elig_MatchAll_Ct&lt;22,$BC389=(Elig_MatchAll_Ct-1),AH389=0),E389,0)</f>
        <v>0</v>
      </c>
      <c r="BK389" s="199">
        <f>IF(AND(Input_Product=Elig!$C389,Elig_MatchAll_Ct&lt;22,$BC389=(Elig_MatchAll_Ct-1),AI389=0),F389,0)</f>
        <v>0</v>
      </c>
      <c r="BL389" s="199">
        <f>IF(AND(Input_Product=Elig!$C389,Elig_MatchAll_Ct&lt;22,$BC389=(Elig_MatchAll_Ct-1),AJ389=0),G389,0)</f>
        <v>0</v>
      </c>
      <c r="BM389" s="199">
        <f>IF(AND(Input_Product=Elig!$C389,Elig_MatchAll_Ct&lt;22,$BC389=(Elig_MatchAll_Ct-1),AK389=0),H389,0)</f>
        <v>0</v>
      </c>
      <c r="BN389" s="199">
        <f>IF(AND(Input_Product=Elig!$C389,Elig_MatchAll_Ct&lt;22,$BC389=(Elig_MatchAll_Ct-1),AL389=0),I389,0)</f>
        <v>0</v>
      </c>
      <c r="BO389" s="199">
        <f>IF(AND(Input_Product=Elig!$C389,Elig_MatchAll_Ct&lt;22,$BC389=(Elig_MatchAll_Ct-1),AM389=0),J389,0)</f>
        <v>0</v>
      </c>
      <c r="BP389" s="199">
        <f>IF(AND(Input_Product=Elig!$C389,Elig_MatchAll_Ct&lt;22,$BC389=(Elig_MatchAll_Ct-1),AN389=0),K389,0)</f>
        <v>0</v>
      </c>
      <c r="BQ389" s="199">
        <f>IF(AND(Input_Product=Elig!$C389,Elig_MatchAll_Ct&lt;22,$BC389=(Elig_MatchAll_Ct-1),AP389=0),L389,0)</f>
        <v>0</v>
      </c>
      <c r="BR389" s="199">
        <f>IF(AND(Input_Product=Elig!$C389,Elig_MatchAll_Ct&lt;22,$BC389=(Elig_MatchAll_Ct-1),AO389=0),M389,0)</f>
        <v>0</v>
      </c>
      <c r="BS389" s="199">
        <f>IF(AND(Input_Product=Elig!$C389,Elig_MatchAll_Ct&lt;22,$BC389=(Elig_MatchAll_Ct-1),AQ389=0),N389,0)</f>
        <v>0</v>
      </c>
      <c r="BT389" s="199">
        <f>IF(AND(Input_Product=Elig!$C389,Elig_MatchAll_Ct&lt;22,$BC389=(Elig_MatchAll_Ct-1),AR389=0),O389,0)</f>
        <v>0</v>
      </c>
      <c r="BU389" s="199">
        <f>IF(AND(Input_Product=Elig!$C389,Elig_MatchAll_Ct&lt;22,$BC389=(Elig_MatchAll_Ct-1),AS389=0),P389,0)</f>
        <v>0</v>
      </c>
      <c r="BV389" s="200">
        <f>IF(AND(Input_Product=Elig!$C389,Elig_MatchAll_Ct&lt;22,$BC389=(Elig_MatchAll_Ct-1),AT389=0),Q389,0)</f>
        <v>0</v>
      </c>
      <c r="BW389" s="201">
        <f>IF(AND(Input_Product=Elig!$C389,Elig_MatchAll_Ct&lt;22,$BC389=(Elig_MatchAll_Ct-1),AU389=0),R389,0)</f>
        <v>0</v>
      </c>
      <c r="BX389" s="202">
        <f>IF(AND(Input_Product=Elig!$C389,Elig_MatchAll_Ct&lt;22,$BC389=(Elig_MatchAll_Ct-1),AU389=0),S389,0)</f>
        <v>0</v>
      </c>
      <c r="BY389" s="201">
        <f>IF(AND(Input_Product=Elig!$C389,Elig_MatchAll_Ct&lt;22,$BC389=(Elig_MatchAll_Ct-1),AV389=0),T389,0)</f>
        <v>0</v>
      </c>
      <c r="BZ389" s="202">
        <f>IF(AND(Input_Product=Elig!$C389,Elig_MatchAll_Ct&lt;22,$BC389=(Elig_MatchAll_Ct-1),AV389=0),U389,0)</f>
        <v>0</v>
      </c>
      <c r="CA389" s="201">
        <f>IF(AND(Input_Product=Elig!$C389,Elig_MatchAll_Ct&lt;22,$BC389=(Elig_MatchAll_Ct-1),AW389=0),V389,0)</f>
        <v>0</v>
      </c>
      <c r="CB389" s="202">
        <f>IF(AND(Input_Product=Elig!$C389,Elig_MatchAll_Ct&lt;22,$BC389=(Elig_MatchAll_Ct-1),AW389=0),W389,0)</f>
        <v>0</v>
      </c>
      <c r="CC389" s="201">
        <f>IF(AND(Input_Product=Elig!$C389,Elig_MatchAll_Ct&lt;22,$BC389=(Elig_MatchAll_Ct-1),AX389=0),X389,0)</f>
        <v>0</v>
      </c>
      <c r="CD389" s="202">
        <f>IF(AND(Input_Product=Elig!$C389,Elig_MatchAll_Ct&lt;22,$BC389=(Elig_MatchAll_Ct-1),AX389=0),Y389,0)</f>
        <v>0</v>
      </c>
      <c r="CE389" s="201">
        <f>IF(AND(Input_LTV&lt;=AE389,Input_Product=Elig!$C389,Elig_MatchAll_Ct&lt;22,$BC389=(Elig_MatchAll_Ct-1),AY389=0),Z389,0)</f>
        <v>0</v>
      </c>
      <c r="CF389" s="202">
        <f>IF(AND(Input_LTV&lt;=AE389,Input_Product=Elig!$C389,Elig_MatchAll_Ct&lt;22,$BC389=(Elig_MatchAll_Ct-1),AY389=0),AA389,0)</f>
        <v>0</v>
      </c>
      <c r="CG389" s="201">
        <f>IF(AND(Input_Product=Elig!$C389,Elig_MatchAll_Ct&lt;22,$BC389=(Elig_MatchAll_Ct-1),AZ389=0),AB389,0)</f>
        <v>0</v>
      </c>
      <c r="CH389" s="202">
        <f>IF(AND(Input_Product=Elig!$C389,Elig_MatchAll_Ct&lt;22,$BC389=(Elig_MatchAll_Ct-1),AZ389=0),AC389,0)</f>
        <v>0</v>
      </c>
      <c r="CI389" s="201">
        <f>IF(AND(Input_Product=Elig!$C389,Elig_MatchAll_Ct&lt;22,$BC389=(Elig_MatchAll_Ct-1),BA389=0),AD389,0)</f>
        <v>0</v>
      </c>
      <c r="CJ389" s="202">
        <f>IF(AND(Input_Product=Elig!$C389,Elig_MatchAll_Ct&lt;22,$BC389=(Elig_MatchAll_Ct-1),BA389=0),AE389,0)</f>
        <v>0</v>
      </c>
    </row>
    <row r="390" spans="2:88" ht="10.15" customHeight="1" x14ac:dyDescent="0.25">
      <c r="B390" s="287" t="s">
        <v>1086</v>
      </c>
      <c r="C390" s="291" t="str">
        <f t="shared" si="153"/>
        <v>NonQM NOO</v>
      </c>
      <c r="D390" s="292" t="s">
        <v>3885</v>
      </c>
      <c r="E390" s="292" t="s">
        <v>167</v>
      </c>
      <c r="F390" s="292" t="s">
        <v>330</v>
      </c>
      <c r="G390" s="292" t="s">
        <v>179</v>
      </c>
      <c r="H390" s="292" t="s">
        <v>136</v>
      </c>
      <c r="I390" s="295" t="s">
        <v>274</v>
      </c>
      <c r="J390" s="295" t="s">
        <v>1311</v>
      </c>
      <c r="K390" s="295" t="s">
        <v>1631</v>
      </c>
      <c r="L390" s="324" t="s">
        <v>312</v>
      </c>
      <c r="M390" s="292" t="s">
        <v>4203</v>
      </c>
      <c r="N390" s="292" t="s">
        <v>2685</v>
      </c>
      <c r="O390" s="292" t="s">
        <v>310</v>
      </c>
      <c r="P390" s="292" t="s">
        <v>291</v>
      </c>
      <c r="Q390" s="292" t="s">
        <v>294</v>
      </c>
      <c r="R390" s="292">
        <v>1000000.01</v>
      </c>
      <c r="S390" s="292">
        <v>1500000</v>
      </c>
      <c r="T390" s="292">
        <v>0</v>
      </c>
      <c r="U390" s="292">
        <v>0</v>
      </c>
      <c r="V390" s="292">
        <v>0</v>
      </c>
      <c r="W390" s="292">
        <v>50</v>
      </c>
      <c r="X390" s="292">
        <v>0</v>
      </c>
      <c r="Y390" s="292">
        <v>999</v>
      </c>
      <c r="Z390" s="293">
        <v>620</v>
      </c>
      <c r="AA390" s="293">
        <v>639</v>
      </c>
      <c r="AB390" s="293">
        <v>6</v>
      </c>
      <c r="AC390" s="293">
        <v>999999</v>
      </c>
      <c r="AD390" s="292">
        <v>0</v>
      </c>
      <c r="AE390" s="294">
        <v>-999</v>
      </c>
      <c r="AF390" s="170">
        <v>0</v>
      </c>
      <c r="AG390" s="171">
        <v>1</v>
      </c>
      <c r="AH390" s="171">
        <v>1</v>
      </c>
      <c r="AI390" s="171">
        <v>0</v>
      </c>
      <c r="AJ390" s="171">
        <v>0</v>
      </c>
      <c r="AK390" s="171">
        <v>1</v>
      </c>
      <c r="AL390" s="171">
        <v>0</v>
      </c>
      <c r="AM390" s="171">
        <v>1</v>
      </c>
      <c r="AN390" s="171">
        <v>1</v>
      </c>
      <c r="AO390" s="171">
        <v>1</v>
      </c>
      <c r="AP390" s="171">
        <v>1</v>
      </c>
      <c r="AQ390" s="171">
        <v>1</v>
      </c>
      <c r="AR390" s="171">
        <v>1</v>
      </c>
      <c r="AS390" s="171">
        <v>1</v>
      </c>
      <c r="AT390" s="171">
        <v>1</v>
      </c>
      <c r="AU390" s="171">
        <f t="shared" si="140"/>
        <v>0</v>
      </c>
      <c r="AV390" s="171">
        <f t="shared" si="141"/>
        <v>0</v>
      </c>
      <c r="AW390" s="171">
        <f t="shared" si="142"/>
        <v>1</v>
      </c>
      <c r="AX390" s="171">
        <f t="shared" si="152"/>
        <v>1</v>
      </c>
      <c r="AY390" s="171">
        <f t="shared" si="143"/>
        <v>0</v>
      </c>
      <c r="AZ390" s="171">
        <f t="shared" si="144"/>
        <v>1</v>
      </c>
      <c r="BA390" s="172">
        <f t="shared" si="145"/>
        <v>0</v>
      </c>
      <c r="BB390" s="175">
        <f t="shared" si="147"/>
        <v>14</v>
      </c>
      <c r="BC390" s="176">
        <f t="shared" si="148"/>
        <v>14</v>
      </c>
      <c r="BD390" s="176">
        <f t="shared" si="149"/>
        <v>14</v>
      </c>
      <c r="BE390" s="240" t="str">
        <f t="shared" si="146"/>
        <v/>
      </c>
      <c r="BH390" s="214">
        <f>IF(AND(Input_Product=Elig!$C390,Elig_MatchAll_Ct&lt;22,$BC390=(Elig_MatchAll_Ct-1),AF390=0),C390,0)</f>
        <v>0</v>
      </c>
      <c r="BI390" s="214">
        <f>IF(AND(Input_Product=Elig!$C390,Elig_MatchAll_Ct&lt;22,$BC390=(Elig_MatchAll_Ct-1),AG390=0),D390,0)</f>
        <v>0</v>
      </c>
      <c r="BJ390" s="214">
        <f>IF(AND(Input_Product=Elig!$C390,Elig_MatchAll_Ct&lt;22,$BC390=(Elig_MatchAll_Ct-1),AH390=0),E390,0)</f>
        <v>0</v>
      </c>
      <c r="BK390" s="214">
        <f>IF(AND(Input_Product=Elig!$C390,Elig_MatchAll_Ct&lt;22,$BC390=(Elig_MatchAll_Ct-1),AI390=0),F390,0)</f>
        <v>0</v>
      </c>
      <c r="BL390" s="214">
        <f>IF(AND(Input_Product=Elig!$C390,Elig_MatchAll_Ct&lt;22,$BC390=(Elig_MatchAll_Ct-1),AJ390=0),G390,0)</f>
        <v>0</v>
      </c>
      <c r="BM390" s="214">
        <f>IF(AND(Input_Product=Elig!$C390,Elig_MatchAll_Ct&lt;22,$BC390=(Elig_MatchAll_Ct-1),AK390=0),H390,0)</f>
        <v>0</v>
      </c>
      <c r="BN390" s="214">
        <f>IF(AND(Input_Product=Elig!$C390,Elig_MatchAll_Ct&lt;22,$BC390=(Elig_MatchAll_Ct-1),AL390=0),I390,0)</f>
        <v>0</v>
      </c>
      <c r="BO390" s="214">
        <f>IF(AND(Input_Product=Elig!$C390,Elig_MatchAll_Ct&lt;22,$BC390=(Elig_MatchAll_Ct-1),AM390=0),J390,0)</f>
        <v>0</v>
      </c>
      <c r="BP390" s="214">
        <f>IF(AND(Input_Product=Elig!$C390,Elig_MatchAll_Ct&lt;22,$BC390=(Elig_MatchAll_Ct-1),AN390=0),K390,0)</f>
        <v>0</v>
      </c>
      <c r="BQ390" s="214">
        <f>IF(AND(Input_Product=Elig!$C390,Elig_MatchAll_Ct&lt;22,$BC390=(Elig_MatchAll_Ct-1),AP390=0),L390,0)</f>
        <v>0</v>
      </c>
      <c r="BR390" s="214">
        <f>IF(AND(Input_Product=Elig!$C390,Elig_MatchAll_Ct&lt;22,$BC390=(Elig_MatchAll_Ct-1),AO390=0),M390,0)</f>
        <v>0</v>
      </c>
      <c r="BS390" s="214">
        <f>IF(AND(Input_Product=Elig!$C390,Elig_MatchAll_Ct&lt;22,$BC390=(Elig_MatchAll_Ct-1),AQ390=0),N390,0)</f>
        <v>0</v>
      </c>
      <c r="BT390" s="214">
        <f>IF(AND(Input_Product=Elig!$C390,Elig_MatchAll_Ct&lt;22,$BC390=(Elig_MatchAll_Ct-1),AR390=0),O390,0)</f>
        <v>0</v>
      </c>
      <c r="BU390" s="214">
        <f>IF(AND(Input_Product=Elig!$C390,Elig_MatchAll_Ct&lt;22,$BC390=(Elig_MatchAll_Ct-1),AS390=0),P390,0)</f>
        <v>0</v>
      </c>
      <c r="BV390" s="215">
        <f>IF(AND(Input_Product=Elig!$C390,Elig_MatchAll_Ct&lt;22,$BC390=(Elig_MatchAll_Ct-1),AT390=0),Q390,0)</f>
        <v>0</v>
      </c>
      <c r="BW390" s="207">
        <f>IF(AND(Input_Product=Elig!$C390,Elig_MatchAll_Ct&lt;22,$BC390=(Elig_MatchAll_Ct-1),AU390=0),R390,0)</f>
        <v>0</v>
      </c>
      <c r="BX390" s="208">
        <f>IF(AND(Input_Product=Elig!$C390,Elig_MatchAll_Ct&lt;22,$BC390=(Elig_MatchAll_Ct-1),AU390=0),S390,0)</f>
        <v>0</v>
      </c>
      <c r="BY390" s="207">
        <f>IF(AND(Input_Product=Elig!$C390,Elig_MatchAll_Ct&lt;22,$BC390=(Elig_MatchAll_Ct-1),AV390=0),T390,0)</f>
        <v>0</v>
      </c>
      <c r="BZ390" s="208">
        <f>IF(AND(Input_Product=Elig!$C390,Elig_MatchAll_Ct&lt;22,$BC390=(Elig_MatchAll_Ct-1),AV390=0),U390,0)</f>
        <v>0</v>
      </c>
      <c r="CA390" s="207">
        <f>IF(AND(Input_Product=Elig!$C390,Elig_MatchAll_Ct&lt;22,$BC390=(Elig_MatchAll_Ct-1),AW390=0),V390,0)</f>
        <v>0</v>
      </c>
      <c r="CB390" s="208">
        <f>IF(AND(Input_Product=Elig!$C390,Elig_MatchAll_Ct&lt;22,$BC390=(Elig_MatchAll_Ct-1),AW390=0),W390,0)</f>
        <v>0</v>
      </c>
      <c r="CC390" s="207">
        <f>IF(AND(Input_Product=Elig!$C390,Elig_MatchAll_Ct&lt;22,$BC390=(Elig_MatchAll_Ct-1),AX390=0),X390,0)</f>
        <v>0</v>
      </c>
      <c r="CD390" s="208">
        <f>IF(AND(Input_Product=Elig!$C390,Elig_MatchAll_Ct&lt;22,$BC390=(Elig_MatchAll_Ct-1),AX390=0),Y390,0)</f>
        <v>0</v>
      </c>
      <c r="CE390" s="207">
        <f>IF(AND(Input_LTV&lt;=AE390,Input_Product=Elig!$C390,Elig_MatchAll_Ct&lt;22,$BC390=(Elig_MatchAll_Ct-1),AY390=0),Z390,0)</f>
        <v>0</v>
      </c>
      <c r="CF390" s="208">
        <f>IF(AND(Input_LTV&lt;=AE390,Input_Product=Elig!$C390,Elig_MatchAll_Ct&lt;22,$BC390=(Elig_MatchAll_Ct-1),AY390=0),AA390,0)</f>
        <v>0</v>
      </c>
      <c r="CG390" s="207">
        <f>IF(AND(Input_Product=Elig!$C390,Elig_MatchAll_Ct&lt;22,$BC390=(Elig_MatchAll_Ct-1),AZ390=0),AB390,0)</f>
        <v>0</v>
      </c>
      <c r="CH390" s="208">
        <f>IF(AND(Input_Product=Elig!$C390,Elig_MatchAll_Ct&lt;22,$BC390=(Elig_MatchAll_Ct-1),AZ390=0),AC390,0)</f>
        <v>0</v>
      </c>
      <c r="CI390" s="207">
        <f>IF(AND(Input_Product=Elig!$C390,Elig_MatchAll_Ct&lt;22,$BC390=(Elig_MatchAll_Ct-1),BA390=0),AD390,0)</f>
        <v>0</v>
      </c>
      <c r="CJ390" s="209">
        <f>IF(AND(Input_Product=Elig!$C390,Elig_MatchAll_Ct&lt;22,$BC390=(Elig_MatchAll_Ct-1),BA390=0),AE390,0)</f>
        <v>0</v>
      </c>
    </row>
    <row r="391" spans="2:88" ht="10.15" customHeight="1" x14ac:dyDescent="0.25">
      <c r="B391" s="287" t="s">
        <v>1087</v>
      </c>
      <c r="C391" s="281" t="str">
        <f t="shared" si="153"/>
        <v>NonQM NOO</v>
      </c>
      <c r="D391" s="282" t="s">
        <v>3885</v>
      </c>
      <c r="E391" s="283" t="s">
        <v>167</v>
      </c>
      <c r="F391" s="283" t="s">
        <v>330</v>
      </c>
      <c r="G391" s="283" t="s">
        <v>179</v>
      </c>
      <c r="H391" s="283" t="s">
        <v>136</v>
      </c>
      <c r="I391" s="282" t="s">
        <v>16</v>
      </c>
      <c r="J391" s="282" t="s">
        <v>1311</v>
      </c>
      <c r="K391" s="282" t="s">
        <v>1631</v>
      </c>
      <c r="L391" s="2103" t="s">
        <v>312</v>
      </c>
      <c r="M391" s="283" t="s">
        <v>4203</v>
      </c>
      <c r="N391" s="283" t="s">
        <v>2685</v>
      </c>
      <c r="O391" s="283" t="s">
        <v>310</v>
      </c>
      <c r="P391" s="283" t="s">
        <v>291</v>
      </c>
      <c r="Q391" s="283" t="s">
        <v>294</v>
      </c>
      <c r="R391" s="282">
        <v>1000000.01</v>
      </c>
      <c r="S391" s="282">
        <v>1500000</v>
      </c>
      <c r="T391" s="282">
        <v>0</v>
      </c>
      <c r="U391" s="282">
        <f t="shared" ref="U391:U396" si="160">S391</f>
        <v>1500000</v>
      </c>
      <c r="V391" s="282">
        <v>0</v>
      </c>
      <c r="W391" s="282">
        <v>55</v>
      </c>
      <c r="X391" s="282">
        <v>0</v>
      </c>
      <c r="Y391" s="282">
        <v>999</v>
      </c>
      <c r="Z391" s="284">
        <v>720</v>
      </c>
      <c r="AA391" s="284">
        <v>999</v>
      </c>
      <c r="AB391" s="284">
        <v>6</v>
      </c>
      <c r="AC391" s="284">
        <v>999999</v>
      </c>
      <c r="AD391" s="282">
        <v>0</v>
      </c>
      <c r="AE391" s="2104">
        <v>70</v>
      </c>
      <c r="AF391" s="170">
        <v>0</v>
      </c>
      <c r="AG391" s="171">
        <v>1</v>
      </c>
      <c r="AH391" s="171">
        <v>1</v>
      </c>
      <c r="AI391" s="171">
        <v>0</v>
      </c>
      <c r="AJ391" s="171">
        <v>0</v>
      </c>
      <c r="AK391" s="171">
        <v>1</v>
      </c>
      <c r="AL391" s="171">
        <v>1</v>
      </c>
      <c r="AM391" s="171">
        <v>1</v>
      </c>
      <c r="AN391" s="171">
        <v>1</v>
      </c>
      <c r="AO391" s="171">
        <v>1</v>
      </c>
      <c r="AP391" s="171">
        <v>1</v>
      </c>
      <c r="AQ391" s="171">
        <v>1</v>
      </c>
      <c r="AR391" s="171">
        <v>1</v>
      </c>
      <c r="AS391" s="171">
        <v>1</v>
      </c>
      <c r="AT391" s="171">
        <v>1</v>
      </c>
      <c r="AU391" s="171">
        <f t="shared" si="140"/>
        <v>0</v>
      </c>
      <c r="AV391" s="171">
        <f t="shared" si="141"/>
        <v>1</v>
      </c>
      <c r="AW391" s="171">
        <f t="shared" si="142"/>
        <v>1</v>
      </c>
      <c r="AX391" s="171">
        <f t="shared" si="152"/>
        <v>1</v>
      </c>
      <c r="AY391" s="171">
        <f t="shared" si="143"/>
        <v>1</v>
      </c>
      <c r="AZ391" s="171">
        <f t="shared" si="144"/>
        <v>1</v>
      </c>
      <c r="BA391" s="172">
        <f t="shared" si="145"/>
        <v>1</v>
      </c>
      <c r="BB391" s="175">
        <f t="shared" si="147"/>
        <v>18</v>
      </c>
      <c r="BC391" s="176">
        <f t="shared" si="148"/>
        <v>17</v>
      </c>
      <c r="BD391" s="176">
        <f t="shared" si="149"/>
        <v>18</v>
      </c>
      <c r="BE391" s="240" t="str">
        <f t="shared" ref="BE391:BE454" si="161">IF(BD391=21,C391,"")</f>
        <v/>
      </c>
      <c r="BH391" s="216">
        <f>IF(AND(Input_Product=Elig!$C391,Elig_MatchAll_Ct&lt;22,$BC391=(Elig_MatchAll_Ct-1),AF391=0),C391,0)</f>
        <v>0</v>
      </c>
      <c r="BI391" s="216">
        <f>IF(AND(Input_Product=Elig!$C391,Elig_MatchAll_Ct&lt;22,$BC391=(Elig_MatchAll_Ct-1),AG391=0),D391,0)</f>
        <v>0</v>
      </c>
      <c r="BJ391" s="216">
        <f>IF(AND(Input_Product=Elig!$C391,Elig_MatchAll_Ct&lt;22,$BC391=(Elig_MatchAll_Ct-1),AH391=0),E391,0)</f>
        <v>0</v>
      </c>
      <c r="BK391" s="216">
        <f>IF(AND(Input_Product=Elig!$C391,Elig_MatchAll_Ct&lt;22,$BC391=(Elig_MatchAll_Ct-1),AI391=0),F391,0)</f>
        <v>0</v>
      </c>
      <c r="BL391" s="216">
        <f>IF(AND(Input_Product=Elig!$C391,Elig_MatchAll_Ct&lt;22,$BC391=(Elig_MatchAll_Ct-1),AJ391=0),G391,0)</f>
        <v>0</v>
      </c>
      <c r="BM391" s="216">
        <f>IF(AND(Input_Product=Elig!$C391,Elig_MatchAll_Ct&lt;22,$BC391=(Elig_MatchAll_Ct-1),AK391=0),H391,0)</f>
        <v>0</v>
      </c>
      <c r="BN391" s="216">
        <f>IF(AND(Input_Product=Elig!$C391,Elig_MatchAll_Ct&lt;22,$BC391=(Elig_MatchAll_Ct-1),AL391=0),I391,0)</f>
        <v>0</v>
      </c>
      <c r="BO391" s="216">
        <f>IF(AND(Input_Product=Elig!$C391,Elig_MatchAll_Ct&lt;22,$BC391=(Elig_MatchAll_Ct-1),AM391=0),J391,0)</f>
        <v>0</v>
      </c>
      <c r="BP391" s="216">
        <f>IF(AND(Input_Product=Elig!$C391,Elig_MatchAll_Ct&lt;22,$BC391=(Elig_MatchAll_Ct-1),AN391=0),K391,0)</f>
        <v>0</v>
      </c>
      <c r="BQ391" s="216">
        <f>IF(AND(Input_Product=Elig!$C391,Elig_MatchAll_Ct&lt;22,$BC391=(Elig_MatchAll_Ct-1),AP391=0),L391,0)</f>
        <v>0</v>
      </c>
      <c r="BR391" s="216">
        <f>IF(AND(Input_Product=Elig!$C391,Elig_MatchAll_Ct&lt;22,$BC391=(Elig_MatchAll_Ct-1),AO391=0),M391,0)</f>
        <v>0</v>
      </c>
      <c r="BS391" s="216">
        <f>IF(AND(Input_Product=Elig!$C391,Elig_MatchAll_Ct&lt;22,$BC391=(Elig_MatchAll_Ct-1),AQ391=0),N391,0)</f>
        <v>0</v>
      </c>
      <c r="BT391" s="216">
        <f>IF(AND(Input_Product=Elig!$C391,Elig_MatchAll_Ct&lt;22,$BC391=(Elig_MatchAll_Ct-1),AR391=0),O391,0)</f>
        <v>0</v>
      </c>
      <c r="BU391" s="216">
        <f>IF(AND(Input_Product=Elig!$C391,Elig_MatchAll_Ct&lt;22,$BC391=(Elig_MatchAll_Ct-1),AS391=0),P391,0)</f>
        <v>0</v>
      </c>
      <c r="BV391" s="217">
        <f>IF(AND(Input_Product=Elig!$C391,Elig_MatchAll_Ct&lt;22,$BC391=(Elig_MatchAll_Ct-1),AT391=0),Q391,0)</f>
        <v>0</v>
      </c>
      <c r="BW391" s="218">
        <f>IF(AND(Input_Product=Elig!$C391,Elig_MatchAll_Ct&lt;22,$BC391=(Elig_MatchAll_Ct-1),AU391=0),R391,0)</f>
        <v>0</v>
      </c>
      <c r="BX391" s="219">
        <f>IF(AND(Input_Product=Elig!$C391,Elig_MatchAll_Ct&lt;22,$BC391=(Elig_MatchAll_Ct-1),AU391=0),S391,0)</f>
        <v>0</v>
      </c>
      <c r="BY391" s="218">
        <f>IF(AND(Input_Product=Elig!$C391,Elig_MatchAll_Ct&lt;22,$BC391=(Elig_MatchAll_Ct-1),AV391=0),T391,0)</f>
        <v>0</v>
      </c>
      <c r="BZ391" s="219">
        <f>IF(AND(Input_Product=Elig!$C391,Elig_MatchAll_Ct&lt;22,$BC391=(Elig_MatchAll_Ct-1),AV391=0),U391,0)</f>
        <v>0</v>
      </c>
      <c r="CA391" s="218">
        <f>IF(AND(Input_Product=Elig!$C391,Elig_MatchAll_Ct&lt;22,$BC391=(Elig_MatchAll_Ct-1),AW391=0),V391,0)</f>
        <v>0</v>
      </c>
      <c r="CB391" s="219">
        <f>IF(AND(Input_Product=Elig!$C391,Elig_MatchAll_Ct&lt;22,$BC391=(Elig_MatchAll_Ct-1),AW391=0),W391,0)</f>
        <v>0</v>
      </c>
      <c r="CC391" s="218">
        <f>IF(AND(Input_Product=Elig!$C391,Elig_MatchAll_Ct&lt;22,$BC391=(Elig_MatchAll_Ct-1),AX391=0),X391,0)</f>
        <v>0</v>
      </c>
      <c r="CD391" s="219">
        <f>IF(AND(Input_Product=Elig!$C391,Elig_MatchAll_Ct&lt;22,$BC391=(Elig_MatchAll_Ct-1),AX391=0),Y391,0)</f>
        <v>0</v>
      </c>
      <c r="CE391" s="218">
        <f>IF(AND(Input_LTV&lt;=AE391,Input_Product=Elig!$C391,Elig_MatchAll_Ct&lt;22,$BC391=(Elig_MatchAll_Ct-1),AY391=0),Z391,0)</f>
        <v>0</v>
      </c>
      <c r="CF391" s="219">
        <f>IF(AND(Input_LTV&lt;=AE391,Input_Product=Elig!$C391,Elig_MatchAll_Ct&lt;22,$BC391=(Elig_MatchAll_Ct-1),AY391=0),AA391,0)</f>
        <v>0</v>
      </c>
      <c r="CG391" s="218">
        <f>IF(AND(Input_Product=Elig!$C391,Elig_MatchAll_Ct&lt;22,$BC391=(Elig_MatchAll_Ct-1),AZ391=0),AB391,0)</f>
        <v>0</v>
      </c>
      <c r="CH391" s="219">
        <f>IF(AND(Input_Product=Elig!$C391,Elig_MatchAll_Ct&lt;22,$BC391=(Elig_MatchAll_Ct-1),AZ391=0),AC391,0)</f>
        <v>0</v>
      </c>
      <c r="CI391" s="218">
        <f>IF(AND(Input_Product=Elig!$C391,Elig_MatchAll_Ct&lt;22,$BC391=(Elig_MatchAll_Ct-1),BA391=0),AD391,0)</f>
        <v>0</v>
      </c>
      <c r="CJ391" s="219">
        <f>IF(AND(Input_Product=Elig!$C391,Elig_MatchAll_Ct&lt;22,$BC391=(Elig_MatchAll_Ct-1),BA391=0),AE391,0)</f>
        <v>0</v>
      </c>
    </row>
    <row r="392" spans="2:88" ht="10.15" customHeight="1" x14ac:dyDescent="0.25">
      <c r="B392" s="287" t="s">
        <v>1088</v>
      </c>
      <c r="C392" s="286" t="str">
        <f t="shared" si="153"/>
        <v>NonQM NOO</v>
      </c>
      <c r="D392" s="287" t="s">
        <v>3885</v>
      </c>
      <c r="E392" s="287" t="s">
        <v>167</v>
      </c>
      <c r="F392" s="287" t="s">
        <v>330</v>
      </c>
      <c r="G392" s="287" t="s">
        <v>179</v>
      </c>
      <c r="H392" s="287" t="s">
        <v>136</v>
      </c>
      <c r="I392" s="288" t="s">
        <v>16</v>
      </c>
      <c r="J392" s="288" t="s">
        <v>1311</v>
      </c>
      <c r="K392" s="288" t="s">
        <v>1631</v>
      </c>
      <c r="L392" s="300" t="s">
        <v>312</v>
      </c>
      <c r="M392" s="287" t="s">
        <v>4203</v>
      </c>
      <c r="N392" s="287" t="s">
        <v>2685</v>
      </c>
      <c r="O392" s="287" t="s">
        <v>310</v>
      </c>
      <c r="P392" s="287" t="s">
        <v>291</v>
      </c>
      <c r="Q392" s="287" t="s">
        <v>294</v>
      </c>
      <c r="R392" s="287">
        <v>1000000.01</v>
      </c>
      <c r="S392" s="287">
        <v>1500000</v>
      </c>
      <c r="T392" s="287">
        <v>0</v>
      </c>
      <c r="U392" s="287">
        <f t="shared" si="160"/>
        <v>1500000</v>
      </c>
      <c r="V392" s="287">
        <v>0</v>
      </c>
      <c r="W392" s="287">
        <v>55</v>
      </c>
      <c r="X392" s="287">
        <v>0</v>
      </c>
      <c r="Y392" s="287">
        <v>999</v>
      </c>
      <c r="Z392" s="289">
        <v>700</v>
      </c>
      <c r="AA392" s="289">
        <v>719</v>
      </c>
      <c r="AB392" s="289">
        <v>6</v>
      </c>
      <c r="AC392" s="289">
        <v>999999</v>
      </c>
      <c r="AD392" s="287">
        <v>0</v>
      </c>
      <c r="AE392" s="2105">
        <v>70</v>
      </c>
      <c r="AF392" s="170">
        <v>0</v>
      </c>
      <c r="AG392" s="171">
        <v>1</v>
      </c>
      <c r="AH392" s="171">
        <v>1</v>
      </c>
      <c r="AI392" s="171">
        <v>0</v>
      </c>
      <c r="AJ392" s="171">
        <v>0</v>
      </c>
      <c r="AK392" s="171">
        <v>1</v>
      </c>
      <c r="AL392" s="171">
        <v>1</v>
      </c>
      <c r="AM392" s="171">
        <v>1</v>
      </c>
      <c r="AN392" s="171">
        <v>1</v>
      </c>
      <c r="AO392" s="171">
        <v>1</v>
      </c>
      <c r="AP392" s="171">
        <v>1</v>
      </c>
      <c r="AQ392" s="171">
        <v>1</v>
      </c>
      <c r="AR392" s="171">
        <v>1</v>
      </c>
      <c r="AS392" s="171">
        <v>1</v>
      </c>
      <c r="AT392" s="171">
        <v>1</v>
      </c>
      <c r="AU392" s="171">
        <f t="shared" si="140"/>
        <v>0</v>
      </c>
      <c r="AV392" s="171">
        <f t="shared" si="141"/>
        <v>1</v>
      </c>
      <c r="AW392" s="171">
        <f t="shared" si="142"/>
        <v>1</v>
      </c>
      <c r="AX392" s="171">
        <f t="shared" si="152"/>
        <v>1</v>
      </c>
      <c r="AY392" s="171">
        <f t="shared" si="143"/>
        <v>0</v>
      </c>
      <c r="AZ392" s="171">
        <f t="shared" si="144"/>
        <v>1</v>
      </c>
      <c r="BA392" s="172">
        <f t="shared" si="145"/>
        <v>1</v>
      </c>
      <c r="BB392" s="175">
        <f t="shared" si="147"/>
        <v>17</v>
      </c>
      <c r="BC392" s="176">
        <f t="shared" si="148"/>
        <v>16</v>
      </c>
      <c r="BD392" s="176">
        <f t="shared" si="149"/>
        <v>17</v>
      </c>
      <c r="BE392" s="240" t="str">
        <f t="shared" si="161"/>
        <v/>
      </c>
      <c r="BH392" s="199">
        <f>IF(AND(Input_Product=Elig!$C392,Elig_MatchAll_Ct&lt;22,$BC392=(Elig_MatchAll_Ct-1),AF392=0),C392,0)</f>
        <v>0</v>
      </c>
      <c r="BI392" s="199">
        <f>IF(AND(Input_Product=Elig!$C392,Elig_MatchAll_Ct&lt;22,$BC392=(Elig_MatchAll_Ct-1),AG392=0),D392,0)</f>
        <v>0</v>
      </c>
      <c r="BJ392" s="199">
        <f>IF(AND(Input_Product=Elig!$C392,Elig_MatchAll_Ct&lt;22,$BC392=(Elig_MatchAll_Ct-1),AH392=0),E392,0)</f>
        <v>0</v>
      </c>
      <c r="BK392" s="199">
        <f>IF(AND(Input_Product=Elig!$C392,Elig_MatchAll_Ct&lt;22,$BC392=(Elig_MatchAll_Ct-1),AI392=0),F392,0)</f>
        <v>0</v>
      </c>
      <c r="BL392" s="199">
        <f>IF(AND(Input_Product=Elig!$C392,Elig_MatchAll_Ct&lt;22,$BC392=(Elig_MatchAll_Ct-1),AJ392=0),G392,0)</f>
        <v>0</v>
      </c>
      <c r="BM392" s="199">
        <f>IF(AND(Input_Product=Elig!$C392,Elig_MatchAll_Ct&lt;22,$BC392=(Elig_MatchAll_Ct-1),AK392=0),H392,0)</f>
        <v>0</v>
      </c>
      <c r="BN392" s="199">
        <f>IF(AND(Input_Product=Elig!$C392,Elig_MatchAll_Ct&lt;22,$BC392=(Elig_MatchAll_Ct-1),AL392=0),I392,0)</f>
        <v>0</v>
      </c>
      <c r="BO392" s="199">
        <f>IF(AND(Input_Product=Elig!$C392,Elig_MatchAll_Ct&lt;22,$BC392=(Elig_MatchAll_Ct-1),AM392=0),J392,0)</f>
        <v>0</v>
      </c>
      <c r="BP392" s="199">
        <f>IF(AND(Input_Product=Elig!$C392,Elig_MatchAll_Ct&lt;22,$BC392=(Elig_MatchAll_Ct-1),AN392=0),K392,0)</f>
        <v>0</v>
      </c>
      <c r="BQ392" s="199">
        <f>IF(AND(Input_Product=Elig!$C392,Elig_MatchAll_Ct&lt;22,$BC392=(Elig_MatchAll_Ct-1),AP392=0),L392,0)</f>
        <v>0</v>
      </c>
      <c r="BR392" s="199">
        <f>IF(AND(Input_Product=Elig!$C392,Elig_MatchAll_Ct&lt;22,$BC392=(Elig_MatchAll_Ct-1),AO392=0),M392,0)</f>
        <v>0</v>
      </c>
      <c r="BS392" s="199">
        <f>IF(AND(Input_Product=Elig!$C392,Elig_MatchAll_Ct&lt;22,$BC392=(Elig_MatchAll_Ct-1),AQ392=0),N392,0)</f>
        <v>0</v>
      </c>
      <c r="BT392" s="199">
        <f>IF(AND(Input_Product=Elig!$C392,Elig_MatchAll_Ct&lt;22,$BC392=(Elig_MatchAll_Ct-1),AR392=0),O392,0)</f>
        <v>0</v>
      </c>
      <c r="BU392" s="199">
        <f>IF(AND(Input_Product=Elig!$C392,Elig_MatchAll_Ct&lt;22,$BC392=(Elig_MatchAll_Ct-1),AS392=0),P392,0)</f>
        <v>0</v>
      </c>
      <c r="BV392" s="200">
        <f>IF(AND(Input_Product=Elig!$C392,Elig_MatchAll_Ct&lt;22,$BC392=(Elig_MatchAll_Ct-1),AT392=0),Q392,0)</f>
        <v>0</v>
      </c>
      <c r="BW392" s="201">
        <f>IF(AND(Input_Product=Elig!$C392,Elig_MatchAll_Ct&lt;22,$BC392=(Elig_MatchAll_Ct-1),AU392=0),R392,0)</f>
        <v>0</v>
      </c>
      <c r="BX392" s="202">
        <f>IF(AND(Input_Product=Elig!$C392,Elig_MatchAll_Ct&lt;22,$BC392=(Elig_MatchAll_Ct-1),AU392=0),S392,0)</f>
        <v>0</v>
      </c>
      <c r="BY392" s="201">
        <f>IF(AND(Input_Product=Elig!$C392,Elig_MatchAll_Ct&lt;22,$BC392=(Elig_MatchAll_Ct-1),AV392=0),T392,0)</f>
        <v>0</v>
      </c>
      <c r="BZ392" s="202">
        <f>IF(AND(Input_Product=Elig!$C392,Elig_MatchAll_Ct&lt;22,$BC392=(Elig_MatchAll_Ct-1),AV392=0),U392,0)</f>
        <v>0</v>
      </c>
      <c r="CA392" s="201">
        <f>IF(AND(Input_Product=Elig!$C392,Elig_MatchAll_Ct&lt;22,$BC392=(Elig_MatchAll_Ct-1),AW392=0),V392,0)</f>
        <v>0</v>
      </c>
      <c r="CB392" s="202">
        <f>IF(AND(Input_Product=Elig!$C392,Elig_MatchAll_Ct&lt;22,$BC392=(Elig_MatchAll_Ct-1),AW392=0),W392,0)</f>
        <v>0</v>
      </c>
      <c r="CC392" s="201">
        <f>IF(AND(Input_Product=Elig!$C392,Elig_MatchAll_Ct&lt;22,$BC392=(Elig_MatchAll_Ct-1),AX392=0),X392,0)</f>
        <v>0</v>
      </c>
      <c r="CD392" s="202">
        <f>IF(AND(Input_Product=Elig!$C392,Elig_MatchAll_Ct&lt;22,$BC392=(Elig_MatchAll_Ct-1),AX392=0),Y392,0)</f>
        <v>0</v>
      </c>
      <c r="CE392" s="201">
        <f>IF(AND(Input_LTV&lt;=AE392,Input_Product=Elig!$C392,Elig_MatchAll_Ct&lt;22,$BC392=(Elig_MatchAll_Ct-1),AY392=0),Z392,0)</f>
        <v>0</v>
      </c>
      <c r="CF392" s="202">
        <f>IF(AND(Input_LTV&lt;=AE392,Input_Product=Elig!$C392,Elig_MatchAll_Ct&lt;22,$BC392=(Elig_MatchAll_Ct-1),AY392=0),AA392,0)</f>
        <v>0</v>
      </c>
      <c r="CG392" s="201">
        <f>IF(AND(Input_Product=Elig!$C392,Elig_MatchAll_Ct&lt;22,$BC392=(Elig_MatchAll_Ct-1),AZ392=0),AB392,0)</f>
        <v>0</v>
      </c>
      <c r="CH392" s="202">
        <f>IF(AND(Input_Product=Elig!$C392,Elig_MatchAll_Ct&lt;22,$BC392=(Elig_MatchAll_Ct-1),AZ392=0),AC392,0)</f>
        <v>0</v>
      </c>
      <c r="CI392" s="201">
        <f>IF(AND(Input_Product=Elig!$C392,Elig_MatchAll_Ct&lt;22,$BC392=(Elig_MatchAll_Ct-1),BA392=0),AD392,0)</f>
        <v>0</v>
      </c>
      <c r="CJ392" s="202">
        <f>IF(AND(Input_Product=Elig!$C392,Elig_MatchAll_Ct&lt;22,$BC392=(Elig_MatchAll_Ct-1),BA392=0),AE392,0)</f>
        <v>0</v>
      </c>
    </row>
    <row r="393" spans="2:88" ht="10.15" customHeight="1" x14ac:dyDescent="0.25">
      <c r="B393" s="287" t="s">
        <v>1089</v>
      </c>
      <c r="C393" s="286" t="str">
        <f t="shared" si="153"/>
        <v>NonQM NOO</v>
      </c>
      <c r="D393" s="287" t="s">
        <v>3885</v>
      </c>
      <c r="E393" s="287" t="s">
        <v>167</v>
      </c>
      <c r="F393" s="287" t="s">
        <v>330</v>
      </c>
      <c r="G393" s="287" t="s">
        <v>179</v>
      </c>
      <c r="H393" s="287" t="s">
        <v>136</v>
      </c>
      <c r="I393" s="288" t="s">
        <v>16</v>
      </c>
      <c r="J393" s="288" t="s">
        <v>1311</v>
      </c>
      <c r="K393" s="288" t="s">
        <v>1631</v>
      </c>
      <c r="L393" s="300" t="s">
        <v>312</v>
      </c>
      <c r="M393" s="287" t="s">
        <v>4203</v>
      </c>
      <c r="N393" s="287" t="s">
        <v>2685</v>
      </c>
      <c r="O393" s="287" t="s">
        <v>310</v>
      </c>
      <c r="P393" s="287" t="s">
        <v>291</v>
      </c>
      <c r="Q393" s="287" t="s">
        <v>294</v>
      </c>
      <c r="R393" s="287">
        <v>1000000.01</v>
      </c>
      <c r="S393" s="287">
        <v>1500000</v>
      </c>
      <c r="T393" s="287">
        <v>0</v>
      </c>
      <c r="U393" s="287">
        <f t="shared" si="160"/>
        <v>1500000</v>
      </c>
      <c r="V393" s="287">
        <v>0</v>
      </c>
      <c r="W393" s="287">
        <v>55</v>
      </c>
      <c r="X393" s="287">
        <v>0</v>
      </c>
      <c r="Y393" s="287">
        <v>999</v>
      </c>
      <c r="Z393" s="289">
        <v>680</v>
      </c>
      <c r="AA393" s="289">
        <v>699</v>
      </c>
      <c r="AB393" s="289">
        <v>6</v>
      </c>
      <c r="AC393" s="289">
        <v>999999</v>
      </c>
      <c r="AD393" s="287">
        <v>0</v>
      </c>
      <c r="AE393" s="290">
        <v>65</v>
      </c>
      <c r="AF393" s="170">
        <v>0</v>
      </c>
      <c r="AG393" s="171">
        <v>1</v>
      </c>
      <c r="AH393" s="171">
        <v>1</v>
      </c>
      <c r="AI393" s="171">
        <v>0</v>
      </c>
      <c r="AJ393" s="171">
        <v>0</v>
      </c>
      <c r="AK393" s="171">
        <v>1</v>
      </c>
      <c r="AL393" s="171">
        <v>1</v>
      </c>
      <c r="AM393" s="171">
        <v>1</v>
      </c>
      <c r="AN393" s="171">
        <v>1</v>
      </c>
      <c r="AO393" s="171">
        <v>1</v>
      </c>
      <c r="AP393" s="171">
        <v>1</v>
      </c>
      <c r="AQ393" s="171">
        <v>1</v>
      </c>
      <c r="AR393" s="171">
        <v>1</v>
      </c>
      <c r="AS393" s="171">
        <v>1</v>
      </c>
      <c r="AT393" s="171">
        <v>1</v>
      </c>
      <c r="AU393" s="171">
        <f t="shared" si="140"/>
        <v>0</v>
      </c>
      <c r="AV393" s="171">
        <f t="shared" si="141"/>
        <v>1</v>
      </c>
      <c r="AW393" s="171">
        <f t="shared" si="142"/>
        <v>1</v>
      </c>
      <c r="AX393" s="171">
        <f t="shared" si="152"/>
        <v>1</v>
      </c>
      <c r="AY393" s="171">
        <f t="shared" si="143"/>
        <v>0</v>
      </c>
      <c r="AZ393" s="171">
        <f t="shared" si="144"/>
        <v>1</v>
      </c>
      <c r="BA393" s="172">
        <f t="shared" si="145"/>
        <v>1</v>
      </c>
      <c r="BB393" s="175">
        <f t="shared" si="147"/>
        <v>17</v>
      </c>
      <c r="BC393" s="176">
        <f t="shared" si="148"/>
        <v>16</v>
      </c>
      <c r="BD393" s="176">
        <f t="shared" si="149"/>
        <v>17</v>
      </c>
      <c r="BE393" s="240" t="str">
        <f t="shared" si="161"/>
        <v/>
      </c>
      <c r="BH393" s="199">
        <f>IF(AND(Input_Product=Elig!$C393,Elig_MatchAll_Ct&lt;22,$BC393=(Elig_MatchAll_Ct-1),AF393=0),C393,0)</f>
        <v>0</v>
      </c>
      <c r="BI393" s="199">
        <f>IF(AND(Input_Product=Elig!$C393,Elig_MatchAll_Ct&lt;22,$BC393=(Elig_MatchAll_Ct-1),AG393=0),D393,0)</f>
        <v>0</v>
      </c>
      <c r="BJ393" s="199">
        <f>IF(AND(Input_Product=Elig!$C393,Elig_MatchAll_Ct&lt;22,$BC393=(Elig_MatchAll_Ct-1),AH393=0),E393,0)</f>
        <v>0</v>
      </c>
      <c r="BK393" s="199">
        <f>IF(AND(Input_Product=Elig!$C393,Elig_MatchAll_Ct&lt;22,$BC393=(Elig_MatchAll_Ct-1),AI393=0),F393,0)</f>
        <v>0</v>
      </c>
      <c r="BL393" s="199">
        <f>IF(AND(Input_Product=Elig!$C393,Elig_MatchAll_Ct&lt;22,$BC393=(Elig_MatchAll_Ct-1),AJ393=0),G393,0)</f>
        <v>0</v>
      </c>
      <c r="BM393" s="199">
        <f>IF(AND(Input_Product=Elig!$C393,Elig_MatchAll_Ct&lt;22,$BC393=(Elig_MatchAll_Ct-1),AK393=0),H393,0)</f>
        <v>0</v>
      </c>
      <c r="BN393" s="199">
        <f>IF(AND(Input_Product=Elig!$C393,Elig_MatchAll_Ct&lt;22,$BC393=(Elig_MatchAll_Ct-1),AL393=0),I393,0)</f>
        <v>0</v>
      </c>
      <c r="BO393" s="199">
        <f>IF(AND(Input_Product=Elig!$C393,Elig_MatchAll_Ct&lt;22,$BC393=(Elig_MatchAll_Ct-1),AM393=0),J393,0)</f>
        <v>0</v>
      </c>
      <c r="BP393" s="199">
        <f>IF(AND(Input_Product=Elig!$C393,Elig_MatchAll_Ct&lt;22,$BC393=(Elig_MatchAll_Ct-1),AN393=0),K393,0)</f>
        <v>0</v>
      </c>
      <c r="BQ393" s="199">
        <f>IF(AND(Input_Product=Elig!$C393,Elig_MatchAll_Ct&lt;22,$BC393=(Elig_MatchAll_Ct-1),AP393=0),L393,0)</f>
        <v>0</v>
      </c>
      <c r="BR393" s="199">
        <f>IF(AND(Input_Product=Elig!$C393,Elig_MatchAll_Ct&lt;22,$BC393=(Elig_MatchAll_Ct-1),AO393=0),M393,0)</f>
        <v>0</v>
      </c>
      <c r="BS393" s="199">
        <f>IF(AND(Input_Product=Elig!$C393,Elig_MatchAll_Ct&lt;22,$BC393=(Elig_MatchAll_Ct-1),AQ393=0),N393,0)</f>
        <v>0</v>
      </c>
      <c r="BT393" s="199">
        <f>IF(AND(Input_Product=Elig!$C393,Elig_MatchAll_Ct&lt;22,$BC393=(Elig_MatchAll_Ct-1),AR393=0),O393,0)</f>
        <v>0</v>
      </c>
      <c r="BU393" s="199">
        <f>IF(AND(Input_Product=Elig!$C393,Elig_MatchAll_Ct&lt;22,$BC393=(Elig_MatchAll_Ct-1),AS393=0),P393,0)</f>
        <v>0</v>
      </c>
      <c r="BV393" s="200">
        <f>IF(AND(Input_Product=Elig!$C393,Elig_MatchAll_Ct&lt;22,$BC393=(Elig_MatchAll_Ct-1),AT393=0),Q393,0)</f>
        <v>0</v>
      </c>
      <c r="BW393" s="201">
        <f>IF(AND(Input_Product=Elig!$C393,Elig_MatchAll_Ct&lt;22,$BC393=(Elig_MatchAll_Ct-1),AU393=0),R393,0)</f>
        <v>0</v>
      </c>
      <c r="BX393" s="202">
        <f>IF(AND(Input_Product=Elig!$C393,Elig_MatchAll_Ct&lt;22,$BC393=(Elig_MatchAll_Ct-1),AU393=0),S393,0)</f>
        <v>0</v>
      </c>
      <c r="BY393" s="201">
        <f>IF(AND(Input_Product=Elig!$C393,Elig_MatchAll_Ct&lt;22,$BC393=(Elig_MatchAll_Ct-1),AV393=0),T393,0)</f>
        <v>0</v>
      </c>
      <c r="BZ393" s="202">
        <f>IF(AND(Input_Product=Elig!$C393,Elig_MatchAll_Ct&lt;22,$BC393=(Elig_MatchAll_Ct-1),AV393=0),U393,0)</f>
        <v>0</v>
      </c>
      <c r="CA393" s="201">
        <f>IF(AND(Input_Product=Elig!$C393,Elig_MatchAll_Ct&lt;22,$BC393=(Elig_MatchAll_Ct-1),AW393=0),V393,0)</f>
        <v>0</v>
      </c>
      <c r="CB393" s="202">
        <f>IF(AND(Input_Product=Elig!$C393,Elig_MatchAll_Ct&lt;22,$BC393=(Elig_MatchAll_Ct-1),AW393=0),W393,0)</f>
        <v>0</v>
      </c>
      <c r="CC393" s="201">
        <f>IF(AND(Input_Product=Elig!$C393,Elig_MatchAll_Ct&lt;22,$BC393=(Elig_MatchAll_Ct-1),AX393=0),X393,0)</f>
        <v>0</v>
      </c>
      <c r="CD393" s="202">
        <f>IF(AND(Input_Product=Elig!$C393,Elig_MatchAll_Ct&lt;22,$BC393=(Elig_MatchAll_Ct-1),AX393=0),Y393,0)</f>
        <v>0</v>
      </c>
      <c r="CE393" s="201">
        <f>IF(AND(Input_LTV&lt;=AE393,Input_Product=Elig!$C393,Elig_MatchAll_Ct&lt;22,$BC393=(Elig_MatchAll_Ct-1),AY393=0),Z393,0)</f>
        <v>0</v>
      </c>
      <c r="CF393" s="202">
        <f>IF(AND(Input_LTV&lt;=AE393,Input_Product=Elig!$C393,Elig_MatchAll_Ct&lt;22,$BC393=(Elig_MatchAll_Ct-1),AY393=0),AA393,0)</f>
        <v>0</v>
      </c>
      <c r="CG393" s="201">
        <f>IF(AND(Input_Product=Elig!$C393,Elig_MatchAll_Ct&lt;22,$BC393=(Elig_MatchAll_Ct-1),AZ393=0),AB393,0)</f>
        <v>0</v>
      </c>
      <c r="CH393" s="202">
        <f>IF(AND(Input_Product=Elig!$C393,Elig_MatchAll_Ct&lt;22,$BC393=(Elig_MatchAll_Ct-1),AZ393=0),AC393,0)</f>
        <v>0</v>
      </c>
      <c r="CI393" s="201">
        <f>IF(AND(Input_Product=Elig!$C393,Elig_MatchAll_Ct&lt;22,$BC393=(Elig_MatchAll_Ct-1),BA393=0),AD393,0)</f>
        <v>0</v>
      </c>
      <c r="CJ393" s="202">
        <f>IF(AND(Input_Product=Elig!$C393,Elig_MatchAll_Ct&lt;22,$BC393=(Elig_MatchAll_Ct-1),BA393=0),AE393,0)</f>
        <v>0</v>
      </c>
    </row>
    <row r="394" spans="2:88" ht="10.15" customHeight="1" x14ac:dyDescent="0.25">
      <c r="B394" s="287" t="s">
        <v>1090</v>
      </c>
      <c r="C394" s="286" t="str">
        <f t="shared" si="153"/>
        <v>NonQM NOO</v>
      </c>
      <c r="D394" s="287" t="s">
        <v>3885</v>
      </c>
      <c r="E394" s="287" t="s">
        <v>167</v>
      </c>
      <c r="F394" s="287" t="s">
        <v>330</v>
      </c>
      <c r="G394" s="287" t="s">
        <v>179</v>
      </c>
      <c r="H394" s="287" t="s">
        <v>136</v>
      </c>
      <c r="I394" s="288" t="s">
        <v>16</v>
      </c>
      <c r="J394" s="288" t="s">
        <v>1311</v>
      </c>
      <c r="K394" s="288" t="s">
        <v>1631</v>
      </c>
      <c r="L394" s="300" t="s">
        <v>312</v>
      </c>
      <c r="M394" s="287" t="s">
        <v>4203</v>
      </c>
      <c r="N394" s="287" t="s">
        <v>2685</v>
      </c>
      <c r="O394" s="287" t="s">
        <v>310</v>
      </c>
      <c r="P394" s="287" t="s">
        <v>291</v>
      </c>
      <c r="Q394" s="287" t="s">
        <v>294</v>
      </c>
      <c r="R394" s="287">
        <v>1000000.01</v>
      </c>
      <c r="S394" s="287">
        <v>1500000</v>
      </c>
      <c r="T394" s="287">
        <v>0</v>
      </c>
      <c r="U394" s="287">
        <f t="shared" si="160"/>
        <v>1500000</v>
      </c>
      <c r="V394" s="287">
        <v>0</v>
      </c>
      <c r="W394" s="287">
        <v>50</v>
      </c>
      <c r="X394" s="287">
        <v>0</v>
      </c>
      <c r="Y394" s="287">
        <v>999</v>
      </c>
      <c r="Z394" s="289">
        <v>660</v>
      </c>
      <c r="AA394" s="289">
        <v>679</v>
      </c>
      <c r="AB394" s="289">
        <v>6</v>
      </c>
      <c r="AC394" s="289">
        <v>999999</v>
      </c>
      <c r="AD394" s="287">
        <v>0</v>
      </c>
      <c r="AE394" s="290">
        <v>60</v>
      </c>
      <c r="AF394" s="170">
        <v>0</v>
      </c>
      <c r="AG394" s="171">
        <v>1</v>
      </c>
      <c r="AH394" s="171">
        <v>1</v>
      </c>
      <c r="AI394" s="171">
        <v>0</v>
      </c>
      <c r="AJ394" s="171">
        <v>0</v>
      </c>
      <c r="AK394" s="171">
        <v>1</v>
      </c>
      <c r="AL394" s="171">
        <v>1</v>
      </c>
      <c r="AM394" s="171">
        <v>1</v>
      </c>
      <c r="AN394" s="171">
        <v>1</v>
      </c>
      <c r="AO394" s="171">
        <v>1</v>
      </c>
      <c r="AP394" s="171">
        <v>1</v>
      </c>
      <c r="AQ394" s="171">
        <v>1</v>
      </c>
      <c r="AR394" s="171">
        <v>1</v>
      </c>
      <c r="AS394" s="171">
        <v>1</v>
      </c>
      <c r="AT394" s="171">
        <v>1</v>
      </c>
      <c r="AU394" s="171">
        <f t="shared" si="140"/>
        <v>0</v>
      </c>
      <c r="AV394" s="171">
        <f t="shared" si="141"/>
        <v>1</v>
      </c>
      <c r="AW394" s="171">
        <f t="shared" si="142"/>
        <v>1</v>
      </c>
      <c r="AX394" s="171">
        <f t="shared" si="152"/>
        <v>1</v>
      </c>
      <c r="AY394" s="171">
        <f t="shared" si="143"/>
        <v>0</v>
      </c>
      <c r="AZ394" s="171">
        <f t="shared" si="144"/>
        <v>1</v>
      </c>
      <c r="BA394" s="172">
        <f t="shared" si="145"/>
        <v>0</v>
      </c>
      <c r="BB394" s="175">
        <f t="shared" si="147"/>
        <v>16</v>
      </c>
      <c r="BC394" s="176">
        <f t="shared" si="148"/>
        <v>16</v>
      </c>
      <c r="BD394" s="176">
        <f t="shared" si="149"/>
        <v>16</v>
      </c>
      <c r="BE394" s="240" t="str">
        <f t="shared" si="161"/>
        <v/>
      </c>
      <c r="BH394" s="199">
        <f>IF(AND(Input_Product=Elig!$C394,Elig_MatchAll_Ct&lt;22,$BC394=(Elig_MatchAll_Ct-1),AF394=0),C394,0)</f>
        <v>0</v>
      </c>
      <c r="BI394" s="199">
        <f>IF(AND(Input_Product=Elig!$C394,Elig_MatchAll_Ct&lt;22,$BC394=(Elig_MatchAll_Ct-1),AG394=0),D394,0)</f>
        <v>0</v>
      </c>
      <c r="BJ394" s="199">
        <f>IF(AND(Input_Product=Elig!$C394,Elig_MatchAll_Ct&lt;22,$BC394=(Elig_MatchAll_Ct-1),AH394=0),E394,0)</f>
        <v>0</v>
      </c>
      <c r="BK394" s="199">
        <f>IF(AND(Input_Product=Elig!$C394,Elig_MatchAll_Ct&lt;22,$BC394=(Elig_MatchAll_Ct-1),AI394=0),F394,0)</f>
        <v>0</v>
      </c>
      <c r="BL394" s="199">
        <f>IF(AND(Input_Product=Elig!$C394,Elig_MatchAll_Ct&lt;22,$BC394=(Elig_MatchAll_Ct-1),AJ394=0),G394,0)</f>
        <v>0</v>
      </c>
      <c r="BM394" s="199">
        <f>IF(AND(Input_Product=Elig!$C394,Elig_MatchAll_Ct&lt;22,$BC394=(Elig_MatchAll_Ct-1),AK394=0),H394,0)</f>
        <v>0</v>
      </c>
      <c r="BN394" s="199">
        <f>IF(AND(Input_Product=Elig!$C394,Elig_MatchAll_Ct&lt;22,$BC394=(Elig_MatchAll_Ct-1),AL394=0),I394,0)</f>
        <v>0</v>
      </c>
      <c r="BO394" s="199">
        <f>IF(AND(Input_Product=Elig!$C394,Elig_MatchAll_Ct&lt;22,$BC394=(Elig_MatchAll_Ct-1),AM394=0),J394,0)</f>
        <v>0</v>
      </c>
      <c r="BP394" s="199">
        <f>IF(AND(Input_Product=Elig!$C394,Elig_MatchAll_Ct&lt;22,$BC394=(Elig_MatchAll_Ct-1),AN394=0),K394,0)</f>
        <v>0</v>
      </c>
      <c r="BQ394" s="199">
        <f>IF(AND(Input_Product=Elig!$C394,Elig_MatchAll_Ct&lt;22,$BC394=(Elig_MatchAll_Ct-1),AP394=0),L394,0)</f>
        <v>0</v>
      </c>
      <c r="BR394" s="199">
        <f>IF(AND(Input_Product=Elig!$C394,Elig_MatchAll_Ct&lt;22,$BC394=(Elig_MatchAll_Ct-1),AO394=0),M394,0)</f>
        <v>0</v>
      </c>
      <c r="BS394" s="199">
        <f>IF(AND(Input_Product=Elig!$C394,Elig_MatchAll_Ct&lt;22,$BC394=(Elig_MatchAll_Ct-1),AQ394=0),N394,0)</f>
        <v>0</v>
      </c>
      <c r="BT394" s="199">
        <f>IF(AND(Input_Product=Elig!$C394,Elig_MatchAll_Ct&lt;22,$BC394=(Elig_MatchAll_Ct-1),AR394=0),O394,0)</f>
        <v>0</v>
      </c>
      <c r="BU394" s="199">
        <f>IF(AND(Input_Product=Elig!$C394,Elig_MatchAll_Ct&lt;22,$BC394=(Elig_MatchAll_Ct-1),AS394=0),P394,0)</f>
        <v>0</v>
      </c>
      <c r="BV394" s="200">
        <f>IF(AND(Input_Product=Elig!$C394,Elig_MatchAll_Ct&lt;22,$BC394=(Elig_MatchAll_Ct-1),AT394=0),Q394,0)</f>
        <v>0</v>
      </c>
      <c r="BW394" s="201">
        <f>IF(AND(Input_Product=Elig!$C394,Elig_MatchAll_Ct&lt;22,$BC394=(Elig_MatchAll_Ct-1),AU394=0),R394,0)</f>
        <v>0</v>
      </c>
      <c r="BX394" s="202">
        <f>IF(AND(Input_Product=Elig!$C394,Elig_MatchAll_Ct&lt;22,$BC394=(Elig_MatchAll_Ct-1),AU394=0),S394,0)</f>
        <v>0</v>
      </c>
      <c r="BY394" s="201">
        <f>IF(AND(Input_Product=Elig!$C394,Elig_MatchAll_Ct&lt;22,$BC394=(Elig_MatchAll_Ct-1),AV394=0),T394,0)</f>
        <v>0</v>
      </c>
      <c r="BZ394" s="202">
        <f>IF(AND(Input_Product=Elig!$C394,Elig_MatchAll_Ct&lt;22,$BC394=(Elig_MatchAll_Ct-1),AV394=0),U394,0)</f>
        <v>0</v>
      </c>
      <c r="CA394" s="201">
        <f>IF(AND(Input_Product=Elig!$C394,Elig_MatchAll_Ct&lt;22,$BC394=(Elig_MatchAll_Ct-1),AW394=0),V394,0)</f>
        <v>0</v>
      </c>
      <c r="CB394" s="202">
        <f>IF(AND(Input_Product=Elig!$C394,Elig_MatchAll_Ct&lt;22,$BC394=(Elig_MatchAll_Ct-1),AW394=0),W394,0)</f>
        <v>0</v>
      </c>
      <c r="CC394" s="201">
        <f>IF(AND(Input_Product=Elig!$C394,Elig_MatchAll_Ct&lt;22,$BC394=(Elig_MatchAll_Ct-1),AX394=0),X394,0)</f>
        <v>0</v>
      </c>
      <c r="CD394" s="202">
        <f>IF(AND(Input_Product=Elig!$C394,Elig_MatchAll_Ct&lt;22,$BC394=(Elig_MatchAll_Ct-1),AX394=0),Y394,0)</f>
        <v>0</v>
      </c>
      <c r="CE394" s="201">
        <f>IF(AND(Input_LTV&lt;=AE394,Input_Product=Elig!$C394,Elig_MatchAll_Ct&lt;22,$BC394=(Elig_MatchAll_Ct-1),AY394=0),Z394,0)</f>
        <v>0</v>
      </c>
      <c r="CF394" s="202">
        <f>IF(AND(Input_LTV&lt;=AE394,Input_Product=Elig!$C394,Elig_MatchAll_Ct&lt;22,$BC394=(Elig_MatchAll_Ct-1),AY394=0),AA394,0)</f>
        <v>0</v>
      </c>
      <c r="CG394" s="201">
        <f>IF(AND(Input_Product=Elig!$C394,Elig_MatchAll_Ct&lt;22,$BC394=(Elig_MatchAll_Ct-1),AZ394=0),AB394,0)</f>
        <v>0</v>
      </c>
      <c r="CH394" s="202">
        <f>IF(AND(Input_Product=Elig!$C394,Elig_MatchAll_Ct&lt;22,$BC394=(Elig_MatchAll_Ct-1),AZ394=0),AC394,0)</f>
        <v>0</v>
      </c>
      <c r="CI394" s="201">
        <f>IF(AND(Input_Product=Elig!$C394,Elig_MatchAll_Ct&lt;22,$BC394=(Elig_MatchAll_Ct-1),BA394=0),AD394,0)</f>
        <v>0</v>
      </c>
      <c r="CJ394" s="202">
        <f>IF(AND(Input_Product=Elig!$C394,Elig_MatchAll_Ct&lt;22,$BC394=(Elig_MatchAll_Ct-1),BA394=0),AE394,0)</f>
        <v>0</v>
      </c>
    </row>
    <row r="395" spans="2:88" ht="10.15" customHeight="1" x14ac:dyDescent="0.25">
      <c r="B395" s="287" t="s">
        <v>1091</v>
      </c>
      <c r="C395" s="286" t="str">
        <f t="shared" si="153"/>
        <v>NonQM NOO</v>
      </c>
      <c r="D395" s="287" t="s">
        <v>3885</v>
      </c>
      <c r="E395" s="287" t="s">
        <v>167</v>
      </c>
      <c r="F395" s="287" t="s">
        <v>330</v>
      </c>
      <c r="G395" s="287" t="s">
        <v>179</v>
      </c>
      <c r="H395" s="287" t="s">
        <v>136</v>
      </c>
      <c r="I395" s="288" t="s">
        <v>16</v>
      </c>
      <c r="J395" s="288" t="s">
        <v>1311</v>
      </c>
      <c r="K395" s="288" t="s">
        <v>1631</v>
      </c>
      <c r="L395" s="300" t="s">
        <v>312</v>
      </c>
      <c r="M395" s="287" t="s">
        <v>4203</v>
      </c>
      <c r="N395" s="287" t="s">
        <v>2685</v>
      </c>
      <c r="O395" s="287" t="s">
        <v>310</v>
      </c>
      <c r="P395" s="287" t="s">
        <v>291</v>
      </c>
      <c r="Q395" s="287" t="s">
        <v>294</v>
      </c>
      <c r="R395" s="287">
        <v>1000000.01</v>
      </c>
      <c r="S395" s="287">
        <v>1500000</v>
      </c>
      <c r="T395" s="287">
        <v>0</v>
      </c>
      <c r="U395" s="287">
        <f t="shared" si="160"/>
        <v>1500000</v>
      </c>
      <c r="V395" s="287">
        <v>0</v>
      </c>
      <c r="W395" s="287">
        <v>50</v>
      </c>
      <c r="X395" s="287">
        <v>0</v>
      </c>
      <c r="Y395" s="287">
        <v>999</v>
      </c>
      <c r="Z395" s="289">
        <v>640</v>
      </c>
      <c r="AA395" s="289">
        <v>659</v>
      </c>
      <c r="AB395" s="289">
        <v>6</v>
      </c>
      <c r="AC395" s="289">
        <v>999999</v>
      </c>
      <c r="AD395" s="287">
        <v>0</v>
      </c>
      <c r="AE395" s="290">
        <v>-999</v>
      </c>
      <c r="AF395" s="170">
        <v>0</v>
      </c>
      <c r="AG395" s="171">
        <v>1</v>
      </c>
      <c r="AH395" s="171">
        <v>1</v>
      </c>
      <c r="AI395" s="171">
        <v>0</v>
      </c>
      <c r="AJ395" s="171">
        <v>0</v>
      </c>
      <c r="AK395" s="171">
        <v>1</v>
      </c>
      <c r="AL395" s="171">
        <v>1</v>
      </c>
      <c r="AM395" s="171">
        <v>1</v>
      </c>
      <c r="AN395" s="171">
        <v>1</v>
      </c>
      <c r="AO395" s="171">
        <v>1</v>
      </c>
      <c r="AP395" s="171">
        <v>1</v>
      </c>
      <c r="AQ395" s="171">
        <v>1</v>
      </c>
      <c r="AR395" s="171">
        <v>1</v>
      </c>
      <c r="AS395" s="171">
        <v>1</v>
      </c>
      <c r="AT395" s="171">
        <v>1</v>
      </c>
      <c r="AU395" s="171">
        <f t="shared" si="140"/>
        <v>0</v>
      </c>
      <c r="AV395" s="171">
        <f t="shared" si="141"/>
        <v>1</v>
      </c>
      <c r="AW395" s="171">
        <f t="shared" si="142"/>
        <v>1</v>
      </c>
      <c r="AX395" s="171">
        <f t="shared" si="152"/>
        <v>1</v>
      </c>
      <c r="AY395" s="171">
        <f t="shared" si="143"/>
        <v>0</v>
      </c>
      <c r="AZ395" s="171">
        <f t="shared" si="144"/>
        <v>1</v>
      </c>
      <c r="BA395" s="172">
        <f t="shared" si="145"/>
        <v>0</v>
      </c>
      <c r="BB395" s="175">
        <f t="shared" si="147"/>
        <v>16</v>
      </c>
      <c r="BC395" s="176">
        <f t="shared" si="148"/>
        <v>16</v>
      </c>
      <c r="BD395" s="176">
        <f t="shared" si="149"/>
        <v>16</v>
      </c>
      <c r="BE395" s="240" t="str">
        <f t="shared" si="161"/>
        <v/>
      </c>
      <c r="BH395" s="199">
        <f>IF(AND(Input_Product=Elig!$C395,Elig_MatchAll_Ct&lt;22,$BC395=(Elig_MatchAll_Ct-1),AF395=0),C395,0)</f>
        <v>0</v>
      </c>
      <c r="BI395" s="199">
        <f>IF(AND(Input_Product=Elig!$C395,Elig_MatchAll_Ct&lt;22,$BC395=(Elig_MatchAll_Ct-1),AG395=0),D395,0)</f>
        <v>0</v>
      </c>
      <c r="BJ395" s="199">
        <f>IF(AND(Input_Product=Elig!$C395,Elig_MatchAll_Ct&lt;22,$BC395=(Elig_MatchAll_Ct-1),AH395=0),E395,0)</f>
        <v>0</v>
      </c>
      <c r="BK395" s="199">
        <f>IF(AND(Input_Product=Elig!$C395,Elig_MatchAll_Ct&lt;22,$BC395=(Elig_MatchAll_Ct-1),AI395=0),F395,0)</f>
        <v>0</v>
      </c>
      <c r="BL395" s="199">
        <f>IF(AND(Input_Product=Elig!$C395,Elig_MatchAll_Ct&lt;22,$BC395=(Elig_MatchAll_Ct-1),AJ395=0),G395,0)</f>
        <v>0</v>
      </c>
      <c r="BM395" s="199">
        <f>IF(AND(Input_Product=Elig!$C395,Elig_MatchAll_Ct&lt;22,$BC395=(Elig_MatchAll_Ct-1),AK395=0),H395,0)</f>
        <v>0</v>
      </c>
      <c r="BN395" s="199">
        <f>IF(AND(Input_Product=Elig!$C395,Elig_MatchAll_Ct&lt;22,$BC395=(Elig_MatchAll_Ct-1),AL395=0),I395,0)</f>
        <v>0</v>
      </c>
      <c r="BO395" s="199">
        <f>IF(AND(Input_Product=Elig!$C395,Elig_MatchAll_Ct&lt;22,$BC395=(Elig_MatchAll_Ct-1),AM395=0),J395,0)</f>
        <v>0</v>
      </c>
      <c r="BP395" s="199">
        <f>IF(AND(Input_Product=Elig!$C395,Elig_MatchAll_Ct&lt;22,$BC395=(Elig_MatchAll_Ct-1),AN395=0),K395,0)</f>
        <v>0</v>
      </c>
      <c r="BQ395" s="199">
        <f>IF(AND(Input_Product=Elig!$C395,Elig_MatchAll_Ct&lt;22,$BC395=(Elig_MatchAll_Ct-1),AP395=0),L395,0)</f>
        <v>0</v>
      </c>
      <c r="BR395" s="199">
        <f>IF(AND(Input_Product=Elig!$C395,Elig_MatchAll_Ct&lt;22,$BC395=(Elig_MatchAll_Ct-1),AO395=0),M395,0)</f>
        <v>0</v>
      </c>
      <c r="BS395" s="199">
        <f>IF(AND(Input_Product=Elig!$C395,Elig_MatchAll_Ct&lt;22,$BC395=(Elig_MatchAll_Ct-1),AQ395=0),N395,0)</f>
        <v>0</v>
      </c>
      <c r="BT395" s="199">
        <f>IF(AND(Input_Product=Elig!$C395,Elig_MatchAll_Ct&lt;22,$BC395=(Elig_MatchAll_Ct-1),AR395=0),O395,0)</f>
        <v>0</v>
      </c>
      <c r="BU395" s="199">
        <f>IF(AND(Input_Product=Elig!$C395,Elig_MatchAll_Ct&lt;22,$BC395=(Elig_MatchAll_Ct-1),AS395=0),P395,0)</f>
        <v>0</v>
      </c>
      <c r="BV395" s="200">
        <f>IF(AND(Input_Product=Elig!$C395,Elig_MatchAll_Ct&lt;22,$BC395=(Elig_MatchAll_Ct-1),AT395=0),Q395,0)</f>
        <v>0</v>
      </c>
      <c r="BW395" s="201">
        <f>IF(AND(Input_Product=Elig!$C395,Elig_MatchAll_Ct&lt;22,$BC395=(Elig_MatchAll_Ct-1),AU395=0),R395,0)</f>
        <v>0</v>
      </c>
      <c r="BX395" s="202">
        <f>IF(AND(Input_Product=Elig!$C395,Elig_MatchAll_Ct&lt;22,$BC395=(Elig_MatchAll_Ct-1),AU395=0),S395,0)</f>
        <v>0</v>
      </c>
      <c r="BY395" s="201">
        <f>IF(AND(Input_Product=Elig!$C395,Elig_MatchAll_Ct&lt;22,$BC395=(Elig_MatchAll_Ct-1),AV395=0),T395,0)</f>
        <v>0</v>
      </c>
      <c r="BZ395" s="202">
        <f>IF(AND(Input_Product=Elig!$C395,Elig_MatchAll_Ct&lt;22,$BC395=(Elig_MatchAll_Ct-1),AV395=0),U395,0)</f>
        <v>0</v>
      </c>
      <c r="CA395" s="201">
        <f>IF(AND(Input_Product=Elig!$C395,Elig_MatchAll_Ct&lt;22,$BC395=(Elig_MatchAll_Ct-1),AW395=0),V395,0)</f>
        <v>0</v>
      </c>
      <c r="CB395" s="202">
        <f>IF(AND(Input_Product=Elig!$C395,Elig_MatchAll_Ct&lt;22,$BC395=(Elig_MatchAll_Ct-1),AW395=0),W395,0)</f>
        <v>0</v>
      </c>
      <c r="CC395" s="201">
        <f>IF(AND(Input_Product=Elig!$C395,Elig_MatchAll_Ct&lt;22,$BC395=(Elig_MatchAll_Ct-1),AX395=0),X395,0)</f>
        <v>0</v>
      </c>
      <c r="CD395" s="202">
        <f>IF(AND(Input_Product=Elig!$C395,Elig_MatchAll_Ct&lt;22,$BC395=(Elig_MatchAll_Ct-1),AX395=0),Y395,0)</f>
        <v>0</v>
      </c>
      <c r="CE395" s="201">
        <f>IF(AND(Input_LTV&lt;=AE395,Input_Product=Elig!$C395,Elig_MatchAll_Ct&lt;22,$BC395=(Elig_MatchAll_Ct-1),AY395=0),Z395,0)</f>
        <v>0</v>
      </c>
      <c r="CF395" s="202">
        <f>IF(AND(Input_LTV&lt;=AE395,Input_Product=Elig!$C395,Elig_MatchAll_Ct&lt;22,$BC395=(Elig_MatchAll_Ct-1),AY395=0),AA395,0)</f>
        <v>0</v>
      </c>
      <c r="CG395" s="201">
        <f>IF(AND(Input_Product=Elig!$C395,Elig_MatchAll_Ct&lt;22,$BC395=(Elig_MatchAll_Ct-1),AZ395=0),AB395,0)</f>
        <v>0</v>
      </c>
      <c r="CH395" s="202">
        <f>IF(AND(Input_Product=Elig!$C395,Elig_MatchAll_Ct&lt;22,$BC395=(Elig_MatchAll_Ct-1),AZ395=0),AC395,0)</f>
        <v>0</v>
      </c>
      <c r="CI395" s="201">
        <f>IF(AND(Input_Product=Elig!$C395,Elig_MatchAll_Ct&lt;22,$BC395=(Elig_MatchAll_Ct-1),BA395=0),AD395,0)</f>
        <v>0</v>
      </c>
      <c r="CJ395" s="202">
        <f>IF(AND(Input_Product=Elig!$C395,Elig_MatchAll_Ct&lt;22,$BC395=(Elig_MatchAll_Ct-1),BA395=0),AE395,0)</f>
        <v>0</v>
      </c>
    </row>
    <row r="396" spans="2:88" ht="10.15" customHeight="1" x14ac:dyDescent="0.25">
      <c r="B396" s="287" t="s">
        <v>1092</v>
      </c>
      <c r="C396" s="291" t="str">
        <f t="shared" si="153"/>
        <v>NonQM NOO</v>
      </c>
      <c r="D396" s="292" t="s">
        <v>3885</v>
      </c>
      <c r="E396" s="292" t="s">
        <v>167</v>
      </c>
      <c r="F396" s="292" t="s">
        <v>330</v>
      </c>
      <c r="G396" s="292" t="s">
        <v>179</v>
      </c>
      <c r="H396" s="292" t="s">
        <v>136</v>
      </c>
      <c r="I396" s="295" t="s">
        <v>16</v>
      </c>
      <c r="J396" s="295" t="s">
        <v>1311</v>
      </c>
      <c r="K396" s="295" t="s">
        <v>1631</v>
      </c>
      <c r="L396" s="324" t="s">
        <v>312</v>
      </c>
      <c r="M396" s="292" t="s">
        <v>4203</v>
      </c>
      <c r="N396" s="292" t="s">
        <v>2685</v>
      </c>
      <c r="O396" s="292" t="s">
        <v>310</v>
      </c>
      <c r="P396" s="292" t="s">
        <v>291</v>
      </c>
      <c r="Q396" s="292" t="s">
        <v>294</v>
      </c>
      <c r="R396" s="292">
        <v>1000000.01</v>
      </c>
      <c r="S396" s="292">
        <v>1500000</v>
      </c>
      <c r="T396" s="292">
        <v>0</v>
      </c>
      <c r="U396" s="292">
        <f t="shared" si="160"/>
        <v>1500000</v>
      </c>
      <c r="V396" s="292">
        <v>0</v>
      </c>
      <c r="W396" s="292">
        <v>50</v>
      </c>
      <c r="X396" s="292">
        <v>0</v>
      </c>
      <c r="Y396" s="292">
        <v>999</v>
      </c>
      <c r="Z396" s="293">
        <v>620</v>
      </c>
      <c r="AA396" s="293">
        <v>639</v>
      </c>
      <c r="AB396" s="293">
        <v>6</v>
      </c>
      <c r="AC396" s="293">
        <v>999999</v>
      </c>
      <c r="AD396" s="292">
        <v>0</v>
      </c>
      <c r="AE396" s="294">
        <v>-999</v>
      </c>
      <c r="AF396" s="170">
        <v>0</v>
      </c>
      <c r="AG396" s="171">
        <v>1</v>
      </c>
      <c r="AH396" s="171">
        <v>1</v>
      </c>
      <c r="AI396" s="171">
        <v>0</v>
      </c>
      <c r="AJ396" s="171">
        <v>0</v>
      </c>
      <c r="AK396" s="171">
        <v>1</v>
      </c>
      <c r="AL396" s="171">
        <v>1</v>
      </c>
      <c r="AM396" s="171">
        <v>1</v>
      </c>
      <c r="AN396" s="171">
        <v>1</v>
      </c>
      <c r="AO396" s="171">
        <v>1</v>
      </c>
      <c r="AP396" s="171">
        <v>1</v>
      </c>
      <c r="AQ396" s="171">
        <v>1</v>
      </c>
      <c r="AR396" s="171">
        <v>1</v>
      </c>
      <c r="AS396" s="171">
        <v>1</v>
      </c>
      <c r="AT396" s="171">
        <v>1</v>
      </c>
      <c r="AU396" s="171">
        <f t="shared" si="140"/>
        <v>0</v>
      </c>
      <c r="AV396" s="171">
        <f t="shared" si="141"/>
        <v>1</v>
      </c>
      <c r="AW396" s="171">
        <f t="shared" si="142"/>
        <v>1</v>
      </c>
      <c r="AX396" s="171">
        <f t="shared" si="152"/>
        <v>1</v>
      </c>
      <c r="AY396" s="171">
        <f t="shared" si="143"/>
        <v>0</v>
      </c>
      <c r="AZ396" s="171">
        <f t="shared" si="144"/>
        <v>1</v>
      </c>
      <c r="BA396" s="172">
        <f t="shared" si="145"/>
        <v>0</v>
      </c>
      <c r="BB396" s="175">
        <f t="shared" si="147"/>
        <v>16</v>
      </c>
      <c r="BC396" s="176">
        <f t="shared" si="148"/>
        <v>16</v>
      </c>
      <c r="BD396" s="176">
        <f t="shared" si="149"/>
        <v>16</v>
      </c>
      <c r="BE396" s="240" t="str">
        <f t="shared" si="161"/>
        <v/>
      </c>
      <c r="BH396" s="214">
        <f>IF(AND(Input_Product=Elig!$C396,Elig_MatchAll_Ct&lt;22,$BC396=(Elig_MatchAll_Ct-1),AF396=0),C396,0)</f>
        <v>0</v>
      </c>
      <c r="BI396" s="214">
        <f>IF(AND(Input_Product=Elig!$C396,Elig_MatchAll_Ct&lt;22,$BC396=(Elig_MatchAll_Ct-1),AG396=0),D396,0)</f>
        <v>0</v>
      </c>
      <c r="BJ396" s="214">
        <f>IF(AND(Input_Product=Elig!$C396,Elig_MatchAll_Ct&lt;22,$BC396=(Elig_MatchAll_Ct-1),AH396=0),E396,0)</f>
        <v>0</v>
      </c>
      <c r="BK396" s="214">
        <f>IF(AND(Input_Product=Elig!$C396,Elig_MatchAll_Ct&lt;22,$BC396=(Elig_MatchAll_Ct-1),AI396=0),F396,0)</f>
        <v>0</v>
      </c>
      <c r="BL396" s="214">
        <f>IF(AND(Input_Product=Elig!$C396,Elig_MatchAll_Ct&lt;22,$BC396=(Elig_MatchAll_Ct-1),AJ396=0),G396,0)</f>
        <v>0</v>
      </c>
      <c r="BM396" s="214">
        <f>IF(AND(Input_Product=Elig!$C396,Elig_MatchAll_Ct&lt;22,$BC396=(Elig_MatchAll_Ct-1),AK396=0),H396,0)</f>
        <v>0</v>
      </c>
      <c r="BN396" s="214">
        <f>IF(AND(Input_Product=Elig!$C396,Elig_MatchAll_Ct&lt;22,$BC396=(Elig_MatchAll_Ct-1),AL396=0),I396,0)</f>
        <v>0</v>
      </c>
      <c r="BO396" s="214">
        <f>IF(AND(Input_Product=Elig!$C396,Elig_MatchAll_Ct&lt;22,$BC396=(Elig_MatchAll_Ct-1),AM396=0),J396,0)</f>
        <v>0</v>
      </c>
      <c r="BP396" s="214">
        <f>IF(AND(Input_Product=Elig!$C396,Elig_MatchAll_Ct&lt;22,$BC396=(Elig_MatchAll_Ct-1),AN396=0),K396,0)</f>
        <v>0</v>
      </c>
      <c r="BQ396" s="214">
        <f>IF(AND(Input_Product=Elig!$C396,Elig_MatchAll_Ct&lt;22,$BC396=(Elig_MatchAll_Ct-1),AP396=0),L396,0)</f>
        <v>0</v>
      </c>
      <c r="BR396" s="214">
        <f>IF(AND(Input_Product=Elig!$C396,Elig_MatchAll_Ct&lt;22,$BC396=(Elig_MatchAll_Ct-1),AO396=0),M396,0)</f>
        <v>0</v>
      </c>
      <c r="BS396" s="214">
        <f>IF(AND(Input_Product=Elig!$C396,Elig_MatchAll_Ct&lt;22,$BC396=(Elig_MatchAll_Ct-1),AQ396=0),N396,0)</f>
        <v>0</v>
      </c>
      <c r="BT396" s="214">
        <f>IF(AND(Input_Product=Elig!$C396,Elig_MatchAll_Ct&lt;22,$BC396=(Elig_MatchAll_Ct-1),AR396=0),O396,0)</f>
        <v>0</v>
      </c>
      <c r="BU396" s="214">
        <f>IF(AND(Input_Product=Elig!$C396,Elig_MatchAll_Ct&lt;22,$BC396=(Elig_MatchAll_Ct-1),AS396=0),P396,0)</f>
        <v>0</v>
      </c>
      <c r="BV396" s="215">
        <f>IF(AND(Input_Product=Elig!$C396,Elig_MatchAll_Ct&lt;22,$BC396=(Elig_MatchAll_Ct-1),AT396=0),Q396,0)</f>
        <v>0</v>
      </c>
      <c r="BW396" s="207">
        <f>IF(AND(Input_Product=Elig!$C396,Elig_MatchAll_Ct&lt;22,$BC396=(Elig_MatchAll_Ct-1),AU396=0),R396,0)</f>
        <v>0</v>
      </c>
      <c r="BX396" s="208">
        <f>IF(AND(Input_Product=Elig!$C396,Elig_MatchAll_Ct&lt;22,$BC396=(Elig_MatchAll_Ct-1),AU396=0),S396,0)</f>
        <v>0</v>
      </c>
      <c r="BY396" s="207">
        <f>IF(AND(Input_Product=Elig!$C396,Elig_MatchAll_Ct&lt;22,$BC396=(Elig_MatchAll_Ct-1),AV396=0),T396,0)</f>
        <v>0</v>
      </c>
      <c r="BZ396" s="208">
        <f>IF(AND(Input_Product=Elig!$C396,Elig_MatchAll_Ct&lt;22,$BC396=(Elig_MatchAll_Ct-1),AV396=0),U396,0)</f>
        <v>0</v>
      </c>
      <c r="CA396" s="207">
        <f>IF(AND(Input_Product=Elig!$C396,Elig_MatchAll_Ct&lt;22,$BC396=(Elig_MatchAll_Ct-1),AW396=0),V396,0)</f>
        <v>0</v>
      </c>
      <c r="CB396" s="208">
        <f>IF(AND(Input_Product=Elig!$C396,Elig_MatchAll_Ct&lt;22,$BC396=(Elig_MatchAll_Ct-1),AW396=0),W396,0)</f>
        <v>0</v>
      </c>
      <c r="CC396" s="207">
        <f>IF(AND(Input_Product=Elig!$C396,Elig_MatchAll_Ct&lt;22,$BC396=(Elig_MatchAll_Ct-1),AX396=0),X396,0)</f>
        <v>0</v>
      </c>
      <c r="CD396" s="208">
        <f>IF(AND(Input_Product=Elig!$C396,Elig_MatchAll_Ct&lt;22,$BC396=(Elig_MatchAll_Ct-1),AX396=0),Y396,0)</f>
        <v>0</v>
      </c>
      <c r="CE396" s="207">
        <f>IF(AND(Input_LTV&lt;=AE396,Input_Product=Elig!$C396,Elig_MatchAll_Ct&lt;22,$BC396=(Elig_MatchAll_Ct-1),AY396=0),Z396,0)</f>
        <v>0</v>
      </c>
      <c r="CF396" s="208">
        <f>IF(AND(Input_LTV&lt;=AE396,Input_Product=Elig!$C396,Elig_MatchAll_Ct&lt;22,$BC396=(Elig_MatchAll_Ct-1),AY396=0),AA396,0)</f>
        <v>0</v>
      </c>
      <c r="CG396" s="207">
        <f>IF(AND(Input_Product=Elig!$C396,Elig_MatchAll_Ct&lt;22,$BC396=(Elig_MatchAll_Ct-1),AZ396=0),AB396,0)</f>
        <v>0</v>
      </c>
      <c r="CH396" s="208">
        <f>IF(AND(Input_Product=Elig!$C396,Elig_MatchAll_Ct&lt;22,$BC396=(Elig_MatchAll_Ct-1),AZ396=0),AC396,0)</f>
        <v>0</v>
      </c>
      <c r="CI396" s="207">
        <f>IF(AND(Input_Product=Elig!$C396,Elig_MatchAll_Ct&lt;22,$BC396=(Elig_MatchAll_Ct-1),BA396=0),AD396,0)</f>
        <v>0</v>
      </c>
      <c r="CJ396" s="209">
        <f>IF(AND(Input_Product=Elig!$C396,Elig_MatchAll_Ct&lt;22,$BC396=(Elig_MatchAll_Ct-1),BA396=0),AE396,0)</f>
        <v>0</v>
      </c>
    </row>
    <row r="397" spans="2:88" ht="10.15" customHeight="1" x14ac:dyDescent="0.25">
      <c r="B397" s="287" t="s">
        <v>1093</v>
      </c>
      <c r="C397" s="281" t="str">
        <f t="shared" si="153"/>
        <v>NonQM NOO</v>
      </c>
      <c r="D397" s="282" t="s">
        <v>3885</v>
      </c>
      <c r="E397" s="283" t="s">
        <v>167</v>
      </c>
      <c r="F397" s="283" t="s">
        <v>330</v>
      </c>
      <c r="G397" s="283" t="s">
        <v>305</v>
      </c>
      <c r="H397" s="283" t="s">
        <v>136</v>
      </c>
      <c r="I397" s="282" t="s">
        <v>274</v>
      </c>
      <c r="J397" s="282" t="s">
        <v>1311</v>
      </c>
      <c r="K397" s="282" t="s">
        <v>1631</v>
      </c>
      <c r="L397" s="2103" t="s">
        <v>312</v>
      </c>
      <c r="M397" s="283" t="s">
        <v>4203</v>
      </c>
      <c r="N397" s="283" t="s">
        <v>2685</v>
      </c>
      <c r="O397" s="283" t="s">
        <v>310</v>
      </c>
      <c r="P397" s="283" t="s">
        <v>291</v>
      </c>
      <c r="Q397" s="283" t="s">
        <v>294</v>
      </c>
      <c r="R397" s="282">
        <v>1000000.01</v>
      </c>
      <c r="S397" s="282">
        <v>1500000</v>
      </c>
      <c r="T397" s="282">
        <v>0</v>
      </c>
      <c r="U397" s="282">
        <v>0</v>
      </c>
      <c r="V397" s="282">
        <v>0</v>
      </c>
      <c r="W397" s="282">
        <v>55</v>
      </c>
      <c r="X397" s="282">
        <v>0</v>
      </c>
      <c r="Y397" s="282">
        <v>999</v>
      </c>
      <c r="Z397" s="284">
        <v>720</v>
      </c>
      <c r="AA397" s="284">
        <v>999</v>
      </c>
      <c r="AB397" s="284">
        <v>6</v>
      </c>
      <c r="AC397" s="284">
        <v>999999</v>
      </c>
      <c r="AD397" s="282">
        <v>0</v>
      </c>
      <c r="AE397" s="2104">
        <v>75</v>
      </c>
      <c r="AF397" s="170">
        <v>0</v>
      </c>
      <c r="AG397" s="171">
        <v>1</v>
      </c>
      <c r="AH397" s="171">
        <v>1</v>
      </c>
      <c r="AI397" s="171">
        <v>0</v>
      </c>
      <c r="AJ397" s="171">
        <v>0</v>
      </c>
      <c r="AK397" s="171">
        <v>1</v>
      </c>
      <c r="AL397" s="171">
        <v>0</v>
      </c>
      <c r="AM397" s="171">
        <v>1</v>
      </c>
      <c r="AN397" s="171">
        <v>1</v>
      </c>
      <c r="AO397" s="171">
        <v>1</v>
      </c>
      <c r="AP397" s="171">
        <v>1</v>
      </c>
      <c r="AQ397" s="171">
        <v>1</v>
      </c>
      <c r="AR397" s="171">
        <v>1</v>
      </c>
      <c r="AS397" s="171">
        <v>1</v>
      </c>
      <c r="AT397" s="171">
        <v>1</v>
      </c>
      <c r="AU397" s="171">
        <f t="shared" ref="AU397:AU472" si="162">IF(AND(Input_LoanAmt&gt;=Elig_LoanAmt_Min,Input_LoanAmt&lt;=Elig_LoanAmt_Max),1,0)</f>
        <v>0</v>
      </c>
      <c r="AV397" s="171">
        <f t="shared" ref="AV397:AV472" si="163">IF(AND(Input_CashoutAmt&gt;=Elig_CashoutAmt_Min,Input_CashoutAmt&lt;=Elig_CashoutAmt_Max),1,0)</f>
        <v>0</v>
      </c>
      <c r="AW397" s="171">
        <f t="shared" ref="AW397:AW472" si="164">IF(AND(Input_DTI&gt;=Elig_DTI_Min,Input_DTI&lt;=Elig_DTI_Max),1,0)</f>
        <v>1</v>
      </c>
      <c r="AX397" s="171">
        <f t="shared" si="152"/>
        <v>1</v>
      </c>
      <c r="AY397" s="171">
        <f t="shared" ref="AY397:AY472" si="165">IF(AND(Input_CreditScore&gt;=Elig_CreditScore_Min,Input_CreditScore&lt;=Elig_CreditScore_Max),1,0)</f>
        <v>1</v>
      </c>
      <c r="AZ397" s="171">
        <f t="shared" ref="AZ397:AZ472" si="166">IF(AND(Input_ReservesMonths&gt;=Elig_Reserves_Min,Input_ReservesMonths&lt;=Elig_Reserves_Max),1,0)</f>
        <v>1</v>
      </c>
      <c r="BA397" s="172">
        <f t="shared" ref="BA397:BA472" si="167">IF(AND(Input_LTV&gt;=Elig_LTV_Min,Input_LTV&lt;=Elig_LTV_Max),1,0)</f>
        <v>1</v>
      </c>
      <c r="BB397" s="175">
        <f t="shared" si="147"/>
        <v>16</v>
      </c>
      <c r="BC397" s="176">
        <f t="shared" si="148"/>
        <v>15</v>
      </c>
      <c r="BD397" s="176">
        <f t="shared" si="149"/>
        <v>16</v>
      </c>
      <c r="BE397" s="240" t="str">
        <f t="shared" si="161"/>
        <v/>
      </c>
      <c r="BH397" s="216">
        <f>IF(AND(Input_Product=Elig!$C397,Elig_MatchAll_Ct&lt;22,$BC397=(Elig_MatchAll_Ct-1),AF397=0),C397,0)</f>
        <v>0</v>
      </c>
      <c r="BI397" s="216">
        <f>IF(AND(Input_Product=Elig!$C397,Elig_MatchAll_Ct&lt;22,$BC397=(Elig_MatchAll_Ct-1),AG397=0),D397,0)</f>
        <v>0</v>
      </c>
      <c r="BJ397" s="216">
        <f>IF(AND(Input_Product=Elig!$C397,Elig_MatchAll_Ct&lt;22,$BC397=(Elig_MatchAll_Ct-1),AH397=0),E397,0)</f>
        <v>0</v>
      </c>
      <c r="BK397" s="216">
        <f>IF(AND(Input_Product=Elig!$C397,Elig_MatchAll_Ct&lt;22,$BC397=(Elig_MatchAll_Ct-1),AI397=0),F397,0)</f>
        <v>0</v>
      </c>
      <c r="BL397" s="216">
        <f>IF(AND(Input_Product=Elig!$C397,Elig_MatchAll_Ct&lt;22,$BC397=(Elig_MatchAll_Ct-1),AJ397=0),G397,0)</f>
        <v>0</v>
      </c>
      <c r="BM397" s="216">
        <f>IF(AND(Input_Product=Elig!$C397,Elig_MatchAll_Ct&lt;22,$BC397=(Elig_MatchAll_Ct-1),AK397=0),H397,0)</f>
        <v>0</v>
      </c>
      <c r="BN397" s="216">
        <f>IF(AND(Input_Product=Elig!$C397,Elig_MatchAll_Ct&lt;22,$BC397=(Elig_MatchAll_Ct-1),AL397=0),I397,0)</f>
        <v>0</v>
      </c>
      <c r="BO397" s="216">
        <f>IF(AND(Input_Product=Elig!$C397,Elig_MatchAll_Ct&lt;22,$BC397=(Elig_MatchAll_Ct-1),AM397=0),J397,0)</f>
        <v>0</v>
      </c>
      <c r="BP397" s="216">
        <f>IF(AND(Input_Product=Elig!$C397,Elig_MatchAll_Ct&lt;22,$BC397=(Elig_MatchAll_Ct-1),AN397=0),K397,0)</f>
        <v>0</v>
      </c>
      <c r="BQ397" s="216">
        <f>IF(AND(Input_Product=Elig!$C397,Elig_MatchAll_Ct&lt;22,$BC397=(Elig_MatchAll_Ct-1),AP397=0),L397,0)</f>
        <v>0</v>
      </c>
      <c r="BR397" s="216">
        <f>IF(AND(Input_Product=Elig!$C397,Elig_MatchAll_Ct&lt;22,$BC397=(Elig_MatchAll_Ct-1),AO397=0),M397,0)</f>
        <v>0</v>
      </c>
      <c r="BS397" s="216">
        <f>IF(AND(Input_Product=Elig!$C397,Elig_MatchAll_Ct&lt;22,$BC397=(Elig_MatchAll_Ct-1),AQ397=0),N397,0)</f>
        <v>0</v>
      </c>
      <c r="BT397" s="216">
        <f>IF(AND(Input_Product=Elig!$C397,Elig_MatchAll_Ct&lt;22,$BC397=(Elig_MatchAll_Ct-1),AR397=0),O397,0)</f>
        <v>0</v>
      </c>
      <c r="BU397" s="216">
        <f>IF(AND(Input_Product=Elig!$C397,Elig_MatchAll_Ct&lt;22,$BC397=(Elig_MatchAll_Ct-1),AS397=0),P397,0)</f>
        <v>0</v>
      </c>
      <c r="BV397" s="217">
        <f>IF(AND(Input_Product=Elig!$C397,Elig_MatchAll_Ct&lt;22,$BC397=(Elig_MatchAll_Ct-1),AT397=0),Q397,0)</f>
        <v>0</v>
      </c>
      <c r="BW397" s="218">
        <f>IF(AND(Input_Product=Elig!$C397,Elig_MatchAll_Ct&lt;22,$BC397=(Elig_MatchAll_Ct-1),AU397=0),R397,0)</f>
        <v>0</v>
      </c>
      <c r="BX397" s="219">
        <f>IF(AND(Input_Product=Elig!$C397,Elig_MatchAll_Ct&lt;22,$BC397=(Elig_MatchAll_Ct-1),AU397=0),S397,0)</f>
        <v>0</v>
      </c>
      <c r="BY397" s="218">
        <f>IF(AND(Input_Product=Elig!$C397,Elig_MatchAll_Ct&lt;22,$BC397=(Elig_MatchAll_Ct-1),AV397=0),T397,0)</f>
        <v>0</v>
      </c>
      <c r="BZ397" s="219">
        <f>IF(AND(Input_Product=Elig!$C397,Elig_MatchAll_Ct&lt;22,$BC397=(Elig_MatchAll_Ct-1),AV397=0),U397,0)</f>
        <v>0</v>
      </c>
      <c r="CA397" s="218">
        <f>IF(AND(Input_Product=Elig!$C397,Elig_MatchAll_Ct&lt;22,$BC397=(Elig_MatchAll_Ct-1),AW397=0),V397,0)</f>
        <v>0</v>
      </c>
      <c r="CB397" s="219">
        <f>IF(AND(Input_Product=Elig!$C397,Elig_MatchAll_Ct&lt;22,$BC397=(Elig_MatchAll_Ct-1),AW397=0),W397,0)</f>
        <v>0</v>
      </c>
      <c r="CC397" s="218">
        <f>IF(AND(Input_Product=Elig!$C397,Elig_MatchAll_Ct&lt;22,$BC397=(Elig_MatchAll_Ct-1),AX397=0),X397,0)</f>
        <v>0</v>
      </c>
      <c r="CD397" s="219">
        <f>IF(AND(Input_Product=Elig!$C397,Elig_MatchAll_Ct&lt;22,$BC397=(Elig_MatchAll_Ct-1),AX397=0),Y397,0)</f>
        <v>0</v>
      </c>
      <c r="CE397" s="218">
        <f>IF(AND(Input_LTV&lt;=AE397,Input_Product=Elig!$C397,Elig_MatchAll_Ct&lt;22,$BC397=(Elig_MatchAll_Ct-1),AY397=0),Z397,0)</f>
        <v>0</v>
      </c>
      <c r="CF397" s="219">
        <f>IF(AND(Input_LTV&lt;=AE397,Input_Product=Elig!$C397,Elig_MatchAll_Ct&lt;22,$BC397=(Elig_MatchAll_Ct-1),AY397=0),AA397,0)</f>
        <v>0</v>
      </c>
      <c r="CG397" s="218">
        <f>IF(AND(Input_Product=Elig!$C397,Elig_MatchAll_Ct&lt;22,$BC397=(Elig_MatchAll_Ct-1),AZ397=0),AB397,0)</f>
        <v>0</v>
      </c>
      <c r="CH397" s="219">
        <f>IF(AND(Input_Product=Elig!$C397,Elig_MatchAll_Ct&lt;22,$BC397=(Elig_MatchAll_Ct-1),AZ397=0),AC397,0)</f>
        <v>0</v>
      </c>
      <c r="CI397" s="218">
        <f>IF(AND(Input_Product=Elig!$C397,Elig_MatchAll_Ct&lt;22,$BC397=(Elig_MatchAll_Ct-1),BA397=0),AD397,0)</f>
        <v>0</v>
      </c>
      <c r="CJ397" s="219">
        <f>IF(AND(Input_Product=Elig!$C397,Elig_MatchAll_Ct&lt;22,$BC397=(Elig_MatchAll_Ct-1),BA397=0),AE397,0)</f>
        <v>0</v>
      </c>
    </row>
    <row r="398" spans="2:88" ht="10.15" customHeight="1" x14ac:dyDescent="0.25">
      <c r="B398" s="287" t="s">
        <v>1094</v>
      </c>
      <c r="C398" s="286" t="str">
        <f t="shared" si="153"/>
        <v>NonQM NOO</v>
      </c>
      <c r="D398" s="287" t="s">
        <v>3885</v>
      </c>
      <c r="E398" s="287" t="s">
        <v>167</v>
      </c>
      <c r="F398" s="287" t="s">
        <v>330</v>
      </c>
      <c r="G398" s="287" t="s">
        <v>305</v>
      </c>
      <c r="H398" s="287" t="s">
        <v>136</v>
      </c>
      <c r="I398" s="288" t="s">
        <v>274</v>
      </c>
      <c r="J398" s="288" t="s">
        <v>1311</v>
      </c>
      <c r="K398" s="288" t="s">
        <v>1631</v>
      </c>
      <c r="L398" s="300" t="s">
        <v>312</v>
      </c>
      <c r="M398" s="287" t="s">
        <v>4203</v>
      </c>
      <c r="N398" s="287" t="s">
        <v>2685</v>
      </c>
      <c r="O398" s="287" t="s">
        <v>310</v>
      </c>
      <c r="P398" s="287" t="s">
        <v>291</v>
      </c>
      <c r="Q398" s="287" t="s">
        <v>294</v>
      </c>
      <c r="R398" s="287">
        <v>1000000.01</v>
      </c>
      <c r="S398" s="287">
        <v>1500000</v>
      </c>
      <c r="T398" s="287">
        <v>0</v>
      </c>
      <c r="U398" s="287">
        <v>0</v>
      </c>
      <c r="V398" s="287">
        <v>0</v>
      </c>
      <c r="W398" s="287">
        <v>55</v>
      </c>
      <c r="X398" s="287">
        <v>0</v>
      </c>
      <c r="Y398" s="287">
        <v>999</v>
      </c>
      <c r="Z398" s="289">
        <v>700</v>
      </c>
      <c r="AA398" s="289">
        <v>719</v>
      </c>
      <c r="AB398" s="289">
        <v>6</v>
      </c>
      <c r="AC398" s="289">
        <v>999999</v>
      </c>
      <c r="AD398" s="287">
        <v>0</v>
      </c>
      <c r="AE398" s="2105">
        <v>75</v>
      </c>
      <c r="AF398" s="170">
        <v>0</v>
      </c>
      <c r="AG398" s="171">
        <v>1</v>
      </c>
      <c r="AH398" s="171">
        <v>1</v>
      </c>
      <c r="AI398" s="171">
        <v>0</v>
      </c>
      <c r="AJ398" s="171">
        <v>0</v>
      </c>
      <c r="AK398" s="171">
        <v>1</v>
      </c>
      <c r="AL398" s="171">
        <v>0</v>
      </c>
      <c r="AM398" s="171">
        <v>1</v>
      </c>
      <c r="AN398" s="171">
        <v>1</v>
      </c>
      <c r="AO398" s="171">
        <v>1</v>
      </c>
      <c r="AP398" s="171">
        <v>1</v>
      </c>
      <c r="AQ398" s="171">
        <v>1</v>
      </c>
      <c r="AR398" s="171">
        <v>1</v>
      </c>
      <c r="AS398" s="171">
        <v>1</v>
      </c>
      <c r="AT398" s="171">
        <v>1</v>
      </c>
      <c r="AU398" s="171">
        <f t="shared" si="162"/>
        <v>0</v>
      </c>
      <c r="AV398" s="171">
        <f t="shared" si="163"/>
        <v>0</v>
      </c>
      <c r="AW398" s="171">
        <f t="shared" si="164"/>
        <v>1</v>
      </c>
      <c r="AX398" s="171">
        <f t="shared" si="152"/>
        <v>1</v>
      </c>
      <c r="AY398" s="171">
        <f t="shared" si="165"/>
        <v>0</v>
      </c>
      <c r="AZ398" s="171">
        <f t="shared" si="166"/>
        <v>1</v>
      </c>
      <c r="BA398" s="172">
        <f t="shared" si="167"/>
        <v>1</v>
      </c>
      <c r="BB398" s="175">
        <f t="shared" si="147"/>
        <v>15</v>
      </c>
      <c r="BC398" s="176">
        <f t="shared" si="148"/>
        <v>14</v>
      </c>
      <c r="BD398" s="176">
        <f t="shared" si="149"/>
        <v>15</v>
      </c>
      <c r="BE398" s="240" t="str">
        <f t="shared" si="161"/>
        <v/>
      </c>
      <c r="BH398" s="199">
        <f>IF(AND(Input_Product=Elig!$C398,Elig_MatchAll_Ct&lt;22,$BC398=(Elig_MatchAll_Ct-1),AF398=0),C398,0)</f>
        <v>0</v>
      </c>
      <c r="BI398" s="199">
        <f>IF(AND(Input_Product=Elig!$C398,Elig_MatchAll_Ct&lt;22,$BC398=(Elig_MatchAll_Ct-1),AG398=0),D398,0)</f>
        <v>0</v>
      </c>
      <c r="BJ398" s="199">
        <f>IF(AND(Input_Product=Elig!$C398,Elig_MatchAll_Ct&lt;22,$BC398=(Elig_MatchAll_Ct-1),AH398=0),E398,0)</f>
        <v>0</v>
      </c>
      <c r="BK398" s="199">
        <f>IF(AND(Input_Product=Elig!$C398,Elig_MatchAll_Ct&lt;22,$BC398=(Elig_MatchAll_Ct-1),AI398=0),F398,0)</f>
        <v>0</v>
      </c>
      <c r="BL398" s="199">
        <f>IF(AND(Input_Product=Elig!$C398,Elig_MatchAll_Ct&lt;22,$BC398=(Elig_MatchAll_Ct-1),AJ398=0),G398,0)</f>
        <v>0</v>
      </c>
      <c r="BM398" s="199">
        <f>IF(AND(Input_Product=Elig!$C398,Elig_MatchAll_Ct&lt;22,$BC398=(Elig_MatchAll_Ct-1),AK398=0),H398,0)</f>
        <v>0</v>
      </c>
      <c r="BN398" s="199">
        <f>IF(AND(Input_Product=Elig!$C398,Elig_MatchAll_Ct&lt;22,$BC398=(Elig_MatchAll_Ct-1),AL398=0),I398,0)</f>
        <v>0</v>
      </c>
      <c r="BO398" s="199">
        <f>IF(AND(Input_Product=Elig!$C398,Elig_MatchAll_Ct&lt;22,$BC398=(Elig_MatchAll_Ct-1),AM398=0),J398,0)</f>
        <v>0</v>
      </c>
      <c r="BP398" s="199">
        <f>IF(AND(Input_Product=Elig!$C398,Elig_MatchAll_Ct&lt;22,$BC398=(Elig_MatchAll_Ct-1),AN398=0),K398,0)</f>
        <v>0</v>
      </c>
      <c r="BQ398" s="199">
        <f>IF(AND(Input_Product=Elig!$C398,Elig_MatchAll_Ct&lt;22,$BC398=(Elig_MatchAll_Ct-1),AP398=0),L398,0)</f>
        <v>0</v>
      </c>
      <c r="BR398" s="199">
        <f>IF(AND(Input_Product=Elig!$C398,Elig_MatchAll_Ct&lt;22,$BC398=(Elig_MatchAll_Ct-1),AO398=0),M398,0)</f>
        <v>0</v>
      </c>
      <c r="BS398" s="199">
        <f>IF(AND(Input_Product=Elig!$C398,Elig_MatchAll_Ct&lt;22,$BC398=(Elig_MatchAll_Ct-1),AQ398=0),N398,0)</f>
        <v>0</v>
      </c>
      <c r="BT398" s="199">
        <f>IF(AND(Input_Product=Elig!$C398,Elig_MatchAll_Ct&lt;22,$BC398=(Elig_MatchAll_Ct-1),AR398=0),O398,0)</f>
        <v>0</v>
      </c>
      <c r="BU398" s="199">
        <f>IF(AND(Input_Product=Elig!$C398,Elig_MatchAll_Ct&lt;22,$BC398=(Elig_MatchAll_Ct-1),AS398=0),P398,0)</f>
        <v>0</v>
      </c>
      <c r="BV398" s="200">
        <f>IF(AND(Input_Product=Elig!$C398,Elig_MatchAll_Ct&lt;22,$BC398=(Elig_MatchAll_Ct-1),AT398=0),Q398,0)</f>
        <v>0</v>
      </c>
      <c r="BW398" s="201">
        <f>IF(AND(Input_Product=Elig!$C398,Elig_MatchAll_Ct&lt;22,$BC398=(Elig_MatchAll_Ct-1),AU398=0),R398,0)</f>
        <v>0</v>
      </c>
      <c r="BX398" s="202">
        <f>IF(AND(Input_Product=Elig!$C398,Elig_MatchAll_Ct&lt;22,$BC398=(Elig_MatchAll_Ct-1),AU398=0),S398,0)</f>
        <v>0</v>
      </c>
      <c r="BY398" s="201">
        <f>IF(AND(Input_Product=Elig!$C398,Elig_MatchAll_Ct&lt;22,$BC398=(Elig_MatchAll_Ct-1),AV398=0),T398,0)</f>
        <v>0</v>
      </c>
      <c r="BZ398" s="202">
        <f>IF(AND(Input_Product=Elig!$C398,Elig_MatchAll_Ct&lt;22,$BC398=(Elig_MatchAll_Ct-1),AV398=0),U398,0)</f>
        <v>0</v>
      </c>
      <c r="CA398" s="201">
        <f>IF(AND(Input_Product=Elig!$C398,Elig_MatchAll_Ct&lt;22,$BC398=(Elig_MatchAll_Ct-1),AW398=0),V398,0)</f>
        <v>0</v>
      </c>
      <c r="CB398" s="202">
        <f>IF(AND(Input_Product=Elig!$C398,Elig_MatchAll_Ct&lt;22,$BC398=(Elig_MatchAll_Ct-1),AW398=0),W398,0)</f>
        <v>0</v>
      </c>
      <c r="CC398" s="201">
        <f>IF(AND(Input_Product=Elig!$C398,Elig_MatchAll_Ct&lt;22,$BC398=(Elig_MatchAll_Ct-1),AX398=0),X398,0)</f>
        <v>0</v>
      </c>
      <c r="CD398" s="202">
        <f>IF(AND(Input_Product=Elig!$C398,Elig_MatchAll_Ct&lt;22,$BC398=(Elig_MatchAll_Ct-1),AX398=0),Y398,0)</f>
        <v>0</v>
      </c>
      <c r="CE398" s="201">
        <f>IF(AND(Input_LTV&lt;=AE398,Input_Product=Elig!$C398,Elig_MatchAll_Ct&lt;22,$BC398=(Elig_MatchAll_Ct-1),AY398=0),Z398,0)</f>
        <v>0</v>
      </c>
      <c r="CF398" s="202">
        <f>IF(AND(Input_LTV&lt;=AE398,Input_Product=Elig!$C398,Elig_MatchAll_Ct&lt;22,$BC398=(Elig_MatchAll_Ct-1),AY398=0),AA398,0)</f>
        <v>0</v>
      </c>
      <c r="CG398" s="201">
        <f>IF(AND(Input_Product=Elig!$C398,Elig_MatchAll_Ct&lt;22,$BC398=(Elig_MatchAll_Ct-1),AZ398=0),AB398,0)</f>
        <v>0</v>
      </c>
      <c r="CH398" s="202">
        <f>IF(AND(Input_Product=Elig!$C398,Elig_MatchAll_Ct&lt;22,$BC398=(Elig_MatchAll_Ct-1),AZ398=0),AC398,0)</f>
        <v>0</v>
      </c>
      <c r="CI398" s="201">
        <f>IF(AND(Input_Product=Elig!$C398,Elig_MatchAll_Ct&lt;22,$BC398=(Elig_MatchAll_Ct-1),BA398=0),AD398,0)</f>
        <v>0</v>
      </c>
      <c r="CJ398" s="202">
        <f>IF(AND(Input_Product=Elig!$C398,Elig_MatchAll_Ct&lt;22,$BC398=(Elig_MatchAll_Ct-1),BA398=0),AE398,0)</f>
        <v>0</v>
      </c>
    </row>
    <row r="399" spans="2:88" ht="10.15" customHeight="1" x14ac:dyDescent="0.25">
      <c r="B399" s="287" t="s">
        <v>1095</v>
      </c>
      <c r="C399" s="286" t="str">
        <f t="shared" si="153"/>
        <v>NonQM NOO</v>
      </c>
      <c r="D399" s="287" t="s">
        <v>3885</v>
      </c>
      <c r="E399" s="287" t="s">
        <v>167</v>
      </c>
      <c r="F399" s="287" t="s">
        <v>330</v>
      </c>
      <c r="G399" s="287" t="s">
        <v>305</v>
      </c>
      <c r="H399" s="287" t="s">
        <v>136</v>
      </c>
      <c r="I399" s="288" t="s">
        <v>274</v>
      </c>
      <c r="J399" s="288" t="s">
        <v>1311</v>
      </c>
      <c r="K399" s="288" t="s">
        <v>1631</v>
      </c>
      <c r="L399" s="300" t="s">
        <v>312</v>
      </c>
      <c r="M399" s="287" t="s">
        <v>4203</v>
      </c>
      <c r="N399" s="287" t="s">
        <v>2685</v>
      </c>
      <c r="O399" s="287" t="s">
        <v>310</v>
      </c>
      <c r="P399" s="287" t="s">
        <v>291</v>
      </c>
      <c r="Q399" s="287" t="s">
        <v>294</v>
      </c>
      <c r="R399" s="287">
        <v>1000000.01</v>
      </c>
      <c r="S399" s="287">
        <v>1500000</v>
      </c>
      <c r="T399" s="287">
        <v>0</v>
      </c>
      <c r="U399" s="287">
        <v>0</v>
      </c>
      <c r="V399" s="287">
        <v>0</v>
      </c>
      <c r="W399" s="287">
        <v>55</v>
      </c>
      <c r="X399" s="287">
        <v>0</v>
      </c>
      <c r="Y399" s="287">
        <v>999</v>
      </c>
      <c r="Z399" s="289">
        <v>680</v>
      </c>
      <c r="AA399" s="289">
        <v>699</v>
      </c>
      <c r="AB399" s="289">
        <v>6</v>
      </c>
      <c r="AC399" s="289">
        <v>999999</v>
      </c>
      <c r="AD399" s="287">
        <v>0</v>
      </c>
      <c r="AE399" s="290">
        <v>70</v>
      </c>
      <c r="AF399" s="170">
        <v>0</v>
      </c>
      <c r="AG399" s="171">
        <v>1</v>
      </c>
      <c r="AH399" s="171">
        <v>1</v>
      </c>
      <c r="AI399" s="171">
        <v>0</v>
      </c>
      <c r="AJ399" s="171">
        <v>0</v>
      </c>
      <c r="AK399" s="171">
        <v>1</v>
      </c>
      <c r="AL399" s="171">
        <v>0</v>
      </c>
      <c r="AM399" s="171">
        <v>1</v>
      </c>
      <c r="AN399" s="171">
        <v>1</v>
      </c>
      <c r="AO399" s="171">
        <v>1</v>
      </c>
      <c r="AP399" s="171">
        <v>1</v>
      </c>
      <c r="AQ399" s="171">
        <v>1</v>
      </c>
      <c r="AR399" s="171">
        <v>1</v>
      </c>
      <c r="AS399" s="171">
        <v>1</v>
      </c>
      <c r="AT399" s="171">
        <v>1</v>
      </c>
      <c r="AU399" s="171">
        <f t="shared" si="162"/>
        <v>0</v>
      </c>
      <c r="AV399" s="171">
        <f t="shared" si="163"/>
        <v>0</v>
      </c>
      <c r="AW399" s="171">
        <f t="shared" si="164"/>
        <v>1</v>
      </c>
      <c r="AX399" s="171">
        <f t="shared" si="152"/>
        <v>1</v>
      </c>
      <c r="AY399" s="171">
        <f t="shared" si="165"/>
        <v>0</v>
      </c>
      <c r="AZ399" s="171">
        <f t="shared" si="166"/>
        <v>1</v>
      </c>
      <c r="BA399" s="172">
        <f t="shared" si="167"/>
        <v>1</v>
      </c>
      <c r="BB399" s="175">
        <f t="shared" si="147"/>
        <v>15</v>
      </c>
      <c r="BC399" s="176">
        <f t="shared" si="148"/>
        <v>14</v>
      </c>
      <c r="BD399" s="176">
        <f t="shared" si="149"/>
        <v>15</v>
      </c>
      <c r="BE399" s="240" t="str">
        <f t="shared" si="161"/>
        <v/>
      </c>
      <c r="BH399" s="199">
        <f>IF(AND(Input_Product=Elig!$C399,Elig_MatchAll_Ct&lt;22,$BC399=(Elig_MatchAll_Ct-1),AF399=0),C399,0)</f>
        <v>0</v>
      </c>
      <c r="BI399" s="199">
        <f>IF(AND(Input_Product=Elig!$C399,Elig_MatchAll_Ct&lt;22,$BC399=(Elig_MatchAll_Ct-1),AG399=0),D399,0)</f>
        <v>0</v>
      </c>
      <c r="BJ399" s="199">
        <f>IF(AND(Input_Product=Elig!$C399,Elig_MatchAll_Ct&lt;22,$BC399=(Elig_MatchAll_Ct-1),AH399=0),E399,0)</f>
        <v>0</v>
      </c>
      <c r="BK399" s="199">
        <f>IF(AND(Input_Product=Elig!$C399,Elig_MatchAll_Ct&lt;22,$BC399=(Elig_MatchAll_Ct-1),AI399=0),F399,0)</f>
        <v>0</v>
      </c>
      <c r="BL399" s="199">
        <f>IF(AND(Input_Product=Elig!$C399,Elig_MatchAll_Ct&lt;22,$BC399=(Elig_MatchAll_Ct-1),AJ399=0),G399,0)</f>
        <v>0</v>
      </c>
      <c r="BM399" s="199">
        <f>IF(AND(Input_Product=Elig!$C399,Elig_MatchAll_Ct&lt;22,$BC399=(Elig_MatchAll_Ct-1),AK399=0),H399,0)</f>
        <v>0</v>
      </c>
      <c r="BN399" s="199">
        <f>IF(AND(Input_Product=Elig!$C399,Elig_MatchAll_Ct&lt;22,$BC399=(Elig_MatchAll_Ct-1),AL399=0),I399,0)</f>
        <v>0</v>
      </c>
      <c r="BO399" s="199">
        <f>IF(AND(Input_Product=Elig!$C399,Elig_MatchAll_Ct&lt;22,$BC399=(Elig_MatchAll_Ct-1),AM399=0),J399,0)</f>
        <v>0</v>
      </c>
      <c r="BP399" s="199">
        <f>IF(AND(Input_Product=Elig!$C399,Elig_MatchAll_Ct&lt;22,$BC399=(Elig_MatchAll_Ct-1),AN399=0),K399,0)</f>
        <v>0</v>
      </c>
      <c r="BQ399" s="199">
        <f>IF(AND(Input_Product=Elig!$C399,Elig_MatchAll_Ct&lt;22,$BC399=(Elig_MatchAll_Ct-1),AP399=0),L399,0)</f>
        <v>0</v>
      </c>
      <c r="BR399" s="199">
        <f>IF(AND(Input_Product=Elig!$C399,Elig_MatchAll_Ct&lt;22,$BC399=(Elig_MatchAll_Ct-1),AO399=0),M399,0)</f>
        <v>0</v>
      </c>
      <c r="BS399" s="199">
        <f>IF(AND(Input_Product=Elig!$C399,Elig_MatchAll_Ct&lt;22,$BC399=(Elig_MatchAll_Ct-1),AQ399=0),N399,0)</f>
        <v>0</v>
      </c>
      <c r="BT399" s="199">
        <f>IF(AND(Input_Product=Elig!$C399,Elig_MatchAll_Ct&lt;22,$BC399=(Elig_MatchAll_Ct-1),AR399=0),O399,0)</f>
        <v>0</v>
      </c>
      <c r="BU399" s="199">
        <f>IF(AND(Input_Product=Elig!$C399,Elig_MatchAll_Ct&lt;22,$BC399=(Elig_MatchAll_Ct-1),AS399=0),P399,0)</f>
        <v>0</v>
      </c>
      <c r="BV399" s="200">
        <f>IF(AND(Input_Product=Elig!$C399,Elig_MatchAll_Ct&lt;22,$BC399=(Elig_MatchAll_Ct-1),AT399=0),Q399,0)</f>
        <v>0</v>
      </c>
      <c r="BW399" s="201">
        <f>IF(AND(Input_Product=Elig!$C399,Elig_MatchAll_Ct&lt;22,$BC399=(Elig_MatchAll_Ct-1),AU399=0),R399,0)</f>
        <v>0</v>
      </c>
      <c r="BX399" s="202">
        <f>IF(AND(Input_Product=Elig!$C399,Elig_MatchAll_Ct&lt;22,$BC399=(Elig_MatchAll_Ct-1),AU399=0),S399,0)</f>
        <v>0</v>
      </c>
      <c r="BY399" s="201">
        <f>IF(AND(Input_Product=Elig!$C399,Elig_MatchAll_Ct&lt;22,$BC399=(Elig_MatchAll_Ct-1),AV399=0),T399,0)</f>
        <v>0</v>
      </c>
      <c r="BZ399" s="202">
        <f>IF(AND(Input_Product=Elig!$C399,Elig_MatchAll_Ct&lt;22,$BC399=(Elig_MatchAll_Ct-1),AV399=0),U399,0)</f>
        <v>0</v>
      </c>
      <c r="CA399" s="201">
        <f>IF(AND(Input_Product=Elig!$C399,Elig_MatchAll_Ct&lt;22,$BC399=(Elig_MatchAll_Ct-1),AW399=0),V399,0)</f>
        <v>0</v>
      </c>
      <c r="CB399" s="202">
        <f>IF(AND(Input_Product=Elig!$C399,Elig_MatchAll_Ct&lt;22,$BC399=(Elig_MatchAll_Ct-1),AW399=0),W399,0)</f>
        <v>0</v>
      </c>
      <c r="CC399" s="201">
        <f>IF(AND(Input_Product=Elig!$C399,Elig_MatchAll_Ct&lt;22,$BC399=(Elig_MatchAll_Ct-1),AX399=0),X399,0)</f>
        <v>0</v>
      </c>
      <c r="CD399" s="202">
        <f>IF(AND(Input_Product=Elig!$C399,Elig_MatchAll_Ct&lt;22,$BC399=(Elig_MatchAll_Ct-1),AX399=0),Y399,0)</f>
        <v>0</v>
      </c>
      <c r="CE399" s="201">
        <f>IF(AND(Input_LTV&lt;=AE399,Input_Product=Elig!$C399,Elig_MatchAll_Ct&lt;22,$BC399=(Elig_MatchAll_Ct-1),AY399=0),Z399,0)</f>
        <v>0</v>
      </c>
      <c r="CF399" s="202">
        <f>IF(AND(Input_LTV&lt;=AE399,Input_Product=Elig!$C399,Elig_MatchAll_Ct&lt;22,$BC399=(Elig_MatchAll_Ct-1),AY399=0),AA399,0)</f>
        <v>0</v>
      </c>
      <c r="CG399" s="201">
        <f>IF(AND(Input_Product=Elig!$C399,Elig_MatchAll_Ct&lt;22,$BC399=(Elig_MatchAll_Ct-1),AZ399=0),AB399,0)</f>
        <v>0</v>
      </c>
      <c r="CH399" s="202">
        <f>IF(AND(Input_Product=Elig!$C399,Elig_MatchAll_Ct&lt;22,$BC399=(Elig_MatchAll_Ct-1),AZ399=0),AC399,0)</f>
        <v>0</v>
      </c>
      <c r="CI399" s="201">
        <f>IF(AND(Input_Product=Elig!$C399,Elig_MatchAll_Ct&lt;22,$BC399=(Elig_MatchAll_Ct-1),BA399=0),AD399,0)</f>
        <v>0</v>
      </c>
      <c r="CJ399" s="202">
        <f>IF(AND(Input_Product=Elig!$C399,Elig_MatchAll_Ct&lt;22,$BC399=(Elig_MatchAll_Ct-1),BA399=0),AE399,0)</f>
        <v>0</v>
      </c>
    </row>
    <row r="400" spans="2:88" ht="10.15" customHeight="1" x14ac:dyDescent="0.25">
      <c r="B400" s="287" t="s">
        <v>1096</v>
      </c>
      <c r="C400" s="286" t="str">
        <f t="shared" si="153"/>
        <v>NonQM NOO</v>
      </c>
      <c r="D400" s="287" t="s">
        <v>3885</v>
      </c>
      <c r="E400" s="287" t="s">
        <v>167</v>
      </c>
      <c r="F400" s="287" t="s">
        <v>330</v>
      </c>
      <c r="G400" s="287" t="s">
        <v>305</v>
      </c>
      <c r="H400" s="287" t="s">
        <v>136</v>
      </c>
      <c r="I400" s="288" t="s">
        <v>274</v>
      </c>
      <c r="J400" s="288" t="s">
        <v>1311</v>
      </c>
      <c r="K400" s="288" t="s">
        <v>1631</v>
      </c>
      <c r="L400" s="300" t="s">
        <v>312</v>
      </c>
      <c r="M400" s="287" t="s">
        <v>4203</v>
      </c>
      <c r="N400" s="287" t="s">
        <v>2685</v>
      </c>
      <c r="O400" s="287" t="s">
        <v>310</v>
      </c>
      <c r="P400" s="287" t="s">
        <v>291</v>
      </c>
      <c r="Q400" s="287" t="s">
        <v>294</v>
      </c>
      <c r="R400" s="287">
        <v>1000000.01</v>
      </c>
      <c r="S400" s="287">
        <v>1500000</v>
      </c>
      <c r="T400" s="287">
        <v>0</v>
      </c>
      <c r="U400" s="287">
        <v>0</v>
      </c>
      <c r="V400" s="287">
        <v>0</v>
      </c>
      <c r="W400" s="287">
        <v>50</v>
      </c>
      <c r="X400" s="287">
        <v>0</v>
      </c>
      <c r="Y400" s="287">
        <v>999</v>
      </c>
      <c r="Z400" s="289">
        <v>660</v>
      </c>
      <c r="AA400" s="289">
        <v>679</v>
      </c>
      <c r="AB400" s="289">
        <v>6</v>
      </c>
      <c r="AC400" s="289">
        <v>999999</v>
      </c>
      <c r="AD400" s="287">
        <v>0</v>
      </c>
      <c r="AE400" s="290">
        <v>70</v>
      </c>
      <c r="AF400" s="170">
        <v>0</v>
      </c>
      <c r="AG400" s="171">
        <v>1</v>
      </c>
      <c r="AH400" s="171">
        <v>1</v>
      </c>
      <c r="AI400" s="171">
        <v>0</v>
      </c>
      <c r="AJ400" s="171">
        <v>0</v>
      </c>
      <c r="AK400" s="171">
        <v>1</v>
      </c>
      <c r="AL400" s="171">
        <v>0</v>
      </c>
      <c r="AM400" s="171">
        <v>1</v>
      </c>
      <c r="AN400" s="171">
        <v>1</v>
      </c>
      <c r="AO400" s="171">
        <v>1</v>
      </c>
      <c r="AP400" s="171">
        <v>1</v>
      </c>
      <c r="AQ400" s="171">
        <v>1</v>
      </c>
      <c r="AR400" s="171">
        <v>1</v>
      </c>
      <c r="AS400" s="171">
        <v>1</v>
      </c>
      <c r="AT400" s="171">
        <v>1</v>
      </c>
      <c r="AU400" s="171">
        <f t="shared" si="162"/>
        <v>0</v>
      </c>
      <c r="AV400" s="171">
        <f t="shared" si="163"/>
        <v>0</v>
      </c>
      <c r="AW400" s="171">
        <f t="shared" si="164"/>
        <v>1</v>
      </c>
      <c r="AX400" s="171">
        <f t="shared" si="152"/>
        <v>1</v>
      </c>
      <c r="AY400" s="171">
        <f t="shared" si="165"/>
        <v>0</v>
      </c>
      <c r="AZ400" s="171">
        <f t="shared" si="166"/>
        <v>1</v>
      </c>
      <c r="BA400" s="172">
        <f t="shared" si="167"/>
        <v>1</v>
      </c>
      <c r="BB400" s="175">
        <f t="shared" si="147"/>
        <v>15</v>
      </c>
      <c r="BC400" s="176">
        <f t="shared" si="148"/>
        <v>14</v>
      </c>
      <c r="BD400" s="176">
        <f t="shared" si="149"/>
        <v>15</v>
      </c>
      <c r="BE400" s="240" t="str">
        <f t="shared" si="161"/>
        <v/>
      </c>
      <c r="BH400" s="199">
        <f>IF(AND(Input_Product=Elig!$C400,Elig_MatchAll_Ct&lt;22,$BC400=(Elig_MatchAll_Ct-1),AF400=0),C400,0)</f>
        <v>0</v>
      </c>
      <c r="BI400" s="199">
        <f>IF(AND(Input_Product=Elig!$C400,Elig_MatchAll_Ct&lt;22,$BC400=(Elig_MatchAll_Ct-1),AG400=0),D400,0)</f>
        <v>0</v>
      </c>
      <c r="BJ400" s="199">
        <f>IF(AND(Input_Product=Elig!$C400,Elig_MatchAll_Ct&lt;22,$BC400=(Elig_MatchAll_Ct-1),AH400=0),E400,0)</f>
        <v>0</v>
      </c>
      <c r="BK400" s="199">
        <f>IF(AND(Input_Product=Elig!$C400,Elig_MatchAll_Ct&lt;22,$BC400=(Elig_MatchAll_Ct-1),AI400=0),F400,0)</f>
        <v>0</v>
      </c>
      <c r="BL400" s="199">
        <f>IF(AND(Input_Product=Elig!$C400,Elig_MatchAll_Ct&lt;22,$BC400=(Elig_MatchAll_Ct-1),AJ400=0),G400,0)</f>
        <v>0</v>
      </c>
      <c r="BM400" s="199">
        <f>IF(AND(Input_Product=Elig!$C400,Elig_MatchAll_Ct&lt;22,$BC400=(Elig_MatchAll_Ct-1),AK400=0),H400,0)</f>
        <v>0</v>
      </c>
      <c r="BN400" s="199">
        <f>IF(AND(Input_Product=Elig!$C400,Elig_MatchAll_Ct&lt;22,$BC400=(Elig_MatchAll_Ct-1),AL400=0),I400,0)</f>
        <v>0</v>
      </c>
      <c r="BO400" s="199">
        <f>IF(AND(Input_Product=Elig!$C400,Elig_MatchAll_Ct&lt;22,$BC400=(Elig_MatchAll_Ct-1),AM400=0),J400,0)</f>
        <v>0</v>
      </c>
      <c r="BP400" s="199">
        <f>IF(AND(Input_Product=Elig!$C400,Elig_MatchAll_Ct&lt;22,$BC400=(Elig_MatchAll_Ct-1),AN400=0),K400,0)</f>
        <v>0</v>
      </c>
      <c r="BQ400" s="199">
        <f>IF(AND(Input_Product=Elig!$C400,Elig_MatchAll_Ct&lt;22,$BC400=(Elig_MatchAll_Ct-1),AP400=0),L400,0)</f>
        <v>0</v>
      </c>
      <c r="BR400" s="199">
        <f>IF(AND(Input_Product=Elig!$C400,Elig_MatchAll_Ct&lt;22,$BC400=(Elig_MatchAll_Ct-1),AO400=0),M400,0)</f>
        <v>0</v>
      </c>
      <c r="BS400" s="199">
        <f>IF(AND(Input_Product=Elig!$C400,Elig_MatchAll_Ct&lt;22,$BC400=(Elig_MatchAll_Ct-1),AQ400=0),N400,0)</f>
        <v>0</v>
      </c>
      <c r="BT400" s="199">
        <f>IF(AND(Input_Product=Elig!$C400,Elig_MatchAll_Ct&lt;22,$BC400=(Elig_MatchAll_Ct-1),AR400=0),O400,0)</f>
        <v>0</v>
      </c>
      <c r="BU400" s="199">
        <f>IF(AND(Input_Product=Elig!$C400,Elig_MatchAll_Ct&lt;22,$BC400=(Elig_MatchAll_Ct-1),AS400=0),P400,0)</f>
        <v>0</v>
      </c>
      <c r="BV400" s="200">
        <f>IF(AND(Input_Product=Elig!$C400,Elig_MatchAll_Ct&lt;22,$BC400=(Elig_MatchAll_Ct-1),AT400=0),Q400,0)</f>
        <v>0</v>
      </c>
      <c r="BW400" s="201">
        <f>IF(AND(Input_Product=Elig!$C400,Elig_MatchAll_Ct&lt;22,$BC400=(Elig_MatchAll_Ct-1),AU400=0),R400,0)</f>
        <v>0</v>
      </c>
      <c r="BX400" s="202">
        <f>IF(AND(Input_Product=Elig!$C400,Elig_MatchAll_Ct&lt;22,$BC400=(Elig_MatchAll_Ct-1),AU400=0),S400,0)</f>
        <v>0</v>
      </c>
      <c r="BY400" s="201">
        <f>IF(AND(Input_Product=Elig!$C400,Elig_MatchAll_Ct&lt;22,$BC400=(Elig_MatchAll_Ct-1),AV400=0),T400,0)</f>
        <v>0</v>
      </c>
      <c r="BZ400" s="202">
        <f>IF(AND(Input_Product=Elig!$C400,Elig_MatchAll_Ct&lt;22,$BC400=(Elig_MatchAll_Ct-1),AV400=0),U400,0)</f>
        <v>0</v>
      </c>
      <c r="CA400" s="201">
        <f>IF(AND(Input_Product=Elig!$C400,Elig_MatchAll_Ct&lt;22,$BC400=(Elig_MatchAll_Ct-1),AW400=0),V400,0)</f>
        <v>0</v>
      </c>
      <c r="CB400" s="202">
        <f>IF(AND(Input_Product=Elig!$C400,Elig_MatchAll_Ct&lt;22,$BC400=(Elig_MatchAll_Ct-1),AW400=0),W400,0)</f>
        <v>0</v>
      </c>
      <c r="CC400" s="201">
        <f>IF(AND(Input_Product=Elig!$C400,Elig_MatchAll_Ct&lt;22,$BC400=(Elig_MatchAll_Ct-1),AX400=0),X400,0)</f>
        <v>0</v>
      </c>
      <c r="CD400" s="202">
        <f>IF(AND(Input_Product=Elig!$C400,Elig_MatchAll_Ct&lt;22,$BC400=(Elig_MatchAll_Ct-1),AX400=0),Y400,0)</f>
        <v>0</v>
      </c>
      <c r="CE400" s="201">
        <f>IF(AND(Input_LTV&lt;=AE400,Input_Product=Elig!$C400,Elig_MatchAll_Ct&lt;22,$BC400=(Elig_MatchAll_Ct-1),AY400=0),Z400,0)</f>
        <v>0</v>
      </c>
      <c r="CF400" s="202">
        <f>IF(AND(Input_LTV&lt;=AE400,Input_Product=Elig!$C400,Elig_MatchAll_Ct&lt;22,$BC400=(Elig_MatchAll_Ct-1),AY400=0),AA400,0)</f>
        <v>0</v>
      </c>
      <c r="CG400" s="201">
        <f>IF(AND(Input_Product=Elig!$C400,Elig_MatchAll_Ct&lt;22,$BC400=(Elig_MatchAll_Ct-1),AZ400=0),AB400,0)</f>
        <v>0</v>
      </c>
      <c r="CH400" s="202">
        <f>IF(AND(Input_Product=Elig!$C400,Elig_MatchAll_Ct&lt;22,$BC400=(Elig_MatchAll_Ct-1),AZ400=0),AC400,0)</f>
        <v>0</v>
      </c>
      <c r="CI400" s="201">
        <f>IF(AND(Input_Product=Elig!$C400,Elig_MatchAll_Ct&lt;22,$BC400=(Elig_MatchAll_Ct-1),BA400=0),AD400,0)</f>
        <v>0</v>
      </c>
      <c r="CJ400" s="202">
        <f>IF(AND(Input_Product=Elig!$C400,Elig_MatchAll_Ct&lt;22,$BC400=(Elig_MatchAll_Ct-1),BA400=0),AE400,0)</f>
        <v>0</v>
      </c>
    </row>
    <row r="401" spans="2:88" ht="10.15" customHeight="1" x14ac:dyDescent="0.25">
      <c r="B401" s="287" t="s">
        <v>1097</v>
      </c>
      <c r="C401" s="286" t="str">
        <f t="shared" si="153"/>
        <v>NonQM NOO</v>
      </c>
      <c r="D401" s="287" t="s">
        <v>3885</v>
      </c>
      <c r="E401" s="287" t="s">
        <v>167</v>
      </c>
      <c r="F401" s="287" t="s">
        <v>330</v>
      </c>
      <c r="G401" s="287" t="s">
        <v>305</v>
      </c>
      <c r="H401" s="287" t="s">
        <v>136</v>
      </c>
      <c r="I401" s="288" t="s">
        <v>274</v>
      </c>
      <c r="J401" s="288" t="s">
        <v>1311</v>
      </c>
      <c r="K401" s="288" t="s">
        <v>1631</v>
      </c>
      <c r="L401" s="300" t="s">
        <v>312</v>
      </c>
      <c r="M401" s="287" t="s">
        <v>4203</v>
      </c>
      <c r="N401" s="287" t="s">
        <v>2685</v>
      </c>
      <c r="O401" s="287" t="s">
        <v>310</v>
      </c>
      <c r="P401" s="287" t="s">
        <v>291</v>
      </c>
      <c r="Q401" s="287" t="s">
        <v>294</v>
      </c>
      <c r="R401" s="287">
        <v>1000000.01</v>
      </c>
      <c r="S401" s="287">
        <v>1500000</v>
      </c>
      <c r="T401" s="287">
        <v>0</v>
      </c>
      <c r="U401" s="287">
        <v>0</v>
      </c>
      <c r="V401" s="287">
        <v>0</v>
      </c>
      <c r="W401" s="287">
        <v>50</v>
      </c>
      <c r="X401" s="287">
        <v>0</v>
      </c>
      <c r="Y401" s="287">
        <v>999</v>
      </c>
      <c r="Z401" s="289">
        <v>640</v>
      </c>
      <c r="AA401" s="289">
        <v>659</v>
      </c>
      <c r="AB401" s="289">
        <v>6</v>
      </c>
      <c r="AC401" s="289">
        <v>999999</v>
      </c>
      <c r="AD401" s="287">
        <v>0</v>
      </c>
      <c r="AE401" s="290">
        <v>-999</v>
      </c>
      <c r="AF401" s="170">
        <v>0</v>
      </c>
      <c r="AG401" s="171">
        <v>1</v>
      </c>
      <c r="AH401" s="171">
        <v>1</v>
      </c>
      <c r="AI401" s="171">
        <v>0</v>
      </c>
      <c r="AJ401" s="171">
        <v>0</v>
      </c>
      <c r="AK401" s="171">
        <v>1</v>
      </c>
      <c r="AL401" s="171">
        <v>0</v>
      </c>
      <c r="AM401" s="171">
        <v>1</v>
      </c>
      <c r="AN401" s="171">
        <v>1</v>
      </c>
      <c r="AO401" s="171">
        <v>1</v>
      </c>
      <c r="AP401" s="171">
        <v>1</v>
      </c>
      <c r="AQ401" s="171">
        <v>1</v>
      </c>
      <c r="AR401" s="171">
        <v>1</v>
      </c>
      <c r="AS401" s="171">
        <v>1</v>
      </c>
      <c r="AT401" s="171">
        <v>1</v>
      </c>
      <c r="AU401" s="171">
        <f t="shared" si="162"/>
        <v>0</v>
      </c>
      <c r="AV401" s="171">
        <f t="shared" si="163"/>
        <v>0</v>
      </c>
      <c r="AW401" s="171">
        <f t="shared" si="164"/>
        <v>1</v>
      </c>
      <c r="AX401" s="171">
        <f t="shared" si="152"/>
        <v>1</v>
      </c>
      <c r="AY401" s="171">
        <f t="shared" si="165"/>
        <v>0</v>
      </c>
      <c r="AZ401" s="171">
        <f t="shared" si="166"/>
        <v>1</v>
      </c>
      <c r="BA401" s="172">
        <f t="shared" si="167"/>
        <v>0</v>
      </c>
      <c r="BB401" s="175">
        <f t="shared" si="147"/>
        <v>14</v>
      </c>
      <c r="BC401" s="176">
        <f t="shared" si="148"/>
        <v>14</v>
      </c>
      <c r="BD401" s="176">
        <f t="shared" si="149"/>
        <v>14</v>
      </c>
      <c r="BE401" s="240" t="str">
        <f t="shared" si="161"/>
        <v/>
      </c>
      <c r="BH401" s="199">
        <f>IF(AND(Input_Product=Elig!$C401,Elig_MatchAll_Ct&lt;22,$BC401=(Elig_MatchAll_Ct-1),AF401=0),C401,0)</f>
        <v>0</v>
      </c>
      <c r="BI401" s="199">
        <f>IF(AND(Input_Product=Elig!$C401,Elig_MatchAll_Ct&lt;22,$BC401=(Elig_MatchAll_Ct-1),AG401=0),D401,0)</f>
        <v>0</v>
      </c>
      <c r="BJ401" s="199">
        <f>IF(AND(Input_Product=Elig!$C401,Elig_MatchAll_Ct&lt;22,$BC401=(Elig_MatchAll_Ct-1),AH401=0),E401,0)</f>
        <v>0</v>
      </c>
      <c r="BK401" s="199">
        <f>IF(AND(Input_Product=Elig!$C401,Elig_MatchAll_Ct&lt;22,$BC401=(Elig_MatchAll_Ct-1),AI401=0),F401,0)</f>
        <v>0</v>
      </c>
      <c r="BL401" s="199">
        <f>IF(AND(Input_Product=Elig!$C401,Elig_MatchAll_Ct&lt;22,$BC401=(Elig_MatchAll_Ct-1),AJ401=0),G401,0)</f>
        <v>0</v>
      </c>
      <c r="BM401" s="199">
        <f>IF(AND(Input_Product=Elig!$C401,Elig_MatchAll_Ct&lt;22,$BC401=(Elig_MatchAll_Ct-1),AK401=0),H401,0)</f>
        <v>0</v>
      </c>
      <c r="BN401" s="199">
        <f>IF(AND(Input_Product=Elig!$C401,Elig_MatchAll_Ct&lt;22,$BC401=(Elig_MatchAll_Ct-1),AL401=0),I401,0)</f>
        <v>0</v>
      </c>
      <c r="BO401" s="199">
        <f>IF(AND(Input_Product=Elig!$C401,Elig_MatchAll_Ct&lt;22,$BC401=(Elig_MatchAll_Ct-1),AM401=0),J401,0)</f>
        <v>0</v>
      </c>
      <c r="BP401" s="199">
        <f>IF(AND(Input_Product=Elig!$C401,Elig_MatchAll_Ct&lt;22,$BC401=(Elig_MatchAll_Ct-1),AN401=0),K401,0)</f>
        <v>0</v>
      </c>
      <c r="BQ401" s="199">
        <f>IF(AND(Input_Product=Elig!$C401,Elig_MatchAll_Ct&lt;22,$BC401=(Elig_MatchAll_Ct-1),AP401=0),L401,0)</f>
        <v>0</v>
      </c>
      <c r="BR401" s="199">
        <f>IF(AND(Input_Product=Elig!$C401,Elig_MatchAll_Ct&lt;22,$BC401=(Elig_MatchAll_Ct-1),AO401=0),M401,0)</f>
        <v>0</v>
      </c>
      <c r="BS401" s="199">
        <f>IF(AND(Input_Product=Elig!$C401,Elig_MatchAll_Ct&lt;22,$BC401=(Elig_MatchAll_Ct-1),AQ401=0),N401,0)</f>
        <v>0</v>
      </c>
      <c r="BT401" s="199">
        <f>IF(AND(Input_Product=Elig!$C401,Elig_MatchAll_Ct&lt;22,$BC401=(Elig_MatchAll_Ct-1),AR401=0),O401,0)</f>
        <v>0</v>
      </c>
      <c r="BU401" s="199">
        <f>IF(AND(Input_Product=Elig!$C401,Elig_MatchAll_Ct&lt;22,$BC401=(Elig_MatchAll_Ct-1),AS401=0),P401,0)</f>
        <v>0</v>
      </c>
      <c r="BV401" s="200">
        <f>IF(AND(Input_Product=Elig!$C401,Elig_MatchAll_Ct&lt;22,$BC401=(Elig_MatchAll_Ct-1),AT401=0),Q401,0)</f>
        <v>0</v>
      </c>
      <c r="BW401" s="201">
        <f>IF(AND(Input_Product=Elig!$C401,Elig_MatchAll_Ct&lt;22,$BC401=(Elig_MatchAll_Ct-1),AU401=0),R401,0)</f>
        <v>0</v>
      </c>
      <c r="BX401" s="202">
        <f>IF(AND(Input_Product=Elig!$C401,Elig_MatchAll_Ct&lt;22,$BC401=(Elig_MatchAll_Ct-1),AU401=0),S401,0)</f>
        <v>0</v>
      </c>
      <c r="BY401" s="201">
        <f>IF(AND(Input_Product=Elig!$C401,Elig_MatchAll_Ct&lt;22,$BC401=(Elig_MatchAll_Ct-1),AV401=0),T401,0)</f>
        <v>0</v>
      </c>
      <c r="BZ401" s="202">
        <f>IF(AND(Input_Product=Elig!$C401,Elig_MatchAll_Ct&lt;22,$BC401=(Elig_MatchAll_Ct-1),AV401=0),U401,0)</f>
        <v>0</v>
      </c>
      <c r="CA401" s="201">
        <f>IF(AND(Input_Product=Elig!$C401,Elig_MatchAll_Ct&lt;22,$BC401=(Elig_MatchAll_Ct-1),AW401=0),V401,0)</f>
        <v>0</v>
      </c>
      <c r="CB401" s="202">
        <f>IF(AND(Input_Product=Elig!$C401,Elig_MatchAll_Ct&lt;22,$BC401=(Elig_MatchAll_Ct-1),AW401=0),W401,0)</f>
        <v>0</v>
      </c>
      <c r="CC401" s="201">
        <f>IF(AND(Input_Product=Elig!$C401,Elig_MatchAll_Ct&lt;22,$BC401=(Elig_MatchAll_Ct-1),AX401=0),X401,0)</f>
        <v>0</v>
      </c>
      <c r="CD401" s="202">
        <f>IF(AND(Input_Product=Elig!$C401,Elig_MatchAll_Ct&lt;22,$BC401=(Elig_MatchAll_Ct-1),AX401=0),Y401,0)</f>
        <v>0</v>
      </c>
      <c r="CE401" s="201">
        <f>IF(AND(Input_LTV&lt;=AE401,Input_Product=Elig!$C401,Elig_MatchAll_Ct&lt;22,$BC401=(Elig_MatchAll_Ct-1),AY401=0),Z401,0)</f>
        <v>0</v>
      </c>
      <c r="CF401" s="202">
        <f>IF(AND(Input_LTV&lt;=AE401,Input_Product=Elig!$C401,Elig_MatchAll_Ct&lt;22,$BC401=(Elig_MatchAll_Ct-1),AY401=0),AA401,0)</f>
        <v>0</v>
      </c>
      <c r="CG401" s="201">
        <f>IF(AND(Input_Product=Elig!$C401,Elig_MatchAll_Ct&lt;22,$BC401=(Elig_MatchAll_Ct-1),AZ401=0),AB401,0)</f>
        <v>0</v>
      </c>
      <c r="CH401" s="202">
        <f>IF(AND(Input_Product=Elig!$C401,Elig_MatchAll_Ct&lt;22,$BC401=(Elig_MatchAll_Ct-1),AZ401=0),AC401,0)</f>
        <v>0</v>
      </c>
      <c r="CI401" s="201">
        <f>IF(AND(Input_Product=Elig!$C401,Elig_MatchAll_Ct&lt;22,$BC401=(Elig_MatchAll_Ct-1),BA401=0),AD401,0)</f>
        <v>0</v>
      </c>
      <c r="CJ401" s="202">
        <f>IF(AND(Input_Product=Elig!$C401,Elig_MatchAll_Ct&lt;22,$BC401=(Elig_MatchAll_Ct-1),BA401=0),AE401,0)</f>
        <v>0</v>
      </c>
    </row>
    <row r="402" spans="2:88" ht="10.15" customHeight="1" x14ac:dyDescent="0.25">
      <c r="B402" s="287" t="s">
        <v>1098</v>
      </c>
      <c r="C402" s="291" t="str">
        <f t="shared" si="153"/>
        <v>NonQM NOO</v>
      </c>
      <c r="D402" s="292" t="s">
        <v>3885</v>
      </c>
      <c r="E402" s="292" t="s">
        <v>167</v>
      </c>
      <c r="F402" s="292" t="s">
        <v>330</v>
      </c>
      <c r="G402" s="292" t="s">
        <v>305</v>
      </c>
      <c r="H402" s="292" t="s">
        <v>136</v>
      </c>
      <c r="I402" s="295" t="s">
        <v>274</v>
      </c>
      <c r="J402" s="295" t="s">
        <v>1311</v>
      </c>
      <c r="K402" s="295" t="s">
        <v>1631</v>
      </c>
      <c r="L402" s="324" t="s">
        <v>312</v>
      </c>
      <c r="M402" s="292" t="s">
        <v>4203</v>
      </c>
      <c r="N402" s="292" t="s">
        <v>2685</v>
      </c>
      <c r="O402" s="292" t="s">
        <v>310</v>
      </c>
      <c r="P402" s="292" t="s">
        <v>291</v>
      </c>
      <c r="Q402" s="292" t="s">
        <v>294</v>
      </c>
      <c r="R402" s="292">
        <v>1000000.01</v>
      </c>
      <c r="S402" s="292">
        <v>1500000</v>
      </c>
      <c r="T402" s="292">
        <v>0</v>
      </c>
      <c r="U402" s="292">
        <v>0</v>
      </c>
      <c r="V402" s="292">
        <v>0</v>
      </c>
      <c r="W402" s="292">
        <v>50</v>
      </c>
      <c r="X402" s="292">
        <v>0</v>
      </c>
      <c r="Y402" s="292">
        <v>999</v>
      </c>
      <c r="Z402" s="293">
        <v>620</v>
      </c>
      <c r="AA402" s="293">
        <v>639</v>
      </c>
      <c r="AB402" s="293">
        <v>6</v>
      </c>
      <c r="AC402" s="293">
        <v>999999</v>
      </c>
      <c r="AD402" s="292">
        <v>0</v>
      </c>
      <c r="AE402" s="294">
        <v>-999</v>
      </c>
      <c r="AF402" s="170">
        <v>0</v>
      </c>
      <c r="AG402" s="171">
        <v>1</v>
      </c>
      <c r="AH402" s="171">
        <v>1</v>
      </c>
      <c r="AI402" s="171">
        <v>0</v>
      </c>
      <c r="AJ402" s="171">
        <v>0</v>
      </c>
      <c r="AK402" s="171">
        <v>1</v>
      </c>
      <c r="AL402" s="171">
        <v>0</v>
      </c>
      <c r="AM402" s="171">
        <v>1</v>
      </c>
      <c r="AN402" s="171">
        <v>1</v>
      </c>
      <c r="AO402" s="171">
        <v>1</v>
      </c>
      <c r="AP402" s="171">
        <v>1</v>
      </c>
      <c r="AQ402" s="171">
        <v>1</v>
      </c>
      <c r="AR402" s="171">
        <v>1</v>
      </c>
      <c r="AS402" s="171">
        <v>1</v>
      </c>
      <c r="AT402" s="171">
        <v>1</v>
      </c>
      <c r="AU402" s="171">
        <f t="shared" si="162"/>
        <v>0</v>
      </c>
      <c r="AV402" s="171">
        <f t="shared" si="163"/>
        <v>0</v>
      </c>
      <c r="AW402" s="171">
        <f t="shared" si="164"/>
        <v>1</v>
      </c>
      <c r="AX402" s="171">
        <f t="shared" si="152"/>
        <v>1</v>
      </c>
      <c r="AY402" s="171">
        <f t="shared" si="165"/>
        <v>0</v>
      </c>
      <c r="AZ402" s="171">
        <f t="shared" si="166"/>
        <v>1</v>
      </c>
      <c r="BA402" s="172">
        <f t="shared" si="167"/>
        <v>0</v>
      </c>
      <c r="BB402" s="175">
        <f t="shared" si="147"/>
        <v>14</v>
      </c>
      <c r="BC402" s="176">
        <f t="shared" si="148"/>
        <v>14</v>
      </c>
      <c r="BD402" s="176">
        <f t="shared" si="149"/>
        <v>14</v>
      </c>
      <c r="BE402" s="240" t="str">
        <f t="shared" si="161"/>
        <v/>
      </c>
      <c r="BH402" s="214">
        <f>IF(AND(Input_Product=Elig!$C402,Elig_MatchAll_Ct&lt;22,$BC402=(Elig_MatchAll_Ct-1),AF402=0),C402,0)</f>
        <v>0</v>
      </c>
      <c r="BI402" s="214">
        <f>IF(AND(Input_Product=Elig!$C402,Elig_MatchAll_Ct&lt;22,$BC402=(Elig_MatchAll_Ct-1),AG402=0),D402,0)</f>
        <v>0</v>
      </c>
      <c r="BJ402" s="214">
        <f>IF(AND(Input_Product=Elig!$C402,Elig_MatchAll_Ct&lt;22,$BC402=(Elig_MatchAll_Ct-1),AH402=0),E402,0)</f>
        <v>0</v>
      </c>
      <c r="BK402" s="214">
        <f>IF(AND(Input_Product=Elig!$C402,Elig_MatchAll_Ct&lt;22,$BC402=(Elig_MatchAll_Ct-1),AI402=0),F402,0)</f>
        <v>0</v>
      </c>
      <c r="BL402" s="214">
        <f>IF(AND(Input_Product=Elig!$C402,Elig_MatchAll_Ct&lt;22,$BC402=(Elig_MatchAll_Ct-1),AJ402=0),G402,0)</f>
        <v>0</v>
      </c>
      <c r="BM402" s="214">
        <f>IF(AND(Input_Product=Elig!$C402,Elig_MatchAll_Ct&lt;22,$BC402=(Elig_MatchAll_Ct-1),AK402=0),H402,0)</f>
        <v>0</v>
      </c>
      <c r="BN402" s="214">
        <f>IF(AND(Input_Product=Elig!$C402,Elig_MatchAll_Ct&lt;22,$BC402=(Elig_MatchAll_Ct-1),AL402=0),I402,0)</f>
        <v>0</v>
      </c>
      <c r="BO402" s="214">
        <f>IF(AND(Input_Product=Elig!$C402,Elig_MatchAll_Ct&lt;22,$BC402=(Elig_MatchAll_Ct-1),AM402=0),J402,0)</f>
        <v>0</v>
      </c>
      <c r="BP402" s="214">
        <f>IF(AND(Input_Product=Elig!$C402,Elig_MatchAll_Ct&lt;22,$BC402=(Elig_MatchAll_Ct-1),AN402=0),K402,0)</f>
        <v>0</v>
      </c>
      <c r="BQ402" s="214">
        <f>IF(AND(Input_Product=Elig!$C402,Elig_MatchAll_Ct&lt;22,$BC402=(Elig_MatchAll_Ct-1),AP402=0),L402,0)</f>
        <v>0</v>
      </c>
      <c r="BR402" s="214">
        <f>IF(AND(Input_Product=Elig!$C402,Elig_MatchAll_Ct&lt;22,$BC402=(Elig_MatchAll_Ct-1),AO402=0),M402,0)</f>
        <v>0</v>
      </c>
      <c r="BS402" s="214">
        <f>IF(AND(Input_Product=Elig!$C402,Elig_MatchAll_Ct&lt;22,$BC402=(Elig_MatchAll_Ct-1),AQ402=0),N402,0)</f>
        <v>0</v>
      </c>
      <c r="BT402" s="214">
        <f>IF(AND(Input_Product=Elig!$C402,Elig_MatchAll_Ct&lt;22,$BC402=(Elig_MatchAll_Ct-1),AR402=0),O402,0)</f>
        <v>0</v>
      </c>
      <c r="BU402" s="214">
        <f>IF(AND(Input_Product=Elig!$C402,Elig_MatchAll_Ct&lt;22,$BC402=(Elig_MatchAll_Ct-1),AS402=0),P402,0)</f>
        <v>0</v>
      </c>
      <c r="BV402" s="215">
        <f>IF(AND(Input_Product=Elig!$C402,Elig_MatchAll_Ct&lt;22,$BC402=(Elig_MatchAll_Ct-1),AT402=0),Q402,0)</f>
        <v>0</v>
      </c>
      <c r="BW402" s="207">
        <f>IF(AND(Input_Product=Elig!$C402,Elig_MatchAll_Ct&lt;22,$BC402=(Elig_MatchAll_Ct-1),AU402=0),R402,0)</f>
        <v>0</v>
      </c>
      <c r="BX402" s="208">
        <f>IF(AND(Input_Product=Elig!$C402,Elig_MatchAll_Ct&lt;22,$BC402=(Elig_MatchAll_Ct-1),AU402=0),S402,0)</f>
        <v>0</v>
      </c>
      <c r="BY402" s="207">
        <f>IF(AND(Input_Product=Elig!$C402,Elig_MatchAll_Ct&lt;22,$BC402=(Elig_MatchAll_Ct-1),AV402=0),T402,0)</f>
        <v>0</v>
      </c>
      <c r="BZ402" s="208">
        <f>IF(AND(Input_Product=Elig!$C402,Elig_MatchAll_Ct&lt;22,$BC402=(Elig_MatchAll_Ct-1),AV402=0),U402,0)</f>
        <v>0</v>
      </c>
      <c r="CA402" s="207">
        <f>IF(AND(Input_Product=Elig!$C402,Elig_MatchAll_Ct&lt;22,$BC402=(Elig_MatchAll_Ct-1),AW402=0),V402,0)</f>
        <v>0</v>
      </c>
      <c r="CB402" s="208">
        <f>IF(AND(Input_Product=Elig!$C402,Elig_MatchAll_Ct&lt;22,$BC402=(Elig_MatchAll_Ct-1),AW402=0),W402,0)</f>
        <v>0</v>
      </c>
      <c r="CC402" s="207">
        <f>IF(AND(Input_Product=Elig!$C402,Elig_MatchAll_Ct&lt;22,$BC402=(Elig_MatchAll_Ct-1),AX402=0),X402,0)</f>
        <v>0</v>
      </c>
      <c r="CD402" s="208">
        <f>IF(AND(Input_Product=Elig!$C402,Elig_MatchAll_Ct&lt;22,$BC402=(Elig_MatchAll_Ct-1),AX402=0),Y402,0)</f>
        <v>0</v>
      </c>
      <c r="CE402" s="207">
        <f>IF(AND(Input_LTV&lt;=AE402,Input_Product=Elig!$C402,Elig_MatchAll_Ct&lt;22,$BC402=(Elig_MatchAll_Ct-1),AY402=0),Z402,0)</f>
        <v>0</v>
      </c>
      <c r="CF402" s="208">
        <f>IF(AND(Input_LTV&lt;=AE402,Input_Product=Elig!$C402,Elig_MatchAll_Ct&lt;22,$BC402=(Elig_MatchAll_Ct-1),AY402=0),AA402,0)</f>
        <v>0</v>
      </c>
      <c r="CG402" s="207">
        <f>IF(AND(Input_Product=Elig!$C402,Elig_MatchAll_Ct&lt;22,$BC402=(Elig_MatchAll_Ct-1),AZ402=0),AB402,0)</f>
        <v>0</v>
      </c>
      <c r="CH402" s="208">
        <f>IF(AND(Input_Product=Elig!$C402,Elig_MatchAll_Ct&lt;22,$BC402=(Elig_MatchAll_Ct-1),AZ402=0),AC402,0)</f>
        <v>0</v>
      </c>
      <c r="CI402" s="207">
        <f>IF(AND(Input_Product=Elig!$C402,Elig_MatchAll_Ct&lt;22,$BC402=(Elig_MatchAll_Ct-1),BA402=0),AD402,0)</f>
        <v>0</v>
      </c>
      <c r="CJ402" s="209">
        <f>IF(AND(Input_Product=Elig!$C402,Elig_MatchAll_Ct&lt;22,$BC402=(Elig_MatchAll_Ct-1),BA402=0),AE402,0)</f>
        <v>0</v>
      </c>
    </row>
    <row r="403" spans="2:88" ht="10.15" customHeight="1" x14ac:dyDescent="0.25">
      <c r="B403" s="287" t="s">
        <v>1099</v>
      </c>
      <c r="C403" s="281" t="str">
        <f t="shared" si="153"/>
        <v>NonQM NOO</v>
      </c>
      <c r="D403" s="282" t="s">
        <v>3885</v>
      </c>
      <c r="E403" s="283" t="s">
        <v>167</v>
      </c>
      <c r="F403" s="283" t="s">
        <v>330</v>
      </c>
      <c r="G403" s="283" t="s">
        <v>305</v>
      </c>
      <c r="H403" s="283" t="s">
        <v>136</v>
      </c>
      <c r="I403" s="282" t="s">
        <v>16</v>
      </c>
      <c r="J403" s="282" t="s">
        <v>1311</v>
      </c>
      <c r="K403" s="282" t="s">
        <v>1631</v>
      </c>
      <c r="L403" s="2103" t="s">
        <v>312</v>
      </c>
      <c r="M403" s="283" t="s">
        <v>4203</v>
      </c>
      <c r="N403" s="283" t="s">
        <v>2685</v>
      </c>
      <c r="O403" s="283" t="s">
        <v>310</v>
      </c>
      <c r="P403" s="283" t="s">
        <v>291</v>
      </c>
      <c r="Q403" s="283" t="s">
        <v>294</v>
      </c>
      <c r="R403" s="282">
        <v>1000000.01</v>
      </c>
      <c r="S403" s="282">
        <v>1500000</v>
      </c>
      <c r="T403" s="282">
        <v>0</v>
      </c>
      <c r="U403" s="282">
        <f t="shared" ref="U403:U408" si="168">S403</f>
        <v>1500000</v>
      </c>
      <c r="V403" s="282">
        <v>0</v>
      </c>
      <c r="W403" s="282">
        <v>55</v>
      </c>
      <c r="X403" s="282">
        <v>0</v>
      </c>
      <c r="Y403" s="282">
        <v>999</v>
      </c>
      <c r="Z403" s="284">
        <v>720</v>
      </c>
      <c r="AA403" s="284">
        <v>999</v>
      </c>
      <c r="AB403" s="284">
        <v>6</v>
      </c>
      <c r="AC403" s="284">
        <v>999999</v>
      </c>
      <c r="AD403" s="282">
        <v>0</v>
      </c>
      <c r="AE403" s="2104">
        <v>70</v>
      </c>
      <c r="AF403" s="170">
        <v>0</v>
      </c>
      <c r="AG403" s="171">
        <v>1</v>
      </c>
      <c r="AH403" s="171">
        <v>1</v>
      </c>
      <c r="AI403" s="171">
        <v>0</v>
      </c>
      <c r="AJ403" s="171">
        <v>0</v>
      </c>
      <c r="AK403" s="171">
        <v>1</v>
      </c>
      <c r="AL403" s="171">
        <v>1</v>
      </c>
      <c r="AM403" s="171">
        <v>1</v>
      </c>
      <c r="AN403" s="171">
        <v>1</v>
      </c>
      <c r="AO403" s="171">
        <v>1</v>
      </c>
      <c r="AP403" s="171">
        <v>1</v>
      </c>
      <c r="AQ403" s="171">
        <v>1</v>
      </c>
      <c r="AR403" s="171">
        <v>1</v>
      </c>
      <c r="AS403" s="171">
        <v>1</v>
      </c>
      <c r="AT403" s="171">
        <v>1</v>
      </c>
      <c r="AU403" s="171">
        <f t="shared" si="162"/>
        <v>0</v>
      </c>
      <c r="AV403" s="171">
        <f t="shared" si="163"/>
        <v>1</v>
      </c>
      <c r="AW403" s="171">
        <f t="shared" si="164"/>
        <v>1</v>
      </c>
      <c r="AX403" s="171">
        <f t="shared" si="152"/>
        <v>1</v>
      </c>
      <c r="AY403" s="171">
        <f t="shared" si="165"/>
        <v>1</v>
      </c>
      <c r="AZ403" s="171">
        <f t="shared" si="166"/>
        <v>1</v>
      </c>
      <c r="BA403" s="172">
        <f t="shared" si="167"/>
        <v>1</v>
      </c>
      <c r="BB403" s="175">
        <f t="shared" si="147"/>
        <v>18</v>
      </c>
      <c r="BC403" s="176">
        <f t="shared" si="148"/>
        <v>17</v>
      </c>
      <c r="BD403" s="176">
        <f t="shared" si="149"/>
        <v>18</v>
      </c>
      <c r="BE403" s="240" t="str">
        <f t="shared" si="161"/>
        <v/>
      </c>
      <c r="BH403" s="216">
        <f>IF(AND(Input_Product=Elig!$C403,Elig_MatchAll_Ct&lt;22,$BC403=(Elig_MatchAll_Ct-1),AF403=0),C403,0)</f>
        <v>0</v>
      </c>
      <c r="BI403" s="216">
        <f>IF(AND(Input_Product=Elig!$C403,Elig_MatchAll_Ct&lt;22,$BC403=(Elig_MatchAll_Ct-1),AG403=0),D403,0)</f>
        <v>0</v>
      </c>
      <c r="BJ403" s="216">
        <f>IF(AND(Input_Product=Elig!$C403,Elig_MatchAll_Ct&lt;22,$BC403=(Elig_MatchAll_Ct-1),AH403=0),E403,0)</f>
        <v>0</v>
      </c>
      <c r="BK403" s="216">
        <f>IF(AND(Input_Product=Elig!$C403,Elig_MatchAll_Ct&lt;22,$BC403=(Elig_MatchAll_Ct-1),AI403=0),F403,0)</f>
        <v>0</v>
      </c>
      <c r="BL403" s="216">
        <f>IF(AND(Input_Product=Elig!$C403,Elig_MatchAll_Ct&lt;22,$BC403=(Elig_MatchAll_Ct-1),AJ403=0),G403,0)</f>
        <v>0</v>
      </c>
      <c r="BM403" s="216">
        <f>IF(AND(Input_Product=Elig!$C403,Elig_MatchAll_Ct&lt;22,$BC403=(Elig_MatchAll_Ct-1),AK403=0),H403,0)</f>
        <v>0</v>
      </c>
      <c r="BN403" s="216">
        <f>IF(AND(Input_Product=Elig!$C403,Elig_MatchAll_Ct&lt;22,$BC403=(Elig_MatchAll_Ct-1),AL403=0),I403,0)</f>
        <v>0</v>
      </c>
      <c r="BO403" s="216">
        <f>IF(AND(Input_Product=Elig!$C403,Elig_MatchAll_Ct&lt;22,$BC403=(Elig_MatchAll_Ct-1),AM403=0),J403,0)</f>
        <v>0</v>
      </c>
      <c r="BP403" s="216">
        <f>IF(AND(Input_Product=Elig!$C403,Elig_MatchAll_Ct&lt;22,$BC403=(Elig_MatchAll_Ct-1),AN403=0),K403,0)</f>
        <v>0</v>
      </c>
      <c r="BQ403" s="216">
        <f>IF(AND(Input_Product=Elig!$C403,Elig_MatchAll_Ct&lt;22,$BC403=(Elig_MatchAll_Ct-1),AP403=0),L403,0)</f>
        <v>0</v>
      </c>
      <c r="BR403" s="216">
        <f>IF(AND(Input_Product=Elig!$C403,Elig_MatchAll_Ct&lt;22,$BC403=(Elig_MatchAll_Ct-1),AO403=0),M403,0)</f>
        <v>0</v>
      </c>
      <c r="BS403" s="216">
        <f>IF(AND(Input_Product=Elig!$C403,Elig_MatchAll_Ct&lt;22,$BC403=(Elig_MatchAll_Ct-1),AQ403=0),N403,0)</f>
        <v>0</v>
      </c>
      <c r="BT403" s="216">
        <f>IF(AND(Input_Product=Elig!$C403,Elig_MatchAll_Ct&lt;22,$BC403=(Elig_MatchAll_Ct-1),AR403=0),O403,0)</f>
        <v>0</v>
      </c>
      <c r="BU403" s="216">
        <f>IF(AND(Input_Product=Elig!$C403,Elig_MatchAll_Ct&lt;22,$BC403=(Elig_MatchAll_Ct-1),AS403=0),P403,0)</f>
        <v>0</v>
      </c>
      <c r="BV403" s="217">
        <f>IF(AND(Input_Product=Elig!$C403,Elig_MatchAll_Ct&lt;22,$BC403=(Elig_MatchAll_Ct-1),AT403=0),Q403,0)</f>
        <v>0</v>
      </c>
      <c r="BW403" s="218">
        <f>IF(AND(Input_Product=Elig!$C403,Elig_MatchAll_Ct&lt;22,$BC403=(Elig_MatchAll_Ct-1),AU403=0),R403,0)</f>
        <v>0</v>
      </c>
      <c r="BX403" s="219">
        <f>IF(AND(Input_Product=Elig!$C403,Elig_MatchAll_Ct&lt;22,$BC403=(Elig_MatchAll_Ct-1),AU403=0),S403,0)</f>
        <v>0</v>
      </c>
      <c r="BY403" s="218">
        <f>IF(AND(Input_Product=Elig!$C403,Elig_MatchAll_Ct&lt;22,$BC403=(Elig_MatchAll_Ct-1),AV403=0),T403,0)</f>
        <v>0</v>
      </c>
      <c r="BZ403" s="219">
        <f>IF(AND(Input_Product=Elig!$C403,Elig_MatchAll_Ct&lt;22,$BC403=(Elig_MatchAll_Ct-1),AV403=0),U403,0)</f>
        <v>0</v>
      </c>
      <c r="CA403" s="218">
        <f>IF(AND(Input_Product=Elig!$C403,Elig_MatchAll_Ct&lt;22,$BC403=(Elig_MatchAll_Ct-1),AW403=0),V403,0)</f>
        <v>0</v>
      </c>
      <c r="CB403" s="219">
        <f>IF(AND(Input_Product=Elig!$C403,Elig_MatchAll_Ct&lt;22,$BC403=(Elig_MatchAll_Ct-1),AW403=0),W403,0)</f>
        <v>0</v>
      </c>
      <c r="CC403" s="218">
        <f>IF(AND(Input_Product=Elig!$C403,Elig_MatchAll_Ct&lt;22,$BC403=(Elig_MatchAll_Ct-1),AX403=0),X403,0)</f>
        <v>0</v>
      </c>
      <c r="CD403" s="219">
        <f>IF(AND(Input_Product=Elig!$C403,Elig_MatchAll_Ct&lt;22,$BC403=(Elig_MatchAll_Ct-1),AX403=0),Y403,0)</f>
        <v>0</v>
      </c>
      <c r="CE403" s="218">
        <f>IF(AND(Input_LTV&lt;=AE403,Input_Product=Elig!$C403,Elig_MatchAll_Ct&lt;22,$BC403=(Elig_MatchAll_Ct-1),AY403=0),Z403,0)</f>
        <v>0</v>
      </c>
      <c r="CF403" s="219">
        <f>IF(AND(Input_LTV&lt;=AE403,Input_Product=Elig!$C403,Elig_MatchAll_Ct&lt;22,$BC403=(Elig_MatchAll_Ct-1),AY403=0),AA403,0)</f>
        <v>0</v>
      </c>
      <c r="CG403" s="218">
        <f>IF(AND(Input_Product=Elig!$C403,Elig_MatchAll_Ct&lt;22,$BC403=(Elig_MatchAll_Ct-1),AZ403=0),AB403,0)</f>
        <v>0</v>
      </c>
      <c r="CH403" s="219">
        <f>IF(AND(Input_Product=Elig!$C403,Elig_MatchAll_Ct&lt;22,$BC403=(Elig_MatchAll_Ct-1),AZ403=0),AC403,0)</f>
        <v>0</v>
      </c>
      <c r="CI403" s="218">
        <f>IF(AND(Input_Product=Elig!$C403,Elig_MatchAll_Ct&lt;22,$BC403=(Elig_MatchAll_Ct-1),BA403=0),AD403,0)</f>
        <v>0</v>
      </c>
      <c r="CJ403" s="219">
        <f>IF(AND(Input_Product=Elig!$C403,Elig_MatchAll_Ct&lt;22,$BC403=(Elig_MatchAll_Ct-1),BA403=0),AE403,0)</f>
        <v>0</v>
      </c>
    </row>
    <row r="404" spans="2:88" ht="10.15" customHeight="1" x14ac:dyDescent="0.25">
      <c r="B404" s="287" t="s">
        <v>1100</v>
      </c>
      <c r="C404" s="286" t="str">
        <f t="shared" si="153"/>
        <v>NonQM NOO</v>
      </c>
      <c r="D404" s="287" t="s">
        <v>3885</v>
      </c>
      <c r="E404" s="287" t="s">
        <v>167</v>
      </c>
      <c r="F404" s="287" t="s">
        <v>330</v>
      </c>
      <c r="G404" s="287" t="s">
        <v>305</v>
      </c>
      <c r="H404" s="287" t="s">
        <v>136</v>
      </c>
      <c r="I404" s="288" t="s">
        <v>16</v>
      </c>
      <c r="J404" s="288" t="s">
        <v>1311</v>
      </c>
      <c r="K404" s="288" t="s">
        <v>1631</v>
      </c>
      <c r="L404" s="300" t="s">
        <v>312</v>
      </c>
      <c r="M404" s="287" t="s">
        <v>4203</v>
      </c>
      <c r="N404" s="287" t="s">
        <v>2685</v>
      </c>
      <c r="O404" s="287" t="s">
        <v>310</v>
      </c>
      <c r="P404" s="287" t="s">
        <v>291</v>
      </c>
      <c r="Q404" s="287" t="s">
        <v>294</v>
      </c>
      <c r="R404" s="287">
        <v>1000000.01</v>
      </c>
      <c r="S404" s="287">
        <v>1500000</v>
      </c>
      <c r="T404" s="287">
        <v>0</v>
      </c>
      <c r="U404" s="287">
        <f t="shared" si="168"/>
        <v>1500000</v>
      </c>
      <c r="V404" s="287">
        <v>0</v>
      </c>
      <c r="W404" s="287">
        <v>55</v>
      </c>
      <c r="X404" s="287">
        <v>0</v>
      </c>
      <c r="Y404" s="287">
        <v>999</v>
      </c>
      <c r="Z404" s="289">
        <v>700</v>
      </c>
      <c r="AA404" s="289">
        <v>719</v>
      </c>
      <c r="AB404" s="289">
        <v>6</v>
      </c>
      <c r="AC404" s="289">
        <v>999999</v>
      </c>
      <c r="AD404" s="287">
        <v>0</v>
      </c>
      <c r="AE404" s="2105">
        <v>70</v>
      </c>
      <c r="AF404" s="170">
        <v>0</v>
      </c>
      <c r="AG404" s="171">
        <v>1</v>
      </c>
      <c r="AH404" s="171">
        <v>1</v>
      </c>
      <c r="AI404" s="171">
        <v>0</v>
      </c>
      <c r="AJ404" s="171">
        <v>0</v>
      </c>
      <c r="AK404" s="171">
        <v>1</v>
      </c>
      <c r="AL404" s="171">
        <v>1</v>
      </c>
      <c r="AM404" s="171">
        <v>1</v>
      </c>
      <c r="AN404" s="171">
        <v>1</v>
      </c>
      <c r="AO404" s="171">
        <v>1</v>
      </c>
      <c r="AP404" s="171">
        <v>1</v>
      </c>
      <c r="AQ404" s="171">
        <v>1</v>
      </c>
      <c r="AR404" s="171">
        <v>1</v>
      </c>
      <c r="AS404" s="171">
        <v>1</v>
      </c>
      <c r="AT404" s="171">
        <v>1</v>
      </c>
      <c r="AU404" s="171">
        <f t="shared" si="162"/>
        <v>0</v>
      </c>
      <c r="AV404" s="171">
        <f t="shared" si="163"/>
        <v>1</v>
      </c>
      <c r="AW404" s="171">
        <f t="shared" si="164"/>
        <v>1</v>
      </c>
      <c r="AX404" s="171">
        <f t="shared" si="152"/>
        <v>1</v>
      </c>
      <c r="AY404" s="171">
        <f t="shared" si="165"/>
        <v>0</v>
      </c>
      <c r="AZ404" s="171">
        <f t="shared" si="166"/>
        <v>1</v>
      </c>
      <c r="BA404" s="172">
        <f t="shared" si="167"/>
        <v>1</v>
      </c>
      <c r="BB404" s="175">
        <f t="shared" ref="BB404:BB479" si="169">SUM(AF404:BA404)</f>
        <v>17</v>
      </c>
      <c r="BC404" s="176">
        <f t="shared" ref="BC404:BC479" si="170">SUM(AF404:AZ404)</f>
        <v>16</v>
      </c>
      <c r="BD404" s="176">
        <f t="shared" ref="BD404:BD479" si="171">SUM(AG404:BA404)</f>
        <v>17</v>
      </c>
      <c r="BE404" s="240" t="str">
        <f t="shared" si="161"/>
        <v/>
      </c>
      <c r="BH404" s="199">
        <f>IF(AND(Input_Product=Elig!$C404,Elig_MatchAll_Ct&lt;22,$BC404=(Elig_MatchAll_Ct-1),AF404=0),C404,0)</f>
        <v>0</v>
      </c>
      <c r="BI404" s="199">
        <f>IF(AND(Input_Product=Elig!$C404,Elig_MatchAll_Ct&lt;22,$BC404=(Elig_MatchAll_Ct-1),AG404=0),D404,0)</f>
        <v>0</v>
      </c>
      <c r="BJ404" s="199">
        <f>IF(AND(Input_Product=Elig!$C404,Elig_MatchAll_Ct&lt;22,$BC404=(Elig_MatchAll_Ct-1),AH404=0),E404,0)</f>
        <v>0</v>
      </c>
      <c r="BK404" s="199">
        <f>IF(AND(Input_Product=Elig!$C404,Elig_MatchAll_Ct&lt;22,$BC404=(Elig_MatchAll_Ct-1),AI404=0),F404,0)</f>
        <v>0</v>
      </c>
      <c r="BL404" s="199">
        <f>IF(AND(Input_Product=Elig!$C404,Elig_MatchAll_Ct&lt;22,$BC404=(Elig_MatchAll_Ct-1),AJ404=0),G404,0)</f>
        <v>0</v>
      </c>
      <c r="BM404" s="199">
        <f>IF(AND(Input_Product=Elig!$C404,Elig_MatchAll_Ct&lt;22,$BC404=(Elig_MatchAll_Ct-1),AK404=0),H404,0)</f>
        <v>0</v>
      </c>
      <c r="BN404" s="199">
        <f>IF(AND(Input_Product=Elig!$C404,Elig_MatchAll_Ct&lt;22,$BC404=(Elig_MatchAll_Ct-1),AL404=0),I404,0)</f>
        <v>0</v>
      </c>
      <c r="BO404" s="199">
        <f>IF(AND(Input_Product=Elig!$C404,Elig_MatchAll_Ct&lt;22,$BC404=(Elig_MatchAll_Ct-1),AM404=0),J404,0)</f>
        <v>0</v>
      </c>
      <c r="BP404" s="199">
        <f>IF(AND(Input_Product=Elig!$C404,Elig_MatchAll_Ct&lt;22,$BC404=(Elig_MatchAll_Ct-1),AN404=0),K404,0)</f>
        <v>0</v>
      </c>
      <c r="BQ404" s="199">
        <f>IF(AND(Input_Product=Elig!$C404,Elig_MatchAll_Ct&lt;22,$BC404=(Elig_MatchAll_Ct-1),AP404=0),L404,0)</f>
        <v>0</v>
      </c>
      <c r="BR404" s="199">
        <f>IF(AND(Input_Product=Elig!$C404,Elig_MatchAll_Ct&lt;22,$BC404=(Elig_MatchAll_Ct-1),AO404=0),M404,0)</f>
        <v>0</v>
      </c>
      <c r="BS404" s="199">
        <f>IF(AND(Input_Product=Elig!$C404,Elig_MatchAll_Ct&lt;22,$BC404=(Elig_MatchAll_Ct-1),AQ404=0),N404,0)</f>
        <v>0</v>
      </c>
      <c r="BT404" s="199">
        <f>IF(AND(Input_Product=Elig!$C404,Elig_MatchAll_Ct&lt;22,$BC404=(Elig_MatchAll_Ct-1),AR404=0),O404,0)</f>
        <v>0</v>
      </c>
      <c r="BU404" s="199">
        <f>IF(AND(Input_Product=Elig!$C404,Elig_MatchAll_Ct&lt;22,$BC404=(Elig_MatchAll_Ct-1),AS404=0),P404,0)</f>
        <v>0</v>
      </c>
      <c r="BV404" s="200">
        <f>IF(AND(Input_Product=Elig!$C404,Elig_MatchAll_Ct&lt;22,$BC404=(Elig_MatchAll_Ct-1),AT404=0),Q404,0)</f>
        <v>0</v>
      </c>
      <c r="BW404" s="201">
        <f>IF(AND(Input_Product=Elig!$C404,Elig_MatchAll_Ct&lt;22,$BC404=(Elig_MatchAll_Ct-1),AU404=0),R404,0)</f>
        <v>0</v>
      </c>
      <c r="BX404" s="202">
        <f>IF(AND(Input_Product=Elig!$C404,Elig_MatchAll_Ct&lt;22,$BC404=(Elig_MatchAll_Ct-1),AU404=0),S404,0)</f>
        <v>0</v>
      </c>
      <c r="BY404" s="201">
        <f>IF(AND(Input_Product=Elig!$C404,Elig_MatchAll_Ct&lt;22,$BC404=(Elig_MatchAll_Ct-1),AV404=0),T404,0)</f>
        <v>0</v>
      </c>
      <c r="BZ404" s="202">
        <f>IF(AND(Input_Product=Elig!$C404,Elig_MatchAll_Ct&lt;22,$BC404=(Elig_MatchAll_Ct-1),AV404=0),U404,0)</f>
        <v>0</v>
      </c>
      <c r="CA404" s="201">
        <f>IF(AND(Input_Product=Elig!$C404,Elig_MatchAll_Ct&lt;22,$BC404=(Elig_MatchAll_Ct-1),AW404=0),V404,0)</f>
        <v>0</v>
      </c>
      <c r="CB404" s="202">
        <f>IF(AND(Input_Product=Elig!$C404,Elig_MatchAll_Ct&lt;22,$BC404=(Elig_MatchAll_Ct-1),AW404=0),W404,0)</f>
        <v>0</v>
      </c>
      <c r="CC404" s="201">
        <f>IF(AND(Input_Product=Elig!$C404,Elig_MatchAll_Ct&lt;22,$BC404=(Elig_MatchAll_Ct-1),AX404=0),X404,0)</f>
        <v>0</v>
      </c>
      <c r="CD404" s="202">
        <f>IF(AND(Input_Product=Elig!$C404,Elig_MatchAll_Ct&lt;22,$BC404=(Elig_MatchAll_Ct-1),AX404=0),Y404,0)</f>
        <v>0</v>
      </c>
      <c r="CE404" s="201">
        <f>IF(AND(Input_LTV&lt;=AE404,Input_Product=Elig!$C404,Elig_MatchAll_Ct&lt;22,$BC404=(Elig_MatchAll_Ct-1),AY404=0),Z404,0)</f>
        <v>0</v>
      </c>
      <c r="CF404" s="202">
        <f>IF(AND(Input_LTV&lt;=AE404,Input_Product=Elig!$C404,Elig_MatchAll_Ct&lt;22,$BC404=(Elig_MatchAll_Ct-1),AY404=0),AA404,0)</f>
        <v>0</v>
      </c>
      <c r="CG404" s="201">
        <f>IF(AND(Input_Product=Elig!$C404,Elig_MatchAll_Ct&lt;22,$BC404=(Elig_MatchAll_Ct-1),AZ404=0),AB404,0)</f>
        <v>0</v>
      </c>
      <c r="CH404" s="202">
        <f>IF(AND(Input_Product=Elig!$C404,Elig_MatchAll_Ct&lt;22,$BC404=(Elig_MatchAll_Ct-1),AZ404=0),AC404,0)</f>
        <v>0</v>
      </c>
      <c r="CI404" s="201">
        <f>IF(AND(Input_Product=Elig!$C404,Elig_MatchAll_Ct&lt;22,$BC404=(Elig_MatchAll_Ct-1),BA404=0),AD404,0)</f>
        <v>0</v>
      </c>
      <c r="CJ404" s="202">
        <f>IF(AND(Input_Product=Elig!$C404,Elig_MatchAll_Ct&lt;22,$BC404=(Elig_MatchAll_Ct-1),BA404=0),AE404,0)</f>
        <v>0</v>
      </c>
    </row>
    <row r="405" spans="2:88" ht="10.15" customHeight="1" x14ac:dyDescent="0.25">
      <c r="B405" s="287" t="s">
        <v>1101</v>
      </c>
      <c r="C405" s="286" t="str">
        <f t="shared" si="153"/>
        <v>NonQM NOO</v>
      </c>
      <c r="D405" s="287" t="s">
        <v>3885</v>
      </c>
      <c r="E405" s="287" t="s">
        <v>167</v>
      </c>
      <c r="F405" s="287" t="s">
        <v>330</v>
      </c>
      <c r="G405" s="287" t="s">
        <v>305</v>
      </c>
      <c r="H405" s="287" t="s">
        <v>136</v>
      </c>
      <c r="I405" s="288" t="s">
        <v>16</v>
      </c>
      <c r="J405" s="288" t="s">
        <v>1311</v>
      </c>
      <c r="K405" s="288" t="s">
        <v>1631</v>
      </c>
      <c r="L405" s="300" t="s">
        <v>312</v>
      </c>
      <c r="M405" s="287" t="s">
        <v>4203</v>
      </c>
      <c r="N405" s="287" t="s">
        <v>2685</v>
      </c>
      <c r="O405" s="287" t="s">
        <v>310</v>
      </c>
      <c r="P405" s="287" t="s">
        <v>291</v>
      </c>
      <c r="Q405" s="287" t="s">
        <v>294</v>
      </c>
      <c r="R405" s="287">
        <v>1000000.01</v>
      </c>
      <c r="S405" s="287">
        <v>1500000</v>
      </c>
      <c r="T405" s="287">
        <v>0</v>
      </c>
      <c r="U405" s="287">
        <f t="shared" si="168"/>
        <v>1500000</v>
      </c>
      <c r="V405" s="287">
        <v>0</v>
      </c>
      <c r="W405" s="287">
        <v>55</v>
      </c>
      <c r="X405" s="287">
        <v>0</v>
      </c>
      <c r="Y405" s="287">
        <v>999</v>
      </c>
      <c r="Z405" s="289">
        <v>680</v>
      </c>
      <c r="AA405" s="289">
        <v>699</v>
      </c>
      <c r="AB405" s="289">
        <v>6</v>
      </c>
      <c r="AC405" s="289">
        <v>999999</v>
      </c>
      <c r="AD405" s="287">
        <v>0</v>
      </c>
      <c r="AE405" s="290">
        <v>65</v>
      </c>
      <c r="AF405" s="170">
        <v>0</v>
      </c>
      <c r="AG405" s="171">
        <v>1</v>
      </c>
      <c r="AH405" s="171">
        <v>1</v>
      </c>
      <c r="AI405" s="171">
        <v>0</v>
      </c>
      <c r="AJ405" s="171">
        <v>0</v>
      </c>
      <c r="AK405" s="171">
        <v>1</v>
      </c>
      <c r="AL405" s="171">
        <v>1</v>
      </c>
      <c r="AM405" s="171">
        <v>1</v>
      </c>
      <c r="AN405" s="171">
        <v>1</v>
      </c>
      <c r="AO405" s="171">
        <v>1</v>
      </c>
      <c r="AP405" s="171">
        <v>1</v>
      </c>
      <c r="AQ405" s="171">
        <v>1</v>
      </c>
      <c r="AR405" s="171">
        <v>1</v>
      </c>
      <c r="AS405" s="171">
        <v>1</v>
      </c>
      <c r="AT405" s="171">
        <v>1</v>
      </c>
      <c r="AU405" s="171">
        <f t="shared" si="162"/>
        <v>0</v>
      </c>
      <c r="AV405" s="171">
        <f t="shared" si="163"/>
        <v>1</v>
      </c>
      <c r="AW405" s="171">
        <f t="shared" si="164"/>
        <v>1</v>
      </c>
      <c r="AX405" s="171">
        <f t="shared" si="152"/>
        <v>1</v>
      </c>
      <c r="AY405" s="171">
        <f t="shared" si="165"/>
        <v>0</v>
      </c>
      <c r="AZ405" s="171">
        <f t="shared" si="166"/>
        <v>1</v>
      </c>
      <c r="BA405" s="172">
        <f t="shared" si="167"/>
        <v>1</v>
      </c>
      <c r="BB405" s="175">
        <f t="shared" si="169"/>
        <v>17</v>
      </c>
      <c r="BC405" s="176">
        <f t="shared" si="170"/>
        <v>16</v>
      </c>
      <c r="BD405" s="176">
        <f t="shared" si="171"/>
        <v>17</v>
      </c>
      <c r="BE405" s="240" t="str">
        <f t="shared" si="161"/>
        <v/>
      </c>
      <c r="BH405" s="199">
        <f>IF(AND(Input_Product=Elig!$C405,Elig_MatchAll_Ct&lt;22,$BC405=(Elig_MatchAll_Ct-1),AF405=0),C405,0)</f>
        <v>0</v>
      </c>
      <c r="BI405" s="199">
        <f>IF(AND(Input_Product=Elig!$C405,Elig_MatchAll_Ct&lt;22,$BC405=(Elig_MatchAll_Ct-1),AG405=0),D405,0)</f>
        <v>0</v>
      </c>
      <c r="BJ405" s="199">
        <f>IF(AND(Input_Product=Elig!$C405,Elig_MatchAll_Ct&lt;22,$BC405=(Elig_MatchAll_Ct-1),AH405=0),E405,0)</f>
        <v>0</v>
      </c>
      <c r="BK405" s="199">
        <f>IF(AND(Input_Product=Elig!$C405,Elig_MatchAll_Ct&lt;22,$BC405=(Elig_MatchAll_Ct-1),AI405=0),F405,0)</f>
        <v>0</v>
      </c>
      <c r="BL405" s="199">
        <f>IF(AND(Input_Product=Elig!$C405,Elig_MatchAll_Ct&lt;22,$BC405=(Elig_MatchAll_Ct-1),AJ405=0),G405,0)</f>
        <v>0</v>
      </c>
      <c r="BM405" s="199">
        <f>IF(AND(Input_Product=Elig!$C405,Elig_MatchAll_Ct&lt;22,$BC405=(Elig_MatchAll_Ct-1),AK405=0),H405,0)</f>
        <v>0</v>
      </c>
      <c r="BN405" s="199">
        <f>IF(AND(Input_Product=Elig!$C405,Elig_MatchAll_Ct&lt;22,$BC405=(Elig_MatchAll_Ct-1),AL405=0),I405,0)</f>
        <v>0</v>
      </c>
      <c r="BO405" s="199">
        <f>IF(AND(Input_Product=Elig!$C405,Elig_MatchAll_Ct&lt;22,$BC405=(Elig_MatchAll_Ct-1),AM405=0),J405,0)</f>
        <v>0</v>
      </c>
      <c r="BP405" s="199">
        <f>IF(AND(Input_Product=Elig!$C405,Elig_MatchAll_Ct&lt;22,$BC405=(Elig_MatchAll_Ct-1),AN405=0),K405,0)</f>
        <v>0</v>
      </c>
      <c r="BQ405" s="199">
        <f>IF(AND(Input_Product=Elig!$C405,Elig_MatchAll_Ct&lt;22,$BC405=(Elig_MatchAll_Ct-1),AP405=0),L405,0)</f>
        <v>0</v>
      </c>
      <c r="BR405" s="199">
        <f>IF(AND(Input_Product=Elig!$C405,Elig_MatchAll_Ct&lt;22,$BC405=(Elig_MatchAll_Ct-1),AO405=0),M405,0)</f>
        <v>0</v>
      </c>
      <c r="BS405" s="199">
        <f>IF(AND(Input_Product=Elig!$C405,Elig_MatchAll_Ct&lt;22,$BC405=(Elig_MatchAll_Ct-1),AQ405=0),N405,0)</f>
        <v>0</v>
      </c>
      <c r="BT405" s="199">
        <f>IF(AND(Input_Product=Elig!$C405,Elig_MatchAll_Ct&lt;22,$BC405=(Elig_MatchAll_Ct-1),AR405=0),O405,0)</f>
        <v>0</v>
      </c>
      <c r="BU405" s="199">
        <f>IF(AND(Input_Product=Elig!$C405,Elig_MatchAll_Ct&lt;22,$BC405=(Elig_MatchAll_Ct-1),AS405=0),P405,0)</f>
        <v>0</v>
      </c>
      <c r="BV405" s="200">
        <f>IF(AND(Input_Product=Elig!$C405,Elig_MatchAll_Ct&lt;22,$BC405=(Elig_MatchAll_Ct-1),AT405=0),Q405,0)</f>
        <v>0</v>
      </c>
      <c r="BW405" s="201">
        <f>IF(AND(Input_Product=Elig!$C405,Elig_MatchAll_Ct&lt;22,$BC405=(Elig_MatchAll_Ct-1),AU405=0),R405,0)</f>
        <v>0</v>
      </c>
      <c r="BX405" s="202">
        <f>IF(AND(Input_Product=Elig!$C405,Elig_MatchAll_Ct&lt;22,$BC405=(Elig_MatchAll_Ct-1),AU405=0),S405,0)</f>
        <v>0</v>
      </c>
      <c r="BY405" s="201">
        <f>IF(AND(Input_Product=Elig!$C405,Elig_MatchAll_Ct&lt;22,$BC405=(Elig_MatchAll_Ct-1),AV405=0),T405,0)</f>
        <v>0</v>
      </c>
      <c r="BZ405" s="202">
        <f>IF(AND(Input_Product=Elig!$C405,Elig_MatchAll_Ct&lt;22,$BC405=(Elig_MatchAll_Ct-1),AV405=0),U405,0)</f>
        <v>0</v>
      </c>
      <c r="CA405" s="201">
        <f>IF(AND(Input_Product=Elig!$C405,Elig_MatchAll_Ct&lt;22,$BC405=(Elig_MatchAll_Ct-1),AW405=0),V405,0)</f>
        <v>0</v>
      </c>
      <c r="CB405" s="202">
        <f>IF(AND(Input_Product=Elig!$C405,Elig_MatchAll_Ct&lt;22,$BC405=(Elig_MatchAll_Ct-1),AW405=0),W405,0)</f>
        <v>0</v>
      </c>
      <c r="CC405" s="201">
        <f>IF(AND(Input_Product=Elig!$C405,Elig_MatchAll_Ct&lt;22,$BC405=(Elig_MatchAll_Ct-1),AX405=0),X405,0)</f>
        <v>0</v>
      </c>
      <c r="CD405" s="202">
        <f>IF(AND(Input_Product=Elig!$C405,Elig_MatchAll_Ct&lt;22,$BC405=(Elig_MatchAll_Ct-1),AX405=0),Y405,0)</f>
        <v>0</v>
      </c>
      <c r="CE405" s="201">
        <f>IF(AND(Input_LTV&lt;=AE405,Input_Product=Elig!$C405,Elig_MatchAll_Ct&lt;22,$BC405=(Elig_MatchAll_Ct-1),AY405=0),Z405,0)</f>
        <v>0</v>
      </c>
      <c r="CF405" s="202">
        <f>IF(AND(Input_LTV&lt;=AE405,Input_Product=Elig!$C405,Elig_MatchAll_Ct&lt;22,$BC405=(Elig_MatchAll_Ct-1),AY405=0),AA405,0)</f>
        <v>0</v>
      </c>
      <c r="CG405" s="201">
        <f>IF(AND(Input_Product=Elig!$C405,Elig_MatchAll_Ct&lt;22,$BC405=(Elig_MatchAll_Ct-1),AZ405=0),AB405,0)</f>
        <v>0</v>
      </c>
      <c r="CH405" s="202">
        <f>IF(AND(Input_Product=Elig!$C405,Elig_MatchAll_Ct&lt;22,$BC405=(Elig_MatchAll_Ct-1),AZ405=0),AC405,0)</f>
        <v>0</v>
      </c>
      <c r="CI405" s="201">
        <f>IF(AND(Input_Product=Elig!$C405,Elig_MatchAll_Ct&lt;22,$BC405=(Elig_MatchAll_Ct-1),BA405=0),AD405,0)</f>
        <v>0</v>
      </c>
      <c r="CJ405" s="202">
        <f>IF(AND(Input_Product=Elig!$C405,Elig_MatchAll_Ct&lt;22,$BC405=(Elig_MatchAll_Ct-1),BA405=0),AE405,0)</f>
        <v>0</v>
      </c>
    </row>
    <row r="406" spans="2:88" ht="10.15" customHeight="1" x14ac:dyDescent="0.25">
      <c r="B406" s="287" t="s">
        <v>1102</v>
      </c>
      <c r="C406" s="286" t="str">
        <f t="shared" si="153"/>
        <v>NonQM NOO</v>
      </c>
      <c r="D406" s="287" t="s">
        <v>3885</v>
      </c>
      <c r="E406" s="287" t="s">
        <v>167</v>
      </c>
      <c r="F406" s="287" t="s">
        <v>330</v>
      </c>
      <c r="G406" s="287" t="s">
        <v>305</v>
      </c>
      <c r="H406" s="287" t="s">
        <v>136</v>
      </c>
      <c r="I406" s="287" t="s">
        <v>16</v>
      </c>
      <c r="J406" s="287" t="s">
        <v>1311</v>
      </c>
      <c r="K406" s="287" t="s">
        <v>1631</v>
      </c>
      <c r="L406" s="300" t="s">
        <v>312</v>
      </c>
      <c r="M406" s="287" t="s">
        <v>4203</v>
      </c>
      <c r="N406" s="287" t="s">
        <v>2685</v>
      </c>
      <c r="O406" s="287" t="s">
        <v>310</v>
      </c>
      <c r="P406" s="287" t="s">
        <v>291</v>
      </c>
      <c r="Q406" s="287" t="s">
        <v>294</v>
      </c>
      <c r="R406" s="287">
        <v>1000000.01</v>
      </c>
      <c r="S406" s="287">
        <v>1500000</v>
      </c>
      <c r="T406" s="287">
        <v>0</v>
      </c>
      <c r="U406" s="287">
        <f t="shared" si="168"/>
        <v>1500000</v>
      </c>
      <c r="V406" s="287">
        <v>0</v>
      </c>
      <c r="W406" s="287">
        <v>50</v>
      </c>
      <c r="X406" s="287">
        <v>0</v>
      </c>
      <c r="Y406" s="287">
        <v>999</v>
      </c>
      <c r="Z406" s="289">
        <v>660</v>
      </c>
      <c r="AA406" s="289">
        <v>679</v>
      </c>
      <c r="AB406" s="289">
        <v>6</v>
      </c>
      <c r="AC406" s="289">
        <v>999999</v>
      </c>
      <c r="AD406" s="287">
        <v>0</v>
      </c>
      <c r="AE406" s="290">
        <v>60</v>
      </c>
      <c r="AF406" s="170">
        <v>0</v>
      </c>
      <c r="AG406" s="171">
        <v>1</v>
      </c>
      <c r="AH406" s="171">
        <v>1</v>
      </c>
      <c r="AI406" s="171">
        <v>0</v>
      </c>
      <c r="AJ406" s="171">
        <v>0</v>
      </c>
      <c r="AK406" s="171">
        <v>1</v>
      </c>
      <c r="AL406" s="171">
        <v>1</v>
      </c>
      <c r="AM406" s="171">
        <v>1</v>
      </c>
      <c r="AN406" s="171">
        <v>1</v>
      </c>
      <c r="AO406" s="171">
        <v>1</v>
      </c>
      <c r="AP406" s="171">
        <v>1</v>
      </c>
      <c r="AQ406" s="171">
        <v>1</v>
      </c>
      <c r="AR406" s="171">
        <v>1</v>
      </c>
      <c r="AS406" s="171">
        <v>1</v>
      </c>
      <c r="AT406" s="171">
        <v>1</v>
      </c>
      <c r="AU406" s="171">
        <f t="shared" si="162"/>
        <v>0</v>
      </c>
      <c r="AV406" s="171">
        <f t="shared" si="163"/>
        <v>1</v>
      </c>
      <c r="AW406" s="171">
        <f t="shared" si="164"/>
        <v>1</v>
      </c>
      <c r="AX406" s="171">
        <f t="shared" si="152"/>
        <v>1</v>
      </c>
      <c r="AY406" s="171">
        <f t="shared" si="165"/>
        <v>0</v>
      </c>
      <c r="AZ406" s="171">
        <f t="shared" si="166"/>
        <v>1</v>
      </c>
      <c r="BA406" s="172">
        <f t="shared" si="167"/>
        <v>0</v>
      </c>
      <c r="BB406" s="175">
        <f t="shared" si="169"/>
        <v>16</v>
      </c>
      <c r="BC406" s="176">
        <f t="shared" si="170"/>
        <v>16</v>
      </c>
      <c r="BD406" s="176">
        <f t="shared" si="171"/>
        <v>16</v>
      </c>
      <c r="BE406" s="240" t="str">
        <f t="shared" si="161"/>
        <v/>
      </c>
      <c r="BH406" s="199">
        <f>IF(AND(Input_Product=Elig!$C406,Elig_MatchAll_Ct&lt;22,$BC406=(Elig_MatchAll_Ct-1),AF406=0),C406,0)</f>
        <v>0</v>
      </c>
      <c r="BI406" s="199">
        <f>IF(AND(Input_Product=Elig!$C406,Elig_MatchAll_Ct&lt;22,$BC406=(Elig_MatchAll_Ct-1),AG406=0),D406,0)</f>
        <v>0</v>
      </c>
      <c r="BJ406" s="199">
        <f>IF(AND(Input_Product=Elig!$C406,Elig_MatchAll_Ct&lt;22,$BC406=(Elig_MatchAll_Ct-1),AH406=0),E406,0)</f>
        <v>0</v>
      </c>
      <c r="BK406" s="199">
        <f>IF(AND(Input_Product=Elig!$C406,Elig_MatchAll_Ct&lt;22,$BC406=(Elig_MatchAll_Ct-1),AI406=0),F406,0)</f>
        <v>0</v>
      </c>
      <c r="BL406" s="199">
        <f>IF(AND(Input_Product=Elig!$C406,Elig_MatchAll_Ct&lt;22,$BC406=(Elig_MatchAll_Ct-1),AJ406=0),G406,0)</f>
        <v>0</v>
      </c>
      <c r="BM406" s="199">
        <f>IF(AND(Input_Product=Elig!$C406,Elig_MatchAll_Ct&lt;22,$BC406=(Elig_MatchAll_Ct-1),AK406=0),H406,0)</f>
        <v>0</v>
      </c>
      <c r="BN406" s="199">
        <f>IF(AND(Input_Product=Elig!$C406,Elig_MatchAll_Ct&lt;22,$BC406=(Elig_MatchAll_Ct-1),AL406=0),I406,0)</f>
        <v>0</v>
      </c>
      <c r="BO406" s="199">
        <f>IF(AND(Input_Product=Elig!$C406,Elig_MatchAll_Ct&lt;22,$BC406=(Elig_MatchAll_Ct-1),AM406=0),J406,0)</f>
        <v>0</v>
      </c>
      <c r="BP406" s="199">
        <f>IF(AND(Input_Product=Elig!$C406,Elig_MatchAll_Ct&lt;22,$BC406=(Elig_MatchAll_Ct-1),AN406=0),K406,0)</f>
        <v>0</v>
      </c>
      <c r="BQ406" s="199">
        <f>IF(AND(Input_Product=Elig!$C406,Elig_MatchAll_Ct&lt;22,$BC406=(Elig_MatchAll_Ct-1),AP406=0),L406,0)</f>
        <v>0</v>
      </c>
      <c r="BR406" s="199">
        <f>IF(AND(Input_Product=Elig!$C406,Elig_MatchAll_Ct&lt;22,$BC406=(Elig_MatchAll_Ct-1),AO406=0),M406,0)</f>
        <v>0</v>
      </c>
      <c r="BS406" s="199">
        <f>IF(AND(Input_Product=Elig!$C406,Elig_MatchAll_Ct&lt;22,$BC406=(Elig_MatchAll_Ct-1),AQ406=0),N406,0)</f>
        <v>0</v>
      </c>
      <c r="BT406" s="199">
        <f>IF(AND(Input_Product=Elig!$C406,Elig_MatchAll_Ct&lt;22,$BC406=(Elig_MatchAll_Ct-1),AR406=0),O406,0)</f>
        <v>0</v>
      </c>
      <c r="BU406" s="199">
        <f>IF(AND(Input_Product=Elig!$C406,Elig_MatchAll_Ct&lt;22,$BC406=(Elig_MatchAll_Ct-1),AS406=0),P406,0)</f>
        <v>0</v>
      </c>
      <c r="BV406" s="200">
        <f>IF(AND(Input_Product=Elig!$C406,Elig_MatchAll_Ct&lt;22,$BC406=(Elig_MatchAll_Ct-1),AT406=0),Q406,0)</f>
        <v>0</v>
      </c>
      <c r="BW406" s="201">
        <f>IF(AND(Input_Product=Elig!$C406,Elig_MatchAll_Ct&lt;22,$BC406=(Elig_MatchAll_Ct-1),AU406=0),R406,0)</f>
        <v>0</v>
      </c>
      <c r="BX406" s="202">
        <f>IF(AND(Input_Product=Elig!$C406,Elig_MatchAll_Ct&lt;22,$BC406=(Elig_MatchAll_Ct-1),AU406=0),S406,0)</f>
        <v>0</v>
      </c>
      <c r="BY406" s="201">
        <f>IF(AND(Input_Product=Elig!$C406,Elig_MatchAll_Ct&lt;22,$BC406=(Elig_MatchAll_Ct-1),AV406=0),T406,0)</f>
        <v>0</v>
      </c>
      <c r="BZ406" s="202">
        <f>IF(AND(Input_Product=Elig!$C406,Elig_MatchAll_Ct&lt;22,$BC406=(Elig_MatchAll_Ct-1),AV406=0),U406,0)</f>
        <v>0</v>
      </c>
      <c r="CA406" s="201">
        <f>IF(AND(Input_Product=Elig!$C406,Elig_MatchAll_Ct&lt;22,$BC406=(Elig_MatchAll_Ct-1),AW406=0),V406,0)</f>
        <v>0</v>
      </c>
      <c r="CB406" s="202">
        <f>IF(AND(Input_Product=Elig!$C406,Elig_MatchAll_Ct&lt;22,$BC406=(Elig_MatchAll_Ct-1),AW406=0),W406,0)</f>
        <v>0</v>
      </c>
      <c r="CC406" s="201">
        <f>IF(AND(Input_Product=Elig!$C406,Elig_MatchAll_Ct&lt;22,$BC406=(Elig_MatchAll_Ct-1),AX406=0),X406,0)</f>
        <v>0</v>
      </c>
      <c r="CD406" s="202">
        <f>IF(AND(Input_Product=Elig!$C406,Elig_MatchAll_Ct&lt;22,$BC406=(Elig_MatchAll_Ct-1),AX406=0),Y406,0)</f>
        <v>0</v>
      </c>
      <c r="CE406" s="201">
        <f>IF(AND(Input_LTV&lt;=AE406,Input_Product=Elig!$C406,Elig_MatchAll_Ct&lt;22,$BC406=(Elig_MatchAll_Ct-1),AY406=0),Z406,0)</f>
        <v>0</v>
      </c>
      <c r="CF406" s="202">
        <f>IF(AND(Input_LTV&lt;=AE406,Input_Product=Elig!$C406,Elig_MatchAll_Ct&lt;22,$BC406=(Elig_MatchAll_Ct-1),AY406=0),AA406,0)</f>
        <v>0</v>
      </c>
      <c r="CG406" s="201">
        <f>IF(AND(Input_Product=Elig!$C406,Elig_MatchAll_Ct&lt;22,$BC406=(Elig_MatchAll_Ct-1),AZ406=0),AB406,0)</f>
        <v>0</v>
      </c>
      <c r="CH406" s="202">
        <f>IF(AND(Input_Product=Elig!$C406,Elig_MatchAll_Ct&lt;22,$BC406=(Elig_MatchAll_Ct-1),AZ406=0),AC406,0)</f>
        <v>0</v>
      </c>
      <c r="CI406" s="201">
        <f>IF(AND(Input_Product=Elig!$C406,Elig_MatchAll_Ct&lt;22,$BC406=(Elig_MatchAll_Ct-1),BA406=0),AD406,0)</f>
        <v>0</v>
      </c>
      <c r="CJ406" s="202">
        <f>IF(AND(Input_Product=Elig!$C406,Elig_MatchAll_Ct&lt;22,$BC406=(Elig_MatchAll_Ct-1),BA406=0),AE406,0)</f>
        <v>0</v>
      </c>
    </row>
    <row r="407" spans="2:88" ht="10.15" customHeight="1" x14ac:dyDescent="0.25">
      <c r="B407" s="287" t="s">
        <v>1103</v>
      </c>
      <c r="C407" s="286" t="str">
        <f t="shared" si="153"/>
        <v>NonQM NOO</v>
      </c>
      <c r="D407" s="287" t="s">
        <v>3885</v>
      </c>
      <c r="E407" s="287" t="s">
        <v>167</v>
      </c>
      <c r="F407" s="287" t="s">
        <v>330</v>
      </c>
      <c r="G407" s="287" t="s">
        <v>305</v>
      </c>
      <c r="H407" s="287" t="s">
        <v>136</v>
      </c>
      <c r="I407" s="287" t="s">
        <v>16</v>
      </c>
      <c r="J407" s="287" t="s">
        <v>1311</v>
      </c>
      <c r="K407" s="287" t="s">
        <v>1631</v>
      </c>
      <c r="L407" s="300" t="s">
        <v>312</v>
      </c>
      <c r="M407" s="287" t="s">
        <v>4203</v>
      </c>
      <c r="N407" s="287" t="s">
        <v>2685</v>
      </c>
      <c r="O407" s="287" t="s">
        <v>310</v>
      </c>
      <c r="P407" s="287" t="s">
        <v>291</v>
      </c>
      <c r="Q407" s="287" t="s">
        <v>294</v>
      </c>
      <c r="R407" s="287">
        <v>1000000.01</v>
      </c>
      <c r="S407" s="287">
        <v>1500000</v>
      </c>
      <c r="T407" s="287">
        <v>0</v>
      </c>
      <c r="U407" s="287">
        <f t="shared" si="168"/>
        <v>1500000</v>
      </c>
      <c r="V407" s="287">
        <v>0</v>
      </c>
      <c r="W407" s="287">
        <v>50</v>
      </c>
      <c r="X407" s="287">
        <v>0</v>
      </c>
      <c r="Y407" s="287">
        <v>999</v>
      </c>
      <c r="Z407" s="289">
        <v>640</v>
      </c>
      <c r="AA407" s="289">
        <v>659</v>
      </c>
      <c r="AB407" s="289">
        <v>6</v>
      </c>
      <c r="AC407" s="289">
        <v>999999</v>
      </c>
      <c r="AD407" s="287">
        <v>0</v>
      </c>
      <c r="AE407" s="290">
        <v>-999</v>
      </c>
      <c r="AF407" s="170">
        <v>0</v>
      </c>
      <c r="AG407" s="171">
        <v>1</v>
      </c>
      <c r="AH407" s="171">
        <v>1</v>
      </c>
      <c r="AI407" s="171">
        <v>0</v>
      </c>
      <c r="AJ407" s="171">
        <v>0</v>
      </c>
      <c r="AK407" s="171">
        <v>1</v>
      </c>
      <c r="AL407" s="171">
        <v>1</v>
      </c>
      <c r="AM407" s="171">
        <v>1</v>
      </c>
      <c r="AN407" s="171">
        <v>1</v>
      </c>
      <c r="AO407" s="171">
        <v>1</v>
      </c>
      <c r="AP407" s="171">
        <v>1</v>
      </c>
      <c r="AQ407" s="171">
        <v>1</v>
      </c>
      <c r="AR407" s="171">
        <v>1</v>
      </c>
      <c r="AS407" s="171">
        <v>1</v>
      </c>
      <c r="AT407" s="171">
        <v>1</v>
      </c>
      <c r="AU407" s="171">
        <f t="shared" si="162"/>
        <v>0</v>
      </c>
      <c r="AV407" s="171">
        <f t="shared" si="163"/>
        <v>1</v>
      </c>
      <c r="AW407" s="171">
        <f t="shared" si="164"/>
        <v>1</v>
      </c>
      <c r="AX407" s="171">
        <f t="shared" si="152"/>
        <v>1</v>
      </c>
      <c r="AY407" s="171">
        <f t="shared" si="165"/>
        <v>0</v>
      </c>
      <c r="AZ407" s="171">
        <f t="shared" si="166"/>
        <v>1</v>
      </c>
      <c r="BA407" s="172">
        <f t="shared" si="167"/>
        <v>0</v>
      </c>
      <c r="BB407" s="175">
        <f t="shared" si="169"/>
        <v>16</v>
      </c>
      <c r="BC407" s="176">
        <f t="shared" si="170"/>
        <v>16</v>
      </c>
      <c r="BD407" s="176">
        <f t="shared" si="171"/>
        <v>16</v>
      </c>
      <c r="BE407" s="240" t="str">
        <f t="shared" si="161"/>
        <v/>
      </c>
      <c r="BH407" s="199">
        <f>IF(AND(Input_Product=Elig!$C407,Elig_MatchAll_Ct&lt;22,$BC407=(Elig_MatchAll_Ct-1),AF407=0),C407,0)</f>
        <v>0</v>
      </c>
      <c r="BI407" s="199">
        <f>IF(AND(Input_Product=Elig!$C407,Elig_MatchAll_Ct&lt;22,$BC407=(Elig_MatchAll_Ct-1),AG407=0),D407,0)</f>
        <v>0</v>
      </c>
      <c r="BJ407" s="199">
        <f>IF(AND(Input_Product=Elig!$C407,Elig_MatchAll_Ct&lt;22,$BC407=(Elig_MatchAll_Ct-1),AH407=0),E407,0)</f>
        <v>0</v>
      </c>
      <c r="BK407" s="199">
        <f>IF(AND(Input_Product=Elig!$C407,Elig_MatchAll_Ct&lt;22,$BC407=(Elig_MatchAll_Ct-1),AI407=0),F407,0)</f>
        <v>0</v>
      </c>
      <c r="BL407" s="199">
        <f>IF(AND(Input_Product=Elig!$C407,Elig_MatchAll_Ct&lt;22,$BC407=(Elig_MatchAll_Ct-1),AJ407=0),G407,0)</f>
        <v>0</v>
      </c>
      <c r="BM407" s="199">
        <f>IF(AND(Input_Product=Elig!$C407,Elig_MatchAll_Ct&lt;22,$BC407=(Elig_MatchAll_Ct-1),AK407=0),H407,0)</f>
        <v>0</v>
      </c>
      <c r="BN407" s="199">
        <f>IF(AND(Input_Product=Elig!$C407,Elig_MatchAll_Ct&lt;22,$BC407=(Elig_MatchAll_Ct-1),AL407=0),I407,0)</f>
        <v>0</v>
      </c>
      <c r="BO407" s="199">
        <f>IF(AND(Input_Product=Elig!$C407,Elig_MatchAll_Ct&lt;22,$BC407=(Elig_MatchAll_Ct-1),AM407=0),J407,0)</f>
        <v>0</v>
      </c>
      <c r="BP407" s="199">
        <f>IF(AND(Input_Product=Elig!$C407,Elig_MatchAll_Ct&lt;22,$BC407=(Elig_MatchAll_Ct-1),AN407=0),K407,0)</f>
        <v>0</v>
      </c>
      <c r="BQ407" s="199">
        <f>IF(AND(Input_Product=Elig!$C407,Elig_MatchAll_Ct&lt;22,$BC407=(Elig_MatchAll_Ct-1),AP407=0),L407,0)</f>
        <v>0</v>
      </c>
      <c r="BR407" s="199">
        <f>IF(AND(Input_Product=Elig!$C407,Elig_MatchAll_Ct&lt;22,$BC407=(Elig_MatchAll_Ct-1),AO407=0),M407,0)</f>
        <v>0</v>
      </c>
      <c r="BS407" s="199">
        <f>IF(AND(Input_Product=Elig!$C407,Elig_MatchAll_Ct&lt;22,$BC407=(Elig_MatchAll_Ct-1),AQ407=0),N407,0)</f>
        <v>0</v>
      </c>
      <c r="BT407" s="199">
        <f>IF(AND(Input_Product=Elig!$C407,Elig_MatchAll_Ct&lt;22,$BC407=(Elig_MatchAll_Ct-1),AR407=0),O407,0)</f>
        <v>0</v>
      </c>
      <c r="BU407" s="199">
        <f>IF(AND(Input_Product=Elig!$C407,Elig_MatchAll_Ct&lt;22,$BC407=(Elig_MatchAll_Ct-1),AS407=0),P407,0)</f>
        <v>0</v>
      </c>
      <c r="BV407" s="200">
        <f>IF(AND(Input_Product=Elig!$C407,Elig_MatchAll_Ct&lt;22,$BC407=(Elig_MatchAll_Ct-1),AT407=0),Q407,0)</f>
        <v>0</v>
      </c>
      <c r="BW407" s="201">
        <f>IF(AND(Input_Product=Elig!$C407,Elig_MatchAll_Ct&lt;22,$BC407=(Elig_MatchAll_Ct-1),AU407=0),R407,0)</f>
        <v>0</v>
      </c>
      <c r="BX407" s="202">
        <f>IF(AND(Input_Product=Elig!$C407,Elig_MatchAll_Ct&lt;22,$BC407=(Elig_MatchAll_Ct-1),AU407=0),S407,0)</f>
        <v>0</v>
      </c>
      <c r="BY407" s="201">
        <f>IF(AND(Input_Product=Elig!$C407,Elig_MatchAll_Ct&lt;22,$BC407=(Elig_MatchAll_Ct-1),AV407=0),T407,0)</f>
        <v>0</v>
      </c>
      <c r="BZ407" s="202">
        <f>IF(AND(Input_Product=Elig!$C407,Elig_MatchAll_Ct&lt;22,$BC407=(Elig_MatchAll_Ct-1),AV407=0),U407,0)</f>
        <v>0</v>
      </c>
      <c r="CA407" s="201">
        <f>IF(AND(Input_Product=Elig!$C407,Elig_MatchAll_Ct&lt;22,$BC407=(Elig_MatchAll_Ct-1),AW407=0),V407,0)</f>
        <v>0</v>
      </c>
      <c r="CB407" s="202">
        <f>IF(AND(Input_Product=Elig!$C407,Elig_MatchAll_Ct&lt;22,$BC407=(Elig_MatchAll_Ct-1),AW407=0),W407,0)</f>
        <v>0</v>
      </c>
      <c r="CC407" s="201">
        <f>IF(AND(Input_Product=Elig!$C407,Elig_MatchAll_Ct&lt;22,$BC407=(Elig_MatchAll_Ct-1),AX407=0),X407,0)</f>
        <v>0</v>
      </c>
      <c r="CD407" s="202">
        <f>IF(AND(Input_Product=Elig!$C407,Elig_MatchAll_Ct&lt;22,$BC407=(Elig_MatchAll_Ct-1),AX407=0),Y407,0)</f>
        <v>0</v>
      </c>
      <c r="CE407" s="201">
        <f>IF(AND(Input_LTV&lt;=AE407,Input_Product=Elig!$C407,Elig_MatchAll_Ct&lt;22,$BC407=(Elig_MatchAll_Ct-1),AY407=0),Z407,0)</f>
        <v>0</v>
      </c>
      <c r="CF407" s="202">
        <f>IF(AND(Input_LTV&lt;=AE407,Input_Product=Elig!$C407,Elig_MatchAll_Ct&lt;22,$BC407=(Elig_MatchAll_Ct-1),AY407=0),AA407,0)</f>
        <v>0</v>
      </c>
      <c r="CG407" s="201">
        <f>IF(AND(Input_Product=Elig!$C407,Elig_MatchAll_Ct&lt;22,$BC407=(Elig_MatchAll_Ct-1),AZ407=0),AB407,0)</f>
        <v>0</v>
      </c>
      <c r="CH407" s="202">
        <f>IF(AND(Input_Product=Elig!$C407,Elig_MatchAll_Ct&lt;22,$BC407=(Elig_MatchAll_Ct-1),AZ407=0),AC407,0)</f>
        <v>0</v>
      </c>
      <c r="CI407" s="201">
        <f>IF(AND(Input_Product=Elig!$C407,Elig_MatchAll_Ct&lt;22,$BC407=(Elig_MatchAll_Ct-1),BA407=0),AD407,0)</f>
        <v>0</v>
      </c>
      <c r="CJ407" s="202">
        <f>IF(AND(Input_Product=Elig!$C407,Elig_MatchAll_Ct&lt;22,$BC407=(Elig_MatchAll_Ct-1),BA407=0),AE407,0)</f>
        <v>0</v>
      </c>
    </row>
    <row r="408" spans="2:88" ht="10.15" customHeight="1" x14ac:dyDescent="0.25">
      <c r="B408" s="287" t="s">
        <v>1104</v>
      </c>
      <c r="C408" s="291" t="str">
        <f t="shared" si="153"/>
        <v>NonQM NOO</v>
      </c>
      <c r="D408" s="292" t="s">
        <v>3885</v>
      </c>
      <c r="E408" s="292" t="s">
        <v>167</v>
      </c>
      <c r="F408" s="292" t="s">
        <v>330</v>
      </c>
      <c r="G408" s="292" t="s">
        <v>305</v>
      </c>
      <c r="H408" s="292" t="s">
        <v>136</v>
      </c>
      <c r="I408" s="292" t="s">
        <v>16</v>
      </c>
      <c r="J408" s="292" t="s">
        <v>1311</v>
      </c>
      <c r="K408" s="292" t="s">
        <v>1631</v>
      </c>
      <c r="L408" s="324" t="s">
        <v>312</v>
      </c>
      <c r="M408" s="292" t="s">
        <v>4203</v>
      </c>
      <c r="N408" s="292" t="s">
        <v>2685</v>
      </c>
      <c r="O408" s="292" t="s">
        <v>310</v>
      </c>
      <c r="P408" s="292" t="s">
        <v>291</v>
      </c>
      <c r="Q408" s="292" t="s">
        <v>294</v>
      </c>
      <c r="R408" s="292">
        <v>1000000.01</v>
      </c>
      <c r="S408" s="292">
        <v>1500000</v>
      </c>
      <c r="T408" s="292">
        <v>0</v>
      </c>
      <c r="U408" s="292">
        <f t="shared" si="168"/>
        <v>1500000</v>
      </c>
      <c r="V408" s="292">
        <v>0</v>
      </c>
      <c r="W408" s="292">
        <v>50</v>
      </c>
      <c r="X408" s="292">
        <v>0</v>
      </c>
      <c r="Y408" s="292">
        <v>999</v>
      </c>
      <c r="Z408" s="293">
        <v>620</v>
      </c>
      <c r="AA408" s="293">
        <v>639</v>
      </c>
      <c r="AB408" s="293">
        <v>6</v>
      </c>
      <c r="AC408" s="293">
        <v>999999</v>
      </c>
      <c r="AD408" s="292">
        <v>0</v>
      </c>
      <c r="AE408" s="294">
        <v>-999</v>
      </c>
      <c r="AF408" s="170">
        <v>0</v>
      </c>
      <c r="AG408" s="171">
        <v>1</v>
      </c>
      <c r="AH408" s="171">
        <v>1</v>
      </c>
      <c r="AI408" s="171">
        <v>0</v>
      </c>
      <c r="AJ408" s="171">
        <v>0</v>
      </c>
      <c r="AK408" s="171">
        <v>1</v>
      </c>
      <c r="AL408" s="171">
        <v>1</v>
      </c>
      <c r="AM408" s="171">
        <v>1</v>
      </c>
      <c r="AN408" s="171">
        <v>1</v>
      </c>
      <c r="AO408" s="171">
        <v>1</v>
      </c>
      <c r="AP408" s="171">
        <v>1</v>
      </c>
      <c r="AQ408" s="171">
        <v>1</v>
      </c>
      <c r="AR408" s="171">
        <v>1</v>
      </c>
      <c r="AS408" s="171">
        <v>1</v>
      </c>
      <c r="AT408" s="171">
        <v>1</v>
      </c>
      <c r="AU408" s="171">
        <f t="shared" si="162"/>
        <v>0</v>
      </c>
      <c r="AV408" s="171">
        <f t="shared" si="163"/>
        <v>1</v>
      </c>
      <c r="AW408" s="171">
        <f t="shared" si="164"/>
        <v>1</v>
      </c>
      <c r="AX408" s="171">
        <f t="shared" si="152"/>
        <v>1</v>
      </c>
      <c r="AY408" s="171">
        <f t="shared" si="165"/>
        <v>0</v>
      </c>
      <c r="AZ408" s="171">
        <f t="shared" si="166"/>
        <v>1</v>
      </c>
      <c r="BA408" s="172">
        <f t="shared" si="167"/>
        <v>0</v>
      </c>
      <c r="BB408" s="175">
        <f t="shared" si="169"/>
        <v>16</v>
      </c>
      <c r="BC408" s="176">
        <f t="shared" si="170"/>
        <v>16</v>
      </c>
      <c r="BD408" s="176">
        <f t="shared" si="171"/>
        <v>16</v>
      </c>
      <c r="BE408" s="240" t="str">
        <f t="shared" si="161"/>
        <v/>
      </c>
      <c r="BH408" s="214">
        <f>IF(AND(Input_Product=Elig!$C408,Elig_MatchAll_Ct&lt;22,$BC408=(Elig_MatchAll_Ct-1),AF408=0),C408,0)</f>
        <v>0</v>
      </c>
      <c r="BI408" s="214">
        <f>IF(AND(Input_Product=Elig!$C408,Elig_MatchAll_Ct&lt;22,$BC408=(Elig_MatchAll_Ct-1),AG408=0),D408,0)</f>
        <v>0</v>
      </c>
      <c r="BJ408" s="214">
        <f>IF(AND(Input_Product=Elig!$C408,Elig_MatchAll_Ct&lt;22,$BC408=(Elig_MatchAll_Ct-1),AH408=0),E408,0)</f>
        <v>0</v>
      </c>
      <c r="BK408" s="214">
        <f>IF(AND(Input_Product=Elig!$C408,Elig_MatchAll_Ct&lt;22,$BC408=(Elig_MatchAll_Ct-1),AI408=0),F408,0)</f>
        <v>0</v>
      </c>
      <c r="BL408" s="214">
        <f>IF(AND(Input_Product=Elig!$C408,Elig_MatchAll_Ct&lt;22,$BC408=(Elig_MatchAll_Ct-1),AJ408=0),G408,0)</f>
        <v>0</v>
      </c>
      <c r="BM408" s="214">
        <f>IF(AND(Input_Product=Elig!$C408,Elig_MatchAll_Ct&lt;22,$BC408=(Elig_MatchAll_Ct-1),AK408=0),H408,0)</f>
        <v>0</v>
      </c>
      <c r="BN408" s="214">
        <f>IF(AND(Input_Product=Elig!$C408,Elig_MatchAll_Ct&lt;22,$BC408=(Elig_MatchAll_Ct-1),AL408=0),I408,0)</f>
        <v>0</v>
      </c>
      <c r="BO408" s="214">
        <f>IF(AND(Input_Product=Elig!$C408,Elig_MatchAll_Ct&lt;22,$BC408=(Elig_MatchAll_Ct-1),AM408=0),J408,0)</f>
        <v>0</v>
      </c>
      <c r="BP408" s="214">
        <f>IF(AND(Input_Product=Elig!$C408,Elig_MatchAll_Ct&lt;22,$BC408=(Elig_MatchAll_Ct-1),AN408=0),K408,0)</f>
        <v>0</v>
      </c>
      <c r="BQ408" s="214">
        <f>IF(AND(Input_Product=Elig!$C408,Elig_MatchAll_Ct&lt;22,$BC408=(Elig_MatchAll_Ct-1),AP408=0),L408,0)</f>
        <v>0</v>
      </c>
      <c r="BR408" s="214">
        <f>IF(AND(Input_Product=Elig!$C408,Elig_MatchAll_Ct&lt;22,$BC408=(Elig_MatchAll_Ct-1),AO408=0),M408,0)</f>
        <v>0</v>
      </c>
      <c r="BS408" s="214">
        <f>IF(AND(Input_Product=Elig!$C408,Elig_MatchAll_Ct&lt;22,$BC408=(Elig_MatchAll_Ct-1),AQ408=0),N408,0)</f>
        <v>0</v>
      </c>
      <c r="BT408" s="214">
        <f>IF(AND(Input_Product=Elig!$C408,Elig_MatchAll_Ct&lt;22,$BC408=(Elig_MatchAll_Ct-1),AR408=0),O408,0)</f>
        <v>0</v>
      </c>
      <c r="BU408" s="214">
        <f>IF(AND(Input_Product=Elig!$C408,Elig_MatchAll_Ct&lt;22,$BC408=(Elig_MatchAll_Ct-1),AS408=0),P408,0)</f>
        <v>0</v>
      </c>
      <c r="BV408" s="215">
        <f>IF(AND(Input_Product=Elig!$C408,Elig_MatchAll_Ct&lt;22,$BC408=(Elig_MatchAll_Ct-1),AT408=0),Q408,0)</f>
        <v>0</v>
      </c>
      <c r="BW408" s="207">
        <f>IF(AND(Input_Product=Elig!$C408,Elig_MatchAll_Ct&lt;22,$BC408=(Elig_MatchAll_Ct-1),AU408=0),R408,0)</f>
        <v>0</v>
      </c>
      <c r="BX408" s="208">
        <f>IF(AND(Input_Product=Elig!$C408,Elig_MatchAll_Ct&lt;22,$BC408=(Elig_MatchAll_Ct-1),AU408=0),S408,0)</f>
        <v>0</v>
      </c>
      <c r="BY408" s="207">
        <f>IF(AND(Input_Product=Elig!$C408,Elig_MatchAll_Ct&lt;22,$BC408=(Elig_MatchAll_Ct-1),AV408=0),T408,0)</f>
        <v>0</v>
      </c>
      <c r="BZ408" s="208">
        <f>IF(AND(Input_Product=Elig!$C408,Elig_MatchAll_Ct&lt;22,$BC408=(Elig_MatchAll_Ct-1),AV408=0),U408,0)</f>
        <v>0</v>
      </c>
      <c r="CA408" s="207">
        <f>IF(AND(Input_Product=Elig!$C408,Elig_MatchAll_Ct&lt;22,$BC408=(Elig_MatchAll_Ct-1),AW408=0),V408,0)</f>
        <v>0</v>
      </c>
      <c r="CB408" s="208">
        <f>IF(AND(Input_Product=Elig!$C408,Elig_MatchAll_Ct&lt;22,$BC408=(Elig_MatchAll_Ct-1),AW408=0),W408,0)</f>
        <v>0</v>
      </c>
      <c r="CC408" s="207">
        <f>IF(AND(Input_Product=Elig!$C408,Elig_MatchAll_Ct&lt;22,$BC408=(Elig_MatchAll_Ct-1),AX408=0),X408,0)</f>
        <v>0</v>
      </c>
      <c r="CD408" s="208">
        <f>IF(AND(Input_Product=Elig!$C408,Elig_MatchAll_Ct&lt;22,$BC408=(Elig_MatchAll_Ct-1),AX408=0),Y408,0)</f>
        <v>0</v>
      </c>
      <c r="CE408" s="207">
        <f>IF(AND(Input_LTV&lt;=AE408,Input_Product=Elig!$C408,Elig_MatchAll_Ct&lt;22,$BC408=(Elig_MatchAll_Ct-1),AY408=0),Z408,0)</f>
        <v>0</v>
      </c>
      <c r="CF408" s="208">
        <f>IF(AND(Input_LTV&lt;=AE408,Input_Product=Elig!$C408,Elig_MatchAll_Ct&lt;22,$BC408=(Elig_MatchAll_Ct-1),AY408=0),AA408,0)</f>
        <v>0</v>
      </c>
      <c r="CG408" s="207">
        <f>IF(AND(Input_Product=Elig!$C408,Elig_MatchAll_Ct&lt;22,$BC408=(Elig_MatchAll_Ct-1),AZ408=0),AB408,0)</f>
        <v>0</v>
      </c>
      <c r="CH408" s="208">
        <f>IF(AND(Input_Product=Elig!$C408,Elig_MatchAll_Ct&lt;22,$BC408=(Elig_MatchAll_Ct-1),AZ408=0),AC408,0)</f>
        <v>0</v>
      </c>
      <c r="CI408" s="207">
        <f>IF(AND(Input_Product=Elig!$C408,Elig_MatchAll_Ct&lt;22,$BC408=(Elig_MatchAll_Ct-1),BA408=0),AD408,0)</f>
        <v>0</v>
      </c>
      <c r="CJ408" s="209">
        <f>IF(AND(Input_Product=Elig!$C408,Elig_MatchAll_Ct&lt;22,$BC408=(Elig_MatchAll_Ct-1),BA408=0),AE408,0)</f>
        <v>0</v>
      </c>
    </row>
    <row r="409" spans="2:88" ht="10.15" customHeight="1" x14ac:dyDescent="0.25">
      <c r="B409" s="287" t="s">
        <v>1105</v>
      </c>
      <c r="C409" s="281" t="str">
        <f t="shared" si="153"/>
        <v>NonQM NOO</v>
      </c>
      <c r="D409" s="282" t="s">
        <v>3885</v>
      </c>
      <c r="E409" s="283" t="s">
        <v>167</v>
      </c>
      <c r="F409" s="283" t="s">
        <v>330</v>
      </c>
      <c r="G409" s="283" t="s">
        <v>181</v>
      </c>
      <c r="H409" s="283" t="s">
        <v>136</v>
      </c>
      <c r="I409" s="282" t="s">
        <v>274</v>
      </c>
      <c r="J409" s="282" t="s">
        <v>1311</v>
      </c>
      <c r="K409" s="282" t="s">
        <v>1631</v>
      </c>
      <c r="L409" s="2103" t="s">
        <v>312</v>
      </c>
      <c r="M409" s="283" t="s">
        <v>4203</v>
      </c>
      <c r="N409" s="283" t="s">
        <v>2685</v>
      </c>
      <c r="O409" s="283" t="s">
        <v>310</v>
      </c>
      <c r="P409" s="283" t="s">
        <v>291</v>
      </c>
      <c r="Q409" s="283" t="s">
        <v>294</v>
      </c>
      <c r="R409" s="282">
        <v>1000000.01</v>
      </c>
      <c r="S409" s="282">
        <v>1500000</v>
      </c>
      <c r="T409" s="282">
        <v>0</v>
      </c>
      <c r="U409" s="282">
        <v>0</v>
      </c>
      <c r="V409" s="282">
        <v>0</v>
      </c>
      <c r="W409" s="282">
        <v>55</v>
      </c>
      <c r="X409" s="282">
        <v>0.75</v>
      </c>
      <c r="Y409" s="282">
        <v>999</v>
      </c>
      <c r="Z409" s="284">
        <v>720</v>
      </c>
      <c r="AA409" s="284">
        <v>999</v>
      </c>
      <c r="AB409" s="284">
        <v>6</v>
      </c>
      <c r="AC409" s="284">
        <v>999999</v>
      </c>
      <c r="AD409" s="282">
        <v>0</v>
      </c>
      <c r="AE409" s="285">
        <v>80</v>
      </c>
      <c r="AF409" s="170">
        <v>0</v>
      </c>
      <c r="AG409" s="171">
        <v>1</v>
      </c>
      <c r="AH409" s="171">
        <v>1</v>
      </c>
      <c r="AI409" s="171">
        <v>0</v>
      </c>
      <c r="AJ409" s="171">
        <v>0</v>
      </c>
      <c r="AK409" s="171">
        <v>1</v>
      </c>
      <c r="AL409" s="171">
        <v>0</v>
      </c>
      <c r="AM409" s="171">
        <v>1</v>
      </c>
      <c r="AN409" s="171">
        <v>1</v>
      </c>
      <c r="AO409" s="171">
        <v>1</v>
      </c>
      <c r="AP409" s="171">
        <v>1</v>
      </c>
      <c r="AQ409" s="171">
        <v>1</v>
      </c>
      <c r="AR409" s="171">
        <v>1</v>
      </c>
      <c r="AS409" s="171">
        <v>1</v>
      </c>
      <c r="AT409" s="171">
        <v>1</v>
      </c>
      <c r="AU409" s="171">
        <f t="shared" si="162"/>
        <v>0</v>
      </c>
      <c r="AV409" s="171">
        <f t="shared" si="163"/>
        <v>0</v>
      </c>
      <c r="AW409" s="171">
        <f t="shared" si="164"/>
        <v>1</v>
      </c>
      <c r="AX409" s="171">
        <f t="shared" si="152"/>
        <v>0</v>
      </c>
      <c r="AY409" s="171">
        <f t="shared" si="165"/>
        <v>1</v>
      </c>
      <c r="AZ409" s="171">
        <f t="shared" si="166"/>
        <v>1</v>
      </c>
      <c r="BA409" s="172">
        <f t="shared" si="167"/>
        <v>1</v>
      </c>
      <c r="BB409" s="175">
        <f t="shared" si="169"/>
        <v>15</v>
      </c>
      <c r="BC409" s="176">
        <f t="shared" si="170"/>
        <v>14</v>
      </c>
      <c r="BD409" s="176">
        <f t="shared" si="171"/>
        <v>15</v>
      </c>
      <c r="BE409" s="240" t="str">
        <f t="shared" si="161"/>
        <v/>
      </c>
      <c r="BH409" s="216">
        <f>IF(AND(Input_Product=Elig!$C409,Elig_MatchAll_Ct&lt;22,$BC409=(Elig_MatchAll_Ct-1),AF409=0),C409,0)</f>
        <v>0</v>
      </c>
      <c r="BI409" s="216">
        <f>IF(AND(Input_Product=Elig!$C409,Elig_MatchAll_Ct&lt;22,$BC409=(Elig_MatchAll_Ct-1),AG409=0),D409,0)</f>
        <v>0</v>
      </c>
      <c r="BJ409" s="216">
        <f>IF(AND(Input_Product=Elig!$C409,Elig_MatchAll_Ct&lt;22,$BC409=(Elig_MatchAll_Ct-1),AH409=0),E409,0)</f>
        <v>0</v>
      </c>
      <c r="BK409" s="216">
        <f>IF(AND(Input_Product=Elig!$C409,Elig_MatchAll_Ct&lt;22,$BC409=(Elig_MatchAll_Ct-1),AI409=0),F409,0)</f>
        <v>0</v>
      </c>
      <c r="BL409" s="216">
        <f>IF(AND(Input_Product=Elig!$C409,Elig_MatchAll_Ct&lt;22,$BC409=(Elig_MatchAll_Ct-1),AJ409=0),G409,0)</f>
        <v>0</v>
      </c>
      <c r="BM409" s="216">
        <f>IF(AND(Input_Product=Elig!$C409,Elig_MatchAll_Ct&lt;22,$BC409=(Elig_MatchAll_Ct-1),AK409=0),H409,0)</f>
        <v>0</v>
      </c>
      <c r="BN409" s="216">
        <f>IF(AND(Input_Product=Elig!$C409,Elig_MatchAll_Ct&lt;22,$BC409=(Elig_MatchAll_Ct-1),AL409=0),I409,0)</f>
        <v>0</v>
      </c>
      <c r="BO409" s="216">
        <f>IF(AND(Input_Product=Elig!$C409,Elig_MatchAll_Ct&lt;22,$BC409=(Elig_MatchAll_Ct-1),AM409=0),J409,0)</f>
        <v>0</v>
      </c>
      <c r="BP409" s="216">
        <f>IF(AND(Input_Product=Elig!$C409,Elig_MatchAll_Ct&lt;22,$BC409=(Elig_MatchAll_Ct-1),AN409=0),K409,0)</f>
        <v>0</v>
      </c>
      <c r="BQ409" s="216">
        <f>IF(AND(Input_Product=Elig!$C409,Elig_MatchAll_Ct&lt;22,$BC409=(Elig_MatchAll_Ct-1),AP409=0),L409,0)</f>
        <v>0</v>
      </c>
      <c r="BR409" s="216">
        <f>IF(AND(Input_Product=Elig!$C409,Elig_MatchAll_Ct&lt;22,$BC409=(Elig_MatchAll_Ct-1),AO409=0),M409,0)</f>
        <v>0</v>
      </c>
      <c r="BS409" s="216">
        <f>IF(AND(Input_Product=Elig!$C409,Elig_MatchAll_Ct&lt;22,$BC409=(Elig_MatchAll_Ct-1),AQ409=0),N409,0)</f>
        <v>0</v>
      </c>
      <c r="BT409" s="216">
        <f>IF(AND(Input_Product=Elig!$C409,Elig_MatchAll_Ct&lt;22,$BC409=(Elig_MatchAll_Ct-1),AR409=0),O409,0)</f>
        <v>0</v>
      </c>
      <c r="BU409" s="216">
        <f>IF(AND(Input_Product=Elig!$C409,Elig_MatchAll_Ct&lt;22,$BC409=(Elig_MatchAll_Ct-1),AS409=0),P409,0)</f>
        <v>0</v>
      </c>
      <c r="BV409" s="217">
        <f>IF(AND(Input_Product=Elig!$C409,Elig_MatchAll_Ct&lt;22,$BC409=(Elig_MatchAll_Ct-1),AT409=0),Q409,0)</f>
        <v>0</v>
      </c>
      <c r="BW409" s="218">
        <f>IF(AND(Input_Product=Elig!$C409,Elig_MatchAll_Ct&lt;22,$BC409=(Elig_MatchAll_Ct-1),AU409=0),R409,0)</f>
        <v>0</v>
      </c>
      <c r="BX409" s="219">
        <f>IF(AND(Input_Product=Elig!$C409,Elig_MatchAll_Ct&lt;22,$BC409=(Elig_MatchAll_Ct-1),AU409=0),S409,0)</f>
        <v>0</v>
      </c>
      <c r="BY409" s="218">
        <f>IF(AND(Input_Product=Elig!$C409,Elig_MatchAll_Ct&lt;22,$BC409=(Elig_MatchAll_Ct-1),AV409=0),T409,0)</f>
        <v>0</v>
      </c>
      <c r="BZ409" s="219">
        <f>IF(AND(Input_Product=Elig!$C409,Elig_MatchAll_Ct&lt;22,$BC409=(Elig_MatchAll_Ct-1),AV409=0),U409,0)</f>
        <v>0</v>
      </c>
      <c r="CA409" s="218">
        <f>IF(AND(Input_Product=Elig!$C409,Elig_MatchAll_Ct&lt;22,$BC409=(Elig_MatchAll_Ct-1),AW409=0),V409,0)</f>
        <v>0</v>
      </c>
      <c r="CB409" s="219">
        <f>IF(AND(Input_Product=Elig!$C409,Elig_MatchAll_Ct&lt;22,$BC409=(Elig_MatchAll_Ct-1),AW409=0),W409,0)</f>
        <v>0</v>
      </c>
      <c r="CC409" s="218">
        <f>IF(AND(Input_Product=Elig!$C409,Elig_MatchAll_Ct&lt;22,$BC409=(Elig_MatchAll_Ct-1),AX409=0),X409,0)</f>
        <v>0</v>
      </c>
      <c r="CD409" s="219">
        <f>IF(AND(Input_Product=Elig!$C409,Elig_MatchAll_Ct&lt;22,$BC409=(Elig_MatchAll_Ct-1),AX409=0),Y409,0)</f>
        <v>0</v>
      </c>
      <c r="CE409" s="218">
        <f>IF(AND(Input_LTV&lt;=AE409,Input_Product=Elig!$C409,Elig_MatchAll_Ct&lt;22,$BC409=(Elig_MatchAll_Ct-1),AY409=0),Z409,0)</f>
        <v>0</v>
      </c>
      <c r="CF409" s="219">
        <f>IF(AND(Input_LTV&lt;=AE409,Input_Product=Elig!$C409,Elig_MatchAll_Ct&lt;22,$BC409=(Elig_MatchAll_Ct-1),AY409=0),AA409,0)</f>
        <v>0</v>
      </c>
      <c r="CG409" s="218">
        <f>IF(AND(Input_Product=Elig!$C409,Elig_MatchAll_Ct&lt;22,$BC409=(Elig_MatchAll_Ct-1),AZ409=0),AB409,0)</f>
        <v>0</v>
      </c>
      <c r="CH409" s="219">
        <f>IF(AND(Input_Product=Elig!$C409,Elig_MatchAll_Ct&lt;22,$BC409=(Elig_MatchAll_Ct-1),AZ409=0),AC409,0)</f>
        <v>0</v>
      </c>
      <c r="CI409" s="218">
        <f>IF(AND(Input_Product=Elig!$C409,Elig_MatchAll_Ct&lt;22,$BC409=(Elig_MatchAll_Ct-1),BA409=0),AD409,0)</f>
        <v>0</v>
      </c>
      <c r="CJ409" s="219">
        <f>IF(AND(Input_Product=Elig!$C409,Elig_MatchAll_Ct&lt;22,$BC409=(Elig_MatchAll_Ct-1),BA409=0),AE409,0)</f>
        <v>0</v>
      </c>
    </row>
    <row r="410" spans="2:88" ht="10.15" customHeight="1" x14ac:dyDescent="0.25">
      <c r="B410" s="287" t="s">
        <v>1106</v>
      </c>
      <c r="C410" s="286" t="str">
        <f t="shared" si="153"/>
        <v>NonQM NOO</v>
      </c>
      <c r="D410" s="287" t="s">
        <v>3885</v>
      </c>
      <c r="E410" s="287" t="s">
        <v>167</v>
      </c>
      <c r="F410" s="287" t="s">
        <v>330</v>
      </c>
      <c r="G410" s="287" t="s">
        <v>181</v>
      </c>
      <c r="H410" s="287" t="s">
        <v>136</v>
      </c>
      <c r="I410" s="288" t="s">
        <v>274</v>
      </c>
      <c r="J410" s="288" t="s">
        <v>1311</v>
      </c>
      <c r="K410" s="288" t="s">
        <v>1631</v>
      </c>
      <c r="L410" s="300" t="s">
        <v>312</v>
      </c>
      <c r="M410" s="287" t="s">
        <v>4203</v>
      </c>
      <c r="N410" s="287" t="s">
        <v>2685</v>
      </c>
      <c r="O410" s="287" t="s">
        <v>310</v>
      </c>
      <c r="P410" s="287" t="s">
        <v>291</v>
      </c>
      <c r="Q410" s="287" t="s">
        <v>294</v>
      </c>
      <c r="R410" s="287">
        <v>1000000.01</v>
      </c>
      <c r="S410" s="287">
        <v>1500000</v>
      </c>
      <c r="T410" s="287">
        <v>0</v>
      </c>
      <c r="U410" s="287">
        <v>0</v>
      </c>
      <c r="V410" s="287">
        <v>0</v>
      </c>
      <c r="W410" s="287">
        <v>55</v>
      </c>
      <c r="X410" s="287">
        <v>0.75</v>
      </c>
      <c r="Y410" s="287">
        <v>999</v>
      </c>
      <c r="Z410" s="289">
        <v>700</v>
      </c>
      <c r="AA410" s="289">
        <v>719</v>
      </c>
      <c r="AB410" s="289">
        <v>6</v>
      </c>
      <c r="AC410" s="289">
        <v>999999</v>
      </c>
      <c r="AD410" s="287">
        <v>0</v>
      </c>
      <c r="AE410" s="290">
        <v>80</v>
      </c>
      <c r="AF410" s="170">
        <v>0</v>
      </c>
      <c r="AG410" s="171">
        <v>1</v>
      </c>
      <c r="AH410" s="171">
        <v>1</v>
      </c>
      <c r="AI410" s="171">
        <v>0</v>
      </c>
      <c r="AJ410" s="171">
        <v>0</v>
      </c>
      <c r="AK410" s="171">
        <v>1</v>
      </c>
      <c r="AL410" s="171">
        <v>0</v>
      </c>
      <c r="AM410" s="171">
        <v>1</v>
      </c>
      <c r="AN410" s="171">
        <v>1</v>
      </c>
      <c r="AO410" s="171">
        <v>1</v>
      </c>
      <c r="AP410" s="171">
        <v>1</v>
      </c>
      <c r="AQ410" s="171">
        <v>1</v>
      </c>
      <c r="AR410" s="171">
        <v>1</v>
      </c>
      <c r="AS410" s="171">
        <v>1</v>
      </c>
      <c r="AT410" s="171">
        <v>1</v>
      </c>
      <c r="AU410" s="171">
        <f t="shared" si="162"/>
        <v>0</v>
      </c>
      <c r="AV410" s="171">
        <f t="shared" si="163"/>
        <v>0</v>
      </c>
      <c r="AW410" s="171">
        <f t="shared" si="164"/>
        <v>1</v>
      </c>
      <c r="AX410" s="171">
        <f t="shared" si="152"/>
        <v>0</v>
      </c>
      <c r="AY410" s="171">
        <f t="shared" si="165"/>
        <v>0</v>
      </c>
      <c r="AZ410" s="171">
        <f t="shared" si="166"/>
        <v>1</v>
      </c>
      <c r="BA410" s="172">
        <f t="shared" si="167"/>
        <v>1</v>
      </c>
      <c r="BB410" s="175">
        <f t="shared" si="169"/>
        <v>14</v>
      </c>
      <c r="BC410" s="176">
        <f t="shared" si="170"/>
        <v>13</v>
      </c>
      <c r="BD410" s="176">
        <f t="shared" si="171"/>
        <v>14</v>
      </c>
      <c r="BE410" s="240" t="str">
        <f t="shared" si="161"/>
        <v/>
      </c>
      <c r="BH410" s="199">
        <f>IF(AND(Input_Product=Elig!$C410,Elig_MatchAll_Ct&lt;22,$BC410=(Elig_MatchAll_Ct-1),AF410=0),C410,0)</f>
        <v>0</v>
      </c>
      <c r="BI410" s="199">
        <f>IF(AND(Input_Product=Elig!$C410,Elig_MatchAll_Ct&lt;22,$BC410=(Elig_MatchAll_Ct-1),AG410=0),D410,0)</f>
        <v>0</v>
      </c>
      <c r="BJ410" s="199">
        <f>IF(AND(Input_Product=Elig!$C410,Elig_MatchAll_Ct&lt;22,$BC410=(Elig_MatchAll_Ct-1),AH410=0),E410,0)</f>
        <v>0</v>
      </c>
      <c r="BK410" s="199">
        <f>IF(AND(Input_Product=Elig!$C410,Elig_MatchAll_Ct&lt;22,$BC410=(Elig_MatchAll_Ct-1),AI410=0),F410,0)</f>
        <v>0</v>
      </c>
      <c r="BL410" s="199">
        <f>IF(AND(Input_Product=Elig!$C410,Elig_MatchAll_Ct&lt;22,$BC410=(Elig_MatchAll_Ct-1),AJ410=0),G410,0)</f>
        <v>0</v>
      </c>
      <c r="BM410" s="199">
        <f>IF(AND(Input_Product=Elig!$C410,Elig_MatchAll_Ct&lt;22,$BC410=(Elig_MatchAll_Ct-1),AK410=0),H410,0)</f>
        <v>0</v>
      </c>
      <c r="BN410" s="199">
        <f>IF(AND(Input_Product=Elig!$C410,Elig_MatchAll_Ct&lt;22,$BC410=(Elig_MatchAll_Ct-1),AL410=0),I410,0)</f>
        <v>0</v>
      </c>
      <c r="BO410" s="199">
        <f>IF(AND(Input_Product=Elig!$C410,Elig_MatchAll_Ct&lt;22,$BC410=(Elig_MatchAll_Ct-1),AM410=0),J410,0)</f>
        <v>0</v>
      </c>
      <c r="BP410" s="199">
        <f>IF(AND(Input_Product=Elig!$C410,Elig_MatchAll_Ct&lt;22,$BC410=(Elig_MatchAll_Ct-1),AN410=0),K410,0)</f>
        <v>0</v>
      </c>
      <c r="BQ410" s="199">
        <f>IF(AND(Input_Product=Elig!$C410,Elig_MatchAll_Ct&lt;22,$BC410=(Elig_MatchAll_Ct-1),AP410=0),L410,0)</f>
        <v>0</v>
      </c>
      <c r="BR410" s="199">
        <f>IF(AND(Input_Product=Elig!$C410,Elig_MatchAll_Ct&lt;22,$BC410=(Elig_MatchAll_Ct-1),AO410=0),M410,0)</f>
        <v>0</v>
      </c>
      <c r="BS410" s="199">
        <f>IF(AND(Input_Product=Elig!$C410,Elig_MatchAll_Ct&lt;22,$BC410=(Elig_MatchAll_Ct-1),AQ410=0),N410,0)</f>
        <v>0</v>
      </c>
      <c r="BT410" s="199">
        <f>IF(AND(Input_Product=Elig!$C410,Elig_MatchAll_Ct&lt;22,$BC410=(Elig_MatchAll_Ct-1),AR410=0),O410,0)</f>
        <v>0</v>
      </c>
      <c r="BU410" s="199">
        <f>IF(AND(Input_Product=Elig!$C410,Elig_MatchAll_Ct&lt;22,$BC410=(Elig_MatchAll_Ct-1),AS410=0),P410,0)</f>
        <v>0</v>
      </c>
      <c r="BV410" s="200">
        <f>IF(AND(Input_Product=Elig!$C410,Elig_MatchAll_Ct&lt;22,$BC410=(Elig_MatchAll_Ct-1),AT410=0),Q410,0)</f>
        <v>0</v>
      </c>
      <c r="BW410" s="201">
        <f>IF(AND(Input_Product=Elig!$C410,Elig_MatchAll_Ct&lt;22,$BC410=(Elig_MatchAll_Ct-1),AU410=0),R410,0)</f>
        <v>0</v>
      </c>
      <c r="BX410" s="202">
        <f>IF(AND(Input_Product=Elig!$C410,Elig_MatchAll_Ct&lt;22,$BC410=(Elig_MatchAll_Ct-1),AU410=0),S410,0)</f>
        <v>0</v>
      </c>
      <c r="BY410" s="201">
        <f>IF(AND(Input_Product=Elig!$C410,Elig_MatchAll_Ct&lt;22,$BC410=(Elig_MatchAll_Ct-1),AV410=0),T410,0)</f>
        <v>0</v>
      </c>
      <c r="BZ410" s="202">
        <f>IF(AND(Input_Product=Elig!$C410,Elig_MatchAll_Ct&lt;22,$BC410=(Elig_MatchAll_Ct-1),AV410=0),U410,0)</f>
        <v>0</v>
      </c>
      <c r="CA410" s="201">
        <f>IF(AND(Input_Product=Elig!$C410,Elig_MatchAll_Ct&lt;22,$BC410=(Elig_MatchAll_Ct-1),AW410=0),V410,0)</f>
        <v>0</v>
      </c>
      <c r="CB410" s="202">
        <f>IF(AND(Input_Product=Elig!$C410,Elig_MatchAll_Ct&lt;22,$BC410=(Elig_MatchAll_Ct-1),AW410=0),W410,0)</f>
        <v>0</v>
      </c>
      <c r="CC410" s="201">
        <f>IF(AND(Input_Product=Elig!$C410,Elig_MatchAll_Ct&lt;22,$BC410=(Elig_MatchAll_Ct-1),AX410=0),X410,0)</f>
        <v>0</v>
      </c>
      <c r="CD410" s="202">
        <f>IF(AND(Input_Product=Elig!$C410,Elig_MatchAll_Ct&lt;22,$BC410=(Elig_MatchAll_Ct-1),AX410=0),Y410,0)</f>
        <v>0</v>
      </c>
      <c r="CE410" s="201">
        <f>IF(AND(Input_LTV&lt;=AE410,Input_Product=Elig!$C410,Elig_MatchAll_Ct&lt;22,$BC410=(Elig_MatchAll_Ct-1),AY410=0),Z410,0)</f>
        <v>0</v>
      </c>
      <c r="CF410" s="202">
        <f>IF(AND(Input_LTV&lt;=AE410,Input_Product=Elig!$C410,Elig_MatchAll_Ct&lt;22,$BC410=(Elig_MatchAll_Ct-1),AY410=0),AA410,0)</f>
        <v>0</v>
      </c>
      <c r="CG410" s="201">
        <f>IF(AND(Input_Product=Elig!$C410,Elig_MatchAll_Ct&lt;22,$BC410=(Elig_MatchAll_Ct-1),AZ410=0),AB410,0)</f>
        <v>0</v>
      </c>
      <c r="CH410" s="202">
        <f>IF(AND(Input_Product=Elig!$C410,Elig_MatchAll_Ct&lt;22,$BC410=(Elig_MatchAll_Ct-1),AZ410=0),AC410,0)</f>
        <v>0</v>
      </c>
      <c r="CI410" s="201">
        <f>IF(AND(Input_Product=Elig!$C410,Elig_MatchAll_Ct&lt;22,$BC410=(Elig_MatchAll_Ct-1),BA410=0),AD410,0)</f>
        <v>0</v>
      </c>
      <c r="CJ410" s="202">
        <f>IF(AND(Input_Product=Elig!$C410,Elig_MatchAll_Ct&lt;22,$BC410=(Elig_MatchAll_Ct-1),BA410=0),AE410,0)</f>
        <v>0</v>
      </c>
    </row>
    <row r="411" spans="2:88" ht="10.15" customHeight="1" x14ac:dyDescent="0.25">
      <c r="B411" s="287" t="s">
        <v>1107</v>
      </c>
      <c r="C411" s="286" t="str">
        <f t="shared" si="153"/>
        <v>NonQM NOO</v>
      </c>
      <c r="D411" s="287" t="s">
        <v>3885</v>
      </c>
      <c r="E411" s="287" t="s">
        <v>167</v>
      </c>
      <c r="F411" s="287" t="s">
        <v>330</v>
      </c>
      <c r="G411" s="287" t="s">
        <v>181</v>
      </c>
      <c r="H411" s="287" t="s">
        <v>136</v>
      </c>
      <c r="I411" s="288" t="s">
        <v>274</v>
      </c>
      <c r="J411" s="288" t="s">
        <v>1311</v>
      </c>
      <c r="K411" s="288" t="s">
        <v>1631</v>
      </c>
      <c r="L411" s="300" t="s">
        <v>312</v>
      </c>
      <c r="M411" s="287" t="s">
        <v>4203</v>
      </c>
      <c r="N411" s="287" t="s">
        <v>2685</v>
      </c>
      <c r="O411" s="287" t="s">
        <v>310</v>
      </c>
      <c r="P411" s="287" t="s">
        <v>291</v>
      </c>
      <c r="Q411" s="287" t="s">
        <v>294</v>
      </c>
      <c r="R411" s="287">
        <v>1000000.01</v>
      </c>
      <c r="S411" s="287">
        <v>1500000</v>
      </c>
      <c r="T411" s="287">
        <v>0</v>
      </c>
      <c r="U411" s="287">
        <v>0</v>
      </c>
      <c r="V411" s="287">
        <v>0</v>
      </c>
      <c r="W411" s="287">
        <v>55</v>
      </c>
      <c r="X411" s="287">
        <v>0.75</v>
      </c>
      <c r="Y411" s="287">
        <v>999</v>
      </c>
      <c r="Z411" s="289">
        <v>680</v>
      </c>
      <c r="AA411" s="289">
        <v>699</v>
      </c>
      <c r="AB411" s="289">
        <v>6</v>
      </c>
      <c r="AC411" s="289">
        <v>999999</v>
      </c>
      <c r="AD411" s="287">
        <v>0</v>
      </c>
      <c r="AE411" s="2105">
        <v>80</v>
      </c>
      <c r="AF411" s="170">
        <v>0</v>
      </c>
      <c r="AG411" s="171">
        <v>1</v>
      </c>
      <c r="AH411" s="171">
        <v>1</v>
      </c>
      <c r="AI411" s="171">
        <v>0</v>
      </c>
      <c r="AJ411" s="171">
        <v>0</v>
      </c>
      <c r="AK411" s="171">
        <v>1</v>
      </c>
      <c r="AL411" s="171">
        <v>0</v>
      </c>
      <c r="AM411" s="171">
        <v>1</v>
      </c>
      <c r="AN411" s="171">
        <v>1</v>
      </c>
      <c r="AO411" s="171">
        <v>1</v>
      </c>
      <c r="AP411" s="171">
        <v>1</v>
      </c>
      <c r="AQ411" s="171">
        <v>1</v>
      </c>
      <c r="AR411" s="171">
        <v>1</v>
      </c>
      <c r="AS411" s="171">
        <v>1</v>
      </c>
      <c r="AT411" s="171">
        <v>1</v>
      </c>
      <c r="AU411" s="171">
        <f t="shared" si="162"/>
        <v>0</v>
      </c>
      <c r="AV411" s="171">
        <f t="shared" si="163"/>
        <v>0</v>
      </c>
      <c r="AW411" s="171">
        <f t="shared" si="164"/>
        <v>1</v>
      </c>
      <c r="AX411" s="171">
        <f t="shared" si="152"/>
        <v>0</v>
      </c>
      <c r="AY411" s="171">
        <f t="shared" si="165"/>
        <v>0</v>
      </c>
      <c r="AZ411" s="171">
        <f t="shared" si="166"/>
        <v>1</v>
      </c>
      <c r="BA411" s="172">
        <f t="shared" si="167"/>
        <v>1</v>
      </c>
      <c r="BB411" s="175">
        <f t="shared" si="169"/>
        <v>14</v>
      </c>
      <c r="BC411" s="176">
        <f t="shared" si="170"/>
        <v>13</v>
      </c>
      <c r="BD411" s="176">
        <f t="shared" si="171"/>
        <v>14</v>
      </c>
      <c r="BE411" s="240" t="str">
        <f t="shared" si="161"/>
        <v/>
      </c>
      <c r="BH411" s="199">
        <f>IF(AND(Input_Product=Elig!$C411,Elig_MatchAll_Ct&lt;22,$BC411=(Elig_MatchAll_Ct-1),AF411=0),C411,0)</f>
        <v>0</v>
      </c>
      <c r="BI411" s="199">
        <f>IF(AND(Input_Product=Elig!$C411,Elig_MatchAll_Ct&lt;22,$BC411=(Elig_MatchAll_Ct-1),AG411=0),D411,0)</f>
        <v>0</v>
      </c>
      <c r="BJ411" s="199">
        <f>IF(AND(Input_Product=Elig!$C411,Elig_MatchAll_Ct&lt;22,$BC411=(Elig_MatchAll_Ct-1),AH411=0),E411,0)</f>
        <v>0</v>
      </c>
      <c r="BK411" s="199">
        <f>IF(AND(Input_Product=Elig!$C411,Elig_MatchAll_Ct&lt;22,$BC411=(Elig_MatchAll_Ct-1),AI411=0),F411,0)</f>
        <v>0</v>
      </c>
      <c r="BL411" s="199">
        <f>IF(AND(Input_Product=Elig!$C411,Elig_MatchAll_Ct&lt;22,$BC411=(Elig_MatchAll_Ct-1),AJ411=0),G411,0)</f>
        <v>0</v>
      </c>
      <c r="BM411" s="199">
        <f>IF(AND(Input_Product=Elig!$C411,Elig_MatchAll_Ct&lt;22,$BC411=(Elig_MatchAll_Ct-1),AK411=0),H411,0)</f>
        <v>0</v>
      </c>
      <c r="BN411" s="199">
        <f>IF(AND(Input_Product=Elig!$C411,Elig_MatchAll_Ct&lt;22,$BC411=(Elig_MatchAll_Ct-1),AL411=0),I411,0)</f>
        <v>0</v>
      </c>
      <c r="BO411" s="199">
        <f>IF(AND(Input_Product=Elig!$C411,Elig_MatchAll_Ct&lt;22,$BC411=(Elig_MatchAll_Ct-1),AM411=0),J411,0)</f>
        <v>0</v>
      </c>
      <c r="BP411" s="199">
        <f>IF(AND(Input_Product=Elig!$C411,Elig_MatchAll_Ct&lt;22,$BC411=(Elig_MatchAll_Ct-1),AN411=0),K411,0)</f>
        <v>0</v>
      </c>
      <c r="BQ411" s="199">
        <f>IF(AND(Input_Product=Elig!$C411,Elig_MatchAll_Ct&lt;22,$BC411=(Elig_MatchAll_Ct-1),AP411=0),L411,0)</f>
        <v>0</v>
      </c>
      <c r="BR411" s="199">
        <f>IF(AND(Input_Product=Elig!$C411,Elig_MatchAll_Ct&lt;22,$BC411=(Elig_MatchAll_Ct-1),AO411=0),M411,0)</f>
        <v>0</v>
      </c>
      <c r="BS411" s="199">
        <f>IF(AND(Input_Product=Elig!$C411,Elig_MatchAll_Ct&lt;22,$BC411=(Elig_MatchAll_Ct-1),AQ411=0),N411,0)</f>
        <v>0</v>
      </c>
      <c r="BT411" s="199">
        <f>IF(AND(Input_Product=Elig!$C411,Elig_MatchAll_Ct&lt;22,$BC411=(Elig_MatchAll_Ct-1),AR411=0),O411,0)</f>
        <v>0</v>
      </c>
      <c r="BU411" s="199">
        <f>IF(AND(Input_Product=Elig!$C411,Elig_MatchAll_Ct&lt;22,$BC411=(Elig_MatchAll_Ct-1),AS411=0),P411,0)</f>
        <v>0</v>
      </c>
      <c r="BV411" s="200">
        <f>IF(AND(Input_Product=Elig!$C411,Elig_MatchAll_Ct&lt;22,$BC411=(Elig_MatchAll_Ct-1),AT411=0),Q411,0)</f>
        <v>0</v>
      </c>
      <c r="BW411" s="201">
        <f>IF(AND(Input_Product=Elig!$C411,Elig_MatchAll_Ct&lt;22,$BC411=(Elig_MatchAll_Ct-1),AU411=0),R411,0)</f>
        <v>0</v>
      </c>
      <c r="BX411" s="202">
        <f>IF(AND(Input_Product=Elig!$C411,Elig_MatchAll_Ct&lt;22,$BC411=(Elig_MatchAll_Ct-1),AU411=0),S411,0)</f>
        <v>0</v>
      </c>
      <c r="BY411" s="201">
        <f>IF(AND(Input_Product=Elig!$C411,Elig_MatchAll_Ct&lt;22,$BC411=(Elig_MatchAll_Ct-1),AV411=0),T411,0)</f>
        <v>0</v>
      </c>
      <c r="BZ411" s="202">
        <f>IF(AND(Input_Product=Elig!$C411,Elig_MatchAll_Ct&lt;22,$BC411=(Elig_MatchAll_Ct-1),AV411=0),U411,0)</f>
        <v>0</v>
      </c>
      <c r="CA411" s="201">
        <f>IF(AND(Input_Product=Elig!$C411,Elig_MatchAll_Ct&lt;22,$BC411=(Elig_MatchAll_Ct-1),AW411=0),V411,0)</f>
        <v>0</v>
      </c>
      <c r="CB411" s="202">
        <f>IF(AND(Input_Product=Elig!$C411,Elig_MatchAll_Ct&lt;22,$BC411=(Elig_MatchAll_Ct-1),AW411=0),W411,0)</f>
        <v>0</v>
      </c>
      <c r="CC411" s="201">
        <f>IF(AND(Input_Product=Elig!$C411,Elig_MatchAll_Ct&lt;22,$BC411=(Elig_MatchAll_Ct-1),AX411=0),X411,0)</f>
        <v>0</v>
      </c>
      <c r="CD411" s="202">
        <f>IF(AND(Input_Product=Elig!$C411,Elig_MatchAll_Ct&lt;22,$BC411=(Elig_MatchAll_Ct-1),AX411=0),Y411,0)</f>
        <v>0</v>
      </c>
      <c r="CE411" s="201">
        <f>IF(AND(Input_LTV&lt;=AE411,Input_Product=Elig!$C411,Elig_MatchAll_Ct&lt;22,$BC411=(Elig_MatchAll_Ct-1),AY411=0),Z411,0)</f>
        <v>0</v>
      </c>
      <c r="CF411" s="202">
        <f>IF(AND(Input_LTV&lt;=AE411,Input_Product=Elig!$C411,Elig_MatchAll_Ct&lt;22,$BC411=(Elig_MatchAll_Ct-1),AY411=0),AA411,0)</f>
        <v>0</v>
      </c>
      <c r="CG411" s="201">
        <f>IF(AND(Input_Product=Elig!$C411,Elig_MatchAll_Ct&lt;22,$BC411=(Elig_MatchAll_Ct-1),AZ411=0),AB411,0)</f>
        <v>0</v>
      </c>
      <c r="CH411" s="202">
        <f>IF(AND(Input_Product=Elig!$C411,Elig_MatchAll_Ct&lt;22,$BC411=(Elig_MatchAll_Ct-1),AZ411=0),AC411,0)</f>
        <v>0</v>
      </c>
      <c r="CI411" s="201">
        <f>IF(AND(Input_Product=Elig!$C411,Elig_MatchAll_Ct&lt;22,$BC411=(Elig_MatchAll_Ct-1),BA411=0),AD411,0)</f>
        <v>0</v>
      </c>
      <c r="CJ411" s="202">
        <f>IF(AND(Input_Product=Elig!$C411,Elig_MatchAll_Ct&lt;22,$BC411=(Elig_MatchAll_Ct-1),BA411=0),AE411,0)</f>
        <v>0</v>
      </c>
    </row>
    <row r="412" spans="2:88" ht="10.15" customHeight="1" x14ac:dyDescent="0.25">
      <c r="B412" s="287" t="s">
        <v>1108</v>
      </c>
      <c r="C412" s="286" t="str">
        <f t="shared" si="153"/>
        <v>NonQM NOO</v>
      </c>
      <c r="D412" s="287" t="s">
        <v>3885</v>
      </c>
      <c r="E412" s="287" t="s">
        <v>167</v>
      </c>
      <c r="F412" s="287" t="s">
        <v>330</v>
      </c>
      <c r="G412" s="287" t="s">
        <v>181</v>
      </c>
      <c r="H412" s="287" t="s">
        <v>136</v>
      </c>
      <c r="I412" s="287" t="s">
        <v>274</v>
      </c>
      <c r="J412" s="287" t="s">
        <v>1311</v>
      </c>
      <c r="K412" s="287" t="s">
        <v>1631</v>
      </c>
      <c r="L412" s="300" t="s">
        <v>312</v>
      </c>
      <c r="M412" s="287" t="s">
        <v>4203</v>
      </c>
      <c r="N412" s="287" t="s">
        <v>2685</v>
      </c>
      <c r="O412" s="287" t="s">
        <v>310</v>
      </c>
      <c r="P412" s="287" t="s">
        <v>291</v>
      </c>
      <c r="Q412" s="287" t="s">
        <v>294</v>
      </c>
      <c r="R412" s="287">
        <v>1000000.01</v>
      </c>
      <c r="S412" s="287">
        <v>1500000</v>
      </c>
      <c r="T412" s="287">
        <v>0</v>
      </c>
      <c r="U412" s="287">
        <v>0</v>
      </c>
      <c r="V412" s="287">
        <v>0</v>
      </c>
      <c r="W412" s="287">
        <v>50</v>
      </c>
      <c r="X412" s="287">
        <v>0.75</v>
      </c>
      <c r="Y412" s="287">
        <v>999</v>
      </c>
      <c r="Z412" s="2106">
        <v>660</v>
      </c>
      <c r="AA412" s="2106">
        <v>679</v>
      </c>
      <c r="AB412" s="289">
        <v>6</v>
      </c>
      <c r="AC412" s="289">
        <v>999999</v>
      </c>
      <c r="AD412" s="287">
        <v>0</v>
      </c>
      <c r="AE412" s="2105">
        <v>75</v>
      </c>
      <c r="AF412" s="170">
        <v>0</v>
      </c>
      <c r="AG412" s="171">
        <v>1</v>
      </c>
      <c r="AH412" s="171">
        <v>1</v>
      </c>
      <c r="AI412" s="171">
        <v>0</v>
      </c>
      <c r="AJ412" s="171">
        <v>0</v>
      </c>
      <c r="AK412" s="171">
        <v>1</v>
      </c>
      <c r="AL412" s="171">
        <v>0</v>
      </c>
      <c r="AM412" s="171">
        <v>1</v>
      </c>
      <c r="AN412" s="171">
        <v>1</v>
      </c>
      <c r="AO412" s="171">
        <v>1</v>
      </c>
      <c r="AP412" s="171">
        <v>1</v>
      </c>
      <c r="AQ412" s="171">
        <v>1</v>
      </c>
      <c r="AR412" s="171">
        <v>1</v>
      </c>
      <c r="AS412" s="171">
        <v>1</v>
      </c>
      <c r="AT412" s="171">
        <v>1</v>
      </c>
      <c r="AU412" s="171">
        <f t="shared" si="162"/>
        <v>0</v>
      </c>
      <c r="AV412" s="171">
        <f t="shared" si="163"/>
        <v>0</v>
      </c>
      <c r="AW412" s="171">
        <f t="shared" si="164"/>
        <v>1</v>
      </c>
      <c r="AX412" s="171">
        <f t="shared" si="152"/>
        <v>0</v>
      </c>
      <c r="AY412" s="171">
        <f t="shared" si="165"/>
        <v>0</v>
      </c>
      <c r="AZ412" s="171">
        <f t="shared" si="166"/>
        <v>1</v>
      </c>
      <c r="BA412" s="172">
        <f t="shared" si="167"/>
        <v>1</v>
      </c>
      <c r="BB412" s="175">
        <f t="shared" si="169"/>
        <v>14</v>
      </c>
      <c r="BC412" s="176">
        <f t="shared" si="170"/>
        <v>13</v>
      </c>
      <c r="BD412" s="176">
        <f t="shared" si="171"/>
        <v>14</v>
      </c>
      <c r="BE412" s="240" t="str">
        <f t="shared" si="161"/>
        <v/>
      </c>
      <c r="BH412" s="199">
        <f>IF(AND(Input_Product=Elig!$C412,Elig_MatchAll_Ct&lt;22,$BC412=(Elig_MatchAll_Ct-1),AF412=0),C412,0)</f>
        <v>0</v>
      </c>
      <c r="BI412" s="199">
        <f>IF(AND(Input_Product=Elig!$C412,Elig_MatchAll_Ct&lt;22,$BC412=(Elig_MatchAll_Ct-1),AG412=0),D412,0)</f>
        <v>0</v>
      </c>
      <c r="BJ412" s="199">
        <f>IF(AND(Input_Product=Elig!$C412,Elig_MatchAll_Ct&lt;22,$BC412=(Elig_MatchAll_Ct-1),AH412=0),E412,0)</f>
        <v>0</v>
      </c>
      <c r="BK412" s="199">
        <f>IF(AND(Input_Product=Elig!$C412,Elig_MatchAll_Ct&lt;22,$BC412=(Elig_MatchAll_Ct-1),AI412=0),F412,0)</f>
        <v>0</v>
      </c>
      <c r="BL412" s="199">
        <f>IF(AND(Input_Product=Elig!$C412,Elig_MatchAll_Ct&lt;22,$BC412=(Elig_MatchAll_Ct-1),AJ412=0),G412,0)</f>
        <v>0</v>
      </c>
      <c r="BM412" s="199">
        <f>IF(AND(Input_Product=Elig!$C412,Elig_MatchAll_Ct&lt;22,$BC412=(Elig_MatchAll_Ct-1),AK412=0),H412,0)</f>
        <v>0</v>
      </c>
      <c r="BN412" s="199">
        <f>IF(AND(Input_Product=Elig!$C412,Elig_MatchAll_Ct&lt;22,$BC412=(Elig_MatchAll_Ct-1),AL412=0),I412,0)</f>
        <v>0</v>
      </c>
      <c r="BO412" s="199">
        <f>IF(AND(Input_Product=Elig!$C412,Elig_MatchAll_Ct&lt;22,$BC412=(Elig_MatchAll_Ct-1),AM412=0),J412,0)</f>
        <v>0</v>
      </c>
      <c r="BP412" s="199">
        <f>IF(AND(Input_Product=Elig!$C412,Elig_MatchAll_Ct&lt;22,$BC412=(Elig_MatchAll_Ct-1),AN412=0),K412,0)</f>
        <v>0</v>
      </c>
      <c r="BQ412" s="199">
        <f>IF(AND(Input_Product=Elig!$C412,Elig_MatchAll_Ct&lt;22,$BC412=(Elig_MatchAll_Ct-1),AP412=0),L412,0)</f>
        <v>0</v>
      </c>
      <c r="BR412" s="199">
        <f>IF(AND(Input_Product=Elig!$C412,Elig_MatchAll_Ct&lt;22,$BC412=(Elig_MatchAll_Ct-1),AO412=0),M412,0)</f>
        <v>0</v>
      </c>
      <c r="BS412" s="199">
        <f>IF(AND(Input_Product=Elig!$C412,Elig_MatchAll_Ct&lt;22,$BC412=(Elig_MatchAll_Ct-1),AQ412=0),N412,0)</f>
        <v>0</v>
      </c>
      <c r="BT412" s="199">
        <f>IF(AND(Input_Product=Elig!$C412,Elig_MatchAll_Ct&lt;22,$BC412=(Elig_MatchAll_Ct-1),AR412=0),O412,0)</f>
        <v>0</v>
      </c>
      <c r="BU412" s="199">
        <f>IF(AND(Input_Product=Elig!$C412,Elig_MatchAll_Ct&lt;22,$BC412=(Elig_MatchAll_Ct-1),AS412=0),P412,0)</f>
        <v>0</v>
      </c>
      <c r="BV412" s="200">
        <f>IF(AND(Input_Product=Elig!$C412,Elig_MatchAll_Ct&lt;22,$BC412=(Elig_MatchAll_Ct-1),AT412=0),Q412,0)</f>
        <v>0</v>
      </c>
      <c r="BW412" s="201">
        <f>IF(AND(Input_Product=Elig!$C412,Elig_MatchAll_Ct&lt;22,$BC412=(Elig_MatchAll_Ct-1),AU412=0),R412,0)</f>
        <v>0</v>
      </c>
      <c r="BX412" s="202">
        <f>IF(AND(Input_Product=Elig!$C412,Elig_MatchAll_Ct&lt;22,$BC412=(Elig_MatchAll_Ct-1),AU412=0),S412,0)</f>
        <v>0</v>
      </c>
      <c r="BY412" s="201">
        <f>IF(AND(Input_Product=Elig!$C412,Elig_MatchAll_Ct&lt;22,$BC412=(Elig_MatchAll_Ct-1),AV412=0),T412,0)</f>
        <v>0</v>
      </c>
      <c r="BZ412" s="202">
        <f>IF(AND(Input_Product=Elig!$C412,Elig_MatchAll_Ct&lt;22,$BC412=(Elig_MatchAll_Ct-1),AV412=0),U412,0)</f>
        <v>0</v>
      </c>
      <c r="CA412" s="201">
        <f>IF(AND(Input_Product=Elig!$C412,Elig_MatchAll_Ct&lt;22,$BC412=(Elig_MatchAll_Ct-1),AW412=0),V412,0)</f>
        <v>0</v>
      </c>
      <c r="CB412" s="202">
        <f>IF(AND(Input_Product=Elig!$C412,Elig_MatchAll_Ct&lt;22,$BC412=(Elig_MatchAll_Ct-1),AW412=0),W412,0)</f>
        <v>0</v>
      </c>
      <c r="CC412" s="201">
        <f>IF(AND(Input_Product=Elig!$C412,Elig_MatchAll_Ct&lt;22,$BC412=(Elig_MatchAll_Ct-1),AX412=0),X412,0)</f>
        <v>0</v>
      </c>
      <c r="CD412" s="202">
        <f>IF(AND(Input_Product=Elig!$C412,Elig_MatchAll_Ct&lt;22,$BC412=(Elig_MatchAll_Ct-1),AX412=0),Y412,0)</f>
        <v>0</v>
      </c>
      <c r="CE412" s="201">
        <f>IF(AND(Input_LTV&lt;=AE412,Input_Product=Elig!$C412,Elig_MatchAll_Ct&lt;22,$BC412=(Elig_MatchAll_Ct-1),AY412=0),Z412,0)</f>
        <v>0</v>
      </c>
      <c r="CF412" s="202">
        <f>IF(AND(Input_LTV&lt;=AE412,Input_Product=Elig!$C412,Elig_MatchAll_Ct&lt;22,$BC412=(Elig_MatchAll_Ct-1),AY412=0),AA412,0)</f>
        <v>0</v>
      </c>
      <c r="CG412" s="201">
        <f>IF(AND(Input_Product=Elig!$C412,Elig_MatchAll_Ct&lt;22,$BC412=(Elig_MatchAll_Ct-1),AZ412=0),AB412,0)</f>
        <v>0</v>
      </c>
      <c r="CH412" s="202">
        <f>IF(AND(Input_Product=Elig!$C412,Elig_MatchAll_Ct&lt;22,$BC412=(Elig_MatchAll_Ct-1),AZ412=0),AC412,0)</f>
        <v>0</v>
      </c>
      <c r="CI412" s="201">
        <f>IF(AND(Input_Product=Elig!$C412,Elig_MatchAll_Ct&lt;22,$BC412=(Elig_MatchAll_Ct-1),BA412=0),AD412,0)</f>
        <v>0</v>
      </c>
      <c r="CJ412" s="202">
        <f>IF(AND(Input_Product=Elig!$C412,Elig_MatchAll_Ct&lt;22,$BC412=(Elig_MatchAll_Ct-1),BA412=0),AE412,0)</f>
        <v>0</v>
      </c>
    </row>
    <row r="413" spans="2:88" ht="10.15" customHeight="1" x14ac:dyDescent="0.25">
      <c r="B413" s="287" t="s">
        <v>1109</v>
      </c>
      <c r="C413" s="286" t="str">
        <f t="shared" si="153"/>
        <v>NonQM NOO</v>
      </c>
      <c r="D413" s="287" t="s">
        <v>3885</v>
      </c>
      <c r="E413" s="287" t="s">
        <v>167</v>
      </c>
      <c r="F413" s="287" t="s">
        <v>330</v>
      </c>
      <c r="G413" s="287" t="s">
        <v>181</v>
      </c>
      <c r="H413" s="287" t="s">
        <v>136</v>
      </c>
      <c r="I413" s="287" t="s">
        <v>274</v>
      </c>
      <c r="J413" s="287" t="s">
        <v>1311</v>
      </c>
      <c r="K413" s="287" t="s">
        <v>1631</v>
      </c>
      <c r="L413" s="300" t="s">
        <v>312</v>
      </c>
      <c r="M413" s="287" t="s">
        <v>4203</v>
      </c>
      <c r="N413" s="287" t="s">
        <v>2685</v>
      </c>
      <c r="O413" s="287" t="s">
        <v>45</v>
      </c>
      <c r="P413" s="287" t="s">
        <v>291</v>
      </c>
      <c r="Q413" s="287" t="s">
        <v>294</v>
      </c>
      <c r="R413" s="287">
        <v>1000000.01</v>
      </c>
      <c r="S413" s="287">
        <v>1500000</v>
      </c>
      <c r="T413" s="287">
        <v>0</v>
      </c>
      <c r="U413" s="287">
        <v>0</v>
      </c>
      <c r="V413" s="287">
        <v>0</v>
      </c>
      <c r="W413" s="287">
        <v>50</v>
      </c>
      <c r="X413" s="300">
        <v>1</v>
      </c>
      <c r="Y413" s="287">
        <v>999</v>
      </c>
      <c r="Z413" s="2106">
        <v>660</v>
      </c>
      <c r="AA413" s="2106">
        <v>679</v>
      </c>
      <c r="AB413" s="289">
        <v>6</v>
      </c>
      <c r="AC413" s="289">
        <v>999999</v>
      </c>
      <c r="AD413" s="287">
        <v>0</v>
      </c>
      <c r="AE413" s="2105">
        <v>75</v>
      </c>
      <c r="AF413" s="170">
        <v>0</v>
      </c>
      <c r="AG413" s="171">
        <v>1</v>
      </c>
      <c r="AH413" s="171">
        <v>1</v>
      </c>
      <c r="AI413" s="171">
        <v>0</v>
      </c>
      <c r="AJ413" s="171">
        <v>0</v>
      </c>
      <c r="AK413" s="171">
        <v>1</v>
      </c>
      <c r="AL413" s="171">
        <v>0</v>
      </c>
      <c r="AM413" s="171">
        <v>1</v>
      </c>
      <c r="AN413" s="171">
        <v>1</v>
      </c>
      <c r="AO413" s="171">
        <v>1</v>
      </c>
      <c r="AP413" s="171">
        <v>1</v>
      </c>
      <c r="AQ413" s="171">
        <v>1</v>
      </c>
      <c r="AR413" s="171">
        <v>0</v>
      </c>
      <c r="AS413" s="171">
        <v>1</v>
      </c>
      <c r="AT413" s="171">
        <v>1</v>
      </c>
      <c r="AU413" s="171">
        <f t="shared" si="162"/>
        <v>0</v>
      </c>
      <c r="AV413" s="171">
        <f t="shared" si="163"/>
        <v>0</v>
      </c>
      <c r="AW413" s="171">
        <f t="shared" si="164"/>
        <v>1</v>
      </c>
      <c r="AX413" s="171">
        <f t="shared" si="152"/>
        <v>0</v>
      </c>
      <c r="AY413" s="171">
        <f t="shared" si="165"/>
        <v>0</v>
      </c>
      <c r="AZ413" s="171">
        <f t="shared" si="166"/>
        <v>1</v>
      </c>
      <c r="BA413" s="172">
        <f t="shared" si="167"/>
        <v>1</v>
      </c>
      <c r="BB413" s="175">
        <f t="shared" si="169"/>
        <v>13</v>
      </c>
      <c r="BC413" s="176">
        <f t="shared" si="170"/>
        <v>12</v>
      </c>
      <c r="BD413" s="176">
        <f t="shared" si="171"/>
        <v>13</v>
      </c>
      <c r="BE413" s="240" t="str">
        <f t="shared" si="161"/>
        <v/>
      </c>
      <c r="BH413" s="199">
        <f>IF(AND(Input_Product=Elig!$C413,Elig_MatchAll_Ct&lt;22,$BC413=(Elig_MatchAll_Ct-1),AF413=0),C413,0)</f>
        <v>0</v>
      </c>
      <c r="BI413" s="199">
        <f>IF(AND(Input_Product=Elig!$C413,Elig_MatchAll_Ct&lt;22,$BC413=(Elig_MatchAll_Ct-1),AG413=0),D413,0)</f>
        <v>0</v>
      </c>
      <c r="BJ413" s="199">
        <f>IF(AND(Input_Product=Elig!$C413,Elig_MatchAll_Ct&lt;22,$BC413=(Elig_MatchAll_Ct-1),AH413=0),E413,0)</f>
        <v>0</v>
      </c>
      <c r="BK413" s="199">
        <f>IF(AND(Input_Product=Elig!$C413,Elig_MatchAll_Ct&lt;22,$BC413=(Elig_MatchAll_Ct-1),AI413=0),F413,0)</f>
        <v>0</v>
      </c>
      <c r="BL413" s="199">
        <f>IF(AND(Input_Product=Elig!$C413,Elig_MatchAll_Ct&lt;22,$BC413=(Elig_MatchAll_Ct-1),AJ413=0),G413,0)</f>
        <v>0</v>
      </c>
      <c r="BM413" s="199">
        <f>IF(AND(Input_Product=Elig!$C413,Elig_MatchAll_Ct&lt;22,$BC413=(Elig_MatchAll_Ct-1),AK413=0),H413,0)</f>
        <v>0</v>
      </c>
      <c r="BN413" s="199">
        <f>IF(AND(Input_Product=Elig!$C413,Elig_MatchAll_Ct&lt;22,$BC413=(Elig_MatchAll_Ct-1),AL413=0),I413,0)</f>
        <v>0</v>
      </c>
      <c r="BO413" s="199">
        <f>IF(AND(Input_Product=Elig!$C413,Elig_MatchAll_Ct&lt;22,$BC413=(Elig_MatchAll_Ct-1),AM413=0),J413,0)</f>
        <v>0</v>
      </c>
      <c r="BP413" s="199">
        <f>IF(AND(Input_Product=Elig!$C413,Elig_MatchAll_Ct&lt;22,$BC413=(Elig_MatchAll_Ct-1),AN413=0),K413,0)</f>
        <v>0</v>
      </c>
      <c r="BQ413" s="199">
        <f>IF(AND(Input_Product=Elig!$C413,Elig_MatchAll_Ct&lt;22,$BC413=(Elig_MatchAll_Ct-1),AP413=0),L413,0)</f>
        <v>0</v>
      </c>
      <c r="BR413" s="199">
        <f>IF(AND(Input_Product=Elig!$C413,Elig_MatchAll_Ct&lt;22,$BC413=(Elig_MatchAll_Ct-1),AO413=0),M413,0)</f>
        <v>0</v>
      </c>
      <c r="BS413" s="199">
        <f>IF(AND(Input_Product=Elig!$C413,Elig_MatchAll_Ct&lt;22,$BC413=(Elig_MatchAll_Ct-1),AQ413=0),N413,0)</f>
        <v>0</v>
      </c>
      <c r="BT413" s="199">
        <f>IF(AND(Input_Product=Elig!$C413,Elig_MatchAll_Ct&lt;22,$BC413=(Elig_MatchAll_Ct-1),AR413=0),O413,0)</f>
        <v>0</v>
      </c>
      <c r="BU413" s="199">
        <f>IF(AND(Input_Product=Elig!$C413,Elig_MatchAll_Ct&lt;22,$BC413=(Elig_MatchAll_Ct-1),AS413=0),P413,0)</f>
        <v>0</v>
      </c>
      <c r="BV413" s="200">
        <f>IF(AND(Input_Product=Elig!$C413,Elig_MatchAll_Ct&lt;22,$BC413=(Elig_MatchAll_Ct-1),AT413=0),Q413,0)</f>
        <v>0</v>
      </c>
      <c r="BW413" s="201">
        <f>IF(AND(Input_Product=Elig!$C413,Elig_MatchAll_Ct&lt;22,$BC413=(Elig_MatchAll_Ct-1),AU413=0),R413,0)</f>
        <v>0</v>
      </c>
      <c r="BX413" s="202">
        <f>IF(AND(Input_Product=Elig!$C413,Elig_MatchAll_Ct&lt;22,$BC413=(Elig_MatchAll_Ct-1),AU413=0),S413,0)</f>
        <v>0</v>
      </c>
      <c r="BY413" s="201">
        <f>IF(AND(Input_Product=Elig!$C413,Elig_MatchAll_Ct&lt;22,$BC413=(Elig_MatchAll_Ct-1),AV413=0),T413,0)</f>
        <v>0</v>
      </c>
      <c r="BZ413" s="202">
        <f>IF(AND(Input_Product=Elig!$C413,Elig_MatchAll_Ct&lt;22,$BC413=(Elig_MatchAll_Ct-1),AV413=0),U413,0)</f>
        <v>0</v>
      </c>
      <c r="CA413" s="201">
        <f>IF(AND(Input_Product=Elig!$C413,Elig_MatchAll_Ct&lt;22,$BC413=(Elig_MatchAll_Ct-1),AW413=0),V413,0)</f>
        <v>0</v>
      </c>
      <c r="CB413" s="202">
        <f>IF(AND(Input_Product=Elig!$C413,Elig_MatchAll_Ct&lt;22,$BC413=(Elig_MatchAll_Ct-1),AW413=0),W413,0)</f>
        <v>0</v>
      </c>
      <c r="CC413" s="201">
        <f>IF(AND(Input_Product=Elig!$C413,Elig_MatchAll_Ct&lt;22,$BC413=(Elig_MatchAll_Ct-1),AX413=0),X413,0)</f>
        <v>0</v>
      </c>
      <c r="CD413" s="202">
        <f>IF(AND(Input_Product=Elig!$C413,Elig_MatchAll_Ct&lt;22,$BC413=(Elig_MatchAll_Ct-1),AX413=0),Y413,0)</f>
        <v>0</v>
      </c>
      <c r="CE413" s="201">
        <f>IF(AND(Input_LTV&lt;=AE413,Input_Product=Elig!$C413,Elig_MatchAll_Ct&lt;22,$BC413=(Elig_MatchAll_Ct-1),AY413=0),Z413,0)</f>
        <v>0</v>
      </c>
      <c r="CF413" s="202">
        <f>IF(AND(Input_LTV&lt;=AE413,Input_Product=Elig!$C413,Elig_MatchAll_Ct&lt;22,$BC413=(Elig_MatchAll_Ct-1),AY413=0),AA413,0)</f>
        <v>0</v>
      </c>
      <c r="CG413" s="201">
        <f>IF(AND(Input_Product=Elig!$C413,Elig_MatchAll_Ct&lt;22,$BC413=(Elig_MatchAll_Ct-1),AZ413=0),AB413,0)</f>
        <v>0</v>
      </c>
      <c r="CH413" s="202">
        <f>IF(AND(Input_Product=Elig!$C413,Elig_MatchAll_Ct&lt;22,$BC413=(Elig_MatchAll_Ct-1),AZ413=0),AC413,0)</f>
        <v>0</v>
      </c>
      <c r="CI413" s="201">
        <f>IF(AND(Input_Product=Elig!$C413,Elig_MatchAll_Ct&lt;22,$BC413=(Elig_MatchAll_Ct-1),BA413=0),AD413,0)</f>
        <v>0</v>
      </c>
      <c r="CJ413" s="202">
        <f>IF(AND(Input_Product=Elig!$C413,Elig_MatchAll_Ct&lt;22,$BC413=(Elig_MatchAll_Ct-1),BA413=0),AE413,0)</f>
        <v>0</v>
      </c>
    </row>
    <row r="414" spans="2:88" ht="10.15" customHeight="1" x14ac:dyDescent="0.25">
      <c r="B414" s="287" t="s">
        <v>1110</v>
      </c>
      <c r="C414" s="286" t="str">
        <f t="shared" si="153"/>
        <v>NonQM NOO</v>
      </c>
      <c r="D414" s="287" t="s">
        <v>3885</v>
      </c>
      <c r="E414" s="287" t="s">
        <v>167</v>
      </c>
      <c r="F414" s="287" t="s">
        <v>330</v>
      </c>
      <c r="G414" s="287" t="s">
        <v>181</v>
      </c>
      <c r="H414" s="287" t="s">
        <v>136</v>
      </c>
      <c r="I414" s="287" t="s">
        <v>274</v>
      </c>
      <c r="J414" s="287" t="s">
        <v>1311</v>
      </c>
      <c r="K414" s="287" t="s">
        <v>1631</v>
      </c>
      <c r="L414" s="300" t="s">
        <v>312</v>
      </c>
      <c r="M414" s="287" t="s">
        <v>4203</v>
      </c>
      <c r="N414" s="287" t="s">
        <v>2685</v>
      </c>
      <c r="O414" s="287" t="s">
        <v>310</v>
      </c>
      <c r="P414" s="287" t="s">
        <v>291</v>
      </c>
      <c r="Q414" s="287" t="s">
        <v>294</v>
      </c>
      <c r="R414" s="287">
        <v>1000000.01</v>
      </c>
      <c r="S414" s="287">
        <v>1500000</v>
      </c>
      <c r="T414" s="287">
        <v>0</v>
      </c>
      <c r="U414" s="287">
        <v>0</v>
      </c>
      <c r="V414" s="287">
        <v>0</v>
      </c>
      <c r="W414" s="287">
        <v>50</v>
      </c>
      <c r="X414" s="287">
        <v>0.75</v>
      </c>
      <c r="Y414" s="287">
        <v>999</v>
      </c>
      <c r="Z414" s="289">
        <v>640</v>
      </c>
      <c r="AA414" s="289">
        <v>659</v>
      </c>
      <c r="AB414" s="289">
        <v>6</v>
      </c>
      <c r="AC414" s="289">
        <v>999999</v>
      </c>
      <c r="AD414" s="287">
        <v>0</v>
      </c>
      <c r="AE414" s="2105">
        <v>65</v>
      </c>
      <c r="AF414" s="170">
        <v>0</v>
      </c>
      <c r="AG414" s="171">
        <v>1</v>
      </c>
      <c r="AH414" s="171">
        <v>1</v>
      </c>
      <c r="AI414" s="171">
        <v>0</v>
      </c>
      <c r="AJ414" s="171">
        <v>0</v>
      </c>
      <c r="AK414" s="171">
        <v>1</v>
      </c>
      <c r="AL414" s="171">
        <v>0</v>
      </c>
      <c r="AM414" s="171">
        <v>1</v>
      </c>
      <c r="AN414" s="171">
        <v>1</v>
      </c>
      <c r="AO414" s="171">
        <v>1</v>
      </c>
      <c r="AP414" s="171">
        <v>1</v>
      </c>
      <c r="AQ414" s="171">
        <v>1</v>
      </c>
      <c r="AR414" s="171">
        <v>1</v>
      </c>
      <c r="AS414" s="171">
        <v>1</v>
      </c>
      <c r="AT414" s="171">
        <v>1</v>
      </c>
      <c r="AU414" s="171">
        <f t="shared" si="162"/>
        <v>0</v>
      </c>
      <c r="AV414" s="171">
        <f t="shared" si="163"/>
        <v>0</v>
      </c>
      <c r="AW414" s="171">
        <f t="shared" si="164"/>
        <v>1</v>
      </c>
      <c r="AX414" s="171">
        <f t="shared" si="152"/>
        <v>0</v>
      </c>
      <c r="AY414" s="171">
        <f t="shared" si="165"/>
        <v>0</v>
      </c>
      <c r="AZ414" s="171">
        <f t="shared" si="166"/>
        <v>1</v>
      </c>
      <c r="BA414" s="172">
        <f t="shared" si="167"/>
        <v>1</v>
      </c>
      <c r="BB414" s="175">
        <f t="shared" si="169"/>
        <v>14</v>
      </c>
      <c r="BC414" s="176">
        <f t="shared" si="170"/>
        <v>13</v>
      </c>
      <c r="BD414" s="176">
        <f t="shared" si="171"/>
        <v>14</v>
      </c>
      <c r="BE414" s="240" t="str">
        <f t="shared" si="161"/>
        <v/>
      </c>
      <c r="BH414" s="199">
        <f>IF(AND(Input_Product=Elig!$C414,Elig_MatchAll_Ct&lt;22,$BC414=(Elig_MatchAll_Ct-1),AF414=0),C414,0)</f>
        <v>0</v>
      </c>
      <c r="BI414" s="199">
        <f>IF(AND(Input_Product=Elig!$C414,Elig_MatchAll_Ct&lt;22,$BC414=(Elig_MatchAll_Ct-1),AG414=0),D414,0)</f>
        <v>0</v>
      </c>
      <c r="BJ414" s="199">
        <f>IF(AND(Input_Product=Elig!$C414,Elig_MatchAll_Ct&lt;22,$BC414=(Elig_MatchAll_Ct-1),AH414=0),E414,0)</f>
        <v>0</v>
      </c>
      <c r="BK414" s="199">
        <f>IF(AND(Input_Product=Elig!$C414,Elig_MatchAll_Ct&lt;22,$BC414=(Elig_MatchAll_Ct-1),AI414=0),F414,0)</f>
        <v>0</v>
      </c>
      <c r="BL414" s="199">
        <f>IF(AND(Input_Product=Elig!$C414,Elig_MatchAll_Ct&lt;22,$BC414=(Elig_MatchAll_Ct-1),AJ414=0),G414,0)</f>
        <v>0</v>
      </c>
      <c r="BM414" s="199">
        <f>IF(AND(Input_Product=Elig!$C414,Elig_MatchAll_Ct&lt;22,$BC414=(Elig_MatchAll_Ct-1),AK414=0),H414,0)</f>
        <v>0</v>
      </c>
      <c r="BN414" s="199">
        <f>IF(AND(Input_Product=Elig!$C414,Elig_MatchAll_Ct&lt;22,$BC414=(Elig_MatchAll_Ct-1),AL414=0),I414,0)</f>
        <v>0</v>
      </c>
      <c r="BO414" s="199">
        <f>IF(AND(Input_Product=Elig!$C414,Elig_MatchAll_Ct&lt;22,$BC414=(Elig_MatchAll_Ct-1),AM414=0),J414,0)</f>
        <v>0</v>
      </c>
      <c r="BP414" s="199">
        <f>IF(AND(Input_Product=Elig!$C414,Elig_MatchAll_Ct&lt;22,$BC414=(Elig_MatchAll_Ct-1),AN414=0),K414,0)</f>
        <v>0</v>
      </c>
      <c r="BQ414" s="199">
        <f>IF(AND(Input_Product=Elig!$C414,Elig_MatchAll_Ct&lt;22,$BC414=(Elig_MatchAll_Ct-1),AP414=0),L414,0)</f>
        <v>0</v>
      </c>
      <c r="BR414" s="199">
        <f>IF(AND(Input_Product=Elig!$C414,Elig_MatchAll_Ct&lt;22,$BC414=(Elig_MatchAll_Ct-1),AO414=0),M414,0)</f>
        <v>0</v>
      </c>
      <c r="BS414" s="199">
        <f>IF(AND(Input_Product=Elig!$C414,Elig_MatchAll_Ct&lt;22,$BC414=(Elig_MatchAll_Ct-1),AQ414=0),N414,0)</f>
        <v>0</v>
      </c>
      <c r="BT414" s="199">
        <f>IF(AND(Input_Product=Elig!$C414,Elig_MatchAll_Ct&lt;22,$BC414=(Elig_MatchAll_Ct-1),AR414=0),O414,0)</f>
        <v>0</v>
      </c>
      <c r="BU414" s="199">
        <f>IF(AND(Input_Product=Elig!$C414,Elig_MatchAll_Ct&lt;22,$BC414=(Elig_MatchAll_Ct-1),AS414=0),P414,0)</f>
        <v>0</v>
      </c>
      <c r="BV414" s="200">
        <f>IF(AND(Input_Product=Elig!$C414,Elig_MatchAll_Ct&lt;22,$BC414=(Elig_MatchAll_Ct-1),AT414=0),Q414,0)</f>
        <v>0</v>
      </c>
      <c r="BW414" s="201">
        <f>IF(AND(Input_Product=Elig!$C414,Elig_MatchAll_Ct&lt;22,$BC414=(Elig_MatchAll_Ct-1),AU414=0),R414,0)</f>
        <v>0</v>
      </c>
      <c r="BX414" s="202">
        <f>IF(AND(Input_Product=Elig!$C414,Elig_MatchAll_Ct&lt;22,$BC414=(Elig_MatchAll_Ct-1),AU414=0),S414,0)</f>
        <v>0</v>
      </c>
      <c r="BY414" s="201">
        <f>IF(AND(Input_Product=Elig!$C414,Elig_MatchAll_Ct&lt;22,$BC414=(Elig_MatchAll_Ct-1),AV414=0),T414,0)</f>
        <v>0</v>
      </c>
      <c r="BZ414" s="202">
        <f>IF(AND(Input_Product=Elig!$C414,Elig_MatchAll_Ct&lt;22,$BC414=(Elig_MatchAll_Ct-1),AV414=0),U414,0)</f>
        <v>0</v>
      </c>
      <c r="CA414" s="201">
        <f>IF(AND(Input_Product=Elig!$C414,Elig_MatchAll_Ct&lt;22,$BC414=(Elig_MatchAll_Ct-1),AW414=0),V414,0)</f>
        <v>0</v>
      </c>
      <c r="CB414" s="202">
        <f>IF(AND(Input_Product=Elig!$C414,Elig_MatchAll_Ct&lt;22,$BC414=(Elig_MatchAll_Ct-1),AW414=0),W414,0)</f>
        <v>0</v>
      </c>
      <c r="CC414" s="201">
        <f>IF(AND(Input_Product=Elig!$C414,Elig_MatchAll_Ct&lt;22,$BC414=(Elig_MatchAll_Ct-1),AX414=0),X414,0)</f>
        <v>0</v>
      </c>
      <c r="CD414" s="202">
        <f>IF(AND(Input_Product=Elig!$C414,Elig_MatchAll_Ct&lt;22,$BC414=(Elig_MatchAll_Ct-1),AX414=0),Y414,0)</f>
        <v>0</v>
      </c>
      <c r="CE414" s="201">
        <f>IF(AND(Input_LTV&lt;=AE414,Input_Product=Elig!$C414,Elig_MatchAll_Ct&lt;22,$BC414=(Elig_MatchAll_Ct-1),AY414=0),Z414,0)</f>
        <v>0</v>
      </c>
      <c r="CF414" s="202">
        <f>IF(AND(Input_LTV&lt;=AE414,Input_Product=Elig!$C414,Elig_MatchAll_Ct&lt;22,$BC414=(Elig_MatchAll_Ct-1),AY414=0),AA414,0)</f>
        <v>0</v>
      </c>
      <c r="CG414" s="201">
        <f>IF(AND(Input_Product=Elig!$C414,Elig_MatchAll_Ct&lt;22,$BC414=(Elig_MatchAll_Ct-1),AZ414=0),AB414,0)</f>
        <v>0</v>
      </c>
      <c r="CH414" s="202">
        <f>IF(AND(Input_Product=Elig!$C414,Elig_MatchAll_Ct&lt;22,$BC414=(Elig_MatchAll_Ct-1),AZ414=0),AC414,0)</f>
        <v>0</v>
      </c>
      <c r="CI414" s="201">
        <f>IF(AND(Input_Product=Elig!$C414,Elig_MatchAll_Ct&lt;22,$BC414=(Elig_MatchAll_Ct-1),BA414=0),AD414,0)</f>
        <v>0</v>
      </c>
      <c r="CJ414" s="202">
        <f>IF(AND(Input_Product=Elig!$C414,Elig_MatchAll_Ct&lt;22,$BC414=(Elig_MatchAll_Ct-1),BA414=0),AE414,0)</f>
        <v>0</v>
      </c>
    </row>
    <row r="415" spans="2:88" ht="10.15" customHeight="1" x14ac:dyDescent="0.25">
      <c r="B415" s="287" t="s">
        <v>1111</v>
      </c>
      <c r="C415" s="291" t="str">
        <f t="shared" si="153"/>
        <v>NonQM NOO</v>
      </c>
      <c r="D415" s="292" t="s">
        <v>3885</v>
      </c>
      <c r="E415" s="292" t="s">
        <v>167</v>
      </c>
      <c r="F415" s="292" t="s">
        <v>330</v>
      </c>
      <c r="G415" s="292" t="s">
        <v>181</v>
      </c>
      <c r="H415" s="292" t="s">
        <v>136</v>
      </c>
      <c r="I415" s="292" t="s">
        <v>274</v>
      </c>
      <c r="J415" s="292" t="s">
        <v>1311</v>
      </c>
      <c r="K415" s="292" t="s">
        <v>1631</v>
      </c>
      <c r="L415" s="324" t="s">
        <v>312</v>
      </c>
      <c r="M415" s="292" t="s">
        <v>4203</v>
      </c>
      <c r="N415" s="292" t="s">
        <v>2685</v>
      </c>
      <c r="O415" s="292" t="s">
        <v>310</v>
      </c>
      <c r="P415" s="292" t="s">
        <v>291</v>
      </c>
      <c r="Q415" s="292" t="s">
        <v>294</v>
      </c>
      <c r="R415" s="292">
        <v>1000000.01</v>
      </c>
      <c r="S415" s="292">
        <v>1500000</v>
      </c>
      <c r="T415" s="292">
        <v>0</v>
      </c>
      <c r="U415" s="292">
        <v>0</v>
      </c>
      <c r="V415" s="292">
        <v>0</v>
      </c>
      <c r="W415" s="292">
        <v>50</v>
      </c>
      <c r="X415" s="292">
        <v>0.75</v>
      </c>
      <c r="Y415" s="292">
        <v>999</v>
      </c>
      <c r="Z415" s="293">
        <v>620</v>
      </c>
      <c r="AA415" s="293">
        <v>639</v>
      </c>
      <c r="AB415" s="293">
        <v>6</v>
      </c>
      <c r="AC415" s="293">
        <v>999999</v>
      </c>
      <c r="AD415" s="292">
        <v>0</v>
      </c>
      <c r="AE415" s="2154">
        <v>-999</v>
      </c>
      <c r="AF415" s="170">
        <v>0</v>
      </c>
      <c r="AG415" s="171">
        <v>1</v>
      </c>
      <c r="AH415" s="171">
        <v>1</v>
      </c>
      <c r="AI415" s="171">
        <v>0</v>
      </c>
      <c r="AJ415" s="171">
        <v>0</v>
      </c>
      <c r="AK415" s="171">
        <v>1</v>
      </c>
      <c r="AL415" s="171">
        <v>0</v>
      </c>
      <c r="AM415" s="171">
        <v>1</v>
      </c>
      <c r="AN415" s="171">
        <v>1</v>
      </c>
      <c r="AO415" s="171">
        <v>1</v>
      </c>
      <c r="AP415" s="171">
        <v>1</v>
      </c>
      <c r="AQ415" s="171">
        <v>1</v>
      </c>
      <c r="AR415" s="171">
        <v>1</v>
      </c>
      <c r="AS415" s="171">
        <v>1</v>
      </c>
      <c r="AT415" s="171">
        <v>1</v>
      </c>
      <c r="AU415" s="171">
        <f t="shared" si="162"/>
        <v>0</v>
      </c>
      <c r="AV415" s="171">
        <f t="shared" si="163"/>
        <v>0</v>
      </c>
      <c r="AW415" s="171">
        <f t="shared" si="164"/>
        <v>1</v>
      </c>
      <c r="AX415" s="171">
        <f t="shared" si="152"/>
        <v>0</v>
      </c>
      <c r="AY415" s="171">
        <f t="shared" si="165"/>
        <v>0</v>
      </c>
      <c r="AZ415" s="171">
        <f t="shared" si="166"/>
        <v>1</v>
      </c>
      <c r="BA415" s="172">
        <f t="shared" si="167"/>
        <v>0</v>
      </c>
      <c r="BB415" s="175">
        <f t="shared" si="169"/>
        <v>13</v>
      </c>
      <c r="BC415" s="176">
        <f t="shared" si="170"/>
        <v>13</v>
      </c>
      <c r="BD415" s="176">
        <f t="shared" si="171"/>
        <v>13</v>
      </c>
      <c r="BE415" s="240" t="str">
        <f t="shared" si="161"/>
        <v/>
      </c>
      <c r="BH415" s="214">
        <f>IF(AND(Input_Product=Elig!$C415,Elig_MatchAll_Ct&lt;22,$BC415=(Elig_MatchAll_Ct-1),AF415=0),C415,0)</f>
        <v>0</v>
      </c>
      <c r="BI415" s="214">
        <f>IF(AND(Input_Product=Elig!$C415,Elig_MatchAll_Ct&lt;22,$BC415=(Elig_MatchAll_Ct-1),AG415=0),D415,0)</f>
        <v>0</v>
      </c>
      <c r="BJ415" s="214">
        <f>IF(AND(Input_Product=Elig!$C415,Elig_MatchAll_Ct&lt;22,$BC415=(Elig_MatchAll_Ct-1),AH415=0),E415,0)</f>
        <v>0</v>
      </c>
      <c r="BK415" s="214">
        <f>IF(AND(Input_Product=Elig!$C415,Elig_MatchAll_Ct&lt;22,$BC415=(Elig_MatchAll_Ct-1),AI415=0),F415,0)</f>
        <v>0</v>
      </c>
      <c r="BL415" s="214">
        <f>IF(AND(Input_Product=Elig!$C415,Elig_MatchAll_Ct&lt;22,$BC415=(Elig_MatchAll_Ct-1),AJ415=0),G415,0)</f>
        <v>0</v>
      </c>
      <c r="BM415" s="214">
        <f>IF(AND(Input_Product=Elig!$C415,Elig_MatchAll_Ct&lt;22,$BC415=(Elig_MatchAll_Ct-1),AK415=0),H415,0)</f>
        <v>0</v>
      </c>
      <c r="BN415" s="214">
        <f>IF(AND(Input_Product=Elig!$C415,Elig_MatchAll_Ct&lt;22,$BC415=(Elig_MatchAll_Ct-1),AL415=0),I415,0)</f>
        <v>0</v>
      </c>
      <c r="BO415" s="214">
        <f>IF(AND(Input_Product=Elig!$C415,Elig_MatchAll_Ct&lt;22,$BC415=(Elig_MatchAll_Ct-1),AM415=0),J415,0)</f>
        <v>0</v>
      </c>
      <c r="BP415" s="214">
        <f>IF(AND(Input_Product=Elig!$C415,Elig_MatchAll_Ct&lt;22,$BC415=(Elig_MatchAll_Ct-1),AN415=0),K415,0)</f>
        <v>0</v>
      </c>
      <c r="BQ415" s="214">
        <f>IF(AND(Input_Product=Elig!$C415,Elig_MatchAll_Ct&lt;22,$BC415=(Elig_MatchAll_Ct-1),AP415=0),L415,0)</f>
        <v>0</v>
      </c>
      <c r="BR415" s="214">
        <f>IF(AND(Input_Product=Elig!$C415,Elig_MatchAll_Ct&lt;22,$BC415=(Elig_MatchAll_Ct-1),AO415=0),M415,0)</f>
        <v>0</v>
      </c>
      <c r="BS415" s="214">
        <f>IF(AND(Input_Product=Elig!$C415,Elig_MatchAll_Ct&lt;22,$BC415=(Elig_MatchAll_Ct-1),AQ415=0),N415,0)</f>
        <v>0</v>
      </c>
      <c r="BT415" s="214">
        <f>IF(AND(Input_Product=Elig!$C415,Elig_MatchAll_Ct&lt;22,$BC415=(Elig_MatchAll_Ct-1),AR415=0),O415,0)</f>
        <v>0</v>
      </c>
      <c r="BU415" s="214">
        <f>IF(AND(Input_Product=Elig!$C415,Elig_MatchAll_Ct&lt;22,$BC415=(Elig_MatchAll_Ct-1),AS415=0),P415,0)</f>
        <v>0</v>
      </c>
      <c r="BV415" s="215">
        <f>IF(AND(Input_Product=Elig!$C415,Elig_MatchAll_Ct&lt;22,$BC415=(Elig_MatchAll_Ct-1),AT415=0),Q415,0)</f>
        <v>0</v>
      </c>
      <c r="BW415" s="207">
        <f>IF(AND(Input_Product=Elig!$C415,Elig_MatchAll_Ct&lt;22,$BC415=(Elig_MatchAll_Ct-1),AU415=0),R415,0)</f>
        <v>0</v>
      </c>
      <c r="BX415" s="208">
        <f>IF(AND(Input_Product=Elig!$C415,Elig_MatchAll_Ct&lt;22,$BC415=(Elig_MatchAll_Ct-1),AU415=0),S415,0)</f>
        <v>0</v>
      </c>
      <c r="BY415" s="207">
        <f>IF(AND(Input_Product=Elig!$C415,Elig_MatchAll_Ct&lt;22,$BC415=(Elig_MatchAll_Ct-1),AV415=0),T415,0)</f>
        <v>0</v>
      </c>
      <c r="BZ415" s="208">
        <f>IF(AND(Input_Product=Elig!$C415,Elig_MatchAll_Ct&lt;22,$BC415=(Elig_MatchAll_Ct-1),AV415=0),U415,0)</f>
        <v>0</v>
      </c>
      <c r="CA415" s="207">
        <f>IF(AND(Input_Product=Elig!$C415,Elig_MatchAll_Ct&lt;22,$BC415=(Elig_MatchAll_Ct-1),AW415=0),V415,0)</f>
        <v>0</v>
      </c>
      <c r="CB415" s="208">
        <f>IF(AND(Input_Product=Elig!$C415,Elig_MatchAll_Ct&lt;22,$BC415=(Elig_MatchAll_Ct-1),AW415=0),W415,0)</f>
        <v>0</v>
      </c>
      <c r="CC415" s="207">
        <f>IF(AND(Input_Product=Elig!$C415,Elig_MatchAll_Ct&lt;22,$BC415=(Elig_MatchAll_Ct-1),AX415=0),X415,0)</f>
        <v>0</v>
      </c>
      <c r="CD415" s="208">
        <f>IF(AND(Input_Product=Elig!$C415,Elig_MatchAll_Ct&lt;22,$BC415=(Elig_MatchAll_Ct-1),AX415=0),Y415,0)</f>
        <v>0</v>
      </c>
      <c r="CE415" s="207">
        <f>IF(AND(Input_LTV&lt;=AE415,Input_Product=Elig!$C415,Elig_MatchAll_Ct&lt;22,$BC415=(Elig_MatchAll_Ct-1),AY415=0),Z415,0)</f>
        <v>0</v>
      </c>
      <c r="CF415" s="208">
        <f>IF(AND(Input_LTV&lt;=AE415,Input_Product=Elig!$C415,Elig_MatchAll_Ct&lt;22,$BC415=(Elig_MatchAll_Ct-1),AY415=0),AA415,0)</f>
        <v>0</v>
      </c>
      <c r="CG415" s="207">
        <f>IF(AND(Input_Product=Elig!$C415,Elig_MatchAll_Ct&lt;22,$BC415=(Elig_MatchAll_Ct-1),AZ415=0),AB415,0)</f>
        <v>0</v>
      </c>
      <c r="CH415" s="208">
        <f>IF(AND(Input_Product=Elig!$C415,Elig_MatchAll_Ct&lt;22,$BC415=(Elig_MatchAll_Ct-1),AZ415=0),AC415,0)</f>
        <v>0</v>
      </c>
      <c r="CI415" s="207">
        <f>IF(AND(Input_Product=Elig!$C415,Elig_MatchAll_Ct&lt;22,$BC415=(Elig_MatchAll_Ct-1),BA415=0),AD415,0)</f>
        <v>0</v>
      </c>
      <c r="CJ415" s="209">
        <f>IF(AND(Input_Product=Elig!$C415,Elig_MatchAll_Ct&lt;22,$BC415=(Elig_MatchAll_Ct-1),BA415=0),AE415,0)</f>
        <v>0</v>
      </c>
    </row>
    <row r="416" spans="2:88" ht="10.15" customHeight="1" x14ac:dyDescent="0.25">
      <c r="B416" s="287" t="s">
        <v>1112</v>
      </c>
      <c r="C416" s="281" t="str">
        <f t="shared" si="153"/>
        <v>NonQM NOO</v>
      </c>
      <c r="D416" s="282" t="s">
        <v>3885</v>
      </c>
      <c r="E416" s="283" t="s">
        <v>167</v>
      </c>
      <c r="F416" s="283" t="s">
        <v>330</v>
      </c>
      <c r="G416" s="283" t="s">
        <v>181</v>
      </c>
      <c r="H416" s="283" t="s">
        <v>136</v>
      </c>
      <c r="I416" s="282" t="s">
        <v>16</v>
      </c>
      <c r="J416" s="282" t="s">
        <v>1311</v>
      </c>
      <c r="K416" s="282" t="s">
        <v>1631</v>
      </c>
      <c r="L416" s="2103" t="s">
        <v>312</v>
      </c>
      <c r="M416" s="283" t="s">
        <v>4203</v>
      </c>
      <c r="N416" s="283" t="s">
        <v>2685</v>
      </c>
      <c r="O416" s="283" t="s">
        <v>310</v>
      </c>
      <c r="P416" s="283" t="s">
        <v>291</v>
      </c>
      <c r="Q416" s="283" t="s">
        <v>294</v>
      </c>
      <c r="R416" s="282">
        <v>1000000.01</v>
      </c>
      <c r="S416" s="282">
        <v>1500000</v>
      </c>
      <c r="T416" s="282">
        <v>0</v>
      </c>
      <c r="U416" s="282">
        <f t="shared" ref="U416:U422" si="172">S416</f>
        <v>1500000</v>
      </c>
      <c r="V416" s="282">
        <v>0</v>
      </c>
      <c r="W416" s="282">
        <v>55</v>
      </c>
      <c r="X416" s="282">
        <v>1</v>
      </c>
      <c r="Y416" s="282">
        <v>999</v>
      </c>
      <c r="Z416" s="284">
        <v>720</v>
      </c>
      <c r="AA416" s="284">
        <v>999</v>
      </c>
      <c r="AB416" s="284">
        <v>6</v>
      </c>
      <c r="AC416" s="284">
        <v>999999</v>
      </c>
      <c r="AD416" s="282">
        <v>0</v>
      </c>
      <c r="AE416" s="2104">
        <v>75</v>
      </c>
      <c r="AF416" s="170">
        <v>0</v>
      </c>
      <c r="AG416" s="171">
        <v>1</v>
      </c>
      <c r="AH416" s="171">
        <v>1</v>
      </c>
      <c r="AI416" s="171">
        <v>0</v>
      </c>
      <c r="AJ416" s="171">
        <v>0</v>
      </c>
      <c r="AK416" s="171">
        <v>1</v>
      </c>
      <c r="AL416" s="171">
        <v>1</v>
      </c>
      <c r="AM416" s="171">
        <v>1</v>
      </c>
      <c r="AN416" s="171">
        <v>1</v>
      </c>
      <c r="AO416" s="171">
        <v>1</v>
      </c>
      <c r="AP416" s="171">
        <v>1</v>
      </c>
      <c r="AQ416" s="171">
        <v>1</v>
      </c>
      <c r="AR416" s="171">
        <v>1</v>
      </c>
      <c r="AS416" s="171">
        <v>1</v>
      </c>
      <c r="AT416" s="171">
        <v>1</v>
      </c>
      <c r="AU416" s="171">
        <f t="shared" si="162"/>
        <v>0</v>
      </c>
      <c r="AV416" s="171">
        <f t="shared" si="163"/>
        <v>1</v>
      </c>
      <c r="AW416" s="171">
        <f t="shared" si="164"/>
        <v>1</v>
      </c>
      <c r="AX416" s="171">
        <f t="shared" si="152"/>
        <v>0</v>
      </c>
      <c r="AY416" s="171">
        <f t="shared" si="165"/>
        <v>1</v>
      </c>
      <c r="AZ416" s="171">
        <f t="shared" si="166"/>
        <v>1</v>
      </c>
      <c r="BA416" s="172">
        <f t="shared" si="167"/>
        <v>1</v>
      </c>
      <c r="BB416" s="175">
        <f t="shared" si="169"/>
        <v>17</v>
      </c>
      <c r="BC416" s="176">
        <f t="shared" si="170"/>
        <v>16</v>
      </c>
      <c r="BD416" s="176">
        <f t="shared" si="171"/>
        <v>17</v>
      </c>
      <c r="BE416" s="240" t="str">
        <f t="shared" si="161"/>
        <v/>
      </c>
      <c r="BH416" s="216">
        <f>IF(AND(Input_Product=Elig!$C416,Elig_MatchAll_Ct&lt;22,$BC416=(Elig_MatchAll_Ct-1),AF416=0),C416,0)</f>
        <v>0</v>
      </c>
      <c r="BI416" s="216">
        <f>IF(AND(Input_Product=Elig!$C416,Elig_MatchAll_Ct&lt;22,$BC416=(Elig_MatchAll_Ct-1),AG416=0),D416,0)</f>
        <v>0</v>
      </c>
      <c r="BJ416" s="216">
        <f>IF(AND(Input_Product=Elig!$C416,Elig_MatchAll_Ct&lt;22,$BC416=(Elig_MatchAll_Ct-1),AH416=0),E416,0)</f>
        <v>0</v>
      </c>
      <c r="BK416" s="216">
        <f>IF(AND(Input_Product=Elig!$C416,Elig_MatchAll_Ct&lt;22,$BC416=(Elig_MatchAll_Ct-1),AI416=0),F416,0)</f>
        <v>0</v>
      </c>
      <c r="BL416" s="216">
        <f>IF(AND(Input_Product=Elig!$C416,Elig_MatchAll_Ct&lt;22,$BC416=(Elig_MatchAll_Ct-1),AJ416=0),G416,0)</f>
        <v>0</v>
      </c>
      <c r="BM416" s="216">
        <f>IF(AND(Input_Product=Elig!$C416,Elig_MatchAll_Ct&lt;22,$BC416=(Elig_MatchAll_Ct-1),AK416=0),H416,0)</f>
        <v>0</v>
      </c>
      <c r="BN416" s="216">
        <f>IF(AND(Input_Product=Elig!$C416,Elig_MatchAll_Ct&lt;22,$BC416=(Elig_MatchAll_Ct-1),AL416=0),I416,0)</f>
        <v>0</v>
      </c>
      <c r="BO416" s="216">
        <f>IF(AND(Input_Product=Elig!$C416,Elig_MatchAll_Ct&lt;22,$BC416=(Elig_MatchAll_Ct-1),AM416=0),J416,0)</f>
        <v>0</v>
      </c>
      <c r="BP416" s="216">
        <f>IF(AND(Input_Product=Elig!$C416,Elig_MatchAll_Ct&lt;22,$BC416=(Elig_MatchAll_Ct-1),AN416=0),K416,0)</f>
        <v>0</v>
      </c>
      <c r="BQ416" s="216">
        <f>IF(AND(Input_Product=Elig!$C416,Elig_MatchAll_Ct&lt;22,$BC416=(Elig_MatchAll_Ct-1),AP416=0),L416,0)</f>
        <v>0</v>
      </c>
      <c r="BR416" s="216">
        <f>IF(AND(Input_Product=Elig!$C416,Elig_MatchAll_Ct&lt;22,$BC416=(Elig_MatchAll_Ct-1),AO416=0),M416,0)</f>
        <v>0</v>
      </c>
      <c r="BS416" s="216">
        <f>IF(AND(Input_Product=Elig!$C416,Elig_MatchAll_Ct&lt;22,$BC416=(Elig_MatchAll_Ct-1),AQ416=0),N416,0)</f>
        <v>0</v>
      </c>
      <c r="BT416" s="216">
        <f>IF(AND(Input_Product=Elig!$C416,Elig_MatchAll_Ct&lt;22,$BC416=(Elig_MatchAll_Ct-1),AR416=0),O416,0)</f>
        <v>0</v>
      </c>
      <c r="BU416" s="216">
        <f>IF(AND(Input_Product=Elig!$C416,Elig_MatchAll_Ct&lt;22,$BC416=(Elig_MatchAll_Ct-1),AS416=0),P416,0)</f>
        <v>0</v>
      </c>
      <c r="BV416" s="217">
        <f>IF(AND(Input_Product=Elig!$C416,Elig_MatchAll_Ct&lt;22,$BC416=(Elig_MatchAll_Ct-1),AT416=0),Q416,0)</f>
        <v>0</v>
      </c>
      <c r="BW416" s="218">
        <f>IF(AND(Input_Product=Elig!$C416,Elig_MatchAll_Ct&lt;22,$BC416=(Elig_MatchAll_Ct-1),AU416=0),R416,0)</f>
        <v>0</v>
      </c>
      <c r="BX416" s="219">
        <f>IF(AND(Input_Product=Elig!$C416,Elig_MatchAll_Ct&lt;22,$BC416=(Elig_MatchAll_Ct-1),AU416=0),S416,0)</f>
        <v>0</v>
      </c>
      <c r="BY416" s="218">
        <f>IF(AND(Input_Product=Elig!$C416,Elig_MatchAll_Ct&lt;22,$BC416=(Elig_MatchAll_Ct-1),AV416=0),T416,0)</f>
        <v>0</v>
      </c>
      <c r="BZ416" s="219">
        <f>IF(AND(Input_Product=Elig!$C416,Elig_MatchAll_Ct&lt;22,$BC416=(Elig_MatchAll_Ct-1),AV416=0),U416,0)</f>
        <v>0</v>
      </c>
      <c r="CA416" s="218">
        <f>IF(AND(Input_Product=Elig!$C416,Elig_MatchAll_Ct&lt;22,$BC416=(Elig_MatchAll_Ct-1),AW416=0),V416,0)</f>
        <v>0</v>
      </c>
      <c r="CB416" s="219">
        <f>IF(AND(Input_Product=Elig!$C416,Elig_MatchAll_Ct&lt;22,$BC416=(Elig_MatchAll_Ct-1),AW416=0),W416,0)</f>
        <v>0</v>
      </c>
      <c r="CC416" s="218">
        <f>IF(AND(Input_Product=Elig!$C416,Elig_MatchAll_Ct&lt;22,$BC416=(Elig_MatchAll_Ct-1),AX416=0),X416,0)</f>
        <v>0</v>
      </c>
      <c r="CD416" s="219">
        <f>IF(AND(Input_Product=Elig!$C416,Elig_MatchAll_Ct&lt;22,$BC416=(Elig_MatchAll_Ct-1),AX416=0),Y416,0)</f>
        <v>0</v>
      </c>
      <c r="CE416" s="218">
        <f>IF(AND(Input_LTV&lt;=AE416,Input_Product=Elig!$C416,Elig_MatchAll_Ct&lt;22,$BC416=(Elig_MatchAll_Ct-1),AY416=0),Z416,0)</f>
        <v>0</v>
      </c>
      <c r="CF416" s="219">
        <f>IF(AND(Input_LTV&lt;=AE416,Input_Product=Elig!$C416,Elig_MatchAll_Ct&lt;22,$BC416=(Elig_MatchAll_Ct-1),AY416=0),AA416,0)</f>
        <v>0</v>
      </c>
      <c r="CG416" s="218">
        <f>IF(AND(Input_Product=Elig!$C416,Elig_MatchAll_Ct&lt;22,$BC416=(Elig_MatchAll_Ct-1),AZ416=0),AB416,0)</f>
        <v>0</v>
      </c>
      <c r="CH416" s="219">
        <f>IF(AND(Input_Product=Elig!$C416,Elig_MatchAll_Ct&lt;22,$BC416=(Elig_MatchAll_Ct-1),AZ416=0),AC416,0)</f>
        <v>0</v>
      </c>
      <c r="CI416" s="218">
        <f>IF(AND(Input_Product=Elig!$C416,Elig_MatchAll_Ct&lt;22,$BC416=(Elig_MatchAll_Ct-1),BA416=0),AD416,0)</f>
        <v>0</v>
      </c>
      <c r="CJ416" s="219">
        <f>IF(AND(Input_Product=Elig!$C416,Elig_MatchAll_Ct&lt;22,$BC416=(Elig_MatchAll_Ct-1),BA416=0),AE416,0)</f>
        <v>0</v>
      </c>
    </row>
    <row r="417" spans="2:88" ht="10.15" customHeight="1" x14ac:dyDescent="0.25">
      <c r="B417" s="287" t="s">
        <v>1113</v>
      </c>
      <c r="C417" s="286" t="str">
        <f t="shared" si="153"/>
        <v>NonQM NOO</v>
      </c>
      <c r="D417" s="287" t="s">
        <v>3885</v>
      </c>
      <c r="E417" s="287" t="s">
        <v>167</v>
      </c>
      <c r="F417" s="287" t="s">
        <v>330</v>
      </c>
      <c r="G417" s="287" t="s">
        <v>181</v>
      </c>
      <c r="H417" s="287" t="s">
        <v>136</v>
      </c>
      <c r="I417" s="288" t="s">
        <v>16</v>
      </c>
      <c r="J417" s="288" t="s">
        <v>1311</v>
      </c>
      <c r="K417" s="288" t="s">
        <v>1631</v>
      </c>
      <c r="L417" s="300" t="s">
        <v>312</v>
      </c>
      <c r="M417" s="287" t="s">
        <v>4203</v>
      </c>
      <c r="N417" s="287" t="s">
        <v>2685</v>
      </c>
      <c r="O417" s="287" t="s">
        <v>310</v>
      </c>
      <c r="P417" s="287" t="s">
        <v>291</v>
      </c>
      <c r="Q417" s="287" t="s">
        <v>294</v>
      </c>
      <c r="R417" s="287">
        <v>1000000.01</v>
      </c>
      <c r="S417" s="287">
        <v>1500000</v>
      </c>
      <c r="T417" s="287">
        <v>0</v>
      </c>
      <c r="U417" s="287">
        <f t="shared" si="172"/>
        <v>1500000</v>
      </c>
      <c r="V417" s="287">
        <v>0</v>
      </c>
      <c r="W417" s="287">
        <v>55</v>
      </c>
      <c r="X417" s="287">
        <v>1</v>
      </c>
      <c r="Y417" s="287">
        <v>999</v>
      </c>
      <c r="Z417" s="289">
        <v>700</v>
      </c>
      <c r="AA417" s="289">
        <v>719</v>
      </c>
      <c r="AB417" s="289">
        <v>6</v>
      </c>
      <c r="AC417" s="289">
        <v>999999</v>
      </c>
      <c r="AD417" s="287">
        <v>0</v>
      </c>
      <c r="AE417" s="2105">
        <v>75</v>
      </c>
      <c r="AF417" s="170">
        <v>0</v>
      </c>
      <c r="AG417" s="171">
        <v>1</v>
      </c>
      <c r="AH417" s="171">
        <v>1</v>
      </c>
      <c r="AI417" s="171">
        <v>0</v>
      </c>
      <c r="AJ417" s="171">
        <v>0</v>
      </c>
      <c r="AK417" s="171">
        <v>1</v>
      </c>
      <c r="AL417" s="171">
        <v>1</v>
      </c>
      <c r="AM417" s="171">
        <v>1</v>
      </c>
      <c r="AN417" s="171">
        <v>1</v>
      </c>
      <c r="AO417" s="171">
        <v>1</v>
      </c>
      <c r="AP417" s="171">
        <v>1</v>
      </c>
      <c r="AQ417" s="171">
        <v>1</v>
      </c>
      <c r="AR417" s="171">
        <v>1</v>
      </c>
      <c r="AS417" s="171">
        <v>1</v>
      </c>
      <c r="AT417" s="171">
        <v>1</v>
      </c>
      <c r="AU417" s="171">
        <f t="shared" si="162"/>
        <v>0</v>
      </c>
      <c r="AV417" s="171">
        <f t="shared" si="163"/>
        <v>1</v>
      </c>
      <c r="AW417" s="171">
        <f t="shared" si="164"/>
        <v>1</v>
      </c>
      <c r="AX417" s="171">
        <f t="shared" si="152"/>
        <v>0</v>
      </c>
      <c r="AY417" s="171">
        <f t="shared" si="165"/>
        <v>0</v>
      </c>
      <c r="AZ417" s="171">
        <f t="shared" si="166"/>
        <v>1</v>
      </c>
      <c r="BA417" s="172">
        <f t="shared" si="167"/>
        <v>1</v>
      </c>
      <c r="BB417" s="175">
        <f t="shared" si="169"/>
        <v>16</v>
      </c>
      <c r="BC417" s="176">
        <f t="shared" si="170"/>
        <v>15</v>
      </c>
      <c r="BD417" s="176">
        <f t="shared" si="171"/>
        <v>16</v>
      </c>
      <c r="BE417" s="240" t="str">
        <f t="shared" si="161"/>
        <v/>
      </c>
      <c r="BH417" s="199">
        <f>IF(AND(Input_Product=Elig!$C417,Elig_MatchAll_Ct&lt;22,$BC417=(Elig_MatchAll_Ct-1),AF417=0),C417,0)</f>
        <v>0</v>
      </c>
      <c r="BI417" s="199">
        <f>IF(AND(Input_Product=Elig!$C417,Elig_MatchAll_Ct&lt;22,$BC417=(Elig_MatchAll_Ct-1),AG417=0),D417,0)</f>
        <v>0</v>
      </c>
      <c r="BJ417" s="199">
        <f>IF(AND(Input_Product=Elig!$C417,Elig_MatchAll_Ct&lt;22,$BC417=(Elig_MatchAll_Ct-1),AH417=0),E417,0)</f>
        <v>0</v>
      </c>
      <c r="BK417" s="199">
        <f>IF(AND(Input_Product=Elig!$C417,Elig_MatchAll_Ct&lt;22,$BC417=(Elig_MatchAll_Ct-1),AI417=0),F417,0)</f>
        <v>0</v>
      </c>
      <c r="BL417" s="199">
        <f>IF(AND(Input_Product=Elig!$C417,Elig_MatchAll_Ct&lt;22,$BC417=(Elig_MatchAll_Ct-1),AJ417=0),G417,0)</f>
        <v>0</v>
      </c>
      <c r="BM417" s="199">
        <f>IF(AND(Input_Product=Elig!$C417,Elig_MatchAll_Ct&lt;22,$BC417=(Elig_MatchAll_Ct-1),AK417=0),H417,0)</f>
        <v>0</v>
      </c>
      <c r="BN417" s="199">
        <f>IF(AND(Input_Product=Elig!$C417,Elig_MatchAll_Ct&lt;22,$BC417=(Elig_MatchAll_Ct-1),AL417=0),I417,0)</f>
        <v>0</v>
      </c>
      <c r="BO417" s="199">
        <f>IF(AND(Input_Product=Elig!$C417,Elig_MatchAll_Ct&lt;22,$BC417=(Elig_MatchAll_Ct-1),AM417=0),J417,0)</f>
        <v>0</v>
      </c>
      <c r="BP417" s="199">
        <f>IF(AND(Input_Product=Elig!$C417,Elig_MatchAll_Ct&lt;22,$BC417=(Elig_MatchAll_Ct-1),AN417=0),K417,0)</f>
        <v>0</v>
      </c>
      <c r="BQ417" s="199">
        <f>IF(AND(Input_Product=Elig!$C417,Elig_MatchAll_Ct&lt;22,$BC417=(Elig_MatchAll_Ct-1),AP417=0),L417,0)</f>
        <v>0</v>
      </c>
      <c r="BR417" s="199">
        <f>IF(AND(Input_Product=Elig!$C417,Elig_MatchAll_Ct&lt;22,$BC417=(Elig_MatchAll_Ct-1),AO417=0),M417,0)</f>
        <v>0</v>
      </c>
      <c r="BS417" s="199">
        <f>IF(AND(Input_Product=Elig!$C417,Elig_MatchAll_Ct&lt;22,$BC417=(Elig_MatchAll_Ct-1),AQ417=0),N417,0)</f>
        <v>0</v>
      </c>
      <c r="BT417" s="199">
        <f>IF(AND(Input_Product=Elig!$C417,Elig_MatchAll_Ct&lt;22,$BC417=(Elig_MatchAll_Ct-1),AR417=0),O417,0)</f>
        <v>0</v>
      </c>
      <c r="BU417" s="199">
        <f>IF(AND(Input_Product=Elig!$C417,Elig_MatchAll_Ct&lt;22,$BC417=(Elig_MatchAll_Ct-1),AS417=0),P417,0)</f>
        <v>0</v>
      </c>
      <c r="BV417" s="200">
        <f>IF(AND(Input_Product=Elig!$C417,Elig_MatchAll_Ct&lt;22,$BC417=(Elig_MatchAll_Ct-1),AT417=0),Q417,0)</f>
        <v>0</v>
      </c>
      <c r="BW417" s="201">
        <f>IF(AND(Input_Product=Elig!$C417,Elig_MatchAll_Ct&lt;22,$BC417=(Elig_MatchAll_Ct-1),AU417=0),R417,0)</f>
        <v>0</v>
      </c>
      <c r="BX417" s="202">
        <f>IF(AND(Input_Product=Elig!$C417,Elig_MatchAll_Ct&lt;22,$BC417=(Elig_MatchAll_Ct-1),AU417=0),S417,0)</f>
        <v>0</v>
      </c>
      <c r="BY417" s="201">
        <f>IF(AND(Input_Product=Elig!$C417,Elig_MatchAll_Ct&lt;22,$BC417=(Elig_MatchAll_Ct-1),AV417=0),T417,0)</f>
        <v>0</v>
      </c>
      <c r="BZ417" s="202">
        <f>IF(AND(Input_Product=Elig!$C417,Elig_MatchAll_Ct&lt;22,$BC417=(Elig_MatchAll_Ct-1),AV417=0),U417,0)</f>
        <v>0</v>
      </c>
      <c r="CA417" s="201">
        <f>IF(AND(Input_Product=Elig!$C417,Elig_MatchAll_Ct&lt;22,$BC417=(Elig_MatchAll_Ct-1),AW417=0),V417,0)</f>
        <v>0</v>
      </c>
      <c r="CB417" s="202">
        <f>IF(AND(Input_Product=Elig!$C417,Elig_MatchAll_Ct&lt;22,$BC417=(Elig_MatchAll_Ct-1),AW417=0),W417,0)</f>
        <v>0</v>
      </c>
      <c r="CC417" s="201">
        <f>IF(AND(Input_Product=Elig!$C417,Elig_MatchAll_Ct&lt;22,$BC417=(Elig_MatchAll_Ct-1),AX417=0),X417,0)</f>
        <v>0</v>
      </c>
      <c r="CD417" s="202">
        <f>IF(AND(Input_Product=Elig!$C417,Elig_MatchAll_Ct&lt;22,$BC417=(Elig_MatchAll_Ct-1),AX417=0),Y417,0)</f>
        <v>0</v>
      </c>
      <c r="CE417" s="201">
        <f>IF(AND(Input_LTV&lt;=AE417,Input_Product=Elig!$C417,Elig_MatchAll_Ct&lt;22,$BC417=(Elig_MatchAll_Ct-1),AY417=0),Z417,0)</f>
        <v>0</v>
      </c>
      <c r="CF417" s="202">
        <f>IF(AND(Input_LTV&lt;=AE417,Input_Product=Elig!$C417,Elig_MatchAll_Ct&lt;22,$BC417=(Elig_MatchAll_Ct-1),AY417=0),AA417,0)</f>
        <v>0</v>
      </c>
      <c r="CG417" s="201">
        <f>IF(AND(Input_Product=Elig!$C417,Elig_MatchAll_Ct&lt;22,$BC417=(Elig_MatchAll_Ct-1),AZ417=0),AB417,0)</f>
        <v>0</v>
      </c>
      <c r="CH417" s="202">
        <f>IF(AND(Input_Product=Elig!$C417,Elig_MatchAll_Ct&lt;22,$BC417=(Elig_MatchAll_Ct-1),AZ417=0),AC417,0)</f>
        <v>0</v>
      </c>
      <c r="CI417" s="201">
        <f>IF(AND(Input_Product=Elig!$C417,Elig_MatchAll_Ct&lt;22,$BC417=(Elig_MatchAll_Ct-1),BA417=0),AD417,0)</f>
        <v>0</v>
      </c>
      <c r="CJ417" s="202">
        <f>IF(AND(Input_Product=Elig!$C417,Elig_MatchAll_Ct&lt;22,$BC417=(Elig_MatchAll_Ct-1),BA417=0),AE417,0)</f>
        <v>0</v>
      </c>
    </row>
    <row r="418" spans="2:88" ht="10.15" customHeight="1" x14ac:dyDescent="0.25">
      <c r="B418" s="287" t="s">
        <v>1114</v>
      </c>
      <c r="C418" s="286" t="str">
        <f t="shared" si="153"/>
        <v>NonQM NOO</v>
      </c>
      <c r="D418" s="287" t="s">
        <v>3885</v>
      </c>
      <c r="E418" s="287" t="s">
        <v>167</v>
      </c>
      <c r="F418" s="287" t="s">
        <v>330</v>
      </c>
      <c r="G418" s="287" t="s">
        <v>181</v>
      </c>
      <c r="H418" s="287" t="s">
        <v>136</v>
      </c>
      <c r="I418" s="288" t="s">
        <v>16</v>
      </c>
      <c r="J418" s="288" t="s">
        <v>1311</v>
      </c>
      <c r="K418" s="288" t="s">
        <v>1631</v>
      </c>
      <c r="L418" s="300" t="s">
        <v>312</v>
      </c>
      <c r="M418" s="287" t="s">
        <v>4203</v>
      </c>
      <c r="N418" s="287" t="s">
        <v>2685</v>
      </c>
      <c r="O418" s="287" t="s">
        <v>310</v>
      </c>
      <c r="P418" s="287" t="s">
        <v>291</v>
      </c>
      <c r="Q418" s="287" t="s">
        <v>294</v>
      </c>
      <c r="R418" s="287">
        <v>1000000.01</v>
      </c>
      <c r="S418" s="287">
        <v>1500000</v>
      </c>
      <c r="T418" s="287">
        <v>0</v>
      </c>
      <c r="U418" s="287">
        <f t="shared" si="172"/>
        <v>1500000</v>
      </c>
      <c r="V418" s="287">
        <v>0</v>
      </c>
      <c r="W418" s="287">
        <v>55</v>
      </c>
      <c r="X418" s="287">
        <v>1</v>
      </c>
      <c r="Y418" s="287">
        <v>999</v>
      </c>
      <c r="Z418" s="289">
        <v>680</v>
      </c>
      <c r="AA418" s="289">
        <v>699</v>
      </c>
      <c r="AB418" s="289">
        <v>6</v>
      </c>
      <c r="AC418" s="289">
        <v>999999</v>
      </c>
      <c r="AD418" s="287">
        <v>0</v>
      </c>
      <c r="AE418" s="2105">
        <v>75</v>
      </c>
      <c r="AF418" s="170">
        <v>0</v>
      </c>
      <c r="AG418" s="171">
        <v>1</v>
      </c>
      <c r="AH418" s="171">
        <v>1</v>
      </c>
      <c r="AI418" s="171">
        <v>0</v>
      </c>
      <c r="AJ418" s="171">
        <v>0</v>
      </c>
      <c r="AK418" s="171">
        <v>1</v>
      </c>
      <c r="AL418" s="171">
        <v>1</v>
      </c>
      <c r="AM418" s="171">
        <v>1</v>
      </c>
      <c r="AN418" s="171">
        <v>1</v>
      </c>
      <c r="AO418" s="171">
        <v>1</v>
      </c>
      <c r="AP418" s="171">
        <v>1</v>
      </c>
      <c r="AQ418" s="171">
        <v>1</v>
      </c>
      <c r="AR418" s="171">
        <v>1</v>
      </c>
      <c r="AS418" s="171">
        <v>1</v>
      </c>
      <c r="AT418" s="171">
        <v>1</v>
      </c>
      <c r="AU418" s="171">
        <f t="shared" si="162"/>
        <v>0</v>
      </c>
      <c r="AV418" s="171">
        <f t="shared" si="163"/>
        <v>1</v>
      </c>
      <c r="AW418" s="171">
        <f t="shared" si="164"/>
        <v>1</v>
      </c>
      <c r="AX418" s="171">
        <f t="shared" si="152"/>
        <v>0</v>
      </c>
      <c r="AY418" s="171">
        <f t="shared" si="165"/>
        <v>0</v>
      </c>
      <c r="AZ418" s="171">
        <f t="shared" si="166"/>
        <v>1</v>
      </c>
      <c r="BA418" s="172">
        <f t="shared" si="167"/>
        <v>1</v>
      </c>
      <c r="BB418" s="175">
        <f t="shared" si="169"/>
        <v>16</v>
      </c>
      <c r="BC418" s="176">
        <f t="shared" si="170"/>
        <v>15</v>
      </c>
      <c r="BD418" s="176">
        <f t="shared" si="171"/>
        <v>16</v>
      </c>
      <c r="BE418" s="240" t="str">
        <f t="shared" si="161"/>
        <v/>
      </c>
      <c r="BH418" s="199">
        <f>IF(AND(Input_Product=Elig!$C418,Elig_MatchAll_Ct&lt;22,$BC418=(Elig_MatchAll_Ct-1),AF418=0),C418,0)</f>
        <v>0</v>
      </c>
      <c r="BI418" s="199">
        <f>IF(AND(Input_Product=Elig!$C418,Elig_MatchAll_Ct&lt;22,$BC418=(Elig_MatchAll_Ct-1),AG418=0),D418,0)</f>
        <v>0</v>
      </c>
      <c r="BJ418" s="199">
        <f>IF(AND(Input_Product=Elig!$C418,Elig_MatchAll_Ct&lt;22,$BC418=(Elig_MatchAll_Ct-1),AH418=0),E418,0)</f>
        <v>0</v>
      </c>
      <c r="BK418" s="199">
        <f>IF(AND(Input_Product=Elig!$C418,Elig_MatchAll_Ct&lt;22,$BC418=(Elig_MatchAll_Ct-1),AI418=0),F418,0)</f>
        <v>0</v>
      </c>
      <c r="BL418" s="199">
        <f>IF(AND(Input_Product=Elig!$C418,Elig_MatchAll_Ct&lt;22,$BC418=(Elig_MatchAll_Ct-1),AJ418=0),G418,0)</f>
        <v>0</v>
      </c>
      <c r="BM418" s="199">
        <f>IF(AND(Input_Product=Elig!$C418,Elig_MatchAll_Ct&lt;22,$BC418=(Elig_MatchAll_Ct-1),AK418=0),H418,0)</f>
        <v>0</v>
      </c>
      <c r="BN418" s="199">
        <f>IF(AND(Input_Product=Elig!$C418,Elig_MatchAll_Ct&lt;22,$BC418=(Elig_MatchAll_Ct-1),AL418=0),I418,0)</f>
        <v>0</v>
      </c>
      <c r="BO418" s="199">
        <f>IF(AND(Input_Product=Elig!$C418,Elig_MatchAll_Ct&lt;22,$BC418=(Elig_MatchAll_Ct-1),AM418=0),J418,0)</f>
        <v>0</v>
      </c>
      <c r="BP418" s="199">
        <f>IF(AND(Input_Product=Elig!$C418,Elig_MatchAll_Ct&lt;22,$BC418=(Elig_MatchAll_Ct-1),AN418=0),K418,0)</f>
        <v>0</v>
      </c>
      <c r="BQ418" s="199">
        <f>IF(AND(Input_Product=Elig!$C418,Elig_MatchAll_Ct&lt;22,$BC418=(Elig_MatchAll_Ct-1),AP418=0),L418,0)</f>
        <v>0</v>
      </c>
      <c r="BR418" s="199">
        <f>IF(AND(Input_Product=Elig!$C418,Elig_MatchAll_Ct&lt;22,$BC418=(Elig_MatchAll_Ct-1),AO418=0),M418,0)</f>
        <v>0</v>
      </c>
      <c r="BS418" s="199">
        <f>IF(AND(Input_Product=Elig!$C418,Elig_MatchAll_Ct&lt;22,$BC418=(Elig_MatchAll_Ct-1),AQ418=0),N418,0)</f>
        <v>0</v>
      </c>
      <c r="BT418" s="199">
        <f>IF(AND(Input_Product=Elig!$C418,Elig_MatchAll_Ct&lt;22,$BC418=(Elig_MatchAll_Ct-1),AR418=0),O418,0)</f>
        <v>0</v>
      </c>
      <c r="BU418" s="199">
        <f>IF(AND(Input_Product=Elig!$C418,Elig_MatchAll_Ct&lt;22,$BC418=(Elig_MatchAll_Ct-1),AS418=0),P418,0)</f>
        <v>0</v>
      </c>
      <c r="BV418" s="200">
        <f>IF(AND(Input_Product=Elig!$C418,Elig_MatchAll_Ct&lt;22,$BC418=(Elig_MatchAll_Ct-1),AT418=0),Q418,0)</f>
        <v>0</v>
      </c>
      <c r="BW418" s="201">
        <f>IF(AND(Input_Product=Elig!$C418,Elig_MatchAll_Ct&lt;22,$BC418=(Elig_MatchAll_Ct-1),AU418=0),R418,0)</f>
        <v>0</v>
      </c>
      <c r="BX418" s="202">
        <f>IF(AND(Input_Product=Elig!$C418,Elig_MatchAll_Ct&lt;22,$BC418=(Elig_MatchAll_Ct-1),AU418=0),S418,0)</f>
        <v>0</v>
      </c>
      <c r="BY418" s="201">
        <f>IF(AND(Input_Product=Elig!$C418,Elig_MatchAll_Ct&lt;22,$BC418=(Elig_MatchAll_Ct-1),AV418=0),T418,0)</f>
        <v>0</v>
      </c>
      <c r="BZ418" s="202">
        <f>IF(AND(Input_Product=Elig!$C418,Elig_MatchAll_Ct&lt;22,$BC418=(Elig_MatchAll_Ct-1),AV418=0),U418,0)</f>
        <v>0</v>
      </c>
      <c r="CA418" s="201">
        <f>IF(AND(Input_Product=Elig!$C418,Elig_MatchAll_Ct&lt;22,$BC418=(Elig_MatchAll_Ct-1),AW418=0),V418,0)</f>
        <v>0</v>
      </c>
      <c r="CB418" s="202">
        <f>IF(AND(Input_Product=Elig!$C418,Elig_MatchAll_Ct&lt;22,$BC418=(Elig_MatchAll_Ct-1),AW418=0),W418,0)</f>
        <v>0</v>
      </c>
      <c r="CC418" s="201">
        <f>IF(AND(Input_Product=Elig!$C418,Elig_MatchAll_Ct&lt;22,$BC418=(Elig_MatchAll_Ct-1),AX418=0),X418,0)</f>
        <v>0</v>
      </c>
      <c r="CD418" s="202">
        <f>IF(AND(Input_Product=Elig!$C418,Elig_MatchAll_Ct&lt;22,$BC418=(Elig_MatchAll_Ct-1),AX418=0),Y418,0)</f>
        <v>0</v>
      </c>
      <c r="CE418" s="201">
        <f>IF(AND(Input_LTV&lt;=AE418,Input_Product=Elig!$C418,Elig_MatchAll_Ct&lt;22,$BC418=(Elig_MatchAll_Ct-1),AY418=0),Z418,0)</f>
        <v>0</v>
      </c>
      <c r="CF418" s="202">
        <f>IF(AND(Input_LTV&lt;=AE418,Input_Product=Elig!$C418,Elig_MatchAll_Ct&lt;22,$BC418=(Elig_MatchAll_Ct-1),AY418=0),AA418,0)</f>
        <v>0</v>
      </c>
      <c r="CG418" s="201">
        <f>IF(AND(Input_Product=Elig!$C418,Elig_MatchAll_Ct&lt;22,$BC418=(Elig_MatchAll_Ct-1),AZ418=0),AB418,0)</f>
        <v>0</v>
      </c>
      <c r="CH418" s="202">
        <f>IF(AND(Input_Product=Elig!$C418,Elig_MatchAll_Ct&lt;22,$BC418=(Elig_MatchAll_Ct-1),AZ418=0),AC418,0)</f>
        <v>0</v>
      </c>
      <c r="CI418" s="201">
        <f>IF(AND(Input_Product=Elig!$C418,Elig_MatchAll_Ct&lt;22,$BC418=(Elig_MatchAll_Ct-1),BA418=0),AD418,0)</f>
        <v>0</v>
      </c>
      <c r="CJ418" s="202">
        <f>IF(AND(Input_Product=Elig!$C418,Elig_MatchAll_Ct&lt;22,$BC418=(Elig_MatchAll_Ct-1),BA418=0),AE418,0)</f>
        <v>0</v>
      </c>
    </row>
    <row r="419" spans="2:88" ht="10.15" customHeight="1" x14ac:dyDescent="0.25">
      <c r="B419" s="287" t="s">
        <v>1115</v>
      </c>
      <c r="C419" s="286" t="str">
        <f t="shared" si="153"/>
        <v>NonQM NOO</v>
      </c>
      <c r="D419" s="287" t="s">
        <v>3885</v>
      </c>
      <c r="E419" s="287" t="s">
        <v>167</v>
      </c>
      <c r="F419" s="287" t="s">
        <v>330</v>
      </c>
      <c r="G419" s="287" t="s">
        <v>181</v>
      </c>
      <c r="H419" s="287" t="s">
        <v>136</v>
      </c>
      <c r="I419" s="287" t="s">
        <v>16</v>
      </c>
      <c r="J419" s="287" t="s">
        <v>1311</v>
      </c>
      <c r="K419" s="287" t="s">
        <v>1631</v>
      </c>
      <c r="L419" s="300" t="s">
        <v>312</v>
      </c>
      <c r="M419" s="287" t="s">
        <v>4203</v>
      </c>
      <c r="N419" s="287" t="s">
        <v>2685</v>
      </c>
      <c r="O419" s="287" t="s">
        <v>310</v>
      </c>
      <c r="P419" s="287" t="s">
        <v>291</v>
      </c>
      <c r="Q419" s="287" t="s">
        <v>294</v>
      </c>
      <c r="R419" s="287">
        <v>1000000.01</v>
      </c>
      <c r="S419" s="287">
        <v>1500000</v>
      </c>
      <c r="T419" s="287">
        <v>0</v>
      </c>
      <c r="U419" s="287">
        <f t="shared" si="172"/>
        <v>1500000</v>
      </c>
      <c r="V419" s="287">
        <v>0</v>
      </c>
      <c r="W419" s="287">
        <v>50</v>
      </c>
      <c r="X419" s="287">
        <v>1</v>
      </c>
      <c r="Y419" s="287">
        <v>999</v>
      </c>
      <c r="Z419" s="2106">
        <v>660</v>
      </c>
      <c r="AA419" s="2106">
        <v>679</v>
      </c>
      <c r="AB419" s="289">
        <v>6</v>
      </c>
      <c r="AC419" s="289">
        <v>999999</v>
      </c>
      <c r="AD419" s="287">
        <v>0</v>
      </c>
      <c r="AE419" s="2105">
        <v>70</v>
      </c>
      <c r="AF419" s="170">
        <v>0</v>
      </c>
      <c r="AG419" s="171">
        <v>1</v>
      </c>
      <c r="AH419" s="171">
        <v>1</v>
      </c>
      <c r="AI419" s="171">
        <v>0</v>
      </c>
      <c r="AJ419" s="171">
        <v>0</v>
      </c>
      <c r="AK419" s="171">
        <v>1</v>
      </c>
      <c r="AL419" s="171">
        <v>1</v>
      </c>
      <c r="AM419" s="171">
        <v>1</v>
      </c>
      <c r="AN419" s="171">
        <v>1</v>
      </c>
      <c r="AO419" s="171">
        <v>1</v>
      </c>
      <c r="AP419" s="171">
        <v>1</v>
      </c>
      <c r="AQ419" s="171">
        <v>1</v>
      </c>
      <c r="AR419" s="171">
        <v>1</v>
      </c>
      <c r="AS419" s="171">
        <v>1</v>
      </c>
      <c r="AT419" s="171">
        <v>1</v>
      </c>
      <c r="AU419" s="171">
        <f t="shared" si="162"/>
        <v>0</v>
      </c>
      <c r="AV419" s="171">
        <f t="shared" si="163"/>
        <v>1</v>
      </c>
      <c r="AW419" s="171">
        <f t="shared" si="164"/>
        <v>1</v>
      </c>
      <c r="AX419" s="171">
        <f t="shared" si="152"/>
        <v>0</v>
      </c>
      <c r="AY419" s="171">
        <f t="shared" si="165"/>
        <v>0</v>
      </c>
      <c r="AZ419" s="171">
        <f t="shared" si="166"/>
        <v>1</v>
      </c>
      <c r="BA419" s="172">
        <f t="shared" si="167"/>
        <v>1</v>
      </c>
      <c r="BB419" s="175">
        <f t="shared" si="169"/>
        <v>16</v>
      </c>
      <c r="BC419" s="176">
        <f t="shared" si="170"/>
        <v>15</v>
      </c>
      <c r="BD419" s="176">
        <f t="shared" si="171"/>
        <v>16</v>
      </c>
      <c r="BE419" s="240" t="str">
        <f t="shared" si="161"/>
        <v/>
      </c>
      <c r="BH419" s="199">
        <f>IF(AND(Input_Product=Elig!$C419,Elig_MatchAll_Ct&lt;22,$BC419=(Elig_MatchAll_Ct-1),AF419=0),C419,0)</f>
        <v>0</v>
      </c>
      <c r="BI419" s="199">
        <f>IF(AND(Input_Product=Elig!$C419,Elig_MatchAll_Ct&lt;22,$BC419=(Elig_MatchAll_Ct-1),AG419=0),D419,0)</f>
        <v>0</v>
      </c>
      <c r="BJ419" s="199">
        <f>IF(AND(Input_Product=Elig!$C419,Elig_MatchAll_Ct&lt;22,$BC419=(Elig_MatchAll_Ct-1),AH419=0),E419,0)</f>
        <v>0</v>
      </c>
      <c r="BK419" s="199">
        <f>IF(AND(Input_Product=Elig!$C419,Elig_MatchAll_Ct&lt;22,$BC419=(Elig_MatchAll_Ct-1),AI419=0),F419,0)</f>
        <v>0</v>
      </c>
      <c r="BL419" s="199">
        <f>IF(AND(Input_Product=Elig!$C419,Elig_MatchAll_Ct&lt;22,$BC419=(Elig_MatchAll_Ct-1),AJ419=0),G419,0)</f>
        <v>0</v>
      </c>
      <c r="BM419" s="199">
        <f>IF(AND(Input_Product=Elig!$C419,Elig_MatchAll_Ct&lt;22,$BC419=(Elig_MatchAll_Ct-1),AK419=0),H419,0)</f>
        <v>0</v>
      </c>
      <c r="BN419" s="199">
        <f>IF(AND(Input_Product=Elig!$C419,Elig_MatchAll_Ct&lt;22,$BC419=(Elig_MatchAll_Ct-1),AL419=0),I419,0)</f>
        <v>0</v>
      </c>
      <c r="BO419" s="199">
        <f>IF(AND(Input_Product=Elig!$C419,Elig_MatchAll_Ct&lt;22,$BC419=(Elig_MatchAll_Ct-1),AM419=0),J419,0)</f>
        <v>0</v>
      </c>
      <c r="BP419" s="199">
        <f>IF(AND(Input_Product=Elig!$C419,Elig_MatchAll_Ct&lt;22,$BC419=(Elig_MatchAll_Ct-1),AN419=0),K419,0)</f>
        <v>0</v>
      </c>
      <c r="BQ419" s="199">
        <f>IF(AND(Input_Product=Elig!$C419,Elig_MatchAll_Ct&lt;22,$BC419=(Elig_MatchAll_Ct-1),AP419=0),L419,0)</f>
        <v>0</v>
      </c>
      <c r="BR419" s="199">
        <f>IF(AND(Input_Product=Elig!$C419,Elig_MatchAll_Ct&lt;22,$BC419=(Elig_MatchAll_Ct-1),AO419=0),M419,0)</f>
        <v>0</v>
      </c>
      <c r="BS419" s="199">
        <f>IF(AND(Input_Product=Elig!$C419,Elig_MatchAll_Ct&lt;22,$BC419=(Elig_MatchAll_Ct-1),AQ419=0),N419,0)</f>
        <v>0</v>
      </c>
      <c r="BT419" s="199">
        <f>IF(AND(Input_Product=Elig!$C419,Elig_MatchAll_Ct&lt;22,$BC419=(Elig_MatchAll_Ct-1),AR419=0),O419,0)</f>
        <v>0</v>
      </c>
      <c r="BU419" s="199">
        <f>IF(AND(Input_Product=Elig!$C419,Elig_MatchAll_Ct&lt;22,$BC419=(Elig_MatchAll_Ct-1),AS419=0),P419,0)</f>
        <v>0</v>
      </c>
      <c r="BV419" s="200">
        <f>IF(AND(Input_Product=Elig!$C419,Elig_MatchAll_Ct&lt;22,$BC419=(Elig_MatchAll_Ct-1),AT419=0),Q419,0)</f>
        <v>0</v>
      </c>
      <c r="BW419" s="201">
        <f>IF(AND(Input_Product=Elig!$C419,Elig_MatchAll_Ct&lt;22,$BC419=(Elig_MatchAll_Ct-1),AU419=0),R419,0)</f>
        <v>0</v>
      </c>
      <c r="BX419" s="202">
        <f>IF(AND(Input_Product=Elig!$C419,Elig_MatchAll_Ct&lt;22,$BC419=(Elig_MatchAll_Ct-1),AU419=0),S419,0)</f>
        <v>0</v>
      </c>
      <c r="BY419" s="201">
        <f>IF(AND(Input_Product=Elig!$C419,Elig_MatchAll_Ct&lt;22,$BC419=(Elig_MatchAll_Ct-1),AV419=0),T419,0)</f>
        <v>0</v>
      </c>
      <c r="BZ419" s="202">
        <f>IF(AND(Input_Product=Elig!$C419,Elig_MatchAll_Ct&lt;22,$BC419=(Elig_MatchAll_Ct-1),AV419=0),U419,0)</f>
        <v>0</v>
      </c>
      <c r="CA419" s="201">
        <f>IF(AND(Input_Product=Elig!$C419,Elig_MatchAll_Ct&lt;22,$BC419=(Elig_MatchAll_Ct-1),AW419=0),V419,0)</f>
        <v>0</v>
      </c>
      <c r="CB419" s="202">
        <f>IF(AND(Input_Product=Elig!$C419,Elig_MatchAll_Ct&lt;22,$BC419=(Elig_MatchAll_Ct-1),AW419=0),W419,0)</f>
        <v>0</v>
      </c>
      <c r="CC419" s="201">
        <f>IF(AND(Input_Product=Elig!$C419,Elig_MatchAll_Ct&lt;22,$BC419=(Elig_MatchAll_Ct-1),AX419=0),X419,0)</f>
        <v>0</v>
      </c>
      <c r="CD419" s="202">
        <f>IF(AND(Input_Product=Elig!$C419,Elig_MatchAll_Ct&lt;22,$BC419=(Elig_MatchAll_Ct-1),AX419=0),Y419,0)</f>
        <v>0</v>
      </c>
      <c r="CE419" s="201">
        <f>IF(AND(Input_LTV&lt;=AE419,Input_Product=Elig!$C419,Elig_MatchAll_Ct&lt;22,$BC419=(Elig_MatchAll_Ct-1),AY419=0),Z419,0)</f>
        <v>0</v>
      </c>
      <c r="CF419" s="202">
        <f>IF(AND(Input_LTV&lt;=AE419,Input_Product=Elig!$C419,Elig_MatchAll_Ct&lt;22,$BC419=(Elig_MatchAll_Ct-1),AY419=0),AA419,0)</f>
        <v>0</v>
      </c>
      <c r="CG419" s="201">
        <f>IF(AND(Input_Product=Elig!$C419,Elig_MatchAll_Ct&lt;22,$BC419=(Elig_MatchAll_Ct-1),AZ419=0),AB419,0)</f>
        <v>0</v>
      </c>
      <c r="CH419" s="202">
        <f>IF(AND(Input_Product=Elig!$C419,Elig_MatchAll_Ct&lt;22,$BC419=(Elig_MatchAll_Ct-1),AZ419=0),AC419,0)</f>
        <v>0</v>
      </c>
      <c r="CI419" s="201">
        <f>IF(AND(Input_Product=Elig!$C419,Elig_MatchAll_Ct&lt;22,$BC419=(Elig_MatchAll_Ct-1),BA419=0),AD419,0)</f>
        <v>0</v>
      </c>
      <c r="CJ419" s="202">
        <f>IF(AND(Input_Product=Elig!$C419,Elig_MatchAll_Ct&lt;22,$BC419=(Elig_MatchAll_Ct-1),BA419=0),AE419,0)</f>
        <v>0</v>
      </c>
    </row>
    <row r="420" spans="2:88" ht="10.15" customHeight="1" x14ac:dyDescent="0.25">
      <c r="B420" s="287" t="s">
        <v>1116</v>
      </c>
      <c r="C420" s="286" t="str">
        <f t="shared" si="153"/>
        <v>NonQM NOO</v>
      </c>
      <c r="D420" s="287" t="s">
        <v>3885</v>
      </c>
      <c r="E420" s="287" t="s">
        <v>167</v>
      </c>
      <c r="F420" s="287" t="s">
        <v>330</v>
      </c>
      <c r="G420" s="287" t="s">
        <v>181</v>
      </c>
      <c r="H420" s="287" t="s">
        <v>136</v>
      </c>
      <c r="I420" s="287" t="s">
        <v>16</v>
      </c>
      <c r="J420" s="287" t="s">
        <v>1311</v>
      </c>
      <c r="K420" s="287" t="s">
        <v>1631</v>
      </c>
      <c r="L420" s="300" t="s">
        <v>312</v>
      </c>
      <c r="M420" s="287" t="s">
        <v>4203</v>
      </c>
      <c r="N420" s="287" t="s">
        <v>2685</v>
      </c>
      <c r="O420" s="287" t="s">
        <v>45</v>
      </c>
      <c r="P420" s="287" t="s">
        <v>291</v>
      </c>
      <c r="Q420" s="287" t="s">
        <v>294</v>
      </c>
      <c r="R420" s="287">
        <v>1000000.01</v>
      </c>
      <c r="S420" s="287">
        <v>1500000</v>
      </c>
      <c r="T420" s="287">
        <v>0</v>
      </c>
      <c r="U420" s="287">
        <f t="shared" si="172"/>
        <v>1500000</v>
      </c>
      <c r="V420" s="287">
        <v>0</v>
      </c>
      <c r="W420" s="287">
        <v>50</v>
      </c>
      <c r="X420" s="300">
        <v>1</v>
      </c>
      <c r="Y420" s="287">
        <v>999</v>
      </c>
      <c r="Z420" s="2106">
        <v>660</v>
      </c>
      <c r="AA420" s="2106">
        <v>679</v>
      </c>
      <c r="AB420" s="289">
        <v>6</v>
      </c>
      <c r="AC420" s="289">
        <v>999999</v>
      </c>
      <c r="AD420" s="287">
        <v>0</v>
      </c>
      <c r="AE420" s="2105">
        <v>70</v>
      </c>
      <c r="AF420" s="170">
        <v>0</v>
      </c>
      <c r="AG420" s="171">
        <v>1</v>
      </c>
      <c r="AH420" s="171">
        <v>1</v>
      </c>
      <c r="AI420" s="171">
        <v>0</v>
      </c>
      <c r="AJ420" s="171">
        <v>0</v>
      </c>
      <c r="AK420" s="171">
        <v>1</v>
      </c>
      <c r="AL420" s="171">
        <v>1</v>
      </c>
      <c r="AM420" s="171">
        <v>1</v>
      </c>
      <c r="AN420" s="171">
        <v>1</v>
      </c>
      <c r="AO420" s="171">
        <v>1</v>
      </c>
      <c r="AP420" s="171">
        <v>1</v>
      </c>
      <c r="AQ420" s="171">
        <v>1</v>
      </c>
      <c r="AR420" s="171">
        <v>0</v>
      </c>
      <c r="AS420" s="171">
        <v>1</v>
      </c>
      <c r="AT420" s="171">
        <v>1</v>
      </c>
      <c r="AU420" s="171">
        <f t="shared" si="162"/>
        <v>0</v>
      </c>
      <c r="AV420" s="171">
        <f t="shared" si="163"/>
        <v>1</v>
      </c>
      <c r="AW420" s="171">
        <f t="shared" si="164"/>
        <v>1</v>
      </c>
      <c r="AX420" s="171">
        <f t="shared" si="152"/>
        <v>0</v>
      </c>
      <c r="AY420" s="171">
        <f t="shared" si="165"/>
        <v>0</v>
      </c>
      <c r="AZ420" s="171">
        <f t="shared" si="166"/>
        <v>1</v>
      </c>
      <c r="BA420" s="172">
        <f t="shared" si="167"/>
        <v>1</v>
      </c>
      <c r="BB420" s="175">
        <f t="shared" si="169"/>
        <v>15</v>
      </c>
      <c r="BC420" s="176">
        <f t="shared" si="170"/>
        <v>14</v>
      </c>
      <c r="BD420" s="176">
        <f t="shared" si="171"/>
        <v>15</v>
      </c>
      <c r="BE420" s="240" t="str">
        <f t="shared" si="161"/>
        <v/>
      </c>
      <c r="BH420" s="199">
        <f>IF(AND(Input_Product=Elig!$C420,Elig_MatchAll_Ct&lt;22,$BC420=(Elig_MatchAll_Ct-1),AF420=0),C420,0)</f>
        <v>0</v>
      </c>
      <c r="BI420" s="199">
        <f>IF(AND(Input_Product=Elig!$C420,Elig_MatchAll_Ct&lt;22,$BC420=(Elig_MatchAll_Ct-1),AG420=0),D420,0)</f>
        <v>0</v>
      </c>
      <c r="BJ420" s="199">
        <f>IF(AND(Input_Product=Elig!$C420,Elig_MatchAll_Ct&lt;22,$BC420=(Elig_MatchAll_Ct-1),AH420=0),E420,0)</f>
        <v>0</v>
      </c>
      <c r="BK420" s="199">
        <f>IF(AND(Input_Product=Elig!$C420,Elig_MatchAll_Ct&lt;22,$BC420=(Elig_MatchAll_Ct-1),AI420=0),F420,0)</f>
        <v>0</v>
      </c>
      <c r="BL420" s="199">
        <f>IF(AND(Input_Product=Elig!$C420,Elig_MatchAll_Ct&lt;22,$BC420=(Elig_MatchAll_Ct-1),AJ420=0),G420,0)</f>
        <v>0</v>
      </c>
      <c r="BM420" s="199">
        <f>IF(AND(Input_Product=Elig!$C420,Elig_MatchAll_Ct&lt;22,$BC420=(Elig_MatchAll_Ct-1),AK420=0),H420,0)</f>
        <v>0</v>
      </c>
      <c r="BN420" s="199">
        <f>IF(AND(Input_Product=Elig!$C420,Elig_MatchAll_Ct&lt;22,$BC420=(Elig_MatchAll_Ct-1),AL420=0),I420,0)</f>
        <v>0</v>
      </c>
      <c r="BO420" s="199">
        <f>IF(AND(Input_Product=Elig!$C420,Elig_MatchAll_Ct&lt;22,$BC420=(Elig_MatchAll_Ct-1),AM420=0),J420,0)</f>
        <v>0</v>
      </c>
      <c r="BP420" s="199">
        <f>IF(AND(Input_Product=Elig!$C420,Elig_MatchAll_Ct&lt;22,$BC420=(Elig_MatchAll_Ct-1),AN420=0),K420,0)</f>
        <v>0</v>
      </c>
      <c r="BQ420" s="199">
        <f>IF(AND(Input_Product=Elig!$C420,Elig_MatchAll_Ct&lt;22,$BC420=(Elig_MatchAll_Ct-1),AP420=0),L420,0)</f>
        <v>0</v>
      </c>
      <c r="BR420" s="199">
        <f>IF(AND(Input_Product=Elig!$C420,Elig_MatchAll_Ct&lt;22,$BC420=(Elig_MatchAll_Ct-1),AO420=0),M420,0)</f>
        <v>0</v>
      </c>
      <c r="BS420" s="199">
        <f>IF(AND(Input_Product=Elig!$C420,Elig_MatchAll_Ct&lt;22,$BC420=(Elig_MatchAll_Ct-1),AQ420=0),N420,0)</f>
        <v>0</v>
      </c>
      <c r="BT420" s="199">
        <f>IF(AND(Input_Product=Elig!$C420,Elig_MatchAll_Ct&lt;22,$BC420=(Elig_MatchAll_Ct-1),AR420=0),O420,0)</f>
        <v>0</v>
      </c>
      <c r="BU420" s="199">
        <f>IF(AND(Input_Product=Elig!$C420,Elig_MatchAll_Ct&lt;22,$BC420=(Elig_MatchAll_Ct-1),AS420=0),P420,0)</f>
        <v>0</v>
      </c>
      <c r="BV420" s="200">
        <f>IF(AND(Input_Product=Elig!$C420,Elig_MatchAll_Ct&lt;22,$BC420=(Elig_MatchAll_Ct-1),AT420=0),Q420,0)</f>
        <v>0</v>
      </c>
      <c r="BW420" s="201">
        <f>IF(AND(Input_Product=Elig!$C420,Elig_MatchAll_Ct&lt;22,$BC420=(Elig_MatchAll_Ct-1),AU420=0),R420,0)</f>
        <v>0</v>
      </c>
      <c r="BX420" s="202">
        <f>IF(AND(Input_Product=Elig!$C420,Elig_MatchAll_Ct&lt;22,$BC420=(Elig_MatchAll_Ct-1),AU420=0),S420,0)</f>
        <v>0</v>
      </c>
      <c r="BY420" s="201">
        <f>IF(AND(Input_Product=Elig!$C420,Elig_MatchAll_Ct&lt;22,$BC420=(Elig_MatchAll_Ct-1),AV420=0),T420,0)</f>
        <v>0</v>
      </c>
      <c r="BZ420" s="202">
        <f>IF(AND(Input_Product=Elig!$C420,Elig_MatchAll_Ct&lt;22,$BC420=(Elig_MatchAll_Ct-1),AV420=0),U420,0)</f>
        <v>0</v>
      </c>
      <c r="CA420" s="201">
        <f>IF(AND(Input_Product=Elig!$C420,Elig_MatchAll_Ct&lt;22,$BC420=(Elig_MatchAll_Ct-1),AW420=0),V420,0)</f>
        <v>0</v>
      </c>
      <c r="CB420" s="202">
        <f>IF(AND(Input_Product=Elig!$C420,Elig_MatchAll_Ct&lt;22,$BC420=(Elig_MatchAll_Ct-1),AW420=0),W420,0)</f>
        <v>0</v>
      </c>
      <c r="CC420" s="201">
        <f>IF(AND(Input_Product=Elig!$C420,Elig_MatchAll_Ct&lt;22,$BC420=(Elig_MatchAll_Ct-1),AX420=0),X420,0)</f>
        <v>0</v>
      </c>
      <c r="CD420" s="202">
        <f>IF(AND(Input_Product=Elig!$C420,Elig_MatchAll_Ct&lt;22,$BC420=(Elig_MatchAll_Ct-1),AX420=0),Y420,0)</f>
        <v>0</v>
      </c>
      <c r="CE420" s="201">
        <f>IF(AND(Input_LTV&lt;=AE420,Input_Product=Elig!$C420,Elig_MatchAll_Ct&lt;22,$BC420=(Elig_MatchAll_Ct-1),AY420=0),Z420,0)</f>
        <v>0</v>
      </c>
      <c r="CF420" s="202">
        <f>IF(AND(Input_LTV&lt;=AE420,Input_Product=Elig!$C420,Elig_MatchAll_Ct&lt;22,$BC420=(Elig_MatchAll_Ct-1),AY420=0),AA420,0)</f>
        <v>0</v>
      </c>
      <c r="CG420" s="201">
        <f>IF(AND(Input_Product=Elig!$C420,Elig_MatchAll_Ct&lt;22,$BC420=(Elig_MatchAll_Ct-1),AZ420=0),AB420,0)</f>
        <v>0</v>
      </c>
      <c r="CH420" s="202">
        <f>IF(AND(Input_Product=Elig!$C420,Elig_MatchAll_Ct&lt;22,$BC420=(Elig_MatchAll_Ct-1),AZ420=0),AC420,0)</f>
        <v>0</v>
      </c>
      <c r="CI420" s="201">
        <f>IF(AND(Input_Product=Elig!$C420,Elig_MatchAll_Ct&lt;22,$BC420=(Elig_MatchAll_Ct-1),BA420=0),AD420,0)</f>
        <v>0</v>
      </c>
      <c r="CJ420" s="202">
        <f>IF(AND(Input_Product=Elig!$C420,Elig_MatchAll_Ct&lt;22,$BC420=(Elig_MatchAll_Ct-1),BA420=0),AE420,0)</f>
        <v>0</v>
      </c>
    </row>
    <row r="421" spans="2:88" ht="10.15" customHeight="1" x14ac:dyDescent="0.25">
      <c r="B421" s="287" t="s">
        <v>1117</v>
      </c>
      <c r="C421" s="286" t="str">
        <f t="shared" si="153"/>
        <v>NonQM NOO</v>
      </c>
      <c r="D421" s="287" t="s">
        <v>3885</v>
      </c>
      <c r="E421" s="287" t="s">
        <v>167</v>
      </c>
      <c r="F421" s="287" t="s">
        <v>330</v>
      </c>
      <c r="G421" s="287" t="s">
        <v>181</v>
      </c>
      <c r="H421" s="287" t="s">
        <v>136</v>
      </c>
      <c r="I421" s="287" t="s">
        <v>16</v>
      </c>
      <c r="J421" s="287" t="s">
        <v>1311</v>
      </c>
      <c r="K421" s="287" t="s">
        <v>1631</v>
      </c>
      <c r="L421" s="300" t="s">
        <v>312</v>
      </c>
      <c r="M421" s="287" t="s">
        <v>4203</v>
      </c>
      <c r="N421" s="287" t="s">
        <v>2685</v>
      </c>
      <c r="O421" s="287" t="s">
        <v>310</v>
      </c>
      <c r="P421" s="287" t="s">
        <v>291</v>
      </c>
      <c r="Q421" s="287" t="s">
        <v>294</v>
      </c>
      <c r="R421" s="287">
        <v>1000000.01</v>
      </c>
      <c r="S421" s="287">
        <v>1500000</v>
      </c>
      <c r="T421" s="287">
        <v>0</v>
      </c>
      <c r="U421" s="287">
        <f t="shared" si="172"/>
        <v>1500000</v>
      </c>
      <c r="V421" s="287">
        <v>0</v>
      </c>
      <c r="W421" s="287">
        <v>50</v>
      </c>
      <c r="X421" s="287">
        <v>1</v>
      </c>
      <c r="Y421" s="287">
        <v>999</v>
      </c>
      <c r="Z421" s="289">
        <v>640</v>
      </c>
      <c r="AA421" s="289">
        <v>659</v>
      </c>
      <c r="AB421" s="289">
        <v>6</v>
      </c>
      <c r="AC421" s="289">
        <v>999999</v>
      </c>
      <c r="AD421" s="287">
        <v>0</v>
      </c>
      <c r="AE421" s="2105">
        <v>65</v>
      </c>
      <c r="AF421" s="170">
        <v>0</v>
      </c>
      <c r="AG421" s="171">
        <v>1</v>
      </c>
      <c r="AH421" s="171">
        <v>1</v>
      </c>
      <c r="AI421" s="171">
        <v>0</v>
      </c>
      <c r="AJ421" s="171">
        <v>0</v>
      </c>
      <c r="AK421" s="171">
        <v>1</v>
      </c>
      <c r="AL421" s="171">
        <v>1</v>
      </c>
      <c r="AM421" s="171">
        <v>1</v>
      </c>
      <c r="AN421" s="171">
        <v>1</v>
      </c>
      <c r="AO421" s="171">
        <v>1</v>
      </c>
      <c r="AP421" s="171">
        <v>1</v>
      </c>
      <c r="AQ421" s="171">
        <v>1</v>
      </c>
      <c r="AR421" s="171">
        <v>1</v>
      </c>
      <c r="AS421" s="171">
        <v>1</v>
      </c>
      <c r="AT421" s="171">
        <v>1</v>
      </c>
      <c r="AU421" s="171">
        <f t="shared" si="162"/>
        <v>0</v>
      </c>
      <c r="AV421" s="171">
        <f t="shared" si="163"/>
        <v>1</v>
      </c>
      <c r="AW421" s="171">
        <f t="shared" si="164"/>
        <v>1</v>
      </c>
      <c r="AX421" s="171">
        <f t="shared" ref="AX421:AX497" si="173">IF(AND(Input_DSCR&gt;=Elig_DSCR_Min,Input_DSCR&lt;=Elig_DSCR_Max),1,0)</f>
        <v>0</v>
      </c>
      <c r="AY421" s="171">
        <f t="shared" si="165"/>
        <v>0</v>
      </c>
      <c r="AZ421" s="171">
        <f t="shared" si="166"/>
        <v>1</v>
      </c>
      <c r="BA421" s="172">
        <f t="shared" si="167"/>
        <v>1</v>
      </c>
      <c r="BB421" s="175">
        <f t="shared" si="169"/>
        <v>16</v>
      </c>
      <c r="BC421" s="176">
        <f t="shared" si="170"/>
        <v>15</v>
      </c>
      <c r="BD421" s="176">
        <f t="shared" si="171"/>
        <v>16</v>
      </c>
      <c r="BE421" s="240" t="str">
        <f t="shared" si="161"/>
        <v/>
      </c>
      <c r="BH421" s="199">
        <f>IF(AND(Input_Product=Elig!$C421,Elig_MatchAll_Ct&lt;22,$BC421=(Elig_MatchAll_Ct-1),AF421=0),C421,0)</f>
        <v>0</v>
      </c>
      <c r="BI421" s="199">
        <f>IF(AND(Input_Product=Elig!$C421,Elig_MatchAll_Ct&lt;22,$BC421=(Elig_MatchAll_Ct-1),AG421=0),D421,0)</f>
        <v>0</v>
      </c>
      <c r="BJ421" s="199">
        <f>IF(AND(Input_Product=Elig!$C421,Elig_MatchAll_Ct&lt;22,$BC421=(Elig_MatchAll_Ct-1),AH421=0),E421,0)</f>
        <v>0</v>
      </c>
      <c r="BK421" s="199">
        <f>IF(AND(Input_Product=Elig!$C421,Elig_MatchAll_Ct&lt;22,$BC421=(Elig_MatchAll_Ct-1),AI421=0),F421,0)</f>
        <v>0</v>
      </c>
      <c r="BL421" s="199">
        <f>IF(AND(Input_Product=Elig!$C421,Elig_MatchAll_Ct&lt;22,$BC421=(Elig_MatchAll_Ct-1),AJ421=0),G421,0)</f>
        <v>0</v>
      </c>
      <c r="BM421" s="199">
        <f>IF(AND(Input_Product=Elig!$C421,Elig_MatchAll_Ct&lt;22,$BC421=(Elig_MatchAll_Ct-1),AK421=0),H421,0)</f>
        <v>0</v>
      </c>
      <c r="BN421" s="199">
        <f>IF(AND(Input_Product=Elig!$C421,Elig_MatchAll_Ct&lt;22,$BC421=(Elig_MatchAll_Ct-1),AL421=0),I421,0)</f>
        <v>0</v>
      </c>
      <c r="BO421" s="199">
        <f>IF(AND(Input_Product=Elig!$C421,Elig_MatchAll_Ct&lt;22,$BC421=(Elig_MatchAll_Ct-1),AM421=0),J421,0)</f>
        <v>0</v>
      </c>
      <c r="BP421" s="199">
        <f>IF(AND(Input_Product=Elig!$C421,Elig_MatchAll_Ct&lt;22,$BC421=(Elig_MatchAll_Ct-1),AN421=0),K421,0)</f>
        <v>0</v>
      </c>
      <c r="BQ421" s="199">
        <f>IF(AND(Input_Product=Elig!$C421,Elig_MatchAll_Ct&lt;22,$BC421=(Elig_MatchAll_Ct-1),AP421=0),L421,0)</f>
        <v>0</v>
      </c>
      <c r="BR421" s="199">
        <f>IF(AND(Input_Product=Elig!$C421,Elig_MatchAll_Ct&lt;22,$BC421=(Elig_MatchAll_Ct-1),AO421=0),M421,0)</f>
        <v>0</v>
      </c>
      <c r="BS421" s="199">
        <f>IF(AND(Input_Product=Elig!$C421,Elig_MatchAll_Ct&lt;22,$BC421=(Elig_MatchAll_Ct-1),AQ421=0),N421,0)</f>
        <v>0</v>
      </c>
      <c r="BT421" s="199">
        <f>IF(AND(Input_Product=Elig!$C421,Elig_MatchAll_Ct&lt;22,$BC421=(Elig_MatchAll_Ct-1),AR421=0),O421,0)</f>
        <v>0</v>
      </c>
      <c r="BU421" s="199">
        <f>IF(AND(Input_Product=Elig!$C421,Elig_MatchAll_Ct&lt;22,$BC421=(Elig_MatchAll_Ct-1),AS421=0),P421,0)</f>
        <v>0</v>
      </c>
      <c r="BV421" s="200">
        <f>IF(AND(Input_Product=Elig!$C421,Elig_MatchAll_Ct&lt;22,$BC421=(Elig_MatchAll_Ct-1),AT421=0),Q421,0)</f>
        <v>0</v>
      </c>
      <c r="BW421" s="201">
        <f>IF(AND(Input_Product=Elig!$C421,Elig_MatchAll_Ct&lt;22,$BC421=(Elig_MatchAll_Ct-1),AU421=0),R421,0)</f>
        <v>0</v>
      </c>
      <c r="BX421" s="202">
        <f>IF(AND(Input_Product=Elig!$C421,Elig_MatchAll_Ct&lt;22,$BC421=(Elig_MatchAll_Ct-1),AU421=0),S421,0)</f>
        <v>0</v>
      </c>
      <c r="BY421" s="201">
        <f>IF(AND(Input_Product=Elig!$C421,Elig_MatchAll_Ct&lt;22,$BC421=(Elig_MatchAll_Ct-1),AV421=0),T421,0)</f>
        <v>0</v>
      </c>
      <c r="BZ421" s="202">
        <f>IF(AND(Input_Product=Elig!$C421,Elig_MatchAll_Ct&lt;22,$BC421=(Elig_MatchAll_Ct-1),AV421=0),U421,0)</f>
        <v>0</v>
      </c>
      <c r="CA421" s="201">
        <f>IF(AND(Input_Product=Elig!$C421,Elig_MatchAll_Ct&lt;22,$BC421=(Elig_MatchAll_Ct-1),AW421=0),V421,0)</f>
        <v>0</v>
      </c>
      <c r="CB421" s="202">
        <f>IF(AND(Input_Product=Elig!$C421,Elig_MatchAll_Ct&lt;22,$BC421=(Elig_MatchAll_Ct-1),AW421=0),W421,0)</f>
        <v>0</v>
      </c>
      <c r="CC421" s="201">
        <f>IF(AND(Input_Product=Elig!$C421,Elig_MatchAll_Ct&lt;22,$BC421=(Elig_MatchAll_Ct-1),AX421=0),X421,0)</f>
        <v>0</v>
      </c>
      <c r="CD421" s="202">
        <f>IF(AND(Input_Product=Elig!$C421,Elig_MatchAll_Ct&lt;22,$BC421=(Elig_MatchAll_Ct-1),AX421=0),Y421,0)</f>
        <v>0</v>
      </c>
      <c r="CE421" s="201">
        <f>IF(AND(Input_LTV&lt;=AE421,Input_Product=Elig!$C421,Elig_MatchAll_Ct&lt;22,$BC421=(Elig_MatchAll_Ct-1),AY421=0),Z421,0)</f>
        <v>0</v>
      </c>
      <c r="CF421" s="202">
        <f>IF(AND(Input_LTV&lt;=AE421,Input_Product=Elig!$C421,Elig_MatchAll_Ct&lt;22,$BC421=(Elig_MatchAll_Ct-1),AY421=0),AA421,0)</f>
        <v>0</v>
      </c>
      <c r="CG421" s="201">
        <f>IF(AND(Input_Product=Elig!$C421,Elig_MatchAll_Ct&lt;22,$BC421=(Elig_MatchAll_Ct-1),AZ421=0),AB421,0)</f>
        <v>0</v>
      </c>
      <c r="CH421" s="202">
        <f>IF(AND(Input_Product=Elig!$C421,Elig_MatchAll_Ct&lt;22,$BC421=(Elig_MatchAll_Ct-1),AZ421=0),AC421,0)</f>
        <v>0</v>
      </c>
      <c r="CI421" s="201">
        <f>IF(AND(Input_Product=Elig!$C421,Elig_MatchAll_Ct&lt;22,$BC421=(Elig_MatchAll_Ct-1),BA421=0),AD421,0)</f>
        <v>0</v>
      </c>
      <c r="CJ421" s="202">
        <f>IF(AND(Input_Product=Elig!$C421,Elig_MatchAll_Ct&lt;22,$BC421=(Elig_MatchAll_Ct-1),BA421=0),AE421,0)</f>
        <v>0</v>
      </c>
    </row>
    <row r="422" spans="2:88" ht="10.15" customHeight="1" x14ac:dyDescent="0.25">
      <c r="B422" s="287" t="s">
        <v>1118</v>
      </c>
      <c r="C422" s="291" t="str">
        <f t="shared" si="153"/>
        <v>NonQM NOO</v>
      </c>
      <c r="D422" s="292" t="s">
        <v>3885</v>
      </c>
      <c r="E422" s="292" t="s">
        <v>167</v>
      </c>
      <c r="F422" s="292" t="s">
        <v>330</v>
      </c>
      <c r="G422" s="292" t="s">
        <v>181</v>
      </c>
      <c r="H422" s="292" t="s">
        <v>136</v>
      </c>
      <c r="I422" s="292" t="s">
        <v>16</v>
      </c>
      <c r="J422" s="292" t="s">
        <v>1311</v>
      </c>
      <c r="K422" s="292" t="s">
        <v>1631</v>
      </c>
      <c r="L422" s="324" t="s">
        <v>312</v>
      </c>
      <c r="M422" s="292" t="s">
        <v>4203</v>
      </c>
      <c r="N422" s="292" t="s">
        <v>2685</v>
      </c>
      <c r="O422" s="292" t="s">
        <v>310</v>
      </c>
      <c r="P422" s="292" t="s">
        <v>291</v>
      </c>
      <c r="Q422" s="292" t="s">
        <v>294</v>
      </c>
      <c r="R422" s="292">
        <v>1000000.01</v>
      </c>
      <c r="S422" s="292">
        <v>1500000</v>
      </c>
      <c r="T422" s="292">
        <v>0</v>
      </c>
      <c r="U422" s="292">
        <f t="shared" si="172"/>
        <v>1500000</v>
      </c>
      <c r="V422" s="292">
        <v>0</v>
      </c>
      <c r="W422" s="292">
        <v>50</v>
      </c>
      <c r="X422" s="292">
        <v>1</v>
      </c>
      <c r="Y422" s="292">
        <v>999</v>
      </c>
      <c r="Z422" s="293">
        <v>620</v>
      </c>
      <c r="AA422" s="293">
        <v>639</v>
      </c>
      <c r="AB422" s="293">
        <v>6</v>
      </c>
      <c r="AC422" s="293">
        <v>999999</v>
      </c>
      <c r="AD422" s="292">
        <v>0</v>
      </c>
      <c r="AE422" s="2154">
        <v>-999</v>
      </c>
      <c r="AF422" s="170">
        <v>0</v>
      </c>
      <c r="AG422" s="171">
        <v>1</v>
      </c>
      <c r="AH422" s="171">
        <v>1</v>
      </c>
      <c r="AI422" s="171">
        <v>0</v>
      </c>
      <c r="AJ422" s="171">
        <v>0</v>
      </c>
      <c r="AK422" s="171">
        <v>1</v>
      </c>
      <c r="AL422" s="171">
        <v>1</v>
      </c>
      <c r="AM422" s="171">
        <v>1</v>
      </c>
      <c r="AN422" s="171">
        <v>1</v>
      </c>
      <c r="AO422" s="171">
        <v>1</v>
      </c>
      <c r="AP422" s="171">
        <v>1</v>
      </c>
      <c r="AQ422" s="171">
        <v>1</v>
      </c>
      <c r="AR422" s="171">
        <v>1</v>
      </c>
      <c r="AS422" s="171">
        <v>1</v>
      </c>
      <c r="AT422" s="171">
        <v>1</v>
      </c>
      <c r="AU422" s="171">
        <f t="shared" si="162"/>
        <v>0</v>
      </c>
      <c r="AV422" s="171">
        <f t="shared" si="163"/>
        <v>1</v>
      </c>
      <c r="AW422" s="171">
        <f t="shared" si="164"/>
        <v>1</v>
      </c>
      <c r="AX422" s="171">
        <f t="shared" si="173"/>
        <v>0</v>
      </c>
      <c r="AY422" s="171">
        <f t="shared" si="165"/>
        <v>0</v>
      </c>
      <c r="AZ422" s="171">
        <f t="shared" si="166"/>
        <v>1</v>
      </c>
      <c r="BA422" s="172">
        <f t="shared" si="167"/>
        <v>0</v>
      </c>
      <c r="BB422" s="175">
        <f t="shared" si="169"/>
        <v>15</v>
      </c>
      <c r="BC422" s="176">
        <f t="shared" si="170"/>
        <v>15</v>
      </c>
      <c r="BD422" s="176">
        <f t="shared" si="171"/>
        <v>15</v>
      </c>
      <c r="BE422" s="240" t="str">
        <f t="shared" si="161"/>
        <v/>
      </c>
      <c r="BH422" s="214">
        <f>IF(AND(Input_Product=Elig!$C422,Elig_MatchAll_Ct&lt;22,$BC422=(Elig_MatchAll_Ct-1),AF422=0),C422,0)</f>
        <v>0</v>
      </c>
      <c r="BI422" s="214">
        <f>IF(AND(Input_Product=Elig!$C422,Elig_MatchAll_Ct&lt;22,$BC422=(Elig_MatchAll_Ct-1),AG422=0),D422,0)</f>
        <v>0</v>
      </c>
      <c r="BJ422" s="214">
        <f>IF(AND(Input_Product=Elig!$C422,Elig_MatchAll_Ct&lt;22,$BC422=(Elig_MatchAll_Ct-1),AH422=0),E422,0)</f>
        <v>0</v>
      </c>
      <c r="BK422" s="214">
        <f>IF(AND(Input_Product=Elig!$C422,Elig_MatchAll_Ct&lt;22,$BC422=(Elig_MatchAll_Ct-1),AI422=0),F422,0)</f>
        <v>0</v>
      </c>
      <c r="BL422" s="214">
        <f>IF(AND(Input_Product=Elig!$C422,Elig_MatchAll_Ct&lt;22,$BC422=(Elig_MatchAll_Ct-1),AJ422=0),G422,0)</f>
        <v>0</v>
      </c>
      <c r="BM422" s="214">
        <f>IF(AND(Input_Product=Elig!$C422,Elig_MatchAll_Ct&lt;22,$BC422=(Elig_MatchAll_Ct-1),AK422=0),H422,0)</f>
        <v>0</v>
      </c>
      <c r="BN422" s="214">
        <f>IF(AND(Input_Product=Elig!$C422,Elig_MatchAll_Ct&lt;22,$BC422=(Elig_MatchAll_Ct-1),AL422=0),I422,0)</f>
        <v>0</v>
      </c>
      <c r="BO422" s="214">
        <f>IF(AND(Input_Product=Elig!$C422,Elig_MatchAll_Ct&lt;22,$BC422=(Elig_MatchAll_Ct-1),AM422=0),J422,0)</f>
        <v>0</v>
      </c>
      <c r="BP422" s="214">
        <f>IF(AND(Input_Product=Elig!$C422,Elig_MatchAll_Ct&lt;22,$BC422=(Elig_MatchAll_Ct-1),AN422=0),K422,0)</f>
        <v>0</v>
      </c>
      <c r="BQ422" s="214">
        <f>IF(AND(Input_Product=Elig!$C422,Elig_MatchAll_Ct&lt;22,$BC422=(Elig_MatchAll_Ct-1),AP422=0),L422,0)</f>
        <v>0</v>
      </c>
      <c r="BR422" s="214">
        <f>IF(AND(Input_Product=Elig!$C422,Elig_MatchAll_Ct&lt;22,$BC422=(Elig_MatchAll_Ct-1),AO422=0),M422,0)</f>
        <v>0</v>
      </c>
      <c r="BS422" s="214">
        <f>IF(AND(Input_Product=Elig!$C422,Elig_MatchAll_Ct&lt;22,$BC422=(Elig_MatchAll_Ct-1),AQ422=0),N422,0)</f>
        <v>0</v>
      </c>
      <c r="BT422" s="214">
        <f>IF(AND(Input_Product=Elig!$C422,Elig_MatchAll_Ct&lt;22,$BC422=(Elig_MatchAll_Ct-1),AR422=0),O422,0)</f>
        <v>0</v>
      </c>
      <c r="BU422" s="214">
        <f>IF(AND(Input_Product=Elig!$C422,Elig_MatchAll_Ct&lt;22,$BC422=(Elig_MatchAll_Ct-1),AS422=0),P422,0)</f>
        <v>0</v>
      </c>
      <c r="BV422" s="215">
        <f>IF(AND(Input_Product=Elig!$C422,Elig_MatchAll_Ct&lt;22,$BC422=(Elig_MatchAll_Ct-1),AT422=0),Q422,0)</f>
        <v>0</v>
      </c>
      <c r="BW422" s="207">
        <f>IF(AND(Input_Product=Elig!$C422,Elig_MatchAll_Ct&lt;22,$BC422=(Elig_MatchAll_Ct-1),AU422=0),R422,0)</f>
        <v>0</v>
      </c>
      <c r="BX422" s="208">
        <f>IF(AND(Input_Product=Elig!$C422,Elig_MatchAll_Ct&lt;22,$BC422=(Elig_MatchAll_Ct-1),AU422=0),S422,0)</f>
        <v>0</v>
      </c>
      <c r="BY422" s="207">
        <f>IF(AND(Input_Product=Elig!$C422,Elig_MatchAll_Ct&lt;22,$BC422=(Elig_MatchAll_Ct-1),AV422=0),T422,0)</f>
        <v>0</v>
      </c>
      <c r="BZ422" s="208">
        <f>IF(AND(Input_Product=Elig!$C422,Elig_MatchAll_Ct&lt;22,$BC422=(Elig_MatchAll_Ct-1),AV422=0),U422,0)</f>
        <v>0</v>
      </c>
      <c r="CA422" s="207">
        <f>IF(AND(Input_Product=Elig!$C422,Elig_MatchAll_Ct&lt;22,$BC422=(Elig_MatchAll_Ct-1),AW422=0),V422,0)</f>
        <v>0</v>
      </c>
      <c r="CB422" s="208">
        <f>IF(AND(Input_Product=Elig!$C422,Elig_MatchAll_Ct&lt;22,$BC422=(Elig_MatchAll_Ct-1),AW422=0),W422,0)</f>
        <v>0</v>
      </c>
      <c r="CC422" s="207">
        <f>IF(AND(Input_Product=Elig!$C422,Elig_MatchAll_Ct&lt;22,$BC422=(Elig_MatchAll_Ct-1),AX422=0),X422,0)</f>
        <v>0</v>
      </c>
      <c r="CD422" s="208">
        <f>IF(AND(Input_Product=Elig!$C422,Elig_MatchAll_Ct&lt;22,$BC422=(Elig_MatchAll_Ct-1),AX422=0),Y422,0)</f>
        <v>0</v>
      </c>
      <c r="CE422" s="207">
        <f>IF(AND(Input_LTV&lt;=AE422,Input_Product=Elig!$C422,Elig_MatchAll_Ct&lt;22,$BC422=(Elig_MatchAll_Ct-1),AY422=0),Z422,0)</f>
        <v>0</v>
      </c>
      <c r="CF422" s="208">
        <f>IF(AND(Input_LTV&lt;=AE422,Input_Product=Elig!$C422,Elig_MatchAll_Ct&lt;22,$BC422=(Elig_MatchAll_Ct-1),AY422=0),AA422,0)</f>
        <v>0</v>
      </c>
      <c r="CG422" s="207">
        <f>IF(AND(Input_Product=Elig!$C422,Elig_MatchAll_Ct&lt;22,$BC422=(Elig_MatchAll_Ct-1),AZ422=0),AB422,0)</f>
        <v>0</v>
      </c>
      <c r="CH422" s="208">
        <f>IF(AND(Input_Product=Elig!$C422,Elig_MatchAll_Ct&lt;22,$BC422=(Elig_MatchAll_Ct-1),AZ422=0),AC422,0)</f>
        <v>0</v>
      </c>
      <c r="CI422" s="207">
        <f>IF(AND(Input_Product=Elig!$C422,Elig_MatchAll_Ct&lt;22,$BC422=(Elig_MatchAll_Ct-1),BA422=0),AD422,0)</f>
        <v>0</v>
      </c>
      <c r="CJ422" s="209">
        <f>IF(AND(Input_Product=Elig!$C422,Elig_MatchAll_Ct&lt;22,$BC422=(Elig_MatchAll_Ct-1),BA422=0),AE422,0)</f>
        <v>0</v>
      </c>
    </row>
    <row r="423" spans="2:88" ht="10.15" customHeight="1" x14ac:dyDescent="0.25">
      <c r="B423" s="287" t="s">
        <v>1119</v>
      </c>
      <c r="C423" s="281" t="str">
        <f t="shared" si="153"/>
        <v>NonQM NOO</v>
      </c>
      <c r="D423" s="282" t="s">
        <v>3885</v>
      </c>
      <c r="E423" s="283" t="s">
        <v>167</v>
      </c>
      <c r="F423" s="283" t="s">
        <v>330</v>
      </c>
      <c r="G423" s="283" t="s">
        <v>303</v>
      </c>
      <c r="H423" s="283" t="s">
        <v>136</v>
      </c>
      <c r="I423" s="282" t="s">
        <v>274</v>
      </c>
      <c r="J423" s="282" t="s">
        <v>1311</v>
      </c>
      <c r="K423" s="282" t="s">
        <v>1631</v>
      </c>
      <c r="L423" s="2103" t="s">
        <v>312</v>
      </c>
      <c r="M423" s="283" t="s">
        <v>4203</v>
      </c>
      <c r="N423" s="283" t="s">
        <v>2685</v>
      </c>
      <c r="O423" s="283" t="s">
        <v>310</v>
      </c>
      <c r="P423" s="283" t="s">
        <v>291</v>
      </c>
      <c r="Q423" s="283" t="s">
        <v>294</v>
      </c>
      <c r="R423" s="282">
        <v>1500000.01</v>
      </c>
      <c r="S423" s="282">
        <v>2000000</v>
      </c>
      <c r="T423" s="282">
        <v>0</v>
      </c>
      <c r="U423" s="282">
        <v>0</v>
      </c>
      <c r="V423" s="282">
        <v>0</v>
      </c>
      <c r="W423" s="282">
        <v>50</v>
      </c>
      <c r="X423" s="282">
        <v>0</v>
      </c>
      <c r="Y423" s="282">
        <v>999</v>
      </c>
      <c r="Z423" s="284">
        <v>720</v>
      </c>
      <c r="AA423" s="284">
        <v>999</v>
      </c>
      <c r="AB423" s="284">
        <v>6</v>
      </c>
      <c r="AC423" s="284">
        <v>999999</v>
      </c>
      <c r="AD423" s="282">
        <v>0</v>
      </c>
      <c r="AE423" s="2104">
        <v>80</v>
      </c>
      <c r="AF423" s="170">
        <v>0</v>
      </c>
      <c r="AG423" s="171">
        <v>1</v>
      </c>
      <c r="AH423" s="171">
        <v>1</v>
      </c>
      <c r="AI423" s="171">
        <v>0</v>
      </c>
      <c r="AJ423" s="171">
        <v>1</v>
      </c>
      <c r="AK423" s="171">
        <v>1</v>
      </c>
      <c r="AL423" s="171">
        <v>0</v>
      </c>
      <c r="AM423" s="171">
        <v>1</v>
      </c>
      <c r="AN423" s="171">
        <v>1</v>
      </c>
      <c r="AO423" s="171">
        <v>1</v>
      </c>
      <c r="AP423" s="171">
        <v>1</v>
      </c>
      <c r="AQ423" s="171">
        <v>1</v>
      </c>
      <c r="AR423" s="171">
        <v>1</v>
      </c>
      <c r="AS423" s="171">
        <v>1</v>
      </c>
      <c r="AT423" s="171">
        <v>1</v>
      </c>
      <c r="AU423" s="171">
        <f t="shared" si="162"/>
        <v>0</v>
      </c>
      <c r="AV423" s="171">
        <f t="shared" si="163"/>
        <v>0</v>
      </c>
      <c r="AW423" s="171">
        <f t="shared" si="164"/>
        <v>1</v>
      </c>
      <c r="AX423" s="171">
        <f t="shared" si="173"/>
        <v>1</v>
      </c>
      <c r="AY423" s="171">
        <f t="shared" si="165"/>
        <v>1</v>
      </c>
      <c r="AZ423" s="171">
        <f t="shared" si="166"/>
        <v>1</v>
      </c>
      <c r="BA423" s="172">
        <f t="shared" si="167"/>
        <v>1</v>
      </c>
      <c r="BB423" s="175">
        <f t="shared" si="169"/>
        <v>17</v>
      </c>
      <c r="BC423" s="176">
        <f t="shared" si="170"/>
        <v>16</v>
      </c>
      <c r="BD423" s="176">
        <f t="shared" si="171"/>
        <v>17</v>
      </c>
      <c r="BE423" s="240" t="str">
        <f t="shared" si="161"/>
        <v/>
      </c>
      <c r="BH423" s="216">
        <f>IF(AND(Input_Product=Elig!$C423,Elig_MatchAll_Ct&lt;22,$BC423=(Elig_MatchAll_Ct-1),AF423=0),C423,0)</f>
        <v>0</v>
      </c>
      <c r="BI423" s="216">
        <f>IF(AND(Input_Product=Elig!$C423,Elig_MatchAll_Ct&lt;22,$BC423=(Elig_MatchAll_Ct-1),AG423=0),D423,0)</f>
        <v>0</v>
      </c>
      <c r="BJ423" s="216">
        <f>IF(AND(Input_Product=Elig!$C423,Elig_MatchAll_Ct&lt;22,$BC423=(Elig_MatchAll_Ct-1),AH423=0),E423,0)</f>
        <v>0</v>
      </c>
      <c r="BK423" s="216">
        <f>IF(AND(Input_Product=Elig!$C423,Elig_MatchAll_Ct&lt;22,$BC423=(Elig_MatchAll_Ct-1),AI423=0),F423,0)</f>
        <v>0</v>
      </c>
      <c r="BL423" s="216">
        <f>IF(AND(Input_Product=Elig!$C423,Elig_MatchAll_Ct&lt;22,$BC423=(Elig_MatchAll_Ct-1),AJ423=0),G423,0)</f>
        <v>0</v>
      </c>
      <c r="BM423" s="216">
        <f>IF(AND(Input_Product=Elig!$C423,Elig_MatchAll_Ct&lt;22,$BC423=(Elig_MatchAll_Ct-1),AK423=0),H423,0)</f>
        <v>0</v>
      </c>
      <c r="BN423" s="216">
        <f>IF(AND(Input_Product=Elig!$C423,Elig_MatchAll_Ct&lt;22,$BC423=(Elig_MatchAll_Ct-1),AL423=0),I423,0)</f>
        <v>0</v>
      </c>
      <c r="BO423" s="216">
        <f>IF(AND(Input_Product=Elig!$C423,Elig_MatchAll_Ct&lt;22,$BC423=(Elig_MatchAll_Ct-1),AM423=0),J423,0)</f>
        <v>0</v>
      </c>
      <c r="BP423" s="216">
        <f>IF(AND(Input_Product=Elig!$C423,Elig_MatchAll_Ct&lt;22,$BC423=(Elig_MatchAll_Ct-1),AN423=0),K423,0)</f>
        <v>0</v>
      </c>
      <c r="BQ423" s="216">
        <f>IF(AND(Input_Product=Elig!$C423,Elig_MatchAll_Ct&lt;22,$BC423=(Elig_MatchAll_Ct-1),AP423=0),L423,0)</f>
        <v>0</v>
      </c>
      <c r="BR423" s="216">
        <f>IF(AND(Input_Product=Elig!$C423,Elig_MatchAll_Ct&lt;22,$BC423=(Elig_MatchAll_Ct-1),AO423=0),M423,0)</f>
        <v>0</v>
      </c>
      <c r="BS423" s="216">
        <f>IF(AND(Input_Product=Elig!$C423,Elig_MatchAll_Ct&lt;22,$BC423=(Elig_MatchAll_Ct-1),AQ423=0),N423,0)</f>
        <v>0</v>
      </c>
      <c r="BT423" s="216">
        <f>IF(AND(Input_Product=Elig!$C423,Elig_MatchAll_Ct&lt;22,$BC423=(Elig_MatchAll_Ct-1),AR423=0),O423,0)</f>
        <v>0</v>
      </c>
      <c r="BU423" s="216">
        <f>IF(AND(Input_Product=Elig!$C423,Elig_MatchAll_Ct&lt;22,$BC423=(Elig_MatchAll_Ct-1),AS423=0),P423,0)</f>
        <v>0</v>
      </c>
      <c r="BV423" s="217">
        <f>IF(AND(Input_Product=Elig!$C423,Elig_MatchAll_Ct&lt;22,$BC423=(Elig_MatchAll_Ct-1),AT423=0),Q423,0)</f>
        <v>0</v>
      </c>
      <c r="BW423" s="218">
        <f>IF(AND(Input_Product=Elig!$C423,Elig_MatchAll_Ct&lt;22,$BC423=(Elig_MatchAll_Ct-1),AU423=0),R423,0)</f>
        <v>0</v>
      </c>
      <c r="BX423" s="219">
        <f>IF(AND(Input_Product=Elig!$C423,Elig_MatchAll_Ct&lt;22,$BC423=(Elig_MatchAll_Ct-1),AU423=0),S423,0)</f>
        <v>0</v>
      </c>
      <c r="BY423" s="218">
        <f>IF(AND(Input_Product=Elig!$C423,Elig_MatchAll_Ct&lt;22,$BC423=(Elig_MatchAll_Ct-1),AV423=0),T423,0)</f>
        <v>0</v>
      </c>
      <c r="BZ423" s="219">
        <f>IF(AND(Input_Product=Elig!$C423,Elig_MatchAll_Ct&lt;22,$BC423=(Elig_MatchAll_Ct-1),AV423=0),U423,0)</f>
        <v>0</v>
      </c>
      <c r="CA423" s="218">
        <f>IF(AND(Input_Product=Elig!$C423,Elig_MatchAll_Ct&lt;22,$BC423=(Elig_MatchAll_Ct-1),AW423=0),V423,0)</f>
        <v>0</v>
      </c>
      <c r="CB423" s="219">
        <f>IF(AND(Input_Product=Elig!$C423,Elig_MatchAll_Ct&lt;22,$BC423=(Elig_MatchAll_Ct-1),AW423=0),W423,0)</f>
        <v>0</v>
      </c>
      <c r="CC423" s="218">
        <f>IF(AND(Input_Product=Elig!$C423,Elig_MatchAll_Ct&lt;22,$BC423=(Elig_MatchAll_Ct-1),AX423=0),X423,0)</f>
        <v>0</v>
      </c>
      <c r="CD423" s="219">
        <f>IF(AND(Input_Product=Elig!$C423,Elig_MatchAll_Ct&lt;22,$BC423=(Elig_MatchAll_Ct-1),AX423=0),Y423,0)</f>
        <v>0</v>
      </c>
      <c r="CE423" s="218">
        <f>IF(AND(Input_LTV&lt;=AE423,Input_Product=Elig!$C423,Elig_MatchAll_Ct&lt;22,$BC423=(Elig_MatchAll_Ct-1),AY423=0),Z423,0)</f>
        <v>0</v>
      </c>
      <c r="CF423" s="219">
        <f>IF(AND(Input_LTV&lt;=AE423,Input_Product=Elig!$C423,Elig_MatchAll_Ct&lt;22,$BC423=(Elig_MatchAll_Ct-1),AY423=0),AA423,0)</f>
        <v>0</v>
      </c>
      <c r="CG423" s="218">
        <f>IF(AND(Input_Product=Elig!$C423,Elig_MatchAll_Ct&lt;22,$BC423=(Elig_MatchAll_Ct-1),AZ423=0),AB423,0)</f>
        <v>0</v>
      </c>
      <c r="CH423" s="219">
        <f>IF(AND(Input_Product=Elig!$C423,Elig_MatchAll_Ct&lt;22,$BC423=(Elig_MatchAll_Ct-1),AZ423=0),AC423,0)</f>
        <v>0</v>
      </c>
      <c r="CI423" s="218">
        <f>IF(AND(Input_Product=Elig!$C423,Elig_MatchAll_Ct&lt;22,$BC423=(Elig_MatchAll_Ct-1),BA423=0),AD423,0)</f>
        <v>0</v>
      </c>
      <c r="CJ423" s="219">
        <f>IF(AND(Input_Product=Elig!$C423,Elig_MatchAll_Ct&lt;22,$BC423=(Elig_MatchAll_Ct-1),BA423=0),AE423,0)</f>
        <v>0</v>
      </c>
    </row>
    <row r="424" spans="2:88" ht="10.15" customHeight="1" x14ac:dyDescent="0.25">
      <c r="B424" s="287" t="s">
        <v>1120</v>
      </c>
      <c r="C424" s="286" t="str">
        <f t="shared" si="153"/>
        <v>NonQM NOO</v>
      </c>
      <c r="D424" s="287" t="s">
        <v>3885</v>
      </c>
      <c r="E424" s="287" t="s">
        <v>167</v>
      </c>
      <c r="F424" s="287" t="s">
        <v>330</v>
      </c>
      <c r="G424" s="287" t="s">
        <v>303</v>
      </c>
      <c r="H424" s="287" t="s">
        <v>136</v>
      </c>
      <c r="I424" s="288" t="s">
        <v>274</v>
      </c>
      <c r="J424" s="288" t="s">
        <v>1311</v>
      </c>
      <c r="K424" s="288" t="s">
        <v>1631</v>
      </c>
      <c r="L424" s="300" t="s">
        <v>312</v>
      </c>
      <c r="M424" s="287" t="s">
        <v>4203</v>
      </c>
      <c r="N424" s="287" t="s">
        <v>2685</v>
      </c>
      <c r="O424" s="287" t="s">
        <v>310</v>
      </c>
      <c r="P424" s="287" t="s">
        <v>291</v>
      </c>
      <c r="Q424" s="287" t="s">
        <v>294</v>
      </c>
      <c r="R424" s="287">
        <v>1500000.01</v>
      </c>
      <c r="S424" s="287">
        <v>2000000</v>
      </c>
      <c r="T424" s="287">
        <v>0</v>
      </c>
      <c r="U424" s="287">
        <v>0</v>
      </c>
      <c r="V424" s="287">
        <v>0</v>
      </c>
      <c r="W424" s="287">
        <v>50</v>
      </c>
      <c r="X424" s="287">
        <v>0</v>
      </c>
      <c r="Y424" s="287">
        <v>999</v>
      </c>
      <c r="Z424" s="289">
        <v>700</v>
      </c>
      <c r="AA424" s="289">
        <v>719</v>
      </c>
      <c r="AB424" s="289">
        <v>6</v>
      </c>
      <c r="AC424" s="289">
        <v>999999</v>
      </c>
      <c r="AD424" s="287">
        <v>0</v>
      </c>
      <c r="AE424" s="2105">
        <v>80</v>
      </c>
      <c r="AF424" s="170">
        <v>0</v>
      </c>
      <c r="AG424" s="171">
        <v>1</v>
      </c>
      <c r="AH424" s="171">
        <v>1</v>
      </c>
      <c r="AI424" s="171">
        <v>0</v>
      </c>
      <c r="AJ424" s="171">
        <v>1</v>
      </c>
      <c r="AK424" s="171">
        <v>1</v>
      </c>
      <c r="AL424" s="171">
        <v>0</v>
      </c>
      <c r="AM424" s="171">
        <v>1</v>
      </c>
      <c r="AN424" s="171">
        <v>1</v>
      </c>
      <c r="AO424" s="171">
        <v>1</v>
      </c>
      <c r="AP424" s="171">
        <v>1</v>
      </c>
      <c r="AQ424" s="171">
        <v>1</v>
      </c>
      <c r="AR424" s="171">
        <v>1</v>
      </c>
      <c r="AS424" s="171">
        <v>1</v>
      </c>
      <c r="AT424" s="171">
        <v>1</v>
      </c>
      <c r="AU424" s="171">
        <f t="shared" si="162"/>
        <v>0</v>
      </c>
      <c r="AV424" s="171">
        <f t="shared" si="163"/>
        <v>0</v>
      </c>
      <c r="AW424" s="171">
        <f t="shared" si="164"/>
        <v>1</v>
      </c>
      <c r="AX424" s="171">
        <f t="shared" si="173"/>
        <v>1</v>
      </c>
      <c r="AY424" s="171">
        <f t="shared" si="165"/>
        <v>0</v>
      </c>
      <c r="AZ424" s="171">
        <f t="shared" si="166"/>
        <v>1</v>
      </c>
      <c r="BA424" s="172">
        <f t="shared" si="167"/>
        <v>1</v>
      </c>
      <c r="BB424" s="175">
        <f t="shared" si="169"/>
        <v>16</v>
      </c>
      <c r="BC424" s="176">
        <f t="shared" si="170"/>
        <v>15</v>
      </c>
      <c r="BD424" s="176">
        <f t="shared" si="171"/>
        <v>16</v>
      </c>
      <c r="BE424" s="240" t="str">
        <f t="shared" si="161"/>
        <v/>
      </c>
      <c r="BH424" s="199">
        <f>IF(AND(Input_Product=Elig!$C424,Elig_MatchAll_Ct&lt;22,$BC424=(Elig_MatchAll_Ct-1),AF424=0),C424,0)</f>
        <v>0</v>
      </c>
      <c r="BI424" s="199">
        <f>IF(AND(Input_Product=Elig!$C424,Elig_MatchAll_Ct&lt;22,$BC424=(Elig_MatchAll_Ct-1),AG424=0),D424,0)</f>
        <v>0</v>
      </c>
      <c r="BJ424" s="199">
        <f>IF(AND(Input_Product=Elig!$C424,Elig_MatchAll_Ct&lt;22,$BC424=(Elig_MatchAll_Ct-1),AH424=0),E424,0)</f>
        <v>0</v>
      </c>
      <c r="BK424" s="199">
        <f>IF(AND(Input_Product=Elig!$C424,Elig_MatchAll_Ct&lt;22,$BC424=(Elig_MatchAll_Ct-1),AI424=0),F424,0)</f>
        <v>0</v>
      </c>
      <c r="BL424" s="199">
        <f>IF(AND(Input_Product=Elig!$C424,Elig_MatchAll_Ct&lt;22,$BC424=(Elig_MatchAll_Ct-1),AJ424=0),G424,0)</f>
        <v>0</v>
      </c>
      <c r="BM424" s="199">
        <f>IF(AND(Input_Product=Elig!$C424,Elig_MatchAll_Ct&lt;22,$BC424=(Elig_MatchAll_Ct-1),AK424=0),H424,0)</f>
        <v>0</v>
      </c>
      <c r="BN424" s="199">
        <f>IF(AND(Input_Product=Elig!$C424,Elig_MatchAll_Ct&lt;22,$BC424=(Elig_MatchAll_Ct-1),AL424=0),I424,0)</f>
        <v>0</v>
      </c>
      <c r="BO424" s="199">
        <f>IF(AND(Input_Product=Elig!$C424,Elig_MatchAll_Ct&lt;22,$BC424=(Elig_MatchAll_Ct-1),AM424=0),J424,0)</f>
        <v>0</v>
      </c>
      <c r="BP424" s="199">
        <f>IF(AND(Input_Product=Elig!$C424,Elig_MatchAll_Ct&lt;22,$BC424=(Elig_MatchAll_Ct-1),AN424=0),K424,0)</f>
        <v>0</v>
      </c>
      <c r="BQ424" s="199">
        <f>IF(AND(Input_Product=Elig!$C424,Elig_MatchAll_Ct&lt;22,$BC424=(Elig_MatchAll_Ct-1),AP424=0),L424,0)</f>
        <v>0</v>
      </c>
      <c r="BR424" s="199">
        <f>IF(AND(Input_Product=Elig!$C424,Elig_MatchAll_Ct&lt;22,$BC424=(Elig_MatchAll_Ct-1),AO424=0),M424,0)</f>
        <v>0</v>
      </c>
      <c r="BS424" s="199">
        <f>IF(AND(Input_Product=Elig!$C424,Elig_MatchAll_Ct&lt;22,$BC424=(Elig_MatchAll_Ct-1),AQ424=0),N424,0)</f>
        <v>0</v>
      </c>
      <c r="BT424" s="199">
        <f>IF(AND(Input_Product=Elig!$C424,Elig_MatchAll_Ct&lt;22,$BC424=(Elig_MatchAll_Ct-1),AR424=0),O424,0)</f>
        <v>0</v>
      </c>
      <c r="BU424" s="199">
        <f>IF(AND(Input_Product=Elig!$C424,Elig_MatchAll_Ct&lt;22,$BC424=(Elig_MatchAll_Ct-1),AS424=0),P424,0)</f>
        <v>0</v>
      </c>
      <c r="BV424" s="200">
        <f>IF(AND(Input_Product=Elig!$C424,Elig_MatchAll_Ct&lt;22,$BC424=(Elig_MatchAll_Ct-1),AT424=0),Q424,0)</f>
        <v>0</v>
      </c>
      <c r="BW424" s="201">
        <f>IF(AND(Input_Product=Elig!$C424,Elig_MatchAll_Ct&lt;22,$BC424=(Elig_MatchAll_Ct-1),AU424=0),R424,0)</f>
        <v>0</v>
      </c>
      <c r="BX424" s="202">
        <f>IF(AND(Input_Product=Elig!$C424,Elig_MatchAll_Ct&lt;22,$BC424=(Elig_MatchAll_Ct-1),AU424=0),S424,0)</f>
        <v>0</v>
      </c>
      <c r="BY424" s="201">
        <f>IF(AND(Input_Product=Elig!$C424,Elig_MatchAll_Ct&lt;22,$BC424=(Elig_MatchAll_Ct-1),AV424=0),T424,0)</f>
        <v>0</v>
      </c>
      <c r="BZ424" s="202">
        <f>IF(AND(Input_Product=Elig!$C424,Elig_MatchAll_Ct&lt;22,$BC424=(Elig_MatchAll_Ct-1),AV424=0),U424,0)</f>
        <v>0</v>
      </c>
      <c r="CA424" s="201">
        <f>IF(AND(Input_Product=Elig!$C424,Elig_MatchAll_Ct&lt;22,$BC424=(Elig_MatchAll_Ct-1),AW424=0),V424,0)</f>
        <v>0</v>
      </c>
      <c r="CB424" s="202">
        <f>IF(AND(Input_Product=Elig!$C424,Elig_MatchAll_Ct&lt;22,$BC424=(Elig_MatchAll_Ct-1),AW424=0),W424,0)</f>
        <v>0</v>
      </c>
      <c r="CC424" s="201">
        <f>IF(AND(Input_Product=Elig!$C424,Elig_MatchAll_Ct&lt;22,$BC424=(Elig_MatchAll_Ct-1),AX424=0),X424,0)</f>
        <v>0</v>
      </c>
      <c r="CD424" s="202">
        <f>IF(AND(Input_Product=Elig!$C424,Elig_MatchAll_Ct&lt;22,$BC424=(Elig_MatchAll_Ct-1),AX424=0),Y424,0)</f>
        <v>0</v>
      </c>
      <c r="CE424" s="201">
        <f>IF(AND(Input_LTV&lt;=AE424,Input_Product=Elig!$C424,Elig_MatchAll_Ct&lt;22,$BC424=(Elig_MatchAll_Ct-1),AY424=0),Z424,0)</f>
        <v>0</v>
      </c>
      <c r="CF424" s="202">
        <f>IF(AND(Input_LTV&lt;=AE424,Input_Product=Elig!$C424,Elig_MatchAll_Ct&lt;22,$BC424=(Elig_MatchAll_Ct-1),AY424=0),AA424,0)</f>
        <v>0</v>
      </c>
      <c r="CG424" s="201">
        <f>IF(AND(Input_Product=Elig!$C424,Elig_MatchAll_Ct&lt;22,$BC424=(Elig_MatchAll_Ct-1),AZ424=0),AB424,0)</f>
        <v>0</v>
      </c>
      <c r="CH424" s="202">
        <f>IF(AND(Input_Product=Elig!$C424,Elig_MatchAll_Ct&lt;22,$BC424=(Elig_MatchAll_Ct-1),AZ424=0),AC424,0)</f>
        <v>0</v>
      </c>
      <c r="CI424" s="201">
        <f>IF(AND(Input_Product=Elig!$C424,Elig_MatchAll_Ct&lt;22,$BC424=(Elig_MatchAll_Ct-1),BA424=0),AD424,0)</f>
        <v>0</v>
      </c>
      <c r="CJ424" s="202">
        <f>IF(AND(Input_Product=Elig!$C424,Elig_MatchAll_Ct&lt;22,$BC424=(Elig_MatchAll_Ct-1),BA424=0),AE424,0)</f>
        <v>0</v>
      </c>
    </row>
    <row r="425" spans="2:88" ht="10.15" customHeight="1" x14ac:dyDescent="0.25">
      <c r="B425" s="287" t="s">
        <v>1121</v>
      </c>
      <c r="C425" s="286" t="str">
        <f t="shared" si="153"/>
        <v>NonQM NOO</v>
      </c>
      <c r="D425" s="287" t="s">
        <v>3885</v>
      </c>
      <c r="E425" s="287" t="s">
        <v>167</v>
      </c>
      <c r="F425" s="287" t="s">
        <v>330</v>
      </c>
      <c r="G425" s="287" t="s">
        <v>303</v>
      </c>
      <c r="H425" s="287" t="s">
        <v>136</v>
      </c>
      <c r="I425" s="288" t="s">
        <v>274</v>
      </c>
      <c r="J425" s="288" t="s">
        <v>1311</v>
      </c>
      <c r="K425" s="288" t="s">
        <v>1631</v>
      </c>
      <c r="L425" s="300" t="s">
        <v>312</v>
      </c>
      <c r="M425" s="287" t="s">
        <v>4203</v>
      </c>
      <c r="N425" s="287" t="s">
        <v>2685</v>
      </c>
      <c r="O425" s="287" t="s">
        <v>310</v>
      </c>
      <c r="P425" s="287" t="s">
        <v>291</v>
      </c>
      <c r="Q425" s="287" t="s">
        <v>294</v>
      </c>
      <c r="R425" s="287">
        <v>1500000.01</v>
      </c>
      <c r="S425" s="287">
        <v>2000000</v>
      </c>
      <c r="T425" s="287">
        <v>0</v>
      </c>
      <c r="U425" s="287">
        <v>0</v>
      </c>
      <c r="V425" s="287">
        <v>0</v>
      </c>
      <c r="W425" s="287">
        <v>50</v>
      </c>
      <c r="X425" s="287">
        <v>0</v>
      </c>
      <c r="Y425" s="287">
        <v>999</v>
      </c>
      <c r="Z425" s="289">
        <v>680</v>
      </c>
      <c r="AA425" s="289">
        <v>699</v>
      </c>
      <c r="AB425" s="289">
        <v>6</v>
      </c>
      <c r="AC425" s="289">
        <v>999999</v>
      </c>
      <c r="AD425" s="287">
        <v>0</v>
      </c>
      <c r="AE425" s="2105">
        <v>75</v>
      </c>
      <c r="AF425" s="170">
        <v>0</v>
      </c>
      <c r="AG425" s="171">
        <v>1</v>
      </c>
      <c r="AH425" s="171">
        <v>1</v>
      </c>
      <c r="AI425" s="171">
        <v>0</v>
      </c>
      <c r="AJ425" s="171">
        <v>1</v>
      </c>
      <c r="AK425" s="171">
        <v>1</v>
      </c>
      <c r="AL425" s="171">
        <v>0</v>
      </c>
      <c r="AM425" s="171">
        <v>1</v>
      </c>
      <c r="AN425" s="171">
        <v>1</v>
      </c>
      <c r="AO425" s="171">
        <v>1</v>
      </c>
      <c r="AP425" s="171">
        <v>1</v>
      </c>
      <c r="AQ425" s="171">
        <v>1</v>
      </c>
      <c r="AR425" s="171">
        <v>1</v>
      </c>
      <c r="AS425" s="171">
        <v>1</v>
      </c>
      <c r="AT425" s="171">
        <v>1</v>
      </c>
      <c r="AU425" s="171">
        <f t="shared" si="162"/>
        <v>0</v>
      </c>
      <c r="AV425" s="171">
        <f t="shared" si="163"/>
        <v>0</v>
      </c>
      <c r="AW425" s="171">
        <f t="shared" si="164"/>
        <v>1</v>
      </c>
      <c r="AX425" s="171">
        <f t="shared" si="173"/>
        <v>1</v>
      </c>
      <c r="AY425" s="171">
        <f t="shared" si="165"/>
        <v>0</v>
      </c>
      <c r="AZ425" s="171">
        <f t="shared" si="166"/>
        <v>1</v>
      </c>
      <c r="BA425" s="172">
        <f t="shared" si="167"/>
        <v>1</v>
      </c>
      <c r="BB425" s="175">
        <f t="shared" si="169"/>
        <v>16</v>
      </c>
      <c r="BC425" s="176">
        <f t="shared" si="170"/>
        <v>15</v>
      </c>
      <c r="BD425" s="176">
        <f t="shared" si="171"/>
        <v>16</v>
      </c>
      <c r="BE425" s="240" t="str">
        <f t="shared" si="161"/>
        <v/>
      </c>
      <c r="BH425" s="199">
        <f>IF(AND(Input_Product=Elig!$C425,Elig_MatchAll_Ct&lt;22,$BC425=(Elig_MatchAll_Ct-1),AF425=0),C425,0)</f>
        <v>0</v>
      </c>
      <c r="BI425" s="199">
        <f>IF(AND(Input_Product=Elig!$C425,Elig_MatchAll_Ct&lt;22,$BC425=(Elig_MatchAll_Ct-1),AG425=0),D425,0)</f>
        <v>0</v>
      </c>
      <c r="BJ425" s="199">
        <f>IF(AND(Input_Product=Elig!$C425,Elig_MatchAll_Ct&lt;22,$BC425=(Elig_MatchAll_Ct-1),AH425=0),E425,0)</f>
        <v>0</v>
      </c>
      <c r="BK425" s="199">
        <f>IF(AND(Input_Product=Elig!$C425,Elig_MatchAll_Ct&lt;22,$BC425=(Elig_MatchAll_Ct-1),AI425=0),F425,0)</f>
        <v>0</v>
      </c>
      <c r="BL425" s="199">
        <f>IF(AND(Input_Product=Elig!$C425,Elig_MatchAll_Ct&lt;22,$BC425=(Elig_MatchAll_Ct-1),AJ425=0),G425,0)</f>
        <v>0</v>
      </c>
      <c r="BM425" s="199">
        <f>IF(AND(Input_Product=Elig!$C425,Elig_MatchAll_Ct&lt;22,$BC425=(Elig_MatchAll_Ct-1),AK425=0),H425,0)</f>
        <v>0</v>
      </c>
      <c r="BN425" s="199">
        <f>IF(AND(Input_Product=Elig!$C425,Elig_MatchAll_Ct&lt;22,$BC425=(Elig_MatchAll_Ct-1),AL425=0),I425,0)</f>
        <v>0</v>
      </c>
      <c r="BO425" s="199">
        <f>IF(AND(Input_Product=Elig!$C425,Elig_MatchAll_Ct&lt;22,$BC425=(Elig_MatchAll_Ct-1),AM425=0),J425,0)</f>
        <v>0</v>
      </c>
      <c r="BP425" s="199">
        <f>IF(AND(Input_Product=Elig!$C425,Elig_MatchAll_Ct&lt;22,$BC425=(Elig_MatchAll_Ct-1),AN425=0),K425,0)</f>
        <v>0</v>
      </c>
      <c r="BQ425" s="199">
        <f>IF(AND(Input_Product=Elig!$C425,Elig_MatchAll_Ct&lt;22,$BC425=(Elig_MatchAll_Ct-1),AP425=0),L425,0)</f>
        <v>0</v>
      </c>
      <c r="BR425" s="199">
        <f>IF(AND(Input_Product=Elig!$C425,Elig_MatchAll_Ct&lt;22,$BC425=(Elig_MatchAll_Ct-1),AO425=0),M425,0)</f>
        <v>0</v>
      </c>
      <c r="BS425" s="199">
        <f>IF(AND(Input_Product=Elig!$C425,Elig_MatchAll_Ct&lt;22,$BC425=(Elig_MatchAll_Ct-1),AQ425=0),N425,0)</f>
        <v>0</v>
      </c>
      <c r="BT425" s="199">
        <f>IF(AND(Input_Product=Elig!$C425,Elig_MatchAll_Ct&lt;22,$BC425=(Elig_MatchAll_Ct-1),AR425=0),O425,0)</f>
        <v>0</v>
      </c>
      <c r="BU425" s="199">
        <f>IF(AND(Input_Product=Elig!$C425,Elig_MatchAll_Ct&lt;22,$BC425=(Elig_MatchAll_Ct-1),AS425=0),P425,0)</f>
        <v>0</v>
      </c>
      <c r="BV425" s="200">
        <f>IF(AND(Input_Product=Elig!$C425,Elig_MatchAll_Ct&lt;22,$BC425=(Elig_MatchAll_Ct-1),AT425=0),Q425,0)</f>
        <v>0</v>
      </c>
      <c r="BW425" s="201">
        <f>IF(AND(Input_Product=Elig!$C425,Elig_MatchAll_Ct&lt;22,$BC425=(Elig_MatchAll_Ct-1),AU425=0),R425,0)</f>
        <v>0</v>
      </c>
      <c r="BX425" s="202">
        <f>IF(AND(Input_Product=Elig!$C425,Elig_MatchAll_Ct&lt;22,$BC425=(Elig_MatchAll_Ct-1),AU425=0),S425,0)</f>
        <v>0</v>
      </c>
      <c r="BY425" s="201">
        <f>IF(AND(Input_Product=Elig!$C425,Elig_MatchAll_Ct&lt;22,$BC425=(Elig_MatchAll_Ct-1),AV425=0),T425,0)</f>
        <v>0</v>
      </c>
      <c r="BZ425" s="202">
        <f>IF(AND(Input_Product=Elig!$C425,Elig_MatchAll_Ct&lt;22,$BC425=(Elig_MatchAll_Ct-1),AV425=0),U425,0)</f>
        <v>0</v>
      </c>
      <c r="CA425" s="201">
        <f>IF(AND(Input_Product=Elig!$C425,Elig_MatchAll_Ct&lt;22,$BC425=(Elig_MatchAll_Ct-1),AW425=0),V425,0)</f>
        <v>0</v>
      </c>
      <c r="CB425" s="202">
        <f>IF(AND(Input_Product=Elig!$C425,Elig_MatchAll_Ct&lt;22,$BC425=(Elig_MatchAll_Ct-1),AW425=0),W425,0)</f>
        <v>0</v>
      </c>
      <c r="CC425" s="201">
        <f>IF(AND(Input_Product=Elig!$C425,Elig_MatchAll_Ct&lt;22,$BC425=(Elig_MatchAll_Ct-1),AX425=0),X425,0)</f>
        <v>0</v>
      </c>
      <c r="CD425" s="202">
        <f>IF(AND(Input_Product=Elig!$C425,Elig_MatchAll_Ct&lt;22,$BC425=(Elig_MatchAll_Ct-1),AX425=0),Y425,0)</f>
        <v>0</v>
      </c>
      <c r="CE425" s="201">
        <f>IF(AND(Input_LTV&lt;=AE425,Input_Product=Elig!$C425,Elig_MatchAll_Ct&lt;22,$BC425=(Elig_MatchAll_Ct-1),AY425=0),Z425,0)</f>
        <v>0</v>
      </c>
      <c r="CF425" s="202">
        <f>IF(AND(Input_LTV&lt;=AE425,Input_Product=Elig!$C425,Elig_MatchAll_Ct&lt;22,$BC425=(Elig_MatchAll_Ct-1),AY425=0),AA425,0)</f>
        <v>0</v>
      </c>
      <c r="CG425" s="201">
        <f>IF(AND(Input_Product=Elig!$C425,Elig_MatchAll_Ct&lt;22,$BC425=(Elig_MatchAll_Ct-1),AZ425=0),AB425,0)</f>
        <v>0</v>
      </c>
      <c r="CH425" s="202">
        <f>IF(AND(Input_Product=Elig!$C425,Elig_MatchAll_Ct&lt;22,$BC425=(Elig_MatchAll_Ct-1),AZ425=0),AC425,0)</f>
        <v>0</v>
      </c>
      <c r="CI425" s="201">
        <f>IF(AND(Input_Product=Elig!$C425,Elig_MatchAll_Ct&lt;22,$BC425=(Elig_MatchAll_Ct-1),BA425=0),AD425,0)</f>
        <v>0</v>
      </c>
      <c r="CJ425" s="202">
        <f>IF(AND(Input_Product=Elig!$C425,Elig_MatchAll_Ct&lt;22,$BC425=(Elig_MatchAll_Ct-1),BA425=0),AE425,0)</f>
        <v>0</v>
      </c>
    </row>
    <row r="426" spans="2:88" ht="10.15" customHeight="1" x14ac:dyDescent="0.25">
      <c r="B426" s="287" t="s">
        <v>1122</v>
      </c>
      <c r="C426" s="286" t="str">
        <f t="shared" si="153"/>
        <v>NonQM NOO</v>
      </c>
      <c r="D426" s="287" t="s">
        <v>3885</v>
      </c>
      <c r="E426" s="287" t="s">
        <v>167</v>
      </c>
      <c r="F426" s="287" t="s">
        <v>330</v>
      </c>
      <c r="G426" s="287" t="s">
        <v>303</v>
      </c>
      <c r="H426" s="287" t="s">
        <v>136</v>
      </c>
      <c r="I426" s="287" t="s">
        <v>274</v>
      </c>
      <c r="J426" s="287" t="s">
        <v>1311</v>
      </c>
      <c r="K426" s="287" t="s">
        <v>1631</v>
      </c>
      <c r="L426" s="300" t="s">
        <v>312</v>
      </c>
      <c r="M426" s="287" t="s">
        <v>4203</v>
      </c>
      <c r="N426" s="287" t="s">
        <v>2685</v>
      </c>
      <c r="O426" s="287" t="s">
        <v>310</v>
      </c>
      <c r="P426" s="287" t="s">
        <v>291</v>
      </c>
      <c r="Q426" s="287" t="s">
        <v>294</v>
      </c>
      <c r="R426" s="287">
        <v>1500000.01</v>
      </c>
      <c r="S426" s="287">
        <v>2000000</v>
      </c>
      <c r="T426" s="287">
        <v>0</v>
      </c>
      <c r="U426" s="287">
        <v>0</v>
      </c>
      <c r="V426" s="287">
        <v>0</v>
      </c>
      <c r="W426" s="287">
        <v>50</v>
      </c>
      <c r="X426" s="287">
        <v>0</v>
      </c>
      <c r="Y426" s="287">
        <v>999</v>
      </c>
      <c r="Z426" s="289">
        <v>660</v>
      </c>
      <c r="AA426" s="289">
        <v>679</v>
      </c>
      <c r="AB426" s="289">
        <v>6</v>
      </c>
      <c r="AC426" s="289">
        <v>999999</v>
      </c>
      <c r="AD426" s="287">
        <v>0</v>
      </c>
      <c r="AE426" s="290">
        <v>70</v>
      </c>
      <c r="AF426" s="170">
        <v>0</v>
      </c>
      <c r="AG426" s="171">
        <v>1</v>
      </c>
      <c r="AH426" s="171">
        <v>1</v>
      </c>
      <c r="AI426" s="171">
        <v>0</v>
      </c>
      <c r="AJ426" s="171">
        <v>1</v>
      </c>
      <c r="AK426" s="171">
        <v>1</v>
      </c>
      <c r="AL426" s="171">
        <v>0</v>
      </c>
      <c r="AM426" s="171">
        <v>1</v>
      </c>
      <c r="AN426" s="171">
        <v>1</v>
      </c>
      <c r="AO426" s="171">
        <v>1</v>
      </c>
      <c r="AP426" s="171">
        <v>1</v>
      </c>
      <c r="AQ426" s="171">
        <v>1</v>
      </c>
      <c r="AR426" s="171">
        <v>1</v>
      </c>
      <c r="AS426" s="171">
        <v>1</v>
      </c>
      <c r="AT426" s="171">
        <v>1</v>
      </c>
      <c r="AU426" s="171">
        <f t="shared" si="162"/>
        <v>0</v>
      </c>
      <c r="AV426" s="171">
        <f t="shared" si="163"/>
        <v>0</v>
      </c>
      <c r="AW426" s="171">
        <f t="shared" si="164"/>
        <v>1</v>
      </c>
      <c r="AX426" s="171">
        <f t="shared" si="173"/>
        <v>1</v>
      </c>
      <c r="AY426" s="171">
        <f t="shared" si="165"/>
        <v>0</v>
      </c>
      <c r="AZ426" s="171">
        <f t="shared" si="166"/>
        <v>1</v>
      </c>
      <c r="BA426" s="172">
        <f t="shared" si="167"/>
        <v>1</v>
      </c>
      <c r="BB426" s="175">
        <f t="shared" si="169"/>
        <v>16</v>
      </c>
      <c r="BC426" s="176">
        <f t="shared" si="170"/>
        <v>15</v>
      </c>
      <c r="BD426" s="176">
        <f t="shared" si="171"/>
        <v>16</v>
      </c>
      <c r="BE426" s="240" t="str">
        <f t="shared" si="161"/>
        <v/>
      </c>
      <c r="BH426" s="199">
        <f>IF(AND(Input_Product=Elig!$C426,Elig_MatchAll_Ct&lt;22,$BC426=(Elig_MatchAll_Ct-1),AF426=0),C426,0)</f>
        <v>0</v>
      </c>
      <c r="BI426" s="199">
        <f>IF(AND(Input_Product=Elig!$C426,Elig_MatchAll_Ct&lt;22,$BC426=(Elig_MatchAll_Ct-1),AG426=0),D426,0)</f>
        <v>0</v>
      </c>
      <c r="BJ426" s="199">
        <f>IF(AND(Input_Product=Elig!$C426,Elig_MatchAll_Ct&lt;22,$BC426=(Elig_MatchAll_Ct-1),AH426=0),E426,0)</f>
        <v>0</v>
      </c>
      <c r="BK426" s="199">
        <f>IF(AND(Input_Product=Elig!$C426,Elig_MatchAll_Ct&lt;22,$BC426=(Elig_MatchAll_Ct-1),AI426=0),F426,0)</f>
        <v>0</v>
      </c>
      <c r="BL426" s="199">
        <f>IF(AND(Input_Product=Elig!$C426,Elig_MatchAll_Ct&lt;22,$BC426=(Elig_MatchAll_Ct-1),AJ426=0),G426,0)</f>
        <v>0</v>
      </c>
      <c r="BM426" s="199">
        <f>IF(AND(Input_Product=Elig!$C426,Elig_MatchAll_Ct&lt;22,$BC426=(Elig_MatchAll_Ct-1),AK426=0),H426,0)</f>
        <v>0</v>
      </c>
      <c r="BN426" s="199">
        <f>IF(AND(Input_Product=Elig!$C426,Elig_MatchAll_Ct&lt;22,$BC426=(Elig_MatchAll_Ct-1),AL426=0),I426,0)</f>
        <v>0</v>
      </c>
      <c r="BO426" s="199">
        <f>IF(AND(Input_Product=Elig!$C426,Elig_MatchAll_Ct&lt;22,$BC426=(Elig_MatchAll_Ct-1),AM426=0),J426,0)</f>
        <v>0</v>
      </c>
      <c r="BP426" s="199">
        <f>IF(AND(Input_Product=Elig!$C426,Elig_MatchAll_Ct&lt;22,$BC426=(Elig_MatchAll_Ct-1),AN426=0),K426,0)</f>
        <v>0</v>
      </c>
      <c r="BQ426" s="199">
        <f>IF(AND(Input_Product=Elig!$C426,Elig_MatchAll_Ct&lt;22,$BC426=(Elig_MatchAll_Ct-1),AP426=0),L426,0)</f>
        <v>0</v>
      </c>
      <c r="BR426" s="199">
        <f>IF(AND(Input_Product=Elig!$C426,Elig_MatchAll_Ct&lt;22,$BC426=(Elig_MatchAll_Ct-1),AO426=0),M426,0)</f>
        <v>0</v>
      </c>
      <c r="BS426" s="199">
        <f>IF(AND(Input_Product=Elig!$C426,Elig_MatchAll_Ct&lt;22,$BC426=(Elig_MatchAll_Ct-1),AQ426=0),N426,0)</f>
        <v>0</v>
      </c>
      <c r="BT426" s="199">
        <f>IF(AND(Input_Product=Elig!$C426,Elig_MatchAll_Ct&lt;22,$BC426=(Elig_MatchAll_Ct-1),AR426=0),O426,0)</f>
        <v>0</v>
      </c>
      <c r="BU426" s="199">
        <f>IF(AND(Input_Product=Elig!$C426,Elig_MatchAll_Ct&lt;22,$BC426=(Elig_MatchAll_Ct-1),AS426=0),P426,0)</f>
        <v>0</v>
      </c>
      <c r="BV426" s="200">
        <f>IF(AND(Input_Product=Elig!$C426,Elig_MatchAll_Ct&lt;22,$BC426=(Elig_MatchAll_Ct-1),AT426=0),Q426,0)</f>
        <v>0</v>
      </c>
      <c r="BW426" s="201">
        <f>IF(AND(Input_Product=Elig!$C426,Elig_MatchAll_Ct&lt;22,$BC426=(Elig_MatchAll_Ct-1),AU426=0),R426,0)</f>
        <v>0</v>
      </c>
      <c r="BX426" s="202">
        <f>IF(AND(Input_Product=Elig!$C426,Elig_MatchAll_Ct&lt;22,$BC426=(Elig_MatchAll_Ct-1),AU426=0),S426,0)</f>
        <v>0</v>
      </c>
      <c r="BY426" s="201">
        <f>IF(AND(Input_Product=Elig!$C426,Elig_MatchAll_Ct&lt;22,$BC426=(Elig_MatchAll_Ct-1),AV426=0),T426,0)</f>
        <v>0</v>
      </c>
      <c r="BZ426" s="202">
        <f>IF(AND(Input_Product=Elig!$C426,Elig_MatchAll_Ct&lt;22,$BC426=(Elig_MatchAll_Ct-1),AV426=0),U426,0)</f>
        <v>0</v>
      </c>
      <c r="CA426" s="201">
        <f>IF(AND(Input_Product=Elig!$C426,Elig_MatchAll_Ct&lt;22,$BC426=(Elig_MatchAll_Ct-1),AW426=0),V426,0)</f>
        <v>0</v>
      </c>
      <c r="CB426" s="202">
        <f>IF(AND(Input_Product=Elig!$C426,Elig_MatchAll_Ct&lt;22,$BC426=(Elig_MatchAll_Ct-1),AW426=0),W426,0)</f>
        <v>0</v>
      </c>
      <c r="CC426" s="201">
        <f>IF(AND(Input_Product=Elig!$C426,Elig_MatchAll_Ct&lt;22,$BC426=(Elig_MatchAll_Ct-1),AX426=0),X426,0)</f>
        <v>0</v>
      </c>
      <c r="CD426" s="202">
        <f>IF(AND(Input_Product=Elig!$C426,Elig_MatchAll_Ct&lt;22,$BC426=(Elig_MatchAll_Ct-1),AX426=0),Y426,0)</f>
        <v>0</v>
      </c>
      <c r="CE426" s="201">
        <f>IF(AND(Input_LTV&lt;=AE426,Input_Product=Elig!$C426,Elig_MatchAll_Ct&lt;22,$BC426=(Elig_MatchAll_Ct-1),AY426=0),Z426,0)</f>
        <v>0</v>
      </c>
      <c r="CF426" s="202">
        <f>IF(AND(Input_LTV&lt;=AE426,Input_Product=Elig!$C426,Elig_MatchAll_Ct&lt;22,$BC426=(Elig_MatchAll_Ct-1),AY426=0),AA426,0)</f>
        <v>0</v>
      </c>
      <c r="CG426" s="201">
        <f>IF(AND(Input_Product=Elig!$C426,Elig_MatchAll_Ct&lt;22,$BC426=(Elig_MatchAll_Ct-1),AZ426=0),AB426,0)</f>
        <v>0</v>
      </c>
      <c r="CH426" s="202">
        <f>IF(AND(Input_Product=Elig!$C426,Elig_MatchAll_Ct&lt;22,$BC426=(Elig_MatchAll_Ct-1),AZ426=0),AC426,0)</f>
        <v>0</v>
      </c>
      <c r="CI426" s="201">
        <f>IF(AND(Input_Product=Elig!$C426,Elig_MatchAll_Ct&lt;22,$BC426=(Elig_MatchAll_Ct-1),BA426=0),AD426,0)</f>
        <v>0</v>
      </c>
      <c r="CJ426" s="202">
        <f>IF(AND(Input_Product=Elig!$C426,Elig_MatchAll_Ct&lt;22,$BC426=(Elig_MatchAll_Ct-1),BA426=0),AE426,0)</f>
        <v>0</v>
      </c>
    </row>
    <row r="427" spans="2:88" ht="10.15" customHeight="1" x14ac:dyDescent="0.25">
      <c r="B427" s="287" t="s">
        <v>1123</v>
      </c>
      <c r="C427" s="286" t="str">
        <f t="shared" si="153"/>
        <v>NonQM NOO</v>
      </c>
      <c r="D427" s="287" t="s">
        <v>3885</v>
      </c>
      <c r="E427" s="287" t="s">
        <v>167</v>
      </c>
      <c r="F427" s="287" t="s">
        <v>330</v>
      </c>
      <c r="G427" s="287" t="s">
        <v>303</v>
      </c>
      <c r="H427" s="287" t="s">
        <v>136</v>
      </c>
      <c r="I427" s="287" t="s">
        <v>274</v>
      </c>
      <c r="J427" s="287" t="s">
        <v>1311</v>
      </c>
      <c r="K427" s="287" t="s">
        <v>1631</v>
      </c>
      <c r="L427" s="300" t="s">
        <v>312</v>
      </c>
      <c r="M427" s="287" t="s">
        <v>4203</v>
      </c>
      <c r="N427" s="287" t="s">
        <v>2685</v>
      </c>
      <c r="O427" s="287" t="s">
        <v>310</v>
      </c>
      <c r="P427" s="287" t="s">
        <v>291</v>
      </c>
      <c r="Q427" s="287" t="s">
        <v>294</v>
      </c>
      <c r="R427" s="287">
        <v>1500000.01</v>
      </c>
      <c r="S427" s="287">
        <v>2000000</v>
      </c>
      <c r="T427" s="287">
        <v>0</v>
      </c>
      <c r="U427" s="287">
        <v>0</v>
      </c>
      <c r="V427" s="287">
        <v>0</v>
      </c>
      <c r="W427" s="287">
        <v>50</v>
      </c>
      <c r="X427" s="287">
        <v>0</v>
      </c>
      <c r="Y427" s="287">
        <v>999</v>
      </c>
      <c r="Z427" s="289">
        <v>640</v>
      </c>
      <c r="AA427" s="289">
        <v>659</v>
      </c>
      <c r="AB427" s="289">
        <v>6</v>
      </c>
      <c r="AC427" s="289">
        <v>999999</v>
      </c>
      <c r="AD427" s="287">
        <v>0</v>
      </c>
      <c r="AE427" s="290">
        <v>-999</v>
      </c>
      <c r="AF427" s="170">
        <v>0</v>
      </c>
      <c r="AG427" s="171">
        <v>1</v>
      </c>
      <c r="AH427" s="171">
        <v>1</v>
      </c>
      <c r="AI427" s="171">
        <v>0</v>
      </c>
      <c r="AJ427" s="171">
        <v>1</v>
      </c>
      <c r="AK427" s="171">
        <v>1</v>
      </c>
      <c r="AL427" s="171">
        <v>0</v>
      </c>
      <c r="AM427" s="171">
        <v>1</v>
      </c>
      <c r="AN427" s="171">
        <v>1</v>
      </c>
      <c r="AO427" s="171">
        <v>1</v>
      </c>
      <c r="AP427" s="171">
        <v>1</v>
      </c>
      <c r="AQ427" s="171">
        <v>1</v>
      </c>
      <c r="AR427" s="171">
        <v>1</v>
      </c>
      <c r="AS427" s="171">
        <v>1</v>
      </c>
      <c r="AT427" s="171">
        <v>1</v>
      </c>
      <c r="AU427" s="171">
        <f t="shared" si="162"/>
        <v>0</v>
      </c>
      <c r="AV427" s="171">
        <f t="shared" si="163"/>
        <v>0</v>
      </c>
      <c r="AW427" s="171">
        <f t="shared" si="164"/>
        <v>1</v>
      </c>
      <c r="AX427" s="171">
        <f t="shared" si="173"/>
        <v>1</v>
      </c>
      <c r="AY427" s="171">
        <f t="shared" si="165"/>
        <v>0</v>
      </c>
      <c r="AZ427" s="171">
        <f t="shared" si="166"/>
        <v>1</v>
      </c>
      <c r="BA427" s="172">
        <f t="shared" si="167"/>
        <v>0</v>
      </c>
      <c r="BB427" s="175">
        <f t="shared" si="169"/>
        <v>15</v>
      </c>
      <c r="BC427" s="176">
        <f t="shared" si="170"/>
        <v>15</v>
      </c>
      <c r="BD427" s="176">
        <f t="shared" si="171"/>
        <v>15</v>
      </c>
      <c r="BE427" s="240" t="str">
        <f t="shared" si="161"/>
        <v/>
      </c>
      <c r="BH427" s="199">
        <f>IF(AND(Input_Product=Elig!$C427,Elig_MatchAll_Ct&lt;22,$BC427=(Elig_MatchAll_Ct-1),AF427=0),C427,0)</f>
        <v>0</v>
      </c>
      <c r="BI427" s="199">
        <f>IF(AND(Input_Product=Elig!$C427,Elig_MatchAll_Ct&lt;22,$BC427=(Elig_MatchAll_Ct-1),AG427=0),D427,0)</f>
        <v>0</v>
      </c>
      <c r="BJ427" s="199">
        <f>IF(AND(Input_Product=Elig!$C427,Elig_MatchAll_Ct&lt;22,$BC427=(Elig_MatchAll_Ct-1),AH427=0),E427,0)</f>
        <v>0</v>
      </c>
      <c r="BK427" s="199">
        <f>IF(AND(Input_Product=Elig!$C427,Elig_MatchAll_Ct&lt;22,$BC427=(Elig_MatchAll_Ct-1),AI427=0),F427,0)</f>
        <v>0</v>
      </c>
      <c r="BL427" s="199">
        <f>IF(AND(Input_Product=Elig!$C427,Elig_MatchAll_Ct&lt;22,$BC427=(Elig_MatchAll_Ct-1),AJ427=0),G427,0)</f>
        <v>0</v>
      </c>
      <c r="BM427" s="199">
        <f>IF(AND(Input_Product=Elig!$C427,Elig_MatchAll_Ct&lt;22,$BC427=(Elig_MatchAll_Ct-1),AK427=0),H427,0)</f>
        <v>0</v>
      </c>
      <c r="BN427" s="199">
        <f>IF(AND(Input_Product=Elig!$C427,Elig_MatchAll_Ct&lt;22,$BC427=(Elig_MatchAll_Ct-1),AL427=0),I427,0)</f>
        <v>0</v>
      </c>
      <c r="BO427" s="199">
        <f>IF(AND(Input_Product=Elig!$C427,Elig_MatchAll_Ct&lt;22,$BC427=(Elig_MatchAll_Ct-1),AM427=0),J427,0)</f>
        <v>0</v>
      </c>
      <c r="BP427" s="199">
        <f>IF(AND(Input_Product=Elig!$C427,Elig_MatchAll_Ct&lt;22,$BC427=(Elig_MatchAll_Ct-1),AN427=0),K427,0)</f>
        <v>0</v>
      </c>
      <c r="BQ427" s="199">
        <f>IF(AND(Input_Product=Elig!$C427,Elig_MatchAll_Ct&lt;22,$BC427=(Elig_MatchAll_Ct-1),AP427=0),L427,0)</f>
        <v>0</v>
      </c>
      <c r="BR427" s="199">
        <f>IF(AND(Input_Product=Elig!$C427,Elig_MatchAll_Ct&lt;22,$BC427=(Elig_MatchAll_Ct-1),AO427=0),M427,0)</f>
        <v>0</v>
      </c>
      <c r="BS427" s="199">
        <f>IF(AND(Input_Product=Elig!$C427,Elig_MatchAll_Ct&lt;22,$BC427=(Elig_MatchAll_Ct-1),AQ427=0),N427,0)</f>
        <v>0</v>
      </c>
      <c r="BT427" s="199">
        <f>IF(AND(Input_Product=Elig!$C427,Elig_MatchAll_Ct&lt;22,$BC427=(Elig_MatchAll_Ct-1),AR427=0),O427,0)</f>
        <v>0</v>
      </c>
      <c r="BU427" s="199">
        <f>IF(AND(Input_Product=Elig!$C427,Elig_MatchAll_Ct&lt;22,$BC427=(Elig_MatchAll_Ct-1),AS427=0),P427,0)</f>
        <v>0</v>
      </c>
      <c r="BV427" s="200">
        <f>IF(AND(Input_Product=Elig!$C427,Elig_MatchAll_Ct&lt;22,$BC427=(Elig_MatchAll_Ct-1),AT427=0),Q427,0)</f>
        <v>0</v>
      </c>
      <c r="BW427" s="201">
        <f>IF(AND(Input_Product=Elig!$C427,Elig_MatchAll_Ct&lt;22,$BC427=(Elig_MatchAll_Ct-1),AU427=0),R427,0)</f>
        <v>0</v>
      </c>
      <c r="BX427" s="202">
        <f>IF(AND(Input_Product=Elig!$C427,Elig_MatchAll_Ct&lt;22,$BC427=(Elig_MatchAll_Ct-1),AU427=0),S427,0)</f>
        <v>0</v>
      </c>
      <c r="BY427" s="201">
        <f>IF(AND(Input_Product=Elig!$C427,Elig_MatchAll_Ct&lt;22,$BC427=(Elig_MatchAll_Ct-1),AV427=0),T427,0)</f>
        <v>0</v>
      </c>
      <c r="BZ427" s="202">
        <f>IF(AND(Input_Product=Elig!$C427,Elig_MatchAll_Ct&lt;22,$BC427=(Elig_MatchAll_Ct-1),AV427=0),U427,0)</f>
        <v>0</v>
      </c>
      <c r="CA427" s="201">
        <f>IF(AND(Input_Product=Elig!$C427,Elig_MatchAll_Ct&lt;22,$BC427=(Elig_MatchAll_Ct-1),AW427=0),V427,0)</f>
        <v>0</v>
      </c>
      <c r="CB427" s="202">
        <f>IF(AND(Input_Product=Elig!$C427,Elig_MatchAll_Ct&lt;22,$BC427=(Elig_MatchAll_Ct-1),AW427=0),W427,0)</f>
        <v>0</v>
      </c>
      <c r="CC427" s="201">
        <f>IF(AND(Input_Product=Elig!$C427,Elig_MatchAll_Ct&lt;22,$BC427=(Elig_MatchAll_Ct-1),AX427=0),X427,0)</f>
        <v>0</v>
      </c>
      <c r="CD427" s="202">
        <f>IF(AND(Input_Product=Elig!$C427,Elig_MatchAll_Ct&lt;22,$BC427=(Elig_MatchAll_Ct-1),AX427=0),Y427,0)</f>
        <v>0</v>
      </c>
      <c r="CE427" s="201">
        <f>IF(AND(Input_LTV&lt;=AE427,Input_Product=Elig!$C427,Elig_MatchAll_Ct&lt;22,$BC427=(Elig_MatchAll_Ct-1),AY427=0),Z427,0)</f>
        <v>0</v>
      </c>
      <c r="CF427" s="202">
        <f>IF(AND(Input_LTV&lt;=AE427,Input_Product=Elig!$C427,Elig_MatchAll_Ct&lt;22,$BC427=(Elig_MatchAll_Ct-1),AY427=0),AA427,0)</f>
        <v>0</v>
      </c>
      <c r="CG427" s="201">
        <f>IF(AND(Input_Product=Elig!$C427,Elig_MatchAll_Ct&lt;22,$BC427=(Elig_MatchAll_Ct-1),AZ427=0),AB427,0)</f>
        <v>0</v>
      </c>
      <c r="CH427" s="202">
        <f>IF(AND(Input_Product=Elig!$C427,Elig_MatchAll_Ct&lt;22,$BC427=(Elig_MatchAll_Ct-1),AZ427=0),AC427,0)</f>
        <v>0</v>
      </c>
      <c r="CI427" s="201">
        <f>IF(AND(Input_Product=Elig!$C427,Elig_MatchAll_Ct&lt;22,$BC427=(Elig_MatchAll_Ct-1),BA427=0),AD427,0)</f>
        <v>0</v>
      </c>
      <c r="CJ427" s="202">
        <f>IF(AND(Input_Product=Elig!$C427,Elig_MatchAll_Ct&lt;22,$BC427=(Elig_MatchAll_Ct-1),BA427=0),AE427,0)</f>
        <v>0</v>
      </c>
    </row>
    <row r="428" spans="2:88" ht="10.15" customHeight="1" x14ac:dyDescent="0.25">
      <c r="B428" s="287" t="s">
        <v>1124</v>
      </c>
      <c r="C428" s="291" t="str">
        <f t="shared" si="153"/>
        <v>NonQM NOO</v>
      </c>
      <c r="D428" s="292" t="s">
        <v>3885</v>
      </c>
      <c r="E428" s="292" t="s">
        <v>167</v>
      </c>
      <c r="F428" s="292" t="s">
        <v>330</v>
      </c>
      <c r="G428" s="292" t="s">
        <v>303</v>
      </c>
      <c r="H428" s="292" t="s">
        <v>136</v>
      </c>
      <c r="I428" s="292" t="s">
        <v>274</v>
      </c>
      <c r="J428" s="292" t="s">
        <v>1311</v>
      </c>
      <c r="K428" s="292" t="s">
        <v>1631</v>
      </c>
      <c r="L428" s="324" t="s">
        <v>312</v>
      </c>
      <c r="M428" s="292" t="s">
        <v>4203</v>
      </c>
      <c r="N428" s="292" t="s">
        <v>2685</v>
      </c>
      <c r="O428" s="292" t="s">
        <v>310</v>
      </c>
      <c r="P428" s="292" t="s">
        <v>291</v>
      </c>
      <c r="Q428" s="292" t="s">
        <v>294</v>
      </c>
      <c r="R428" s="292">
        <v>1500000.01</v>
      </c>
      <c r="S428" s="292">
        <v>2000000</v>
      </c>
      <c r="T428" s="292">
        <v>0</v>
      </c>
      <c r="U428" s="292">
        <v>0</v>
      </c>
      <c r="V428" s="292">
        <v>0</v>
      </c>
      <c r="W428" s="292">
        <v>50</v>
      </c>
      <c r="X428" s="292">
        <v>0</v>
      </c>
      <c r="Y428" s="292">
        <v>999</v>
      </c>
      <c r="Z428" s="293">
        <v>620</v>
      </c>
      <c r="AA428" s="293">
        <v>639</v>
      </c>
      <c r="AB428" s="293">
        <v>6</v>
      </c>
      <c r="AC428" s="293">
        <v>999999</v>
      </c>
      <c r="AD428" s="292">
        <v>0</v>
      </c>
      <c r="AE428" s="294">
        <v>-999</v>
      </c>
      <c r="AF428" s="170">
        <v>0</v>
      </c>
      <c r="AG428" s="171">
        <v>1</v>
      </c>
      <c r="AH428" s="171">
        <v>1</v>
      </c>
      <c r="AI428" s="171">
        <v>0</v>
      </c>
      <c r="AJ428" s="171">
        <v>1</v>
      </c>
      <c r="AK428" s="171">
        <v>1</v>
      </c>
      <c r="AL428" s="171">
        <v>0</v>
      </c>
      <c r="AM428" s="171">
        <v>1</v>
      </c>
      <c r="AN428" s="171">
        <v>1</v>
      </c>
      <c r="AO428" s="171">
        <v>1</v>
      </c>
      <c r="AP428" s="171">
        <v>1</v>
      </c>
      <c r="AQ428" s="171">
        <v>1</v>
      </c>
      <c r="AR428" s="171">
        <v>1</v>
      </c>
      <c r="AS428" s="171">
        <v>1</v>
      </c>
      <c r="AT428" s="171">
        <v>1</v>
      </c>
      <c r="AU428" s="171">
        <f t="shared" si="162"/>
        <v>0</v>
      </c>
      <c r="AV428" s="171">
        <f t="shared" si="163"/>
        <v>0</v>
      </c>
      <c r="AW428" s="171">
        <f t="shared" si="164"/>
        <v>1</v>
      </c>
      <c r="AX428" s="171">
        <f t="shared" si="173"/>
        <v>1</v>
      </c>
      <c r="AY428" s="171">
        <f t="shared" si="165"/>
        <v>0</v>
      </c>
      <c r="AZ428" s="171">
        <f t="shared" si="166"/>
        <v>1</v>
      </c>
      <c r="BA428" s="172">
        <f t="shared" si="167"/>
        <v>0</v>
      </c>
      <c r="BB428" s="175">
        <f t="shared" si="169"/>
        <v>15</v>
      </c>
      <c r="BC428" s="176">
        <f t="shared" si="170"/>
        <v>15</v>
      </c>
      <c r="BD428" s="176">
        <f t="shared" si="171"/>
        <v>15</v>
      </c>
      <c r="BE428" s="240" t="str">
        <f t="shared" si="161"/>
        <v/>
      </c>
      <c r="BH428" s="214">
        <f>IF(AND(Input_Product=Elig!$C428,Elig_MatchAll_Ct&lt;22,$BC428=(Elig_MatchAll_Ct-1),AF428=0),C428,0)</f>
        <v>0</v>
      </c>
      <c r="BI428" s="214">
        <f>IF(AND(Input_Product=Elig!$C428,Elig_MatchAll_Ct&lt;22,$BC428=(Elig_MatchAll_Ct-1),AG428=0),D428,0)</f>
        <v>0</v>
      </c>
      <c r="BJ428" s="214">
        <f>IF(AND(Input_Product=Elig!$C428,Elig_MatchAll_Ct&lt;22,$BC428=(Elig_MatchAll_Ct-1),AH428=0),E428,0)</f>
        <v>0</v>
      </c>
      <c r="BK428" s="214">
        <f>IF(AND(Input_Product=Elig!$C428,Elig_MatchAll_Ct&lt;22,$BC428=(Elig_MatchAll_Ct-1),AI428=0),F428,0)</f>
        <v>0</v>
      </c>
      <c r="BL428" s="214">
        <f>IF(AND(Input_Product=Elig!$C428,Elig_MatchAll_Ct&lt;22,$BC428=(Elig_MatchAll_Ct-1),AJ428=0),G428,0)</f>
        <v>0</v>
      </c>
      <c r="BM428" s="214">
        <f>IF(AND(Input_Product=Elig!$C428,Elig_MatchAll_Ct&lt;22,$BC428=(Elig_MatchAll_Ct-1),AK428=0),H428,0)</f>
        <v>0</v>
      </c>
      <c r="BN428" s="214">
        <f>IF(AND(Input_Product=Elig!$C428,Elig_MatchAll_Ct&lt;22,$BC428=(Elig_MatchAll_Ct-1),AL428=0),I428,0)</f>
        <v>0</v>
      </c>
      <c r="BO428" s="214">
        <f>IF(AND(Input_Product=Elig!$C428,Elig_MatchAll_Ct&lt;22,$BC428=(Elig_MatchAll_Ct-1),AM428=0),J428,0)</f>
        <v>0</v>
      </c>
      <c r="BP428" s="214">
        <f>IF(AND(Input_Product=Elig!$C428,Elig_MatchAll_Ct&lt;22,$BC428=(Elig_MatchAll_Ct-1),AN428=0),K428,0)</f>
        <v>0</v>
      </c>
      <c r="BQ428" s="214">
        <f>IF(AND(Input_Product=Elig!$C428,Elig_MatchAll_Ct&lt;22,$BC428=(Elig_MatchAll_Ct-1),AP428=0),L428,0)</f>
        <v>0</v>
      </c>
      <c r="BR428" s="214">
        <f>IF(AND(Input_Product=Elig!$C428,Elig_MatchAll_Ct&lt;22,$BC428=(Elig_MatchAll_Ct-1),AO428=0),M428,0)</f>
        <v>0</v>
      </c>
      <c r="BS428" s="214">
        <f>IF(AND(Input_Product=Elig!$C428,Elig_MatchAll_Ct&lt;22,$BC428=(Elig_MatchAll_Ct-1),AQ428=0),N428,0)</f>
        <v>0</v>
      </c>
      <c r="BT428" s="214">
        <f>IF(AND(Input_Product=Elig!$C428,Elig_MatchAll_Ct&lt;22,$BC428=(Elig_MatchAll_Ct-1),AR428=0),O428,0)</f>
        <v>0</v>
      </c>
      <c r="BU428" s="214">
        <f>IF(AND(Input_Product=Elig!$C428,Elig_MatchAll_Ct&lt;22,$BC428=(Elig_MatchAll_Ct-1),AS428=0),P428,0)</f>
        <v>0</v>
      </c>
      <c r="BV428" s="215">
        <f>IF(AND(Input_Product=Elig!$C428,Elig_MatchAll_Ct&lt;22,$BC428=(Elig_MatchAll_Ct-1),AT428=0),Q428,0)</f>
        <v>0</v>
      </c>
      <c r="BW428" s="207">
        <f>IF(AND(Input_Product=Elig!$C428,Elig_MatchAll_Ct&lt;22,$BC428=(Elig_MatchAll_Ct-1),AU428=0),R428,0)</f>
        <v>0</v>
      </c>
      <c r="BX428" s="208">
        <f>IF(AND(Input_Product=Elig!$C428,Elig_MatchAll_Ct&lt;22,$BC428=(Elig_MatchAll_Ct-1),AU428=0),S428,0)</f>
        <v>0</v>
      </c>
      <c r="BY428" s="207">
        <f>IF(AND(Input_Product=Elig!$C428,Elig_MatchAll_Ct&lt;22,$BC428=(Elig_MatchAll_Ct-1),AV428=0),T428,0)</f>
        <v>0</v>
      </c>
      <c r="BZ428" s="208">
        <f>IF(AND(Input_Product=Elig!$C428,Elig_MatchAll_Ct&lt;22,$BC428=(Elig_MatchAll_Ct-1),AV428=0),U428,0)</f>
        <v>0</v>
      </c>
      <c r="CA428" s="207">
        <f>IF(AND(Input_Product=Elig!$C428,Elig_MatchAll_Ct&lt;22,$BC428=(Elig_MatchAll_Ct-1),AW428=0),V428,0)</f>
        <v>0</v>
      </c>
      <c r="CB428" s="208">
        <f>IF(AND(Input_Product=Elig!$C428,Elig_MatchAll_Ct&lt;22,$BC428=(Elig_MatchAll_Ct-1),AW428=0),W428,0)</f>
        <v>0</v>
      </c>
      <c r="CC428" s="207">
        <f>IF(AND(Input_Product=Elig!$C428,Elig_MatchAll_Ct&lt;22,$BC428=(Elig_MatchAll_Ct-1),AX428=0),X428,0)</f>
        <v>0</v>
      </c>
      <c r="CD428" s="208">
        <f>IF(AND(Input_Product=Elig!$C428,Elig_MatchAll_Ct&lt;22,$BC428=(Elig_MatchAll_Ct-1),AX428=0),Y428,0)</f>
        <v>0</v>
      </c>
      <c r="CE428" s="207">
        <f>IF(AND(Input_LTV&lt;=AE428,Input_Product=Elig!$C428,Elig_MatchAll_Ct&lt;22,$BC428=(Elig_MatchAll_Ct-1),AY428=0),Z428,0)</f>
        <v>0</v>
      </c>
      <c r="CF428" s="208">
        <f>IF(AND(Input_LTV&lt;=AE428,Input_Product=Elig!$C428,Elig_MatchAll_Ct&lt;22,$BC428=(Elig_MatchAll_Ct-1),AY428=0),AA428,0)</f>
        <v>0</v>
      </c>
      <c r="CG428" s="207">
        <f>IF(AND(Input_Product=Elig!$C428,Elig_MatchAll_Ct&lt;22,$BC428=(Elig_MatchAll_Ct-1),AZ428=0),AB428,0)</f>
        <v>0</v>
      </c>
      <c r="CH428" s="208">
        <f>IF(AND(Input_Product=Elig!$C428,Elig_MatchAll_Ct&lt;22,$BC428=(Elig_MatchAll_Ct-1),AZ428=0),AC428,0)</f>
        <v>0</v>
      </c>
      <c r="CI428" s="207">
        <f>IF(AND(Input_Product=Elig!$C428,Elig_MatchAll_Ct&lt;22,$BC428=(Elig_MatchAll_Ct-1),BA428=0),AD428,0)</f>
        <v>0</v>
      </c>
      <c r="CJ428" s="209">
        <f>IF(AND(Input_Product=Elig!$C428,Elig_MatchAll_Ct&lt;22,$BC428=(Elig_MatchAll_Ct-1),BA428=0),AE428,0)</f>
        <v>0</v>
      </c>
    </row>
    <row r="429" spans="2:88" ht="10.15" customHeight="1" x14ac:dyDescent="0.25">
      <c r="B429" s="287" t="s">
        <v>1125</v>
      </c>
      <c r="C429" s="281" t="str">
        <f t="shared" si="153"/>
        <v>NonQM NOO</v>
      </c>
      <c r="D429" s="282" t="s">
        <v>3885</v>
      </c>
      <c r="E429" s="283" t="s">
        <v>167</v>
      </c>
      <c r="F429" s="283" t="s">
        <v>330</v>
      </c>
      <c r="G429" s="283" t="s">
        <v>303</v>
      </c>
      <c r="H429" s="283" t="s">
        <v>136</v>
      </c>
      <c r="I429" s="282" t="s">
        <v>16</v>
      </c>
      <c r="J429" s="282" t="s">
        <v>1311</v>
      </c>
      <c r="K429" s="282" t="s">
        <v>1631</v>
      </c>
      <c r="L429" s="2103" t="s">
        <v>312</v>
      </c>
      <c r="M429" s="283" t="s">
        <v>4203</v>
      </c>
      <c r="N429" s="283" t="s">
        <v>2685</v>
      </c>
      <c r="O429" s="283" t="s">
        <v>310</v>
      </c>
      <c r="P429" s="283" t="s">
        <v>291</v>
      </c>
      <c r="Q429" s="283" t="s">
        <v>294</v>
      </c>
      <c r="R429" s="282">
        <v>1500000.01</v>
      </c>
      <c r="S429" s="282">
        <v>2000000</v>
      </c>
      <c r="T429" s="282">
        <v>0</v>
      </c>
      <c r="U429" s="282">
        <f t="shared" ref="U429:U434" si="174">S429</f>
        <v>2000000</v>
      </c>
      <c r="V429" s="282">
        <v>0</v>
      </c>
      <c r="W429" s="282">
        <v>50</v>
      </c>
      <c r="X429" s="282">
        <v>0</v>
      </c>
      <c r="Y429" s="282">
        <v>999</v>
      </c>
      <c r="Z429" s="284">
        <v>720</v>
      </c>
      <c r="AA429" s="284">
        <v>999</v>
      </c>
      <c r="AB429" s="284">
        <v>6</v>
      </c>
      <c r="AC429" s="284">
        <v>999999</v>
      </c>
      <c r="AD429" s="282">
        <v>0</v>
      </c>
      <c r="AE429" s="2104">
        <v>75</v>
      </c>
      <c r="AF429" s="170">
        <v>0</v>
      </c>
      <c r="AG429" s="171">
        <v>1</v>
      </c>
      <c r="AH429" s="171">
        <v>1</v>
      </c>
      <c r="AI429" s="171">
        <v>0</v>
      </c>
      <c r="AJ429" s="171">
        <v>1</v>
      </c>
      <c r="AK429" s="171">
        <v>1</v>
      </c>
      <c r="AL429" s="171">
        <v>1</v>
      </c>
      <c r="AM429" s="171">
        <v>1</v>
      </c>
      <c r="AN429" s="171">
        <v>1</v>
      </c>
      <c r="AO429" s="171">
        <v>1</v>
      </c>
      <c r="AP429" s="171">
        <v>1</v>
      </c>
      <c r="AQ429" s="171">
        <v>1</v>
      </c>
      <c r="AR429" s="171">
        <v>1</v>
      </c>
      <c r="AS429" s="171">
        <v>1</v>
      </c>
      <c r="AT429" s="171">
        <v>1</v>
      </c>
      <c r="AU429" s="171">
        <f t="shared" si="162"/>
        <v>0</v>
      </c>
      <c r="AV429" s="171">
        <f t="shared" si="163"/>
        <v>1</v>
      </c>
      <c r="AW429" s="171">
        <f t="shared" si="164"/>
        <v>1</v>
      </c>
      <c r="AX429" s="171">
        <f t="shared" si="173"/>
        <v>1</v>
      </c>
      <c r="AY429" s="171">
        <f t="shared" si="165"/>
        <v>1</v>
      </c>
      <c r="AZ429" s="171">
        <f t="shared" si="166"/>
        <v>1</v>
      </c>
      <c r="BA429" s="172">
        <f t="shared" si="167"/>
        <v>1</v>
      </c>
      <c r="BB429" s="175">
        <f t="shared" si="169"/>
        <v>19</v>
      </c>
      <c r="BC429" s="176">
        <f t="shared" si="170"/>
        <v>18</v>
      </c>
      <c r="BD429" s="176">
        <f t="shared" si="171"/>
        <v>19</v>
      </c>
      <c r="BE429" s="240" t="str">
        <f t="shared" si="161"/>
        <v/>
      </c>
      <c r="BH429" s="216">
        <f>IF(AND(Input_Product=Elig!$C429,Elig_MatchAll_Ct&lt;22,$BC429=(Elig_MatchAll_Ct-1),AF429=0),C429,0)</f>
        <v>0</v>
      </c>
      <c r="BI429" s="216">
        <f>IF(AND(Input_Product=Elig!$C429,Elig_MatchAll_Ct&lt;22,$BC429=(Elig_MatchAll_Ct-1),AG429=0),D429,0)</f>
        <v>0</v>
      </c>
      <c r="BJ429" s="216">
        <f>IF(AND(Input_Product=Elig!$C429,Elig_MatchAll_Ct&lt;22,$BC429=(Elig_MatchAll_Ct-1),AH429=0),E429,0)</f>
        <v>0</v>
      </c>
      <c r="BK429" s="216">
        <f>IF(AND(Input_Product=Elig!$C429,Elig_MatchAll_Ct&lt;22,$BC429=(Elig_MatchAll_Ct-1),AI429=0),F429,0)</f>
        <v>0</v>
      </c>
      <c r="BL429" s="216">
        <f>IF(AND(Input_Product=Elig!$C429,Elig_MatchAll_Ct&lt;22,$BC429=(Elig_MatchAll_Ct-1),AJ429=0),G429,0)</f>
        <v>0</v>
      </c>
      <c r="BM429" s="216">
        <f>IF(AND(Input_Product=Elig!$C429,Elig_MatchAll_Ct&lt;22,$BC429=(Elig_MatchAll_Ct-1),AK429=0),H429,0)</f>
        <v>0</v>
      </c>
      <c r="BN429" s="216">
        <f>IF(AND(Input_Product=Elig!$C429,Elig_MatchAll_Ct&lt;22,$BC429=(Elig_MatchAll_Ct-1),AL429=0),I429,0)</f>
        <v>0</v>
      </c>
      <c r="BO429" s="216">
        <f>IF(AND(Input_Product=Elig!$C429,Elig_MatchAll_Ct&lt;22,$BC429=(Elig_MatchAll_Ct-1),AM429=0),J429,0)</f>
        <v>0</v>
      </c>
      <c r="BP429" s="216">
        <f>IF(AND(Input_Product=Elig!$C429,Elig_MatchAll_Ct&lt;22,$BC429=(Elig_MatchAll_Ct-1),AN429=0),K429,0)</f>
        <v>0</v>
      </c>
      <c r="BQ429" s="216">
        <f>IF(AND(Input_Product=Elig!$C429,Elig_MatchAll_Ct&lt;22,$BC429=(Elig_MatchAll_Ct-1),AP429=0),L429,0)</f>
        <v>0</v>
      </c>
      <c r="BR429" s="216">
        <f>IF(AND(Input_Product=Elig!$C429,Elig_MatchAll_Ct&lt;22,$BC429=(Elig_MatchAll_Ct-1),AO429=0),M429,0)</f>
        <v>0</v>
      </c>
      <c r="BS429" s="216">
        <f>IF(AND(Input_Product=Elig!$C429,Elig_MatchAll_Ct&lt;22,$BC429=(Elig_MatchAll_Ct-1),AQ429=0),N429,0)</f>
        <v>0</v>
      </c>
      <c r="BT429" s="216">
        <f>IF(AND(Input_Product=Elig!$C429,Elig_MatchAll_Ct&lt;22,$BC429=(Elig_MatchAll_Ct-1),AR429=0),O429,0)</f>
        <v>0</v>
      </c>
      <c r="BU429" s="216">
        <f>IF(AND(Input_Product=Elig!$C429,Elig_MatchAll_Ct&lt;22,$BC429=(Elig_MatchAll_Ct-1),AS429=0),P429,0)</f>
        <v>0</v>
      </c>
      <c r="BV429" s="217">
        <f>IF(AND(Input_Product=Elig!$C429,Elig_MatchAll_Ct&lt;22,$BC429=(Elig_MatchAll_Ct-1),AT429=0),Q429,0)</f>
        <v>0</v>
      </c>
      <c r="BW429" s="218">
        <f>IF(AND(Input_Product=Elig!$C429,Elig_MatchAll_Ct&lt;22,$BC429=(Elig_MatchAll_Ct-1),AU429=0),R429,0)</f>
        <v>0</v>
      </c>
      <c r="BX429" s="219">
        <f>IF(AND(Input_Product=Elig!$C429,Elig_MatchAll_Ct&lt;22,$BC429=(Elig_MatchAll_Ct-1),AU429=0),S429,0)</f>
        <v>0</v>
      </c>
      <c r="BY429" s="218">
        <f>IF(AND(Input_Product=Elig!$C429,Elig_MatchAll_Ct&lt;22,$BC429=(Elig_MatchAll_Ct-1),AV429=0),T429,0)</f>
        <v>0</v>
      </c>
      <c r="BZ429" s="219">
        <f>IF(AND(Input_Product=Elig!$C429,Elig_MatchAll_Ct&lt;22,$BC429=(Elig_MatchAll_Ct-1),AV429=0),U429,0)</f>
        <v>0</v>
      </c>
      <c r="CA429" s="218">
        <f>IF(AND(Input_Product=Elig!$C429,Elig_MatchAll_Ct&lt;22,$BC429=(Elig_MatchAll_Ct-1),AW429=0),V429,0)</f>
        <v>0</v>
      </c>
      <c r="CB429" s="219">
        <f>IF(AND(Input_Product=Elig!$C429,Elig_MatchAll_Ct&lt;22,$BC429=(Elig_MatchAll_Ct-1),AW429=0),W429,0)</f>
        <v>0</v>
      </c>
      <c r="CC429" s="218">
        <f>IF(AND(Input_Product=Elig!$C429,Elig_MatchAll_Ct&lt;22,$BC429=(Elig_MatchAll_Ct-1),AX429=0),X429,0)</f>
        <v>0</v>
      </c>
      <c r="CD429" s="219">
        <f>IF(AND(Input_Product=Elig!$C429,Elig_MatchAll_Ct&lt;22,$BC429=(Elig_MatchAll_Ct-1),AX429=0),Y429,0)</f>
        <v>0</v>
      </c>
      <c r="CE429" s="218">
        <f>IF(AND(Input_LTV&lt;=AE429,Input_Product=Elig!$C429,Elig_MatchAll_Ct&lt;22,$BC429=(Elig_MatchAll_Ct-1),AY429=0),Z429,0)</f>
        <v>0</v>
      </c>
      <c r="CF429" s="219">
        <f>IF(AND(Input_LTV&lt;=AE429,Input_Product=Elig!$C429,Elig_MatchAll_Ct&lt;22,$BC429=(Elig_MatchAll_Ct-1),AY429=0),AA429,0)</f>
        <v>0</v>
      </c>
      <c r="CG429" s="218">
        <f>IF(AND(Input_Product=Elig!$C429,Elig_MatchAll_Ct&lt;22,$BC429=(Elig_MatchAll_Ct-1),AZ429=0),AB429,0)</f>
        <v>0</v>
      </c>
      <c r="CH429" s="219">
        <f>IF(AND(Input_Product=Elig!$C429,Elig_MatchAll_Ct&lt;22,$BC429=(Elig_MatchAll_Ct-1),AZ429=0),AC429,0)</f>
        <v>0</v>
      </c>
      <c r="CI429" s="218">
        <f>IF(AND(Input_Product=Elig!$C429,Elig_MatchAll_Ct&lt;22,$BC429=(Elig_MatchAll_Ct-1),BA429=0),AD429,0)</f>
        <v>0</v>
      </c>
      <c r="CJ429" s="219">
        <f>IF(AND(Input_Product=Elig!$C429,Elig_MatchAll_Ct&lt;22,$BC429=(Elig_MatchAll_Ct-1),BA429=0),AE429,0)</f>
        <v>0</v>
      </c>
    </row>
    <row r="430" spans="2:88" ht="10.15" customHeight="1" x14ac:dyDescent="0.25">
      <c r="B430" s="287" t="s">
        <v>1126</v>
      </c>
      <c r="C430" s="286" t="str">
        <f t="shared" si="153"/>
        <v>NonQM NOO</v>
      </c>
      <c r="D430" s="287" t="s">
        <v>3885</v>
      </c>
      <c r="E430" s="287" t="s">
        <v>167</v>
      </c>
      <c r="F430" s="287" t="s">
        <v>330</v>
      </c>
      <c r="G430" s="287" t="s">
        <v>303</v>
      </c>
      <c r="H430" s="287" t="s">
        <v>136</v>
      </c>
      <c r="I430" s="288" t="s">
        <v>16</v>
      </c>
      <c r="J430" s="288" t="s">
        <v>1311</v>
      </c>
      <c r="K430" s="288" t="s">
        <v>1631</v>
      </c>
      <c r="L430" s="300" t="s">
        <v>312</v>
      </c>
      <c r="M430" s="287" t="s">
        <v>4203</v>
      </c>
      <c r="N430" s="287" t="s">
        <v>2685</v>
      </c>
      <c r="O430" s="287" t="s">
        <v>310</v>
      </c>
      <c r="P430" s="287" t="s">
        <v>291</v>
      </c>
      <c r="Q430" s="287" t="s">
        <v>294</v>
      </c>
      <c r="R430" s="287">
        <v>1500000.01</v>
      </c>
      <c r="S430" s="287">
        <v>2000000</v>
      </c>
      <c r="T430" s="287">
        <v>0</v>
      </c>
      <c r="U430" s="287">
        <f t="shared" si="174"/>
        <v>2000000</v>
      </c>
      <c r="V430" s="287">
        <v>0</v>
      </c>
      <c r="W430" s="287">
        <v>50</v>
      </c>
      <c r="X430" s="287">
        <v>0</v>
      </c>
      <c r="Y430" s="287">
        <v>999</v>
      </c>
      <c r="Z430" s="289">
        <v>700</v>
      </c>
      <c r="AA430" s="289">
        <v>719</v>
      </c>
      <c r="AB430" s="289">
        <v>6</v>
      </c>
      <c r="AC430" s="289">
        <v>999999</v>
      </c>
      <c r="AD430" s="287">
        <v>0</v>
      </c>
      <c r="AE430" s="2105">
        <v>75</v>
      </c>
      <c r="AF430" s="170">
        <v>0</v>
      </c>
      <c r="AG430" s="171">
        <v>1</v>
      </c>
      <c r="AH430" s="171">
        <v>1</v>
      </c>
      <c r="AI430" s="171">
        <v>0</v>
      </c>
      <c r="AJ430" s="171">
        <v>1</v>
      </c>
      <c r="AK430" s="171">
        <v>1</v>
      </c>
      <c r="AL430" s="171">
        <v>1</v>
      </c>
      <c r="AM430" s="171">
        <v>1</v>
      </c>
      <c r="AN430" s="171">
        <v>1</v>
      </c>
      <c r="AO430" s="171">
        <v>1</v>
      </c>
      <c r="AP430" s="171">
        <v>1</v>
      </c>
      <c r="AQ430" s="171">
        <v>1</v>
      </c>
      <c r="AR430" s="171">
        <v>1</v>
      </c>
      <c r="AS430" s="171">
        <v>1</v>
      </c>
      <c r="AT430" s="171">
        <v>1</v>
      </c>
      <c r="AU430" s="171">
        <f t="shared" si="162"/>
        <v>0</v>
      </c>
      <c r="AV430" s="171">
        <f t="shared" si="163"/>
        <v>1</v>
      </c>
      <c r="AW430" s="171">
        <f t="shared" si="164"/>
        <v>1</v>
      </c>
      <c r="AX430" s="171">
        <f t="shared" si="173"/>
        <v>1</v>
      </c>
      <c r="AY430" s="171">
        <f t="shared" si="165"/>
        <v>0</v>
      </c>
      <c r="AZ430" s="171">
        <f t="shared" si="166"/>
        <v>1</v>
      </c>
      <c r="BA430" s="172">
        <f t="shared" si="167"/>
        <v>1</v>
      </c>
      <c r="BB430" s="175">
        <f t="shared" si="169"/>
        <v>18</v>
      </c>
      <c r="BC430" s="176">
        <f t="shared" si="170"/>
        <v>17</v>
      </c>
      <c r="BD430" s="176">
        <f t="shared" si="171"/>
        <v>18</v>
      </c>
      <c r="BE430" s="240" t="str">
        <f t="shared" si="161"/>
        <v/>
      </c>
      <c r="BH430" s="199">
        <f>IF(AND(Input_Product=Elig!$C430,Elig_MatchAll_Ct&lt;22,$BC430=(Elig_MatchAll_Ct-1),AF430=0),C430,0)</f>
        <v>0</v>
      </c>
      <c r="BI430" s="199">
        <f>IF(AND(Input_Product=Elig!$C430,Elig_MatchAll_Ct&lt;22,$BC430=(Elig_MatchAll_Ct-1),AG430=0),D430,0)</f>
        <v>0</v>
      </c>
      <c r="BJ430" s="199">
        <f>IF(AND(Input_Product=Elig!$C430,Elig_MatchAll_Ct&lt;22,$BC430=(Elig_MatchAll_Ct-1),AH430=0),E430,0)</f>
        <v>0</v>
      </c>
      <c r="BK430" s="199">
        <f>IF(AND(Input_Product=Elig!$C430,Elig_MatchAll_Ct&lt;22,$BC430=(Elig_MatchAll_Ct-1),AI430=0),F430,0)</f>
        <v>0</v>
      </c>
      <c r="BL430" s="199">
        <f>IF(AND(Input_Product=Elig!$C430,Elig_MatchAll_Ct&lt;22,$BC430=(Elig_MatchAll_Ct-1),AJ430=0),G430,0)</f>
        <v>0</v>
      </c>
      <c r="BM430" s="199">
        <f>IF(AND(Input_Product=Elig!$C430,Elig_MatchAll_Ct&lt;22,$BC430=(Elig_MatchAll_Ct-1),AK430=0),H430,0)</f>
        <v>0</v>
      </c>
      <c r="BN430" s="199">
        <f>IF(AND(Input_Product=Elig!$C430,Elig_MatchAll_Ct&lt;22,$BC430=(Elig_MatchAll_Ct-1),AL430=0),I430,0)</f>
        <v>0</v>
      </c>
      <c r="BO430" s="199">
        <f>IF(AND(Input_Product=Elig!$C430,Elig_MatchAll_Ct&lt;22,$BC430=(Elig_MatchAll_Ct-1),AM430=0),J430,0)</f>
        <v>0</v>
      </c>
      <c r="BP430" s="199">
        <f>IF(AND(Input_Product=Elig!$C430,Elig_MatchAll_Ct&lt;22,$BC430=(Elig_MatchAll_Ct-1),AN430=0),K430,0)</f>
        <v>0</v>
      </c>
      <c r="BQ430" s="199">
        <f>IF(AND(Input_Product=Elig!$C430,Elig_MatchAll_Ct&lt;22,$BC430=(Elig_MatchAll_Ct-1),AP430=0),L430,0)</f>
        <v>0</v>
      </c>
      <c r="BR430" s="199">
        <f>IF(AND(Input_Product=Elig!$C430,Elig_MatchAll_Ct&lt;22,$BC430=(Elig_MatchAll_Ct-1),AO430=0),M430,0)</f>
        <v>0</v>
      </c>
      <c r="BS430" s="199">
        <f>IF(AND(Input_Product=Elig!$C430,Elig_MatchAll_Ct&lt;22,$BC430=(Elig_MatchAll_Ct-1),AQ430=0),N430,0)</f>
        <v>0</v>
      </c>
      <c r="BT430" s="199">
        <f>IF(AND(Input_Product=Elig!$C430,Elig_MatchAll_Ct&lt;22,$BC430=(Elig_MatchAll_Ct-1),AR430=0),O430,0)</f>
        <v>0</v>
      </c>
      <c r="BU430" s="199">
        <f>IF(AND(Input_Product=Elig!$C430,Elig_MatchAll_Ct&lt;22,$BC430=(Elig_MatchAll_Ct-1),AS430=0),P430,0)</f>
        <v>0</v>
      </c>
      <c r="BV430" s="200">
        <f>IF(AND(Input_Product=Elig!$C430,Elig_MatchAll_Ct&lt;22,$BC430=(Elig_MatchAll_Ct-1),AT430=0),Q430,0)</f>
        <v>0</v>
      </c>
      <c r="BW430" s="201">
        <f>IF(AND(Input_Product=Elig!$C430,Elig_MatchAll_Ct&lt;22,$BC430=(Elig_MatchAll_Ct-1),AU430=0),R430,0)</f>
        <v>0</v>
      </c>
      <c r="BX430" s="202">
        <f>IF(AND(Input_Product=Elig!$C430,Elig_MatchAll_Ct&lt;22,$BC430=(Elig_MatchAll_Ct-1),AU430=0),S430,0)</f>
        <v>0</v>
      </c>
      <c r="BY430" s="201">
        <f>IF(AND(Input_Product=Elig!$C430,Elig_MatchAll_Ct&lt;22,$BC430=(Elig_MatchAll_Ct-1),AV430=0),T430,0)</f>
        <v>0</v>
      </c>
      <c r="BZ430" s="202">
        <f>IF(AND(Input_Product=Elig!$C430,Elig_MatchAll_Ct&lt;22,$BC430=(Elig_MatchAll_Ct-1),AV430=0),U430,0)</f>
        <v>0</v>
      </c>
      <c r="CA430" s="201">
        <f>IF(AND(Input_Product=Elig!$C430,Elig_MatchAll_Ct&lt;22,$BC430=(Elig_MatchAll_Ct-1),AW430=0),V430,0)</f>
        <v>0</v>
      </c>
      <c r="CB430" s="202">
        <f>IF(AND(Input_Product=Elig!$C430,Elig_MatchAll_Ct&lt;22,$BC430=(Elig_MatchAll_Ct-1),AW430=0),W430,0)</f>
        <v>0</v>
      </c>
      <c r="CC430" s="201">
        <f>IF(AND(Input_Product=Elig!$C430,Elig_MatchAll_Ct&lt;22,$BC430=(Elig_MatchAll_Ct-1),AX430=0),X430,0)</f>
        <v>0</v>
      </c>
      <c r="CD430" s="202">
        <f>IF(AND(Input_Product=Elig!$C430,Elig_MatchAll_Ct&lt;22,$BC430=(Elig_MatchAll_Ct-1),AX430=0),Y430,0)</f>
        <v>0</v>
      </c>
      <c r="CE430" s="201">
        <f>IF(AND(Input_LTV&lt;=AE430,Input_Product=Elig!$C430,Elig_MatchAll_Ct&lt;22,$BC430=(Elig_MatchAll_Ct-1),AY430=0),Z430,0)</f>
        <v>0</v>
      </c>
      <c r="CF430" s="202">
        <f>IF(AND(Input_LTV&lt;=AE430,Input_Product=Elig!$C430,Elig_MatchAll_Ct&lt;22,$BC430=(Elig_MatchAll_Ct-1),AY430=0),AA430,0)</f>
        <v>0</v>
      </c>
      <c r="CG430" s="201">
        <f>IF(AND(Input_Product=Elig!$C430,Elig_MatchAll_Ct&lt;22,$BC430=(Elig_MatchAll_Ct-1),AZ430=0),AB430,0)</f>
        <v>0</v>
      </c>
      <c r="CH430" s="202">
        <f>IF(AND(Input_Product=Elig!$C430,Elig_MatchAll_Ct&lt;22,$BC430=(Elig_MatchAll_Ct-1),AZ430=0),AC430,0)</f>
        <v>0</v>
      </c>
      <c r="CI430" s="201">
        <f>IF(AND(Input_Product=Elig!$C430,Elig_MatchAll_Ct&lt;22,$BC430=(Elig_MatchAll_Ct-1),BA430=0),AD430,0)</f>
        <v>0</v>
      </c>
      <c r="CJ430" s="202">
        <f>IF(AND(Input_Product=Elig!$C430,Elig_MatchAll_Ct&lt;22,$BC430=(Elig_MatchAll_Ct-1),BA430=0),AE430,0)</f>
        <v>0</v>
      </c>
    </row>
    <row r="431" spans="2:88" ht="10.15" customHeight="1" x14ac:dyDescent="0.25">
      <c r="B431" s="287" t="s">
        <v>1127</v>
      </c>
      <c r="C431" s="286" t="str">
        <f t="shared" ref="C431:C537" si="175">Input_Name_Product2</f>
        <v>NonQM NOO</v>
      </c>
      <c r="D431" s="287" t="s">
        <v>3885</v>
      </c>
      <c r="E431" s="287" t="s">
        <v>167</v>
      </c>
      <c r="F431" s="287" t="s">
        <v>330</v>
      </c>
      <c r="G431" s="287" t="s">
        <v>303</v>
      </c>
      <c r="H431" s="287" t="s">
        <v>136</v>
      </c>
      <c r="I431" s="288" t="s">
        <v>16</v>
      </c>
      <c r="J431" s="288" t="s">
        <v>1311</v>
      </c>
      <c r="K431" s="288" t="s">
        <v>1631</v>
      </c>
      <c r="L431" s="300" t="s">
        <v>312</v>
      </c>
      <c r="M431" s="287" t="s">
        <v>4203</v>
      </c>
      <c r="N431" s="287" t="s">
        <v>2685</v>
      </c>
      <c r="O431" s="287" t="s">
        <v>310</v>
      </c>
      <c r="P431" s="287" t="s">
        <v>291</v>
      </c>
      <c r="Q431" s="287" t="s">
        <v>294</v>
      </c>
      <c r="R431" s="287">
        <v>1500000.01</v>
      </c>
      <c r="S431" s="287">
        <v>2000000</v>
      </c>
      <c r="T431" s="287">
        <v>0</v>
      </c>
      <c r="U431" s="287">
        <f t="shared" si="174"/>
        <v>2000000</v>
      </c>
      <c r="V431" s="287">
        <v>0</v>
      </c>
      <c r="W431" s="287">
        <v>50</v>
      </c>
      <c r="X431" s="287">
        <v>0</v>
      </c>
      <c r="Y431" s="287">
        <v>999</v>
      </c>
      <c r="Z431" s="289">
        <v>680</v>
      </c>
      <c r="AA431" s="289">
        <v>699</v>
      </c>
      <c r="AB431" s="289">
        <v>6</v>
      </c>
      <c r="AC431" s="289">
        <v>999999</v>
      </c>
      <c r="AD431" s="287">
        <v>0</v>
      </c>
      <c r="AE431" s="2105">
        <v>70</v>
      </c>
      <c r="AF431" s="170">
        <v>0</v>
      </c>
      <c r="AG431" s="171">
        <v>1</v>
      </c>
      <c r="AH431" s="171">
        <v>1</v>
      </c>
      <c r="AI431" s="171">
        <v>0</v>
      </c>
      <c r="AJ431" s="171">
        <v>1</v>
      </c>
      <c r="AK431" s="171">
        <v>1</v>
      </c>
      <c r="AL431" s="171">
        <v>1</v>
      </c>
      <c r="AM431" s="171">
        <v>1</v>
      </c>
      <c r="AN431" s="171">
        <v>1</v>
      </c>
      <c r="AO431" s="171">
        <v>1</v>
      </c>
      <c r="AP431" s="171">
        <v>1</v>
      </c>
      <c r="AQ431" s="171">
        <v>1</v>
      </c>
      <c r="AR431" s="171">
        <v>1</v>
      </c>
      <c r="AS431" s="171">
        <v>1</v>
      </c>
      <c r="AT431" s="171">
        <v>1</v>
      </c>
      <c r="AU431" s="171">
        <f t="shared" si="162"/>
        <v>0</v>
      </c>
      <c r="AV431" s="171">
        <f t="shared" si="163"/>
        <v>1</v>
      </c>
      <c r="AW431" s="171">
        <f t="shared" si="164"/>
        <v>1</v>
      </c>
      <c r="AX431" s="171">
        <f t="shared" si="173"/>
        <v>1</v>
      </c>
      <c r="AY431" s="171">
        <f t="shared" si="165"/>
        <v>0</v>
      </c>
      <c r="AZ431" s="171">
        <f t="shared" si="166"/>
        <v>1</v>
      </c>
      <c r="BA431" s="172">
        <f t="shared" si="167"/>
        <v>1</v>
      </c>
      <c r="BB431" s="175">
        <f t="shared" si="169"/>
        <v>18</v>
      </c>
      <c r="BC431" s="176">
        <f t="shared" si="170"/>
        <v>17</v>
      </c>
      <c r="BD431" s="176">
        <f t="shared" si="171"/>
        <v>18</v>
      </c>
      <c r="BE431" s="240" t="str">
        <f t="shared" si="161"/>
        <v/>
      </c>
      <c r="BH431" s="199">
        <f>IF(AND(Input_Product=Elig!$C431,Elig_MatchAll_Ct&lt;22,$BC431=(Elig_MatchAll_Ct-1),AF431=0),C431,0)</f>
        <v>0</v>
      </c>
      <c r="BI431" s="199">
        <f>IF(AND(Input_Product=Elig!$C431,Elig_MatchAll_Ct&lt;22,$BC431=(Elig_MatchAll_Ct-1),AG431=0),D431,0)</f>
        <v>0</v>
      </c>
      <c r="BJ431" s="199">
        <f>IF(AND(Input_Product=Elig!$C431,Elig_MatchAll_Ct&lt;22,$BC431=(Elig_MatchAll_Ct-1),AH431=0),E431,0)</f>
        <v>0</v>
      </c>
      <c r="BK431" s="199">
        <f>IF(AND(Input_Product=Elig!$C431,Elig_MatchAll_Ct&lt;22,$BC431=(Elig_MatchAll_Ct-1),AI431=0),F431,0)</f>
        <v>0</v>
      </c>
      <c r="BL431" s="199">
        <f>IF(AND(Input_Product=Elig!$C431,Elig_MatchAll_Ct&lt;22,$BC431=(Elig_MatchAll_Ct-1),AJ431=0),G431,0)</f>
        <v>0</v>
      </c>
      <c r="BM431" s="199">
        <f>IF(AND(Input_Product=Elig!$C431,Elig_MatchAll_Ct&lt;22,$BC431=(Elig_MatchAll_Ct-1),AK431=0),H431,0)</f>
        <v>0</v>
      </c>
      <c r="BN431" s="199">
        <f>IF(AND(Input_Product=Elig!$C431,Elig_MatchAll_Ct&lt;22,$BC431=(Elig_MatchAll_Ct-1),AL431=0),I431,0)</f>
        <v>0</v>
      </c>
      <c r="BO431" s="199">
        <f>IF(AND(Input_Product=Elig!$C431,Elig_MatchAll_Ct&lt;22,$BC431=(Elig_MatchAll_Ct-1),AM431=0),J431,0)</f>
        <v>0</v>
      </c>
      <c r="BP431" s="199">
        <f>IF(AND(Input_Product=Elig!$C431,Elig_MatchAll_Ct&lt;22,$BC431=(Elig_MatchAll_Ct-1),AN431=0),K431,0)</f>
        <v>0</v>
      </c>
      <c r="BQ431" s="199">
        <f>IF(AND(Input_Product=Elig!$C431,Elig_MatchAll_Ct&lt;22,$BC431=(Elig_MatchAll_Ct-1),AP431=0),L431,0)</f>
        <v>0</v>
      </c>
      <c r="BR431" s="199">
        <f>IF(AND(Input_Product=Elig!$C431,Elig_MatchAll_Ct&lt;22,$BC431=(Elig_MatchAll_Ct-1),AO431=0),M431,0)</f>
        <v>0</v>
      </c>
      <c r="BS431" s="199">
        <f>IF(AND(Input_Product=Elig!$C431,Elig_MatchAll_Ct&lt;22,$BC431=(Elig_MatchAll_Ct-1),AQ431=0),N431,0)</f>
        <v>0</v>
      </c>
      <c r="BT431" s="199">
        <f>IF(AND(Input_Product=Elig!$C431,Elig_MatchAll_Ct&lt;22,$BC431=(Elig_MatchAll_Ct-1),AR431=0),O431,0)</f>
        <v>0</v>
      </c>
      <c r="BU431" s="199">
        <f>IF(AND(Input_Product=Elig!$C431,Elig_MatchAll_Ct&lt;22,$BC431=(Elig_MatchAll_Ct-1),AS431=0),P431,0)</f>
        <v>0</v>
      </c>
      <c r="BV431" s="200">
        <f>IF(AND(Input_Product=Elig!$C431,Elig_MatchAll_Ct&lt;22,$BC431=(Elig_MatchAll_Ct-1),AT431=0),Q431,0)</f>
        <v>0</v>
      </c>
      <c r="BW431" s="201">
        <f>IF(AND(Input_Product=Elig!$C431,Elig_MatchAll_Ct&lt;22,$BC431=(Elig_MatchAll_Ct-1),AU431=0),R431,0)</f>
        <v>0</v>
      </c>
      <c r="BX431" s="202">
        <f>IF(AND(Input_Product=Elig!$C431,Elig_MatchAll_Ct&lt;22,$BC431=(Elig_MatchAll_Ct-1),AU431=0),S431,0)</f>
        <v>0</v>
      </c>
      <c r="BY431" s="201">
        <f>IF(AND(Input_Product=Elig!$C431,Elig_MatchAll_Ct&lt;22,$BC431=(Elig_MatchAll_Ct-1),AV431=0),T431,0)</f>
        <v>0</v>
      </c>
      <c r="BZ431" s="202">
        <f>IF(AND(Input_Product=Elig!$C431,Elig_MatchAll_Ct&lt;22,$BC431=(Elig_MatchAll_Ct-1),AV431=0),U431,0)</f>
        <v>0</v>
      </c>
      <c r="CA431" s="201">
        <f>IF(AND(Input_Product=Elig!$C431,Elig_MatchAll_Ct&lt;22,$BC431=(Elig_MatchAll_Ct-1),AW431=0),V431,0)</f>
        <v>0</v>
      </c>
      <c r="CB431" s="202">
        <f>IF(AND(Input_Product=Elig!$C431,Elig_MatchAll_Ct&lt;22,$BC431=(Elig_MatchAll_Ct-1),AW431=0),W431,0)</f>
        <v>0</v>
      </c>
      <c r="CC431" s="201">
        <f>IF(AND(Input_Product=Elig!$C431,Elig_MatchAll_Ct&lt;22,$BC431=(Elig_MatchAll_Ct-1),AX431=0),X431,0)</f>
        <v>0</v>
      </c>
      <c r="CD431" s="202">
        <f>IF(AND(Input_Product=Elig!$C431,Elig_MatchAll_Ct&lt;22,$BC431=(Elig_MatchAll_Ct-1),AX431=0),Y431,0)</f>
        <v>0</v>
      </c>
      <c r="CE431" s="201">
        <f>IF(AND(Input_LTV&lt;=AE431,Input_Product=Elig!$C431,Elig_MatchAll_Ct&lt;22,$BC431=(Elig_MatchAll_Ct-1),AY431=0),Z431,0)</f>
        <v>0</v>
      </c>
      <c r="CF431" s="202">
        <f>IF(AND(Input_LTV&lt;=AE431,Input_Product=Elig!$C431,Elig_MatchAll_Ct&lt;22,$BC431=(Elig_MatchAll_Ct-1),AY431=0),AA431,0)</f>
        <v>0</v>
      </c>
      <c r="CG431" s="201">
        <f>IF(AND(Input_Product=Elig!$C431,Elig_MatchAll_Ct&lt;22,$BC431=(Elig_MatchAll_Ct-1),AZ431=0),AB431,0)</f>
        <v>0</v>
      </c>
      <c r="CH431" s="202">
        <f>IF(AND(Input_Product=Elig!$C431,Elig_MatchAll_Ct&lt;22,$BC431=(Elig_MatchAll_Ct-1),AZ431=0),AC431,0)</f>
        <v>0</v>
      </c>
      <c r="CI431" s="201">
        <f>IF(AND(Input_Product=Elig!$C431,Elig_MatchAll_Ct&lt;22,$BC431=(Elig_MatchAll_Ct-1),BA431=0),AD431,0)</f>
        <v>0</v>
      </c>
      <c r="CJ431" s="202">
        <f>IF(AND(Input_Product=Elig!$C431,Elig_MatchAll_Ct&lt;22,$BC431=(Elig_MatchAll_Ct-1),BA431=0),AE431,0)</f>
        <v>0</v>
      </c>
    </row>
    <row r="432" spans="2:88" ht="10.15" customHeight="1" x14ac:dyDescent="0.25">
      <c r="B432" s="287" t="s">
        <v>1128</v>
      </c>
      <c r="C432" s="286" t="str">
        <f t="shared" si="175"/>
        <v>NonQM NOO</v>
      </c>
      <c r="D432" s="287" t="s">
        <v>3885</v>
      </c>
      <c r="E432" s="287" t="s">
        <v>167</v>
      </c>
      <c r="F432" s="287" t="s">
        <v>330</v>
      </c>
      <c r="G432" s="287" t="s">
        <v>303</v>
      </c>
      <c r="H432" s="287" t="s">
        <v>136</v>
      </c>
      <c r="I432" s="287" t="s">
        <v>16</v>
      </c>
      <c r="J432" s="287" t="s">
        <v>1311</v>
      </c>
      <c r="K432" s="287" t="s">
        <v>1631</v>
      </c>
      <c r="L432" s="300" t="s">
        <v>312</v>
      </c>
      <c r="M432" s="287" t="s">
        <v>4203</v>
      </c>
      <c r="N432" s="287" t="s">
        <v>2685</v>
      </c>
      <c r="O432" s="287" t="s">
        <v>310</v>
      </c>
      <c r="P432" s="287" t="s">
        <v>291</v>
      </c>
      <c r="Q432" s="287" t="s">
        <v>294</v>
      </c>
      <c r="R432" s="287">
        <v>1500000.01</v>
      </c>
      <c r="S432" s="287">
        <v>2000000</v>
      </c>
      <c r="T432" s="287">
        <v>0</v>
      </c>
      <c r="U432" s="287">
        <f t="shared" si="174"/>
        <v>2000000</v>
      </c>
      <c r="V432" s="287">
        <v>0</v>
      </c>
      <c r="W432" s="287">
        <v>50</v>
      </c>
      <c r="X432" s="287">
        <v>0</v>
      </c>
      <c r="Y432" s="287">
        <v>999</v>
      </c>
      <c r="Z432" s="289">
        <v>660</v>
      </c>
      <c r="AA432" s="289">
        <v>679</v>
      </c>
      <c r="AB432" s="289">
        <v>6</v>
      </c>
      <c r="AC432" s="289">
        <v>999999</v>
      </c>
      <c r="AD432" s="287">
        <v>0</v>
      </c>
      <c r="AE432" s="290">
        <v>65</v>
      </c>
      <c r="AF432" s="170">
        <v>0</v>
      </c>
      <c r="AG432" s="171">
        <v>1</v>
      </c>
      <c r="AH432" s="171">
        <v>1</v>
      </c>
      <c r="AI432" s="171">
        <v>0</v>
      </c>
      <c r="AJ432" s="171">
        <v>1</v>
      </c>
      <c r="AK432" s="171">
        <v>1</v>
      </c>
      <c r="AL432" s="171">
        <v>1</v>
      </c>
      <c r="AM432" s="171">
        <v>1</v>
      </c>
      <c r="AN432" s="171">
        <v>1</v>
      </c>
      <c r="AO432" s="171">
        <v>1</v>
      </c>
      <c r="AP432" s="171">
        <v>1</v>
      </c>
      <c r="AQ432" s="171">
        <v>1</v>
      </c>
      <c r="AR432" s="171">
        <v>1</v>
      </c>
      <c r="AS432" s="171">
        <v>1</v>
      </c>
      <c r="AT432" s="171">
        <v>1</v>
      </c>
      <c r="AU432" s="171">
        <f t="shared" si="162"/>
        <v>0</v>
      </c>
      <c r="AV432" s="171">
        <f t="shared" si="163"/>
        <v>1</v>
      </c>
      <c r="AW432" s="171">
        <f t="shared" si="164"/>
        <v>1</v>
      </c>
      <c r="AX432" s="171">
        <f t="shared" si="173"/>
        <v>1</v>
      </c>
      <c r="AY432" s="171">
        <f t="shared" si="165"/>
        <v>0</v>
      </c>
      <c r="AZ432" s="171">
        <f t="shared" si="166"/>
        <v>1</v>
      </c>
      <c r="BA432" s="172">
        <f t="shared" si="167"/>
        <v>1</v>
      </c>
      <c r="BB432" s="175">
        <f t="shared" si="169"/>
        <v>18</v>
      </c>
      <c r="BC432" s="176">
        <f t="shared" si="170"/>
        <v>17</v>
      </c>
      <c r="BD432" s="176">
        <f t="shared" si="171"/>
        <v>18</v>
      </c>
      <c r="BE432" s="240" t="str">
        <f t="shared" si="161"/>
        <v/>
      </c>
      <c r="BH432" s="199">
        <f>IF(AND(Input_Product=Elig!$C432,Elig_MatchAll_Ct&lt;22,$BC432=(Elig_MatchAll_Ct-1),AF432=0),C432,0)</f>
        <v>0</v>
      </c>
      <c r="BI432" s="199">
        <f>IF(AND(Input_Product=Elig!$C432,Elig_MatchAll_Ct&lt;22,$BC432=(Elig_MatchAll_Ct-1),AG432=0),D432,0)</f>
        <v>0</v>
      </c>
      <c r="BJ432" s="199">
        <f>IF(AND(Input_Product=Elig!$C432,Elig_MatchAll_Ct&lt;22,$BC432=(Elig_MatchAll_Ct-1),AH432=0),E432,0)</f>
        <v>0</v>
      </c>
      <c r="BK432" s="199">
        <f>IF(AND(Input_Product=Elig!$C432,Elig_MatchAll_Ct&lt;22,$BC432=(Elig_MatchAll_Ct-1),AI432=0),F432,0)</f>
        <v>0</v>
      </c>
      <c r="BL432" s="199">
        <f>IF(AND(Input_Product=Elig!$C432,Elig_MatchAll_Ct&lt;22,$BC432=(Elig_MatchAll_Ct-1),AJ432=0),G432,0)</f>
        <v>0</v>
      </c>
      <c r="BM432" s="199">
        <f>IF(AND(Input_Product=Elig!$C432,Elig_MatchAll_Ct&lt;22,$BC432=(Elig_MatchAll_Ct-1),AK432=0),H432,0)</f>
        <v>0</v>
      </c>
      <c r="BN432" s="199">
        <f>IF(AND(Input_Product=Elig!$C432,Elig_MatchAll_Ct&lt;22,$BC432=(Elig_MatchAll_Ct-1),AL432=0),I432,0)</f>
        <v>0</v>
      </c>
      <c r="BO432" s="199">
        <f>IF(AND(Input_Product=Elig!$C432,Elig_MatchAll_Ct&lt;22,$BC432=(Elig_MatchAll_Ct-1),AM432=0),J432,0)</f>
        <v>0</v>
      </c>
      <c r="BP432" s="199">
        <f>IF(AND(Input_Product=Elig!$C432,Elig_MatchAll_Ct&lt;22,$BC432=(Elig_MatchAll_Ct-1),AN432=0),K432,0)</f>
        <v>0</v>
      </c>
      <c r="BQ432" s="199">
        <f>IF(AND(Input_Product=Elig!$C432,Elig_MatchAll_Ct&lt;22,$BC432=(Elig_MatchAll_Ct-1),AP432=0),L432,0)</f>
        <v>0</v>
      </c>
      <c r="BR432" s="199">
        <f>IF(AND(Input_Product=Elig!$C432,Elig_MatchAll_Ct&lt;22,$BC432=(Elig_MatchAll_Ct-1),AO432=0),M432,0)</f>
        <v>0</v>
      </c>
      <c r="BS432" s="199">
        <f>IF(AND(Input_Product=Elig!$C432,Elig_MatchAll_Ct&lt;22,$BC432=(Elig_MatchAll_Ct-1),AQ432=0),N432,0)</f>
        <v>0</v>
      </c>
      <c r="BT432" s="199">
        <f>IF(AND(Input_Product=Elig!$C432,Elig_MatchAll_Ct&lt;22,$BC432=(Elig_MatchAll_Ct-1),AR432=0),O432,0)</f>
        <v>0</v>
      </c>
      <c r="BU432" s="199">
        <f>IF(AND(Input_Product=Elig!$C432,Elig_MatchAll_Ct&lt;22,$BC432=(Elig_MatchAll_Ct-1),AS432=0),P432,0)</f>
        <v>0</v>
      </c>
      <c r="BV432" s="200">
        <f>IF(AND(Input_Product=Elig!$C432,Elig_MatchAll_Ct&lt;22,$BC432=(Elig_MatchAll_Ct-1),AT432=0),Q432,0)</f>
        <v>0</v>
      </c>
      <c r="BW432" s="201">
        <f>IF(AND(Input_Product=Elig!$C432,Elig_MatchAll_Ct&lt;22,$BC432=(Elig_MatchAll_Ct-1),AU432=0),R432,0)</f>
        <v>0</v>
      </c>
      <c r="BX432" s="202">
        <f>IF(AND(Input_Product=Elig!$C432,Elig_MatchAll_Ct&lt;22,$BC432=(Elig_MatchAll_Ct-1),AU432=0),S432,0)</f>
        <v>0</v>
      </c>
      <c r="BY432" s="201">
        <f>IF(AND(Input_Product=Elig!$C432,Elig_MatchAll_Ct&lt;22,$BC432=(Elig_MatchAll_Ct-1),AV432=0),T432,0)</f>
        <v>0</v>
      </c>
      <c r="BZ432" s="202">
        <f>IF(AND(Input_Product=Elig!$C432,Elig_MatchAll_Ct&lt;22,$BC432=(Elig_MatchAll_Ct-1),AV432=0),U432,0)</f>
        <v>0</v>
      </c>
      <c r="CA432" s="201">
        <f>IF(AND(Input_Product=Elig!$C432,Elig_MatchAll_Ct&lt;22,$BC432=(Elig_MatchAll_Ct-1),AW432=0),V432,0)</f>
        <v>0</v>
      </c>
      <c r="CB432" s="202">
        <f>IF(AND(Input_Product=Elig!$C432,Elig_MatchAll_Ct&lt;22,$BC432=(Elig_MatchAll_Ct-1),AW432=0),W432,0)</f>
        <v>0</v>
      </c>
      <c r="CC432" s="201">
        <f>IF(AND(Input_Product=Elig!$C432,Elig_MatchAll_Ct&lt;22,$BC432=(Elig_MatchAll_Ct-1),AX432=0),X432,0)</f>
        <v>0</v>
      </c>
      <c r="CD432" s="202">
        <f>IF(AND(Input_Product=Elig!$C432,Elig_MatchAll_Ct&lt;22,$BC432=(Elig_MatchAll_Ct-1),AX432=0),Y432,0)</f>
        <v>0</v>
      </c>
      <c r="CE432" s="201">
        <f>IF(AND(Input_LTV&lt;=AE432,Input_Product=Elig!$C432,Elig_MatchAll_Ct&lt;22,$BC432=(Elig_MatchAll_Ct-1),AY432=0),Z432,0)</f>
        <v>0</v>
      </c>
      <c r="CF432" s="202">
        <f>IF(AND(Input_LTV&lt;=AE432,Input_Product=Elig!$C432,Elig_MatchAll_Ct&lt;22,$BC432=(Elig_MatchAll_Ct-1),AY432=0),AA432,0)</f>
        <v>0</v>
      </c>
      <c r="CG432" s="201">
        <f>IF(AND(Input_Product=Elig!$C432,Elig_MatchAll_Ct&lt;22,$BC432=(Elig_MatchAll_Ct-1),AZ432=0),AB432,0)</f>
        <v>0</v>
      </c>
      <c r="CH432" s="202">
        <f>IF(AND(Input_Product=Elig!$C432,Elig_MatchAll_Ct&lt;22,$BC432=(Elig_MatchAll_Ct-1),AZ432=0),AC432,0)</f>
        <v>0</v>
      </c>
      <c r="CI432" s="201">
        <f>IF(AND(Input_Product=Elig!$C432,Elig_MatchAll_Ct&lt;22,$BC432=(Elig_MatchAll_Ct-1),BA432=0),AD432,0)</f>
        <v>0</v>
      </c>
      <c r="CJ432" s="202">
        <f>IF(AND(Input_Product=Elig!$C432,Elig_MatchAll_Ct&lt;22,$BC432=(Elig_MatchAll_Ct-1),BA432=0),AE432,0)</f>
        <v>0</v>
      </c>
    </row>
    <row r="433" spans="2:88" ht="10.15" customHeight="1" x14ac:dyDescent="0.25">
      <c r="B433" s="287" t="s">
        <v>1129</v>
      </c>
      <c r="C433" s="286" t="str">
        <f t="shared" si="175"/>
        <v>NonQM NOO</v>
      </c>
      <c r="D433" s="287" t="s">
        <v>3885</v>
      </c>
      <c r="E433" s="287" t="s">
        <v>167</v>
      </c>
      <c r="F433" s="287" t="s">
        <v>330</v>
      </c>
      <c r="G433" s="287" t="s">
        <v>303</v>
      </c>
      <c r="H433" s="287" t="s">
        <v>136</v>
      </c>
      <c r="I433" s="287" t="s">
        <v>16</v>
      </c>
      <c r="J433" s="287" t="s">
        <v>1311</v>
      </c>
      <c r="K433" s="287" t="s">
        <v>1631</v>
      </c>
      <c r="L433" s="300" t="s">
        <v>312</v>
      </c>
      <c r="M433" s="287" t="s">
        <v>4203</v>
      </c>
      <c r="N433" s="287" t="s">
        <v>2685</v>
      </c>
      <c r="O433" s="287" t="s">
        <v>310</v>
      </c>
      <c r="P433" s="287" t="s">
        <v>291</v>
      </c>
      <c r="Q433" s="287" t="s">
        <v>294</v>
      </c>
      <c r="R433" s="287">
        <v>1500000.01</v>
      </c>
      <c r="S433" s="287">
        <v>2000000</v>
      </c>
      <c r="T433" s="287">
        <v>0</v>
      </c>
      <c r="U433" s="287">
        <f t="shared" si="174"/>
        <v>2000000</v>
      </c>
      <c r="V433" s="287">
        <v>0</v>
      </c>
      <c r="W433" s="287">
        <v>50</v>
      </c>
      <c r="X433" s="287">
        <v>0</v>
      </c>
      <c r="Y433" s="287">
        <v>999</v>
      </c>
      <c r="Z433" s="289">
        <v>640</v>
      </c>
      <c r="AA433" s="289">
        <v>659</v>
      </c>
      <c r="AB433" s="289">
        <v>6</v>
      </c>
      <c r="AC433" s="289">
        <v>999999</v>
      </c>
      <c r="AD433" s="287">
        <v>0</v>
      </c>
      <c r="AE433" s="290">
        <v>-999</v>
      </c>
      <c r="AF433" s="170">
        <v>0</v>
      </c>
      <c r="AG433" s="171">
        <v>1</v>
      </c>
      <c r="AH433" s="171">
        <v>1</v>
      </c>
      <c r="AI433" s="171">
        <v>0</v>
      </c>
      <c r="AJ433" s="171">
        <v>1</v>
      </c>
      <c r="AK433" s="171">
        <v>1</v>
      </c>
      <c r="AL433" s="171">
        <v>1</v>
      </c>
      <c r="AM433" s="171">
        <v>1</v>
      </c>
      <c r="AN433" s="171">
        <v>1</v>
      </c>
      <c r="AO433" s="171">
        <v>1</v>
      </c>
      <c r="AP433" s="171">
        <v>1</v>
      </c>
      <c r="AQ433" s="171">
        <v>1</v>
      </c>
      <c r="AR433" s="171">
        <v>1</v>
      </c>
      <c r="AS433" s="171">
        <v>1</v>
      </c>
      <c r="AT433" s="171">
        <v>1</v>
      </c>
      <c r="AU433" s="171">
        <f t="shared" si="162"/>
        <v>0</v>
      </c>
      <c r="AV433" s="171">
        <f t="shared" si="163"/>
        <v>1</v>
      </c>
      <c r="AW433" s="171">
        <f t="shared" si="164"/>
        <v>1</v>
      </c>
      <c r="AX433" s="171">
        <f t="shared" si="173"/>
        <v>1</v>
      </c>
      <c r="AY433" s="171">
        <f t="shared" si="165"/>
        <v>0</v>
      </c>
      <c r="AZ433" s="171">
        <f t="shared" si="166"/>
        <v>1</v>
      </c>
      <c r="BA433" s="172">
        <f t="shared" si="167"/>
        <v>0</v>
      </c>
      <c r="BB433" s="175">
        <f t="shared" si="169"/>
        <v>17</v>
      </c>
      <c r="BC433" s="176">
        <f t="shared" si="170"/>
        <v>17</v>
      </c>
      <c r="BD433" s="176">
        <f t="shared" si="171"/>
        <v>17</v>
      </c>
      <c r="BE433" s="240" t="str">
        <f t="shared" si="161"/>
        <v/>
      </c>
      <c r="BH433" s="199">
        <f>IF(AND(Input_Product=Elig!$C433,Elig_MatchAll_Ct&lt;22,$BC433=(Elig_MatchAll_Ct-1),AF433=0),C433,0)</f>
        <v>0</v>
      </c>
      <c r="BI433" s="199">
        <f>IF(AND(Input_Product=Elig!$C433,Elig_MatchAll_Ct&lt;22,$BC433=(Elig_MatchAll_Ct-1),AG433=0),D433,0)</f>
        <v>0</v>
      </c>
      <c r="BJ433" s="199">
        <f>IF(AND(Input_Product=Elig!$C433,Elig_MatchAll_Ct&lt;22,$BC433=(Elig_MatchAll_Ct-1),AH433=0),E433,0)</f>
        <v>0</v>
      </c>
      <c r="BK433" s="199">
        <f>IF(AND(Input_Product=Elig!$C433,Elig_MatchAll_Ct&lt;22,$BC433=(Elig_MatchAll_Ct-1),AI433=0),F433,0)</f>
        <v>0</v>
      </c>
      <c r="BL433" s="199">
        <f>IF(AND(Input_Product=Elig!$C433,Elig_MatchAll_Ct&lt;22,$BC433=(Elig_MatchAll_Ct-1),AJ433=0),G433,0)</f>
        <v>0</v>
      </c>
      <c r="BM433" s="199">
        <f>IF(AND(Input_Product=Elig!$C433,Elig_MatchAll_Ct&lt;22,$BC433=(Elig_MatchAll_Ct-1),AK433=0),H433,0)</f>
        <v>0</v>
      </c>
      <c r="BN433" s="199">
        <f>IF(AND(Input_Product=Elig!$C433,Elig_MatchAll_Ct&lt;22,$BC433=(Elig_MatchAll_Ct-1),AL433=0),I433,0)</f>
        <v>0</v>
      </c>
      <c r="BO433" s="199">
        <f>IF(AND(Input_Product=Elig!$C433,Elig_MatchAll_Ct&lt;22,$BC433=(Elig_MatchAll_Ct-1),AM433=0),J433,0)</f>
        <v>0</v>
      </c>
      <c r="BP433" s="199">
        <f>IF(AND(Input_Product=Elig!$C433,Elig_MatchAll_Ct&lt;22,$BC433=(Elig_MatchAll_Ct-1),AN433=0),K433,0)</f>
        <v>0</v>
      </c>
      <c r="BQ433" s="199">
        <f>IF(AND(Input_Product=Elig!$C433,Elig_MatchAll_Ct&lt;22,$BC433=(Elig_MatchAll_Ct-1),AP433=0),L433,0)</f>
        <v>0</v>
      </c>
      <c r="BR433" s="199">
        <f>IF(AND(Input_Product=Elig!$C433,Elig_MatchAll_Ct&lt;22,$BC433=(Elig_MatchAll_Ct-1),AO433=0),M433,0)</f>
        <v>0</v>
      </c>
      <c r="BS433" s="199">
        <f>IF(AND(Input_Product=Elig!$C433,Elig_MatchAll_Ct&lt;22,$BC433=(Elig_MatchAll_Ct-1),AQ433=0),N433,0)</f>
        <v>0</v>
      </c>
      <c r="BT433" s="199">
        <f>IF(AND(Input_Product=Elig!$C433,Elig_MatchAll_Ct&lt;22,$BC433=(Elig_MatchAll_Ct-1),AR433=0),O433,0)</f>
        <v>0</v>
      </c>
      <c r="BU433" s="199">
        <f>IF(AND(Input_Product=Elig!$C433,Elig_MatchAll_Ct&lt;22,$BC433=(Elig_MatchAll_Ct-1),AS433=0),P433,0)</f>
        <v>0</v>
      </c>
      <c r="BV433" s="200">
        <f>IF(AND(Input_Product=Elig!$C433,Elig_MatchAll_Ct&lt;22,$BC433=(Elig_MatchAll_Ct-1),AT433=0),Q433,0)</f>
        <v>0</v>
      </c>
      <c r="BW433" s="201">
        <f>IF(AND(Input_Product=Elig!$C433,Elig_MatchAll_Ct&lt;22,$BC433=(Elig_MatchAll_Ct-1),AU433=0),R433,0)</f>
        <v>0</v>
      </c>
      <c r="BX433" s="202">
        <f>IF(AND(Input_Product=Elig!$C433,Elig_MatchAll_Ct&lt;22,$BC433=(Elig_MatchAll_Ct-1),AU433=0),S433,0)</f>
        <v>0</v>
      </c>
      <c r="BY433" s="201">
        <f>IF(AND(Input_Product=Elig!$C433,Elig_MatchAll_Ct&lt;22,$BC433=(Elig_MatchAll_Ct-1),AV433=0),T433,0)</f>
        <v>0</v>
      </c>
      <c r="BZ433" s="202">
        <f>IF(AND(Input_Product=Elig!$C433,Elig_MatchAll_Ct&lt;22,$BC433=(Elig_MatchAll_Ct-1),AV433=0),U433,0)</f>
        <v>0</v>
      </c>
      <c r="CA433" s="201">
        <f>IF(AND(Input_Product=Elig!$C433,Elig_MatchAll_Ct&lt;22,$BC433=(Elig_MatchAll_Ct-1),AW433=0),V433,0)</f>
        <v>0</v>
      </c>
      <c r="CB433" s="202">
        <f>IF(AND(Input_Product=Elig!$C433,Elig_MatchAll_Ct&lt;22,$BC433=(Elig_MatchAll_Ct-1),AW433=0),W433,0)</f>
        <v>0</v>
      </c>
      <c r="CC433" s="201">
        <f>IF(AND(Input_Product=Elig!$C433,Elig_MatchAll_Ct&lt;22,$BC433=(Elig_MatchAll_Ct-1),AX433=0),X433,0)</f>
        <v>0</v>
      </c>
      <c r="CD433" s="202">
        <f>IF(AND(Input_Product=Elig!$C433,Elig_MatchAll_Ct&lt;22,$BC433=(Elig_MatchAll_Ct-1),AX433=0),Y433,0)</f>
        <v>0</v>
      </c>
      <c r="CE433" s="201">
        <f>IF(AND(Input_LTV&lt;=AE433,Input_Product=Elig!$C433,Elig_MatchAll_Ct&lt;22,$BC433=(Elig_MatchAll_Ct-1),AY433=0),Z433,0)</f>
        <v>0</v>
      </c>
      <c r="CF433" s="202">
        <f>IF(AND(Input_LTV&lt;=AE433,Input_Product=Elig!$C433,Elig_MatchAll_Ct&lt;22,$BC433=(Elig_MatchAll_Ct-1),AY433=0),AA433,0)</f>
        <v>0</v>
      </c>
      <c r="CG433" s="201">
        <f>IF(AND(Input_Product=Elig!$C433,Elig_MatchAll_Ct&lt;22,$BC433=(Elig_MatchAll_Ct-1),AZ433=0),AB433,0)</f>
        <v>0</v>
      </c>
      <c r="CH433" s="202">
        <f>IF(AND(Input_Product=Elig!$C433,Elig_MatchAll_Ct&lt;22,$BC433=(Elig_MatchAll_Ct-1),AZ433=0),AC433,0)</f>
        <v>0</v>
      </c>
      <c r="CI433" s="201">
        <f>IF(AND(Input_Product=Elig!$C433,Elig_MatchAll_Ct&lt;22,$BC433=(Elig_MatchAll_Ct-1),BA433=0),AD433,0)</f>
        <v>0</v>
      </c>
      <c r="CJ433" s="202">
        <f>IF(AND(Input_Product=Elig!$C433,Elig_MatchAll_Ct&lt;22,$BC433=(Elig_MatchAll_Ct-1),BA433=0),AE433,0)</f>
        <v>0</v>
      </c>
    </row>
    <row r="434" spans="2:88" ht="10.15" customHeight="1" x14ac:dyDescent="0.25">
      <c r="B434" s="287" t="s">
        <v>1130</v>
      </c>
      <c r="C434" s="291" t="str">
        <f t="shared" si="175"/>
        <v>NonQM NOO</v>
      </c>
      <c r="D434" s="292" t="s">
        <v>3885</v>
      </c>
      <c r="E434" s="292" t="s">
        <v>167</v>
      </c>
      <c r="F434" s="292" t="s">
        <v>330</v>
      </c>
      <c r="G434" s="292" t="s">
        <v>303</v>
      </c>
      <c r="H434" s="292" t="s">
        <v>136</v>
      </c>
      <c r="I434" s="292" t="s">
        <v>16</v>
      </c>
      <c r="J434" s="292" t="s">
        <v>1311</v>
      </c>
      <c r="K434" s="292" t="s">
        <v>1631</v>
      </c>
      <c r="L434" s="324" t="s">
        <v>312</v>
      </c>
      <c r="M434" s="292" t="s">
        <v>4203</v>
      </c>
      <c r="N434" s="292" t="s">
        <v>2685</v>
      </c>
      <c r="O434" s="292" t="s">
        <v>310</v>
      </c>
      <c r="P434" s="292" t="s">
        <v>291</v>
      </c>
      <c r="Q434" s="292" t="s">
        <v>294</v>
      </c>
      <c r="R434" s="292">
        <v>1500000.01</v>
      </c>
      <c r="S434" s="292">
        <v>2000000</v>
      </c>
      <c r="T434" s="292">
        <v>0</v>
      </c>
      <c r="U434" s="292">
        <f t="shared" si="174"/>
        <v>2000000</v>
      </c>
      <c r="V434" s="292">
        <v>0</v>
      </c>
      <c r="W434" s="292">
        <v>50</v>
      </c>
      <c r="X434" s="292">
        <v>0</v>
      </c>
      <c r="Y434" s="292">
        <v>999</v>
      </c>
      <c r="Z434" s="293">
        <v>620</v>
      </c>
      <c r="AA434" s="293">
        <v>639</v>
      </c>
      <c r="AB434" s="293">
        <v>6</v>
      </c>
      <c r="AC434" s="293">
        <v>999999</v>
      </c>
      <c r="AD434" s="292">
        <v>0</v>
      </c>
      <c r="AE434" s="294">
        <v>-999</v>
      </c>
      <c r="AF434" s="170">
        <v>0</v>
      </c>
      <c r="AG434" s="171">
        <v>1</v>
      </c>
      <c r="AH434" s="171">
        <v>1</v>
      </c>
      <c r="AI434" s="171">
        <v>0</v>
      </c>
      <c r="AJ434" s="171">
        <v>1</v>
      </c>
      <c r="AK434" s="171">
        <v>1</v>
      </c>
      <c r="AL434" s="171">
        <v>1</v>
      </c>
      <c r="AM434" s="171">
        <v>1</v>
      </c>
      <c r="AN434" s="171">
        <v>1</v>
      </c>
      <c r="AO434" s="171">
        <v>1</v>
      </c>
      <c r="AP434" s="171">
        <v>1</v>
      </c>
      <c r="AQ434" s="171">
        <v>1</v>
      </c>
      <c r="AR434" s="171">
        <v>1</v>
      </c>
      <c r="AS434" s="171">
        <v>1</v>
      </c>
      <c r="AT434" s="171">
        <v>1</v>
      </c>
      <c r="AU434" s="171">
        <f t="shared" si="162"/>
        <v>0</v>
      </c>
      <c r="AV434" s="171">
        <f t="shared" si="163"/>
        <v>1</v>
      </c>
      <c r="AW434" s="171">
        <f t="shared" si="164"/>
        <v>1</v>
      </c>
      <c r="AX434" s="171">
        <f t="shared" si="173"/>
        <v>1</v>
      </c>
      <c r="AY434" s="171">
        <f t="shared" si="165"/>
        <v>0</v>
      </c>
      <c r="AZ434" s="171">
        <f t="shared" si="166"/>
        <v>1</v>
      </c>
      <c r="BA434" s="172">
        <f t="shared" si="167"/>
        <v>0</v>
      </c>
      <c r="BB434" s="175">
        <f t="shared" si="169"/>
        <v>17</v>
      </c>
      <c r="BC434" s="176">
        <f t="shared" si="170"/>
        <v>17</v>
      </c>
      <c r="BD434" s="176">
        <f t="shared" si="171"/>
        <v>17</v>
      </c>
      <c r="BE434" s="240" t="str">
        <f t="shared" si="161"/>
        <v/>
      </c>
      <c r="BH434" s="214">
        <f>IF(AND(Input_Product=Elig!$C434,Elig_MatchAll_Ct&lt;22,$BC434=(Elig_MatchAll_Ct-1),AF434=0),C434,0)</f>
        <v>0</v>
      </c>
      <c r="BI434" s="214">
        <f>IF(AND(Input_Product=Elig!$C434,Elig_MatchAll_Ct&lt;22,$BC434=(Elig_MatchAll_Ct-1),AG434=0),D434,0)</f>
        <v>0</v>
      </c>
      <c r="BJ434" s="214">
        <f>IF(AND(Input_Product=Elig!$C434,Elig_MatchAll_Ct&lt;22,$BC434=(Elig_MatchAll_Ct-1),AH434=0),E434,0)</f>
        <v>0</v>
      </c>
      <c r="BK434" s="214">
        <f>IF(AND(Input_Product=Elig!$C434,Elig_MatchAll_Ct&lt;22,$BC434=(Elig_MatchAll_Ct-1),AI434=0),F434,0)</f>
        <v>0</v>
      </c>
      <c r="BL434" s="214">
        <f>IF(AND(Input_Product=Elig!$C434,Elig_MatchAll_Ct&lt;22,$BC434=(Elig_MatchAll_Ct-1),AJ434=0),G434,0)</f>
        <v>0</v>
      </c>
      <c r="BM434" s="214">
        <f>IF(AND(Input_Product=Elig!$C434,Elig_MatchAll_Ct&lt;22,$BC434=(Elig_MatchAll_Ct-1),AK434=0),H434,0)</f>
        <v>0</v>
      </c>
      <c r="BN434" s="214">
        <f>IF(AND(Input_Product=Elig!$C434,Elig_MatchAll_Ct&lt;22,$BC434=(Elig_MatchAll_Ct-1),AL434=0),I434,0)</f>
        <v>0</v>
      </c>
      <c r="BO434" s="214">
        <f>IF(AND(Input_Product=Elig!$C434,Elig_MatchAll_Ct&lt;22,$BC434=(Elig_MatchAll_Ct-1),AM434=0),J434,0)</f>
        <v>0</v>
      </c>
      <c r="BP434" s="214">
        <f>IF(AND(Input_Product=Elig!$C434,Elig_MatchAll_Ct&lt;22,$BC434=(Elig_MatchAll_Ct-1),AN434=0),K434,0)</f>
        <v>0</v>
      </c>
      <c r="BQ434" s="214">
        <f>IF(AND(Input_Product=Elig!$C434,Elig_MatchAll_Ct&lt;22,$BC434=(Elig_MatchAll_Ct-1),AP434=0),L434,0)</f>
        <v>0</v>
      </c>
      <c r="BR434" s="214">
        <f>IF(AND(Input_Product=Elig!$C434,Elig_MatchAll_Ct&lt;22,$BC434=(Elig_MatchAll_Ct-1),AO434=0),M434,0)</f>
        <v>0</v>
      </c>
      <c r="BS434" s="214">
        <f>IF(AND(Input_Product=Elig!$C434,Elig_MatchAll_Ct&lt;22,$BC434=(Elig_MatchAll_Ct-1),AQ434=0),N434,0)</f>
        <v>0</v>
      </c>
      <c r="BT434" s="214">
        <f>IF(AND(Input_Product=Elig!$C434,Elig_MatchAll_Ct&lt;22,$BC434=(Elig_MatchAll_Ct-1),AR434=0),O434,0)</f>
        <v>0</v>
      </c>
      <c r="BU434" s="214">
        <f>IF(AND(Input_Product=Elig!$C434,Elig_MatchAll_Ct&lt;22,$BC434=(Elig_MatchAll_Ct-1),AS434=0),P434,0)</f>
        <v>0</v>
      </c>
      <c r="BV434" s="215">
        <f>IF(AND(Input_Product=Elig!$C434,Elig_MatchAll_Ct&lt;22,$BC434=(Elig_MatchAll_Ct-1),AT434=0),Q434,0)</f>
        <v>0</v>
      </c>
      <c r="BW434" s="207">
        <f>IF(AND(Input_Product=Elig!$C434,Elig_MatchAll_Ct&lt;22,$BC434=(Elig_MatchAll_Ct-1),AU434=0),R434,0)</f>
        <v>0</v>
      </c>
      <c r="BX434" s="208">
        <f>IF(AND(Input_Product=Elig!$C434,Elig_MatchAll_Ct&lt;22,$BC434=(Elig_MatchAll_Ct-1),AU434=0),S434,0)</f>
        <v>0</v>
      </c>
      <c r="BY434" s="207">
        <f>IF(AND(Input_Product=Elig!$C434,Elig_MatchAll_Ct&lt;22,$BC434=(Elig_MatchAll_Ct-1),AV434=0),T434,0)</f>
        <v>0</v>
      </c>
      <c r="BZ434" s="208">
        <f>IF(AND(Input_Product=Elig!$C434,Elig_MatchAll_Ct&lt;22,$BC434=(Elig_MatchAll_Ct-1),AV434=0),U434,0)</f>
        <v>0</v>
      </c>
      <c r="CA434" s="207">
        <f>IF(AND(Input_Product=Elig!$C434,Elig_MatchAll_Ct&lt;22,$BC434=(Elig_MatchAll_Ct-1),AW434=0),V434,0)</f>
        <v>0</v>
      </c>
      <c r="CB434" s="208">
        <f>IF(AND(Input_Product=Elig!$C434,Elig_MatchAll_Ct&lt;22,$BC434=(Elig_MatchAll_Ct-1),AW434=0),W434,0)</f>
        <v>0</v>
      </c>
      <c r="CC434" s="207">
        <f>IF(AND(Input_Product=Elig!$C434,Elig_MatchAll_Ct&lt;22,$BC434=(Elig_MatchAll_Ct-1),AX434=0),X434,0)</f>
        <v>0</v>
      </c>
      <c r="CD434" s="208">
        <f>IF(AND(Input_Product=Elig!$C434,Elig_MatchAll_Ct&lt;22,$BC434=(Elig_MatchAll_Ct-1),AX434=0),Y434,0)</f>
        <v>0</v>
      </c>
      <c r="CE434" s="207">
        <f>IF(AND(Input_LTV&lt;=AE434,Input_Product=Elig!$C434,Elig_MatchAll_Ct&lt;22,$BC434=(Elig_MatchAll_Ct-1),AY434=0),Z434,0)</f>
        <v>0</v>
      </c>
      <c r="CF434" s="208">
        <f>IF(AND(Input_LTV&lt;=AE434,Input_Product=Elig!$C434,Elig_MatchAll_Ct&lt;22,$BC434=(Elig_MatchAll_Ct-1),AY434=0),AA434,0)</f>
        <v>0</v>
      </c>
      <c r="CG434" s="207">
        <f>IF(AND(Input_Product=Elig!$C434,Elig_MatchAll_Ct&lt;22,$BC434=(Elig_MatchAll_Ct-1),AZ434=0),AB434,0)</f>
        <v>0</v>
      </c>
      <c r="CH434" s="208">
        <f>IF(AND(Input_Product=Elig!$C434,Elig_MatchAll_Ct&lt;22,$BC434=(Elig_MatchAll_Ct-1),AZ434=0),AC434,0)</f>
        <v>0</v>
      </c>
      <c r="CI434" s="207">
        <f>IF(AND(Input_Product=Elig!$C434,Elig_MatchAll_Ct&lt;22,$BC434=(Elig_MatchAll_Ct-1),BA434=0),AD434,0)</f>
        <v>0</v>
      </c>
      <c r="CJ434" s="209">
        <f>IF(AND(Input_Product=Elig!$C434,Elig_MatchAll_Ct&lt;22,$BC434=(Elig_MatchAll_Ct-1),BA434=0),AE434,0)</f>
        <v>0</v>
      </c>
    </row>
    <row r="435" spans="2:88" ht="10.15" customHeight="1" x14ac:dyDescent="0.25">
      <c r="B435" s="287" t="s">
        <v>1131</v>
      </c>
      <c r="C435" s="281" t="str">
        <f t="shared" si="175"/>
        <v>NonQM NOO</v>
      </c>
      <c r="D435" s="282" t="s">
        <v>3885</v>
      </c>
      <c r="E435" s="283" t="s">
        <v>167</v>
      </c>
      <c r="F435" s="283" t="s">
        <v>330</v>
      </c>
      <c r="G435" s="2103" t="s">
        <v>304</v>
      </c>
      <c r="H435" s="283" t="s">
        <v>446</v>
      </c>
      <c r="I435" s="282" t="s">
        <v>274</v>
      </c>
      <c r="J435" s="282" t="s">
        <v>1311</v>
      </c>
      <c r="K435" s="282" t="s">
        <v>1631</v>
      </c>
      <c r="L435" s="2103" t="s">
        <v>312</v>
      </c>
      <c r="M435" s="283" t="s">
        <v>4203</v>
      </c>
      <c r="N435" s="283" t="s">
        <v>2685</v>
      </c>
      <c r="O435" s="283" t="s">
        <v>310</v>
      </c>
      <c r="P435" s="283" t="s">
        <v>291</v>
      </c>
      <c r="Q435" s="283" t="s">
        <v>294</v>
      </c>
      <c r="R435" s="282">
        <v>1500000.01</v>
      </c>
      <c r="S435" s="282">
        <v>2000000</v>
      </c>
      <c r="T435" s="282">
        <v>0</v>
      </c>
      <c r="U435" s="282">
        <v>0</v>
      </c>
      <c r="V435" s="282">
        <v>0</v>
      </c>
      <c r="W435" s="282">
        <v>50</v>
      </c>
      <c r="X435" s="282">
        <v>0</v>
      </c>
      <c r="Y435" s="282">
        <v>999</v>
      </c>
      <c r="Z435" s="284">
        <v>720</v>
      </c>
      <c r="AA435" s="284">
        <v>999</v>
      </c>
      <c r="AB435" s="284">
        <v>6</v>
      </c>
      <c r="AC435" s="284">
        <v>999999</v>
      </c>
      <c r="AD435" s="282">
        <v>0</v>
      </c>
      <c r="AE435" s="2104">
        <v>80</v>
      </c>
      <c r="AF435" s="170">
        <v>0</v>
      </c>
      <c r="AG435" s="171">
        <v>1</v>
      </c>
      <c r="AH435" s="171">
        <v>1</v>
      </c>
      <c r="AI435" s="171">
        <v>0</v>
      </c>
      <c r="AJ435" s="171">
        <v>0</v>
      </c>
      <c r="AK435" s="171">
        <v>0</v>
      </c>
      <c r="AL435" s="171">
        <v>0</v>
      </c>
      <c r="AM435" s="171">
        <v>1</v>
      </c>
      <c r="AN435" s="171">
        <v>1</v>
      </c>
      <c r="AO435" s="171">
        <v>1</v>
      </c>
      <c r="AP435" s="171">
        <v>1</v>
      </c>
      <c r="AQ435" s="171">
        <v>1</v>
      </c>
      <c r="AR435" s="171">
        <v>1</v>
      </c>
      <c r="AS435" s="171">
        <v>1</v>
      </c>
      <c r="AT435" s="171">
        <v>1</v>
      </c>
      <c r="AU435" s="171">
        <f t="shared" si="162"/>
        <v>0</v>
      </c>
      <c r="AV435" s="171">
        <f t="shared" si="163"/>
        <v>0</v>
      </c>
      <c r="AW435" s="171">
        <f t="shared" si="164"/>
        <v>1</v>
      </c>
      <c r="AX435" s="171">
        <f t="shared" si="173"/>
        <v>1</v>
      </c>
      <c r="AY435" s="171">
        <f t="shared" si="165"/>
        <v>1</v>
      </c>
      <c r="AZ435" s="171">
        <f t="shared" si="166"/>
        <v>1</v>
      </c>
      <c r="BA435" s="172">
        <f t="shared" si="167"/>
        <v>1</v>
      </c>
      <c r="BB435" s="175">
        <f t="shared" si="169"/>
        <v>15</v>
      </c>
      <c r="BC435" s="176">
        <f t="shared" si="170"/>
        <v>14</v>
      </c>
      <c r="BD435" s="176">
        <f t="shared" si="171"/>
        <v>15</v>
      </c>
      <c r="BE435" s="240" t="str">
        <f t="shared" si="161"/>
        <v/>
      </c>
      <c r="BH435" s="216">
        <f>IF(AND(Input_Product=Elig!$C435,Elig_MatchAll_Ct&lt;22,$BC435=(Elig_MatchAll_Ct-1),AF435=0),C435,0)</f>
        <v>0</v>
      </c>
      <c r="BI435" s="216">
        <f>IF(AND(Input_Product=Elig!$C435,Elig_MatchAll_Ct&lt;22,$BC435=(Elig_MatchAll_Ct-1),AG435=0),D435,0)</f>
        <v>0</v>
      </c>
      <c r="BJ435" s="216">
        <f>IF(AND(Input_Product=Elig!$C435,Elig_MatchAll_Ct&lt;22,$BC435=(Elig_MatchAll_Ct-1),AH435=0),E435,0)</f>
        <v>0</v>
      </c>
      <c r="BK435" s="216">
        <f>IF(AND(Input_Product=Elig!$C435,Elig_MatchAll_Ct&lt;22,$BC435=(Elig_MatchAll_Ct-1),AI435=0),F435,0)</f>
        <v>0</v>
      </c>
      <c r="BL435" s="216">
        <f>IF(AND(Input_Product=Elig!$C435,Elig_MatchAll_Ct&lt;22,$BC435=(Elig_MatchAll_Ct-1),AJ435=0),G435,0)</f>
        <v>0</v>
      </c>
      <c r="BM435" s="216">
        <f>IF(AND(Input_Product=Elig!$C435,Elig_MatchAll_Ct&lt;22,$BC435=(Elig_MatchAll_Ct-1),AK435=0),H435,0)</f>
        <v>0</v>
      </c>
      <c r="BN435" s="216">
        <f>IF(AND(Input_Product=Elig!$C435,Elig_MatchAll_Ct&lt;22,$BC435=(Elig_MatchAll_Ct-1),AL435=0),I435,0)</f>
        <v>0</v>
      </c>
      <c r="BO435" s="216">
        <f>IF(AND(Input_Product=Elig!$C435,Elig_MatchAll_Ct&lt;22,$BC435=(Elig_MatchAll_Ct-1),AM435=0),J435,0)</f>
        <v>0</v>
      </c>
      <c r="BP435" s="216">
        <f>IF(AND(Input_Product=Elig!$C435,Elig_MatchAll_Ct&lt;22,$BC435=(Elig_MatchAll_Ct-1),AN435=0),K435,0)</f>
        <v>0</v>
      </c>
      <c r="BQ435" s="216">
        <f>IF(AND(Input_Product=Elig!$C435,Elig_MatchAll_Ct&lt;22,$BC435=(Elig_MatchAll_Ct-1),AP435=0),L435,0)</f>
        <v>0</v>
      </c>
      <c r="BR435" s="216">
        <f>IF(AND(Input_Product=Elig!$C435,Elig_MatchAll_Ct&lt;22,$BC435=(Elig_MatchAll_Ct-1),AO435=0),M435,0)</f>
        <v>0</v>
      </c>
      <c r="BS435" s="216">
        <f>IF(AND(Input_Product=Elig!$C435,Elig_MatchAll_Ct&lt;22,$BC435=(Elig_MatchAll_Ct-1),AQ435=0),N435,0)</f>
        <v>0</v>
      </c>
      <c r="BT435" s="216">
        <f>IF(AND(Input_Product=Elig!$C435,Elig_MatchAll_Ct&lt;22,$BC435=(Elig_MatchAll_Ct-1),AR435=0),O435,0)</f>
        <v>0</v>
      </c>
      <c r="BU435" s="216">
        <f>IF(AND(Input_Product=Elig!$C435,Elig_MatchAll_Ct&lt;22,$BC435=(Elig_MatchAll_Ct-1),AS435=0),P435,0)</f>
        <v>0</v>
      </c>
      <c r="BV435" s="217">
        <f>IF(AND(Input_Product=Elig!$C435,Elig_MatchAll_Ct&lt;22,$BC435=(Elig_MatchAll_Ct-1),AT435=0),Q435,0)</f>
        <v>0</v>
      </c>
      <c r="BW435" s="218">
        <f>IF(AND(Input_Product=Elig!$C435,Elig_MatchAll_Ct&lt;22,$BC435=(Elig_MatchAll_Ct-1),AU435=0),R435,0)</f>
        <v>0</v>
      </c>
      <c r="BX435" s="219">
        <f>IF(AND(Input_Product=Elig!$C435,Elig_MatchAll_Ct&lt;22,$BC435=(Elig_MatchAll_Ct-1),AU435=0),S435,0)</f>
        <v>0</v>
      </c>
      <c r="BY435" s="218">
        <f>IF(AND(Input_Product=Elig!$C435,Elig_MatchAll_Ct&lt;22,$BC435=(Elig_MatchAll_Ct-1),AV435=0),T435,0)</f>
        <v>0</v>
      </c>
      <c r="BZ435" s="219">
        <f>IF(AND(Input_Product=Elig!$C435,Elig_MatchAll_Ct&lt;22,$BC435=(Elig_MatchAll_Ct-1),AV435=0),U435,0)</f>
        <v>0</v>
      </c>
      <c r="CA435" s="218">
        <f>IF(AND(Input_Product=Elig!$C435,Elig_MatchAll_Ct&lt;22,$BC435=(Elig_MatchAll_Ct-1),AW435=0),V435,0)</f>
        <v>0</v>
      </c>
      <c r="CB435" s="219">
        <f>IF(AND(Input_Product=Elig!$C435,Elig_MatchAll_Ct&lt;22,$BC435=(Elig_MatchAll_Ct-1),AW435=0),W435,0)</f>
        <v>0</v>
      </c>
      <c r="CC435" s="218">
        <f>IF(AND(Input_Product=Elig!$C435,Elig_MatchAll_Ct&lt;22,$BC435=(Elig_MatchAll_Ct-1),AX435=0),X435,0)</f>
        <v>0</v>
      </c>
      <c r="CD435" s="219">
        <f>IF(AND(Input_Product=Elig!$C435,Elig_MatchAll_Ct&lt;22,$BC435=(Elig_MatchAll_Ct-1),AX435=0),Y435,0)</f>
        <v>0</v>
      </c>
      <c r="CE435" s="218">
        <f>IF(AND(Input_LTV&lt;=AE435,Input_Product=Elig!$C435,Elig_MatchAll_Ct&lt;22,$BC435=(Elig_MatchAll_Ct-1),AY435=0),Z435,0)</f>
        <v>0</v>
      </c>
      <c r="CF435" s="219">
        <f>IF(AND(Input_LTV&lt;=AE435,Input_Product=Elig!$C435,Elig_MatchAll_Ct&lt;22,$BC435=(Elig_MatchAll_Ct-1),AY435=0),AA435,0)</f>
        <v>0</v>
      </c>
      <c r="CG435" s="218">
        <f>IF(AND(Input_Product=Elig!$C435,Elig_MatchAll_Ct&lt;22,$BC435=(Elig_MatchAll_Ct-1),AZ435=0),AB435,0)</f>
        <v>0</v>
      </c>
      <c r="CH435" s="219">
        <f>IF(AND(Input_Product=Elig!$C435,Elig_MatchAll_Ct&lt;22,$BC435=(Elig_MatchAll_Ct-1),AZ435=0),AC435,0)</f>
        <v>0</v>
      </c>
      <c r="CI435" s="218">
        <f>IF(AND(Input_Product=Elig!$C435,Elig_MatchAll_Ct&lt;22,$BC435=(Elig_MatchAll_Ct-1),BA435=0),AD435,0)</f>
        <v>0</v>
      </c>
      <c r="CJ435" s="219">
        <f>IF(AND(Input_Product=Elig!$C435,Elig_MatchAll_Ct&lt;22,$BC435=(Elig_MatchAll_Ct-1),BA435=0),AE435,0)</f>
        <v>0</v>
      </c>
    </row>
    <row r="436" spans="2:88" ht="10.15" customHeight="1" x14ac:dyDescent="0.25">
      <c r="B436" s="287" t="s">
        <v>1132</v>
      </c>
      <c r="C436" s="286" t="str">
        <f t="shared" si="175"/>
        <v>NonQM NOO</v>
      </c>
      <c r="D436" s="287" t="s">
        <v>3885</v>
      </c>
      <c r="E436" s="287" t="s">
        <v>167</v>
      </c>
      <c r="F436" s="287" t="s">
        <v>330</v>
      </c>
      <c r="G436" s="300" t="s">
        <v>304</v>
      </c>
      <c r="H436" s="287" t="s">
        <v>446</v>
      </c>
      <c r="I436" s="288" t="s">
        <v>274</v>
      </c>
      <c r="J436" s="288" t="s">
        <v>1311</v>
      </c>
      <c r="K436" s="288" t="s">
        <v>1631</v>
      </c>
      <c r="L436" s="300" t="s">
        <v>312</v>
      </c>
      <c r="M436" s="287" t="s">
        <v>4203</v>
      </c>
      <c r="N436" s="287" t="s">
        <v>2685</v>
      </c>
      <c r="O436" s="287" t="s">
        <v>310</v>
      </c>
      <c r="P436" s="287" t="s">
        <v>291</v>
      </c>
      <c r="Q436" s="287" t="s">
        <v>294</v>
      </c>
      <c r="R436" s="287">
        <v>1500000.01</v>
      </c>
      <c r="S436" s="287">
        <v>2000000</v>
      </c>
      <c r="T436" s="287">
        <v>0</v>
      </c>
      <c r="U436" s="287">
        <v>0</v>
      </c>
      <c r="V436" s="287">
        <v>0</v>
      </c>
      <c r="W436" s="287">
        <v>50</v>
      </c>
      <c r="X436" s="287">
        <v>0</v>
      </c>
      <c r="Y436" s="287">
        <v>999</v>
      </c>
      <c r="Z436" s="289">
        <v>700</v>
      </c>
      <c r="AA436" s="289">
        <v>719</v>
      </c>
      <c r="AB436" s="289">
        <v>6</v>
      </c>
      <c r="AC436" s="289">
        <v>999999</v>
      </c>
      <c r="AD436" s="287">
        <v>0</v>
      </c>
      <c r="AE436" s="2105">
        <v>80</v>
      </c>
      <c r="AF436" s="170">
        <v>0</v>
      </c>
      <c r="AG436" s="171">
        <v>1</v>
      </c>
      <c r="AH436" s="171">
        <v>1</v>
      </c>
      <c r="AI436" s="171">
        <v>0</v>
      </c>
      <c r="AJ436" s="171">
        <v>0</v>
      </c>
      <c r="AK436" s="171">
        <v>0</v>
      </c>
      <c r="AL436" s="171">
        <v>0</v>
      </c>
      <c r="AM436" s="171">
        <v>1</v>
      </c>
      <c r="AN436" s="171">
        <v>1</v>
      </c>
      <c r="AO436" s="171">
        <v>1</v>
      </c>
      <c r="AP436" s="171">
        <v>1</v>
      </c>
      <c r="AQ436" s="171">
        <v>1</v>
      </c>
      <c r="AR436" s="171">
        <v>1</v>
      </c>
      <c r="AS436" s="171">
        <v>1</v>
      </c>
      <c r="AT436" s="171">
        <v>1</v>
      </c>
      <c r="AU436" s="171">
        <f t="shared" si="162"/>
        <v>0</v>
      </c>
      <c r="AV436" s="171">
        <f t="shared" si="163"/>
        <v>0</v>
      </c>
      <c r="AW436" s="171">
        <f t="shared" si="164"/>
        <v>1</v>
      </c>
      <c r="AX436" s="171">
        <f t="shared" si="173"/>
        <v>1</v>
      </c>
      <c r="AY436" s="171">
        <f t="shared" si="165"/>
        <v>0</v>
      </c>
      <c r="AZ436" s="171">
        <f t="shared" si="166"/>
        <v>1</v>
      </c>
      <c r="BA436" s="172">
        <f t="shared" si="167"/>
        <v>1</v>
      </c>
      <c r="BB436" s="175">
        <f t="shared" si="169"/>
        <v>14</v>
      </c>
      <c r="BC436" s="176">
        <f t="shared" si="170"/>
        <v>13</v>
      </c>
      <c r="BD436" s="176">
        <f t="shared" si="171"/>
        <v>14</v>
      </c>
      <c r="BE436" s="240" t="str">
        <f t="shared" si="161"/>
        <v/>
      </c>
      <c r="BH436" s="199">
        <f>IF(AND(Input_Product=Elig!$C436,Elig_MatchAll_Ct&lt;22,$BC436=(Elig_MatchAll_Ct-1),AF436=0),C436,0)</f>
        <v>0</v>
      </c>
      <c r="BI436" s="199">
        <f>IF(AND(Input_Product=Elig!$C436,Elig_MatchAll_Ct&lt;22,$BC436=(Elig_MatchAll_Ct-1),AG436=0),D436,0)</f>
        <v>0</v>
      </c>
      <c r="BJ436" s="199">
        <f>IF(AND(Input_Product=Elig!$C436,Elig_MatchAll_Ct&lt;22,$BC436=(Elig_MatchAll_Ct-1),AH436=0),E436,0)</f>
        <v>0</v>
      </c>
      <c r="BK436" s="199">
        <f>IF(AND(Input_Product=Elig!$C436,Elig_MatchAll_Ct&lt;22,$BC436=(Elig_MatchAll_Ct-1),AI436=0),F436,0)</f>
        <v>0</v>
      </c>
      <c r="BL436" s="199">
        <f>IF(AND(Input_Product=Elig!$C436,Elig_MatchAll_Ct&lt;22,$BC436=(Elig_MatchAll_Ct-1),AJ436=0),G436,0)</f>
        <v>0</v>
      </c>
      <c r="BM436" s="199">
        <f>IF(AND(Input_Product=Elig!$C436,Elig_MatchAll_Ct&lt;22,$BC436=(Elig_MatchAll_Ct-1),AK436=0),H436,0)</f>
        <v>0</v>
      </c>
      <c r="BN436" s="199">
        <f>IF(AND(Input_Product=Elig!$C436,Elig_MatchAll_Ct&lt;22,$BC436=(Elig_MatchAll_Ct-1),AL436=0),I436,0)</f>
        <v>0</v>
      </c>
      <c r="BO436" s="199">
        <f>IF(AND(Input_Product=Elig!$C436,Elig_MatchAll_Ct&lt;22,$BC436=(Elig_MatchAll_Ct-1),AM436=0),J436,0)</f>
        <v>0</v>
      </c>
      <c r="BP436" s="199">
        <f>IF(AND(Input_Product=Elig!$C436,Elig_MatchAll_Ct&lt;22,$BC436=(Elig_MatchAll_Ct-1),AN436=0),K436,0)</f>
        <v>0</v>
      </c>
      <c r="BQ436" s="199">
        <f>IF(AND(Input_Product=Elig!$C436,Elig_MatchAll_Ct&lt;22,$BC436=(Elig_MatchAll_Ct-1),AP436=0),L436,0)</f>
        <v>0</v>
      </c>
      <c r="BR436" s="199">
        <f>IF(AND(Input_Product=Elig!$C436,Elig_MatchAll_Ct&lt;22,$BC436=(Elig_MatchAll_Ct-1),AO436=0),M436,0)</f>
        <v>0</v>
      </c>
      <c r="BS436" s="199">
        <f>IF(AND(Input_Product=Elig!$C436,Elig_MatchAll_Ct&lt;22,$BC436=(Elig_MatchAll_Ct-1),AQ436=0),N436,0)</f>
        <v>0</v>
      </c>
      <c r="BT436" s="199">
        <f>IF(AND(Input_Product=Elig!$C436,Elig_MatchAll_Ct&lt;22,$BC436=(Elig_MatchAll_Ct-1),AR436=0),O436,0)</f>
        <v>0</v>
      </c>
      <c r="BU436" s="199">
        <f>IF(AND(Input_Product=Elig!$C436,Elig_MatchAll_Ct&lt;22,$BC436=(Elig_MatchAll_Ct-1),AS436=0),P436,0)</f>
        <v>0</v>
      </c>
      <c r="BV436" s="200">
        <f>IF(AND(Input_Product=Elig!$C436,Elig_MatchAll_Ct&lt;22,$BC436=(Elig_MatchAll_Ct-1),AT436=0),Q436,0)</f>
        <v>0</v>
      </c>
      <c r="BW436" s="201">
        <f>IF(AND(Input_Product=Elig!$C436,Elig_MatchAll_Ct&lt;22,$BC436=(Elig_MatchAll_Ct-1),AU436=0),R436,0)</f>
        <v>0</v>
      </c>
      <c r="BX436" s="202">
        <f>IF(AND(Input_Product=Elig!$C436,Elig_MatchAll_Ct&lt;22,$BC436=(Elig_MatchAll_Ct-1),AU436=0),S436,0)</f>
        <v>0</v>
      </c>
      <c r="BY436" s="201">
        <f>IF(AND(Input_Product=Elig!$C436,Elig_MatchAll_Ct&lt;22,$BC436=(Elig_MatchAll_Ct-1),AV436=0),T436,0)</f>
        <v>0</v>
      </c>
      <c r="BZ436" s="202">
        <f>IF(AND(Input_Product=Elig!$C436,Elig_MatchAll_Ct&lt;22,$BC436=(Elig_MatchAll_Ct-1),AV436=0),U436,0)</f>
        <v>0</v>
      </c>
      <c r="CA436" s="201">
        <f>IF(AND(Input_Product=Elig!$C436,Elig_MatchAll_Ct&lt;22,$BC436=(Elig_MatchAll_Ct-1),AW436=0),V436,0)</f>
        <v>0</v>
      </c>
      <c r="CB436" s="202">
        <f>IF(AND(Input_Product=Elig!$C436,Elig_MatchAll_Ct&lt;22,$BC436=(Elig_MatchAll_Ct-1),AW436=0),W436,0)</f>
        <v>0</v>
      </c>
      <c r="CC436" s="201">
        <f>IF(AND(Input_Product=Elig!$C436,Elig_MatchAll_Ct&lt;22,$BC436=(Elig_MatchAll_Ct-1),AX436=0),X436,0)</f>
        <v>0</v>
      </c>
      <c r="CD436" s="202">
        <f>IF(AND(Input_Product=Elig!$C436,Elig_MatchAll_Ct&lt;22,$BC436=(Elig_MatchAll_Ct-1),AX436=0),Y436,0)</f>
        <v>0</v>
      </c>
      <c r="CE436" s="201">
        <f>IF(AND(Input_LTV&lt;=AE436,Input_Product=Elig!$C436,Elig_MatchAll_Ct&lt;22,$BC436=(Elig_MatchAll_Ct-1),AY436=0),Z436,0)</f>
        <v>0</v>
      </c>
      <c r="CF436" s="202">
        <f>IF(AND(Input_LTV&lt;=AE436,Input_Product=Elig!$C436,Elig_MatchAll_Ct&lt;22,$BC436=(Elig_MatchAll_Ct-1),AY436=0),AA436,0)</f>
        <v>0</v>
      </c>
      <c r="CG436" s="201">
        <f>IF(AND(Input_Product=Elig!$C436,Elig_MatchAll_Ct&lt;22,$BC436=(Elig_MatchAll_Ct-1),AZ436=0),AB436,0)</f>
        <v>0</v>
      </c>
      <c r="CH436" s="202">
        <f>IF(AND(Input_Product=Elig!$C436,Elig_MatchAll_Ct&lt;22,$BC436=(Elig_MatchAll_Ct-1),AZ436=0),AC436,0)</f>
        <v>0</v>
      </c>
      <c r="CI436" s="201">
        <f>IF(AND(Input_Product=Elig!$C436,Elig_MatchAll_Ct&lt;22,$BC436=(Elig_MatchAll_Ct-1),BA436=0),AD436,0)</f>
        <v>0</v>
      </c>
      <c r="CJ436" s="202">
        <f>IF(AND(Input_Product=Elig!$C436,Elig_MatchAll_Ct&lt;22,$BC436=(Elig_MatchAll_Ct-1),BA436=0),AE436,0)</f>
        <v>0</v>
      </c>
    </row>
    <row r="437" spans="2:88" ht="10.15" customHeight="1" x14ac:dyDescent="0.25">
      <c r="B437" s="287" t="s">
        <v>1133</v>
      </c>
      <c r="C437" s="286" t="str">
        <f t="shared" si="175"/>
        <v>NonQM NOO</v>
      </c>
      <c r="D437" s="287" t="s">
        <v>3885</v>
      </c>
      <c r="E437" s="287" t="s">
        <v>167</v>
      </c>
      <c r="F437" s="287" t="s">
        <v>330</v>
      </c>
      <c r="G437" s="300" t="s">
        <v>304</v>
      </c>
      <c r="H437" s="287" t="s">
        <v>446</v>
      </c>
      <c r="I437" s="288" t="s">
        <v>274</v>
      </c>
      <c r="J437" s="288" t="s">
        <v>1311</v>
      </c>
      <c r="K437" s="288" t="s">
        <v>1631</v>
      </c>
      <c r="L437" s="300" t="s">
        <v>312</v>
      </c>
      <c r="M437" s="287" t="s">
        <v>4203</v>
      </c>
      <c r="N437" s="287" t="s">
        <v>2685</v>
      </c>
      <c r="O437" s="287" t="s">
        <v>310</v>
      </c>
      <c r="P437" s="287" t="s">
        <v>291</v>
      </c>
      <c r="Q437" s="287" t="s">
        <v>294</v>
      </c>
      <c r="R437" s="287">
        <v>1500000.01</v>
      </c>
      <c r="S437" s="287">
        <v>2000000</v>
      </c>
      <c r="T437" s="287">
        <v>0</v>
      </c>
      <c r="U437" s="287">
        <v>0</v>
      </c>
      <c r="V437" s="287">
        <v>0</v>
      </c>
      <c r="W437" s="287">
        <v>50</v>
      </c>
      <c r="X437" s="287">
        <v>0</v>
      </c>
      <c r="Y437" s="287">
        <v>999</v>
      </c>
      <c r="Z437" s="289">
        <v>680</v>
      </c>
      <c r="AA437" s="289">
        <v>699</v>
      </c>
      <c r="AB437" s="289">
        <v>6</v>
      </c>
      <c r="AC437" s="289">
        <v>999999</v>
      </c>
      <c r="AD437" s="287">
        <v>0</v>
      </c>
      <c r="AE437" s="2105">
        <v>75</v>
      </c>
      <c r="AF437" s="170">
        <v>0</v>
      </c>
      <c r="AG437" s="171">
        <v>1</v>
      </c>
      <c r="AH437" s="171">
        <v>1</v>
      </c>
      <c r="AI437" s="171">
        <v>0</v>
      </c>
      <c r="AJ437" s="171">
        <v>0</v>
      </c>
      <c r="AK437" s="171">
        <v>0</v>
      </c>
      <c r="AL437" s="171">
        <v>0</v>
      </c>
      <c r="AM437" s="171">
        <v>1</v>
      </c>
      <c r="AN437" s="171">
        <v>1</v>
      </c>
      <c r="AO437" s="171">
        <v>1</v>
      </c>
      <c r="AP437" s="171">
        <v>1</v>
      </c>
      <c r="AQ437" s="171">
        <v>1</v>
      </c>
      <c r="AR437" s="171">
        <v>1</v>
      </c>
      <c r="AS437" s="171">
        <v>1</v>
      </c>
      <c r="AT437" s="171">
        <v>1</v>
      </c>
      <c r="AU437" s="171">
        <f t="shared" si="162"/>
        <v>0</v>
      </c>
      <c r="AV437" s="171">
        <f t="shared" si="163"/>
        <v>0</v>
      </c>
      <c r="AW437" s="171">
        <f t="shared" si="164"/>
        <v>1</v>
      </c>
      <c r="AX437" s="171">
        <f t="shared" si="173"/>
        <v>1</v>
      </c>
      <c r="AY437" s="171">
        <f t="shared" si="165"/>
        <v>0</v>
      </c>
      <c r="AZ437" s="171">
        <f t="shared" si="166"/>
        <v>1</v>
      </c>
      <c r="BA437" s="172">
        <f t="shared" si="167"/>
        <v>1</v>
      </c>
      <c r="BB437" s="175">
        <f t="shared" si="169"/>
        <v>14</v>
      </c>
      <c r="BC437" s="176">
        <f t="shared" si="170"/>
        <v>13</v>
      </c>
      <c r="BD437" s="176">
        <f t="shared" si="171"/>
        <v>14</v>
      </c>
      <c r="BE437" s="240" t="str">
        <f t="shared" si="161"/>
        <v/>
      </c>
      <c r="BH437" s="199">
        <f>IF(AND(Input_Product=Elig!$C437,Elig_MatchAll_Ct&lt;22,$BC437=(Elig_MatchAll_Ct-1),AF437=0),C437,0)</f>
        <v>0</v>
      </c>
      <c r="BI437" s="199">
        <f>IF(AND(Input_Product=Elig!$C437,Elig_MatchAll_Ct&lt;22,$BC437=(Elig_MatchAll_Ct-1),AG437=0),D437,0)</f>
        <v>0</v>
      </c>
      <c r="BJ437" s="199">
        <f>IF(AND(Input_Product=Elig!$C437,Elig_MatchAll_Ct&lt;22,$BC437=(Elig_MatchAll_Ct-1),AH437=0),E437,0)</f>
        <v>0</v>
      </c>
      <c r="BK437" s="199">
        <f>IF(AND(Input_Product=Elig!$C437,Elig_MatchAll_Ct&lt;22,$BC437=(Elig_MatchAll_Ct-1),AI437=0),F437,0)</f>
        <v>0</v>
      </c>
      <c r="BL437" s="199">
        <f>IF(AND(Input_Product=Elig!$C437,Elig_MatchAll_Ct&lt;22,$BC437=(Elig_MatchAll_Ct-1),AJ437=0),G437,0)</f>
        <v>0</v>
      </c>
      <c r="BM437" s="199">
        <f>IF(AND(Input_Product=Elig!$C437,Elig_MatchAll_Ct&lt;22,$BC437=(Elig_MatchAll_Ct-1),AK437=0),H437,0)</f>
        <v>0</v>
      </c>
      <c r="BN437" s="199">
        <f>IF(AND(Input_Product=Elig!$C437,Elig_MatchAll_Ct&lt;22,$BC437=(Elig_MatchAll_Ct-1),AL437=0),I437,0)</f>
        <v>0</v>
      </c>
      <c r="BO437" s="199">
        <f>IF(AND(Input_Product=Elig!$C437,Elig_MatchAll_Ct&lt;22,$BC437=(Elig_MatchAll_Ct-1),AM437=0),J437,0)</f>
        <v>0</v>
      </c>
      <c r="BP437" s="199">
        <f>IF(AND(Input_Product=Elig!$C437,Elig_MatchAll_Ct&lt;22,$BC437=(Elig_MatchAll_Ct-1),AN437=0),K437,0)</f>
        <v>0</v>
      </c>
      <c r="BQ437" s="199">
        <f>IF(AND(Input_Product=Elig!$C437,Elig_MatchAll_Ct&lt;22,$BC437=(Elig_MatchAll_Ct-1),AP437=0),L437,0)</f>
        <v>0</v>
      </c>
      <c r="BR437" s="199">
        <f>IF(AND(Input_Product=Elig!$C437,Elig_MatchAll_Ct&lt;22,$BC437=(Elig_MatchAll_Ct-1),AO437=0),M437,0)</f>
        <v>0</v>
      </c>
      <c r="BS437" s="199">
        <f>IF(AND(Input_Product=Elig!$C437,Elig_MatchAll_Ct&lt;22,$BC437=(Elig_MatchAll_Ct-1),AQ437=0),N437,0)</f>
        <v>0</v>
      </c>
      <c r="BT437" s="199">
        <f>IF(AND(Input_Product=Elig!$C437,Elig_MatchAll_Ct&lt;22,$BC437=(Elig_MatchAll_Ct-1),AR437=0),O437,0)</f>
        <v>0</v>
      </c>
      <c r="BU437" s="199">
        <f>IF(AND(Input_Product=Elig!$C437,Elig_MatchAll_Ct&lt;22,$BC437=(Elig_MatchAll_Ct-1),AS437=0),P437,0)</f>
        <v>0</v>
      </c>
      <c r="BV437" s="200">
        <f>IF(AND(Input_Product=Elig!$C437,Elig_MatchAll_Ct&lt;22,$BC437=(Elig_MatchAll_Ct-1),AT437=0),Q437,0)</f>
        <v>0</v>
      </c>
      <c r="BW437" s="201">
        <f>IF(AND(Input_Product=Elig!$C437,Elig_MatchAll_Ct&lt;22,$BC437=(Elig_MatchAll_Ct-1),AU437=0),R437,0)</f>
        <v>0</v>
      </c>
      <c r="BX437" s="202">
        <f>IF(AND(Input_Product=Elig!$C437,Elig_MatchAll_Ct&lt;22,$BC437=(Elig_MatchAll_Ct-1),AU437=0),S437,0)</f>
        <v>0</v>
      </c>
      <c r="BY437" s="201">
        <f>IF(AND(Input_Product=Elig!$C437,Elig_MatchAll_Ct&lt;22,$BC437=(Elig_MatchAll_Ct-1),AV437=0),T437,0)</f>
        <v>0</v>
      </c>
      <c r="BZ437" s="202">
        <f>IF(AND(Input_Product=Elig!$C437,Elig_MatchAll_Ct&lt;22,$BC437=(Elig_MatchAll_Ct-1),AV437=0),U437,0)</f>
        <v>0</v>
      </c>
      <c r="CA437" s="201">
        <f>IF(AND(Input_Product=Elig!$C437,Elig_MatchAll_Ct&lt;22,$BC437=(Elig_MatchAll_Ct-1),AW437=0),V437,0)</f>
        <v>0</v>
      </c>
      <c r="CB437" s="202">
        <f>IF(AND(Input_Product=Elig!$C437,Elig_MatchAll_Ct&lt;22,$BC437=(Elig_MatchAll_Ct-1),AW437=0),W437,0)</f>
        <v>0</v>
      </c>
      <c r="CC437" s="201">
        <f>IF(AND(Input_Product=Elig!$C437,Elig_MatchAll_Ct&lt;22,$BC437=(Elig_MatchAll_Ct-1),AX437=0),X437,0)</f>
        <v>0</v>
      </c>
      <c r="CD437" s="202">
        <f>IF(AND(Input_Product=Elig!$C437,Elig_MatchAll_Ct&lt;22,$BC437=(Elig_MatchAll_Ct-1),AX437=0),Y437,0)</f>
        <v>0</v>
      </c>
      <c r="CE437" s="201">
        <f>IF(AND(Input_LTV&lt;=AE437,Input_Product=Elig!$C437,Elig_MatchAll_Ct&lt;22,$BC437=(Elig_MatchAll_Ct-1),AY437=0),Z437,0)</f>
        <v>0</v>
      </c>
      <c r="CF437" s="202">
        <f>IF(AND(Input_LTV&lt;=AE437,Input_Product=Elig!$C437,Elig_MatchAll_Ct&lt;22,$BC437=(Elig_MatchAll_Ct-1),AY437=0),AA437,0)</f>
        <v>0</v>
      </c>
      <c r="CG437" s="201">
        <f>IF(AND(Input_Product=Elig!$C437,Elig_MatchAll_Ct&lt;22,$BC437=(Elig_MatchAll_Ct-1),AZ437=0),AB437,0)</f>
        <v>0</v>
      </c>
      <c r="CH437" s="202">
        <f>IF(AND(Input_Product=Elig!$C437,Elig_MatchAll_Ct&lt;22,$BC437=(Elig_MatchAll_Ct-1),AZ437=0),AC437,0)</f>
        <v>0</v>
      </c>
      <c r="CI437" s="201">
        <f>IF(AND(Input_Product=Elig!$C437,Elig_MatchAll_Ct&lt;22,$BC437=(Elig_MatchAll_Ct-1),BA437=0),AD437,0)</f>
        <v>0</v>
      </c>
      <c r="CJ437" s="202">
        <f>IF(AND(Input_Product=Elig!$C437,Elig_MatchAll_Ct&lt;22,$BC437=(Elig_MatchAll_Ct-1),BA437=0),AE437,0)</f>
        <v>0</v>
      </c>
    </row>
    <row r="438" spans="2:88" ht="10.15" customHeight="1" x14ac:dyDescent="0.25">
      <c r="B438" s="287" t="s">
        <v>1134</v>
      </c>
      <c r="C438" s="286" t="str">
        <f t="shared" si="175"/>
        <v>NonQM NOO</v>
      </c>
      <c r="D438" s="287" t="s">
        <v>3885</v>
      </c>
      <c r="E438" s="287" t="s">
        <v>167</v>
      </c>
      <c r="F438" s="287" t="s">
        <v>330</v>
      </c>
      <c r="G438" s="300" t="s">
        <v>304</v>
      </c>
      <c r="H438" s="287" t="s">
        <v>446</v>
      </c>
      <c r="I438" s="287" t="s">
        <v>274</v>
      </c>
      <c r="J438" s="287" t="s">
        <v>1311</v>
      </c>
      <c r="K438" s="287" t="s">
        <v>1631</v>
      </c>
      <c r="L438" s="300" t="s">
        <v>312</v>
      </c>
      <c r="M438" s="287" t="s">
        <v>4203</v>
      </c>
      <c r="N438" s="287" t="s">
        <v>2685</v>
      </c>
      <c r="O438" s="287" t="s">
        <v>310</v>
      </c>
      <c r="P438" s="287" t="s">
        <v>291</v>
      </c>
      <c r="Q438" s="287" t="s">
        <v>294</v>
      </c>
      <c r="R438" s="287">
        <v>1500000.01</v>
      </c>
      <c r="S438" s="287">
        <v>2000000</v>
      </c>
      <c r="T438" s="287">
        <v>0</v>
      </c>
      <c r="U438" s="287">
        <v>0</v>
      </c>
      <c r="V438" s="287">
        <v>0</v>
      </c>
      <c r="W438" s="287">
        <v>50</v>
      </c>
      <c r="X438" s="287">
        <v>0</v>
      </c>
      <c r="Y438" s="287">
        <v>999</v>
      </c>
      <c r="Z438" s="289">
        <v>660</v>
      </c>
      <c r="AA438" s="289">
        <v>679</v>
      </c>
      <c r="AB438" s="289">
        <v>6</v>
      </c>
      <c r="AC438" s="289">
        <v>999999</v>
      </c>
      <c r="AD438" s="287">
        <v>0</v>
      </c>
      <c r="AE438" s="290">
        <v>70</v>
      </c>
      <c r="AF438" s="170">
        <v>0</v>
      </c>
      <c r="AG438" s="171">
        <v>1</v>
      </c>
      <c r="AH438" s="171">
        <v>1</v>
      </c>
      <c r="AI438" s="171">
        <v>0</v>
      </c>
      <c r="AJ438" s="171">
        <v>0</v>
      </c>
      <c r="AK438" s="171">
        <v>0</v>
      </c>
      <c r="AL438" s="171">
        <v>0</v>
      </c>
      <c r="AM438" s="171">
        <v>1</v>
      </c>
      <c r="AN438" s="171">
        <v>1</v>
      </c>
      <c r="AO438" s="171">
        <v>1</v>
      </c>
      <c r="AP438" s="171">
        <v>1</v>
      </c>
      <c r="AQ438" s="171">
        <v>1</v>
      </c>
      <c r="AR438" s="171">
        <v>1</v>
      </c>
      <c r="AS438" s="171">
        <v>1</v>
      </c>
      <c r="AT438" s="171">
        <v>1</v>
      </c>
      <c r="AU438" s="171">
        <f t="shared" si="162"/>
        <v>0</v>
      </c>
      <c r="AV438" s="171">
        <f t="shared" si="163"/>
        <v>0</v>
      </c>
      <c r="AW438" s="171">
        <f t="shared" si="164"/>
        <v>1</v>
      </c>
      <c r="AX438" s="171">
        <f t="shared" si="173"/>
        <v>1</v>
      </c>
      <c r="AY438" s="171">
        <f t="shared" si="165"/>
        <v>0</v>
      </c>
      <c r="AZ438" s="171">
        <f t="shared" si="166"/>
        <v>1</v>
      </c>
      <c r="BA438" s="172">
        <f t="shared" si="167"/>
        <v>1</v>
      </c>
      <c r="BB438" s="175">
        <f t="shared" si="169"/>
        <v>14</v>
      </c>
      <c r="BC438" s="176">
        <f t="shared" si="170"/>
        <v>13</v>
      </c>
      <c r="BD438" s="176">
        <f t="shared" si="171"/>
        <v>14</v>
      </c>
      <c r="BE438" s="240" t="str">
        <f t="shared" si="161"/>
        <v/>
      </c>
      <c r="BH438" s="199">
        <f>IF(AND(Input_Product=Elig!$C438,Elig_MatchAll_Ct&lt;22,$BC438=(Elig_MatchAll_Ct-1),AF438=0),C438,0)</f>
        <v>0</v>
      </c>
      <c r="BI438" s="199">
        <f>IF(AND(Input_Product=Elig!$C438,Elig_MatchAll_Ct&lt;22,$BC438=(Elig_MatchAll_Ct-1),AG438=0),D438,0)</f>
        <v>0</v>
      </c>
      <c r="BJ438" s="199">
        <f>IF(AND(Input_Product=Elig!$C438,Elig_MatchAll_Ct&lt;22,$BC438=(Elig_MatchAll_Ct-1),AH438=0),E438,0)</f>
        <v>0</v>
      </c>
      <c r="BK438" s="199">
        <f>IF(AND(Input_Product=Elig!$C438,Elig_MatchAll_Ct&lt;22,$BC438=(Elig_MatchAll_Ct-1),AI438=0),F438,0)</f>
        <v>0</v>
      </c>
      <c r="BL438" s="199">
        <f>IF(AND(Input_Product=Elig!$C438,Elig_MatchAll_Ct&lt;22,$BC438=(Elig_MatchAll_Ct-1),AJ438=0),G438,0)</f>
        <v>0</v>
      </c>
      <c r="BM438" s="199">
        <f>IF(AND(Input_Product=Elig!$C438,Elig_MatchAll_Ct&lt;22,$BC438=(Elig_MatchAll_Ct-1),AK438=0),H438,0)</f>
        <v>0</v>
      </c>
      <c r="BN438" s="199">
        <f>IF(AND(Input_Product=Elig!$C438,Elig_MatchAll_Ct&lt;22,$BC438=(Elig_MatchAll_Ct-1),AL438=0),I438,0)</f>
        <v>0</v>
      </c>
      <c r="BO438" s="199">
        <f>IF(AND(Input_Product=Elig!$C438,Elig_MatchAll_Ct&lt;22,$BC438=(Elig_MatchAll_Ct-1),AM438=0),J438,0)</f>
        <v>0</v>
      </c>
      <c r="BP438" s="199">
        <f>IF(AND(Input_Product=Elig!$C438,Elig_MatchAll_Ct&lt;22,$BC438=(Elig_MatchAll_Ct-1),AN438=0),K438,0)</f>
        <v>0</v>
      </c>
      <c r="BQ438" s="199">
        <f>IF(AND(Input_Product=Elig!$C438,Elig_MatchAll_Ct&lt;22,$BC438=(Elig_MatchAll_Ct-1),AP438=0),L438,0)</f>
        <v>0</v>
      </c>
      <c r="BR438" s="199">
        <f>IF(AND(Input_Product=Elig!$C438,Elig_MatchAll_Ct&lt;22,$BC438=(Elig_MatchAll_Ct-1),AO438=0),M438,0)</f>
        <v>0</v>
      </c>
      <c r="BS438" s="199">
        <f>IF(AND(Input_Product=Elig!$C438,Elig_MatchAll_Ct&lt;22,$BC438=(Elig_MatchAll_Ct-1),AQ438=0),N438,0)</f>
        <v>0</v>
      </c>
      <c r="BT438" s="199">
        <f>IF(AND(Input_Product=Elig!$C438,Elig_MatchAll_Ct&lt;22,$BC438=(Elig_MatchAll_Ct-1),AR438=0),O438,0)</f>
        <v>0</v>
      </c>
      <c r="BU438" s="199">
        <f>IF(AND(Input_Product=Elig!$C438,Elig_MatchAll_Ct&lt;22,$BC438=(Elig_MatchAll_Ct-1),AS438=0),P438,0)</f>
        <v>0</v>
      </c>
      <c r="BV438" s="200">
        <f>IF(AND(Input_Product=Elig!$C438,Elig_MatchAll_Ct&lt;22,$BC438=(Elig_MatchAll_Ct-1),AT438=0),Q438,0)</f>
        <v>0</v>
      </c>
      <c r="BW438" s="201">
        <f>IF(AND(Input_Product=Elig!$C438,Elig_MatchAll_Ct&lt;22,$BC438=(Elig_MatchAll_Ct-1),AU438=0),R438,0)</f>
        <v>0</v>
      </c>
      <c r="BX438" s="202">
        <f>IF(AND(Input_Product=Elig!$C438,Elig_MatchAll_Ct&lt;22,$BC438=(Elig_MatchAll_Ct-1),AU438=0),S438,0)</f>
        <v>0</v>
      </c>
      <c r="BY438" s="201">
        <f>IF(AND(Input_Product=Elig!$C438,Elig_MatchAll_Ct&lt;22,$BC438=(Elig_MatchAll_Ct-1),AV438=0),T438,0)</f>
        <v>0</v>
      </c>
      <c r="BZ438" s="202">
        <f>IF(AND(Input_Product=Elig!$C438,Elig_MatchAll_Ct&lt;22,$BC438=(Elig_MatchAll_Ct-1),AV438=0),U438,0)</f>
        <v>0</v>
      </c>
      <c r="CA438" s="201">
        <f>IF(AND(Input_Product=Elig!$C438,Elig_MatchAll_Ct&lt;22,$BC438=(Elig_MatchAll_Ct-1),AW438=0),V438,0)</f>
        <v>0</v>
      </c>
      <c r="CB438" s="202">
        <f>IF(AND(Input_Product=Elig!$C438,Elig_MatchAll_Ct&lt;22,$BC438=(Elig_MatchAll_Ct-1),AW438=0),W438,0)</f>
        <v>0</v>
      </c>
      <c r="CC438" s="201">
        <f>IF(AND(Input_Product=Elig!$C438,Elig_MatchAll_Ct&lt;22,$BC438=(Elig_MatchAll_Ct-1),AX438=0),X438,0)</f>
        <v>0</v>
      </c>
      <c r="CD438" s="202">
        <f>IF(AND(Input_Product=Elig!$C438,Elig_MatchAll_Ct&lt;22,$BC438=(Elig_MatchAll_Ct-1),AX438=0),Y438,0)</f>
        <v>0</v>
      </c>
      <c r="CE438" s="201">
        <f>IF(AND(Input_LTV&lt;=AE438,Input_Product=Elig!$C438,Elig_MatchAll_Ct&lt;22,$BC438=(Elig_MatchAll_Ct-1),AY438=0),Z438,0)</f>
        <v>0</v>
      </c>
      <c r="CF438" s="202">
        <f>IF(AND(Input_LTV&lt;=AE438,Input_Product=Elig!$C438,Elig_MatchAll_Ct&lt;22,$BC438=(Elig_MatchAll_Ct-1),AY438=0),AA438,0)</f>
        <v>0</v>
      </c>
      <c r="CG438" s="201">
        <f>IF(AND(Input_Product=Elig!$C438,Elig_MatchAll_Ct&lt;22,$BC438=(Elig_MatchAll_Ct-1),AZ438=0),AB438,0)</f>
        <v>0</v>
      </c>
      <c r="CH438" s="202">
        <f>IF(AND(Input_Product=Elig!$C438,Elig_MatchAll_Ct&lt;22,$BC438=(Elig_MatchAll_Ct-1),AZ438=0),AC438,0)</f>
        <v>0</v>
      </c>
      <c r="CI438" s="201">
        <f>IF(AND(Input_Product=Elig!$C438,Elig_MatchAll_Ct&lt;22,$BC438=(Elig_MatchAll_Ct-1),BA438=0),AD438,0)</f>
        <v>0</v>
      </c>
      <c r="CJ438" s="202">
        <f>IF(AND(Input_Product=Elig!$C438,Elig_MatchAll_Ct&lt;22,$BC438=(Elig_MatchAll_Ct-1),BA438=0),AE438,0)</f>
        <v>0</v>
      </c>
    </row>
    <row r="439" spans="2:88" ht="10.15" customHeight="1" x14ac:dyDescent="0.25">
      <c r="B439" s="287" t="s">
        <v>1135</v>
      </c>
      <c r="C439" s="286" t="str">
        <f t="shared" si="175"/>
        <v>NonQM NOO</v>
      </c>
      <c r="D439" s="287" t="s">
        <v>3885</v>
      </c>
      <c r="E439" s="287" t="s">
        <v>167</v>
      </c>
      <c r="F439" s="287" t="s">
        <v>330</v>
      </c>
      <c r="G439" s="300" t="s">
        <v>304</v>
      </c>
      <c r="H439" s="287" t="s">
        <v>446</v>
      </c>
      <c r="I439" s="287" t="s">
        <v>274</v>
      </c>
      <c r="J439" s="287" t="s">
        <v>1311</v>
      </c>
      <c r="K439" s="287" t="s">
        <v>1631</v>
      </c>
      <c r="L439" s="300" t="s">
        <v>312</v>
      </c>
      <c r="M439" s="287" t="s">
        <v>4203</v>
      </c>
      <c r="N439" s="287" t="s">
        <v>2685</v>
      </c>
      <c r="O439" s="287" t="s">
        <v>310</v>
      </c>
      <c r="P439" s="287" t="s">
        <v>291</v>
      </c>
      <c r="Q439" s="287" t="s">
        <v>294</v>
      </c>
      <c r="R439" s="287">
        <v>1500000.01</v>
      </c>
      <c r="S439" s="287">
        <v>2000000</v>
      </c>
      <c r="T439" s="287">
        <v>0</v>
      </c>
      <c r="U439" s="287">
        <v>0</v>
      </c>
      <c r="V439" s="287">
        <v>0</v>
      </c>
      <c r="W439" s="287">
        <v>50</v>
      </c>
      <c r="X439" s="287">
        <v>0</v>
      </c>
      <c r="Y439" s="287">
        <v>999</v>
      </c>
      <c r="Z439" s="289">
        <v>640</v>
      </c>
      <c r="AA439" s="289">
        <v>659</v>
      </c>
      <c r="AB439" s="289">
        <v>6</v>
      </c>
      <c r="AC439" s="289">
        <v>999999</v>
      </c>
      <c r="AD439" s="287">
        <v>0</v>
      </c>
      <c r="AE439" s="290">
        <v>-999</v>
      </c>
      <c r="AF439" s="170">
        <v>0</v>
      </c>
      <c r="AG439" s="171">
        <v>1</v>
      </c>
      <c r="AH439" s="171">
        <v>1</v>
      </c>
      <c r="AI439" s="171">
        <v>0</v>
      </c>
      <c r="AJ439" s="171">
        <v>0</v>
      </c>
      <c r="AK439" s="171">
        <v>0</v>
      </c>
      <c r="AL439" s="171">
        <v>0</v>
      </c>
      <c r="AM439" s="171">
        <v>1</v>
      </c>
      <c r="AN439" s="171">
        <v>1</v>
      </c>
      <c r="AO439" s="171">
        <v>1</v>
      </c>
      <c r="AP439" s="171">
        <v>1</v>
      </c>
      <c r="AQ439" s="171">
        <v>1</v>
      </c>
      <c r="AR439" s="171">
        <v>1</v>
      </c>
      <c r="AS439" s="171">
        <v>1</v>
      </c>
      <c r="AT439" s="171">
        <v>1</v>
      </c>
      <c r="AU439" s="171">
        <f t="shared" si="162"/>
        <v>0</v>
      </c>
      <c r="AV439" s="171">
        <f t="shared" si="163"/>
        <v>0</v>
      </c>
      <c r="AW439" s="171">
        <f t="shared" si="164"/>
        <v>1</v>
      </c>
      <c r="AX439" s="171">
        <f t="shared" si="173"/>
        <v>1</v>
      </c>
      <c r="AY439" s="171">
        <f t="shared" si="165"/>
        <v>0</v>
      </c>
      <c r="AZ439" s="171">
        <f t="shared" si="166"/>
        <v>1</v>
      </c>
      <c r="BA439" s="172">
        <f t="shared" si="167"/>
        <v>0</v>
      </c>
      <c r="BB439" s="175">
        <f t="shared" si="169"/>
        <v>13</v>
      </c>
      <c r="BC439" s="176">
        <f t="shared" si="170"/>
        <v>13</v>
      </c>
      <c r="BD439" s="176">
        <f t="shared" si="171"/>
        <v>13</v>
      </c>
      <c r="BE439" s="240" t="str">
        <f t="shared" si="161"/>
        <v/>
      </c>
      <c r="BH439" s="199">
        <f>IF(AND(Input_Product=Elig!$C439,Elig_MatchAll_Ct&lt;22,$BC439=(Elig_MatchAll_Ct-1),AF439=0),C439,0)</f>
        <v>0</v>
      </c>
      <c r="BI439" s="199">
        <f>IF(AND(Input_Product=Elig!$C439,Elig_MatchAll_Ct&lt;22,$BC439=(Elig_MatchAll_Ct-1),AG439=0),D439,0)</f>
        <v>0</v>
      </c>
      <c r="BJ439" s="199">
        <f>IF(AND(Input_Product=Elig!$C439,Elig_MatchAll_Ct&lt;22,$BC439=(Elig_MatchAll_Ct-1),AH439=0),E439,0)</f>
        <v>0</v>
      </c>
      <c r="BK439" s="199">
        <f>IF(AND(Input_Product=Elig!$C439,Elig_MatchAll_Ct&lt;22,$BC439=(Elig_MatchAll_Ct-1),AI439=0),F439,0)</f>
        <v>0</v>
      </c>
      <c r="BL439" s="199">
        <f>IF(AND(Input_Product=Elig!$C439,Elig_MatchAll_Ct&lt;22,$BC439=(Elig_MatchAll_Ct-1),AJ439=0),G439,0)</f>
        <v>0</v>
      </c>
      <c r="BM439" s="199">
        <f>IF(AND(Input_Product=Elig!$C439,Elig_MatchAll_Ct&lt;22,$BC439=(Elig_MatchAll_Ct-1),AK439=0),H439,0)</f>
        <v>0</v>
      </c>
      <c r="BN439" s="199">
        <f>IF(AND(Input_Product=Elig!$C439,Elig_MatchAll_Ct&lt;22,$BC439=(Elig_MatchAll_Ct-1),AL439=0),I439,0)</f>
        <v>0</v>
      </c>
      <c r="BO439" s="199">
        <f>IF(AND(Input_Product=Elig!$C439,Elig_MatchAll_Ct&lt;22,$BC439=(Elig_MatchAll_Ct-1),AM439=0),J439,0)</f>
        <v>0</v>
      </c>
      <c r="BP439" s="199">
        <f>IF(AND(Input_Product=Elig!$C439,Elig_MatchAll_Ct&lt;22,$BC439=(Elig_MatchAll_Ct-1),AN439=0),K439,0)</f>
        <v>0</v>
      </c>
      <c r="BQ439" s="199">
        <f>IF(AND(Input_Product=Elig!$C439,Elig_MatchAll_Ct&lt;22,$BC439=(Elig_MatchAll_Ct-1),AP439=0),L439,0)</f>
        <v>0</v>
      </c>
      <c r="BR439" s="199">
        <f>IF(AND(Input_Product=Elig!$C439,Elig_MatchAll_Ct&lt;22,$BC439=(Elig_MatchAll_Ct-1),AO439=0),M439,0)</f>
        <v>0</v>
      </c>
      <c r="BS439" s="199">
        <f>IF(AND(Input_Product=Elig!$C439,Elig_MatchAll_Ct&lt;22,$BC439=(Elig_MatchAll_Ct-1),AQ439=0),N439,0)</f>
        <v>0</v>
      </c>
      <c r="BT439" s="199">
        <f>IF(AND(Input_Product=Elig!$C439,Elig_MatchAll_Ct&lt;22,$BC439=(Elig_MatchAll_Ct-1),AR439=0),O439,0)</f>
        <v>0</v>
      </c>
      <c r="BU439" s="199">
        <f>IF(AND(Input_Product=Elig!$C439,Elig_MatchAll_Ct&lt;22,$BC439=(Elig_MatchAll_Ct-1),AS439=0),P439,0)</f>
        <v>0</v>
      </c>
      <c r="BV439" s="200">
        <f>IF(AND(Input_Product=Elig!$C439,Elig_MatchAll_Ct&lt;22,$BC439=(Elig_MatchAll_Ct-1),AT439=0),Q439,0)</f>
        <v>0</v>
      </c>
      <c r="BW439" s="201">
        <f>IF(AND(Input_Product=Elig!$C439,Elig_MatchAll_Ct&lt;22,$BC439=(Elig_MatchAll_Ct-1),AU439=0),R439,0)</f>
        <v>0</v>
      </c>
      <c r="BX439" s="202">
        <f>IF(AND(Input_Product=Elig!$C439,Elig_MatchAll_Ct&lt;22,$BC439=(Elig_MatchAll_Ct-1),AU439=0),S439,0)</f>
        <v>0</v>
      </c>
      <c r="BY439" s="201">
        <f>IF(AND(Input_Product=Elig!$C439,Elig_MatchAll_Ct&lt;22,$BC439=(Elig_MatchAll_Ct-1),AV439=0),T439,0)</f>
        <v>0</v>
      </c>
      <c r="BZ439" s="202">
        <f>IF(AND(Input_Product=Elig!$C439,Elig_MatchAll_Ct&lt;22,$BC439=(Elig_MatchAll_Ct-1),AV439=0),U439,0)</f>
        <v>0</v>
      </c>
      <c r="CA439" s="201">
        <f>IF(AND(Input_Product=Elig!$C439,Elig_MatchAll_Ct&lt;22,$BC439=(Elig_MatchAll_Ct-1),AW439=0),V439,0)</f>
        <v>0</v>
      </c>
      <c r="CB439" s="202">
        <f>IF(AND(Input_Product=Elig!$C439,Elig_MatchAll_Ct&lt;22,$BC439=(Elig_MatchAll_Ct-1),AW439=0),W439,0)</f>
        <v>0</v>
      </c>
      <c r="CC439" s="201">
        <f>IF(AND(Input_Product=Elig!$C439,Elig_MatchAll_Ct&lt;22,$BC439=(Elig_MatchAll_Ct-1),AX439=0),X439,0)</f>
        <v>0</v>
      </c>
      <c r="CD439" s="202">
        <f>IF(AND(Input_Product=Elig!$C439,Elig_MatchAll_Ct&lt;22,$BC439=(Elig_MatchAll_Ct-1),AX439=0),Y439,0)</f>
        <v>0</v>
      </c>
      <c r="CE439" s="201">
        <f>IF(AND(Input_LTV&lt;=AE439,Input_Product=Elig!$C439,Elig_MatchAll_Ct&lt;22,$BC439=(Elig_MatchAll_Ct-1),AY439=0),Z439,0)</f>
        <v>0</v>
      </c>
      <c r="CF439" s="202">
        <f>IF(AND(Input_LTV&lt;=AE439,Input_Product=Elig!$C439,Elig_MatchAll_Ct&lt;22,$BC439=(Elig_MatchAll_Ct-1),AY439=0),AA439,0)</f>
        <v>0</v>
      </c>
      <c r="CG439" s="201">
        <f>IF(AND(Input_Product=Elig!$C439,Elig_MatchAll_Ct&lt;22,$BC439=(Elig_MatchAll_Ct-1),AZ439=0),AB439,0)</f>
        <v>0</v>
      </c>
      <c r="CH439" s="202">
        <f>IF(AND(Input_Product=Elig!$C439,Elig_MatchAll_Ct&lt;22,$BC439=(Elig_MatchAll_Ct-1),AZ439=0),AC439,0)</f>
        <v>0</v>
      </c>
      <c r="CI439" s="201">
        <f>IF(AND(Input_Product=Elig!$C439,Elig_MatchAll_Ct&lt;22,$BC439=(Elig_MatchAll_Ct-1),BA439=0),AD439,0)</f>
        <v>0</v>
      </c>
      <c r="CJ439" s="202">
        <f>IF(AND(Input_Product=Elig!$C439,Elig_MatchAll_Ct&lt;22,$BC439=(Elig_MatchAll_Ct-1),BA439=0),AE439,0)</f>
        <v>0</v>
      </c>
    </row>
    <row r="440" spans="2:88" ht="10.15" customHeight="1" x14ac:dyDescent="0.25">
      <c r="B440" s="287" t="s">
        <v>1136</v>
      </c>
      <c r="C440" s="291" t="str">
        <f t="shared" si="175"/>
        <v>NonQM NOO</v>
      </c>
      <c r="D440" s="292" t="s">
        <v>3885</v>
      </c>
      <c r="E440" s="292" t="s">
        <v>167</v>
      </c>
      <c r="F440" s="292" t="s">
        <v>330</v>
      </c>
      <c r="G440" s="324" t="s">
        <v>304</v>
      </c>
      <c r="H440" s="292" t="s">
        <v>446</v>
      </c>
      <c r="I440" s="292" t="s">
        <v>274</v>
      </c>
      <c r="J440" s="292" t="s">
        <v>1311</v>
      </c>
      <c r="K440" s="292" t="s">
        <v>1631</v>
      </c>
      <c r="L440" s="324" t="s">
        <v>312</v>
      </c>
      <c r="M440" s="292" t="s">
        <v>4203</v>
      </c>
      <c r="N440" s="292" t="s">
        <v>2685</v>
      </c>
      <c r="O440" s="292" t="s">
        <v>310</v>
      </c>
      <c r="P440" s="292" t="s">
        <v>291</v>
      </c>
      <c r="Q440" s="292" t="s">
        <v>294</v>
      </c>
      <c r="R440" s="292">
        <v>1500000.01</v>
      </c>
      <c r="S440" s="292">
        <v>2000000</v>
      </c>
      <c r="T440" s="292">
        <v>0</v>
      </c>
      <c r="U440" s="292">
        <v>0</v>
      </c>
      <c r="V440" s="292">
        <v>0</v>
      </c>
      <c r="W440" s="292">
        <v>50</v>
      </c>
      <c r="X440" s="292">
        <v>0</v>
      </c>
      <c r="Y440" s="292">
        <v>999</v>
      </c>
      <c r="Z440" s="293">
        <v>620</v>
      </c>
      <c r="AA440" s="293">
        <v>639</v>
      </c>
      <c r="AB440" s="293">
        <v>6</v>
      </c>
      <c r="AC440" s="293">
        <v>999999</v>
      </c>
      <c r="AD440" s="292">
        <v>0</v>
      </c>
      <c r="AE440" s="294">
        <v>-999</v>
      </c>
      <c r="AF440" s="170">
        <v>0</v>
      </c>
      <c r="AG440" s="171">
        <v>1</v>
      </c>
      <c r="AH440" s="171">
        <v>1</v>
      </c>
      <c r="AI440" s="171">
        <v>0</v>
      </c>
      <c r="AJ440" s="171">
        <v>0</v>
      </c>
      <c r="AK440" s="171">
        <v>0</v>
      </c>
      <c r="AL440" s="171">
        <v>0</v>
      </c>
      <c r="AM440" s="171">
        <v>1</v>
      </c>
      <c r="AN440" s="171">
        <v>1</v>
      </c>
      <c r="AO440" s="171">
        <v>1</v>
      </c>
      <c r="AP440" s="171">
        <v>1</v>
      </c>
      <c r="AQ440" s="171">
        <v>1</v>
      </c>
      <c r="AR440" s="171">
        <v>1</v>
      </c>
      <c r="AS440" s="171">
        <v>1</v>
      </c>
      <c r="AT440" s="171">
        <v>1</v>
      </c>
      <c r="AU440" s="171">
        <f t="shared" si="162"/>
        <v>0</v>
      </c>
      <c r="AV440" s="171">
        <f t="shared" si="163"/>
        <v>0</v>
      </c>
      <c r="AW440" s="171">
        <f t="shared" si="164"/>
        <v>1</v>
      </c>
      <c r="AX440" s="171">
        <f t="shared" si="173"/>
        <v>1</v>
      </c>
      <c r="AY440" s="171">
        <f t="shared" si="165"/>
        <v>0</v>
      </c>
      <c r="AZ440" s="171">
        <f t="shared" si="166"/>
        <v>1</v>
      </c>
      <c r="BA440" s="172">
        <f t="shared" si="167"/>
        <v>0</v>
      </c>
      <c r="BB440" s="175">
        <f t="shared" si="169"/>
        <v>13</v>
      </c>
      <c r="BC440" s="176">
        <f t="shared" si="170"/>
        <v>13</v>
      </c>
      <c r="BD440" s="176">
        <f t="shared" si="171"/>
        <v>13</v>
      </c>
      <c r="BE440" s="240" t="str">
        <f t="shared" si="161"/>
        <v/>
      </c>
      <c r="BH440" s="214">
        <f>IF(AND(Input_Product=Elig!$C440,Elig_MatchAll_Ct&lt;22,$BC440=(Elig_MatchAll_Ct-1),AF440=0),C440,0)</f>
        <v>0</v>
      </c>
      <c r="BI440" s="214">
        <f>IF(AND(Input_Product=Elig!$C440,Elig_MatchAll_Ct&lt;22,$BC440=(Elig_MatchAll_Ct-1),AG440=0),D440,0)</f>
        <v>0</v>
      </c>
      <c r="BJ440" s="214">
        <f>IF(AND(Input_Product=Elig!$C440,Elig_MatchAll_Ct&lt;22,$BC440=(Elig_MatchAll_Ct-1),AH440=0),E440,0)</f>
        <v>0</v>
      </c>
      <c r="BK440" s="214">
        <f>IF(AND(Input_Product=Elig!$C440,Elig_MatchAll_Ct&lt;22,$BC440=(Elig_MatchAll_Ct-1),AI440=0),F440,0)</f>
        <v>0</v>
      </c>
      <c r="BL440" s="214">
        <f>IF(AND(Input_Product=Elig!$C440,Elig_MatchAll_Ct&lt;22,$BC440=(Elig_MatchAll_Ct-1),AJ440=0),G440,0)</f>
        <v>0</v>
      </c>
      <c r="BM440" s="214">
        <f>IF(AND(Input_Product=Elig!$C440,Elig_MatchAll_Ct&lt;22,$BC440=(Elig_MatchAll_Ct-1),AK440=0),H440,0)</f>
        <v>0</v>
      </c>
      <c r="BN440" s="214">
        <f>IF(AND(Input_Product=Elig!$C440,Elig_MatchAll_Ct&lt;22,$BC440=(Elig_MatchAll_Ct-1),AL440=0),I440,0)</f>
        <v>0</v>
      </c>
      <c r="BO440" s="214">
        <f>IF(AND(Input_Product=Elig!$C440,Elig_MatchAll_Ct&lt;22,$BC440=(Elig_MatchAll_Ct-1),AM440=0),J440,0)</f>
        <v>0</v>
      </c>
      <c r="BP440" s="214">
        <f>IF(AND(Input_Product=Elig!$C440,Elig_MatchAll_Ct&lt;22,$BC440=(Elig_MatchAll_Ct-1),AN440=0),K440,0)</f>
        <v>0</v>
      </c>
      <c r="BQ440" s="214">
        <f>IF(AND(Input_Product=Elig!$C440,Elig_MatchAll_Ct&lt;22,$BC440=(Elig_MatchAll_Ct-1),AP440=0),L440,0)</f>
        <v>0</v>
      </c>
      <c r="BR440" s="214">
        <f>IF(AND(Input_Product=Elig!$C440,Elig_MatchAll_Ct&lt;22,$BC440=(Elig_MatchAll_Ct-1),AO440=0),M440,0)</f>
        <v>0</v>
      </c>
      <c r="BS440" s="214">
        <f>IF(AND(Input_Product=Elig!$C440,Elig_MatchAll_Ct&lt;22,$BC440=(Elig_MatchAll_Ct-1),AQ440=0),N440,0)</f>
        <v>0</v>
      </c>
      <c r="BT440" s="214">
        <f>IF(AND(Input_Product=Elig!$C440,Elig_MatchAll_Ct&lt;22,$BC440=(Elig_MatchAll_Ct-1),AR440=0),O440,0)</f>
        <v>0</v>
      </c>
      <c r="BU440" s="214">
        <f>IF(AND(Input_Product=Elig!$C440,Elig_MatchAll_Ct&lt;22,$BC440=(Elig_MatchAll_Ct-1),AS440=0),P440,0)</f>
        <v>0</v>
      </c>
      <c r="BV440" s="215">
        <f>IF(AND(Input_Product=Elig!$C440,Elig_MatchAll_Ct&lt;22,$BC440=(Elig_MatchAll_Ct-1),AT440=0),Q440,0)</f>
        <v>0</v>
      </c>
      <c r="BW440" s="207">
        <f>IF(AND(Input_Product=Elig!$C440,Elig_MatchAll_Ct&lt;22,$BC440=(Elig_MatchAll_Ct-1),AU440=0),R440,0)</f>
        <v>0</v>
      </c>
      <c r="BX440" s="208">
        <f>IF(AND(Input_Product=Elig!$C440,Elig_MatchAll_Ct&lt;22,$BC440=(Elig_MatchAll_Ct-1),AU440=0),S440,0)</f>
        <v>0</v>
      </c>
      <c r="BY440" s="207">
        <f>IF(AND(Input_Product=Elig!$C440,Elig_MatchAll_Ct&lt;22,$BC440=(Elig_MatchAll_Ct-1),AV440=0),T440,0)</f>
        <v>0</v>
      </c>
      <c r="BZ440" s="208">
        <f>IF(AND(Input_Product=Elig!$C440,Elig_MatchAll_Ct&lt;22,$BC440=(Elig_MatchAll_Ct-1),AV440=0),U440,0)</f>
        <v>0</v>
      </c>
      <c r="CA440" s="207">
        <f>IF(AND(Input_Product=Elig!$C440,Elig_MatchAll_Ct&lt;22,$BC440=(Elig_MatchAll_Ct-1),AW440=0),V440,0)</f>
        <v>0</v>
      </c>
      <c r="CB440" s="208">
        <f>IF(AND(Input_Product=Elig!$C440,Elig_MatchAll_Ct&lt;22,$BC440=(Elig_MatchAll_Ct-1),AW440=0),W440,0)</f>
        <v>0</v>
      </c>
      <c r="CC440" s="207">
        <f>IF(AND(Input_Product=Elig!$C440,Elig_MatchAll_Ct&lt;22,$BC440=(Elig_MatchAll_Ct-1),AX440=0),X440,0)</f>
        <v>0</v>
      </c>
      <c r="CD440" s="208">
        <f>IF(AND(Input_Product=Elig!$C440,Elig_MatchAll_Ct&lt;22,$BC440=(Elig_MatchAll_Ct-1),AX440=0),Y440,0)</f>
        <v>0</v>
      </c>
      <c r="CE440" s="207">
        <f>IF(AND(Input_LTV&lt;=AE440,Input_Product=Elig!$C440,Elig_MatchAll_Ct&lt;22,$BC440=(Elig_MatchAll_Ct-1),AY440=0),Z440,0)</f>
        <v>0</v>
      </c>
      <c r="CF440" s="208">
        <f>IF(AND(Input_LTV&lt;=AE440,Input_Product=Elig!$C440,Elig_MatchAll_Ct&lt;22,$BC440=(Elig_MatchAll_Ct-1),AY440=0),AA440,0)</f>
        <v>0</v>
      </c>
      <c r="CG440" s="207">
        <f>IF(AND(Input_Product=Elig!$C440,Elig_MatchAll_Ct&lt;22,$BC440=(Elig_MatchAll_Ct-1),AZ440=0),AB440,0)</f>
        <v>0</v>
      </c>
      <c r="CH440" s="208">
        <f>IF(AND(Input_Product=Elig!$C440,Elig_MatchAll_Ct&lt;22,$BC440=(Elig_MatchAll_Ct-1),AZ440=0),AC440,0)</f>
        <v>0</v>
      </c>
      <c r="CI440" s="207">
        <f>IF(AND(Input_Product=Elig!$C440,Elig_MatchAll_Ct&lt;22,$BC440=(Elig_MatchAll_Ct-1),BA440=0),AD440,0)</f>
        <v>0</v>
      </c>
      <c r="CJ440" s="209">
        <f>IF(AND(Input_Product=Elig!$C440,Elig_MatchAll_Ct&lt;22,$BC440=(Elig_MatchAll_Ct-1),BA440=0),AE440,0)</f>
        <v>0</v>
      </c>
    </row>
    <row r="441" spans="2:88" ht="10.15" customHeight="1" x14ac:dyDescent="0.25">
      <c r="B441" s="287" t="s">
        <v>1137</v>
      </c>
      <c r="C441" s="281" t="str">
        <f t="shared" si="175"/>
        <v>NonQM NOO</v>
      </c>
      <c r="D441" s="282" t="s">
        <v>3885</v>
      </c>
      <c r="E441" s="283" t="s">
        <v>167</v>
      </c>
      <c r="F441" s="283" t="s">
        <v>330</v>
      </c>
      <c r="G441" s="2103" t="s">
        <v>304</v>
      </c>
      <c r="H441" s="283" t="s">
        <v>446</v>
      </c>
      <c r="I441" s="282" t="s">
        <v>16</v>
      </c>
      <c r="J441" s="282" t="s">
        <v>1311</v>
      </c>
      <c r="K441" s="282" t="s">
        <v>1631</v>
      </c>
      <c r="L441" s="2103" t="s">
        <v>312</v>
      </c>
      <c r="M441" s="283" t="s">
        <v>4203</v>
      </c>
      <c r="N441" s="283" t="s">
        <v>2685</v>
      </c>
      <c r="O441" s="283" t="s">
        <v>310</v>
      </c>
      <c r="P441" s="283" t="s">
        <v>291</v>
      </c>
      <c r="Q441" s="283" t="s">
        <v>294</v>
      </c>
      <c r="R441" s="282">
        <v>1500000.01</v>
      </c>
      <c r="S441" s="282">
        <v>2000000</v>
      </c>
      <c r="T441" s="282">
        <v>0</v>
      </c>
      <c r="U441" s="282">
        <f t="shared" ref="U441:U446" si="176">S441</f>
        <v>2000000</v>
      </c>
      <c r="V441" s="282">
        <v>0</v>
      </c>
      <c r="W441" s="282">
        <v>50</v>
      </c>
      <c r="X441" s="282">
        <v>0</v>
      </c>
      <c r="Y441" s="282">
        <v>999</v>
      </c>
      <c r="Z441" s="284">
        <v>720</v>
      </c>
      <c r="AA441" s="284">
        <v>999</v>
      </c>
      <c r="AB441" s="284">
        <v>6</v>
      </c>
      <c r="AC441" s="284">
        <v>999999</v>
      </c>
      <c r="AD441" s="282">
        <v>0</v>
      </c>
      <c r="AE441" s="2104">
        <v>75</v>
      </c>
      <c r="AF441" s="170">
        <v>0</v>
      </c>
      <c r="AG441" s="171">
        <v>1</v>
      </c>
      <c r="AH441" s="171">
        <v>1</v>
      </c>
      <c r="AI441" s="171">
        <v>0</v>
      </c>
      <c r="AJ441" s="171">
        <v>0</v>
      </c>
      <c r="AK441" s="171">
        <v>0</v>
      </c>
      <c r="AL441" s="171">
        <v>1</v>
      </c>
      <c r="AM441" s="171">
        <v>1</v>
      </c>
      <c r="AN441" s="171">
        <v>1</v>
      </c>
      <c r="AO441" s="171">
        <v>1</v>
      </c>
      <c r="AP441" s="171">
        <v>1</v>
      </c>
      <c r="AQ441" s="171">
        <v>1</v>
      </c>
      <c r="AR441" s="171">
        <v>1</v>
      </c>
      <c r="AS441" s="171">
        <v>1</v>
      </c>
      <c r="AT441" s="171">
        <v>1</v>
      </c>
      <c r="AU441" s="171">
        <f t="shared" si="162"/>
        <v>0</v>
      </c>
      <c r="AV441" s="171">
        <f t="shared" si="163"/>
        <v>1</v>
      </c>
      <c r="AW441" s="171">
        <f t="shared" si="164"/>
        <v>1</v>
      </c>
      <c r="AX441" s="171">
        <f t="shared" si="173"/>
        <v>1</v>
      </c>
      <c r="AY441" s="171">
        <f t="shared" si="165"/>
        <v>1</v>
      </c>
      <c r="AZ441" s="171">
        <f t="shared" si="166"/>
        <v>1</v>
      </c>
      <c r="BA441" s="172">
        <f t="shared" si="167"/>
        <v>1</v>
      </c>
      <c r="BB441" s="175">
        <f t="shared" si="169"/>
        <v>17</v>
      </c>
      <c r="BC441" s="176">
        <f t="shared" si="170"/>
        <v>16</v>
      </c>
      <c r="BD441" s="176">
        <f t="shared" si="171"/>
        <v>17</v>
      </c>
      <c r="BE441" s="240" t="str">
        <f t="shared" si="161"/>
        <v/>
      </c>
      <c r="BH441" s="216">
        <f>IF(AND(Input_Product=Elig!$C441,Elig_MatchAll_Ct&lt;22,$BC441=(Elig_MatchAll_Ct-1),AF441=0),C441,0)</f>
        <v>0</v>
      </c>
      <c r="BI441" s="216">
        <f>IF(AND(Input_Product=Elig!$C441,Elig_MatchAll_Ct&lt;22,$BC441=(Elig_MatchAll_Ct-1),AG441=0),D441,0)</f>
        <v>0</v>
      </c>
      <c r="BJ441" s="216">
        <f>IF(AND(Input_Product=Elig!$C441,Elig_MatchAll_Ct&lt;22,$BC441=(Elig_MatchAll_Ct-1),AH441=0),E441,0)</f>
        <v>0</v>
      </c>
      <c r="BK441" s="216">
        <f>IF(AND(Input_Product=Elig!$C441,Elig_MatchAll_Ct&lt;22,$BC441=(Elig_MatchAll_Ct-1),AI441=0),F441,0)</f>
        <v>0</v>
      </c>
      <c r="BL441" s="216">
        <f>IF(AND(Input_Product=Elig!$C441,Elig_MatchAll_Ct&lt;22,$BC441=(Elig_MatchAll_Ct-1),AJ441=0),G441,0)</f>
        <v>0</v>
      </c>
      <c r="BM441" s="216">
        <f>IF(AND(Input_Product=Elig!$C441,Elig_MatchAll_Ct&lt;22,$BC441=(Elig_MatchAll_Ct-1),AK441=0),H441,0)</f>
        <v>0</v>
      </c>
      <c r="BN441" s="216">
        <f>IF(AND(Input_Product=Elig!$C441,Elig_MatchAll_Ct&lt;22,$BC441=(Elig_MatchAll_Ct-1),AL441=0),I441,0)</f>
        <v>0</v>
      </c>
      <c r="BO441" s="216">
        <f>IF(AND(Input_Product=Elig!$C441,Elig_MatchAll_Ct&lt;22,$BC441=(Elig_MatchAll_Ct-1),AM441=0),J441,0)</f>
        <v>0</v>
      </c>
      <c r="BP441" s="216">
        <f>IF(AND(Input_Product=Elig!$C441,Elig_MatchAll_Ct&lt;22,$BC441=(Elig_MatchAll_Ct-1),AN441=0),K441,0)</f>
        <v>0</v>
      </c>
      <c r="BQ441" s="216">
        <f>IF(AND(Input_Product=Elig!$C441,Elig_MatchAll_Ct&lt;22,$BC441=(Elig_MatchAll_Ct-1),AP441=0),L441,0)</f>
        <v>0</v>
      </c>
      <c r="BR441" s="216">
        <f>IF(AND(Input_Product=Elig!$C441,Elig_MatchAll_Ct&lt;22,$BC441=(Elig_MatchAll_Ct-1),AO441=0),M441,0)</f>
        <v>0</v>
      </c>
      <c r="BS441" s="216">
        <f>IF(AND(Input_Product=Elig!$C441,Elig_MatchAll_Ct&lt;22,$BC441=(Elig_MatchAll_Ct-1),AQ441=0),N441,0)</f>
        <v>0</v>
      </c>
      <c r="BT441" s="216">
        <f>IF(AND(Input_Product=Elig!$C441,Elig_MatchAll_Ct&lt;22,$BC441=(Elig_MatchAll_Ct-1),AR441=0),O441,0)</f>
        <v>0</v>
      </c>
      <c r="BU441" s="216">
        <f>IF(AND(Input_Product=Elig!$C441,Elig_MatchAll_Ct&lt;22,$BC441=(Elig_MatchAll_Ct-1),AS441=0),P441,0)</f>
        <v>0</v>
      </c>
      <c r="BV441" s="217">
        <f>IF(AND(Input_Product=Elig!$C441,Elig_MatchAll_Ct&lt;22,$BC441=(Elig_MatchAll_Ct-1),AT441=0),Q441,0)</f>
        <v>0</v>
      </c>
      <c r="BW441" s="218">
        <f>IF(AND(Input_Product=Elig!$C441,Elig_MatchAll_Ct&lt;22,$BC441=(Elig_MatchAll_Ct-1),AU441=0),R441,0)</f>
        <v>0</v>
      </c>
      <c r="BX441" s="219">
        <f>IF(AND(Input_Product=Elig!$C441,Elig_MatchAll_Ct&lt;22,$BC441=(Elig_MatchAll_Ct-1),AU441=0),S441,0)</f>
        <v>0</v>
      </c>
      <c r="BY441" s="218">
        <f>IF(AND(Input_Product=Elig!$C441,Elig_MatchAll_Ct&lt;22,$BC441=(Elig_MatchAll_Ct-1),AV441=0),T441,0)</f>
        <v>0</v>
      </c>
      <c r="BZ441" s="219">
        <f>IF(AND(Input_Product=Elig!$C441,Elig_MatchAll_Ct&lt;22,$BC441=(Elig_MatchAll_Ct-1),AV441=0),U441,0)</f>
        <v>0</v>
      </c>
      <c r="CA441" s="218">
        <f>IF(AND(Input_Product=Elig!$C441,Elig_MatchAll_Ct&lt;22,$BC441=(Elig_MatchAll_Ct-1),AW441=0),V441,0)</f>
        <v>0</v>
      </c>
      <c r="CB441" s="219">
        <f>IF(AND(Input_Product=Elig!$C441,Elig_MatchAll_Ct&lt;22,$BC441=(Elig_MatchAll_Ct-1),AW441=0),W441,0)</f>
        <v>0</v>
      </c>
      <c r="CC441" s="218">
        <f>IF(AND(Input_Product=Elig!$C441,Elig_MatchAll_Ct&lt;22,$BC441=(Elig_MatchAll_Ct-1),AX441=0),X441,0)</f>
        <v>0</v>
      </c>
      <c r="CD441" s="219">
        <f>IF(AND(Input_Product=Elig!$C441,Elig_MatchAll_Ct&lt;22,$BC441=(Elig_MatchAll_Ct-1),AX441=0),Y441,0)</f>
        <v>0</v>
      </c>
      <c r="CE441" s="218">
        <f>IF(AND(Input_LTV&lt;=AE441,Input_Product=Elig!$C441,Elig_MatchAll_Ct&lt;22,$BC441=(Elig_MatchAll_Ct-1),AY441=0),Z441,0)</f>
        <v>0</v>
      </c>
      <c r="CF441" s="219">
        <f>IF(AND(Input_LTV&lt;=AE441,Input_Product=Elig!$C441,Elig_MatchAll_Ct&lt;22,$BC441=(Elig_MatchAll_Ct-1),AY441=0),AA441,0)</f>
        <v>0</v>
      </c>
      <c r="CG441" s="218">
        <f>IF(AND(Input_Product=Elig!$C441,Elig_MatchAll_Ct&lt;22,$BC441=(Elig_MatchAll_Ct-1),AZ441=0),AB441,0)</f>
        <v>0</v>
      </c>
      <c r="CH441" s="219">
        <f>IF(AND(Input_Product=Elig!$C441,Elig_MatchAll_Ct&lt;22,$BC441=(Elig_MatchAll_Ct-1),AZ441=0),AC441,0)</f>
        <v>0</v>
      </c>
      <c r="CI441" s="218">
        <f>IF(AND(Input_Product=Elig!$C441,Elig_MatchAll_Ct&lt;22,$BC441=(Elig_MatchAll_Ct-1),BA441=0),AD441,0)</f>
        <v>0</v>
      </c>
      <c r="CJ441" s="219">
        <f>IF(AND(Input_Product=Elig!$C441,Elig_MatchAll_Ct&lt;22,$BC441=(Elig_MatchAll_Ct-1),BA441=0),AE441,0)</f>
        <v>0</v>
      </c>
    </row>
    <row r="442" spans="2:88" ht="10.15" customHeight="1" x14ac:dyDescent="0.25">
      <c r="B442" s="287" t="s">
        <v>1138</v>
      </c>
      <c r="C442" s="286" t="str">
        <f t="shared" si="175"/>
        <v>NonQM NOO</v>
      </c>
      <c r="D442" s="287" t="s">
        <v>3885</v>
      </c>
      <c r="E442" s="287" t="s">
        <v>167</v>
      </c>
      <c r="F442" s="287" t="s">
        <v>330</v>
      </c>
      <c r="G442" s="300" t="s">
        <v>304</v>
      </c>
      <c r="H442" s="287" t="s">
        <v>446</v>
      </c>
      <c r="I442" s="288" t="s">
        <v>16</v>
      </c>
      <c r="J442" s="288" t="s">
        <v>1311</v>
      </c>
      <c r="K442" s="288" t="s">
        <v>1631</v>
      </c>
      <c r="L442" s="300" t="s">
        <v>312</v>
      </c>
      <c r="M442" s="287" t="s">
        <v>4203</v>
      </c>
      <c r="N442" s="287" t="s">
        <v>2685</v>
      </c>
      <c r="O442" s="287" t="s">
        <v>310</v>
      </c>
      <c r="P442" s="287" t="s">
        <v>291</v>
      </c>
      <c r="Q442" s="287" t="s">
        <v>294</v>
      </c>
      <c r="R442" s="287">
        <v>1500000.01</v>
      </c>
      <c r="S442" s="287">
        <v>2000000</v>
      </c>
      <c r="T442" s="287">
        <v>0</v>
      </c>
      <c r="U442" s="287">
        <f t="shared" si="176"/>
        <v>2000000</v>
      </c>
      <c r="V442" s="287">
        <v>0</v>
      </c>
      <c r="W442" s="287">
        <v>50</v>
      </c>
      <c r="X442" s="287">
        <v>0</v>
      </c>
      <c r="Y442" s="287">
        <v>999</v>
      </c>
      <c r="Z442" s="289">
        <v>700</v>
      </c>
      <c r="AA442" s="289">
        <v>719</v>
      </c>
      <c r="AB442" s="289">
        <v>6</v>
      </c>
      <c r="AC442" s="289">
        <v>999999</v>
      </c>
      <c r="AD442" s="287">
        <v>0</v>
      </c>
      <c r="AE442" s="2105">
        <v>75</v>
      </c>
      <c r="AF442" s="170">
        <v>0</v>
      </c>
      <c r="AG442" s="171">
        <v>1</v>
      </c>
      <c r="AH442" s="171">
        <v>1</v>
      </c>
      <c r="AI442" s="171">
        <v>0</v>
      </c>
      <c r="AJ442" s="171">
        <v>0</v>
      </c>
      <c r="AK442" s="171">
        <v>0</v>
      </c>
      <c r="AL442" s="171">
        <v>1</v>
      </c>
      <c r="AM442" s="171">
        <v>1</v>
      </c>
      <c r="AN442" s="171">
        <v>1</v>
      </c>
      <c r="AO442" s="171">
        <v>1</v>
      </c>
      <c r="AP442" s="171">
        <v>1</v>
      </c>
      <c r="AQ442" s="171">
        <v>1</v>
      </c>
      <c r="AR442" s="171">
        <v>1</v>
      </c>
      <c r="AS442" s="171">
        <v>1</v>
      </c>
      <c r="AT442" s="171">
        <v>1</v>
      </c>
      <c r="AU442" s="171">
        <f t="shared" si="162"/>
        <v>0</v>
      </c>
      <c r="AV442" s="171">
        <f t="shared" si="163"/>
        <v>1</v>
      </c>
      <c r="AW442" s="171">
        <f t="shared" si="164"/>
        <v>1</v>
      </c>
      <c r="AX442" s="171">
        <f t="shared" si="173"/>
        <v>1</v>
      </c>
      <c r="AY442" s="171">
        <f t="shared" si="165"/>
        <v>0</v>
      </c>
      <c r="AZ442" s="171">
        <f t="shared" si="166"/>
        <v>1</v>
      </c>
      <c r="BA442" s="172">
        <f t="shared" si="167"/>
        <v>1</v>
      </c>
      <c r="BB442" s="175">
        <f t="shared" si="169"/>
        <v>16</v>
      </c>
      <c r="BC442" s="176">
        <f t="shared" si="170"/>
        <v>15</v>
      </c>
      <c r="BD442" s="176">
        <f t="shared" si="171"/>
        <v>16</v>
      </c>
      <c r="BE442" s="240" t="str">
        <f t="shared" si="161"/>
        <v/>
      </c>
      <c r="BH442" s="199">
        <f>IF(AND(Input_Product=Elig!$C442,Elig_MatchAll_Ct&lt;22,$BC442=(Elig_MatchAll_Ct-1),AF442=0),C442,0)</f>
        <v>0</v>
      </c>
      <c r="BI442" s="199">
        <f>IF(AND(Input_Product=Elig!$C442,Elig_MatchAll_Ct&lt;22,$BC442=(Elig_MatchAll_Ct-1),AG442=0),D442,0)</f>
        <v>0</v>
      </c>
      <c r="BJ442" s="199">
        <f>IF(AND(Input_Product=Elig!$C442,Elig_MatchAll_Ct&lt;22,$BC442=(Elig_MatchAll_Ct-1),AH442=0),E442,0)</f>
        <v>0</v>
      </c>
      <c r="BK442" s="199">
        <f>IF(AND(Input_Product=Elig!$C442,Elig_MatchAll_Ct&lt;22,$BC442=(Elig_MatchAll_Ct-1),AI442=0),F442,0)</f>
        <v>0</v>
      </c>
      <c r="BL442" s="199">
        <f>IF(AND(Input_Product=Elig!$C442,Elig_MatchAll_Ct&lt;22,$BC442=(Elig_MatchAll_Ct-1),AJ442=0),G442,0)</f>
        <v>0</v>
      </c>
      <c r="BM442" s="199">
        <f>IF(AND(Input_Product=Elig!$C442,Elig_MatchAll_Ct&lt;22,$BC442=(Elig_MatchAll_Ct-1),AK442=0),H442,0)</f>
        <v>0</v>
      </c>
      <c r="BN442" s="199">
        <f>IF(AND(Input_Product=Elig!$C442,Elig_MatchAll_Ct&lt;22,$BC442=(Elig_MatchAll_Ct-1),AL442=0),I442,0)</f>
        <v>0</v>
      </c>
      <c r="BO442" s="199">
        <f>IF(AND(Input_Product=Elig!$C442,Elig_MatchAll_Ct&lt;22,$BC442=(Elig_MatchAll_Ct-1),AM442=0),J442,0)</f>
        <v>0</v>
      </c>
      <c r="BP442" s="199">
        <f>IF(AND(Input_Product=Elig!$C442,Elig_MatchAll_Ct&lt;22,$BC442=(Elig_MatchAll_Ct-1),AN442=0),K442,0)</f>
        <v>0</v>
      </c>
      <c r="BQ442" s="199">
        <f>IF(AND(Input_Product=Elig!$C442,Elig_MatchAll_Ct&lt;22,$BC442=(Elig_MatchAll_Ct-1),AP442=0),L442,0)</f>
        <v>0</v>
      </c>
      <c r="BR442" s="199">
        <f>IF(AND(Input_Product=Elig!$C442,Elig_MatchAll_Ct&lt;22,$BC442=(Elig_MatchAll_Ct-1),AO442=0),M442,0)</f>
        <v>0</v>
      </c>
      <c r="BS442" s="199">
        <f>IF(AND(Input_Product=Elig!$C442,Elig_MatchAll_Ct&lt;22,$BC442=(Elig_MatchAll_Ct-1),AQ442=0),N442,0)</f>
        <v>0</v>
      </c>
      <c r="BT442" s="199">
        <f>IF(AND(Input_Product=Elig!$C442,Elig_MatchAll_Ct&lt;22,$BC442=(Elig_MatchAll_Ct-1),AR442=0),O442,0)</f>
        <v>0</v>
      </c>
      <c r="BU442" s="199">
        <f>IF(AND(Input_Product=Elig!$C442,Elig_MatchAll_Ct&lt;22,$BC442=(Elig_MatchAll_Ct-1),AS442=0),P442,0)</f>
        <v>0</v>
      </c>
      <c r="BV442" s="200">
        <f>IF(AND(Input_Product=Elig!$C442,Elig_MatchAll_Ct&lt;22,$BC442=(Elig_MatchAll_Ct-1),AT442=0),Q442,0)</f>
        <v>0</v>
      </c>
      <c r="BW442" s="201">
        <f>IF(AND(Input_Product=Elig!$C442,Elig_MatchAll_Ct&lt;22,$BC442=(Elig_MatchAll_Ct-1),AU442=0),R442,0)</f>
        <v>0</v>
      </c>
      <c r="BX442" s="202">
        <f>IF(AND(Input_Product=Elig!$C442,Elig_MatchAll_Ct&lt;22,$BC442=(Elig_MatchAll_Ct-1),AU442=0),S442,0)</f>
        <v>0</v>
      </c>
      <c r="BY442" s="201">
        <f>IF(AND(Input_Product=Elig!$C442,Elig_MatchAll_Ct&lt;22,$BC442=(Elig_MatchAll_Ct-1),AV442=0),T442,0)</f>
        <v>0</v>
      </c>
      <c r="BZ442" s="202">
        <f>IF(AND(Input_Product=Elig!$C442,Elig_MatchAll_Ct&lt;22,$BC442=(Elig_MatchAll_Ct-1),AV442=0),U442,0)</f>
        <v>0</v>
      </c>
      <c r="CA442" s="201">
        <f>IF(AND(Input_Product=Elig!$C442,Elig_MatchAll_Ct&lt;22,$BC442=(Elig_MatchAll_Ct-1),AW442=0),V442,0)</f>
        <v>0</v>
      </c>
      <c r="CB442" s="202">
        <f>IF(AND(Input_Product=Elig!$C442,Elig_MatchAll_Ct&lt;22,$BC442=(Elig_MatchAll_Ct-1),AW442=0),W442,0)</f>
        <v>0</v>
      </c>
      <c r="CC442" s="201">
        <f>IF(AND(Input_Product=Elig!$C442,Elig_MatchAll_Ct&lt;22,$BC442=(Elig_MatchAll_Ct-1),AX442=0),X442,0)</f>
        <v>0</v>
      </c>
      <c r="CD442" s="202">
        <f>IF(AND(Input_Product=Elig!$C442,Elig_MatchAll_Ct&lt;22,$BC442=(Elig_MatchAll_Ct-1),AX442=0),Y442,0)</f>
        <v>0</v>
      </c>
      <c r="CE442" s="201">
        <f>IF(AND(Input_LTV&lt;=AE442,Input_Product=Elig!$C442,Elig_MatchAll_Ct&lt;22,$BC442=(Elig_MatchAll_Ct-1),AY442=0),Z442,0)</f>
        <v>0</v>
      </c>
      <c r="CF442" s="202">
        <f>IF(AND(Input_LTV&lt;=AE442,Input_Product=Elig!$C442,Elig_MatchAll_Ct&lt;22,$BC442=(Elig_MatchAll_Ct-1),AY442=0),AA442,0)</f>
        <v>0</v>
      </c>
      <c r="CG442" s="201">
        <f>IF(AND(Input_Product=Elig!$C442,Elig_MatchAll_Ct&lt;22,$BC442=(Elig_MatchAll_Ct-1),AZ442=0),AB442,0)</f>
        <v>0</v>
      </c>
      <c r="CH442" s="202">
        <f>IF(AND(Input_Product=Elig!$C442,Elig_MatchAll_Ct&lt;22,$BC442=(Elig_MatchAll_Ct-1),AZ442=0),AC442,0)</f>
        <v>0</v>
      </c>
      <c r="CI442" s="201">
        <f>IF(AND(Input_Product=Elig!$C442,Elig_MatchAll_Ct&lt;22,$BC442=(Elig_MatchAll_Ct-1),BA442=0),AD442,0)</f>
        <v>0</v>
      </c>
      <c r="CJ442" s="202">
        <f>IF(AND(Input_Product=Elig!$C442,Elig_MatchAll_Ct&lt;22,$BC442=(Elig_MatchAll_Ct-1),BA442=0),AE442,0)</f>
        <v>0</v>
      </c>
    </row>
    <row r="443" spans="2:88" ht="10.15" customHeight="1" x14ac:dyDescent="0.25">
      <c r="B443" s="287" t="s">
        <v>1139</v>
      </c>
      <c r="C443" s="286" t="str">
        <f t="shared" si="175"/>
        <v>NonQM NOO</v>
      </c>
      <c r="D443" s="287" t="s">
        <v>3885</v>
      </c>
      <c r="E443" s="287" t="s">
        <v>167</v>
      </c>
      <c r="F443" s="287" t="s">
        <v>330</v>
      </c>
      <c r="G443" s="300" t="s">
        <v>304</v>
      </c>
      <c r="H443" s="287" t="s">
        <v>446</v>
      </c>
      <c r="I443" s="288" t="s">
        <v>16</v>
      </c>
      <c r="J443" s="288" t="s">
        <v>1311</v>
      </c>
      <c r="K443" s="288" t="s">
        <v>1631</v>
      </c>
      <c r="L443" s="300" t="s">
        <v>312</v>
      </c>
      <c r="M443" s="287" t="s">
        <v>4203</v>
      </c>
      <c r="N443" s="287" t="s">
        <v>2685</v>
      </c>
      <c r="O443" s="287" t="s">
        <v>310</v>
      </c>
      <c r="P443" s="287" t="s">
        <v>291</v>
      </c>
      <c r="Q443" s="287" t="s">
        <v>294</v>
      </c>
      <c r="R443" s="287">
        <v>1500000.01</v>
      </c>
      <c r="S443" s="287">
        <v>2000000</v>
      </c>
      <c r="T443" s="287">
        <v>0</v>
      </c>
      <c r="U443" s="287">
        <f t="shared" si="176"/>
        <v>2000000</v>
      </c>
      <c r="V443" s="287">
        <v>0</v>
      </c>
      <c r="W443" s="287">
        <v>50</v>
      </c>
      <c r="X443" s="287">
        <v>0</v>
      </c>
      <c r="Y443" s="287">
        <v>999</v>
      </c>
      <c r="Z443" s="289">
        <v>680</v>
      </c>
      <c r="AA443" s="289">
        <v>699</v>
      </c>
      <c r="AB443" s="289">
        <v>6</v>
      </c>
      <c r="AC443" s="289">
        <v>999999</v>
      </c>
      <c r="AD443" s="287">
        <v>0</v>
      </c>
      <c r="AE443" s="2105">
        <v>70</v>
      </c>
      <c r="AF443" s="170">
        <v>0</v>
      </c>
      <c r="AG443" s="171">
        <v>1</v>
      </c>
      <c r="AH443" s="171">
        <v>1</v>
      </c>
      <c r="AI443" s="171">
        <v>0</v>
      </c>
      <c r="AJ443" s="171">
        <v>0</v>
      </c>
      <c r="AK443" s="171">
        <v>0</v>
      </c>
      <c r="AL443" s="171">
        <v>1</v>
      </c>
      <c r="AM443" s="171">
        <v>1</v>
      </c>
      <c r="AN443" s="171">
        <v>1</v>
      </c>
      <c r="AO443" s="171">
        <v>1</v>
      </c>
      <c r="AP443" s="171">
        <v>1</v>
      </c>
      <c r="AQ443" s="171">
        <v>1</v>
      </c>
      <c r="AR443" s="171">
        <v>1</v>
      </c>
      <c r="AS443" s="171">
        <v>1</v>
      </c>
      <c r="AT443" s="171">
        <v>1</v>
      </c>
      <c r="AU443" s="171">
        <f t="shared" si="162"/>
        <v>0</v>
      </c>
      <c r="AV443" s="171">
        <f t="shared" si="163"/>
        <v>1</v>
      </c>
      <c r="AW443" s="171">
        <f t="shared" si="164"/>
        <v>1</v>
      </c>
      <c r="AX443" s="171">
        <f t="shared" si="173"/>
        <v>1</v>
      </c>
      <c r="AY443" s="171">
        <f t="shared" si="165"/>
        <v>0</v>
      </c>
      <c r="AZ443" s="171">
        <f t="shared" si="166"/>
        <v>1</v>
      </c>
      <c r="BA443" s="172">
        <f t="shared" si="167"/>
        <v>1</v>
      </c>
      <c r="BB443" s="175">
        <f t="shared" si="169"/>
        <v>16</v>
      </c>
      <c r="BC443" s="176">
        <f t="shared" si="170"/>
        <v>15</v>
      </c>
      <c r="BD443" s="176">
        <f t="shared" si="171"/>
        <v>16</v>
      </c>
      <c r="BE443" s="240" t="str">
        <f t="shared" si="161"/>
        <v/>
      </c>
      <c r="BH443" s="199">
        <f>IF(AND(Input_Product=Elig!$C443,Elig_MatchAll_Ct&lt;22,$BC443=(Elig_MatchAll_Ct-1),AF443=0),C443,0)</f>
        <v>0</v>
      </c>
      <c r="BI443" s="199">
        <f>IF(AND(Input_Product=Elig!$C443,Elig_MatchAll_Ct&lt;22,$BC443=(Elig_MatchAll_Ct-1),AG443=0),D443,0)</f>
        <v>0</v>
      </c>
      <c r="BJ443" s="199">
        <f>IF(AND(Input_Product=Elig!$C443,Elig_MatchAll_Ct&lt;22,$BC443=(Elig_MatchAll_Ct-1),AH443=0),E443,0)</f>
        <v>0</v>
      </c>
      <c r="BK443" s="199">
        <f>IF(AND(Input_Product=Elig!$C443,Elig_MatchAll_Ct&lt;22,$BC443=(Elig_MatchAll_Ct-1),AI443=0),F443,0)</f>
        <v>0</v>
      </c>
      <c r="BL443" s="199">
        <f>IF(AND(Input_Product=Elig!$C443,Elig_MatchAll_Ct&lt;22,$BC443=(Elig_MatchAll_Ct-1),AJ443=0),G443,0)</f>
        <v>0</v>
      </c>
      <c r="BM443" s="199">
        <f>IF(AND(Input_Product=Elig!$C443,Elig_MatchAll_Ct&lt;22,$BC443=(Elig_MatchAll_Ct-1),AK443=0),H443,0)</f>
        <v>0</v>
      </c>
      <c r="BN443" s="199">
        <f>IF(AND(Input_Product=Elig!$C443,Elig_MatchAll_Ct&lt;22,$BC443=(Elig_MatchAll_Ct-1),AL443=0),I443,0)</f>
        <v>0</v>
      </c>
      <c r="BO443" s="199">
        <f>IF(AND(Input_Product=Elig!$C443,Elig_MatchAll_Ct&lt;22,$BC443=(Elig_MatchAll_Ct-1),AM443=0),J443,0)</f>
        <v>0</v>
      </c>
      <c r="BP443" s="199">
        <f>IF(AND(Input_Product=Elig!$C443,Elig_MatchAll_Ct&lt;22,$BC443=(Elig_MatchAll_Ct-1),AN443=0),K443,0)</f>
        <v>0</v>
      </c>
      <c r="BQ443" s="199">
        <f>IF(AND(Input_Product=Elig!$C443,Elig_MatchAll_Ct&lt;22,$BC443=(Elig_MatchAll_Ct-1),AP443=0),L443,0)</f>
        <v>0</v>
      </c>
      <c r="BR443" s="199">
        <f>IF(AND(Input_Product=Elig!$C443,Elig_MatchAll_Ct&lt;22,$BC443=(Elig_MatchAll_Ct-1),AO443=0),M443,0)</f>
        <v>0</v>
      </c>
      <c r="BS443" s="199">
        <f>IF(AND(Input_Product=Elig!$C443,Elig_MatchAll_Ct&lt;22,$BC443=(Elig_MatchAll_Ct-1),AQ443=0),N443,0)</f>
        <v>0</v>
      </c>
      <c r="BT443" s="199">
        <f>IF(AND(Input_Product=Elig!$C443,Elig_MatchAll_Ct&lt;22,$BC443=(Elig_MatchAll_Ct-1),AR443=0),O443,0)</f>
        <v>0</v>
      </c>
      <c r="BU443" s="199">
        <f>IF(AND(Input_Product=Elig!$C443,Elig_MatchAll_Ct&lt;22,$BC443=(Elig_MatchAll_Ct-1),AS443=0),P443,0)</f>
        <v>0</v>
      </c>
      <c r="BV443" s="200">
        <f>IF(AND(Input_Product=Elig!$C443,Elig_MatchAll_Ct&lt;22,$BC443=(Elig_MatchAll_Ct-1),AT443=0),Q443,0)</f>
        <v>0</v>
      </c>
      <c r="BW443" s="201">
        <f>IF(AND(Input_Product=Elig!$C443,Elig_MatchAll_Ct&lt;22,$BC443=(Elig_MatchAll_Ct-1),AU443=0),R443,0)</f>
        <v>0</v>
      </c>
      <c r="BX443" s="202">
        <f>IF(AND(Input_Product=Elig!$C443,Elig_MatchAll_Ct&lt;22,$BC443=(Elig_MatchAll_Ct-1),AU443=0),S443,0)</f>
        <v>0</v>
      </c>
      <c r="BY443" s="201">
        <f>IF(AND(Input_Product=Elig!$C443,Elig_MatchAll_Ct&lt;22,$BC443=(Elig_MatchAll_Ct-1),AV443=0),T443,0)</f>
        <v>0</v>
      </c>
      <c r="BZ443" s="202">
        <f>IF(AND(Input_Product=Elig!$C443,Elig_MatchAll_Ct&lt;22,$BC443=(Elig_MatchAll_Ct-1),AV443=0),U443,0)</f>
        <v>0</v>
      </c>
      <c r="CA443" s="201">
        <f>IF(AND(Input_Product=Elig!$C443,Elig_MatchAll_Ct&lt;22,$BC443=(Elig_MatchAll_Ct-1),AW443=0),V443,0)</f>
        <v>0</v>
      </c>
      <c r="CB443" s="202">
        <f>IF(AND(Input_Product=Elig!$C443,Elig_MatchAll_Ct&lt;22,$BC443=(Elig_MatchAll_Ct-1),AW443=0),W443,0)</f>
        <v>0</v>
      </c>
      <c r="CC443" s="201">
        <f>IF(AND(Input_Product=Elig!$C443,Elig_MatchAll_Ct&lt;22,$BC443=(Elig_MatchAll_Ct-1),AX443=0),X443,0)</f>
        <v>0</v>
      </c>
      <c r="CD443" s="202">
        <f>IF(AND(Input_Product=Elig!$C443,Elig_MatchAll_Ct&lt;22,$BC443=(Elig_MatchAll_Ct-1),AX443=0),Y443,0)</f>
        <v>0</v>
      </c>
      <c r="CE443" s="201">
        <f>IF(AND(Input_LTV&lt;=AE443,Input_Product=Elig!$C443,Elig_MatchAll_Ct&lt;22,$BC443=(Elig_MatchAll_Ct-1),AY443=0),Z443,0)</f>
        <v>0</v>
      </c>
      <c r="CF443" s="202">
        <f>IF(AND(Input_LTV&lt;=AE443,Input_Product=Elig!$C443,Elig_MatchAll_Ct&lt;22,$BC443=(Elig_MatchAll_Ct-1),AY443=0),AA443,0)</f>
        <v>0</v>
      </c>
      <c r="CG443" s="201">
        <f>IF(AND(Input_Product=Elig!$C443,Elig_MatchAll_Ct&lt;22,$BC443=(Elig_MatchAll_Ct-1),AZ443=0),AB443,0)</f>
        <v>0</v>
      </c>
      <c r="CH443" s="202">
        <f>IF(AND(Input_Product=Elig!$C443,Elig_MatchAll_Ct&lt;22,$BC443=(Elig_MatchAll_Ct-1),AZ443=0),AC443,0)</f>
        <v>0</v>
      </c>
      <c r="CI443" s="201">
        <f>IF(AND(Input_Product=Elig!$C443,Elig_MatchAll_Ct&lt;22,$BC443=(Elig_MatchAll_Ct-1),BA443=0),AD443,0)</f>
        <v>0</v>
      </c>
      <c r="CJ443" s="202">
        <f>IF(AND(Input_Product=Elig!$C443,Elig_MatchAll_Ct&lt;22,$BC443=(Elig_MatchAll_Ct-1),BA443=0),AE443,0)</f>
        <v>0</v>
      </c>
    </row>
    <row r="444" spans="2:88" ht="10.15" customHeight="1" x14ac:dyDescent="0.25">
      <c r="B444" s="287" t="s">
        <v>1140</v>
      </c>
      <c r="C444" s="286" t="str">
        <f t="shared" si="175"/>
        <v>NonQM NOO</v>
      </c>
      <c r="D444" s="287" t="s">
        <v>3885</v>
      </c>
      <c r="E444" s="287" t="s">
        <v>167</v>
      </c>
      <c r="F444" s="287" t="s">
        <v>330</v>
      </c>
      <c r="G444" s="300" t="s">
        <v>304</v>
      </c>
      <c r="H444" s="287" t="s">
        <v>446</v>
      </c>
      <c r="I444" s="287" t="s">
        <v>16</v>
      </c>
      <c r="J444" s="287" t="s">
        <v>1311</v>
      </c>
      <c r="K444" s="287" t="s">
        <v>1631</v>
      </c>
      <c r="L444" s="300" t="s">
        <v>312</v>
      </c>
      <c r="M444" s="287" t="s">
        <v>4203</v>
      </c>
      <c r="N444" s="287" t="s">
        <v>2685</v>
      </c>
      <c r="O444" s="287" t="s">
        <v>310</v>
      </c>
      <c r="P444" s="287" t="s">
        <v>291</v>
      </c>
      <c r="Q444" s="287" t="s">
        <v>294</v>
      </c>
      <c r="R444" s="287">
        <v>1500000.01</v>
      </c>
      <c r="S444" s="287">
        <v>2000000</v>
      </c>
      <c r="T444" s="287">
        <v>0</v>
      </c>
      <c r="U444" s="287">
        <f t="shared" si="176"/>
        <v>2000000</v>
      </c>
      <c r="V444" s="287">
        <v>0</v>
      </c>
      <c r="W444" s="287">
        <v>50</v>
      </c>
      <c r="X444" s="287">
        <v>0</v>
      </c>
      <c r="Y444" s="287">
        <v>999</v>
      </c>
      <c r="Z444" s="289">
        <v>660</v>
      </c>
      <c r="AA444" s="289">
        <v>679</v>
      </c>
      <c r="AB444" s="289">
        <v>6</v>
      </c>
      <c r="AC444" s="289">
        <v>999999</v>
      </c>
      <c r="AD444" s="287">
        <v>0</v>
      </c>
      <c r="AE444" s="2105">
        <v>65</v>
      </c>
      <c r="AF444" s="170">
        <v>0</v>
      </c>
      <c r="AG444" s="171">
        <v>1</v>
      </c>
      <c r="AH444" s="171">
        <v>1</v>
      </c>
      <c r="AI444" s="171">
        <v>0</v>
      </c>
      <c r="AJ444" s="171">
        <v>0</v>
      </c>
      <c r="AK444" s="171">
        <v>0</v>
      </c>
      <c r="AL444" s="171">
        <v>1</v>
      </c>
      <c r="AM444" s="171">
        <v>1</v>
      </c>
      <c r="AN444" s="171">
        <v>1</v>
      </c>
      <c r="AO444" s="171">
        <v>1</v>
      </c>
      <c r="AP444" s="171">
        <v>1</v>
      </c>
      <c r="AQ444" s="171">
        <v>1</v>
      </c>
      <c r="AR444" s="171">
        <v>1</v>
      </c>
      <c r="AS444" s="171">
        <v>1</v>
      </c>
      <c r="AT444" s="171">
        <v>1</v>
      </c>
      <c r="AU444" s="171">
        <f t="shared" si="162"/>
        <v>0</v>
      </c>
      <c r="AV444" s="171">
        <f t="shared" si="163"/>
        <v>1</v>
      </c>
      <c r="AW444" s="171">
        <f t="shared" si="164"/>
        <v>1</v>
      </c>
      <c r="AX444" s="171">
        <f t="shared" si="173"/>
        <v>1</v>
      </c>
      <c r="AY444" s="171">
        <f t="shared" si="165"/>
        <v>0</v>
      </c>
      <c r="AZ444" s="171">
        <f t="shared" si="166"/>
        <v>1</v>
      </c>
      <c r="BA444" s="172">
        <f t="shared" si="167"/>
        <v>1</v>
      </c>
      <c r="BB444" s="175">
        <f t="shared" si="169"/>
        <v>16</v>
      </c>
      <c r="BC444" s="176">
        <f t="shared" si="170"/>
        <v>15</v>
      </c>
      <c r="BD444" s="176">
        <f t="shared" si="171"/>
        <v>16</v>
      </c>
      <c r="BE444" s="240" t="str">
        <f t="shared" si="161"/>
        <v/>
      </c>
      <c r="BH444" s="199">
        <f>IF(AND(Input_Product=Elig!$C444,Elig_MatchAll_Ct&lt;22,$BC444=(Elig_MatchAll_Ct-1),AF444=0),C444,0)</f>
        <v>0</v>
      </c>
      <c r="BI444" s="199">
        <f>IF(AND(Input_Product=Elig!$C444,Elig_MatchAll_Ct&lt;22,$BC444=(Elig_MatchAll_Ct-1),AG444=0),D444,0)</f>
        <v>0</v>
      </c>
      <c r="BJ444" s="199">
        <f>IF(AND(Input_Product=Elig!$C444,Elig_MatchAll_Ct&lt;22,$BC444=(Elig_MatchAll_Ct-1),AH444=0),E444,0)</f>
        <v>0</v>
      </c>
      <c r="BK444" s="199">
        <f>IF(AND(Input_Product=Elig!$C444,Elig_MatchAll_Ct&lt;22,$BC444=(Elig_MatchAll_Ct-1),AI444=0),F444,0)</f>
        <v>0</v>
      </c>
      <c r="BL444" s="199">
        <f>IF(AND(Input_Product=Elig!$C444,Elig_MatchAll_Ct&lt;22,$BC444=(Elig_MatchAll_Ct-1),AJ444=0),G444,0)</f>
        <v>0</v>
      </c>
      <c r="BM444" s="199">
        <f>IF(AND(Input_Product=Elig!$C444,Elig_MatchAll_Ct&lt;22,$BC444=(Elig_MatchAll_Ct-1),AK444=0),H444,0)</f>
        <v>0</v>
      </c>
      <c r="BN444" s="199">
        <f>IF(AND(Input_Product=Elig!$C444,Elig_MatchAll_Ct&lt;22,$BC444=(Elig_MatchAll_Ct-1),AL444=0),I444,0)</f>
        <v>0</v>
      </c>
      <c r="BO444" s="199">
        <f>IF(AND(Input_Product=Elig!$C444,Elig_MatchAll_Ct&lt;22,$BC444=(Elig_MatchAll_Ct-1),AM444=0),J444,0)</f>
        <v>0</v>
      </c>
      <c r="BP444" s="199">
        <f>IF(AND(Input_Product=Elig!$C444,Elig_MatchAll_Ct&lt;22,$BC444=(Elig_MatchAll_Ct-1),AN444=0),K444,0)</f>
        <v>0</v>
      </c>
      <c r="BQ444" s="199">
        <f>IF(AND(Input_Product=Elig!$C444,Elig_MatchAll_Ct&lt;22,$BC444=(Elig_MatchAll_Ct-1),AP444=0),L444,0)</f>
        <v>0</v>
      </c>
      <c r="BR444" s="199">
        <f>IF(AND(Input_Product=Elig!$C444,Elig_MatchAll_Ct&lt;22,$BC444=(Elig_MatchAll_Ct-1),AO444=0),M444,0)</f>
        <v>0</v>
      </c>
      <c r="BS444" s="199">
        <f>IF(AND(Input_Product=Elig!$C444,Elig_MatchAll_Ct&lt;22,$BC444=(Elig_MatchAll_Ct-1),AQ444=0),N444,0)</f>
        <v>0</v>
      </c>
      <c r="BT444" s="199">
        <f>IF(AND(Input_Product=Elig!$C444,Elig_MatchAll_Ct&lt;22,$BC444=(Elig_MatchAll_Ct-1),AR444=0),O444,0)</f>
        <v>0</v>
      </c>
      <c r="BU444" s="199">
        <f>IF(AND(Input_Product=Elig!$C444,Elig_MatchAll_Ct&lt;22,$BC444=(Elig_MatchAll_Ct-1),AS444=0),P444,0)</f>
        <v>0</v>
      </c>
      <c r="BV444" s="200">
        <f>IF(AND(Input_Product=Elig!$C444,Elig_MatchAll_Ct&lt;22,$BC444=(Elig_MatchAll_Ct-1),AT444=0),Q444,0)</f>
        <v>0</v>
      </c>
      <c r="BW444" s="201">
        <f>IF(AND(Input_Product=Elig!$C444,Elig_MatchAll_Ct&lt;22,$BC444=(Elig_MatchAll_Ct-1),AU444=0),R444,0)</f>
        <v>0</v>
      </c>
      <c r="BX444" s="202">
        <f>IF(AND(Input_Product=Elig!$C444,Elig_MatchAll_Ct&lt;22,$BC444=(Elig_MatchAll_Ct-1),AU444=0),S444,0)</f>
        <v>0</v>
      </c>
      <c r="BY444" s="201">
        <f>IF(AND(Input_Product=Elig!$C444,Elig_MatchAll_Ct&lt;22,$BC444=(Elig_MatchAll_Ct-1),AV444=0),T444,0)</f>
        <v>0</v>
      </c>
      <c r="BZ444" s="202">
        <f>IF(AND(Input_Product=Elig!$C444,Elig_MatchAll_Ct&lt;22,$BC444=(Elig_MatchAll_Ct-1),AV444=0),U444,0)</f>
        <v>0</v>
      </c>
      <c r="CA444" s="201">
        <f>IF(AND(Input_Product=Elig!$C444,Elig_MatchAll_Ct&lt;22,$BC444=(Elig_MatchAll_Ct-1),AW444=0),V444,0)</f>
        <v>0</v>
      </c>
      <c r="CB444" s="202">
        <f>IF(AND(Input_Product=Elig!$C444,Elig_MatchAll_Ct&lt;22,$BC444=(Elig_MatchAll_Ct-1),AW444=0),W444,0)</f>
        <v>0</v>
      </c>
      <c r="CC444" s="201">
        <f>IF(AND(Input_Product=Elig!$C444,Elig_MatchAll_Ct&lt;22,$BC444=(Elig_MatchAll_Ct-1),AX444=0),X444,0)</f>
        <v>0</v>
      </c>
      <c r="CD444" s="202">
        <f>IF(AND(Input_Product=Elig!$C444,Elig_MatchAll_Ct&lt;22,$BC444=(Elig_MatchAll_Ct-1),AX444=0),Y444,0)</f>
        <v>0</v>
      </c>
      <c r="CE444" s="201">
        <f>IF(AND(Input_LTV&lt;=AE444,Input_Product=Elig!$C444,Elig_MatchAll_Ct&lt;22,$BC444=(Elig_MatchAll_Ct-1),AY444=0),Z444,0)</f>
        <v>0</v>
      </c>
      <c r="CF444" s="202">
        <f>IF(AND(Input_LTV&lt;=AE444,Input_Product=Elig!$C444,Elig_MatchAll_Ct&lt;22,$BC444=(Elig_MatchAll_Ct-1),AY444=0),AA444,0)</f>
        <v>0</v>
      </c>
      <c r="CG444" s="201">
        <f>IF(AND(Input_Product=Elig!$C444,Elig_MatchAll_Ct&lt;22,$BC444=(Elig_MatchAll_Ct-1),AZ444=0),AB444,0)</f>
        <v>0</v>
      </c>
      <c r="CH444" s="202">
        <f>IF(AND(Input_Product=Elig!$C444,Elig_MatchAll_Ct&lt;22,$BC444=(Elig_MatchAll_Ct-1),AZ444=0),AC444,0)</f>
        <v>0</v>
      </c>
      <c r="CI444" s="201">
        <f>IF(AND(Input_Product=Elig!$C444,Elig_MatchAll_Ct&lt;22,$BC444=(Elig_MatchAll_Ct-1),BA444=0),AD444,0)</f>
        <v>0</v>
      </c>
      <c r="CJ444" s="202">
        <f>IF(AND(Input_Product=Elig!$C444,Elig_MatchAll_Ct&lt;22,$BC444=(Elig_MatchAll_Ct-1),BA444=0),AE444,0)</f>
        <v>0</v>
      </c>
    </row>
    <row r="445" spans="2:88" ht="10.15" customHeight="1" x14ac:dyDescent="0.25">
      <c r="B445" s="287" t="s">
        <v>1141</v>
      </c>
      <c r="C445" s="286" t="str">
        <f t="shared" si="175"/>
        <v>NonQM NOO</v>
      </c>
      <c r="D445" s="287" t="s">
        <v>3885</v>
      </c>
      <c r="E445" s="287" t="s">
        <v>167</v>
      </c>
      <c r="F445" s="287" t="s">
        <v>330</v>
      </c>
      <c r="G445" s="300" t="s">
        <v>304</v>
      </c>
      <c r="H445" s="287" t="s">
        <v>446</v>
      </c>
      <c r="I445" s="287" t="s">
        <v>16</v>
      </c>
      <c r="J445" s="287" t="s">
        <v>1311</v>
      </c>
      <c r="K445" s="287" t="s">
        <v>1631</v>
      </c>
      <c r="L445" s="300" t="s">
        <v>312</v>
      </c>
      <c r="M445" s="287" t="s">
        <v>4203</v>
      </c>
      <c r="N445" s="287" t="s">
        <v>2685</v>
      </c>
      <c r="O445" s="287" t="s">
        <v>310</v>
      </c>
      <c r="P445" s="287" t="s">
        <v>291</v>
      </c>
      <c r="Q445" s="287" t="s">
        <v>294</v>
      </c>
      <c r="R445" s="287">
        <v>1500000.01</v>
      </c>
      <c r="S445" s="287">
        <v>2000000</v>
      </c>
      <c r="T445" s="287">
        <v>0</v>
      </c>
      <c r="U445" s="287">
        <f t="shared" si="176"/>
        <v>2000000</v>
      </c>
      <c r="V445" s="287">
        <v>0</v>
      </c>
      <c r="W445" s="287">
        <v>50</v>
      </c>
      <c r="X445" s="287">
        <v>0</v>
      </c>
      <c r="Y445" s="287">
        <v>999</v>
      </c>
      <c r="Z445" s="289">
        <v>640</v>
      </c>
      <c r="AA445" s="289">
        <v>659</v>
      </c>
      <c r="AB445" s="289">
        <v>6</v>
      </c>
      <c r="AC445" s="289">
        <v>999999</v>
      </c>
      <c r="AD445" s="287">
        <v>0</v>
      </c>
      <c r="AE445" s="290">
        <v>-999</v>
      </c>
      <c r="AF445" s="170">
        <v>0</v>
      </c>
      <c r="AG445" s="171">
        <v>1</v>
      </c>
      <c r="AH445" s="171">
        <v>1</v>
      </c>
      <c r="AI445" s="171">
        <v>0</v>
      </c>
      <c r="AJ445" s="171">
        <v>0</v>
      </c>
      <c r="AK445" s="171">
        <v>0</v>
      </c>
      <c r="AL445" s="171">
        <v>1</v>
      </c>
      <c r="AM445" s="171">
        <v>1</v>
      </c>
      <c r="AN445" s="171">
        <v>1</v>
      </c>
      <c r="AO445" s="171">
        <v>1</v>
      </c>
      <c r="AP445" s="171">
        <v>1</v>
      </c>
      <c r="AQ445" s="171">
        <v>1</v>
      </c>
      <c r="AR445" s="171">
        <v>1</v>
      </c>
      <c r="AS445" s="171">
        <v>1</v>
      </c>
      <c r="AT445" s="171">
        <v>1</v>
      </c>
      <c r="AU445" s="171">
        <f t="shared" si="162"/>
        <v>0</v>
      </c>
      <c r="AV445" s="171">
        <f t="shared" si="163"/>
        <v>1</v>
      </c>
      <c r="AW445" s="171">
        <f t="shared" si="164"/>
        <v>1</v>
      </c>
      <c r="AX445" s="171">
        <f t="shared" si="173"/>
        <v>1</v>
      </c>
      <c r="AY445" s="171">
        <f t="shared" si="165"/>
        <v>0</v>
      </c>
      <c r="AZ445" s="171">
        <f t="shared" si="166"/>
        <v>1</v>
      </c>
      <c r="BA445" s="172">
        <f t="shared" si="167"/>
        <v>0</v>
      </c>
      <c r="BB445" s="175">
        <f t="shared" si="169"/>
        <v>15</v>
      </c>
      <c r="BC445" s="176">
        <f t="shared" si="170"/>
        <v>15</v>
      </c>
      <c r="BD445" s="176">
        <f t="shared" si="171"/>
        <v>15</v>
      </c>
      <c r="BE445" s="240" t="str">
        <f t="shared" si="161"/>
        <v/>
      </c>
      <c r="BH445" s="199">
        <f>IF(AND(Input_Product=Elig!$C445,Elig_MatchAll_Ct&lt;22,$BC445=(Elig_MatchAll_Ct-1),AF445=0),C445,0)</f>
        <v>0</v>
      </c>
      <c r="BI445" s="199">
        <f>IF(AND(Input_Product=Elig!$C445,Elig_MatchAll_Ct&lt;22,$BC445=(Elig_MatchAll_Ct-1),AG445=0),D445,0)</f>
        <v>0</v>
      </c>
      <c r="BJ445" s="199">
        <f>IF(AND(Input_Product=Elig!$C445,Elig_MatchAll_Ct&lt;22,$BC445=(Elig_MatchAll_Ct-1),AH445=0),E445,0)</f>
        <v>0</v>
      </c>
      <c r="BK445" s="199">
        <f>IF(AND(Input_Product=Elig!$C445,Elig_MatchAll_Ct&lt;22,$BC445=(Elig_MatchAll_Ct-1),AI445=0),F445,0)</f>
        <v>0</v>
      </c>
      <c r="BL445" s="199">
        <f>IF(AND(Input_Product=Elig!$C445,Elig_MatchAll_Ct&lt;22,$BC445=(Elig_MatchAll_Ct-1),AJ445=0),G445,0)</f>
        <v>0</v>
      </c>
      <c r="BM445" s="199">
        <f>IF(AND(Input_Product=Elig!$C445,Elig_MatchAll_Ct&lt;22,$BC445=(Elig_MatchAll_Ct-1),AK445=0),H445,0)</f>
        <v>0</v>
      </c>
      <c r="BN445" s="199">
        <f>IF(AND(Input_Product=Elig!$C445,Elig_MatchAll_Ct&lt;22,$BC445=(Elig_MatchAll_Ct-1),AL445=0),I445,0)</f>
        <v>0</v>
      </c>
      <c r="BO445" s="199">
        <f>IF(AND(Input_Product=Elig!$C445,Elig_MatchAll_Ct&lt;22,$BC445=(Elig_MatchAll_Ct-1),AM445=0),J445,0)</f>
        <v>0</v>
      </c>
      <c r="BP445" s="199">
        <f>IF(AND(Input_Product=Elig!$C445,Elig_MatchAll_Ct&lt;22,$BC445=(Elig_MatchAll_Ct-1),AN445=0),K445,0)</f>
        <v>0</v>
      </c>
      <c r="BQ445" s="199">
        <f>IF(AND(Input_Product=Elig!$C445,Elig_MatchAll_Ct&lt;22,$BC445=(Elig_MatchAll_Ct-1),AP445=0),L445,0)</f>
        <v>0</v>
      </c>
      <c r="BR445" s="199">
        <f>IF(AND(Input_Product=Elig!$C445,Elig_MatchAll_Ct&lt;22,$BC445=(Elig_MatchAll_Ct-1),AO445=0),M445,0)</f>
        <v>0</v>
      </c>
      <c r="BS445" s="199">
        <f>IF(AND(Input_Product=Elig!$C445,Elig_MatchAll_Ct&lt;22,$BC445=(Elig_MatchAll_Ct-1),AQ445=0),N445,0)</f>
        <v>0</v>
      </c>
      <c r="BT445" s="199">
        <f>IF(AND(Input_Product=Elig!$C445,Elig_MatchAll_Ct&lt;22,$BC445=(Elig_MatchAll_Ct-1),AR445=0),O445,0)</f>
        <v>0</v>
      </c>
      <c r="BU445" s="199">
        <f>IF(AND(Input_Product=Elig!$C445,Elig_MatchAll_Ct&lt;22,$BC445=(Elig_MatchAll_Ct-1),AS445=0),P445,0)</f>
        <v>0</v>
      </c>
      <c r="BV445" s="200">
        <f>IF(AND(Input_Product=Elig!$C445,Elig_MatchAll_Ct&lt;22,$BC445=(Elig_MatchAll_Ct-1),AT445=0),Q445,0)</f>
        <v>0</v>
      </c>
      <c r="BW445" s="201">
        <f>IF(AND(Input_Product=Elig!$C445,Elig_MatchAll_Ct&lt;22,$BC445=(Elig_MatchAll_Ct-1),AU445=0),R445,0)</f>
        <v>0</v>
      </c>
      <c r="BX445" s="202">
        <f>IF(AND(Input_Product=Elig!$C445,Elig_MatchAll_Ct&lt;22,$BC445=(Elig_MatchAll_Ct-1),AU445=0),S445,0)</f>
        <v>0</v>
      </c>
      <c r="BY445" s="201">
        <f>IF(AND(Input_Product=Elig!$C445,Elig_MatchAll_Ct&lt;22,$BC445=(Elig_MatchAll_Ct-1),AV445=0),T445,0)</f>
        <v>0</v>
      </c>
      <c r="BZ445" s="202">
        <f>IF(AND(Input_Product=Elig!$C445,Elig_MatchAll_Ct&lt;22,$BC445=(Elig_MatchAll_Ct-1),AV445=0),U445,0)</f>
        <v>0</v>
      </c>
      <c r="CA445" s="201">
        <f>IF(AND(Input_Product=Elig!$C445,Elig_MatchAll_Ct&lt;22,$BC445=(Elig_MatchAll_Ct-1),AW445=0),V445,0)</f>
        <v>0</v>
      </c>
      <c r="CB445" s="202">
        <f>IF(AND(Input_Product=Elig!$C445,Elig_MatchAll_Ct&lt;22,$BC445=(Elig_MatchAll_Ct-1),AW445=0),W445,0)</f>
        <v>0</v>
      </c>
      <c r="CC445" s="201">
        <f>IF(AND(Input_Product=Elig!$C445,Elig_MatchAll_Ct&lt;22,$BC445=(Elig_MatchAll_Ct-1),AX445=0),X445,0)</f>
        <v>0</v>
      </c>
      <c r="CD445" s="202">
        <f>IF(AND(Input_Product=Elig!$C445,Elig_MatchAll_Ct&lt;22,$BC445=(Elig_MatchAll_Ct-1),AX445=0),Y445,0)</f>
        <v>0</v>
      </c>
      <c r="CE445" s="201">
        <f>IF(AND(Input_LTV&lt;=AE445,Input_Product=Elig!$C445,Elig_MatchAll_Ct&lt;22,$BC445=(Elig_MatchAll_Ct-1),AY445=0),Z445,0)</f>
        <v>0</v>
      </c>
      <c r="CF445" s="202">
        <f>IF(AND(Input_LTV&lt;=AE445,Input_Product=Elig!$C445,Elig_MatchAll_Ct&lt;22,$BC445=(Elig_MatchAll_Ct-1),AY445=0),AA445,0)</f>
        <v>0</v>
      </c>
      <c r="CG445" s="201">
        <f>IF(AND(Input_Product=Elig!$C445,Elig_MatchAll_Ct&lt;22,$BC445=(Elig_MatchAll_Ct-1),AZ445=0),AB445,0)</f>
        <v>0</v>
      </c>
      <c r="CH445" s="202">
        <f>IF(AND(Input_Product=Elig!$C445,Elig_MatchAll_Ct&lt;22,$BC445=(Elig_MatchAll_Ct-1),AZ445=0),AC445,0)</f>
        <v>0</v>
      </c>
      <c r="CI445" s="201">
        <f>IF(AND(Input_Product=Elig!$C445,Elig_MatchAll_Ct&lt;22,$BC445=(Elig_MatchAll_Ct-1),BA445=0),AD445,0)</f>
        <v>0</v>
      </c>
      <c r="CJ445" s="202">
        <f>IF(AND(Input_Product=Elig!$C445,Elig_MatchAll_Ct&lt;22,$BC445=(Elig_MatchAll_Ct-1),BA445=0),AE445,0)</f>
        <v>0</v>
      </c>
    </row>
    <row r="446" spans="2:88" ht="10.15" customHeight="1" x14ac:dyDescent="0.25">
      <c r="B446" s="287" t="s">
        <v>1142</v>
      </c>
      <c r="C446" s="291" t="str">
        <f t="shared" si="175"/>
        <v>NonQM NOO</v>
      </c>
      <c r="D446" s="292" t="s">
        <v>3885</v>
      </c>
      <c r="E446" s="292" t="s">
        <v>167</v>
      </c>
      <c r="F446" s="292" t="s">
        <v>330</v>
      </c>
      <c r="G446" s="324" t="s">
        <v>304</v>
      </c>
      <c r="H446" s="292" t="s">
        <v>446</v>
      </c>
      <c r="I446" s="292" t="s">
        <v>16</v>
      </c>
      <c r="J446" s="292" t="s">
        <v>1311</v>
      </c>
      <c r="K446" s="292" t="s">
        <v>1631</v>
      </c>
      <c r="L446" s="324" t="s">
        <v>312</v>
      </c>
      <c r="M446" s="292" t="s">
        <v>4203</v>
      </c>
      <c r="N446" s="292" t="s">
        <v>2685</v>
      </c>
      <c r="O446" s="292" t="s">
        <v>310</v>
      </c>
      <c r="P446" s="292" t="s">
        <v>291</v>
      </c>
      <c r="Q446" s="292" t="s">
        <v>294</v>
      </c>
      <c r="R446" s="292">
        <v>1500000.01</v>
      </c>
      <c r="S446" s="292">
        <v>2000000</v>
      </c>
      <c r="T446" s="292">
        <v>0</v>
      </c>
      <c r="U446" s="292">
        <f t="shared" si="176"/>
        <v>2000000</v>
      </c>
      <c r="V446" s="292">
        <v>0</v>
      </c>
      <c r="W446" s="292">
        <v>50</v>
      </c>
      <c r="X446" s="292">
        <v>0</v>
      </c>
      <c r="Y446" s="292">
        <v>999</v>
      </c>
      <c r="Z446" s="293">
        <v>620</v>
      </c>
      <c r="AA446" s="293">
        <v>639</v>
      </c>
      <c r="AB446" s="293">
        <v>6</v>
      </c>
      <c r="AC446" s="293">
        <v>999999</v>
      </c>
      <c r="AD446" s="292">
        <v>0</v>
      </c>
      <c r="AE446" s="294">
        <v>-999</v>
      </c>
      <c r="AF446" s="170">
        <v>0</v>
      </c>
      <c r="AG446" s="171">
        <v>1</v>
      </c>
      <c r="AH446" s="171">
        <v>1</v>
      </c>
      <c r="AI446" s="171">
        <v>0</v>
      </c>
      <c r="AJ446" s="171">
        <v>0</v>
      </c>
      <c r="AK446" s="171">
        <v>0</v>
      </c>
      <c r="AL446" s="171">
        <v>1</v>
      </c>
      <c r="AM446" s="171">
        <v>1</v>
      </c>
      <c r="AN446" s="171">
        <v>1</v>
      </c>
      <c r="AO446" s="171">
        <v>1</v>
      </c>
      <c r="AP446" s="171">
        <v>1</v>
      </c>
      <c r="AQ446" s="171">
        <v>1</v>
      </c>
      <c r="AR446" s="171">
        <v>1</v>
      </c>
      <c r="AS446" s="171">
        <v>1</v>
      </c>
      <c r="AT446" s="171">
        <v>1</v>
      </c>
      <c r="AU446" s="171">
        <f t="shared" si="162"/>
        <v>0</v>
      </c>
      <c r="AV446" s="171">
        <f t="shared" si="163"/>
        <v>1</v>
      </c>
      <c r="AW446" s="171">
        <f t="shared" si="164"/>
        <v>1</v>
      </c>
      <c r="AX446" s="171">
        <f t="shared" si="173"/>
        <v>1</v>
      </c>
      <c r="AY446" s="171">
        <f t="shared" si="165"/>
        <v>0</v>
      </c>
      <c r="AZ446" s="171">
        <f t="shared" si="166"/>
        <v>1</v>
      </c>
      <c r="BA446" s="172">
        <f t="shared" si="167"/>
        <v>0</v>
      </c>
      <c r="BB446" s="175">
        <f t="shared" si="169"/>
        <v>15</v>
      </c>
      <c r="BC446" s="176">
        <f t="shared" si="170"/>
        <v>15</v>
      </c>
      <c r="BD446" s="176">
        <f t="shared" si="171"/>
        <v>15</v>
      </c>
      <c r="BE446" s="240" t="str">
        <f t="shared" si="161"/>
        <v/>
      </c>
      <c r="BH446" s="214">
        <f>IF(AND(Input_Product=Elig!$C446,Elig_MatchAll_Ct&lt;22,$BC446=(Elig_MatchAll_Ct-1),AF446=0),C446,0)</f>
        <v>0</v>
      </c>
      <c r="BI446" s="214">
        <f>IF(AND(Input_Product=Elig!$C446,Elig_MatchAll_Ct&lt;22,$BC446=(Elig_MatchAll_Ct-1),AG446=0),D446,0)</f>
        <v>0</v>
      </c>
      <c r="BJ446" s="214">
        <f>IF(AND(Input_Product=Elig!$C446,Elig_MatchAll_Ct&lt;22,$BC446=(Elig_MatchAll_Ct-1),AH446=0),E446,0)</f>
        <v>0</v>
      </c>
      <c r="BK446" s="214">
        <f>IF(AND(Input_Product=Elig!$C446,Elig_MatchAll_Ct&lt;22,$BC446=(Elig_MatchAll_Ct-1),AI446=0),F446,0)</f>
        <v>0</v>
      </c>
      <c r="BL446" s="214">
        <f>IF(AND(Input_Product=Elig!$C446,Elig_MatchAll_Ct&lt;22,$BC446=(Elig_MatchAll_Ct-1),AJ446=0),G446,0)</f>
        <v>0</v>
      </c>
      <c r="BM446" s="214">
        <f>IF(AND(Input_Product=Elig!$C446,Elig_MatchAll_Ct&lt;22,$BC446=(Elig_MatchAll_Ct-1),AK446=0),H446,0)</f>
        <v>0</v>
      </c>
      <c r="BN446" s="214">
        <f>IF(AND(Input_Product=Elig!$C446,Elig_MatchAll_Ct&lt;22,$BC446=(Elig_MatchAll_Ct-1),AL446=0),I446,0)</f>
        <v>0</v>
      </c>
      <c r="BO446" s="214">
        <f>IF(AND(Input_Product=Elig!$C446,Elig_MatchAll_Ct&lt;22,$BC446=(Elig_MatchAll_Ct-1),AM446=0),J446,0)</f>
        <v>0</v>
      </c>
      <c r="BP446" s="214">
        <f>IF(AND(Input_Product=Elig!$C446,Elig_MatchAll_Ct&lt;22,$BC446=(Elig_MatchAll_Ct-1),AN446=0),K446,0)</f>
        <v>0</v>
      </c>
      <c r="BQ446" s="214">
        <f>IF(AND(Input_Product=Elig!$C446,Elig_MatchAll_Ct&lt;22,$BC446=(Elig_MatchAll_Ct-1),AP446=0),L446,0)</f>
        <v>0</v>
      </c>
      <c r="BR446" s="214">
        <f>IF(AND(Input_Product=Elig!$C446,Elig_MatchAll_Ct&lt;22,$BC446=(Elig_MatchAll_Ct-1),AO446=0),M446,0)</f>
        <v>0</v>
      </c>
      <c r="BS446" s="214">
        <f>IF(AND(Input_Product=Elig!$C446,Elig_MatchAll_Ct&lt;22,$BC446=(Elig_MatchAll_Ct-1),AQ446=0),N446,0)</f>
        <v>0</v>
      </c>
      <c r="BT446" s="214">
        <f>IF(AND(Input_Product=Elig!$C446,Elig_MatchAll_Ct&lt;22,$BC446=(Elig_MatchAll_Ct-1),AR446=0),O446,0)</f>
        <v>0</v>
      </c>
      <c r="BU446" s="214">
        <f>IF(AND(Input_Product=Elig!$C446,Elig_MatchAll_Ct&lt;22,$BC446=(Elig_MatchAll_Ct-1),AS446=0),P446,0)</f>
        <v>0</v>
      </c>
      <c r="BV446" s="215">
        <f>IF(AND(Input_Product=Elig!$C446,Elig_MatchAll_Ct&lt;22,$BC446=(Elig_MatchAll_Ct-1),AT446=0),Q446,0)</f>
        <v>0</v>
      </c>
      <c r="BW446" s="207">
        <f>IF(AND(Input_Product=Elig!$C446,Elig_MatchAll_Ct&lt;22,$BC446=(Elig_MatchAll_Ct-1),AU446=0),R446,0)</f>
        <v>0</v>
      </c>
      <c r="BX446" s="208">
        <f>IF(AND(Input_Product=Elig!$C446,Elig_MatchAll_Ct&lt;22,$BC446=(Elig_MatchAll_Ct-1),AU446=0),S446,0)</f>
        <v>0</v>
      </c>
      <c r="BY446" s="207">
        <f>IF(AND(Input_Product=Elig!$C446,Elig_MatchAll_Ct&lt;22,$BC446=(Elig_MatchAll_Ct-1),AV446=0),T446,0)</f>
        <v>0</v>
      </c>
      <c r="BZ446" s="208">
        <f>IF(AND(Input_Product=Elig!$C446,Elig_MatchAll_Ct&lt;22,$BC446=(Elig_MatchAll_Ct-1),AV446=0),U446,0)</f>
        <v>0</v>
      </c>
      <c r="CA446" s="207">
        <f>IF(AND(Input_Product=Elig!$C446,Elig_MatchAll_Ct&lt;22,$BC446=(Elig_MatchAll_Ct-1),AW446=0),V446,0)</f>
        <v>0</v>
      </c>
      <c r="CB446" s="208">
        <f>IF(AND(Input_Product=Elig!$C446,Elig_MatchAll_Ct&lt;22,$BC446=(Elig_MatchAll_Ct-1),AW446=0),W446,0)</f>
        <v>0</v>
      </c>
      <c r="CC446" s="207">
        <f>IF(AND(Input_Product=Elig!$C446,Elig_MatchAll_Ct&lt;22,$BC446=(Elig_MatchAll_Ct-1),AX446=0),X446,0)</f>
        <v>0</v>
      </c>
      <c r="CD446" s="208">
        <f>IF(AND(Input_Product=Elig!$C446,Elig_MatchAll_Ct&lt;22,$BC446=(Elig_MatchAll_Ct-1),AX446=0),Y446,0)</f>
        <v>0</v>
      </c>
      <c r="CE446" s="207">
        <f>IF(AND(Input_LTV&lt;=AE446,Input_Product=Elig!$C446,Elig_MatchAll_Ct&lt;22,$BC446=(Elig_MatchAll_Ct-1),AY446=0),Z446,0)</f>
        <v>0</v>
      </c>
      <c r="CF446" s="208">
        <f>IF(AND(Input_LTV&lt;=AE446,Input_Product=Elig!$C446,Elig_MatchAll_Ct&lt;22,$BC446=(Elig_MatchAll_Ct-1),AY446=0),AA446,0)</f>
        <v>0</v>
      </c>
      <c r="CG446" s="207">
        <f>IF(AND(Input_Product=Elig!$C446,Elig_MatchAll_Ct&lt;22,$BC446=(Elig_MatchAll_Ct-1),AZ446=0),AB446,0)</f>
        <v>0</v>
      </c>
      <c r="CH446" s="208">
        <f>IF(AND(Input_Product=Elig!$C446,Elig_MatchAll_Ct&lt;22,$BC446=(Elig_MatchAll_Ct-1),AZ446=0),AC446,0)</f>
        <v>0</v>
      </c>
      <c r="CI446" s="207">
        <f>IF(AND(Input_Product=Elig!$C446,Elig_MatchAll_Ct&lt;22,$BC446=(Elig_MatchAll_Ct-1),BA446=0),AD446,0)</f>
        <v>0</v>
      </c>
      <c r="CJ446" s="209">
        <f>IF(AND(Input_Product=Elig!$C446,Elig_MatchAll_Ct&lt;22,$BC446=(Elig_MatchAll_Ct-1),BA446=0),AE446,0)</f>
        <v>0</v>
      </c>
    </row>
    <row r="447" spans="2:88" ht="10.15" customHeight="1" x14ac:dyDescent="0.25">
      <c r="B447" s="287" t="s">
        <v>1143</v>
      </c>
      <c r="C447" s="281" t="str">
        <f t="shared" si="175"/>
        <v>NonQM NOO</v>
      </c>
      <c r="D447" s="282" t="s">
        <v>3885</v>
      </c>
      <c r="E447" s="283" t="s">
        <v>167</v>
      </c>
      <c r="F447" s="283" t="s">
        <v>330</v>
      </c>
      <c r="G447" s="2103" t="s">
        <v>468</v>
      </c>
      <c r="H447" s="283" t="s">
        <v>136</v>
      </c>
      <c r="I447" s="282" t="s">
        <v>274</v>
      </c>
      <c r="J447" s="282" t="s">
        <v>1311</v>
      </c>
      <c r="K447" s="282" t="s">
        <v>1631</v>
      </c>
      <c r="L447" s="2103" t="s">
        <v>312</v>
      </c>
      <c r="M447" s="283" t="s">
        <v>4203</v>
      </c>
      <c r="N447" s="283" t="s">
        <v>2685</v>
      </c>
      <c r="O447" s="283" t="s">
        <v>310</v>
      </c>
      <c r="P447" s="283" t="s">
        <v>291</v>
      </c>
      <c r="Q447" s="283" t="s">
        <v>294</v>
      </c>
      <c r="R447" s="282">
        <v>1500000.01</v>
      </c>
      <c r="S447" s="282">
        <v>2000000</v>
      </c>
      <c r="T447" s="282">
        <v>0</v>
      </c>
      <c r="U447" s="282">
        <v>0</v>
      </c>
      <c r="V447" s="282">
        <v>0</v>
      </c>
      <c r="W447" s="282">
        <v>50</v>
      </c>
      <c r="X447" s="282">
        <v>0</v>
      </c>
      <c r="Y447" s="282">
        <v>999</v>
      </c>
      <c r="Z447" s="284">
        <v>720</v>
      </c>
      <c r="AA447" s="284">
        <v>999</v>
      </c>
      <c r="AB447" s="284">
        <v>6</v>
      </c>
      <c r="AC447" s="284">
        <v>999999</v>
      </c>
      <c r="AD447" s="282">
        <v>0</v>
      </c>
      <c r="AE447" s="2104">
        <v>80</v>
      </c>
      <c r="AF447" s="170">
        <v>0</v>
      </c>
      <c r="AG447" s="171">
        <v>1</v>
      </c>
      <c r="AH447" s="171">
        <v>1</v>
      </c>
      <c r="AI447" s="171">
        <v>0</v>
      </c>
      <c r="AJ447" s="171">
        <v>0</v>
      </c>
      <c r="AK447" s="171">
        <v>1</v>
      </c>
      <c r="AL447" s="171">
        <v>0</v>
      </c>
      <c r="AM447" s="171">
        <v>1</v>
      </c>
      <c r="AN447" s="171">
        <v>1</v>
      </c>
      <c r="AO447" s="171">
        <v>1</v>
      </c>
      <c r="AP447" s="171">
        <v>1</v>
      </c>
      <c r="AQ447" s="171">
        <v>1</v>
      </c>
      <c r="AR447" s="171">
        <v>1</v>
      </c>
      <c r="AS447" s="171">
        <v>1</v>
      </c>
      <c r="AT447" s="171">
        <v>1</v>
      </c>
      <c r="AU447" s="171">
        <f t="shared" si="162"/>
        <v>0</v>
      </c>
      <c r="AV447" s="171">
        <f t="shared" si="163"/>
        <v>0</v>
      </c>
      <c r="AW447" s="171">
        <f t="shared" si="164"/>
        <v>1</v>
      </c>
      <c r="AX447" s="171">
        <f t="shared" si="173"/>
        <v>1</v>
      </c>
      <c r="AY447" s="171">
        <f t="shared" si="165"/>
        <v>1</v>
      </c>
      <c r="AZ447" s="171">
        <f t="shared" si="166"/>
        <v>1</v>
      </c>
      <c r="BA447" s="172">
        <f t="shared" si="167"/>
        <v>1</v>
      </c>
      <c r="BB447" s="175">
        <f t="shared" ref="BB447:BB458" si="177">SUM(AF447:BA447)</f>
        <v>16</v>
      </c>
      <c r="BC447" s="176">
        <f t="shared" ref="BC447:BC458" si="178">SUM(AF447:AZ447)</f>
        <v>15</v>
      </c>
      <c r="BD447" s="176">
        <f t="shared" ref="BD447:BD458" si="179">SUM(AG447:BA447)</f>
        <v>16</v>
      </c>
      <c r="BE447" s="240" t="str">
        <f t="shared" si="161"/>
        <v/>
      </c>
      <c r="BH447" s="216">
        <f>IF(AND(Input_Product=Elig!$C447,Elig_MatchAll_Ct&lt;22,$BC447=(Elig_MatchAll_Ct-1),AF447=0),C447,0)</f>
        <v>0</v>
      </c>
      <c r="BI447" s="216">
        <f>IF(AND(Input_Product=Elig!$C447,Elig_MatchAll_Ct&lt;22,$BC447=(Elig_MatchAll_Ct-1),AG447=0),D447,0)</f>
        <v>0</v>
      </c>
      <c r="BJ447" s="216">
        <f>IF(AND(Input_Product=Elig!$C447,Elig_MatchAll_Ct&lt;22,$BC447=(Elig_MatchAll_Ct-1),AH447=0),E447,0)</f>
        <v>0</v>
      </c>
      <c r="BK447" s="216">
        <f>IF(AND(Input_Product=Elig!$C447,Elig_MatchAll_Ct&lt;22,$BC447=(Elig_MatchAll_Ct-1),AI447=0),F447,0)</f>
        <v>0</v>
      </c>
      <c r="BL447" s="216">
        <f>IF(AND(Input_Product=Elig!$C447,Elig_MatchAll_Ct&lt;22,$BC447=(Elig_MatchAll_Ct-1),AJ447=0),G447,0)</f>
        <v>0</v>
      </c>
      <c r="BM447" s="216">
        <f>IF(AND(Input_Product=Elig!$C447,Elig_MatchAll_Ct&lt;22,$BC447=(Elig_MatchAll_Ct-1),AK447=0),H447,0)</f>
        <v>0</v>
      </c>
      <c r="BN447" s="216">
        <f>IF(AND(Input_Product=Elig!$C447,Elig_MatchAll_Ct&lt;22,$BC447=(Elig_MatchAll_Ct-1),AL447=0),I447,0)</f>
        <v>0</v>
      </c>
      <c r="BO447" s="216">
        <f>IF(AND(Input_Product=Elig!$C447,Elig_MatchAll_Ct&lt;22,$BC447=(Elig_MatchAll_Ct-1),AM447=0),J447,0)</f>
        <v>0</v>
      </c>
      <c r="BP447" s="216">
        <f>IF(AND(Input_Product=Elig!$C447,Elig_MatchAll_Ct&lt;22,$BC447=(Elig_MatchAll_Ct-1),AN447=0),K447,0)</f>
        <v>0</v>
      </c>
      <c r="BQ447" s="216">
        <f>IF(AND(Input_Product=Elig!$C447,Elig_MatchAll_Ct&lt;22,$BC447=(Elig_MatchAll_Ct-1),AP447=0),L447,0)</f>
        <v>0</v>
      </c>
      <c r="BR447" s="216">
        <f>IF(AND(Input_Product=Elig!$C447,Elig_MatchAll_Ct&lt;22,$BC447=(Elig_MatchAll_Ct-1),AO447=0),M447,0)</f>
        <v>0</v>
      </c>
      <c r="BS447" s="216">
        <f>IF(AND(Input_Product=Elig!$C447,Elig_MatchAll_Ct&lt;22,$BC447=(Elig_MatchAll_Ct-1),AQ447=0),N447,0)</f>
        <v>0</v>
      </c>
      <c r="BT447" s="216">
        <f>IF(AND(Input_Product=Elig!$C447,Elig_MatchAll_Ct&lt;22,$BC447=(Elig_MatchAll_Ct-1),AR447=0),O447,0)</f>
        <v>0</v>
      </c>
      <c r="BU447" s="216">
        <f>IF(AND(Input_Product=Elig!$C447,Elig_MatchAll_Ct&lt;22,$BC447=(Elig_MatchAll_Ct-1),AS447=0),P447,0)</f>
        <v>0</v>
      </c>
      <c r="BV447" s="217">
        <f>IF(AND(Input_Product=Elig!$C447,Elig_MatchAll_Ct&lt;22,$BC447=(Elig_MatchAll_Ct-1),AT447=0),Q447,0)</f>
        <v>0</v>
      </c>
      <c r="BW447" s="218">
        <f>IF(AND(Input_Product=Elig!$C447,Elig_MatchAll_Ct&lt;22,$BC447=(Elig_MatchAll_Ct-1),AU447=0),R447,0)</f>
        <v>0</v>
      </c>
      <c r="BX447" s="219">
        <f>IF(AND(Input_Product=Elig!$C447,Elig_MatchAll_Ct&lt;22,$BC447=(Elig_MatchAll_Ct-1),AU447=0),S447,0)</f>
        <v>0</v>
      </c>
      <c r="BY447" s="218">
        <f>IF(AND(Input_Product=Elig!$C447,Elig_MatchAll_Ct&lt;22,$BC447=(Elig_MatchAll_Ct-1),AV447=0),T447,0)</f>
        <v>0</v>
      </c>
      <c r="BZ447" s="219">
        <f>IF(AND(Input_Product=Elig!$C447,Elig_MatchAll_Ct&lt;22,$BC447=(Elig_MatchAll_Ct-1),AV447=0),U447,0)</f>
        <v>0</v>
      </c>
      <c r="CA447" s="218">
        <f>IF(AND(Input_Product=Elig!$C447,Elig_MatchAll_Ct&lt;22,$BC447=(Elig_MatchAll_Ct-1),AW447=0),V447,0)</f>
        <v>0</v>
      </c>
      <c r="CB447" s="219">
        <f>IF(AND(Input_Product=Elig!$C447,Elig_MatchAll_Ct&lt;22,$BC447=(Elig_MatchAll_Ct-1),AW447=0),W447,0)</f>
        <v>0</v>
      </c>
      <c r="CC447" s="218">
        <f>IF(AND(Input_Product=Elig!$C447,Elig_MatchAll_Ct&lt;22,$BC447=(Elig_MatchAll_Ct-1),AX447=0),X447,0)</f>
        <v>0</v>
      </c>
      <c r="CD447" s="219">
        <f>IF(AND(Input_Product=Elig!$C447,Elig_MatchAll_Ct&lt;22,$BC447=(Elig_MatchAll_Ct-1),AX447=0),Y447,0)</f>
        <v>0</v>
      </c>
      <c r="CE447" s="218">
        <f>IF(AND(Input_LTV&lt;=AE447,Input_Product=Elig!$C447,Elig_MatchAll_Ct&lt;22,$BC447=(Elig_MatchAll_Ct-1),AY447=0),Z447,0)</f>
        <v>0</v>
      </c>
      <c r="CF447" s="219">
        <f>IF(AND(Input_LTV&lt;=AE447,Input_Product=Elig!$C447,Elig_MatchAll_Ct&lt;22,$BC447=(Elig_MatchAll_Ct-1),AY447=0),AA447,0)</f>
        <v>0</v>
      </c>
      <c r="CG447" s="218">
        <f>IF(AND(Input_Product=Elig!$C447,Elig_MatchAll_Ct&lt;22,$BC447=(Elig_MatchAll_Ct-1),AZ447=0),AB447,0)</f>
        <v>0</v>
      </c>
      <c r="CH447" s="219">
        <f>IF(AND(Input_Product=Elig!$C447,Elig_MatchAll_Ct&lt;22,$BC447=(Elig_MatchAll_Ct-1),AZ447=0),AC447,0)</f>
        <v>0</v>
      </c>
      <c r="CI447" s="218">
        <f>IF(AND(Input_Product=Elig!$C447,Elig_MatchAll_Ct&lt;22,$BC447=(Elig_MatchAll_Ct-1),BA447=0),AD447,0)</f>
        <v>0</v>
      </c>
      <c r="CJ447" s="219">
        <f>IF(AND(Input_Product=Elig!$C447,Elig_MatchAll_Ct&lt;22,$BC447=(Elig_MatchAll_Ct-1),BA447=0),AE447,0)</f>
        <v>0</v>
      </c>
    </row>
    <row r="448" spans="2:88" ht="10.15" customHeight="1" x14ac:dyDescent="0.25">
      <c r="B448" s="287" t="s">
        <v>1144</v>
      </c>
      <c r="C448" s="286" t="str">
        <f t="shared" si="175"/>
        <v>NonQM NOO</v>
      </c>
      <c r="D448" s="287" t="s">
        <v>3885</v>
      </c>
      <c r="E448" s="287" t="s">
        <v>167</v>
      </c>
      <c r="F448" s="287" t="s">
        <v>330</v>
      </c>
      <c r="G448" s="300" t="s">
        <v>468</v>
      </c>
      <c r="H448" s="287" t="s">
        <v>136</v>
      </c>
      <c r="I448" s="288" t="s">
        <v>274</v>
      </c>
      <c r="J448" s="288" t="s">
        <v>1311</v>
      </c>
      <c r="K448" s="288" t="s">
        <v>1631</v>
      </c>
      <c r="L448" s="300" t="s">
        <v>312</v>
      </c>
      <c r="M448" s="287" t="s">
        <v>4203</v>
      </c>
      <c r="N448" s="287" t="s">
        <v>2685</v>
      </c>
      <c r="O448" s="287" t="s">
        <v>310</v>
      </c>
      <c r="P448" s="287" t="s">
        <v>291</v>
      </c>
      <c r="Q448" s="287" t="s">
        <v>294</v>
      </c>
      <c r="R448" s="287">
        <v>1500000.01</v>
      </c>
      <c r="S448" s="287">
        <v>2000000</v>
      </c>
      <c r="T448" s="287">
        <v>0</v>
      </c>
      <c r="U448" s="287">
        <v>0</v>
      </c>
      <c r="V448" s="287">
        <v>0</v>
      </c>
      <c r="W448" s="287">
        <v>50</v>
      </c>
      <c r="X448" s="287">
        <v>0</v>
      </c>
      <c r="Y448" s="287">
        <v>999</v>
      </c>
      <c r="Z448" s="289">
        <v>700</v>
      </c>
      <c r="AA448" s="289">
        <v>719</v>
      </c>
      <c r="AB448" s="289">
        <v>6</v>
      </c>
      <c r="AC448" s="289">
        <v>999999</v>
      </c>
      <c r="AD448" s="287">
        <v>0</v>
      </c>
      <c r="AE448" s="2105">
        <v>80</v>
      </c>
      <c r="AF448" s="170">
        <v>0</v>
      </c>
      <c r="AG448" s="171">
        <v>1</v>
      </c>
      <c r="AH448" s="171">
        <v>1</v>
      </c>
      <c r="AI448" s="171">
        <v>0</v>
      </c>
      <c r="AJ448" s="171">
        <v>0</v>
      </c>
      <c r="AK448" s="171">
        <v>1</v>
      </c>
      <c r="AL448" s="171">
        <v>0</v>
      </c>
      <c r="AM448" s="171">
        <v>1</v>
      </c>
      <c r="AN448" s="171">
        <v>1</v>
      </c>
      <c r="AO448" s="171">
        <v>1</v>
      </c>
      <c r="AP448" s="171">
        <v>1</v>
      </c>
      <c r="AQ448" s="171">
        <v>1</v>
      </c>
      <c r="AR448" s="171">
        <v>1</v>
      </c>
      <c r="AS448" s="171">
        <v>1</v>
      </c>
      <c r="AT448" s="171">
        <v>1</v>
      </c>
      <c r="AU448" s="171">
        <f t="shared" si="162"/>
        <v>0</v>
      </c>
      <c r="AV448" s="171">
        <f t="shared" si="163"/>
        <v>0</v>
      </c>
      <c r="AW448" s="171">
        <f t="shared" si="164"/>
        <v>1</v>
      </c>
      <c r="AX448" s="171">
        <f t="shared" si="173"/>
        <v>1</v>
      </c>
      <c r="AY448" s="171">
        <f t="shared" si="165"/>
        <v>0</v>
      </c>
      <c r="AZ448" s="171">
        <f t="shared" si="166"/>
        <v>1</v>
      </c>
      <c r="BA448" s="172">
        <f t="shared" si="167"/>
        <v>1</v>
      </c>
      <c r="BB448" s="175">
        <f t="shared" si="177"/>
        <v>15</v>
      </c>
      <c r="BC448" s="176">
        <f t="shared" si="178"/>
        <v>14</v>
      </c>
      <c r="BD448" s="176">
        <f t="shared" si="179"/>
        <v>15</v>
      </c>
      <c r="BE448" s="240" t="str">
        <f t="shared" si="161"/>
        <v/>
      </c>
      <c r="BH448" s="199">
        <f>IF(AND(Input_Product=Elig!$C448,Elig_MatchAll_Ct&lt;22,$BC448=(Elig_MatchAll_Ct-1),AF448=0),C448,0)</f>
        <v>0</v>
      </c>
      <c r="BI448" s="199">
        <f>IF(AND(Input_Product=Elig!$C448,Elig_MatchAll_Ct&lt;22,$BC448=(Elig_MatchAll_Ct-1),AG448=0),D448,0)</f>
        <v>0</v>
      </c>
      <c r="BJ448" s="199">
        <f>IF(AND(Input_Product=Elig!$C448,Elig_MatchAll_Ct&lt;22,$BC448=(Elig_MatchAll_Ct-1),AH448=0),E448,0)</f>
        <v>0</v>
      </c>
      <c r="BK448" s="199">
        <f>IF(AND(Input_Product=Elig!$C448,Elig_MatchAll_Ct&lt;22,$BC448=(Elig_MatchAll_Ct-1),AI448=0),F448,0)</f>
        <v>0</v>
      </c>
      <c r="BL448" s="199">
        <f>IF(AND(Input_Product=Elig!$C448,Elig_MatchAll_Ct&lt;22,$BC448=(Elig_MatchAll_Ct-1),AJ448=0),G448,0)</f>
        <v>0</v>
      </c>
      <c r="BM448" s="199">
        <f>IF(AND(Input_Product=Elig!$C448,Elig_MatchAll_Ct&lt;22,$BC448=(Elig_MatchAll_Ct-1),AK448=0),H448,0)</f>
        <v>0</v>
      </c>
      <c r="BN448" s="199">
        <f>IF(AND(Input_Product=Elig!$C448,Elig_MatchAll_Ct&lt;22,$BC448=(Elig_MatchAll_Ct-1),AL448=0),I448,0)</f>
        <v>0</v>
      </c>
      <c r="BO448" s="199">
        <f>IF(AND(Input_Product=Elig!$C448,Elig_MatchAll_Ct&lt;22,$BC448=(Elig_MatchAll_Ct-1),AM448=0),J448,0)</f>
        <v>0</v>
      </c>
      <c r="BP448" s="199">
        <f>IF(AND(Input_Product=Elig!$C448,Elig_MatchAll_Ct&lt;22,$BC448=(Elig_MatchAll_Ct-1),AN448=0),K448,0)</f>
        <v>0</v>
      </c>
      <c r="BQ448" s="199">
        <f>IF(AND(Input_Product=Elig!$C448,Elig_MatchAll_Ct&lt;22,$BC448=(Elig_MatchAll_Ct-1),AP448=0),L448,0)</f>
        <v>0</v>
      </c>
      <c r="BR448" s="199">
        <f>IF(AND(Input_Product=Elig!$C448,Elig_MatchAll_Ct&lt;22,$BC448=(Elig_MatchAll_Ct-1),AO448=0),M448,0)</f>
        <v>0</v>
      </c>
      <c r="BS448" s="199">
        <f>IF(AND(Input_Product=Elig!$C448,Elig_MatchAll_Ct&lt;22,$BC448=(Elig_MatchAll_Ct-1),AQ448=0),N448,0)</f>
        <v>0</v>
      </c>
      <c r="BT448" s="199">
        <f>IF(AND(Input_Product=Elig!$C448,Elig_MatchAll_Ct&lt;22,$BC448=(Elig_MatchAll_Ct-1),AR448=0),O448,0)</f>
        <v>0</v>
      </c>
      <c r="BU448" s="199">
        <f>IF(AND(Input_Product=Elig!$C448,Elig_MatchAll_Ct&lt;22,$BC448=(Elig_MatchAll_Ct-1),AS448=0),P448,0)</f>
        <v>0</v>
      </c>
      <c r="BV448" s="200">
        <f>IF(AND(Input_Product=Elig!$C448,Elig_MatchAll_Ct&lt;22,$BC448=(Elig_MatchAll_Ct-1),AT448=0),Q448,0)</f>
        <v>0</v>
      </c>
      <c r="BW448" s="201">
        <f>IF(AND(Input_Product=Elig!$C448,Elig_MatchAll_Ct&lt;22,$BC448=(Elig_MatchAll_Ct-1),AU448=0),R448,0)</f>
        <v>0</v>
      </c>
      <c r="BX448" s="202">
        <f>IF(AND(Input_Product=Elig!$C448,Elig_MatchAll_Ct&lt;22,$BC448=(Elig_MatchAll_Ct-1),AU448=0),S448,0)</f>
        <v>0</v>
      </c>
      <c r="BY448" s="201">
        <f>IF(AND(Input_Product=Elig!$C448,Elig_MatchAll_Ct&lt;22,$BC448=(Elig_MatchAll_Ct-1),AV448=0),T448,0)</f>
        <v>0</v>
      </c>
      <c r="BZ448" s="202">
        <f>IF(AND(Input_Product=Elig!$C448,Elig_MatchAll_Ct&lt;22,$BC448=(Elig_MatchAll_Ct-1),AV448=0),U448,0)</f>
        <v>0</v>
      </c>
      <c r="CA448" s="201">
        <f>IF(AND(Input_Product=Elig!$C448,Elig_MatchAll_Ct&lt;22,$BC448=(Elig_MatchAll_Ct-1),AW448=0),V448,0)</f>
        <v>0</v>
      </c>
      <c r="CB448" s="202">
        <f>IF(AND(Input_Product=Elig!$C448,Elig_MatchAll_Ct&lt;22,$BC448=(Elig_MatchAll_Ct-1),AW448=0),W448,0)</f>
        <v>0</v>
      </c>
      <c r="CC448" s="201">
        <f>IF(AND(Input_Product=Elig!$C448,Elig_MatchAll_Ct&lt;22,$BC448=(Elig_MatchAll_Ct-1),AX448=0),X448,0)</f>
        <v>0</v>
      </c>
      <c r="CD448" s="202">
        <f>IF(AND(Input_Product=Elig!$C448,Elig_MatchAll_Ct&lt;22,$BC448=(Elig_MatchAll_Ct-1),AX448=0),Y448,0)</f>
        <v>0</v>
      </c>
      <c r="CE448" s="201">
        <f>IF(AND(Input_LTV&lt;=AE448,Input_Product=Elig!$C448,Elig_MatchAll_Ct&lt;22,$BC448=(Elig_MatchAll_Ct-1),AY448=0),Z448,0)</f>
        <v>0</v>
      </c>
      <c r="CF448" s="202">
        <f>IF(AND(Input_LTV&lt;=AE448,Input_Product=Elig!$C448,Elig_MatchAll_Ct&lt;22,$BC448=(Elig_MatchAll_Ct-1),AY448=0),AA448,0)</f>
        <v>0</v>
      </c>
      <c r="CG448" s="201">
        <f>IF(AND(Input_Product=Elig!$C448,Elig_MatchAll_Ct&lt;22,$BC448=(Elig_MatchAll_Ct-1),AZ448=0),AB448,0)</f>
        <v>0</v>
      </c>
      <c r="CH448" s="202">
        <f>IF(AND(Input_Product=Elig!$C448,Elig_MatchAll_Ct&lt;22,$BC448=(Elig_MatchAll_Ct-1),AZ448=0),AC448,0)</f>
        <v>0</v>
      </c>
      <c r="CI448" s="201">
        <f>IF(AND(Input_Product=Elig!$C448,Elig_MatchAll_Ct&lt;22,$BC448=(Elig_MatchAll_Ct-1),BA448=0),AD448,0)</f>
        <v>0</v>
      </c>
      <c r="CJ448" s="202">
        <f>IF(AND(Input_Product=Elig!$C448,Elig_MatchAll_Ct&lt;22,$BC448=(Elig_MatchAll_Ct-1),BA448=0),AE448,0)</f>
        <v>0</v>
      </c>
    </row>
    <row r="449" spans="2:88" ht="10.15" customHeight="1" x14ac:dyDescent="0.25">
      <c r="B449" s="287" t="s">
        <v>1145</v>
      </c>
      <c r="C449" s="286" t="str">
        <f t="shared" si="175"/>
        <v>NonQM NOO</v>
      </c>
      <c r="D449" s="287" t="s">
        <v>3885</v>
      </c>
      <c r="E449" s="287" t="s">
        <v>167</v>
      </c>
      <c r="F449" s="287" t="s">
        <v>330</v>
      </c>
      <c r="G449" s="300" t="s">
        <v>468</v>
      </c>
      <c r="H449" s="287" t="s">
        <v>136</v>
      </c>
      <c r="I449" s="288" t="s">
        <v>274</v>
      </c>
      <c r="J449" s="288" t="s">
        <v>1311</v>
      </c>
      <c r="K449" s="288" t="s">
        <v>1631</v>
      </c>
      <c r="L449" s="300" t="s">
        <v>312</v>
      </c>
      <c r="M449" s="287" t="s">
        <v>4203</v>
      </c>
      <c r="N449" s="287" t="s">
        <v>2685</v>
      </c>
      <c r="O449" s="287" t="s">
        <v>310</v>
      </c>
      <c r="P449" s="287" t="s">
        <v>291</v>
      </c>
      <c r="Q449" s="287" t="s">
        <v>294</v>
      </c>
      <c r="R449" s="287">
        <v>1500000.01</v>
      </c>
      <c r="S449" s="287">
        <v>2000000</v>
      </c>
      <c r="T449" s="287">
        <v>0</v>
      </c>
      <c r="U449" s="287">
        <v>0</v>
      </c>
      <c r="V449" s="287">
        <v>0</v>
      </c>
      <c r="W449" s="287">
        <v>50</v>
      </c>
      <c r="X449" s="287">
        <v>0</v>
      </c>
      <c r="Y449" s="287">
        <v>999</v>
      </c>
      <c r="Z449" s="289">
        <v>680</v>
      </c>
      <c r="AA449" s="289">
        <v>699</v>
      </c>
      <c r="AB449" s="289">
        <v>6</v>
      </c>
      <c r="AC449" s="289">
        <v>999999</v>
      </c>
      <c r="AD449" s="287">
        <v>0</v>
      </c>
      <c r="AE449" s="2105">
        <v>75</v>
      </c>
      <c r="AF449" s="170">
        <v>0</v>
      </c>
      <c r="AG449" s="171">
        <v>1</v>
      </c>
      <c r="AH449" s="171">
        <v>1</v>
      </c>
      <c r="AI449" s="171">
        <v>0</v>
      </c>
      <c r="AJ449" s="171">
        <v>0</v>
      </c>
      <c r="AK449" s="171">
        <v>1</v>
      </c>
      <c r="AL449" s="171">
        <v>0</v>
      </c>
      <c r="AM449" s="171">
        <v>1</v>
      </c>
      <c r="AN449" s="171">
        <v>1</v>
      </c>
      <c r="AO449" s="171">
        <v>1</v>
      </c>
      <c r="AP449" s="171">
        <v>1</v>
      </c>
      <c r="AQ449" s="171">
        <v>1</v>
      </c>
      <c r="AR449" s="171">
        <v>1</v>
      </c>
      <c r="AS449" s="171">
        <v>1</v>
      </c>
      <c r="AT449" s="171">
        <v>1</v>
      </c>
      <c r="AU449" s="171">
        <f t="shared" si="162"/>
        <v>0</v>
      </c>
      <c r="AV449" s="171">
        <f t="shared" si="163"/>
        <v>0</v>
      </c>
      <c r="AW449" s="171">
        <f t="shared" si="164"/>
        <v>1</v>
      </c>
      <c r="AX449" s="171">
        <f t="shared" si="173"/>
        <v>1</v>
      </c>
      <c r="AY449" s="171">
        <f t="shared" si="165"/>
        <v>0</v>
      </c>
      <c r="AZ449" s="171">
        <f t="shared" si="166"/>
        <v>1</v>
      </c>
      <c r="BA449" s="172">
        <f t="shared" si="167"/>
        <v>1</v>
      </c>
      <c r="BB449" s="175">
        <f t="shared" si="177"/>
        <v>15</v>
      </c>
      <c r="BC449" s="176">
        <f t="shared" si="178"/>
        <v>14</v>
      </c>
      <c r="BD449" s="176">
        <f t="shared" si="179"/>
        <v>15</v>
      </c>
      <c r="BE449" s="240" t="str">
        <f t="shared" si="161"/>
        <v/>
      </c>
      <c r="BH449" s="199">
        <f>IF(AND(Input_Product=Elig!$C449,Elig_MatchAll_Ct&lt;22,$BC449=(Elig_MatchAll_Ct-1),AF449=0),C449,0)</f>
        <v>0</v>
      </c>
      <c r="BI449" s="199">
        <f>IF(AND(Input_Product=Elig!$C449,Elig_MatchAll_Ct&lt;22,$BC449=(Elig_MatchAll_Ct-1),AG449=0),D449,0)</f>
        <v>0</v>
      </c>
      <c r="BJ449" s="199">
        <f>IF(AND(Input_Product=Elig!$C449,Elig_MatchAll_Ct&lt;22,$BC449=(Elig_MatchAll_Ct-1),AH449=0),E449,0)</f>
        <v>0</v>
      </c>
      <c r="BK449" s="199">
        <f>IF(AND(Input_Product=Elig!$C449,Elig_MatchAll_Ct&lt;22,$BC449=(Elig_MatchAll_Ct-1),AI449=0),F449,0)</f>
        <v>0</v>
      </c>
      <c r="BL449" s="199">
        <f>IF(AND(Input_Product=Elig!$C449,Elig_MatchAll_Ct&lt;22,$BC449=(Elig_MatchAll_Ct-1),AJ449=0),G449,0)</f>
        <v>0</v>
      </c>
      <c r="BM449" s="199">
        <f>IF(AND(Input_Product=Elig!$C449,Elig_MatchAll_Ct&lt;22,$BC449=(Elig_MatchAll_Ct-1),AK449=0),H449,0)</f>
        <v>0</v>
      </c>
      <c r="BN449" s="199">
        <f>IF(AND(Input_Product=Elig!$C449,Elig_MatchAll_Ct&lt;22,$BC449=(Elig_MatchAll_Ct-1),AL449=0),I449,0)</f>
        <v>0</v>
      </c>
      <c r="BO449" s="199">
        <f>IF(AND(Input_Product=Elig!$C449,Elig_MatchAll_Ct&lt;22,$BC449=(Elig_MatchAll_Ct-1),AM449=0),J449,0)</f>
        <v>0</v>
      </c>
      <c r="BP449" s="199">
        <f>IF(AND(Input_Product=Elig!$C449,Elig_MatchAll_Ct&lt;22,$BC449=(Elig_MatchAll_Ct-1),AN449=0),K449,0)</f>
        <v>0</v>
      </c>
      <c r="BQ449" s="199">
        <f>IF(AND(Input_Product=Elig!$C449,Elig_MatchAll_Ct&lt;22,$BC449=(Elig_MatchAll_Ct-1),AP449=0),L449,0)</f>
        <v>0</v>
      </c>
      <c r="BR449" s="199">
        <f>IF(AND(Input_Product=Elig!$C449,Elig_MatchAll_Ct&lt;22,$BC449=(Elig_MatchAll_Ct-1),AO449=0),M449,0)</f>
        <v>0</v>
      </c>
      <c r="BS449" s="199">
        <f>IF(AND(Input_Product=Elig!$C449,Elig_MatchAll_Ct&lt;22,$BC449=(Elig_MatchAll_Ct-1),AQ449=0),N449,0)</f>
        <v>0</v>
      </c>
      <c r="BT449" s="199">
        <f>IF(AND(Input_Product=Elig!$C449,Elig_MatchAll_Ct&lt;22,$BC449=(Elig_MatchAll_Ct-1),AR449=0),O449,0)</f>
        <v>0</v>
      </c>
      <c r="BU449" s="199">
        <f>IF(AND(Input_Product=Elig!$C449,Elig_MatchAll_Ct&lt;22,$BC449=(Elig_MatchAll_Ct-1),AS449=0),P449,0)</f>
        <v>0</v>
      </c>
      <c r="BV449" s="200">
        <f>IF(AND(Input_Product=Elig!$C449,Elig_MatchAll_Ct&lt;22,$BC449=(Elig_MatchAll_Ct-1),AT449=0),Q449,0)</f>
        <v>0</v>
      </c>
      <c r="BW449" s="201">
        <f>IF(AND(Input_Product=Elig!$C449,Elig_MatchAll_Ct&lt;22,$BC449=(Elig_MatchAll_Ct-1),AU449=0),R449,0)</f>
        <v>0</v>
      </c>
      <c r="BX449" s="202">
        <f>IF(AND(Input_Product=Elig!$C449,Elig_MatchAll_Ct&lt;22,$BC449=(Elig_MatchAll_Ct-1),AU449=0),S449,0)</f>
        <v>0</v>
      </c>
      <c r="BY449" s="201">
        <f>IF(AND(Input_Product=Elig!$C449,Elig_MatchAll_Ct&lt;22,$BC449=(Elig_MatchAll_Ct-1),AV449=0),T449,0)</f>
        <v>0</v>
      </c>
      <c r="BZ449" s="202">
        <f>IF(AND(Input_Product=Elig!$C449,Elig_MatchAll_Ct&lt;22,$BC449=(Elig_MatchAll_Ct-1),AV449=0),U449,0)</f>
        <v>0</v>
      </c>
      <c r="CA449" s="201">
        <f>IF(AND(Input_Product=Elig!$C449,Elig_MatchAll_Ct&lt;22,$BC449=(Elig_MatchAll_Ct-1),AW449=0),V449,0)</f>
        <v>0</v>
      </c>
      <c r="CB449" s="202">
        <f>IF(AND(Input_Product=Elig!$C449,Elig_MatchAll_Ct&lt;22,$BC449=(Elig_MatchAll_Ct-1),AW449=0),W449,0)</f>
        <v>0</v>
      </c>
      <c r="CC449" s="201">
        <f>IF(AND(Input_Product=Elig!$C449,Elig_MatchAll_Ct&lt;22,$BC449=(Elig_MatchAll_Ct-1),AX449=0),X449,0)</f>
        <v>0</v>
      </c>
      <c r="CD449" s="202">
        <f>IF(AND(Input_Product=Elig!$C449,Elig_MatchAll_Ct&lt;22,$BC449=(Elig_MatchAll_Ct-1),AX449=0),Y449,0)</f>
        <v>0</v>
      </c>
      <c r="CE449" s="201">
        <f>IF(AND(Input_LTV&lt;=AE449,Input_Product=Elig!$C449,Elig_MatchAll_Ct&lt;22,$BC449=(Elig_MatchAll_Ct-1),AY449=0),Z449,0)</f>
        <v>0</v>
      </c>
      <c r="CF449" s="202">
        <f>IF(AND(Input_LTV&lt;=AE449,Input_Product=Elig!$C449,Elig_MatchAll_Ct&lt;22,$BC449=(Elig_MatchAll_Ct-1),AY449=0),AA449,0)</f>
        <v>0</v>
      </c>
      <c r="CG449" s="201">
        <f>IF(AND(Input_Product=Elig!$C449,Elig_MatchAll_Ct&lt;22,$BC449=(Elig_MatchAll_Ct-1),AZ449=0),AB449,0)</f>
        <v>0</v>
      </c>
      <c r="CH449" s="202">
        <f>IF(AND(Input_Product=Elig!$C449,Elig_MatchAll_Ct&lt;22,$BC449=(Elig_MatchAll_Ct-1),AZ449=0),AC449,0)</f>
        <v>0</v>
      </c>
      <c r="CI449" s="201">
        <f>IF(AND(Input_Product=Elig!$C449,Elig_MatchAll_Ct&lt;22,$BC449=(Elig_MatchAll_Ct-1),BA449=0),AD449,0)</f>
        <v>0</v>
      </c>
      <c r="CJ449" s="202">
        <f>IF(AND(Input_Product=Elig!$C449,Elig_MatchAll_Ct&lt;22,$BC449=(Elig_MatchAll_Ct-1),BA449=0),AE449,0)</f>
        <v>0</v>
      </c>
    </row>
    <row r="450" spans="2:88" ht="10.15" customHeight="1" x14ac:dyDescent="0.25">
      <c r="B450" s="287" t="s">
        <v>1146</v>
      </c>
      <c r="C450" s="286" t="str">
        <f t="shared" si="175"/>
        <v>NonQM NOO</v>
      </c>
      <c r="D450" s="287" t="s">
        <v>3885</v>
      </c>
      <c r="E450" s="287" t="s">
        <v>167</v>
      </c>
      <c r="F450" s="287" t="s">
        <v>330</v>
      </c>
      <c r="G450" s="300" t="s">
        <v>468</v>
      </c>
      <c r="H450" s="287" t="s">
        <v>136</v>
      </c>
      <c r="I450" s="287" t="s">
        <v>274</v>
      </c>
      <c r="J450" s="287" t="s">
        <v>1311</v>
      </c>
      <c r="K450" s="287" t="s">
        <v>1631</v>
      </c>
      <c r="L450" s="300" t="s">
        <v>312</v>
      </c>
      <c r="M450" s="287" t="s">
        <v>4203</v>
      </c>
      <c r="N450" s="287" t="s">
        <v>2685</v>
      </c>
      <c r="O450" s="287" t="s">
        <v>310</v>
      </c>
      <c r="P450" s="287" t="s">
        <v>291</v>
      </c>
      <c r="Q450" s="287" t="s">
        <v>294</v>
      </c>
      <c r="R450" s="287">
        <v>1500000.01</v>
      </c>
      <c r="S450" s="287">
        <v>2000000</v>
      </c>
      <c r="T450" s="287">
        <v>0</v>
      </c>
      <c r="U450" s="287">
        <v>0</v>
      </c>
      <c r="V450" s="287">
        <v>0</v>
      </c>
      <c r="W450" s="287">
        <v>50</v>
      </c>
      <c r="X450" s="287">
        <v>0</v>
      </c>
      <c r="Y450" s="287">
        <v>999</v>
      </c>
      <c r="Z450" s="289">
        <v>660</v>
      </c>
      <c r="AA450" s="289">
        <v>679</v>
      </c>
      <c r="AB450" s="289">
        <v>6</v>
      </c>
      <c r="AC450" s="289">
        <v>999999</v>
      </c>
      <c r="AD450" s="287">
        <v>0</v>
      </c>
      <c r="AE450" s="290">
        <v>70</v>
      </c>
      <c r="AF450" s="170">
        <v>0</v>
      </c>
      <c r="AG450" s="171">
        <v>1</v>
      </c>
      <c r="AH450" s="171">
        <v>1</v>
      </c>
      <c r="AI450" s="171">
        <v>0</v>
      </c>
      <c r="AJ450" s="171">
        <v>0</v>
      </c>
      <c r="AK450" s="171">
        <v>1</v>
      </c>
      <c r="AL450" s="171">
        <v>0</v>
      </c>
      <c r="AM450" s="171">
        <v>1</v>
      </c>
      <c r="AN450" s="171">
        <v>1</v>
      </c>
      <c r="AO450" s="171">
        <v>1</v>
      </c>
      <c r="AP450" s="171">
        <v>1</v>
      </c>
      <c r="AQ450" s="171">
        <v>1</v>
      </c>
      <c r="AR450" s="171">
        <v>1</v>
      </c>
      <c r="AS450" s="171">
        <v>1</v>
      </c>
      <c r="AT450" s="171">
        <v>1</v>
      </c>
      <c r="AU450" s="171">
        <f t="shared" si="162"/>
        <v>0</v>
      </c>
      <c r="AV450" s="171">
        <f t="shared" si="163"/>
        <v>0</v>
      </c>
      <c r="AW450" s="171">
        <f t="shared" si="164"/>
        <v>1</v>
      </c>
      <c r="AX450" s="171">
        <f t="shared" si="173"/>
        <v>1</v>
      </c>
      <c r="AY450" s="171">
        <f t="shared" si="165"/>
        <v>0</v>
      </c>
      <c r="AZ450" s="171">
        <f t="shared" si="166"/>
        <v>1</v>
      </c>
      <c r="BA450" s="172">
        <f t="shared" si="167"/>
        <v>1</v>
      </c>
      <c r="BB450" s="175">
        <f t="shared" si="177"/>
        <v>15</v>
      </c>
      <c r="BC450" s="176">
        <f t="shared" si="178"/>
        <v>14</v>
      </c>
      <c r="BD450" s="176">
        <f t="shared" si="179"/>
        <v>15</v>
      </c>
      <c r="BE450" s="240" t="str">
        <f t="shared" si="161"/>
        <v/>
      </c>
      <c r="BH450" s="199">
        <f>IF(AND(Input_Product=Elig!$C450,Elig_MatchAll_Ct&lt;22,$BC450=(Elig_MatchAll_Ct-1),AF450=0),C450,0)</f>
        <v>0</v>
      </c>
      <c r="BI450" s="199">
        <f>IF(AND(Input_Product=Elig!$C450,Elig_MatchAll_Ct&lt;22,$BC450=(Elig_MatchAll_Ct-1),AG450=0),D450,0)</f>
        <v>0</v>
      </c>
      <c r="BJ450" s="199">
        <f>IF(AND(Input_Product=Elig!$C450,Elig_MatchAll_Ct&lt;22,$BC450=(Elig_MatchAll_Ct-1),AH450=0),E450,0)</f>
        <v>0</v>
      </c>
      <c r="BK450" s="199">
        <f>IF(AND(Input_Product=Elig!$C450,Elig_MatchAll_Ct&lt;22,$BC450=(Elig_MatchAll_Ct-1),AI450=0),F450,0)</f>
        <v>0</v>
      </c>
      <c r="BL450" s="199">
        <f>IF(AND(Input_Product=Elig!$C450,Elig_MatchAll_Ct&lt;22,$BC450=(Elig_MatchAll_Ct-1),AJ450=0),G450,0)</f>
        <v>0</v>
      </c>
      <c r="BM450" s="199">
        <f>IF(AND(Input_Product=Elig!$C450,Elig_MatchAll_Ct&lt;22,$BC450=(Elig_MatchAll_Ct-1),AK450=0),H450,0)</f>
        <v>0</v>
      </c>
      <c r="BN450" s="199">
        <f>IF(AND(Input_Product=Elig!$C450,Elig_MatchAll_Ct&lt;22,$BC450=(Elig_MatchAll_Ct-1),AL450=0),I450,0)</f>
        <v>0</v>
      </c>
      <c r="BO450" s="199">
        <f>IF(AND(Input_Product=Elig!$C450,Elig_MatchAll_Ct&lt;22,$BC450=(Elig_MatchAll_Ct-1),AM450=0),J450,0)</f>
        <v>0</v>
      </c>
      <c r="BP450" s="199">
        <f>IF(AND(Input_Product=Elig!$C450,Elig_MatchAll_Ct&lt;22,$BC450=(Elig_MatchAll_Ct-1),AN450=0),K450,0)</f>
        <v>0</v>
      </c>
      <c r="BQ450" s="199">
        <f>IF(AND(Input_Product=Elig!$C450,Elig_MatchAll_Ct&lt;22,$BC450=(Elig_MatchAll_Ct-1),AP450=0),L450,0)</f>
        <v>0</v>
      </c>
      <c r="BR450" s="199">
        <f>IF(AND(Input_Product=Elig!$C450,Elig_MatchAll_Ct&lt;22,$BC450=(Elig_MatchAll_Ct-1),AO450=0),M450,0)</f>
        <v>0</v>
      </c>
      <c r="BS450" s="199">
        <f>IF(AND(Input_Product=Elig!$C450,Elig_MatchAll_Ct&lt;22,$BC450=(Elig_MatchAll_Ct-1),AQ450=0),N450,0)</f>
        <v>0</v>
      </c>
      <c r="BT450" s="199">
        <f>IF(AND(Input_Product=Elig!$C450,Elig_MatchAll_Ct&lt;22,$BC450=(Elig_MatchAll_Ct-1),AR450=0),O450,0)</f>
        <v>0</v>
      </c>
      <c r="BU450" s="199">
        <f>IF(AND(Input_Product=Elig!$C450,Elig_MatchAll_Ct&lt;22,$BC450=(Elig_MatchAll_Ct-1),AS450=0),P450,0)</f>
        <v>0</v>
      </c>
      <c r="BV450" s="200">
        <f>IF(AND(Input_Product=Elig!$C450,Elig_MatchAll_Ct&lt;22,$BC450=(Elig_MatchAll_Ct-1),AT450=0),Q450,0)</f>
        <v>0</v>
      </c>
      <c r="BW450" s="201">
        <f>IF(AND(Input_Product=Elig!$C450,Elig_MatchAll_Ct&lt;22,$BC450=(Elig_MatchAll_Ct-1),AU450=0),R450,0)</f>
        <v>0</v>
      </c>
      <c r="BX450" s="202">
        <f>IF(AND(Input_Product=Elig!$C450,Elig_MatchAll_Ct&lt;22,$BC450=(Elig_MatchAll_Ct-1),AU450=0),S450,0)</f>
        <v>0</v>
      </c>
      <c r="BY450" s="201">
        <f>IF(AND(Input_Product=Elig!$C450,Elig_MatchAll_Ct&lt;22,$BC450=(Elig_MatchAll_Ct-1),AV450=0),T450,0)</f>
        <v>0</v>
      </c>
      <c r="BZ450" s="202">
        <f>IF(AND(Input_Product=Elig!$C450,Elig_MatchAll_Ct&lt;22,$BC450=(Elig_MatchAll_Ct-1),AV450=0),U450,0)</f>
        <v>0</v>
      </c>
      <c r="CA450" s="201">
        <f>IF(AND(Input_Product=Elig!$C450,Elig_MatchAll_Ct&lt;22,$BC450=(Elig_MatchAll_Ct-1),AW450=0),V450,0)</f>
        <v>0</v>
      </c>
      <c r="CB450" s="202">
        <f>IF(AND(Input_Product=Elig!$C450,Elig_MatchAll_Ct&lt;22,$BC450=(Elig_MatchAll_Ct-1),AW450=0),W450,0)</f>
        <v>0</v>
      </c>
      <c r="CC450" s="201">
        <f>IF(AND(Input_Product=Elig!$C450,Elig_MatchAll_Ct&lt;22,$BC450=(Elig_MatchAll_Ct-1),AX450=0),X450,0)</f>
        <v>0</v>
      </c>
      <c r="CD450" s="202">
        <f>IF(AND(Input_Product=Elig!$C450,Elig_MatchAll_Ct&lt;22,$BC450=(Elig_MatchAll_Ct-1),AX450=0),Y450,0)</f>
        <v>0</v>
      </c>
      <c r="CE450" s="201">
        <f>IF(AND(Input_LTV&lt;=AE450,Input_Product=Elig!$C450,Elig_MatchAll_Ct&lt;22,$BC450=(Elig_MatchAll_Ct-1),AY450=0),Z450,0)</f>
        <v>0</v>
      </c>
      <c r="CF450" s="202">
        <f>IF(AND(Input_LTV&lt;=AE450,Input_Product=Elig!$C450,Elig_MatchAll_Ct&lt;22,$BC450=(Elig_MatchAll_Ct-1),AY450=0),AA450,0)</f>
        <v>0</v>
      </c>
      <c r="CG450" s="201">
        <f>IF(AND(Input_Product=Elig!$C450,Elig_MatchAll_Ct&lt;22,$BC450=(Elig_MatchAll_Ct-1),AZ450=0),AB450,0)</f>
        <v>0</v>
      </c>
      <c r="CH450" s="202">
        <f>IF(AND(Input_Product=Elig!$C450,Elig_MatchAll_Ct&lt;22,$BC450=(Elig_MatchAll_Ct-1),AZ450=0),AC450,0)</f>
        <v>0</v>
      </c>
      <c r="CI450" s="201">
        <f>IF(AND(Input_Product=Elig!$C450,Elig_MatchAll_Ct&lt;22,$BC450=(Elig_MatchAll_Ct-1),BA450=0),AD450,0)</f>
        <v>0</v>
      </c>
      <c r="CJ450" s="202">
        <f>IF(AND(Input_Product=Elig!$C450,Elig_MatchAll_Ct&lt;22,$BC450=(Elig_MatchAll_Ct-1),BA450=0),AE450,0)</f>
        <v>0</v>
      </c>
    </row>
    <row r="451" spans="2:88" ht="10.15" customHeight="1" x14ac:dyDescent="0.25">
      <c r="B451" s="287" t="s">
        <v>1147</v>
      </c>
      <c r="C451" s="286" t="str">
        <f t="shared" si="175"/>
        <v>NonQM NOO</v>
      </c>
      <c r="D451" s="287" t="s">
        <v>3885</v>
      </c>
      <c r="E451" s="287" t="s">
        <v>167</v>
      </c>
      <c r="F451" s="287" t="s">
        <v>330</v>
      </c>
      <c r="G451" s="300" t="s">
        <v>468</v>
      </c>
      <c r="H451" s="287" t="s">
        <v>136</v>
      </c>
      <c r="I451" s="287" t="s">
        <v>274</v>
      </c>
      <c r="J451" s="287" t="s">
        <v>1311</v>
      </c>
      <c r="K451" s="287" t="s">
        <v>1631</v>
      </c>
      <c r="L451" s="300" t="s">
        <v>312</v>
      </c>
      <c r="M451" s="287" t="s">
        <v>4203</v>
      </c>
      <c r="N451" s="287" t="s">
        <v>2685</v>
      </c>
      <c r="O451" s="287" t="s">
        <v>310</v>
      </c>
      <c r="P451" s="287" t="s">
        <v>291</v>
      </c>
      <c r="Q451" s="287" t="s">
        <v>294</v>
      </c>
      <c r="R451" s="287">
        <v>1500000.01</v>
      </c>
      <c r="S451" s="287">
        <v>2000000</v>
      </c>
      <c r="T451" s="287">
        <v>0</v>
      </c>
      <c r="U451" s="287">
        <v>0</v>
      </c>
      <c r="V451" s="287">
        <v>0</v>
      </c>
      <c r="W451" s="287">
        <v>50</v>
      </c>
      <c r="X451" s="287">
        <v>0</v>
      </c>
      <c r="Y451" s="287">
        <v>999</v>
      </c>
      <c r="Z451" s="289">
        <v>640</v>
      </c>
      <c r="AA451" s="289">
        <v>659</v>
      </c>
      <c r="AB451" s="289">
        <v>6</v>
      </c>
      <c r="AC451" s="289">
        <v>999999</v>
      </c>
      <c r="AD451" s="287">
        <v>0</v>
      </c>
      <c r="AE451" s="290">
        <v>-999</v>
      </c>
      <c r="AF451" s="170">
        <v>0</v>
      </c>
      <c r="AG451" s="171">
        <v>1</v>
      </c>
      <c r="AH451" s="171">
        <v>1</v>
      </c>
      <c r="AI451" s="171">
        <v>0</v>
      </c>
      <c r="AJ451" s="171">
        <v>0</v>
      </c>
      <c r="AK451" s="171">
        <v>1</v>
      </c>
      <c r="AL451" s="171">
        <v>0</v>
      </c>
      <c r="AM451" s="171">
        <v>1</v>
      </c>
      <c r="AN451" s="171">
        <v>1</v>
      </c>
      <c r="AO451" s="171">
        <v>1</v>
      </c>
      <c r="AP451" s="171">
        <v>1</v>
      </c>
      <c r="AQ451" s="171">
        <v>1</v>
      </c>
      <c r="AR451" s="171">
        <v>1</v>
      </c>
      <c r="AS451" s="171">
        <v>1</v>
      </c>
      <c r="AT451" s="171">
        <v>1</v>
      </c>
      <c r="AU451" s="171">
        <f t="shared" si="162"/>
        <v>0</v>
      </c>
      <c r="AV451" s="171">
        <f t="shared" si="163"/>
        <v>0</v>
      </c>
      <c r="AW451" s="171">
        <f t="shared" si="164"/>
        <v>1</v>
      </c>
      <c r="AX451" s="171">
        <f t="shared" si="173"/>
        <v>1</v>
      </c>
      <c r="AY451" s="171">
        <f t="shared" si="165"/>
        <v>0</v>
      </c>
      <c r="AZ451" s="171">
        <f t="shared" si="166"/>
        <v>1</v>
      </c>
      <c r="BA451" s="172">
        <f t="shared" si="167"/>
        <v>0</v>
      </c>
      <c r="BB451" s="175">
        <f t="shared" si="177"/>
        <v>14</v>
      </c>
      <c r="BC451" s="176">
        <f t="shared" si="178"/>
        <v>14</v>
      </c>
      <c r="BD451" s="176">
        <f t="shared" si="179"/>
        <v>14</v>
      </c>
      <c r="BE451" s="240" t="str">
        <f t="shared" si="161"/>
        <v/>
      </c>
      <c r="BH451" s="199">
        <f>IF(AND(Input_Product=Elig!$C451,Elig_MatchAll_Ct&lt;22,$BC451=(Elig_MatchAll_Ct-1),AF451=0),C451,0)</f>
        <v>0</v>
      </c>
      <c r="BI451" s="199">
        <f>IF(AND(Input_Product=Elig!$C451,Elig_MatchAll_Ct&lt;22,$BC451=(Elig_MatchAll_Ct-1),AG451=0),D451,0)</f>
        <v>0</v>
      </c>
      <c r="BJ451" s="199">
        <f>IF(AND(Input_Product=Elig!$C451,Elig_MatchAll_Ct&lt;22,$BC451=(Elig_MatchAll_Ct-1),AH451=0),E451,0)</f>
        <v>0</v>
      </c>
      <c r="BK451" s="199">
        <f>IF(AND(Input_Product=Elig!$C451,Elig_MatchAll_Ct&lt;22,$BC451=(Elig_MatchAll_Ct-1),AI451=0),F451,0)</f>
        <v>0</v>
      </c>
      <c r="BL451" s="199">
        <f>IF(AND(Input_Product=Elig!$C451,Elig_MatchAll_Ct&lt;22,$BC451=(Elig_MatchAll_Ct-1),AJ451=0),G451,0)</f>
        <v>0</v>
      </c>
      <c r="BM451" s="199">
        <f>IF(AND(Input_Product=Elig!$C451,Elig_MatchAll_Ct&lt;22,$BC451=(Elig_MatchAll_Ct-1),AK451=0),H451,0)</f>
        <v>0</v>
      </c>
      <c r="BN451" s="199">
        <f>IF(AND(Input_Product=Elig!$C451,Elig_MatchAll_Ct&lt;22,$BC451=(Elig_MatchAll_Ct-1),AL451=0),I451,0)</f>
        <v>0</v>
      </c>
      <c r="BO451" s="199">
        <f>IF(AND(Input_Product=Elig!$C451,Elig_MatchAll_Ct&lt;22,$BC451=(Elig_MatchAll_Ct-1),AM451=0),J451,0)</f>
        <v>0</v>
      </c>
      <c r="BP451" s="199">
        <f>IF(AND(Input_Product=Elig!$C451,Elig_MatchAll_Ct&lt;22,$BC451=(Elig_MatchAll_Ct-1),AN451=0),K451,0)</f>
        <v>0</v>
      </c>
      <c r="BQ451" s="199">
        <f>IF(AND(Input_Product=Elig!$C451,Elig_MatchAll_Ct&lt;22,$BC451=(Elig_MatchAll_Ct-1),AP451=0),L451,0)</f>
        <v>0</v>
      </c>
      <c r="BR451" s="199">
        <f>IF(AND(Input_Product=Elig!$C451,Elig_MatchAll_Ct&lt;22,$BC451=(Elig_MatchAll_Ct-1),AO451=0),M451,0)</f>
        <v>0</v>
      </c>
      <c r="BS451" s="199">
        <f>IF(AND(Input_Product=Elig!$C451,Elig_MatchAll_Ct&lt;22,$BC451=(Elig_MatchAll_Ct-1),AQ451=0),N451,0)</f>
        <v>0</v>
      </c>
      <c r="BT451" s="199">
        <f>IF(AND(Input_Product=Elig!$C451,Elig_MatchAll_Ct&lt;22,$BC451=(Elig_MatchAll_Ct-1),AR451=0),O451,0)</f>
        <v>0</v>
      </c>
      <c r="BU451" s="199">
        <f>IF(AND(Input_Product=Elig!$C451,Elig_MatchAll_Ct&lt;22,$BC451=(Elig_MatchAll_Ct-1),AS451=0),P451,0)</f>
        <v>0</v>
      </c>
      <c r="BV451" s="200">
        <f>IF(AND(Input_Product=Elig!$C451,Elig_MatchAll_Ct&lt;22,$BC451=(Elig_MatchAll_Ct-1),AT451=0),Q451,0)</f>
        <v>0</v>
      </c>
      <c r="BW451" s="201">
        <f>IF(AND(Input_Product=Elig!$C451,Elig_MatchAll_Ct&lt;22,$BC451=(Elig_MatchAll_Ct-1),AU451=0),R451,0)</f>
        <v>0</v>
      </c>
      <c r="BX451" s="202">
        <f>IF(AND(Input_Product=Elig!$C451,Elig_MatchAll_Ct&lt;22,$BC451=(Elig_MatchAll_Ct-1),AU451=0),S451,0)</f>
        <v>0</v>
      </c>
      <c r="BY451" s="201">
        <f>IF(AND(Input_Product=Elig!$C451,Elig_MatchAll_Ct&lt;22,$BC451=(Elig_MatchAll_Ct-1),AV451=0),T451,0)</f>
        <v>0</v>
      </c>
      <c r="BZ451" s="202">
        <f>IF(AND(Input_Product=Elig!$C451,Elig_MatchAll_Ct&lt;22,$BC451=(Elig_MatchAll_Ct-1),AV451=0),U451,0)</f>
        <v>0</v>
      </c>
      <c r="CA451" s="201">
        <f>IF(AND(Input_Product=Elig!$C451,Elig_MatchAll_Ct&lt;22,$BC451=(Elig_MatchAll_Ct-1),AW451=0),V451,0)</f>
        <v>0</v>
      </c>
      <c r="CB451" s="202">
        <f>IF(AND(Input_Product=Elig!$C451,Elig_MatchAll_Ct&lt;22,$BC451=(Elig_MatchAll_Ct-1),AW451=0),W451,0)</f>
        <v>0</v>
      </c>
      <c r="CC451" s="201">
        <f>IF(AND(Input_Product=Elig!$C451,Elig_MatchAll_Ct&lt;22,$BC451=(Elig_MatchAll_Ct-1),AX451=0),X451,0)</f>
        <v>0</v>
      </c>
      <c r="CD451" s="202">
        <f>IF(AND(Input_Product=Elig!$C451,Elig_MatchAll_Ct&lt;22,$BC451=(Elig_MatchAll_Ct-1),AX451=0),Y451,0)</f>
        <v>0</v>
      </c>
      <c r="CE451" s="201">
        <f>IF(AND(Input_LTV&lt;=AE451,Input_Product=Elig!$C451,Elig_MatchAll_Ct&lt;22,$BC451=(Elig_MatchAll_Ct-1),AY451=0),Z451,0)</f>
        <v>0</v>
      </c>
      <c r="CF451" s="202">
        <f>IF(AND(Input_LTV&lt;=AE451,Input_Product=Elig!$C451,Elig_MatchAll_Ct&lt;22,$BC451=(Elig_MatchAll_Ct-1),AY451=0),AA451,0)</f>
        <v>0</v>
      </c>
      <c r="CG451" s="201">
        <f>IF(AND(Input_Product=Elig!$C451,Elig_MatchAll_Ct&lt;22,$BC451=(Elig_MatchAll_Ct-1),AZ451=0),AB451,0)</f>
        <v>0</v>
      </c>
      <c r="CH451" s="202">
        <f>IF(AND(Input_Product=Elig!$C451,Elig_MatchAll_Ct&lt;22,$BC451=(Elig_MatchAll_Ct-1),AZ451=0),AC451,0)</f>
        <v>0</v>
      </c>
      <c r="CI451" s="201">
        <f>IF(AND(Input_Product=Elig!$C451,Elig_MatchAll_Ct&lt;22,$BC451=(Elig_MatchAll_Ct-1),BA451=0),AD451,0)</f>
        <v>0</v>
      </c>
      <c r="CJ451" s="202">
        <f>IF(AND(Input_Product=Elig!$C451,Elig_MatchAll_Ct&lt;22,$BC451=(Elig_MatchAll_Ct-1),BA451=0),AE451,0)</f>
        <v>0</v>
      </c>
    </row>
    <row r="452" spans="2:88" ht="10.15" customHeight="1" x14ac:dyDescent="0.25">
      <c r="B452" s="287" t="s">
        <v>1148</v>
      </c>
      <c r="C452" s="291" t="str">
        <f t="shared" si="175"/>
        <v>NonQM NOO</v>
      </c>
      <c r="D452" s="292" t="s">
        <v>3885</v>
      </c>
      <c r="E452" s="292" t="s">
        <v>167</v>
      </c>
      <c r="F452" s="292" t="s">
        <v>330</v>
      </c>
      <c r="G452" s="324" t="s">
        <v>468</v>
      </c>
      <c r="H452" s="292" t="s">
        <v>136</v>
      </c>
      <c r="I452" s="292" t="s">
        <v>274</v>
      </c>
      <c r="J452" s="292" t="s">
        <v>1311</v>
      </c>
      <c r="K452" s="292" t="s">
        <v>1631</v>
      </c>
      <c r="L452" s="324" t="s">
        <v>312</v>
      </c>
      <c r="M452" s="292" t="s">
        <v>4203</v>
      </c>
      <c r="N452" s="292" t="s">
        <v>2685</v>
      </c>
      <c r="O452" s="292" t="s">
        <v>310</v>
      </c>
      <c r="P452" s="292" t="s">
        <v>291</v>
      </c>
      <c r="Q452" s="292" t="s">
        <v>294</v>
      </c>
      <c r="R452" s="292">
        <v>1500000.01</v>
      </c>
      <c r="S452" s="292">
        <v>2000000</v>
      </c>
      <c r="T452" s="292">
        <v>0</v>
      </c>
      <c r="U452" s="292">
        <v>0</v>
      </c>
      <c r="V452" s="292">
        <v>0</v>
      </c>
      <c r="W452" s="292">
        <v>50</v>
      </c>
      <c r="X452" s="292">
        <v>0</v>
      </c>
      <c r="Y452" s="292">
        <v>999</v>
      </c>
      <c r="Z452" s="293">
        <v>620</v>
      </c>
      <c r="AA452" s="293">
        <v>639</v>
      </c>
      <c r="AB452" s="293">
        <v>6</v>
      </c>
      <c r="AC452" s="293">
        <v>999999</v>
      </c>
      <c r="AD452" s="292">
        <v>0</v>
      </c>
      <c r="AE452" s="294">
        <v>-999</v>
      </c>
      <c r="AF452" s="170">
        <v>0</v>
      </c>
      <c r="AG452" s="171">
        <v>1</v>
      </c>
      <c r="AH452" s="171">
        <v>1</v>
      </c>
      <c r="AI452" s="171">
        <v>0</v>
      </c>
      <c r="AJ452" s="171">
        <v>0</v>
      </c>
      <c r="AK452" s="171">
        <v>1</v>
      </c>
      <c r="AL452" s="171">
        <v>0</v>
      </c>
      <c r="AM452" s="171">
        <v>1</v>
      </c>
      <c r="AN452" s="171">
        <v>1</v>
      </c>
      <c r="AO452" s="171">
        <v>1</v>
      </c>
      <c r="AP452" s="171">
        <v>1</v>
      </c>
      <c r="AQ452" s="171">
        <v>1</v>
      </c>
      <c r="AR452" s="171">
        <v>1</v>
      </c>
      <c r="AS452" s="171">
        <v>1</v>
      </c>
      <c r="AT452" s="171">
        <v>1</v>
      </c>
      <c r="AU452" s="171">
        <f t="shared" si="162"/>
        <v>0</v>
      </c>
      <c r="AV452" s="171">
        <f t="shared" si="163"/>
        <v>0</v>
      </c>
      <c r="AW452" s="171">
        <f t="shared" si="164"/>
        <v>1</v>
      </c>
      <c r="AX452" s="171">
        <f t="shared" si="173"/>
        <v>1</v>
      </c>
      <c r="AY452" s="171">
        <f t="shared" si="165"/>
        <v>0</v>
      </c>
      <c r="AZ452" s="171">
        <f t="shared" si="166"/>
        <v>1</v>
      </c>
      <c r="BA452" s="172">
        <f t="shared" si="167"/>
        <v>0</v>
      </c>
      <c r="BB452" s="175">
        <f t="shared" si="177"/>
        <v>14</v>
      </c>
      <c r="BC452" s="176">
        <f t="shared" si="178"/>
        <v>14</v>
      </c>
      <c r="BD452" s="176">
        <f t="shared" si="179"/>
        <v>14</v>
      </c>
      <c r="BE452" s="240" t="str">
        <f t="shared" si="161"/>
        <v/>
      </c>
      <c r="BH452" s="214">
        <f>IF(AND(Input_Product=Elig!$C452,Elig_MatchAll_Ct&lt;22,$BC452=(Elig_MatchAll_Ct-1),AF452=0),C452,0)</f>
        <v>0</v>
      </c>
      <c r="BI452" s="214">
        <f>IF(AND(Input_Product=Elig!$C452,Elig_MatchAll_Ct&lt;22,$BC452=(Elig_MatchAll_Ct-1),AG452=0),D452,0)</f>
        <v>0</v>
      </c>
      <c r="BJ452" s="214">
        <f>IF(AND(Input_Product=Elig!$C452,Elig_MatchAll_Ct&lt;22,$BC452=(Elig_MatchAll_Ct-1),AH452=0),E452,0)</f>
        <v>0</v>
      </c>
      <c r="BK452" s="214">
        <f>IF(AND(Input_Product=Elig!$C452,Elig_MatchAll_Ct&lt;22,$BC452=(Elig_MatchAll_Ct-1),AI452=0),F452,0)</f>
        <v>0</v>
      </c>
      <c r="BL452" s="214">
        <f>IF(AND(Input_Product=Elig!$C452,Elig_MatchAll_Ct&lt;22,$BC452=(Elig_MatchAll_Ct-1),AJ452=0),G452,0)</f>
        <v>0</v>
      </c>
      <c r="BM452" s="214">
        <f>IF(AND(Input_Product=Elig!$C452,Elig_MatchAll_Ct&lt;22,$BC452=(Elig_MatchAll_Ct-1),AK452=0),H452,0)</f>
        <v>0</v>
      </c>
      <c r="BN452" s="214">
        <f>IF(AND(Input_Product=Elig!$C452,Elig_MatchAll_Ct&lt;22,$BC452=(Elig_MatchAll_Ct-1),AL452=0),I452,0)</f>
        <v>0</v>
      </c>
      <c r="BO452" s="214">
        <f>IF(AND(Input_Product=Elig!$C452,Elig_MatchAll_Ct&lt;22,$BC452=(Elig_MatchAll_Ct-1),AM452=0),J452,0)</f>
        <v>0</v>
      </c>
      <c r="BP452" s="214">
        <f>IF(AND(Input_Product=Elig!$C452,Elig_MatchAll_Ct&lt;22,$BC452=(Elig_MatchAll_Ct-1),AN452=0),K452,0)</f>
        <v>0</v>
      </c>
      <c r="BQ452" s="214">
        <f>IF(AND(Input_Product=Elig!$C452,Elig_MatchAll_Ct&lt;22,$BC452=(Elig_MatchAll_Ct-1),AP452=0),L452,0)</f>
        <v>0</v>
      </c>
      <c r="BR452" s="214">
        <f>IF(AND(Input_Product=Elig!$C452,Elig_MatchAll_Ct&lt;22,$BC452=(Elig_MatchAll_Ct-1),AO452=0),M452,0)</f>
        <v>0</v>
      </c>
      <c r="BS452" s="214">
        <f>IF(AND(Input_Product=Elig!$C452,Elig_MatchAll_Ct&lt;22,$BC452=(Elig_MatchAll_Ct-1),AQ452=0),N452,0)</f>
        <v>0</v>
      </c>
      <c r="BT452" s="214">
        <f>IF(AND(Input_Product=Elig!$C452,Elig_MatchAll_Ct&lt;22,$BC452=(Elig_MatchAll_Ct-1),AR452=0),O452,0)</f>
        <v>0</v>
      </c>
      <c r="BU452" s="214">
        <f>IF(AND(Input_Product=Elig!$C452,Elig_MatchAll_Ct&lt;22,$BC452=(Elig_MatchAll_Ct-1),AS452=0),P452,0)</f>
        <v>0</v>
      </c>
      <c r="BV452" s="215">
        <f>IF(AND(Input_Product=Elig!$C452,Elig_MatchAll_Ct&lt;22,$BC452=(Elig_MatchAll_Ct-1),AT452=0),Q452,0)</f>
        <v>0</v>
      </c>
      <c r="BW452" s="207">
        <f>IF(AND(Input_Product=Elig!$C452,Elig_MatchAll_Ct&lt;22,$BC452=(Elig_MatchAll_Ct-1),AU452=0),R452,0)</f>
        <v>0</v>
      </c>
      <c r="BX452" s="208">
        <f>IF(AND(Input_Product=Elig!$C452,Elig_MatchAll_Ct&lt;22,$BC452=(Elig_MatchAll_Ct-1),AU452=0),S452,0)</f>
        <v>0</v>
      </c>
      <c r="BY452" s="207">
        <f>IF(AND(Input_Product=Elig!$C452,Elig_MatchAll_Ct&lt;22,$BC452=(Elig_MatchAll_Ct-1),AV452=0),T452,0)</f>
        <v>0</v>
      </c>
      <c r="BZ452" s="208">
        <f>IF(AND(Input_Product=Elig!$C452,Elig_MatchAll_Ct&lt;22,$BC452=(Elig_MatchAll_Ct-1),AV452=0),U452,0)</f>
        <v>0</v>
      </c>
      <c r="CA452" s="207">
        <f>IF(AND(Input_Product=Elig!$C452,Elig_MatchAll_Ct&lt;22,$BC452=(Elig_MatchAll_Ct-1),AW452=0),V452,0)</f>
        <v>0</v>
      </c>
      <c r="CB452" s="208">
        <f>IF(AND(Input_Product=Elig!$C452,Elig_MatchAll_Ct&lt;22,$BC452=(Elig_MatchAll_Ct-1),AW452=0),W452,0)</f>
        <v>0</v>
      </c>
      <c r="CC452" s="207">
        <f>IF(AND(Input_Product=Elig!$C452,Elig_MatchAll_Ct&lt;22,$BC452=(Elig_MatchAll_Ct-1),AX452=0),X452,0)</f>
        <v>0</v>
      </c>
      <c r="CD452" s="208">
        <f>IF(AND(Input_Product=Elig!$C452,Elig_MatchAll_Ct&lt;22,$BC452=(Elig_MatchAll_Ct-1),AX452=0),Y452,0)</f>
        <v>0</v>
      </c>
      <c r="CE452" s="207">
        <f>IF(AND(Input_LTV&lt;=AE452,Input_Product=Elig!$C452,Elig_MatchAll_Ct&lt;22,$BC452=(Elig_MatchAll_Ct-1),AY452=0),Z452,0)</f>
        <v>0</v>
      </c>
      <c r="CF452" s="208">
        <f>IF(AND(Input_LTV&lt;=AE452,Input_Product=Elig!$C452,Elig_MatchAll_Ct&lt;22,$BC452=(Elig_MatchAll_Ct-1),AY452=0),AA452,0)</f>
        <v>0</v>
      </c>
      <c r="CG452" s="207">
        <f>IF(AND(Input_Product=Elig!$C452,Elig_MatchAll_Ct&lt;22,$BC452=(Elig_MatchAll_Ct-1),AZ452=0),AB452,0)</f>
        <v>0</v>
      </c>
      <c r="CH452" s="208">
        <f>IF(AND(Input_Product=Elig!$C452,Elig_MatchAll_Ct&lt;22,$BC452=(Elig_MatchAll_Ct-1),AZ452=0),AC452,0)</f>
        <v>0</v>
      </c>
      <c r="CI452" s="207">
        <f>IF(AND(Input_Product=Elig!$C452,Elig_MatchAll_Ct&lt;22,$BC452=(Elig_MatchAll_Ct-1),BA452=0),AD452,0)</f>
        <v>0</v>
      </c>
      <c r="CJ452" s="209">
        <f>IF(AND(Input_Product=Elig!$C452,Elig_MatchAll_Ct&lt;22,$BC452=(Elig_MatchAll_Ct-1),BA452=0),AE452,0)</f>
        <v>0</v>
      </c>
    </row>
    <row r="453" spans="2:88" ht="10.15" customHeight="1" x14ac:dyDescent="0.25">
      <c r="B453" s="287" t="s">
        <v>1149</v>
      </c>
      <c r="C453" s="281" t="str">
        <f t="shared" si="175"/>
        <v>NonQM NOO</v>
      </c>
      <c r="D453" s="282" t="s">
        <v>3885</v>
      </c>
      <c r="E453" s="283" t="s">
        <v>167</v>
      </c>
      <c r="F453" s="283" t="s">
        <v>330</v>
      </c>
      <c r="G453" s="2103" t="s">
        <v>468</v>
      </c>
      <c r="H453" s="283" t="s">
        <v>136</v>
      </c>
      <c r="I453" s="282" t="s">
        <v>16</v>
      </c>
      <c r="J453" s="282" t="s">
        <v>1311</v>
      </c>
      <c r="K453" s="282" t="s">
        <v>1631</v>
      </c>
      <c r="L453" s="2103" t="s">
        <v>312</v>
      </c>
      <c r="M453" s="283" t="s">
        <v>4203</v>
      </c>
      <c r="N453" s="283" t="s">
        <v>2685</v>
      </c>
      <c r="O453" s="283" t="s">
        <v>310</v>
      </c>
      <c r="P453" s="283" t="s">
        <v>291</v>
      </c>
      <c r="Q453" s="283" t="s">
        <v>294</v>
      </c>
      <c r="R453" s="282">
        <v>1500000.01</v>
      </c>
      <c r="S453" s="282">
        <v>2000000</v>
      </c>
      <c r="T453" s="282">
        <v>0</v>
      </c>
      <c r="U453" s="282">
        <f t="shared" ref="U453:U458" si="180">S453</f>
        <v>2000000</v>
      </c>
      <c r="V453" s="282">
        <v>0</v>
      </c>
      <c r="W453" s="282">
        <v>50</v>
      </c>
      <c r="X453" s="282">
        <v>0</v>
      </c>
      <c r="Y453" s="282">
        <v>999</v>
      </c>
      <c r="Z453" s="284">
        <v>720</v>
      </c>
      <c r="AA453" s="284">
        <v>999</v>
      </c>
      <c r="AB453" s="284">
        <v>6</v>
      </c>
      <c r="AC453" s="284">
        <v>999999</v>
      </c>
      <c r="AD453" s="282">
        <v>0</v>
      </c>
      <c r="AE453" s="2104">
        <v>75</v>
      </c>
      <c r="AF453" s="170">
        <v>0</v>
      </c>
      <c r="AG453" s="171">
        <v>1</v>
      </c>
      <c r="AH453" s="171">
        <v>1</v>
      </c>
      <c r="AI453" s="171">
        <v>0</v>
      </c>
      <c r="AJ453" s="171">
        <v>0</v>
      </c>
      <c r="AK453" s="171">
        <v>1</v>
      </c>
      <c r="AL453" s="171">
        <v>1</v>
      </c>
      <c r="AM453" s="171">
        <v>1</v>
      </c>
      <c r="AN453" s="171">
        <v>1</v>
      </c>
      <c r="AO453" s="171">
        <v>1</v>
      </c>
      <c r="AP453" s="171">
        <v>1</v>
      </c>
      <c r="AQ453" s="171">
        <v>1</v>
      </c>
      <c r="AR453" s="171">
        <v>1</v>
      </c>
      <c r="AS453" s="171">
        <v>1</v>
      </c>
      <c r="AT453" s="171">
        <v>1</v>
      </c>
      <c r="AU453" s="171">
        <f t="shared" si="162"/>
        <v>0</v>
      </c>
      <c r="AV453" s="171">
        <f t="shared" si="163"/>
        <v>1</v>
      </c>
      <c r="AW453" s="171">
        <f t="shared" si="164"/>
        <v>1</v>
      </c>
      <c r="AX453" s="171">
        <f t="shared" si="173"/>
        <v>1</v>
      </c>
      <c r="AY453" s="171">
        <f t="shared" si="165"/>
        <v>1</v>
      </c>
      <c r="AZ453" s="171">
        <f t="shared" si="166"/>
        <v>1</v>
      </c>
      <c r="BA453" s="172">
        <f t="shared" si="167"/>
        <v>1</v>
      </c>
      <c r="BB453" s="175">
        <f t="shared" si="177"/>
        <v>18</v>
      </c>
      <c r="BC453" s="176">
        <f t="shared" si="178"/>
        <v>17</v>
      </c>
      <c r="BD453" s="176">
        <f t="shared" si="179"/>
        <v>18</v>
      </c>
      <c r="BE453" s="240" t="str">
        <f t="shared" si="161"/>
        <v/>
      </c>
      <c r="BH453" s="216">
        <f>IF(AND(Input_Product=Elig!$C453,Elig_MatchAll_Ct&lt;22,$BC453=(Elig_MatchAll_Ct-1),AF453=0),C453,0)</f>
        <v>0</v>
      </c>
      <c r="BI453" s="216">
        <f>IF(AND(Input_Product=Elig!$C453,Elig_MatchAll_Ct&lt;22,$BC453=(Elig_MatchAll_Ct-1),AG453=0),D453,0)</f>
        <v>0</v>
      </c>
      <c r="BJ453" s="216">
        <f>IF(AND(Input_Product=Elig!$C453,Elig_MatchAll_Ct&lt;22,$BC453=(Elig_MatchAll_Ct-1),AH453=0),E453,0)</f>
        <v>0</v>
      </c>
      <c r="BK453" s="216">
        <f>IF(AND(Input_Product=Elig!$C453,Elig_MatchAll_Ct&lt;22,$BC453=(Elig_MatchAll_Ct-1),AI453=0),F453,0)</f>
        <v>0</v>
      </c>
      <c r="BL453" s="216">
        <f>IF(AND(Input_Product=Elig!$C453,Elig_MatchAll_Ct&lt;22,$BC453=(Elig_MatchAll_Ct-1),AJ453=0),G453,0)</f>
        <v>0</v>
      </c>
      <c r="BM453" s="216">
        <f>IF(AND(Input_Product=Elig!$C453,Elig_MatchAll_Ct&lt;22,$BC453=(Elig_MatchAll_Ct-1),AK453=0),H453,0)</f>
        <v>0</v>
      </c>
      <c r="BN453" s="216">
        <f>IF(AND(Input_Product=Elig!$C453,Elig_MatchAll_Ct&lt;22,$BC453=(Elig_MatchAll_Ct-1),AL453=0),I453,0)</f>
        <v>0</v>
      </c>
      <c r="BO453" s="216">
        <f>IF(AND(Input_Product=Elig!$C453,Elig_MatchAll_Ct&lt;22,$BC453=(Elig_MatchAll_Ct-1),AM453=0),J453,0)</f>
        <v>0</v>
      </c>
      <c r="BP453" s="216">
        <f>IF(AND(Input_Product=Elig!$C453,Elig_MatchAll_Ct&lt;22,$BC453=(Elig_MatchAll_Ct-1),AN453=0),K453,0)</f>
        <v>0</v>
      </c>
      <c r="BQ453" s="216">
        <f>IF(AND(Input_Product=Elig!$C453,Elig_MatchAll_Ct&lt;22,$BC453=(Elig_MatchAll_Ct-1),AP453=0),L453,0)</f>
        <v>0</v>
      </c>
      <c r="BR453" s="216">
        <f>IF(AND(Input_Product=Elig!$C453,Elig_MatchAll_Ct&lt;22,$BC453=(Elig_MatchAll_Ct-1),AO453=0),M453,0)</f>
        <v>0</v>
      </c>
      <c r="BS453" s="216">
        <f>IF(AND(Input_Product=Elig!$C453,Elig_MatchAll_Ct&lt;22,$BC453=(Elig_MatchAll_Ct-1),AQ453=0),N453,0)</f>
        <v>0</v>
      </c>
      <c r="BT453" s="216">
        <f>IF(AND(Input_Product=Elig!$C453,Elig_MatchAll_Ct&lt;22,$BC453=(Elig_MatchAll_Ct-1),AR453=0),O453,0)</f>
        <v>0</v>
      </c>
      <c r="BU453" s="216">
        <f>IF(AND(Input_Product=Elig!$C453,Elig_MatchAll_Ct&lt;22,$BC453=(Elig_MatchAll_Ct-1),AS453=0),P453,0)</f>
        <v>0</v>
      </c>
      <c r="BV453" s="217">
        <f>IF(AND(Input_Product=Elig!$C453,Elig_MatchAll_Ct&lt;22,$BC453=(Elig_MatchAll_Ct-1),AT453=0),Q453,0)</f>
        <v>0</v>
      </c>
      <c r="BW453" s="218">
        <f>IF(AND(Input_Product=Elig!$C453,Elig_MatchAll_Ct&lt;22,$BC453=(Elig_MatchAll_Ct-1),AU453=0),R453,0)</f>
        <v>0</v>
      </c>
      <c r="BX453" s="219">
        <f>IF(AND(Input_Product=Elig!$C453,Elig_MatchAll_Ct&lt;22,$BC453=(Elig_MatchAll_Ct-1),AU453=0),S453,0)</f>
        <v>0</v>
      </c>
      <c r="BY453" s="218">
        <f>IF(AND(Input_Product=Elig!$C453,Elig_MatchAll_Ct&lt;22,$BC453=(Elig_MatchAll_Ct-1),AV453=0),T453,0)</f>
        <v>0</v>
      </c>
      <c r="BZ453" s="219">
        <f>IF(AND(Input_Product=Elig!$C453,Elig_MatchAll_Ct&lt;22,$BC453=(Elig_MatchAll_Ct-1),AV453=0),U453,0)</f>
        <v>0</v>
      </c>
      <c r="CA453" s="218">
        <f>IF(AND(Input_Product=Elig!$C453,Elig_MatchAll_Ct&lt;22,$BC453=(Elig_MatchAll_Ct-1),AW453=0),V453,0)</f>
        <v>0</v>
      </c>
      <c r="CB453" s="219">
        <f>IF(AND(Input_Product=Elig!$C453,Elig_MatchAll_Ct&lt;22,$BC453=(Elig_MatchAll_Ct-1),AW453=0),W453,0)</f>
        <v>0</v>
      </c>
      <c r="CC453" s="218">
        <f>IF(AND(Input_Product=Elig!$C453,Elig_MatchAll_Ct&lt;22,$BC453=(Elig_MatchAll_Ct-1),AX453=0),X453,0)</f>
        <v>0</v>
      </c>
      <c r="CD453" s="219">
        <f>IF(AND(Input_Product=Elig!$C453,Elig_MatchAll_Ct&lt;22,$BC453=(Elig_MatchAll_Ct-1),AX453=0),Y453,0)</f>
        <v>0</v>
      </c>
      <c r="CE453" s="218">
        <f>IF(AND(Input_LTV&lt;=AE453,Input_Product=Elig!$C453,Elig_MatchAll_Ct&lt;22,$BC453=(Elig_MatchAll_Ct-1),AY453=0),Z453,0)</f>
        <v>0</v>
      </c>
      <c r="CF453" s="219">
        <f>IF(AND(Input_LTV&lt;=AE453,Input_Product=Elig!$C453,Elig_MatchAll_Ct&lt;22,$BC453=(Elig_MatchAll_Ct-1),AY453=0),AA453,0)</f>
        <v>0</v>
      </c>
      <c r="CG453" s="218">
        <f>IF(AND(Input_Product=Elig!$C453,Elig_MatchAll_Ct&lt;22,$BC453=(Elig_MatchAll_Ct-1),AZ453=0),AB453,0)</f>
        <v>0</v>
      </c>
      <c r="CH453" s="219">
        <f>IF(AND(Input_Product=Elig!$C453,Elig_MatchAll_Ct&lt;22,$BC453=(Elig_MatchAll_Ct-1),AZ453=0),AC453,0)</f>
        <v>0</v>
      </c>
      <c r="CI453" s="218">
        <f>IF(AND(Input_Product=Elig!$C453,Elig_MatchAll_Ct&lt;22,$BC453=(Elig_MatchAll_Ct-1),BA453=0),AD453,0)</f>
        <v>0</v>
      </c>
      <c r="CJ453" s="219">
        <f>IF(AND(Input_Product=Elig!$C453,Elig_MatchAll_Ct&lt;22,$BC453=(Elig_MatchAll_Ct-1),BA453=0),AE453,0)</f>
        <v>0</v>
      </c>
    </row>
    <row r="454" spans="2:88" ht="10.15" customHeight="1" x14ac:dyDescent="0.25">
      <c r="B454" s="287" t="s">
        <v>1150</v>
      </c>
      <c r="C454" s="286" t="str">
        <f t="shared" si="175"/>
        <v>NonQM NOO</v>
      </c>
      <c r="D454" s="287" t="s">
        <v>3885</v>
      </c>
      <c r="E454" s="287" t="s">
        <v>167</v>
      </c>
      <c r="F454" s="287" t="s">
        <v>330</v>
      </c>
      <c r="G454" s="300" t="s">
        <v>468</v>
      </c>
      <c r="H454" s="287" t="s">
        <v>136</v>
      </c>
      <c r="I454" s="288" t="s">
        <v>16</v>
      </c>
      <c r="J454" s="288" t="s">
        <v>1311</v>
      </c>
      <c r="K454" s="288" t="s">
        <v>1631</v>
      </c>
      <c r="L454" s="300" t="s">
        <v>312</v>
      </c>
      <c r="M454" s="287" t="s">
        <v>4203</v>
      </c>
      <c r="N454" s="287" t="s">
        <v>2685</v>
      </c>
      <c r="O454" s="287" t="s">
        <v>310</v>
      </c>
      <c r="P454" s="287" t="s">
        <v>291</v>
      </c>
      <c r="Q454" s="287" t="s">
        <v>294</v>
      </c>
      <c r="R454" s="287">
        <v>1500000.01</v>
      </c>
      <c r="S454" s="287">
        <v>2000000</v>
      </c>
      <c r="T454" s="287">
        <v>0</v>
      </c>
      <c r="U454" s="287">
        <f t="shared" si="180"/>
        <v>2000000</v>
      </c>
      <c r="V454" s="287">
        <v>0</v>
      </c>
      <c r="W454" s="287">
        <v>50</v>
      </c>
      <c r="X454" s="287">
        <v>0</v>
      </c>
      <c r="Y454" s="287">
        <v>999</v>
      </c>
      <c r="Z454" s="289">
        <v>700</v>
      </c>
      <c r="AA454" s="289">
        <v>719</v>
      </c>
      <c r="AB454" s="289">
        <v>6</v>
      </c>
      <c r="AC454" s="289">
        <v>999999</v>
      </c>
      <c r="AD454" s="287">
        <v>0</v>
      </c>
      <c r="AE454" s="2105">
        <v>75</v>
      </c>
      <c r="AF454" s="170">
        <v>0</v>
      </c>
      <c r="AG454" s="171">
        <v>1</v>
      </c>
      <c r="AH454" s="171">
        <v>1</v>
      </c>
      <c r="AI454" s="171">
        <v>0</v>
      </c>
      <c r="AJ454" s="171">
        <v>0</v>
      </c>
      <c r="AK454" s="171">
        <v>1</v>
      </c>
      <c r="AL454" s="171">
        <v>1</v>
      </c>
      <c r="AM454" s="171">
        <v>1</v>
      </c>
      <c r="AN454" s="171">
        <v>1</v>
      </c>
      <c r="AO454" s="171">
        <v>1</v>
      </c>
      <c r="AP454" s="171">
        <v>1</v>
      </c>
      <c r="AQ454" s="171">
        <v>1</v>
      </c>
      <c r="AR454" s="171">
        <v>1</v>
      </c>
      <c r="AS454" s="171">
        <v>1</v>
      </c>
      <c r="AT454" s="171">
        <v>1</v>
      </c>
      <c r="AU454" s="171">
        <f t="shared" si="162"/>
        <v>0</v>
      </c>
      <c r="AV454" s="171">
        <f t="shared" si="163"/>
        <v>1</v>
      </c>
      <c r="AW454" s="171">
        <f t="shared" si="164"/>
        <v>1</v>
      </c>
      <c r="AX454" s="171">
        <f t="shared" si="173"/>
        <v>1</v>
      </c>
      <c r="AY454" s="171">
        <f t="shared" si="165"/>
        <v>0</v>
      </c>
      <c r="AZ454" s="171">
        <f t="shared" si="166"/>
        <v>1</v>
      </c>
      <c r="BA454" s="172">
        <f t="shared" si="167"/>
        <v>1</v>
      </c>
      <c r="BB454" s="175">
        <f t="shared" si="177"/>
        <v>17</v>
      </c>
      <c r="BC454" s="176">
        <f t="shared" si="178"/>
        <v>16</v>
      </c>
      <c r="BD454" s="176">
        <f t="shared" si="179"/>
        <v>17</v>
      </c>
      <c r="BE454" s="240" t="str">
        <f t="shared" si="161"/>
        <v/>
      </c>
      <c r="BH454" s="199">
        <f>IF(AND(Input_Product=Elig!$C454,Elig_MatchAll_Ct&lt;22,$BC454=(Elig_MatchAll_Ct-1),AF454=0),C454,0)</f>
        <v>0</v>
      </c>
      <c r="BI454" s="199">
        <f>IF(AND(Input_Product=Elig!$C454,Elig_MatchAll_Ct&lt;22,$BC454=(Elig_MatchAll_Ct-1),AG454=0),D454,0)</f>
        <v>0</v>
      </c>
      <c r="BJ454" s="199">
        <f>IF(AND(Input_Product=Elig!$C454,Elig_MatchAll_Ct&lt;22,$BC454=(Elig_MatchAll_Ct-1),AH454=0),E454,0)</f>
        <v>0</v>
      </c>
      <c r="BK454" s="199">
        <f>IF(AND(Input_Product=Elig!$C454,Elig_MatchAll_Ct&lt;22,$BC454=(Elig_MatchAll_Ct-1),AI454=0),F454,0)</f>
        <v>0</v>
      </c>
      <c r="BL454" s="199">
        <f>IF(AND(Input_Product=Elig!$C454,Elig_MatchAll_Ct&lt;22,$BC454=(Elig_MatchAll_Ct-1),AJ454=0),G454,0)</f>
        <v>0</v>
      </c>
      <c r="BM454" s="199">
        <f>IF(AND(Input_Product=Elig!$C454,Elig_MatchAll_Ct&lt;22,$BC454=(Elig_MatchAll_Ct-1),AK454=0),H454,0)</f>
        <v>0</v>
      </c>
      <c r="BN454" s="199">
        <f>IF(AND(Input_Product=Elig!$C454,Elig_MatchAll_Ct&lt;22,$BC454=(Elig_MatchAll_Ct-1),AL454=0),I454,0)</f>
        <v>0</v>
      </c>
      <c r="BO454" s="199">
        <f>IF(AND(Input_Product=Elig!$C454,Elig_MatchAll_Ct&lt;22,$BC454=(Elig_MatchAll_Ct-1),AM454=0),J454,0)</f>
        <v>0</v>
      </c>
      <c r="BP454" s="199">
        <f>IF(AND(Input_Product=Elig!$C454,Elig_MatchAll_Ct&lt;22,$BC454=(Elig_MatchAll_Ct-1),AN454=0),K454,0)</f>
        <v>0</v>
      </c>
      <c r="BQ454" s="199">
        <f>IF(AND(Input_Product=Elig!$C454,Elig_MatchAll_Ct&lt;22,$BC454=(Elig_MatchAll_Ct-1),AP454=0),L454,0)</f>
        <v>0</v>
      </c>
      <c r="BR454" s="199">
        <f>IF(AND(Input_Product=Elig!$C454,Elig_MatchAll_Ct&lt;22,$BC454=(Elig_MatchAll_Ct-1),AO454=0),M454,0)</f>
        <v>0</v>
      </c>
      <c r="BS454" s="199">
        <f>IF(AND(Input_Product=Elig!$C454,Elig_MatchAll_Ct&lt;22,$BC454=(Elig_MatchAll_Ct-1),AQ454=0),N454,0)</f>
        <v>0</v>
      </c>
      <c r="BT454" s="199">
        <f>IF(AND(Input_Product=Elig!$C454,Elig_MatchAll_Ct&lt;22,$BC454=(Elig_MatchAll_Ct-1),AR454=0),O454,0)</f>
        <v>0</v>
      </c>
      <c r="BU454" s="199">
        <f>IF(AND(Input_Product=Elig!$C454,Elig_MatchAll_Ct&lt;22,$BC454=(Elig_MatchAll_Ct-1),AS454=0),P454,0)</f>
        <v>0</v>
      </c>
      <c r="BV454" s="200">
        <f>IF(AND(Input_Product=Elig!$C454,Elig_MatchAll_Ct&lt;22,$BC454=(Elig_MatchAll_Ct-1),AT454=0),Q454,0)</f>
        <v>0</v>
      </c>
      <c r="BW454" s="201">
        <f>IF(AND(Input_Product=Elig!$C454,Elig_MatchAll_Ct&lt;22,$BC454=(Elig_MatchAll_Ct-1),AU454=0),R454,0)</f>
        <v>0</v>
      </c>
      <c r="BX454" s="202">
        <f>IF(AND(Input_Product=Elig!$C454,Elig_MatchAll_Ct&lt;22,$BC454=(Elig_MatchAll_Ct-1),AU454=0),S454,0)</f>
        <v>0</v>
      </c>
      <c r="BY454" s="201">
        <f>IF(AND(Input_Product=Elig!$C454,Elig_MatchAll_Ct&lt;22,$BC454=(Elig_MatchAll_Ct-1),AV454=0),T454,0)</f>
        <v>0</v>
      </c>
      <c r="BZ454" s="202">
        <f>IF(AND(Input_Product=Elig!$C454,Elig_MatchAll_Ct&lt;22,$BC454=(Elig_MatchAll_Ct-1),AV454=0),U454,0)</f>
        <v>0</v>
      </c>
      <c r="CA454" s="201">
        <f>IF(AND(Input_Product=Elig!$C454,Elig_MatchAll_Ct&lt;22,$BC454=(Elig_MatchAll_Ct-1),AW454=0),V454,0)</f>
        <v>0</v>
      </c>
      <c r="CB454" s="202">
        <f>IF(AND(Input_Product=Elig!$C454,Elig_MatchAll_Ct&lt;22,$BC454=(Elig_MatchAll_Ct-1),AW454=0),W454,0)</f>
        <v>0</v>
      </c>
      <c r="CC454" s="201">
        <f>IF(AND(Input_Product=Elig!$C454,Elig_MatchAll_Ct&lt;22,$BC454=(Elig_MatchAll_Ct-1),AX454=0),X454,0)</f>
        <v>0</v>
      </c>
      <c r="CD454" s="202">
        <f>IF(AND(Input_Product=Elig!$C454,Elig_MatchAll_Ct&lt;22,$BC454=(Elig_MatchAll_Ct-1),AX454=0),Y454,0)</f>
        <v>0</v>
      </c>
      <c r="CE454" s="201">
        <f>IF(AND(Input_LTV&lt;=AE454,Input_Product=Elig!$C454,Elig_MatchAll_Ct&lt;22,$BC454=(Elig_MatchAll_Ct-1),AY454=0),Z454,0)</f>
        <v>0</v>
      </c>
      <c r="CF454" s="202">
        <f>IF(AND(Input_LTV&lt;=AE454,Input_Product=Elig!$C454,Elig_MatchAll_Ct&lt;22,$BC454=(Elig_MatchAll_Ct-1),AY454=0),AA454,0)</f>
        <v>0</v>
      </c>
      <c r="CG454" s="201">
        <f>IF(AND(Input_Product=Elig!$C454,Elig_MatchAll_Ct&lt;22,$BC454=(Elig_MatchAll_Ct-1),AZ454=0),AB454,0)</f>
        <v>0</v>
      </c>
      <c r="CH454" s="202">
        <f>IF(AND(Input_Product=Elig!$C454,Elig_MatchAll_Ct&lt;22,$BC454=(Elig_MatchAll_Ct-1),AZ454=0),AC454,0)</f>
        <v>0</v>
      </c>
      <c r="CI454" s="201">
        <f>IF(AND(Input_Product=Elig!$C454,Elig_MatchAll_Ct&lt;22,$BC454=(Elig_MatchAll_Ct-1),BA454=0),AD454,0)</f>
        <v>0</v>
      </c>
      <c r="CJ454" s="202">
        <f>IF(AND(Input_Product=Elig!$C454,Elig_MatchAll_Ct&lt;22,$BC454=(Elig_MatchAll_Ct-1),BA454=0),AE454,0)</f>
        <v>0</v>
      </c>
    </row>
    <row r="455" spans="2:88" ht="10.15" customHeight="1" x14ac:dyDescent="0.25">
      <c r="B455" s="287" t="s">
        <v>1151</v>
      </c>
      <c r="C455" s="286" t="str">
        <f t="shared" si="175"/>
        <v>NonQM NOO</v>
      </c>
      <c r="D455" s="287" t="s">
        <v>3885</v>
      </c>
      <c r="E455" s="287" t="s">
        <v>167</v>
      </c>
      <c r="F455" s="287" t="s">
        <v>330</v>
      </c>
      <c r="G455" s="300" t="s">
        <v>468</v>
      </c>
      <c r="H455" s="287" t="s">
        <v>136</v>
      </c>
      <c r="I455" s="288" t="s">
        <v>16</v>
      </c>
      <c r="J455" s="288" t="s">
        <v>1311</v>
      </c>
      <c r="K455" s="288" t="s">
        <v>1631</v>
      </c>
      <c r="L455" s="300" t="s">
        <v>312</v>
      </c>
      <c r="M455" s="287" t="s">
        <v>4203</v>
      </c>
      <c r="N455" s="287" t="s">
        <v>2685</v>
      </c>
      <c r="O455" s="287" t="s">
        <v>310</v>
      </c>
      <c r="P455" s="287" t="s">
        <v>291</v>
      </c>
      <c r="Q455" s="287" t="s">
        <v>294</v>
      </c>
      <c r="R455" s="287">
        <v>1500000.01</v>
      </c>
      <c r="S455" s="287">
        <v>2000000</v>
      </c>
      <c r="T455" s="287">
        <v>0</v>
      </c>
      <c r="U455" s="287">
        <f t="shared" si="180"/>
        <v>2000000</v>
      </c>
      <c r="V455" s="287">
        <v>0</v>
      </c>
      <c r="W455" s="287">
        <v>50</v>
      </c>
      <c r="X455" s="287">
        <v>0</v>
      </c>
      <c r="Y455" s="287">
        <v>999</v>
      </c>
      <c r="Z455" s="289">
        <v>680</v>
      </c>
      <c r="AA455" s="289">
        <v>699</v>
      </c>
      <c r="AB455" s="289">
        <v>6</v>
      </c>
      <c r="AC455" s="289">
        <v>999999</v>
      </c>
      <c r="AD455" s="287">
        <v>0</v>
      </c>
      <c r="AE455" s="2105">
        <v>70</v>
      </c>
      <c r="AF455" s="170">
        <v>0</v>
      </c>
      <c r="AG455" s="171">
        <v>1</v>
      </c>
      <c r="AH455" s="171">
        <v>1</v>
      </c>
      <c r="AI455" s="171">
        <v>0</v>
      </c>
      <c r="AJ455" s="171">
        <v>0</v>
      </c>
      <c r="AK455" s="171">
        <v>1</v>
      </c>
      <c r="AL455" s="171">
        <v>1</v>
      </c>
      <c r="AM455" s="171">
        <v>1</v>
      </c>
      <c r="AN455" s="171">
        <v>1</v>
      </c>
      <c r="AO455" s="171">
        <v>1</v>
      </c>
      <c r="AP455" s="171">
        <v>1</v>
      </c>
      <c r="AQ455" s="171">
        <v>1</v>
      </c>
      <c r="AR455" s="171">
        <v>1</v>
      </c>
      <c r="AS455" s="171">
        <v>1</v>
      </c>
      <c r="AT455" s="171">
        <v>1</v>
      </c>
      <c r="AU455" s="171">
        <f t="shared" si="162"/>
        <v>0</v>
      </c>
      <c r="AV455" s="171">
        <f t="shared" si="163"/>
        <v>1</v>
      </c>
      <c r="AW455" s="171">
        <f t="shared" si="164"/>
        <v>1</v>
      </c>
      <c r="AX455" s="171">
        <f t="shared" si="173"/>
        <v>1</v>
      </c>
      <c r="AY455" s="171">
        <f t="shared" si="165"/>
        <v>0</v>
      </c>
      <c r="AZ455" s="171">
        <f t="shared" si="166"/>
        <v>1</v>
      </c>
      <c r="BA455" s="172">
        <f t="shared" si="167"/>
        <v>1</v>
      </c>
      <c r="BB455" s="175">
        <f t="shared" si="177"/>
        <v>17</v>
      </c>
      <c r="BC455" s="176">
        <f t="shared" si="178"/>
        <v>16</v>
      </c>
      <c r="BD455" s="176">
        <f t="shared" si="179"/>
        <v>17</v>
      </c>
      <c r="BE455" s="240" t="str">
        <f t="shared" ref="BE455:BE518" si="181">IF(BD455=21,C455,"")</f>
        <v/>
      </c>
      <c r="BH455" s="199">
        <f>IF(AND(Input_Product=Elig!$C455,Elig_MatchAll_Ct&lt;22,$BC455=(Elig_MatchAll_Ct-1),AF455=0),C455,0)</f>
        <v>0</v>
      </c>
      <c r="BI455" s="199">
        <f>IF(AND(Input_Product=Elig!$C455,Elig_MatchAll_Ct&lt;22,$BC455=(Elig_MatchAll_Ct-1),AG455=0),D455,0)</f>
        <v>0</v>
      </c>
      <c r="BJ455" s="199">
        <f>IF(AND(Input_Product=Elig!$C455,Elig_MatchAll_Ct&lt;22,$BC455=(Elig_MatchAll_Ct-1),AH455=0),E455,0)</f>
        <v>0</v>
      </c>
      <c r="BK455" s="199">
        <f>IF(AND(Input_Product=Elig!$C455,Elig_MatchAll_Ct&lt;22,$BC455=(Elig_MatchAll_Ct-1),AI455=0),F455,0)</f>
        <v>0</v>
      </c>
      <c r="BL455" s="199">
        <f>IF(AND(Input_Product=Elig!$C455,Elig_MatchAll_Ct&lt;22,$BC455=(Elig_MatchAll_Ct-1),AJ455=0),G455,0)</f>
        <v>0</v>
      </c>
      <c r="BM455" s="199">
        <f>IF(AND(Input_Product=Elig!$C455,Elig_MatchAll_Ct&lt;22,$BC455=(Elig_MatchAll_Ct-1),AK455=0),H455,0)</f>
        <v>0</v>
      </c>
      <c r="BN455" s="199">
        <f>IF(AND(Input_Product=Elig!$C455,Elig_MatchAll_Ct&lt;22,$BC455=(Elig_MatchAll_Ct-1),AL455=0),I455,0)</f>
        <v>0</v>
      </c>
      <c r="BO455" s="199">
        <f>IF(AND(Input_Product=Elig!$C455,Elig_MatchAll_Ct&lt;22,$BC455=(Elig_MatchAll_Ct-1),AM455=0),J455,0)</f>
        <v>0</v>
      </c>
      <c r="BP455" s="199">
        <f>IF(AND(Input_Product=Elig!$C455,Elig_MatchAll_Ct&lt;22,$BC455=(Elig_MatchAll_Ct-1),AN455=0),K455,0)</f>
        <v>0</v>
      </c>
      <c r="BQ455" s="199">
        <f>IF(AND(Input_Product=Elig!$C455,Elig_MatchAll_Ct&lt;22,$BC455=(Elig_MatchAll_Ct-1),AP455=0),L455,0)</f>
        <v>0</v>
      </c>
      <c r="BR455" s="199">
        <f>IF(AND(Input_Product=Elig!$C455,Elig_MatchAll_Ct&lt;22,$BC455=(Elig_MatchAll_Ct-1),AO455=0),M455,0)</f>
        <v>0</v>
      </c>
      <c r="BS455" s="199">
        <f>IF(AND(Input_Product=Elig!$C455,Elig_MatchAll_Ct&lt;22,$BC455=(Elig_MatchAll_Ct-1),AQ455=0),N455,0)</f>
        <v>0</v>
      </c>
      <c r="BT455" s="199">
        <f>IF(AND(Input_Product=Elig!$C455,Elig_MatchAll_Ct&lt;22,$BC455=(Elig_MatchAll_Ct-1),AR455=0),O455,0)</f>
        <v>0</v>
      </c>
      <c r="BU455" s="199">
        <f>IF(AND(Input_Product=Elig!$C455,Elig_MatchAll_Ct&lt;22,$BC455=(Elig_MatchAll_Ct-1),AS455=0),P455,0)</f>
        <v>0</v>
      </c>
      <c r="BV455" s="200">
        <f>IF(AND(Input_Product=Elig!$C455,Elig_MatchAll_Ct&lt;22,$BC455=(Elig_MatchAll_Ct-1),AT455=0),Q455,0)</f>
        <v>0</v>
      </c>
      <c r="BW455" s="201">
        <f>IF(AND(Input_Product=Elig!$C455,Elig_MatchAll_Ct&lt;22,$BC455=(Elig_MatchAll_Ct-1),AU455=0),R455,0)</f>
        <v>0</v>
      </c>
      <c r="BX455" s="202">
        <f>IF(AND(Input_Product=Elig!$C455,Elig_MatchAll_Ct&lt;22,$BC455=(Elig_MatchAll_Ct-1),AU455=0),S455,0)</f>
        <v>0</v>
      </c>
      <c r="BY455" s="201">
        <f>IF(AND(Input_Product=Elig!$C455,Elig_MatchAll_Ct&lt;22,$BC455=(Elig_MatchAll_Ct-1),AV455=0),T455,0)</f>
        <v>0</v>
      </c>
      <c r="BZ455" s="202">
        <f>IF(AND(Input_Product=Elig!$C455,Elig_MatchAll_Ct&lt;22,$BC455=(Elig_MatchAll_Ct-1),AV455=0),U455,0)</f>
        <v>0</v>
      </c>
      <c r="CA455" s="201">
        <f>IF(AND(Input_Product=Elig!$C455,Elig_MatchAll_Ct&lt;22,$BC455=(Elig_MatchAll_Ct-1),AW455=0),V455,0)</f>
        <v>0</v>
      </c>
      <c r="CB455" s="202">
        <f>IF(AND(Input_Product=Elig!$C455,Elig_MatchAll_Ct&lt;22,$BC455=(Elig_MatchAll_Ct-1),AW455=0),W455,0)</f>
        <v>0</v>
      </c>
      <c r="CC455" s="201">
        <f>IF(AND(Input_Product=Elig!$C455,Elig_MatchAll_Ct&lt;22,$BC455=(Elig_MatchAll_Ct-1),AX455=0),X455,0)</f>
        <v>0</v>
      </c>
      <c r="CD455" s="202">
        <f>IF(AND(Input_Product=Elig!$C455,Elig_MatchAll_Ct&lt;22,$BC455=(Elig_MatchAll_Ct-1),AX455=0),Y455,0)</f>
        <v>0</v>
      </c>
      <c r="CE455" s="201">
        <f>IF(AND(Input_LTV&lt;=AE455,Input_Product=Elig!$C455,Elig_MatchAll_Ct&lt;22,$BC455=(Elig_MatchAll_Ct-1),AY455=0),Z455,0)</f>
        <v>0</v>
      </c>
      <c r="CF455" s="202">
        <f>IF(AND(Input_LTV&lt;=AE455,Input_Product=Elig!$C455,Elig_MatchAll_Ct&lt;22,$BC455=(Elig_MatchAll_Ct-1),AY455=0),AA455,0)</f>
        <v>0</v>
      </c>
      <c r="CG455" s="201">
        <f>IF(AND(Input_Product=Elig!$C455,Elig_MatchAll_Ct&lt;22,$BC455=(Elig_MatchAll_Ct-1),AZ455=0),AB455,0)</f>
        <v>0</v>
      </c>
      <c r="CH455" s="202">
        <f>IF(AND(Input_Product=Elig!$C455,Elig_MatchAll_Ct&lt;22,$BC455=(Elig_MatchAll_Ct-1),AZ455=0),AC455,0)</f>
        <v>0</v>
      </c>
      <c r="CI455" s="201">
        <f>IF(AND(Input_Product=Elig!$C455,Elig_MatchAll_Ct&lt;22,$BC455=(Elig_MatchAll_Ct-1),BA455=0),AD455,0)</f>
        <v>0</v>
      </c>
      <c r="CJ455" s="202">
        <f>IF(AND(Input_Product=Elig!$C455,Elig_MatchAll_Ct&lt;22,$BC455=(Elig_MatchAll_Ct-1),BA455=0),AE455,0)</f>
        <v>0</v>
      </c>
    </row>
    <row r="456" spans="2:88" ht="10.15" customHeight="1" x14ac:dyDescent="0.25">
      <c r="B456" s="287" t="s">
        <v>1152</v>
      </c>
      <c r="C456" s="286" t="str">
        <f t="shared" si="175"/>
        <v>NonQM NOO</v>
      </c>
      <c r="D456" s="287" t="s">
        <v>3885</v>
      </c>
      <c r="E456" s="287" t="s">
        <v>167</v>
      </c>
      <c r="F456" s="287" t="s">
        <v>330</v>
      </c>
      <c r="G456" s="300" t="s">
        <v>468</v>
      </c>
      <c r="H456" s="287" t="s">
        <v>136</v>
      </c>
      <c r="I456" s="287" t="s">
        <v>16</v>
      </c>
      <c r="J456" s="287" t="s">
        <v>1311</v>
      </c>
      <c r="K456" s="287" t="s">
        <v>1631</v>
      </c>
      <c r="L456" s="300" t="s">
        <v>312</v>
      </c>
      <c r="M456" s="287" t="s">
        <v>4203</v>
      </c>
      <c r="N456" s="287" t="s">
        <v>2685</v>
      </c>
      <c r="O456" s="287" t="s">
        <v>310</v>
      </c>
      <c r="P456" s="287" t="s">
        <v>291</v>
      </c>
      <c r="Q456" s="287" t="s">
        <v>294</v>
      </c>
      <c r="R456" s="287">
        <v>1500000.01</v>
      </c>
      <c r="S456" s="287">
        <v>2000000</v>
      </c>
      <c r="T456" s="287">
        <v>0</v>
      </c>
      <c r="U456" s="287">
        <f t="shared" si="180"/>
        <v>2000000</v>
      </c>
      <c r="V456" s="287">
        <v>0</v>
      </c>
      <c r="W456" s="287">
        <v>50</v>
      </c>
      <c r="X456" s="287">
        <v>0</v>
      </c>
      <c r="Y456" s="287">
        <v>999</v>
      </c>
      <c r="Z456" s="289">
        <v>660</v>
      </c>
      <c r="AA456" s="289">
        <v>679</v>
      </c>
      <c r="AB456" s="289">
        <v>6</v>
      </c>
      <c r="AC456" s="289">
        <v>999999</v>
      </c>
      <c r="AD456" s="287">
        <v>0</v>
      </c>
      <c r="AE456" s="2105">
        <v>65</v>
      </c>
      <c r="AF456" s="170">
        <v>0</v>
      </c>
      <c r="AG456" s="171">
        <v>1</v>
      </c>
      <c r="AH456" s="171">
        <v>1</v>
      </c>
      <c r="AI456" s="171">
        <v>0</v>
      </c>
      <c r="AJ456" s="171">
        <v>0</v>
      </c>
      <c r="AK456" s="171">
        <v>1</v>
      </c>
      <c r="AL456" s="171">
        <v>1</v>
      </c>
      <c r="AM456" s="171">
        <v>1</v>
      </c>
      <c r="AN456" s="171">
        <v>1</v>
      </c>
      <c r="AO456" s="171">
        <v>1</v>
      </c>
      <c r="AP456" s="171">
        <v>1</v>
      </c>
      <c r="AQ456" s="171">
        <v>1</v>
      </c>
      <c r="AR456" s="171">
        <v>1</v>
      </c>
      <c r="AS456" s="171">
        <v>1</v>
      </c>
      <c r="AT456" s="171">
        <v>1</v>
      </c>
      <c r="AU456" s="171">
        <f t="shared" si="162"/>
        <v>0</v>
      </c>
      <c r="AV456" s="171">
        <f t="shared" si="163"/>
        <v>1</v>
      </c>
      <c r="AW456" s="171">
        <f t="shared" si="164"/>
        <v>1</v>
      </c>
      <c r="AX456" s="171">
        <f t="shared" si="173"/>
        <v>1</v>
      </c>
      <c r="AY456" s="171">
        <f t="shared" si="165"/>
        <v>0</v>
      </c>
      <c r="AZ456" s="171">
        <f t="shared" si="166"/>
        <v>1</v>
      </c>
      <c r="BA456" s="172">
        <f t="shared" si="167"/>
        <v>1</v>
      </c>
      <c r="BB456" s="175">
        <f t="shared" si="177"/>
        <v>17</v>
      </c>
      <c r="BC456" s="176">
        <f t="shared" si="178"/>
        <v>16</v>
      </c>
      <c r="BD456" s="176">
        <f t="shared" si="179"/>
        <v>17</v>
      </c>
      <c r="BE456" s="240" t="str">
        <f t="shared" si="181"/>
        <v/>
      </c>
      <c r="BH456" s="199">
        <f>IF(AND(Input_Product=Elig!$C456,Elig_MatchAll_Ct&lt;22,$BC456=(Elig_MatchAll_Ct-1),AF456=0),C456,0)</f>
        <v>0</v>
      </c>
      <c r="BI456" s="199">
        <f>IF(AND(Input_Product=Elig!$C456,Elig_MatchAll_Ct&lt;22,$BC456=(Elig_MatchAll_Ct-1),AG456=0),D456,0)</f>
        <v>0</v>
      </c>
      <c r="BJ456" s="199">
        <f>IF(AND(Input_Product=Elig!$C456,Elig_MatchAll_Ct&lt;22,$BC456=(Elig_MatchAll_Ct-1),AH456=0),E456,0)</f>
        <v>0</v>
      </c>
      <c r="BK456" s="199">
        <f>IF(AND(Input_Product=Elig!$C456,Elig_MatchAll_Ct&lt;22,$BC456=(Elig_MatchAll_Ct-1),AI456=0),F456,0)</f>
        <v>0</v>
      </c>
      <c r="BL456" s="199">
        <f>IF(AND(Input_Product=Elig!$C456,Elig_MatchAll_Ct&lt;22,$BC456=(Elig_MatchAll_Ct-1),AJ456=0),G456,0)</f>
        <v>0</v>
      </c>
      <c r="BM456" s="199">
        <f>IF(AND(Input_Product=Elig!$C456,Elig_MatchAll_Ct&lt;22,$BC456=(Elig_MatchAll_Ct-1),AK456=0),H456,0)</f>
        <v>0</v>
      </c>
      <c r="BN456" s="199">
        <f>IF(AND(Input_Product=Elig!$C456,Elig_MatchAll_Ct&lt;22,$BC456=(Elig_MatchAll_Ct-1),AL456=0),I456,0)</f>
        <v>0</v>
      </c>
      <c r="BO456" s="199">
        <f>IF(AND(Input_Product=Elig!$C456,Elig_MatchAll_Ct&lt;22,$BC456=(Elig_MatchAll_Ct-1),AM456=0),J456,0)</f>
        <v>0</v>
      </c>
      <c r="BP456" s="199">
        <f>IF(AND(Input_Product=Elig!$C456,Elig_MatchAll_Ct&lt;22,$BC456=(Elig_MatchAll_Ct-1),AN456=0),K456,0)</f>
        <v>0</v>
      </c>
      <c r="BQ456" s="199">
        <f>IF(AND(Input_Product=Elig!$C456,Elig_MatchAll_Ct&lt;22,$BC456=(Elig_MatchAll_Ct-1),AP456=0),L456,0)</f>
        <v>0</v>
      </c>
      <c r="BR456" s="199">
        <f>IF(AND(Input_Product=Elig!$C456,Elig_MatchAll_Ct&lt;22,$BC456=(Elig_MatchAll_Ct-1),AO456=0),M456,0)</f>
        <v>0</v>
      </c>
      <c r="BS456" s="199">
        <f>IF(AND(Input_Product=Elig!$C456,Elig_MatchAll_Ct&lt;22,$BC456=(Elig_MatchAll_Ct-1),AQ456=0),N456,0)</f>
        <v>0</v>
      </c>
      <c r="BT456" s="199">
        <f>IF(AND(Input_Product=Elig!$C456,Elig_MatchAll_Ct&lt;22,$BC456=(Elig_MatchAll_Ct-1),AR456=0),O456,0)</f>
        <v>0</v>
      </c>
      <c r="BU456" s="199">
        <f>IF(AND(Input_Product=Elig!$C456,Elig_MatchAll_Ct&lt;22,$BC456=(Elig_MatchAll_Ct-1),AS456=0),P456,0)</f>
        <v>0</v>
      </c>
      <c r="BV456" s="200">
        <f>IF(AND(Input_Product=Elig!$C456,Elig_MatchAll_Ct&lt;22,$BC456=(Elig_MatchAll_Ct-1),AT456=0),Q456,0)</f>
        <v>0</v>
      </c>
      <c r="BW456" s="201">
        <f>IF(AND(Input_Product=Elig!$C456,Elig_MatchAll_Ct&lt;22,$BC456=(Elig_MatchAll_Ct-1),AU456=0),R456,0)</f>
        <v>0</v>
      </c>
      <c r="BX456" s="202">
        <f>IF(AND(Input_Product=Elig!$C456,Elig_MatchAll_Ct&lt;22,$BC456=(Elig_MatchAll_Ct-1),AU456=0),S456,0)</f>
        <v>0</v>
      </c>
      <c r="BY456" s="201">
        <f>IF(AND(Input_Product=Elig!$C456,Elig_MatchAll_Ct&lt;22,$BC456=(Elig_MatchAll_Ct-1),AV456=0),T456,0)</f>
        <v>0</v>
      </c>
      <c r="BZ456" s="202">
        <f>IF(AND(Input_Product=Elig!$C456,Elig_MatchAll_Ct&lt;22,$BC456=(Elig_MatchAll_Ct-1),AV456=0),U456,0)</f>
        <v>0</v>
      </c>
      <c r="CA456" s="201">
        <f>IF(AND(Input_Product=Elig!$C456,Elig_MatchAll_Ct&lt;22,$BC456=(Elig_MatchAll_Ct-1),AW456=0),V456,0)</f>
        <v>0</v>
      </c>
      <c r="CB456" s="202">
        <f>IF(AND(Input_Product=Elig!$C456,Elig_MatchAll_Ct&lt;22,$BC456=(Elig_MatchAll_Ct-1),AW456=0),W456,0)</f>
        <v>0</v>
      </c>
      <c r="CC456" s="201">
        <f>IF(AND(Input_Product=Elig!$C456,Elig_MatchAll_Ct&lt;22,$BC456=(Elig_MatchAll_Ct-1),AX456=0),X456,0)</f>
        <v>0</v>
      </c>
      <c r="CD456" s="202">
        <f>IF(AND(Input_Product=Elig!$C456,Elig_MatchAll_Ct&lt;22,$BC456=(Elig_MatchAll_Ct-1),AX456=0),Y456,0)</f>
        <v>0</v>
      </c>
      <c r="CE456" s="201">
        <f>IF(AND(Input_LTV&lt;=AE456,Input_Product=Elig!$C456,Elig_MatchAll_Ct&lt;22,$BC456=(Elig_MatchAll_Ct-1),AY456=0),Z456,0)</f>
        <v>0</v>
      </c>
      <c r="CF456" s="202">
        <f>IF(AND(Input_LTV&lt;=AE456,Input_Product=Elig!$C456,Elig_MatchAll_Ct&lt;22,$BC456=(Elig_MatchAll_Ct-1),AY456=0),AA456,0)</f>
        <v>0</v>
      </c>
      <c r="CG456" s="201">
        <f>IF(AND(Input_Product=Elig!$C456,Elig_MatchAll_Ct&lt;22,$BC456=(Elig_MatchAll_Ct-1),AZ456=0),AB456,0)</f>
        <v>0</v>
      </c>
      <c r="CH456" s="202">
        <f>IF(AND(Input_Product=Elig!$C456,Elig_MatchAll_Ct&lt;22,$BC456=(Elig_MatchAll_Ct-1),AZ456=0),AC456,0)</f>
        <v>0</v>
      </c>
      <c r="CI456" s="201">
        <f>IF(AND(Input_Product=Elig!$C456,Elig_MatchAll_Ct&lt;22,$BC456=(Elig_MatchAll_Ct-1),BA456=0),AD456,0)</f>
        <v>0</v>
      </c>
      <c r="CJ456" s="202">
        <f>IF(AND(Input_Product=Elig!$C456,Elig_MatchAll_Ct&lt;22,$BC456=(Elig_MatchAll_Ct-1),BA456=0),AE456,0)</f>
        <v>0</v>
      </c>
    </row>
    <row r="457" spans="2:88" ht="10.15" customHeight="1" x14ac:dyDescent="0.25">
      <c r="B457" s="287" t="s">
        <v>1153</v>
      </c>
      <c r="C457" s="286" t="str">
        <f t="shared" si="175"/>
        <v>NonQM NOO</v>
      </c>
      <c r="D457" s="287" t="s">
        <v>3885</v>
      </c>
      <c r="E457" s="287" t="s">
        <v>167</v>
      </c>
      <c r="F457" s="287" t="s">
        <v>330</v>
      </c>
      <c r="G457" s="300" t="s">
        <v>468</v>
      </c>
      <c r="H457" s="287" t="s">
        <v>136</v>
      </c>
      <c r="I457" s="287" t="s">
        <v>16</v>
      </c>
      <c r="J457" s="287" t="s">
        <v>1311</v>
      </c>
      <c r="K457" s="287" t="s">
        <v>1631</v>
      </c>
      <c r="L457" s="300" t="s">
        <v>312</v>
      </c>
      <c r="M457" s="287" t="s">
        <v>4203</v>
      </c>
      <c r="N457" s="287" t="s">
        <v>2685</v>
      </c>
      <c r="O457" s="287" t="s">
        <v>310</v>
      </c>
      <c r="P457" s="287" t="s">
        <v>291</v>
      </c>
      <c r="Q457" s="287" t="s">
        <v>294</v>
      </c>
      <c r="R457" s="287">
        <v>1500000.01</v>
      </c>
      <c r="S457" s="287">
        <v>2000000</v>
      </c>
      <c r="T457" s="287">
        <v>0</v>
      </c>
      <c r="U457" s="287">
        <f t="shared" si="180"/>
        <v>2000000</v>
      </c>
      <c r="V457" s="287">
        <v>0</v>
      </c>
      <c r="W457" s="287">
        <v>50</v>
      </c>
      <c r="X457" s="287">
        <v>0</v>
      </c>
      <c r="Y457" s="287">
        <v>999</v>
      </c>
      <c r="Z457" s="289">
        <v>640</v>
      </c>
      <c r="AA457" s="289">
        <v>659</v>
      </c>
      <c r="AB457" s="289">
        <v>6</v>
      </c>
      <c r="AC457" s="289">
        <v>999999</v>
      </c>
      <c r="AD457" s="287">
        <v>0</v>
      </c>
      <c r="AE457" s="290">
        <v>-999</v>
      </c>
      <c r="AF457" s="170">
        <v>0</v>
      </c>
      <c r="AG457" s="171">
        <v>1</v>
      </c>
      <c r="AH457" s="171">
        <v>1</v>
      </c>
      <c r="AI457" s="171">
        <v>0</v>
      </c>
      <c r="AJ457" s="171">
        <v>0</v>
      </c>
      <c r="AK457" s="171">
        <v>1</v>
      </c>
      <c r="AL457" s="171">
        <v>1</v>
      </c>
      <c r="AM457" s="171">
        <v>1</v>
      </c>
      <c r="AN457" s="171">
        <v>1</v>
      </c>
      <c r="AO457" s="171">
        <v>1</v>
      </c>
      <c r="AP457" s="171">
        <v>1</v>
      </c>
      <c r="AQ457" s="171">
        <v>1</v>
      </c>
      <c r="AR457" s="171">
        <v>1</v>
      </c>
      <c r="AS457" s="171">
        <v>1</v>
      </c>
      <c r="AT457" s="171">
        <v>1</v>
      </c>
      <c r="AU457" s="171">
        <f t="shared" si="162"/>
        <v>0</v>
      </c>
      <c r="AV457" s="171">
        <f t="shared" si="163"/>
        <v>1</v>
      </c>
      <c r="AW457" s="171">
        <f t="shared" si="164"/>
        <v>1</v>
      </c>
      <c r="AX457" s="171">
        <f t="shared" si="173"/>
        <v>1</v>
      </c>
      <c r="AY457" s="171">
        <f t="shared" si="165"/>
        <v>0</v>
      </c>
      <c r="AZ457" s="171">
        <f t="shared" si="166"/>
        <v>1</v>
      </c>
      <c r="BA457" s="172">
        <f t="shared" si="167"/>
        <v>0</v>
      </c>
      <c r="BB457" s="175">
        <f t="shared" si="177"/>
        <v>16</v>
      </c>
      <c r="BC457" s="176">
        <f t="shared" si="178"/>
        <v>16</v>
      </c>
      <c r="BD457" s="176">
        <f t="shared" si="179"/>
        <v>16</v>
      </c>
      <c r="BE457" s="240" t="str">
        <f t="shared" si="181"/>
        <v/>
      </c>
      <c r="BH457" s="199">
        <f>IF(AND(Input_Product=Elig!$C457,Elig_MatchAll_Ct&lt;22,$BC457=(Elig_MatchAll_Ct-1),AF457=0),C457,0)</f>
        <v>0</v>
      </c>
      <c r="BI457" s="199">
        <f>IF(AND(Input_Product=Elig!$C457,Elig_MatchAll_Ct&lt;22,$BC457=(Elig_MatchAll_Ct-1),AG457=0),D457,0)</f>
        <v>0</v>
      </c>
      <c r="BJ457" s="199">
        <f>IF(AND(Input_Product=Elig!$C457,Elig_MatchAll_Ct&lt;22,$BC457=(Elig_MatchAll_Ct-1),AH457=0),E457,0)</f>
        <v>0</v>
      </c>
      <c r="BK457" s="199">
        <f>IF(AND(Input_Product=Elig!$C457,Elig_MatchAll_Ct&lt;22,$BC457=(Elig_MatchAll_Ct-1),AI457=0),F457,0)</f>
        <v>0</v>
      </c>
      <c r="BL457" s="199">
        <f>IF(AND(Input_Product=Elig!$C457,Elig_MatchAll_Ct&lt;22,$BC457=(Elig_MatchAll_Ct-1),AJ457=0),G457,0)</f>
        <v>0</v>
      </c>
      <c r="BM457" s="199">
        <f>IF(AND(Input_Product=Elig!$C457,Elig_MatchAll_Ct&lt;22,$BC457=(Elig_MatchAll_Ct-1),AK457=0),H457,0)</f>
        <v>0</v>
      </c>
      <c r="BN457" s="199">
        <f>IF(AND(Input_Product=Elig!$C457,Elig_MatchAll_Ct&lt;22,$BC457=(Elig_MatchAll_Ct-1),AL457=0),I457,0)</f>
        <v>0</v>
      </c>
      <c r="BO457" s="199">
        <f>IF(AND(Input_Product=Elig!$C457,Elig_MatchAll_Ct&lt;22,$BC457=(Elig_MatchAll_Ct-1),AM457=0),J457,0)</f>
        <v>0</v>
      </c>
      <c r="BP457" s="199">
        <f>IF(AND(Input_Product=Elig!$C457,Elig_MatchAll_Ct&lt;22,$BC457=(Elig_MatchAll_Ct-1),AN457=0),K457,0)</f>
        <v>0</v>
      </c>
      <c r="BQ457" s="199">
        <f>IF(AND(Input_Product=Elig!$C457,Elig_MatchAll_Ct&lt;22,$BC457=(Elig_MatchAll_Ct-1),AP457=0),L457,0)</f>
        <v>0</v>
      </c>
      <c r="BR457" s="199">
        <f>IF(AND(Input_Product=Elig!$C457,Elig_MatchAll_Ct&lt;22,$BC457=(Elig_MatchAll_Ct-1),AO457=0),M457,0)</f>
        <v>0</v>
      </c>
      <c r="BS457" s="199">
        <f>IF(AND(Input_Product=Elig!$C457,Elig_MatchAll_Ct&lt;22,$BC457=(Elig_MatchAll_Ct-1),AQ457=0),N457,0)</f>
        <v>0</v>
      </c>
      <c r="BT457" s="199">
        <f>IF(AND(Input_Product=Elig!$C457,Elig_MatchAll_Ct&lt;22,$BC457=(Elig_MatchAll_Ct-1),AR457=0),O457,0)</f>
        <v>0</v>
      </c>
      <c r="BU457" s="199">
        <f>IF(AND(Input_Product=Elig!$C457,Elig_MatchAll_Ct&lt;22,$BC457=(Elig_MatchAll_Ct-1),AS457=0),P457,0)</f>
        <v>0</v>
      </c>
      <c r="BV457" s="200">
        <f>IF(AND(Input_Product=Elig!$C457,Elig_MatchAll_Ct&lt;22,$BC457=(Elig_MatchAll_Ct-1),AT457=0),Q457,0)</f>
        <v>0</v>
      </c>
      <c r="BW457" s="201">
        <f>IF(AND(Input_Product=Elig!$C457,Elig_MatchAll_Ct&lt;22,$BC457=(Elig_MatchAll_Ct-1),AU457=0),R457,0)</f>
        <v>0</v>
      </c>
      <c r="BX457" s="202">
        <f>IF(AND(Input_Product=Elig!$C457,Elig_MatchAll_Ct&lt;22,$BC457=(Elig_MatchAll_Ct-1),AU457=0),S457,0)</f>
        <v>0</v>
      </c>
      <c r="BY457" s="201">
        <f>IF(AND(Input_Product=Elig!$C457,Elig_MatchAll_Ct&lt;22,$BC457=(Elig_MatchAll_Ct-1),AV457=0),T457,0)</f>
        <v>0</v>
      </c>
      <c r="BZ457" s="202">
        <f>IF(AND(Input_Product=Elig!$C457,Elig_MatchAll_Ct&lt;22,$BC457=(Elig_MatchAll_Ct-1),AV457=0),U457,0)</f>
        <v>0</v>
      </c>
      <c r="CA457" s="201">
        <f>IF(AND(Input_Product=Elig!$C457,Elig_MatchAll_Ct&lt;22,$BC457=(Elig_MatchAll_Ct-1),AW457=0),V457,0)</f>
        <v>0</v>
      </c>
      <c r="CB457" s="202">
        <f>IF(AND(Input_Product=Elig!$C457,Elig_MatchAll_Ct&lt;22,$BC457=(Elig_MatchAll_Ct-1),AW457=0),W457,0)</f>
        <v>0</v>
      </c>
      <c r="CC457" s="201">
        <f>IF(AND(Input_Product=Elig!$C457,Elig_MatchAll_Ct&lt;22,$BC457=(Elig_MatchAll_Ct-1),AX457=0),X457,0)</f>
        <v>0</v>
      </c>
      <c r="CD457" s="202">
        <f>IF(AND(Input_Product=Elig!$C457,Elig_MatchAll_Ct&lt;22,$BC457=(Elig_MatchAll_Ct-1),AX457=0),Y457,0)</f>
        <v>0</v>
      </c>
      <c r="CE457" s="201">
        <f>IF(AND(Input_LTV&lt;=AE457,Input_Product=Elig!$C457,Elig_MatchAll_Ct&lt;22,$BC457=(Elig_MatchAll_Ct-1),AY457=0),Z457,0)</f>
        <v>0</v>
      </c>
      <c r="CF457" s="202">
        <f>IF(AND(Input_LTV&lt;=AE457,Input_Product=Elig!$C457,Elig_MatchAll_Ct&lt;22,$BC457=(Elig_MatchAll_Ct-1),AY457=0),AA457,0)</f>
        <v>0</v>
      </c>
      <c r="CG457" s="201">
        <f>IF(AND(Input_Product=Elig!$C457,Elig_MatchAll_Ct&lt;22,$BC457=(Elig_MatchAll_Ct-1),AZ457=0),AB457,0)</f>
        <v>0</v>
      </c>
      <c r="CH457" s="202">
        <f>IF(AND(Input_Product=Elig!$C457,Elig_MatchAll_Ct&lt;22,$BC457=(Elig_MatchAll_Ct-1),AZ457=0),AC457,0)</f>
        <v>0</v>
      </c>
      <c r="CI457" s="201">
        <f>IF(AND(Input_Product=Elig!$C457,Elig_MatchAll_Ct&lt;22,$BC457=(Elig_MatchAll_Ct-1),BA457=0),AD457,0)</f>
        <v>0</v>
      </c>
      <c r="CJ457" s="202">
        <f>IF(AND(Input_Product=Elig!$C457,Elig_MatchAll_Ct&lt;22,$BC457=(Elig_MatchAll_Ct-1),BA457=0),AE457,0)</f>
        <v>0</v>
      </c>
    </row>
    <row r="458" spans="2:88" ht="10.15" customHeight="1" x14ac:dyDescent="0.25">
      <c r="B458" s="287" t="s">
        <v>1154</v>
      </c>
      <c r="C458" s="291" t="str">
        <f t="shared" si="175"/>
        <v>NonQM NOO</v>
      </c>
      <c r="D458" s="292" t="s">
        <v>3885</v>
      </c>
      <c r="E458" s="292" t="s">
        <v>167</v>
      </c>
      <c r="F458" s="292" t="s">
        <v>330</v>
      </c>
      <c r="G458" s="324" t="s">
        <v>468</v>
      </c>
      <c r="H458" s="292" t="s">
        <v>136</v>
      </c>
      <c r="I458" s="292" t="s">
        <v>16</v>
      </c>
      <c r="J458" s="292" t="s">
        <v>1311</v>
      </c>
      <c r="K458" s="292" t="s">
        <v>1631</v>
      </c>
      <c r="L458" s="324" t="s">
        <v>312</v>
      </c>
      <c r="M458" s="292" t="s">
        <v>4203</v>
      </c>
      <c r="N458" s="292" t="s">
        <v>2685</v>
      </c>
      <c r="O458" s="292" t="s">
        <v>310</v>
      </c>
      <c r="P458" s="292" t="s">
        <v>291</v>
      </c>
      <c r="Q458" s="292" t="s">
        <v>294</v>
      </c>
      <c r="R458" s="292">
        <v>1500000.01</v>
      </c>
      <c r="S458" s="292">
        <v>2000000</v>
      </c>
      <c r="T458" s="292">
        <v>0</v>
      </c>
      <c r="U458" s="292">
        <f t="shared" si="180"/>
        <v>2000000</v>
      </c>
      <c r="V458" s="292">
        <v>0</v>
      </c>
      <c r="W458" s="292">
        <v>50</v>
      </c>
      <c r="X458" s="292">
        <v>0</v>
      </c>
      <c r="Y458" s="292">
        <v>999</v>
      </c>
      <c r="Z458" s="293">
        <v>620</v>
      </c>
      <c r="AA458" s="293">
        <v>639</v>
      </c>
      <c r="AB458" s="293">
        <v>6</v>
      </c>
      <c r="AC458" s="293">
        <v>999999</v>
      </c>
      <c r="AD458" s="292">
        <v>0</v>
      </c>
      <c r="AE458" s="294">
        <v>-999</v>
      </c>
      <c r="AF458" s="170">
        <v>0</v>
      </c>
      <c r="AG458" s="171">
        <v>1</v>
      </c>
      <c r="AH458" s="171">
        <v>1</v>
      </c>
      <c r="AI458" s="171">
        <v>0</v>
      </c>
      <c r="AJ458" s="171">
        <v>0</v>
      </c>
      <c r="AK458" s="171">
        <v>1</v>
      </c>
      <c r="AL458" s="171">
        <v>1</v>
      </c>
      <c r="AM458" s="171">
        <v>1</v>
      </c>
      <c r="AN458" s="171">
        <v>1</v>
      </c>
      <c r="AO458" s="171">
        <v>1</v>
      </c>
      <c r="AP458" s="171">
        <v>1</v>
      </c>
      <c r="AQ458" s="171">
        <v>1</v>
      </c>
      <c r="AR458" s="171">
        <v>1</v>
      </c>
      <c r="AS458" s="171">
        <v>1</v>
      </c>
      <c r="AT458" s="171">
        <v>1</v>
      </c>
      <c r="AU458" s="171">
        <f t="shared" si="162"/>
        <v>0</v>
      </c>
      <c r="AV458" s="171">
        <f t="shared" si="163"/>
        <v>1</v>
      </c>
      <c r="AW458" s="171">
        <f t="shared" si="164"/>
        <v>1</v>
      </c>
      <c r="AX458" s="171">
        <f t="shared" si="173"/>
        <v>1</v>
      </c>
      <c r="AY458" s="171">
        <f t="shared" si="165"/>
        <v>0</v>
      </c>
      <c r="AZ458" s="171">
        <f t="shared" si="166"/>
        <v>1</v>
      </c>
      <c r="BA458" s="172">
        <f t="shared" si="167"/>
        <v>0</v>
      </c>
      <c r="BB458" s="175">
        <f t="shared" si="177"/>
        <v>16</v>
      </c>
      <c r="BC458" s="176">
        <f t="shared" si="178"/>
        <v>16</v>
      </c>
      <c r="BD458" s="176">
        <f t="shared" si="179"/>
        <v>16</v>
      </c>
      <c r="BE458" s="240" t="str">
        <f t="shared" si="181"/>
        <v/>
      </c>
      <c r="BH458" s="214">
        <f>IF(AND(Input_Product=Elig!$C458,Elig_MatchAll_Ct&lt;22,$BC458=(Elig_MatchAll_Ct-1),AF458=0),C458,0)</f>
        <v>0</v>
      </c>
      <c r="BI458" s="214">
        <f>IF(AND(Input_Product=Elig!$C458,Elig_MatchAll_Ct&lt;22,$BC458=(Elig_MatchAll_Ct-1),AG458=0),D458,0)</f>
        <v>0</v>
      </c>
      <c r="BJ458" s="214">
        <f>IF(AND(Input_Product=Elig!$C458,Elig_MatchAll_Ct&lt;22,$BC458=(Elig_MatchAll_Ct-1),AH458=0),E458,0)</f>
        <v>0</v>
      </c>
      <c r="BK458" s="214">
        <f>IF(AND(Input_Product=Elig!$C458,Elig_MatchAll_Ct&lt;22,$BC458=(Elig_MatchAll_Ct-1),AI458=0),F458,0)</f>
        <v>0</v>
      </c>
      <c r="BL458" s="214">
        <f>IF(AND(Input_Product=Elig!$C458,Elig_MatchAll_Ct&lt;22,$BC458=(Elig_MatchAll_Ct-1),AJ458=0),G458,0)</f>
        <v>0</v>
      </c>
      <c r="BM458" s="214">
        <f>IF(AND(Input_Product=Elig!$C458,Elig_MatchAll_Ct&lt;22,$BC458=(Elig_MatchAll_Ct-1),AK458=0),H458,0)</f>
        <v>0</v>
      </c>
      <c r="BN458" s="214">
        <f>IF(AND(Input_Product=Elig!$C458,Elig_MatchAll_Ct&lt;22,$BC458=(Elig_MatchAll_Ct-1),AL458=0),I458,0)</f>
        <v>0</v>
      </c>
      <c r="BO458" s="214">
        <f>IF(AND(Input_Product=Elig!$C458,Elig_MatchAll_Ct&lt;22,$BC458=(Elig_MatchAll_Ct-1),AM458=0),J458,0)</f>
        <v>0</v>
      </c>
      <c r="BP458" s="214">
        <f>IF(AND(Input_Product=Elig!$C458,Elig_MatchAll_Ct&lt;22,$BC458=(Elig_MatchAll_Ct-1),AN458=0),K458,0)</f>
        <v>0</v>
      </c>
      <c r="BQ458" s="214">
        <f>IF(AND(Input_Product=Elig!$C458,Elig_MatchAll_Ct&lt;22,$BC458=(Elig_MatchAll_Ct-1),AP458=0),L458,0)</f>
        <v>0</v>
      </c>
      <c r="BR458" s="214">
        <f>IF(AND(Input_Product=Elig!$C458,Elig_MatchAll_Ct&lt;22,$BC458=(Elig_MatchAll_Ct-1),AO458=0),M458,0)</f>
        <v>0</v>
      </c>
      <c r="BS458" s="214">
        <f>IF(AND(Input_Product=Elig!$C458,Elig_MatchAll_Ct&lt;22,$BC458=(Elig_MatchAll_Ct-1),AQ458=0),N458,0)</f>
        <v>0</v>
      </c>
      <c r="BT458" s="214">
        <f>IF(AND(Input_Product=Elig!$C458,Elig_MatchAll_Ct&lt;22,$BC458=(Elig_MatchAll_Ct-1),AR458=0),O458,0)</f>
        <v>0</v>
      </c>
      <c r="BU458" s="214">
        <f>IF(AND(Input_Product=Elig!$C458,Elig_MatchAll_Ct&lt;22,$BC458=(Elig_MatchAll_Ct-1),AS458=0),P458,0)</f>
        <v>0</v>
      </c>
      <c r="BV458" s="215">
        <f>IF(AND(Input_Product=Elig!$C458,Elig_MatchAll_Ct&lt;22,$BC458=(Elig_MatchAll_Ct-1),AT458=0),Q458,0)</f>
        <v>0</v>
      </c>
      <c r="BW458" s="207">
        <f>IF(AND(Input_Product=Elig!$C458,Elig_MatchAll_Ct&lt;22,$BC458=(Elig_MatchAll_Ct-1),AU458=0),R458,0)</f>
        <v>0</v>
      </c>
      <c r="BX458" s="208">
        <f>IF(AND(Input_Product=Elig!$C458,Elig_MatchAll_Ct&lt;22,$BC458=(Elig_MatchAll_Ct-1),AU458=0),S458,0)</f>
        <v>0</v>
      </c>
      <c r="BY458" s="207">
        <f>IF(AND(Input_Product=Elig!$C458,Elig_MatchAll_Ct&lt;22,$BC458=(Elig_MatchAll_Ct-1),AV458=0),T458,0)</f>
        <v>0</v>
      </c>
      <c r="BZ458" s="208">
        <f>IF(AND(Input_Product=Elig!$C458,Elig_MatchAll_Ct&lt;22,$BC458=(Elig_MatchAll_Ct-1),AV458=0),U458,0)</f>
        <v>0</v>
      </c>
      <c r="CA458" s="207">
        <f>IF(AND(Input_Product=Elig!$C458,Elig_MatchAll_Ct&lt;22,$BC458=(Elig_MatchAll_Ct-1),AW458=0),V458,0)</f>
        <v>0</v>
      </c>
      <c r="CB458" s="208">
        <f>IF(AND(Input_Product=Elig!$C458,Elig_MatchAll_Ct&lt;22,$BC458=(Elig_MatchAll_Ct-1),AW458=0),W458,0)</f>
        <v>0</v>
      </c>
      <c r="CC458" s="207">
        <f>IF(AND(Input_Product=Elig!$C458,Elig_MatchAll_Ct&lt;22,$BC458=(Elig_MatchAll_Ct-1),AX458=0),X458,0)</f>
        <v>0</v>
      </c>
      <c r="CD458" s="208">
        <f>IF(AND(Input_Product=Elig!$C458,Elig_MatchAll_Ct&lt;22,$BC458=(Elig_MatchAll_Ct-1),AX458=0),Y458,0)</f>
        <v>0</v>
      </c>
      <c r="CE458" s="207">
        <f>IF(AND(Input_LTV&lt;=AE458,Input_Product=Elig!$C458,Elig_MatchAll_Ct&lt;22,$BC458=(Elig_MatchAll_Ct-1),AY458=0),Z458,0)</f>
        <v>0</v>
      </c>
      <c r="CF458" s="208">
        <f>IF(AND(Input_LTV&lt;=AE458,Input_Product=Elig!$C458,Elig_MatchAll_Ct&lt;22,$BC458=(Elig_MatchAll_Ct-1),AY458=0),AA458,0)</f>
        <v>0</v>
      </c>
      <c r="CG458" s="207">
        <f>IF(AND(Input_Product=Elig!$C458,Elig_MatchAll_Ct&lt;22,$BC458=(Elig_MatchAll_Ct-1),AZ458=0),AB458,0)</f>
        <v>0</v>
      </c>
      <c r="CH458" s="208">
        <f>IF(AND(Input_Product=Elig!$C458,Elig_MatchAll_Ct&lt;22,$BC458=(Elig_MatchAll_Ct-1),AZ458=0),AC458,0)</f>
        <v>0</v>
      </c>
      <c r="CI458" s="207">
        <f>IF(AND(Input_Product=Elig!$C458,Elig_MatchAll_Ct&lt;22,$BC458=(Elig_MatchAll_Ct-1),BA458=0),AD458,0)</f>
        <v>0</v>
      </c>
      <c r="CJ458" s="209">
        <f>IF(AND(Input_Product=Elig!$C458,Elig_MatchAll_Ct&lt;22,$BC458=(Elig_MatchAll_Ct-1),BA458=0),AE458,0)</f>
        <v>0</v>
      </c>
    </row>
    <row r="459" spans="2:88" ht="10.15" customHeight="1" x14ac:dyDescent="0.25">
      <c r="B459" s="287" t="s">
        <v>1155</v>
      </c>
      <c r="C459" s="281" t="str">
        <f t="shared" si="175"/>
        <v>NonQM NOO</v>
      </c>
      <c r="D459" s="282" t="s">
        <v>3885</v>
      </c>
      <c r="E459" s="283" t="s">
        <v>167</v>
      </c>
      <c r="F459" s="283" t="s">
        <v>330</v>
      </c>
      <c r="G459" s="283" t="s">
        <v>179</v>
      </c>
      <c r="H459" s="283" t="s">
        <v>136</v>
      </c>
      <c r="I459" s="282" t="s">
        <v>274</v>
      </c>
      <c r="J459" s="282" t="s">
        <v>1311</v>
      </c>
      <c r="K459" s="282" t="s">
        <v>1631</v>
      </c>
      <c r="L459" s="2103" t="s">
        <v>312</v>
      </c>
      <c r="M459" s="283" t="s">
        <v>4203</v>
      </c>
      <c r="N459" s="283" t="s">
        <v>2685</v>
      </c>
      <c r="O459" s="283" t="s">
        <v>310</v>
      </c>
      <c r="P459" s="283" t="s">
        <v>291</v>
      </c>
      <c r="Q459" s="283" t="s">
        <v>294</v>
      </c>
      <c r="R459" s="282">
        <v>1500000.01</v>
      </c>
      <c r="S459" s="282">
        <v>2000000</v>
      </c>
      <c r="T459" s="282">
        <v>0</v>
      </c>
      <c r="U459" s="282">
        <v>0</v>
      </c>
      <c r="V459" s="282">
        <v>0</v>
      </c>
      <c r="W459" s="282">
        <v>50</v>
      </c>
      <c r="X459" s="282">
        <v>0</v>
      </c>
      <c r="Y459" s="282">
        <v>999</v>
      </c>
      <c r="Z459" s="284">
        <v>720</v>
      </c>
      <c r="AA459" s="284">
        <v>999</v>
      </c>
      <c r="AB459" s="284">
        <v>6</v>
      </c>
      <c r="AC459" s="284">
        <v>999999</v>
      </c>
      <c r="AD459" s="282">
        <v>0</v>
      </c>
      <c r="AE459" s="285">
        <v>70</v>
      </c>
      <c r="AF459" s="170">
        <v>0</v>
      </c>
      <c r="AG459" s="171">
        <v>1</v>
      </c>
      <c r="AH459" s="171">
        <v>1</v>
      </c>
      <c r="AI459" s="171">
        <v>0</v>
      </c>
      <c r="AJ459" s="171">
        <v>0</v>
      </c>
      <c r="AK459" s="171">
        <v>1</v>
      </c>
      <c r="AL459" s="171">
        <v>0</v>
      </c>
      <c r="AM459" s="171">
        <v>1</v>
      </c>
      <c r="AN459" s="171">
        <v>1</v>
      </c>
      <c r="AO459" s="171">
        <v>1</v>
      </c>
      <c r="AP459" s="171">
        <v>1</v>
      </c>
      <c r="AQ459" s="171">
        <v>1</v>
      </c>
      <c r="AR459" s="171">
        <v>1</v>
      </c>
      <c r="AS459" s="171">
        <v>1</v>
      </c>
      <c r="AT459" s="171">
        <v>1</v>
      </c>
      <c r="AU459" s="171">
        <f t="shared" si="162"/>
        <v>0</v>
      </c>
      <c r="AV459" s="171">
        <f t="shared" si="163"/>
        <v>0</v>
      </c>
      <c r="AW459" s="171">
        <f t="shared" si="164"/>
        <v>1</v>
      </c>
      <c r="AX459" s="171">
        <f t="shared" si="173"/>
        <v>1</v>
      </c>
      <c r="AY459" s="171">
        <f t="shared" si="165"/>
        <v>1</v>
      </c>
      <c r="AZ459" s="171">
        <f t="shared" si="166"/>
        <v>1</v>
      </c>
      <c r="BA459" s="172">
        <f t="shared" si="167"/>
        <v>1</v>
      </c>
      <c r="BB459" s="175">
        <f t="shared" si="169"/>
        <v>16</v>
      </c>
      <c r="BC459" s="176">
        <f t="shared" si="170"/>
        <v>15</v>
      </c>
      <c r="BD459" s="176">
        <f t="shared" si="171"/>
        <v>16</v>
      </c>
      <c r="BE459" s="240" t="str">
        <f t="shared" si="181"/>
        <v/>
      </c>
      <c r="BH459" s="216">
        <f>IF(AND(Input_Product=Elig!$C459,Elig_MatchAll_Ct&lt;22,$BC459=(Elig_MatchAll_Ct-1),AF459=0),C459,0)</f>
        <v>0</v>
      </c>
      <c r="BI459" s="216">
        <f>IF(AND(Input_Product=Elig!$C459,Elig_MatchAll_Ct&lt;22,$BC459=(Elig_MatchAll_Ct-1),AG459=0),D459,0)</f>
        <v>0</v>
      </c>
      <c r="BJ459" s="216">
        <f>IF(AND(Input_Product=Elig!$C459,Elig_MatchAll_Ct&lt;22,$BC459=(Elig_MatchAll_Ct-1),AH459=0),E459,0)</f>
        <v>0</v>
      </c>
      <c r="BK459" s="216">
        <f>IF(AND(Input_Product=Elig!$C459,Elig_MatchAll_Ct&lt;22,$BC459=(Elig_MatchAll_Ct-1),AI459=0),F459,0)</f>
        <v>0</v>
      </c>
      <c r="BL459" s="216">
        <f>IF(AND(Input_Product=Elig!$C459,Elig_MatchAll_Ct&lt;22,$BC459=(Elig_MatchAll_Ct-1),AJ459=0),G459,0)</f>
        <v>0</v>
      </c>
      <c r="BM459" s="216">
        <f>IF(AND(Input_Product=Elig!$C459,Elig_MatchAll_Ct&lt;22,$BC459=(Elig_MatchAll_Ct-1),AK459=0),H459,0)</f>
        <v>0</v>
      </c>
      <c r="BN459" s="216">
        <f>IF(AND(Input_Product=Elig!$C459,Elig_MatchAll_Ct&lt;22,$BC459=(Elig_MatchAll_Ct-1),AL459=0),I459,0)</f>
        <v>0</v>
      </c>
      <c r="BO459" s="216">
        <f>IF(AND(Input_Product=Elig!$C459,Elig_MatchAll_Ct&lt;22,$BC459=(Elig_MatchAll_Ct-1),AM459=0),J459,0)</f>
        <v>0</v>
      </c>
      <c r="BP459" s="216">
        <f>IF(AND(Input_Product=Elig!$C459,Elig_MatchAll_Ct&lt;22,$BC459=(Elig_MatchAll_Ct-1),AN459=0),K459,0)</f>
        <v>0</v>
      </c>
      <c r="BQ459" s="216">
        <f>IF(AND(Input_Product=Elig!$C459,Elig_MatchAll_Ct&lt;22,$BC459=(Elig_MatchAll_Ct-1),AP459=0),L459,0)</f>
        <v>0</v>
      </c>
      <c r="BR459" s="216">
        <f>IF(AND(Input_Product=Elig!$C459,Elig_MatchAll_Ct&lt;22,$BC459=(Elig_MatchAll_Ct-1),AO459=0),M459,0)</f>
        <v>0</v>
      </c>
      <c r="BS459" s="216">
        <f>IF(AND(Input_Product=Elig!$C459,Elig_MatchAll_Ct&lt;22,$BC459=(Elig_MatchAll_Ct-1),AQ459=0),N459,0)</f>
        <v>0</v>
      </c>
      <c r="BT459" s="216">
        <f>IF(AND(Input_Product=Elig!$C459,Elig_MatchAll_Ct&lt;22,$BC459=(Elig_MatchAll_Ct-1),AR459=0),O459,0)</f>
        <v>0</v>
      </c>
      <c r="BU459" s="216">
        <f>IF(AND(Input_Product=Elig!$C459,Elig_MatchAll_Ct&lt;22,$BC459=(Elig_MatchAll_Ct-1),AS459=0),P459,0)</f>
        <v>0</v>
      </c>
      <c r="BV459" s="217">
        <f>IF(AND(Input_Product=Elig!$C459,Elig_MatchAll_Ct&lt;22,$BC459=(Elig_MatchAll_Ct-1),AT459=0),Q459,0)</f>
        <v>0</v>
      </c>
      <c r="BW459" s="218">
        <f>IF(AND(Input_Product=Elig!$C459,Elig_MatchAll_Ct&lt;22,$BC459=(Elig_MatchAll_Ct-1),AU459=0),R459,0)</f>
        <v>0</v>
      </c>
      <c r="BX459" s="219">
        <f>IF(AND(Input_Product=Elig!$C459,Elig_MatchAll_Ct&lt;22,$BC459=(Elig_MatchAll_Ct-1),AU459=0),S459,0)</f>
        <v>0</v>
      </c>
      <c r="BY459" s="218">
        <f>IF(AND(Input_Product=Elig!$C459,Elig_MatchAll_Ct&lt;22,$BC459=(Elig_MatchAll_Ct-1),AV459=0),T459,0)</f>
        <v>0</v>
      </c>
      <c r="BZ459" s="219">
        <f>IF(AND(Input_Product=Elig!$C459,Elig_MatchAll_Ct&lt;22,$BC459=(Elig_MatchAll_Ct-1),AV459=0),U459,0)</f>
        <v>0</v>
      </c>
      <c r="CA459" s="218">
        <f>IF(AND(Input_Product=Elig!$C459,Elig_MatchAll_Ct&lt;22,$BC459=(Elig_MatchAll_Ct-1),AW459=0),V459,0)</f>
        <v>0</v>
      </c>
      <c r="CB459" s="219">
        <f>IF(AND(Input_Product=Elig!$C459,Elig_MatchAll_Ct&lt;22,$BC459=(Elig_MatchAll_Ct-1),AW459=0),W459,0)</f>
        <v>0</v>
      </c>
      <c r="CC459" s="218">
        <f>IF(AND(Input_Product=Elig!$C459,Elig_MatchAll_Ct&lt;22,$BC459=(Elig_MatchAll_Ct-1),AX459=0),X459,0)</f>
        <v>0</v>
      </c>
      <c r="CD459" s="219">
        <f>IF(AND(Input_Product=Elig!$C459,Elig_MatchAll_Ct&lt;22,$BC459=(Elig_MatchAll_Ct-1),AX459=0),Y459,0)</f>
        <v>0</v>
      </c>
      <c r="CE459" s="218">
        <f>IF(AND(Input_LTV&lt;=AE459,Input_Product=Elig!$C459,Elig_MatchAll_Ct&lt;22,$BC459=(Elig_MatchAll_Ct-1),AY459=0),Z459,0)</f>
        <v>0</v>
      </c>
      <c r="CF459" s="219">
        <f>IF(AND(Input_LTV&lt;=AE459,Input_Product=Elig!$C459,Elig_MatchAll_Ct&lt;22,$BC459=(Elig_MatchAll_Ct-1),AY459=0),AA459,0)</f>
        <v>0</v>
      </c>
      <c r="CG459" s="218">
        <f>IF(AND(Input_Product=Elig!$C459,Elig_MatchAll_Ct&lt;22,$BC459=(Elig_MatchAll_Ct-1),AZ459=0),AB459,0)</f>
        <v>0</v>
      </c>
      <c r="CH459" s="219">
        <f>IF(AND(Input_Product=Elig!$C459,Elig_MatchAll_Ct&lt;22,$BC459=(Elig_MatchAll_Ct-1),AZ459=0),AC459,0)</f>
        <v>0</v>
      </c>
      <c r="CI459" s="218">
        <f>IF(AND(Input_Product=Elig!$C459,Elig_MatchAll_Ct&lt;22,$BC459=(Elig_MatchAll_Ct-1),BA459=0),AD459,0)</f>
        <v>0</v>
      </c>
      <c r="CJ459" s="219">
        <f>IF(AND(Input_Product=Elig!$C459,Elig_MatchAll_Ct&lt;22,$BC459=(Elig_MatchAll_Ct-1),BA459=0),AE459,0)</f>
        <v>0</v>
      </c>
    </row>
    <row r="460" spans="2:88" ht="10.15" customHeight="1" x14ac:dyDescent="0.25">
      <c r="B460" s="287" t="s">
        <v>1156</v>
      </c>
      <c r="C460" s="286" t="str">
        <f t="shared" si="175"/>
        <v>NonQM NOO</v>
      </c>
      <c r="D460" s="287" t="s">
        <v>3885</v>
      </c>
      <c r="E460" s="287" t="s">
        <v>167</v>
      </c>
      <c r="F460" s="287" t="s">
        <v>330</v>
      </c>
      <c r="G460" s="287" t="s">
        <v>179</v>
      </c>
      <c r="H460" s="287" t="s">
        <v>136</v>
      </c>
      <c r="I460" s="288" t="s">
        <v>274</v>
      </c>
      <c r="J460" s="288" t="s">
        <v>1311</v>
      </c>
      <c r="K460" s="288" t="s">
        <v>1631</v>
      </c>
      <c r="L460" s="300" t="s">
        <v>312</v>
      </c>
      <c r="M460" s="287" t="s">
        <v>4203</v>
      </c>
      <c r="N460" s="287" t="s">
        <v>2685</v>
      </c>
      <c r="O460" s="287" t="s">
        <v>310</v>
      </c>
      <c r="P460" s="287" t="s">
        <v>291</v>
      </c>
      <c r="Q460" s="287" t="s">
        <v>294</v>
      </c>
      <c r="R460" s="287">
        <v>1500000.01</v>
      </c>
      <c r="S460" s="287">
        <v>2000000</v>
      </c>
      <c r="T460" s="287">
        <v>0</v>
      </c>
      <c r="U460" s="287">
        <v>0</v>
      </c>
      <c r="V460" s="287">
        <v>0</v>
      </c>
      <c r="W460" s="287">
        <v>50</v>
      </c>
      <c r="X460" s="287">
        <v>0</v>
      </c>
      <c r="Y460" s="287">
        <v>999</v>
      </c>
      <c r="Z460" s="289">
        <v>700</v>
      </c>
      <c r="AA460" s="289">
        <v>719</v>
      </c>
      <c r="AB460" s="289">
        <v>6</v>
      </c>
      <c r="AC460" s="289">
        <v>999999</v>
      </c>
      <c r="AD460" s="287">
        <v>0</v>
      </c>
      <c r="AE460" s="290">
        <v>65</v>
      </c>
      <c r="AF460" s="170">
        <v>0</v>
      </c>
      <c r="AG460" s="171">
        <v>1</v>
      </c>
      <c r="AH460" s="171">
        <v>1</v>
      </c>
      <c r="AI460" s="171">
        <v>0</v>
      </c>
      <c r="AJ460" s="171">
        <v>0</v>
      </c>
      <c r="AK460" s="171">
        <v>1</v>
      </c>
      <c r="AL460" s="171">
        <v>0</v>
      </c>
      <c r="AM460" s="171">
        <v>1</v>
      </c>
      <c r="AN460" s="171">
        <v>1</v>
      </c>
      <c r="AO460" s="171">
        <v>1</v>
      </c>
      <c r="AP460" s="171">
        <v>1</v>
      </c>
      <c r="AQ460" s="171">
        <v>1</v>
      </c>
      <c r="AR460" s="171">
        <v>1</v>
      </c>
      <c r="AS460" s="171">
        <v>1</v>
      </c>
      <c r="AT460" s="171">
        <v>1</v>
      </c>
      <c r="AU460" s="171">
        <f t="shared" si="162"/>
        <v>0</v>
      </c>
      <c r="AV460" s="171">
        <f t="shared" si="163"/>
        <v>0</v>
      </c>
      <c r="AW460" s="171">
        <f t="shared" si="164"/>
        <v>1</v>
      </c>
      <c r="AX460" s="171">
        <f t="shared" si="173"/>
        <v>1</v>
      </c>
      <c r="AY460" s="171">
        <f t="shared" si="165"/>
        <v>0</v>
      </c>
      <c r="AZ460" s="171">
        <f t="shared" si="166"/>
        <v>1</v>
      </c>
      <c r="BA460" s="172">
        <f t="shared" si="167"/>
        <v>1</v>
      </c>
      <c r="BB460" s="175">
        <f t="shared" si="169"/>
        <v>15</v>
      </c>
      <c r="BC460" s="176">
        <f t="shared" si="170"/>
        <v>14</v>
      </c>
      <c r="BD460" s="176">
        <f t="shared" si="171"/>
        <v>15</v>
      </c>
      <c r="BE460" s="240" t="str">
        <f t="shared" si="181"/>
        <v/>
      </c>
      <c r="BH460" s="199">
        <f>IF(AND(Input_Product=Elig!$C460,Elig_MatchAll_Ct&lt;22,$BC460=(Elig_MatchAll_Ct-1),AF460=0),C460,0)</f>
        <v>0</v>
      </c>
      <c r="BI460" s="199">
        <f>IF(AND(Input_Product=Elig!$C460,Elig_MatchAll_Ct&lt;22,$BC460=(Elig_MatchAll_Ct-1),AG460=0),D460,0)</f>
        <v>0</v>
      </c>
      <c r="BJ460" s="199">
        <f>IF(AND(Input_Product=Elig!$C460,Elig_MatchAll_Ct&lt;22,$BC460=(Elig_MatchAll_Ct-1),AH460=0),E460,0)</f>
        <v>0</v>
      </c>
      <c r="BK460" s="199">
        <f>IF(AND(Input_Product=Elig!$C460,Elig_MatchAll_Ct&lt;22,$BC460=(Elig_MatchAll_Ct-1),AI460=0),F460,0)</f>
        <v>0</v>
      </c>
      <c r="BL460" s="199">
        <f>IF(AND(Input_Product=Elig!$C460,Elig_MatchAll_Ct&lt;22,$BC460=(Elig_MatchAll_Ct-1),AJ460=0),G460,0)</f>
        <v>0</v>
      </c>
      <c r="BM460" s="199">
        <f>IF(AND(Input_Product=Elig!$C460,Elig_MatchAll_Ct&lt;22,$BC460=(Elig_MatchAll_Ct-1),AK460=0),H460,0)</f>
        <v>0</v>
      </c>
      <c r="BN460" s="199">
        <f>IF(AND(Input_Product=Elig!$C460,Elig_MatchAll_Ct&lt;22,$BC460=(Elig_MatchAll_Ct-1),AL460=0),I460,0)</f>
        <v>0</v>
      </c>
      <c r="BO460" s="199">
        <f>IF(AND(Input_Product=Elig!$C460,Elig_MatchAll_Ct&lt;22,$BC460=(Elig_MatchAll_Ct-1),AM460=0),J460,0)</f>
        <v>0</v>
      </c>
      <c r="BP460" s="199">
        <f>IF(AND(Input_Product=Elig!$C460,Elig_MatchAll_Ct&lt;22,$BC460=(Elig_MatchAll_Ct-1),AN460=0),K460,0)</f>
        <v>0</v>
      </c>
      <c r="BQ460" s="199">
        <f>IF(AND(Input_Product=Elig!$C460,Elig_MatchAll_Ct&lt;22,$BC460=(Elig_MatchAll_Ct-1),AP460=0),L460,0)</f>
        <v>0</v>
      </c>
      <c r="BR460" s="199">
        <f>IF(AND(Input_Product=Elig!$C460,Elig_MatchAll_Ct&lt;22,$BC460=(Elig_MatchAll_Ct-1),AO460=0),M460,0)</f>
        <v>0</v>
      </c>
      <c r="BS460" s="199">
        <f>IF(AND(Input_Product=Elig!$C460,Elig_MatchAll_Ct&lt;22,$BC460=(Elig_MatchAll_Ct-1),AQ460=0),N460,0)</f>
        <v>0</v>
      </c>
      <c r="BT460" s="199">
        <f>IF(AND(Input_Product=Elig!$C460,Elig_MatchAll_Ct&lt;22,$BC460=(Elig_MatchAll_Ct-1),AR460=0),O460,0)</f>
        <v>0</v>
      </c>
      <c r="BU460" s="199">
        <f>IF(AND(Input_Product=Elig!$C460,Elig_MatchAll_Ct&lt;22,$BC460=(Elig_MatchAll_Ct-1),AS460=0),P460,0)</f>
        <v>0</v>
      </c>
      <c r="BV460" s="200">
        <f>IF(AND(Input_Product=Elig!$C460,Elig_MatchAll_Ct&lt;22,$BC460=(Elig_MatchAll_Ct-1),AT460=0),Q460,0)</f>
        <v>0</v>
      </c>
      <c r="BW460" s="201">
        <f>IF(AND(Input_Product=Elig!$C460,Elig_MatchAll_Ct&lt;22,$BC460=(Elig_MatchAll_Ct-1),AU460=0),R460,0)</f>
        <v>0</v>
      </c>
      <c r="BX460" s="202">
        <f>IF(AND(Input_Product=Elig!$C460,Elig_MatchAll_Ct&lt;22,$BC460=(Elig_MatchAll_Ct-1),AU460=0),S460,0)</f>
        <v>0</v>
      </c>
      <c r="BY460" s="201">
        <f>IF(AND(Input_Product=Elig!$C460,Elig_MatchAll_Ct&lt;22,$BC460=(Elig_MatchAll_Ct-1),AV460=0),T460,0)</f>
        <v>0</v>
      </c>
      <c r="BZ460" s="202">
        <f>IF(AND(Input_Product=Elig!$C460,Elig_MatchAll_Ct&lt;22,$BC460=(Elig_MatchAll_Ct-1),AV460=0),U460,0)</f>
        <v>0</v>
      </c>
      <c r="CA460" s="201">
        <f>IF(AND(Input_Product=Elig!$C460,Elig_MatchAll_Ct&lt;22,$BC460=(Elig_MatchAll_Ct-1),AW460=0),V460,0)</f>
        <v>0</v>
      </c>
      <c r="CB460" s="202">
        <f>IF(AND(Input_Product=Elig!$C460,Elig_MatchAll_Ct&lt;22,$BC460=(Elig_MatchAll_Ct-1),AW460=0),W460,0)</f>
        <v>0</v>
      </c>
      <c r="CC460" s="201">
        <f>IF(AND(Input_Product=Elig!$C460,Elig_MatchAll_Ct&lt;22,$BC460=(Elig_MatchAll_Ct-1),AX460=0),X460,0)</f>
        <v>0</v>
      </c>
      <c r="CD460" s="202">
        <f>IF(AND(Input_Product=Elig!$C460,Elig_MatchAll_Ct&lt;22,$BC460=(Elig_MatchAll_Ct-1),AX460=0),Y460,0)</f>
        <v>0</v>
      </c>
      <c r="CE460" s="201">
        <f>IF(AND(Input_LTV&lt;=AE460,Input_Product=Elig!$C460,Elig_MatchAll_Ct&lt;22,$BC460=(Elig_MatchAll_Ct-1),AY460=0),Z460,0)</f>
        <v>0</v>
      </c>
      <c r="CF460" s="202">
        <f>IF(AND(Input_LTV&lt;=AE460,Input_Product=Elig!$C460,Elig_MatchAll_Ct&lt;22,$BC460=(Elig_MatchAll_Ct-1),AY460=0),AA460,0)</f>
        <v>0</v>
      </c>
      <c r="CG460" s="201">
        <f>IF(AND(Input_Product=Elig!$C460,Elig_MatchAll_Ct&lt;22,$BC460=(Elig_MatchAll_Ct-1),AZ460=0),AB460,0)</f>
        <v>0</v>
      </c>
      <c r="CH460" s="202">
        <f>IF(AND(Input_Product=Elig!$C460,Elig_MatchAll_Ct&lt;22,$BC460=(Elig_MatchAll_Ct-1),AZ460=0),AC460,0)</f>
        <v>0</v>
      </c>
      <c r="CI460" s="201">
        <f>IF(AND(Input_Product=Elig!$C460,Elig_MatchAll_Ct&lt;22,$BC460=(Elig_MatchAll_Ct-1),BA460=0),AD460,0)</f>
        <v>0</v>
      </c>
      <c r="CJ460" s="202">
        <f>IF(AND(Input_Product=Elig!$C460,Elig_MatchAll_Ct&lt;22,$BC460=(Elig_MatchAll_Ct-1),BA460=0),AE460,0)</f>
        <v>0</v>
      </c>
    </row>
    <row r="461" spans="2:88" ht="10.15" customHeight="1" x14ac:dyDescent="0.25">
      <c r="B461" s="287" t="s">
        <v>1157</v>
      </c>
      <c r="C461" s="286" t="str">
        <f t="shared" si="175"/>
        <v>NonQM NOO</v>
      </c>
      <c r="D461" s="287" t="s">
        <v>3885</v>
      </c>
      <c r="E461" s="287" t="s">
        <v>167</v>
      </c>
      <c r="F461" s="287" t="s">
        <v>330</v>
      </c>
      <c r="G461" s="287" t="s">
        <v>179</v>
      </c>
      <c r="H461" s="287" t="s">
        <v>136</v>
      </c>
      <c r="I461" s="288" t="s">
        <v>274</v>
      </c>
      <c r="J461" s="288" t="s">
        <v>1311</v>
      </c>
      <c r="K461" s="288" t="s">
        <v>1631</v>
      </c>
      <c r="L461" s="300" t="s">
        <v>312</v>
      </c>
      <c r="M461" s="287" t="s">
        <v>4203</v>
      </c>
      <c r="N461" s="287" t="s">
        <v>2685</v>
      </c>
      <c r="O461" s="287" t="s">
        <v>310</v>
      </c>
      <c r="P461" s="287" t="s">
        <v>291</v>
      </c>
      <c r="Q461" s="287" t="s">
        <v>294</v>
      </c>
      <c r="R461" s="287">
        <v>1500000.01</v>
      </c>
      <c r="S461" s="287">
        <v>2000000</v>
      </c>
      <c r="T461" s="287">
        <v>0</v>
      </c>
      <c r="U461" s="287">
        <v>0</v>
      </c>
      <c r="V461" s="287">
        <v>0</v>
      </c>
      <c r="W461" s="287">
        <v>50</v>
      </c>
      <c r="X461" s="287">
        <v>0</v>
      </c>
      <c r="Y461" s="287">
        <v>999</v>
      </c>
      <c r="Z461" s="289">
        <v>680</v>
      </c>
      <c r="AA461" s="289">
        <v>699</v>
      </c>
      <c r="AB461" s="289">
        <v>6</v>
      </c>
      <c r="AC461" s="289">
        <v>999999</v>
      </c>
      <c r="AD461" s="287">
        <v>0</v>
      </c>
      <c r="AE461" s="290">
        <v>65</v>
      </c>
      <c r="AF461" s="170">
        <v>0</v>
      </c>
      <c r="AG461" s="171">
        <v>1</v>
      </c>
      <c r="AH461" s="171">
        <v>1</v>
      </c>
      <c r="AI461" s="171">
        <v>0</v>
      </c>
      <c r="AJ461" s="171">
        <v>0</v>
      </c>
      <c r="AK461" s="171">
        <v>1</v>
      </c>
      <c r="AL461" s="171">
        <v>0</v>
      </c>
      <c r="AM461" s="171">
        <v>1</v>
      </c>
      <c r="AN461" s="171">
        <v>1</v>
      </c>
      <c r="AO461" s="171">
        <v>1</v>
      </c>
      <c r="AP461" s="171">
        <v>1</v>
      </c>
      <c r="AQ461" s="171">
        <v>1</v>
      </c>
      <c r="AR461" s="171">
        <v>1</v>
      </c>
      <c r="AS461" s="171">
        <v>1</v>
      </c>
      <c r="AT461" s="171">
        <v>1</v>
      </c>
      <c r="AU461" s="171">
        <f t="shared" si="162"/>
        <v>0</v>
      </c>
      <c r="AV461" s="171">
        <f t="shared" si="163"/>
        <v>0</v>
      </c>
      <c r="AW461" s="171">
        <f t="shared" si="164"/>
        <v>1</v>
      </c>
      <c r="AX461" s="171">
        <f t="shared" si="173"/>
        <v>1</v>
      </c>
      <c r="AY461" s="171">
        <f t="shared" si="165"/>
        <v>0</v>
      </c>
      <c r="AZ461" s="171">
        <f t="shared" si="166"/>
        <v>1</v>
      </c>
      <c r="BA461" s="172">
        <f t="shared" si="167"/>
        <v>1</v>
      </c>
      <c r="BB461" s="175">
        <f t="shared" si="169"/>
        <v>15</v>
      </c>
      <c r="BC461" s="176">
        <f t="shared" si="170"/>
        <v>14</v>
      </c>
      <c r="BD461" s="176">
        <f t="shared" si="171"/>
        <v>15</v>
      </c>
      <c r="BE461" s="240" t="str">
        <f t="shared" si="181"/>
        <v/>
      </c>
      <c r="BH461" s="199">
        <f>IF(AND(Input_Product=Elig!$C461,Elig_MatchAll_Ct&lt;22,$BC461=(Elig_MatchAll_Ct-1),AF461=0),C461,0)</f>
        <v>0</v>
      </c>
      <c r="BI461" s="199">
        <f>IF(AND(Input_Product=Elig!$C461,Elig_MatchAll_Ct&lt;22,$BC461=(Elig_MatchAll_Ct-1),AG461=0),D461,0)</f>
        <v>0</v>
      </c>
      <c r="BJ461" s="199">
        <f>IF(AND(Input_Product=Elig!$C461,Elig_MatchAll_Ct&lt;22,$BC461=(Elig_MatchAll_Ct-1),AH461=0),E461,0)</f>
        <v>0</v>
      </c>
      <c r="BK461" s="199">
        <f>IF(AND(Input_Product=Elig!$C461,Elig_MatchAll_Ct&lt;22,$BC461=(Elig_MatchAll_Ct-1),AI461=0),F461,0)</f>
        <v>0</v>
      </c>
      <c r="BL461" s="199">
        <f>IF(AND(Input_Product=Elig!$C461,Elig_MatchAll_Ct&lt;22,$BC461=(Elig_MatchAll_Ct-1),AJ461=0),G461,0)</f>
        <v>0</v>
      </c>
      <c r="BM461" s="199">
        <f>IF(AND(Input_Product=Elig!$C461,Elig_MatchAll_Ct&lt;22,$BC461=(Elig_MatchAll_Ct-1),AK461=0),H461,0)</f>
        <v>0</v>
      </c>
      <c r="BN461" s="199">
        <f>IF(AND(Input_Product=Elig!$C461,Elig_MatchAll_Ct&lt;22,$BC461=(Elig_MatchAll_Ct-1),AL461=0),I461,0)</f>
        <v>0</v>
      </c>
      <c r="BO461" s="199">
        <f>IF(AND(Input_Product=Elig!$C461,Elig_MatchAll_Ct&lt;22,$BC461=(Elig_MatchAll_Ct-1),AM461=0),J461,0)</f>
        <v>0</v>
      </c>
      <c r="BP461" s="199">
        <f>IF(AND(Input_Product=Elig!$C461,Elig_MatchAll_Ct&lt;22,$BC461=(Elig_MatchAll_Ct-1),AN461=0),K461,0)</f>
        <v>0</v>
      </c>
      <c r="BQ461" s="199">
        <f>IF(AND(Input_Product=Elig!$C461,Elig_MatchAll_Ct&lt;22,$BC461=(Elig_MatchAll_Ct-1),AP461=0),L461,0)</f>
        <v>0</v>
      </c>
      <c r="BR461" s="199">
        <f>IF(AND(Input_Product=Elig!$C461,Elig_MatchAll_Ct&lt;22,$BC461=(Elig_MatchAll_Ct-1),AO461=0),M461,0)</f>
        <v>0</v>
      </c>
      <c r="BS461" s="199">
        <f>IF(AND(Input_Product=Elig!$C461,Elig_MatchAll_Ct&lt;22,$BC461=(Elig_MatchAll_Ct-1),AQ461=0),N461,0)</f>
        <v>0</v>
      </c>
      <c r="BT461" s="199">
        <f>IF(AND(Input_Product=Elig!$C461,Elig_MatchAll_Ct&lt;22,$BC461=(Elig_MatchAll_Ct-1),AR461=0),O461,0)</f>
        <v>0</v>
      </c>
      <c r="BU461" s="199">
        <f>IF(AND(Input_Product=Elig!$C461,Elig_MatchAll_Ct&lt;22,$BC461=(Elig_MatchAll_Ct-1),AS461=0),P461,0)</f>
        <v>0</v>
      </c>
      <c r="BV461" s="200">
        <f>IF(AND(Input_Product=Elig!$C461,Elig_MatchAll_Ct&lt;22,$BC461=(Elig_MatchAll_Ct-1),AT461=0),Q461,0)</f>
        <v>0</v>
      </c>
      <c r="BW461" s="201">
        <f>IF(AND(Input_Product=Elig!$C461,Elig_MatchAll_Ct&lt;22,$BC461=(Elig_MatchAll_Ct-1),AU461=0),R461,0)</f>
        <v>0</v>
      </c>
      <c r="BX461" s="202">
        <f>IF(AND(Input_Product=Elig!$C461,Elig_MatchAll_Ct&lt;22,$BC461=(Elig_MatchAll_Ct-1),AU461=0),S461,0)</f>
        <v>0</v>
      </c>
      <c r="BY461" s="201">
        <f>IF(AND(Input_Product=Elig!$C461,Elig_MatchAll_Ct&lt;22,$BC461=(Elig_MatchAll_Ct-1),AV461=0),T461,0)</f>
        <v>0</v>
      </c>
      <c r="BZ461" s="202">
        <f>IF(AND(Input_Product=Elig!$C461,Elig_MatchAll_Ct&lt;22,$BC461=(Elig_MatchAll_Ct-1),AV461=0),U461,0)</f>
        <v>0</v>
      </c>
      <c r="CA461" s="201">
        <f>IF(AND(Input_Product=Elig!$C461,Elig_MatchAll_Ct&lt;22,$BC461=(Elig_MatchAll_Ct-1),AW461=0),V461,0)</f>
        <v>0</v>
      </c>
      <c r="CB461" s="202">
        <f>IF(AND(Input_Product=Elig!$C461,Elig_MatchAll_Ct&lt;22,$BC461=(Elig_MatchAll_Ct-1),AW461=0),W461,0)</f>
        <v>0</v>
      </c>
      <c r="CC461" s="201">
        <f>IF(AND(Input_Product=Elig!$C461,Elig_MatchAll_Ct&lt;22,$BC461=(Elig_MatchAll_Ct-1),AX461=0),X461,0)</f>
        <v>0</v>
      </c>
      <c r="CD461" s="202">
        <f>IF(AND(Input_Product=Elig!$C461,Elig_MatchAll_Ct&lt;22,$BC461=(Elig_MatchAll_Ct-1),AX461=0),Y461,0)</f>
        <v>0</v>
      </c>
      <c r="CE461" s="201">
        <f>IF(AND(Input_LTV&lt;=AE461,Input_Product=Elig!$C461,Elig_MatchAll_Ct&lt;22,$BC461=(Elig_MatchAll_Ct-1),AY461=0),Z461,0)</f>
        <v>0</v>
      </c>
      <c r="CF461" s="202">
        <f>IF(AND(Input_LTV&lt;=AE461,Input_Product=Elig!$C461,Elig_MatchAll_Ct&lt;22,$BC461=(Elig_MatchAll_Ct-1),AY461=0),AA461,0)</f>
        <v>0</v>
      </c>
      <c r="CG461" s="201">
        <f>IF(AND(Input_Product=Elig!$C461,Elig_MatchAll_Ct&lt;22,$BC461=(Elig_MatchAll_Ct-1),AZ461=0),AB461,0)</f>
        <v>0</v>
      </c>
      <c r="CH461" s="202">
        <f>IF(AND(Input_Product=Elig!$C461,Elig_MatchAll_Ct&lt;22,$BC461=(Elig_MatchAll_Ct-1),AZ461=0),AC461,0)</f>
        <v>0</v>
      </c>
      <c r="CI461" s="201">
        <f>IF(AND(Input_Product=Elig!$C461,Elig_MatchAll_Ct&lt;22,$BC461=(Elig_MatchAll_Ct-1),BA461=0),AD461,0)</f>
        <v>0</v>
      </c>
      <c r="CJ461" s="202">
        <f>IF(AND(Input_Product=Elig!$C461,Elig_MatchAll_Ct&lt;22,$BC461=(Elig_MatchAll_Ct-1),BA461=0),AE461,0)</f>
        <v>0</v>
      </c>
    </row>
    <row r="462" spans="2:88" ht="10.15" customHeight="1" x14ac:dyDescent="0.25">
      <c r="B462" s="287" t="s">
        <v>1158</v>
      </c>
      <c r="C462" s="286" t="str">
        <f t="shared" si="175"/>
        <v>NonQM NOO</v>
      </c>
      <c r="D462" s="287" t="s">
        <v>3885</v>
      </c>
      <c r="E462" s="287" t="s">
        <v>167</v>
      </c>
      <c r="F462" s="287" t="s">
        <v>330</v>
      </c>
      <c r="G462" s="287" t="s">
        <v>179</v>
      </c>
      <c r="H462" s="287" t="s">
        <v>136</v>
      </c>
      <c r="I462" s="288" t="s">
        <v>274</v>
      </c>
      <c r="J462" s="288" t="s">
        <v>1311</v>
      </c>
      <c r="K462" s="288" t="s">
        <v>1631</v>
      </c>
      <c r="L462" s="300" t="s">
        <v>312</v>
      </c>
      <c r="M462" s="287" t="s">
        <v>4203</v>
      </c>
      <c r="N462" s="287" t="s">
        <v>2685</v>
      </c>
      <c r="O462" s="287" t="s">
        <v>310</v>
      </c>
      <c r="P462" s="287" t="s">
        <v>291</v>
      </c>
      <c r="Q462" s="287" t="s">
        <v>294</v>
      </c>
      <c r="R462" s="287">
        <v>1500000.01</v>
      </c>
      <c r="S462" s="287">
        <v>2000000</v>
      </c>
      <c r="T462" s="287">
        <v>0</v>
      </c>
      <c r="U462" s="287">
        <v>0</v>
      </c>
      <c r="V462" s="287">
        <v>0</v>
      </c>
      <c r="W462" s="287">
        <v>50</v>
      </c>
      <c r="X462" s="287">
        <v>0</v>
      </c>
      <c r="Y462" s="287">
        <v>999</v>
      </c>
      <c r="Z462" s="289">
        <v>660</v>
      </c>
      <c r="AA462" s="289">
        <v>679</v>
      </c>
      <c r="AB462" s="289">
        <v>6</v>
      </c>
      <c r="AC462" s="289">
        <v>999999</v>
      </c>
      <c r="AD462" s="287">
        <v>0</v>
      </c>
      <c r="AE462" s="290">
        <v>65</v>
      </c>
      <c r="AF462" s="170">
        <v>0</v>
      </c>
      <c r="AG462" s="171">
        <v>1</v>
      </c>
      <c r="AH462" s="171">
        <v>1</v>
      </c>
      <c r="AI462" s="171">
        <v>0</v>
      </c>
      <c r="AJ462" s="171">
        <v>0</v>
      </c>
      <c r="AK462" s="171">
        <v>1</v>
      </c>
      <c r="AL462" s="171">
        <v>0</v>
      </c>
      <c r="AM462" s="171">
        <v>1</v>
      </c>
      <c r="AN462" s="171">
        <v>1</v>
      </c>
      <c r="AO462" s="171">
        <v>1</v>
      </c>
      <c r="AP462" s="171">
        <v>1</v>
      </c>
      <c r="AQ462" s="171">
        <v>1</v>
      </c>
      <c r="AR462" s="171">
        <v>1</v>
      </c>
      <c r="AS462" s="171">
        <v>1</v>
      </c>
      <c r="AT462" s="171">
        <v>1</v>
      </c>
      <c r="AU462" s="171">
        <f t="shared" si="162"/>
        <v>0</v>
      </c>
      <c r="AV462" s="171">
        <f t="shared" si="163"/>
        <v>0</v>
      </c>
      <c r="AW462" s="171">
        <f t="shared" si="164"/>
        <v>1</v>
      </c>
      <c r="AX462" s="171">
        <f t="shared" si="173"/>
        <v>1</v>
      </c>
      <c r="AY462" s="171">
        <f t="shared" si="165"/>
        <v>0</v>
      </c>
      <c r="AZ462" s="171">
        <f t="shared" si="166"/>
        <v>1</v>
      </c>
      <c r="BA462" s="172">
        <f t="shared" si="167"/>
        <v>1</v>
      </c>
      <c r="BB462" s="175">
        <f t="shared" si="169"/>
        <v>15</v>
      </c>
      <c r="BC462" s="176">
        <f t="shared" si="170"/>
        <v>14</v>
      </c>
      <c r="BD462" s="176">
        <f t="shared" si="171"/>
        <v>15</v>
      </c>
      <c r="BE462" s="240" t="str">
        <f t="shared" si="181"/>
        <v/>
      </c>
      <c r="BH462" s="199">
        <f>IF(AND(Input_Product=Elig!$C462,Elig_MatchAll_Ct&lt;22,$BC462=(Elig_MatchAll_Ct-1),AF462=0),C462,0)</f>
        <v>0</v>
      </c>
      <c r="BI462" s="199">
        <f>IF(AND(Input_Product=Elig!$C462,Elig_MatchAll_Ct&lt;22,$BC462=(Elig_MatchAll_Ct-1),AG462=0),D462,0)</f>
        <v>0</v>
      </c>
      <c r="BJ462" s="199">
        <f>IF(AND(Input_Product=Elig!$C462,Elig_MatchAll_Ct&lt;22,$BC462=(Elig_MatchAll_Ct-1),AH462=0),E462,0)</f>
        <v>0</v>
      </c>
      <c r="BK462" s="199">
        <f>IF(AND(Input_Product=Elig!$C462,Elig_MatchAll_Ct&lt;22,$BC462=(Elig_MatchAll_Ct-1),AI462=0),F462,0)</f>
        <v>0</v>
      </c>
      <c r="BL462" s="199">
        <f>IF(AND(Input_Product=Elig!$C462,Elig_MatchAll_Ct&lt;22,$BC462=(Elig_MatchAll_Ct-1),AJ462=0),G462,0)</f>
        <v>0</v>
      </c>
      <c r="BM462" s="199">
        <f>IF(AND(Input_Product=Elig!$C462,Elig_MatchAll_Ct&lt;22,$BC462=(Elig_MatchAll_Ct-1),AK462=0),H462,0)</f>
        <v>0</v>
      </c>
      <c r="BN462" s="199">
        <f>IF(AND(Input_Product=Elig!$C462,Elig_MatchAll_Ct&lt;22,$BC462=(Elig_MatchAll_Ct-1),AL462=0),I462,0)</f>
        <v>0</v>
      </c>
      <c r="BO462" s="199">
        <f>IF(AND(Input_Product=Elig!$C462,Elig_MatchAll_Ct&lt;22,$BC462=(Elig_MatchAll_Ct-1),AM462=0),J462,0)</f>
        <v>0</v>
      </c>
      <c r="BP462" s="199">
        <f>IF(AND(Input_Product=Elig!$C462,Elig_MatchAll_Ct&lt;22,$BC462=(Elig_MatchAll_Ct-1),AN462=0),K462,0)</f>
        <v>0</v>
      </c>
      <c r="BQ462" s="199">
        <f>IF(AND(Input_Product=Elig!$C462,Elig_MatchAll_Ct&lt;22,$BC462=(Elig_MatchAll_Ct-1),AP462=0),L462,0)</f>
        <v>0</v>
      </c>
      <c r="BR462" s="199">
        <f>IF(AND(Input_Product=Elig!$C462,Elig_MatchAll_Ct&lt;22,$BC462=(Elig_MatchAll_Ct-1),AO462=0),M462,0)</f>
        <v>0</v>
      </c>
      <c r="BS462" s="199">
        <f>IF(AND(Input_Product=Elig!$C462,Elig_MatchAll_Ct&lt;22,$BC462=(Elig_MatchAll_Ct-1),AQ462=0),N462,0)</f>
        <v>0</v>
      </c>
      <c r="BT462" s="199">
        <f>IF(AND(Input_Product=Elig!$C462,Elig_MatchAll_Ct&lt;22,$BC462=(Elig_MatchAll_Ct-1),AR462=0),O462,0)</f>
        <v>0</v>
      </c>
      <c r="BU462" s="199">
        <f>IF(AND(Input_Product=Elig!$C462,Elig_MatchAll_Ct&lt;22,$BC462=(Elig_MatchAll_Ct-1),AS462=0),P462,0)</f>
        <v>0</v>
      </c>
      <c r="BV462" s="200">
        <f>IF(AND(Input_Product=Elig!$C462,Elig_MatchAll_Ct&lt;22,$BC462=(Elig_MatchAll_Ct-1),AT462=0),Q462,0)</f>
        <v>0</v>
      </c>
      <c r="BW462" s="201">
        <f>IF(AND(Input_Product=Elig!$C462,Elig_MatchAll_Ct&lt;22,$BC462=(Elig_MatchAll_Ct-1),AU462=0),R462,0)</f>
        <v>0</v>
      </c>
      <c r="BX462" s="202">
        <f>IF(AND(Input_Product=Elig!$C462,Elig_MatchAll_Ct&lt;22,$BC462=(Elig_MatchAll_Ct-1),AU462=0),S462,0)</f>
        <v>0</v>
      </c>
      <c r="BY462" s="201">
        <f>IF(AND(Input_Product=Elig!$C462,Elig_MatchAll_Ct&lt;22,$BC462=(Elig_MatchAll_Ct-1),AV462=0),T462,0)</f>
        <v>0</v>
      </c>
      <c r="BZ462" s="202">
        <f>IF(AND(Input_Product=Elig!$C462,Elig_MatchAll_Ct&lt;22,$BC462=(Elig_MatchAll_Ct-1),AV462=0),U462,0)</f>
        <v>0</v>
      </c>
      <c r="CA462" s="201">
        <f>IF(AND(Input_Product=Elig!$C462,Elig_MatchAll_Ct&lt;22,$BC462=(Elig_MatchAll_Ct-1),AW462=0),V462,0)</f>
        <v>0</v>
      </c>
      <c r="CB462" s="202">
        <f>IF(AND(Input_Product=Elig!$C462,Elig_MatchAll_Ct&lt;22,$BC462=(Elig_MatchAll_Ct-1),AW462=0),W462,0)</f>
        <v>0</v>
      </c>
      <c r="CC462" s="201">
        <f>IF(AND(Input_Product=Elig!$C462,Elig_MatchAll_Ct&lt;22,$BC462=(Elig_MatchAll_Ct-1),AX462=0),X462,0)</f>
        <v>0</v>
      </c>
      <c r="CD462" s="202">
        <f>IF(AND(Input_Product=Elig!$C462,Elig_MatchAll_Ct&lt;22,$BC462=(Elig_MatchAll_Ct-1),AX462=0),Y462,0)</f>
        <v>0</v>
      </c>
      <c r="CE462" s="201">
        <f>IF(AND(Input_LTV&lt;=AE462,Input_Product=Elig!$C462,Elig_MatchAll_Ct&lt;22,$BC462=(Elig_MatchAll_Ct-1),AY462=0),Z462,0)</f>
        <v>0</v>
      </c>
      <c r="CF462" s="202">
        <f>IF(AND(Input_LTV&lt;=AE462,Input_Product=Elig!$C462,Elig_MatchAll_Ct&lt;22,$BC462=(Elig_MatchAll_Ct-1),AY462=0),AA462,0)</f>
        <v>0</v>
      </c>
      <c r="CG462" s="201">
        <f>IF(AND(Input_Product=Elig!$C462,Elig_MatchAll_Ct&lt;22,$BC462=(Elig_MatchAll_Ct-1),AZ462=0),AB462,0)</f>
        <v>0</v>
      </c>
      <c r="CH462" s="202">
        <f>IF(AND(Input_Product=Elig!$C462,Elig_MatchAll_Ct&lt;22,$BC462=(Elig_MatchAll_Ct-1),AZ462=0),AC462,0)</f>
        <v>0</v>
      </c>
      <c r="CI462" s="201">
        <f>IF(AND(Input_Product=Elig!$C462,Elig_MatchAll_Ct&lt;22,$BC462=(Elig_MatchAll_Ct-1),BA462=0),AD462,0)</f>
        <v>0</v>
      </c>
      <c r="CJ462" s="202">
        <f>IF(AND(Input_Product=Elig!$C462,Elig_MatchAll_Ct&lt;22,$BC462=(Elig_MatchAll_Ct-1),BA462=0),AE462,0)</f>
        <v>0</v>
      </c>
    </row>
    <row r="463" spans="2:88" ht="10.15" customHeight="1" x14ac:dyDescent="0.25">
      <c r="B463" s="287" t="s">
        <v>1159</v>
      </c>
      <c r="C463" s="286" t="str">
        <f t="shared" si="175"/>
        <v>NonQM NOO</v>
      </c>
      <c r="D463" s="287" t="s">
        <v>3885</v>
      </c>
      <c r="E463" s="287" t="s">
        <v>167</v>
      </c>
      <c r="F463" s="287" t="s">
        <v>330</v>
      </c>
      <c r="G463" s="287" t="s">
        <v>179</v>
      </c>
      <c r="H463" s="287" t="s">
        <v>136</v>
      </c>
      <c r="I463" s="288" t="s">
        <v>274</v>
      </c>
      <c r="J463" s="288" t="s">
        <v>1311</v>
      </c>
      <c r="K463" s="288" t="s">
        <v>1631</v>
      </c>
      <c r="L463" s="300" t="s">
        <v>312</v>
      </c>
      <c r="M463" s="287" t="s">
        <v>4203</v>
      </c>
      <c r="N463" s="287" t="s">
        <v>2685</v>
      </c>
      <c r="O463" s="287" t="s">
        <v>310</v>
      </c>
      <c r="P463" s="287" t="s">
        <v>291</v>
      </c>
      <c r="Q463" s="287" t="s">
        <v>294</v>
      </c>
      <c r="R463" s="287">
        <v>1500000.01</v>
      </c>
      <c r="S463" s="287">
        <v>2000000</v>
      </c>
      <c r="T463" s="287">
        <v>0</v>
      </c>
      <c r="U463" s="287">
        <v>0</v>
      </c>
      <c r="V463" s="287">
        <v>0</v>
      </c>
      <c r="W463" s="287">
        <v>50</v>
      </c>
      <c r="X463" s="287">
        <v>0</v>
      </c>
      <c r="Y463" s="287">
        <v>999</v>
      </c>
      <c r="Z463" s="289">
        <v>640</v>
      </c>
      <c r="AA463" s="289">
        <v>659</v>
      </c>
      <c r="AB463" s="289">
        <v>6</v>
      </c>
      <c r="AC463" s="289">
        <v>999999</v>
      </c>
      <c r="AD463" s="287">
        <v>0</v>
      </c>
      <c r="AE463" s="290">
        <v>-999</v>
      </c>
      <c r="AF463" s="170">
        <v>0</v>
      </c>
      <c r="AG463" s="171">
        <v>1</v>
      </c>
      <c r="AH463" s="171">
        <v>1</v>
      </c>
      <c r="AI463" s="171">
        <v>0</v>
      </c>
      <c r="AJ463" s="171">
        <v>0</v>
      </c>
      <c r="AK463" s="171">
        <v>1</v>
      </c>
      <c r="AL463" s="171">
        <v>0</v>
      </c>
      <c r="AM463" s="171">
        <v>1</v>
      </c>
      <c r="AN463" s="171">
        <v>1</v>
      </c>
      <c r="AO463" s="171">
        <v>1</v>
      </c>
      <c r="AP463" s="171">
        <v>1</v>
      </c>
      <c r="AQ463" s="171">
        <v>1</v>
      </c>
      <c r="AR463" s="171">
        <v>1</v>
      </c>
      <c r="AS463" s="171">
        <v>1</v>
      </c>
      <c r="AT463" s="171">
        <v>1</v>
      </c>
      <c r="AU463" s="171">
        <f t="shared" si="162"/>
        <v>0</v>
      </c>
      <c r="AV463" s="171">
        <f t="shared" si="163"/>
        <v>0</v>
      </c>
      <c r="AW463" s="171">
        <f t="shared" si="164"/>
        <v>1</v>
      </c>
      <c r="AX463" s="171">
        <f t="shared" si="173"/>
        <v>1</v>
      </c>
      <c r="AY463" s="171">
        <f t="shared" si="165"/>
        <v>0</v>
      </c>
      <c r="AZ463" s="171">
        <f t="shared" si="166"/>
        <v>1</v>
      </c>
      <c r="BA463" s="172">
        <f t="shared" si="167"/>
        <v>0</v>
      </c>
      <c r="BB463" s="175">
        <f t="shared" si="169"/>
        <v>14</v>
      </c>
      <c r="BC463" s="176">
        <f t="shared" si="170"/>
        <v>14</v>
      </c>
      <c r="BD463" s="176">
        <f t="shared" si="171"/>
        <v>14</v>
      </c>
      <c r="BE463" s="240" t="str">
        <f t="shared" si="181"/>
        <v/>
      </c>
      <c r="BH463" s="199">
        <f>IF(AND(Input_Product=Elig!$C463,Elig_MatchAll_Ct&lt;22,$BC463=(Elig_MatchAll_Ct-1),AF463=0),C463,0)</f>
        <v>0</v>
      </c>
      <c r="BI463" s="199">
        <f>IF(AND(Input_Product=Elig!$C463,Elig_MatchAll_Ct&lt;22,$BC463=(Elig_MatchAll_Ct-1),AG463=0),D463,0)</f>
        <v>0</v>
      </c>
      <c r="BJ463" s="199">
        <f>IF(AND(Input_Product=Elig!$C463,Elig_MatchAll_Ct&lt;22,$BC463=(Elig_MatchAll_Ct-1),AH463=0),E463,0)</f>
        <v>0</v>
      </c>
      <c r="BK463" s="199">
        <f>IF(AND(Input_Product=Elig!$C463,Elig_MatchAll_Ct&lt;22,$BC463=(Elig_MatchAll_Ct-1),AI463=0),F463,0)</f>
        <v>0</v>
      </c>
      <c r="BL463" s="199">
        <f>IF(AND(Input_Product=Elig!$C463,Elig_MatchAll_Ct&lt;22,$BC463=(Elig_MatchAll_Ct-1),AJ463=0),G463,0)</f>
        <v>0</v>
      </c>
      <c r="BM463" s="199">
        <f>IF(AND(Input_Product=Elig!$C463,Elig_MatchAll_Ct&lt;22,$BC463=(Elig_MatchAll_Ct-1),AK463=0),H463,0)</f>
        <v>0</v>
      </c>
      <c r="BN463" s="199">
        <f>IF(AND(Input_Product=Elig!$C463,Elig_MatchAll_Ct&lt;22,$BC463=(Elig_MatchAll_Ct-1),AL463=0),I463,0)</f>
        <v>0</v>
      </c>
      <c r="BO463" s="199">
        <f>IF(AND(Input_Product=Elig!$C463,Elig_MatchAll_Ct&lt;22,$BC463=(Elig_MatchAll_Ct-1),AM463=0),J463,0)</f>
        <v>0</v>
      </c>
      <c r="BP463" s="199">
        <f>IF(AND(Input_Product=Elig!$C463,Elig_MatchAll_Ct&lt;22,$BC463=(Elig_MatchAll_Ct-1),AN463=0),K463,0)</f>
        <v>0</v>
      </c>
      <c r="BQ463" s="199">
        <f>IF(AND(Input_Product=Elig!$C463,Elig_MatchAll_Ct&lt;22,$BC463=(Elig_MatchAll_Ct-1),AP463=0),L463,0)</f>
        <v>0</v>
      </c>
      <c r="BR463" s="199">
        <f>IF(AND(Input_Product=Elig!$C463,Elig_MatchAll_Ct&lt;22,$BC463=(Elig_MatchAll_Ct-1),AO463=0),M463,0)</f>
        <v>0</v>
      </c>
      <c r="BS463" s="199">
        <f>IF(AND(Input_Product=Elig!$C463,Elig_MatchAll_Ct&lt;22,$BC463=(Elig_MatchAll_Ct-1),AQ463=0),N463,0)</f>
        <v>0</v>
      </c>
      <c r="BT463" s="199">
        <f>IF(AND(Input_Product=Elig!$C463,Elig_MatchAll_Ct&lt;22,$BC463=(Elig_MatchAll_Ct-1),AR463=0),O463,0)</f>
        <v>0</v>
      </c>
      <c r="BU463" s="199">
        <f>IF(AND(Input_Product=Elig!$C463,Elig_MatchAll_Ct&lt;22,$BC463=(Elig_MatchAll_Ct-1),AS463=0),P463,0)</f>
        <v>0</v>
      </c>
      <c r="BV463" s="200">
        <f>IF(AND(Input_Product=Elig!$C463,Elig_MatchAll_Ct&lt;22,$BC463=(Elig_MatchAll_Ct-1),AT463=0),Q463,0)</f>
        <v>0</v>
      </c>
      <c r="BW463" s="201">
        <f>IF(AND(Input_Product=Elig!$C463,Elig_MatchAll_Ct&lt;22,$BC463=(Elig_MatchAll_Ct-1),AU463=0),R463,0)</f>
        <v>0</v>
      </c>
      <c r="BX463" s="202">
        <f>IF(AND(Input_Product=Elig!$C463,Elig_MatchAll_Ct&lt;22,$BC463=(Elig_MatchAll_Ct-1),AU463=0),S463,0)</f>
        <v>0</v>
      </c>
      <c r="BY463" s="201">
        <f>IF(AND(Input_Product=Elig!$C463,Elig_MatchAll_Ct&lt;22,$BC463=(Elig_MatchAll_Ct-1),AV463=0),T463,0)</f>
        <v>0</v>
      </c>
      <c r="BZ463" s="202">
        <f>IF(AND(Input_Product=Elig!$C463,Elig_MatchAll_Ct&lt;22,$BC463=(Elig_MatchAll_Ct-1),AV463=0),U463,0)</f>
        <v>0</v>
      </c>
      <c r="CA463" s="201">
        <f>IF(AND(Input_Product=Elig!$C463,Elig_MatchAll_Ct&lt;22,$BC463=(Elig_MatchAll_Ct-1),AW463=0),V463,0)</f>
        <v>0</v>
      </c>
      <c r="CB463" s="202">
        <f>IF(AND(Input_Product=Elig!$C463,Elig_MatchAll_Ct&lt;22,$BC463=(Elig_MatchAll_Ct-1),AW463=0),W463,0)</f>
        <v>0</v>
      </c>
      <c r="CC463" s="201">
        <f>IF(AND(Input_Product=Elig!$C463,Elig_MatchAll_Ct&lt;22,$BC463=(Elig_MatchAll_Ct-1),AX463=0),X463,0)</f>
        <v>0</v>
      </c>
      <c r="CD463" s="202">
        <f>IF(AND(Input_Product=Elig!$C463,Elig_MatchAll_Ct&lt;22,$BC463=(Elig_MatchAll_Ct-1),AX463=0),Y463,0)</f>
        <v>0</v>
      </c>
      <c r="CE463" s="201">
        <f>IF(AND(Input_LTV&lt;=AE463,Input_Product=Elig!$C463,Elig_MatchAll_Ct&lt;22,$BC463=(Elig_MatchAll_Ct-1),AY463=0),Z463,0)</f>
        <v>0</v>
      </c>
      <c r="CF463" s="202">
        <f>IF(AND(Input_LTV&lt;=AE463,Input_Product=Elig!$C463,Elig_MatchAll_Ct&lt;22,$BC463=(Elig_MatchAll_Ct-1),AY463=0),AA463,0)</f>
        <v>0</v>
      </c>
      <c r="CG463" s="201">
        <f>IF(AND(Input_Product=Elig!$C463,Elig_MatchAll_Ct&lt;22,$BC463=(Elig_MatchAll_Ct-1),AZ463=0),AB463,0)</f>
        <v>0</v>
      </c>
      <c r="CH463" s="202">
        <f>IF(AND(Input_Product=Elig!$C463,Elig_MatchAll_Ct&lt;22,$BC463=(Elig_MatchAll_Ct-1),AZ463=0),AC463,0)</f>
        <v>0</v>
      </c>
      <c r="CI463" s="201">
        <f>IF(AND(Input_Product=Elig!$C463,Elig_MatchAll_Ct&lt;22,$BC463=(Elig_MatchAll_Ct-1),BA463=0),AD463,0)</f>
        <v>0</v>
      </c>
      <c r="CJ463" s="202">
        <f>IF(AND(Input_Product=Elig!$C463,Elig_MatchAll_Ct&lt;22,$BC463=(Elig_MatchAll_Ct-1),BA463=0),AE463,0)</f>
        <v>0</v>
      </c>
    </row>
    <row r="464" spans="2:88" ht="10.15" customHeight="1" x14ac:dyDescent="0.25">
      <c r="B464" s="287" t="s">
        <v>1160</v>
      </c>
      <c r="C464" s="291" t="str">
        <f t="shared" si="175"/>
        <v>NonQM NOO</v>
      </c>
      <c r="D464" s="292" t="s">
        <v>3885</v>
      </c>
      <c r="E464" s="292" t="s">
        <v>167</v>
      </c>
      <c r="F464" s="292" t="s">
        <v>330</v>
      </c>
      <c r="G464" s="292" t="s">
        <v>179</v>
      </c>
      <c r="H464" s="292" t="s">
        <v>136</v>
      </c>
      <c r="I464" s="295" t="s">
        <v>274</v>
      </c>
      <c r="J464" s="295" t="s">
        <v>1311</v>
      </c>
      <c r="K464" s="295" t="s">
        <v>1631</v>
      </c>
      <c r="L464" s="324" t="s">
        <v>312</v>
      </c>
      <c r="M464" s="292" t="s">
        <v>4203</v>
      </c>
      <c r="N464" s="292" t="s">
        <v>2685</v>
      </c>
      <c r="O464" s="292" t="s">
        <v>310</v>
      </c>
      <c r="P464" s="292" t="s">
        <v>291</v>
      </c>
      <c r="Q464" s="292" t="s">
        <v>294</v>
      </c>
      <c r="R464" s="292">
        <v>1500000.01</v>
      </c>
      <c r="S464" s="292">
        <v>2000000</v>
      </c>
      <c r="T464" s="292">
        <v>0</v>
      </c>
      <c r="U464" s="292">
        <v>0</v>
      </c>
      <c r="V464" s="292">
        <v>0</v>
      </c>
      <c r="W464" s="292">
        <v>50</v>
      </c>
      <c r="X464" s="292">
        <v>0</v>
      </c>
      <c r="Y464" s="292">
        <v>999</v>
      </c>
      <c r="Z464" s="293">
        <v>620</v>
      </c>
      <c r="AA464" s="293">
        <v>639</v>
      </c>
      <c r="AB464" s="293">
        <v>6</v>
      </c>
      <c r="AC464" s="293">
        <v>999999</v>
      </c>
      <c r="AD464" s="292">
        <v>0</v>
      </c>
      <c r="AE464" s="294">
        <v>-999</v>
      </c>
      <c r="AF464" s="170">
        <v>0</v>
      </c>
      <c r="AG464" s="171">
        <v>1</v>
      </c>
      <c r="AH464" s="171">
        <v>1</v>
      </c>
      <c r="AI464" s="171">
        <v>0</v>
      </c>
      <c r="AJ464" s="171">
        <v>0</v>
      </c>
      <c r="AK464" s="171">
        <v>1</v>
      </c>
      <c r="AL464" s="171">
        <v>0</v>
      </c>
      <c r="AM464" s="171">
        <v>1</v>
      </c>
      <c r="AN464" s="171">
        <v>1</v>
      </c>
      <c r="AO464" s="171">
        <v>1</v>
      </c>
      <c r="AP464" s="171">
        <v>1</v>
      </c>
      <c r="AQ464" s="171">
        <v>1</v>
      </c>
      <c r="AR464" s="171">
        <v>1</v>
      </c>
      <c r="AS464" s="171">
        <v>1</v>
      </c>
      <c r="AT464" s="171">
        <v>1</v>
      </c>
      <c r="AU464" s="171">
        <f t="shared" si="162"/>
        <v>0</v>
      </c>
      <c r="AV464" s="171">
        <f t="shared" si="163"/>
        <v>0</v>
      </c>
      <c r="AW464" s="171">
        <f t="shared" si="164"/>
        <v>1</v>
      </c>
      <c r="AX464" s="171">
        <f t="shared" si="173"/>
        <v>1</v>
      </c>
      <c r="AY464" s="171">
        <f t="shared" si="165"/>
        <v>0</v>
      </c>
      <c r="AZ464" s="171">
        <f t="shared" si="166"/>
        <v>1</v>
      </c>
      <c r="BA464" s="172">
        <f t="shared" si="167"/>
        <v>0</v>
      </c>
      <c r="BB464" s="175">
        <f t="shared" si="169"/>
        <v>14</v>
      </c>
      <c r="BC464" s="176">
        <f t="shared" si="170"/>
        <v>14</v>
      </c>
      <c r="BD464" s="176">
        <f t="shared" si="171"/>
        <v>14</v>
      </c>
      <c r="BE464" s="240" t="str">
        <f t="shared" si="181"/>
        <v/>
      </c>
      <c r="BH464" s="214">
        <f>IF(AND(Input_Product=Elig!$C464,Elig_MatchAll_Ct&lt;22,$BC464=(Elig_MatchAll_Ct-1),AF464=0),C464,0)</f>
        <v>0</v>
      </c>
      <c r="BI464" s="214">
        <f>IF(AND(Input_Product=Elig!$C464,Elig_MatchAll_Ct&lt;22,$BC464=(Elig_MatchAll_Ct-1),AG464=0),D464,0)</f>
        <v>0</v>
      </c>
      <c r="BJ464" s="214">
        <f>IF(AND(Input_Product=Elig!$C464,Elig_MatchAll_Ct&lt;22,$BC464=(Elig_MatchAll_Ct-1),AH464=0),E464,0)</f>
        <v>0</v>
      </c>
      <c r="BK464" s="214">
        <f>IF(AND(Input_Product=Elig!$C464,Elig_MatchAll_Ct&lt;22,$BC464=(Elig_MatchAll_Ct-1),AI464=0),F464,0)</f>
        <v>0</v>
      </c>
      <c r="BL464" s="214">
        <f>IF(AND(Input_Product=Elig!$C464,Elig_MatchAll_Ct&lt;22,$BC464=(Elig_MatchAll_Ct-1),AJ464=0),G464,0)</f>
        <v>0</v>
      </c>
      <c r="BM464" s="214">
        <f>IF(AND(Input_Product=Elig!$C464,Elig_MatchAll_Ct&lt;22,$BC464=(Elig_MatchAll_Ct-1),AK464=0),H464,0)</f>
        <v>0</v>
      </c>
      <c r="BN464" s="214">
        <f>IF(AND(Input_Product=Elig!$C464,Elig_MatchAll_Ct&lt;22,$BC464=(Elig_MatchAll_Ct-1),AL464=0),I464,0)</f>
        <v>0</v>
      </c>
      <c r="BO464" s="214">
        <f>IF(AND(Input_Product=Elig!$C464,Elig_MatchAll_Ct&lt;22,$BC464=(Elig_MatchAll_Ct-1),AM464=0),J464,0)</f>
        <v>0</v>
      </c>
      <c r="BP464" s="214">
        <f>IF(AND(Input_Product=Elig!$C464,Elig_MatchAll_Ct&lt;22,$BC464=(Elig_MatchAll_Ct-1),AN464=0),K464,0)</f>
        <v>0</v>
      </c>
      <c r="BQ464" s="214">
        <f>IF(AND(Input_Product=Elig!$C464,Elig_MatchAll_Ct&lt;22,$BC464=(Elig_MatchAll_Ct-1),AP464=0),L464,0)</f>
        <v>0</v>
      </c>
      <c r="BR464" s="214">
        <f>IF(AND(Input_Product=Elig!$C464,Elig_MatchAll_Ct&lt;22,$BC464=(Elig_MatchAll_Ct-1),AO464=0),M464,0)</f>
        <v>0</v>
      </c>
      <c r="BS464" s="214">
        <f>IF(AND(Input_Product=Elig!$C464,Elig_MatchAll_Ct&lt;22,$BC464=(Elig_MatchAll_Ct-1),AQ464=0),N464,0)</f>
        <v>0</v>
      </c>
      <c r="BT464" s="214">
        <f>IF(AND(Input_Product=Elig!$C464,Elig_MatchAll_Ct&lt;22,$BC464=(Elig_MatchAll_Ct-1),AR464=0),O464,0)</f>
        <v>0</v>
      </c>
      <c r="BU464" s="214">
        <f>IF(AND(Input_Product=Elig!$C464,Elig_MatchAll_Ct&lt;22,$BC464=(Elig_MatchAll_Ct-1),AS464=0),P464,0)</f>
        <v>0</v>
      </c>
      <c r="BV464" s="215">
        <f>IF(AND(Input_Product=Elig!$C464,Elig_MatchAll_Ct&lt;22,$BC464=(Elig_MatchAll_Ct-1),AT464=0),Q464,0)</f>
        <v>0</v>
      </c>
      <c r="BW464" s="207">
        <f>IF(AND(Input_Product=Elig!$C464,Elig_MatchAll_Ct&lt;22,$BC464=(Elig_MatchAll_Ct-1),AU464=0),R464,0)</f>
        <v>0</v>
      </c>
      <c r="BX464" s="208">
        <f>IF(AND(Input_Product=Elig!$C464,Elig_MatchAll_Ct&lt;22,$BC464=(Elig_MatchAll_Ct-1),AU464=0),S464,0)</f>
        <v>0</v>
      </c>
      <c r="BY464" s="207">
        <f>IF(AND(Input_Product=Elig!$C464,Elig_MatchAll_Ct&lt;22,$BC464=(Elig_MatchAll_Ct-1),AV464=0),T464,0)</f>
        <v>0</v>
      </c>
      <c r="BZ464" s="208">
        <f>IF(AND(Input_Product=Elig!$C464,Elig_MatchAll_Ct&lt;22,$BC464=(Elig_MatchAll_Ct-1),AV464=0),U464,0)</f>
        <v>0</v>
      </c>
      <c r="CA464" s="207">
        <f>IF(AND(Input_Product=Elig!$C464,Elig_MatchAll_Ct&lt;22,$BC464=(Elig_MatchAll_Ct-1),AW464=0),V464,0)</f>
        <v>0</v>
      </c>
      <c r="CB464" s="208">
        <f>IF(AND(Input_Product=Elig!$C464,Elig_MatchAll_Ct&lt;22,$BC464=(Elig_MatchAll_Ct-1),AW464=0),W464,0)</f>
        <v>0</v>
      </c>
      <c r="CC464" s="207">
        <f>IF(AND(Input_Product=Elig!$C464,Elig_MatchAll_Ct&lt;22,$BC464=(Elig_MatchAll_Ct-1),AX464=0),X464,0)</f>
        <v>0</v>
      </c>
      <c r="CD464" s="208">
        <f>IF(AND(Input_Product=Elig!$C464,Elig_MatchAll_Ct&lt;22,$BC464=(Elig_MatchAll_Ct-1),AX464=0),Y464,0)</f>
        <v>0</v>
      </c>
      <c r="CE464" s="207">
        <f>IF(AND(Input_LTV&lt;=AE464,Input_Product=Elig!$C464,Elig_MatchAll_Ct&lt;22,$BC464=(Elig_MatchAll_Ct-1),AY464=0),Z464,0)</f>
        <v>0</v>
      </c>
      <c r="CF464" s="208">
        <f>IF(AND(Input_LTV&lt;=AE464,Input_Product=Elig!$C464,Elig_MatchAll_Ct&lt;22,$BC464=(Elig_MatchAll_Ct-1),AY464=0),AA464,0)</f>
        <v>0</v>
      </c>
      <c r="CG464" s="207">
        <f>IF(AND(Input_Product=Elig!$C464,Elig_MatchAll_Ct&lt;22,$BC464=(Elig_MatchAll_Ct-1),AZ464=0),AB464,0)</f>
        <v>0</v>
      </c>
      <c r="CH464" s="208">
        <f>IF(AND(Input_Product=Elig!$C464,Elig_MatchAll_Ct&lt;22,$BC464=(Elig_MatchAll_Ct-1),AZ464=0),AC464,0)</f>
        <v>0</v>
      </c>
      <c r="CI464" s="207">
        <f>IF(AND(Input_Product=Elig!$C464,Elig_MatchAll_Ct&lt;22,$BC464=(Elig_MatchAll_Ct-1),BA464=0),AD464,0)</f>
        <v>0</v>
      </c>
      <c r="CJ464" s="209">
        <f>IF(AND(Input_Product=Elig!$C464,Elig_MatchAll_Ct&lt;22,$BC464=(Elig_MatchAll_Ct-1),BA464=0),AE464,0)</f>
        <v>0</v>
      </c>
    </row>
    <row r="465" spans="2:88" ht="10.15" customHeight="1" x14ac:dyDescent="0.25">
      <c r="B465" s="287" t="s">
        <v>1161</v>
      </c>
      <c r="C465" s="281" t="str">
        <f t="shared" si="175"/>
        <v>NonQM NOO</v>
      </c>
      <c r="D465" s="282" t="s">
        <v>3885</v>
      </c>
      <c r="E465" s="283" t="s">
        <v>167</v>
      </c>
      <c r="F465" s="283" t="s">
        <v>330</v>
      </c>
      <c r="G465" s="283" t="s">
        <v>179</v>
      </c>
      <c r="H465" s="283" t="s">
        <v>136</v>
      </c>
      <c r="I465" s="282" t="s">
        <v>16</v>
      </c>
      <c r="J465" s="282" t="s">
        <v>1311</v>
      </c>
      <c r="K465" s="282" t="s">
        <v>1631</v>
      </c>
      <c r="L465" s="2103" t="s">
        <v>312</v>
      </c>
      <c r="M465" s="283" t="s">
        <v>4203</v>
      </c>
      <c r="N465" s="283" t="s">
        <v>2685</v>
      </c>
      <c r="O465" s="283" t="s">
        <v>310</v>
      </c>
      <c r="P465" s="283" t="s">
        <v>291</v>
      </c>
      <c r="Q465" s="283" t="s">
        <v>294</v>
      </c>
      <c r="R465" s="282">
        <v>1500000.01</v>
      </c>
      <c r="S465" s="282">
        <v>2000000</v>
      </c>
      <c r="T465" s="282">
        <v>0</v>
      </c>
      <c r="U465" s="282">
        <f t="shared" ref="U465:U470" si="182">S465</f>
        <v>2000000</v>
      </c>
      <c r="V465" s="282">
        <v>0</v>
      </c>
      <c r="W465" s="282">
        <v>50</v>
      </c>
      <c r="X465" s="282">
        <v>0</v>
      </c>
      <c r="Y465" s="282">
        <v>999</v>
      </c>
      <c r="Z465" s="284">
        <v>720</v>
      </c>
      <c r="AA465" s="284">
        <v>999</v>
      </c>
      <c r="AB465" s="284">
        <v>6</v>
      </c>
      <c r="AC465" s="284">
        <v>999999</v>
      </c>
      <c r="AD465" s="282">
        <v>0</v>
      </c>
      <c r="AE465" s="285">
        <v>60</v>
      </c>
      <c r="AF465" s="170">
        <v>0</v>
      </c>
      <c r="AG465" s="171">
        <v>1</v>
      </c>
      <c r="AH465" s="171">
        <v>1</v>
      </c>
      <c r="AI465" s="171">
        <v>0</v>
      </c>
      <c r="AJ465" s="171">
        <v>0</v>
      </c>
      <c r="AK465" s="171">
        <v>1</v>
      </c>
      <c r="AL465" s="171">
        <v>1</v>
      </c>
      <c r="AM465" s="171">
        <v>1</v>
      </c>
      <c r="AN465" s="171">
        <v>1</v>
      </c>
      <c r="AO465" s="171">
        <v>1</v>
      </c>
      <c r="AP465" s="171">
        <v>1</v>
      </c>
      <c r="AQ465" s="171">
        <v>1</v>
      </c>
      <c r="AR465" s="171">
        <v>1</v>
      </c>
      <c r="AS465" s="171">
        <v>1</v>
      </c>
      <c r="AT465" s="171">
        <v>1</v>
      </c>
      <c r="AU465" s="171">
        <f t="shared" si="162"/>
        <v>0</v>
      </c>
      <c r="AV465" s="171">
        <f t="shared" si="163"/>
        <v>1</v>
      </c>
      <c r="AW465" s="171">
        <f t="shared" si="164"/>
        <v>1</v>
      </c>
      <c r="AX465" s="171">
        <f t="shared" si="173"/>
        <v>1</v>
      </c>
      <c r="AY465" s="171">
        <f t="shared" si="165"/>
        <v>1</v>
      </c>
      <c r="AZ465" s="171">
        <f t="shared" si="166"/>
        <v>1</v>
      </c>
      <c r="BA465" s="172">
        <f t="shared" si="167"/>
        <v>0</v>
      </c>
      <c r="BB465" s="175">
        <f t="shared" si="169"/>
        <v>17</v>
      </c>
      <c r="BC465" s="176">
        <f t="shared" si="170"/>
        <v>17</v>
      </c>
      <c r="BD465" s="176">
        <f t="shared" si="171"/>
        <v>17</v>
      </c>
      <c r="BE465" s="240" t="str">
        <f t="shared" si="181"/>
        <v/>
      </c>
      <c r="BH465" s="216">
        <f>IF(AND(Input_Product=Elig!$C465,Elig_MatchAll_Ct&lt;22,$BC465=(Elig_MatchAll_Ct-1),AF465=0),C465,0)</f>
        <v>0</v>
      </c>
      <c r="BI465" s="216">
        <f>IF(AND(Input_Product=Elig!$C465,Elig_MatchAll_Ct&lt;22,$BC465=(Elig_MatchAll_Ct-1),AG465=0),D465,0)</f>
        <v>0</v>
      </c>
      <c r="BJ465" s="216">
        <f>IF(AND(Input_Product=Elig!$C465,Elig_MatchAll_Ct&lt;22,$BC465=(Elig_MatchAll_Ct-1),AH465=0),E465,0)</f>
        <v>0</v>
      </c>
      <c r="BK465" s="216">
        <f>IF(AND(Input_Product=Elig!$C465,Elig_MatchAll_Ct&lt;22,$BC465=(Elig_MatchAll_Ct-1),AI465=0),F465,0)</f>
        <v>0</v>
      </c>
      <c r="BL465" s="216">
        <f>IF(AND(Input_Product=Elig!$C465,Elig_MatchAll_Ct&lt;22,$BC465=(Elig_MatchAll_Ct-1),AJ465=0),G465,0)</f>
        <v>0</v>
      </c>
      <c r="BM465" s="216">
        <f>IF(AND(Input_Product=Elig!$C465,Elig_MatchAll_Ct&lt;22,$BC465=(Elig_MatchAll_Ct-1),AK465=0),H465,0)</f>
        <v>0</v>
      </c>
      <c r="BN465" s="216">
        <f>IF(AND(Input_Product=Elig!$C465,Elig_MatchAll_Ct&lt;22,$BC465=(Elig_MatchAll_Ct-1),AL465=0),I465,0)</f>
        <v>0</v>
      </c>
      <c r="BO465" s="216">
        <f>IF(AND(Input_Product=Elig!$C465,Elig_MatchAll_Ct&lt;22,$BC465=(Elig_MatchAll_Ct-1),AM465=0),J465,0)</f>
        <v>0</v>
      </c>
      <c r="BP465" s="216">
        <f>IF(AND(Input_Product=Elig!$C465,Elig_MatchAll_Ct&lt;22,$BC465=(Elig_MatchAll_Ct-1),AN465=0),K465,0)</f>
        <v>0</v>
      </c>
      <c r="BQ465" s="216">
        <f>IF(AND(Input_Product=Elig!$C465,Elig_MatchAll_Ct&lt;22,$BC465=(Elig_MatchAll_Ct-1),AP465=0),L465,0)</f>
        <v>0</v>
      </c>
      <c r="BR465" s="216">
        <f>IF(AND(Input_Product=Elig!$C465,Elig_MatchAll_Ct&lt;22,$BC465=(Elig_MatchAll_Ct-1),AO465=0),M465,0)</f>
        <v>0</v>
      </c>
      <c r="BS465" s="216">
        <f>IF(AND(Input_Product=Elig!$C465,Elig_MatchAll_Ct&lt;22,$BC465=(Elig_MatchAll_Ct-1),AQ465=0),N465,0)</f>
        <v>0</v>
      </c>
      <c r="BT465" s="216">
        <f>IF(AND(Input_Product=Elig!$C465,Elig_MatchAll_Ct&lt;22,$BC465=(Elig_MatchAll_Ct-1),AR465=0),O465,0)</f>
        <v>0</v>
      </c>
      <c r="BU465" s="216">
        <f>IF(AND(Input_Product=Elig!$C465,Elig_MatchAll_Ct&lt;22,$BC465=(Elig_MatchAll_Ct-1),AS465=0),P465,0)</f>
        <v>0</v>
      </c>
      <c r="BV465" s="217">
        <f>IF(AND(Input_Product=Elig!$C465,Elig_MatchAll_Ct&lt;22,$BC465=(Elig_MatchAll_Ct-1),AT465=0),Q465,0)</f>
        <v>0</v>
      </c>
      <c r="BW465" s="218">
        <f>IF(AND(Input_Product=Elig!$C465,Elig_MatchAll_Ct&lt;22,$BC465=(Elig_MatchAll_Ct-1),AU465=0),R465,0)</f>
        <v>0</v>
      </c>
      <c r="BX465" s="219">
        <f>IF(AND(Input_Product=Elig!$C465,Elig_MatchAll_Ct&lt;22,$BC465=(Elig_MatchAll_Ct-1),AU465=0),S465,0)</f>
        <v>0</v>
      </c>
      <c r="BY465" s="218">
        <f>IF(AND(Input_Product=Elig!$C465,Elig_MatchAll_Ct&lt;22,$BC465=(Elig_MatchAll_Ct-1),AV465=0),T465,0)</f>
        <v>0</v>
      </c>
      <c r="BZ465" s="219">
        <f>IF(AND(Input_Product=Elig!$C465,Elig_MatchAll_Ct&lt;22,$BC465=(Elig_MatchAll_Ct-1),AV465=0),U465,0)</f>
        <v>0</v>
      </c>
      <c r="CA465" s="218">
        <f>IF(AND(Input_Product=Elig!$C465,Elig_MatchAll_Ct&lt;22,$BC465=(Elig_MatchAll_Ct-1),AW465=0),V465,0)</f>
        <v>0</v>
      </c>
      <c r="CB465" s="219">
        <f>IF(AND(Input_Product=Elig!$C465,Elig_MatchAll_Ct&lt;22,$BC465=(Elig_MatchAll_Ct-1),AW465=0),W465,0)</f>
        <v>0</v>
      </c>
      <c r="CC465" s="218">
        <f>IF(AND(Input_Product=Elig!$C465,Elig_MatchAll_Ct&lt;22,$BC465=(Elig_MatchAll_Ct-1),AX465=0),X465,0)</f>
        <v>0</v>
      </c>
      <c r="CD465" s="219">
        <f>IF(AND(Input_Product=Elig!$C465,Elig_MatchAll_Ct&lt;22,$BC465=(Elig_MatchAll_Ct-1),AX465=0),Y465,0)</f>
        <v>0</v>
      </c>
      <c r="CE465" s="218">
        <f>IF(AND(Input_LTV&lt;=AE465,Input_Product=Elig!$C465,Elig_MatchAll_Ct&lt;22,$BC465=(Elig_MatchAll_Ct-1),AY465=0),Z465,0)</f>
        <v>0</v>
      </c>
      <c r="CF465" s="219">
        <f>IF(AND(Input_LTV&lt;=AE465,Input_Product=Elig!$C465,Elig_MatchAll_Ct&lt;22,$BC465=(Elig_MatchAll_Ct-1),AY465=0),AA465,0)</f>
        <v>0</v>
      </c>
      <c r="CG465" s="218">
        <f>IF(AND(Input_Product=Elig!$C465,Elig_MatchAll_Ct&lt;22,$BC465=(Elig_MatchAll_Ct-1),AZ465=0),AB465,0)</f>
        <v>0</v>
      </c>
      <c r="CH465" s="219">
        <f>IF(AND(Input_Product=Elig!$C465,Elig_MatchAll_Ct&lt;22,$BC465=(Elig_MatchAll_Ct-1),AZ465=0),AC465,0)</f>
        <v>0</v>
      </c>
      <c r="CI465" s="218">
        <f>IF(AND(Input_Product=Elig!$C465,Elig_MatchAll_Ct&lt;22,$BC465=(Elig_MatchAll_Ct-1),BA465=0),AD465,0)</f>
        <v>0</v>
      </c>
      <c r="CJ465" s="219">
        <f>IF(AND(Input_Product=Elig!$C465,Elig_MatchAll_Ct&lt;22,$BC465=(Elig_MatchAll_Ct-1),BA465=0),AE465,0)</f>
        <v>0</v>
      </c>
    </row>
    <row r="466" spans="2:88" ht="10.15" customHeight="1" x14ac:dyDescent="0.25">
      <c r="B466" s="287" t="s">
        <v>1162</v>
      </c>
      <c r="C466" s="286" t="str">
        <f t="shared" si="175"/>
        <v>NonQM NOO</v>
      </c>
      <c r="D466" s="287" t="s">
        <v>3885</v>
      </c>
      <c r="E466" s="287" t="s">
        <v>167</v>
      </c>
      <c r="F466" s="287" t="s">
        <v>330</v>
      </c>
      <c r="G466" s="287" t="s">
        <v>179</v>
      </c>
      <c r="H466" s="287" t="s">
        <v>136</v>
      </c>
      <c r="I466" s="288" t="s">
        <v>16</v>
      </c>
      <c r="J466" s="288" t="s">
        <v>1311</v>
      </c>
      <c r="K466" s="288" t="s">
        <v>1631</v>
      </c>
      <c r="L466" s="300" t="s">
        <v>312</v>
      </c>
      <c r="M466" s="287" t="s">
        <v>4203</v>
      </c>
      <c r="N466" s="287" t="s">
        <v>2685</v>
      </c>
      <c r="O466" s="287" t="s">
        <v>310</v>
      </c>
      <c r="P466" s="287" t="s">
        <v>291</v>
      </c>
      <c r="Q466" s="287" t="s">
        <v>294</v>
      </c>
      <c r="R466" s="287">
        <v>1500000.01</v>
      </c>
      <c r="S466" s="287">
        <v>2000000</v>
      </c>
      <c r="T466" s="287">
        <v>0</v>
      </c>
      <c r="U466" s="287">
        <f t="shared" si="182"/>
        <v>2000000</v>
      </c>
      <c r="V466" s="287">
        <v>0</v>
      </c>
      <c r="W466" s="287">
        <v>50</v>
      </c>
      <c r="X466" s="287">
        <v>0</v>
      </c>
      <c r="Y466" s="287">
        <v>999</v>
      </c>
      <c r="Z466" s="289">
        <v>700</v>
      </c>
      <c r="AA466" s="289">
        <v>719</v>
      </c>
      <c r="AB466" s="289">
        <v>6</v>
      </c>
      <c r="AC466" s="289">
        <v>999999</v>
      </c>
      <c r="AD466" s="287">
        <v>0</v>
      </c>
      <c r="AE466" s="290">
        <v>60</v>
      </c>
      <c r="AF466" s="170">
        <v>0</v>
      </c>
      <c r="AG466" s="171">
        <v>1</v>
      </c>
      <c r="AH466" s="171">
        <v>1</v>
      </c>
      <c r="AI466" s="171">
        <v>0</v>
      </c>
      <c r="AJ466" s="171">
        <v>0</v>
      </c>
      <c r="AK466" s="171">
        <v>1</v>
      </c>
      <c r="AL466" s="171">
        <v>1</v>
      </c>
      <c r="AM466" s="171">
        <v>1</v>
      </c>
      <c r="AN466" s="171">
        <v>1</v>
      </c>
      <c r="AO466" s="171">
        <v>1</v>
      </c>
      <c r="AP466" s="171">
        <v>1</v>
      </c>
      <c r="AQ466" s="171">
        <v>1</v>
      </c>
      <c r="AR466" s="171">
        <v>1</v>
      </c>
      <c r="AS466" s="171">
        <v>1</v>
      </c>
      <c r="AT466" s="171">
        <v>1</v>
      </c>
      <c r="AU466" s="171">
        <f t="shared" si="162"/>
        <v>0</v>
      </c>
      <c r="AV466" s="171">
        <f t="shared" si="163"/>
        <v>1</v>
      </c>
      <c r="AW466" s="171">
        <f t="shared" si="164"/>
        <v>1</v>
      </c>
      <c r="AX466" s="171">
        <f t="shared" si="173"/>
        <v>1</v>
      </c>
      <c r="AY466" s="171">
        <f t="shared" si="165"/>
        <v>0</v>
      </c>
      <c r="AZ466" s="171">
        <f t="shared" si="166"/>
        <v>1</v>
      </c>
      <c r="BA466" s="172">
        <f t="shared" si="167"/>
        <v>0</v>
      </c>
      <c r="BB466" s="175">
        <f t="shared" si="169"/>
        <v>16</v>
      </c>
      <c r="BC466" s="176">
        <f t="shared" si="170"/>
        <v>16</v>
      </c>
      <c r="BD466" s="176">
        <f t="shared" si="171"/>
        <v>16</v>
      </c>
      <c r="BE466" s="240" t="str">
        <f t="shared" si="181"/>
        <v/>
      </c>
      <c r="BH466" s="199">
        <f>IF(AND(Input_Product=Elig!$C466,Elig_MatchAll_Ct&lt;22,$BC466=(Elig_MatchAll_Ct-1),AF466=0),C466,0)</f>
        <v>0</v>
      </c>
      <c r="BI466" s="199">
        <f>IF(AND(Input_Product=Elig!$C466,Elig_MatchAll_Ct&lt;22,$BC466=(Elig_MatchAll_Ct-1),AG466=0),D466,0)</f>
        <v>0</v>
      </c>
      <c r="BJ466" s="199">
        <f>IF(AND(Input_Product=Elig!$C466,Elig_MatchAll_Ct&lt;22,$BC466=(Elig_MatchAll_Ct-1),AH466=0),E466,0)</f>
        <v>0</v>
      </c>
      <c r="BK466" s="199">
        <f>IF(AND(Input_Product=Elig!$C466,Elig_MatchAll_Ct&lt;22,$BC466=(Elig_MatchAll_Ct-1),AI466=0),F466,0)</f>
        <v>0</v>
      </c>
      <c r="BL466" s="199">
        <f>IF(AND(Input_Product=Elig!$C466,Elig_MatchAll_Ct&lt;22,$BC466=(Elig_MatchAll_Ct-1),AJ466=0),G466,0)</f>
        <v>0</v>
      </c>
      <c r="BM466" s="199">
        <f>IF(AND(Input_Product=Elig!$C466,Elig_MatchAll_Ct&lt;22,$BC466=(Elig_MatchAll_Ct-1),AK466=0),H466,0)</f>
        <v>0</v>
      </c>
      <c r="BN466" s="199">
        <f>IF(AND(Input_Product=Elig!$C466,Elig_MatchAll_Ct&lt;22,$BC466=(Elig_MatchAll_Ct-1),AL466=0),I466,0)</f>
        <v>0</v>
      </c>
      <c r="BO466" s="199">
        <f>IF(AND(Input_Product=Elig!$C466,Elig_MatchAll_Ct&lt;22,$BC466=(Elig_MatchAll_Ct-1),AM466=0),J466,0)</f>
        <v>0</v>
      </c>
      <c r="BP466" s="199">
        <f>IF(AND(Input_Product=Elig!$C466,Elig_MatchAll_Ct&lt;22,$BC466=(Elig_MatchAll_Ct-1),AN466=0),K466,0)</f>
        <v>0</v>
      </c>
      <c r="BQ466" s="199">
        <f>IF(AND(Input_Product=Elig!$C466,Elig_MatchAll_Ct&lt;22,$BC466=(Elig_MatchAll_Ct-1),AP466=0),L466,0)</f>
        <v>0</v>
      </c>
      <c r="BR466" s="199">
        <f>IF(AND(Input_Product=Elig!$C466,Elig_MatchAll_Ct&lt;22,$BC466=(Elig_MatchAll_Ct-1),AO466=0),M466,0)</f>
        <v>0</v>
      </c>
      <c r="BS466" s="199">
        <f>IF(AND(Input_Product=Elig!$C466,Elig_MatchAll_Ct&lt;22,$BC466=(Elig_MatchAll_Ct-1),AQ466=0),N466,0)</f>
        <v>0</v>
      </c>
      <c r="BT466" s="199">
        <f>IF(AND(Input_Product=Elig!$C466,Elig_MatchAll_Ct&lt;22,$BC466=(Elig_MatchAll_Ct-1),AR466=0),O466,0)</f>
        <v>0</v>
      </c>
      <c r="BU466" s="199">
        <f>IF(AND(Input_Product=Elig!$C466,Elig_MatchAll_Ct&lt;22,$BC466=(Elig_MatchAll_Ct-1),AS466=0),P466,0)</f>
        <v>0</v>
      </c>
      <c r="BV466" s="200">
        <f>IF(AND(Input_Product=Elig!$C466,Elig_MatchAll_Ct&lt;22,$BC466=(Elig_MatchAll_Ct-1),AT466=0),Q466,0)</f>
        <v>0</v>
      </c>
      <c r="BW466" s="201">
        <f>IF(AND(Input_Product=Elig!$C466,Elig_MatchAll_Ct&lt;22,$BC466=(Elig_MatchAll_Ct-1),AU466=0),R466,0)</f>
        <v>0</v>
      </c>
      <c r="BX466" s="202">
        <f>IF(AND(Input_Product=Elig!$C466,Elig_MatchAll_Ct&lt;22,$BC466=(Elig_MatchAll_Ct-1),AU466=0),S466,0)</f>
        <v>0</v>
      </c>
      <c r="BY466" s="201">
        <f>IF(AND(Input_Product=Elig!$C466,Elig_MatchAll_Ct&lt;22,$BC466=(Elig_MatchAll_Ct-1),AV466=0),T466,0)</f>
        <v>0</v>
      </c>
      <c r="BZ466" s="202">
        <f>IF(AND(Input_Product=Elig!$C466,Elig_MatchAll_Ct&lt;22,$BC466=(Elig_MatchAll_Ct-1),AV466=0),U466,0)</f>
        <v>0</v>
      </c>
      <c r="CA466" s="201">
        <f>IF(AND(Input_Product=Elig!$C466,Elig_MatchAll_Ct&lt;22,$BC466=(Elig_MatchAll_Ct-1),AW466=0),V466,0)</f>
        <v>0</v>
      </c>
      <c r="CB466" s="202">
        <f>IF(AND(Input_Product=Elig!$C466,Elig_MatchAll_Ct&lt;22,$BC466=(Elig_MatchAll_Ct-1),AW466=0),W466,0)</f>
        <v>0</v>
      </c>
      <c r="CC466" s="201">
        <f>IF(AND(Input_Product=Elig!$C466,Elig_MatchAll_Ct&lt;22,$BC466=(Elig_MatchAll_Ct-1),AX466=0),X466,0)</f>
        <v>0</v>
      </c>
      <c r="CD466" s="202">
        <f>IF(AND(Input_Product=Elig!$C466,Elig_MatchAll_Ct&lt;22,$BC466=(Elig_MatchAll_Ct-1),AX466=0),Y466,0)</f>
        <v>0</v>
      </c>
      <c r="CE466" s="201">
        <f>IF(AND(Input_LTV&lt;=AE466,Input_Product=Elig!$C466,Elig_MatchAll_Ct&lt;22,$BC466=(Elig_MatchAll_Ct-1),AY466=0),Z466,0)</f>
        <v>0</v>
      </c>
      <c r="CF466" s="202">
        <f>IF(AND(Input_LTV&lt;=AE466,Input_Product=Elig!$C466,Elig_MatchAll_Ct&lt;22,$BC466=(Elig_MatchAll_Ct-1),AY466=0),AA466,0)</f>
        <v>0</v>
      </c>
      <c r="CG466" s="201">
        <f>IF(AND(Input_Product=Elig!$C466,Elig_MatchAll_Ct&lt;22,$BC466=(Elig_MatchAll_Ct-1),AZ466=0),AB466,0)</f>
        <v>0</v>
      </c>
      <c r="CH466" s="202">
        <f>IF(AND(Input_Product=Elig!$C466,Elig_MatchAll_Ct&lt;22,$BC466=(Elig_MatchAll_Ct-1),AZ466=0),AC466,0)</f>
        <v>0</v>
      </c>
      <c r="CI466" s="201">
        <f>IF(AND(Input_Product=Elig!$C466,Elig_MatchAll_Ct&lt;22,$BC466=(Elig_MatchAll_Ct-1),BA466=0),AD466,0)</f>
        <v>0</v>
      </c>
      <c r="CJ466" s="202">
        <f>IF(AND(Input_Product=Elig!$C466,Elig_MatchAll_Ct&lt;22,$BC466=(Elig_MatchAll_Ct-1),BA466=0),AE466,0)</f>
        <v>0</v>
      </c>
    </row>
    <row r="467" spans="2:88" ht="10.15" customHeight="1" x14ac:dyDescent="0.25">
      <c r="B467" s="287" t="s">
        <v>1163</v>
      </c>
      <c r="C467" s="286" t="str">
        <f t="shared" si="175"/>
        <v>NonQM NOO</v>
      </c>
      <c r="D467" s="287" t="s">
        <v>3885</v>
      </c>
      <c r="E467" s="287" t="s">
        <v>167</v>
      </c>
      <c r="F467" s="287" t="s">
        <v>330</v>
      </c>
      <c r="G467" s="287" t="s">
        <v>179</v>
      </c>
      <c r="H467" s="287" t="s">
        <v>136</v>
      </c>
      <c r="I467" s="288" t="s">
        <v>16</v>
      </c>
      <c r="J467" s="288" t="s">
        <v>1311</v>
      </c>
      <c r="K467" s="288" t="s">
        <v>1631</v>
      </c>
      <c r="L467" s="300" t="s">
        <v>312</v>
      </c>
      <c r="M467" s="287" t="s">
        <v>4203</v>
      </c>
      <c r="N467" s="287" t="s">
        <v>2685</v>
      </c>
      <c r="O467" s="287" t="s">
        <v>310</v>
      </c>
      <c r="P467" s="287" t="s">
        <v>291</v>
      </c>
      <c r="Q467" s="287" t="s">
        <v>294</v>
      </c>
      <c r="R467" s="287">
        <v>1500000.01</v>
      </c>
      <c r="S467" s="287">
        <v>2000000</v>
      </c>
      <c r="T467" s="287">
        <v>0</v>
      </c>
      <c r="U467" s="287">
        <f t="shared" si="182"/>
        <v>2000000</v>
      </c>
      <c r="V467" s="287">
        <v>0</v>
      </c>
      <c r="W467" s="287">
        <v>50</v>
      </c>
      <c r="X467" s="287">
        <v>0</v>
      </c>
      <c r="Y467" s="287">
        <v>999</v>
      </c>
      <c r="Z467" s="289">
        <v>680</v>
      </c>
      <c r="AA467" s="289">
        <v>699</v>
      </c>
      <c r="AB467" s="289">
        <v>6</v>
      </c>
      <c r="AC467" s="289">
        <v>999999</v>
      </c>
      <c r="AD467" s="287">
        <v>0</v>
      </c>
      <c r="AE467" s="290">
        <v>60</v>
      </c>
      <c r="AF467" s="170">
        <v>0</v>
      </c>
      <c r="AG467" s="171">
        <v>1</v>
      </c>
      <c r="AH467" s="171">
        <v>1</v>
      </c>
      <c r="AI467" s="171">
        <v>0</v>
      </c>
      <c r="AJ467" s="171">
        <v>0</v>
      </c>
      <c r="AK467" s="171">
        <v>1</v>
      </c>
      <c r="AL467" s="171">
        <v>1</v>
      </c>
      <c r="AM467" s="171">
        <v>1</v>
      </c>
      <c r="AN467" s="171">
        <v>1</v>
      </c>
      <c r="AO467" s="171">
        <v>1</v>
      </c>
      <c r="AP467" s="171">
        <v>1</v>
      </c>
      <c r="AQ467" s="171">
        <v>1</v>
      </c>
      <c r="AR467" s="171">
        <v>1</v>
      </c>
      <c r="AS467" s="171">
        <v>1</v>
      </c>
      <c r="AT467" s="171">
        <v>1</v>
      </c>
      <c r="AU467" s="171">
        <f t="shared" si="162"/>
        <v>0</v>
      </c>
      <c r="AV467" s="171">
        <f t="shared" si="163"/>
        <v>1</v>
      </c>
      <c r="AW467" s="171">
        <f t="shared" si="164"/>
        <v>1</v>
      </c>
      <c r="AX467" s="171">
        <f t="shared" si="173"/>
        <v>1</v>
      </c>
      <c r="AY467" s="171">
        <f t="shared" si="165"/>
        <v>0</v>
      </c>
      <c r="AZ467" s="171">
        <f t="shared" si="166"/>
        <v>1</v>
      </c>
      <c r="BA467" s="172">
        <f t="shared" si="167"/>
        <v>0</v>
      </c>
      <c r="BB467" s="175">
        <f t="shared" si="169"/>
        <v>16</v>
      </c>
      <c r="BC467" s="176">
        <f t="shared" si="170"/>
        <v>16</v>
      </c>
      <c r="BD467" s="176">
        <f t="shared" si="171"/>
        <v>16</v>
      </c>
      <c r="BE467" s="240" t="str">
        <f t="shared" si="181"/>
        <v/>
      </c>
      <c r="BH467" s="199">
        <f>IF(AND(Input_Product=Elig!$C467,Elig_MatchAll_Ct&lt;22,$BC467=(Elig_MatchAll_Ct-1),AF467=0),C467,0)</f>
        <v>0</v>
      </c>
      <c r="BI467" s="199">
        <f>IF(AND(Input_Product=Elig!$C467,Elig_MatchAll_Ct&lt;22,$BC467=(Elig_MatchAll_Ct-1),AG467=0),D467,0)</f>
        <v>0</v>
      </c>
      <c r="BJ467" s="199">
        <f>IF(AND(Input_Product=Elig!$C467,Elig_MatchAll_Ct&lt;22,$BC467=(Elig_MatchAll_Ct-1),AH467=0),E467,0)</f>
        <v>0</v>
      </c>
      <c r="BK467" s="199">
        <f>IF(AND(Input_Product=Elig!$C467,Elig_MatchAll_Ct&lt;22,$BC467=(Elig_MatchAll_Ct-1),AI467=0),F467,0)</f>
        <v>0</v>
      </c>
      <c r="BL467" s="199">
        <f>IF(AND(Input_Product=Elig!$C467,Elig_MatchAll_Ct&lt;22,$BC467=(Elig_MatchAll_Ct-1),AJ467=0),G467,0)</f>
        <v>0</v>
      </c>
      <c r="BM467" s="199">
        <f>IF(AND(Input_Product=Elig!$C467,Elig_MatchAll_Ct&lt;22,$BC467=(Elig_MatchAll_Ct-1),AK467=0),H467,0)</f>
        <v>0</v>
      </c>
      <c r="BN467" s="199">
        <f>IF(AND(Input_Product=Elig!$C467,Elig_MatchAll_Ct&lt;22,$BC467=(Elig_MatchAll_Ct-1),AL467=0),I467,0)</f>
        <v>0</v>
      </c>
      <c r="BO467" s="199">
        <f>IF(AND(Input_Product=Elig!$C467,Elig_MatchAll_Ct&lt;22,$BC467=(Elig_MatchAll_Ct-1),AM467=0),J467,0)</f>
        <v>0</v>
      </c>
      <c r="BP467" s="199">
        <f>IF(AND(Input_Product=Elig!$C467,Elig_MatchAll_Ct&lt;22,$BC467=(Elig_MatchAll_Ct-1),AN467=0),K467,0)</f>
        <v>0</v>
      </c>
      <c r="BQ467" s="199">
        <f>IF(AND(Input_Product=Elig!$C467,Elig_MatchAll_Ct&lt;22,$BC467=(Elig_MatchAll_Ct-1),AP467=0),L467,0)</f>
        <v>0</v>
      </c>
      <c r="BR467" s="199">
        <f>IF(AND(Input_Product=Elig!$C467,Elig_MatchAll_Ct&lt;22,$BC467=(Elig_MatchAll_Ct-1),AO467=0),M467,0)</f>
        <v>0</v>
      </c>
      <c r="BS467" s="199">
        <f>IF(AND(Input_Product=Elig!$C467,Elig_MatchAll_Ct&lt;22,$BC467=(Elig_MatchAll_Ct-1),AQ467=0),N467,0)</f>
        <v>0</v>
      </c>
      <c r="BT467" s="199">
        <f>IF(AND(Input_Product=Elig!$C467,Elig_MatchAll_Ct&lt;22,$BC467=(Elig_MatchAll_Ct-1),AR467=0),O467,0)</f>
        <v>0</v>
      </c>
      <c r="BU467" s="199">
        <f>IF(AND(Input_Product=Elig!$C467,Elig_MatchAll_Ct&lt;22,$BC467=(Elig_MatchAll_Ct-1),AS467=0),P467,0)</f>
        <v>0</v>
      </c>
      <c r="BV467" s="200">
        <f>IF(AND(Input_Product=Elig!$C467,Elig_MatchAll_Ct&lt;22,$BC467=(Elig_MatchAll_Ct-1),AT467=0),Q467,0)</f>
        <v>0</v>
      </c>
      <c r="BW467" s="201">
        <f>IF(AND(Input_Product=Elig!$C467,Elig_MatchAll_Ct&lt;22,$BC467=(Elig_MatchAll_Ct-1),AU467=0),R467,0)</f>
        <v>0</v>
      </c>
      <c r="BX467" s="202">
        <f>IF(AND(Input_Product=Elig!$C467,Elig_MatchAll_Ct&lt;22,$BC467=(Elig_MatchAll_Ct-1),AU467=0),S467,0)</f>
        <v>0</v>
      </c>
      <c r="BY467" s="201">
        <f>IF(AND(Input_Product=Elig!$C467,Elig_MatchAll_Ct&lt;22,$BC467=(Elig_MatchAll_Ct-1),AV467=0),T467,0)</f>
        <v>0</v>
      </c>
      <c r="BZ467" s="202">
        <f>IF(AND(Input_Product=Elig!$C467,Elig_MatchAll_Ct&lt;22,$BC467=(Elig_MatchAll_Ct-1),AV467=0),U467,0)</f>
        <v>0</v>
      </c>
      <c r="CA467" s="201">
        <f>IF(AND(Input_Product=Elig!$C467,Elig_MatchAll_Ct&lt;22,$BC467=(Elig_MatchAll_Ct-1),AW467=0),V467,0)</f>
        <v>0</v>
      </c>
      <c r="CB467" s="202">
        <f>IF(AND(Input_Product=Elig!$C467,Elig_MatchAll_Ct&lt;22,$BC467=(Elig_MatchAll_Ct-1),AW467=0),W467,0)</f>
        <v>0</v>
      </c>
      <c r="CC467" s="201">
        <f>IF(AND(Input_Product=Elig!$C467,Elig_MatchAll_Ct&lt;22,$BC467=(Elig_MatchAll_Ct-1),AX467=0),X467,0)</f>
        <v>0</v>
      </c>
      <c r="CD467" s="202">
        <f>IF(AND(Input_Product=Elig!$C467,Elig_MatchAll_Ct&lt;22,$BC467=(Elig_MatchAll_Ct-1),AX467=0),Y467,0)</f>
        <v>0</v>
      </c>
      <c r="CE467" s="201">
        <f>IF(AND(Input_LTV&lt;=AE467,Input_Product=Elig!$C467,Elig_MatchAll_Ct&lt;22,$BC467=(Elig_MatchAll_Ct-1),AY467=0),Z467,0)</f>
        <v>0</v>
      </c>
      <c r="CF467" s="202">
        <f>IF(AND(Input_LTV&lt;=AE467,Input_Product=Elig!$C467,Elig_MatchAll_Ct&lt;22,$BC467=(Elig_MatchAll_Ct-1),AY467=0),AA467,0)</f>
        <v>0</v>
      </c>
      <c r="CG467" s="201">
        <f>IF(AND(Input_Product=Elig!$C467,Elig_MatchAll_Ct&lt;22,$BC467=(Elig_MatchAll_Ct-1),AZ467=0),AB467,0)</f>
        <v>0</v>
      </c>
      <c r="CH467" s="202">
        <f>IF(AND(Input_Product=Elig!$C467,Elig_MatchAll_Ct&lt;22,$BC467=(Elig_MatchAll_Ct-1),AZ467=0),AC467,0)</f>
        <v>0</v>
      </c>
      <c r="CI467" s="201">
        <f>IF(AND(Input_Product=Elig!$C467,Elig_MatchAll_Ct&lt;22,$BC467=(Elig_MatchAll_Ct-1),BA467=0),AD467,0)</f>
        <v>0</v>
      </c>
      <c r="CJ467" s="202">
        <f>IF(AND(Input_Product=Elig!$C467,Elig_MatchAll_Ct&lt;22,$BC467=(Elig_MatchAll_Ct-1),BA467=0),AE467,0)</f>
        <v>0</v>
      </c>
    </row>
    <row r="468" spans="2:88" ht="10.15" customHeight="1" x14ac:dyDescent="0.25">
      <c r="B468" s="287" t="s">
        <v>1164</v>
      </c>
      <c r="C468" s="286" t="str">
        <f t="shared" si="175"/>
        <v>NonQM NOO</v>
      </c>
      <c r="D468" s="287" t="s">
        <v>3885</v>
      </c>
      <c r="E468" s="287" t="s">
        <v>167</v>
      </c>
      <c r="F468" s="287" t="s">
        <v>330</v>
      </c>
      <c r="G468" s="287" t="s">
        <v>179</v>
      </c>
      <c r="H468" s="287" t="s">
        <v>136</v>
      </c>
      <c r="I468" s="288" t="s">
        <v>16</v>
      </c>
      <c r="J468" s="288" t="s">
        <v>1311</v>
      </c>
      <c r="K468" s="288" t="s">
        <v>1631</v>
      </c>
      <c r="L468" s="300" t="s">
        <v>312</v>
      </c>
      <c r="M468" s="287" t="s">
        <v>4203</v>
      </c>
      <c r="N468" s="287" t="s">
        <v>2685</v>
      </c>
      <c r="O468" s="287" t="s">
        <v>310</v>
      </c>
      <c r="P468" s="287" t="s">
        <v>291</v>
      </c>
      <c r="Q468" s="287" t="s">
        <v>294</v>
      </c>
      <c r="R468" s="287">
        <v>1500000.01</v>
      </c>
      <c r="S468" s="287">
        <v>2000000</v>
      </c>
      <c r="T468" s="287">
        <v>0</v>
      </c>
      <c r="U468" s="287">
        <f t="shared" si="182"/>
        <v>2000000</v>
      </c>
      <c r="V468" s="287">
        <v>0</v>
      </c>
      <c r="W468" s="287">
        <v>50</v>
      </c>
      <c r="X468" s="287">
        <v>0</v>
      </c>
      <c r="Y468" s="287">
        <v>999</v>
      </c>
      <c r="Z468" s="289">
        <v>660</v>
      </c>
      <c r="AA468" s="289">
        <v>679</v>
      </c>
      <c r="AB468" s="289">
        <v>6</v>
      </c>
      <c r="AC468" s="289">
        <v>999999</v>
      </c>
      <c r="AD468" s="287">
        <v>0</v>
      </c>
      <c r="AE468" s="290">
        <v>60</v>
      </c>
      <c r="AF468" s="170">
        <v>0</v>
      </c>
      <c r="AG468" s="171">
        <v>1</v>
      </c>
      <c r="AH468" s="171">
        <v>1</v>
      </c>
      <c r="AI468" s="171">
        <v>0</v>
      </c>
      <c r="AJ468" s="171">
        <v>0</v>
      </c>
      <c r="AK468" s="171">
        <v>1</v>
      </c>
      <c r="AL468" s="171">
        <v>1</v>
      </c>
      <c r="AM468" s="171">
        <v>1</v>
      </c>
      <c r="AN468" s="171">
        <v>1</v>
      </c>
      <c r="AO468" s="171">
        <v>1</v>
      </c>
      <c r="AP468" s="171">
        <v>1</v>
      </c>
      <c r="AQ468" s="171">
        <v>1</v>
      </c>
      <c r="AR468" s="171">
        <v>1</v>
      </c>
      <c r="AS468" s="171">
        <v>1</v>
      </c>
      <c r="AT468" s="171">
        <v>1</v>
      </c>
      <c r="AU468" s="171">
        <f t="shared" si="162"/>
        <v>0</v>
      </c>
      <c r="AV468" s="171">
        <f t="shared" si="163"/>
        <v>1</v>
      </c>
      <c r="AW468" s="171">
        <f t="shared" si="164"/>
        <v>1</v>
      </c>
      <c r="AX468" s="171">
        <f t="shared" si="173"/>
        <v>1</v>
      </c>
      <c r="AY468" s="171">
        <f t="shared" si="165"/>
        <v>0</v>
      </c>
      <c r="AZ468" s="171">
        <f t="shared" si="166"/>
        <v>1</v>
      </c>
      <c r="BA468" s="172">
        <f t="shared" si="167"/>
        <v>0</v>
      </c>
      <c r="BB468" s="175">
        <f t="shared" si="169"/>
        <v>16</v>
      </c>
      <c r="BC468" s="176">
        <f t="shared" si="170"/>
        <v>16</v>
      </c>
      <c r="BD468" s="176">
        <f t="shared" si="171"/>
        <v>16</v>
      </c>
      <c r="BE468" s="240" t="str">
        <f t="shared" si="181"/>
        <v/>
      </c>
      <c r="BH468" s="199">
        <f>IF(AND(Input_Product=Elig!$C468,Elig_MatchAll_Ct&lt;22,$BC468=(Elig_MatchAll_Ct-1),AF468=0),C468,0)</f>
        <v>0</v>
      </c>
      <c r="BI468" s="199">
        <f>IF(AND(Input_Product=Elig!$C468,Elig_MatchAll_Ct&lt;22,$BC468=(Elig_MatchAll_Ct-1),AG468=0),D468,0)</f>
        <v>0</v>
      </c>
      <c r="BJ468" s="199">
        <f>IF(AND(Input_Product=Elig!$C468,Elig_MatchAll_Ct&lt;22,$BC468=(Elig_MatchAll_Ct-1),AH468=0),E468,0)</f>
        <v>0</v>
      </c>
      <c r="BK468" s="199">
        <f>IF(AND(Input_Product=Elig!$C468,Elig_MatchAll_Ct&lt;22,$BC468=(Elig_MatchAll_Ct-1),AI468=0),F468,0)</f>
        <v>0</v>
      </c>
      <c r="BL468" s="199">
        <f>IF(AND(Input_Product=Elig!$C468,Elig_MatchAll_Ct&lt;22,$BC468=(Elig_MatchAll_Ct-1),AJ468=0),G468,0)</f>
        <v>0</v>
      </c>
      <c r="BM468" s="199">
        <f>IF(AND(Input_Product=Elig!$C468,Elig_MatchAll_Ct&lt;22,$BC468=(Elig_MatchAll_Ct-1),AK468=0),H468,0)</f>
        <v>0</v>
      </c>
      <c r="BN468" s="199">
        <f>IF(AND(Input_Product=Elig!$C468,Elig_MatchAll_Ct&lt;22,$BC468=(Elig_MatchAll_Ct-1),AL468=0),I468,0)</f>
        <v>0</v>
      </c>
      <c r="BO468" s="199">
        <f>IF(AND(Input_Product=Elig!$C468,Elig_MatchAll_Ct&lt;22,$BC468=(Elig_MatchAll_Ct-1),AM468=0),J468,0)</f>
        <v>0</v>
      </c>
      <c r="BP468" s="199">
        <f>IF(AND(Input_Product=Elig!$C468,Elig_MatchAll_Ct&lt;22,$BC468=(Elig_MatchAll_Ct-1),AN468=0),K468,0)</f>
        <v>0</v>
      </c>
      <c r="BQ468" s="199">
        <f>IF(AND(Input_Product=Elig!$C468,Elig_MatchAll_Ct&lt;22,$BC468=(Elig_MatchAll_Ct-1),AP468=0),L468,0)</f>
        <v>0</v>
      </c>
      <c r="BR468" s="199">
        <f>IF(AND(Input_Product=Elig!$C468,Elig_MatchAll_Ct&lt;22,$BC468=(Elig_MatchAll_Ct-1),AO468=0),M468,0)</f>
        <v>0</v>
      </c>
      <c r="BS468" s="199">
        <f>IF(AND(Input_Product=Elig!$C468,Elig_MatchAll_Ct&lt;22,$BC468=(Elig_MatchAll_Ct-1),AQ468=0),N468,0)</f>
        <v>0</v>
      </c>
      <c r="BT468" s="199">
        <f>IF(AND(Input_Product=Elig!$C468,Elig_MatchAll_Ct&lt;22,$BC468=(Elig_MatchAll_Ct-1),AR468=0),O468,0)</f>
        <v>0</v>
      </c>
      <c r="BU468" s="199">
        <f>IF(AND(Input_Product=Elig!$C468,Elig_MatchAll_Ct&lt;22,$BC468=(Elig_MatchAll_Ct-1),AS468=0),P468,0)</f>
        <v>0</v>
      </c>
      <c r="BV468" s="200">
        <f>IF(AND(Input_Product=Elig!$C468,Elig_MatchAll_Ct&lt;22,$BC468=(Elig_MatchAll_Ct-1),AT468=0),Q468,0)</f>
        <v>0</v>
      </c>
      <c r="BW468" s="201">
        <f>IF(AND(Input_Product=Elig!$C468,Elig_MatchAll_Ct&lt;22,$BC468=(Elig_MatchAll_Ct-1),AU468=0),R468,0)</f>
        <v>0</v>
      </c>
      <c r="BX468" s="202">
        <f>IF(AND(Input_Product=Elig!$C468,Elig_MatchAll_Ct&lt;22,$BC468=(Elig_MatchAll_Ct-1),AU468=0),S468,0)</f>
        <v>0</v>
      </c>
      <c r="BY468" s="201">
        <f>IF(AND(Input_Product=Elig!$C468,Elig_MatchAll_Ct&lt;22,$BC468=(Elig_MatchAll_Ct-1),AV468=0),T468,0)</f>
        <v>0</v>
      </c>
      <c r="BZ468" s="202">
        <f>IF(AND(Input_Product=Elig!$C468,Elig_MatchAll_Ct&lt;22,$BC468=(Elig_MatchAll_Ct-1),AV468=0),U468,0)</f>
        <v>0</v>
      </c>
      <c r="CA468" s="201">
        <f>IF(AND(Input_Product=Elig!$C468,Elig_MatchAll_Ct&lt;22,$BC468=(Elig_MatchAll_Ct-1),AW468=0),V468,0)</f>
        <v>0</v>
      </c>
      <c r="CB468" s="202">
        <f>IF(AND(Input_Product=Elig!$C468,Elig_MatchAll_Ct&lt;22,$BC468=(Elig_MatchAll_Ct-1),AW468=0),W468,0)</f>
        <v>0</v>
      </c>
      <c r="CC468" s="201">
        <f>IF(AND(Input_Product=Elig!$C468,Elig_MatchAll_Ct&lt;22,$BC468=(Elig_MatchAll_Ct-1),AX468=0),X468,0)</f>
        <v>0</v>
      </c>
      <c r="CD468" s="202">
        <f>IF(AND(Input_Product=Elig!$C468,Elig_MatchAll_Ct&lt;22,$BC468=(Elig_MatchAll_Ct-1),AX468=0),Y468,0)</f>
        <v>0</v>
      </c>
      <c r="CE468" s="201">
        <f>IF(AND(Input_LTV&lt;=AE468,Input_Product=Elig!$C468,Elig_MatchAll_Ct&lt;22,$BC468=(Elig_MatchAll_Ct-1),AY468=0),Z468,0)</f>
        <v>0</v>
      </c>
      <c r="CF468" s="202">
        <f>IF(AND(Input_LTV&lt;=AE468,Input_Product=Elig!$C468,Elig_MatchAll_Ct&lt;22,$BC468=(Elig_MatchAll_Ct-1),AY468=0),AA468,0)</f>
        <v>0</v>
      </c>
      <c r="CG468" s="201">
        <f>IF(AND(Input_Product=Elig!$C468,Elig_MatchAll_Ct&lt;22,$BC468=(Elig_MatchAll_Ct-1),AZ468=0),AB468,0)</f>
        <v>0</v>
      </c>
      <c r="CH468" s="202">
        <f>IF(AND(Input_Product=Elig!$C468,Elig_MatchAll_Ct&lt;22,$BC468=(Elig_MatchAll_Ct-1),AZ468=0),AC468,0)</f>
        <v>0</v>
      </c>
      <c r="CI468" s="201">
        <f>IF(AND(Input_Product=Elig!$C468,Elig_MatchAll_Ct&lt;22,$BC468=(Elig_MatchAll_Ct-1),BA468=0),AD468,0)</f>
        <v>0</v>
      </c>
      <c r="CJ468" s="202">
        <f>IF(AND(Input_Product=Elig!$C468,Elig_MatchAll_Ct&lt;22,$BC468=(Elig_MatchAll_Ct-1),BA468=0),AE468,0)</f>
        <v>0</v>
      </c>
    </row>
    <row r="469" spans="2:88" ht="10.15" customHeight="1" x14ac:dyDescent="0.25">
      <c r="B469" s="287" t="s">
        <v>1165</v>
      </c>
      <c r="C469" s="286" t="str">
        <f t="shared" si="175"/>
        <v>NonQM NOO</v>
      </c>
      <c r="D469" s="287" t="s">
        <v>3885</v>
      </c>
      <c r="E469" s="287" t="s">
        <v>167</v>
      </c>
      <c r="F469" s="287" t="s">
        <v>330</v>
      </c>
      <c r="G469" s="287" t="s">
        <v>179</v>
      </c>
      <c r="H469" s="287" t="s">
        <v>136</v>
      </c>
      <c r="I469" s="288" t="s">
        <v>16</v>
      </c>
      <c r="J469" s="288" t="s">
        <v>1311</v>
      </c>
      <c r="K469" s="288" t="s">
        <v>1631</v>
      </c>
      <c r="L469" s="300" t="s">
        <v>312</v>
      </c>
      <c r="M469" s="287" t="s">
        <v>4203</v>
      </c>
      <c r="N469" s="287" t="s">
        <v>2685</v>
      </c>
      <c r="O469" s="287" t="s">
        <v>310</v>
      </c>
      <c r="P469" s="287" t="s">
        <v>291</v>
      </c>
      <c r="Q469" s="287" t="s">
        <v>294</v>
      </c>
      <c r="R469" s="287">
        <v>1500000.01</v>
      </c>
      <c r="S469" s="287">
        <v>2000000</v>
      </c>
      <c r="T469" s="287">
        <v>0</v>
      </c>
      <c r="U469" s="287">
        <f t="shared" si="182"/>
        <v>2000000</v>
      </c>
      <c r="V469" s="287">
        <v>0</v>
      </c>
      <c r="W469" s="287">
        <v>50</v>
      </c>
      <c r="X469" s="287">
        <v>0</v>
      </c>
      <c r="Y469" s="287">
        <v>999</v>
      </c>
      <c r="Z469" s="289">
        <v>640</v>
      </c>
      <c r="AA469" s="289">
        <v>659</v>
      </c>
      <c r="AB469" s="289">
        <v>6</v>
      </c>
      <c r="AC469" s="289">
        <v>999999</v>
      </c>
      <c r="AD469" s="287">
        <v>0</v>
      </c>
      <c r="AE469" s="290">
        <v>-999</v>
      </c>
      <c r="AF469" s="170">
        <v>0</v>
      </c>
      <c r="AG469" s="171">
        <v>1</v>
      </c>
      <c r="AH469" s="171">
        <v>1</v>
      </c>
      <c r="AI469" s="171">
        <v>0</v>
      </c>
      <c r="AJ469" s="171">
        <v>0</v>
      </c>
      <c r="AK469" s="171">
        <v>1</v>
      </c>
      <c r="AL469" s="171">
        <v>1</v>
      </c>
      <c r="AM469" s="171">
        <v>1</v>
      </c>
      <c r="AN469" s="171">
        <v>1</v>
      </c>
      <c r="AO469" s="171">
        <v>1</v>
      </c>
      <c r="AP469" s="171">
        <v>1</v>
      </c>
      <c r="AQ469" s="171">
        <v>1</v>
      </c>
      <c r="AR469" s="171">
        <v>1</v>
      </c>
      <c r="AS469" s="171">
        <v>1</v>
      </c>
      <c r="AT469" s="171">
        <v>1</v>
      </c>
      <c r="AU469" s="171">
        <f t="shared" si="162"/>
        <v>0</v>
      </c>
      <c r="AV469" s="171">
        <f t="shared" si="163"/>
        <v>1</v>
      </c>
      <c r="AW469" s="171">
        <f t="shared" si="164"/>
        <v>1</v>
      </c>
      <c r="AX469" s="171">
        <f t="shared" si="173"/>
        <v>1</v>
      </c>
      <c r="AY469" s="171">
        <f t="shared" si="165"/>
        <v>0</v>
      </c>
      <c r="AZ469" s="171">
        <f t="shared" si="166"/>
        <v>1</v>
      </c>
      <c r="BA469" s="172">
        <f t="shared" si="167"/>
        <v>0</v>
      </c>
      <c r="BB469" s="175">
        <f t="shared" si="169"/>
        <v>16</v>
      </c>
      <c r="BC469" s="176">
        <f t="shared" si="170"/>
        <v>16</v>
      </c>
      <c r="BD469" s="176">
        <f t="shared" si="171"/>
        <v>16</v>
      </c>
      <c r="BE469" s="240" t="str">
        <f t="shared" si="181"/>
        <v/>
      </c>
      <c r="BH469" s="199">
        <f>IF(AND(Input_Product=Elig!$C469,Elig_MatchAll_Ct&lt;22,$BC469=(Elig_MatchAll_Ct-1),AF469=0),C469,0)</f>
        <v>0</v>
      </c>
      <c r="BI469" s="199">
        <f>IF(AND(Input_Product=Elig!$C469,Elig_MatchAll_Ct&lt;22,$BC469=(Elig_MatchAll_Ct-1),AG469=0),D469,0)</f>
        <v>0</v>
      </c>
      <c r="BJ469" s="199">
        <f>IF(AND(Input_Product=Elig!$C469,Elig_MatchAll_Ct&lt;22,$BC469=(Elig_MatchAll_Ct-1),AH469=0),E469,0)</f>
        <v>0</v>
      </c>
      <c r="BK469" s="199">
        <f>IF(AND(Input_Product=Elig!$C469,Elig_MatchAll_Ct&lt;22,$BC469=(Elig_MatchAll_Ct-1),AI469=0),F469,0)</f>
        <v>0</v>
      </c>
      <c r="BL469" s="199">
        <f>IF(AND(Input_Product=Elig!$C469,Elig_MatchAll_Ct&lt;22,$BC469=(Elig_MatchAll_Ct-1),AJ469=0),G469,0)</f>
        <v>0</v>
      </c>
      <c r="BM469" s="199">
        <f>IF(AND(Input_Product=Elig!$C469,Elig_MatchAll_Ct&lt;22,$BC469=(Elig_MatchAll_Ct-1),AK469=0),H469,0)</f>
        <v>0</v>
      </c>
      <c r="BN469" s="199">
        <f>IF(AND(Input_Product=Elig!$C469,Elig_MatchAll_Ct&lt;22,$BC469=(Elig_MatchAll_Ct-1),AL469=0),I469,0)</f>
        <v>0</v>
      </c>
      <c r="BO469" s="199">
        <f>IF(AND(Input_Product=Elig!$C469,Elig_MatchAll_Ct&lt;22,$BC469=(Elig_MatchAll_Ct-1),AM469=0),J469,0)</f>
        <v>0</v>
      </c>
      <c r="BP469" s="199">
        <f>IF(AND(Input_Product=Elig!$C469,Elig_MatchAll_Ct&lt;22,$BC469=(Elig_MatchAll_Ct-1),AN469=0),K469,0)</f>
        <v>0</v>
      </c>
      <c r="BQ469" s="199">
        <f>IF(AND(Input_Product=Elig!$C469,Elig_MatchAll_Ct&lt;22,$BC469=(Elig_MatchAll_Ct-1),AP469=0),L469,0)</f>
        <v>0</v>
      </c>
      <c r="BR469" s="199">
        <f>IF(AND(Input_Product=Elig!$C469,Elig_MatchAll_Ct&lt;22,$BC469=(Elig_MatchAll_Ct-1),AO469=0),M469,0)</f>
        <v>0</v>
      </c>
      <c r="BS469" s="199">
        <f>IF(AND(Input_Product=Elig!$C469,Elig_MatchAll_Ct&lt;22,$BC469=(Elig_MatchAll_Ct-1),AQ469=0),N469,0)</f>
        <v>0</v>
      </c>
      <c r="BT469" s="199">
        <f>IF(AND(Input_Product=Elig!$C469,Elig_MatchAll_Ct&lt;22,$BC469=(Elig_MatchAll_Ct-1),AR469=0),O469,0)</f>
        <v>0</v>
      </c>
      <c r="BU469" s="199">
        <f>IF(AND(Input_Product=Elig!$C469,Elig_MatchAll_Ct&lt;22,$BC469=(Elig_MatchAll_Ct-1),AS469=0),P469,0)</f>
        <v>0</v>
      </c>
      <c r="BV469" s="200">
        <f>IF(AND(Input_Product=Elig!$C469,Elig_MatchAll_Ct&lt;22,$BC469=(Elig_MatchAll_Ct-1),AT469=0),Q469,0)</f>
        <v>0</v>
      </c>
      <c r="BW469" s="201">
        <f>IF(AND(Input_Product=Elig!$C469,Elig_MatchAll_Ct&lt;22,$BC469=(Elig_MatchAll_Ct-1),AU469=0),R469,0)</f>
        <v>0</v>
      </c>
      <c r="BX469" s="202">
        <f>IF(AND(Input_Product=Elig!$C469,Elig_MatchAll_Ct&lt;22,$BC469=(Elig_MatchAll_Ct-1),AU469=0),S469,0)</f>
        <v>0</v>
      </c>
      <c r="BY469" s="201">
        <f>IF(AND(Input_Product=Elig!$C469,Elig_MatchAll_Ct&lt;22,$BC469=(Elig_MatchAll_Ct-1),AV469=0),T469,0)</f>
        <v>0</v>
      </c>
      <c r="BZ469" s="202">
        <f>IF(AND(Input_Product=Elig!$C469,Elig_MatchAll_Ct&lt;22,$BC469=(Elig_MatchAll_Ct-1),AV469=0),U469,0)</f>
        <v>0</v>
      </c>
      <c r="CA469" s="201">
        <f>IF(AND(Input_Product=Elig!$C469,Elig_MatchAll_Ct&lt;22,$BC469=(Elig_MatchAll_Ct-1),AW469=0),V469,0)</f>
        <v>0</v>
      </c>
      <c r="CB469" s="202">
        <f>IF(AND(Input_Product=Elig!$C469,Elig_MatchAll_Ct&lt;22,$BC469=(Elig_MatchAll_Ct-1),AW469=0),W469,0)</f>
        <v>0</v>
      </c>
      <c r="CC469" s="201">
        <f>IF(AND(Input_Product=Elig!$C469,Elig_MatchAll_Ct&lt;22,$BC469=(Elig_MatchAll_Ct-1),AX469=0),X469,0)</f>
        <v>0</v>
      </c>
      <c r="CD469" s="202">
        <f>IF(AND(Input_Product=Elig!$C469,Elig_MatchAll_Ct&lt;22,$BC469=(Elig_MatchAll_Ct-1),AX469=0),Y469,0)</f>
        <v>0</v>
      </c>
      <c r="CE469" s="201">
        <f>IF(AND(Input_LTV&lt;=AE469,Input_Product=Elig!$C469,Elig_MatchAll_Ct&lt;22,$BC469=(Elig_MatchAll_Ct-1),AY469=0),Z469,0)</f>
        <v>0</v>
      </c>
      <c r="CF469" s="202">
        <f>IF(AND(Input_LTV&lt;=AE469,Input_Product=Elig!$C469,Elig_MatchAll_Ct&lt;22,$BC469=(Elig_MatchAll_Ct-1),AY469=0),AA469,0)</f>
        <v>0</v>
      </c>
      <c r="CG469" s="201">
        <f>IF(AND(Input_Product=Elig!$C469,Elig_MatchAll_Ct&lt;22,$BC469=(Elig_MatchAll_Ct-1),AZ469=0),AB469,0)</f>
        <v>0</v>
      </c>
      <c r="CH469" s="202">
        <f>IF(AND(Input_Product=Elig!$C469,Elig_MatchAll_Ct&lt;22,$BC469=(Elig_MatchAll_Ct-1),AZ469=0),AC469,0)</f>
        <v>0</v>
      </c>
      <c r="CI469" s="201">
        <f>IF(AND(Input_Product=Elig!$C469,Elig_MatchAll_Ct&lt;22,$BC469=(Elig_MatchAll_Ct-1),BA469=0),AD469,0)</f>
        <v>0</v>
      </c>
      <c r="CJ469" s="202">
        <f>IF(AND(Input_Product=Elig!$C469,Elig_MatchAll_Ct&lt;22,$BC469=(Elig_MatchAll_Ct-1),BA469=0),AE469,0)</f>
        <v>0</v>
      </c>
    </row>
    <row r="470" spans="2:88" ht="10.15" customHeight="1" x14ac:dyDescent="0.25">
      <c r="B470" s="287" t="s">
        <v>1166</v>
      </c>
      <c r="C470" s="291" t="str">
        <f t="shared" si="175"/>
        <v>NonQM NOO</v>
      </c>
      <c r="D470" s="292" t="s">
        <v>3885</v>
      </c>
      <c r="E470" s="292" t="s">
        <v>167</v>
      </c>
      <c r="F470" s="292" t="s">
        <v>330</v>
      </c>
      <c r="G470" s="292" t="s">
        <v>179</v>
      </c>
      <c r="H470" s="292" t="s">
        <v>136</v>
      </c>
      <c r="I470" s="295" t="s">
        <v>16</v>
      </c>
      <c r="J470" s="295" t="s">
        <v>1311</v>
      </c>
      <c r="K470" s="295" t="s">
        <v>1631</v>
      </c>
      <c r="L470" s="324" t="s">
        <v>312</v>
      </c>
      <c r="M470" s="292" t="s">
        <v>4203</v>
      </c>
      <c r="N470" s="292" t="s">
        <v>2685</v>
      </c>
      <c r="O470" s="292" t="s">
        <v>310</v>
      </c>
      <c r="P470" s="292" t="s">
        <v>291</v>
      </c>
      <c r="Q470" s="292" t="s">
        <v>294</v>
      </c>
      <c r="R470" s="292">
        <v>1500000.01</v>
      </c>
      <c r="S470" s="292">
        <v>2000000</v>
      </c>
      <c r="T470" s="292">
        <v>0</v>
      </c>
      <c r="U470" s="292">
        <f t="shared" si="182"/>
        <v>2000000</v>
      </c>
      <c r="V470" s="292">
        <v>0</v>
      </c>
      <c r="W470" s="292">
        <v>50</v>
      </c>
      <c r="X470" s="292">
        <v>0</v>
      </c>
      <c r="Y470" s="292">
        <v>999</v>
      </c>
      <c r="Z470" s="293">
        <v>620</v>
      </c>
      <c r="AA470" s="293">
        <v>639</v>
      </c>
      <c r="AB470" s="293">
        <v>6</v>
      </c>
      <c r="AC470" s="293">
        <v>999999</v>
      </c>
      <c r="AD470" s="292">
        <v>0</v>
      </c>
      <c r="AE470" s="294">
        <v>-999</v>
      </c>
      <c r="AF470" s="170">
        <v>0</v>
      </c>
      <c r="AG470" s="171">
        <v>1</v>
      </c>
      <c r="AH470" s="171">
        <v>1</v>
      </c>
      <c r="AI470" s="171">
        <v>0</v>
      </c>
      <c r="AJ470" s="171">
        <v>0</v>
      </c>
      <c r="AK470" s="171">
        <v>1</v>
      </c>
      <c r="AL470" s="171">
        <v>1</v>
      </c>
      <c r="AM470" s="171">
        <v>1</v>
      </c>
      <c r="AN470" s="171">
        <v>1</v>
      </c>
      <c r="AO470" s="171">
        <v>1</v>
      </c>
      <c r="AP470" s="171">
        <v>1</v>
      </c>
      <c r="AQ470" s="171">
        <v>1</v>
      </c>
      <c r="AR470" s="171">
        <v>1</v>
      </c>
      <c r="AS470" s="171">
        <v>1</v>
      </c>
      <c r="AT470" s="171">
        <v>1</v>
      </c>
      <c r="AU470" s="171">
        <f t="shared" si="162"/>
        <v>0</v>
      </c>
      <c r="AV470" s="171">
        <f t="shared" si="163"/>
        <v>1</v>
      </c>
      <c r="AW470" s="171">
        <f t="shared" si="164"/>
        <v>1</v>
      </c>
      <c r="AX470" s="171">
        <f t="shared" si="173"/>
        <v>1</v>
      </c>
      <c r="AY470" s="171">
        <f t="shared" si="165"/>
        <v>0</v>
      </c>
      <c r="AZ470" s="171">
        <f t="shared" si="166"/>
        <v>1</v>
      </c>
      <c r="BA470" s="172">
        <f t="shared" si="167"/>
        <v>0</v>
      </c>
      <c r="BB470" s="175">
        <f t="shared" si="169"/>
        <v>16</v>
      </c>
      <c r="BC470" s="176">
        <f t="shared" si="170"/>
        <v>16</v>
      </c>
      <c r="BD470" s="176">
        <f t="shared" si="171"/>
        <v>16</v>
      </c>
      <c r="BE470" s="240" t="str">
        <f t="shared" si="181"/>
        <v/>
      </c>
      <c r="BH470" s="214">
        <f>IF(AND(Input_Product=Elig!$C470,Elig_MatchAll_Ct&lt;22,$BC470=(Elig_MatchAll_Ct-1),AF470=0),C470,0)</f>
        <v>0</v>
      </c>
      <c r="BI470" s="214">
        <f>IF(AND(Input_Product=Elig!$C470,Elig_MatchAll_Ct&lt;22,$BC470=(Elig_MatchAll_Ct-1),AG470=0),D470,0)</f>
        <v>0</v>
      </c>
      <c r="BJ470" s="214">
        <f>IF(AND(Input_Product=Elig!$C470,Elig_MatchAll_Ct&lt;22,$BC470=(Elig_MatchAll_Ct-1),AH470=0),E470,0)</f>
        <v>0</v>
      </c>
      <c r="BK470" s="214">
        <f>IF(AND(Input_Product=Elig!$C470,Elig_MatchAll_Ct&lt;22,$BC470=(Elig_MatchAll_Ct-1),AI470=0),F470,0)</f>
        <v>0</v>
      </c>
      <c r="BL470" s="214">
        <f>IF(AND(Input_Product=Elig!$C470,Elig_MatchAll_Ct&lt;22,$BC470=(Elig_MatchAll_Ct-1),AJ470=0),G470,0)</f>
        <v>0</v>
      </c>
      <c r="BM470" s="214">
        <f>IF(AND(Input_Product=Elig!$C470,Elig_MatchAll_Ct&lt;22,$BC470=(Elig_MatchAll_Ct-1),AK470=0),H470,0)</f>
        <v>0</v>
      </c>
      <c r="BN470" s="214">
        <f>IF(AND(Input_Product=Elig!$C470,Elig_MatchAll_Ct&lt;22,$BC470=(Elig_MatchAll_Ct-1),AL470=0),I470,0)</f>
        <v>0</v>
      </c>
      <c r="BO470" s="214">
        <f>IF(AND(Input_Product=Elig!$C470,Elig_MatchAll_Ct&lt;22,$BC470=(Elig_MatchAll_Ct-1),AM470=0),J470,0)</f>
        <v>0</v>
      </c>
      <c r="BP470" s="214">
        <f>IF(AND(Input_Product=Elig!$C470,Elig_MatchAll_Ct&lt;22,$BC470=(Elig_MatchAll_Ct-1),AN470=0),K470,0)</f>
        <v>0</v>
      </c>
      <c r="BQ470" s="214">
        <f>IF(AND(Input_Product=Elig!$C470,Elig_MatchAll_Ct&lt;22,$BC470=(Elig_MatchAll_Ct-1),AP470=0),L470,0)</f>
        <v>0</v>
      </c>
      <c r="BR470" s="214">
        <f>IF(AND(Input_Product=Elig!$C470,Elig_MatchAll_Ct&lt;22,$BC470=(Elig_MatchAll_Ct-1),AO470=0),M470,0)</f>
        <v>0</v>
      </c>
      <c r="BS470" s="214">
        <f>IF(AND(Input_Product=Elig!$C470,Elig_MatchAll_Ct&lt;22,$BC470=(Elig_MatchAll_Ct-1),AQ470=0),N470,0)</f>
        <v>0</v>
      </c>
      <c r="BT470" s="214">
        <f>IF(AND(Input_Product=Elig!$C470,Elig_MatchAll_Ct&lt;22,$BC470=(Elig_MatchAll_Ct-1),AR470=0),O470,0)</f>
        <v>0</v>
      </c>
      <c r="BU470" s="214">
        <f>IF(AND(Input_Product=Elig!$C470,Elig_MatchAll_Ct&lt;22,$BC470=(Elig_MatchAll_Ct-1),AS470=0),P470,0)</f>
        <v>0</v>
      </c>
      <c r="BV470" s="215">
        <f>IF(AND(Input_Product=Elig!$C470,Elig_MatchAll_Ct&lt;22,$BC470=(Elig_MatchAll_Ct-1),AT470=0),Q470,0)</f>
        <v>0</v>
      </c>
      <c r="BW470" s="207">
        <f>IF(AND(Input_Product=Elig!$C470,Elig_MatchAll_Ct&lt;22,$BC470=(Elig_MatchAll_Ct-1),AU470=0),R470,0)</f>
        <v>0</v>
      </c>
      <c r="BX470" s="208">
        <f>IF(AND(Input_Product=Elig!$C470,Elig_MatchAll_Ct&lt;22,$BC470=(Elig_MatchAll_Ct-1),AU470=0),S470,0)</f>
        <v>0</v>
      </c>
      <c r="BY470" s="207">
        <f>IF(AND(Input_Product=Elig!$C470,Elig_MatchAll_Ct&lt;22,$BC470=(Elig_MatchAll_Ct-1),AV470=0),T470,0)</f>
        <v>0</v>
      </c>
      <c r="BZ470" s="208">
        <f>IF(AND(Input_Product=Elig!$C470,Elig_MatchAll_Ct&lt;22,$BC470=(Elig_MatchAll_Ct-1),AV470=0),U470,0)</f>
        <v>0</v>
      </c>
      <c r="CA470" s="207">
        <f>IF(AND(Input_Product=Elig!$C470,Elig_MatchAll_Ct&lt;22,$BC470=(Elig_MatchAll_Ct-1),AW470=0),V470,0)</f>
        <v>0</v>
      </c>
      <c r="CB470" s="208">
        <f>IF(AND(Input_Product=Elig!$C470,Elig_MatchAll_Ct&lt;22,$BC470=(Elig_MatchAll_Ct-1),AW470=0),W470,0)</f>
        <v>0</v>
      </c>
      <c r="CC470" s="207">
        <f>IF(AND(Input_Product=Elig!$C470,Elig_MatchAll_Ct&lt;22,$BC470=(Elig_MatchAll_Ct-1),AX470=0),X470,0)</f>
        <v>0</v>
      </c>
      <c r="CD470" s="208">
        <f>IF(AND(Input_Product=Elig!$C470,Elig_MatchAll_Ct&lt;22,$BC470=(Elig_MatchAll_Ct-1),AX470=0),Y470,0)</f>
        <v>0</v>
      </c>
      <c r="CE470" s="207">
        <f>IF(AND(Input_LTV&lt;=AE470,Input_Product=Elig!$C470,Elig_MatchAll_Ct&lt;22,$BC470=(Elig_MatchAll_Ct-1),AY470=0),Z470,0)</f>
        <v>0</v>
      </c>
      <c r="CF470" s="208">
        <f>IF(AND(Input_LTV&lt;=AE470,Input_Product=Elig!$C470,Elig_MatchAll_Ct&lt;22,$BC470=(Elig_MatchAll_Ct-1),AY470=0),AA470,0)</f>
        <v>0</v>
      </c>
      <c r="CG470" s="207">
        <f>IF(AND(Input_Product=Elig!$C470,Elig_MatchAll_Ct&lt;22,$BC470=(Elig_MatchAll_Ct-1),AZ470=0),AB470,0)</f>
        <v>0</v>
      </c>
      <c r="CH470" s="208">
        <f>IF(AND(Input_Product=Elig!$C470,Elig_MatchAll_Ct&lt;22,$BC470=(Elig_MatchAll_Ct-1),AZ470=0),AC470,0)</f>
        <v>0</v>
      </c>
      <c r="CI470" s="207">
        <f>IF(AND(Input_Product=Elig!$C470,Elig_MatchAll_Ct&lt;22,$BC470=(Elig_MatchAll_Ct-1),BA470=0),AD470,0)</f>
        <v>0</v>
      </c>
      <c r="CJ470" s="209">
        <f>IF(AND(Input_Product=Elig!$C470,Elig_MatchAll_Ct&lt;22,$BC470=(Elig_MatchAll_Ct-1),BA470=0),AE470,0)</f>
        <v>0</v>
      </c>
    </row>
    <row r="471" spans="2:88" ht="10.15" customHeight="1" x14ac:dyDescent="0.25">
      <c r="B471" s="287" t="s">
        <v>1212</v>
      </c>
      <c r="C471" s="281" t="str">
        <f t="shared" si="175"/>
        <v>NonQM NOO</v>
      </c>
      <c r="D471" s="282" t="s">
        <v>3885</v>
      </c>
      <c r="E471" s="283" t="s">
        <v>167</v>
      </c>
      <c r="F471" s="283" t="s">
        <v>330</v>
      </c>
      <c r="G471" s="283" t="s">
        <v>305</v>
      </c>
      <c r="H471" s="283" t="s">
        <v>136</v>
      </c>
      <c r="I471" s="282" t="s">
        <v>274</v>
      </c>
      <c r="J471" s="282" t="s">
        <v>1311</v>
      </c>
      <c r="K471" s="282" t="s">
        <v>1631</v>
      </c>
      <c r="L471" s="2103" t="s">
        <v>312</v>
      </c>
      <c r="M471" s="283" t="s">
        <v>4203</v>
      </c>
      <c r="N471" s="283" t="s">
        <v>2685</v>
      </c>
      <c r="O471" s="283" t="s">
        <v>310</v>
      </c>
      <c r="P471" s="283" t="s">
        <v>291</v>
      </c>
      <c r="Q471" s="283" t="s">
        <v>294</v>
      </c>
      <c r="R471" s="282">
        <v>1500000.01</v>
      </c>
      <c r="S471" s="282">
        <v>2000000</v>
      </c>
      <c r="T471" s="282">
        <v>0</v>
      </c>
      <c r="U471" s="282">
        <v>0</v>
      </c>
      <c r="V471" s="282">
        <v>0</v>
      </c>
      <c r="W471" s="282">
        <v>50</v>
      </c>
      <c r="X471" s="282">
        <v>0</v>
      </c>
      <c r="Y471" s="282">
        <v>999</v>
      </c>
      <c r="Z471" s="284">
        <v>720</v>
      </c>
      <c r="AA471" s="284">
        <v>999</v>
      </c>
      <c r="AB471" s="284">
        <v>6</v>
      </c>
      <c r="AC471" s="284">
        <v>999999</v>
      </c>
      <c r="AD471" s="282">
        <v>0</v>
      </c>
      <c r="AE471" s="285">
        <v>70</v>
      </c>
      <c r="AF471" s="170">
        <v>0</v>
      </c>
      <c r="AG471" s="171">
        <v>1</v>
      </c>
      <c r="AH471" s="171">
        <v>1</v>
      </c>
      <c r="AI471" s="171">
        <v>0</v>
      </c>
      <c r="AJ471" s="171">
        <v>0</v>
      </c>
      <c r="AK471" s="171">
        <v>1</v>
      </c>
      <c r="AL471" s="171">
        <v>0</v>
      </c>
      <c r="AM471" s="171">
        <v>1</v>
      </c>
      <c r="AN471" s="171">
        <v>1</v>
      </c>
      <c r="AO471" s="171">
        <v>1</v>
      </c>
      <c r="AP471" s="171">
        <v>1</v>
      </c>
      <c r="AQ471" s="171">
        <v>1</v>
      </c>
      <c r="AR471" s="171">
        <v>1</v>
      </c>
      <c r="AS471" s="171">
        <v>1</v>
      </c>
      <c r="AT471" s="171">
        <v>1</v>
      </c>
      <c r="AU471" s="171">
        <f t="shared" si="162"/>
        <v>0</v>
      </c>
      <c r="AV471" s="171">
        <f t="shared" si="163"/>
        <v>0</v>
      </c>
      <c r="AW471" s="171">
        <f t="shared" si="164"/>
        <v>1</v>
      </c>
      <c r="AX471" s="171">
        <f t="shared" si="173"/>
        <v>1</v>
      </c>
      <c r="AY471" s="171">
        <f t="shared" si="165"/>
        <v>1</v>
      </c>
      <c r="AZ471" s="171">
        <f t="shared" si="166"/>
        <v>1</v>
      </c>
      <c r="BA471" s="172">
        <f t="shared" si="167"/>
        <v>1</v>
      </c>
      <c r="BB471" s="175">
        <f t="shared" si="169"/>
        <v>16</v>
      </c>
      <c r="BC471" s="176">
        <f t="shared" si="170"/>
        <v>15</v>
      </c>
      <c r="BD471" s="176">
        <f t="shared" si="171"/>
        <v>16</v>
      </c>
      <c r="BE471" s="240" t="str">
        <f t="shared" si="181"/>
        <v/>
      </c>
      <c r="BH471" s="216">
        <f>IF(AND(Input_Product=Elig!$C471,Elig_MatchAll_Ct&lt;22,$BC471=(Elig_MatchAll_Ct-1),AF471=0),C471,0)</f>
        <v>0</v>
      </c>
      <c r="BI471" s="216">
        <f>IF(AND(Input_Product=Elig!$C471,Elig_MatchAll_Ct&lt;22,$BC471=(Elig_MatchAll_Ct-1),AG471=0),D471,0)</f>
        <v>0</v>
      </c>
      <c r="BJ471" s="216">
        <f>IF(AND(Input_Product=Elig!$C471,Elig_MatchAll_Ct&lt;22,$BC471=(Elig_MatchAll_Ct-1),AH471=0),E471,0)</f>
        <v>0</v>
      </c>
      <c r="BK471" s="216">
        <f>IF(AND(Input_Product=Elig!$C471,Elig_MatchAll_Ct&lt;22,$BC471=(Elig_MatchAll_Ct-1),AI471=0),F471,0)</f>
        <v>0</v>
      </c>
      <c r="BL471" s="216">
        <f>IF(AND(Input_Product=Elig!$C471,Elig_MatchAll_Ct&lt;22,$BC471=(Elig_MatchAll_Ct-1),AJ471=0),G471,0)</f>
        <v>0</v>
      </c>
      <c r="BM471" s="216">
        <f>IF(AND(Input_Product=Elig!$C471,Elig_MatchAll_Ct&lt;22,$BC471=(Elig_MatchAll_Ct-1),AK471=0),H471,0)</f>
        <v>0</v>
      </c>
      <c r="BN471" s="216">
        <f>IF(AND(Input_Product=Elig!$C471,Elig_MatchAll_Ct&lt;22,$BC471=(Elig_MatchAll_Ct-1),AL471=0),I471,0)</f>
        <v>0</v>
      </c>
      <c r="BO471" s="216">
        <f>IF(AND(Input_Product=Elig!$C471,Elig_MatchAll_Ct&lt;22,$BC471=(Elig_MatchAll_Ct-1),AM471=0),J471,0)</f>
        <v>0</v>
      </c>
      <c r="BP471" s="216">
        <f>IF(AND(Input_Product=Elig!$C471,Elig_MatchAll_Ct&lt;22,$BC471=(Elig_MatchAll_Ct-1),AN471=0),K471,0)</f>
        <v>0</v>
      </c>
      <c r="BQ471" s="216">
        <f>IF(AND(Input_Product=Elig!$C471,Elig_MatchAll_Ct&lt;22,$BC471=(Elig_MatchAll_Ct-1),AP471=0),L471,0)</f>
        <v>0</v>
      </c>
      <c r="BR471" s="216">
        <f>IF(AND(Input_Product=Elig!$C471,Elig_MatchAll_Ct&lt;22,$BC471=(Elig_MatchAll_Ct-1),AO471=0),M471,0)</f>
        <v>0</v>
      </c>
      <c r="BS471" s="216">
        <f>IF(AND(Input_Product=Elig!$C471,Elig_MatchAll_Ct&lt;22,$BC471=(Elig_MatchAll_Ct-1),AQ471=0),N471,0)</f>
        <v>0</v>
      </c>
      <c r="BT471" s="216">
        <f>IF(AND(Input_Product=Elig!$C471,Elig_MatchAll_Ct&lt;22,$BC471=(Elig_MatchAll_Ct-1),AR471=0),O471,0)</f>
        <v>0</v>
      </c>
      <c r="BU471" s="216">
        <f>IF(AND(Input_Product=Elig!$C471,Elig_MatchAll_Ct&lt;22,$BC471=(Elig_MatchAll_Ct-1),AS471=0),P471,0)</f>
        <v>0</v>
      </c>
      <c r="BV471" s="217">
        <f>IF(AND(Input_Product=Elig!$C471,Elig_MatchAll_Ct&lt;22,$BC471=(Elig_MatchAll_Ct-1),AT471=0),Q471,0)</f>
        <v>0</v>
      </c>
      <c r="BW471" s="218">
        <f>IF(AND(Input_Product=Elig!$C471,Elig_MatchAll_Ct&lt;22,$BC471=(Elig_MatchAll_Ct-1),AU471=0),R471,0)</f>
        <v>0</v>
      </c>
      <c r="BX471" s="219">
        <f>IF(AND(Input_Product=Elig!$C471,Elig_MatchAll_Ct&lt;22,$BC471=(Elig_MatchAll_Ct-1),AU471=0),S471,0)</f>
        <v>0</v>
      </c>
      <c r="BY471" s="218">
        <f>IF(AND(Input_Product=Elig!$C471,Elig_MatchAll_Ct&lt;22,$BC471=(Elig_MatchAll_Ct-1),AV471=0),T471,0)</f>
        <v>0</v>
      </c>
      <c r="BZ471" s="219">
        <f>IF(AND(Input_Product=Elig!$C471,Elig_MatchAll_Ct&lt;22,$BC471=(Elig_MatchAll_Ct-1),AV471=0),U471,0)</f>
        <v>0</v>
      </c>
      <c r="CA471" s="218">
        <f>IF(AND(Input_Product=Elig!$C471,Elig_MatchAll_Ct&lt;22,$BC471=(Elig_MatchAll_Ct-1),AW471=0),V471,0)</f>
        <v>0</v>
      </c>
      <c r="CB471" s="219">
        <f>IF(AND(Input_Product=Elig!$C471,Elig_MatchAll_Ct&lt;22,$BC471=(Elig_MatchAll_Ct-1),AW471=0),W471,0)</f>
        <v>0</v>
      </c>
      <c r="CC471" s="218">
        <f>IF(AND(Input_Product=Elig!$C471,Elig_MatchAll_Ct&lt;22,$BC471=(Elig_MatchAll_Ct-1),AX471=0),X471,0)</f>
        <v>0</v>
      </c>
      <c r="CD471" s="219">
        <f>IF(AND(Input_Product=Elig!$C471,Elig_MatchAll_Ct&lt;22,$BC471=(Elig_MatchAll_Ct-1),AX471=0),Y471,0)</f>
        <v>0</v>
      </c>
      <c r="CE471" s="218">
        <f>IF(AND(Input_LTV&lt;=AE471,Input_Product=Elig!$C471,Elig_MatchAll_Ct&lt;22,$BC471=(Elig_MatchAll_Ct-1),AY471=0),Z471,0)</f>
        <v>0</v>
      </c>
      <c r="CF471" s="219">
        <f>IF(AND(Input_LTV&lt;=AE471,Input_Product=Elig!$C471,Elig_MatchAll_Ct&lt;22,$BC471=(Elig_MatchAll_Ct-1),AY471=0),AA471,0)</f>
        <v>0</v>
      </c>
      <c r="CG471" s="218">
        <f>IF(AND(Input_Product=Elig!$C471,Elig_MatchAll_Ct&lt;22,$BC471=(Elig_MatchAll_Ct-1),AZ471=0),AB471,0)</f>
        <v>0</v>
      </c>
      <c r="CH471" s="219">
        <f>IF(AND(Input_Product=Elig!$C471,Elig_MatchAll_Ct&lt;22,$BC471=(Elig_MatchAll_Ct-1),AZ471=0),AC471,0)</f>
        <v>0</v>
      </c>
      <c r="CI471" s="218">
        <f>IF(AND(Input_Product=Elig!$C471,Elig_MatchAll_Ct&lt;22,$BC471=(Elig_MatchAll_Ct-1),BA471=0),AD471,0)</f>
        <v>0</v>
      </c>
      <c r="CJ471" s="219">
        <f>IF(AND(Input_Product=Elig!$C471,Elig_MatchAll_Ct&lt;22,$BC471=(Elig_MatchAll_Ct-1),BA471=0),AE471,0)</f>
        <v>0</v>
      </c>
    </row>
    <row r="472" spans="2:88" ht="10.15" customHeight="1" x14ac:dyDescent="0.25">
      <c r="B472" s="287" t="s">
        <v>1213</v>
      </c>
      <c r="C472" s="286" t="str">
        <f t="shared" si="175"/>
        <v>NonQM NOO</v>
      </c>
      <c r="D472" s="287" t="s">
        <v>3885</v>
      </c>
      <c r="E472" s="287" t="s">
        <v>167</v>
      </c>
      <c r="F472" s="287" t="s">
        <v>330</v>
      </c>
      <c r="G472" s="287" t="s">
        <v>305</v>
      </c>
      <c r="H472" s="287" t="s">
        <v>136</v>
      </c>
      <c r="I472" s="288" t="s">
        <v>274</v>
      </c>
      <c r="J472" s="288" t="s">
        <v>1311</v>
      </c>
      <c r="K472" s="288" t="s">
        <v>1631</v>
      </c>
      <c r="L472" s="300" t="s">
        <v>312</v>
      </c>
      <c r="M472" s="287" t="s">
        <v>4203</v>
      </c>
      <c r="N472" s="287" t="s">
        <v>2685</v>
      </c>
      <c r="O472" s="287" t="s">
        <v>310</v>
      </c>
      <c r="P472" s="287" t="s">
        <v>291</v>
      </c>
      <c r="Q472" s="287" t="s">
        <v>294</v>
      </c>
      <c r="R472" s="287">
        <v>1500000.01</v>
      </c>
      <c r="S472" s="287">
        <v>2000000</v>
      </c>
      <c r="T472" s="287">
        <v>0</v>
      </c>
      <c r="U472" s="287">
        <v>0</v>
      </c>
      <c r="V472" s="287">
        <v>0</v>
      </c>
      <c r="W472" s="287">
        <v>50</v>
      </c>
      <c r="X472" s="287">
        <v>0</v>
      </c>
      <c r="Y472" s="287">
        <v>999</v>
      </c>
      <c r="Z472" s="289">
        <v>700</v>
      </c>
      <c r="AA472" s="289">
        <v>719</v>
      </c>
      <c r="AB472" s="289">
        <v>6</v>
      </c>
      <c r="AC472" s="289">
        <v>999999</v>
      </c>
      <c r="AD472" s="287">
        <v>0</v>
      </c>
      <c r="AE472" s="290">
        <v>65</v>
      </c>
      <c r="AF472" s="170">
        <v>0</v>
      </c>
      <c r="AG472" s="171">
        <v>1</v>
      </c>
      <c r="AH472" s="171">
        <v>1</v>
      </c>
      <c r="AI472" s="171">
        <v>0</v>
      </c>
      <c r="AJ472" s="171">
        <v>0</v>
      </c>
      <c r="AK472" s="171">
        <v>1</v>
      </c>
      <c r="AL472" s="171">
        <v>0</v>
      </c>
      <c r="AM472" s="171">
        <v>1</v>
      </c>
      <c r="AN472" s="171">
        <v>1</v>
      </c>
      <c r="AO472" s="171">
        <v>1</v>
      </c>
      <c r="AP472" s="171">
        <v>1</v>
      </c>
      <c r="AQ472" s="171">
        <v>1</v>
      </c>
      <c r="AR472" s="171">
        <v>1</v>
      </c>
      <c r="AS472" s="171">
        <v>1</v>
      </c>
      <c r="AT472" s="171">
        <v>1</v>
      </c>
      <c r="AU472" s="171">
        <f t="shared" si="162"/>
        <v>0</v>
      </c>
      <c r="AV472" s="171">
        <f t="shared" si="163"/>
        <v>0</v>
      </c>
      <c r="AW472" s="171">
        <f t="shared" si="164"/>
        <v>1</v>
      </c>
      <c r="AX472" s="171">
        <f t="shared" si="173"/>
        <v>1</v>
      </c>
      <c r="AY472" s="171">
        <f t="shared" si="165"/>
        <v>0</v>
      </c>
      <c r="AZ472" s="171">
        <f t="shared" si="166"/>
        <v>1</v>
      </c>
      <c r="BA472" s="172">
        <f t="shared" si="167"/>
        <v>1</v>
      </c>
      <c r="BB472" s="175">
        <f t="shared" si="169"/>
        <v>15</v>
      </c>
      <c r="BC472" s="176">
        <f t="shared" si="170"/>
        <v>14</v>
      </c>
      <c r="BD472" s="176">
        <f t="shared" si="171"/>
        <v>15</v>
      </c>
      <c r="BE472" s="240" t="str">
        <f t="shared" si="181"/>
        <v/>
      </c>
      <c r="BH472" s="199">
        <f>IF(AND(Input_Product=Elig!$C472,Elig_MatchAll_Ct&lt;22,$BC472=(Elig_MatchAll_Ct-1),AF472=0),C472,0)</f>
        <v>0</v>
      </c>
      <c r="BI472" s="199">
        <f>IF(AND(Input_Product=Elig!$C472,Elig_MatchAll_Ct&lt;22,$BC472=(Elig_MatchAll_Ct-1),AG472=0),D472,0)</f>
        <v>0</v>
      </c>
      <c r="BJ472" s="199">
        <f>IF(AND(Input_Product=Elig!$C472,Elig_MatchAll_Ct&lt;22,$BC472=(Elig_MatchAll_Ct-1),AH472=0),E472,0)</f>
        <v>0</v>
      </c>
      <c r="BK472" s="199">
        <f>IF(AND(Input_Product=Elig!$C472,Elig_MatchAll_Ct&lt;22,$BC472=(Elig_MatchAll_Ct-1),AI472=0),F472,0)</f>
        <v>0</v>
      </c>
      <c r="BL472" s="199">
        <f>IF(AND(Input_Product=Elig!$C472,Elig_MatchAll_Ct&lt;22,$BC472=(Elig_MatchAll_Ct-1),AJ472=0),G472,0)</f>
        <v>0</v>
      </c>
      <c r="BM472" s="199">
        <f>IF(AND(Input_Product=Elig!$C472,Elig_MatchAll_Ct&lt;22,$BC472=(Elig_MatchAll_Ct-1),AK472=0),H472,0)</f>
        <v>0</v>
      </c>
      <c r="BN472" s="199">
        <f>IF(AND(Input_Product=Elig!$C472,Elig_MatchAll_Ct&lt;22,$BC472=(Elig_MatchAll_Ct-1),AL472=0),I472,0)</f>
        <v>0</v>
      </c>
      <c r="BO472" s="199">
        <f>IF(AND(Input_Product=Elig!$C472,Elig_MatchAll_Ct&lt;22,$BC472=(Elig_MatchAll_Ct-1),AM472=0),J472,0)</f>
        <v>0</v>
      </c>
      <c r="BP472" s="199">
        <f>IF(AND(Input_Product=Elig!$C472,Elig_MatchAll_Ct&lt;22,$BC472=(Elig_MatchAll_Ct-1),AN472=0),K472,0)</f>
        <v>0</v>
      </c>
      <c r="BQ472" s="199">
        <f>IF(AND(Input_Product=Elig!$C472,Elig_MatchAll_Ct&lt;22,$BC472=(Elig_MatchAll_Ct-1),AP472=0),L472,0)</f>
        <v>0</v>
      </c>
      <c r="BR472" s="199">
        <f>IF(AND(Input_Product=Elig!$C472,Elig_MatchAll_Ct&lt;22,$BC472=(Elig_MatchAll_Ct-1),AO472=0),M472,0)</f>
        <v>0</v>
      </c>
      <c r="BS472" s="199">
        <f>IF(AND(Input_Product=Elig!$C472,Elig_MatchAll_Ct&lt;22,$BC472=(Elig_MatchAll_Ct-1),AQ472=0),N472,0)</f>
        <v>0</v>
      </c>
      <c r="BT472" s="199">
        <f>IF(AND(Input_Product=Elig!$C472,Elig_MatchAll_Ct&lt;22,$BC472=(Elig_MatchAll_Ct-1),AR472=0),O472,0)</f>
        <v>0</v>
      </c>
      <c r="BU472" s="199">
        <f>IF(AND(Input_Product=Elig!$C472,Elig_MatchAll_Ct&lt;22,$BC472=(Elig_MatchAll_Ct-1),AS472=0),P472,0)</f>
        <v>0</v>
      </c>
      <c r="BV472" s="200">
        <f>IF(AND(Input_Product=Elig!$C472,Elig_MatchAll_Ct&lt;22,$BC472=(Elig_MatchAll_Ct-1),AT472=0),Q472,0)</f>
        <v>0</v>
      </c>
      <c r="BW472" s="201">
        <f>IF(AND(Input_Product=Elig!$C472,Elig_MatchAll_Ct&lt;22,$BC472=(Elig_MatchAll_Ct-1),AU472=0),R472,0)</f>
        <v>0</v>
      </c>
      <c r="BX472" s="202">
        <f>IF(AND(Input_Product=Elig!$C472,Elig_MatchAll_Ct&lt;22,$BC472=(Elig_MatchAll_Ct-1),AU472=0),S472,0)</f>
        <v>0</v>
      </c>
      <c r="BY472" s="201">
        <f>IF(AND(Input_Product=Elig!$C472,Elig_MatchAll_Ct&lt;22,$BC472=(Elig_MatchAll_Ct-1),AV472=0),T472,0)</f>
        <v>0</v>
      </c>
      <c r="BZ472" s="202">
        <f>IF(AND(Input_Product=Elig!$C472,Elig_MatchAll_Ct&lt;22,$BC472=(Elig_MatchAll_Ct-1),AV472=0),U472,0)</f>
        <v>0</v>
      </c>
      <c r="CA472" s="201">
        <f>IF(AND(Input_Product=Elig!$C472,Elig_MatchAll_Ct&lt;22,$BC472=(Elig_MatchAll_Ct-1),AW472=0),V472,0)</f>
        <v>0</v>
      </c>
      <c r="CB472" s="202">
        <f>IF(AND(Input_Product=Elig!$C472,Elig_MatchAll_Ct&lt;22,$BC472=(Elig_MatchAll_Ct-1),AW472=0),W472,0)</f>
        <v>0</v>
      </c>
      <c r="CC472" s="201">
        <f>IF(AND(Input_Product=Elig!$C472,Elig_MatchAll_Ct&lt;22,$BC472=(Elig_MatchAll_Ct-1),AX472=0),X472,0)</f>
        <v>0</v>
      </c>
      <c r="CD472" s="202">
        <f>IF(AND(Input_Product=Elig!$C472,Elig_MatchAll_Ct&lt;22,$BC472=(Elig_MatchAll_Ct-1),AX472=0),Y472,0)</f>
        <v>0</v>
      </c>
      <c r="CE472" s="201">
        <f>IF(AND(Input_LTV&lt;=AE472,Input_Product=Elig!$C472,Elig_MatchAll_Ct&lt;22,$BC472=(Elig_MatchAll_Ct-1),AY472=0),Z472,0)</f>
        <v>0</v>
      </c>
      <c r="CF472" s="202">
        <f>IF(AND(Input_LTV&lt;=AE472,Input_Product=Elig!$C472,Elig_MatchAll_Ct&lt;22,$BC472=(Elig_MatchAll_Ct-1),AY472=0),AA472,0)</f>
        <v>0</v>
      </c>
      <c r="CG472" s="201">
        <f>IF(AND(Input_Product=Elig!$C472,Elig_MatchAll_Ct&lt;22,$BC472=(Elig_MatchAll_Ct-1),AZ472=0),AB472,0)</f>
        <v>0</v>
      </c>
      <c r="CH472" s="202">
        <f>IF(AND(Input_Product=Elig!$C472,Elig_MatchAll_Ct&lt;22,$BC472=(Elig_MatchAll_Ct-1),AZ472=0),AC472,0)</f>
        <v>0</v>
      </c>
      <c r="CI472" s="201">
        <f>IF(AND(Input_Product=Elig!$C472,Elig_MatchAll_Ct&lt;22,$BC472=(Elig_MatchAll_Ct-1),BA472=0),AD472,0)</f>
        <v>0</v>
      </c>
      <c r="CJ472" s="202">
        <f>IF(AND(Input_Product=Elig!$C472,Elig_MatchAll_Ct&lt;22,$BC472=(Elig_MatchAll_Ct-1),BA472=0),AE472,0)</f>
        <v>0</v>
      </c>
    </row>
    <row r="473" spans="2:88" ht="10.15" customHeight="1" x14ac:dyDescent="0.25">
      <c r="B473" s="287" t="s">
        <v>1220</v>
      </c>
      <c r="C473" s="286" t="str">
        <f t="shared" si="175"/>
        <v>NonQM NOO</v>
      </c>
      <c r="D473" s="287" t="s">
        <v>3885</v>
      </c>
      <c r="E473" s="287" t="s">
        <v>167</v>
      </c>
      <c r="F473" s="287" t="s">
        <v>330</v>
      </c>
      <c r="G473" s="287" t="s">
        <v>305</v>
      </c>
      <c r="H473" s="287" t="s">
        <v>136</v>
      </c>
      <c r="I473" s="288" t="s">
        <v>274</v>
      </c>
      <c r="J473" s="288" t="s">
        <v>1311</v>
      </c>
      <c r="K473" s="288" t="s">
        <v>1631</v>
      </c>
      <c r="L473" s="300" t="s">
        <v>312</v>
      </c>
      <c r="M473" s="287" t="s">
        <v>4203</v>
      </c>
      <c r="N473" s="287" t="s">
        <v>2685</v>
      </c>
      <c r="O473" s="287" t="s">
        <v>310</v>
      </c>
      <c r="P473" s="287" t="s">
        <v>291</v>
      </c>
      <c r="Q473" s="287" t="s">
        <v>294</v>
      </c>
      <c r="R473" s="287">
        <v>1500000.01</v>
      </c>
      <c r="S473" s="287">
        <v>2000000</v>
      </c>
      <c r="T473" s="287">
        <v>0</v>
      </c>
      <c r="U473" s="287">
        <v>0</v>
      </c>
      <c r="V473" s="287">
        <v>0</v>
      </c>
      <c r="W473" s="287">
        <v>50</v>
      </c>
      <c r="X473" s="287">
        <v>0</v>
      </c>
      <c r="Y473" s="287">
        <v>999</v>
      </c>
      <c r="Z473" s="289">
        <v>680</v>
      </c>
      <c r="AA473" s="289">
        <v>699</v>
      </c>
      <c r="AB473" s="289">
        <v>6</v>
      </c>
      <c r="AC473" s="289">
        <v>999999</v>
      </c>
      <c r="AD473" s="287">
        <v>0</v>
      </c>
      <c r="AE473" s="290">
        <v>65</v>
      </c>
      <c r="AF473" s="170">
        <v>0</v>
      </c>
      <c r="AG473" s="171">
        <v>1</v>
      </c>
      <c r="AH473" s="171">
        <v>1</v>
      </c>
      <c r="AI473" s="171">
        <v>0</v>
      </c>
      <c r="AJ473" s="171">
        <v>0</v>
      </c>
      <c r="AK473" s="171">
        <v>1</v>
      </c>
      <c r="AL473" s="171">
        <v>0</v>
      </c>
      <c r="AM473" s="171">
        <v>1</v>
      </c>
      <c r="AN473" s="171">
        <v>1</v>
      </c>
      <c r="AO473" s="171">
        <v>1</v>
      </c>
      <c r="AP473" s="171">
        <v>1</v>
      </c>
      <c r="AQ473" s="171">
        <v>1</v>
      </c>
      <c r="AR473" s="171">
        <v>1</v>
      </c>
      <c r="AS473" s="171">
        <v>1</v>
      </c>
      <c r="AT473" s="171">
        <v>1</v>
      </c>
      <c r="AU473" s="171">
        <f t="shared" ref="AU473:AU607" si="183">IF(AND(Input_LoanAmt&gt;=Elig_LoanAmt_Min,Input_LoanAmt&lt;=Elig_LoanAmt_Max),1,0)</f>
        <v>0</v>
      </c>
      <c r="AV473" s="171">
        <f t="shared" ref="AV473:AV607" si="184">IF(AND(Input_CashoutAmt&gt;=Elig_CashoutAmt_Min,Input_CashoutAmt&lt;=Elig_CashoutAmt_Max),1,0)</f>
        <v>0</v>
      </c>
      <c r="AW473" s="171">
        <f t="shared" ref="AW473:AW607" si="185">IF(AND(Input_DTI&gt;=Elig_DTI_Min,Input_DTI&lt;=Elig_DTI_Max),1,0)</f>
        <v>1</v>
      </c>
      <c r="AX473" s="171">
        <f t="shared" si="173"/>
        <v>1</v>
      </c>
      <c r="AY473" s="171">
        <f t="shared" ref="AY473:AY607" si="186">IF(AND(Input_CreditScore&gt;=Elig_CreditScore_Min,Input_CreditScore&lt;=Elig_CreditScore_Max),1,0)</f>
        <v>0</v>
      </c>
      <c r="AZ473" s="171">
        <f t="shared" ref="AZ473:AZ607" si="187">IF(AND(Input_ReservesMonths&gt;=Elig_Reserves_Min,Input_ReservesMonths&lt;=Elig_Reserves_Max),1,0)</f>
        <v>1</v>
      </c>
      <c r="BA473" s="172">
        <f t="shared" ref="BA473:BA607" si="188">IF(AND(Input_LTV&gt;=Elig_LTV_Min,Input_LTV&lt;=Elig_LTV_Max),1,0)</f>
        <v>1</v>
      </c>
      <c r="BB473" s="175">
        <f t="shared" si="169"/>
        <v>15</v>
      </c>
      <c r="BC473" s="176">
        <f t="shared" si="170"/>
        <v>14</v>
      </c>
      <c r="BD473" s="176">
        <f t="shared" si="171"/>
        <v>15</v>
      </c>
      <c r="BE473" s="240" t="str">
        <f t="shared" si="181"/>
        <v/>
      </c>
      <c r="BH473" s="199">
        <f>IF(AND(Input_Product=Elig!$C473,Elig_MatchAll_Ct&lt;22,$BC473=(Elig_MatchAll_Ct-1),AF473=0),C473,0)</f>
        <v>0</v>
      </c>
      <c r="BI473" s="199">
        <f>IF(AND(Input_Product=Elig!$C473,Elig_MatchAll_Ct&lt;22,$BC473=(Elig_MatchAll_Ct-1),AG473=0),D473,0)</f>
        <v>0</v>
      </c>
      <c r="BJ473" s="199">
        <f>IF(AND(Input_Product=Elig!$C473,Elig_MatchAll_Ct&lt;22,$BC473=(Elig_MatchAll_Ct-1),AH473=0),E473,0)</f>
        <v>0</v>
      </c>
      <c r="BK473" s="199">
        <f>IF(AND(Input_Product=Elig!$C473,Elig_MatchAll_Ct&lt;22,$BC473=(Elig_MatchAll_Ct-1),AI473=0),F473,0)</f>
        <v>0</v>
      </c>
      <c r="BL473" s="199">
        <f>IF(AND(Input_Product=Elig!$C473,Elig_MatchAll_Ct&lt;22,$BC473=(Elig_MatchAll_Ct-1),AJ473=0),G473,0)</f>
        <v>0</v>
      </c>
      <c r="BM473" s="199">
        <f>IF(AND(Input_Product=Elig!$C473,Elig_MatchAll_Ct&lt;22,$BC473=(Elig_MatchAll_Ct-1),AK473=0),H473,0)</f>
        <v>0</v>
      </c>
      <c r="BN473" s="199">
        <f>IF(AND(Input_Product=Elig!$C473,Elig_MatchAll_Ct&lt;22,$BC473=(Elig_MatchAll_Ct-1),AL473=0),I473,0)</f>
        <v>0</v>
      </c>
      <c r="BO473" s="199">
        <f>IF(AND(Input_Product=Elig!$C473,Elig_MatchAll_Ct&lt;22,$BC473=(Elig_MatchAll_Ct-1),AM473=0),J473,0)</f>
        <v>0</v>
      </c>
      <c r="BP473" s="199">
        <f>IF(AND(Input_Product=Elig!$C473,Elig_MatchAll_Ct&lt;22,$BC473=(Elig_MatchAll_Ct-1),AN473=0),K473,0)</f>
        <v>0</v>
      </c>
      <c r="BQ473" s="199">
        <f>IF(AND(Input_Product=Elig!$C473,Elig_MatchAll_Ct&lt;22,$BC473=(Elig_MatchAll_Ct-1),AP473=0),L473,0)</f>
        <v>0</v>
      </c>
      <c r="BR473" s="199">
        <f>IF(AND(Input_Product=Elig!$C473,Elig_MatchAll_Ct&lt;22,$BC473=(Elig_MatchAll_Ct-1),AO473=0),M473,0)</f>
        <v>0</v>
      </c>
      <c r="BS473" s="199">
        <f>IF(AND(Input_Product=Elig!$C473,Elig_MatchAll_Ct&lt;22,$BC473=(Elig_MatchAll_Ct-1),AQ473=0),N473,0)</f>
        <v>0</v>
      </c>
      <c r="BT473" s="199">
        <f>IF(AND(Input_Product=Elig!$C473,Elig_MatchAll_Ct&lt;22,$BC473=(Elig_MatchAll_Ct-1),AR473=0),O473,0)</f>
        <v>0</v>
      </c>
      <c r="BU473" s="199">
        <f>IF(AND(Input_Product=Elig!$C473,Elig_MatchAll_Ct&lt;22,$BC473=(Elig_MatchAll_Ct-1),AS473=0),P473,0)</f>
        <v>0</v>
      </c>
      <c r="BV473" s="200">
        <f>IF(AND(Input_Product=Elig!$C473,Elig_MatchAll_Ct&lt;22,$BC473=(Elig_MatchAll_Ct-1),AT473=0),Q473,0)</f>
        <v>0</v>
      </c>
      <c r="BW473" s="201">
        <f>IF(AND(Input_Product=Elig!$C473,Elig_MatchAll_Ct&lt;22,$BC473=(Elig_MatchAll_Ct-1),AU473=0),R473,0)</f>
        <v>0</v>
      </c>
      <c r="BX473" s="202">
        <f>IF(AND(Input_Product=Elig!$C473,Elig_MatchAll_Ct&lt;22,$BC473=(Elig_MatchAll_Ct-1),AU473=0),S473,0)</f>
        <v>0</v>
      </c>
      <c r="BY473" s="201">
        <f>IF(AND(Input_Product=Elig!$C473,Elig_MatchAll_Ct&lt;22,$BC473=(Elig_MatchAll_Ct-1),AV473=0),T473,0)</f>
        <v>0</v>
      </c>
      <c r="BZ473" s="202">
        <f>IF(AND(Input_Product=Elig!$C473,Elig_MatchAll_Ct&lt;22,$BC473=(Elig_MatchAll_Ct-1),AV473=0),U473,0)</f>
        <v>0</v>
      </c>
      <c r="CA473" s="201">
        <f>IF(AND(Input_Product=Elig!$C473,Elig_MatchAll_Ct&lt;22,$BC473=(Elig_MatchAll_Ct-1),AW473=0),V473,0)</f>
        <v>0</v>
      </c>
      <c r="CB473" s="202">
        <f>IF(AND(Input_Product=Elig!$C473,Elig_MatchAll_Ct&lt;22,$BC473=(Elig_MatchAll_Ct-1),AW473=0),W473,0)</f>
        <v>0</v>
      </c>
      <c r="CC473" s="201">
        <f>IF(AND(Input_Product=Elig!$C473,Elig_MatchAll_Ct&lt;22,$BC473=(Elig_MatchAll_Ct-1),AX473=0),X473,0)</f>
        <v>0</v>
      </c>
      <c r="CD473" s="202">
        <f>IF(AND(Input_Product=Elig!$C473,Elig_MatchAll_Ct&lt;22,$BC473=(Elig_MatchAll_Ct-1),AX473=0),Y473,0)</f>
        <v>0</v>
      </c>
      <c r="CE473" s="201">
        <f>IF(AND(Input_LTV&lt;=AE473,Input_Product=Elig!$C473,Elig_MatchAll_Ct&lt;22,$BC473=(Elig_MatchAll_Ct-1),AY473=0),Z473,0)</f>
        <v>0</v>
      </c>
      <c r="CF473" s="202">
        <f>IF(AND(Input_LTV&lt;=AE473,Input_Product=Elig!$C473,Elig_MatchAll_Ct&lt;22,$BC473=(Elig_MatchAll_Ct-1),AY473=0),AA473,0)</f>
        <v>0</v>
      </c>
      <c r="CG473" s="201">
        <f>IF(AND(Input_Product=Elig!$C473,Elig_MatchAll_Ct&lt;22,$BC473=(Elig_MatchAll_Ct-1),AZ473=0),AB473,0)</f>
        <v>0</v>
      </c>
      <c r="CH473" s="202">
        <f>IF(AND(Input_Product=Elig!$C473,Elig_MatchAll_Ct&lt;22,$BC473=(Elig_MatchAll_Ct-1),AZ473=0),AC473,0)</f>
        <v>0</v>
      </c>
      <c r="CI473" s="201">
        <f>IF(AND(Input_Product=Elig!$C473,Elig_MatchAll_Ct&lt;22,$BC473=(Elig_MatchAll_Ct-1),BA473=0),AD473,0)</f>
        <v>0</v>
      </c>
      <c r="CJ473" s="202">
        <f>IF(AND(Input_Product=Elig!$C473,Elig_MatchAll_Ct&lt;22,$BC473=(Elig_MatchAll_Ct-1),BA473=0),AE473,0)</f>
        <v>0</v>
      </c>
    </row>
    <row r="474" spans="2:88" ht="10.15" customHeight="1" x14ac:dyDescent="0.25">
      <c r="B474" s="287" t="s">
        <v>1221</v>
      </c>
      <c r="C474" s="286" t="str">
        <f t="shared" si="175"/>
        <v>NonQM NOO</v>
      </c>
      <c r="D474" s="287" t="s">
        <v>3885</v>
      </c>
      <c r="E474" s="287" t="s">
        <v>167</v>
      </c>
      <c r="F474" s="287" t="s">
        <v>330</v>
      </c>
      <c r="G474" s="287" t="s">
        <v>305</v>
      </c>
      <c r="H474" s="287" t="s">
        <v>136</v>
      </c>
      <c r="I474" s="288" t="s">
        <v>274</v>
      </c>
      <c r="J474" s="288" t="s">
        <v>1311</v>
      </c>
      <c r="K474" s="288" t="s">
        <v>1631</v>
      </c>
      <c r="L474" s="300" t="s">
        <v>312</v>
      </c>
      <c r="M474" s="287" t="s">
        <v>4203</v>
      </c>
      <c r="N474" s="287" t="s">
        <v>2685</v>
      </c>
      <c r="O474" s="287" t="s">
        <v>310</v>
      </c>
      <c r="P474" s="287" t="s">
        <v>291</v>
      </c>
      <c r="Q474" s="287" t="s">
        <v>294</v>
      </c>
      <c r="R474" s="287">
        <v>1500000.01</v>
      </c>
      <c r="S474" s="287">
        <v>2000000</v>
      </c>
      <c r="T474" s="287">
        <v>0</v>
      </c>
      <c r="U474" s="287">
        <v>0</v>
      </c>
      <c r="V474" s="287">
        <v>0</v>
      </c>
      <c r="W474" s="287">
        <v>50</v>
      </c>
      <c r="X474" s="287">
        <v>0</v>
      </c>
      <c r="Y474" s="287">
        <v>999</v>
      </c>
      <c r="Z474" s="289">
        <v>660</v>
      </c>
      <c r="AA474" s="289">
        <v>679</v>
      </c>
      <c r="AB474" s="289">
        <v>6</v>
      </c>
      <c r="AC474" s="289">
        <v>999999</v>
      </c>
      <c r="AD474" s="287">
        <v>0</v>
      </c>
      <c r="AE474" s="290">
        <v>65</v>
      </c>
      <c r="AF474" s="170">
        <v>0</v>
      </c>
      <c r="AG474" s="171">
        <v>1</v>
      </c>
      <c r="AH474" s="171">
        <v>1</v>
      </c>
      <c r="AI474" s="171">
        <v>0</v>
      </c>
      <c r="AJ474" s="171">
        <v>0</v>
      </c>
      <c r="AK474" s="171">
        <v>1</v>
      </c>
      <c r="AL474" s="171">
        <v>0</v>
      </c>
      <c r="AM474" s="171">
        <v>1</v>
      </c>
      <c r="AN474" s="171">
        <v>1</v>
      </c>
      <c r="AO474" s="171">
        <v>1</v>
      </c>
      <c r="AP474" s="171">
        <v>1</v>
      </c>
      <c r="AQ474" s="171">
        <v>1</v>
      </c>
      <c r="AR474" s="171">
        <v>1</v>
      </c>
      <c r="AS474" s="171">
        <v>1</v>
      </c>
      <c r="AT474" s="171">
        <v>1</v>
      </c>
      <c r="AU474" s="171">
        <f t="shared" si="183"/>
        <v>0</v>
      </c>
      <c r="AV474" s="171">
        <f t="shared" si="184"/>
        <v>0</v>
      </c>
      <c r="AW474" s="171">
        <f t="shared" si="185"/>
        <v>1</v>
      </c>
      <c r="AX474" s="171">
        <f t="shared" si="173"/>
        <v>1</v>
      </c>
      <c r="AY474" s="171">
        <f t="shared" si="186"/>
        <v>0</v>
      </c>
      <c r="AZ474" s="171">
        <f t="shared" si="187"/>
        <v>1</v>
      </c>
      <c r="BA474" s="172">
        <f t="shared" si="188"/>
        <v>1</v>
      </c>
      <c r="BB474" s="175">
        <f t="shared" si="169"/>
        <v>15</v>
      </c>
      <c r="BC474" s="176">
        <f t="shared" si="170"/>
        <v>14</v>
      </c>
      <c r="BD474" s="176">
        <f t="shared" si="171"/>
        <v>15</v>
      </c>
      <c r="BE474" s="240" t="str">
        <f t="shared" si="181"/>
        <v/>
      </c>
      <c r="BH474" s="199">
        <f>IF(AND(Input_Product=Elig!$C474,Elig_MatchAll_Ct&lt;22,$BC474=(Elig_MatchAll_Ct-1),AF474=0),C474,0)</f>
        <v>0</v>
      </c>
      <c r="BI474" s="199">
        <f>IF(AND(Input_Product=Elig!$C474,Elig_MatchAll_Ct&lt;22,$BC474=(Elig_MatchAll_Ct-1),AG474=0),D474,0)</f>
        <v>0</v>
      </c>
      <c r="BJ474" s="199">
        <f>IF(AND(Input_Product=Elig!$C474,Elig_MatchAll_Ct&lt;22,$BC474=(Elig_MatchAll_Ct-1),AH474=0),E474,0)</f>
        <v>0</v>
      </c>
      <c r="BK474" s="199">
        <f>IF(AND(Input_Product=Elig!$C474,Elig_MatchAll_Ct&lt;22,$BC474=(Elig_MatchAll_Ct-1),AI474=0),F474,0)</f>
        <v>0</v>
      </c>
      <c r="BL474" s="199">
        <f>IF(AND(Input_Product=Elig!$C474,Elig_MatchAll_Ct&lt;22,$BC474=(Elig_MatchAll_Ct-1),AJ474=0),G474,0)</f>
        <v>0</v>
      </c>
      <c r="BM474" s="199">
        <f>IF(AND(Input_Product=Elig!$C474,Elig_MatchAll_Ct&lt;22,$BC474=(Elig_MatchAll_Ct-1),AK474=0),H474,0)</f>
        <v>0</v>
      </c>
      <c r="BN474" s="199">
        <f>IF(AND(Input_Product=Elig!$C474,Elig_MatchAll_Ct&lt;22,$BC474=(Elig_MatchAll_Ct-1),AL474=0),I474,0)</f>
        <v>0</v>
      </c>
      <c r="BO474" s="199">
        <f>IF(AND(Input_Product=Elig!$C474,Elig_MatchAll_Ct&lt;22,$BC474=(Elig_MatchAll_Ct-1),AM474=0),J474,0)</f>
        <v>0</v>
      </c>
      <c r="BP474" s="199">
        <f>IF(AND(Input_Product=Elig!$C474,Elig_MatchAll_Ct&lt;22,$BC474=(Elig_MatchAll_Ct-1),AN474=0),K474,0)</f>
        <v>0</v>
      </c>
      <c r="BQ474" s="199">
        <f>IF(AND(Input_Product=Elig!$C474,Elig_MatchAll_Ct&lt;22,$BC474=(Elig_MatchAll_Ct-1),AP474=0),L474,0)</f>
        <v>0</v>
      </c>
      <c r="BR474" s="199">
        <f>IF(AND(Input_Product=Elig!$C474,Elig_MatchAll_Ct&lt;22,$BC474=(Elig_MatchAll_Ct-1),AO474=0),M474,0)</f>
        <v>0</v>
      </c>
      <c r="BS474" s="199">
        <f>IF(AND(Input_Product=Elig!$C474,Elig_MatchAll_Ct&lt;22,$BC474=(Elig_MatchAll_Ct-1),AQ474=0),N474,0)</f>
        <v>0</v>
      </c>
      <c r="BT474" s="199">
        <f>IF(AND(Input_Product=Elig!$C474,Elig_MatchAll_Ct&lt;22,$BC474=(Elig_MatchAll_Ct-1),AR474=0),O474,0)</f>
        <v>0</v>
      </c>
      <c r="BU474" s="199">
        <f>IF(AND(Input_Product=Elig!$C474,Elig_MatchAll_Ct&lt;22,$BC474=(Elig_MatchAll_Ct-1),AS474=0),P474,0)</f>
        <v>0</v>
      </c>
      <c r="BV474" s="200">
        <f>IF(AND(Input_Product=Elig!$C474,Elig_MatchAll_Ct&lt;22,$BC474=(Elig_MatchAll_Ct-1),AT474=0),Q474,0)</f>
        <v>0</v>
      </c>
      <c r="BW474" s="201">
        <f>IF(AND(Input_Product=Elig!$C474,Elig_MatchAll_Ct&lt;22,$BC474=(Elig_MatchAll_Ct-1),AU474=0),R474,0)</f>
        <v>0</v>
      </c>
      <c r="BX474" s="202">
        <f>IF(AND(Input_Product=Elig!$C474,Elig_MatchAll_Ct&lt;22,$BC474=(Elig_MatchAll_Ct-1),AU474=0),S474,0)</f>
        <v>0</v>
      </c>
      <c r="BY474" s="201">
        <f>IF(AND(Input_Product=Elig!$C474,Elig_MatchAll_Ct&lt;22,$BC474=(Elig_MatchAll_Ct-1),AV474=0),T474,0)</f>
        <v>0</v>
      </c>
      <c r="BZ474" s="202">
        <f>IF(AND(Input_Product=Elig!$C474,Elig_MatchAll_Ct&lt;22,$BC474=(Elig_MatchAll_Ct-1),AV474=0),U474,0)</f>
        <v>0</v>
      </c>
      <c r="CA474" s="201">
        <f>IF(AND(Input_Product=Elig!$C474,Elig_MatchAll_Ct&lt;22,$BC474=(Elig_MatchAll_Ct-1),AW474=0),V474,0)</f>
        <v>0</v>
      </c>
      <c r="CB474" s="202">
        <f>IF(AND(Input_Product=Elig!$C474,Elig_MatchAll_Ct&lt;22,$BC474=(Elig_MatchAll_Ct-1),AW474=0),W474,0)</f>
        <v>0</v>
      </c>
      <c r="CC474" s="201">
        <f>IF(AND(Input_Product=Elig!$C474,Elig_MatchAll_Ct&lt;22,$BC474=(Elig_MatchAll_Ct-1),AX474=0),X474,0)</f>
        <v>0</v>
      </c>
      <c r="CD474" s="202">
        <f>IF(AND(Input_Product=Elig!$C474,Elig_MatchAll_Ct&lt;22,$BC474=(Elig_MatchAll_Ct-1),AX474=0),Y474,0)</f>
        <v>0</v>
      </c>
      <c r="CE474" s="201">
        <f>IF(AND(Input_LTV&lt;=AE474,Input_Product=Elig!$C474,Elig_MatchAll_Ct&lt;22,$BC474=(Elig_MatchAll_Ct-1),AY474=0),Z474,0)</f>
        <v>0</v>
      </c>
      <c r="CF474" s="202">
        <f>IF(AND(Input_LTV&lt;=AE474,Input_Product=Elig!$C474,Elig_MatchAll_Ct&lt;22,$BC474=(Elig_MatchAll_Ct-1),AY474=0),AA474,0)</f>
        <v>0</v>
      </c>
      <c r="CG474" s="201">
        <f>IF(AND(Input_Product=Elig!$C474,Elig_MatchAll_Ct&lt;22,$BC474=(Elig_MatchAll_Ct-1),AZ474=0),AB474,0)</f>
        <v>0</v>
      </c>
      <c r="CH474" s="202">
        <f>IF(AND(Input_Product=Elig!$C474,Elig_MatchAll_Ct&lt;22,$BC474=(Elig_MatchAll_Ct-1),AZ474=0),AC474,0)</f>
        <v>0</v>
      </c>
      <c r="CI474" s="201">
        <f>IF(AND(Input_Product=Elig!$C474,Elig_MatchAll_Ct&lt;22,$BC474=(Elig_MatchAll_Ct-1),BA474=0),AD474,0)</f>
        <v>0</v>
      </c>
      <c r="CJ474" s="202">
        <f>IF(AND(Input_Product=Elig!$C474,Elig_MatchAll_Ct&lt;22,$BC474=(Elig_MatchAll_Ct-1),BA474=0),AE474,0)</f>
        <v>0</v>
      </c>
    </row>
    <row r="475" spans="2:88" ht="10.15" customHeight="1" x14ac:dyDescent="0.25">
      <c r="B475" s="287" t="s">
        <v>1222</v>
      </c>
      <c r="C475" s="286" t="str">
        <f t="shared" si="175"/>
        <v>NonQM NOO</v>
      </c>
      <c r="D475" s="287" t="s">
        <v>3885</v>
      </c>
      <c r="E475" s="287" t="s">
        <v>167</v>
      </c>
      <c r="F475" s="287" t="s">
        <v>330</v>
      </c>
      <c r="G475" s="287" t="s">
        <v>305</v>
      </c>
      <c r="H475" s="287" t="s">
        <v>136</v>
      </c>
      <c r="I475" s="288" t="s">
        <v>274</v>
      </c>
      <c r="J475" s="288" t="s">
        <v>1311</v>
      </c>
      <c r="K475" s="288" t="s">
        <v>1631</v>
      </c>
      <c r="L475" s="300" t="s">
        <v>312</v>
      </c>
      <c r="M475" s="287" t="s">
        <v>4203</v>
      </c>
      <c r="N475" s="287" t="s">
        <v>2685</v>
      </c>
      <c r="O475" s="287" t="s">
        <v>310</v>
      </c>
      <c r="P475" s="287" t="s">
        <v>291</v>
      </c>
      <c r="Q475" s="287" t="s">
        <v>294</v>
      </c>
      <c r="R475" s="287">
        <v>1500000.01</v>
      </c>
      <c r="S475" s="287">
        <v>2000000</v>
      </c>
      <c r="T475" s="287">
        <v>0</v>
      </c>
      <c r="U475" s="287">
        <v>0</v>
      </c>
      <c r="V475" s="287">
        <v>0</v>
      </c>
      <c r="W475" s="287">
        <v>50</v>
      </c>
      <c r="X475" s="287">
        <v>0</v>
      </c>
      <c r="Y475" s="287">
        <v>999</v>
      </c>
      <c r="Z475" s="289">
        <v>640</v>
      </c>
      <c r="AA475" s="289">
        <v>659</v>
      </c>
      <c r="AB475" s="289">
        <v>6</v>
      </c>
      <c r="AC475" s="289">
        <v>999999</v>
      </c>
      <c r="AD475" s="287">
        <v>0</v>
      </c>
      <c r="AE475" s="290">
        <v>-999</v>
      </c>
      <c r="AF475" s="170">
        <v>0</v>
      </c>
      <c r="AG475" s="171">
        <v>1</v>
      </c>
      <c r="AH475" s="171">
        <v>1</v>
      </c>
      <c r="AI475" s="171">
        <v>0</v>
      </c>
      <c r="AJ475" s="171">
        <v>0</v>
      </c>
      <c r="AK475" s="171">
        <v>1</v>
      </c>
      <c r="AL475" s="171">
        <v>0</v>
      </c>
      <c r="AM475" s="171">
        <v>1</v>
      </c>
      <c r="AN475" s="171">
        <v>1</v>
      </c>
      <c r="AO475" s="171">
        <v>1</v>
      </c>
      <c r="AP475" s="171">
        <v>1</v>
      </c>
      <c r="AQ475" s="171">
        <v>1</v>
      </c>
      <c r="AR475" s="171">
        <v>1</v>
      </c>
      <c r="AS475" s="171">
        <v>1</v>
      </c>
      <c r="AT475" s="171">
        <v>1</v>
      </c>
      <c r="AU475" s="171">
        <f t="shared" si="183"/>
        <v>0</v>
      </c>
      <c r="AV475" s="171">
        <f t="shared" si="184"/>
        <v>0</v>
      </c>
      <c r="AW475" s="171">
        <f t="shared" si="185"/>
        <v>1</v>
      </c>
      <c r="AX475" s="171">
        <f t="shared" si="173"/>
        <v>1</v>
      </c>
      <c r="AY475" s="171">
        <f t="shared" si="186"/>
        <v>0</v>
      </c>
      <c r="AZ475" s="171">
        <f t="shared" si="187"/>
        <v>1</v>
      </c>
      <c r="BA475" s="172">
        <f t="shared" si="188"/>
        <v>0</v>
      </c>
      <c r="BB475" s="175">
        <f t="shared" si="169"/>
        <v>14</v>
      </c>
      <c r="BC475" s="176">
        <f t="shared" si="170"/>
        <v>14</v>
      </c>
      <c r="BD475" s="176">
        <f t="shared" si="171"/>
        <v>14</v>
      </c>
      <c r="BE475" s="240" t="str">
        <f t="shared" si="181"/>
        <v/>
      </c>
      <c r="BH475" s="199">
        <f>IF(AND(Input_Product=Elig!$C475,Elig_MatchAll_Ct&lt;22,$BC475=(Elig_MatchAll_Ct-1),AF475=0),C475,0)</f>
        <v>0</v>
      </c>
      <c r="BI475" s="199">
        <f>IF(AND(Input_Product=Elig!$C475,Elig_MatchAll_Ct&lt;22,$BC475=(Elig_MatchAll_Ct-1),AG475=0),D475,0)</f>
        <v>0</v>
      </c>
      <c r="BJ475" s="199">
        <f>IF(AND(Input_Product=Elig!$C475,Elig_MatchAll_Ct&lt;22,$BC475=(Elig_MatchAll_Ct-1),AH475=0),E475,0)</f>
        <v>0</v>
      </c>
      <c r="BK475" s="199">
        <f>IF(AND(Input_Product=Elig!$C475,Elig_MatchAll_Ct&lt;22,$BC475=(Elig_MatchAll_Ct-1),AI475=0),F475,0)</f>
        <v>0</v>
      </c>
      <c r="BL475" s="199">
        <f>IF(AND(Input_Product=Elig!$C475,Elig_MatchAll_Ct&lt;22,$BC475=(Elig_MatchAll_Ct-1),AJ475=0),G475,0)</f>
        <v>0</v>
      </c>
      <c r="BM475" s="199">
        <f>IF(AND(Input_Product=Elig!$C475,Elig_MatchAll_Ct&lt;22,$BC475=(Elig_MatchAll_Ct-1),AK475=0),H475,0)</f>
        <v>0</v>
      </c>
      <c r="BN475" s="199">
        <f>IF(AND(Input_Product=Elig!$C475,Elig_MatchAll_Ct&lt;22,$BC475=(Elig_MatchAll_Ct-1),AL475=0),I475,0)</f>
        <v>0</v>
      </c>
      <c r="BO475" s="199">
        <f>IF(AND(Input_Product=Elig!$C475,Elig_MatchAll_Ct&lt;22,$BC475=(Elig_MatchAll_Ct-1),AM475=0),J475,0)</f>
        <v>0</v>
      </c>
      <c r="BP475" s="199">
        <f>IF(AND(Input_Product=Elig!$C475,Elig_MatchAll_Ct&lt;22,$BC475=(Elig_MatchAll_Ct-1),AN475=0),K475,0)</f>
        <v>0</v>
      </c>
      <c r="BQ475" s="199">
        <f>IF(AND(Input_Product=Elig!$C475,Elig_MatchAll_Ct&lt;22,$BC475=(Elig_MatchAll_Ct-1),AP475=0),L475,0)</f>
        <v>0</v>
      </c>
      <c r="BR475" s="199">
        <f>IF(AND(Input_Product=Elig!$C475,Elig_MatchAll_Ct&lt;22,$BC475=(Elig_MatchAll_Ct-1),AO475=0),M475,0)</f>
        <v>0</v>
      </c>
      <c r="BS475" s="199">
        <f>IF(AND(Input_Product=Elig!$C475,Elig_MatchAll_Ct&lt;22,$BC475=(Elig_MatchAll_Ct-1),AQ475=0),N475,0)</f>
        <v>0</v>
      </c>
      <c r="BT475" s="199">
        <f>IF(AND(Input_Product=Elig!$C475,Elig_MatchAll_Ct&lt;22,$BC475=(Elig_MatchAll_Ct-1),AR475=0),O475,0)</f>
        <v>0</v>
      </c>
      <c r="BU475" s="199">
        <f>IF(AND(Input_Product=Elig!$C475,Elig_MatchAll_Ct&lt;22,$BC475=(Elig_MatchAll_Ct-1),AS475=0),P475,0)</f>
        <v>0</v>
      </c>
      <c r="BV475" s="200">
        <f>IF(AND(Input_Product=Elig!$C475,Elig_MatchAll_Ct&lt;22,$BC475=(Elig_MatchAll_Ct-1),AT475=0),Q475,0)</f>
        <v>0</v>
      </c>
      <c r="BW475" s="201">
        <f>IF(AND(Input_Product=Elig!$C475,Elig_MatchAll_Ct&lt;22,$BC475=(Elig_MatchAll_Ct-1),AU475=0),R475,0)</f>
        <v>0</v>
      </c>
      <c r="BX475" s="202">
        <f>IF(AND(Input_Product=Elig!$C475,Elig_MatchAll_Ct&lt;22,$BC475=(Elig_MatchAll_Ct-1),AU475=0),S475,0)</f>
        <v>0</v>
      </c>
      <c r="BY475" s="201">
        <f>IF(AND(Input_Product=Elig!$C475,Elig_MatchAll_Ct&lt;22,$BC475=(Elig_MatchAll_Ct-1),AV475=0),T475,0)</f>
        <v>0</v>
      </c>
      <c r="BZ475" s="202">
        <f>IF(AND(Input_Product=Elig!$C475,Elig_MatchAll_Ct&lt;22,$BC475=(Elig_MatchAll_Ct-1),AV475=0),U475,0)</f>
        <v>0</v>
      </c>
      <c r="CA475" s="201">
        <f>IF(AND(Input_Product=Elig!$C475,Elig_MatchAll_Ct&lt;22,$BC475=(Elig_MatchAll_Ct-1),AW475=0),V475,0)</f>
        <v>0</v>
      </c>
      <c r="CB475" s="202">
        <f>IF(AND(Input_Product=Elig!$C475,Elig_MatchAll_Ct&lt;22,$BC475=(Elig_MatchAll_Ct-1),AW475=0),W475,0)</f>
        <v>0</v>
      </c>
      <c r="CC475" s="201">
        <f>IF(AND(Input_Product=Elig!$C475,Elig_MatchAll_Ct&lt;22,$BC475=(Elig_MatchAll_Ct-1),AX475=0),X475,0)</f>
        <v>0</v>
      </c>
      <c r="CD475" s="202">
        <f>IF(AND(Input_Product=Elig!$C475,Elig_MatchAll_Ct&lt;22,$BC475=(Elig_MatchAll_Ct-1),AX475=0),Y475,0)</f>
        <v>0</v>
      </c>
      <c r="CE475" s="201">
        <f>IF(AND(Input_LTV&lt;=AE475,Input_Product=Elig!$C475,Elig_MatchAll_Ct&lt;22,$BC475=(Elig_MatchAll_Ct-1),AY475=0),Z475,0)</f>
        <v>0</v>
      </c>
      <c r="CF475" s="202">
        <f>IF(AND(Input_LTV&lt;=AE475,Input_Product=Elig!$C475,Elig_MatchAll_Ct&lt;22,$BC475=(Elig_MatchAll_Ct-1),AY475=0),AA475,0)</f>
        <v>0</v>
      </c>
      <c r="CG475" s="201">
        <f>IF(AND(Input_Product=Elig!$C475,Elig_MatchAll_Ct&lt;22,$BC475=(Elig_MatchAll_Ct-1),AZ475=0),AB475,0)</f>
        <v>0</v>
      </c>
      <c r="CH475" s="202">
        <f>IF(AND(Input_Product=Elig!$C475,Elig_MatchAll_Ct&lt;22,$BC475=(Elig_MatchAll_Ct-1),AZ475=0),AC475,0)</f>
        <v>0</v>
      </c>
      <c r="CI475" s="201">
        <f>IF(AND(Input_Product=Elig!$C475,Elig_MatchAll_Ct&lt;22,$BC475=(Elig_MatchAll_Ct-1),BA475=0),AD475,0)</f>
        <v>0</v>
      </c>
      <c r="CJ475" s="202">
        <f>IF(AND(Input_Product=Elig!$C475,Elig_MatchAll_Ct&lt;22,$BC475=(Elig_MatchAll_Ct-1),BA475=0),AE475,0)</f>
        <v>0</v>
      </c>
    </row>
    <row r="476" spans="2:88" ht="10.15" customHeight="1" x14ac:dyDescent="0.25">
      <c r="B476" s="287" t="s">
        <v>1223</v>
      </c>
      <c r="C476" s="291" t="str">
        <f t="shared" si="175"/>
        <v>NonQM NOO</v>
      </c>
      <c r="D476" s="292" t="s">
        <v>3885</v>
      </c>
      <c r="E476" s="292" t="s">
        <v>167</v>
      </c>
      <c r="F476" s="292" t="s">
        <v>330</v>
      </c>
      <c r="G476" s="292" t="s">
        <v>305</v>
      </c>
      <c r="H476" s="292" t="s">
        <v>136</v>
      </c>
      <c r="I476" s="295" t="s">
        <v>274</v>
      </c>
      <c r="J476" s="295" t="s">
        <v>1311</v>
      </c>
      <c r="K476" s="295" t="s">
        <v>1631</v>
      </c>
      <c r="L476" s="324" t="s">
        <v>312</v>
      </c>
      <c r="M476" s="292" t="s">
        <v>4203</v>
      </c>
      <c r="N476" s="292" t="s">
        <v>2685</v>
      </c>
      <c r="O476" s="292" t="s">
        <v>310</v>
      </c>
      <c r="P476" s="292" t="s">
        <v>291</v>
      </c>
      <c r="Q476" s="292" t="s">
        <v>294</v>
      </c>
      <c r="R476" s="292">
        <v>1500000.01</v>
      </c>
      <c r="S476" s="292">
        <v>2000000</v>
      </c>
      <c r="T476" s="292">
        <v>0</v>
      </c>
      <c r="U476" s="292">
        <v>0</v>
      </c>
      <c r="V476" s="292">
        <v>0</v>
      </c>
      <c r="W476" s="292">
        <v>50</v>
      </c>
      <c r="X476" s="292">
        <v>0</v>
      </c>
      <c r="Y476" s="292">
        <v>999</v>
      </c>
      <c r="Z476" s="293">
        <v>620</v>
      </c>
      <c r="AA476" s="293">
        <v>639</v>
      </c>
      <c r="AB476" s="293">
        <v>6</v>
      </c>
      <c r="AC476" s="293">
        <v>999999</v>
      </c>
      <c r="AD476" s="292">
        <v>0</v>
      </c>
      <c r="AE476" s="294">
        <v>-999</v>
      </c>
      <c r="AF476" s="170">
        <v>0</v>
      </c>
      <c r="AG476" s="171">
        <v>1</v>
      </c>
      <c r="AH476" s="171">
        <v>1</v>
      </c>
      <c r="AI476" s="171">
        <v>0</v>
      </c>
      <c r="AJ476" s="171">
        <v>0</v>
      </c>
      <c r="AK476" s="171">
        <v>1</v>
      </c>
      <c r="AL476" s="171">
        <v>0</v>
      </c>
      <c r="AM476" s="171">
        <v>1</v>
      </c>
      <c r="AN476" s="171">
        <v>1</v>
      </c>
      <c r="AO476" s="171">
        <v>1</v>
      </c>
      <c r="AP476" s="171">
        <v>1</v>
      </c>
      <c r="AQ476" s="171">
        <v>1</v>
      </c>
      <c r="AR476" s="171">
        <v>1</v>
      </c>
      <c r="AS476" s="171">
        <v>1</v>
      </c>
      <c r="AT476" s="171">
        <v>1</v>
      </c>
      <c r="AU476" s="171">
        <f t="shared" si="183"/>
        <v>0</v>
      </c>
      <c r="AV476" s="171">
        <f t="shared" si="184"/>
        <v>0</v>
      </c>
      <c r="AW476" s="171">
        <f t="shared" si="185"/>
        <v>1</v>
      </c>
      <c r="AX476" s="171">
        <f t="shared" si="173"/>
        <v>1</v>
      </c>
      <c r="AY476" s="171">
        <f t="shared" si="186"/>
        <v>0</v>
      </c>
      <c r="AZ476" s="171">
        <f t="shared" si="187"/>
        <v>1</v>
      </c>
      <c r="BA476" s="172">
        <f t="shared" si="188"/>
        <v>0</v>
      </c>
      <c r="BB476" s="175">
        <f t="shared" si="169"/>
        <v>14</v>
      </c>
      <c r="BC476" s="176">
        <f t="shared" si="170"/>
        <v>14</v>
      </c>
      <c r="BD476" s="176">
        <f t="shared" si="171"/>
        <v>14</v>
      </c>
      <c r="BE476" s="240" t="str">
        <f t="shared" si="181"/>
        <v/>
      </c>
      <c r="BH476" s="214">
        <f>IF(AND(Input_Product=Elig!$C476,Elig_MatchAll_Ct&lt;22,$BC476=(Elig_MatchAll_Ct-1),AF476=0),C476,0)</f>
        <v>0</v>
      </c>
      <c r="BI476" s="214">
        <f>IF(AND(Input_Product=Elig!$C476,Elig_MatchAll_Ct&lt;22,$BC476=(Elig_MatchAll_Ct-1),AG476=0),D476,0)</f>
        <v>0</v>
      </c>
      <c r="BJ476" s="214">
        <f>IF(AND(Input_Product=Elig!$C476,Elig_MatchAll_Ct&lt;22,$BC476=(Elig_MatchAll_Ct-1),AH476=0),E476,0)</f>
        <v>0</v>
      </c>
      <c r="BK476" s="214">
        <f>IF(AND(Input_Product=Elig!$C476,Elig_MatchAll_Ct&lt;22,$BC476=(Elig_MatchAll_Ct-1),AI476=0),F476,0)</f>
        <v>0</v>
      </c>
      <c r="BL476" s="214">
        <f>IF(AND(Input_Product=Elig!$C476,Elig_MatchAll_Ct&lt;22,$BC476=(Elig_MatchAll_Ct-1),AJ476=0),G476,0)</f>
        <v>0</v>
      </c>
      <c r="BM476" s="214">
        <f>IF(AND(Input_Product=Elig!$C476,Elig_MatchAll_Ct&lt;22,$BC476=(Elig_MatchAll_Ct-1),AK476=0),H476,0)</f>
        <v>0</v>
      </c>
      <c r="BN476" s="214">
        <f>IF(AND(Input_Product=Elig!$C476,Elig_MatchAll_Ct&lt;22,$BC476=(Elig_MatchAll_Ct-1),AL476=0),I476,0)</f>
        <v>0</v>
      </c>
      <c r="BO476" s="214">
        <f>IF(AND(Input_Product=Elig!$C476,Elig_MatchAll_Ct&lt;22,$BC476=(Elig_MatchAll_Ct-1),AM476=0),J476,0)</f>
        <v>0</v>
      </c>
      <c r="BP476" s="214">
        <f>IF(AND(Input_Product=Elig!$C476,Elig_MatchAll_Ct&lt;22,$BC476=(Elig_MatchAll_Ct-1),AN476=0),K476,0)</f>
        <v>0</v>
      </c>
      <c r="BQ476" s="214">
        <f>IF(AND(Input_Product=Elig!$C476,Elig_MatchAll_Ct&lt;22,$BC476=(Elig_MatchAll_Ct-1),AP476=0),L476,0)</f>
        <v>0</v>
      </c>
      <c r="BR476" s="214">
        <f>IF(AND(Input_Product=Elig!$C476,Elig_MatchAll_Ct&lt;22,$BC476=(Elig_MatchAll_Ct-1),AO476=0),M476,0)</f>
        <v>0</v>
      </c>
      <c r="BS476" s="214">
        <f>IF(AND(Input_Product=Elig!$C476,Elig_MatchAll_Ct&lt;22,$BC476=(Elig_MatchAll_Ct-1),AQ476=0),N476,0)</f>
        <v>0</v>
      </c>
      <c r="BT476" s="214">
        <f>IF(AND(Input_Product=Elig!$C476,Elig_MatchAll_Ct&lt;22,$BC476=(Elig_MatchAll_Ct-1),AR476=0),O476,0)</f>
        <v>0</v>
      </c>
      <c r="BU476" s="214">
        <f>IF(AND(Input_Product=Elig!$C476,Elig_MatchAll_Ct&lt;22,$BC476=(Elig_MatchAll_Ct-1),AS476=0),P476,0)</f>
        <v>0</v>
      </c>
      <c r="BV476" s="215">
        <f>IF(AND(Input_Product=Elig!$C476,Elig_MatchAll_Ct&lt;22,$BC476=(Elig_MatchAll_Ct-1),AT476=0),Q476,0)</f>
        <v>0</v>
      </c>
      <c r="BW476" s="207">
        <f>IF(AND(Input_Product=Elig!$C476,Elig_MatchAll_Ct&lt;22,$BC476=(Elig_MatchAll_Ct-1),AU476=0),R476,0)</f>
        <v>0</v>
      </c>
      <c r="BX476" s="208">
        <f>IF(AND(Input_Product=Elig!$C476,Elig_MatchAll_Ct&lt;22,$BC476=(Elig_MatchAll_Ct-1),AU476=0),S476,0)</f>
        <v>0</v>
      </c>
      <c r="BY476" s="207">
        <f>IF(AND(Input_Product=Elig!$C476,Elig_MatchAll_Ct&lt;22,$BC476=(Elig_MatchAll_Ct-1),AV476=0),T476,0)</f>
        <v>0</v>
      </c>
      <c r="BZ476" s="208">
        <f>IF(AND(Input_Product=Elig!$C476,Elig_MatchAll_Ct&lt;22,$BC476=(Elig_MatchAll_Ct-1),AV476=0),U476,0)</f>
        <v>0</v>
      </c>
      <c r="CA476" s="207">
        <f>IF(AND(Input_Product=Elig!$C476,Elig_MatchAll_Ct&lt;22,$BC476=(Elig_MatchAll_Ct-1),AW476=0),V476,0)</f>
        <v>0</v>
      </c>
      <c r="CB476" s="208">
        <f>IF(AND(Input_Product=Elig!$C476,Elig_MatchAll_Ct&lt;22,$BC476=(Elig_MatchAll_Ct-1),AW476=0),W476,0)</f>
        <v>0</v>
      </c>
      <c r="CC476" s="207">
        <f>IF(AND(Input_Product=Elig!$C476,Elig_MatchAll_Ct&lt;22,$BC476=(Elig_MatchAll_Ct-1),AX476=0),X476,0)</f>
        <v>0</v>
      </c>
      <c r="CD476" s="208">
        <f>IF(AND(Input_Product=Elig!$C476,Elig_MatchAll_Ct&lt;22,$BC476=(Elig_MatchAll_Ct-1),AX476=0),Y476,0)</f>
        <v>0</v>
      </c>
      <c r="CE476" s="207">
        <f>IF(AND(Input_LTV&lt;=AE476,Input_Product=Elig!$C476,Elig_MatchAll_Ct&lt;22,$BC476=(Elig_MatchAll_Ct-1),AY476=0),Z476,0)</f>
        <v>0</v>
      </c>
      <c r="CF476" s="208">
        <f>IF(AND(Input_LTV&lt;=AE476,Input_Product=Elig!$C476,Elig_MatchAll_Ct&lt;22,$BC476=(Elig_MatchAll_Ct-1),AY476=0),AA476,0)</f>
        <v>0</v>
      </c>
      <c r="CG476" s="207">
        <f>IF(AND(Input_Product=Elig!$C476,Elig_MatchAll_Ct&lt;22,$BC476=(Elig_MatchAll_Ct-1),AZ476=0),AB476,0)</f>
        <v>0</v>
      </c>
      <c r="CH476" s="208">
        <f>IF(AND(Input_Product=Elig!$C476,Elig_MatchAll_Ct&lt;22,$BC476=(Elig_MatchAll_Ct-1),AZ476=0),AC476,0)</f>
        <v>0</v>
      </c>
      <c r="CI476" s="207">
        <f>IF(AND(Input_Product=Elig!$C476,Elig_MatchAll_Ct&lt;22,$BC476=(Elig_MatchAll_Ct-1),BA476=0),AD476,0)</f>
        <v>0</v>
      </c>
      <c r="CJ476" s="209">
        <f>IF(AND(Input_Product=Elig!$C476,Elig_MatchAll_Ct&lt;22,$BC476=(Elig_MatchAll_Ct-1),BA476=0),AE476,0)</f>
        <v>0</v>
      </c>
    </row>
    <row r="477" spans="2:88" ht="10.15" customHeight="1" x14ac:dyDescent="0.25">
      <c r="B477" s="287" t="s">
        <v>1224</v>
      </c>
      <c r="C477" s="281" t="str">
        <f t="shared" si="175"/>
        <v>NonQM NOO</v>
      </c>
      <c r="D477" s="282" t="s">
        <v>3885</v>
      </c>
      <c r="E477" s="283" t="s">
        <v>167</v>
      </c>
      <c r="F477" s="283" t="s">
        <v>330</v>
      </c>
      <c r="G477" s="283" t="s">
        <v>305</v>
      </c>
      <c r="H477" s="283" t="s">
        <v>136</v>
      </c>
      <c r="I477" s="282" t="s">
        <v>16</v>
      </c>
      <c r="J477" s="282" t="s">
        <v>1311</v>
      </c>
      <c r="K477" s="282" t="s">
        <v>1631</v>
      </c>
      <c r="L477" s="2103" t="s">
        <v>312</v>
      </c>
      <c r="M477" s="283" t="s">
        <v>4203</v>
      </c>
      <c r="N477" s="283" t="s">
        <v>2685</v>
      </c>
      <c r="O477" s="283" t="s">
        <v>310</v>
      </c>
      <c r="P477" s="283" t="s">
        <v>291</v>
      </c>
      <c r="Q477" s="283" t="s">
        <v>294</v>
      </c>
      <c r="R477" s="282">
        <v>1500000.01</v>
      </c>
      <c r="S477" s="282">
        <v>2000000</v>
      </c>
      <c r="T477" s="282">
        <v>0</v>
      </c>
      <c r="U477" s="282">
        <f t="shared" ref="U477:U482" si="189">S477</f>
        <v>2000000</v>
      </c>
      <c r="V477" s="282">
        <v>0</v>
      </c>
      <c r="W477" s="282">
        <v>50</v>
      </c>
      <c r="X477" s="282">
        <v>0</v>
      </c>
      <c r="Y477" s="282">
        <v>999</v>
      </c>
      <c r="Z477" s="284">
        <v>720</v>
      </c>
      <c r="AA477" s="284">
        <v>999</v>
      </c>
      <c r="AB477" s="284">
        <v>6</v>
      </c>
      <c r="AC477" s="284">
        <v>999999</v>
      </c>
      <c r="AD477" s="282">
        <v>0</v>
      </c>
      <c r="AE477" s="285">
        <v>60</v>
      </c>
      <c r="AF477" s="170">
        <v>0</v>
      </c>
      <c r="AG477" s="171">
        <v>1</v>
      </c>
      <c r="AH477" s="171">
        <v>1</v>
      </c>
      <c r="AI477" s="171">
        <v>0</v>
      </c>
      <c r="AJ477" s="171">
        <v>0</v>
      </c>
      <c r="AK477" s="171">
        <v>1</v>
      </c>
      <c r="AL477" s="171">
        <v>1</v>
      </c>
      <c r="AM477" s="171">
        <v>1</v>
      </c>
      <c r="AN477" s="171">
        <v>1</v>
      </c>
      <c r="AO477" s="171">
        <v>1</v>
      </c>
      <c r="AP477" s="171">
        <v>1</v>
      </c>
      <c r="AQ477" s="171">
        <v>1</v>
      </c>
      <c r="AR477" s="171">
        <v>1</v>
      </c>
      <c r="AS477" s="171">
        <v>1</v>
      </c>
      <c r="AT477" s="171">
        <v>1</v>
      </c>
      <c r="AU477" s="171">
        <f t="shared" si="183"/>
        <v>0</v>
      </c>
      <c r="AV477" s="171">
        <f t="shared" si="184"/>
        <v>1</v>
      </c>
      <c r="AW477" s="171">
        <f t="shared" si="185"/>
        <v>1</v>
      </c>
      <c r="AX477" s="171">
        <f t="shared" si="173"/>
        <v>1</v>
      </c>
      <c r="AY477" s="171">
        <f t="shared" si="186"/>
        <v>1</v>
      </c>
      <c r="AZ477" s="171">
        <f t="shared" si="187"/>
        <v>1</v>
      </c>
      <c r="BA477" s="172">
        <f t="shared" si="188"/>
        <v>0</v>
      </c>
      <c r="BB477" s="175">
        <f t="shared" si="169"/>
        <v>17</v>
      </c>
      <c r="BC477" s="176">
        <f t="shared" si="170"/>
        <v>17</v>
      </c>
      <c r="BD477" s="176">
        <f t="shared" si="171"/>
        <v>17</v>
      </c>
      <c r="BE477" s="240" t="str">
        <f t="shared" si="181"/>
        <v/>
      </c>
      <c r="BH477" s="216">
        <f>IF(AND(Input_Product=Elig!$C477,Elig_MatchAll_Ct&lt;22,$BC477=(Elig_MatchAll_Ct-1),AF477=0),C477,0)</f>
        <v>0</v>
      </c>
      <c r="BI477" s="216">
        <f>IF(AND(Input_Product=Elig!$C477,Elig_MatchAll_Ct&lt;22,$BC477=(Elig_MatchAll_Ct-1),AG477=0),D477,0)</f>
        <v>0</v>
      </c>
      <c r="BJ477" s="216">
        <f>IF(AND(Input_Product=Elig!$C477,Elig_MatchAll_Ct&lt;22,$BC477=(Elig_MatchAll_Ct-1),AH477=0),E477,0)</f>
        <v>0</v>
      </c>
      <c r="BK477" s="216">
        <f>IF(AND(Input_Product=Elig!$C477,Elig_MatchAll_Ct&lt;22,$BC477=(Elig_MatchAll_Ct-1),AI477=0),F477,0)</f>
        <v>0</v>
      </c>
      <c r="BL477" s="216">
        <f>IF(AND(Input_Product=Elig!$C477,Elig_MatchAll_Ct&lt;22,$BC477=(Elig_MatchAll_Ct-1),AJ477=0),G477,0)</f>
        <v>0</v>
      </c>
      <c r="BM477" s="216">
        <f>IF(AND(Input_Product=Elig!$C477,Elig_MatchAll_Ct&lt;22,$BC477=(Elig_MatchAll_Ct-1),AK477=0),H477,0)</f>
        <v>0</v>
      </c>
      <c r="BN477" s="216">
        <f>IF(AND(Input_Product=Elig!$C477,Elig_MatchAll_Ct&lt;22,$BC477=(Elig_MatchAll_Ct-1),AL477=0),I477,0)</f>
        <v>0</v>
      </c>
      <c r="BO477" s="216">
        <f>IF(AND(Input_Product=Elig!$C477,Elig_MatchAll_Ct&lt;22,$BC477=(Elig_MatchAll_Ct-1),AM477=0),J477,0)</f>
        <v>0</v>
      </c>
      <c r="BP477" s="216">
        <f>IF(AND(Input_Product=Elig!$C477,Elig_MatchAll_Ct&lt;22,$BC477=(Elig_MatchAll_Ct-1),AN477=0),K477,0)</f>
        <v>0</v>
      </c>
      <c r="BQ477" s="216">
        <f>IF(AND(Input_Product=Elig!$C477,Elig_MatchAll_Ct&lt;22,$BC477=(Elig_MatchAll_Ct-1),AP477=0),L477,0)</f>
        <v>0</v>
      </c>
      <c r="BR477" s="216">
        <f>IF(AND(Input_Product=Elig!$C477,Elig_MatchAll_Ct&lt;22,$BC477=(Elig_MatchAll_Ct-1),AO477=0),M477,0)</f>
        <v>0</v>
      </c>
      <c r="BS477" s="216">
        <f>IF(AND(Input_Product=Elig!$C477,Elig_MatchAll_Ct&lt;22,$BC477=(Elig_MatchAll_Ct-1),AQ477=0),N477,0)</f>
        <v>0</v>
      </c>
      <c r="BT477" s="216">
        <f>IF(AND(Input_Product=Elig!$C477,Elig_MatchAll_Ct&lt;22,$BC477=(Elig_MatchAll_Ct-1),AR477=0),O477,0)</f>
        <v>0</v>
      </c>
      <c r="BU477" s="216">
        <f>IF(AND(Input_Product=Elig!$C477,Elig_MatchAll_Ct&lt;22,$BC477=(Elig_MatchAll_Ct-1),AS477=0),P477,0)</f>
        <v>0</v>
      </c>
      <c r="BV477" s="217">
        <f>IF(AND(Input_Product=Elig!$C477,Elig_MatchAll_Ct&lt;22,$BC477=(Elig_MatchAll_Ct-1),AT477=0),Q477,0)</f>
        <v>0</v>
      </c>
      <c r="BW477" s="218">
        <f>IF(AND(Input_Product=Elig!$C477,Elig_MatchAll_Ct&lt;22,$BC477=(Elig_MatchAll_Ct-1),AU477=0),R477,0)</f>
        <v>0</v>
      </c>
      <c r="BX477" s="219">
        <f>IF(AND(Input_Product=Elig!$C477,Elig_MatchAll_Ct&lt;22,$BC477=(Elig_MatchAll_Ct-1),AU477=0),S477,0)</f>
        <v>0</v>
      </c>
      <c r="BY477" s="218">
        <f>IF(AND(Input_Product=Elig!$C477,Elig_MatchAll_Ct&lt;22,$BC477=(Elig_MatchAll_Ct-1),AV477=0),T477,0)</f>
        <v>0</v>
      </c>
      <c r="BZ477" s="219">
        <f>IF(AND(Input_Product=Elig!$C477,Elig_MatchAll_Ct&lt;22,$BC477=(Elig_MatchAll_Ct-1),AV477=0),U477,0)</f>
        <v>0</v>
      </c>
      <c r="CA477" s="218">
        <f>IF(AND(Input_Product=Elig!$C477,Elig_MatchAll_Ct&lt;22,$BC477=(Elig_MatchAll_Ct-1),AW477=0),V477,0)</f>
        <v>0</v>
      </c>
      <c r="CB477" s="219">
        <f>IF(AND(Input_Product=Elig!$C477,Elig_MatchAll_Ct&lt;22,$BC477=(Elig_MatchAll_Ct-1),AW477=0),W477,0)</f>
        <v>0</v>
      </c>
      <c r="CC477" s="218">
        <f>IF(AND(Input_Product=Elig!$C477,Elig_MatchAll_Ct&lt;22,$BC477=(Elig_MatchAll_Ct-1),AX477=0),X477,0)</f>
        <v>0</v>
      </c>
      <c r="CD477" s="219">
        <f>IF(AND(Input_Product=Elig!$C477,Elig_MatchAll_Ct&lt;22,$BC477=(Elig_MatchAll_Ct-1),AX477=0),Y477,0)</f>
        <v>0</v>
      </c>
      <c r="CE477" s="218">
        <f>IF(AND(Input_LTV&lt;=AE477,Input_Product=Elig!$C477,Elig_MatchAll_Ct&lt;22,$BC477=(Elig_MatchAll_Ct-1),AY477=0),Z477,0)</f>
        <v>0</v>
      </c>
      <c r="CF477" s="219">
        <f>IF(AND(Input_LTV&lt;=AE477,Input_Product=Elig!$C477,Elig_MatchAll_Ct&lt;22,$BC477=(Elig_MatchAll_Ct-1),AY477=0),AA477,0)</f>
        <v>0</v>
      </c>
      <c r="CG477" s="218">
        <f>IF(AND(Input_Product=Elig!$C477,Elig_MatchAll_Ct&lt;22,$BC477=(Elig_MatchAll_Ct-1),AZ477=0),AB477,0)</f>
        <v>0</v>
      </c>
      <c r="CH477" s="219">
        <f>IF(AND(Input_Product=Elig!$C477,Elig_MatchAll_Ct&lt;22,$BC477=(Elig_MatchAll_Ct-1),AZ477=0),AC477,0)</f>
        <v>0</v>
      </c>
      <c r="CI477" s="218">
        <f>IF(AND(Input_Product=Elig!$C477,Elig_MatchAll_Ct&lt;22,$BC477=(Elig_MatchAll_Ct-1),BA477=0),AD477,0)</f>
        <v>0</v>
      </c>
      <c r="CJ477" s="219">
        <f>IF(AND(Input_Product=Elig!$C477,Elig_MatchAll_Ct&lt;22,$BC477=(Elig_MatchAll_Ct-1),BA477=0),AE477,0)</f>
        <v>0</v>
      </c>
    </row>
    <row r="478" spans="2:88" ht="10.15" customHeight="1" x14ac:dyDescent="0.25">
      <c r="B478" s="287" t="s">
        <v>1225</v>
      </c>
      <c r="C478" s="286" t="str">
        <f t="shared" si="175"/>
        <v>NonQM NOO</v>
      </c>
      <c r="D478" s="287" t="s">
        <v>3885</v>
      </c>
      <c r="E478" s="287" t="s">
        <v>167</v>
      </c>
      <c r="F478" s="287" t="s">
        <v>330</v>
      </c>
      <c r="G478" s="287" t="s">
        <v>305</v>
      </c>
      <c r="H478" s="287" t="s">
        <v>136</v>
      </c>
      <c r="I478" s="288" t="s">
        <v>16</v>
      </c>
      <c r="J478" s="288" t="s">
        <v>1311</v>
      </c>
      <c r="K478" s="288" t="s">
        <v>1631</v>
      </c>
      <c r="L478" s="300" t="s">
        <v>312</v>
      </c>
      <c r="M478" s="287" t="s">
        <v>4203</v>
      </c>
      <c r="N478" s="287" t="s">
        <v>2685</v>
      </c>
      <c r="O478" s="287" t="s">
        <v>310</v>
      </c>
      <c r="P478" s="287" t="s">
        <v>291</v>
      </c>
      <c r="Q478" s="287" t="s">
        <v>294</v>
      </c>
      <c r="R478" s="287">
        <v>1500000.01</v>
      </c>
      <c r="S478" s="287">
        <v>2000000</v>
      </c>
      <c r="T478" s="287">
        <v>0</v>
      </c>
      <c r="U478" s="287">
        <f t="shared" si="189"/>
        <v>2000000</v>
      </c>
      <c r="V478" s="287">
        <v>0</v>
      </c>
      <c r="W478" s="287">
        <v>50</v>
      </c>
      <c r="X478" s="287">
        <v>0</v>
      </c>
      <c r="Y478" s="287">
        <v>999</v>
      </c>
      <c r="Z478" s="289">
        <v>700</v>
      </c>
      <c r="AA478" s="289">
        <v>719</v>
      </c>
      <c r="AB478" s="289">
        <v>6</v>
      </c>
      <c r="AC478" s="289">
        <v>999999</v>
      </c>
      <c r="AD478" s="287">
        <v>0</v>
      </c>
      <c r="AE478" s="290">
        <v>60</v>
      </c>
      <c r="AF478" s="170">
        <v>0</v>
      </c>
      <c r="AG478" s="171">
        <v>1</v>
      </c>
      <c r="AH478" s="171">
        <v>1</v>
      </c>
      <c r="AI478" s="171">
        <v>0</v>
      </c>
      <c r="AJ478" s="171">
        <v>0</v>
      </c>
      <c r="AK478" s="171">
        <v>1</v>
      </c>
      <c r="AL478" s="171">
        <v>1</v>
      </c>
      <c r="AM478" s="171">
        <v>1</v>
      </c>
      <c r="AN478" s="171">
        <v>1</v>
      </c>
      <c r="AO478" s="171">
        <v>1</v>
      </c>
      <c r="AP478" s="171">
        <v>1</v>
      </c>
      <c r="AQ478" s="171">
        <v>1</v>
      </c>
      <c r="AR478" s="171">
        <v>1</v>
      </c>
      <c r="AS478" s="171">
        <v>1</v>
      </c>
      <c r="AT478" s="171">
        <v>1</v>
      </c>
      <c r="AU478" s="171">
        <f t="shared" si="183"/>
        <v>0</v>
      </c>
      <c r="AV478" s="171">
        <f t="shared" si="184"/>
        <v>1</v>
      </c>
      <c r="AW478" s="171">
        <f t="shared" si="185"/>
        <v>1</v>
      </c>
      <c r="AX478" s="171">
        <f t="shared" si="173"/>
        <v>1</v>
      </c>
      <c r="AY478" s="171">
        <f t="shared" si="186"/>
        <v>0</v>
      </c>
      <c r="AZ478" s="171">
        <f t="shared" si="187"/>
        <v>1</v>
      </c>
      <c r="BA478" s="172">
        <f t="shared" si="188"/>
        <v>0</v>
      </c>
      <c r="BB478" s="175">
        <f t="shared" si="169"/>
        <v>16</v>
      </c>
      <c r="BC478" s="176">
        <f t="shared" si="170"/>
        <v>16</v>
      </c>
      <c r="BD478" s="176">
        <f t="shared" si="171"/>
        <v>16</v>
      </c>
      <c r="BE478" s="240" t="str">
        <f t="shared" si="181"/>
        <v/>
      </c>
      <c r="BH478" s="199">
        <f>IF(AND(Input_Product=Elig!$C478,Elig_MatchAll_Ct&lt;22,$BC478=(Elig_MatchAll_Ct-1),AF478=0),C478,0)</f>
        <v>0</v>
      </c>
      <c r="BI478" s="199">
        <f>IF(AND(Input_Product=Elig!$C478,Elig_MatchAll_Ct&lt;22,$BC478=(Elig_MatchAll_Ct-1),AG478=0),D478,0)</f>
        <v>0</v>
      </c>
      <c r="BJ478" s="199">
        <f>IF(AND(Input_Product=Elig!$C478,Elig_MatchAll_Ct&lt;22,$BC478=(Elig_MatchAll_Ct-1),AH478=0),E478,0)</f>
        <v>0</v>
      </c>
      <c r="BK478" s="199">
        <f>IF(AND(Input_Product=Elig!$C478,Elig_MatchAll_Ct&lt;22,$BC478=(Elig_MatchAll_Ct-1),AI478=0),F478,0)</f>
        <v>0</v>
      </c>
      <c r="BL478" s="199">
        <f>IF(AND(Input_Product=Elig!$C478,Elig_MatchAll_Ct&lt;22,$BC478=(Elig_MatchAll_Ct-1),AJ478=0),G478,0)</f>
        <v>0</v>
      </c>
      <c r="BM478" s="199">
        <f>IF(AND(Input_Product=Elig!$C478,Elig_MatchAll_Ct&lt;22,$BC478=(Elig_MatchAll_Ct-1),AK478=0),H478,0)</f>
        <v>0</v>
      </c>
      <c r="BN478" s="199">
        <f>IF(AND(Input_Product=Elig!$C478,Elig_MatchAll_Ct&lt;22,$BC478=(Elig_MatchAll_Ct-1),AL478=0),I478,0)</f>
        <v>0</v>
      </c>
      <c r="BO478" s="199">
        <f>IF(AND(Input_Product=Elig!$C478,Elig_MatchAll_Ct&lt;22,$BC478=(Elig_MatchAll_Ct-1),AM478=0),J478,0)</f>
        <v>0</v>
      </c>
      <c r="BP478" s="199">
        <f>IF(AND(Input_Product=Elig!$C478,Elig_MatchAll_Ct&lt;22,$BC478=(Elig_MatchAll_Ct-1),AN478=0),K478,0)</f>
        <v>0</v>
      </c>
      <c r="BQ478" s="199">
        <f>IF(AND(Input_Product=Elig!$C478,Elig_MatchAll_Ct&lt;22,$BC478=(Elig_MatchAll_Ct-1),AP478=0),L478,0)</f>
        <v>0</v>
      </c>
      <c r="BR478" s="199">
        <f>IF(AND(Input_Product=Elig!$C478,Elig_MatchAll_Ct&lt;22,$BC478=(Elig_MatchAll_Ct-1),AO478=0),M478,0)</f>
        <v>0</v>
      </c>
      <c r="BS478" s="199">
        <f>IF(AND(Input_Product=Elig!$C478,Elig_MatchAll_Ct&lt;22,$BC478=(Elig_MatchAll_Ct-1),AQ478=0),N478,0)</f>
        <v>0</v>
      </c>
      <c r="BT478" s="199">
        <f>IF(AND(Input_Product=Elig!$C478,Elig_MatchAll_Ct&lt;22,$BC478=(Elig_MatchAll_Ct-1),AR478=0),O478,0)</f>
        <v>0</v>
      </c>
      <c r="BU478" s="199">
        <f>IF(AND(Input_Product=Elig!$C478,Elig_MatchAll_Ct&lt;22,$BC478=(Elig_MatchAll_Ct-1),AS478=0),P478,0)</f>
        <v>0</v>
      </c>
      <c r="BV478" s="200">
        <f>IF(AND(Input_Product=Elig!$C478,Elig_MatchAll_Ct&lt;22,$BC478=(Elig_MatchAll_Ct-1),AT478=0),Q478,0)</f>
        <v>0</v>
      </c>
      <c r="BW478" s="201">
        <f>IF(AND(Input_Product=Elig!$C478,Elig_MatchAll_Ct&lt;22,$BC478=(Elig_MatchAll_Ct-1),AU478=0),R478,0)</f>
        <v>0</v>
      </c>
      <c r="BX478" s="202">
        <f>IF(AND(Input_Product=Elig!$C478,Elig_MatchAll_Ct&lt;22,$BC478=(Elig_MatchAll_Ct-1),AU478=0),S478,0)</f>
        <v>0</v>
      </c>
      <c r="BY478" s="201">
        <f>IF(AND(Input_Product=Elig!$C478,Elig_MatchAll_Ct&lt;22,$BC478=(Elig_MatchAll_Ct-1),AV478=0),T478,0)</f>
        <v>0</v>
      </c>
      <c r="BZ478" s="202">
        <f>IF(AND(Input_Product=Elig!$C478,Elig_MatchAll_Ct&lt;22,$BC478=(Elig_MatchAll_Ct-1),AV478=0),U478,0)</f>
        <v>0</v>
      </c>
      <c r="CA478" s="201">
        <f>IF(AND(Input_Product=Elig!$C478,Elig_MatchAll_Ct&lt;22,$BC478=(Elig_MatchAll_Ct-1),AW478=0),V478,0)</f>
        <v>0</v>
      </c>
      <c r="CB478" s="202">
        <f>IF(AND(Input_Product=Elig!$C478,Elig_MatchAll_Ct&lt;22,$BC478=(Elig_MatchAll_Ct-1),AW478=0),W478,0)</f>
        <v>0</v>
      </c>
      <c r="CC478" s="201">
        <f>IF(AND(Input_Product=Elig!$C478,Elig_MatchAll_Ct&lt;22,$BC478=(Elig_MatchAll_Ct-1),AX478=0),X478,0)</f>
        <v>0</v>
      </c>
      <c r="CD478" s="202">
        <f>IF(AND(Input_Product=Elig!$C478,Elig_MatchAll_Ct&lt;22,$BC478=(Elig_MatchAll_Ct-1),AX478=0),Y478,0)</f>
        <v>0</v>
      </c>
      <c r="CE478" s="201">
        <f>IF(AND(Input_LTV&lt;=AE478,Input_Product=Elig!$C478,Elig_MatchAll_Ct&lt;22,$BC478=(Elig_MatchAll_Ct-1),AY478=0),Z478,0)</f>
        <v>0</v>
      </c>
      <c r="CF478" s="202">
        <f>IF(AND(Input_LTV&lt;=AE478,Input_Product=Elig!$C478,Elig_MatchAll_Ct&lt;22,$BC478=(Elig_MatchAll_Ct-1),AY478=0),AA478,0)</f>
        <v>0</v>
      </c>
      <c r="CG478" s="201">
        <f>IF(AND(Input_Product=Elig!$C478,Elig_MatchAll_Ct&lt;22,$BC478=(Elig_MatchAll_Ct-1),AZ478=0),AB478,0)</f>
        <v>0</v>
      </c>
      <c r="CH478" s="202">
        <f>IF(AND(Input_Product=Elig!$C478,Elig_MatchAll_Ct&lt;22,$BC478=(Elig_MatchAll_Ct-1),AZ478=0),AC478,0)</f>
        <v>0</v>
      </c>
      <c r="CI478" s="201">
        <f>IF(AND(Input_Product=Elig!$C478,Elig_MatchAll_Ct&lt;22,$BC478=(Elig_MatchAll_Ct-1),BA478=0),AD478,0)</f>
        <v>0</v>
      </c>
      <c r="CJ478" s="202">
        <f>IF(AND(Input_Product=Elig!$C478,Elig_MatchAll_Ct&lt;22,$BC478=(Elig_MatchAll_Ct-1),BA478=0),AE478,0)</f>
        <v>0</v>
      </c>
    </row>
    <row r="479" spans="2:88" ht="10.15" customHeight="1" x14ac:dyDescent="0.25">
      <c r="B479" s="287" t="s">
        <v>1226</v>
      </c>
      <c r="C479" s="286" t="str">
        <f t="shared" si="175"/>
        <v>NonQM NOO</v>
      </c>
      <c r="D479" s="287" t="s">
        <v>3885</v>
      </c>
      <c r="E479" s="287" t="s">
        <v>167</v>
      </c>
      <c r="F479" s="287" t="s">
        <v>330</v>
      </c>
      <c r="G479" s="287" t="s">
        <v>305</v>
      </c>
      <c r="H479" s="287" t="s">
        <v>136</v>
      </c>
      <c r="I479" s="288" t="s">
        <v>16</v>
      </c>
      <c r="J479" s="288" t="s">
        <v>1311</v>
      </c>
      <c r="K479" s="288" t="s">
        <v>1631</v>
      </c>
      <c r="L479" s="300" t="s">
        <v>312</v>
      </c>
      <c r="M479" s="287" t="s">
        <v>4203</v>
      </c>
      <c r="N479" s="287" t="s">
        <v>2685</v>
      </c>
      <c r="O479" s="287" t="s">
        <v>310</v>
      </c>
      <c r="P479" s="287" t="s">
        <v>291</v>
      </c>
      <c r="Q479" s="287" t="s">
        <v>294</v>
      </c>
      <c r="R479" s="287">
        <v>1500000.01</v>
      </c>
      <c r="S479" s="287">
        <v>2000000</v>
      </c>
      <c r="T479" s="287">
        <v>0</v>
      </c>
      <c r="U479" s="287">
        <f t="shared" si="189"/>
        <v>2000000</v>
      </c>
      <c r="V479" s="287">
        <v>0</v>
      </c>
      <c r="W479" s="287">
        <v>50</v>
      </c>
      <c r="X479" s="287">
        <v>0</v>
      </c>
      <c r="Y479" s="287">
        <v>999</v>
      </c>
      <c r="Z479" s="289">
        <v>680</v>
      </c>
      <c r="AA479" s="289">
        <v>699</v>
      </c>
      <c r="AB479" s="289">
        <v>6</v>
      </c>
      <c r="AC479" s="289">
        <v>999999</v>
      </c>
      <c r="AD479" s="287">
        <v>0</v>
      </c>
      <c r="AE479" s="290">
        <v>60</v>
      </c>
      <c r="AF479" s="170">
        <v>0</v>
      </c>
      <c r="AG479" s="171">
        <v>1</v>
      </c>
      <c r="AH479" s="171">
        <v>1</v>
      </c>
      <c r="AI479" s="171">
        <v>0</v>
      </c>
      <c r="AJ479" s="171">
        <v>0</v>
      </c>
      <c r="AK479" s="171">
        <v>1</v>
      </c>
      <c r="AL479" s="171">
        <v>1</v>
      </c>
      <c r="AM479" s="171">
        <v>1</v>
      </c>
      <c r="AN479" s="171">
        <v>1</v>
      </c>
      <c r="AO479" s="171">
        <v>1</v>
      </c>
      <c r="AP479" s="171">
        <v>1</v>
      </c>
      <c r="AQ479" s="171">
        <v>1</v>
      </c>
      <c r="AR479" s="171">
        <v>1</v>
      </c>
      <c r="AS479" s="171">
        <v>1</v>
      </c>
      <c r="AT479" s="171">
        <v>1</v>
      </c>
      <c r="AU479" s="171">
        <f t="shared" si="183"/>
        <v>0</v>
      </c>
      <c r="AV479" s="171">
        <f t="shared" si="184"/>
        <v>1</v>
      </c>
      <c r="AW479" s="171">
        <f t="shared" si="185"/>
        <v>1</v>
      </c>
      <c r="AX479" s="171">
        <f t="shared" si="173"/>
        <v>1</v>
      </c>
      <c r="AY479" s="171">
        <f t="shared" si="186"/>
        <v>0</v>
      </c>
      <c r="AZ479" s="171">
        <f t="shared" si="187"/>
        <v>1</v>
      </c>
      <c r="BA479" s="172">
        <f t="shared" si="188"/>
        <v>0</v>
      </c>
      <c r="BB479" s="175">
        <f t="shared" si="169"/>
        <v>16</v>
      </c>
      <c r="BC479" s="176">
        <f t="shared" si="170"/>
        <v>16</v>
      </c>
      <c r="BD479" s="176">
        <f t="shared" si="171"/>
        <v>16</v>
      </c>
      <c r="BE479" s="240" t="str">
        <f t="shared" si="181"/>
        <v/>
      </c>
      <c r="BH479" s="199">
        <f>IF(AND(Input_Product=Elig!$C479,Elig_MatchAll_Ct&lt;22,$BC479=(Elig_MatchAll_Ct-1),AF479=0),C479,0)</f>
        <v>0</v>
      </c>
      <c r="BI479" s="199">
        <f>IF(AND(Input_Product=Elig!$C479,Elig_MatchAll_Ct&lt;22,$BC479=(Elig_MatchAll_Ct-1),AG479=0),D479,0)</f>
        <v>0</v>
      </c>
      <c r="BJ479" s="199">
        <f>IF(AND(Input_Product=Elig!$C479,Elig_MatchAll_Ct&lt;22,$BC479=(Elig_MatchAll_Ct-1),AH479=0),E479,0)</f>
        <v>0</v>
      </c>
      <c r="BK479" s="199">
        <f>IF(AND(Input_Product=Elig!$C479,Elig_MatchAll_Ct&lt;22,$BC479=(Elig_MatchAll_Ct-1),AI479=0),F479,0)</f>
        <v>0</v>
      </c>
      <c r="BL479" s="199">
        <f>IF(AND(Input_Product=Elig!$C479,Elig_MatchAll_Ct&lt;22,$BC479=(Elig_MatchAll_Ct-1),AJ479=0),G479,0)</f>
        <v>0</v>
      </c>
      <c r="BM479" s="199">
        <f>IF(AND(Input_Product=Elig!$C479,Elig_MatchAll_Ct&lt;22,$BC479=(Elig_MatchAll_Ct-1),AK479=0),H479,0)</f>
        <v>0</v>
      </c>
      <c r="BN479" s="199">
        <f>IF(AND(Input_Product=Elig!$C479,Elig_MatchAll_Ct&lt;22,$BC479=(Elig_MatchAll_Ct-1),AL479=0),I479,0)</f>
        <v>0</v>
      </c>
      <c r="BO479" s="199">
        <f>IF(AND(Input_Product=Elig!$C479,Elig_MatchAll_Ct&lt;22,$BC479=(Elig_MatchAll_Ct-1),AM479=0),J479,0)</f>
        <v>0</v>
      </c>
      <c r="BP479" s="199">
        <f>IF(AND(Input_Product=Elig!$C479,Elig_MatchAll_Ct&lt;22,$BC479=(Elig_MatchAll_Ct-1),AN479=0),K479,0)</f>
        <v>0</v>
      </c>
      <c r="BQ479" s="199">
        <f>IF(AND(Input_Product=Elig!$C479,Elig_MatchAll_Ct&lt;22,$BC479=(Elig_MatchAll_Ct-1),AP479=0),L479,0)</f>
        <v>0</v>
      </c>
      <c r="BR479" s="199">
        <f>IF(AND(Input_Product=Elig!$C479,Elig_MatchAll_Ct&lt;22,$BC479=(Elig_MatchAll_Ct-1),AO479=0),M479,0)</f>
        <v>0</v>
      </c>
      <c r="BS479" s="199">
        <f>IF(AND(Input_Product=Elig!$C479,Elig_MatchAll_Ct&lt;22,$BC479=(Elig_MatchAll_Ct-1),AQ479=0),N479,0)</f>
        <v>0</v>
      </c>
      <c r="BT479" s="199">
        <f>IF(AND(Input_Product=Elig!$C479,Elig_MatchAll_Ct&lt;22,$BC479=(Elig_MatchAll_Ct-1),AR479=0),O479,0)</f>
        <v>0</v>
      </c>
      <c r="BU479" s="199">
        <f>IF(AND(Input_Product=Elig!$C479,Elig_MatchAll_Ct&lt;22,$BC479=(Elig_MatchAll_Ct-1),AS479=0),P479,0)</f>
        <v>0</v>
      </c>
      <c r="BV479" s="200">
        <f>IF(AND(Input_Product=Elig!$C479,Elig_MatchAll_Ct&lt;22,$BC479=(Elig_MatchAll_Ct-1),AT479=0),Q479,0)</f>
        <v>0</v>
      </c>
      <c r="BW479" s="201">
        <f>IF(AND(Input_Product=Elig!$C479,Elig_MatchAll_Ct&lt;22,$BC479=(Elig_MatchAll_Ct-1),AU479=0),R479,0)</f>
        <v>0</v>
      </c>
      <c r="BX479" s="202">
        <f>IF(AND(Input_Product=Elig!$C479,Elig_MatchAll_Ct&lt;22,$BC479=(Elig_MatchAll_Ct-1),AU479=0),S479,0)</f>
        <v>0</v>
      </c>
      <c r="BY479" s="201">
        <f>IF(AND(Input_Product=Elig!$C479,Elig_MatchAll_Ct&lt;22,$BC479=(Elig_MatchAll_Ct-1),AV479=0),T479,0)</f>
        <v>0</v>
      </c>
      <c r="BZ479" s="202">
        <f>IF(AND(Input_Product=Elig!$C479,Elig_MatchAll_Ct&lt;22,$BC479=(Elig_MatchAll_Ct-1),AV479=0),U479,0)</f>
        <v>0</v>
      </c>
      <c r="CA479" s="201">
        <f>IF(AND(Input_Product=Elig!$C479,Elig_MatchAll_Ct&lt;22,$BC479=(Elig_MatchAll_Ct-1),AW479=0),V479,0)</f>
        <v>0</v>
      </c>
      <c r="CB479" s="202">
        <f>IF(AND(Input_Product=Elig!$C479,Elig_MatchAll_Ct&lt;22,$BC479=(Elig_MatchAll_Ct-1),AW479=0),W479,0)</f>
        <v>0</v>
      </c>
      <c r="CC479" s="201">
        <f>IF(AND(Input_Product=Elig!$C479,Elig_MatchAll_Ct&lt;22,$BC479=(Elig_MatchAll_Ct-1),AX479=0),X479,0)</f>
        <v>0</v>
      </c>
      <c r="CD479" s="202">
        <f>IF(AND(Input_Product=Elig!$C479,Elig_MatchAll_Ct&lt;22,$BC479=(Elig_MatchAll_Ct-1),AX479=0),Y479,0)</f>
        <v>0</v>
      </c>
      <c r="CE479" s="201">
        <f>IF(AND(Input_LTV&lt;=AE479,Input_Product=Elig!$C479,Elig_MatchAll_Ct&lt;22,$BC479=(Elig_MatchAll_Ct-1),AY479=0),Z479,0)</f>
        <v>0</v>
      </c>
      <c r="CF479" s="202">
        <f>IF(AND(Input_LTV&lt;=AE479,Input_Product=Elig!$C479,Elig_MatchAll_Ct&lt;22,$BC479=(Elig_MatchAll_Ct-1),AY479=0),AA479,0)</f>
        <v>0</v>
      </c>
      <c r="CG479" s="201">
        <f>IF(AND(Input_Product=Elig!$C479,Elig_MatchAll_Ct&lt;22,$BC479=(Elig_MatchAll_Ct-1),AZ479=0),AB479,0)</f>
        <v>0</v>
      </c>
      <c r="CH479" s="202">
        <f>IF(AND(Input_Product=Elig!$C479,Elig_MatchAll_Ct&lt;22,$BC479=(Elig_MatchAll_Ct-1),AZ479=0),AC479,0)</f>
        <v>0</v>
      </c>
      <c r="CI479" s="201">
        <f>IF(AND(Input_Product=Elig!$C479,Elig_MatchAll_Ct&lt;22,$BC479=(Elig_MatchAll_Ct-1),BA479=0),AD479,0)</f>
        <v>0</v>
      </c>
      <c r="CJ479" s="202">
        <f>IF(AND(Input_Product=Elig!$C479,Elig_MatchAll_Ct&lt;22,$BC479=(Elig_MatchAll_Ct-1),BA479=0),AE479,0)</f>
        <v>0</v>
      </c>
    </row>
    <row r="480" spans="2:88" ht="10.15" customHeight="1" x14ac:dyDescent="0.25">
      <c r="B480" s="287" t="s">
        <v>1227</v>
      </c>
      <c r="C480" s="286" t="str">
        <f t="shared" si="175"/>
        <v>NonQM NOO</v>
      </c>
      <c r="D480" s="287" t="s">
        <v>3885</v>
      </c>
      <c r="E480" s="287" t="s">
        <v>167</v>
      </c>
      <c r="F480" s="287" t="s">
        <v>330</v>
      </c>
      <c r="G480" s="287" t="s">
        <v>305</v>
      </c>
      <c r="H480" s="287" t="s">
        <v>136</v>
      </c>
      <c r="I480" s="287" t="s">
        <v>16</v>
      </c>
      <c r="J480" s="287" t="s">
        <v>1311</v>
      </c>
      <c r="K480" s="287" t="s">
        <v>1631</v>
      </c>
      <c r="L480" s="300" t="s">
        <v>312</v>
      </c>
      <c r="M480" s="287" t="s">
        <v>4203</v>
      </c>
      <c r="N480" s="287" t="s">
        <v>2685</v>
      </c>
      <c r="O480" s="287" t="s">
        <v>310</v>
      </c>
      <c r="P480" s="287" t="s">
        <v>291</v>
      </c>
      <c r="Q480" s="287" t="s">
        <v>294</v>
      </c>
      <c r="R480" s="287">
        <v>1500000.01</v>
      </c>
      <c r="S480" s="287">
        <v>2000000</v>
      </c>
      <c r="T480" s="287">
        <v>0</v>
      </c>
      <c r="U480" s="287">
        <f t="shared" si="189"/>
        <v>2000000</v>
      </c>
      <c r="V480" s="287">
        <v>0</v>
      </c>
      <c r="W480" s="287">
        <v>50</v>
      </c>
      <c r="X480" s="287">
        <v>0</v>
      </c>
      <c r="Y480" s="287">
        <v>999</v>
      </c>
      <c r="Z480" s="289">
        <v>660</v>
      </c>
      <c r="AA480" s="289">
        <v>679</v>
      </c>
      <c r="AB480" s="289">
        <v>6</v>
      </c>
      <c r="AC480" s="289">
        <v>999999</v>
      </c>
      <c r="AD480" s="287">
        <v>0</v>
      </c>
      <c r="AE480" s="290">
        <v>60</v>
      </c>
      <c r="AF480" s="170">
        <v>0</v>
      </c>
      <c r="AG480" s="171">
        <v>1</v>
      </c>
      <c r="AH480" s="171">
        <v>1</v>
      </c>
      <c r="AI480" s="171">
        <v>0</v>
      </c>
      <c r="AJ480" s="171">
        <v>0</v>
      </c>
      <c r="AK480" s="171">
        <v>1</v>
      </c>
      <c r="AL480" s="171">
        <v>1</v>
      </c>
      <c r="AM480" s="171">
        <v>1</v>
      </c>
      <c r="AN480" s="171">
        <v>1</v>
      </c>
      <c r="AO480" s="171">
        <v>1</v>
      </c>
      <c r="AP480" s="171">
        <v>1</v>
      </c>
      <c r="AQ480" s="171">
        <v>1</v>
      </c>
      <c r="AR480" s="171">
        <v>1</v>
      </c>
      <c r="AS480" s="171">
        <v>1</v>
      </c>
      <c r="AT480" s="171">
        <v>1</v>
      </c>
      <c r="AU480" s="171">
        <f t="shared" si="183"/>
        <v>0</v>
      </c>
      <c r="AV480" s="171">
        <f t="shared" si="184"/>
        <v>1</v>
      </c>
      <c r="AW480" s="171">
        <f t="shared" si="185"/>
        <v>1</v>
      </c>
      <c r="AX480" s="171">
        <f t="shared" si="173"/>
        <v>1</v>
      </c>
      <c r="AY480" s="171">
        <f t="shared" si="186"/>
        <v>0</v>
      </c>
      <c r="AZ480" s="171">
        <f t="shared" si="187"/>
        <v>1</v>
      </c>
      <c r="BA480" s="172">
        <f t="shared" si="188"/>
        <v>0</v>
      </c>
      <c r="BB480" s="175">
        <f t="shared" ref="BB480:BB614" si="190">SUM(AF480:BA480)</f>
        <v>16</v>
      </c>
      <c r="BC480" s="176">
        <f t="shared" ref="BC480:BC614" si="191">SUM(AF480:AZ480)</f>
        <v>16</v>
      </c>
      <c r="BD480" s="176">
        <f t="shared" ref="BD480:BD614" si="192">SUM(AG480:BA480)</f>
        <v>16</v>
      </c>
      <c r="BE480" s="240" t="str">
        <f t="shared" si="181"/>
        <v/>
      </c>
      <c r="BH480" s="199">
        <f>IF(AND(Input_Product=Elig!$C480,Elig_MatchAll_Ct&lt;22,$BC480=(Elig_MatchAll_Ct-1),AF480=0),C480,0)</f>
        <v>0</v>
      </c>
      <c r="BI480" s="199">
        <f>IF(AND(Input_Product=Elig!$C480,Elig_MatchAll_Ct&lt;22,$BC480=(Elig_MatchAll_Ct-1),AG480=0),D480,0)</f>
        <v>0</v>
      </c>
      <c r="BJ480" s="199">
        <f>IF(AND(Input_Product=Elig!$C480,Elig_MatchAll_Ct&lt;22,$BC480=(Elig_MatchAll_Ct-1),AH480=0),E480,0)</f>
        <v>0</v>
      </c>
      <c r="BK480" s="199">
        <f>IF(AND(Input_Product=Elig!$C480,Elig_MatchAll_Ct&lt;22,$BC480=(Elig_MatchAll_Ct-1),AI480=0),F480,0)</f>
        <v>0</v>
      </c>
      <c r="BL480" s="199">
        <f>IF(AND(Input_Product=Elig!$C480,Elig_MatchAll_Ct&lt;22,$BC480=(Elig_MatchAll_Ct-1),AJ480=0),G480,0)</f>
        <v>0</v>
      </c>
      <c r="BM480" s="199">
        <f>IF(AND(Input_Product=Elig!$C480,Elig_MatchAll_Ct&lt;22,$BC480=(Elig_MatchAll_Ct-1),AK480=0),H480,0)</f>
        <v>0</v>
      </c>
      <c r="BN480" s="199">
        <f>IF(AND(Input_Product=Elig!$C480,Elig_MatchAll_Ct&lt;22,$BC480=(Elig_MatchAll_Ct-1),AL480=0),I480,0)</f>
        <v>0</v>
      </c>
      <c r="BO480" s="199">
        <f>IF(AND(Input_Product=Elig!$C480,Elig_MatchAll_Ct&lt;22,$BC480=(Elig_MatchAll_Ct-1),AM480=0),J480,0)</f>
        <v>0</v>
      </c>
      <c r="BP480" s="199">
        <f>IF(AND(Input_Product=Elig!$C480,Elig_MatchAll_Ct&lt;22,$BC480=(Elig_MatchAll_Ct-1),AN480=0),K480,0)</f>
        <v>0</v>
      </c>
      <c r="BQ480" s="199">
        <f>IF(AND(Input_Product=Elig!$C480,Elig_MatchAll_Ct&lt;22,$BC480=(Elig_MatchAll_Ct-1),AP480=0),L480,0)</f>
        <v>0</v>
      </c>
      <c r="BR480" s="199">
        <f>IF(AND(Input_Product=Elig!$C480,Elig_MatchAll_Ct&lt;22,$BC480=(Elig_MatchAll_Ct-1),AO480=0),M480,0)</f>
        <v>0</v>
      </c>
      <c r="BS480" s="199">
        <f>IF(AND(Input_Product=Elig!$C480,Elig_MatchAll_Ct&lt;22,$BC480=(Elig_MatchAll_Ct-1),AQ480=0),N480,0)</f>
        <v>0</v>
      </c>
      <c r="BT480" s="199">
        <f>IF(AND(Input_Product=Elig!$C480,Elig_MatchAll_Ct&lt;22,$BC480=(Elig_MatchAll_Ct-1),AR480=0),O480,0)</f>
        <v>0</v>
      </c>
      <c r="BU480" s="199">
        <f>IF(AND(Input_Product=Elig!$C480,Elig_MatchAll_Ct&lt;22,$BC480=(Elig_MatchAll_Ct-1),AS480=0),P480,0)</f>
        <v>0</v>
      </c>
      <c r="BV480" s="200">
        <f>IF(AND(Input_Product=Elig!$C480,Elig_MatchAll_Ct&lt;22,$BC480=(Elig_MatchAll_Ct-1),AT480=0),Q480,0)</f>
        <v>0</v>
      </c>
      <c r="BW480" s="201">
        <f>IF(AND(Input_Product=Elig!$C480,Elig_MatchAll_Ct&lt;22,$BC480=(Elig_MatchAll_Ct-1),AU480=0),R480,0)</f>
        <v>0</v>
      </c>
      <c r="BX480" s="202">
        <f>IF(AND(Input_Product=Elig!$C480,Elig_MatchAll_Ct&lt;22,$BC480=(Elig_MatchAll_Ct-1),AU480=0),S480,0)</f>
        <v>0</v>
      </c>
      <c r="BY480" s="201">
        <f>IF(AND(Input_Product=Elig!$C480,Elig_MatchAll_Ct&lt;22,$BC480=(Elig_MatchAll_Ct-1),AV480=0),T480,0)</f>
        <v>0</v>
      </c>
      <c r="BZ480" s="202">
        <f>IF(AND(Input_Product=Elig!$C480,Elig_MatchAll_Ct&lt;22,$BC480=(Elig_MatchAll_Ct-1),AV480=0),U480,0)</f>
        <v>0</v>
      </c>
      <c r="CA480" s="201">
        <f>IF(AND(Input_Product=Elig!$C480,Elig_MatchAll_Ct&lt;22,$BC480=(Elig_MatchAll_Ct-1),AW480=0),V480,0)</f>
        <v>0</v>
      </c>
      <c r="CB480" s="202">
        <f>IF(AND(Input_Product=Elig!$C480,Elig_MatchAll_Ct&lt;22,$BC480=(Elig_MatchAll_Ct-1),AW480=0),W480,0)</f>
        <v>0</v>
      </c>
      <c r="CC480" s="201">
        <f>IF(AND(Input_Product=Elig!$C480,Elig_MatchAll_Ct&lt;22,$BC480=(Elig_MatchAll_Ct-1),AX480=0),X480,0)</f>
        <v>0</v>
      </c>
      <c r="CD480" s="202">
        <f>IF(AND(Input_Product=Elig!$C480,Elig_MatchAll_Ct&lt;22,$BC480=(Elig_MatchAll_Ct-1),AX480=0),Y480,0)</f>
        <v>0</v>
      </c>
      <c r="CE480" s="201">
        <f>IF(AND(Input_LTV&lt;=AE480,Input_Product=Elig!$C480,Elig_MatchAll_Ct&lt;22,$BC480=(Elig_MatchAll_Ct-1),AY480=0),Z480,0)</f>
        <v>0</v>
      </c>
      <c r="CF480" s="202">
        <f>IF(AND(Input_LTV&lt;=AE480,Input_Product=Elig!$C480,Elig_MatchAll_Ct&lt;22,$BC480=(Elig_MatchAll_Ct-1),AY480=0),AA480,0)</f>
        <v>0</v>
      </c>
      <c r="CG480" s="201">
        <f>IF(AND(Input_Product=Elig!$C480,Elig_MatchAll_Ct&lt;22,$BC480=(Elig_MatchAll_Ct-1),AZ480=0),AB480,0)</f>
        <v>0</v>
      </c>
      <c r="CH480" s="202">
        <f>IF(AND(Input_Product=Elig!$C480,Elig_MatchAll_Ct&lt;22,$BC480=(Elig_MatchAll_Ct-1),AZ480=0),AC480,0)</f>
        <v>0</v>
      </c>
      <c r="CI480" s="201">
        <f>IF(AND(Input_Product=Elig!$C480,Elig_MatchAll_Ct&lt;22,$BC480=(Elig_MatchAll_Ct-1),BA480=0),AD480,0)</f>
        <v>0</v>
      </c>
      <c r="CJ480" s="202">
        <f>IF(AND(Input_Product=Elig!$C480,Elig_MatchAll_Ct&lt;22,$BC480=(Elig_MatchAll_Ct-1),BA480=0),AE480,0)</f>
        <v>0</v>
      </c>
    </row>
    <row r="481" spans="2:88" ht="10.15" customHeight="1" x14ac:dyDescent="0.25">
      <c r="B481" s="287" t="s">
        <v>1228</v>
      </c>
      <c r="C481" s="286" t="str">
        <f t="shared" si="175"/>
        <v>NonQM NOO</v>
      </c>
      <c r="D481" s="287" t="s">
        <v>3885</v>
      </c>
      <c r="E481" s="287" t="s">
        <v>167</v>
      </c>
      <c r="F481" s="287" t="s">
        <v>330</v>
      </c>
      <c r="G481" s="287" t="s">
        <v>305</v>
      </c>
      <c r="H481" s="287" t="s">
        <v>136</v>
      </c>
      <c r="I481" s="287" t="s">
        <v>16</v>
      </c>
      <c r="J481" s="287" t="s">
        <v>1311</v>
      </c>
      <c r="K481" s="287" t="s">
        <v>1631</v>
      </c>
      <c r="L481" s="300" t="s">
        <v>312</v>
      </c>
      <c r="M481" s="287" t="s">
        <v>4203</v>
      </c>
      <c r="N481" s="287" t="s">
        <v>2685</v>
      </c>
      <c r="O481" s="287" t="s">
        <v>310</v>
      </c>
      <c r="P481" s="287" t="s">
        <v>291</v>
      </c>
      <c r="Q481" s="287" t="s">
        <v>294</v>
      </c>
      <c r="R481" s="287">
        <v>1500000.01</v>
      </c>
      <c r="S481" s="287">
        <v>2000000</v>
      </c>
      <c r="T481" s="287">
        <v>0</v>
      </c>
      <c r="U481" s="287">
        <f t="shared" si="189"/>
        <v>2000000</v>
      </c>
      <c r="V481" s="287">
        <v>0</v>
      </c>
      <c r="W481" s="287">
        <v>50</v>
      </c>
      <c r="X481" s="287">
        <v>0</v>
      </c>
      <c r="Y481" s="287">
        <v>999</v>
      </c>
      <c r="Z481" s="289">
        <v>640</v>
      </c>
      <c r="AA481" s="289">
        <v>659</v>
      </c>
      <c r="AB481" s="289">
        <v>6</v>
      </c>
      <c r="AC481" s="289">
        <v>999999</v>
      </c>
      <c r="AD481" s="287">
        <v>0</v>
      </c>
      <c r="AE481" s="290">
        <v>-999</v>
      </c>
      <c r="AF481" s="170">
        <v>0</v>
      </c>
      <c r="AG481" s="171">
        <v>1</v>
      </c>
      <c r="AH481" s="171">
        <v>1</v>
      </c>
      <c r="AI481" s="171">
        <v>0</v>
      </c>
      <c r="AJ481" s="171">
        <v>0</v>
      </c>
      <c r="AK481" s="171">
        <v>1</v>
      </c>
      <c r="AL481" s="171">
        <v>1</v>
      </c>
      <c r="AM481" s="171">
        <v>1</v>
      </c>
      <c r="AN481" s="171">
        <v>1</v>
      </c>
      <c r="AO481" s="171">
        <v>1</v>
      </c>
      <c r="AP481" s="171">
        <v>1</v>
      </c>
      <c r="AQ481" s="171">
        <v>1</v>
      </c>
      <c r="AR481" s="171">
        <v>1</v>
      </c>
      <c r="AS481" s="171">
        <v>1</v>
      </c>
      <c r="AT481" s="171">
        <v>1</v>
      </c>
      <c r="AU481" s="171">
        <f t="shared" si="183"/>
        <v>0</v>
      </c>
      <c r="AV481" s="171">
        <f t="shared" si="184"/>
        <v>1</v>
      </c>
      <c r="AW481" s="171">
        <f t="shared" si="185"/>
        <v>1</v>
      </c>
      <c r="AX481" s="171">
        <f t="shared" si="173"/>
        <v>1</v>
      </c>
      <c r="AY481" s="171">
        <f t="shared" si="186"/>
        <v>0</v>
      </c>
      <c r="AZ481" s="171">
        <f t="shared" si="187"/>
        <v>1</v>
      </c>
      <c r="BA481" s="172">
        <f t="shared" si="188"/>
        <v>0</v>
      </c>
      <c r="BB481" s="175">
        <f t="shared" si="190"/>
        <v>16</v>
      </c>
      <c r="BC481" s="176">
        <f t="shared" si="191"/>
        <v>16</v>
      </c>
      <c r="BD481" s="176">
        <f t="shared" si="192"/>
        <v>16</v>
      </c>
      <c r="BE481" s="240" t="str">
        <f t="shared" si="181"/>
        <v/>
      </c>
      <c r="BH481" s="199">
        <f>IF(AND(Input_Product=Elig!$C481,Elig_MatchAll_Ct&lt;22,$BC481=(Elig_MatchAll_Ct-1),AF481=0),C481,0)</f>
        <v>0</v>
      </c>
      <c r="BI481" s="199">
        <f>IF(AND(Input_Product=Elig!$C481,Elig_MatchAll_Ct&lt;22,$BC481=(Elig_MatchAll_Ct-1),AG481=0),D481,0)</f>
        <v>0</v>
      </c>
      <c r="BJ481" s="199">
        <f>IF(AND(Input_Product=Elig!$C481,Elig_MatchAll_Ct&lt;22,$BC481=(Elig_MatchAll_Ct-1),AH481=0),E481,0)</f>
        <v>0</v>
      </c>
      <c r="BK481" s="199">
        <f>IF(AND(Input_Product=Elig!$C481,Elig_MatchAll_Ct&lt;22,$BC481=(Elig_MatchAll_Ct-1),AI481=0),F481,0)</f>
        <v>0</v>
      </c>
      <c r="BL481" s="199">
        <f>IF(AND(Input_Product=Elig!$C481,Elig_MatchAll_Ct&lt;22,$BC481=(Elig_MatchAll_Ct-1),AJ481=0),G481,0)</f>
        <v>0</v>
      </c>
      <c r="BM481" s="199">
        <f>IF(AND(Input_Product=Elig!$C481,Elig_MatchAll_Ct&lt;22,$BC481=(Elig_MatchAll_Ct-1),AK481=0),H481,0)</f>
        <v>0</v>
      </c>
      <c r="BN481" s="199">
        <f>IF(AND(Input_Product=Elig!$C481,Elig_MatchAll_Ct&lt;22,$BC481=(Elig_MatchAll_Ct-1),AL481=0),I481,0)</f>
        <v>0</v>
      </c>
      <c r="BO481" s="199">
        <f>IF(AND(Input_Product=Elig!$C481,Elig_MatchAll_Ct&lt;22,$BC481=(Elig_MatchAll_Ct-1),AM481=0),J481,0)</f>
        <v>0</v>
      </c>
      <c r="BP481" s="199">
        <f>IF(AND(Input_Product=Elig!$C481,Elig_MatchAll_Ct&lt;22,$BC481=(Elig_MatchAll_Ct-1),AN481=0),K481,0)</f>
        <v>0</v>
      </c>
      <c r="BQ481" s="199">
        <f>IF(AND(Input_Product=Elig!$C481,Elig_MatchAll_Ct&lt;22,$BC481=(Elig_MatchAll_Ct-1),AP481=0),L481,0)</f>
        <v>0</v>
      </c>
      <c r="BR481" s="199">
        <f>IF(AND(Input_Product=Elig!$C481,Elig_MatchAll_Ct&lt;22,$BC481=(Elig_MatchAll_Ct-1),AO481=0),M481,0)</f>
        <v>0</v>
      </c>
      <c r="BS481" s="199">
        <f>IF(AND(Input_Product=Elig!$C481,Elig_MatchAll_Ct&lt;22,$BC481=(Elig_MatchAll_Ct-1),AQ481=0),N481,0)</f>
        <v>0</v>
      </c>
      <c r="BT481" s="199">
        <f>IF(AND(Input_Product=Elig!$C481,Elig_MatchAll_Ct&lt;22,$BC481=(Elig_MatchAll_Ct-1),AR481=0),O481,0)</f>
        <v>0</v>
      </c>
      <c r="BU481" s="199">
        <f>IF(AND(Input_Product=Elig!$C481,Elig_MatchAll_Ct&lt;22,$BC481=(Elig_MatchAll_Ct-1),AS481=0),P481,0)</f>
        <v>0</v>
      </c>
      <c r="BV481" s="200">
        <f>IF(AND(Input_Product=Elig!$C481,Elig_MatchAll_Ct&lt;22,$BC481=(Elig_MatchAll_Ct-1),AT481=0),Q481,0)</f>
        <v>0</v>
      </c>
      <c r="BW481" s="201">
        <f>IF(AND(Input_Product=Elig!$C481,Elig_MatchAll_Ct&lt;22,$BC481=(Elig_MatchAll_Ct-1),AU481=0),R481,0)</f>
        <v>0</v>
      </c>
      <c r="BX481" s="202">
        <f>IF(AND(Input_Product=Elig!$C481,Elig_MatchAll_Ct&lt;22,$BC481=(Elig_MatchAll_Ct-1),AU481=0),S481,0)</f>
        <v>0</v>
      </c>
      <c r="BY481" s="201">
        <f>IF(AND(Input_Product=Elig!$C481,Elig_MatchAll_Ct&lt;22,$BC481=(Elig_MatchAll_Ct-1),AV481=0),T481,0)</f>
        <v>0</v>
      </c>
      <c r="BZ481" s="202">
        <f>IF(AND(Input_Product=Elig!$C481,Elig_MatchAll_Ct&lt;22,$BC481=(Elig_MatchAll_Ct-1),AV481=0),U481,0)</f>
        <v>0</v>
      </c>
      <c r="CA481" s="201">
        <f>IF(AND(Input_Product=Elig!$C481,Elig_MatchAll_Ct&lt;22,$BC481=(Elig_MatchAll_Ct-1),AW481=0),V481,0)</f>
        <v>0</v>
      </c>
      <c r="CB481" s="202">
        <f>IF(AND(Input_Product=Elig!$C481,Elig_MatchAll_Ct&lt;22,$BC481=(Elig_MatchAll_Ct-1),AW481=0),W481,0)</f>
        <v>0</v>
      </c>
      <c r="CC481" s="201">
        <f>IF(AND(Input_Product=Elig!$C481,Elig_MatchAll_Ct&lt;22,$BC481=(Elig_MatchAll_Ct-1),AX481=0),X481,0)</f>
        <v>0</v>
      </c>
      <c r="CD481" s="202">
        <f>IF(AND(Input_Product=Elig!$C481,Elig_MatchAll_Ct&lt;22,$BC481=(Elig_MatchAll_Ct-1),AX481=0),Y481,0)</f>
        <v>0</v>
      </c>
      <c r="CE481" s="201">
        <f>IF(AND(Input_LTV&lt;=AE481,Input_Product=Elig!$C481,Elig_MatchAll_Ct&lt;22,$BC481=(Elig_MatchAll_Ct-1),AY481=0),Z481,0)</f>
        <v>0</v>
      </c>
      <c r="CF481" s="202">
        <f>IF(AND(Input_LTV&lt;=AE481,Input_Product=Elig!$C481,Elig_MatchAll_Ct&lt;22,$BC481=(Elig_MatchAll_Ct-1),AY481=0),AA481,0)</f>
        <v>0</v>
      </c>
      <c r="CG481" s="201">
        <f>IF(AND(Input_Product=Elig!$C481,Elig_MatchAll_Ct&lt;22,$BC481=(Elig_MatchAll_Ct-1),AZ481=0),AB481,0)</f>
        <v>0</v>
      </c>
      <c r="CH481" s="202">
        <f>IF(AND(Input_Product=Elig!$C481,Elig_MatchAll_Ct&lt;22,$BC481=(Elig_MatchAll_Ct-1),AZ481=0),AC481,0)</f>
        <v>0</v>
      </c>
      <c r="CI481" s="201">
        <f>IF(AND(Input_Product=Elig!$C481,Elig_MatchAll_Ct&lt;22,$BC481=(Elig_MatchAll_Ct-1),BA481=0),AD481,0)</f>
        <v>0</v>
      </c>
      <c r="CJ481" s="202">
        <f>IF(AND(Input_Product=Elig!$C481,Elig_MatchAll_Ct&lt;22,$BC481=(Elig_MatchAll_Ct-1),BA481=0),AE481,0)</f>
        <v>0</v>
      </c>
    </row>
    <row r="482" spans="2:88" ht="10.15" customHeight="1" x14ac:dyDescent="0.25">
      <c r="B482" s="287" t="s">
        <v>1229</v>
      </c>
      <c r="C482" s="291" t="str">
        <f t="shared" si="175"/>
        <v>NonQM NOO</v>
      </c>
      <c r="D482" s="292" t="s">
        <v>3885</v>
      </c>
      <c r="E482" s="292" t="s">
        <v>167</v>
      </c>
      <c r="F482" s="292" t="s">
        <v>330</v>
      </c>
      <c r="G482" s="292" t="s">
        <v>305</v>
      </c>
      <c r="H482" s="292" t="s">
        <v>136</v>
      </c>
      <c r="I482" s="292" t="s">
        <v>16</v>
      </c>
      <c r="J482" s="292" t="s">
        <v>1311</v>
      </c>
      <c r="K482" s="292" t="s">
        <v>1631</v>
      </c>
      <c r="L482" s="324" t="s">
        <v>312</v>
      </c>
      <c r="M482" s="292" t="s">
        <v>4203</v>
      </c>
      <c r="N482" s="292" t="s">
        <v>2685</v>
      </c>
      <c r="O482" s="292" t="s">
        <v>310</v>
      </c>
      <c r="P482" s="292" t="s">
        <v>291</v>
      </c>
      <c r="Q482" s="292" t="s">
        <v>294</v>
      </c>
      <c r="R482" s="292">
        <v>1500000.01</v>
      </c>
      <c r="S482" s="292">
        <v>2000000</v>
      </c>
      <c r="T482" s="292">
        <v>0</v>
      </c>
      <c r="U482" s="292">
        <f t="shared" si="189"/>
        <v>2000000</v>
      </c>
      <c r="V482" s="292">
        <v>0</v>
      </c>
      <c r="W482" s="292">
        <v>50</v>
      </c>
      <c r="X482" s="292">
        <v>0</v>
      </c>
      <c r="Y482" s="292">
        <v>999</v>
      </c>
      <c r="Z482" s="293">
        <v>620</v>
      </c>
      <c r="AA482" s="293">
        <v>639</v>
      </c>
      <c r="AB482" s="293">
        <v>6</v>
      </c>
      <c r="AC482" s="293">
        <v>999999</v>
      </c>
      <c r="AD482" s="292">
        <v>0</v>
      </c>
      <c r="AE482" s="294">
        <v>-999</v>
      </c>
      <c r="AF482" s="170">
        <v>0</v>
      </c>
      <c r="AG482" s="171">
        <v>1</v>
      </c>
      <c r="AH482" s="171">
        <v>1</v>
      </c>
      <c r="AI482" s="171">
        <v>0</v>
      </c>
      <c r="AJ482" s="171">
        <v>0</v>
      </c>
      <c r="AK482" s="171">
        <v>1</v>
      </c>
      <c r="AL482" s="171">
        <v>1</v>
      </c>
      <c r="AM482" s="171">
        <v>1</v>
      </c>
      <c r="AN482" s="171">
        <v>1</v>
      </c>
      <c r="AO482" s="171">
        <v>1</v>
      </c>
      <c r="AP482" s="171">
        <v>1</v>
      </c>
      <c r="AQ482" s="171">
        <v>1</v>
      </c>
      <c r="AR482" s="171">
        <v>1</v>
      </c>
      <c r="AS482" s="171">
        <v>1</v>
      </c>
      <c r="AT482" s="171">
        <v>1</v>
      </c>
      <c r="AU482" s="171">
        <f t="shared" si="183"/>
        <v>0</v>
      </c>
      <c r="AV482" s="171">
        <f t="shared" si="184"/>
        <v>1</v>
      </c>
      <c r="AW482" s="171">
        <f t="shared" si="185"/>
        <v>1</v>
      </c>
      <c r="AX482" s="171">
        <f t="shared" si="173"/>
        <v>1</v>
      </c>
      <c r="AY482" s="171">
        <f t="shared" si="186"/>
        <v>0</v>
      </c>
      <c r="AZ482" s="171">
        <f t="shared" si="187"/>
        <v>1</v>
      </c>
      <c r="BA482" s="172">
        <f t="shared" si="188"/>
        <v>0</v>
      </c>
      <c r="BB482" s="175">
        <f t="shared" si="190"/>
        <v>16</v>
      </c>
      <c r="BC482" s="176">
        <f t="shared" si="191"/>
        <v>16</v>
      </c>
      <c r="BD482" s="176">
        <f t="shared" si="192"/>
        <v>16</v>
      </c>
      <c r="BE482" s="240" t="str">
        <f t="shared" si="181"/>
        <v/>
      </c>
      <c r="BH482" s="214">
        <f>IF(AND(Input_Product=Elig!$C482,Elig_MatchAll_Ct&lt;22,$BC482=(Elig_MatchAll_Ct-1),AF482=0),C482,0)</f>
        <v>0</v>
      </c>
      <c r="BI482" s="214">
        <f>IF(AND(Input_Product=Elig!$C482,Elig_MatchAll_Ct&lt;22,$BC482=(Elig_MatchAll_Ct-1),AG482=0),D482,0)</f>
        <v>0</v>
      </c>
      <c r="BJ482" s="214">
        <f>IF(AND(Input_Product=Elig!$C482,Elig_MatchAll_Ct&lt;22,$BC482=(Elig_MatchAll_Ct-1),AH482=0),E482,0)</f>
        <v>0</v>
      </c>
      <c r="BK482" s="214">
        <f>IF(AND(Input_Product=Elig!$C482,Elig_MatchAll_Ct&lt;22,$BC482=(Elig_MatchAll_Ct-1),AI482=0),F482,0)</f>
        <v>0</v>
      </c>
      <c r="BL482" s="214">
        <f>IF(AND(Input_Product=Elig!$C482,Elig_MatchAll_Ct&lt;22,$BC482=(Elig_MatchAll_Ct-1),AJ482=0),G482,0)</f>
        <v>0</v>
      </c>
      <c r="BM482" s="214">
        <f>IF(AND(Input_Product=Elig!$C482,Elig_MatchAll_Ct&lt;22,$BC482=(Elig_MatchAll_Ct-1),AK482=0),H482,0)</f>
        <v>0</v>
      </c>
      <c r="BN482" s="214">
        <f>IF(AND(Input_Product=Elig!$C482,Elig_MatchAll_Ct&lt;22,$BC482=(Elig_MatchAll_Ct-1),AL482=0),I482,0)</f>
        <v>0</v>
      </c>
      <c r="BO482" s="214">
        <f>IF(AND(Input_Product=Elig!$C482,Elig_MatchAll_Ct&lt;22,$BC482=(Elig_MatchAll_Ct-1),AM482=0),J482,0)</f>
        <v>0</v>
      </c>
      <c r="BP482" s="214">
        <f>IF(AND(Input_Product=Elig!$C482,Elig_MatchAll_Ct&lt;22,$BC482=(Elig_MatchAll_Ct-1),AN482=0),K482,0)</f>
        <v>0</v>
      </c>
      <c r="BQ482" s="214">
        <f>IF(AND(Input_Product=Elig!$C482,Elig_MatchAll_Ct&lt;22,$BC482=(Elig_MatchAll_Ct-1),AP482=0),L482,0)</f>
        <v>0</v>
      </c>
      <c r="BR482" s="214">
        <f>IF(AND(Input_Product=Elig!$C482,Elig_MatchAll_Ct&lt;22,$BC482=(Elig_MatchAll_Ct-1),AO482=0),M482,0)</f>
        <v>0</v>
      </c>
      <c r="BS482" s="214">
        <f>IF(AND(Input_Product=Elig!$C482,Elig_MatchAll_Ct&lt;22,$BC482=(Elig_MatchAll_Ct-1),AQ482=0),N482,0)</f>
        <v>0</v>
      </c>
      <c r="BT482" s="214">
        <f>IF(AND(Input_Product=Elig!$C482,Elig_MatchAll_Ct&lt;22,$BC482=(Elig_MatchAll_Ct-1),AR482=0),O482,0)</f>
        <v>0</v>
      </c>
      <c r="BU482" s="214">
        <f>IF(AND(Input_Product=Elig!$C482,Elig_MatchAll_Ct&lt;22,$BC482=(Elig_MatchAll_Ct-1),AS482=0),P482,0)</f>
        <v>0</v>
      </c>
      <c r="BV482" s="215">
        <f>IF(AND(Input_Product=Elig!$C482,Elig_MatchAll_Ct&lt;22,$BC482=(Elig_MatchAll_Ct-1),AT482=0),Q482,0)</f>
        <v>0</v>
      </c>
      <c r="BW482" s="311">
        <f>IF(AND(Input_Product=Elig!$C482,Elig_MatchAll_Ct&lt;22,$BC482=(Elig_MatchAll_Ct-1),AU482=0),R482,0)</f>
        <v>0</v>
      </c>
      <c r="BX482" s="312">
        <f>IF(AND(Input_Product=Elig!$C482,Elig_MatchAll_Ct&lt;22,$BC482=(Elig_MatchAll_Ct-1),AU482=0),S482,0)</f>
        <v>0</v>
      </c>
      <c r="BY482" s="311">
        <f>IF(AND(Input_Product=Elig!$C482,Elig_MatchAll_Ct&lt;22,$BC482=(Elig_MatchAll_Ct-1),AV482=0),T482,0)</f>
        <v>0</v>
      </c>
      <c r="BZ482" s="312">
        <f>IF(AND(Input_Product=Elig!$C482,Elig_MatchAll_Ct&lt;22,$BC482=(Elig_MatchAll_Ct-1),AV482=0),U482,0)</f>
        <v>0</v>
      </c>
      <c r="CA482" s="311">
        <f>IF(AND(Input_Product=Elig!$C482,Elig_MatchAll_Ct&lt;22,$BC482=(Elig_MatchAll_Ct-1),AW482=0),V482,0)</f>
        <v>0</v>
      </c>
      <c r="CB482" s="312">
        <f>IF(AND(Input_Product=Elig!$C482,Elig_MatchAll_Ct&lt;22,$BC482=(Elig_MatchAll_Ct-1),AW482=0),W482,0)</f>
        <v>0</v>
      </c>
      <c r="CC482" s="311">
        <f>IF(AND(Input_Product=Elig!$C482,Elig_MatchAll_Ct&lt;22,$BC482=(Elig_MatchAll_Ct-1),AX482=0),X482,0)</f>
        <v>0</v>
      </c>
      <c r="CD482" s="312">
        <f>IF(AND(Input_Product=Elig!$C482,Elig_MatchAll_Ct&lt;22,$BC482=(Elig_MatchAll_Ct-1),AX482=0),Y482,0)</f>
        <v>0</v>
      </c>
      <c r="CE482" s="311">
        <f>IF(AND(Input_LTV&lt;=AE482,Input_Product=Elig!$C482,Elig_MatchAll_Ct&lt;22,$BC482=(Elig_MatchAll_Ct-1),AY482=0),Z482,0)</f>
        <v>0</v>
      </c>
      <c r="CF482" s="312">
        <f>IF(AND(Input_LTV&lt;=AE482,Input_Product=Elig!$C482,Elig_MatchAll_Ct&lt;22,$BC482=(Elig_MatchAll_Ct-1),AY482=0),AA482,0)</f>
        <v>0</v>
      </c>
      <c r="CG482" s="311">
        <f>IF(AND(Input_Product=Elig!$C482,Elig_MatchAll_Ct&lt;22,$BC482=(Elig_MatchAll_Ct-1),AZ482=0),AB482,0)</f>
        <v>0</v>
      </c>
      <c r="CH482" s="312">
        <f>IF(AND(Input_Product=Elig!$C482,Elig_MatchAll_Ct&lt;22,$BC482=(Elig_MatchAll_Ct-1),AZ482=0),AC482,0)</f>
        <v>0</v>
      </c>
      <c r="CI482" s="311">
        <f>IF(AND(Input_Product=Elig!$C482,Elig_MatchAll_Ct&lt;22,$BC482=(Elig_MatchAll_Ct-1),BA482=0),AD482,0)</f>
        <v>0</v>
      </c>
      <c r="CJ482" s="312">
        <f>IF(AND(Input_Product=Elig!$C482,Elig_MatchAll_Ct&lt;22,$BC482=(Elig_MatchAll_Ct-1),BA482=0),AE482,0)</f>
        <v>0</v>
      </c>
    </row>
    <row r="483" spans="2:88" ht="10.15" customHeight="1" x14ac:dyDescent="0.25">
      <c r="B483" s="287" t="s">
        <v>1230</v>
      </c>
      <c r="C483" s="281" t="str">
        <f t="shared" si="175"/>
        <v>NonQM NOO</v>
      </c>
      <c r="D483" s="282" t="s">
        <v>3885</v>
      </c>
      <c r="E483" s="283" t="s">
        <v>167</v>
      </c>
      <c r="F483" s="283" t="s">
        <v>330</v>
      </c>
      <c r="G483" s="283" t="s">
        <v>181</v>
      </c>
      <c r="H483" s="283" t="s">
        <v>136</v>
      </c>
      <c r="I483" s="282" t="s">
        <v>274</v>
      </c>
      <c r="J483" s="282" t="s">
        <v>1311</v>
      </c>
      <c r="K483" s="282" t="s">
        <v>1631</v>
      </c>
      <c r="L483" s="2103" t="s">
        <v>312</v>
      </c>
      <c r="M483" s="283" t="s">
        <v>4203</v>
      </c>
      <c r="N483" s="283" t="s">
        <v>2685</v>
      </c>
      <c r="O483" s="283" t="s">
        <v>310</v>
      </c>
      <c r="P483" s="283" t="s">
        <v>291</v>
      </c>
      <c r="Q483" s="283" t="s">
        <v>294</v>
      </c>
      <c r="R483" s="282">
        <v>1500000.01</v>
      </c>
      <c r="S483" s="282">
        <v>2000000</v>
      </c>
      <c r="T483" s="282">
        <v>0</v>
      </c>
      <c r="U483" s="282">
        <v>0</v>
      </c>
      <c r="V483" s="282">
        <v>0</v>
      </c>
      <c r="W483" s="282">
        <v>50</v>
      </c>
      <c r="X483" s="282">
        <v>0.75</v>
      </c>
      <c r="Y483" s="282">
        <v>999</v>
      </c>
      <c r="Z483" s="284">
        <v>720</v>
      </c>
      <c r="AA483" s="284">
        <v>999</v>
      </c>
      <c r="AB483" s="284">
        <v>6</v>
      </c>
      <c r="AC483" s="284">
        <v>999999</v>
      </c>
      <c r="AD483" s="282">
        <v>0</v>
      </c>
      <c r="AE483" s="2104">
        <v>75</v>
      </c>
      <c r="AF483" s="170">
        <v>0</v>
      </c>
      <c r="AG483" s="171">
        <v>1</v>
      </c>
      <c r="AH483" s="171">
        <v>1</v>
      </c>
      <c r="AI483" s="171">
        <v>0</v>
      </c>
      <c r="AJ483" s="171">
        <v>0</v>
      </c>
      <c r="AK483" s="171">
        <v>1</v>
      </c>
      <c r="AL483" s="171">
        <v>0</v>
      </c>
      <c r="AM483" s="171">
        <v>1</v>
      </c>
      <c r="AN483" s="171">
        <v>1</v>
      </c>
      <c r="AO483" s="171">
        <v>1</v>
      </c>
      <c r="AP483" s="171">
        <v>1</v>
      </c>
      <c r="AQ483" s="171">
        <v>1</v>
      </c>
      <c r="AR483" s="171">
        <v>1</v>
      </c>
      <c r="AS483" s="171">
        <v>1</v>
      </c>
      <c r="AT483" s="171">
        <v>1</v>
      </c>
      <c r="AU483" s="171">
        <f t="shared" si="183"/>
        <v>0</v>
      </c>
      <c r="AV483" s="171">
        <f t="shared" si="184"/>
        <v>0</v>
      </c>
      <c r="AW483" s="171">
        <f t="shared" si="185"/>
        <v>1</v>
      </c>
      <c r="AX483" s="171">
        <f t="shared" si="173"/>
        <v>0</v>
      </c>
      <c r="AY483" s="171">
        <f t="shared" si="186"/>
        <v>1</v>
      </c>
      <c r="AZ483" s="171">
        <f t="shared" si="187"/>
        <v>1</v>
      </c>
      <c r="BA483" s="172">
        <f t="shared" si="188"/>
        <v>1</v>
      </c>
      <c r="BB483" s="175">
        <f t="shared" si="190"/>
        <v>15</v>
      </c>
      <c r="BC483" s="176">
        <f t="shared" si="191"/>
        <v>14</v>
      </c>
      <c r="BD483" s="176">
        <f t="shared" si="192"/>
        <v>15</v>
      </c>
      <c r="BE483" s="240" t="str">
        <f t="shared" si="181"/>
        <v/>
      </c>
      <c r="BH483" s="210">
        <f>IF(AND(Input_Product=Elig!$C483,Elig_MatchAll_Ct&lt;22,$BC483=(Elig_MatchAll_Ct-1),AF483=0),C483,0)</f>
        <v>0</v>
      </c>
      <c r="BI483" s="210">
        <f>IF(AND(Input_Product=Elig!$C483,Elig_MatchAll_Ct&lt;22,$BC483=(Elig_MatchAll_Ct-1),AG483=0),D483,0)</f>
        <v>0</v>
      </c>
      <c r="BJ483" s="210">
        <f>IF(AND(Input_Product=Elig!$C483,Elig_MatchAll_Ct&lt;22,$BC483=(Elig_MatchAll_Ct-1),AH483=0),E483,0)</f>
        <v>0</v>
      </c>
      <c r="BK483" s="210">
        <f>IF(AND(Input_Product=Elig!$C483,Elig_MatchAll_Ct&lt;22,$BC483=(Elig_MatchAll_Ct-1),AI483=0),F483,0)</f>
        <v>0</v>
      </c>
      <c r="BL483" s="210">
        <f>IF(AND(Input_Product=Elig!$C483,Elig_MatchAll_Ct&lt;22,$BC483=(Elig_MatchAll_Ct-1),AJ483=0),G483,0)</f>
        <v>0</v>
      </c>
      <c r="BM483" s="210">
        <f>IF(AND(Input_Product=Elig!$C483,Elig_MatchAll_Ct&lt;22,$BC483=(Elig_MatchAll_Ct-1),AK483=0),H483,0)</f>
        <v>0</v>
      </c>
      <c r="BN483" s="210">
        <f>IF(AND(Input_Product=Elig!$C483,Elig_MatchAll_Ct&lt;22,$BC483=(Elig_MatchAll_Ct-1),AL483=0),I483,0)</f>
        <v>0</v>
      </c>
      <c r="BO483" s="210">
        <f>IF(AND(Input_Product=Elig!$C483,Elig_MatchAll_Ct&lt;22,$BC483=(Elig_MatchAll_Ct-1),AM483=0),J483,0)</f>
        <v>0</v>
      </c>
      <c r="BP483" s="210">
        <f>IF(AND(Input_Product=Elig!$C483,Elig_MatchAll_Ct&lt;22,$BC483=(Elig_MatchAll_Ct-1),AN483=0),K483,0)</f>
        <v>0</v>
      </c>
      <c r="BQ483" s="210">
        <f>IF(AND(Input_Product=Elig!$C483,Elig_MatchAll_Ct&lt;22,$BC483=(Elig_MatchAll_Ct-1),AP483=0),L483,0)</f>
        <v>0</v>
      </c>
      <c r="BR483" s="210">
        <f>IF(AND(Input_Product=Elig!$C483,Elig_MatchAll_Ct&lt;22,$BC483=(Elig_MatchAll_Ct-1),AO483=0),M483,0)</f>
        <v>0</v>
      </c>
      <c r="BS483" s="210">
        <f>IF(AND(Input_Product=Elig!$C483,Elig_MatchAll_Ct&lt;22,$BC483=(Elig_MatchAll_Ct-1),AQ483=0),N483,0)</f>
        <v>0</v>
      </c>
      <c r="BT483" s="210">
        <f>IF(AND(Input_Product=Elig!$C483,Elig_MatchAll_Ct&lt;22,$BC483=(Elig_MatchAll_Ct-1),AR483=0),O483,0)</f>
        <v>0</v>
      </c>
      <c r="BU483" s="210">
        <f>IF(AND(Input_Product=Elig!$C483,Elig_MatchAll_Ct&lt;22,$BC483=(Elig_MatchAll_Ct-1),AS483=0),P483,0)</f>
        <v>0</v>
      </c>
      <c r="BV483" s="211">
        <f>IF(AND(Input_Product=Elig!$C483,Elig_MatchAll_Ct&lt;22,$BC483=(Elig_MatchAll_Ct-1),AT483=0),Q483,0)</f>
        <v>0</v>
      </c>
      <c r="BW483" s="212">
        <f>IF(AND(Input_Product=Elig!$C483,Elig_MatchAll_Ct&lt;22,$BC483=(Elig_MatchAll_Ct-1),AU483=0),R483,0)</f>
        <v>0</v>
      </c>
      <c r="BX483" s="213">
        <f>IF(AND(Input_Product=Elig!$C483,Elig_MatchAll_Ct&lt;22,$BC483=(Elig_MatchAll_Ct-1),AU483=0),S483,0)</f>
        <v>0</v>
      </c>
      <c r="BY483" s="212">
        <f>IF(AND(Input_Product=Elig!$C483,Elig_MatchAll_Ct&lt;22,$BC483=(Elig_MatchAll_Ct-1),AV483=0),T483,0)</f>
        <v>0</v>
      </c>
      <c r="BZ483" s="213">
        <f>IF(AND(Input_Product=Elig!$C483,Elig_MatchAll_Ct&lt;22,$BC483=(Elig_MatchAll_Ct-1),AV483=0),U483,0)</f>
        <v>0</v>
      </c>
      <c r="CA483" s="212">
        <f>IF(AND(Input_Product=Elig!$C483,Elig_MatchAll_Ct&lt;22,$BC483=(Elig_MatchAll_Ct-1),AW483=0),V483,0)</f>
        <v>0</v>
      </c>
      <c r="CB483" s="213">
        <f>IF(AND(Input_Product=Elig!$C483,Elig_MatchAll_Ct&lt;22,$BC483=(Elig_MatchAll_Ct-1),AW483=0),W483,0)</f>
        <v>0</v>
      </c>
      <c r="CC483" s="212">
        <f>IF(AND(Input_Product=Elig!$C483,Elig_MatchAll_Ct&lt;22,$BC483=(Elig_MatchAll_Ct-1),AX483=0),X483,0)</f>
        <v>0</v>
      </c>
      <c r="CD483" s="213">
        <f>IF(AND(Input_Product=Elig!$C483,Elig_MatchAll_Ct&lt;22,$BC483=(Elig_MatchAll_Ct-1),AX483=0),Y483,0)</f>
        <v>0</v>
      </c>
      <c r="CE483" s="212">
        <f>IF(AND(Input_LTV&lt;=AE483,Input_Product=Elig!$C483,Elig_MatchAll_Ct&lt;22,$BC483=(Elig_MatchAll_Ct-1),AY483=0),Z483,0)</f>
        <v>0</v>
      </c>
      <c r="CF483" s="213">
        <f>IF(AND(Input_LTV&lt;=AE483,Input_Product=Elig!$C483,Elig_MatchAll_Ct&lt;22,$BC483=(Elig_MatchAll_Ct-1),AY483=0),AA483,0)</f>
        <v>0</v>
      </c>
      <c r="CG483" s="212">
        <f>IF(AND(Input_Product=Elig!$C483,Elig_MatchAll_Ct&lt;22,$BC483=(Elig_MatchAll_Ct-1),AZ483=0),AB483,0)</f>
        <v>0</v>
      </c>
      <c r="CH483" s="213">
        <f>IF(AND(Input_Product=Elig!$C483,Elig_MatchAll_Ct&lt;22,$BC483=(Elig_MatchAll_Ct-1),AZ483=0),AC483,0)</f>
        <v>0</v>
      </c>
      <c r="CI483" s="212">
        <f>IF(AND(Input_Product=Elig!$C483,Elig_MatchAll_Ct&lt;22,$BC483=(Elig_MatchAll_Ct-1),BA483=0),AD483,0)</f>
        <v>0</v>
      </c>
      <c r="CJ483" s="213">
        <f>IF(AND(Input_Product=Elig!$C483,Elig_MatchAll_Ct&lt;22,$BC483=(Elig_MatchAll_Ct-1),BA483=0),AE483,0)</f>
        <v>0</v>
      </c>
    </row>
    <row r="484" spans="2:88" ht="10.15" customHeight="1" x14ac:dyDescent="0.25">
      <c r="B484" s="287" t="s">
        <v>1231</v>
      </c>
      <c r="C484" s="286" t="str">
        <f t="shared" si="175"/>
        <v>NonQM NOO</v>
      </c>
      <c r="D484" s="287" t="s">
        <v>3885</v>
      </c>
      <c r="E484" s="287" t="s">
        <v>167</v>
      </c>
      <c r="F484" s="287" t="s">
        <v>330</v>
      </c>
      <c r="G484" s="287" t="s">
        <v>181</v>
      </c>
      <c r="H484" s="287" t="s">
        <v>136</v>
      </c>
      <c r="I484" s="288" t="s">
        <v>274</v>
      </c>
      <c r="J484" s="288" t="s">
        <v>1311</v>
      </c>
      <c r="K484" s="288" t="s">
        <v>1631</v>
      </c>
      <c r="L484" s="300" t="s">
        <v>312</v>
      </c>
      <c r="M484" s="287" t="s">
        <v>4203</v>
      </c>
      <c r="N484" s="287" t="s">
        <v>2685</v>
      </c>
      <c r="O484" s="287" t="s">
        <v>310</v>
      </c>
      <c r="P484" s="287" t="s">
        <v>291</v>
      </c>
      <c r="Q484" s="287" t="s">
        <v>294</v>
      </c>
      <c r="R484" s="287">
        <v>1500000.01</v>
      </c>
      <c r="S484" s="287">
        <v>2000000</v>
      </c>
      <c r="T484" s="287">
        <v>0</v>
      </c>
      <c r="U484" s="287">
        <v>0</v>
      </c>
      <c r="V484" s="287">
        <v>0</v>
      </c>
      <c r="W484" s="287">
        <v>50</v>
      </c>
      <c r="X484" s="287">
        <v>0.75</v>
      </c>
      <c r="Y484" s="287">
        <v>999</v>
      </c>
      <c r="Z484" s="289">
        <v>700</v>
      </c>
      <c r="AA484" s="289">
        <v>719</v>
      </c>
      <c r="AB484" s="289">
        <v>6</v>
      </c>
      <c r="AC484" s="289">
        <v>999999</v>
      </c>
      <c r="AD484" s="287">
        <v>0</v>
      </c>
      <c r="AE484" s="2105">
        <v>75</v>
      </c>
      <c r="AF484" s="170">
        <v>0</v>
      </c>
      <c r="AG484" s="171">
        <v>1</v>
      </c>
      <c r="AH484" s="171">
        <v>1</v>
      </c>
      <c r="AI484" s="171">
        <v>0</v>
      </c>
      <c r="AJ484" s="171">
        <v>0</v>
      </c>
      <c r="AK484" s="171">
        <v>1</v>
      </c>
      <c r="AL484" s="171">
        <v>0</v>
      </c>
      <c r="AM484" s="171">
        <v>1</v>
      </c>
      <c r="AN484" s="171">
        <v>1</v>
      </c>
      <c r="AO484" s="171">
        <v>1</v>
      </c>
      <c r="AP484" s="171">
        <v>1</v>
      </c>
      <c r="AQ484" s="171">
        <v>1</v>
      </c>
      <c r="AR484" s="171">
        <v>1</v>
      </c>
      <c r="AS484" s="171">
        <v>1</v>
      </c>
      <c r="AT484" s="171">
        <v>1</v>
      </c>
      <c r="AU484" s="171">
        <f t="shared" si="183"/>
        <v>0</v>
      </c>
      <c r="AV484" s="171">
        <f t="shared" si="184"/>
        <v>0</v>
      </c>
      <c r="AW484" s="171">
        <f t="shared" si="185"/>
        <v>1</v>
      </c>
      <c r="AX484" s="171">
        <f t="shared" si="173"/>
        <v>0</v>
      </c>
      <c r="AY484" s="171">
        <f t="shared" si="186"/>
        <v>0</v>
      </c>
      <c r="AZ484" s="171">
        <f t="shared" si="187"/>
        <v>1</v>
      </c>
      <c r="BA484" s="172">
        <f t="shared" si="188"/>
        <v>1</v>
      </c>
      <c r="BB484" s="175">
        <f t="shared" si="190"/>
        <v>14</v>
      </c>
      <c r="BC484" s="176">
        <f t="shared" si="191"/>
        <v>13</v>
      </c>
      <c r="BD484" s="176">
        <f t="shared" si="192"/>
        <v>14</v>
      </c>
      <c r="BE484" s="240" t="str">
        <f t="shared" si="181"/>
        <v/>
      </c>
      <c r="BH484" s="199">
        <f>IF(AND(Input_Product=Elig!$C484,Elig_MatchAll_Ct&lt;22,$BC484=(Elig_MatchAll_Ct-1),AF484=0),C484,0)</f>
        <v>0</v>
      </c>
      <c r="BI484" s="199">
        <f>IF(AND(Input_Product=Elig!$C484,Elig_MatchAll_Ct&lt;22,$BC484=(Elig_MatchAll_Ct-1),AG484=0),D484,0)</f>
        <v>0</v>
      </c>
      <c r="BJ484" s="199">
        <f>IF(AND(Input_Product=Elig!$C484,Elig_MatchAll_Ct&lt;22,$BC484=(Elig_MatchAll_Ct-1),AH484=0),E484,0)</f>
        <v>0</v>
      </c>
      <c r="BK484" s="199">
        <f>IF(AND(Input_Product=Elig!$C484,Elig_MatchAll_Ct&lt;22,$BC484=(Elig_MatchAll_Ct-1),AI484=0),F484,0)</f>
        <v>0</v>
      </c>
      <c r="BL484" s="199">
        <f>IF(AND(Input_Product=Elig!$C484,Elig_MatchAll_Ct&lt;22,$BC484=(Elig_MatchAll_Ct-1),AJ484=0),G484,0)</f>
        <v>0</v>
      </c>
      <c r="BM484" s="199">
        <f>IF(AND(Input_Product=Elig!$C484,Elig_MatchAll_Ct&lt;22,$BC484=(Elig_MatchAll_Ct-1),AK484=0),H484,0)</f>
        <v>0</v>
      </c>
      <c r="BN484" s="199">
        <f>IF(AND(Input_Product=Elig!$C484,Elig_MatchAll_Ct&lt;22,$BC484=(Elig_MatchAll_Ct-1),AL484=0),I484,0)</f>
        <v>0</v>
      </c>
      <c r="BO484" s="199">
        <f>IF(AND(Input_Product=Elig!$C484,Elig_MatchAll_Ct&lt;22,$BC484=(Elig_MatchAll_Ct-1),AM484=0),J484,0)</f>
        <v>0</v>
      </c>
      <c r="BP484" s="199">
        <f>IF(AND(Input_Product=Elig!$C484,Elig_MatchAll_Ct&lt;22,$BC484=(Elig_MatchAll_Ct-1),AN484=0),K484,0)</f>
        <v>0</v>
      </c>
      <c r="BQ484" s="199">
        <f>IF(AND(Input_Product=Elig!$C484,Elig_MatchAll_Ct&lt;22,$BC484=(Elig_MatchAll_Ct-1),AP484=0),L484,0)</f>
        <v>0</v>
      </c>
      <c r="BR484" s="199">
        <f>IF(AND(Input_Product=Elig!$C484,Elig_MatchAll_Ct&lt;22,$BC484=(Elig_MatchAll_Ct-1),AO484=0),M484,0)</f>
        <v>0</v>
      </c>
      <c r="BS484" s="199">
        <f>IF(AND(Input_Product=Elig!$C484,Elig_MatchAll_Ct&lt;22,$BC484=(Elig_MatchAll_Ct-1),AQ484=0),N484,0)</f>
        <v>0</v>
      </c>
      <c r="BT484" s="199">
        <f>IF(AND(Input_Product=Elig!$C484,Elig_MatchAll_Ct&lt;22,$BC484=(Elig_MatchAll_Ct-1),AR484=0),O484,0)</f>
        <v>0</v>
      </c>
      <c r="BU484" s="199">
        <f>IF(AND(Input_Product=Elig!$C484,Elig_MatchAll_Ct&lt;22,$BC484=(Elig_MatchAll_Ct-1),AS484=0),P484,0)</f>
        <v>0</v>
      </c>
      <c r="BV484" s="200">
        <f>IF(AND(Input_Product=Elig!$C484,Elig_MatchAll_Ct&lt;22,$BC484=(Elig_MatchAll_Ct-1),AT484=0),Q484,0)</f>
        <v>0</v>
      </c>
      <c r="BW484" s="201">
        <f>IF(AND(Input_Product=Elig!$C484,Elig_MatchAll_Ct&lt;22,$BC484=(Elig_MatchAll_Ct-1),AU484=0),R484,0)</f>
        <v>0</v>
      </c>
      <c r="BX484" s="202">
        <f>IF(AND(Input_Product=Elig!$C484,Elig_MatchAll_Ct&lt;22,$BC484=(Elig_MatchAll_Ct-1),AU484=0),S484,0)</f>
        <v>0</v>
      </c>
      <c r="BY484" s="201">
        <f>IF(AND(Input_Product=Elig!$C484,Elig_MatchAll_Ct&lt;22,$BC484=(Elig_MatchAll_Ct-1),AV484=0),T484,0)</f>
        <v>0</v>
      </c>
      <c r="BZ484" s="202">
        <f>IF(AND(Input_Product=Elig!$C484,Elig_MatchAll_Ct&lt;22,$BC484=(Elig_MatchAll_Ct-1),AV484=0),U484,0)</f>
        <v>0</v>
      </c>
      <c r="CA484" s="201">
        <f>IF(AND(Input_Product=Elig!$C484,Elig_MatchAll_Ct&lt;22,$BC484=(Elig_MatchAll_Ct-1),AW484=0),V484,0)</f>
        <v>0</v>
      </c>
      <c r="CB484" s="202">
        <f>IF(AND(Input_Product=Elig!$C484,Elig_MatchAll_Ct&lt;22,$BC484=(Elig_MatchAll_Ct-1),AW484=0),W484,0)</f>
        <v>0</v>
      </c>
      <c r="CC484" s="201">
        <f>IF(AND(Input_Product=Elig!$C484,Elig_MatchAll_Ct&lt;22,$BC484=(Elig_MatchAll_Ct-1),AX484=0),X484,0)</f>
        <v>0</v>
      </c>
      <c r="CD484" s="202">
        <f>IF(AND(Input_Product=Elig!$C484,Elig_MatchAll_Ct&lt;22,$BC484=(Elig_MatchAll_Ct-1),AX484=0),Y484,0)</f>
        <v>0</v>
      </c>
      <c r="CE484" s="201">
        <f>IF(AND(Input_LTV&lt;=AE484,Input_Product=Elig!$C484,Elig_MatchAll_Ct&lt;22,$BC484=(Elig_MatchAll_Ct-1),AY484=0),Z484,0)</f>
        <v>0</v>
      </c>
      <c r="CF484" s="202">
        <f>IF(AND(Input_LTV&lt;=AE484,Input_Product=Elig!$C484,Elig_MatchAll_Ct&lt;22,$BC484=(Elig_MatchAll_Ct-1),AY484=0),AA484,0)</f>
        <v>0</v>
      </c>
      <c r="CG484" s="201">
        <f>IF(AND(Input_Product=Elig!$C484,Elig_MatchAll_Ct&lt;22,$BC484=(Elig_MatchAll_Ct-1),AZ484=0),AB484,0)</f>
        <v>0</v>
      </c>
      <c r="CH484" s="202">
        <f>IF(AND(Input_Product=Elig!$C484,Elig_MatchAll_Ct&lt;22,$BC484=(Elig_MatchAll_Ct-1),AZ484=0),AC484,0)</f>
        <v>0</v>
      </c>
      <c r="CI484" s="201">
        <f>IF(AND(Input_Product=Elig!$C484,Elig_MatchAll_Ct&lt;22,$BC484=(Elig_MatchAll_Ct-1),BA484=0),AD484,0)</f>
        <v>0</v>
      </c>
      <c r="CJ484" s="202">
        <f>IF(AND(Input_Product=Elig!$C484,Elig_MatchAll_Ct&lt;22,$BC484=(Elig_MatchAll_Ct-1),BA484=0),AE484,0)</f>
        <v>0</v>
      </c>
    </row>
    <row r="485" spans="2:88" ht="10.15" customHeight="1" x14ac:dyDescent="0.25">
      <c r="B485" s="287" t="s">
        <v>3685</v>
      </c>
      <c r="C485" s="286" t="str">
        <f t="shared" si="175"/>
        <v>NonQM NOO</v>
      </c>
      <c r="D485" s="287" t="s">
        <v>3885</v>
      </c>
      <c r="E485" s="287" t="s">
        <v>167</v>
      </c>
      <c r="F485" s="287" t="s">
        <v>330</v>
      </c>
      <c r="G485" s="287" t="s">
        <v>181</v>
      </c>
      <c r="H485" s="287" t="s">
        <v>136</v>
      </c>
      <c r="I485" s="288" t="s">
        <v>274</v>
      </c>
      <c r="J485" s="288" t="s">
        <v>1311</v>
      </c>
      <c r="K485" s="288" t="s">
        <v>1631</v>
      </c>
      <c r="L485" s="300" t="s">
        <v>312</v>
      </c>
      <c r="M485" s="287" t="s">
        <v>4203</v>
      </c>
      <c r="N485" s="287" t="s">
        <v>2685</v>
      </c>
      <c r="O485" s="287" t="s">
        <v>310</v>
      </c>
      <c r="P485" s="287" t="s">
        <v>291</v>
      </c>
      <c r="Q485" s="287" t="s">
        <v>294</v>
      </c>
      <c r="R485" s="287">
        <v>1500000.01</v>
      </c>
      <c r="S485" s="287">
        <v>2000000</v>
      </c>
      <c r="T485" s="287">
        <v>0</v>
      </c>
      <c r="U485" s="287">
        <v>0</v>
      </c>
      <c r="V485" s="287">
        <v>0</v>
      </c>
      <c r="W485" s="287">
        <v>50</v>
      </c>
      <c r="X485" s="287">
        <v>0.75</v>
      </c>
      <c r="Y485" s="287">
        <v>999</v>
      </c>
      <c r="Z485" s="289">
        <v>680</v>
      </c>
      <c r="AA485" s="289">
        <v>699</v>
      </c>
      <c r="AB485" s="289">
        <v>6</v>
      </c>
      <c r="AC485" s="289">
        <v>999999</v>
      </c>
      <c r="AD485" s="287">
        <v>0</v>
      </c>
      <c r="AE485" s="2105">
        <v>70</v>
      </c>
      <c r="AF485" s="170">
        <v>0</v>
      </c>
      <c r="AG485" s="171">
        <v>1</v>
      </c>
      <c r="AH485" s="171">
        <v>1</v>
      </c>
      <c r="AI485" s="171">
        <v>0</v>
      </c>
      <c r="AJ485" s="171">
        <v>0</v>
      </c>
      <c r="AK485" s="171">
        <v>1</v>
      </c>
      <c r="AL485" s="171">
        <v>0</v>
      </c>
      <c r="AM485" s="171">
        <v>1</v>
      </c>
      <c r="AN485" s="171">
        <v>1</v>
      </c>
      <c r="AO485" s="171">
        <v>1</v>
      </c>
      <c r="AP485" s="171">
        <v>1</v>
      </c>
      <c r="AQ485" s="171">
        <v>1</v>
      </c>
      <c r="AR485" s="171">
        <v>1</v>
      </c>
      <c r="AS485" s="171">
        <v>1</v>
      </c>
      <c r="AT485" s="171">
        <v>1</v>
      </c>
      <c r="AU485" s="171">
        <f t="shared" si="183"/>
        <v>0</v>
      </c>
      <c r="AV485" s="171">
        <f t="shared" si="184"/>
        <v>0</v>
      </c>
      <c r="AW485" s="171">
        <f t="shared" si="185"/>
        <v>1</v>
      </c>
      <c r="AX485" s="171">
        <f t="shared" si="173"/>
        <v>0</v>
      </c>
      <c r="AY485" s="171">
        <f t="shared" si="186"/>
        <v>0</v>
      </c>
      <c r="AZ485" s="171">
        <f t="shared" si="187"/>
        <v>1</v>
      </c>
      <c r="BA485" s="172">
        <f t="shared" si="188"/>
        <v>1</v>
      </c>
      <c r="BB485" s="175">
        <f t="shared" si="190"/>
        <v>14</v>
      </c>
      <c r="BC485" s="176">
        <f t="shared" si="191"/>
        <v>13</v>
      </c>
      <c r="BD485" s="176">
        <f t="shared" si="192"/>
        <v>14</v>
      </c>
      <c r="BE485" s="240" t="str">
        <f t="shared" si="181"/>
        <v/>
      </c>
      <c r="BH485" s="199">
        <f>IF(AND(Input_Product=Elig!$C485,Elig_MatchAll_Ct&lt;22,$BC485=(Elig_MatchAll_Ct-1),AF485=0),C485,0)</f>
        <v>0</v>
      </c>
      <c r="BI485" s="199">
        <f>IF(AND(Input_Product=Elig!$C485,Elig_MatchAll_Ct&lt;22,$BC485=(Elig_MatchAll_Ct-1),AG485=0),D485,0)</f>
        <v>0</v>
      </c>
      <c r="BJ485" s="199">
        <f>IF(AND(Input_Product=Elig!$C485,Elig_MatchAll_Ct&lt;22,$BC485=(Elig_MatchAll_Ct-1),AH485=0),E485,0)</f>
        <v>0</v>
      </c>
      <c r="BK485" s="199">
        <f>IF(AND(Input_Product=Elig!$C485,Elig_MatchAll_Ct&lt;22,$BC485=(Elig_MatchAll_Ct-1),AI485=0),F485,0)</f>
        <v>0</v>
      </c>
      <c r="BL485" s="199">
        <f>IF(AND(Input_Product=Elig!$C485,Elig_MatchAll_Ct&lt;22,$BC485=(Elig_MatchAll_Ct-1),AJ485=0),G485,0)</f>
        <v>0</v>
      </c>
      <c r="BM485" s="199">
        <f>IF(AND(Input_Product=Elig!$C485,Elig_MatchAll_Ct&lt;22,$BC485=(Elig_MatchAll_Ct-1),AK485=0),H485,0)</f>
        <v>0</v>
      </c>
      <c r="BN485" s="199">
        <f>IF(AND(Input_Product=Elig!$C485,Elig_MatchAll_Ct&lt;22,$BC485=(Elig_MatchAll_Ct-1),AL485=0),I485,0)</f>
        <v>0</v>
      </c>
      <c r="BO485" s="199">
        <f>IF(AND(Input_Product=Elig!$C485,Elig_MatchAll_Ct&lt;22,$BC485=(Elig_MatchAll_Ct-1),AM485=0),J485,0)</f>
        <v>0</v>
      </c>
      <c r="BP485" s="199">
        <f>IF(AND(Input_Product=Elig!$C485,Elig_MatchAll_Ct&lt;22,$BC485=(Elig_MatchAll_Ct-1),AN485=0),K485,0)</f>
        <v>0</v>
      </c>
      <c r="BQ485" s="199">
        <f>IF(AND(Input_Product=Elig!$C485,Elig_MatchAll_Ct&lt;22,$BC485=(Elig_MatchAll_Ct-1),AP485=0),L485,0)</f>
        <v>0</v>
      </c>
      <c r="BR485" s="199">
        <f>IF(AND(Input_Product=Elig!$C485,Elig_MatchAll_Ct&lt;22,$BC485=(Elig_MatchAll_Ct-1),AO485=0),M485,0)</f>
        <v>0</v>
      </c>
      <c r="BS485" s="199">
        <f>IF(AND(Input_Product=Elig!$C485,Elig_MatchAll_Ct&lt;22,$BC485=(Elig_MatchAll_Ct-1),AQ485=0),N485,0)</f>
        <v>0</v>
      </c>
      <c r="BT485" s="199">
        <f>IF(AND(Input_Product=Elig!$C485,Elig_MatchAll_Ct&lt;22,$BC485=(Elig_MatchAll_Ct-1),AR485=0),O485,0)</f>
        <v>0</v>
      </c>
      <c r="BU485" s="199">
        <f>IF(AND(Input_Product=Elig!$C485,Elig_MatchAll_Ct&lt;22,$BC485=(Elig_MatchAll_Ct-1),AS485=0),P485,0)</f>
        <v>0</v>
      </c>
      <c r="BV485" s="200">
        <f>IF(AND(Input_Product=Elig!$C485,Elig_MatchAll_Ct&lt;22,$BC485=(Elig_MatchAll_Ct-1),AT485=0),Q485,0)</f>
        <v>0</v>
      </c>
      <c r="BW485" s="201">
        <f>IF(AND(Input_Product=Elig!$C485,Elig_MatchAll_Ct&lt;22,$BC485=(Elig_MatchAll_Ct-1),AU485=0),R485,0)</f>
        <v>0</v>
      </c>
      <c r="BX485" s="202">
        <f>IF(AND(Input_Product=Elig!$C485,Elig_MatchAll_Ct&lt;22,$BC485=(Elig_MatchAll_Ct-1),AU485=0),S485,0)</f>
        <v>0</v>
      </c>
      <c r="BY485" s="201">
        <f>IF(AND(Input_Product=Elig!$C485,Elig_MatchAll_Ct&lt;22,$BC485=(Elig_MatchAll_Ct-1),AV485=0),T485,0)</f>
        <v>0</v>
      </c>
      <c r="BZ485" s="202">
        <f>IF(AND(Input_Product=Elig!$C485,Elig_MatchAll_Ct&lt;22,$BC485=(Elig_MatchAll_Ct-1),AV485=0),U485,0)</f>
        <v>0</v>
      </c>
      <c r="CA485" s="201">
        <f>IF(AND(Input_Product=Elig!$C485,Elig_MatchAll_Ct&lt;22,$BC485=(Elig_MatchAll_Ct-1),AW485=0),V485,0)</f>
        <v>0</v>
      </c>
      <c r="CB485" s="202">
        <f>IF(AND(Input_Product=Elig!$C485,Elig_MatchAll_Ct&lt;22,$BC485=(Elig_MatchAll_Ct-1),AW485=0),W485,0)</f>
        <v>0</v>
      </c>
      <c r="CC485" s="201">
        <f>IF(AND(Input_Product=Elig!$C485,Elig_MatchAll_Ct&lt;22,$BC485=(Elig_MatchAll_Ct-1),AX485=0),X485,0)</f>
        <v>0</v>
      </c>
      <c r="CD485" s="202">
        <f>IF(AND(Input_Product=Elig!$C485,Elig_MatchAll_Ct&lt;22,$BC485=(Elig_MatchAll_Ct-1),AX485=0),Y485,0)</f>
        <v>0</v>
      </c>
      <c r="CE485" s="201">
        <f>IF(AND(Input_LTV&lt;=AE485,Input_Product=Elig!$C485,Elig_MatchAll_Ct&lt;22,$BC485=(Elig_MatchAll_Ct-1),AY485=0),Z485,0)</f>
        <v>0</v>
      </c>
      <c r="CF485" s="202">
        <f>IF(AND(Input_LTV&lt;=AE485,Input_Product=Elig!$C485,Elig_MatchAll_Ct&lt;22,$BC485=(Elig_MatchAll_Ct-1),AY485=0),AA485,0)</f>
        <v>0</v>
      </c>
      <c r="CG485" s="201">
        <f>IF(AND(Input_Product=Elig!$C485,Elig_MatchAll_Ct&lt;22,$BC485=(Elig_MatchAll_Ct-1),AZ485=0),AB485,0)</f>
        <v>0</v>
      </c>
      <c r="CH485" s="202">
        <f>IF(AND(Input_Product=Elig!$C485,Elig_MatchAll_Ct&lt;22,$BC485=(Elig_MatchAll_Ct-1),AZ485=0),AC485,0)</f>
        <v>0</v>
      </c>
      <c r="CI485" s="201">
        <f>IF(AND(Input_Product=Elig!$C485,Elig_MatchAll_Ct&lt;22,$BC485=(Elig_MatchAll_Ct-1),BA485=0),AD485,0)</f>
        <v>0</v>
      </c>
      <c r="CJ485" s="202">
        <f>IF(AND(Input_Product=Elig!$C485,Elig_MatchAll_Ct&lt;22,$BC485=(Elig_MatchAll_Ct-1),BA485=0),AE485,0)</f>
        <v>0</v>
      </c>
    </row>
    <row r="486" spans="2:88" ht="10.15" customHeight="1" x14ac:dyDescent="0.25">
      <c r="B486" s="287" t="s">
        <v>3686</v>
      </c>
      <c r="C486" s="286" t="str">
        <f t="shared" si="175"/>
        <v>NonQM NOO</v>
      </c>
      <c r="D486" s="287" t="s">
        <v>3885</v>
      </c>
      <c r="E486" s="287" t="s">
        <v>167</v>
      </c>
      <c r="F486" s="287" t="s">
        <v>330</v>
      </c>
      <c r="G486" s="287" t="s">
        <v>181</v>
      </c>
      <c r="H486" s="287" t="s">
        <v>136</v>
      </c>
      <c r="I486" s="287" t="s">
        <v>274</v>
      </c>
      <c r="J486" s="287" t="s">
        <v>1311</v>
      </c>
      <c r="K486" s="287" t="s">
        <v>1631</v>
      </c>
      <c r="L486" s="300" t="s">
        <v>312</v>
      </c>
      <c r="M486" s="287" t="s">
        <v>4203</v>
      </c>
      <c r="N486" s="287" t="s">
        <v>2685</v>
      </c>
      <c r="O486" s="287" t="s">
        <v>310</v>
      </c>
      <c r="P486" s="287" t="s">
        <v>291</v>
      </c>
      <c r="Q486" s="287" t="s">
        <v>294</v>
      </c>
      <c r="R486" s="287">
        <v>1500000.01</v>
      </c>
      <c r="S486" s="287">
        <v>2000000</v>
      </c>
      <c r="T486" s="287">
        <v>0</v>
      </c>
      <c r="U486" s="287">
        <v>0</v>
      </c>
      <c r="V486" s="287">
        <v>0</v>
      </c>
      <c r="W486" s="287">
        <v>50</v>
      </c>
      <c r="X486" s="287">
        <v>0.75</v>
      </c>
      <c r="Y486" s="287">
        <v>999</v>
      </c>
      <c r="Z486" s="289">
        <v>660</v>
      </c>
      <c r="AA486" s="289">
        <v>679</v>
      </c>
      <c r="AB486" s="289">
        <v>6</v>
      </c>
      <c r="AC486" s="289">
        <v>999999</v>
      </c>
      <c r="AD486" s="287">
        <v>0</v>
      </c>
      <c r="AE486" s="2105">
        <v>70</v>
      </c>
      <c r="AF486" s="170">
        <v>0</v>
      </c>
      <c r="AG486" s="171">
        <v>1</v>
      </c>
      <c r="AH486" s="171">
        <v>1</v>
      </c>
      <c r="AI486" s="171">
        <v>0</v>
      </c>
      <c r="AJ486" s="171">
        <v>0</v>
      </c>
      <c r="AK486" s="171">
        <v>1</v>
      </c>
      <c r="AL486" s="171">
        <v>0</v>
      </c>
      <c r="AM486" s="171">
        <v>1</v>
      </c>
      <c r="AN486" s="171">
        <v>1</v>
      </c>
      <c r="AO486" s="171">
        <v>1</v>
      </c>
      <c r="AP486" s="171">
        <v>1</v>
      </c>
      <c r="AQ486" s="171">
        <v>1</v>
      </c>
      <c r="AR486" s="171">
        <v>1</v>
      </c>
      <c r="AS486" s="171">
        <v>1</v>
      </c>
      <c r="AT486" s="171">
        <v>1</v>
      </c>
      <c r="AU486" s="171">
        <f t="shared" si="183"/>
        <v>0</v>
      </c>
      <c r="AV486" s="171">
        <f t="shared" si="184"/>
        <v>0</v>
      </c>
      <c r="AW486" s="171">
        <f t="shared" si="185"/>
        <v>1</v>
      </c>
      <c r="AX486" s="171">
        <f t="shared" si="173"/>
        <v>0</v>
      </c>
      <c r="AY486" s="171">
        <f t="shared" si="186"/>
        <v>0</v>
      </c>
      <c r="AZ486" s="171">
        <f t="shared" si="187"/>
        <v>1</v>
      </c>
      <c r="BA486" s="172">
        <f t="shared" si="188"/>
        <v>1</v>
      </c>
      <c r="BB486" s="175">
        <f t="shared" si="190"/>
        <v>14</v>
      </c>
      <c r="BC486" s="176">
        <f t="shared" si="191"/>
        <v>13</v>
      </c>
      <c r="BD486" s="176">
        <f t="shared" si="192"/>
        <v>14</v>
      </c>
      <c r="BE486" s="240" t="str">
        <f t="shared" si="181"/>
        <v/>
      </c>
      <c r="BH486" s="199">
        <f>IF(AND(Input_Product=Elig!$C486,Elig_MatchAll_Ct&lt;22,$BC486=(Elig_MatchAll_Ct-1),AF486=0),C486,0)</f>
        <v>0</v>
      </c>
      <c r="BI486" s="199">
        <f>IF(AND(Input_Product=Elig!$C486,Elig_MatchAll_Ct&lt;22,$BC486=(Elig_MatchAll_Ct-1),AG486=0),D486,0)</f>
        <v>0</v>
      </c>
      <c r="BJ486" s="199">
        <f>IF(AND(Input_Product=Elig!$C486,Elig_MatchAll_Ct&lt;22,$BC486=(Elig_MatchAll_Ct-1),AH486=0),E486,0)</f>
        <v>0</v>
      </c>
      <c r="BK486" s="199">
        <f>IF(AND(Input_Product=Elig!$C486,Elig_MatchAll_Ct&lt;22,$BC486=(Elig_MatchAll_Ct-1),AI486=0),F486,0)</f>
        <v>0</v>
      </c>
      <c r="BL486" s="199">
        <f>IF(AND(Input_Product=Elig!$C486,Elig_MatchAll_Ct&lt;22,$BC486=(Elig_MatchAll_Ct-1),AJ486=0),G486,0)</f>
        <v>0</v>
      </c>
      <c r="BM486" s="199">
        <f>IF(AND(Input_Product=Elig!$C486,Elig_MatchAll_Ct&lt;22,$BC486=(Elig_MatchAll_Ct-1),AK486=0),H486,0)</f>
        <v>0</v>
      </c>
      <c r="BN486" s="199">
        <f>IF(AND(Input_Product=Elig!$C486,Elig_MatchAll_Ct&lt;22,$BC486=(Elig_MatchAll_Ct-1),AL486=0),I486,0)</f>
        <v>0</v>
      </c>
      <c r="BO486" s="199">
        <f>IF(AND(Input_Product=Elig!$C486,Elig_MatchAll_Ct&lt;22,$BC486=(Elig_MatchAll_Ct-1),AM486=0),J486,0)</f>
        <v>0</v>
      </c>
      <c r="BP486" s="199">
        <f>IF(AND(Input_Product=Elig!$C486,Elig_MatchAll_Ct&lt;22,$BC486=(Elig_MatchAll_Ct-1),AN486=0),K486,0)</f>
        <v>0</v>
      </c>
      <c r="BQ486" s="199">
        <f>IF(AND(Input_Product=Elig!$C486,Elig_MatchAll_Ct&lt;22,$BC486=(Elig_MatchAll_Ct-1),AP486=0),L486,0)</f>
        <v>0</v>
      </c>
      <c r="BR486" s="199">
        <f>IF(AND(Input_Product=Elig!$C486,Elig_MatchAll_Ct&lt;22,$BC486=(Elig_MatchAll_Ct-1),AO486=0),M486,0)</f>
        <v>0</v>
      </c>
      <c r="BS486" s="199">
        <f>IF(AND(Input_Product=Elig!$C486,Elig_MatchAll_Ct&lt;22,$BC486=(Elig_MatchAll_Ct-1),AQ486=0),N486,0)</f>
        <v>0</v>
      </c>
      <c r="BT486" s="199">
        <f>IF(AND(Input_Product=Elig!$C486,Elig_MatchAll_Ct&lt;22,$BC486=(Elig_MatchAll_Ct-1),AR486=0),O486,0)</f>
        <v>0</v>
      </c>
      <c r="BU486" s="199">
        <f>IF(AND(Input_Product=Elig!$C486,Elig_MatchAll_Ct&lt;22,$BC486=(Elig_MatchAll_Ct-1),AS486=0),P486,0)</f>
        <v>0</v>
      </c>
      <c r="BV486" s="200">
        <f>IF(AND(Input_Product=Elig!$C486,Elig_MatchAll_Ct&lt;22,$BC486=(Elig_MatchAll_Ct-1),AT486=0),Q486,0)</f>
        <v>0</v>
      </c>
      <c r="BW486" s="201">
        <f>IF(AND(Input_Product=Elig!$C486,Elig_MatchAll_Ct&lt;22,$BC486=(Elig_MatchAll_Ct-1),AU486=0),R486,0)</f>
        <v>0</v>
      </c>
      <c r="BX486" s="202">
        <f>IF(AND(Input_Product=Elig!$C486,Elig_MatchAll_Ct&lt;22,$BC486=(Elig_MatchAll_Ct-1),AU486=0),S486,0)</f>
        <v>0</v>
      </c>
      <c r="BY486" s="201">
        <f>IF(AND(Input_Product=Elig!$C486,Elig_MatchAll_Ct&lt;22,$BC486=(Elig_MatchAll_Ct-1),AV486=0),T486,0)</f>
        <v>0</v>
      </c>
      <c r="BZ486" s="202">
        <f>IF(AND(Input_Product=Elig!$C486,Elig_MatchAll_Ct&lt;22,$BC486=(Elig_MatchAll_Ct-1),AV486=0),U486,0)</f>
        <v>0</v>
      </c>
      <c r="CA486" s="201">
        <f>IF(AND(Input_Product=Elig!$C486,Elig_MatchAll_Ct&lt;22,$BC486=(Elig_MatchAll_Ct-1),AW486=0),V486,0)</f>
        <v>0</v>
      </c>
      <c r="CB486" s="202">
        <f>IF(AND(Input_Product=Elig!$C486,Elig_MatchAll_Ct&lt;22,$BC486=(Elig_MatchAll_Ct-1),AW486=0),W486,0)</f>
        <v>0</v>
      </c>
      <c r="CC486" s="201">
        <f>IF(AND(Input_Product=Elig!$C486,Elig_MatchAll_Ct&lt;22,$BC486=(Elig_MatchAll_Ct-1),AX486=0),X486,0)</f>
        <v>0</v>
      </c>
      <c r="CD486" s="202">
        <f>IF(AND(Input_Product=Elig!$C486,Elig_MatchAll_Ct&lt;22,$BC486=(Elig_MatchAll_Ct-1),AX486=0),Y486,0)</f>
        <v>0</v>
      </c>
      <c r="CE486" s="201">
        <f>IF(AND(Input_LTV&lt;=AE486,Input_Product=Elig!$C486,Elig_MatchAll_Ct&lt;22,$BC486=(Elig_MatchAll_Ct-1),AY486=0),Z486,0)</f>
        <v>0</v>
      </c>
      <c r="CF486" s="202">
        <f>IF(AND(Input_LTV&lt;=AE486,Input_Product=Elig!$C486,Elig_MatchAll_Ct&lt;22,$BC486=(Elig_MatchAll_Ct-1),AY486=0),AA486,0)</f>
        <v>0</v>
      </c>
      <c r="CG486" s="201">
        <f>IF(AND(Input_Product=Elig!$C486,Elig_MatchAll_Ct&lt;22,$BC486=(Elig_MatchAll_Ct-1),AZ486=0),AB486,0)</f>
        <v>0</v>
      </c>
      <c r="CH486" s="202">
        <f>IF(AND(Input_Product=Elig!$C486,Elig_MatchAll_Ct&lt;22,$BC486=(Elig_MatchAll_Ct-1),AZ486=0),AC486,0)</f>
        <v>0</v>
      </c>
      <c r="CI486" s="201">
        <f>IF(AND(Input_Product=Elig!$C486,Elig_MatchAll_Ct&lt;22,$BC486=(Elig_MatchAll_Ct-1),BA486=0),AD486,0)</f>
        <v>0</v>
      </c>
      <c r="CJ486" s="202">
        <f>IF(AND(Input_Product=Elig!$C486,Elig_MatchAll_Ct&lt;22,$BC486=(Elig_MatchAll_Ct-1),BA486=0),AE486,0)</f>
        <v>0</v>
      </c>
    </row>
    <row r="487" spans="2:88" ht="10.15" customHeight="1" x14ac:dyDescent="0.25">
      <c r="B487" s="287" t="s">
        <v>3687</v>
      </c>
      <c r="C487" s="286" t="str">
        <f t="shared" si="175"/>
        <v>NonQM NOO</v>
      </c>
      <c r="D487" s="287" t="s">
        <v>3885</v>
      </c>
      <c r="E487" s="287" t="s">
        <v>167</v>
      </c>
      <c r="F487" s="287" t="s">
        <v>330</v>
      </c>
      <c r="G487" s="287" t="s">
        <v>181</v>
      </c>
      <c r="H487" s="287" t="s">
        <v>136</v>
      </c>
      <c r="I487" s="287" t="s">
        <v>274</v>
      </c>
      <c r="J487" s="287" t="s">
        <v>1311</v>
      </c>
      <c r="K487" s="287" t="s">
        <v>1631</v>
      </c>
      <c r="L487" s="300" t="s">
        <v>312</v>
      </c>
      <c r="M487" s="287" t="s">
        <v>4203</v>
      </c>
      <c r="N487" s="287" t="s">
        <v>2685</v>
      </c>
      <c r="O487" s="287" t="s">
        <v>310</v>
      </c>
      <c r="P487" s="287" t="s">
        <v>291</v>
      </c>
      <c r="Q487" s="287" t="s">
        <v>294</v>
      </c>
      <c r="R487" s="287">
        <v>1500000.01</v>
      </c>
      <c r="S487" s="287">
        <v>2000000</v>
      </c>
      <c r="T487" s="287">
        <v>0</v>
      </c>
      <c r="U487" s="287">
        <v>0</v>
      </c>
      <c r="V487" s="287">
        <v>0</v>
      </c>
      <c r="W487" s="287">
        <v>50</v>
      </c>
      <c r="X487" s="287">
        <v>0.75</v>
      </c>
      <c r="Y487" s="287">
        <v>999</v>
      </c>
      <c r="Z487" s="289">
        <v>640</v>
      </c>
      <c r="AA487" s="289">
        <v>659</v>
      </c>
      <c r="AB487" s="289">
        <v>6</v>
      </c>
      <c r="AC487" s="289">
        <v>999999</v>
      </c>
      <c r="AD487" s="287">
        <v>0</v>
      </c>
      <c r="AE487" s="2105">
        <v>65</v>
      </c>
      <c r="AF487" s="170">
        <v>0</v>
      </c>
      <c r="AG487" s="171">
        <v>1</v>
      </c>
      <c r="AH487" s="171">
        <v>1</v>
      </c>
      <c r="AI487" s="171">
        <v>0</v>
      </c>
      <c r="AJ487" s="171">
        <v>0</v>
      </c>
      <c r="AK487" s="171">
        <v>1</v>
      </c>
      <c r="AL487" s="171">
        <v>0</v>
      </c>
      <c r="AM487" s="171">
        <v>1</v>
      </c>
      <c r="AN487" s="171">
        <v>1</v>
      </c>
      <c r="AO487" s="171">
        <v>1</v>
      </c>
      <c r="AP487" s="171">
        <v>1</v>
      </c>
      <c r="AQ487" s="171">
        <v>1</v>
      </c>
      <c r="AR487" s="171">
        <v>1</v>
      </c>
      <c r="AS487" s="171">
        <v>1</v>
      </c>
      <c r="AT487" s="171">
        <v>1</v>
      </c>
      <c r="AU487" s="171">
        <f t="shared" si="183"/>
        <v>0</v>
      </c>
      <c r="AV487" s="171">
        <f t="shared" si="184"/>
        <v>0</v>
      </c>
      <c r="AW487" s="171">
        <f t="shared" si="185"/>
        <v>1</v>
      </c>
      <c r="AX487" s="171">
        <f t="shared" si="173"/>
        <v>0</v>
      </c>
      <c r="AY487" s="171">
        <f t="shared" si="186"/>
        <v>0</v>
      </c>
      <c r="AZ487" s="171">
        <f t="shared" si="187"/>
        <v>1</v>
      </c>
      <c r="BA487" s="172">
        <f t="shared" si="188"/>
        <v>1</v>
      </c>
      <c r="BB487" s="175">
        <f t="shared" si="190"/>
        <v>14</v>
      </c>
      <c r="BC487" s="176">
        <f t="shared" si="191"/>
        <v>13</v>
      </c>
      <c r="BD487" s="176">
        <f t="shared" si="192"/>
        <v>14</v>
      </c>
      <c r="BE487" s="240" t="str">
        <f t="shared" si="181"/>
        <v/>
      </c>
      <c r="BH487" s="199">
        <f>IF(AND(Input_Product=Elig!$C487,Elig_MatchAll_Ct&lt;22,$BC487=(Elig_MatchAll_Ct-1),AF487=0),C487,0)</f>
        <v>0</v>
      </c>
      <c r="BI487" s="199">
        <f>IF(AND(Input_Product=Elig!$C487,Elig_MatchAll_Ct&lt;22,$BC487=(Elig_MatchAll_Ct-1),AG487=0),D487,0)</f>
        <v>0</v>
      </c>
      <c r="BJ487" s="199">
        <f>IF(AND(Input_Product=Elig!$C487,Elig_MatchAll_Ct&lt;22,$BC487=(Elig_MatchAll_Ct-1),AH487=0),E487,0)</f>
        <v>0</v>
      </c>
      <c r="BK487" s="199">
        <f>IF(AND(Input_Product=Elig!$C487,Elig_MatchAll_Ct&lt;22,$BC487=(Elig_MatchAll_Ct-1),AI487=0),F487,0)</f>
        <v>0</v>
      </c>
      <c r="BL487" s="199">
        <f>IF(AND(Input_Product=Elig!$C487,Elig_MatchAll_Ct&lt;22,$BC487=(Elig_MatchAll_Ct-1),AJ487=0),G487,0)</f>
        <v>0</v>
      </c>
      <c r="BM487" s="199">
        <f>IF(AND(Input_Product=Elig!$C487,Elig_MatchAll_Ct&lt;22,$BC487=(Elig_MatchAll_Ct-1),AK487=0),H487,0)</f>
        <v>0</v>
      </c>
      <c r="BN487" s="199">
        <f>IF(AND(Input_Product=Elig!$C487,Elig_MatchAll_Ct&lt;22,$BC487=(Elig_MatchAll_Ct-1),AL487=0),I487,0)</f>
        <v>0</v>
      </c>
      <c r="BO487" s="199">
        <f>IF(AND(Input_Product=Elig!$C487,Elig_MatchAll_Ct&lt;22,$BC487=(Elig_MatchAll_Ct-1),AM487=0),J487,0)</f>
        <v>0</v>
      </c>
      <c r="BP487" s="199">
        <f>IF(AND(Input_Product=Elig!$C487,Elig_MatchAll_Ct&lt;22,$BC487=(Elig_MatchAll_Ct-1),AN487=0),K487,0)</f>
        <v>0</v>
      </c>
      <c r="BQ487" s="199">
        <f>IF(AND(Input_Product=Elig!$C487,Elig_MatchAll_Ct&lt;22,$BC487=(Elig_MatchAll_Ct-1),AP487=0),L487,0)</f>
        <v>0</v>
      </c>
      <c r="BR487" s="199">
        <f>IF(AND(Input_Product=Elig!$C487,Elig_MatchAll_Ct&lt;22,$BC487=(Elig_MatchAll_Ct-1),AO487=0),M487,0)</f>
        <v>0</v>
      </c>
      <c r="BS487" s="199">
        <f>IF(AND(Input_Product=Elig!$C487,Elig_MatchAll_Ct&lt;22,$BC487=(Elig_MatchAll_Ct-1),AQ487=0),N487,0)</f>
        <v>0</v>
      </c>
      <c r="BT487" s="199">
        <f>IF(AND(Input_Product=Elig!$C487,Elig_MatchAll_Ct&lt;22,$BC487=(Elig_MatchAll_Ct-1),AR487=0),O487,0)</f>
        <v>0</v>
      </c>
      <c r="BU487" s="199">
        <f>IF(AND(Input_Product=Elig!$C487,Elig_MatchAll_Ct&lt;22,$BC487=(Elig_MatchAll_Ct-1),AS487=0),P487,0)</f>
        <v>0</v>
      </c>
      <c r="BV487" s="200">
        <f>IF(AND(Input_Product=Elig!$C487,Elig_MatchAll_Ct&lt;22,$BC487=(Elig_MatchAll_Ct-1),AT487=0),Q487,0)</f>
        <v>0</v>
      </c>
      <c r="BW487" s="201">
        <f>IF(AND(Input_Product=Elig!$C487,Elig_MatchAll_Ct&lt;22,$BC487=(Elig_MatchAll_Ct-1),AU487=0),R487,0)</f>
        <v>0</v>
      </c>
      <c r="BX487" s="202">
        <f>IF(AND(Input_Product=Elig!$C487,Elig_MatchAll_Ct&lt;22,$BC487=(Elig_MatchAll_Ct-1),AU487=0),S487,0)</f>
        <v>0</v>
      </c>
      <c r="BY487" s="201">
        <f>IF(AND(Input_Product=Elig!$C487,Elig_MatchAll_Ct&lt;22,$BC487=(Elig_MatchAll_Ct-1),AV487=0),T487,0)</f>
        <v>0</v>
      </c>
      <c r="BZ487" s="202">
        <f>IF(AND(Input_Product=Elig!$C487,Elig_MatchAll_Ct&lt;22,$BC487=(Elig_MatchAll_Ct-1),AV487=0),U487,0)</f>
        <v>0</v>
      </c>
      <c r="CA487" s="201">
        <f>IF(AND(Input_Product=Elig!$C487,Elig_MatchAll_Ct&lt;22,$BC487=(Elig_MatchAll_Ct-1),AW487=0),V487,0)</f>
        <v>0</v>
      </c>
      <c r="CB487" s="202">
        <f>IF(AND(Input_Product=Elig!$C487,Elig_MatchAll_Ct&lt;22,$BC487=(Elig_MatchAll_Ct-1),AW487=0),W487,0)</f>
        <v>0</v>
      </c>
      <c r="CC487" s="201">
        <f>IF(AND(Input_Product=Elig!$C487,Elig_MatchAll_Ct&lt;22,$BC487=(Elig_MatchAll_Ct-1),AX487=0),X487,0)</f>
        <v>0</v>
      </c>
      <c r="CD487" s="202">
        <f>IF(AND(Input_Product=Elig!$C487,Elig_MatchAll_Ct&lt;22,$BC487=(Elig_MatchAll_Ct-1),AX487=0),Y487,0)</f>
        <v>0</v>
      </c>
      <c r="CE487" s="201">
        <f>IF(AND(Input_LTV&lt;=AE487,Input_Product=Elig!$C487,Elig_MatchAll_Ct&lt;22,$BC487=(Elig_MatchAll_Ct-1),AY487=0),Z487,0)</f>
        <v>0</v>
      </c>
      <c r="CF487" s="202">
        <f>IF(AND(Input_LTV&lt;=AE487,Input_Product=Elig!$C487,Elig_MatchAll_Ct&lt;22,$BC487=(Elig_MatchAll_Ct-1),AY487=0),AA487,0)</f>
        <v>0</v>
      </c>
      <c r="CG487" s="201">
        <f>IF(AND(Input_Product=Elig!$C487,Elig_MatchAll_Ct&lt;22,$BC487=(Elig_MatchAll_Ct-1),AZ487=0),AB487,0)</f>
        <v>0</v>
      </c>
      <c r="CH487" s="202">
        <f>IF(AND(Input_Product=Elig!$C487,Elig_MatchAll_Ct&lt;22,$BC487=(Elig_MatchAll_Ct-1),AZ487=0),AC487,0)</f>
        <v>0</v>
      </c>
      <c r="CI487" s="201">
        <f>IF(AND(Input_Product=Elig!$C487,Elig_MatchAll_Ct&lt;22,$BC487=(Elig_MatchAll_Ct-1),BA487=0),AD487,0)</f>
        <v>0</v>
      </c>
      <c r="CJ487" s="202">
        <f>IF(AND(Input_Product=Elig!$C487,Elig_MatchAll_Ct&lt;22,$BC487=(Elig_MatchAll_Ct-1),BA487=0),AE487,0)</f>
        <v>0</v>
      </c>
    </row>
    <row r="488" spans="2:88" ht="10.15" customHeight="1" x14ac:dyDescent="0.25">
      <c r="B488" s="287" t="s">
        <v>3688</v>
      </c>
      <c r="C488" s="291" t="str">
        <f t="shared" si="175"/>
        <v>NonQM NOO</v>
      </c>
      <c r="D488" s="292" t="s">
        <v>3885</v>
      </c>
      <c r="E488" s="292" t="s">
        <v>167</v>
      </c>
      <c r="F488" s="292" t="s">
        <v>330</v>
      </c>
      <c r="G488" s="292" t="s">
        <v>181</v>
      </c>
      <c r="H488" s="292" t="s">
        <v>136</v>
      </c>
      <c r="I488" s="292" t="s">
        <v>274</v>
      </c>
      <c r="J488" s="292" t="s">
        <v>1311</v>
      </c>
      <c r="K488" s="292" t="s">
        <v>1631</v>
      </c>
      <c r="L488" s="324" t="s">
        <v>312</v>
      </c>
      <c r="M488" s="292" t="s">
        <v>4203</v>
      </c>
      <c r="N488" s="292" t="s">
        <v>2685</v>
      </c>
      <c r="O488" s="292" t="s">
        <v>310</v>
      </c>
      <c r="P488" s="292" t="s">
        <v>291</v>
      </c>
      <c r="Q488" s="292" t="s">
        <v>294</v>
      </c>
      <c r="R488" s="292">
        <v>1500000.01</v>
      </c>
      <c r="S488" s="292">
        <v>2000000</v>
      </c>
      <c r="T488" s="292">
        <v>0</v>
      </c>
      <c r="U488" s="292">
        <v>0</v>
      </c>
      <c r="V488" s="292">
        <v>0</v>
      </c>
      <c r="W488" s="292">
        <v>50</v>
      </c>
      <c r="X488" s="292">
        <v>0.75</v>
      </c>
      <c r="Y488" s="292">
        <v>999</v>
      </c>
      <c r="Z488" s="293">
        <v>620</v>
      </c>
      <c r="AA488" s="293">
        <v>639</v>
      </c>
      <c r="AB488" s="293">
        <v>6</v>
      </c>
      <c r="AC488" s="293">
        <v>999999</v>
      </c>
      <c r="AD488" s="292">
        <v>0</v>
      </c>
      <c r="AE488" s="294">
        <v>-999</v>
      </c>
      <c r="AF488" s="170">
        <v>0</v>
      </c>
      <c r="AG488" s="171">
        <v>1</v>
      </c>
      <c r="AH488" s="171">
        <v>1</v>
      </c>
      <c r="AI488" s="171">
        <v>0</v>
      </c>
      <c r="AJ488" s="171">
        <v>0</v>
      </c>
      <c r="AK488" s="171">
        <v>1</v>
      </c>
      <c r="AL488" s="171">
        <v>0</v>
      </c>
      <c r="AM488" s="171">
        <v>1</v>
      </c>
      <c r="AN488" s="171">
        <v>1</v>
      </c>
      <c r="AO488" s="171">
        <v>1</v>
      </c>
      <c r="AP488" s="171">
        <v>1</v>
      </c>
      <c r="AQ488" s="171">
        <v>1</v>
      </c>
      <c r="AR488" s="171">
        <v>1</v>
      </c>
      <c r="AS488" s="171">
        <v>1</v>
      </c>
      <c r="AT488" s="171">
        <v>1</v>
      </c>
      <c r="AU488" s="171">
        <f t="shared" si="183"/>
        <v>0</v>
      </c>
      <c r="AV488" s="171">
        <f t="shared" si="184"/>
        <v>0</v>
      </c>
      <c r="AW488" s="171">
        <f t="shared" si="185"/>
        <v>1</v>
      </c>
      <c r="AX488" s="171">
        <f t="shared" si="173"/>
        <v>0</v>
      </c>
      <c r="AY488" s="171">
        <f t="shared" si="186"/>
        <v>0</v>
      </c>
      <c r="AZ488" s="171">
        <f t="shared" si="187"/>
        <v>1</v>
      </c>
      <c r="BA488" s="172">
        <f t="shared" si="188"/>
        <v>0</v>
      </c>
      <c r="BB488" s="175">
        <f t="shared" si="190"/>
        <v>13</v>
      </c>
      <c r="BC488" s="176">
        <f t="shared" si="191"/>
        <v>13</v>
      </c>
      <c r="BD488" s="176">
        <f t="shared" si="192"/>
        <v>13</v>
      </c>
      <c r="BE488" s="240" t="str">
        <f t="shared" si="181"/>
        <v/>
      </c>
      <c r="BH488" s="214">
        <f>IF(AND(Input_Product=Elig!$C488,Elig_MatchAll_Ct&lt;22,$BC488=(Elig_MatchAll_Ct-1),AF488=0),C488,0)</f>
        <v>0</v>
      </c>
      <c r="BI488" s="214">
        <f>IF(AND(Input_Product=Elig!$C488,Elig_MatchAll_Ct&lt;22,$BC488=(Elig_MatchAll_Ct-1),AG488=0),D488,0)</f>
        <v>0</v>
      </c>
      <c r="BJ488" s="214">
        <f>IF(AND(Input_Product=Elig!$C488,Elig_MatchAll_Ct&lt;22,$BC488=(Elig_MatchAll_Ct-1),AH488=0),E488,0)</f>
        <v>0</v>
      </c>
      <c r="BK488" s="214">
        <f>IF(AND(Input_Product=Elig!$C488,Elig_MatchAll_Ct&lt;22,$BC488=(Elig_MatchAll_Ct-1),AI488=0),F488,0)</f>
        <v>0</v>
      </c>
      <c r="BL488" s="214">
        <f>IF(AND(Input_Product=Elig!$C488,Elig_MatchAll_Ct&lt;22,$BC488=(Elig_MatchAll_Ct-1),AJ488=0),G488,0)</f>
        <v>0</v>
      </c>
      <c r="BM488" s="214">
        <f>IF(AND(Input_Product=Elig!$C488,Elig_MatchAll_Ct&lt;22,$BC488=(Elig_MatchAll_Ct-1),AK488=0),H488,0)</f>
        <v>0</v>
      </c>
      <c r="BN488" s="214">
        <f>IF(AND(Input_Product=Elig!$C488,Elig_MatchAll_Ct&lt;22,$BC488=(Elig_MatchAll_Ct-1),AL488=0),I488,0)</f>
        <v>0</v>
      </c>
      <c r="BO488" s="214">
        <f>IF(AND(Input_Product=Elig!$C488,Elig_MatchAll_Ct&lt;22,$BC488=(Elig_MatchAll_Ct-1),AM488=0),J488,0)</f>
        <v>0</v>
      </c>
      <c r="BP488" s="214">
        <f>IF(AND(Input_Product=Elig!$C488,Elig_MatchAll_Ct&lt;22,$BC488=(Elig_MatchAll_Ct-1),AN488=0),K488,0)</f>
        <v>0</v>
      </c>
      <c r="BQ488" s="214">
        <f>IF(AND(Input_Product=Elig!$C488,Elig_MatchAll_Ct&lt;22,$BC488=(Elig_MatchAll_Ct-1),AP488=0),L488,0)</f>
        <v>0</v>
      </c>
      <c r="BR488" s="214">
        <f>IF(AND(Input_Product=Elig!$C488,Elig_MatchAll_Ct&lt;22,$BC488=(Elig_MatchAll_Ct-1),AO488=0),M488,0)</f>
        <v>0</v>
      </c>
      <c r="BS488" s="214">
        <f>IF(AND(Input_Product=Elig!$C488,Elig_MatchAll_Ct&lt;22,$BC488=(Elig_MatchAll_Ct-1),AQ488=0),N488,0)</f>
        <v>0</v>
      </c>
      <c r="BT488" s="214">
        <f>IF(AND(Input_Product=Elig!$C488,Elig_MatchAll_Ct&lt;22,$BC488=(Elig_MatchAll_Ct-1),AR488=0),O488,0)</f>
        <v>0</v>
      </c>
      <c r="BU488" s="214">
        <f>IF(AND(Input_Product=Elig!$C488,Elig_MatchAll_Ct&lt;22,$BC488=(Elig_MatchAll_Ct-1),AS488=0),P488,0)</f>
        <v>0</v>
      </c>
      <c r="BV488" s="215">
        <f>IF(AND(Input_Product=Elig!$C488,Elig_MatchAll_Ct&lt;22,$BC488=(Elig_MatchAll_Ct-1),AT488=0),Q488,0)</f>
        <v>0</v>
      </c>
      <c r="BW488" s="311">
        <f>IF(AND(Input_Product=Elig!$C488,Elig_MatchAll_Ct&lt;22,$BC488=(Elig_MatchAll_Ct-1),AU488=0),R488,0)</f>
        <v>0</v>
      </c>
      <c r="BX488" s="312">
        <f>IF(AND(Input_Product=Elig!$C488,Elig_MatchAll_Ct&lt;22,$BC488=(Elig_MatchAll_Ct-1),AU488=0),S488,0)</f>
        <v>0</v>
      </c>
      <c r="BY488" s="311">
        <f>IF(AND(Input_Product=Elig!$C488,Elig_MatchAll_Ct&lt;22,$BC488=(Elig_MatchAll_Ct-1),AV488=0),T488,0)</f>
        <v>0</v>
      </c>
      <c r="BZ488" s="312">
        <f>IF(AND(Input_Product=Elig!$C488,Elig_MatchAll_Ct&lt;22,$BC488=(Elig_MatchAll_Ct-1),AV488=0),U488,0)</f>
        <v>0</v>
      </c>
      <c r="CA488" s="311">
        <f>IF(AND(Input_Product=Elig!$C488,Elig_MatchAll_Ct&lt;22,$BC488=(Elig_MatchAll_Ct-1),AW488=0),V488,0)</f>
        <v>0</v>
      </c>
      <c r="CB488" s="312">
        <f>IF(AND(Input_Product=Elig!$C488,Elig_MatchAll_Ct&lt;22,$BC488=(Elig_MatchAll_Ct-1),AW488=0),W488,0)</f>
        <v>0</v>
      </c>
      <c r="CC488" s="311">
        <f>IF(AND(Input_Product=Elig!$C488,Elig_MatchAll_Ct&lt;22,$BC488=(Elig_MatchAll_Ct-1),AX488=0),X488,0)</f>
        <v>0</v>
      </c>
      <c r="CD488" s="312">
        <f>IF(AND(Input_Product=Elig!$C488,Elig_MatchAll_Ct&lt;22,$BC488=(Elig_MatchAll_Ct-1),AX488=0),Y488,0)</f>
        <v>0</v>
      </c>
      <c r="CE488" s="311">
        <f>IF(AND(Input_LTV&lt;=AE488,Input_Product=Elig!$C488,Elig_MatchAll_Ct&lt;22,$BC488=(Elig_MatchAll_Ct-1),AY488=0),Z488,0)</f>
        <v>0</v>
      </c>
      <c r="CF488" s="312">
        <f>IF(AND(Input_LTV&lt;=AE488,Input_Product=Elig!$C488,Elig_MatchAll_Ct&lt;22,$BC488=(Elig_MatchAll_Ct-1),AY488=0),AA488,0)</f>
        <v>0</v>
      </c>
      <c r="CG488" s="311">
        <f>IF(AND(Input_Product=Elig!$C488,Elig_MatchAll_Ct&lt;22,$BC488=(Elig_MatchAll_Ct-1),AZ488=0),AB488,0)</f>
        <v>0</v>
      </c>
      <c r="CH488" s="312">
        <f>IF(AND(Input_Product=Elig!$C488,Elig_MatchAll_Ct&lt;22,$BC488=(Elig_MatchAll_Ct-1),AZ488=0),AC488,0)</f>
        <v>0</v>
      </c>
      <c r="CI488" s="311">
        <f>IF(AND(Input_Product=Elig!$C488,Elig_MatchAll_Ct&lt;22,$BC488=(Elig_MatchAll_Ct-1),BA488=0),AD488,0)</f>
        <v>0</v>
      </c>
      <c r="CJ488" s="312">
        <f>IF(AND(Input_Product=Elig!$C488,Elig_MatchAll_Ct&lt;22,$BC488=(Elig_MatchAll_Ct-1),BA488=0),AE488,0)</f>
        <v>0</v>
      </c>
    </row>
    <row r="489" spans="2:88" ht="10.15" customHeight="1" x14ac:dyDescent="0.25">
      <c r="B489" s="287" t="s">
        <v>3980</v>
      </c>
      <c r="C489" s="281" t="str">
        <f t="shared" si="175"/>
        <v>NonQM NOO</v>
      </c>
      <c r="D489" s="282" t="s">
        <v>3885</v>
      </c>
      <c r="E489" s="283" t="s">
        <v>167</v>
      </c>
      <c r="F489" s="283" t="s">
        <v>330</v>
      </c>
      <c r="G489" s="283" t="s">
        <v>181</v>
      </c>
      <c r="H489" s="283" t="s">
        <v>136</v>
      </c>
      <c r="I489" s="282" t="s">
        <v>16</v>
      </c>
      <c r="J489" s="282" t="s">
        <v>1311</v>
      </c>
      <c r="K489" s="282" t="s">
        <v>1631</v>
      </c>
      <c r="L489" s="2103" t="s">
        <v>312</v>
      </c>
      <c r="M489" s="283" t="s">
        <v>4203</v>
      </c>
      <c r="N489" s="283" t="s">
        <v>2685</v>
      </c>
      <c r="O489" s="283" t="s">
        <v>310</v>
      </c>
      <c r="P489" s="283" t="s">
        <v>291</v>
      </c>
      <c r="Q489" s="283" t="s">
        <v>294</v>
      </c>
      <c r="R489" s="282">
        <v>1500000.01</v>
      </c>
      <c r="S489" s="282">
        <v>2000000</v>
      </c>
      <c r="T489" s="282">
        <v>0</v>
      </c>
      <c r="U489" s="282">
        <f t="shared" ref="U489:U494" si="193">S489</f>
        <v>2000000</v>
      </c>
      <c r="V489" s="282">
        <v>0</v>
      </c>
      <c r="W489" s="282">
        <v>50</v>
      </c>
      <c r="X489" s="282">
        <v>1</v>
      </c>
      <c r="Y489" s="282">
        <v>999</v>
      </c>
      <c r="Z489" s="284">
        <v>720</v>
      </c>
      <c r="AA489" s="284">
        <v>999</v>
      </c>
      <c r="AB489" s="284">
        <v>6</v>
      </c>
      <c r="AC489" s="284">
        <v>999999</v>
      </c>
      <c r="AD489" s="282">
        <v>0</v>
      </c>
      <c r="AE489" s="2104">
        <v>70</v>
      </c>
      <c r="AF489" s="170">
        <v>0</v>
      </c>
      <c r="AG489" s="171">
        <v>1</v>
      </c>
      <c r="AH489" s="171">
        <v>1</v>
      </c>
      <c r="AI489" s="171">
        <v>0</v>
      </c>
      <c r="AJ489" s="171">
        <v>0</v>
      </c>
      <c r="AK489" s="171">
        <v>1</v>
      </c>
      <c r="AL489" s="171">
        <v>1</v>
      </c>
      <c r="AM489" s="171">
        <v>1</v>
      </c>
      <c r="AN489" s="171">
        <v>1</v>
      </c>
      <c r="AO489" s="171">
        <v>1</v>
      </c>
      <c r="AP489" s="171">
        <v>1</v>
      </c>
      <c r="AQ489" s="171">
        <v>1</v>
      </c>
      <c r="AR489" s="171">
        <v>1</v>
      </c>
      <c r="AS489" s="171">
        <v>1</v>
      </c>
      <c r="AT489" s="171">
        <v>1</v>
      </c>
      <c r="AU489" s="171">
        <f t="shared" si="183"/>
        <v>0</v>
      </c>
      <c r="AV489" s="171">
        <f t="shared" si="184"/>
        <v>1</v>
      </c>
      <c r="AW489" s="171">
        <f t="shared" si="185"/>
        <v>1</v>
      </c>
      <c r="AX489" s="171">
        <f t="shared" si="173"/>
        <v>0</v>
      </c>
      <c r="AY489" s="171">
        <f t="shared" si="186"/>
        <v>1</v>
      </c>
      <c r="AZ489" s="171">
        <f t="shared" si="187"/>
        <v>1</v>
      </c>
      <c r="BA489" s="172">
        <f t="shared" si="188"/>
        <v>1</v>
      </c>
      <c r="BB489" s="175">
        <f t="shared" si="190"/>
        <v>17</v>
      </c>
      <c r="BC489" s="176">
        <f t="shared" si="191"/>
        <v>16</v>
      </c>
      <c r="BD489" s="176">
        <f t="shared" si="192"/>
        <v>17</v>
      </c>
      <c r="BE489" s="240" t="str">
        <f t="shared" si="181"/>
        <v/>
      </c>
      <c r="BH489" s="210">
        <f>IF(AND(Input_Product=Elig!$C489,Elig_MatchAll_Ct&lt;22,$BC489=(Elig_MatchAll_Ct-1),AF489=0),C489,0)</f>
        <v>0</v>
      </c>
      <c r="BI489" s="210">
        <f>IF(AND(Input_Product=Elig!$C489,Elig_MatchAll_Ct&lt;22,$BC489=(Elig_MatchAll_Ct-1),AG489=0),D489,0)</f>
        <v>0</v>
      </c>
      <c r="BJ489" s="210">
        <f>IF(AND(Input_Product=Elig!$C489,Elig_MatchAll_Ct&lt;22,$BC489=(Elig_MatchAll_Ct-1),AH489=0),E489,0)</f>
        <v>0</v>
      </c>
      <c r="BK489" s="210">
        <f>IF(AND(Input_Product=Elig!$C489,Elig_MatchAll_Ct&lt;22,$BC489=(Elig_MatchAll_Ct-1),AI489=0),F489,0)</f>
        <v>0</v>
      </c>
      <c r="BL489" s="210">
        <f>IF(AND(Input_Product=Elig!$C489,Elig_MatchAll_Ct&lt;22,$BC489=(Elig_MatchAll_Ct-1),AJ489=0),G489,0)</f>
        <v>0</v>
      </c>
      <c r="BM489" s="210">
        <f>IF(AND(Input_Product=Elig!$C489,Elig_MatchAll_Ct&lt;22,$BC489=(Elig_MatchAll_Ct-1),AK489=0),H489,0)</f>
        <v>0</v>
      </c>
      <c r="BN489" s="210">
        <f>IF(AND(Input_Product=Elig!$C489,Elig_MatchAll_Ct&lt;22,$BC489=(Elig_MatchAll_Ct-1),AL489=0),I489,0)</f>
        <v>0</v>
      </c>
      <c r="BO489" s="210">
        <f>IF(AND(Input_Product=Elig!$C489,Elig_MatchAll_Ct&lt;22,$BC489=(Elig_MatchAll_Ct-1),AM489=0),J489,0)</f>
        <v>0</v>
      </c>
      <c r="BP489" s="210">
        <f>IF(AND(Input_Product=Elig!$C489,Elig_MatchAll_Ct&lt;22,$BC489=(Elig_MatchAll_Ct-1),AN489=0),K489,0)</f>
        <v>0</v>
      </c>
      <c r="BQ489" s="210">
        <f>IF(AND(Input_Product=Elig!$C489,Elig_MatchAll_Ct&lt;22,$BC489=(Elig_MatchAll_Ct-1),AP489=0),L489,0)</f>
        <v>0</v>
      </c>
      <c r="BR489" s="210">
        <f>IF(AND(Input_Product=Elig!$C489,Elig_MatchAll_Ct&lt;22,$BC489=(Elig_MatchAll_Ct-1),AO489=0),M489,0)</f>
        <v>0</v>
      </c>
      <c r="BS489" s="210">
        <f>IF(AND(Input_Product=Elig!$C489,Elig_MatchAll_Ct&lt;22,$BC489=(Elig_MatchAll_Ct-1),AQ489=0),N489,0)</f>
        <v>0</v>
      </c>
      <c r="BT489" s="210">
        <f>IF(AND(Input_Product=Elig!$C489,Elig_MatchAll_Ct&lt;22,$BC489=(Elig_MatchAll_Ct-1),AR489=0),O489,0)</f>
        <v>0</v>
      </c>
      <c r="BU489" s="210">
        <f>IF(AND(Input_Product=Elig!$C489,Elig_MatchAll_Ct&lt;22,$BC489=(Elig_MatchAll_Ct-1),AS489=0),P489,0)</f>
        <v>0</v>
      </c>
      <c r="BV489" s="211">
        <f>IF(AND(Input_Product=Elig!$C489,Elig_MatchAll_Ct&lt;22,$BC489=(Elig_MatchAll_Ct-1),AT489=0),Q489,0)</f>
        <v>0</v>
      </c>
      <c r="BW489" s="212">
        <f>IF(AND(Input_Product=Elig!$C489,Elig_MatchAll_Ct&lt;22,$BC489=(Elig_MatchAll_Ct-1),AU489=0),R489,0)</f>
        <v>0</v>
      </c>
      <c r="BX489" s="213">
        <f>IF(AND(Input_Product=Elig!$C489,Elig_MatchAll_Ct&lt;22,$BC489=(Elig_MatchAll_Ct-1),AU489=0),S489,0)</f>
        <v>0</v>
      </c>
      <c r="BY489" s="212">
        <f>IF(AND(Input_Product=Elig!$C489,Elig_MatchAll_Ct&lt;22,$BC489=(Elig_MatchAll_Ct-1),AV489=0),T489,0)</f>
        <v>0</v>
      </c>
      <c r="BZ489" s="213">
        <f>IF(AND(Input_Product=Elig!$C489,Elig_MatchAll_Ct&lt;22,$BC489=(Elig_MatchAll_Ct-1),AV489=0),U489,0)</f>
        <v>0</v>
      </c>
      <c r="CA489" s="212">
        <f>IF(AND(Input_Product=Elig!$C489,Elig_MatchAll_Ct&lt;22,$BC489=(Elig_MatchAll_Ct-1),AW489=0),V489,0)</f>
        <v>0</v>
      </c>
      <c r="CB489" s="213">
        <f>IF(AND(Input_Product=Elig!$C489,Elig_MatchAll_Ct&lt;22,$BC489=(Elig_MatchAll_Ct-1),AW489=0),W489,0)</f>
        <v>0</v>
      </c>
      <c r="CC489" s="212">
        <f>IF(AND(Input_Product=Elig!$C489,Elig_MatchAll_Ct&lt;22,$BC489=(Elig_MatchAll_Ct-1),AX489=0),X489,0)</f>
        <v>0</v>
      </c>
      <c r="CD489" s="213">
        <f>IF(AND(Input_Product=Elig!$C489,Elig_MatchAll_Ct&lt;22,$BC489=(Elig_MatchAll_Ct-1),AX489=0),Y489,0)</f>
        <v>0</v>
      </c>
      <c r="CE489" s="212">
        <f>IF(AND(Input_LTV&lt;=AE489,Input_Product=Elig!$C489,Elig_MatchAll_Ct&lt;22,$BC489=(Elig_MatchAll_Ct-1),AY489=0),Z489,0)</f>
        <v>0</v>
      </c>
      <c r="CF489" s="213">
        <f>IF(AND(Input_LTV&lt;=AE489,Input_Product=Elig!$C489,Elig_MatchAll_Ct&lt;22,$BC489=(Elig_MatchAll_Ct-1),AY489=0),AA489,0)</f>
        <v>0</v>
      </c>
      <c r="CG489" s="212">
        <f>IF(AND(Input_Product=Elig!$C489,Elig_MatchAll_Ct&lt;22,$BC489=(Elig_MatchAll_Ct-1),AZ489=0),AB489,0)</f>
        <v>0</v>
      </c>
      <c r="CH489" s="213">
        <f>IF(AND(Input_Product=Elig!$C489,Elig_MatchAll_Ct&lt;22,$BC489=(Elig_MatchAll_Ct-1),AZ489=0),AC489,0)</f>
        <v>0</v>
      </c>
      <c r="CI489" s="212">
        <f>IF(AND(Input_Product=Elig!$C489,Elig_MatchAll_Ct&lt;22,$BC489=(Elig_MatchAll_Ct-1),BA489=0),AD489,0)</f>
        <v>0</v>
      </c>
      <c r="CJ489" s="213">
        <f>IF(AND(Input_Product=Elig!$C489,Elig_MatchAll_Ct&lt;22,$BC489=(Elig_MatchAll_Ct-1),BA489=0),AE489,0)</f>
        <v>0</v>
      </c>
    </row>
    <row r="490" spans="2:88" ht="10.15" customHeight="1" x14ac:dyDescent="0.25">
      <c r="B490" s="287" t="s">
        <v>3981</v>
      </c>
      <c r="C490" s="286" t="str">
        <f t="shared" si="175"/>
        <v>NonQM NOO</v>
      </c>
      <c r="D490" s="287" t="s">
        <v>3885</v>
      </c>
      <c r="E490" s="287" t="s">
        <v>167</v>
      </c>
      <c r="F490" s="287" t="s">
        <v>330</v>
      </c>
      <c r="G490" s="287" t="s">
        <v>181</v>
      </c>
      <c r="H490" s="287" t="s">
        <v>136</v>
      </c>
      <c r="I490" s="288" t="s">
        <v>16</v>
      </c>
      <c r="J490" s="288" t="s">
        <v>1311</v>
      </c>
      <c r="K490" s="288" t="s">
        <v>1631</v>
      </c>
      <c r="L490" s="300" t="s">
        <v>312</v>
      </c>
      <c r="M490" s="287" t="s">
        <v>4203</v>
      </c>
      <c r="N490" s="287" t="s">
        <v>2685</v>
      </c>
      <c r="O490" s="287" t="s">
        <v>310</v>
      </c>
      <c r="P490" s="287" t="s">
        <v>291</v>
      </c>
      <c r="Q490" s="287" t="s">
        <v>294</v>
      </c>
      <c r="R490" s="287">
        <v>1500000.01</v>
      </c>
      <c r="S490" s="287">
        <v>2000000</v>
      </c>
      <c r="T490" s="287">
        <v>0</v>
      </c>
      <c r="U490" s="287">
        <f t="shared" si="193"/>
        <v>2000000</v>
      </c>
      <c r="V490" s="287">
        <v>0</v>
      </c>
      <c r="W490" s="287">
        <v>50</v>
      </c>
      <c r="X490" s="287">
        <v>1</v>
      </c>
      <c r="Y490" s="287">
        <v>999</v>
      </c>
      <c r="Z490" s="289">
        <v>700</v>
      </c>
      <c r="AA490" s="289">
        <v>719</v>
      </c>
      <c r="AB490" s="289">
        <v>6</v>
      </c>
      <c r="AC490" s="289">
        <v>999999</v>
      </c>
      <c r="AD490" s="287">
        <v>0</v>
      </c>
      <c r="AE490" s="2105">
        <v>70</v>
      </c>
      <c r="AF490" s="170">
        <v>0</v>
      </c>
      <c r="AG490" s="171">
        <v>1</v>
      </c>
      <c r="AH490" s="171">
        <v>1</v>
      </c>
      <c r="AI490" s="171">
        <v>0</v>
      </c>
      <c r="AJ490" s="171">
        <v>0</v>
      </c>
      <c r="AK490" s="171">
        <v>1</v>
      </c>
      <c r="AL490" s="171">
        <v>1</v>
      </c>
      <c r="AM490" s="171">
        <v>1</v>
      </c>
      <c r="AN490" s="171">
        <v>1</v>
      </c>
      <c r="AO490" s="171">
        <v>1</v>
      </c>
      <c r="AP490" s="171">
        <v>1</v>
      </c>
      <c r="AQ490" s="171">
        <v>1</v>
      </c>
      <c r="AR490" s="171">
        <v>1</v>
      </c>
      <c r="AS490" s="171">
        <v>1</v>
      </c>
      <c r="AT490" s="171">
        <v>1</v>
      </c>
      <c r="AU490" s="171">
        <f t="shared" si="183"/>
        <v>0</v>
      </c>
      <c r="AV490" s="171">
        <f t="shared" si="184"/>
        <v>1</v>
      </c>
      <c r="AW490" s="171">
        <f t="shared" si="185"/>
        <v>1</v>
      </c>
      <c r="AX490" s="171">
        <f t="shared" si="173"/>
        <v>0</v>
      </c>
      <c r="AY490" s="171">
        <f t="shared" si="186"/>
        <v>0</v>
      </c>
      <c r="AZ490" s="171">
        <f t="shared" si="187"/>
        <v>1</v>
      </c>
      <c r="BA490" s="172">
        <f t="shared" si="188"/>
        <v>1</v>
      </c>
      <c r="BB490" s="175">
        <f t="shared" si="190"/>
        <v>16</v>
      </c>
      <c r="BC490" s="176">
        <f t="shared" si="191"/>
        <v>15</v>
      </c>
      <c r="BD490" s="176">
        <f t="shared" si="192"/>
        <v>16</v>
      </c>
      <c r="BE490" s="240" t="str">
        <f t="shared" si="181"/>
        <v/>
      </c>
      <c r="BH490" s="199">
        <f>IF(AND(Input_Product=Elig!$C490,Elig_MatchAll_Ct&lt;22,$BC490=(Elig_MatchAll_Ct-1),AF490=0),C490,0)</f>
        <v>0</v>
      </c>
      <c r="BI490" s="199">
        <f>IF(AND(Input_Product=Elig!$C490,Elig_MatchAll_Ct&lt;22,$BC490=(Elig_MatchAll_Ct-1),AG490=0),D490,0)</f>
        <v>0</v>
      </c>
      <c r="BJ490" s="199">
        <f>IF(AND(Input_Product=Elig!$C490,Elig_MatchAll_Ct&lt;22,$BC490=(Elig_MatchAll_Ct-1),AH490=0),E490,0)</f>
        <v>0</v>
      </c>
      <c r="BK490" s="199">
        <f>IF(AND(Input_Product=Elig!$C490,Elig_MatchAll_Ct&lt;22,$BC490=(Elig_MatchAll_Ct-1),AI490=0),F490,0)</f>
        <v>0</v>
      </c>
      <c r="BL490" s="199">
        <f>IF(AND(Input_Product=Elig!$C490,Elig_MatchAll_Ct&lt;22,$BC490=(Elig_MatchAll_Ct-1),AJ490=0),G490,0)</f>
        <v>0</v>
      </c>
      <c r="BM490" s="199">
        <f>IF(AND(Input_Product=Elig!$C490,Elig_MatchAll_Ct&lt;22,$BC490=(Elig_MatchAll_Ct-1),AK490=0),H490,0)</f>
        <v>0</v>
      </c>
      <c r="BN490" s="199">
        <f>IF(AND(Input_Product=Elig!$C490,Elig_MatchAll_Ct&lt;22,$BC490=(Elig_MatchAll_Ct-1),AL490=0),I490,0)</f>
        <v>0</v>
      </c>
      <c r="BO490" s="199">
        <f>IF(AND(Input_Product=Elig!$C490,Elig_MatchAll_Ct&lt;22,$BC490=(Elig_MatchAll_Ct-1),AM490=0),J490,0)</f>
        <v>0</v>
      </c>
      <c r="BP490" s="199">
        <f>IF(AND(Input_Product=Elig!$C490,Elig_MatchAll_Ct&lt;22,$BC490=(Elig_MatchAll_Ct-1),AN490=0),K490,0)</f>
        <v>0</v>
      </c>
      <c r="BQ490" s="199">
        <f>IF(AND(Input_Product=Elig!$C490,Elig_MatchAll_Ct&lt;22,$BC490=(Elig_MatchAll_Ct-1),AP490=0),L490,0)</f>
        <v>0</v>
      </c>
      <c r="BR490" s="199">
        <f>IF(AND(Input_Product=Elig!$C490,Elig_MatchAll_Ct&lt;22,$BC490=(Elig_MatchAll_Ct-1),AO490=0),M490,0)</f>
        <v>0</v>
      </c>
      <c r="BS490" s="199">
        <f>IF(AND(Input_Product=Elig!$C490,Elig_MatchAll_Ct&lt;22,$BC490=(Elig_MatchAll_Ct-1),AQ490=0),N490,0)</f>
        <v>0</v>
      </c>
      <c r="BT490" s="199">
        <f>IF(AND(Input_Product=Elig!$C490,Elig_MatchAll_Ct&lt;22,$BC490=(Elig_MatchAll_Ct-1),AR490=0),O490,0)</f>
        <v>0</v>
      </c>
      <c r="BU490" s="199">
        <f>IF(AND(Input_Product=Elig!$C490,Elig_MatchAll_Ct&lt;22,$BC490=(Elig_MatchAll_Ct-1),AS490=0),P490,0)</f>
        <v>0</v>
      </c>
      <c r="BV490" s="200">
        <f>IF(AND(Input_Product=Elig!$C490,Elig_MatchAll_Ct&lt;22,$BC490=(Elig_MatchAll_Ct-1),AT490=0),Q490,0)</f>
        <v>0</v>
      </c>
      <c r="BW490" s="201">
        <f>IF(AND(Input_Product=Elig!$C490,Elig_MatchAll_Ct&lt;22,$BC490=(Elig_MatchAll_Ct-1),AU490=0),R490,0)</f>
        <v>0</v>
      </c>
      <c r="BX490" s="202">
        <f>IF(AND(Input_Product=Elig!$C490,Elig_MatchAll_Ct&lt;22,$BC490=(Elig_MatchAll_Ct-1),AU490=0),S490,0)</f>
        <v>0</v>
      </c>
      <c r="BY490" s="201">
        <f>IF(AND(Input_Product=Elig!$C490,Elig_MatchAll_Ct&lt;22,$BC490=(Elig_MatchAll_Ct-1),AV490=0),T490,0)</f>
        <v>0</v>
      </c>
      <c r="BZ490" s="202">
        <f>IF(AND(Input_Product=Elig!$C490,Elig_MatchAll_Ct&lt;22,$BC490=(Elig_MatchAll_Ct-1),AV490=0),U490,0)</f>
        <v>0</v>
      </c>
      <c r="CA490" s="201">
        <f>IF(AND(Input_Product=Elig!$C490,Elig_MatchAll_Ct&lt;22,$BC490=(Elig_MatchAll_Ct-1),AW490=0),V490,0)</f>
        <v>0</v>
      </c>
      <c r="CB490" s="202">
        <f>IF(AND(Input_Product=Elig!$C490,Elig_MatchAll_Ct&lt;22,$BC490=(Elig_MatchAll_Ct-1),AW490=0),W490,0)</f>
        <v>0</v>
      </c>
      <c r="CC490" s="201">
        <f>IF(AND(Input_Product=Elig!$C490,Elig_MatchAll_Ct&lt;22,$BC490=(Elig_MatchAll_Ct-1),AX490=0),X490,0)</f>
        <v>0</v>
      </c>
      <c r="CD490" s="202">
        <f>IF(AND(Input_Product=Elig!$C490,Elig_MatchAll_Ct&lt;22,$BC490=(Elig_MatchAll_Ct-1),AX490=0),Y490,0)</f>
        <v>0</v>
      </c>
      <c r="CE490" s="201">
        <f>IF(AND(Input_LTV&lt;=AE490,Input_Product=Elig!$C490,Elig_MatchAll_Ct&lt;22,$BC490=(Elig_MatchAll_Ct-1),AY490=0),Z490,0)</f>
        <v>0</v>
      </c>
      <c r="CF490" s="202">
        <f>IF(AND(Input_LTV&lt;=AE490,Input_Product=Elig!$C490,Elig_MatchAll_Ct&lt;22,$BC490=(Elig_MatchAll_Ct-1),AY490=0),AA490,0)</f>
        <v>0</v>
      </c>
      <c r="CG490" s="201">
        <f>IF(AND(Input_Product=Elig!$C490,Elig_MatchAll_Ct&lt;22,$BC490=(Elig_MatchAll_Ct-1),AZ490=0),AB490,0)</f>
        <v>0</v>
      </c>
      <c r="CH490" s="202">
        <f>IF(AND(Input_Product=Elig!$C490,Elig_MatchAll_Ct&lt;22,$BC490=(Elig_MatchAll_Ct-1),AZ490=0),AC490,0)</f>
        <v>0</v>
      </c>
      <c r="CI490" s="201">
        <f>IF(AND(Input_Product=Elig!$C490,Elig_MatchAll_Ct&lt;22,$BC490=(Elig_MatchAll_Ct-1),BA490=0),AD490,0)</f>
        <v>0</v>
      </c>
      <c r="CJ490" s="202">
        <f>IF(AND(Input_Product=Elig!$C490,Elig_MatchAll_Ct&lt;22,$BC490=(Elig_MatchAll_Ct-1),BA490=0),AE490,0)</f>
        <v>0</v>
      </c>
    </row>
    <row r="491" spans="2:88" ht="10.15" customHeight="1" x14ac:dyDescent="0.25">
      <c r="B491" s="287" t="s">
        <v>3982</v>
      </c>
      <c r="C491" s="286" t="str">
        <f t="shared" si="175"/>
        <v>NonQM NOO</v>
      </c>
      <c r="D491" s="287" t="s">
        <v>3885</v>
      </c>
      <c r="E491" s="287" t="s">
        <v>167</v>
      </c>
      <c r="F491" s="287" t="s">
        <v>330</v>
      </c>
      <c r="G491" s="287" t="s">
        <v>181</v>
      </c>
      <c r="H491" s="287" t="s">
        <v>136</v>
      </c>
      <c r="I491" s="288" t="s">
        <v>16</v>
      </c>
      <c r="J491" s="288" t="s">
        <v>1311</v>
      </c>
      <c r="K491" s="288" t="s">
        <v>1631</v>
      </c>
      <c r="L491" s="300" t="s">
        <v>312</v>
      </c>
      <c r="M491" s="287" t="s">
        <v>4203</v>
      </c>
      <c r="N491" s="287" t="s">
        <v>2685</v>
      </c>
      <c r="O491" s="287" t="s">
        <v>310</v>
      </c>
      <c r="P491" s="287" t="s">
        <v>291</v>
      </c>
      <c r="Q491" s="287" t="s">
        <v>294</v>
      </c>
      <c r="R491" s="287">
        <v>1500000.01</v>
      </c>
      <c r="S491" s="287">
        <v>2000000</v>
      </c>
      <c r="T491" s="287">
        <v>0</v>
      </c>
      <c r="U491" s="287">
        <f t="shared" si="193"/>
        <v>2000000</v>
      </c>
      <c r="V491" s="287">
        <v>0</v>
      </c>
      <c r="W491" s="287">
        <v>50</v>
      </c>
      <c r="X491" s="287">
        <v>1</v>
      </c>
      <c r="Y491" s="287">
        <v>999</v>
      </c>
      <c r="Z491" s="289">
        <v>680</v>
      </c>
      <c r="AA491" s="289">
        <v>699</v>
      </c>
      <c r="AB491" s="289">
        <v>6</v>
      </c>
      <c r="AC491" s="289">
        <v>999999</v>
      </c>
      <c r="AD491" s="287">
        <v>0</v>
      </c>
      <c r="AE491" s="2105">
        <v>65</v>
      </c>
      <c r="AF491" s="170">
        <v>0</v>
      </c>
      <c r="AG491" s="171">
        <v>1</v>
      </c>
      <c r="AH491" s="171">
        <v>1</v>
      </c>
      <c r="AI491" s="171">
        <v>0</v>
      </c>
      <c r="AJ491" s="171">
        <v>0</v>
      </c>
      <c r="AK491" s="171">
        <v>1</v>
      </c>
      <c r="AL491" s="171">
        <v>1</v>
      </c>
      <c r="AM491" s="171">
        <v>1</v>
      </c>
      <c r="AN491" s="171">
        <v>1</v>
      </c>
      <c r="AO491" s="171">
        <v>1</v>
      </c>
      <c r="AP491" s="171">
        <v>1</v>
      </c>
      <c r="AQ491" s="171">
        <v>1</v>
      </c>
      <c r="AR491" s="171">
        <v>1</v>
      </c>
      <c r="AS491" s="171">
        <v>1</v>
      </c>
      <c r="AT491" s="171">
        <v>1</v>
      </c>
      <c r="AU491" s="171">
        <f t="shared" si="183"/>
        <v>0</v>
      </c>
      <c r="AV491" s="171">
        <f t="shared" si="184"/>
        <v>1</v>
      </c>
      <c r="AW491" s="171">
        <f t="shared" si="185"/>
        <v>1</v>
      </c>
      <c r="AX491" s="171">
        <f t="shared" si="173"/>
        <v>0</v>
      </c>
      <c r="AY491" s="171">
        <f t="shared" si="186"/>
        <v>0</v>
      </c>
      <c r="AZ491" s="171">
        <f t="shared" si="187"/>
        <v>1</v>
      </c>
      <c r="BA491" s="172">
        <f t="shared" si="188"/>
        <v>1</v>
      </c>
      <c r="BB491" s="175">
        <f t="shared" si="190"/>
        <v>16</v>
      </c>
      <c r="BC491" s="176">
        <f t="shared" si="191"/>
        <v>15</v>
      </c>
      <c r="BD491" s="176">
        <f t="shared" si="192"/>
        <v>16</v>
      </c>
      <c r="BE491" s="240" t="str">
        <f t="shared" si="181"/>
        <v/>
      </c>
      <c r="BH491" s="199">
        <f>IF(AND(Input_Product=Elig!$C491,Elig_MatchAll_Ct&lt;22,$BC491=(Elig_MatchAll_Ct-1),AF491=0),C491,0)</f>
        <v>0</v>
      </c>
      <c r="BI491" s="199">
        <f>IF(AND(Input_Product=Elig!$C491,Elig_MatchAll_Ct&lt;22,$BC491=(Elig_MatchAll_Ct-1),AG491=0),D491,0)</f>
        <v>0</v>
      </c>
      <c r="BJ491" s="199">
        <f>IF(AND(Input_Product=Elig!$C491,Elig_MatchAll_Ct&lt;22,$BC491=(Elig_MatchAll_Ct-1),AH491=0),E491,0)</f>
        <v>0</v>
      </c>
      <c r="BK491" s="199">
        <f>IF(AND(Input_Product=Elig!$C491,Elig_MatchAll_Ct&lt;22,$BC491=(Elig_MatchAll_Ct-1),AI491=0),F491,0)</f>
        <v>0</v>
      </c>
      <c r="BL491" s="199">
        <f>IF(AND(Input_Product=Elig!$C491,Elig_MatchAll_Ct&lt;22,$BC491=(Elig_MatchAll_Ct-1),AJ491=0),G491,0)</f>
        <v>0</v>
      </c>
      <c r="BM491" s="199">
        <f>IF(AND(Input_Product=Elig!$C491,Elig_MatchAll_Ct&lt;22,$BC491=(Elig_MatchAll_Ct-1),AK491=0),H491,0)</f>
        <v>0</v>
      </c>
      <c r="BN491" s="199">
        <f>IF(AND(Input_Product=Elig!$C491,Elig_MatchAll_Ct&lt;22,$BC491=(Elig_MatchAll_Ct-1),AL491=0),I491,0)</f>
        <v>0</v>
      </c>
      <c r="BO491" s="199">
        <f>IF(AND(Input_Product=Elig!$C491,Elig_MatchAll_Ct&lt;22,$BC491=(Elig_MatchAll_Ct-1),AM491=0),J491,0)</f>
        <v>0</v>
      </c>
      <c r="BP491" s="199">
        <f>IF(AND(Input_Product=Elig!$C491,Elig_MatchAll_Ct&lt;22,$BC491=(Elig_MatchAll_Ct-1),AN491=0),K491,0)</f>
        <v>0</v>
      </c>
      <c r="BQ491" s="199">
        <f>IF(AND(Input_Product=Elig!$C491,Elig_MatchAll_Ct&lt;22,$BC491=(Elig_MatchAll_Ct-1),AP491=0),L491,0)</f>
        <v>0</v>
      </c>
      <c r="BR491" s="199">
        <f>IF(AND(Input_Product=Elig!$C491,Elig_MatchAll_Ct&lt;22,$BC491=(Elig_MatchAll_Ct-1),AO491=0),M491,0)</f>
        <v>0</v>
      </c>
      <c r="BS491" s="199">
        <f>IF(AND(Input_Product=Elig!$C491,Elig_MatchAll_Ct&lt;22,$BC491=(Elig_MatchAll_Ct-1),AQ491=0),N491,0)</f>
        <v>0</v>
      </c>
      <c r="BT491" s="199">
        <f>IF(AND(Input_Product=Elig!$C491,Elig_MatchAll_Ct&lt;22,$BC491=(Elig_MatchAll_Ct-1),AR491=0),O491,0)</f>
        <v>0</v>
      </c>
      <c r="BU491" s="199">
        <f>IF(AND(Input_Product=Elig!$C491,Elig_MatchAll_Ct&lt;22,$BC491=(Elig_MatchAll_Ct-1),AS491=0),P491,0)</f>
        <v>0</v>
      </c>
      <c r="BV491" s="200">
        <f>IF(AND(Input_Product=Elig!$C491,Elig_MatchAll_Ct&lt;22,$BC491=(Elig_MatchAll_Ct-1),AT491=0),Q491,0)</f>
        <v>0</v>
      </c>
      <c r="BW491" s="201">
        <f>IF(AND(Input_Product=Elig!$C491,Elig_MatchAll_Ct&lt;22,$BC491=(Elig_MatchAll_Ct-1),AU491=0),R491,0)</f>
        <v>0</v>
      </c>
      <c r="BX491" s="202">
        <f>IF(AND(Input_Product=Elig!$C491,Elig_MatchAll_Ct&lt;22,$BC491=(Elig_MatchAll_Ct-1),AU491=0),S491,0)</f>
        <v>0</v>
      </c>
      <c r="BY491" s="201">
        <f>IF(AND(Input_Product=Elig!$C491,Elig_MatchAll_Ct&lt;22,$BC491=(Elig_MatchAll_Ct-1),AV491=0),T491,0)</f>
        <v>0</v>
      </c>
      <c r="BZ491" s="202">
        <f>IF(AND(Input_Product=Elig!$C491,Elig_MatchAll_Ct&lt;22,$BC491=(Elig_MatchAll_Ct-1),AV491=0),U491,0)</f>
        <v>0</v>
      </c>
      <c r="CA491" s="201">
        <f>IF(AND(Input_Product=Elig!$C491,Elig_MatchAll_Ct&lt;22,$BC491=(Elig_MatchAll_Ct-1),AW491=0),V491,0)</f>
        <v>0</v>
      </c>
      <c r="CB491" s="202">
        <f>IF(AND(Input_Product=Elig!$C491,Elig_MatchAll_Ct&lt;22,$BC491=(Elig_MatchAll_Ct-1),AW491=0),W491,0)</f>
        <v>0</v>
      </c>
      <c r="CC491" s="201">
        <f>IF(AND(Input_Product=Elig!$C491,Elig_MatchAll_Ct&lt;22,$BC491=(Elig_MatchAll_Ct-1),AX491=0),X491,0)</f>
        <v>0</v>
      </c>
      <c r="CD491" s="202">
        <f>IF(AND(Input_Product=Elig!$C491,Elig_MatchAll_Ct&lt;22,$BC491=(Elig_MatchAll_Ct-1),AX491=0),Y491,0)</f>
        <v>0</v>
      </c>
      <c r="CE491" s="201">
        <f>IF(AND(Input_LTV&lt;=AE491,Input_Product=Elig!$C491,Elig_MatchAll_Ct&lt;22,$BC491=(Elig_MatchAll_Ct-1),AY491=0),Z491,0)</f>
        <v>0</v>
      </c>
      <c r="CF491" s="202">
        <f>IF(AND(Input_LTV&lt;=AE491,Input_Product=Elig!$C491,Elig_MatchAll_Ct&lt;22,$BC491=(Elig_MatchAll_Ct-1),AY491=0),AA491,0)</f>
        <v>0</v>
      </c>
      <c r="CG491" s="201">
        <f>IF(AND(Input_Product=Elig!$C491,Elig_MatchAll_Ct&lt;22,$BC491=(Elig_MatchAll_Ct-1),AZ491=0),AB491,0)</f>
        <v>0</v>
      </c>
      <c r="CH491" s="202">
        <f>IF(AND(Input_Product=Elig!$C491,Elig_MatchAll_Ct&lt;22,$BC491=(Elig_MatchAll_Ct-1),AZ491=0),AC491,0)</f>
        <v>0</v>
      </c>
      <c r="CI491" s="201">
        <f>IF(AND(Input_Product=Elig!$C491,Elig_MatchAll_Ct&lt;22,$BC491=(Elig_MatchAll_Ct-1),BA491=0),AD491,0)</f>
        <v>0</v>
      </c>
      <c r="CJ491" s="202">
        <f>IF(AND(Input_Product=Elig!$C491,Elig_MatchAll_Ct&lt;22,$BC491=(Elig_MatchAll_Ct-1),BA491=0),AE491,0)</f>
        <v>0</v>
      </c>
    </row>
    <row r="492" spans="2:88" ht="10.15" customHeight="1" x14ac:dyDescent="0.25">
      <c r="B492" s="287" t="s">
        <v>3983</v>
      </c>
      <c r="C492" s="286" t="str">
        <f t="shared" si="175"/>
        <v>NonQM NOO</v>
      </c>
      <c r="D492" s="287" t="s">
        <v>3885</v>
      </c>
      <c r="E492" s="287" t="s">
        <v>167</v>
      </c>
      <c r="F492" s="287" t="s">
        <v>330</v>
      </c>
      <c r="G492" s="287" t="s">
        <v>181</v>
      </c>
      <c r="H492" s="287" t="s">
        <v>136</v>
      </c>
      <c r="I492" s="287" t="s">
        <v>16</v>
      </c>
      <c r="J492" s="287" t="s">
        <v>1311</v>
      </c>
      <c r="K492" s="287" t="s">
        <v>1631</v>
      </c>
      <c r="L492" s="300" t="s">
        <v>312</v>
      </c>
      <c r="M492" s="287" t="s">
        <v>4203</v>
      </c>
      <c r="N492" s="287" t="s">
        <v>2685</v>
      </c>
      <c r="O492" s="287" t="s">
        <v>310</v>
      </c>
      <c r="P492" s="287" t="s">
        <v>291</v>
      </c>
      <c r="Q492" s="287" t="s">
        <v>294</v>
      </c>
      <c r="R492" s="287">
        <v>1500000.01</v>
      </c>
      <c r="S492" s="287">
        <v>2000000</v>
      </c>
      <c r="T492" s="287">
        <v>0</v>
      </c>
      <c r="U492" s="287">
        <f t="shared" si="193"/>
        <v>2000000</v>
      </c>
      <c r="V492" s="287">
        <v>0</v>
      </c>
      <c r="W492" s="287">
        <v>50</v>
      </c>
      <c r="X492" s="287">
        <v>1</v>
      </c>
      <c r="Y492" s="287">
        <v>999</v>
      </c>
      <c r="Z492" s="289">
        <v>660</v>
      </c>
      <c r="AA492" s="289">
        <v>679</v>
      </c>
      <c r="AB492" s="289">
        <v>6</v>
      </c>
      <c r="AC492" s="289">
        <v>999999</v>
      </c>
      <c r="AD492" s="287">
        <v>0</v>
      </c>
      <c r="AE492" s="2105">
        <v>65</v>
      </c>
      <c r="AF492" s="170">
        <v>0</v>
      </c>
      <c r="AG492" s="171">
        <v>1</v>
      </c>
      <c r="AH492" s="171">
        <v>1</v>
      </c>
      <c r="AI492" s="171">
        <v>0</v>
      </c>
      <c r="AJ492" s="171">
        <v>0</v>
      </c>
      <c r="AK492" s="171">
        <v>1</v>
      </c>
      <c r="AL492" s="171">
        <v>1</v>
      </c>
      <c r="AM492" s="171">
        <v>1</v>
      </c>
      <c r="AN492" s="171">
        <v>1</v>
      </c>
      <c r="AO492" s="171">
        <v>1</v>
      </c>
      <c r="AP492" s="171">
        <v>1</v>
      </c>
      <c r="AQ492" s="171">
        <v>1</v>
      </c>
      <c r="AR492" s="171">
        <v>1</v>
      </c>
      <c r="AS492" s="171">
        <v>1</v>
      </c>
      <c r="AT492" s="171">
        <v>1</v>
      </c>
      <c r="AU492" s="171">
        <f t="shared" si="183"/>
        <v>0</v>
      </c>
      <c r="AV492" s="171">
        <f t="shared" si="184"/>
        <v>1</v>
      </c>
      <c r="AW492" s="171">
        <f t="shared" si="185"/>
        <v>1</v>
      </c>
      <c r="AX492" s="171">
        <f t="shared" si="173"/>
        <v>0</v>
      </c>
      <c r="AY492" s="171">
        <f t="shared" si="186"/>
        <v>0</v>
      </c>
      <c r="AZ492" s="171">
        <f t="shared" si="187"/>
        <v>1</v>
      </c>
      <c r="BA492" s="172">
        <f t="shared" si="188"/>
        <v>1</v>
      </c>
      <c r="BB492" s="175">
        <f t="shared" si="190"/>
        <v>16</v>
      </c>
      <c r="BC492" s="176">
        <f t="shared" si="191"/>
        <v>15</v>
      </c>
      <c r="BD492" s="176">
        <f t="shared" si="192"/>
        <v>16</v>
      </c>
      <c r="BE492" s="240" t="str">
        <f t="shared" si="181"/>
        <v/>
      </c>
      <c r="BH492" s="199">
        <f>IF(AND(Input_Product=Elig!$C492,Elig_MatchAll_Ct&lt;22,$BC492=(Elig_MatchAll_Ct-1),AF492=0),C492,0)</f>
        <v>0</v>
      </c>
      <c r="BI492" s="199">
        <f>IF(AND(Input_Product=Elig!$C492,Elig_MatchAll_Ct&lt;22,$BC492=(Elig_MatchAll_Ct-1),AG492=0),D492,0)</f>
        <v>0</v>
      </c>
      <c r="BJ492" s="199">
        <f>IF(AND(Input_Product=Elig!$C492,Elig_MatchAll_Ct&lt;22,$BC492=(Elig_MatchAll_Ct-1),AH492=0),E492,0)</f>
        <v>0</v>
      </c>
      <c r="BK492" s="199">
        <f>IF(AND(Input_Product=Elig!$C492,Elig_MatchAll_Ct&lt;22,$BC492=(Elig_MatchAll_Ct-1),AI492=0),F492,0)</f>
        <v>0</v>
      </c>
      <c r="BL492" s="199">
        <f>IF(AND(Input_Product=Elig!$C492,Elig_MatchAll_Ct&lt;22,$BC492=(Elig_MatchAll_Ct-1),AJ492=0),G492,0)</f>
        <v>0</v>
      </c>
      <c r="BM492" s="199">
        <f>IF(AND(Input_Product=Elig!$C492,Elig_MatchAll_Ct&lt;22,$BC492=(Elig_MatchAll_Ct-1),AK492=0),H492,0)</f>
        <v>0</v>
      </c>
      <c r="BN492" s="199">
        <f>IF(AND(Input_Product=Elig!$C492,Elig_MatchAll_Ct&lt;22,$BC492=(Elig_MatchAll_Ct-1),AL492=0),I492,0)</f>
        <v>0</v>
      </c>
      <c r="BO492" s="199">
        <f>IF(AND(Input_Product=Elig!$C492,Elig_MatchAll_Ct&lt;22,$BC492=(Elig_MatchAll_Ct-1),AM492=0),J492,0)</f>
        <v>0</v>
      </c>
      <c r="BP492" s="199">
        <f>IF(AND(Input_Product=Elig!$C492,Elig_MatchAll_Ct&lt;22,$BC492=(Elig_MatchAll_Ct-1),AN492=0),K492,0)</f>
        <v>0</v>
      </c>
      <c r="BQ492" s="199">
        <f>IF(AND(Input_Product=Elig!$C492,Elig_MatchAll_Ct&lt;22,$BC492=(Elig_MatchAll_Ct-1),AP492=0),L492,0)</f>
        <v>0</v>
      </c>
      <c r="BR492" s="199">
        <f>IF(AND(Input_Product=Elig!$C492,Elig_MatchAll_Ct&lt;22,$BC492=(Elig_MatchAll_Ct-1),AO492=0),M492,0)</f>
        <v>0</v>
      </c>
      <c r="BS492" s="199">
        <f>IF(AND(Input_Product=Elig!$C492,Elig_MatchAll_Ct&lt;22,$BC492=(Elig_MatchAll_Ct-1),AQ492=0),N492,0)</f>
        <v>0</v>
      </c>
      <c r="BT492" s="199">
        <f>IF(AND(Input_Product=Elig!$C492,Elig_MatchAll_Ct&lt;22,$BC492=(Elig_MatchAll_Ct-1),AR492=0),O492,0)</f>
        <v>0</v>
      </c>
      <c r="BU492" s="199">
        <f>IF(AND(Input_Product=Elig!$C492,Elig_MatchAll_Ct&lt;22,$BC492=(Elig_MatchAll_Ct-1),AS492=0),P492,0)</f>
        <v>0</v>
      </c>
      <c r="BV492" s="200">
        <f>IF(AND(Input_Product=Elig!$C492,Elig_MatchAll_Ct&lt;22,$BC492=(Elig_MatchAll_Ct-1),AT492=0),Q492,0)</f>
        <v>0</v>
      </c>
      <c r="BW492" s="201">
        <f>IF(AND(Input_Product=Elig!$C492,Elig_MatchAll_Ct&lt;22,$BC492=(Elig_MatchAll_Ct-1),AU492=0),R492,0)</f>
        <v>0</v>
      </c>
      <c r="BX492" s="202">
        <f>IF(AND(Input_Product=Elig!$C492,Elig_MatchAll_Ct&lt;22,$BC492=(Elig_MatchAll_Ct-1),AU492=0),S492,0)</f>
        <v>0</v>
      </c>
      <c r="BY492" s="201">
        <f>IF(AND(Input_Product=Elig!$C492,Elig_MatchAll_Ct&lt;22,$BC492=(Elig_MatchAll_Ct-1),AV492=0),T492,0)</f>
        <v>0</v>
      </c>
      <c r="BZ492" s="202">
        <f>IF(AND(Input_Product=Elig!$C492,Elig_MatchAll_Ct&lt;22,$BC492=(Elig_MatchAll_Ct-1),AV492=0),U492,0)</f>
        <v>0</v>
      </c>
      <c r="CA492" s="201">
        <f>IF(AND(Input_Product=Elig!$C492,Elig_MatchAll_Ct&lt;22,$BC492=(Elig_MatchAll_Ct-1),AW492=0),V492,0)</f>
        <v>0</v>
      </c>
      <c r="CB492" s="202">
        <f>IF(AND(Input_Product=Elig!$C492,Elig_MatchAll_Ct&lt;22,$BC492=(Elig_MatchAll_Ct-1),AW492=0),W492,0)</f>
        <v>0</v>
      </c>
      <c r="CC492" s="201">
        <f>IF(AND(Input_Product=Elig!$C492,Elig_MatchAll_Ct&lt;22,$BC492=(Elig_MatchAll_Ct-1),AX492=0),X492,0)</f>
        <v>0</v>
      </c>
      <c r="CD492" s="202">
        <f>IF(AND(Input_Product=Elig!$C492,Elig_MatchAll_Ct&lt;22,$BC492=(Elig_MatchAll_Ct-1),AX492=0),Y492,0)</f>
        <v>0</v>
      </c>
      <c r="CE492" s="201">
        <f>IF(AND(Input_LTV&lt;=AE492,Input_Product=Elig!$C492,Elig_MatchAll_Ct&lt;22,$BC492=(Elig_MatchAll_Ct-1),AY492=0),Z492,0)</f>
        <v>0</v>
      </c>
      <c r="CF492" s="202">
        <f>IF(AND(Input_LTV&lt;=AE492,Input_Product=Elig!$C492,Elig_MatchAll_Ct&lt;22,$BC492=(Elig_MatchAll_Ct-1),AY492=0),AA492,0)</f>
        <v>0</v>
      </c>
      <c r="CG492" s="201">
        <f>IF(AND(Input_Product=Elig!$C492,Elig_MatchAll_Ct&lt;22,$BC492=(Elig_MatchAll_Ct-1),AZ492=0),AB492,0)</f>
        <v>0</v>
      </c>
      <c r="CH492" s="202">
        <f>IF(AND(Input_Product=Elig!$C492,Elig_MatchAll_Ct&lt;22,$BC492=(Elig_MatchAll_Ct-1),AZ492=0),AC492,0)</f>
        <v>0</v>
      </c>
      <c r="CI492" s="201">
        <f>IF(AND(Input_Product=Elig!$C492,Elig_MatchAll_Ct&lt;22,$BC492=(Elig_MatchAll_Ct-1),BA492=0),AD492,0)</f>
        <v>0</v>
      </c>
      <c r="CJ492" s="202">
        <f>IF(AND(Input_Product=Elig!$C492,Elig_MatchAll_Ct&lt;22,$BC492=(Elig_MatchAll_Ct-1),BA492=0),AE492,0)</f>
        <v>0</v>
      </c>
    </row>
    <row r="493" spans="2:88" ht="10.15" customHeight="1" x14ac:dyDescent="0.25">
      <c r="B493" s="287" t="s">
        <v>3984</v>
      </c>
      <c r="C493" s="286" t="str">
        <f t="shared" si="175"/>
        <v>NonQM NOO</v>
      </c>
      <c r="D493" s="287" t="s">
        <v>3885</v>
      </c>
      <c r="E493" s="287" t="s">
        <v>167</v>
      </c>
      <c r="F493" s="287" t="s">
        <v>330</v>
      </c>
      <c r="G493" s="287" t="s">
        <v>181</v>
      </c>
      <c r="H493" s="287" t="s">
        <v>136</v>
      </c>
      <c r="I493" s="287" t="s">
        <v>16</v>
      </c>
      <c r="J493" s="287" t="s">
        <v>1311</v>
      </c>
      <c r="K493" s="287" t="s">
        <v>1631</v>
      </c>
      <c r="L493" s="300" t="s">
        <v>312</v>
      </c>
      <c r="M493" s="287" t="s">
        <v>4203</v>
      </c>
      <c r="N493" s="287" t="s">
        <v>2685</v>
      </c>
      <c r="O493" s="287" t="s">
        <v>310</v>
      </c>
      <c r="P493" s="287" t="s">
        <v>291</v>
      </c>
      <c r="Q493" s="287" t="s">
        <v>294</v>
      </c>
      <c r="R493" s="287">
        <v>1500000.01</v>
      </c>
      <c r="S493" s="287">
        <v>2000000</v>
      </c>
      <c r="T493" s="287">
        <v>0</v>
      </c>
      <c r="U493" s="287">
        <f t="shared" si="193"/>
        <v>2000000</v>
      </c>
      <c r="V493" s="287">
        <v>0</v>
      </c>
      <c r="W493" s="287">
        <v>50</v>
      </c>
      <c r="X493" s="287">
        <v>1</v>
      </c>
      <c r="Y493" s="287">
        <v>999</v>
      </c>
      <c r="Z493" s="289">
        <v>640</v>
      </c>
      <c r="AA493" s="289">
        <v>659</v>
      </c>
      <c r="AB493" s="289">
        <v>6</v>
      </c>
      <c r="AC493" s="289">
        <v>999999</v>
      </c>
      <c r="AD493" s="287">
        <v>0</v>
      </c>
      <c r="AE493" s="290">
        <v>-999</v>
      </c>
      <c r="AF493" s="170">
        <v>0</v>
      </c>
      <c r="AG493" s="171">
        <v>1</v>
      </c>
      <c r="AH493" s="171">
        <v>1</v>
      </c>
      <c r="AI493" s="171">
        <v>0</v>
      </c>
      <c r="AJ493" s="171">
        <v>0</v>
      </c>
      <c r="AK493" s="171">
        <v>1</v>
      </c>
      <c r="AL493" s="171">
        <v>1</v>
      </c>
      <c r="AM493" s="171">
        <v>1</v>
      </c>
      <c r="AN493" s="171">
        <v>1</v>
      </c>
      <c r="AO493" s="171">
        <v>1</v>
      </c>
      <c r="AP493" s="171">
        <v>1</v>
      </c>
      <c r="AQ493" s="171">
        <v>1</v>
      </c>
      <c r="AR493" s="171">
        <v>1</v>
      </c>
      <c r="AS493" s="171">
        <v>1</v>
      </c>
      <c r="AT493" s="171">
        <v>1</v>
      </c>
      <c r="AU493" s="171">
        <f t="shared" si="183"/>
        <v>0</v>
      </c>
      <c r="AV493" s="171">
        <f t="shared" si="184"/>
        <v>1</v>
      </c>
      <c r="AW493" s="171">
        <f t="shared" si="185"/>
        <v>1</v>
      </c>
      <c r="AX493" s="171">
        <f t="shared" si="173"/>
        <v>0</v>
      </c>
      <c r="AY493" s="171">
        <f t="shared" si="186"/>
        <v>0</v>
      </c>
      <c r="AZ493" s="171">
        <f t="shared" si="187"/>
        <v>1</v>
      </c>
      <c r="BA493" s="172">
        <f t="shared" si="188"/>
        <v>0</v>
      </c>
      <c r="BB493" s="175">
        <f t="shared" si="190"/>
        <v>15</v>
      </c>
      <c r="BC493" s="176">
        <f t="shared" si="191"/>
        <v>15</v>
      </c>
      <c r="BD493" s="176">
        <f t="shared" si="192"/>
        <v>15</v>
      </c>
      <c r="BE493" s="240" t="str">
        <f t="shared" si="181"/>
        <v/>
      </c>
      <c r="BH493" s="199">
        <f>IF(AND(Input_Product=Elig!$C493,Elig_MatchAll_Ct&lt;22,$BC493=(Elig_MatchAll_Ct-1),AF493=0),C493,0)</f>
        <v>0</v>
      </c>
      <c r="BI493" s="199">
        <f>IF(AND(Input_Product=Elig!$C493,Elig_MatchAll_Ct&lt;22,$BC493=(Elig_MatchAll_Ct-1),AG493=0),D493,0)</f>
        <v>0</v>
      </c>
      <c r="BJ493" s="199">
        <f>IF(AND(Input_Product=Elig!$C493,Elig_MatchAll_Ct&lt;22,$BC493=(Elig_MatchAll_Ct-1),AH493=0),E493,0)</f>
        <v>0</v>
      </c>
      <c r="BK493" s="199">
        <f>IF(AND(Input_Product=Elig!$C493,Elig_MatchAll_Ct&lt;22,$BC493=(Elig_MatchAll_Ct-1),AI493=0),F493,0)</f>
        <v>0</v>
      </c>
      <c r="BL493" s="199">
        <f>IF(AND(Input_Product=Elig!$C493,Elig_MatchAll_Ct&lt;22,$BC493=(Elig_MatchAll_Ct-1),AJ493=0),G493,0)</f>
        <v>0</v>
      </c>
      <c r="BM493" s="199">
        <f>IF(AND(Input_Product=Elig!$C493,Elig_MatchAll_Ct&lt;22,$BC493=(Elig_MatchAll_Ct-1),AK493=0),H493,0)</f>
        <v>0</v>
      </c>
      <c r="BN493" s="199">
        <f>IF(AND(Input_Product=Elig!$C493,Elig_MatchAll_Ct&lt;22,$BC493=(Elig_MatchAll_Ct-1),AL493=0),I493,0)</f>
        <v>0</v>
      </c>
      <c r="BO493" s="199">
        <f>IF(AND(Input_Product=Elig!$C493,Elig_MatchAll_Ct&lt;22,$BC493=(Elig_MatchAll_Ct-1),AM493=0),J493,0)</f>
        <v>0</v>
      </c>
      <c r="BP493" s="199">
        <f>IF(AND(Input_Product=Elig!$C493,Elig_MatchAll_Ct&lt;22,$BC493=(Elig_MatchAll_Ct-1),AN493=0),K493,0)</f>
        <v>0</v>
      </c>
      <c r="BQ493" s="199">
        <f>IF(AND(Input_Product=Elig!$C493,Elig_MatchAll_Ct&lt;22,$BC493=(Elig_MatchAll_Ct-1),AP493=0),L493,0)</f>
        <v>0</v>
      </c>
      <c r="BR493" s="199">
        <f>IF(AND(Input_Product=Elig!$C493,Elig_MatchAll_Ct&lt;22,$BC493=(Elig_MatchAll_Ct-1),AO493=0),M493,0)</f>
        <v>0</v>
      </c>
      <c r="BS493" s="199">
        <f>IF(AND(Input_Product=Elig!$C493,Elig_MatchAll_Ct&lt;22,$BC493=(Elig_MatchAll_Ct-1),AQ493=0),N493,0)</f>
        <v>0</v>
      </c>
      <c r="BT493" s="199">
        <f>IF(AND(Input_Product=Elig!$C493,Elig_MatchAll_Ct&lt;22,$BC493=(Elig_MatchAll_Ct-1),AR493=0),O493,0)</f>
        <v>0</v>
      </c>
      <c r="BU493" s="199">
        <f>IF(AND(Input_Product=Elig!$C493,Elig_MatchAll_Ct&lt;22,$BC493=(Elig_MatchAll_Ct-1),AS493=0),P493,0)</f>
        <v>0</v>
      </c>
      <c r="BV493" s="200">
        <f>IF(AND(Input_Product=Elig!$C493,Elig_MatchAll_Ct&lt;22,$BC493=(Elig_MatchAll_Ct-1),AT493=0),Q493,0)</f>
        <v>0</v>
      </c>
      <c r="BW493" s="201">
        <f>IF(AND(Input_Product=Elig!$C493,Elig_MatchAll_Ct&lt;22,$BC493=(Elig_MatchAll_Ct-1),AU493=0),R493,0)</f>
        <v>0</v>
      </c>
      <c r="BX493" s="202">
        <f>IF(AND(Input_Product=Elig!$C493,Elig_MatchAll_Ct&lt;22,$BC493=(Elig_MatchAll_Ct-1),AU493=0),S493,0)</f>
        <v>0</v>
      </c>
      <c r="BY493" s="201">
        <f>IF(AND(Input_Product=Elig!$C493,Elig_MatchAll_Ct&lt;22,$BC493=(Elig_MatchAll_Ct-1),AV493=0),T493,0)</f>
        <v>0</v>
      </c>
      <c r="BZ493" s="202">
        <f>IF(AND(Input_Product=Elig!$C493,Elig_MatchAll_Ct&lt;22,$BC493=(Elig_MatchAll_Ct-1),AV493=0),U493,0)</f>
        <v>0</v>
      </c>
      <c r="CA493" s="201">
        <f>IF(AND(Input_Product=Elig!$C493,Elig_MatchAll_Ct&lt;22,$BC493=(Elig_MatchAll_Ct-1),AW493=0),V493,0)</f>
        <v>0</v>
      </c>
      <c r="CB493" s="202">
        <f>IF(AND(Input_Product=Elig!$C493,Elig_MatchAll_Ct&lt;22,$BC493=(Elig_MatchAll_Ct-1),AW493=0),W493,0)</f>
        <v>0</v>
      </c>
      <c r="CC493" s="201">
        <f>IF(AND(Input_Product=Elig!$C493,Elig_MatchAll_Ct&lt;22,$BC493=(Elig_MatchAll_Ct-1),AX493=0),X493,0)</f>
        <v>0</v>
      </c>
      <c r="CD493" s="202">
        <f>IF(AND(Input_Product=Elig!$C493,Elig_MatchAll_Ct&lt;22,$BC493=(Elig_MatchAll_Ct-1),AX493=0),Y493,0)</f>
        <v>0</v>
      </c>
      <c r="CE493" s="201">
        <f>IF(AND(Input_LTV&lt;=AE493,Input_Product=Elig!$C493,Elig_MatchAll_Ct&lt;22,$BC493=(Elig_MatchAll_Ct-1),AY493=0),Z493,0)</f>
        <v>0</v>
      </c>
      <c r="CF493" s="202">
        <f>IF(AND(Input_LTV&lt;=AE493,Input_Product=Elig!$C493,Elig_MatchAll_Ct&lt;22,$BC493=(Elig_MatchAll_Ct-1),AY493=0),AA493,0)</f>
        <v>0</v>
      </c>
      <c r="CG493" s="201">
        <f>IF(AND(Input_Product=Elig!$C493,Elig_MatchAll_Ct&lt;22,$BC493=(Elig_MatchAll_Ct-1),AZ493=0),AB493,0)</f>
        <v>0</v>
      </c>
      <c r="CH493" s="202">
        <f>IF(AND(Input_Product=Elig!$C493,Elig_MatchAll_Ct&lt;22,$BC493=(Elig_MatchAll_Ct-1),AZ493=0),AC493,0)</f>
        <v>0</v>
      </c>
      <c r="CI493" s="201">
        <f>IF(AND(Input_Product=Elig!$C493,Elig_MatchAll_Ct&lt;22,$BC493=(Elig_MatchAll_Ct-1),BA493=0),AD493,0)</f>
        <v>0</v>
      </c>
      <c r="CJ493" s="202">
        <f>IF(AND(Input_Product=Elig!$C493,Elig_MatchAll_Ct&lt;22,$BC493=(Elig_MatchAll_Ct-1),BA493=0),AE493,0)</f>
        <v>0</v>
      </c>
    </row>
    <row r="494" spans="2:88" ht="10.15" customHeight="1" x14ac:dyDescent="0.25">
      <c r="B494" s="287" t="s">
        <v>3985</v>
      </c>
      <c r="C494" s="291" t="str">
        <f t="shared" si="175"/>
        <v>NonQM NOO</v>
      </c>
      <c r="D494" s="292" t="s">
        <v>3885</v>
      </c>
      <c r="E494" s="292" t="s">
        <v>167</v>
      </c>
      <c r="F494" s="292" t="s">
        <v>330</v>
      </c>
      <c r="G494" s="292" t="s">
        <v>181</v>
      </c>
      <c r="H494" s="292" t="s">
        <v>136</v>
      </c>
      <c r="I494" s="292" t="s">
        <v>16</v>
      </c>
      <c r="J494" s="292" t="s">
        <v>1311</v>
      </c>
      <c r="K494" s="292" t="s">
        <v>1631</v>
      </c>
      <c r="L494" s="324" t="s">
        <v>312</v>
      </c>
      <c r="M494" s="292" t="s">
        <v>4203</v>
      </c>
      <c r="N494" s="292" t="s">
        <v>2685</v>
      </c>
      <c r="O494" s="292" t="s">
        <v>310</v>
      </c>
      <c r="P494" s="292" t="s">
        <v>291</v>
      </c>
      <c r="Q494" s="292" t="s">
        <v>294</v>
      </c>
      <c r="R494" s="292">
        <v>1500000.01</v>
      </c>
      <c r="S494" s="292">
        <v>2000000</v>
      </c>
      <c r="T494" s="292">
        <v>0</v>
      </c>
      <c r="U494" s="292">
        <f t="shared" si="193"/>
        <v>2000000</v>
      </c>
      <c r="V494" s="292">
        <v>0</v>
      </c>
      <c r="W494" s="292">
        <v>50</v>
      </c>
      <c r="X494" s="292">
        <v>1</v>
      </c>
      <c r="Y494" s="292">
        <v>999</v>
      </c>
      <c r="Z494" s="293">
        <v>620</v>
      </c>
      <c r="AA494" s="293">
        <v>639</v>
      </c>
      <c r="AB494" s="293">
        <v>6</v>
      </c>
      <c r="AC494" s="293">
        <v>999999</v>
      </c>
      <c r="AD494" s="292">
        <v>0</v>
      </c>
      <c r="AE494" s="294">
        <v>-999</v>
      </c>
      <c r="AF494" s="170">
        <v>0</v>
      </c>
      <c r="AG494" s="171">
        <v>1</v>
      </c>
      <c r="AH494" s="171">
        <v>1</v>
      </c>
      <c r="AI494" s="171">
        <v>0</v>
      </c>
      <c r="AJ494" s="171">
        <v>0</v>
      </c>
      <c r="AK494" s="171">
        <v>1</v>
      </c>
      <c r="AL494" s="171">
        <v>1</v>
      </c>
      <c r="AM494" s="171">
        <v>1</v>
      </c>
      <c r="AN494" s="171">
        <v>1</v>
      </c>
      <c r="AO494" s="171">
        <v>1</v>
      </c>
      <c r="AP494" s="171">
        <v>1</v>
      </c>
      <c r="AQ494" s="171">
        <v>1</v>
      </c>
      <c r="AR494" s="171">
        <v>1</v>
      </c>
      <c r="AS494" s="171">
        <v>1</v>
      </c>
      <c r="AT494" s="171">
        <v>1</v>
      </c>
      <c r="AU494" s="171">
        <f t="shared" si="183"/>
        <v>0</v>
      </c>
      <c r="AV494" s="171">
        <f t="shared" si="184"/>
        <v>1</v>
      </c>
      <c r="AW494" s="171">
        <f t="shared" si="185"/>
        <v>1</v>
      </c>
      <c r="AX494" s="171">
        <f t="shared" si="173"/>
        <v>0</v>
      </c>
      <c r="AY494" s="171">
        <f t="shared" si="186"/>
        <v>0</v>
      </c>
      <c r="AZ494" s="171">
        <f t="shared" si="187"/>
        <v>1</v>
      </c>
      <c r="BA494" s="172">
        <f t="shared" si="188"/>
        <v>0</v>
      </c>
      <c r="BB494" s="175">
        <f t="shared" si="190"/>
        <v>15</v>
      </c>
      <c r="BC494" s="176">
        <f t="shared" si="191"/>
        <v>15</v>
      </c>
      <c r="BD494" s="176">
        <f t="shared" si="192"/>
        <v>15</v>
      </c>
      <c r="BE494" s="240" t="str">
        <f t="shared" si="181"/>
        <v/>
      </c>
      <c r="BH494" s="214">
        <f>IF(AND(Input_Product=Elig!$C494,Elig_MatchAll_Ct&lt;22,$BC494=(Elig_MatchAll_Ct-1),AF494=0),C494,0)</f>
        <v>0</v>
      </c>
      <c r="BI494" s="214">
        <f>IF(AND(Input_Product=Elig!$C494,Elig_MatchAll_Ct&lt;22,$BC494=(Elig_MatchAll_Ct-1),AG494=0),D494,0)</f>
        <v>0</v>
      </c>
      <c r="BJ494" s="214">
        <f>IF(AND(Input_Product=Elig!$C494,Elig_MatchAll_Ct&lt;22,$BC494=(Elig_MatchAll_Ct-1),AH494=0),E494,0)</f>
        <v>0</v>
      </c>
      <c r="BK494" s="214">
        <f>IF(AND(Input_Product=Elig!$C494,Elig_MatchAll_Ct&lt;22,$BC494=(Elig_MatchAll_Ct-1),AI494=0),F494,0)</f>
        <v>0</v>
      </c>
      <c r="BL494" s="214">
        <f>IF(AND(Input_Product=Elig!$C494,Elig_MatchAll_Ct&lt;22,$BC494=(Elig_MatchAll_Ct-1),AJ494=0),G494,0)</f>
        <v>0</v>
      </c>
      <c r="BM494" s="214">
        <f>IF(AND(Input_Product=Elig!$C494,Elig_MatchAll_Ct&lt;22,$BC494=(Elig_MatchAll_Ct-1),AK494=0),H494,0)</f>
        <v>0</v>
      </c>
      <c r="BN494" s="214">
        <f>IF(AND(Input_Product=Elig!$C494,Elig_MatchAll_Ct&lt;22,$BC494=(Elig_MatchAll_Ct-1),AL494=0),I494,0)</f>
        <v>0</v>
      </c>
      <c r="BO494" s="214">
        <f>IF(AND(Input_Product=Elig!$C494,Elig_MatchAll_Ct&lt;22,$BC494=(Elig_MatchAll_Ct-1),AM494=0),J494,0)</f>
        <v>0</v>
      </c>
      <c r="BP494" s="214">
        <f>IF(AND(Input_Product=Elig!$C494,Elig_MatchAll_Ct&lt;22,$BC494=(Elig_MatchAll_Ct-1),AN494=0),K494,0)</f>
        <v>0</v>
      </c>
      <c r="BQ494" s="214">
        <f>IF(AND(Input_Product=Elig!$C494,Elig_MatchAll_Ct&lt;22,$BC494=(Elig_MatchAll_Ct-1),AP494=0),L494,0)</f>
        <v>0</v>
      </c>
      <c r="BR494" s="214">
        <f>IF(AND(Input_Product=Elig!$C494,Elig_MatchAll_Ct&lt;22,$BC494=(Elig_MatchAll_Ct-1),AO494=0),M494,0)</f>
        <v>0</v>
      </c>
      <c r="BS494" s="214">
        <f>IF(AND(Input_Product=Elig!$C494,Elig_MatchAll_Ct&lt;22,$BC494=(Elig_MatchAll_Ct-1),AQ494=0),N494,0)</f>
        <v>0</v>
      </c>
      <c r="BT494" s="214">
        <f>IF(AND(Input_Product=Elig!$C494,Elig_MatchAll_Ct&lt;22,$BC494=(Elig_MatchAll_Ct-1),AR494=0),O494,0)</f>
        <v>0</v>
      </c>
      <c r="BU494" s="214">
        <f>IF(AND(Input_Product=Elig!$C494,Elig_MatchAll_Ct&lt;22,$BC494=(Elig_MatchAll_Ct-1),AS494=0),P494,0)</f>
        <v>0</v>
      </c>
      <c r="BV494" s="215">
        <f>IF(AND(Input_Product=Elig!$C494,Elig_MatchAll_Ct&lt;22,$BC494=(Elig_MatchAll_Ct-1),AT494=0),Q494,0)</f>
        <v>0</v>
      </c>
      <c r="BW494" s="311">
        <f>IF(AND(Input_Product=Elig!$C494,Elig_MatchAll_Ct&lt;22,$BC494=(Elig_MatchAll_Ct-1),AU494=0),R494,0)</f>
        <v>0</v>
      </c>
      <c r="BX494" s="312">
        <f>IF(AND(Input_Product=Elig!$C494,Elig_MatchAll_Ct&lt;22,$BC494=(Elig_MatchAll_Ct-1),AU494=0),S494,0)</f>
        <v>0</v>
      </c>
      <c r="BY494" s="311">
        <f>IF(AND(Input_Product=Elig!$C494,Elig_MatchAll_Ct&lt;22,$BC494=(Elig_MatchAll_Ct-1),AV494=0),T494,0)</f>
        <v>0</v>
      </c>
      <c r="BZ494" s="312">
        <f>IF(AND(Input_Product=Elig!$C494,Elig_MatchAll_Ct&lt;22,$BC494=(Elig_MatchAll_Ct-1),AV494=0),U494,0)</f>
        <v>0</v>
      </c>
      <c r="CA494" s="311">
        <f>IF(AND(Input_Product=Elig!$C494,Elig_MatchAll_Ct&lt;22,$BC494=(Elig_MatchAll_Ct-1),AW494=0),V494,0)</f>
        <v>0</v>
      </c>
      <c r="CB494" s="312">
        <f>IF(AND(Input_Product=Elig!$C494,Elig_MatchAll_Ct&lt;22,$BC494=(Elig_MatchAll_Ct-1),AW494=0),W494,0)</f>
        <v>0</v>
      </c>
      <c r="CC494" s="311">
        <f>IF(AND(Input_Product=Elig!$C494,Elig_MatchAll_Ct&lt;22,$BC494=(Elig_MatchAll_Ct-1),AX494=0),X494,0)</f>
        <v>0</v>
      </c>
      <c r="CD494" s="312">
        <f>IF(AND(Input_Product=Elig!$C494,Elig_MatchAll_Ct&lt;22,$BC494=(Elig_MatchAll_Ct-1),AX494=0),Y494,0)</f>
        <v>0</v>
      </c>
      <c r="CE494" s="311">
        <f>IF(AND(Input_LTV&lt;=AE494,Input_Product=Elig!$C494,Elig_MatchAll_Ct&lt;22,$BC494=(Elig_MatchAll_Ct-1),AY494=0),Z494,0)</f>
        <v>0</v>
      </c>
      <c r="CF494" s="312">
        <f>IF(AND(Input_LTV&lt;=AE494,Input_Product=Elig!$C494,Elig_MatchAll_Ct&lt;22,$BC494=(Elig_MatchAll_Ct-1),AY494=0),AA494,0)</f>
        <v>0</v>
      </c>
      <c r="CG494" s="311">
        <f>IF(AND(Input_Product=Elig!$C494,Elig_MatchAll_Ct&lt;22,$BC494=(Elig_MatchAll_Ct-1),AZ494=0),AB494,0)</f>
        <v>0</v>
      </c>
      <c r="CH494" s="312">
        <f>IF(AND(Input_Product=Elig!$C494,Elig_MatchAll_Ct&lt;22,$BC494=(Elig_MatchAll_Ct-1),AZ494=0),AC494,0)</f>
        <v>0</v>
      </c>
      <c r="CI494" s="311">
        <f>IF(AND(Input_Product=Elig!$C494,Elig_MatchAll_Ct&lt;22,$BC494=(Elig_MatchAll_Ct-1),BA494=0),AD494,0)</f>
        <v>0</v>
      </c>
      <c r="CJ494" s="312">
        <f>IF(AND(Input_Product=Elig!$C494,Elig_MatchAll_Ct&lt;22,$BC494=(Elig_MatchAll_Ct-1),BA494=0),AE494,0)</f>
        <v>0</v>
      </c>
    </row>
    <row r="495" spans="2:88" ht="10.15" customHeight="1" x14ac:dyDescent="0.25">
      <c r="B495" s="287" t="s">
        <v>3986</v>
      </c>
      <c r="C495" s="281" t="str">
        <f t="shared" si="175"/>
        <v>NonQM NOO</v>
      </c>
      <c r="D495" s="282" t="s">
        <v>3885</v>
      </c>
      <c r="E495" s="283" t="s">
        <v>167</v>
      </c>
      <c r="F495" s="283" t="s">
        <v>330</v>
      </c>
      <c r="G495" s="283" t="s">
        <v>303</v>
      </c>
      <c r="H495" s="283" t="s">
        <v>136</v>
      </c>
      <c r="I495" s="282" t="s">
        <v>274</v>
      </c>
      <c r="J495" s="282" t="s">
        <v>1311</v>
      </c>
      <c r="K495" s="282" t="s">
        <v>1631</v>
      </c>
      <c r="L495" s="2103" t="s">
        <v>312</v>
      </c>
      <c r="M495" s="283" t="s">
        <v>4203</v>
      </c>
      <c r="N495" s="283" t="s">
        <v>2685</v>
      </c>
      <c r="O495" s="283" t="s">
        <v>310</v>
      </c>
      <c r="P495" s="283" t="s">
        <v>291</v>
      </c>
      <c r="Q495" s="283" t="s">
        <v>294</v>
      </c>
      <c r="R495" s="282">
        <v>2000000.01</v>
      </c>
      <c r="S495" s="323">
        <v>2500000</v>
      </c>
      <c r="T495" s="282">
        <v>0</v>
      </c>
      <c r="U495" s="282">
        <v>0</v>
      </c>
      <c r="V495" s="282">
        <v>0</v>
      </c>
      <c r="W495" s="282">
        <v>50</v>
      </c>
      <c r="X495" s="282">
        <v>0</v>
      </c>
      <c r="Y495" s="282">
        <v>999</v>
      </c>
      <c r="Z495" s="284">
        <v>720</v>
      </c>
      <c r="AA495" s="284">
        <v>999</v>
      </c>
      <c r="AB495" s="284">
        <v>9</v>
      </c>
      <c r="AC495" s="284">
        <v>999999</v>
      </c>
      <c r="AD495" s="282">
        <v>0</v>
      </c>
      <c r="AE495" s="2104">
        <v>75</v>
      </c>
      <c r="AF495" s="170">
        <v>0</v>
      </c>
      <c r="AG495" s="171">
        <v>1</v>
      </c>
      <c r="AH495" s="171">
        <v>1</v>
      </c>
      <c r="AI495" s="171">
        <v>0</v>
      </c>
      <c r="AJ495" s="171">
        <v>1</v>
      </c>
      <c r="AK495" s="171">
        <v>1</v>
      </c>
      <c r="AL495" s="171">
        <v>0</v>
      </c>
      <c r="AM495" s="171">
        <v>1</v>
      </c>
      <c r="AN495" s="171">
        <v>1</v>
      </c>
      <c r="AO495" s="171">
        <v>1</v>
      </c>
      <c r="AP495" s="171">
        <v>1</v>
      </c>
      <c r="AQ495" s="171">
        <v>1</v>
      </c>
      <c r="AR495" s="171">
        <v>1</v>
      </c>
      <c r="AS495" s="171">
        <v>1</v>
      </c>
      <c r="AT495" s="171">
        <v>1</v>
      </c>
      <c r="AU495" s="171">
        <f t="shared" si="183"/>
        <v>0</v>
      </c>
      <c r="AV495" s="171">
        <f t="shared" si="184"/>
        <v>0</v>
      </c>
      <c r="AW495" s="171">
        <f t="shared" si="185"/>
        <v>1</v>
      </c>
      <c r="AX495" s="171">
        <f t="shared" si="173"/>
        <v>1</v>
      </c>
      <c r="AY495" s="171">
        <f t="shared" si="186"/>
        <v>1</v>
      </c>
      <c r="AZ495" s="171">
        <f t="shared" si="187"/>
        <v>1</v>
      </c>
      <c r="BA495" s="172">
        <f t="shared" si="188"/>
        <v>1</v>
      </c>
      <c r="BB495" s="175">
        <f t="shared" si="190"/>
        <v>17</v>
      </c>
      <c r="BC495" s="176">
        <f t="shared" si="191"/>
        <v>16</v>
      </c>
      <c r="BD495" s="176">
        <f t="shared" si="192"/>
        <v>17</v>
      </c>
      <c r="BE495" s="240" t="str">
        <f t="shared" si="181"/>
        <v/>
      </c>
      <c r="BH495" s="210">
        <f>IF(AND(Input_Product=Elig!$C495,Elig_MatchAll_Ct&lt;22,$BC495=(Elig_MatchAll_Ct-1),AF495=0),C495,0)</f>
        <v>0</v>
      </c>
      <c r="BI495" s="210">
        <f>IF(AND(Input_Product=Elig!$C495,Elig_MatchAll_Ct&lt;22,$BC495=(Elig_MatchAll_Ct-1),AG495=0),D495,0)</f>
        <v>0</v>
      </c>
      <c r="BJ495" s="210">
        <f>IF(AND(Input_Product=Elig!$C495,Elig_MatchAll_Ct&lt;22,$BC495=(Elig_MatchAll_Ct-1),AH495=0),E495,0)</f>
        <v>0</v>
      </c>
      <c r="BK495" s="210">
        <f>IF(AND(Input_Product=Elig!$C495,Elig_MatchAll_Ct&lt;22,$BC495=(Elig_MatchAll_Ct-1),AI495=0),F495,0)</f>
        <v>0</v>
      </c>
      <c r="BL495" s="210">
        <f>IF(AND(Input_Product=Elig!$C495,Elig_MatchAll_Ct&lt;22,$BC495=(Elig_MatchAll_Ct-1),AJ495=0),G495,0)</f>
        <v>0</v>
      </c>
      <c r="BM495" s="210">
        <f>IF(AND(Input_Product=Elig!$C495,Elig_MatchAll_Ct&lt;22,$BC495=(Elig_MatchAll_Ct-1),AK495=0),H495,0)</f>
        <v>0</v>
      </c>
      <c r="BN495" s="210">
        <f>IF(AND(Input_Product=Elig!$C495,Elig_MatchAll_Ct&lt;22,$BC495=(Elig_MatchAll_Ct-1),AL495=0),I495,0)</f>
        <v>0</v>
      </c>
      <c r="BO495" s="210">
        <f>IF(AND(Input_Product=Elig!$C495,Elig_MatchAll_Ct&lt;22,$BC495=(Elig_MatchAll_Ct-1),AM495=0),J495,0)</f>
        <v>0</v>
      </c>
      <c r="BP495" s="210">
        <f>IF(AND(Input_Product=Elig!$C495,Elig_MatchAll_Ct&lt;22,$BC495=(Elig_MatchAll_Ct-1),AN495=0),K495,0)</f>
        <v>0</v>
      </c>
      <c r="BQ495" s="210">
        <f>IF(AND(Input_Product=Elig!$C495,Elig_MatchAll_Ct&lt;22,$BC495=(Elig_MatchAll_Ct-1),AP495=0),L495,0)</f>
        <v>0</v>
      </c>
      <c r="BR495" s="210">
        <f>IF(AND(Input_Product=Elig!$C495,Elig_MatchAll_Ct&lt;22,$BC495=(Elig_MatchAll_Ct-1),AO495=0),M495,0)</f>
        <v>0</v>
      </c>
      <c r="BS495" s="210">
        <f>IF(AND(Input_Product=Elig!$C495,Elig_MatchAll_Ct&lt;22,$BC495=(Elig_MatchAll_Ct-1),AQ495=0),N495,0)</f>
        <v>0</v>
      </c>
      <c r="BT495" s="210">
        <f>IF(AND(Input_Product=Elig!$C495,Elig_MatchAll_Ct&lt;22,$BC495=(Elig_MatchAll_Ct-1),AR495=0),O495,0)</f>
        <v>0</v>
      </c>
      <c r="BU495" s="210">
        <f>IF(AND(Input_Product=Elig!$C495,Elig_MatchAll_Ct&lt;22,$BC495=(Elig_MatchAll_Ct-1),AS495=0),P495,0)</f>
        <v>0</v>
      </c>
      <c r="BV495" s="211">
        <f>IF(AND(Input_Product=Elig!$C495,Elig_MatchAll_Ct&lt;22,$BC495=(Elig_MatchAll_Ct-1),AT495=0),Q495,0)</f>
        <v>0</v>
      </c>
      <c r="BW495" s="212">
        <f>IF(AND(Input_Product=Elig!$C495,Elig_MatchAll_Ct&lt;22,$BC495=(Elig_MatchAll_Ct-1),AU495=0),R495,0)</f>
        <v>0</v>
      </c>
      <c r="BX495" s="213">
        <f>IF(AND(Input_Product=Elig!$C495,Elig_MatchAll_Ct&lt;22,$BC495=(Elig_MatchAll_Ct-1),AU495=0),S495,0)</f>
        <v>0</v>
      </c>
      <c r="BY495" s="212">
        <f>IF(AND(Input_Product=Elig!$C495,Elig_MatchAll_Ct&lt;22,$BC495=(Elig_MatchAll_Ct-1),AV495=0),T495,0)</f>
        <v>0</v>
      </c>
      <c r="BZ495" s="213">
        <f>IF(AND(Input_Product=Elig!$C495,Elig_MatchAll_Ct&lt;22,$BC495=(Elig_MatchAll_Ct-1),AV495=0),U495,0)</f>
        <v>0</v>
      </c>
      <c r="CA495" s="212">
        <f>IF(AND(Input_Product=Elig!$C495,Elig_MatchAll_Ct&lt;22,$BC495=(Elig_MatchAll_Ct-1),AW495=0),V495,0)</f>
        <v>0</v>
      </c>
      <c r="CB495" s="213">
        <f>IF(AND(Input_Product=Elig!$C495,Elig_MatchAll_Ct&lt;22,$BC495=(Elig_MatchAll_Ct-1),AW495=0),W495,0)</f>
        <v>0</v>
      </c>
      <c r="CC495" s="212">
        <f>IF(AND(Input_Product=Elig!$C495,Elig_MatchAll_Ct&lt;22,$BC495=(Elig_MatchAll_Ct-1),AX495=0),X495,0)</f>
        <v>0</v>
      </c>
      <c r="CD495" s="213">
        <f>IF(AND(Input_Product=Elig!$C495,Elig_MatchAll_Ct&lt;22,$BC495=(Elig_MatchAll_Ct-1),AX495=0),Y495,0)</f>
        <v>0</v>
      </c>
      <c r="CE495" s="212">
        <f>IF(AND(Input_LTV&lt;=AE495,Input_Product=Elig!$C495,Elig_MatchAll_Ct&lt;22,$BC495=(Elig_MatchAll_Ct-1),AY495=0),Z495,0)</f>
        <v>0</v>
      </c>
      <c r="CF495" s="213">
        <f>IF(AND(Input_LTV&lt;=AE495,Input_Product=Elig!$C495,Elig_MatchAll_Ct&lt;22,$BC495=(Elig_MatchAll_Ct-1),AY495=0),AA495,0)</f>
        <v>0</v>
      </c>
      <c r="CG495" s="212">
        <f>IF(AND(Input_Product=Elig!$C495,Elig_MatchAll_Ct&lt;22,$BC495=(Elig_MatchAll_Ct-1),AZ495=0),AB495,0)</f>
        <v>0</v>
      </c>
      <c r="CH495" s="213">
        <f>IF(AND(Input_Product=Elig!$C495,Elig_MatchAll_Ct&lt;22,$BC495=(Elig_MatchAll_Ct-1),AZ495=0),AC495,0)</f>
        <v>0</v>
      </c>
      <c r="CI495" s="212">
        <f>IF(AND(Input_Product=Elig!$C495,Elig_MatchAll_Ct&lt;22,$BC495=(Elig_MatchAll_Ct-1),BA495=0),AD495,0)</f>
        <v>0</v>
      </c>
      <c r="CJ495" s="213">
        <f>IF(AND(Input_Product=Elig!$C495,Elig_MatchAll_Ct&lt;22,$BC495=(Elig_MatchAll_Ct-1),BA495=0),AE495,0)</f>
        <v>0</v>
      </c>
    </row>
    <row r="496" spans="2:88" ht="10.15" customHeight="1" x14ac:dyDescent="0.25">
      <c r="B496" s="287" t="s">
        <v>3987</v>
      </c>
      <c r="C496" s="286" t="str">
        <f t="shared" si="175"/>
        <v>NonQM NOO</v>
      </c>
      <c r="D496" s="287" t="s">
        <v>3885</v>
      </c>
      <c r="E496" s="287" t="s">
        <v>167</v>
      </c>
      <c r="F496" s="287" t="s">
        <v>330</v>
      </c>
      <c r="G496" s="287" t="s">
        <v>303</v>
      </c>
      <c r="H496" s="287" t="s">
        <v>136</v>
      </c>
      <c r="I496" s="288" t="s">
        <v>274</v>
      </c>
      <c r="J496" s="288" t="s">
        <v>1311</v>
      </c>
      <c r="K496" s="288" t="s">
        <v>1631</v>
      </c>
      <c r="L496" s="300" t="s">
        <v>312</v>
      </c>
      <c r="M496" s="287" t="s">
        <v>4203</v>
      </c>
      <c r="N496" s="287" t="s">
        <v>2685</v>
      </c>
      <c r="O496" s="287" t="s">
        <v>310</v>
      </c>
      <c r="P496" s="287" t="s">
        <v>291</v>
      </c>
      <c r="Q496" s="287" t="s">
        <v>294</v>
      </c>
      <c r="R496" s="287">
        <v>2000000.01</v>
      </c>
      <c r="S496" s="300">
        <v>2500000</v>
      </c>
      <c r="T496" s="287">
        <v>0</v>
      </c>
      <c r="U496" s="287">
        <v>0</v>
      </c>
      <c r="V496" s="287">
        <v>0</v>
      </c>
      <c r="W496" s="287">
        <v>50</v>
      </c>
      <c r="X496" s="287">
        <v>0</v>
      </c>
      <c r="Y496" s="287">
        <v>999</v>
      </c>
      <c r="Z496" s="289">
        <v>700</v>
      </c>
      <c r="AA496" s="289">
        <v>719</v>
      </c>
      <c r="AB496" s="289">
        <v>9</v>
      </c>
      <c r="AC496" s="289">
        <v>999999</v>
      </c>
      <c r="AD496" s="287">
        <v>0</v>
      </c>
      <c r="AE496" s="2105">
        <v>75</v>
      </c>
      <c r="AF496" s="170">
        <v>0</v>
      </c>
      <c r="AG496" s="171">
        <v>1</v>
      </c>
      <c r="AH496" s="171">
        <v>1</v>
      </c>
      <c r="AI496" s="171">
        <v>0</v>
      </c>
      <c r="AJ496" s="171">
        <v>1</v>
      </c>
      <c r="AK496" s="171">
        <v>1</v>
      </c>
      <c r="AL496" s="171">
        <v>0</v>
      </c>
      <c r="AM496" s="171">
        <v>1</v>
      </c>
      <c r="AN496" s="171">
        <v>1</v>
      </c>
      <c r="AO496" s="171">
        <v>1</v>
      </c>
      <c r="AP496" s="171">
        <v>1</v>
      </c>
      <c r="AQ496" s="171">
        <v>1</v>
      </c>
      <c r="AR496" s="171">
        <v>1</v>
      </c>
      <c r="AS496" s="171">
        <v>1</v>
      </c>
      <c r="AT496" s="171">
        <v>1</v>
      </c>
      <c r="AU496" s="171">
        <f t="shared" si="183"/>
        <v>0</v>
      </c>
      <c r="AV496" s="171">
        <f t="shared" si="184"/>
        <v>0</v>
      </c>
      <c r="AW496" s="171">
        <f t="shared" si="185"/>
        <v>1</v>
      </c>
      <c r="AX496" s="171">
        <f t="shared" si="173"/>
        <v>1</v>
      </c>
      <c r="AY496" s="171">
        <f t="shared" si="186"/>
        <v>0</v>
      </c>
      <c r="AZ496" s="171">
        <f t="shared" si="187"/>
        <v>1</v>
      </c>
      <c r="BA496" s="172">
        <f t="shared" si="188"/>
        <v>1</v>
      </c>
      <c r="BB496" s="175">
        <f t="shared" si="190"/>
        <v>16</v>
      </c>
      <c r="BC496" s="176">
        <f t="shared" si="191"/>
        <v>15</v>
      </c>
      <c r="BD496" s="176">
        <f t="shared" si="192"/>
        <v>16</v>
      </c>
      <c r="BE496" s="240" t="str">
        <f t="shared" si="181"/>
        <v/>
      </c>
      <c r="BH496" s="199">
        <f>IF(AND(Input_Product=Elig!$C496,Elig_MatchAll_Ct&lt;22,$BC496=(Elig_MatchAll_Ct-1),AF496=0),C496,0)</f>
        <v>0</v>
      </c>
      <c r="BI496" s="199">
        <f>IF(AND(Input_Product=Elig!$C496,Elig_MatchAll_Ct&lt;22,$BC496=(Elig_MatchAll_Ct-1),AG496=0),D496,0)</f>
        <v>0</v>
      </c>
      <c r="BJ496" s="199">
        <f>IF(AND(Input_Product=Elig!$C496,Elig_MatchAll_Ct&lt;22,$BC496=(Elig_MatchAll_Ct-1),AH496=0),E496,0)</f>
        <v>0</v>
      </c>
      <c r="BK496" s="199">
        <f>IF(AND(Input_Product=Elig!$C496,Elig_MatchAll_Ct&lt;22,$BC496=(Elig_MatchAll_Ct-1),AI496=0),F496,0)</f>
        <v>0</v>
      </c>
      <c r="BL496" s="199">
        <f>IF(AND(Input_Product=Elig!$C496,Elig_MatchAll_Ct&lt;22,$BC496=(Elig_MatchAll_Ct-1),AJ496=0),G496,0)</f>
        <v>0</v>
      </c>
      <c r="BM496" s="199">
        <f>IF(AND(Input_Product=Elig!$C496,Elig_MatchAll_Ct&lt;22,$BC496=(Elig_MatchAll_Ct-1),AK496=0),H496,0)</f>
        <v>0</v>
      </c>
      <c r="BN496" s="199">
        <f>IF(AND(Input_Product=Elig!$C496,Elig_MatchAll_Ct&lt;22,$BC496=(Elig_MatchAll_Ct-1),AL496=0),I496,0)</f>
        <v>0</v>
      </c>
      <c r="BO496" s="199">
        <f>IF(AND(Input_Product=Elig!$C496,Elig_MatchAll_Ct&lt;22,$BC496=(Elig_MatchAll_Ct-1),AM496=0),J496,0)</f>
        <v>0</v>
      </c>
      <c r="BP496" s="199">
        <f>IF(AND(Input_Product=Elig!$C496,Elig_MatchAll_Ct&lt;22,$BC496=(Elig_MatchAll_Ct-1),AN496=0),K496,0)</f>
        <v>0</v>
      </c>
      <c r="BQ496" s="199">
        <f>IF(AND(Input_Product=Elig!$C496,Elig_MatchAll_Ct&lt;22,$BC496=(Elig_MatchAll_Ct-1),AP496=0),L496,0)</f>
        <v>0</v>
      </c>
      <c r="BR496" s="199">
        <f>IF(AND(Input_Product=Elig!$C496,Elig_MatchAll_Ct&lt;22,$BC496=(Elig_MatchAll_Ct-1),AO496=0),M496,0)</f>
        <v>0</v>
      </c>
      <c r="BS496" s="199">
        <f>IF(AND(Input_Product=Elig!$C496,Elig_MatchAll_Ct&lt;22,$BC496=(Elig_MatchAll_Ct-1),AQ496=0),N496,0)</f>
        <v>0</v>
      </c>
      <c r="BT496" s="199">
        <f>IF(AND(Input_Product=Elig!$C496,Elig_MatchAll_Ct&lt;22,$BC496=(Elig_MatchAll_Ct-1),AR496=0),O496,0)</f>
        <v>0</v>
      </c>
      <c r="BU496" s="199">
        <f>IF(AND(Input_Product=Elig!$C496,Elig_MatchAll_Ct&lt;22,$BC496=(Elig_MatchAll_Ct-1),AS496=0),P496,0)</f>
        <v>0</v>
      </c>
      <c r="BV496" s="200">
        <f>IF(AND(Input_Product=Elig!$C496,Elig_MatchAll_Ct&lt;22,$BC496=(Elig_MatchAll_Ct-1),AT496=0),Q496,0)</f>
        <v>0</v>
      </c>
      <c r="BW496" s="201">
        <f>IF(AND(Input_Product=Elig!$C496,Elig_MatchAll_Ct&lt;22,$BC496=(Elig_MatchAll_Ct-1),AU496=0),R496,0)</f>
        <v>0</v>
      </c>
      <c r="BX496" s="202">
        <f>IF(AND(Input_Product=Elig!$C496,Elig_MatchAll_Ct&lt;22,$BC496=(Elig_MatchAll_Ct-1),AU496=0),S496,0)</f>
        <v>0</v>
      </c>
      <c r="BY496" s="201">
        <f>IF(AND(Input_Product=Elig!$C496,Elig_MatchAll_Ct&lt;22,$BC496=(Elig_MatchAll_Ct-1),AV496=0),T496,0)</f>
        <v>0</v>
      </c>
      <c r="BZ496" s="202">
        <f>IF(AND(Input_Product=Elig!$C496,Elig_MatchAll_Ct&lt;22,$BC496=(Elig_MatchAll_Ct-1),AV496=0),U496,0)</f>
        <v>0</v>
      </c>
      <c r="CA496" s="201">
        <f>IF(AND(Input_Product=Elig!$C496,Elig_MatchAll_Ct&lt;22,$BC496=(Elig_MatchAll_Ct-1),AW496=0),V496,0)</f>
        <v>0</v>
      </c>
      <c r="CB496" s="202">
        <f>IF(AND(Input_Product=Elig!$C496,Elig_MatchAll_Ct&lt;22,$BC496=(Elig_MatchAll_Ct-1),AW496=0),W496,0)</f>
        <v>0</v>
      </c>
      <c r="CC496" s="201">
        <f>IF(AND(Input_Product=Elig!$C496,Elig_MatchAll_Ct&lt;22,$BC496=(Elig_MatchAll_Ct-1),AX496=0),X496,0)</f>
        <v>0</v>
      </c>
      <c r="CD496" s="202">
        <f>IF(AND(Input_Product=Elig!$C496,Elig_MatchAll_Ct&lt;22,$BC496=(Elig_MatchAll_Ct-1),AX496=0),Y496,0)</f>
        <v>0</v>
      </c>
      <c r="CE496" s="201">
        <f>IF(AND(Input_LTV&lt;=AE496,Input_Product=Elig!$C496,Elig_MatchAll_Ct&lt;22,$BC496=(Elig_MatchAll_Ct-1),AY496=0),Z496,0)</f>
        <v>0</v>
      </c>
      <c r="CF496" s="202">
        <f>IF(AND(Input_LTV&lt;=AE496,Input_Product=Elig!$C496,Elig_MatchAll_Ct&lt;22,$BC496=(Elig_MatchAll_Ct-1),AY496=0),AA496,0)</f>
        <v>0</v>
      </c>
      <c r="CG496" s="201">
        <f>IF(AND(Input_Product=Elig!$C496,Elig_MatchAll_Ct&lt;22,$BC496=(Elig_MatchAll_Ct-1),AZ496=0),AB496,0)</f>
        <v>0</v>
      </c>
      <c r="CH496" s="202">
        <f>IF(AND(Input_Product=Elig!$C496,Elig_MatchAll_Ct&lt;22,$BC496=(Elig_MatchAll_Ct-1),AZ496=0),AC496,0)</f>
        <v>0</v>
      </c>
      <c r="CI496" s="201">
        <f>IF(AND(Input_Product=Elig!$C496,Elig_MatchAll_Ct&lt;22,$BC496=(Elig_MatchAll_Ct-1),BA496=0),AD496,0)</f>
        <v>0</v>
      </c>
      <c r="CJ496" s="202">
        <f>IF(AND(Input_Product=Elig!$C496,Elig_MatchAll_Ct&lt;22,$BC496=(Elig_MatchAll_Ct-1),BA496=0),AE496,0)</f>
        <v>0</v>
      </c>
    </row>
    <row r="497" spans="2:88" ht="10.15" customHeight="1" x14ac:dyDescent="0.25">
      <c r="B497" s="287" t="s">
        <v>3988</v>
      </c>
      <c r="C497" s="286" t="str">
        <f t="shared" si="175"/>
        <v>NonQM NOO</v>
      </c>
      <c r="D497" s="287" t="s">
        <v>3885</v>
      </c>
      <c r="E497" s="287" t="s">
        <v>167</v>
      </c>
      <c r="F497" s="287" t="s">
        <v>330</v>
      </c>
      <c r="G497" s="287" t="s">
        <v>303</v>
      </c>
      <c r="H497" s="287" t="s">
        <v>136</v>
      </c>
      <c r="I497" s="288" t="s">
        <v>274</v>
      </c>
      <c r="J497" s="288" t="s">
        <v>1311</v>
      </c>
      <c r="K497" s="288" t="s">
        <v>1631</v>
      </c>
      <c r="L497" s="300" t="s">
        <v>312</v>
      </c>
      <c r="M497" s="287" t="s">
        <v>4203</v>
      </c>
      <c r="N497" s="287" t="s">
        <v>2685</v>
      </c>
      <c r="O497" s="287" t="s">
        <v>310</v>
      </c>
      <c r="P497" s="287" t="s">
        <v>291</v>
      </c>
      <c r="Q497" s="287" t="s">
        <v>294</v>
      </c>
      <c r="R497" s="287">
        <v>2000000.01</v>
      </c>
      <c r="S497" s="300">
        <v>2500000</v>
      </c>
      <c r="T497" s="287">
        <v>0</v>
      </c>
      <c r="U497" s="287">
        <v>0</v>
      </c>
      <c r="V497" s="287">
        <v>0</v>
      </c>
      <c r="W497" s="287">
        <v>50</v>
      </c>
      <c r="X497" s="287">
        <v>0</v>
      </c>
      <c r="Y497" s="287">
        <v>999</v>
      </c>
      <c r="Z497" s="2101">
        <v>680</v>
      </c>
      <c r="AA497" s="2101">
        <v>699</v>
      </c>
      <c r="AB497" s="289">
        <v>9</v>
      </c>
      <c r="AC497" s="289">
        <v>999999</v>
      </c>
      <c r="AD497" s="287">
        <v>0</v>
      </c>
      <c r="AE497" s="290">
        <v>70</v>
      </c>
      <c r="AF497" s="170">
        <v>0</v>
      </c>
      <c r="AG497" s="171">
        <v>1</v>
      </c>
      <c r="AH497" s="171">
        <v>1</v>
      </c>
      <c r="AI497" s="171">
        <v>0</v>
      </c>
      <c r="AJ497" s="171">
        <v>1</v>
      </c>
      <c r="AK497" s="171">
        <v>1</v>
      </c>
      <c r="AL497" s="171">
        <v>0</v>
      </c>
      <c r="AM497" s="171">
        <v>1</v>
      </c>
      <c r="AN497" s="171">
        <v>1</v>
      </c>
      <c r="AO497" s="171">
        <v>1</v>
      </c>
      <c r="AP497" s="171">
        <v>1</v>
      </c>
      <c r="AQ497" s="171">
        <v>1</v>
      </c>
      <c r="AR497" s="171">
        <v>1</v>
      </c>
      <c r="AS497" s="171">
        <v>1</v>
      </c>
      <c r="AT497" s="171">
        <v>1</v>
      </c>
      <c r="AU497" s="171">
        <f t="shared" si="183"/>
        <v>0</v>
      </c>
      <c r="AV497" s="171">
        <f t="shared" si="184"/>
        <v>0</v>
      </c>
      <c r="AW497" s="171">
        <f t="shared" si="185"/>
        <v>1</v>
      </c>
      <c r="AX497" s="171">
        <f t="shared" si="173"/>
        <v>1</v>
      </c>
      <c r="AY497" s="171">
        <f t="shared" si="186"/>
        <v>0</v>
      </c>
      <c r="AZ497" s="171">
        <f t="shared" si="187"/>
        <v>1</v>
      </c>
      <c r="BA497" s="172">
        <f t="shared" si="188"/>
        <v>1</v>
      </c>
      <c r="BB497" s="175">
        <f t="shared" ref="BB497" si="194">SUM(AF497:BA497)</f>
        <v>16</v>
      </c>
      <c r="BC497" s="176">
        <f t="shared" ref="BC497" si="195">SUM(AF497:AZ497)</f>
        <v>15</v>
      </c>
      <c r="BD497" s="176">
        <f t="shared" ref="BD497" si="196">SUM(AG497:BA497)</f>
        <v>16</v>
      </c>
      <c r="BE497" s="240" t="str">
        <f t="shared" si="181"/>
        <v/>
      </c>
      <c r="BH497" s="199">
        <f>IF(AND(Input_Product=Elig!$C497,Elig_MatchAll_Ct&lt;22,$BC497=(Elig_MatchAll_Ct-1),AF497=0),C497,0)</f>
        <v>0</v>
      </c>
      <c r="BI497" s="199">
        <f>IF(AND(Input_Product=Elig!$C497,Elig_MatchAll_Ct&lt;22,$BC497=(Elig_MatchAll_Ct-1),AG497=0),D497,0)</f>
        <v>0</v>
      </c>
      <c r="BJ497" s="199">
        <f>IF(AND(Input_Product=Elig!$C497,Elig_MatchAll_Ct&lt;22,$BC497=(Elig_MatchAll_Ct-1),AH497=0),E497,0)</f>
        <v>0</v>
      </c>
      <c r="BK497" s="199">
        <f>IF(AND(Input_Product=Elig!$C497,Elig_MatchAll_Ct&lt;22,$BC497=(Elig_MatchAll_Ct-1),AI497=0),F497,0)</f>
        <v>0</v>
      </c>
      <c r="BL497" s="199">
        <f>IF(AND(Input_Product=Elig!$C497,Elig_MatchAll_Ct&lt;22,$BC497=(Elig_MatchAll_Ct-1),AJ497=0),G497,0)</f>
        <v>0</v>
      </c>
      <c r="BM497" s="199">
        <f>IF(AND(Input_Product=Elig!$C497,Elig_MatchAll_Ct&lt;22,$BC497=(Elig_MatchAll_Ct-1),AK497=0),H497,0)</f>
        <v>0</v>
      </c>
      <c r="BN497" s="199">
        <f>IF(AND(Input_Product=Elig!$C497,Elig_MatchAll_Ct&lt;22,$BC497=(Elig_MatchAll_Ct-1),AL497=0),I497,0)</f>
        <v>0</v>
      </c>
      <c r="BO497" s="199">
        <f>IF(AND(Input_Product=Elig!$C497,Elig_MatchAll_Ct&lt;22,$BC497=(Elig_MatchAll_Ct-1),AM497=0),J497,0)</f>
        <v>0</v>
      </c>
      <c r="BP497" s="199">
        <f>IF(AND(Input_Product=Elig!$C497,Elig_MatchAll_Ct&lt;22,$BC497=(Elig_MatchAll_Ct-1),AN497=0),K497,0)</f>
        <v>0</v>
      </c>
      <c r="BQ497" s="199">
        <f>IF(AND(Input_Product=Elig!$C497,Elig_MatchAll_Ct&lt;22,$BC497=(Elig_MatchAll_Ct-1),AP497=0),L497,0)</f>
        <v>0</v>
      </c>
      <c r="BR497" s="199">
        <f>IF(AND(Input_Product=Elig!$C497,Elig_MatchAll_Ct&lt;22,$BC497=(Elig_MatchAll_Ct-1),AO497=0),M497,0)</f>
        <v>0</v>
      </c>
      <c r="BS497" s="199">
        <f>IF(AND(Input_Product=Elig!$C497,Elig_MatchAll_Ct&lt;22,$BC497=(Elig_MatchAll_Ct-1),AQ497=0),N497,0)</f>
        <v>0</v>
      </c>
      <c r="BT497" s="199">
        <f>IF(AND(Input_Product=Elig!$C497,Elig_MatchAll_Ct&lt;22,$BC497=(Elig_MatchAll_Ct-1),AR497=0),O497,0)</f>
        <v>0</v>
      </c>
      <c r="BU497" s="199">
        <f>IF(AND(Input_Product=Elig!$C497,Elig_MatchAll_Ct&lt;22,$BC497=(Elig_MatchAll_Ct-1),AS497=0),P497,0)</f>
        <v>0</v>
      </c>
      <c r="BV497" s="200">
        <f>IF(AND(Input_Product=Elig!$C497,Elig_MatchAll_Ct&lt;22,$BC497=(Elig_MatchAll_Ct-1),AT497=0),Q497,0)</f>
        <v>0</v>
      </c>
      <c r="BW497" s="201">
        <f>IF(AND(Input_Product=Elig!$C497,Elig_MatchAll_Ct&lt;22,$BC497=(Elig_MatchAll_Ct-1),AU497=0),R497,0)</f>
        <v>0</v>
      </c>
      <c r="BX497" s="202">
        <f>IF(AND(Input_Product=Elig!$C497,Elig_MatchAll_Ct&lt;22,$BC497=(Elig_MatchAll_Ct-1),AU497=0),S497,0)</f>
        <v>0</v>
      </c>
      <c r="BY497" s="201">
        <f>IF(AND(Input_Product=Elig!$C497,Elig_MatchAll_Ct&lt;22,$BC497=(Elig_MatchAll_Ct-1),AV497=0),T497,0)</f>
        <v>0</v>
      </c>
      <c r="BZ497" s="202">
        <f>IF(AND(Input_Product=Elig!$C497,Elig_MatchAll_Ct&lt;22,$BC497=(Elig_MatchAll_Ct-1),AV497=0),U497,0)</f>
        <v>0</v>
      </c>
      <c r="CA497" s="201">
        <f>IF(AND(Input_Product=Elig!$C497,Elig_MatchAll_Ct&lt;22,$BC497=(Elig_MatchAll_Ct-1),AW497=0),V497,0)</f>
        <v>0</v>
      </c>
      <c r="CB497" s="202">
        <f>IF(AND(Input_Product=Elig!$C497,Elig_MatchAll_Ct&lt;22,$BC497=(Elig_MatchAll_Ct-1),AW497=0),W497,0)</f>
        <v>0</v>
      </c>
      <c r="CC497" s="201">
        <f>IF(AND(Input_Product=Elig!$C497,Elig_MatchAll_Ct&lt;22,$BC497=(Elig_MatchAll_Ct-1),AX497=0),X497,0)</f>
        <v>0</v>
      </c>
      <c r="CD497" s="202">
        <f>IF(AND(Input_Product=Elig!$C497,Elig_MatchAll_Ct&lt;22,$BC497=(Elig_MatchAll_Ct-1),AX497=0),Y497,0)</f>
        <v>0</v>
      </c>
      <c r="CE497" s="201">
        <f>IF(AND(Input_LTV&lt;=AE497,Input_Product=Elig!$C497,Elig_MatchAll_Ct&lt;22,$BC497=(Elig_MatchAll_Ct-1),AY497=0),Z497,0)</f>
        <v>0</v>
      </c>
      <c r="CF497" s="202">
        <f>IF(AND(Input_LTV&lt;=AE497,Input_Product=Elig!$C497,Elig_MatchAll_Ct&lt;22,$BC497=(Elig_MatchAll_Ct-1),AY497=0),AA497,0)</f>
        <v>0</v>
      </c>
      <c r="CG497" s="201">
        <f>IF(AND(Input_Product=Elig!$C497,Elig_MatchAll_Ct&lt;22,$BC497=(Elig_MatchAll_Ct-1),AZ497=0),AB497,0)</f>
        <v>0</v>
      </c>
      <c r="CH497" s="202">
        <f>IF(AND(Input_Product=Elig!$C497,Elig_MatchAll_Ct&lt;22,$BC497=(Elig_MatchAll_Ct-1),AZ497=0),AC497,0)</f>
        <v>0</v>
      </c>
      <c r="CI497" s="201">
        <f>IF(AND(Input_Product=Elig!$C497,Elig_MatchAll_Ct&lt;22,$BC497=(Elig_MatchAll_Ct-1),BA497=0),AD497,0)</f>
        <v>0</v>
      </c>
      <c r="CJ497" s="202">
        <f>IF(AND(Input_Product=Elig!$C497,Elig_MatchAll_Ct&lt;22,$BC497=(Elig_MatchAll_Ct-1),BA497=0),AE497,0)</f>
        <v>0</v>
      </c>
    </row>
    <row r="498" spans="2:88" ht="10.15" customHeight="1" x14ac:dyDescent="0.25">
      <c r="B498" s="287" t="s">
        <v>3989</v>
      </c>
      <c r="C498" s="291" t="str">
        <f t="shared" si="175"/>
        <v>NonQM NOO</v>
      </c>
      <c r="D498" s="292" t="s">
        <v>3885</v>
      </c>
      <c r="E498" s="292" t="s">
        <v>167</v>
      </c>
      <c r="F498" s="292" t="s">
        <v>330</v>
      </c>
      <c r="G498" s="292" t="s">
        <v>303</v>
      </c>
      <c r="H498" s="292" t="s">
        <v>136</v>
      </c>
      <c r="I498" s="295" t="s">
        <v>274</v>
      </c>
      <c r="J498" s="295" t="s">
        <v>1311</v>
      </c>
      <c r="K498" s="295" t="s">
        <v>1631</v>
      </c>
      <c r="L498" s="324" t="s">
        <v>312</v>
      </c>
      <c r="M498" s="292" t="s">
        <v>4203</v>
      </c>
      <c r="N498" s="292" t="s">
        <v>2685</v>
      </c>
      <c r="O498" s="292" t="s">
        <v>310</v>
      </c>
      <c r="P498" s="292" t="s">
        <v>291</v>
      </c>
      <c r="Q498" s="292" t="s">
        <v>294</v>
      </c>
      <c r="R498" s="292">
        <v>2000000.01</v>
      </c>
      <c r="S498" s="324">
        <v>2500000</v>
      </c>
      <c r="T498" s="292">
        <v>0</v>
      </c>
      <c r="U498" s="292">
        <v>0</v>
      </c>
      <c r="V498" s="292">
        <v>0</v>
      </c>
      <c r="W498" s="292">
        <v>50</v>
      </c>
      <c r="X498" s="292">
        <v>0</v>
      </c>
      <c r="Y498" s="292">
        <v>999</v>
      </c>
      <c r="Z498" s="2102">
        <v>660</v>
      </c>
      <c r="AA498" s="2102">
        <v>679</v>
      </c>
      <c r="AB498" s="293">
        <v>9</v>
      </c>
      <c r="AC498" s="293">
        <v>999999</v>
      </c>
      <c r="AD498" s="292">
        <v>0</v>
      </c>
      <c r="AE498" s="294">
        <v>70</v>
      </c>
      <c r="AF498" s="170">
        <v>0</v>
      </c>
      <c r="AG498" s="171">
        <v>1</v>
      </c>
      <c r="AH498" s="171">
        <v>1</v>
      </c>
      <c r="AI498" s="171">
        <v>0</v>
      </c>
      <c r="AJ498" s="171">
        <v>1</v>
      </c>
      <c r="AK498" s="171">
        <v>1</v>
      </c>
      <c r="AL498" s="171">
        <v>0</v>
      </c>
      <c r="AM498" s="171">
        <v>1</v>
      </c>
      <c r="AN498" s="171">
        <v>1</v>
      </c>
      <c r="AO498" s="171">
        <v>1</v>
      </c>
      <c r="AP498" s="171">
        <v>1</v>
      </c>
      <c r="AQ498" s="171">
        <v>1</v>
      </c>
      <c r="AR498" s="171">
        <v>1</v>
      </c>
      <c r="AS498" s="171">
        <v>1</v>
      </c>
      <c r="AT498" s="171">
        <v>1</v>
      </c>
      <c r="AU498" s="171">
        <f t="shared" si="183"/>
        <v>0</v>
      </c>
      <c r="AV498" s="171">
        <f t="shared" si="184"/>
        <v>0</v>
      </c>
      <c r="AW498" s="171">
        <f t="shared" si="185"/>
        <v>1</v>
      </c>
      <c r="AX498" s="171">
        <f t="shared" ref="AX498:AX631" si="197">IF(AND(Input_DSCR&gt;=Elig_DSCR_Min,Input_DSCR&lt;=Elig_DSCR_Max),1,0)</f>
        <v>1</v>
      </c>
      <c r="AY498" s="171">
        <f t="shared" si="186"/>
        <v>0</v>
      </c>
      <c r="AZ498" s="171">
        <f t="shared" si="187"/>
        <v>1</v>
      </c>
      <c r="BA498" s="172">
        <f t="shared" si="188"/>
        <v>1</v>
      </c>
      <c r="BB498" s="175">
        <f t="shared" si="190"/>
        <v>16</v>
      </c>
      <c r="BC498" s="176">
        <f t="shared" si="191"/>
        <v>15</v>
      </c>
      <c r="BD498" s="176">
        <f t="shared" si="192"/>
        <v>16</v>
      </c>
      <c r="BE498" s="240" t="str">
        <f t="shared" si="181"/>
        <v/>
      </c>
      <c r="BH498" s="214">
        <f>IF(AND(Input_Product=Elig!$C498,Elig_MatchAll_Ct&lt;22,$BC498=(Elig_MatchAll_Ct-1),AF498=0),C498,0)</f>
        <v>0</v>
      </c>
      <c r="BI498" s="214">
        <f>IF(AND(Input_Product=Elig!$C498,Elig_MatchAll_Ct&lt;22,$BC498=(Elig_MatchAll_Ct-1),AG498=0),D498,0)</f>
        <v>0</v>
      </c>
      <c r="BJ498" s="214">
        <f>IF(AND(Input_Product=Elig!$C498,Elig_MatchAll_Ct&lt;22,$BC498=(Elig_MatchAll_Ct-1),AH498=0),E498,0)</f>
        <v>0</v>
      </c>
      <c r="BK498" s="214">
        <f>IF(AND(Input_Product=Elig!$C498,Elig_MatchAll_Ct&lt;22,$BC498=(Elig_MatchAll_Ct-1),AI498=0),F498,0)</f>
        <v>0</v>
      </c>
      <c r="BL498" s="214">
        <f>IF(AND(Input_Product=Elig!$C498,Elig_MatchAll_Ct&lt;22,$BC498=(Elig_MatchAll_Ct-1),AJ498=0),G498,0)</f>
        <v>0</v>
      </c>
      <c r="BM498" s="214">
        <f>IF(AND(Input_Product=Elig!$C498,Elig_MatchAll_Ct&lt;22,$BC498=(Elig_MatchAll_Ct-1),AK498=0),H498,0)</f>
        <v>0</v>
      </c>
      <c r="BN498" s="214">
        <f>IF(AND(Input_Product=Elig!$C498,Elig_MatchAll_Ct&lt;22,$BC498=(Elig_MatchAll_Ct-1),AL498=0),I498,0)</f>
        <v>0</v>
      </c>
      <c r="BO498" s="214">
        <f>IF(AND(Input_Product=Elig!$C498,Elig_MatchAll_Ct&lt;22,$BC498=(Elig_MatchAll_Ct-1),AM498=0),J498,0)</f>
        <v>0</v>
      </c>
      <c r="BP498" s="214">
        <f>IF(AND(Input_Product=Elig!$C498,Elig_MatchAll_Ct&lt;22,$BC498=(Elig_MatchAll_Ct-1),AN498=0),K498,0)</f>
        <v>0</v>
      </c>
      <c r="BQ498" s="214">
        <f>IF(AND(Input_Product=Elig!$C498,Elig_MatchAll_Ct&lt;22,$BC498=(Elig_MatchAll_Ct-1),AP498=0),L498,0)</f>
        <v>0</v>
      </c>
      <c r="BR498" s="214">
        <f>IF(AND(Input_Product=Elig!$C498,Elig_MatchAll_Ct&lt;22,$BC498=(Elig_MatchAll_Ct-1),AO498=0),M498,0)</f>
        <v>0</v>
      </c>
      <c r="BS498" s="214">
        <f>IF(AND(Input_Product=Elig!$C498,Elig_MatchAll_Ct&lt;22,$BC498=(Elig_MatchAll_Ct-1),AQ498=0),N498,0)</f>
        <v>0</v>
      </c>
      <c r="BT498" s="214">
        <f>IF(AND(Input_Product=Elig!$C498,Elig_MatchAll_Ct&lt;22,$BC498=(Elig_MatchAll_Ct-1),AR498=0),O498,0)</f>
        <v>0</v>
      </c>
      <c r="BU498" s="214">
        <f>IF(AND(Input_Product=Elig!$C498,Elig_MatchAll_Ct&lt;22,$BC498=(Elig_MatchAll_Ct-1),AS498=0),P498,0)</f>
        <v>0</v>
      </c>
      <c r="BV498" s="215">
        <f>IF(AND(Input_Product=Elig!$C498,Elig_MatchAll_Ct&lt;22,$BC498=(Elig_MatchAll_Ct-1),AT498=0),Q498,0)</f>
        <v>0</v>
      </c>
      <c r="BW498" s="311">
        <f>IF(AND(Input_Product=Elig!$C498,Elig_MatchAll_Ct&lt;22,$BC498=(Elig_MatchAll_Ct-1),AU498=0),R498,0)</f>
        <v>0</v>
      </c>
      <c r="BX498" s="312">
        <f>IF(AND(Input_Product=Elig!$C498,Elig_MatchAll_Ct&lt;22,$BC498=(Elig_MatchAll_Ct-1),AU498=0),S498,0)</f>
        <v>0</v>
      </c>
      <c r="BY498" s="311">
        <f>IF(AND(Input_Product=Elig!$C498,Elig_MatchAll_Ct&lt;22,$BC498=(Elig_MatchAll_Ct-1),AV498=0),T498,0)</f>
        <v>0</v>
      </c>
      <c r="BZ498" s="312">
        <f>IF(AND(Input_Product=Elig!$C498,Elig_MatchAll_Ct&lt;22,$BC498=(Elig_MatchAll_Ct-1),AV498=0),U498,0)</f>
        <v>0</v>
      </c>
      <c r="CA498" s="311">
        <f>IF(AND(Input_Product=Elig!$C498,Elig_MatchAll_Ct&lt;22,$BC498=(Elig_MatchAll_Ct-1),AW498=0),V498,0)</f>
        <v>0</v>
      </c>
      <c r="CB498" s="312">
        <f>IF(AND(Input_Product=Elig!$C498,Elig_MatchAll_Ct&lt;22,$BC498=(Elig_MatchAll_Ct-1),AW498=0),W498,0)</f>
        <v>0</v>
      </c>
      <c r="CC498" s="311">
        <f>IF(AND(Input_Product=Elig!$C498,Elig_MatchAll_Ct&lt;22,$BC498=(Elig_MatchAll_Ct-1),AX498=0),X498,0)</f>
        <v>0</v>
      </c>
      <c r="CD498" s="312">
        <f>IF(AND(Input_Product=Elig!$C498,Elig_MatchAll_Ct&lt;22,$BC498=(Elig_MatchAll_Ct-1),AX498=0),Y498,0)</f>
        <v>0</v>
      </c>
      <c r="CE498" s="311">
        <f>IF(AND(Input_LTV&lt;=AE498,Input_Product=Elig!$C498,Elig_MatchAll_Ct&lt;22,$BC498=(Elig_MatchAll_Ct-1),AY498=0),Z498,0)</f>
        <v>0</v>
      </c>
      <c r="CF498" s="312">
        <f>IF(AND(Input_LTV&lt;=AE498,Input_Product=Elig!$C498,Elig_MatchAll_Ct&lt;22,$BC498=(Elig_MatchAll_Ct-1),AY498=0),AA498,0)</f>
        <v>0</v>
      </c>
      <c r="CG498" s="311">
        <f>IF(AND(Input_Product=Elig!$C498,Elig_MatchAll_Ct&lt;22,$BC498=(Elig_MatchAll_Ct-1),AZ498=0),AB498,0)</f>
        <v>0</v>
      </c>
      <c r="CH498" s="312">
        <f>IF(AND(Input_Product=Elig!$C498,Elig_MatchAll_Ct&lt;22,$BC498=(Elig_MatchAll_Ct-1),AZ498=0),AC498,0)</f>
        <v>0</v>
      </c>
      <c r="CI498" s="311">
        <f>IF(AND(Input_Product=Elig!$C498,Elig_MatchAll_Ct&lt;22,$BC498=(Elig_MatchAll_Ct-1),BA498=0),AD498,0)</f>
        <v>0</v>
      </c>
      <c r="CJ498" s="312">
        <f>IF(AND(Input_Product=Elig!$C498,Elig_MatchAll_Ct&lt;22,$BC498=(Elig_MatchAll_Ct-1),BA498=0),AE498,0)</f>
        <v>0</v>
      </c>
    </row>
    <row r="499" spans="2:88" ht="10.15" customHeight="1" x14ac:dyDescent="0.25">
      <c r="B499" s="287" t="s">
        <v>3990</v>
      </c>
      <c r="C499" s="281" t="str">
        <f t="shared" si="175"/>
        <v>NonQM NOO</v>
      </c>
      <c r="D499" s="282" t="s">
        <v>3885</v>
      </c>
      <c r="E499" s="283" t="s">
        <v>167</v>
      </c>
      <c r="F499" s="283" t="s">
        <v>330</v>
      </c>
      <c r="G499" s="283" t="s">
        <v>303</v>
      </c>
      <c r="H499" s="283" t="s">
        <v>136</v>
      </c>
      <c r="I499" s="282" t="s">
        <v>16</v>
      </c>
      <c r="J499" s="282" t="s">
        <v>1311</v>
      </c>
      <c r="K499" s="282" t="s">
        <v>1631</v>
      </c>
      <c r="L499" s="2103" t="s">
        <v>312</v>
      </c>
      <c r="M499" s="283" t="s">
        <v>4203</v>
      </c>
      <c r="N499" s="283" t="s">
        <v>2685</v>
      </c>
      <c r="O499" s="283" t="s">
        <v>310</v>
      </c>
      <c r="P499" s="283" t="s">
        <v>291</v>
      </c>
      <c r="Q499" s="283" t="s">
        <v>294</v>
      </c>
      <c r="R499" s="282">
        <v>2000000.01</v>
      </c>
      <c r="S499" s="323">
        <v>2500000</v>
      </c>
      <c r="T499" s="282">
        <v>0</v>
      </c>
      <c r="U499" s="282">
        <f t="shared" ref="U499:U502" si="198">S499</f>
        <v>2500000</v>
      </c>
      <c r="V499" s="282">
        <v>0</v>
      </c>
      <c r="W499" s="282">
        <v>50</v>
      </c>
      <c r="X499" s="282">
        <v>0</v>
      </c>
      <c r="Y499" s="282">
        <v>999</v>
      </c>
      <c r="Z499" s="284">
        <v>720</v>
      </c>
      <c r="AA499" s="284">
        <v>999</v>
      </c>
      <c r="AB499" s="284">
        <v>9</v>
      </c>
      <c r="AC499" s="284">
        <v>999999</v>
      </c>
      <c r="AD499" s="282">
        <v>0</v>
      </c>
      <c r="AE499" s="2104">
        <v>70</v>
      </c>
      <c r="AF499" s="170">
        <v>0</v>
      </c>
      <c r="AG499" s="171">
        <v>1</v>
      </c>
      <c r="AH499" s="171">
        <v>1</v>
      </c>
      <c r="AI499" s="171">
        <v>0</v>
      </c>
      <c r="AJ499" s="171">
        <v>1</v>
      </c>
      <c r="AK499" s="171">
        <v>1</v>
      </c>
      <c r="AL499" s="171">
        <v>1</v>
      </c>
      <c r="AM499" s="171">
        <v>1</v>
      </c>
      <c r="AN499" s="171">
        <v>1</v>
      </c>
      <c r="AO499" s="171">
        <v>1</v>
      </c>
      <c r="AP499" s="171">
        <v>1</v>
      </c>
      <c r="AQ499" s="171">
        <v>1</v>
      </c>
      <c r="AR499" s="171">
        <v>1</v>
      </c>
      <c r="AS499" s="171">
        <v>1</v>
      </c>
      <c r="AT499" s="171">
        <v>1</v>
      </c>
      <c r="AU499" s="171">
        <f t="shared" si="183"/>
        <v>0</v>
      </c>
      <c r="AV499" s="171">
        <f t="shared" si="184"/>
        <v>1</v>
      </c>
      <c r="AW499" s="171">
        <f t="shared" si="185"/>
        <v>1</v>
      </c>
      <c r="AX499" s="171">
        <f t="shared" si="197"/>
        <v>1</v>
      </c>
      <c r="AY499" s="171">
        <f t="shared" si="186"/>
        <v>1</v>
      </c>
      <c r="AZ499" s="171">
        <f t="shared" si="187"/>
        <v>1</v>
      </c>
      <c r="BA499" s="172">
        <f t="shared" si="188"/>
        <v>1</v>
      </c>
      <c r="BB499" s="175">
        <f t="shared" si="190"/>
        <v>19</v>
      </c>
      <c r="BC499" s="176">
        <f t="shared" si="191"/>
        <v>18</v>
      </c>
      <c r="BD499" s="176">
        <f t="shared" si="192"/>
        <v>19</v>
      </c>
      <c r="BE499" s="240" t="str">
        <f t="shared" si="181"/>
        <v/>
      </c>
      <c r="BH499" s="210">
        <f>IF(AND(Input_Product=Elig!$C499,Elig_MatchAll_Ct&lt;22,$BC499=(Elig_MatchAll_Ct-1),AF499=0),C499,0)</f>
        <v>0</v>
      </c>
      <c r="BI499" s="210">
        <f>IF(AND(Input_Product=Elig!$C499,Elig_MatchAll_Ct&lt;22,$BC499=(Elig_MatchAll_Ct-1),AG499=0),D499,0)</f>
        <v>0</v>
      </c>
      <c r="BJ499" s="210">
        <f>IF(AND(Input_Product=Elig!$C499,Elig_MatchAll_Ct&lt;22,$BC499=(Elig_MatchAll_Ct-1),AH499=0),E499,0)</f>
        <v>0</v>
      </c>
      <c r="BK499" s="210">
        <f>IF(AND(Input_Product=Elig!$C499,Elig_MatchAll_Ct&lt;22,$BC499=(Elig_MatchAll_Ct-1),AI499=0),F499,0)</f>
        <v>0</v>
      </c>
      <c r="BL499" s="210">
        <f>IF(AND(Input_Product=Elig!$C499,Elig_MatchAll_Ct&lt;22,$BC499=(Elig_MatchAll_Ct-1),AJ499=0),G499,0)</f>
        <v>0</v>
      </c>
      <c r="BM499" s="210">
        <f>IF(AND(Input_Product=Elig!$C499,Elig_MatchAll_Ct&lt;22,$BC499=(Elig_MatchAll_Ct-1),AK499=0),H499,0)</f>
        <v>0</v>
      </c>
      <c r="BN499" s="210">
        <f>IF(AND(Input_Product=Elig!$C499,Elig_MatchAll_Ct&lt;22,$BC499=(Elig_MatchAll_Ct-1),AL499=0),I499,0)</f>
        <v>0</v>
      </c>
      <c r="BO499" s="210">
        <f>IF(AND(Input_Product=Elig!$C499,Elig_MatchAll_Ct&lt;22,$BC499=(Elig_MatchAll_Ct-1),AM499=0),J499,0)</f>
        <v>0</v>
      </c>
      <c r="BP499" s="210">
        <f>IF(AND(Input_Product=Elig!$C499,Elig_MatchAll_Ct&lt;22,$BC499=(Elig_MatchAll_Ct-1),AN499=0),K499,0)</f>
        <v>0</v>
      </c>
      <c r="BQ499" s="210">
        <f>IF(AND(Input_Product=Elig!$C499,Elig_MatchAll_Ct&lt;22,$BC499=(Elig_MatchAll_Ct-1),AP499=0),L499,0)</f>
        <v>0</v>
      </c>
      <c r="BR499" s="210">
        <f>IF(AND(Input_Product=Elig!$C499,Elig_MatchAll_Ct&lt;22,$BC499=(Elig_MatchAll_Ct-1),AO499=0),M499,0)</f>
        <v>0</v>
      </c>
      <c r="BS499" s="210">
        <f>IF(AND(Input_Product=Elig!$C499,Elig_MatchAll_Ct&lt;22,$BC499=(Elig_MatchAll_Ct-1),AQ499=0),N499,0)</f>
        <v>0</v>
      </c>
      <c r="BT499" s="210">
        <f>IF(AND(Input_Product=Elig!$C499,Elig_MatchAll_Ct&lt;22,$BC499=(Elig_MatchAll_Ct-1),AR499=0),O499,0)</f>
        <v>0</v>
      </c>
      <c r="BU499" s="210">
        <f>IF(AND(Input_Product=Elig!$C499,Elig_MatchAll_Ct&lt;22,$BC499=(Elig_MatchAll_Ct-1),AS499=0),P499,0)</f>
        <v>0</v>
      </c>
      <c r="BV499" s="211">
        <f>IF(AND(Input_Product=Elig!$C499,Elig_MatchAll_Ct&lt;22,$BC499=(Elig_MatchAll_Ct-1),AT499=0),Q499,0)</f>
        <v>0</v>
      </c>
      <c r="BW499" s="212">
        <f>IF(AND(Input_Product=Elig!$C499,Elig_MatchAll_Ct&lt;22,$BC499=(Elig_MatchAll_Ct-1),AU499=0),R499,0)</f>
        <v>0</v>
      </c>
      <c r="BX499" s="213">
        <f>IF(AND(Input_Product=Elig!$C499,Elig_MatchAll_Ct&lt;22,$BC499=(Elig_MatchAll_Ct-1),AU499=0),S499,0)</f>
        <v>0</v>
      </c>
      <c r="BY499" s="212">
        <f>IF(AND(Input_Product=Elig!$C499,Elig_MatchAll_Ct&lt;22,$BC499=(Elig_MatchAll_Ct-1),AV499=0),T499,0)</f>
        <v>0</v>
      </c>
      <c r="BZ499" s="213">
        <f>IF(AND(Input_Product=Elig!$C499,Elig_MatchAll_Ct&lt;22,$BC499=(Elig_MatchAll_Ct-1),AV499=0),U499,0)</f>
        <v>0</v>
      </c>
      <c r="CA499" s="212">
        <f>IF(AND(Input_Product=Elig!$C499,Elig_MatchAll_Ct&lt;22,$BC499=(Elig_MatchAll_Ct-1),AW499=0),V499,0)</f>
        <v>0</v>
      </c>
      <c r="CB499" s="213">
        <f>IF(AND(Input_Product=Elig!$C499,Elig_MatchAll_Ct&lt;22,$BC499=(Elig_MatchAll_Ct-1),AW499=0),W499,0)</f>
        <v>0</v>
      </c>
      <c r="CC499" s="212">
        <f>IF(AND(Input_Product=Elig!$C499,Elig_MatchAll_Ct&lt;22,$BC499=(Elig_MatchAll_Ct-1),AX499=0),X499,0)</f>
        <v>0</v>
      </c>
      <c r="CD499" s="213">
        <f>IF(AND(Input_Product=Elig!$C499,Elig_MatchAll_Ct&lt;22,$BC499=(Elig_MatchAll_Ct-1),AX499=0),Y499,0)</f>
        <v>0</v>
      </c>
      <c r="CE499" s="212">
        <f>IF(AND(Input_LTV&lt;=AE499,Input_Product=Elig!$C499,Elig_MatchAll_Ct&lt;22,$BC499=(Elig_MatchAll_Ct-1),AY499=0),Z499,0)</f>
        <v>0</v>
      </c>
      <c r="CF499" s="213">
        <f>IF(AND(Input_LTV&lt;=AE499,Input_Product=Elig!$C499,Elig_MatchAll_Ct&lt;22,$BC499=(Elig_MatchAll_Ct-1),AY499=0),AA499,0)</f>
        <v>0</v>
      </c>
      <c r="CG499" s="212">
        <f>IF(AND(Input_Product=Elig!$C499,Elig_MatchAll_Ct&lt;22,$BC499=(Elig_MatchAll_Ct-1),AZ499=0),AB499,0)</f>
        <v>0</v>
      </c>
      <c r="CH499" s="213">
        <f>IF(AND(Input_Product=Elig!$C499,Elig_MatchAll_Ct&lt;22,$BC499=(Elig_MatchAll_Ct-1),AZ499=0),AC499,0)</f>
        <v>0</v>
      </c>
      <c r="CI499" s="212">
        <f>IF(AND(Input_Product=Elig!$C499,Elig_MatchAll_Ct&lt;22,$BC499=(Elig_MatchAll_Ct-1),BA499=0),AD499,0)</f>
        <v>0</v>
      </c>
      <c r="CJ499" s="213">
        <f>IF(AND(Input_Product=Elig!$C499,Elig_MatchAll_Ct&lt;22,$BC499=(Elig_MatchAll_Ct-1),BA499=0),AE499,0)</f>
        <v>0</v>
      </c>
    </row>
    <row r="500" spans="2:88" ht="10.15" customHeight="1" x14ac:dyDescent="0.25">
      <c r="B500" s="287" t="s">
        <v>3991</v>
      </c>
      <c r="C500" s="286" t="str">
        <f t="shared" si="175"/>
        <v>NonQM NOO</v>
      </c>
      <c r="D500" s="287" t="s">
        <v>3885</v>
      </c>
      <c r="E500" s="287" t="s">
        <v>167</v>
      </c>
      <c r="F500" s="287" t="s">
        <v>330</v>
      </c>
      <c r="G500" s="287" t="s">
        <v>303</v>
      </c>
      <c r="H500" s="287" t="s">
        <v>136</v>
      </c>
      <c r="I500" s="288" t="s">
        <v>16</v>
      </c>
      <c r="J500" s="288" t="s">
        <v>1311</v>
      </c>
      <c r="K500" s="288" t="s">
        <v>1631</v>
      </c>
      <c r="L500" s="300" t="s">
        <v>312</v>
      </c>
      <c r="M500" s="287" t="s">
        <v>4203</v>
      </c>
      <c r="N500" s="287" t="s">
        <v>2685</v>
      </c>
      <c r="O500" s="287" t="s">
        <v>310</v>
      </c>
      <c r="P500" s="287" t="s">
        <v>291</v>
      </c>
      <c r="Q500" s="287" t="s">
        <v>294</v>
      </c>
      <c r="R500" s="287">
        <v>2000000.01</v>
      </c>
      <c r="S500" s="300">
        <v>2500000</v>
      </c>
      <c r="T500" s="287">
        <v>0</v>
      </c>
      <c r="U500" s="287">
        <f t="shared" si="198"/>
        <v>2500000</v>
      </c>
      <c r="V500" s="287">
        <v>0</v>
      </c>
      <c r="W500" s="287">
        <v>50</v>
      </c>
      <c r="X500" s="287">
        <v>0</v>
      </c>
      <c r="Y500" s="287">
        <v>999</v>
      </c>
      <c r="Z500" s="289">
        <v>700</v>
      </c>
      <c r="AA500" s="289">
        <v>719</v>
      </c>
      <c r="AB500" s="289">
        <v>9</v>
      </c>
      <c r="AC500" s="289">
        <v>999999</v>
      </c>
      <c r="AD500" s="287">
        <v>0</v>
      </c>
      <c r="AE500" s="2105">
        <v>65</v>
      </c>
      <c r="AF500" s="170">
        <v>0</v>
      </c>
      <c r="AG500" s="171">
        <v>1</v>
      </c>
      <c r="AH500" s="171">
        <v>1</v>
      </c>
      <c r="AI500" s="171">
        <v>0</v>
      </c>
      <c r="AJ500" s="171">
        <v>1</v>
      </c>
      <c r="AK500" s="171">
        <v>1</v>
      </c>
      <c r="AL500" s="171">
        <v>1</v>
      </c>
      <c r="AM500" s="171">
        <v>1</v>
      </c>
      <c r="AN500" s="171">
        <v>1</v>
      </c>
      <c r="AO500" s="171">
        <v>1</v>
      </c>
      <c r="AP500" s="171">
        <v>1</v>
      </c>
      <c r="AQ500" s="171">
        <v>1</v>
      </c>
      <c r="AR500" s="171">
        <v>1</v>
      </c>
      <c r="AS500" s="171">
        <v>1</v>
      </c>
      <c r="AT500" s="171">
        <v>1</v>
      </c>
      <c r="AU500" s="171">
        <f t="shared" si="183"/>
        <v>0</v>
      </c>
      <c r="AV500" s="171">
        <f t="shared" si="184"/>
        <v>1</v>
      </c>
      <c r="AW500" s="171">
        <f t="shared" si="185"/>
        <v>1</v>
      </c>
      <c r="AX500" s="171">
        <f t="shared" si="197"/>
        <v>1</v>
      </c>
      <c r="AY500" s="171">
        <f t="shared" si="186"/>
        <v>0</v>
      </c>
      <c r="AZ500" s="171">
        <f t="shared" si="187"/>
        <v>1</v>
      </c>
      <c r="BA500" s="172">
        <f t="shared" si="188"/>
        <v>1</v>
      </c>
      <c r="BB500" s="175">
        <f t="shared" si="190"/>
        <v>18</v>
      </c>
      <c r="BC500" s="176">
        <f t="shared" si="191"/>
        <v>17</v>
      </c>
      <c r="BD500" s="176">
        <f t="shared" si="192"/>
        <v>18</v>
      </c>
      <c r="BE500" s="240" t="str">
        <f t="shared" si="181"/>
        <v/>
      </c>
      <c r="BH500" s="199">
        <f>IF(AND(Input_Product=Elig!$C500,Elig_MatchAll_Ct&lt;22,$BC500=(Elig_MatchAll_Ct-1),AF500=0),C500,0)</f>
        <v>0</v>
      </c>
      <c r="BI500" s="199">
        <f>IF(AND(Input_Product=Elig!$C500,Elig_MatchAll_Ct&lt;22,$BC500=(Elig_MatchAll_Ct-1),AG500=0),D500,0)</f>
        <v>0</v>
      </c>
      <c r="BJ500" s="199">
        <f>IF(AND(Input_Product=Elig!$C500,Elig_MatchAll_Ct&lt;22,$BC500=(Elig_MatchAll_Ct-1),AH500=0),E500,0)</f>
        <v>0</v>
      </c>
      <c r="BK500" s="199">
        <f>IF(AND(Input_Product=Elig!$C500,Elig_MatchAll_Ct&lt;22,$BC500=(Elig_MatchAll_Ct-1),AI500=0),F500,0)</f>
        <v>0</v>
      </c>
      <c r="BL500" s="199">
        <f>IF(AND(Input_Product=Elig!$C500,Elig_MatchAll_Ct&lt;22,$BC500=(Elig_MatchAll_Ct-1),AJ500=0),G500,0)</f>
        <v>0</v>
      </c>
      <c r="BM500" s="199">
        <f>IF(AND(Input_Product=Elig!$C500,Elig_MatchAll_Ct&lt;22,$BC500=(Elig_MatchAll_Ct-1),AK500=0),H500,0)</f>
        <v>0</v>
      </c>
      <c r="BN500" s="199">
        <f>IF(AND(Input_Product=Elig!$C500,Elig_MatchAll_Ct&lt;22,$BC500=(Elig_MatchAll_Ct-1),AL500=0),I500,0)</f>
        <v>0</v>
      </c>
      <c r="BO500" s="199">
        <f>IF(AND(Input_Product=Elig!$C500,Elig_MatchAll_Ct&lt;22,$BC500=(Elig_MatchAll_Ct-1),AM500=0),J500,0)</f>
        <v>0</v>
      </c>
      <c r="BP500" s="199">
        <f>IF(AND(Input_Product=Elig!$C500,Elig_MatchAll_Ct&lt;22,$BC500=(Elig_MatchAll_Ct-1),AN500=0),K500,0)</f>
        <v>0</v>
      </c>
      <c r="BQ500" s="199">
        <f>IF(AND(Input_Product=Elig!$C500,Elig_MatchAll_Ct&lt;22,$BC500=(Elig_MatchAll_Ct-1),AP500=0),L500,0)</f>
        <v>0</v>
      </c>
      <c r="BR500" s="199">
        <f>IF(AND(Input_Product=Elig!$C500,Elig_MatchAll_Ct&lt;22,$BC500=(Elig_MatchAll_Ct-1),AO500=0),M500,0)</f>
        <v>0</v>
      </c>
      <c r="BS500" s="199">
        <f>IF(AND(Input_Product=Elig!$C500,Elig_MatchAll_Ct&lt;22,$BC500=(Elig_MatchAll_Ct-1),AQ500=0),N500,0)</f>
        <v>0</v>
      </c>
      <c r="BT500" s="199">
        <f>IF(AND(Input_Product=Elig!$C500,Elig_MatchAll_Ct&lt;22,$BC500=(Elig_MatchAll_Ct-1),AR500=0),O500,0)</f>
        <v>0</v>
      </c>
      <c r="BU500" s="199">
        <f>IF(AND(Input_Product=Elig!$C500,Elig_MatchAll_Ct&lt;22,$BC500=(Elig_MatchAll_Ct-1),AS500=0),P500,0)</f>
        <v>0</v>
      </c>
      <c r="BV500" s="200">
        <f>IF(AND(Input_Product=Elig!$C500,Elig_MatchAll_Ct&lt;22,$BC500=(Elig_MatchAll_Ct-1),AT500=0),Q500,0)</f>
        <v>0</v>
      </c>
      <c r="BW500" s="201">
        <f>IF(AND(Input_Product=Elig!$C500,Elig_MatchAll_Ct&lt;22,$BC500=(Elig_MatchAll_Ct-1),AU500=0),R500,0)</f>
        <v>0</v>
      </c>
      <c r="BX500" s="202">
        <f>IF(AND(Input_Product=Elig!$C500,Elig_MatchAll_Ct&lt;22,$BC500=(Elig_MatchAll_Ct-1),AU500=0),S500,0)</f>
        <v>0</v>
      </c>
      <c r="BY500" s="201">
        <f>IF(AND(Input_Product=Elig!$C500,Elig_MatchAll_Ct&lt;22,$BC500=(Elig_MatchAll_Ct-1),AV500=0),T500,0)</f>
        <v>0</v>
      </c>
      <c r="BZ500" s="202">
        <f>IF(AND(Input_Product=Elig!$C500,Elig_MatchAll_Ct&lt;22,$BC500=(Elig_MatchAll_Ct-1),AV500=0),U500,0)</f>
        <v>0</v>
      </c>
      <c r="CA500" s="201">
        <f>IF(AND(Input_Product=Elig!$C500,Elig_MatchAll_Ct&lt;22,$BC500=(Elig_MatchAll_Ct-1),AW500=0),V500,0)</f>
        <v>0</v>
      </c>
      <c r="CB500" s="202">
        <f>IF(AND(Input_Product=Elig!$C500,Elig_MatchAll_Ct&lt;22,$BC500=(Elig_MatchAll_Ct-1),AW500=0),W500,0)</f>
        <v>0</v>
      </c>
      <c r="CC500" s="201">
        <f>IF(AND(Input_Product=Elig!$C500,Elig_MatchAll_Ct&lt;22,$BC500=(Elig_MatchAll_Ct-1),AX500=0),X500,0)</f>
        <v>0</v>
      </c>
      <c r="CD500" s="202">
        <f>IF(AND(Input_Product=Elig!$C500,Elig_MatchAll_Ct&lt;22,$BC500=(Elig_MatchAll_Ct-1),AX500=0),Y500,0)</f>
        <v>0</v>
      </c>
      <c r="CE500" s="201">
        <f>IF(AND(Input_LTV&lt;=AE500,Input_Product=Elig!$C500,Elig_MatchAll_Ct&lt;22,$BC500=(Elig_MatchAll_Ct-1),AY500=0),Z500,0)</f>
        <v>0</v>
      </c>
      <c r="CF500" s="202">
        <f>IF(AND(Input_LTV&lt;=AE500,Input_Product=Elig!$C500,Elig_MatchAll_Ct&lt;22,$BC500=(Elig_MatchAll_Ct-1),AY500=0),AA500,0)</f>
        <v>0</v>
      </c>
      <c r="CG500" s="201">
        <f>IF(AND(Input_Product=Elig!$C500,Elig_MatchAll_Ct&lt;22,$BC500=(Elig_MatchAll_Ct-1),AZ500=0),AB500,0)</f>
        <v>0</v>
      </c>
      <c r="CH500" s="202">
        <f>IF(AND(Input_Product=Elig!$C500,Elig_MatchAll_Ct&lt;22,$BC500=(Elig_MatchAll_Ct-1),AZ500=0),AC500,0)</f>
        <v>0</v>
      </c>
      <c r="CI500" s="201">
        <f>IF(AND(Input_Product=Elig!$C500,Elig_MatchAll_Ct&lt;22,$BC500=(Elig_MatchAll_Ct-1),BA500=0),AD500,0)</f>
        <v>0</v>
      </c>
      <c r="CJ500" s="202">
        <f>IF(AND(Input_Product=Elig!$C500,Elig_MatchAll_Ct&lt;22,$BC500=(Elig_MatchAll_Ct-1),BA500=0),AE500,0)</f>
        <v>0</v>
      </c>
    </row>
    <row r="501" spans="2:88" ht="10.15" customHeight="1" x14ac:dyDescent="0.25">
      <c r="B501" s="287" t="s">
        <v>3992</v>
      </c>
      <c r="C501" s="286" t="str">
        <f t="shared" si="175"/>
        <v>NonQM NOO</v>
      </c>
      <c r="D501" s="287" t="s">
        <v>3885</v>
      </c>
      <c r="E501" s="287" t="s">
        <v>167</v>
      </c>
      <c r="F501" s="287" t="s">
        <v>330</v>
      </c>
      <c r="G501" s="287" t="s">
        <v>303</v>
      </c>
      <c r="H501" s="287" t="s">
        <v>136</v>
      </c>
      <c r="I501" s="288" t="s">
        <v>16</v>
      </c>
      <c r="J501" s="288" t="s">
        <v>1311</v>
      </c>
      <c r="K501" s="288" t="s">
        <v>1631</v>
      </c>
      <c r="L501" s="300" t="s">
        <v>312</v>
      </c>
      <c r="M501" s="287" t="s">
        <v>4203</v>
      </c>
      <c r="N501" s="287" t="s">
        <v>2685</v>
      </c>
      <c r="O501" s="287" t="s">
        <v>310</v>
      </c>
      <c r="P501" s="287" t="s">
        <v>291</v>
      </c>
      <c r="Q501" s="287" t="s">
        <v>294</v>
      </c>
      <c r="R501" s="287">
        <v>2000000.01</v>
      </c>
      <c r="S501" s="300">
        <v>2500000</v>
      </c>
      <c r="T501" s="287">
        <v>0</v>
      </c>
      <c r="U501" s="287">
        <f t="shared" ref="U501" si="199">S501</f>
        <v>2500000</v>
      </c>
      <c r="V501" s="287">
        <v>0</v>
      </c>
      <c r="W501" s="287">
        <v>50</v>
      </c>
      <c r="X501" s="287">
        <v>0</v>
      </c>
      <c r="Y501" s="287">
        <v>999</v>
      </c>
      <c r="Z501" s="2101">
        <v>680</v>
      </c>
      <c r="AA501" s="2101">
        <v>699</v>
      </c>
      <c r="AB501" s="289">
        <v>9</v>
      </c>
      <c r="AC501" s="289">
        <v>999999</v>
      </c>
      <c r="AD501" s="287">
        <v>0</v>
      </c>
      <c r="AE501" s="2105">
        <v>65</v>
      </c>
      <c r="AF501" s="170">
        <v>0</v>
      </c>
      <c r="AG501" s="171">
        <v>1</v>
      </c>
      <c r="AH501" s="171">
        <v>1</v>
      </c>
      <c r="AI501" s="171">
        <v>0</v>
      </c>
      <c r="AJ501" s="171">
        <v>1</v>
      </c>
      <c r="AK501" s="171">
        <v>1</v>
      </c>
      <c r="AL501" s="171">
        <v>1</v>
      </c>
      <c r="AM501" s="171">
        <v>1</v>
      </c>
      <c r="AN501" s="171">
        <v>1</v>
      </c>
      <c r="AO501" s="171">
        <v>1</v>
      </c>
      <c r="AP501" s="171">
        <v>1</v>
      </c>
      <c r="AQ501" s="171">
        <v>1</v>
      </c>
      <c r="AR501" s="171">
        <v>1</v>
      </c>
      <c r="AS501" s="171">
        <v>1</v>
      </c>
      <c r="AT501" s="171">
        <v>1</v>
      </c>
      <c r="AU501" s="171">
        <f t="shared" si="183"/>
        <v>0</v>
      </c>
      <c r="AV501" s="171">
        <f t="shared" si="184"/>
        <v>1</v>
      </c>
      <c r="AW501" s="171">
        <f t="shared" si="185"/>
        <v>1</v>
      </c>
      <c r="AX501" s="171">
        <f t="shared" si="197"/>
        <v>1</v>
      </c>
      <c r="AY501" s="171">
        <f t="shared" si="186"/>
        <v>0</v>
      </c>
      <c r="AZ501" s="171">
        <f t="shared" si="187"/>
        <v>1</v>
      </c>
      <c r="BA501" s="172">
        <f t="shared" si="188"/>
        <v>1</v>
      </c>
      <c r="BB501" s="175">
        <f t="shared" ref="BB501" si="200">SUM(AF501:BA501)</f>
        <v>18</v>
      </c>
      <c r="BC501" s="176">
        <f t="shared" ref="BC501" si="201">SUM(AF501:AZ501)</f>
        <v>17</v>
      </c>
      <c r="BD501" s="176">
        <f t="shared" ref="BD501" si="202">SUM(AG501:BA501)</f>
        <v>18</v>
      </c>
      <c r="BE501" s="240" t="str">
        <f t="shared" si="181"/>
        <v/>
      </c>
      <c r="BH501" s="199">
        <f>IF(AND(Input_Product=Elig!$C501,Elig_MatchAll_Ct&lt;22,$BC501=(Elig_MatchAll_Ct-1),AF501=0),C501,0)</f>
        <v>0</v>
      </c>
      <c r="BI501" s="199">
        <f>IF(AND(Input_Product=Elig!$C501,Elig_MatchAll_Ct&lt;22,$BC501=(Elig_MatchAll_Ct-1),AG501=0),D501,0)</f>
        <v>0</v>
      </c>
      <c r="BJ501" s="199">
        <f>IF(AND(Input_Product=Elig!$C501,Elig_MatchAll_Ct&lt;22,$BC501=(Elig_MatchAll_Ct-1),AH501=0),E501,0)</f>
        <v>0</v>
      </c>
      <c r="BK501" s="199">
        <f>IF(AND(Input_Product=Elig!$C501,Elig_MatchAll_Ct&lt;22,$BC501=(Elig_MatchAll_Ct-1),AI501=0),F501,0)</f>
        <v>0</v>
      </c>
      <c r="BL501" s="199">
        <f>IF(AND(Input_Product=Elig!$C501,Elig_MatchAll_Ct&lt;22,$BC501=(Elig_MatchAll_Ct-1),AJ501=0),G501,0)</f>
        <v>0</v>
      </c>
      <c r="BM501" s="199">
        <f>IF(AND(Input_Product=Elig!$C501,Elig_MatchAll_Ct&lt;22,$BC501=(Elig_MatchAll_Ct-1),AK501=0),H501,0)</f>
        <v>0</v>
      </c>
      <c r="BN501" s="199">
        <f>IF(AND(Input_Product=Elig!$C501,Elig_MatchAll_Ct&lt;22,$BC501=(Elig_MatchAll_Ct-1),AL501=0),I501,0)</f>
        <v>0</v>
      </c>
      <c r="BO501" s="199">
        <f>IF(AND(Input_Product=Elig!$C501,Elig_MatchAll_Ct&lt;22,$BC501=(Elig_MatchAll_Ct-1),AM501=0),J501,0)</f>
        <v>0</v>
      </c>
      <c r="BP501" s="199">
        <f>IF(AND(Input_Product=Elig!$C501,Elig_MatchAll_Ct&lt;22,$BC501=(Elig_MatchAll_Ct-1),AN501=0),K501,0)</f>
        <v>0</v>
      </c>
      <c r="BQ501" s="199">
        <f>IF(AND(Input_Product=Elig!$C501,Elig_MatchAll_Ct&lt;22,$BC501=(Elig_MatchAll_Ct-1),AP501=0),L501,0)</f>
        <v>0</v>
      </c>
      <c r="BR501" s="199">
        <f>IF(AND(Input_Product=Elig!$C501,Elig_MatchAll_Ct&lt;22,$BC501=(Elig_MatchAll_Ct-1),AO501=0),M501,0)</f>
        <v>0</v>
      </c>
      <c r="BS501" s="199">
        <f>IF(AND(Input_Product=Elig!$C501,Elig_MatchAll_Ct&lt;22,$BC501=(Elig_MatchAll_Ct-1),AQ501=0),N501,0)</f>
        <v>0</v>
      </c>
      <c r="BT501" s="199">
        <f>IF(AND(Input_Product=Elig!$C501,Elig_MatchAll_Ct&lt;22,$BC501=(Elig_MatchAll_Ct-1),AR501=0),O501,0)</f>
        <v>0</v>
      </c>
      <c r="BU501" s="199">
        <f>IF(AND(Input_Product=Elig!$C501,Elig_MatchAll_Ct&lt;22,$BC501=(Elig_MatchAll_Ct-1),AS501=0),P501,0)</f>
        <v>0</v>
      </c>
      <c r="BV501" s="200">
        <f>IF(AND(Input_Product=Elig!$C501,Elig_MatchAll_Ct&lt;22,$BC501=(Elig_MatchAll_Ct-1),AT501=0),Q501,0)</f>
        <v>0</v>
      </c>
      <c r="BW501" s="201">
        <f>IF(AND(Input_Product=Elig!$C501,Elig_MatchAll_Ct&lt;22,$BC501=(Elig_MatchAll_Ct-1),AU501=0),R501,0)</f>
        <v>0</v>
      </c>
      <c r="BX501" s="202">
        <f>IF(AND(Input_Product=Elig!$C501,Elig_MatchAll_Ct&lt;22,$BC501=(Elig_MatchAll_Ct-1),AU501=0),S501,0)</f>
        <v>0</v>
      </c>
      <c r="BY501" s="201">
        <f>IF(AND(Input_Product=Elig!$C501,Elig_MatchAll_Ct&lt;22,$BC501=(Elig_MatchAll_Ct-1),AV501=0),T501,0)</f>
        <v>0</v>
      </c>
      <c r="BZ501" s="202">
        <f>IF(AND(Input_Product=Elig!$C501,Elig_MatchAll_Ct&lt;22,$BC501=(Elig_MatchAll_Ct-1),AV501=0),U501,0)</f>
        <v>0</v>
      </c>
      <c r="CA501" s="201">
        <f>IF(AND(Input_Product=Elig!$C501,Elig_MatchAll_Ct&lt;22,$BC501=(Elig_MatchAll_Ct-1),AW501=0),V501,0)</f>
        <v>0</v>
      </c>
      <c r="CB501" s="202">
        <f>IF(AND(Input_Product=Elig!$C501,Elig_MatchAll_Ct&lt;22,$BC501=(Elig_MatchAll_Ct-1),AW501=0),W501,0)</f>
        <v>0</v>
      </c>
      <c r="CC501" s="201">
        <f>IF(AND(Input_Product=Elig!$C501,Elig_MatchAll_Ct&lt;22,$BC501=(Elig_MatchAll_Ct-1),AX501=0),X501,0)</f>
        <v>0</v>
      </c>
      <c r="CD501" s="202">
        <f>IF(AND(Input_Product=Elig!$C501,Elig_MatchAll_Ct&lt;22,$BC501=(Elig_MatchAll_Ct-1),AX501=0),Y501,0)</f>
        <v>0</v>
      </c>
      <c r="CE501" s="201">
        <f>IF(AND(Input_LTV&lt;=AE501,Input_Product=Elig!$C501,Elig_MatchAll_Ct&lt;22,$BC501=(Elig_MatchAll_Ct-1),AY501=0),Z501,0)</f>
        <v>0</v>
      </c>
      <c r="CF501" s="202">
        <f>IF(AND(Input_LTV&lt;=AE501,Input_Product=Elig!$C501,Elig_MatchAll_Ct&lt;22,$BC501=(Elig_MatchAll_Ct-1),AY501=0),AA501,0)</f>
        <v>0</v>
      </c>
      <c r="CG501" s="201">
        <f>IF(AND(Input_Product=Elig!$C501,Elig_MatchAll_Ct&lt;22,$BC501=(Elig_MatchAll_Ct-1),AZ501=0),AB501,0)</f>
        <v>0</v>
      </c>
      <c r="CH501" s="202">
        <f>IF(AND(Input_Product=Elig!$C501,Elig_MatchAll_Ct&lt;22,$BC501=(Elig_MatchAll_Ct-1),AZ501=0),AC501,0)</f>
        <v>0</v>
      </c>
      <c r="CI501" s="201">
        <f>IF(AND(Input_Product=Elig!$C501,Elig_MatchAll_Ct&lt;22,$BC501=(Elig_MatchAll_Ct-1),BA501=0),AD501,0)</f>
        <v>0</v>
      </c>
      <c r="CJ501" s="202">
        <f>IF(AND(Input_Product=Elig!$C501,Elig_MatchAll_Ct&lt;22,$BC501=(Elig_MatchAll_Ct-1),BA501=0),AE501,0)</f>
        <v>0</v>
      </c>
    </row>
    <row r="502" spans="2:88" ht="10.15" customHeight="1" x14ac:dyDescent="0.25">
      <c r="B502" s="287" t="s">
        <v>3993</v>
      </c>
      <c r="C502" s="291" t="str">
        <f t="shared" si="175"/>
        <v>NonQM NOO</v>
      </c>
      <c r="D502" s="292" t="s">
        <v>3885</v>
      </c>
      <c r="E502" s="292" t="s">
        <v>167</v>
      </c>
      <c r="F502" s="292" t="s">
        <v>330</v>
      </c>
      <c r="G502" s="292" t="s">
        <v>303</v>
      </c>
      <c r="H502" s="292" t="s">
        <v>136</v>
      </c>
      <c r="I502" s="295" t="s">
        <v>16</v>
      </c>
      <c r="J502" s="295" t="s">
        <v>1311</v>
      </c>
      <c r="K502" s="295" t="s">
        <v>1631</v>
      </c>
      <c r="L502" s="324" t="s">
        <v>312</v>
      </c>
      <c r="M502" s="292" t="s">
        <v>4203</v>
      </c>
      <c r="N502" s="292" t="s">
        <v>2685</v>
      </c>
      <c r="O502" s="292" t="s">
        <v>310</v>
      </c>
      <c r="P502" s="292" t="s">
        <v>291</v>
      </c>
      <c r="Q502" s="292" t="s">
        <v>294</v>
      </c>
      <c r="R502" s="292">
        <v>2000000.01</v>
      </c>
      <c r="S502" s="324">
        <v>2500000</v>
      </c>
      <c r="T502" s="292">
        <v>0</v>
      </c>
      <c r="U502" s="292">
        <f t="shared" si="198"/>
        <v>2500000</v>
      </c>
      <c r="V502" s="292">
        <v>0</v>
      </c>
      <c r="W502" s="292">
        <v>50</v>
      </c>
      <c r="X502" s="292">
        <v>0</v>
      </c>
      <c r="Y502" s="292">
        <v>999</v>
      </c>
      <c r="Z502" s="2102">
        <v>660</v>
      </c>
      <c r="AA502" s="2102">
        <v>679</v>
      </c>
      <c r="AB502" s="293">
        <v>9</v>
      </c>
      <c r="AC502" s="293">
        <v>999999</v>
      </c>
      <c r="AD502" s="292">
        <v>0</v>
      </c>
      <c r="AE502" s="2107">
        <v>65</v>
      </c>
      <c r="AF502" s="170">
        <v>0</v>
      </c>
      <c r="AG502" s="171">
        <v>1</v>
      </c>
      <c r="AH502" s="171">
        <v>1</v>
      </c>
      <c r="AI502" s="171">
        <v>0</v>
      </c>
      <c r="AJ502" s="171">
        <v>1</v>
      </c>
      <c r="AK502" s="171">
        <v>1</v>
      </c>
      <c r="AL502" s="171">
        <v>1</v>
      </c>
      <c r="AM502" s="171">
        <v>1</v>
      </c>
      <c r="AN502" s="171">
        <v>1</v>
      </c>
      <c r="AO502" s="171">
        <v>1</v>
      </c>
      <c r="AP502" s="171">
        <v>1</v>
      </c>
      <c r="AQ502" s="171">
        <v>1</v>
      </c>
      <c r="AR502" s="171">
        <v>1</v>
      </c>
      <c r="AS502" s="171">
        <v>1</v>
      </c>
      <c r="AT502" s="171">
        <v>1</v>
      </c>
      <c r="AU502" s="171">
        <f t="shared" si="183"/>
        <v>0</v>
      </c>
      <c r="AV502" s="171">
        <f t="shared" si="184"/>
        <v>1</v>
      </c>
      <c r="AW502" s="171">
        <f t="shared" si="185"/>
        <v>1</v>
      </c>
      <c r="AX502" s="171">
        <f t="shared" si="197"/>
        <v>1</v>
      </c>
      <c r="AY502" s="171">
        <f t="shared" si="186"/>
        <v>0</v>
      </c>
      <c r="AZ502" s="171">
        <f t="shared" si="187"/>
        <v>1</v>
      </c>
      <c r="BA502" s="172">
        <f t="shared" si="188"/>
        <v>1</v>
      </c>
      <c r="BB502" s="175">
        <f t="shared" si="190"/>
        <v>18</v>
      </c>
      <c r="BC502" s="176">
        <f t="shared" si="191"/>
        <v>17</v>
      </c>
      <c r="BD502" s="176">
        <f t="shared" si="192"/>
        <v>18</v>
      </c>
      <c r="BE502" s="240" t="str">
        <f t="shared" si="181"/>
        <v/>
      </c>
      <c r="BH502" s="214">
        <f>IF(AND(Input_Product=Elig!$C502,Elig_MatchAll_Ct&lt;22,$BC502=(Elig_MatchAll_Ct-1),AF502=0),C502,0)</f>
        <v>0</v>
      </c>
      <c r="BI502" s="214">
        <f>IF(AND(Input_Product=Elig!$C502,Elig_MatchAll_Ct&lt;22,$BC502=(Elig_MatchAll_Ct-1),AG502=0),D502,0)</f>
        <v>0</v>
      </c>
      <c r="BJ502" s="214">
        <f>IF(AND(Input_Product=Elig!$C502,Elig_MatchAll_Ct&lt;22,$BC502=(Elig_MatchAll_Ct-1),AH502=0),E502,0)</f>
        <v>0</v>
      </c>
      <c r="BK502" s="214">
        <f>IF(AND(Input_Product=Elig!$C502,Elig_MatchAll_Ct&lt;22,$BC502=(Elig_MatchAll_Ct-1),AI502=0),F502,0)</f>
        <v>0</v>
      </c>
      <c r="BL502" s="214">
        <f>IF(AND(Input_Product=Elig!$C502,Elig_MatchAll_Ct&lt;22,$BC502=(Elig_MatchAll_Ct-1),AJ502=0),G502,0)</f>
        <v>0</v>
      </c>
      <c r="BM502" s="214">
        <f>IF(AND(Input_Product=Elig!$C502,Elig_MatchAll_Ct&lt;22,$BC502=(Elig_MatchAll_Ct-1),AK502=0),H502,0)</f>
        <v>0</v>
      </c>
      <c r="BN502" s="214">
        <f>IF(AND(Input_Product=Elig!$C502,Elig_MatchAll_Ct&lt;22,$BC502=(Elig_MatchAll_Ct-1),AL502=0),I502,0)</f>
        <v>0</v>
      </c>
      <c r="BO502" s="214">
        <f>IF(AND(Input_Product=Elig!$C502,Elig_MatchAll_Ct&lt;22,$BC502=(Elig_MatchAll_Ct-1),AM502=0),J502,0)</f>
        <v>0</v>
      </c>
      <c r="BP502" s="214">
        <f>IF(AND(Input_Product=Elig!$C502,Elig_MatchAll_Ct&lt;22,$BC502=(Elig_MatchAll_Ct-1),AN502=0),K502,0)</f>
        <v>0</v>
      </c>
      <c r="BQ502" s="214">
        <f>IF(AND(Input_Product=Elig!$C502,Elig_MatchAll_Ct&lt;22,$BC502=(Elig_MatchAll_Ct-1),AP502=0),L502,0)</f>
        <v>0</v>
      </c>
      <c r="BR502" s="214">
        <f>IF(AND(Input_Product=Elig!$C502,Elig_MatchAll_Ct&lt;22,$BC502=(Elig_MatchAll_Ct-1),AO502=0),M502,0)</f>
        <v>0</v>
      </c>
      <c r="BS502" s="214">
        <f>IF(AND(Input_Product=Elig!$C502,Elig_MatchAll_Ct&lt;22,$BC502=(Elig_MatchAll_Ct-1),AQ502=0),N502,0)</f>
        <v>0</v>
      </c>
      <c r="BT502" s="214">
        <f>IF(AND(Input_Product=Elig!$C502,Elig_MatchAll_Ct&lt;22,$BC502=(Elig_MatchAll_Ct-1),AR502=0),O502,0)</f>
        <v>0</v>
      </c>
      <c r="BU502" s="214">
        <f>IF(AND(Input_Product=Elig!$C502,Elig_MatchAll_Ct&lt;22,$BC502=(Elig_MatchAll_Ct-1),AS502=0),P502,0)</f>
        <v>0</v>
      </c>
      <c r="BV502" s="215">
        <f>IF(AND(Input_Product=Elig!$C502,Elig_MatchAll_Ct&lt;22,$BC502=(Elig_MatchAll_Ct-1),AT502=0),Q502,0)</f>
        <v>0</v>
      </c>
      <c r="BW502" s="311">
        <f>IF(AND(Input_Product=Elig!$C502,Elig_MatchAll_Ct&lt;22,$BC502=(Elig_MatchAll_Ct-1),AU502=0),R502,0)</f>
        <v>0</v>
      </c>
      <c r="BX502" s="312">
        <f>IF(AND(Input_Product=Elig!$C502,Elig_MatchAll_Ct&lt;22,$BC502=(Elig_MatchAll_Ct-1),AU502=0),S502,0)</f>
        <v>0</v>
      </c>
      <c r="BY502" s="311">
        <f>IF(AND(Input_Product=Elig!$C502,Elig_MatchAll_Ct&lt;22,$BC502=(Elig_MatchAll_Ct-1),AV502=0),T502,0)</f>
        <v>0</v>
      </c>
      <c r="BZ502" s="312">
        <f>IF(AND(Input_Product=Elig!$C502,Elig_MatchAll_Ct&lt;22,$BC502=(Elig_MatchAll_Ct-1),AV502=0),U502,0)</f>
        <v>0</v>
      </c>
      <c r="CA502" s="311">
        <f>IF(AND(Input_Product=Elig!$C502,Elig_MatchAll_Ct&lt;22,$BC502=(Elig_MatchAll_Ct-1),AW502=0),V502,0)</f>
        <v>0</v>
      </c>
      <c r="CB502" s="312">
        <f>IF(AND(Input_Product=Elig!$C502,Elig_MatchAll_Ct&lt;22,$BC502=(Elig_MatchAll_Ct-1),AW502=0),W502,0)</f>
        <v>0</v>
      </c>
      <c r="CC502" s="311">
        <f>IF(AND(Input_Product=Elig!$C502,Elig_MatchAll_Ct&lt;22,$BC502=(Elig_MatchAll_Ct-1),AX502=0),X502,0)</f>
        <v>0</v>
      </c>
      <c r="CD502" s="312">
        <f>IF(AND(Input_Product=Elig!$C502,Elig_MatchAll_Ct&lt;22,$BC502=(Elig_MatchAll_Ct-1),AX502=0),Y502,0)</f>
        <v>0</v>
      </c>
      <c r="CE502" s="311">
        <f>IF(AND(Input_LTV&lt;=AE502,Input_Product=Elig!$C502,Elig_MatchAll_Ct&lt;22,$BC502=(Elig_MatchAll_Ct-1),AY502=0),Z502,0)</f>
        <v>0</v>
      </c>
      <c r="CF502" s="312">
        <f>IF(AND(Input_LTV&lt;=AE502,Input_Product=Elig!$C502,Elig_MatchAll_Ct&lt;22,$BC502=(Elig_MatchAll_Ct-1),AY502=0),AA502,0)</f>
        <v>0</v>
      </c>
      <c r="CG502" s="311">
        <f>IF(AND(Input_Product=Elig!$C502,Elig_MatchAll_Ct&lt;22,$BC502=(Elig_MatchAll_Ct-1),AZ502=0),AB502,0)</f>
        <v>0</v>
      </c>
      <c r="CH502" s="312">
        <f>IF(AND(Input_Product=Elig!$C502,Elig_MatchAll_Ct&lt;22,$BC502=(Elig_MatchAll_Ct-1),AZ502=0),AC502,0)</f>
        <v>0</v>
      </c>
      <c r="CI502" s="311">
        <f>IF(AND(Input_Product=Elig!$C502,Elig_MatchAll_Ct&lt;22,$BC502=(Elig_MatchAll_Ct-1),BA502=0),AD502,0)</f>
        <v>0</v>
      </c>
      <c r="CJ502" s="312">
        <f>IF(AND(Input_Product=Elig!$C502,Elig_MatchAll_Ct&lt;22,$BC502=(Elig_MatchAll_Ct-1),BA502=0),AE502,0)</f>
        <v>0</v>
      </c>
    </row>
    <row r="503" spans="2:88" ht="10.15" customHeight="1" x14ac:dyDescent="0.25">
      <c r="B503" s="287" t="s">
        <v>3994</v>
      </c>
      <c r="C503" s="281" t="str">
        <f t="shared" si="175"/>
        <v>NonQM NOO</v>
      </c>
      <c r="D503" s="282" t="s">
        <v>3885</v>
      </c>
      <c r="E503" s="283" t="s">
        <v>167</v>
      </c>
      <c r="F503" s="283" t="s">
        <v>330</v>
      </c>
      <c r="G503" s="2103" t="s">
        <v>304</v>
      </c>
      <c r="H503" s="283" t="s">
        <v>446</v>
      </c>
      <c r="I503" s="282" t="s">
        <v>274</v>
      </c>
      <c r="J503" s="282" t="s">
        <v>1311</v>
      </c>
      <c r="K503" s="282" t="s">
        <v>1631</v>
      </c>
      <c r="L503" s="2103" t="s">
        <v>312</v>
      </c>
      <c r="M503" s="283" t="s">
        <v>4203</v>
      </c>
      <c r="N503" s="283" t="s">
        <v>2685</v>
      </c>
      <c r="O503" s="283" t="s">
        <v>310</v>
      </c>
      <c r="P503" s="283" t="s">
        <v>291</v>
      </c>
      <c r="Q503" s="283" t="s">
        <v>294</v>
      </c>
      <c r="R503" s="282">
        <v>2000000.01</v>
      </c>
      <c r="S503" s="323">
        <v>2500000</v>
      </c>
      <c r="T503" s="282">
        <v>0</v>
      </c>
      <c r="U503" s="282">
        <v>0</v>
      </c>
      <c r="V503" s="282">
        <v>0</v>
      </c>
      <c r="W503" s="282">
        <v>50</v>
      </c>
      <c r="X503" s="282">
        <v>0</v>
      </c>
      <c r="Y503" s="282">
        <v>999</v>
      </c>
      <c r="Z503" s="284">
        <v>720</v>
      </c>
      <c r="AA503" s="284">
        <v>999</v>
      </c>
      <c r="AB503" s="284">
        <v>9</v>
      </c>
      <c r="AC503" s="284">
        <v>999999</v>
      </c>
      <c r="AD503" s="282">
        <v>0</v>
      </c>
      <c r="AE503" s="2104">
        <v>75</v>
      </c>
      <c r="AF503" s="170">
        <v>0</v>
      </c>
      <c r="AG503" s="171">
        <v>1</v>
      </c>
      <c r="AH503" s="171">
        <v>1</v>
      </c>
      <c r="AI503" s="171">
        <v>0</v>
      </c>
      <c r="AJ503" s="171">
        <v>0</v>
      </c>
      <c r="AK503" s="171">
        <v>0</v>
      </c>
      <c r="AL503" s="171">
        <v>0</v>
      </c>
      <c r="AM503" s="171">
        <v>1</v>
      </c>
      <c r="AN503" s="171">
        <v>1</v>
      </c>
      <c r="AO503" s="171">
        <v>1</v>
      </c>
      <c r="AP503" s="171">
        <v>1</v>
      </c>
      <c r="AQ503" s="171">
        <v>1</v>
      </c>
      <c r="AR503" s="171">
        <v>1</v>
      </c>
      <c r="AS503" s="171">
        <v>1</v>
      </c>
      <c r="AT503" s="171">
        <v>1</v>
      </c>
      <c r="AU503" s="171">
        <f t="shared" si="183"/>
        <v>0</v>
      </c>
      <c r="AV503" s="171">
        <f t="shared" si="184"/>
        <v>0</v>
      </c>
      <c r="AW503" s="171">
        <f t="shared" si="185"/>
        <v>1</v>
      </c>
      <c r="AX503" s="171">
        <f t="shared" si="197"/>
        <v>1</v>
      </c>
      <c r="AY503" s="171">
        <f t="shared" si="186"/>
        <v>1</v>
      </c>
      <c r="AZ503" s="171">
        <f t="shared" si="187"/>
        <v>1</v>
      </c>
      <c r="BA503" s="172">
        <f t="shared" si="188"/>
        <v>1</v>
      </c>
      <c r="BB503" s="175">
        <f t="shared" si="190"/>
        <v>15</v>
      </c>
      <c r="BC503" s="176">
        <f t="shared" si="191"/>
        <v>14</v>
      </c>
      <c r="BD503" s="176">
        <f t="shared" si="192"/>
        <v>15</v>
      </c>
      <c r="BE503" s="240" t="str">
        <f t="shared" si="181"/>
        <v/>
      </c>
      <c r="BH503" s="210">
        <f>IF(AND(Input_Product=Elig!$C503,Elig_MatchAll_Ct&lt;22,$BC503=(Elig_MatchAll_Ct-1),AF503=0),C503,0)</f>
        <v>0</v>
      </c>
      <c r="BI503" s="210">
        <f>IF(AND(Input_Product=Elig!$C503,Elig_MatchAll_Ct&lt;22,$BC503=(Elig_MatchAll_Ct-1),AG503=0),D503,0)</f>
        <v>0</v>
      </c>
      <c r="BJ503" s="210">
        <f>IF(AND(Input_Product=Elig!$C503,Elig_MatchAll_Ct&lt;22,$BC503=(Elig_MatchAll_Ct-1),AH503=0),E503,0)</f>
        <v>0</v>
      </c>
      <c r="BK503" s="210">
        <f>IF(AND(Input_Product=Elig!$C503,Elig_MatchAll_Ct&lt;22,$BC503=(Elig_MatchAll_Ct-1),AI503=0),F503,0)</f>
        <v>0</v>
      </c>
      <c r="BL503" s="210">
        <f>IF(AND(Input_Product=Elig!$C503,Elig_MatchAll_Ct&lt;22,$BC503=(Elig_MatchAll_Ct-1),AJ503=0),G503,0)</f>
        <v>0</v>
      </c>
      <c r="BM503" s="210">
        <f>IF(AND(Input_Product=Elig!$C503,Elig_MatchAll_Ct&lt;22,$BC503=(Elig_MatchAll_Ct-1),AK503=0),H503,0)</f>
        <v>0</v>
      </c>
      <c r="BN503" s="210">
        <f>IF(AND(Input_Product=Elig!$C503,Elig_MatchAll_Ct&lt;22,$BC503=(Elig_MatchAll_Ct-1),AL503=0),I503,0)</f>
        <v>0</v>
      </c>
      <c r="BO503" s="210">
        <f>IF(AND(Input_Product=Elig!$C503,Elig_MatchAll_Ct&lt;22,$BC503=(Elig_MatchAll_Ct-1),AM503=0),J503,0)</f>
        <v>0</v>
      </c>
      <c r="BP503" s="210">
        <f>IF(AND(Input_Product=Elig!$C503,Elig_MatchAll_Ct&lt;22,$BC503=(Elig_MatchAll_Ct-1),AN503=0),K503,0)</f>
        <v>0</v>
      </c>
      <c r="BQ503" s="210">
        <f>IF(AND(Input_Product=Elig!$C503,Elig_MatchAll_Ct&lt;22,$BC503=(Elig_MatchAll_Ct-1),AP503=0),L503,0)</f>
        <v>0</v>
      </c>
      <c r="BR503" s="210">
        <f>IF(AND(Input_Product=Elig!$C503,Elig_MatchAll_Ct&lt;22,$BC503=(Elig_MatchAll_Ct-1),AO503=0),M503,0)</f>
        <v>0</v>
      </c>
      <c r="BS503" s="210">
        <f>IF(AND(Input_Product=Elig!$C503,Elig_MatchAll_Ct&lt;22,$BC503=(Elig_MatchAll_Ct-1),AQ503=0),N503,0)</f>
        <v>0</v>
      </c>
      <c r="BT503" s="210">
        <f>IF(AND(Input_Product=Elig!$C503,Elig_MatchAll_Ct&lt;22,$BC503=(Elig_MatchAll_Ct-1),AR503=0),O503,0)</f>
        <v>0</v>
      </c>
      <c r="BU503" s="210">
        <f>IF(AND(Input_Product=Elig!$C503,Elig_MatchAll_Ct&lt;22,$BC503=(Elig_MatchAll_Ct-1),AS503=0),P503,0)</f>
        <v>0</v>
      </c>
      <c r="BV503" s="211">
        <f>IF(AND(Input_Product=Elig!$C503,Elig_MatchAll_Ct&lt;22,$BC503=(Elig_MatchAll_Ct-1),AT503=0),Q503,0)</f>
        <v>0</v>
      </c>
      <c r="BW503" s="212">
        <f>IF(AND(Input_Product=Elig!$C503,Elig_MatchAll_Ct&lt;22,$BC503=(Elig_MatchAll_Ct-1),AU503=0),R503,0)</f>
        <v>0</v>
      </c>
      <c r="BX503" s="213">
        <f>IF(AND(Input_Product=Elig!$C503,Elig_MatchAll_Ct&lt;22,$BC503=(Elig_MatchAll_Ct-1),AU503=0),S503,0)</f>
        <v>0</v>
      </c>
      <c r="BY503" s="212">
        <f>IF(AND(Input_Product=Elig!$C503,Elig_MatchAll_Ct&lt;22,$BC503=(Elig_MatchAll_Ct-1),AV503=0),T503,0)</f>
        <v>0</v>
      </c>
      <c r="BZ503" s="213">
        <f>IF(AND(Input_Product=Elig!$C503,Elig_MatchAll_Ct&lt;22,$BC503=(Elig_MatchAll_Ct-1),AV503=0),U503,0)</f>
        <v>0</v>
      </c>
      <c r="CA503" s="212">
        <f>IF(AND(Input_Product=Elig!$C503,Elig_MatchAll_Ct&lt;22,$BC503=(Elig_MatchAll_Ct-1),AW503=0),V503,0)</f>
        <v>0</v>
      </c>
      <c r="CB503" s="213">
        <f>IF(AND(Input_Product=Elig!$C503,Elig_MatchAll_Ct&lt;22,$BC503=(Elig_MatchAll_Ct-1),AW503=0),W503,0)</f>
        <v>0</v>
      </c>
      <c r="CC503" s="212">
        <f>IF(AND(Input_Product=Elig!$C503,Elig_MatchAll_Ct&lt;22,$BC503=(Elig_MatchAll_Ct-1),AX503=0),X503,0)</f>
        <v>0</v>
      </c>
      <c r="CD503" s="213">
        <f>IF(AND(Input_Product=Elig!$C503,Elig_MatchAll_Ct&lt;22,$BC503=(Elig_MatchAll_Ct-1),AX503=0),Y503,0)</f>
        <v>0</v>
      </c>
      <c r="CE503" s="212">
        <f>IF(AND(Input_LTV&lt;=AE503,Input_Product=Elig!$C503,Elig_MatchAll_Ct&lt;22,$BC503=(Elig_MatchAll_Ct-1),AY503=0),Z503,0)</f>
        <v>0</v>
      </c>
      <c r="CF503" s="213">
        <f>IF(AND(Input_LTV&lt;=AE503,Input_Product=Elig!$C503,Elig_MatchAll_Ct&lt;22,$BC503=(Elig_MatchAll_Ct-1),AY503=0),AA503,0)</f>
        <v>0</v>
      </c>
      <c r="CG503" s="212">
        <f>IF(AND(Input_Product=Elig!$C503,Elig_MatchAll_Ct&lt;22,$BC503=(Elig_MatchAll_Ct-1),AZ503=0),AB503,0)</f>
        <v>0</v>
      </c>
      <c r="CH503" s="213">
        <f>IF(AND(Input_Product=Elig!$C503,Elig_MatchAll_Ct&lt;22,$BC503=(Elig_MatchAll_Ct-1),AZ503=0),AC503,0)</f>
        <v>0</v>
      </c>
      <c r="CI503" s="212">
        <f>IF(AND(Input_Product=Elig!$C503,Elig_MatchAll_Ct&lt;22,$BC503=(Elig_MatchAll_Ct-1),BA503=0),AD503,0)</f>
        <v>0</v>
      </c>
      <c r="CJ503" s="213">
        <f>IF(AND(Input_Product=Elig!$C503,Elig_MatchAll_Ct&lt;22,$BC503=(Elig_MatchAll_Ct-1),BA503=0),AE503,0)</f>
        <v>0</v>
      </c>
    </row>
    <row r="504" spans="2:88" ht="10.15" customHeight="1" x14ac:dyDescent="0.25">
      <c r="B504" s="287" t="s">
        <v>3995</v>
      </c>
      <c r="C504" s="286" t="str">
        <f t="shared" si="175"/>
        <v>NonQM NOO</v>
      </c>
      <c r="D504" s="287" t="s">
        <v>3885</v>
      </c>
      <c r="E504" s="287" t="s">
        <v>167</v>
      </c>
      <c r="F504" s="287" t="s">
        <v>330</v>
      </c>
      <c r="G504" s="300" t="s">
        <v>304</v>
      </c>
      <c r="H504" s="287" t="s">
        <v>446</v>
      </c>
      <c r="I504" s="288" t="s">
        <v>274</v>
      </c>
      <c r="J504" s="288" t="s">
        <v>1311</v>
      </c>
      <c r="K504" s="288" t="s">
        <v>1631</v>
      </c>
      <c r="L504" s="300" t="s">
        <v>312</v>
      </c>
      <c r="M504" s="287" t="s">
        <v>4203</v>
      </c>
      <c r="N504" s="287" t="s">
        <v>2685</v>
      </c>
      <c r="O504" s="287" t="s">
        <v>310</v>
      </c>
      <c r="P504" s="287" t="s">
        <v>291</v>
      </c>
      <c r="Q504" s="287" t="s">
        <v>294</v>
      </c>
      <c r="R504" s="287">
        <v>2000000.01</v>
      </c>
      <c r="S504" s="300">
        <v>2500000</v>
      </c>
      <c r="T504" s="287">
        <v>0</v>
      </c>
      <c r="U504" s="287">
        <v>0</v>
      </c>
      <c r="V504" s="287">
        <v>0</v>
      </c>
      <c r="W504" s="287">
        <v>50</v>
      </c>
      <c r="X504" s="287">
        <v>0</v>
      </c>
      <c r="Y504" s="287">
        <v>999</v>
      </c>
      <c r="Z504" s="289">
        <v>700</v>
      </c>
      <c r="AA504" s="289">
        <v>719</v>
      </c>
      <c r="AB504" s="289">
        <v>9</v>
      </c>
      <c r="AC504" s="289">
        <v>999999</v>
      </c>
      <c r="AD504" s="287">
        <v>0</v>
      </c>
      <c r="AE504" s="2105">
        <v>75</v>
      </c>
      <c r="AF504" s="170">
        <v>0</v>
      </c>
      <c r="AG504" s="171">
        <v>1</v>
      </c>
      <c r="AH504" s="171">
        <v>1</v>
      </c>
      <c r="AI504" s="171">
        <v>0</v>
      </c>
      <c r="AJ504" s="171">
        <v>0</v>
      </c>
      <c r="AK504" s="171">
        <v>0</v>
      </c>
      <c r="AL504" s="171">
        <v>0</v>
      </c>
      <c r="AM504" s="171">
        <v>1</v>
      </c>
      <c r="AN504" s="171">
        <v>1</v>
      </c>
      <c r="AO504" s="171">
        <v>1</v>
      </c>
      <c r="AP504" s="171">
        <v>1</v>
      </c>
      <c r="AQ504" s="171">
        <v>1</v>
      </c>
      <c r="AR504" s="171">
        <v>1</v>
      </c>
      <c r="AS504" s="171">
        <v>1</v>
      </c>
      <c r="AT504" s="171">
        <v>1</v>
      </c>
      <c r="AU504" s="171">
        <f t="shared" si="183"/>
        <v>0</v>
      </c>
      <c r="AV504" s="171">
        <f t="shared" si="184"/>
        <v>0</v>
      </c>
      <c r="AW504" s="171">
        <f t="shared" si="185"/>
        <v>1</v>
      </c>
      <c r="AX504" s="171">
        <f t="shared" si="197"/>
        <v>1</v>
      </c>
      <c r="AY504" s="171">
        <f t="shared" si="186"/>
        <v>0</v>
      </c>
      <c r="AZ504" s="171">
        <f t="shared" si="187"/>
        <v>1</v>
      </c>
      <c r="BA504" s="172">
        <f t="shared" si="188"/>
        <v>1</v>
      </c>
      <c r="BB504" s="175">
        <f t="shared" si="190"/>
        <v>14</v>
      </c>
      <c r="BC504" s="176">
        <f t="shared" si="191"/>
        <v>13</v>
      </c>
      <c r="BD504" s="176">
        <f t="shared" si="192"/>
        <v>14</v>
      </c>
      <c r="BE504" s="240" t="str">
        <f t="shared" si="181"/>
        <v/>
      </c>
      <c r="BH504" s="199">
        <f>IF(AND(Input_Product=Elig!$C504,Elig_MatchAll_Ct&lt;22,$BC504=(Elig_MatchAll_Ct-1),AF504=0),C504,0)</f>
        <v>0</v>
      </c>
      <c r="BI504" s="199">
        <f>IF(AND(Input_Product=Elig!$C504,Elig_MatchAll_Ct&lt;22,$BC504=(Elig_MatchAll_Ct-1),AG504=0),D504,0)</f>
        <v>0</v>
      </c>
      <c r="BJ504" s="199">
        <f>IF(AND(Input_Product=Elig!$C504,Elig_MatchAll_Ct&lt;22,$BC504=(Elig_MatchAll_Ct-1),AH504=0),E504,0)</f>
        <v>0</v>
      </c>
      <c r="BK504" s="199">
        <f>IF(AND(Input_Product=Elig!$C504,Elig_MatchAll_Ct&lt;22,$BC504=(Elig_MatchAll_Ct-1),AI504=0),F504,0)</f>
        <v>0</v>
      </c>
      <c r="BL504" s="199">
        <f>IF(AND(Input_Product=Elig!$C504,Elig_MatchAll_Ct&lt;22,$BC504=(Elig_MatchAll_Ct-1),AJ504=0),G504,0)</f>
        <v>0</v>
      </c>
      <c r="BM504" s="199">
        <f>IF(AND(Input_Product=Elig!$C504,Elig_MatchAll_Ct&lt;22,$BC504=(Elig_MatchAll_Ct-1),AK504=0),H504,0)</f>
        <v>0</v>
      </c>
      <c r="BN504" s="199">
        <f>IF(AND(Input_Product=Elig!$C504,Elig_MatchAll_Ct&lt;22,$BC504=(Elig_MatchAll_Ct-1),AL504=0),I504,0)</f>
        <v>0</v>
      </c>
      <c r="BO504" s="199">
        <f>IF(AND(Input_Product=Elig!$C504,Elig_MatchAll_Ct&lt;22,$BC504=(Elig_MatchAll_Ct-1),AM504=0),J504,0)</f>
        <v>0</v>
      </c>
      <c r="BP504" s="199">
        <f>IF(AND(Input_Product=Elig!$C504,Elig_MatchAll_Ct&lt;22,$BC504=(Elig_MatchAll_Ct-1),AN504=0),K504,0)</f>
        <v>0</v>
      </c>
      <c r="BQ504" s="199">
        <f>IF(AND(Input_Product=Elig!$C504,Elig_MatchAll_Ct&lt;22,$BC504=(Elig_MatchAll_Ct-1),AP504=0),L504,0)</f>
        <v>0</v>
      </c>
      <c r="BR504" s="199">
        <f>IF(AND(Input_Product=Elig!$C504,Elig_MatchAll_Ct&lt;22,$BC504=(Elig_MatchAll_Ct-1),AO504=0),M504,0)</f>
        <v>0</v>
      </c>
      <c r="BS504" s="199">
        <f>IF(AND(Input_Product=Elig!$C504,Elig_MatchAll_Ct&lt;22,$BC504=(Elig_MatchAll_Ct-1),AQ504=0),N504,0)</f>
        <v>0</v>
      </c>
      <c r="BT504" s="199">
        <f>IF(AND(Input_Product=Elig!$C504,Elig_MatchAll_Ct&lt;22,$BC504=(Elig_MatchAll_Ct-1),AR504=0),O504,0)</f>
        <v>0</v>
      </c>
      <c r="BU504" s="199">
        <f>IF(AND(Input_Product=Elig!$C504,Elig_MatchAll_Ct&lt;22,$BC504=(Elig_MatchAll_Ct-1),AS504=0),P504,0)</f>
        <v>0</v>
      </c>
      <c r="BV504" s="200">
        <f>IF(AND(Input_Product=Elig!$C504,Elig_MatchAll_Ct&lt;22,$BC504=(Elig_MatchAll_Ct-1),AT504=0),Q504,0)</f>
        <v>0</v>
      </c>
      <c r="BW504" s="201">
        <f>IF(AND(Input_Product=Elig!$C504,Elig_MatchAll_Ct&lt;22,$BC504=(Elig_MatchAll_Ct-1),AU504=0),R504,0)</f>
        <v>0</v>
      </c>
      <c r="BX504" s="202">
        <f>IF(AND(Input_Product=Elig!$C504,Elig_MatchAll_Ct&lt;22,$BC504=(Elig_MatchAll_Ct-1),AU504=0),S504,0)</f>
        <v>0</v>
      </c>
      <c r="BY504" s="201">
        <f>IF(AND(Input_Product=Elig!$C504,Elig_MatchAll_Ct&lt;22,$BC504=(Elig_MatchAll_Ct-1),AV504=0),T504,0)</f>
        <v>0</v>
      </c>
      <c r="BZ504" s="202">
        <f>IF(AND(Input_Product=Elig!$C504,Elig_MatchAll_Ct&lt;22,$BC504=(Elig_MatchAll_Ct-1),AV504=0),U504,0)</f>
        <v>0</v>
      </c>
      <c r="CA504" s="201">
        <f>IF(AND(Input_Product=Elig!$C504,Elig_MatchAll_Ct&lt;22,$BC504=(Elig_MatchAll_Ct-1),AW504=0),V504,0)</f>
        <v>0</v>
      </c>
      <c r="CB504" s="202">
        <f>IF(AND(Input_Product=Elig!$C504,Elig_MatchAll_Ct&lt;22,$BC504=(Elig_MatchAll_Ct-1),AW504=0),W504,0)</f>
        <v>0</v>
      </c>
      <c r="CC504" s="201">
        <f>IF(AND(Input_Product=Elig!$C504,Elig_MatchAll_Ct&lt;22,$BC504=(Elig_MatchAll_Ct-1),AX504=0),X504,0)</f>
        <v>0</v>
      </c>
      <c r="CD504" s="202">
        <f>IF(AND(Input_Product=Elig!$C504,Elig_MatchAll_Ct&lt;22,$BC504=(Elig_MatchAll_Ct-1),AX504=0),Y504,0)</f>
        <v>0</v>
      </c>
      <c r="CE504" s="201">
        <f>IF(AND(Input_LTV&lt;=AE504,Input_Product=Elig!$C504,Elig_MatchAll_Ct&lt;22,$BC504=(Elig_MatchAll_Ct-1),AY504=0),Z504,0)</f>
        <v>0</v>
      </c>
      <c r="CF504" s="202">
        <f>IF(AND(Input_LTV&lt;=AE504,Input_Product=Elig!$C504,Elig_MatchAll_Ct&lt;22,$BC504=(Elig_MatchAll_Ct-1),AY504=0),AA504,0)</f>
        <v>0</v>
      </c>
      <c r="CG504" s="201">
        <f>IF(AND(Input_Product=Elig!$C504,Elig_MatchAll_Ct&lt;22,$BC504=(Elig_MatchAll_Ct-1),AZ504=0),AB504,0)</f>
        <v>0</v>
      </c>
      <c r="CH504" s="202">
        <f>IF(AND(Input_Product=Elig!$C504,Elig_MatchAll_Ct&lt;22,$BC504=(Elig_MatchAll_Ct-1),AZ504=0),AC504,0)</f>
        <v>0</v>
      </c>
      <c r="CI504" s="201">
        <f>IF(AND(Input_Product=Elig!$C504,Elig_MatchAll_Ct&lt;22,$BC504=(Elig_MatchAll_Ct-1),BA504=0),AD504,0)</f>
        <v>0</v>
      </c>
      <c r="CJ504" s="202">
        <f>IF(AND(Input_Product=Elig!$C504,Elig_MatchAll_Ct&lt;22,$BC504=(Elig_MatchAll_Ct-1),BA504=0),AE504,0)</f>
        <v>0</v>
      </c>
    </row>
    <row r="505" spans="2:88" ht="10.15" customHeight="1" x14ac:dyDescent="0.25">
      <c r="B505" s="287" t="s">
        <v>3996</v>
      </c>
      <c r="C505" s="286" t="str">
        <f t="shared" si="175"/>
        <v>NonQM NOO</v>
      </c>
      <c r="D505" s="287" t="s">
        <v>3885</v>
      </c>
      <c r="E505" s="287" t="s">
        <v>167</v>
      </c>
      <c r="F505" s="287" t="s">
        <v>330</v>
      </c>
      <c r="G505" s="300" t="s">
        <v>304</v>
      </c>
      <c r="H505" s="287" t="s">
        <v>446</v>
      </c>
      <c r="I505" s="288" t="s">
        <v>274</v>
      </c>
      <c r="J505" s="288" t="s">
        <v>1311</v>
      </c>
      <c r="K505" s="288" t="s">
        <v>1631</v>
      </c>
      <c r="L505" s="300" t="s">
        <v>312</v>
      </c>
      <c r="M505" s="287" t="s">
        <v>4203</v>
      </c>
      <c r="N505" s="287" t="s">
        <v>2685</v>
      </c>
      <c r="O505" s="287" t="s">
        <v>310</v>
      </c>
      <c r="P505" s="287" t="s">
        <v>291</v>
      </c>
      <c r="Q505" s="287" t="s">
        <v>294</v>
      </c>
      <c r="R505" s="287">
        <v>2000000.01</v>
      </c>
      <c r="S505" s="300">
        <v>2500000</v>
      </c>
      <c r="T505" s="287">
        <v>0</v>
      </c>
      <c r="U505" s="287">
        <v>0</v>
      </c>
      <c r="V505" s="287">
        <v>0</v>
      </c>
      <c r="W505" s="287">
        <v>50</v>
      </c>
      <c r="X505" s="287">
        <v>0</v>
      </c>
      <c r="Y505" s="287">
        <v>999</v>
      </c>
      <c r="Z505" s="2101">
        <v>680</v>
      </c>
      <c r="AA505" s="2101">
        <v>699</v>
      </c>
      <c r="AB505" s="289">
        <v>9</v>
      </c>
      <c r="AC505" s="289">
        <v>999999</v>
      </c>
      <c r="AD505" s="287">
        <v>0</v>
      </c>
      <c r="AE505" s="290">
        <v>70</v>
      </c>
      <c r="AF505" s="170">
        <v>0</v>
      </c>
      <c r="AG505" s="171">
        <v>1</v>
      </c>
      <c r="AH505" s="171">
        <v>1</v>
      </c>
      <c r="AI505" s="171">
        <v>0</v>
      </c>
      <c r="AJ505" s="171">
        <v>0</v>
      </c>
      <c r="AK505" s="171">
        <v>0</v>
      </c>
      <c r="AL505" s="171">
        <v>0</v>
      </c>
      <c r="AM505" s="171">
        <v>1</v>
      </c>
      <c r="AN505" s="171">
        <v>1</v>
      </c>
      <c r="AO505" s="171">
        <v>1</v>
      </c>
      <c r="AP505" s="171">
        <v>1</v>
      </c>
      <c r="AQ505" s="171">
        <v>1</v>
      </c>
      <c r="AR505" s="171">
        <v>1</v>
      </c>
      <c r="AS505" s="171">
        <v>1</v>
      </c>
      <c r="AT505" s="171">
        <v>1</v>
      </c>
      <c r="AU505" s="171">
        <f t="shared" si="183"/>
        <v>0</v>
      </c>
      <c r="AV505" s="171">
        <f t="shared" si="184"/>
        <v>0</v>
      </c>
      <c r="AW505" s="171">
        <f t="shared" si="185"/>
        <v>1</v>
      </c>
      <c r="AX505" s="171">
        <f t="shared" si="197"/>
        <v>1</v>
      </c>
      <c r="AY505" s="171">
        <f t="shared" si="186"/>
        <v>0</v>
      </c>
      <c r="AZ505" s="171">
        <f t="shared" si="187"/>
        <v>1</v>
      </c>
      <c r="BA505" s="172">
        <f t="shared" si="188"/>
        <v>1</v>
      </c>
      <c r="BB505" s="175">
        <f t="shared" ref="BB505" si="203">SUM(AF505:BA505)</f>
        <v>14</v>
      </c>
      <c r="BC505" s="176">
        <f t="shared" ref="BC505" si="204">SUM(AF505:AZ505)</f>
        <v>13</v>
      </c>
      <c r="BD505" s="176">
        <f t="shared" ref="BD505" si="205">SUM(AG505:BA505)</f>
        <v>14</v>
      </c>
      <c r="BE505" s="240" t="str">
        <f t="shared" si="181"/>
        <v/>
      </c>
      <c r="BH505" s="199">
        <f>IF(AND(Input_Product=Elig!$C505,Elig_MatchAll_Ct&lt;22,$BC505=(Elig_MatchAll_Ct-1),AF505=0),C505,0)</f>
        <v>0</v>
      </c>
      <c r="BI505" s="199">
        <f>IF(AND(Input_Product=Elig!$C505,Elig_MatchAll_Ct&lt;22,$BC505=(Elig_MatchAll_Ct-1),AG505=0),D505,0)</f>
        <v>0</v>
      </c>
      <c r="BJ505" s="199">
        <f>IF(AND(Input_Product=Elig!$C505,Elig_MatchAll_Ct&lt;22,$BC505=(Elig_MatchAll_Ct-1),AH505=0),E505,0)</f>
        <v>0</v>
      </c>
      <c r="BK505" s="199">
        <f>IF(AND(Input_Product=Elig!$C505,Elig_MatchAll_Ct&lt;22,$BC505=(Elig_MatchAll_Ct-1),AI505=0),F505,0)</f>
        <v>0</v>
      </c>
      <c r="BL505" s="199">
        <f>IF(AND(Input_Product=Elig!$C505,Elig_MatchAll_Ct&lt;22,$BC505=(Elig_MatchAll_Ct-1),AJ505=0),G505,0)</f>
        <v>0</v>
      </c>
      <c r="BM505" s="199">
        <f>IF(AND(Input_Product=Elig!$C505,Elig_MatchAll_Ct&lt;22,$BC505=(Elig_MatchAll_Ct-1),AK505=0),H505,0)</f>
        <v>0</v>
      </c>
      <c r="BN505" s="199">
        <f>IF(AND(Input_Product=Elig!$C505,Elig_MatchAll_Ct&lt;22,$BC505=(Elig_MatchAll_Ct-1),AL505=0),I505,0)</f>
        <v>0</v>
      </c>
      <c r="BO505" s="199">
        <f>IF(AND(Input_Product=Elig!$C505,Elig_MatchAll_Ct&lt;22,$BC505=(Elig_MatchAll_Ct-1),AM505=0),J505,0)</f>
        <v>0</v>
      </c>
      <c r="BP505" s="199">
        <f>IF(AND(Input_Product=Elig!$C505,Elig_MatchAll_Ct&lt;22,$BC505=(Elig_MatchAll_Ct-1),AN505=0),K505,0)</f>
        <v>0</v>
      </c>
      <c r="BQ505" s="199">
        <f>IF(AND(Input_Product=Elig!$C505,Elig_MatchAll_Ct&lt;22,$BC505=(Elig_MatchAll_Ct-1),AP505=0),L505,0)</f>
        <v>0</v>
      </c>
      <c r="BR505" s="199">
        <f>IF(AND(Input_Product=Elig!$C505,Elig_MatchAll_Ct&lt;22,$BC505=(Elig_MatchAll_Ct-1),AO505=0),M505,0)</f>
        <v>0</v>
      </c>
      <c r="BS505" s="199">
        <f>IF(AND(Input_Product=Elig!$C505,Elig_MatchAll_Ct&lt;22,$BC505=(Elig_MatchAll_Ct-1),AQ505=0),N505,0)</f>
        <v>0</v>
      </c>
      <c r="BT505" s="199">
        <f>IF(AND(Input_Product=Elig!$C505,Elig_MatchAll_Ct&lt;22,$BC505=(Elig_MatchAll_Ct-1),AR505=0),O505,0)</f>
        <v>0</v>
      </c>
      <c r="BU505" s="199">
        <f>IF(AND(Input_Product=Elig!$C505,Elig_MatchAll_Ct&lt;22,$BC505=(Elig_MatchAll_Ct-1),AS505=0),P505,0)</f>
        <v>0</v>
      </c>
      <c r="BV505" s="200">
        <f>IF(AND(Input_Product=Elig!$C505,Elig_MatchAll_Ct&lt;22,$BC505=(Elig_MatchAll_Ct-1),AT505=0),Q505,0)</f>
        <v>0</v>
      </c>
      <c r="BW505" s="201">
        <f>IF(AND(Input_Product=Elig!$C505,Elig_MatchAll_Ct&lt;22,$BC505=(Elig_MatchAll_Ct-1),AU505=0),R505,0)</f>
        <v>0</v>
      </c>
      <c r="BX505" s="202">
        <f>IF(AND(Input_Product=Elig!$C505,Elig_MatchAll_Ct&lt;22,$BC505=(Elig_MatchAll_Ct-1),AU505=0),S505,0)</f>
        <v>0</v>
      </c>
      <c r="BY505" s="201">
        <f>IF(AND(Input_Product=Elig!$C505,Elig_MatchAll_Ct&lt;22,$BC505=(Elig_MatchAll_Ct-1),AV505=0),T505,0)</f>
        <v>0</v>
      </c>
      <c r="BZ505" s="202">
        <f>IF(AND(Input_Product=Elig!$C505,Elig_MatchAll_Ct&lt;22,$BC505=(Elig_MatchAll_Ct-1),AV505=0),U505,0)</f>
        <v>0</v>
      </c>
      <c r="CA505" s="201">
        <f>IF(AND(Input_Product=Elig!$C505,Elig_MatchAll_Ct&lt;22,$BC505=(Elig_MatchAll_Ct-1),AW505=0),V505,0)</f>
        <v>0</v>
      </c>
      <c r="CB505" s="202">
        <f>IF(AND(Input_Product=Elig!$C505,Elig_MatchAll_Ct&lt;22,$BC505=(Elig_MatchAll_Ct-1),AW505=0),W505,0)</f>
        <v>0</v>
      </c>
      <c r="CC505" s="201">
        <f>IF(AND(Input_Product=Elig!$C505,Elig_MatchAll_Ct&lt;22,$BC505=(Elig_MatchAll_Ct-1),AX505=0),X505,0)</f>
        <v>0</v>
      </c>
      <c r="CD505" s="202">
        <f>IF(AND(Input_Product=Elig!$C505,Elig_MatchAll_Ct&lt;22,$BC505=(Elig_MatchAll_Ct-1),AX505=0),Y505,0)</f>
        <v>0</v>
      </c>
      <c r="CE505" s="201">
        <f>IF(AND(Input_LTV&lt;=AE505,Input_Product=Elig!$C505,Elig_MatchAll_Ct&lt;22,$BC505=(Elig_MatchAll_Ct-1),AY505=0),Z505,0)</f>
        <v>0</v>
      </c>
      <c r="CF505" s="202">
        <f>IF(AND(Input_LTV&lt;=AE505,Input_Product=Elig!$C505,Elig_MatchAll_Ct&lt;22,$BC505=(Elig_MatchAll_Ct-1),AY505=0),AA505,0)</f>
        <v>0</v>
      </c>
      <c r="CG505" s="201">
        <f>IF(AND(Input_Product=Elig!$C505,Elig_MatchAll_Ct&lt;22,$BC505=(Elig_MatchAll_Ct-1),AZ505=0),AB505,0)</f>
        <v>0</v>
      </c>
      <c r="CH505" s="202">
        <f>IF(AND(Input_Product=Elig!$C505,Elig_MatchAll_Ct&lt;22,$BC505=(Elig_MatchAll_Ct-1),AZ505=0),AC505,0)</f>
        <v>0</v>
      </c>
      <c r="CI505" s="201">
        <f>IF(AND(Input_Product=Elig!$C505,Elig_MatchAll_Ct&lt;22,$BC505=(Elig_MatchAll_Ct-1),BA505=0),AD505,0)</f>
        <v>0</v>
      </c>
      <c r="CJ505" s="202">
        <f>IF(AND(Input_Product=Elig!$C505,Elig_MatchAll_Ct&lt;22,$BC505=(Elig_MatchAll_Ct-1),BA505=0),AE505,0)</f>
        <v>0</v>
      </c>
    </row>
    <row r="506" spans="2:88" ht="10.15" customHeight="1" x14ac:dyDescent="0.25">
      <c r="B506" s="287" t="s">
        <v>3997</v>
      </c>
      <c r="C506" s="291" t="str">
        <f t="shared" si="175"/>
        <v>NonQM NOO</v>
      </c>
      <c r="D506" s="292" t="s">
        <v>3885</v>
      </c>
      <c r="E506" s="292" t="s">
        <v>167</v>
      </c>
      <c r="F506" s="292" t="s">
        <v>330</v>
      </c>
      <c r="G506" s="324" t="s">
        <v>304</v>
      </c>
      <c r="H506" s="292" t="s">
        <v>446</v>
      </c>
      <c r="I506" s="295" t="s">
        <v>274</v>
      </c>
      <c r="J506" s="295" t="s">
        <v>1311</v>
      </c>
      <c r="K506" s="295" t="s">
        <v>1631</v>
      </c>
      <c r="L506" s="324" t="s">
        <v>312</v>
      </c>
      <c r="M506" s="292" t="s">
        <v>4203</v>
      </c>
      <c r="N506" s="292" t="s">
        <v>2685</v>
      </c>
      <c r="O506" s="292" t="s">
        <v>310</v>
      </c>
      <c r="P506" s="292" t="s">
        <v>291</v>
      </c>
      <c r="Q506" s="292" t="s">
        <v>294</v>
      </c>
      <c r="R506" s="292">
        <v>2000000.01</v>
      </c>
      <c r="S506" s="324">
        <v>2500000</v>
      </c>
      <c r="T506" s="292">
        <v>0</v>
      </c>
      <c r="U506" s="292">
        <v>0</v>
      </c>
      <c r="V506" s="292">
        <v>0</v>
      </c>
      <c r="W506" s="292">
        <v>50</v>
      </c>
      <c r="X506" s="292">
        <v>0</v>
      </c>
      <c r="Y506" s="292">
        <v>999</v>
      </c>
      <c r="Z506" s="2102">
        <v>660</v>
      </c>
      <c r="AA506" s="2102">
        <v>679</v>
      </c>
      <c r="AB506" s="293">
        <v>9</v>
      </c>
      <c r="AC506" s="293">
        <v>999999</v>
      </c>
      <c r="AD506" s="292">
        <v>0</v>
      </c>
      <c r="AE506" s="294">
        <v>70</v>
      </c>
      <c r="AF506" s="170">
        <v>0</v>
      </c>
      <c r="AG506" s="171">
        <v>1</v>
      </c>
      <c r="AH506" s="171">
        <v>1</v>
      </c>
      <c r="AI506" s="171">
        <v>0</v>
      </c>
      <c r="AJ506" s="171">
        <v>0</v>
      </c>
      <c r="AK506" s="171">
        <v>0</v>
      </c>
      <c r="AL506" s="171">
        <v>0</v>
      </c>
      <c r="AM506" s="171">
        <v>1</v>
      </c>
      <c r="AN506" s="171">
        <v>1</v>
      </c>
      <c r="AO506" s="171">
        <v>1</v>
      </c>
      <c r="AP506" s="171">
        <v>1</v>
      </c>
      <c r="AQ506" s="171">
        <v>1</v>
      </c>
      <c r="AR506" s="171">
        <v>1</v>
      </c>
      <c r="AS506" s="171">
        <v>1</v>
      </c>
      <c r="AT506" s="171">
        <v>1</v>
      </c>
      <c r="AU506" s="171">
        <f t="shared" si="183"/>
        <v>0</v>
      </c>
      <c r="AV506" s="171">
        <f t="shared" si="184"/>
        <v>0</v>
      </c>
      <c r="AW506" s="171">
        <f t="shared" si="185"/>
        <v>1</v>
      </c>
      <c r="AX506" s="171">
        <f t="shared" si="197"/>
        <v>1</v>
      </c>
      <c r="AY506" s="171">
        <f t="shared" si="186"/>
        <v>0</v>
      </c>
      <c r="AZ506" s="171">
        <f t="shared" si="187"/>
        <v>1</v>
      </c>
      <c r="BA506" s="172">
        <f t="shared" si="188"/>
        <v>1</v>
      </c>
      <c r="BB506" s="175">
        <f t="shared" si="190"/>
        <v>14</v>
      </c>
      <c r="BC506" s="176">
        <f t="shared" si="191"/>
        <v>13</v>
      </c>
      <c r="BD506" s="176">
        <f t="shared" si="192"/>
        <v>14</v>
      </c>
      <c r="BE506" s="240" t="str">
        <f t="shared" si="181"/>
        <v/>
      </c>
      <c r="BH506" s="214">
        <f>IF(AND(Input_Product=Elig!$C506,Elig_MatchAll_Ct&lt;22,$BC506=(Elig_MatchAll_Ct-1),AF506=0),C506,0)</f>
        <v>0</v>
      </c>
      <c r="BI506" s="214">
        <f>IF(AND(Input_Product=Elig!$C506,Elig_MatchAll_Ct&lt;22,$BC506=(Elig_MatchAll_Ct-1),AG506=0),D506,0)</f>
        <v>0</v>
      </c>
      <c r="BJ506" s="214">
        <f>IF(AND(Input_Product=Elig!$C506,Elig_MatchAll_Ct&lt;22,$BC506=(Elig_MatchAll_Ct-1),AH506=0),E506,0)</f>
        <v>0</v>
      </c>
      <c r="BK506" s="214">
        <f>IF(AND(Input_Product=Elig!$C506,Elig_MatchAll_Ct&lt;22,$BC506=(Elig_MatchAll_Ct-1),AI506=0),F506,0)</f>
        <v>0</v>
      </c>
      <c r="BL506" s="214">
        <f>IF(AND(Input_Product=Elig!$C506,Elig_MatchAll_Ct&lt;22,$BC506=(Elig_MatchAll_Ct-1),AJ506=0),G506,0)</f>
        <v>0</v>
      </c>
      <c r="BM506" s="214">
        <f>IF(AND(Input_Product=Elig!$C506,Elig_MatchAll_Ct&lt;22,$BC506=(Elig_MatchAll_Ct-1),AK506=0),H506,0)</f>
        <v>0</v>
      </c>
      <c r="BN506" s="214">
        <f>IF(AND(Input_Product=Elig!$C506,Elig_MatchAll_Ct&lt;22,$BC506=(Elig_MatchAll_Ct-1),AL506=0),I506,0)</f>
        <v>0</v>
      </c>
      <c r="BO506" s="214">
        <f>IF(AND(Input_Product=Elig!$C506,Elig_MatchAll_Ct&lt;22,$BC506=(Elig_MatchAll_Ct-1),AM506=0),J506,0)</f>
        <v>0</v>
      </c>
      <c r="BP506" s="214">
        <f>IF(AND(Input_Product=Elig!$C506,Elig_MatchAll_Ct&lt;22,$BC506=(Elig_MatchAll_Ct-1),AN506=0),K506,0)</f>
        <v>0</v>
      </c>
      <c r="BQ506" s="214">
        <f>IF(AND(Input_Product=Elig!$C506,Elig_MatchAll_Ct&lt;22,$BC506=(Elig_MatchAll_Ct-1),AP506=0),L506,0)</f>
        <v>0</v>
      </c>
      <c r="BR506" s="214">
        <f>IF(AND(Input_Product=Elig!$C506,Elig_MatchAll_Ct&lt;22,$BC506=(Elig_MatchAll_Ct-1),AO506=0),M506,0)</f>
        <v>0</v>
      </c>
      <c r="BS506" s="214">
        <f>IF(AND(Input_Product=Elig!$C506,Elig_MatchAll_Ct&lt;22,$BC506=(Elig_MatchAll_Ct-1),AQ506=0),N506,0)</f>
        <v>0</v>
      </c>
      <c r="BT506" s="214">
        <f>IF(AND(Input_Product=Elig!$C506,Elig_MatchAll_Ct&lt;22,$BC506=(Elig_MatchAll_Ct-1),AR506=0),O506,0)</f>
        <v>0</v>
      </c>
      <c r="BU506" s="214">
        <f>IF(AND(Input_Product=Elig!$C506,Elig_MatchAll_Ct&lt;22,$BC506=(Elig_MatchAll_Ct-1),AS506=0),P506,0)</f>
        <v>0</v>
      </c>
      <c r="BV506" s="215">
        <f>IF(AND(Input_Product=Elig!$C506,Elig_MatchAll_Ct&lt;22,$BC506=(Elig_MatchAll_Ct-1),AT506=0),Q506,0)</f>
        <v>0</v>
      </c>
      <c r="BW506" s="311">
        <f>IF(AND(Input_Product=Elig!$C506,Elig_MatchAll_Ct&lt;22,$BC506=(Elig_MatchAll_Ct-1),AU506=0),R506,0)</f>
        <v>0</v>
      </c>
      <c r="BX506" s="312">
        <f>IF(AND(Input_Product=Elig!$C506,Elig_MatchAll_Ct&lt;22,$BC506=(Elig_MatchAll_Ct-1),AU506=0),S506,0)</f>
        <v>0</v>
      </c>
      <c r="BY506" s="311">
        <f>IF(AND(Input_Product=Elig!$C506,Elig_MatchAll_Ct&lt;22,$BC506=(Elig_MatchAll_Ct-1),AV506=0),T506,0)</f>
        <v>0</v>
      </c>
      <c r="BZ506" s="312">
        <f>IF(AND(Input_Product=Elig!$C506,Elig_MatchAll_Ct&lt;22,$BC506=(Elig_MatchAll_Ct-1),AV506=0),U506,0)</f>
        <v>0</v>
      </c>
      <c r="CA506" s="311">
        <f>IF(AND(Input_Product=Elig!$C506,Elig_MatchAll_Ct&lt;22,$BC506=(Elig_MatchAll_Ct-1),AW506=0),V506,0)</f>
        <v>0</v>
      </c>
      <c r="CB506" s="312">
        <f>IF(AND(Input_Product=Elig!$C506,Elig_MatchAll_Ct&lt;22,$BC506=(Elig_MatchAll_Ct-1),AW506=0),W506,0)</f>
        <v>0</v>
      </c>
      <c r="CC506" s="311">
        <f>IF(AND(Input_Product=Elig!$C506,Elig_MatchAll_Ct&lt;22,$BC506=(Elig_MatchAll_Ct-1),AX506=0),X506,0)</f>
        <v>0</v>
      </c>
      <c r="CD506" s="312">
        <f>IF(AND(Input_Product=Elig!$C506,Elig_MatchAll_Ct&lt;22,$BC506=(Elig_MatchAll_Ct-1),AX506=0),Y506,0)</f>
        <v>0</v>
      </c>
      <c r="CE506" s="311">
        <f>IF(AND(Input_LTV&lt;=AE506,Input_Product=Elig!$C506,Elig_MatchAll_Ct&lt;22,$BC506=(Elig_MatchAll_Ct-1),AY506=0),Z506,0)</f>
        <v>0</v>
      </c>
      <c r="CF506" s="312">
        <f>IF(AND(Input_LTV&lt;=AE506,Input_Product=Elig!$C506,Elig_MatchAll_Ct&lt;22,$BC506=(Elig_MatchAll_Ct-1),AY506=0),AA506,0)</f>
        <v>0</v>
      </c>
      <c r="CG506" s="311">
        <f>IF(AND(Input_Product=Elig!$C506,Elig_MatchAll_Ct&lt;22,$BC506=(Elig_MatchAll_Ct-1),AZ506=0),AB506,0)</f>
        <v>0</v>
      </c>
      <c r="CH506" s="312">
        <f>IF(AND(Input_Product=Elig!$C506,Elig_MatchAll_Ct&lt;22,$BC506=(Elig_MatchAll_Ct-1),AZ506=0),AC506,0)</f>
        <v>0</v>
      </c>
      <c r="CI506" s="311">
        <f>IF(AND(Input_Product=Elig!$C506,Elig_MatchAll_Ct&lt;22,$BC506=(Elig_MatchAll_Ct-1),BA506=0),AD506,0)</f>
        <v>0</v>
      </c>
      <c r="CJ506" s="312">
        <f>IF(AND(Input_Product=Elig!$C506,Elig_MatchAll_Ct&lt;22,$BC506=(Elig_MatchAll_Ct-1),BA506=0),AE506,0)</f>
        <v>0</v>
      </c>
    </row>
    <row r="507" spans="2:88" ht="10.15" customHeight="1" x14ac:dyDescent="0.25">
      <c r="B507" s="287" t="s">
        <v>3998</v>
      </c>
      <c r="C507" s="281" t="str">
        <f t="shared" si="175"/>
        <v>NonQM NOO</v>
      </c>
      <c r="D507" s="282" t="s">
        <v>3885</v>
      </c>
      <c r="E507" s="283" t="s">
        <v>167</v>
      </c>
      <c r="F507" s="283" t="s">
        <v>330</v>
      </c>
      <c r="G507" s="2103" t="s">
        <v>304</v>
      </c>
      <c r="H507" s="283" t="s">
        <v>446</v>
      </c>
      <c r="I507" s="282" t="s">
        <v>16</v>
      </c>
      <c r="J507" s="282" t="s">
        <v>1311</v>
      </c>
      <c r="K507" s="282" t="s">
        <v>1631</v>
      </c>
      <c r="L507" s="2103" t="s">
        <v>312</v>
      </c>
      <c r="M507" s="283" t="s">
        <v>4203</v>
      </c>
      <c r="N507" s="283" t="s">
        <v>2685</v>
      </c>
      <c r="O507" s="283" t="s">
        <v>310</v>
      </c>
      <c r="P507" s="283" t="s">
        <v>291</v>
      </c>
      <c r="Q507" s="283" t="s">
        <v>294</v>
      </c>
      <c r="R507" s="282">
        <v>2000000.01</v>
      </c>
      <c r="S507" s="323">
        <v>2500000</v>
      </c>
      <c r="T507" s="282">
        <v>0</v>
      </c>
      <c r="U507" s="282">
        <f t="shared" ref="U507:U510" si="206">S507</f>
        <v>2500000</v>
      </c>
      <c r="V507" s="282">
        <v>0</v>
      </c>
      <c r="W507" s="282">
        <v>50</v>
      </c>
      <c r="X507" s="282">
        <v>0</v>
      </c>
      <c r="Y507" s="282">
        <v>999</v>
      </c>
      <c r="Z507" s="284">
        <v>720</v>
      </c>
      <c r="AA507" s="284">
        <v>999</v>
      </c>
      <c r="AB507" s="284">
        <v>9</v>
      </c>
      <c r="AC507" s="284">
        <v>999999</v>
      </c>
      <c r="AD507" s="282">
        <v>0</v>
      </c>
      <c r="AE507" s="2104">
        <v>70</v>
      </c>
      <c r="AF507" s="170">
        <v>0</v>
      </c>
      <c r="AG507" s="171">
        <v>1</v>
      </c>
      <c r="AH507" s="171">
        <v>1</v>
      </c>
      <c r="AI507" s="171">
        <v>0</v>
      </c>
      <c r="AJ507" s="171">
        <v>0</v>
      </c>
      <c r="AK507" s="171">
        <v>0</v>
      </c>
      <c r="AL507" s="171">
        <v>1</v>
      </c>
      <c r="AM507" s="171">
        <v>1</v>
      </c>
      <c r="AN507" s="171">
        <v>1</v>
      </c>
      <c r="AO507" s="171">
        <v>1</v>
      </c>
      <c r="AP507" s="171">
        <v>1</v>
      </c>
      <c r="AQ507" s="171">
        <v>1</v>
      </c>
      <c r="AR507" s="171">
        <v>1</v>
      </c>
      <c r="AS507" s="171">
        <v>1</v>
      </c>
      <c r="AT507" s="171">
        <v>1</v>
      </c>
      <c r="AU507" s="171">
        <f t="shared" si="183"/>
        <v>0</v>
      </c>
      <c r="AV507" s="171">
        <f t="shared" si="184"/>
        <v>1</v>
      </c>
      <c r="AW507" s="171">
        <f t="shared" si="185"/>
        <v>1</v>
      </c>
      <c r="AX507" s="171">
        <f t="shared" si="197"/>
        <v>1</v>
      </c>
      <c r="AY507" s="171">
        <f t="shared" si="186"/>
        <v>1</v>
      </c>
      <c r="AZ507" s="171">
        <f t="shared" si="187"/>
        <v>1</v>
      </c>
      <c r="BA507" s="172">
        <f t="shared" si="188"/>
        <v>1</v>
      </c>
      <c r="BB507" s="175">
        <f t="shared" si="190"/>
        <v>17</v>
      </c>
      <c r="BC507" s="176">
        <f t="shared" si="191"/>
        <v>16</v>
      </c>
      <c r="BD507" s="176">
        <f t="shared" si="192"/>
        <v>17</v>
      </c>
      <c r="BE507" s="240" t="str">
        <f t="shared" si="181"/>
        <v/>
      </c>
      <c r="BH507" s="210">
        <f>IF(AND(Input_Product=Elig!$C507,Elig_MatchAll_Ct&lt;22,$BC507=(Elig_MatchAll_Ct-1),AF507=0),C507,0)</f>
        <v>0</v>
      </c>
      <c r="BI507" s="210">
        <f>IF(AND(Input_Product=Elig!$C507,Elig_MatchAll_Ct&lt;22,$BC507=(Elig_MatchAll_Ct-1),AG507=0),D507,0)</f>
        <v>0</v>
      </c>
      <c r="BJ507" s="210">
        <f>IF(AND(Input_Product=Elig!$C507,Elig_MatchAll_Ct&lt;22,$BC507=(Elig_MatchAll_Ct-1),AH507=0),E507,0)</f>
        <v>0</v>
      </c>
      <c r="BK507" s="210">
        <f>IF(AND(Input_Product=Elig!$C507,Elig_MatchAll_Ct&lt;22,$BC507=(Elig_MatchAll_Ct-1),AI507=0),F507,0)</f>
        <v>0</v>
      </c>
      <c r="BL507" s="210">
        <f>IF(AND(Input_Product=Elig!$C507,Elig_MatchAll_Ct&lt;22,$BC507=(Elig_MatchAll_Ct-1),AJ507=0),G507,0)</f>
        <v>0</v>
      </c>
      <c r="BM507" s="210">
        <f>IF(AND(Input_Product=Elig!$C507,Elig_MatchAll_Ct&lt;22,$BC507=(Elig_MatchAll_Ct-1),AK507=0),H507,0)</f>
        <v>0</v>
      </c>
      <c r="BN507" s="210">
        <f>IF(AND(Input_Product=Elig!$C507,Elig_MatchAll_Ct&lt;22,$BC507=(Elig_MatchAll_Ct-1),AL507=0),I507,0)</f>
        <v>0</v>
      </c>
      <c r="BO507" s="210">
        <f>IF(AND(Input_Product=Elig!$C507,Elig_MatchAll_Ct&lt;22,$BC507=(Elig_MatchAll_Ct-1),AM507=0),J507,0)</f>
        <v>0</v>
      </c>
      <c r="BP507" s="210">
        <f>IF(AND(Input_Product=Elig!$C507,Elig_MatchAll_Ct&lt;22,$BC507=(Elig_MatchAll_Ct-1),AN507=0),K507,0)</f>
        <v>0</v>
      </c>
      <c r="BQ507" s="210">
        <f>IF(AND(Input_Product=Elig!$C507,Elig_MatchAll_Ct&lt;22,$BC507=(Elig_MatchAll_Ct-1),AP507=0),L507,0)</f>
        <v>0</v>
      </c>
      <c r="BR507" s="210">
        <f>IF(AND(Input_Product=Elig!$C507,Elig_MatchAll_Ct&lt;22,$BC507=(Elig_MatchAll_Ct-1),AO507=0),M507,0)</f>
        <v>0</v>
      </c>
      <c r="BS507" s="210">
        <f>IF(AND(Input_Product=Elig!$C507,Elig_MatchAll_Ct&lt;22,$BC507=(Elig_MatchAll_Ct-1),AQ507=0),N507,0)</f>
        <v>0</v>
      </c>
      <c r="BT507" s="210">
        <f>IF(AND(Input_Product=Elig!$C507,Elig_MatchAll_Ct&lt;22,$BC507=(Elig_MatchAll_Ct-1),AR507=0),O507,0)</f>
        <v>0</v>
      </c>
      <c r="BU507" s="210">
        <f>IF(AND(Input_Product=Elig!$C507,Elig_MatchAll_Ct&lt;22,$BC507=(Elig_MatchAll_Ct-1),AS507=0),P507,0)</f>
        <v>0</v>
      </c>
      <c r="BV507" s="211">
        <f>IF(AND(Input_Product=Elig!$C507,Elig_MatchAll_Ct&lt;22,$BC507=(Elig_MatchAll_Ct-1),AT507=0),Q507,0)</f>
        <v>0</v>
      </c>
      <c r="BW507" s="212">
        <f>IF(AND(Input_Product=Elig!$C507,Elig_MatchAll_Ct&lt;22,$BC507=(Elig_MatchAll_Ct-1),AU507=0),R507,0)</f>
        <v>0</v>
      </c>
      <c r="BX507" s="213">
        <f>IF(AND(Input_Product=Elig!$C507,Elig_MatchAll_Ct&lt;22,$BC507=(Elig_MatchAll_Ct-1),AU507=0),S507,0)</f>
        <v>0</v>
      </c>
      <c r="BY507" s="212">
        <f>IF(AND(Input_Product=Elig!$C507,Elig_MatchAll_Ct&lt;22,$BC507=(Elig_MatchAll_Ct-1),AV507=0),T507,0)</f>
        <v>0</v>
      </c>
      <c r="BZ507" s="213">
        <f>IF(AND(Input_Product=Elig!$C507,Elig_MatchAll_Ct&lt;22,$BC507=(Elig_MatchAll_Ct-1),AV507=0),U507,0)</f>
        <v>0</v>
      </c>
      <c r="CA507" s="212">
        <f>IF(AND(Input_Product=Elig!$C507,Elig_MatchAll_Ct&lt;22,$BC507=(Elig_MatchAll_Ct-1),AW507=0),V507,0)</f>
        <v>0</v>
      </c>
      <c r="CB507" s="213">
        <f>IF(AND(Input_Product=Elig!$C507,Elig_MatchAll_Ct&lt;22,$BC507=(Elig_MatchAll_Ct-1),AW507=0),W507,0)</f>
        <v>0</v>
      </c>
      <c r="CC507" s="212">
        <f>IF(AND(Input_Product=Elig!$C507,Elig_MatchAll_Ct&lt;22,$BC507=(Elig_MatchAll_Ct-1),AX507=0),X507,0)</f>
        <v>0</v>
      </c>
      <c r="CD507" s="213">
        <f>IF(AND(Input_Product=Elig!$C507,Elig_MatchAll_Ct&lt;22,$BC507=(Elig_MatchAll_Ct-1),AX507=0),Y507,0)</f>
        <v>0</v>
      </c>
      <c r="CE507" s="212">
        <f>IF(AND(Input_LTV&lt;=AE507,Input_Product=Elig!$C507,Elig_MatchAll_Ct&lt;22,$BC507=(Elig_MatchAll_Ct-1),AY507=0),Z507,0)</f>
        <v>0</v>
      </c>
      <c r="CF507" s="213">
        <f>IF(AND(Input_LTV&lt;=AE507,Input_Product=Elig!$C507,Elig_MatchAll_Ct&lt;22,$BC507=(Elig_MatchAll_Ct-1),AY507=0),AA507,0)</f>
        <v>0</v>
      </c>
      <c r="CG507" s="212">
        <f>IF(AND(Input_Product=Elig!$C507,Elig_MatchAll_Ct&lt;22,$BC507=(Elig_MatchAll_Ct-1),AZ507=0),AB507,0)</f>
        <v>0</v>
      </c>
      <c r="CH507" s="213">
        <f>IF(AND(Input_Product=Elig!$C507,Elig_MatchAll_Ct&lt;22,$BC507=(Elig_MatchAll_Ct-1),AZ507=0),AC507,0)</f>
        <v>0</v>
      </c>
      <c r="CI507" s="212">
        <f>IF(AND(Input_Product=Elig!$C507,Elig_MatchAll_Ct&lt;22,$BC507=(Elig_MatchAll_Ct-1),BA507=0),AD507,0)</f>
        <v>0</v>
      </c>
      <c r="CJ507" s="213">
        <f>IF(AND(Input_Product=Elig!$C507,Elig_MatchAll_Ct&lt;22,$BC507=(Elig_MatchAll_Ct-1),BA507=0),AE507,0)</f>
        <v>0</v>
      </c>
    </row>
    <row r="508" spans="2:88" ht="10.15" customHeight="1" x14ac:dyDescent="0.25">
      <c r="B508" s="287" t="s">
        <v>3999</v>
      </c>
      <c r="C508" s="286" t="str">
        <f t="shared" si="175"/>
        <v>NonQM NOO</v>
      </c>
      <c r="D508" s="287" t="s">
        <v>3885</v>
      </c>
      <c r="E508" s="287" t="s">
        <v>167</v>
      </c>
      <c r="F508" s="287" t="s">
        <v>330</v>
      </c>
      <c r="G508" s="300" t="s">
        <v>304</v>
      </c>
      <c r="H508" s="287" t="s">
        <v>446</v>
      </c>
      <c r="I508" s="288" t="s">
        <v>16</v>
      </c>
      <c r="J508" s="288" t="s">
        <v>1311</v>
      </c>
      <c r="K508" s="288" t="s">
        <v>1631</v>
      </c>
      <c r="L508" s="300" t="s">
        <v>312</v>
      </c>
      <c r="M508" s="287" t="s">
        <v>4203</v>
      </c>
      <c r="N508" s="287" t="s">
        <v>2685</v>
      </c>
      <c r="O508" s="287" t="s">
        <v>310</v>
      </c>
      <c r="P508" s="287" t="s">
        <v>291</v>
      </c>
      <c r="Q508" s="287" t="s">
        <v>294</v>
      </c>
      <c r="R508" s="287">
        <v>2000000.01</v>
      </c>
      <c r="S508" s="300">
        <v>2500000</v>
      </c>
      <c r="T508" s="287">
        <v>0</v>
      </c>
      <c r="U508" s="287">
        <f t="shared" si="206"/>
        <v>2500000</v>
      </c>
      <c r="V508" s="287">
        <v>0</v>
      </c>
      <c r="W508" s="287">
        <v>50</v>
      </c>
      <c r="X508" s="287">
        <v>0</v>
      </c>
      <c r="Y508" s="287">
        <v>999</v>
      </c>
      <c r="Z508" s="289">
        <v>700</v>
      </c>
      <c r="AA508" s="289">
        <v>719</v>
      </c>
      <c r="AB508" s="289">
        <v>9</v>
      </c>
      <c r="AC508" s="289">
        <v>999999</v>
      </c>
      <c r="AD508" s="287">
        <v>0</v>
      </c>
      <c r="AE508" s="2105">
        <v>65</v>
      </c>
      <c r="AF508" s="170">
        <v>0</v>
      </c>
      <c r="AG508" s="171">
        <v>1</v>
      </c>
      <c r="AH508" s="171">
        <v>1</v>
      </c>
      <c r="AI508" s="171">
        <v>0</v>
      </c>
      <c r="AJ508" s="171">
        <v>0</v>
      </c>
      <c r="AK508" s="171">
        <v>0</v>
      </c>
      <c r="AL508" s="171">
        <v>1</v>
      </c>
      <c r="AM508" s="171">
        <v>1</v>
      </c>
      <c r="AN508" s="171">
        <v>1</v>
      </c>
      <c r="AO508" s="171">
        <v>1</v>
      </c>
      <c r="AP508" s="171">
        <v>1</v>
      </c>
      <c r="AQ508" s="171">
        <v>1</v>
      </c>
      <c r="AR508" s="171">
        <v>1</v>
      </c>
      <c r="AS508" s="171">
        <v>1</v>
      </c>
      <c r="AT508" s="171">
        <v>1</v>
      </c>
      <c r="AU508" s="171">
        <f t="shared" si="183"/>
        <v>0</v>
      </c>
      <c r="AV508" s="171">
        <f t="shared" si="184"/>
        <v>1</v>
      </c>
      <c r="AW508" s="171">
        <f t="shared" si="185"/>
        <v>1</v>
      </c>
      <c r="AX508" s="171">
        <f t="shared" si="197"/>
        <v>1</v>
      </c>
      <c r="AY508" s="171">
        <f t="shared" si="186"/>
        <v>0</v>
      </c>
      <c r="AZ508" s="171">
        <f t="shared" si="187"/>
        <v>1</v>
      </c>
      <c r="BA508" s="172">
        <f t="shared" si="188"/>
        <v>1</v>
      </c>
      <c r="BB508" s="175">
        <f t="shared" si="190"/>
        <v>16</v>
      </c>
      <c r="BC508" s="176">
        <f t="shared" si="191"/>
        <v>15</v>
      </c>
      <c r="BD508" s="176">
        <f t="shared" si="192"/>
        <v>16</v>
      </c>
      <c r="BE508" s="240" t="str">
        <f t="shared" si="181"/>
        <v/>
      </c>
      <c r="BH508" s="199">
        <f>IF(AND(Input_Product=Elig!$C508,Elig_MatchAll_Ct&lt;22,$BC508=(Elig_MatchAll_Ct-1),AF508=0),C508,0)</f>
        <v>0</v>
      </c>
      <c r="BI508" s="199">
        <f>IF(AND(Input_Product=Elig!$C508,Elig_MatchAll_Ct&lt;22,$BC508=(Elig_MatchAll_Ct-1),AG508=0),D508,0)</f>
        <v>0</v>
      </c>
      <c r="BJ508" s="199">
        <f>IF(AND(Input_Product=Elig!$C508,Elig_MatchAll_Ct&lt;22,$BC508=(Elig_MatchAll_Ct-1),AH508=0),E508,0)</f>
        <v>0</v>
      </c>
      <c r="BK508" s="199">
        <f>IF(AND(Input_Product=Elig!$C508,Elig_MatchAll_Ct&lt;22,$BC508=(Elig_MatchAll_Ct-1),AI508=0),F508,0)</f>
        <v>0</v>
      </c>
      <c r="BL508" s="199">
        <f>IF(AND(Input_Product=Elig!$C508,Elig_MatchAll_Ct&lt;22,$BC508=(Elig_MatchAll_Ct-1),AJ508=0),G508,0)</f>
        <v>0</v>
      </c>
      <c r="BM508" s="199">
        <f>IF(AND(Input_Product=Elig!$C508,Elig_MatchAll_Ct&lt;22,$BC508=(Elig_MatchAll_Ct-1),AK508=0),H508,0)</f>
        <v>0</v>
      </c>
      <c r="BN508" s="199">
        <f>IF(AND(Input_Product=Elig!$C508,Elig_MatchAll_Ct&lt;22,$BC508=(Elig_MatchAll_Ct-1),AL508=0),I508,0)</f>
        <v>0</v>
      </c>
      <c r="BO508" s="199">
        <f>IF(AND(Input_Product=Elig!$C508,Elig_MatchAll_Ct&lt;22,$BC508=(Elig_MatchAll_Ct-1),AM508=0),J508,0)</f>
        <v>0</v>
      </c>
      <c r="BP508" s="199">
        <f>IF(AND(Input_Product=Elig!$C508,Elig_MatchAll_Ct&lt;22,$BC508=(Elig_MatchAll_Ct-1),AN508=0),K508,0)</f>
        <v>0</v>
      </c>
      <c r="BQ508" s="199">
        <f>IF(AND(Input_Product=Elig!$C508,Elig_MatchAll_Ct&lt;22,$BC508=(Elig_MatchAll_Ct-1),AP508=0),L508,0)</f>
        <v>0</v>
      </c>
      <c r="BR508" s="199">
        <f>IF(AND(Input_Product=Elig!$C508,Elig_MatchAll_Ct&lt;22,$BC508=(Elig_MatchAll_Ct-1),AO508=0),M508,0)</f>
        <v>0</v>
      </c>
      <c r="BS508" s="199">
        <f>IF(AND(Input_Product=Elig!$C508,Elig_MatchAll_Ct&lt;22,$BC508=(Elig_MatchAll_Ct-1),AQ508=0),N508,0)</f>
        <v>0</v>
      </c>
      <c r="BT508" s="199">
        <f>IF(AND(Input_Product=Elig!$C508,Elig_MatchAll_Ct&lt;22,$BC508=(Elig_MatchAll_Ct-1),AR508=0),O508,0)</f>
        <v>0</v>
      </c>
      <c r="BU508" s="199">
        <f>IF(AND(Input_Product=Elig!$C508,Elig_MatchAll_Ct&lt;22,$BC508=(Elig_MatchAll_Ct-1),AS508=0),P508,0)</f>
        <v>0</v>
      </c>
      <c r="BV508" s="200">
        <f>IF(AND(Input_Product=Elig!$C508,Elig_MatchAll_Ct&lt;22,$BC508=(Elig_MatchAll_Ct-1),AT508=0),Q508,0)</f>
        <v>0</v>
      </c>
      <c r="BW508" s="201">
        <f>IF(AND(Input_Product=Elig!$C508,Elig_MatchAll_Ct&lt;22,$BC508=(Elig_MatchAll_Ct-1),AU508=0),R508,0)</f>
        <v>0</v>
      </c>
      <c r="BX508" s="202">
        <f>IF(AND(Input_Product=Elig!$C508,Elig_MatchAll_Ct&lt;22,$BC508=(Elig_MatchAll_Ct-1),AU508=0),S508,0)</f>
        <v>0</v>
      </c>
      <c r="BY508" s="201">
        <f>IF(AND(Input_Product=Elig!$C508,Elig_MatchAll_Ct&lt;22,$BC508=(Elig_MatchAll_Ct-1),AV508=0),T508,0)</f>
        <v>0</v>
      </c>
      <c r="BZ508" s="202">
        <f>IF(AND(Input_Product=Elig!$C508,Elig_MatchAll_Ct&lt;22,$BC508=(Elig_MatchAll_Ct-1),AV508=0),U508,0)</f>
        <v>0</v>
      </c>
      <c r="CA508" s="201">
        <f>IF(AND(Input_Product=Elig!$C508,Elig_MatchAll_Ct&lt;22,$BC508=(Elig_MatchAll_Ct-1),AW508=0),V508,0)</f>
        <v>0</v>
      </c>
      <c r="CB508" s="202">
        <f>IF(AND(Input_Product=Elig!$C508,Elig_MatchAll_Ct&lt;22,$BC508=(Elig_MatchAll_Ct-1),AW508=0),W508,0)</f>
        <v>0</v>
      </c>
      <c r="CC508" s="201">
        <f>IF(AND(Input_Product=Elig!$C508,Elig_MatchAll_Ct&lt;22,$BC508=(Elig_MatchAll_Ct-1),AX508=0),X508,0)</f>
        <v>0</v>
      </c>
      <c r="CD508" s="202">
        <f>IF(AND(Input_Product=Elig!$C508,Elig_MatchAll_Ct&lt;22,$BC508=(Elig_MatchAll_Ct-1),AX508=0),Y508,0)</f>
        <v>0</v>
      </c>
      <c r="CE508" s="201">
        <f>IF(AND(Input_LTV&lt;=AE508,Input_Product=Elig!$C508,Elig_MatchAll_Ct&lt;22,$BC508=(Elig_MatchAll_Ct-1),AY508=0),Z508,0)</f>
        <v>0</v>
      </c>
      <c r="CF508" s="202">
        <f>IF(AND(Input_LTV&lt;=AE508,Input_Product=Elig!$C508,Elig_MatchAll_Ct&lt;22,$BC508=(Elig_MatchAll_Ct-1),AY508=0),AA508,0)</f>
        <v>0</v>
      </c>
      <c r="CG508" s="201">
        <f>IF(AND(Input_Product=Elig!$C508,Elig_MatchAll_Ct&lt;22,$BC508=(Elig_MatchAll_Ct-1),AZ508=0),AB508,0)</f>
        <v>0</v>
      </c>
      <c r="CH508" s="202">
        <f>IF(AND(Input_Product=Elig!$C508,Elig_MatchAll_Ct&lt;22,$BC508=(Elig_MatchAll_Ct-1),AZ508=0),AC508,0)</f>
        <v>0</v>
      </c>
      <c r="CI508" s="201">
        <f>IF(AND(Input_Product=Elig!$C508,Elig_MatchAll_Ct&lt;22,$BC508=(Elig_MatchAll_Ct-1),BA508=0),AD508,0)</f>
        <v>0</v>
      </c>
      <c r="CJ508" s="202">
        <f>IF(AND(Input_Product=Elig!$C508,Elig_MatchAll_Ct&lt;22,$BC508=(Elig_MatchAll_Ct-1),BA508=0),AE508,0)</f>
        <v>0</v>
      </c>
    </row>
    <row r="509" spans="2:88" ht="10.15" customHeight="1" x14ac:dyDescent="0.25">
      <c r="B509" s="287" t="s">
        <v>4000</v>
      </c>
      <c r="C509" s="286" t="str">
        <f t="shared" si="175"/>
        <v>NonQM NOO</v>
      </c>
      <c r="D509" s="287" t="s">
        <v>3885</v>
      </c>
      <c r="E509" s="287" t="s">
        <v>167</v>
      </c>
      <c r="F509" s="287" t="s">
        <v>330</v>
      </c>
      <c r="G509" s="300" t="s">
        <v>304</v>
      </c>
      <c r="H509" s="287" t="s">
        <v>446</v>
      </c>
      <c r="I509" s="288" t="s">
        <v>16</v>
      </c>
      <c r="J509" s="288" t="s">
        <v>1311</v>
      </c>
      <c r="K509" s="288" t="s">
        <v>1631</v>
      </c>
      <c r="L509" s="300" t="s">
        <v>312</v>
      </c>
      <c r="M509" s="287" t="s">
        <v>4203</v>
      </c>
      <c r="N509" s="287" t="s">
        <v>2685</v>
      </c>
      <c r="O509" s="287" t="s">
        <v>310</v>
      </c>
      <c r="P509" s="287" t="s">
        <v>291</v>
      </c>
      <c r="Q509" s="287" t="s">
        <v>294</v>
      </c>
      <c r="R509" s="287">
        <v>2000000.01</v>
      </c>
      <c r="S509" s="300">
        <v>2500000</v>
      </c>
      <c r="T509" s="287">
        <v>0</v>
      </c>
      <c r="U509" s="287">
        <f t="shared" ref="U509" si="207">S509</f>
        <v>2500000</v>
      </c>
      <c r="V509" s="287">
        <v>0</v>
      </c>
      <c r="W509" s="287">
        <v>50</v>
      </c>
      <c r="X509" s="287">
        <v>0</v>
      </c>
      <c r="Y509" s="287">
        <v>999</v>
      </c>
      <c r="Z509" s="2101">
        <v>680</v>
      </c>
      <c r="AA509" s="2101">
        <v>699</v>
      </c>
      <c r="AB509" s="289">
        <v>9</v>
      </c>
      <c r="AC509" s="289">
        <v>999999</v>
      </c>
      <c r="AD509" s="287">
        <v>0</v>
      </c>
      <c r="AE509" s="2105">
        <v>65</v>
      </c>
      <c r="AF509" s="170">
        <v>0</v>
      </c>
      <c r="AG509" s="171">
        <v>1</v>
      </c>
      <c r="AH509" s="171">
        <v>1</v>
      </c>
      <c r="AI509" s="171">
        <v>0</v>
      </c>
      <c r="AJ509" s="171">
        <v>0</v>
      </c>
      <c r="AK509" s="171">
        <v>0</v>
      </c>
      <c r="AL509" s="171">
        <v>1</v>
      </c>
      <c r="AM509" s="171">
        <v>1</v>
      </c>
      <c r="AN509" s="171">
        <v>1</v>
      </c>
      <c r="AO509" s="171">
        <v>1</v>
      </c>
      <c r="AP509" s="171">
        <v>1</v>
      </c>
      <c r="AQ509" s="171">
        <v>1</v>
      </c>
      <c r="AR509" s="171">
        <v>1</v>
      </c>
      <c r="AS509" s="171">
        <v>1</v>
      </c>
      <c r="AT509" s="171">
        <v>1</v>
      </c>
      <c r="AU509" s="171">
        <f t="shared" si="183"/>
        <v>0</v>
      </c>
      <c r="AV509" s="171">
        <f t="shared" si="184"/>
        <v>1</v>
      </c>
      <c r="AW509" s="171">
        <f t="shared" si="185"/>
        <v>1</v>
      </c>
      <c r="AX509" s="171">
        <f t="shared" si="197"/>
        <v>1</v>
      </c>
      <c r="AY509" s="171">
        <f t="shared" si="186"/>
        <v>0</v>
      </c>
      <c r="AZ509" s="171">
        <f t="shared" si="187"/>
        <v>1</v>
      </c>
      <c r="BA509" s="172">
        <f t="shared" si="188"/>
        <v>1</v>
      </c>
      <c r="BB509" s="175">
        <f t="shared" ref="BB509" si="208">SUM(AF509:BA509)</f>
        <v>16</v>
      </c>
      <c r="BC509" s="176">
        <f t="shared" ref="BC509" si="209">SUM(AF509:AZ509)</f>
        <v>15</v>
      </c>
      <c r="BD509" s="176">
        <f t="shared" ref="BD509" si="210">SUM(AG509:BA509)</f>
        <v>16</v>
      </c>
      <c r="BE509" s="240" t="str">
        <f t="shared" si="181"/>
        <v/>
      </c>
      <c r="BH509" s="199">
        <f>IF(AND(Input_Product=Elig!$C509,Elig_MatchAll_Ct&lt;22,$BC509=(Elig_MatchAll_Ct-1),AF509=0),C509,0)</f>
        <v>0</v>
      </c>
      <c r="BI509" s="199">
        <f>IF(AND(Input_Product=Elig!$C509,Elig_MatchAll_Ct&lt;22,$BC509=(Elig_MatchAll_Ct-1),AG509=0),D509,0)</f>
        <v>0</v>
      </c>
      <c r="BJ509" s="199">
        <f>IF(AND(Input_Product=Elig!$C509,Elig_MatchAll_Ct&lt;22,$BC509=(Elig_MatchAll_Ct-1),AH509=0),E509,0)</f>
        <v>0</v>
      </c>
      <c r="BK509" s="199">
        <f>IF(AND(Input_Product=Elig!$C509,Elig_MatchAll_Ct&lt;22,$BC509=(Elig_MatchAll_Ct-1),AI509=0),F509,0)</f>
        <v>0</v>
      </c>
      <c r="BL509" s="199">
        <f>IF(AND(Input_Product=Elig!$C509,Elig_MatchAll_Ct&lt;22,$BC509=(Elig_MatchAll_Ct-1),AJ509=0),G509,0)</f>
        <v>0</v>
      </c>
      <c r="BM509" s="199">
        <f>IF(AND(Input_Product=Elig!$C509,Elig_MatchAll_Ct&lt;22,$BC509=(Elig_MatchAll_Ct-1),AK509=0),H509,0)</f>
        <v>0</v>
      </c>
      <c r="BN509" s="199">
        <f>IF(AND(Input_Product=Elig!$C509,Elig_MatchAll_Ct&lt;22,$BC509=(Elig_MatchAll_Ct-1),AL509=0),I509,0)</f>
        <v>0</v>
      </c>
      <c r="BO509" s="199">
        <f>IF(AND(Input_Product=Elig!$C509,Elig_MatchAll_Ct&lt;22,$BC509=(Elig_MatchAll_Ct-1),AM509=0),J509,0)</f>
        <v>0</v>
      </c>
      <c r="BP509" s="199">
        <f>IF(AND(Input_Product=Elig!$C509,Elig_MatchAll_Ct&lt;22,$BC509=(Elig_MatchAll_Ct-1),AN509=0),K509,0)</f>
        <v>0</v>
      </c>
      <c r="BQ509" s="199">
        <f>IF(AND(Input_Product=Elig!$C509,Elig_MatchAll_Ct&lt;22,$BC509=(Elig_MatchAll_Ct-1),AP509=0),L509,0)</f>
        <v>0</v>
      </c>
      <c r="BR509" s="199">
        <f>IF(AND(Input_Product=Elig!$C509,Elig_MatchAll_Ct&lt;22,$BC509=(Elig_MatchAll_Ct-1),AO509=0),M509,0)</f>
        <v>0</v>
      </c>
      <c r="BS509" s="199">
        <f>IF(AND(Input_Product=Elig!$C509,Elig_MatchAll_Ct&lt;22,$BC509=(Elig_MatchAll_Ct-1),AQ509=0),N509,0)</f>
        <v>0</v>
      </c>
      <c r="BT509" s="199">
        <f>IF(AND(Input_Product=Elig!$C509,Elig_MatchAll_Ct&lt;22,$BC509=(Elig_MatchAll_Ct-1),AR509=0),O509,0)</f>
        <v>0</v>
      </c>
      <c r="BU509" s="199">
        <f>IF(AND(Input_Product=Elig!$C509,Elig_MatchAll_Ct&lt;22,$BC509=(Elig_MatchAll_Ct-1),AS509=0),P509,0)</f>
        <v>0</v>
      </c>
      <c r="BV509" s="200">
        <f>IF(AND(Input_Product=Elig!$C509,Elig_MatchAll_Ct&lt;22,$BC509=(Elig_MatchAll_Ct-1),AT509=0),Q509,0)</f>
        <v>0</v>
      </c>
      <c r="BW509" s="201">
        <f>IF(AND(Input_Product=Elig!$C509,Elig_MatchAll_Ct&lt;22,$BC509=(Elig_MatchAll_Ct-1),AU509=0),R509,0)</f>
        <v>0</v>
      </c>
      <c r="BX509" s="202">
        <f>IF(AND(Input_Product=Elig!$C509,Elig_MatchAll_Ct&lt;22,$BC509=(Elig_MatchAll_Ct-1),AU509=0),S509,0)</f>
        <v>0</v>
      </c>
      <c r="BY509" s="201">
        <f>IF(AND(Input_Product=Elig!$C509,Elig_MatchAll_Ct&lt;22,$BC509=(Elig_MatchAll_Ct-1),AV509=0),T509,0)</f>
        <v>0</v>
      </c>
      <c r="BZ509" s="202">
        <f>IF(AND(Input_Product=Elig!$C509,Elig_MatchAll_Ct&lt;22,$BC509=(Elig_MatchAll_Ct-1),AV509=0),U509,0)</f>
        <v>0</v>
      </c>
      <c r="CA509" s="201">
        <f>IF(AND(Input_Product=Elig!$C509,Elig_MatchAll_Ct&lt;22,$BC509=(Elig_MatchAll_Ct-1),AW509=0),V509,0)</f>
        <v>0</v>
      </c>
      <c r="CB509" s="202">
        <f>IF(AND(Input_Product=Elig!$C509,Elig_MatchAll_Ct&lt;22,$BC509=(Elig_MatchAll_Ct-1),AW509=0),W509,0)</f>
        <v>0</v>
      </c>
      <c r="CC509" s="201">
        <f>IF(AND(Input_Product=Elig!$C509,Elig_MatchAll_Ct&lt;22,$BC509=(Elig_MatchAll_Ct-1),AX509=0),X509,0)</f>
        <v>0</v>
      </c>
      <c r="CD509" s="202">
        <f>IF(AND(Input_Product=Elig!$C509,Elig_MatchAll_Ct&lt;22,$BC509=(Elig_MatchAll_Ct-1),AX509=0),Y509,0)</f>
        <v>0</v>
      </c>
      <c r="CE509" s="201">
        <f>IF(AND(Input_LTV&lt;=AE509,Input_Product=Elig!$C509,Elig_MatchAll_Ct&lt;22,$BC509=(Elig_MatchAll_Ct-1),AY509=0),Z509,0)</f>
        <v>0</v>
      </c>
      <c r="CF509" s="202">
        <f>IF(AND(Input_LTV&lt;=AE509,Input_Product=Elig!$C509,Elig_MatchAll_Ct&lt;22,$BC509=(Elig_MatchAll_Ct-1),AY509=0),AA509,0)</f>
        <v>0</v>
      </c>
      <c r="CG509" s="201">
        <f>IF(AND(Input_Product=Elig!$C509,Elig_MatchAll_Ct&lt;22,$BC509=(Elig_MatchAll_Ct-1),AZ509=0),AB509,0)</f>
        <v>0</v>
      </c>
      <c r="CH509" s="202">
        <f>IF(AND(Input_Product=Elig!$C509,Elig_MatchAll_Ct&lt;22,$BC509=(Elig_MatchAll_Ct-1),AZ509=0),AC509,0)</f>
        <v>0</v>
      </c>
      <c r="CI509" s="201">
        <f>IF(AND(Input_Product=Elig!$C509,Elig_MatchAll_Ct&lt;22,$BC509=(Elig_MatchAll_Ct-1),BA509=0),AD509,0)</f>
        <v>0</v>
      </c>
      <c r="CJ509" s="202">
        <f>IF(AND(Input_Product=Elig!$C509,Elig_MatchAll_Ct&lt;22,$BC509=(Elig_MatchAll_Ct-1),BA509=0),AE509,0)</f>
        <v>0</v>
      </c>
    </row>
    <row r="510" spans="2:88" ht="10.15" customHeight="1" x14ac:dyDescent="0.25">
      <c r="B510" s="287" t="s">
        <v>4001</v>
      </c>
      <c r="C510" s="291" t="str">
        <f t="shared" si="175"/>
        <v>NonQM NOO</v>
      </c>
      <c r="D510" s="292" t="s">
        <v>3885</v>
      </c>
      <c r="E510" s="292" t="s">
        <v>167</v>
      </c>
      <c r="F510" s="292" t="s">
        <v>330</v>
      </c>
      <c r="G510" s="324" t="s">
        <v>304</v>
      </c>
      <c r="H510" s="292" t="s">
        <v>446</v>
      </c>
      <c r="I510" s="295" t="s">
        <v>16</v>
      </c>
      <c r="J510" s="295" t="s">
        <v>1311</v>
      </c>
      <c r="K510" s="295" t="s">
        <v>1631</v>
      </c>
      <c r="L510" s="324" t="s">
        <v>312</v>
      </c>
      <c r="M510" s="292" t="s">
        <v>4203</v>
      </c>
      <c r="N510" s="292" t="s">
        <v>2685</v>
      </c>
      <c r="O510" s="292" t="s">
        <v>310</v>
      </c>
      <c r="P510" s="292" t="s">
        <v>291</v>
      </c>
      <c r="Q510" s="292" t="s">
        <v>294</v>
      </c>
      <c r="R510" s="292">
        <v>2000000.01</v>
      </c>
      <c r="S510" s="324">
        <v>2500000</v>
      </c>
      <c r="T510" s="292">
        <v>0</v>
      </c>
      <c r="U510" s="292">
        <f t="shared" si="206"/>
        <v>2500000</v>
      </c>
      <c r="V510" s="292">
        <v>0</v>
      </c>
      <c r="W510" s="292">
        <v>50</v>
      </c>
      <c r="X510" s="292">
        <v>0</v>
      </c>
      <c r="Y510" s="292">
        <v>999</v>
      </c>
      <c r="Z510" s="2102">
        <v>660</v>
      </c>
      <c r="AA510" s="2102">
        <v>679</v>
      </c>
      <c r="AB510" s="293">
        <v>9</v>
      </c>
      <c r="AC510" s="293">
        <v>999999</v>
      </c>
      <c r="AD510" s="292">
        <v>0</v>
      </c>
      <c r="AE510" s="2107">
        <v>65</v>
      </c>
      <c r="AF510" s="170">
        <v>0</v>
      </c>
      <c r="AG510" s="171">
        <v>1</v>
      </c>
      <c r="AH510" s="171">
        <v>1</v>
      </c>
      <c r="AI510" s="171">
        <v>0</v>
      </c>
      <c r="AJ510" s="171">
        <v>0</v>
      </c>
      <c r="AK510" s="171">
        <v>0</v>
      </c>
      <c r="AL510" s="171">
        <v>1</v>
      </c>
      <c r="AM510" s="171">
        <v>1</v>
      </c>
      <c r="AN510" s="171">
        <v>1</v>
      </c>
      <c r="AO510" s="171">
        <v>1</v>
      </c>
      <c r="AP510" s="171">
        <v>1</v>
      </c>
      <c r="AQ510" s="171">
        <v>1</v>
      </c>
      <c r="AR510" s="171">
        <v>1</v>
      </c>
      <c r="AS510" s="171">
        <v>1</v>
      </c>
      <c r="AT510" s="171">
        <v>1</v>
      </c>
      <c r="AU510" s="171">
        <f t="shared" si="183"/>
        <v>0</v>
      </c>
      <c r="AV510" s="171">
        <f t="shared" si="184"/>
        <v>1</v>
      </c>
      <c r="AW510" s="171">
        <f t="shared" si="185"/>
        <v>1</v>
      </c>
      <c r="AX510" s="171">
        <f t="shared" si="197"/>
        <v>1</v>
      </c>
      <c r="AY510" s="171">
        <f t="shared" si="186"/>
        <v>0</v>
      </c>
      <c r="AZ510" s="171">
        <f t="shared" si="187"/>
        <v>1</v>
      </c>
      <c r="BA510" s="172">
        <f t="shared" si="188"/>
        <v>1</v>
      </c>
      <c r="BB510" s="175">
        <f t="shared" si="190"/>
        <v>16</v>
      </c>
      <c r="BC510" s="176">
        <f t="shared" si="191"/>
        <v>15</v>
      </c>
      <c r="BD510" s="176">
        <f t="shared" si="192"/>
        <v>16</v>
      </c>
      <c r="BE510" s="240" t="str">
        <f t="shared" si="181"/>
        <v/>
      </c>
      <c r="BH510" s="214">
        <f>IF(AND(Input_Product=Elig!$C510,Elig_MatchAll_Ct&lt;22,$BC510=(Elig_MatchAll_Ct-1),AF510=0),C510,0)</f>
        <v>0</v>
      </c>
      <c r="BI510" s="214">
        <f>IF(AND(Input_Product=Elig!$C510,Elig_MatchAll_Ct&lt;22,$BC510=(Elig_MatchAll_Ct-1),AG510=0),D510,0)</f>
        <v>0</v>
      </c>
      <c r="BJ510" s="214">
        <f>IF(AND(Input_Product=Elig!$C510,Elig_MatchAll_Ct&lt;22,$BC510=(Elig_MatchAll_Ct-1),AH510=0),E510,0)</f>
        <v>0</v>
      </c>
      <c r="BK510" s="214">
        <f>IF(AND(Input_Product=Elig!$C510,Elig_MatchAll_Ct&lt;22,$BC510=(Elig_MatchAll_Ct-1),AI510=0),F510,0)</f>
        <v>0</v>
      </c>
      <c r="BL510" s="214">
        <f>IF(AND(Input_Product=Elig!$C510,Elig_MatchAll_Ct&lt;22,$BC510=(Elig_MatchAll_Ct-1),AJ510=0),G510,0)</f>
        <v>0</v>
      </c>
      <c r="BM510" s="214">
        <f>IF(AND(Input_Product=Elig!$C510,Elig_MatchAll_Ct&lt;22,$BC510=(Elig_MatchAll_Ct-1),AK510=0),H510,0)</f>
        <v>0</v>
      </c>
      <c r="BN510" s="214">
        <f>IF(AND(Input_Product=Elig!$C510,Elig_MatchAll_Ct&lt;22,$BC510=(Elig_MatchAll_Ct-1),AL510=0),I510,0)</f>
        <v>0</v>
      </c>
      <c r="BO510" s="214">
        <f>IF(AND(Input_Product=Elig!$C510,Elig_MatchAll_Ct&lt;22,$BC510=(Elig_MatchAll_Ct-1),AM510=0),J510,0)</f>
        <v>0</v>
      </c>
      <c r="BP510" s="214">
        <f>IF(AND(Input_Product=Elig!$C510,Elig_MatchAll_Ct&lt;22,$BC510=(Elig_MatchAll_Ct-1),AN510=0),K510,0)</f>
        <v>0</v>
      </c>
      <c r="BQ510" s="214">
        <f>IF(AND(Input_Product=Elig!$C510,Elig_MatchAll_Ct&lt;22,$BC510=(Elig_MatchAll_Ct-1),AP510=0),L510,0)</f>
        <v>0</v>
      </c>
      <c r="BR510" s="214">
        <f>IF(AND(Input_Product=Elig!$C510,Elig_MatchAll_Ct&lt;22,$BC510=(Elig_MatchAll_Ct-1),AO510=0),M510,0)</f>
        <v>0</v>
      </c>
      <c r="BS510" s="214">
        <f>IF(AND(Input_Product=Elig!$C510,Elig_MatchAll_Ct&lt;22,$BC510=(Elig_MatchAll_Ct-1),AQ510=0),N510,0)</f>
        <v>0</v>
      </c>
      <c r="BT510" s="214">
        <f>IF(AND(Input_Product=Elig!$C510,Elig_MatchAll_Ct&lt;22,$BC510=(Elig_MatchAll_Ct-1),AR510=0),O510,0)</f>
        <v>0</v>
      </c>
      <c r="BU510" s="214">
        <f>IF(AND(Input_Product=Elig!$C510,Elig_MatchAll_Ct&lt;22,$BC510=(Elig_MatchAll_Ct-1),AS510=0),P510,0)</f>
        <v>0</v>
      </c>
      <c r="BV510" s="215">
        <f>IF(AND(Input_Product=Elig!$C510,Elig_MatchAll_Ct&lt;22,$BC510=(Elig_MatchAll_Ct-1),AT510=0),Q510,0)</f>
        <v>0</v>
      </c>
      <c r="BW510" s="311">
        <f>IF(AND(Input_Product=Elig!$C510,Elig_MatchAll_Ct&lt;22,$BC510=(Elig_MatchAll_Ct-1),AU510=0),R510,0)</f>
        <v>0</v>
      </c>
      <c r="BX510" s="312">
        <f>IF(AND(Input_Product=Elig!$C510,Elig_MatchAll_Ct&lt;22,$BC510=(Elig_MatchAll_Ct-1),AU510=0),S510,0)</f>
        <v>0</v>
      </c>
      <c r="BY510" s="311">
        <f>IF(AND(Input_Product=Elig!$C510,Elig_MatchAll_Ct&lt;22,$BC510=(Elig_MatchAll_Ct-1),AV510=0),T510,0)</f>
        <v>0</v>
      </c>
      <c r="BZ510" s="312">
        <f>IF(AND(Input_Product=Elig!$C510,Elig_MatchAll_Ct&lt;22,$BC510=(Elig_MatchAll_Ct-1),AV510=0),U510,0)</f>
        <v>0</v>
      </c>
      <c r="CA510" s="311">
        <f>IF(AND(Input_Product=Elig!$C510,Elig_MatchAll_Ct&lt;22,$BC510=(Elig_MatchAll_Ct-1),AW510=0),V510,0)</f>
        <v>0</v>
      </c>
      <c r="CB510" s="312">
        <f>IF(AND(Input_Product=Elig!$C510,Elig_MatchAll_Ct&lt;22,$BC510=(Elig_MatchAll_Ct-1),AW510=0),W510,0)</f>
        <v>0</v>
      </c>
      <c r="CC510" s="311">
        <f>IF(AND(Input_Product=Elig!$C510,Elig_MatchAll_Ct&lt;22,$BC510=(Elig_MatchAll_Ct-1),AX510=0),X510,0)</f>
        <v>0</v>
      </c>
      <c r="CD510" s="312">
        <f>IF(AND(Input_Product=Elig!$C510,Elig_MatchAll_Ct&lt;22,$BC510=(Elig_MatchAll_Ct-1),AX510=0),Y510,0)</f>
        <v>0</v>
      </c>
      <c r="CE510" s="311">
        <f>IF(AND(Input_LTV&lt;=AE510,Input_Product=Elig!$C510,Elig_MatchAll_Ct&lt;22,$BC510=(Elig_MatchAll_Ct-1),AY510=0),Z510,0)</f>
        <v>0</v>
      </c>
      <c r="CF510" s="312">
        <f>IF(AND(Input_LTV&lt;=AE510,Input_Product=Elig!$C510,Elig_MatchAll_Ct&lt;22,$BC510=(Elig_MatchAll_Ct-1),AY510=0),AA510,0)</f>
        <v>0</v>
      </c>
      <c r="CG510" s="311">
        <f>IF(AND(Input_Product=Elig!$C510,Elig_MatchAll_Ct&lt;22,$BC510=(Elig_MatchAll_Ct-1),AZ510=0),AB510,0)</f>
        <v>0</v>
      </c>
      <c r="CH510" s="312">
        <f>IF(AND(Input_Product=Elig!$C510,Elig_MatchAll_Ct&lt;22,$BC510=(Elig_MatchAll_Ct-1),AZ510=0),AC510,0)</f>
        <v>0</v>
      </c>
      <c r="CI510" s="311">
        <f>IF(AND(Input_Product=Elig!$C510,Elig_MatchAll_Ct&lt;22,$BC510=(Elig_MatchAll_Ct-1),BA510=0),AD510,0)</f>
        <v>0</v>
      </c>
      <c r="CJ510" s="312">
        <f>IF(AND(Input_Product=Elig!$C510,Elig_MatchAll_Ct&lt;22,$BC510=(Elig_MatchAll_Ct-1),BA510=0),AE510,0)</f>
        <v>0</v>
      </c>
    </row>
    <row r="511" spans="2:88" ht="10.15" customHeight="1" x14ac:dyDescent="0.25">
      <c r="B511" s="287" t="s">
        <v>4002</v>
      </c>
      <c r="C511" s="281" t="str">
        <f t="shared" si="175"/>
        <v>NonQM NOO</v>
      </c>
      <c r="D511" s="282" t="s">
        <v>3885</v>
      </c>
      <c r="E511" s="283" t="s">
        <v>167</v>
      </c>
      <c r="F511" s="283" t="s">
        <v>330</v>
      </c>
      <c r="G511" s="2103" t="s">
        <v>468</v>
      </c>
      <c r="H511" s="283" t="s">
        <v>136</v>
      </c>
      <c r="I511" s="282" t="s">
        <v>274</v>
      </c>
      <c r="J511" s="282" t="s">
        <v>1311</v>
      </c>
      <c r="K511" s="282" t="s">
        <v>1631</v>
      </c>
      <c r="L511" s="2103" t="s">
        <v>312</v>
      </c>
      <c r="M511" s="283" t="s">
        <v>4203</v>
      </c>
      <c r="N511" s="283" t="s">
        <v>2685</v>
      </c>
      <c r="O511" s="283" t="s">
        <v>310</v>
      </c>
      <c r="P511" s="283" t="s">
        <v>291</v>
      </c>
      <c r="Q511" s="283" t="s">
        <v>294</v>
      </c>
      <c r="R511" s="282">
        <v>2000000.01</v>
      </c>
      <c r="S511" s="323">
        <v>2500000</v>
      </c>
      <c r="T511" s="282">
        <v>0</v>
      </c>
      <c r="U511" s="282">
        <v>0</v>
      </c>
      <c r="V511" s="282">
        <v>0</v>
      </c>
      <c r="W511" s="282">
        <v>50</v>
      </c>
      <c r="X511" s="282">
        <v>0</v>
      </c>
      <c r="Y511" s="282">
        <v>999</v>
      </c>
      <c r="Z511" s="284">
        <v>720</v>
      </c>
      <c r="AA511" s="284">
        <v>999</v>
      </c>
      <c r="AB511" s="284">
        <v>9</v>
      </c>
      <c r="AC511" s="284">
        <v>999999</v>
      </c>
      <c r="AD511" s="282">
        <v>0</v>
      </c>
      <c r="AE511" s="2104">
        <v>75</v>
      </c>
      <c r="AF511" s="170">
        <v>0</v>
      </c>
      <c r="AG511" s="171">
        <v>1</v>
      </c>
      <c r="AH511" s="171">
        <v>1</v>
      </c>
      <c r="AI511" s="171">
        <v>0</v>
      </c>
      <c r="AJ511" s="171">
        <v>0</v>
      </c>
      <c r="AK511" s="171">
        <v>1</v>
      </c>
      <c r="AL511" s="171">
        <v>0</v>
      </c>
      <c r="AM511" s="171">
        <v>1</v>
      </c>
      <c r="AN511" s="171">
        <v>1</v>
      </c>
      <c r="AO511" s="171">
        <v>1</v>
      </c>
      <c r="AP511" s="171">
        <v>1</v>
      </c>
      <c r="AQ511" s="171">
        <v>1</v>
      </c>
      <c r="AR511" s="171">
        <v>1</v>
      </c>
      <c r="AS511" s="171">
        <v>1</v>
      </c>
      <c r="AT511" s="171">
        <v>1</v>
      </c>
      <c r="AU511" s="171">
        <f t="shared" si="183"/>
        <v>0</v>
      </c>
      <c r="AV511" s="171">
        <f t="shared" si="184"/>
        <v>0</v>
      </c>
      <c r="AW511" s="171">
        <f t="shared" si="185"/>
        <v>1</v>
      </c>
      <c r="AX511" s="171">
        <f t="shared" si="197"/>
        <v>1</v>
      </c>
      <c r="AY511" s="171">
        <f t="shared" si="186"/>
        <v>1</v>
      </c>
      <c r="AZ511" s="171">
        <f t="shared" si="187"/>
        <v>1</v>
      </c>
      <c r="BA511" s="172">
        <f t="shared" si="188"/>
        <v>1</v>
      </c>
      <c r="BB511" s="175">
        <f t="shared" ref="BB511:BB518" si="211">SUM(AF511:BA511)</f>
        <v>16</v>
      </c>
      <c r="BC511" s="176">
        <f t="shared" ref="BC511:BC518" si="212">SUM(AF511:AZ511)</f>
        <v>15</v>
      </c>
      <c r="BD511" s="176">
        <f t="shared" ref="BD511:BD518" si="213">SUM(AG511:BA511)</f>
        <v>16</v>
      </c>
      <c r="BE511" s="240" t="str">
        <f t="shared" si="181"/>
        <v/>
      </c>
      <c r="BH511" s="210">
        <f>IF(AND(Input_Product=Elig!$C511,Elig_MatchAll_Ct&lt;22,$BC511=(Elig_MatchAll_Ct-1),AF511=0),C511,0)</f>
        <v>0</v>
      </c>
      <c r="BI511" s="210">
        <f>IF(AND(Input_Product=Elig!$C511,Elig_MatchAll_Ct&lt;22,$BC511=(Elig_MatchAll_Ct-1),AG511=0),D511,0)</f>
        <v>0</v>
      </c>
      <c r="BJ511" s="210">
        <f>IF(AND(Input_Product=Elig!$C511,Elig_MatchAll_Ct&lt;22,$BC511=(Elig_MatchAll_Ct-1),AH511=0),E511,0)</f>
        <v>0</v>
      </c>
      <c r="BK511" s="210">
        <f>IF(AND(Input_Product=Elig!$C511,Elig_MatchAll_Ct&lt;22,$BC511=(Elig_MatchAll_Ct-1),AI511=0),F511,0)</f>
        <v>0</v>
      </c>
      <c r="BL511" s="210">
        <f>IF(AND(Input_Product=Elig!$C511,Elig_MatchAll_Ct&lt;22,$BC511=(Elig_MatchAll_Ct-1),AJ511=0),G511,0)</f>
        <v>0</v>
      </c>
      <c r="BM511" s="210">
        <f>IF(AND(Input_Product=Elig!$C511,Elig_MatchAll_Ct&lt;22,$BC511=(Elig_MatchAll_Ct-1),AK511=0),H511,0)</f>
        <v>0</v>
      </c>
      <c r="BN511" s="210">
        <f>IF(AND(Input_Product=Elig!$C511,Elig_MatchAll_Ct&lt;22,$BC511=(Elig_MatchAll_Ct-1),AL511=0),I511,0)</f>
        <v>0</v>
      </c>
      <c r="BO511" s="210">
        <f>IF(AND(Input_Product=Elig!$C511,Elig_MatchAll_Ct&lt;22,$BC511=(Elig_MatchAll_Ct-1),AM511=0),J511,0)</f>
        <v>0</v>
      </c>
      <c r="BP511" s="210">
        <f>IF(AND(Input_Product=Elig!$C511,Elig_MatchAll_Ct&lt;22,$BC511=(Elig_MatchAll_Ct-1),AN511=0),K511,0)</f>
        <v>0</v>
      </c>
      <c r="BQ511" s="210">
        <f>IF(AND(Input_Product=Elig!$C511,Elig_MatchAll_Ct&lt;22,$BC511=(Elig_MatchAll_Ct-1),AP511=0),L511,0)</f>
        <v>0</v>
      </c>
      <c r="BR511" s="210">
        <f>IF(AND(Input_Product=Elig!$C511,Elig_MatchAll_Ct&lt;22,$BC511=(Elig_MatchAll_Ct-1),AO511=0),M511,0)</f>
        <v>0</v>
      </c>
      <c r="BS511" s="210">
        <f>IF(AND(Input_Product=Elig!$C511,Elig_MatchAll_Ct&lt;22,$BC511=(Elig_MatchAll_Ct-1),AQ511=0),N511,0)</f>
        <v>0</v>
      </c>
      <c r="BT511" s="210">
        <f>IF(AND(Input_Product=Elig!$C511,Elig_MatchAll_Ct&lt;22,$BC511=(Elig_MatchAll_Ct-1),AR511=0),O511,0)</f>
        <v>0</v>
      </c>
      <c r="BU511" s="210">
        <f>IF(AND(Input_Product=Elig!$C511,Elig_MatchAll_Ct&lt;22,$BC511=(Elig_MatchAll_Ct-1),AS511=0),P511,0)</f>
        <v>0</v>
      </c>
      <c r="BV511" s="211">
        <f>IF(AND(Input_Product=Elig!$C511,Elig_MatchAll_Ct&lt;22,$BC511=(Elig_MatchAll_Ct-1),AT511=0),Q511,0)</f>
        <v>0</v>
      </c>
      <c r="BW511" s="212">
        <f>IF(AND(Input_Product=Elig!$C511,Elig_MatchAll_Ct&lt;22,$BC511=(Elig_MatchAll_Ct-1),AU511=0),R511,0)</f>
        <v>0</v>
      </c>
      <c r="BX511" s="213">
        <f>IF(AND(Input_Product=Elig!$C511,Elig_MatchAll_Ct&lt;22,$BC511=(Elig_MatchAll_Ct-1),AU511=0),S511,0)</f>
        <v>0</v>
      </c>
      <c r="BY511" s="212">
        <f>IF(AND(Input_Product=Elig!$C511,Elig_MatchAll_Ct&lt;22,$BC511=(Elig_MatchAll_Ct-1),AV511=0),T511,0)</f>
        <v>0</v>
      </c>
      <c r="BZ511" s="213">
        <f>IF(AND(Input_Product=Elig!$C511,Elig_MatchAll_Ct&lt;22,$BC511=(Elig_MatchAll_Ct-1),AV511=0),U511,0)</f>
        <v>0</v>
      </c>
      <c r="CA511" s="212">
        <f>IF(AND(Input_Product=Elig!$C511,Elig_MatchAll_Ct&lt;22,$BC511=(Elig_MatchAll_Ct-1),AW511=0),V511,0)</f>
        <v>0</v>
      </c>
      <c r="CB511" s="213">
        <f>IF(AND(Input_Product=Elig!$C511,Elig_MatchAll_Ct&lt;22,$BC511=(Elig_MatchAll_Ct-1),AW511=0),W511,0)</f>
        <v>0</v>
      </c>
      <c r="CC511" s="212">
        <f>IF(AND(Input_Product=Elig!$C511,Elig_MatchAll_Ct&lt;22,$BC511=(Elig_MatchAll_Ct-1),AX511=0),X511,0)</f>
        <v>0</v>
      </c>
      <c r="CD511" s="213">
        <f>IF(AND(Input_Product=Elig!$C511,Elig_MatchAll_Ct&lt;22,$BC511=(Elig_MatchAll_Ct-1),AX511=0),Y511,0)</f>
        <v>0</v>
      </c>
      <c r="CE511" s="212">
        <f>IF(AND(Input_LTV&lt;=AE511,Input_Product=Elig!$C511,Elig_MatchAll_Ct&lt;22,$BC511=(Elig_MatchAll_Ct-1),AY511=0),Z511,0)</f>
        <v>0</v>
      </c>
      <c r="CF511" s="213">
        <f>IF(AND(Input_LTV&lt;=AE511,Input_Product=Elig!$C511,Elig_MatchAll_Ct&lt;22,$BC511=(Elig_MatchAll_Ct-1),AY511=0),AA511,0)</f>
        <v>0</v>
      </c>
      <c r="CG511" s="212">
        <f>IF(AND(Input_Product=Elig!$C511,Elig_MatchAll_Ct&lt;22,$BC511=(Elig_MatchAll_Ct-1),AZ511=0),AB511,0)</f>
        <v>0</v>
      </c>
      <c r="CH511" s="213">
        <f>IF(AND(Input_Product=Elig!$C511,Elig_MatchAll_Ct&lt;22,$BC511=(Elig_MatchAll_Ct-1),AZ511=0),AC511,0)</f>
        <v>0</v>
      </c>
      <c r="CI511" s="212">
        <f>IF(AND(Input_Product=Elig!$C511,Elig_MatchAll_Ct&lt;22,$BC511=(Elig_MatchAll_Ct-1),BA511=0),AD511,0)</f>
        <v>0</v>
      </c>
      <c r="CJ511" s="213">
        <f>IF(AND(Input_Product=Elig!$C511,Elig_MatchAll_Ct&lt;22,$BC511=(Elig_MatchAll_Ct-1),BA511=0),AE511,0)</f>
        <v>0</v>
      </c>
    </row>
    <row r="512" spans="2:88" ht="10.15" customHeight="1" x14ac:dyDescent="0.25">
      <c r="B512" s="287" t="s">
        <v>4003</v>
      </c>
      <c r="C512" s="286" t="str">
        <f t="shared" si="175"/>
        <v>NonQM NOO</v>
      </c>
      <c r="D512" s="287" t="s">
        <v>3885</v>
      </c>
      <c r="E512" s="287" t="s">
        <v>167</v>
      </c>
      <c r="F512" s="287" t="s">
        <v>330</v>
      </c>
      <c r="G512" s="300" t="s">
        <v>468</v>
      </c>
      <c r="H512" s="287" t="s">
        <v>136</v>
      </c>
      <c r="I512" s="288" t="s">
        <v>274</v>
      </c>
      <c r="J512" s="288" t="s">
        <v>1311</v>
      </c>
      <c r="K512" s="288" t="s">
        <v>1631</v>
      </c>
      <c r="L512" s="300" t="s">
        <v>312</v>
      </c>
      <c r="M512" s="287" t="s">
        <v>4203</v>
      </c>
      <c r="N512" s="287" t="s">
        <v>2685</v>
      </c>
      <c r="O512" s="287" t="s">
        <v>310</v>
      </c>
      <c r="P512" s="287" t="s">
        <v>291</v>
      </c>
      <c r="Q512" s="287" t="s">
        <v>294</v>
      </c>
      <c r="R512" s="287">
        <v>2000000.01</v>
      </c>
      <c r="S512" s="300">
        <v>2500000</v>
      </c>
      <c r="T512" s="287">
        <v>0</v>
      </c>
      <c r="U512" s="287">
        <v>0</v>
      </c>
      <c r="V512" s="287">
        <v>0</v>
      </c>
      <c r="W512" s="287">
        <v>50</v>
      </c>
      <c r="X512" s="287">
        <v>0</v>
      </c>
      <c r="Y512" s="287">
        <v>999</v>
      </c>
      <c r="Z512" s="289">
        <v>700</v>
      </c>
      <c r="AA512" s="289">
        <v>719</v>
      </c>
      <c r="AB512" s="289">
        <v>9</v>
      </c>
      <c r="AC512" s="289">
        <v>999999</v>
      </c>
      <c r="AD512" s="287">
        <v>0</v>
      </c>
      <c r="AE512" s="2105">
        <v>75</v>
      </c>
      <c r="AF512" s="170">
        <v>0</v>
      </c>
      <c r="AG512" s="171">
        <v>1</v>
      </c>
      <c r="AH512" s="171">
        <v>1</v>
      </c>
      <c r="AI512" s="171">
        <v>0</v>
      </c>
      <c r="AJ512" s="171">
        <v>0</v>
      </c>
      <c r="AK512" s="171">
        <v>1</v>
      </c>
      <c r="AL512" s="171">
        <v>0</v>
      </c>
      <c r="AM512" s="171">
        <v>1</v>
      </c>
      <c r="AN512" s="171">
        <v>1</v>
      </c>
      <c r="AO512" s="171">
        <v>1</v>
      </c>
      <c r="AP512" s="171">
        <v>1</v>
      </c>
      <c r="AQ512" s="171">
        <v>1</v>
      </c>
      <c r="AR512" s="171">
        <v>1</v>
      </c>
      <c r="AS512" s="171">
        <v>1</v>
      </c>
      <c r="AT512" s="171">
        <v>1</v>
      </c>
      <c r="AU512" s="171">
        <f t="shared" si="183"/>
        <v>0</v>
      </c>
      <c r="AV512" s="171">
        <f t="shared" si="184"/>
        <v>0</v>
      </c>
      <c r="AW512" s="171">
        <f t="shared" si="185"/>
        <v>1</v>
      </c>
      <c r="AX512" s="171">
        <f t="shared" si="197"/>
        <v>1</v>
      </c>
      <c r="AY512" s="171">
        <f t="shared" si="186"/>
        <v>0</v>
      </c>
      <c r="AZ512" s="171">
        <f t="shared" si="187"/>
        <v>1</v>
      </c>
      <c r="BA512" s="172">
        <f t="shared" si="188"/>
        <v>1</v>
      </c>
      <c r="BB512" s="175">
        <f t="shared" si="211"/>
        <v>15</v>
      </c>
      <c r="BC512" s="176">
        <f t="shared" si="212"/>
        <v>14</v>
      </c>
      <c r="BD512" s="176">
        <f t="shared" si="213"/>
        <v>15</v>
      </c>
      <c r="BE512" s="240" t="str">
        <f t="shared" si="181"/>
        <v/>
      </c>
      <c r="BH512" s="199">
        <f>IF(AND(Input_Product=Elig!$C512,Elig_MatchAll_Ct&lt;22,$BC512=(Elig_MatchAll_Ct-1),AF512=0),C512,0)</f>
        <v>0</v>
      </c>
      <c r="BI512" s="199">
        <f>IF(AND(Input_Product=Elig!$C512,Elig_MatchAll_Ct&lt;22,$BC512=(Elig_MatchAll_Ct-1),AG512=0),D512,0)</f>
        <v>0</v>
      </c>
      <c r="BJ512" s="199">
        <f>IF(AND(Input_Product=Elig!$C512,Elig_MatchAll_Ct&lt;22,$BC512=(Elig_MatchAll_Ct-1),AH512=0),E512,0)</f>
        <v>0</v>
      </c>
      <c r="BK512" s="199">
        <f>IF(AND(Input_Product=Elig!$C512,Elig_MatchAll_Ct&lt;22,$BC512=(Elig_MatchAll_Ct-1),AI512=0),F512,0)</f>
        <v>0</v>
      </c>
      <c r="BL512" s="199">
        <f>IF(AND(Input_Product=Elig!$C512,Elig_MatchAll_Ct&lt;22,$BC512=(Elig_MatchAll_Ct-1),AJ512=0),G512,0)</f>
        <v>0</v>
      </c>
      <c r="BM512" s="199">
        <f>IF(AND(Input_Product=Elig!$C512,Elig_MatchAll_Ct&lt;22,$BC512=(Elig_MatchAll_Ct-1),AK512=0),H512,0)</f>
        <v>0</v>
      </c>
      <c r="BN512" s="199">
        <f>IF(AND(Input_Product=Elig!$C512,Elig_MatchAll_Ct&lt;22,$BC512=(Elig_MatchAll_Ct-1),AL512=0),I512,0)</f>
        <v>0</v>
      </c>
      <c r="BO512" s="199">
        <f>IF(AND(Input_Product=Elig!$C512,Elig_MatchAll_Ct&lt;22,$BC512=(Elig_MatchAll_Ct-1),AM512=0),J512,0)</f>
        <v>0</v>
      </c>
      <c r="BP512" s="199">
        <f>IF(AND(Input_Product=Elig!$C512,Elig_MatchAll_Ct&lt;22,$BC512=(Elig_MatchAll_Ct-1),AN512=0),K512,0)</f>
        <v>0</v>
      </c>
      <c r="BQ512" s="199">
        <f>IF(AND(Input_Product=Elig!$C512,Elig_MatchAll_Ct&lt;22,$BC512=(Elig_MatchAll_Ct-1),AP512=0),L512,0)</f>
        <v>0</v>
      </c>
      <c r="BR512" s="199">
        <f>IF(AND(Input_Product=Elig!$C512,Elig_MatchAll_Ct&lt;22,$BC512=(Elig_MatchAll_Ct-1),AO512=0),M512,0)</f>
        <v>0</v>
      </c>
      <c r="BS512" s="199">
        <f>IF(AND(Input_Product=Elig!$C512,Elig_MatchAll_Ct&lt;22,$BC512=(Elig_MatchAll_Ct-1),AQ512=0),N512,0)</f>
        <v>0</v>
      </c>
      <c r="BT512" s="199">
        <f>IF(AND(Input_Product=Elig!$C512,Elig_MatchAll_Ct&lt;22,$BC512=(Elig_MatchAll_Ct-1),AR512=0),O512,0)</f>
        <v>0</v>
      </c>
      <c r="BU512" s="199">
        <f>IF(AND(Input_Product=Elig!$C512,Elig_MatchAll_Ct&lt;22,$BC512=(Elig_MatchAll_Ct-1),AS512=0),P512,0)</f>
        <v>0</v>
      </c>
      <c r="BV512" s="200">
        <f>IF(AND(Input_Product=Elig!$C512,Elig_MatchAll_Ct&lt;22,$BC512=(Elig_MatchAll_Ct-1),AT512=0),Q512,0)</f>
        <v>0</v>
      </c>
      <c r="BW512" s="201">
        <f>IF(AND(Input_Product=Elig!$C512,Elig_MatchAll_Ct&lt;22,$BC512=(Elig_MatchAll_Ct-1),AU512=0),R512,0)</f>
        <v>0</v>
      </c>
      <c r="BX512" s="202">
        <f>IF(AND(Input_Product=Elig!$C512,Elig_MatchAll_Ct&lt;22,$BC512=(Elig_MatchAll_Ct-1),AU512=0),S512,0)</f>
        <v>0</v>
      </c>
      <c r="BY512" s="201">
        <f>IF(AND(Input_Product=Elig!$C512,Elig_MatchAll_Ct&lt;22,$BC512=(Elig_MatchAll_Ct-1),AV512=0),T512,0)</f>
        <v>0</v>
      </c>
      <c r="BZ512" s="202">
        <f>IF(AND(Input_Product=Elig!$C512,Elig_MatchAll_Ct&lt;22,$BC512=(Elig_MatchAll_Ct-1),AV512=0),U512,0)</f>
        <v>0</v>
      </c>
      <c r="CA512" s="201">
        <f>IF(AND(Input_Product=Elig!$C512,Elig_MatchAll_Ct&lt;22,$BC512=(Elig_MatchAll_Ct-1),AW512=0),V512,0)</f>
        <v>0</v>
      </c>
      <c r="CB512" s="202">
        <f>IF(AND(Input_Product=Elig!$C512,Elig_MatchAll_Ct&lt;22,$BC512=(Elig_MatchAll_Ct-1),AW512=0),W512,0)</f>
        <v>0</v>
      </c>
      <c r="CC512" s="201">
        <f>IF(AND(Input_Product=Elig!$C512,Elig_MatchAll_Ct&lt;22,$BC512=(Elig_MatchAll_Ct-1),AX512=0),X512,0)</f>
        <v>0</v>
      </c>
      <c r="CD512" s="202">
        <f>IF(AND(Input_Product=Elig!$C512,Elig_MatchAll_Ct&lt;22,$BC512=(Elig_MatchAll_Ct-1),AX512=0),Y512,0)</f>
        <v>0</v>
      </c>
      <c r="CE512" s="201">
        <f>IF(AND(Input_LTV&lt;=AE512,Input_Product=Elig!$C512,Elig_MatchAll_Ct&lt;22,$BC512=(Elig_MatchAll_Ct-1),AY512=0),Z512,0)</f>
        <v>0</v>
      </c>
      <c r="CF512" s="202">
        <f>IF(AND(Input_LTV&lt;=AE512,Input_Product=Elig!$C512,Elig_MatchAll_Ct&lt;22,$BC512=(Elig_MatchAll_Ct-1),AY512=0),AA512,0)</f>
        <v>0</v>
      </c>
      <c r="CG512" s="201">
        <f>IF(AND(Input_Product=Elig!$C512,Elig_MatchAll_Ct&lt;22,$BC512=(Elig_MatchAll_Ct-1),AZ512=0),AB512,0)</f>
        <v>0</v>
      </c>
      <c r="CH512" s="202">
        <f>IF(AND(Input_Product=Elig!$C512,Elig_MatchAll_Ct&lt;22,$BC512=(Elig_MatchAll_Ct-1),AZ512=0),AC512,0)</f>
        <v>0</v>
      </c>
      <c r="CI512" s="201">
        <f>IF(AND(Input_Product=Elig!$C512,Elig_MatchAll_Ct&lt;22,$BC512=(Elig_MatchAll_Ct-1),BA512=0),AD512,0)</f>
        <v>0</v>
      </c>
      <c r="CJ512" s="202">
        <f>IF(AND(Input_Product=Elig!$C512,Elig_MatchAll_Ct&lt;22,$BC512=(Elig_MatchAll_Ct-1),BA512=0),AE512,0)</f>
        <v>0</v>
      </c>
    </row>
    <row r="513" spans="2:88" ht="10.15" customHeight="1" x14ac:dyDescent="0.25">
      <c r="B513" s="287" t="s">
        <v>4004</v>
      </c>
      <c r="C513" s="286" t="str">
        <f t="shared" si="175"/>
        <v>NonQM NOO</v>
      </c>
      <c r="D513" s="287" t="s">
        <v>3885</v>
      </c>
      <c r="E513" s="287" t="s">
        <v>167</v>
      </c>
      <c r="F513" s="287" t="s">
        <v>330</v>
      </c>
      <c r="G513" s="300" t="s">
        <v>468</v>
      </c>
      <c r="H513" s="287" t="s">
        <v>136</v>
      </c>
      <c r="I513" s="288" t="s">
        <v>274</v>
      </c>
      <c r="J513" s="288" t="s">
        <v>1311</v>
      </c>
      <c r="K513" s="288" t="s">
        <v>1631</v>
      </c>
      <c r="L513" s="300" t="s">
        <v>312</v>
      </c>
      <c r="M513" s="287" t="s">
        <v>4203</v>
      </c>
      <c r="N513" s="287" t="s">
        <v>2685</v>
      </c>
      <c r="O513" s="287" t="s">
        <v>310</v>
      </c>
      <c r="P513" s="287" t="s">
        <v>291</v>
      </c>
      <c r="Q513" s="287" t="s">
        <v>294</v>
      </c>
      <c r="R513" s="287">
        <v>2000000.01</v>
      </c>
      <c r="S513" s="300">
        <v>2500000</v>
      </c>
      <c r="T513" s="287">
        <v>0</v>
      </c>
      <c r="U513" s="287">
        <v>0</v>
      </c>
      <c r="V513" s="287">
        <v>0</v>
      </c>
      <c r="W513" s="287">
        <v>50</v>
      </c>
      <c r="X513" s="287">
        <v>0</v>
      </c>
      <c r="Y513" s="287">
        <v>999</v>
      </c>
      <c r="Z513" s="2101">
        <v>680</v>
      </c>
      <c r="AA513" s="2101">
        <v>699</v>
      </c>
      <c r="AB513" s="289">
        <v>9</v>
      </c>
      <c r="AC513" s="289">
        <v>999999</v>
      </c>
      <c r="AD513" s="287">
        <v>0</v>
      </c>
      <c r="AE513" s="290">
        <v>70</v>
      </c>
      <c r="AF513" s="170">
        <v>0</v>
      </c>
      <c r="AG513" s="171">
        <v>1</v>
      </c>
      <c r="AH513" s="171">
        <v>1</v>
      </c>
      <c r="AI513" s="171">
        <v>0</v>
      </c>
      <c r="AJ513" s="171">
        <v>0</v>
      </c>
      <c r="AK513" s="171">
        <v>1</v>
      </c>
      <c r="AL513" s="171">
        <v>0</v>
      </c>
      <c r="AM513" s="171">
        <v>1</v>
      </c>
      <c r="AN513" s="171">
        <v>1</v>
      </c>
      <c r="AO513" s="171">
        <v>1</v>
      </c>
      <c r="AP513" s="171">
        <v>1</v>
      </c>
      <c r="AQ513" s="171">
        <v>1</v>
      </c>
      <c r="AR513" s="171">
        <v>1</v>
      </c>
      <c r="AS513" s="171">
        <v>1</v>
      </c>
      <c r="AT513" s="171">
        <v>1</v>
      </c>
      <c r="AU513" s="171">
        <f t="shared" si="183"/>
        <v>0</v>
      </c>
      <c r="AV513" s="171">
        <f t="shared" si="184"/>
        <v>0</v>
      </c>
      <c r="AW513" s="171">
        <f t="shared" si="185"/>
        <v>1</v>
      </c>
      <c r="AX513" s="171">
        <f t="shared" si="197"/>
        <v>1</v>
      </c>
      <c r="AY513" s="171">
        <f t="shared" si="186"/>
        <v>0</v>
      </c>
      <c r="AZ513" s="171">
        <f t="shared" si="187"/>
        <v>1</v>
      </c>
      <c r="BA513" s="172">
        <f t="shared" si="188"/>
        <v>1</v>
      </c>
      <c r="BB513" s="175">
        <f t="shared" si="211"/>
        <v>15</v>
      </c>
      <c r="BC513" s="176">
        <f t="shared" si="212"/>
        <v>14</v>
      </c>
      <c r="BD513" s="176">
        <f t="shared" si="213"/>
        <v>15</v>
      </c>
      <c r="BE513" s="240" t="str">
        <f t="shared" si="181"/>
        <v/>
      </c>
      <c r="BH513" s="199">
        <f>IF(AND(Input_Product=Elig!$C513,Elig_MatchAll_Ct&lt;22,$BC513=(Elig_MatchAll_Ct-1),AF513=0),C513,0)</f>
        <v>0</v>
      </c>
      <c r="BI513" s="199">
        <f>IF(AND(Input_Product=Elig!$C513,Elig_MatchAll_Ct&lt;22,$BC513=(Elig_MatchAll_Ct-1),AG513=0),D513,0)</f>
        <v>0</v>
      </c>
      <c r="BJ513" s="199">
        <f>IF(AND(Input_Product=Elig!$C513,Elig_MatchAll_Ct&lt;22,$BC513=(Elig_MatchAll_Ct-1),AH513=0),E513,0)</f>
        <v>0</v>
      </c>
      <c r="BK513" s="199">
        <f>IF(AND(Input_Product=Elig!$C513,Elig_MatchAll_Ct&lt;22,$BC513=(Elig_MatchAll_Ct-1),AI513=0),F513,0)</f>
        <v>0</v>
      </c>
      <c r="BL513" s="199">
        <f>IF(AND(Input_Product=Elig!$C513,Elig_MatchAll_Ct&lt;22,$BC513=(Elig_MatchAll_Ct-1),AJ513=0),G513,0)</f>
        <v>0</v>
      </c>
      <c r="BM513" s="199">
        <f>IF(AND(Input_Product=Elig!$C513,Elig_MatchAll_Ct&lt;22,$BC513=(Elig_MatchAll_Ct-1),AK513=0),H513,0)</f>
        <v>0</v>
      </c>
      <c r="BN513" s="199">
        <f>IF(AND(Input_Product=Elig!$C513,Elig_MatchAll_Ct&lt;22,$BC513=(Elig_MatchAll_Ct-1),AL513=0),I513,0)</f>
        <v>0</v>
      </c>
      <c r="BO513" s="199">
        <f>IF(AND(Input_Product=Elig!$C513,Elig_MatchAll_Ct&lt;22,$BC513=(Elig_MatchAll_Ct-1),AM513=0),J513,0)</f>
        <v>0</v>
      </c>
      <c r="BP513" s="199">
        <f>IF(AND(Input_Product=Elig!$C513,Elig_MatchAll_Ct&lt;22,$BC513=(Elig_MatchAll_Ct-1),AN513=0),K513,0)</f>
        <v>0</v>
      </c>
      <c r="BQ513" s="199">
        <f>IF(AND(Input_Product=Elig!$C513,Elig_MatchAll_Ct&lt;22,$BC513=(Elig_MatchAll_Ct-1),AP513=0),L513,0)</f>
        <v>0</v>
      </c>
      <c r="BR513" s="199">
        <f>IF(AND(Input_Product=Elig!$C513,Elig_MatchAll_Ct&lt;22,$BC513=(Elig_MatchAll_Ct-1),AO513=0),M513,0)</f>
        <v>0</v>
      </c>
      <c r="BS513" s="199">
        <f>IF(AND(Input_Product=Elig!$C513,Elig_MatchAll_Ct&lt;22,$BC513=(Elig_MatchAll_Ct-1),AQ513=0),N513,0)</f>
        <v>0</v>
      </c>
      <c r="BT513" s="199">
        <f>IF(AND(Input_Product=Elig!$C513,Elig_MatchAll_Ct&lt;22,$BC513=(Elig_MatchAll_Ct-1),AR513=0),O513,0)</f>
        <v>0</v>
      </c>
      <c r="BU513" s="199">
        <f>IF(AND(Input_Product=Elig!$C513,Elig_MatchAll_Ct&lt;22,$BC513=(Elig_MatchAll_Ct-1),AS513=0),P513,0)</f>
        <v>0</v>
      </c>
      <c r="BV513" s="200">
        <f>IF(AND(Input_Product=Elig!$C513,Elig_MatchAll_Ct&lt;22,$BC513=(Elig_MatchAll_Ct-1),AT513=0),Q513,0)</f>
        <v>0</v>
      </c>
      <c r="BW513" s="201">
        <f>IF(AND(Input_Product=Elig!$C513,Elig_MatchAll_Ct&lt;22,$BC513=(Elig_MatchAll_Ct-1),AU513=0),R513,0)</f>
        <v>0</v>
      </c>
      <c r="BX513" s="202">
        <f>IF(AND(Input_Product=Elig!$C513,Elig_MatchAll_Ct&lt;22,$BC513=(Elig_MatchAll_Ct-1),AU513=0),S513,0)</f>
        <v>0</v>
      </c>
      <c r="BY513" s="201">
        <f>IF(AND(Input_Product=Elig!$C513,Elig_MatchAll_Ct&lt;22,$BC513=(Elig_MatchAll_Ct-1),AV513=0),T513,0)</f>
        <v>0</v>
      </c>
      <c r="BZ513" s="202">
        <f>IF(AND(Input_Product=Elig!$C513,Elig_MatchAll_Ct&lt;22,$BC513=(Elig_MatchAll_Ct-1),AV513=0),U513,0)</f>
        <v>0</v>
      </c>
      <c r="CA513" s="201">
        <f>IF(AND(Input_Product=Elig!$C513,Elig_MatchAll_Ct&lt;22,$BC513=(Elig_MatchAll_Ct-1),AW513=0),V513,0)</f>
        <v>0</v>
      </c>
      <c r="CB513" s="202">
        <f>IF(AND(Input_Product=Elig!$C513,Elig_MatchAll_Ct&lt;22,$BC513=(Elig_MatchAll_Ct-1),AW513=0),W513,0)</f>
        <v>0</v>
      </c>
      <c r="CC513" s="201">
        <f>IF(AND(Input_Product=Elig!$C513,Elig_MatchAll_Ct&lt;22,$BC513=(Elig_MatchAll_Ct-1),AX513=0),X513,0)</f>
        <v>0</v>
      </c>
      <c r="CD513" s="202">
        <f>IF(AND(Input_Product=Elig!$C513,Elig_MatchAll_Ct&lt;22,$BC513=(Elig_MatchAll_Ct-1),AX513=0),Y513,0)</f>
        <v>0</v>
      </c>
      <c r="CE513" s="201">
        <f>IF(AND(Input_LTV&lt;=AE513,Input_Product=Elig!$C513,Elig_MatchAll_Ct&lt;22,$BC513=(Elig_MatchAll_Ct-1),AY513=0),Z513,0)</f>
        <v>0</v>
      </c>
      <c r="CF513" s="202">
        <f>IF(AND(Input_LTV&lt;=AE513,Input_Product=Elig!$C513,Elig_MatchAll_Ct&lt;22,$BC513=(Elig_MatchAll_Ct-1),AY513=0),AA513,0)</f>
        <v>0</v>
      </c>
      <c r="CG513" s="201">
        <f>IF(AND(Input_Product=Elig!$C513,Elig_MatchAll_Ct&lt;22,$BC513=(Elig_MatchAll_Ct-1),AZ513=0),AB513,0)</f>
        <v>0</v>
      </c>
      <c r="CH513" s="202">
        <f>IF(AND(Input_Product=Elig!$C513,Elig_MatchAll_Ct&lt;22,$BC513=(Elig_MatchAll_Ct-1),AZ513=0),AC513,0)</f>
        <v>0</v>
      </c>
      <c r="CI513" s="201">
        <f>IF(AND(Input_Product=Elig!$C513,Elig_MatchAll_Ct&lt;22,$BC513=(Elig_MatchAll_Ct-1),BA513=0),AD513,0)</f>
        <v>0</v>
      </c>
      <c r="CJ513" s="202">
        <f>IF(AND(Input_Product=Elig!$C513,Elig_MatchAll_Ct&lt;22,$BC513=(Elig_MatchAll_Ct-1),BA513=0),AE513,0)</f>
        <v>0</v>
      </c>
    </row>
    <row r="514" spans="2:88" ht="10.15" customHeight="1" x14ac:dyDescent="0.25">
      <c r="B514" s="287" t="s">
        <v>4005</v>
      </c>
      <c r="C514" s="291" t="str">
        <f t="shared" si="175"/>
        <v>NonQM NOO</v>
      </c>
      <c r="D514" s="292" t="s">
        <v>3885</v>
      </c>
      <c r="E514" s="292" t="s">
        <v>167</v>
      </c>
      <c r="F514" s="292" t="s">
        <v>330</v>
      </c>
      <c r="G514" s="324" t="s">
        <v>468</v>
      </c>
      <c r="H514" s="292" t="s">
        <v>136</v>
      </c>
      <c r="I514" s="295" t="s">
        <v>274</v>
      </c>
      <c r="J514" s="295" t="s">
        <v>1311</v>
      </c>
      <c r="K514" s="295" t="s">
        <v>1631</v>
      </c>
      <c r="L514" s="324" t="s">
        <v>312</v>
      </c>
      <c r="M514" s="292" t="s">
        <v>4203</v>
      </c>
      <c r="N514" s="292" t="s">
        <v>2685</v>
      </c>
      <c r="O514" s="292" t="s">
        <v>310</v>
      </c>
      <c r="P514" s="292" t="s">
        <v>291</v>
      </c>
      <c r="Q514" s="292" t="s">
        <v>294</v>
      </c>
      <c r="R514" s="292">
        <v>2000000.01</v>
      </c>
      <c r="S514" s="324">
        <v>2500000</v>
      </c>
      <c r="T514" s="292">
        <v>0</v>
      </c>
      <c r="U514" s="292">
        <v>0</v>
      </c>
      <c r="V514" s="292">
        <v>0</v>
      </c>
      <c r="W514" s="292">
        <v>50</v>
      </c>
      <c r="X514" s="292">
        <v>0</v>
      </c>
      <c r="Y514" s="292">
        <v>999</v>
      </c>
      <c r="Z514" s="2102">
        <v>660</v>
      </c>
      <c r="AA514" s="2102">
        <v>679</v>
      </c>
      <c r="AB514" s="293">
        <v>9</v>
      </c>
      <c r="AC514" s="293">
        <v>999999</v>
      </c>
      <c r="AD514" s="292">
        <v>0</v>
      </c>
      <c r="AE514" s="294">
        <v>70</v>
      </c>
      <c r="AF514" s="170">
        <v>0</v>
      </c>
      <c r="AG514" s="171">
        <v>1</v>
      </c>
      <c r="AH514" s="171">
        <v>1</v>
      </c>
      <c r="AI514" s="171">
        <v>0</v>
      </c>
      <c r="AJ514" s="171">
        <v>0</v>
      </c>
      <c r="AK514" s="171">
        <v>1</v>
      </c>
      <c r="AL514" s="171">
        <v>0</v>
      </c>
      <c r="AM514" s="171">
        <v>1</v>
      </c>
      <c r="AN514" s="171">
        <v>1</v>
      </c>
      <c r="AO514" s="171">
        <v>1</v>
      </c>
      <c r="AP514" s="171">
        <v>1</v>
      </c>
      <c r="AQ514" s="171">
        <v>1</v>
      </c>
      <c r="AR514" s="171">
        <v>1</v>
      </c>
      <c r="AS514" s="171">
        <v>1</v>
      </c>
      <c r="AT514" s="171">
        <v>1</v>
      </c>
      <c r="AU514" s="171">
        <f t="shared" si="183"/>
        <v>0</v>
      </c>
      <c r="AV514" s="171">
        <f t="shared" si="184"/>
        <v>0</v>
      </c>
      <c r="AW514" s="171">
        <f t="shared" si="185"/>
        <v>1</v>
      </c>
      <c r="AX514" s="171">
        <f t="shared" si="197"/>
        <v>1</v>
      </c>
      <c r="AY514" s="171">
        <f t="shared" si="186"/>
        <v>0</v>
      </c>
      <c r="AZ514" s="171">
        <f t="shared" si="187"/>
        <v>1</v>
      </c>
      <c r="BA514" s="172">
        <f t="shared" si="188"/>
        <v>1</v>
      </c>
      <c r="BB514" s="175">
        <f t="shared" si="211"/>
        <v>15</v>
      </c>
      <c r="BC514" s="176">
        <f t="shared" si="212"/>
        <v>14</v>
      </c>
      <c r="BD514" s="176">
        <f t="shared" si="213"/>
        <v>15</v>
      </c>
      <c r="BE514" s="240" t="str">
        <f t="shared" si="181"/>
        <v/>
      </c>
      <c r="BH514" s="214">
        <f>IF(AND(Input_Product=Elig!$C514,Elig_MatchAll_Ct&lt;22,$BC514=(Elig_MatchAll_Ct-1),AF514=0),C514,0)</f>
        <v>0</v>
      </c>
      <c r="BI514" s="214">
        <f>IF(AND(Input_Product=Elig!$C514,Elig_MatchAll_Ct&lt;22,$BC514=(Elig_MatchAll_Ct-1),AG514=0),D514,0)</f>
        <v>0</v>
      </c>
      <c r="BJ514" s="214">
        <f>IF(AND(Input_Product=Elig!$C514,Elig_MatchAll_Ct&lt;22,$BC514=(Elig_MatchAll_Ct-1),AH514=0),E514,0)</f>
        <v>0</v>
      </c>
      <c r="BK514" s="214">
        <f>IF(AND(Input_Product=Elig!$C514,Elig_MatchAll_Ct&lt;22,$BC514=(Elig_MatchAll_Ct-1),AI514=0),F514,0)</f>
        <v>0</v>
      </c>
      <c r="BL514" s="214">
        <f>IF(AND(Input_Product=Elig!$C514,Elig_MatchAll_Ct&lt;22,$BC514=(Elig_MatchAll_Ct-1),AJ514=0),G514,0)</f>
        <v>0</v>
      </c>
      <c r="BM514" s="214">
        <f>IF(AND(Input_Product=Elig!$C514,Elig_MatchAll_Ct&lt;22,$BC514=(Elig_MatchAll_Ct-1),AK514=0),H514,0)</f>
        <v>0</v>
      </c>
      <c r="BN514" s="214">
        <f>IF(AND(Input_Product=Elig!$C514,Elig_MatchAll_Ct&lt;22,$BC514=(Elig_MatchAll_Ct-1),AL514=0),I514,0)</f>
        <v>0</v>
      </c>
      <c r="BO514" s="214">
        <f>IF(AND(Input_Product=Elig!$C514,Elig_MatchAll_Ct&lt;22,$BC514=(Elig_MatchAll_Ct-1),AM514=0),J514,0)</f>
        <v>0</v>
      </c>
      <c r="BP514" s="214">
        <f>IF(AND(Input_Product=Elig!$C514,Elig_MatchAll_Ct&lt;22,$BC514=(Elig_MatchAll_Ct-1),AN514=0),K514,0)</f>
        <v>0</v>
      </c>
      <c r="BQ514" s="214">
        <f>IF(AND(Input_Product=Elig!$C514,Elig_MatchAll_Ct&lt;22,$BC514=(Elig_MatchAll_Ct-1),AP514=0),L514,0)</f>
        <v>0</v>
      </c>
      <c r="BR514" s="214">
        <f>IF(AND(Input_Product=Elig!$C514,Elig_MatchAll_Ct&lt;22,$BC514=(Elig_MatchAll_Ct-1),AO514=0),M514,0)</f>
        <v>0</v>
      </c>
      <c r="BS514" s="214">
        <f>IF(AND(Input_Product=Elig!$C514,Elig_MatchAll_Ct&lt;22,$BC514=(Elig_MatchAll_Ct-1),AQ514=0),N514,0)</f>
        <v>0</v>
      </c>
      <c r="BT514" s="214">
        <f>IF(AND(Input_Product=Elig!$C514,Elig_MatchAll_Ct&lt;22,$BC514=(Elig_MatchAll_Ct-1),AR514=0),O514,0)</f>
        <v>0</v>
      </c>
      <c r="BU514" s="214">
        <f>IF(AND(Input_Product=Elig!$C514,Elig_MatchAll_Ct&lt;22,$BC514=(Elig_MatchAll_Ct-1),AS514=0),P514,0)</f>
        <v>0</v>
      </c>
      <c r="BV514" s="215">
        <f>IF(AND(Input_Product=Elig!$C514,Elig_MatchAll_Ct&lt;22,$BC514=(Elig_MatchAll_Ct-1),AT514=0),Q514,0)</f>
        <v>0</v>
      </c>
      <c r="BW514" s="311">
        <f>IF(AND(Input_Product=Elig!$C514,Elig_MatchAll_Ct&lt;22,$BC514=(Elig_MatchAll_Ct-1),AU514=0),R514,0)</f>
        <v>0</v>
      </c>
      <c r="BX514" s="312">
        <f>IF(AND(Input_Product=Elig!$C514,Elig_MatchAll_Ct&lt;22,$BC514=(Elig_MatchAll_Ct-1),AU514=0),S514,0)</f>
        <v>0</v>
      </c>
      <c r="BY514" s="311">
        <f>IF(AND(Input_Product=Elig!$C514,Elig_MatchAll_Ct&lt;22,$BC514=(Elig_MatchAll_Ct-1),AV514=0),T514,0)</f>
        <v>0</v>
      </c>
      <c r="BZ514" s="312">
        <f>IF(AND(Input_Product=Elig!$C514,Elig_MatchAll_Ct&lt;22,$BC514=(Elig_MatchAll_Ct-1),AV514=0),U514,0)</f>
        <v>0</v>
      </c>
      <c r="CA514" s="311">
        <f>IF(AND(Input_Product=Elig!$C514,Elig_MatchAll_Ct&lt;22,$BC514=(Elig_MatchAll_Ct-1),AW514=0),V514,0)</f>
        <v>0</v>
      </c>
      <c r="CB514" s="312">
        <f>IF(AND(Input_Product=Elig!$C514,Elig_MatchAll_Ct&lt;22,$BC514=(Elig_MatchAll_Ct-1),AW514=0),W514,0)</f>
        <v>0</v>
      </c>
      <c r="CC514" s="311">
        <f>IF(AND(Input_Product=Elig!$C514,Elig_MatchAll_Ct&lt;22,$BC514=(Elig_MatchAll_Ct-1),AX514=0),X514,0)</f>
        <v>0</v>
      </c>
      <c r="CD514" s="312">
        <f>IF(AND(Input_Product=Elig!$C514,Elig_MatchAll_Ct&lt;22,$BC514=(Elig_MatchAll_Ct-1),AX514=0),Y514,0)</f>
        <v>0</v>
      </c>
      <c r="CE514" s="311">
        <f>IF(AND(Input_LTV&lt;=AE514,Input_Product=Elig!$C514,Elig_MatchAll_Ct&lt;22,$BC514=(Elig_MatchAll_Ct-1),AY514=0),Z514,0)</f>
        <v>0</v>
      </c>
      <c r="CF514" s="312">
        <f>IF(AND(Input_LTV&lt;=AE514,Input_Product=Elig!$C514,Elig_MatchAll_Ct&lt;22,$BC514=(Elig_MatchAll_Ct-1),AY514=0),AA514,0)</f>
        <v>0</v>
      </c>
      <c r="CG514" s="311">
        <f>IF(AND(Input_Product=Elig!$C514,Elig_MatchAll_Ct&lt;22,$BC514=(Elig_MatchAll_Ct-1),AZ514=0),AB514,0)</f>
        <v>0</v>
      </c>
      <c r="CH514" s="312">
        <f>IF(AND(Input_Product=Elig!$C514,Elig_MatchAll_Ct&lt;22,$BC514=(Elig_MatchAll_Ct-1),AZ514=0),AC514,0)</f>
        <v>0</v>
      </c>
      <c r="CI514" s="311">
        <f>IF(AND(Input_Product=Elig!$C514,Elig_MatchAll_Ct&lt;22,$BC514=(Elig_MatchAll_Ct-1),BA514=0),AD514,0)</f>
        <v>0</v>
      </c>
      <c r="CJ514" s="312">
        <f>IF(AND(Input_Product=Elig!$C514,Elig_MatchAll_Ct&lt;22,$BC514=(Elig_MatchAll_Ct-1),BA514=0),AE514,0)</f>
        <v>0</v>
      </c>
    </row>
    <row r="515" spans="2:88" ht="10.15" customHeight="1" x14ac:dyDescent="0.25">
      <c r="B515" s="287" t="s">
        <v>4006</v>
      </c>
      <c r="C515" s="281" t="str">
        <f t="shared" si="175"/>
        <v>NonQM NOO</v>
      </c>
      <c r="D515" s="282" t="s">
        <v>3885</v>
      </c>
      <c r="E515" s="283" t="s">
        <v>167</v>
      </c>
      <c r="F515" s="283" t="s">
        <v>330</v>
      </c>
      <c r="G515" s="2103" t="s">
        <v>468</v>
      </c>
      <c r="H515" s="283" t="s">
        <v>136</v>
      </c>
      <c r="I515" s="282" t="s">
        <v>16</v>
      </c>
      <c r="J515" s="282" t="s">
        <v>1311</v>
      </c>
      <c r="K515" s="282" t="s">
        <v>1631</v>
      </c>
      <c r="L515" s="2103" t="s">
        <v>312</v>
      </c>
      <c r="M515" s="283" t="s">
        <v>4203</v>
      </c>
      <c r="N515" s="283" t="s">
        <v>2685</v>
      </c>
      <c r="O515" s="283" t="s">
        <v>310</v>
      </c>
      <c r="P515" s="283" t="s">
        <v>291</v>
      </c>
      <c r="Q515" s="283" t="s">
        <v>294</v>
      </c>
      <c r="R515" s="282">
        <v>2000000.01</v>
      </c>
      <c r="S515" s="323">
        <v>2500000</v>
      </c>
      <c r="T515" s="282">
        <v>0</v>
      </c>
      <c r="U515" s="282">
        <f t="shared" ref="U515:U518" si="214">S515</f>
        <v>2500000</v>
      </c>
      <c r="V515" s="282">
        <v>0</v>
      </c>
      <c r="W515" s="282">
        <v>50</v>
      </c>
      <c r="X515" s="282">
        <v>0</v>
      </c>
      <c r="Y515" s="282">
        <v>999</v>
      </c>
      <c r="Z515" s="284">
        <v>720</v>
      </c>
      <c r="AA515" s="284">
        <v>999</v>
      </c>
      <c r="AB515" s="284">
        <v>9</v>
      </c>
      <c r="AC515" s="284">
        <v>999999</v>
      </c>
      <c r="AD515" s="282">
        <v>0</v>
      </c>
      <c r="AE515" s="2104">
        <v>70</v>
      </c>
      <c r="AF515" s="170">
        <v>0</v>
      </c>
      <c r="AG515" s="171">
        <v>1</v>
      </c>
      <c r="AH515" s="171">
        <v>1</v>
      </c>
      <c r="AI515" s="171">
        <v>0</v>
      </c>
      <c r="AJ515" s="171">
        <v>0</v>
      </c>
      <c r="AK515" s="171">
        <v>1</v>
      </c>
      <c r="AL515" s="171">
        <v>1</v>
      </c>
      <c r="AM515" s="171">
        <v>1</v>
      </c>
      <c r="AN515" s="171">
        <v>1</v>
      </c>
      <c r="AO515" s="171">
        <v>1</v>
      </c>
      <c r="AP515" s="171">
        <v>1</v>
      </c>
      <c r="AQ515" s="171">
        <v>1</v>
      </c>
      <c r="AR515" s="171">
        <v>1</v>
      </c>
      <c r="AS515" s="171">
        <v>1</v>
      </c>
      <c r="AT515" s="171">
        <v>1</v>
      </c>
      <c r="AU515" s="171">
        <f t="shared" si="183"/>
        <v>0</v>
      </c>
      <c r="AV515" s="171">
        <f t="shared" si="184"/>
        <v>1</v>
      </c>
      <c r="AW515" s="171">
        <f t="shared" si="185"/>
        <v>1</v>
      </c>
      <c r="AX515" s="171">
        <f t="shared" si="197"/>
        <v>1</v>
      </c>
      <c r="AY515" s="171">
        <f t="shared" si="186"/>
        <v>1</v>
      </c>
      <c r="AZ515" s="171">
        <f t="shared" si="187"/>
        <v>1</v>
      </c>
      <c r="BA515" s="172">
        <f t="shared" si="188"/>
        <v>1</v>
      </c>
      <c r="BB515" s="175">
        <f t="shared" si="211"/>
        <v>18</v>
      </c>
      <c r="BC515" s="176">
        <f t="shared" si="212"/>
        <v>17</v>
      </c>
      <c r="BD515" s="176">
        <f t="shared" si="213"/>
        <v>18</v>
      </c>
      <c r="BE515" s="240" t="str">
        <f t="shared" si="181"/>
        <v/>
      </c>
      <c r="BH515" s="210">
        <f>IF(AND(Input_Product=Elig!$C515,Elig_MatchAll_Ct&lt;22,$BC515=(Elig_MatchAll_Ct-1),AF515=0),C515,0)</f>
        <v>0</v>
      </c>
      <c r="BI515" s="210">
        <f>IF(AND(Input_Product=Elig!$C515,Elig_MatchAll_Ct&lt;22,$BC515=(Elig_MatchAll_Ct-1),AG515=0),D515,0)</f>
        <v>0</v>
      </c>
      <c r="BJ515" s="210">
        <f>IF(AND(Input_Product=Elig!$C515,Elig_MatchAll_Ct&lt;22,$BC515=(Elig_MatchAll_Ct-1),AH515=0),E515,0)</f>
        <v>0</v>
      </c>
      <c r="BK515" s="210">
        <f>IF(AND(Input_Product=Elig!$C515,Elig_MatchAll_Ct&lt;22,$BC515=(Elig_MatchAll_Ct-1),AI515=0),F515,0)</f>
        <v>0</v>
      </c>
      <c r="BL515" s="210">
        <f>IF(AND(Input_Product=Elig!$C515,Elig_MatchAll_Ct&lt;22,$BC515=(Elig_MatchAll_Ct-1),AJ515=0),G515,0)</f>
        <v>0</v>
      </c>
      <c r="BM515" s="210">
        <f>IF(AND(Input_Product=Elig!$C515,Elig_MatchAll_Ct&lt;22,$BC515=(Elig_MatchAll_Ct-1),AK515=0),H515,0)</f>
        <v>0</v>
      </c>
      <c r="BN515" s="210">
        <f>IF(AND(Input_Product=Elig!$C515,Elig_MatchAll_Ct&lt;22,$BC515=(Elig_MatchAll_Ct-1),AL515=0),I515,0)</f>
        <v>0</v>
      </c>
      <c r="BO515" s="210">
        <f>IF(AND(Input_Product=Elig!$C515,Elig_MatchAll_Ct&lt;22,$BC515=(Elig_MatchAll_Ct-1),AM515=0),J515,0)</f>
        <v>0</v>
      </c>
      <c r="BP515" s="210">
        <f>IF(AND(Input_Product=Elig!$C515,Elig_MatchAll_Ct&lt;22,$BC515=(Elig_MatchAll_Ct-1),AN515=0),K515,0)</f>
        <v>0</v>
      </c>
      <c r="BQ515" s="210">
        <f>IF(AND(Input_Product=Elig!$C515,Elig_MatchAll_Ct&lt;22,$BC515=(Elig_MatchAll_Ct-1),AP515=0),L515,0)</f>
        <v>0</v>
      </c>
      <c r="BR515" s="210">
        <f>IF(AND(Input_Product=Elig!$C515,Elig_MatchAll_Ct&lt;22,$BC515=(Elig_MatchAll_Ct-1),AO515=0),M515,0)</f>
        <v>0</v>
      </c>
      <c r="BS515" s="210">
        <f>IF(AND(Input_Product=Elig!$C515,Elig_MatchAll_Ct&lt;22,$BC515=(Elig_MatchAll_Ct-1),AQ515=0),N515,0)</f>
        <v>0</v>
      </c>
      <c r="BT515" s="210">
        <f>IF(AND(Input_Product=Elig!$C515,Elig_MatchAll_Ct&lt;22,$BC515=(Elig_MatchAll_Ct-1),AR515=0),O515,0)</f>
        <v>0</v>
      </c>
      <c r="BU515" s="210">
        <f>IF(AND(Input_Product=Elig!$C515,Elig_MatchAll_Ct&lt;22,$BC515=(Elig_MatchAll_Ct-1),AS515=0),P515,0)</f>
        <v>0</v>
      </c>
      <c r="BV515" s="211">
        <f>IF(AND(Input_Product=Elig!$C515,Elig_MatchAll_Ct&lt;22,$BC515=(Elig_MatchAll_Ct-1),AT515=0),Q515,0)</f>
        <v>0</v>
      </c>
      <c r="BW515" s="212">
        <f>IF(AND(Input_Product=Elig!$C515,Elig_MatchAll_Ct&lt;22,$BC515=(Elig_MatchAll_Ct-1),AU515=0),R515,0)</f>
        <v>0</v>
      </c>
      <c r="BX515" s="213">
        <f>IF(AND(Input_Product=Elig!$C515,Elig_MatchAll_Ct&lt;22,$BC515=(Elig_MatchAll_Ct-1),AU515=0),S515,0)</f>
        <v>0</v>
      </c>
      <c r="BY515" s="212">
        <f>IF(AND(Input_Product=Elig!$C515,Elig_MatchAll_Ct&lt;22,$BC515=(Elig_MatchAll_Ct-1),AV515=0),T515,0)</f>
        <v>0</v>
      </c>
      <c r="BZ515" s="213">
        <f>IF(AND(Input_Product=Elig!$C515,Elig_MatchAll_Ct&lt;22,$BC515=(Elig_MatchAll_Ct-1),AV515=0),U515,0)</f>
        <v>0</v>
      </c>
      <c r="CA515" s="212">
        <f>IF(AND(Input_Product=Elig!$C515,Elig_MatchAll_Ct&lt;22,$BC515=(Elig_MatchAll_Ct-1),AW515=0),V515,0)</f>
        <v>0</v>
      </c>
      <c r="CB515" s="213">
        <f>IF(AND(Input_Product=Elig!$C515,Elig_MatchAll_Ct&lt;22,$BC515=(Elig_MatchAll_Ct-1),AW515=0),W515,0)</f>
        <v>0</v>
      </c>
      <c r="CC515" s="212">
        <f>IF(AND(Input_Product=Elig!$C515,Elig_MatchAll_Ct&lt;22,$BC515=(Elig_MatchAll_Ct-1),AX515=0),X515,0)</f>
        <v>0</v>
      </c>
      <c r="CD515" s="213">
        <f>IF(AND(Input_Product=Elig!$C515,Elig_MatchAll_Ct&lt;22,$BC515=(Elig_MatchAll_Ct-1),AX515=0),Y515,0)</f>
        <v>0</v>
      </c>
      <c r="CE515" s="212">
        <f>IF(AND(Input_LTV&lt;=AE515,Input_Product=Elig!$C515,Elig_MatchAll_Ct&lt;22,$BC515=(Elig_MatchAll_Ct-1),AY515=0),Z515,0)</f>
        <v>0</v>
      </c>
      <c r="CF515" s="213">
        <f>IF(AND(Input_LTV&lt;=AE515,Input_Product=Elig!$C515,Elig_MatchAll_Ct&lt;22,$BC515=(Elig_MatchAll_Ct-1),AY515=0),AA515,0)</f>
        <v>0</v>
      </c>
      <c r="CG515" s="212">
        <f>IF(AND(Input_Product=Elig!$C515,Elig_MatchAll_Ct&lt;22,$BC515=(Elig_MatchAll_Ct-1),AZ515=0),AB515,0)</f>
        <v>0</v>
      </c>
      <c r="CH515" s="213">
        <f>IF(AND(Input_Product=Elig!$C515,Elig_MatchAll_Ct&lt;22,$BC515=(Elig_MatchAll_Ct-1),AZ515=0),AC515,0)</f>
        <v>0</v>
      </c>
      <c r="CI515" s="212">
        <f>IF(AND(Input_Product=Elig!$C515,Elig_MatchAll_Ct&lt;22,$BC515=(Elig_MatchAll_Ct-1),BA515=0),AD515,0)</f>
        <v>0</v>
      </c>
      <c r="CJ515" s="213">
        <f>IF(AND(Input_Product=Elig!$C515,Elig_MatchAll_Ct&lt;22,$BC515=(Elig_MatchAll_Ct-1),BA515=0),AE515,0)</f>
        <v>0</v>
      </c>
    </row>
    <row r="516" spans="2:88" ht="10.15" customHeight="1" x14ac:dyDescent="0.25">
      <c r="B516" s="287" t="s">
        <v>4007</v>
      </c>
      <c r="C516" s="286" t="str">
        <f t="shared" si="175"/>
        <v>NonQM NOO</v>
      </c>
      <c r="D516" s="287" t="s">
        <v>3885</v>
      </c>
      <c r="E516" s="287" t="s">
        <v>167</v>
      </c>
      <c r="F516" s="287" t="s">
        <v>330</v>
      </c>
      <c r="G516" s="300" t="s">
        <v>468</v>
      </c>
      <c r="H516" s="287" t="s">
        <v>136</v>
      </c>
      <c r="I516" s="288" t="s">
        <v>16</v>
      </c>
      <c r="J516" s="288" t="s">
        <v>1311</v>
      </c>
      <c r="K516" s="288" t="s">
        <v>1631</v>
      </c>
      <c r="L516" s="300" t="s">
        <v>312</v>
      </c>
      <c r="M516" s="287" t="s">
        <v>4203</v>
      </c>
      <c r="N516" s="287" t="s">
        <v>2685</v>
      </c>
      <c r="O516" s="287" t="s">
        <v>310</v>
      </c>
      <c r="P516" s="287" t="s">
        <v>291</v>
      </c>
      <c r="Q516" s="287" t="s">
        <v>294</v>
      </c>
      <c r="R516" s="287">
        <v>2000000.01</v>
      </c>
      <c r="S516" s="300">
        <v>2500000</v>
      </c>
      <c r="T516" s="287">
        <v>0</v>
      </c>
      <c r="U516" s="287">
        <f t="shared" si="214"/>
        <v>2500000</v>
      </c>
      <c r="V516" s="287">
        <v>0</v>
      </c>
      <c r="W516" s="287">
        <v>50</v>
      </c>
      <c r="X516" s="287">
        <v>0</v>
      </c>
      <c r="Y516" s="287">
        <v>999</v>
      </c>
      <c r="Z516" s="289">
        <v>700</v>
      </c>
      <c r="AA516" s="289">
        <v>719</v>
      </c>
      <c r="AB516" s="289">
        <v>9</v>
      </c>
      <c r="AC516" s="289">
        <v>999999</v>
      </c>
      <c r="AD516" s="287">
        <v>0</v>
      </c>
      <c r="AE516" s="2105">
        <v>65</v>
      </c>
      <c r="AF516" s="170">
        <v>0</v>
      </c>
      <c r="AG516" s="171">
        <v>1</v>
      </c>
      <c r="AH516" s="171">
        <v>1</v>
      </c>
      <c r="AI516" s="171">
        <v>0</v>
      </c>
      <c r="AJ516" s="171">
        <v>0</v>
      </c>
      <c r="AK516" s="171">
        <v>1</v>
      </c>
      <c r="AL516" s="171">
        <v>1</v>
      </c>
      <c r="AM516" s="171">
        <v>1</v>
      </c>
      <c r="AN516" s="171">
        <v>1</v>
      </c>
      <c r="AO516" s="171">
        <v>1</v>
      </c>
      <c r="AP516" s="171">
        <v>1</v>
      </c>
      <c r="AQ516" s="171">
        <v>1</v>
      </c>
      <c r="AR516" s="171">
        <v>1</v>
      </c>
      <c r="AS516" s="171">
        <v>1</v>
      </c>
      <c r="AT516" s="171">
        <v>1</v>
      </c>
      <c r="AU516" s="171">
        <f t="shared" si="183"/>
        <v>0</v>
      </c>
      <c r="AV516" s="171">
        <f t="shared" si="184"/>
        <v>1</v>
      </c>
      <c r="AW516" s="171">
        <f t="shared" si="185"/>
        <v>1</v>
      </c>
      <c r="AX516" s="171">
        <f t="shared" si="197"/>
        <v>1</v>
      </c>
      <c r="AY516" s="171">
        <f t="shared" si="186"/>
        <v>0</v>
      </c>
      <c r="AZ516" s="171">
        <f t="shared" si="187"/>
        <v>1</v>
      </c>
      <c r="BA516" s="172">
        <f t="shared" si="188"/>
        <v>1</v>
      </c>
      <c r="BB516" s="175">
        <f t="shared" si="211"/>
        <v>17</v>
      </c>
      <c r="BC516" s="176">
        <f t="shared" si="212"/>
        <v>16</v>
      </c>
      <c r="BD516" s="176">
        <f t="shared" si="213"/>
        <v>17</v>
      </c>
      <c r="BE516" s="240" t="str">
        <f t="shared" si="181"/>
        <v/>
      </c>
      <c r="BH516" s="199">
        <f>IF(AND(Input_Product=Elig!$C516,Elig_MatchAll_Ct&lt;22,$BC516=(Elig_MatchAll_Ct-1),AF516=0),C516,0)</f>
        <v>0</v>
      </c>
      <c r="BI516" s="199">
        <f>IF(AND(Input_Product=Elig!$C516,Elig_MatchAll_Ct&lt;22,$BC516=(Elig_MatchAll_Ct-1),AG516=0),D516,0)</f>
        <v>0</v>
      </c>
      <c r="BJ516" s="199">
        <f>IF(AND(Input_Product=Elig!$C516,Elig_MatchAll_Ct&lt;22,$BC516=(Elig_MatchAll_Ct-1),AH516=0),E516,0)</f>
        <v>0</v>
      </c>
      <c r="BK516" s="199">
        <f>IF(AND(Input_Product=Elig!$C516,Elig_MatchAll_Ct&lt;22,$BC516=(Elig_MatchAll_Ct-1),AI516=0),F516,0)</f>
        <v>0</v>
      </c>
      <c r="BL516" s="199">
        <f>IF(AND(Input_Product=Elig!$C516,Elig_MatchAll_Ct&lt;22,$BC516=(Elig_MatchAll_Ct-1),AJ516=0),G516,0)</f>
        <v>0</v>
      </c>
      <c r="BM516" s="199">
        <f>IF(AND(Input_Product=Elig!$C516,Elig_MatchAll_Ct&lt;22,$BC516=(Elig_MatchAll_Ct-1),AK516=0),H516,0)</f>
        <v>0</v>
      </c>
      <c r="BN516" s="199">
        <f>IF(AND(Input_Product=Elig!$C516,Elig_MatchAll_Ct&lt;22,$BC516=(Elig_MatchAll_Ct-1),AL516=0),I516,0)</f>
        <v>0</v>
      </c>
      <c r="BO516" s="199">
        <f>IF(AND(Input_Product=Elig!$C516,Elig_MatchAll_Ct&lt;22,$BC516=(Elig_MatchAll_Ct-1),AM516=0),J516,0)</f>
        <v>0</v>
      </c>
      <c r="BP516" s="199">
        <f>IF(AND(Input_Product=Elig!$C516,Elig_MatchAll_Ct&lt;22,$BC516=(Elig_MatchAll_Ct-1),AN516=0),K516,0)</f>
        <v>0</v>
      </c>
      <c r="BQ516" s="199">
        <f>IF(AND(Input_Product=Elig!$C516,Elig_MatchAll_Ct&lt;22,$BC516=(Elig_MatchAll_Ct-1),AP516=0),L516,0)</f>
        <v>0</v>
      </c>
      <c r="BR516" s="199">
        <f>IF(AND(Input_Product=Elig!$C516,Elig_MatchAll_Ct&lt;22,$BC516=(Elig_MatchAll_Ct-1),AO516=0),M516,0)</f>
        <v>0</v>
      </c>
      <c r="BS516" s="199">
        <f>IF(AND(Input_Product=Elig!$C516,Elig_MatchAll_Ct&lt;22,$BC516=(Elig_MatchAll_Ct-1),AQ516=0),N516,0)</f>
        <v>0</v>
      </c>
      <c r="BT516" s="199">
        <f>IF(AND(Input_Product=Elig!$C516,Elig_MatchAll_Ct&lt;22,$BC516=(Elig_MatchAll_Ct-1),AR516=0),O516,0)</f>
        <v>0</v>
      </c>
      <c r="BU516" s="199">
        <f>IF(AND(Input_Product=Elig!$C516,Elig_MatchAll_Ct&lt;22,$BC516=(Elig_MatchAll_Ct-1),AS516=0),P516,0)</f>
        <v>0</v>
      </c>
      <c r="BV516" s="200">
        <f>IF(AND(Input_Product=Elig!$C516,Elig_MatchAll_Ct&lt;22,$BC516=(Elig_MatchAll_Ct-1),AT516=0),Q516,0)</f>
        <v>0</v>
      </c>
      <c r="BW516" s="201">
        <f>IF(AND(Input_Product=Elig!$C516,Elig_MatchAll_Ct&lt;22,$BC516=(Elig_MatchAll_Ct-1),AU516=0),R516,0)</f>
        <v>0</v>
      </c>
      <c r="BX516" s="202">
        <f>IF(AND(Input_Product=Elig!$C516,Elig_MatchAll_Ct&lt;22,$BC516=(Elig_MatchAll_Ct-1),AU516=0),S516,0)</f>
        <v>0</v>
      </c>
      <c r="BY516" s="201">
        <f>IF(AND(Input_Product=Elig!$C516,Elig_MatchAll_Ct&lt;22,$BC516=(Elig_MatchAll_Ct-1),AV516=0),T516,0)</f>
        <v>0</v>
      </c>
      <c r="BZ516" s="202">
        <f>IF(AND(Input_Product=Elig!$C516,Elig_MatchAll_Ct&lt;22,$BC516=(Elig_MatchAll_Ct-1),AV516=0),U516,0)</f>
        <v>0</v>
      </c>
      <c r="CA516" s="201">
        <f>IF(AND(Input_Product=Elig!$C516,Elig_MatchAll_Ct&lt;22,$BC516=(Elig_MatchAll_Ct-1),AW516=0),V516,0)</f>
        <v>0</v>
      </c>
      <c r="CB516" s="202">
        <f>IF(AND(Input_Product=Elig!$C516,Elig_MatchAll_Ct&lt;22,$BC516=(Elig_MatchAll_Ct-1),AW516=0),W516,0)</f>
        <v>0</v>
      </c>
      <c r="CC516" s="201">
        <f>IF(AND(Input_Product=Elig!$C516,Elig_MatchAll_Ct&lt;22,$BC516=(Elig_MatchAll_Ct-1),AX516=0),X516,0)</f>
        <v>0</v>
      </c>
      <c r="CD516" s="202">
        <f>IF(AND(Input_Product=Elig!$C516,Elig_MatchAll_Ct&lt;22,$BC516=(Elig_MatchAll_Ct-1),AX516=0),Y516,0)</f>
        <v>0</v>
      </c>
      <c r="CE516" s="201">
        <f>IF(AND(Input_LTV&lt;=AE516,Input_Product=Elig!$C516,Elig_MatchAll_Ct&lt;22,$BC516=(Elig_MatchAll_Ct-1),AY516=0),Z516,0)</f>
        <v>0</v>
      </c>
      <c r="CF516" s="202">
        <f>IF(AND(Input_LTV&lt;=AE516,Input_Product=Elig!$C516,Elig_MatchAll_Ct&lt;22,$BC516=(Elig_MatchAll_Ct-1),AY516=0),AA516,0)</f>
        <v>0</v>
      </c>
      <c r="CG516" s="201">
        <f>IF(AND(Input_Product=Elig!$C516,Elig_MatchAll_Ct&lt;22,$BC516=(Elig_MatchAll_Ct-1),AZ516=0),AB516,0)</f>
        <v>0</v>
      </c>
      <c r="CH516" s="202">
        <f>IF(AND(Input_Product=Elig!$C516,Elig_MatchAll_Ct&lt;22,$BC516=(Elig_MatchAll_Ct-1),AZ516=0),AC516,0)</f>
        <v>0</v>
      </c>
      <c r="CI516" s="201">
        <f>IF(AND(Input_Product=Elig!$C516,Elig_MatchAll_Ct&lt;22,$BC516=(Elig_MatchAll_Ct-1),BA516=0),AD516,0)</f>
        <v>0</v>
      </c>
      <c r="CJ516" s="202">
        <f>IF(AND(Input_Product=Elig!$C516,Elig_MatchAll_Ct&lt;22,$BC516=(Elig_MatchAll_Ct-1),BA516=0),AE516,0)</f>
        <v>0</v>
      </c>
    </row>
    <row r="517" spans="2:88" ht="10.15" customHeight="1" x14ac:dyDescent="0.25">
      <c r="B517" s="287" t="s">
        <v>4008</v>
      </c>
      <c r="C517" s="286" t="str">
        <f t="shared" si="175"/>
        <v>NonQM NOO</v>
      </c>
      <c r="D517" s="287" t="s">
        <v>3885</v>
      </c>
      <c r="E517" s="287" t="s">
        <v>167</v>
      </c>
      <c r="F517" s="287" t="s">
        <v>330</v>
      </c>
      <c r="G517" s="300" t="s">
        <v>468</v>
      </c>
      <c r="H517" s="287" t="s">
        <v>136</v>
      </c>
      <c r="I517" s="288" t="s">
        <v>16</v>
      </c>
      <c r="J517" s="288" t="s">
        <v>1311</v>
      </c>
      <c r="K517" s="288" t="s">
        <v>1631</v>
      </c>
      <c r="L517" s="300" t="s">
        <v>312</v>
      </c>
      <c r="M517" s="287" t="s">
        <v>4203</v>
      </c>
      <c r="N517" s="287" t="s">
        <v>2685</v>
      </c>
      <c r="O517" s="287" t="s">
        <v>310</v>
      </c>
      <c r="P517" s="287" t="s">
        <v>291</v>
      </c>
      <c r="Q517" s="287" t="s">
        <v>294</v>
      </c>
      <c r="R517" s="287">
        <v>2000000.01</v>
      </c>
      <c r="S517" s="300">
        <v>2500000</v>
      </c>
      <c r="T517" s="287">
        <v>0</v>
      </c>
      <c r="U517" s="287">
        <f t="shared" si="214"/>
        <v>2500000</v>
      </c>
      <c r="V517" s="287">
        <v>0</v>
      </c>
      <c r="W517" s="287">
        <v>50</v>
      </c>
      <c r="X517" s="287">
        <v>0</v>
      </c>
      <c r="Y517" s="287">
        <v>999</v>
      </c>
      <c r="Z517" s="2101">
        <v>680</v>
      </c>
      <c r="AA517" s="2101">
        <v>699</v>
      </c>
      <c r="AB517" s="289">
        <v>9</v>
      </c>
      <c r="AC517" s="289">
        <v>999999</v>
      </c>
      <c r="AD517" s="287">
        <v>0</v>
      </c>
      <c r="AE517" s="2105">
        <v>65</v>
      </c>
      <c r="AF517" s="170">
        <v>0</v>
      </c>
      <c r="AG517" s="171">
        <v>1</v>
      </c>
      <c r="AH517" s="171">
        <v>1</v>
      </c>
      <c r="AI517" s="171">
        <v>0</v>
      </c>
      <c r="AJ517" s="171">
        <v>0</v>
      </c>
      <c r="AK517" s="171">
        <v>1</v>
      </c>
      <c r="AL517" s="171">
        <v>1</v>
      </c>
      <c r="AM517" s="171">
        <v>1</v>
      </c>
      <c r="AN517" s="171">
        <v>1</v>
      </c>
      <c r="AO517" s="171">
        <v>1</v>
      </c>
      <c r="AP517" s="171">
        <v>1</v>
      </c>
      <c r="AQ517" s="171">
        <v>1</v>
      </c>
      <c r="AR517" s="171">
        <v>1</v>
      </c>
      <c r="AS517" s="171">
        <v>1</v>
      </c>
      <c r="AT517" s="171">
        <v>1</v>
      </c>
      <c r="AU517" s="171">
        <f t="shared" si="183"/>
        <v>0</v>
      </c>
      <c r="AV517" s="171">
        <f t="shared" si="184"/>
        <v>1</v>
      </c>
      <c r="AW517" s="171">
        <f t="shared" si="185"/>
        <v>1</v>
      </c>
      <c r="AX517" s="171">
        <f t="shared" si="197"/>
        <v>1</v>
      </c>
      <c r="AY517" s="171">
        <f t="shared" si="186"/>
        <v>0</v>
      </c>
      <c r="AZ517" s="171">
        <f t="shared" si="187"/>
        <v>1</v>
      </c>
      <c r="BA517" s="172">
        <f t="shared" si="188"/>
        <v>1</v>
      </c>
      <c r="BB517" s="175">
        <f t="shared" si="211"/>
        <v>17</v>
      </c>
      <c r="BC517" s="176">
        <f t="shared" si="212"/>
        <v>16</v>
      </c>
      <c r="BD517" s="176">
        <f t="shared" si="213"/>
        <v>17</v>
      </c>
      <c r="BE517" s="240" t="str">
        <f t="shared" si="181"/>
        <v/>
      </c>
      <c r="BH517" s="199">
        <f>IF(AND(Input_Product=Elig!$C517,Elig_MatchAll_Ct&lt;22,$BC517=(Elig_MatchAll_Ct-1),AF517=0),C517,0)</f>
        <v>0</v>
      </c>
      <c r="BI517" s="199">
        <f>IF(AND(Input_Product=Elig!$C517,Elig_MatchAll_Ct&lt;22,$BC517=(Elig_MatchAll_Ct-1),AG517=0),D517,0)</f>
        <v>0</v>
      </c>
      <c r="BJ517" s="199">
        <f>IF(AND(Input_Product=Elig!$C517,Elig_MatchAll_Ct&lt;22,$BC517=(Elig_MatchAll_Ct-1),AH517=0),E517,0)</f>
        <v>0</v>
      </c>
      <c r="BK517" s="199">
        <f>IF(AND(Input_Product=Elig!$C517,Elig_MatchAll_Ct&lt;22,$BC517=(Elig_MatchAll_Ct-1),AI517=0),F517,0)</f>
        <v>0</v>
      </c>
      <c r="BL517" s="199">
        <f>IF(AND(Input_Product=Elig!$C517,Elig_MatchAll_Ct&lt;22,$BC517=(Elig_MatchAll_Ct-1),AJ517=0),G517,0)</f>
        <v>0</v>
      </c>
      <c r="BM517" s="199">
        <f>IF(AND(Input_Product=Elig!$C517,Elig_MatchAll_Ct&lt;22,$BC517=(Elig_MatchAll_Ct-1),AK517=0),H517,0)</f>
        <v>0</v>
      </c>
      <c r="BN517" s="199">
        <f>IF(AND(Input_Product=Elig!$C517,Elig_MatchAll_Ct&lt;22,$BC517=(Elig_MatchAll_Ct-1),AL517=0),I517,0)</f>
        <v>0</v>
      </c>
      <c r="BO517" s="199">
        <f>IF(AND(Input_Product=Elig!$C517,Elig_MatchAll_Ct&lt;22,$BC517=(Elig_MatchAll_Ct-1),AM517=0),J517,0)</f>
        <v>0</v>
      </c>
      <c r="BP517" s="199">
        <f>IF(AND(Input_Product=Elig!$C517,Elig_MatchAll_Ct&lt;22,$BC517=(Elig_MatchAll_Ct-1),AN517=0),K517,0)</f>
        <v>0</v>
      </c>
      <c r="BQ517" s="199">
        <f>IF(AND(Input_Product=Elig!$C517,Elig_MatchAll_Ct&lt;22,$BC517=(Elig_MatchAll_Ct-1),AP517=0),L517,0)</f>
        <v>0</v>
      </c>
      <c r="BR517" s="199">
        <f>IF(AND(Input_Product=Elig!$C517,Elig_MatchAll_Ct&lt;22,$BC517=(Elig_MatchAll_Ct-1),AO517=0),M517,0)</f>
        <v>0</v>
      </c>
      <c r="BS517" s="199">
        <f>IF(AND(Input_Product=Elig!$C517,Elig_MatchAll_Ct&lt;22,$BC517=(Elig_MatchAll_Ct-1),AQ517=0),N517,0)</f>
        <v>0</v>
      </c>
      <c r="BT517" s="199">
        <f>IF(AND(Input_Product=Elig!$C517,Elig_MatchAll_Ct&lt;22,$BC517=(Elig_MatchAll_Ct-1),AR517=0),O517,0)</f>
        <v>0</v>
      </c>
      <c r="BU517" s="199">
        <f>IF(AND(Input_Product=Elig!$C517,Elig_MatchAll_Ct&lt;22,$BC517=(Elig_MatchAll_Ct-1),AS517=0),P517,0)</f>
        <v>0</v>
      </c>
      <c r="BV517" s="200">
        <f>IF(AND(Input_Product=Elig!$C517,Elig_MatchAll_Ct&lt;22,$BC517=(Elig_MatchAll_Ct-1),AT517=0),Q517,0)</f>
        <v>0</v>
      </c>
      <c r="BW517" s="201">
        <f>IF(AND(Input_Product=Elig!$C517,Elig_MatchAll_Ct&lt;22,$BC517=(Elig_MatchAll_Ct-1),AU517=0),R517,0)</f>
        <v>0</v>
      </c>
      <c r="BX517" s="202">
        <f>IF(AND(Input_Product=Elig!$C517,Elig_MatchAll_Ct&lt;22,$BC517=(Elig_MatchAll_Ct-1),AU517=0),S517,0)</f>
        <v>0</v>
      </c>
      <c r="BY517" s="201">
        <f>IF(AND(Input_Product=Elig!$C517,Elig_MatchAll_Ct&lt;22,$BC517=(Elig_MatchAll_Ct-1),AV517=0),T517,0)</f>
        <v>0</v>
      </c>
      <c r="BZ517" s="202">
        <f>IF(AND(Input_Product=Elig!$C517,Elig_MatchAll_Ct&lt;22,$BC517=(Elig_MatchAll_Ct-1),AV517=0),U517,0)</f>
        <v>0</v>
      </c>
      <c r="CA517" s="201">
        <f>IF(AND(Input_Product=Elig!$C517,Elig_MatchAll_Ct&lt;22,$BC517=(Elig_MatchAll_Ct-1),AW517=0),V517,0)</f>
        <v>0</v>
      </c>
      <c r="CB517" s="202">
        <f>IF(AND(Input_Product=Elig!$C517,Elig_MatchAll_Ct&lt;22,$BC517=(Elig_MatchAll_Ct-1),AW517=0),W517,0)</f>
        <v>0</v>
      </c>
      <c r="CC517" s="201">
        <f>IF(AND(Input_Product=Elig!$C517,Elig_MatchAll_Ct&lt;22,$BC517=(Elig_MatchAll_Ct-1),AX517=0),X517,0)</f>
        <v>0</v>
      </c>
      <c r="CD517" s="202">
        <f>IF(AND(Input_Product=Elig!$C517,Elig_MatchAll_Ct&lt;22,$BC517=(Elig_MatchAll_Ct-1),AX517=0),Y517,0)</f>
        <v>0</v>
      </c>
      <c r="CE517" s="201">
        <f>IF(AND(Input_LTV&lt;=AE517,Input_Product=Elig!$C517,Elig_MatchAll_Ct&lt;22,$BC517=(Elig_MatchAll_Ct-1),AY517=0),Z517,0)</f>
        <v>0</v>
      </c>
      <c r="CF517" s="202">
        <f>IF(AND(Input_LTV&lt;=AE517,Input_Product=Elig!$C517,Elig_MatchAll_Ct&lt;22,$BC517=(Elig_MatchAll_Ct-1),AY517=0),AA517,0)</f>
        <v>0</v>
      </c>
      <c r="CG517" s="201">
        <f>IF(AND(Input_Product=Elig!$C517,Elig_MatchAll_Ct&lt;22,$BC517=(Elig_MatchAll_Ct-1),AZ517=0),AB517,0)</f>
        <v>0</v>
      </c>
      <c r="CH517" s="202">
        <f>IF(AND(Input_Product=Elig!$C517,Elig_MatchAll_Ct&lt;22,$BC517=(Elig_MatchAll_Ct-1),AZ517=0),AC517,0)</f>
        <v>0</v>
      </c>
      <c r="CI517" s="201">
        <f>IF(AND(Input_Product=Elig!$C517,Elig_MatchAll_Ct&lt;22,$BC517=(Elig_MatchAll_Ct-1),BA517=0),AD517,0)</f>
        <v>0</v>
      </c>
      <c r="CJ517" s="202">
        <f>IF(AND(Input_Product=Elig!$C517,Elig_MatchAll_Ct&lt;22,$BC517=(Elig_MatchAll_Ct-1),BA517=0),AE517,0)</f>
        <v>0</v>
      </c>
    </row>
    <row r="518" spans="2:88" ht="10.15" customHeight="1" x14ac:dyDescent="0.25">
      <c r="B518" s="287" t="s">
        <v>4009</v>
      </c>
      <c r="C518" s="291" t="str">
        <f t="shared" si="175"/>
        <v>NonQM NOO</v>
      </c>
      <c r="D518" s="292" t="s">
        <v>3885</v>
      </c>
      <c r="E518" s="292" t="s">
        <v>167</v>
      </c>
      <c r="F518" s="292" t="s">
        <v>330</v>
      </c>
      <c r="G518" s="324" t="s">
        <v>468</v>
      </c>
      <c r="H518" s="292" t="s">
        <v>136</v>
      </c>
      <c r="I518" s="295" t="s">
        <v>16</v>
      </c>
      <c r="J518" s="295" t="s">
        <v>1311</v>
      </c>
      <c r="K518" s="295" t="s">
        <v>1631</v>
      </c>
      <c r="L518" s="324" t="s">
        <v>312</v>
      </c>
      <c r="M518" s="292" t="s">
        <v>4203</v>
      </c>
      <c r="N518" s="292" t="s">
        <v>2685</v>
      </c>
      <c r="O518" s="292" t="s">
        <v>310</v>
      </c>
      <c r="P518" s="292" t="s">
        <v>291</v>
      </c>
      <c r="Q518" s="292" t="s">
        <v>294</v>
      </c>
      <c r="R518" s="292">
        <v>2000000.01</v>
      </c>
      <c r="S518" s="324">
        <v>2500000</v>
      </c>
      <c r="T518" s="292">
        <v>0</v>
      </c>
      <c r="U518" s="292">
        <f t="shared" si="214"/>
        <v>2500000</v>
      </c>
      <c r="V518" s="292">
        <v>0</v>
      </c>
      <c r="W518" s="292">
        <v>50</v>
      </c>
      <c r="X518" s="292">
        <v>0</v>
      </c>
      <c r="Y518" s="292">
        <v>999</v>
      </c>
      <c r="Z518" s="2102">
        <v>660</v>
      </c>
      <c r="AA518" s="2102">
        <v>679</v>
      </c>
      <c r="AB518" s="293">
        <v>9</v>
      </c>
      <c r="AC518" s="293">
        <v>999999</v>
      </c>
      <c r="AD518" s="292">
        <v>0</v>
      </c>
      <c r="AE518" s="2107">
        <v>65</v>
      </c>
      <c r="AF518" s="170">
        <v>0</v>
      </c>
      <c r="AG518" s="171">
        <v>1</v>
      </c>
      <c r="AH518" s="171">
        <v>1</v>
      </c>
      <c r="AI518" s="171">
        <v>0</v>
      </c>
      <c r="AJ518" s="171">
        <v>0</v>
      </c>
      <c r="AK518" s="171">
        <v>1</v>
      </c>
      <c r="AL518" s="171">
        <v>1</v>
      </c>
      <c r="AM518" s="171">
        <v>1</v>
      </c>
      <c r="AN518" s="171">
        <v>1</v>
      </c>
      <c r="AO518" s="171">
        <v>1</v>
      </c>
      <c r="AP518" s="171">
        <v>1</v>
      </c>
      <c r="AQ518" s="171">
        <v>1</v>
      </c>
      <c r="AR518" s="171">
        <v>1</v>
      </c>
      <c r="AS518" s="171">
        <v>1</v>
      </c>
      <c r="AT518" s="171">
        <v>1</v>
      </c>
      <c r="AU518" s="171">
        <f t="shared" si="183"/>
        <v>0</v>
      </c>
      <c r="AV518" s="171">
        <f t="shared" si="184"/>
        <v>1</v>
      </c>
      <c r="AW518" s="171">
        <f t="shared" si="185"/>
        <v>1</v>
      </c>
      <c r="AX518" s="171">
        <f t="shared" si="197"/>
        <v>1</v>
      </c>
      <c r="AY518" s="171">
        <f t="shared" si="186"/>
        <v>0</v>
      </c>
      <c r="AZ518" s="171">
        <f t="shared" si="187"/>
        <v>1</v>
      </c>
      <c r="BA518" s="172">
        <f t="shared" si="188"/>
        <v>1</v>
      </c>
      <c r="BB518" s="175">
        <f t="shared" si="211"/>
        <v>17</v>
      </c>
      <c r="BC518" s="176">
        <f t="shared" si="212"/>
        <v>16</v>
      </c>
      <c r="BD518" s="176">
        <f t="shared" si="213"/>
        <v>17</v>
      </c>
      <c r="BE518" s="240" t="str">
        <f t="shared" si="181"/>
        <v/>
      </c>
      <c r="BH518" s="214">
        <f>IF(AND(Input_Product=Elig!$C518,Elig_MatchAll_Ct&lt;22,$BC518=(Elig_MatchAll_Ct-1),AF518=0),C518,0)</f>
        <v>0</v>
      </c>
      <c r="BI518" s="214">
        <f>IF(AND(Input_Product=Elig!$C518,Elig_MatchAll_Ct&lt;22,$BC518=(Elig_MatchAll_Ct-1),AG518=0),D518,0)</f>
        <v>0</v>
      </c>
      <c r="BJ518" s="214">
        <f>IF(AND(Input_Product=Elig!$C518,Elig_MatchAll_Ct&lt;22,$BC518=(Elig_MatchAll_Ct-1),AH518=0),E518,0)</f>
        <v>0</v>
      </c>
      <c r="BK518" s="214">
        <f>IF(AND(Input_Product=Elig!$C518,Elig_MatchAll_Ct&lt;22,$BC518=(Elig_MatchAll_Ct-1),AI518=0),F518,0)</f>
        <v>0</v>
      </c>
      <c r="BL518" s="214">
        <f>IF(AND(Input_Product=Elig!$C518,Elig_MatchAll_Ct&lt;22,$BC518=(Elig_MatchAll_Ct-1),AJ518=0),G518,0)</f>
        <v>0</v>
      </c>
      <c r="BM518" s="214">
        <f>IF(AND(Input_Product=Elig!$C518,Elig_MatchAll_Ct&lt;22,$BC518=(Elig_MatchAll_Ct-1),AK518=0),H518,0)</f>
        <v>0</v>
      </c>
      <c r="BN518" s="214">
        <f>IF(AND(Input_Product=Elig!$C518,Elig_MatchAll_Ct&lt;22,$BC518=(Elig_MatchAll_Ct-1),AL518=0),I518,0)</f>
        <v>0</v>
      </c>
      <c r="BO518" s="214">
        <f>IF(AND(Input_Product=Elig!$C518,Elig_MatchAll_Ct&lt;22,$BC518=(Elig_MatchAll_Ct-1),AM518=0),J518,0)</f>
        <v>0</v>
      </c>
      <c r="BP518" s="214">
        <f>IF(AND(Input_Product=Elig!$C518,Elig_MatchAll_Ct&lt;22,$BC518=(Elig_MatchAll_Ct-1),AN518=0),K518,0)</f>
        <v>0</v>
      </c>
      <c r="BQ518" s="214">
        <f>IF(AND(Input_Product=Elig!$C518,Elig_MatchAll_Ct&lt;22,$BC518=(Elig_MatchAll_Ct-1),AP518=0),L518,0)</f>
        <v>0</v>
      </c>
      <c r="BR518" s="214">
        <f>IF(AND(Input_Product=Elig!$C518,Elig_MatchAll_Ct&lt;22,$BC518=(Elig_MatchAll_Ct-1),AO518=0),M518,0)</f>
        <v>0</v>
      </c>
      <c r="BS518" s="214">
        <f>IF(AND(Input_Product=Elig!$C518,Elig_MatchAll_Ct&lt;22,$BC518=(Elig_MatchAll_Ct-1),AQ518=0),N518,0)</f>
        <v>0</v>
      </c>
      <c r="BT518" s="214">
        <f>IF(AND(Input_Product=Elig!$C518,Elig_MatchAll_Ct&lt;22,$BC518=(Elig_MatchAll_Ct-1),AR518=0),O518,0)</f>
        <v>0</v>
      </c>
      <c r="BU518" s="214">
        <f>IF(AND(Input_Product=Elig!$C518,Elig_MatchAll_Ct&lt;22,$BC518=(Elig_MatchAll_Ct-1),AS518=0),P518,0)</f>
        <v>0</v>
      </c>
      <c r="BV518" s="215">
        <f>IF(AND(Input_Product=Elig!$C518,Elig_MatchAll_Ct&lt;22,$BC518=(Elig_MatchAll_Ct-1),AT518=0),Q518,0)</f>
        <v>0</v>
      </c>
      <c r="BW518" s="311">
        <f>IF(AND(Input_Product=Elig!$C518,Elig_MatchAll_Ct&lt;22,$BC518=(Elig_MatchAll_Ct-1),AU518=0),R518,0)</f>
        <v>0</v>
      </c>
      <c r="BX518" s="312">
        <f>IF(AND(Input_Product=Elig!$C518,Elig_MatchAll_Ct&lt;22,$BC518=(Elig_MatchAll_Ct-1),AU518=0),S518,0)</f>
        <v>0</v>
      </c>
      <c r="BY518" s="311">
        <f>IF(AND(Input_Product=Elig!$C518,Elig_MatchAll_Ct&lt;22,$BC518=(Elig_MatchAll_Ct-1),AV518=0),T518,0)</f>
        <v>0</v>
      </c>
      <c r="BZ518" s="312">
        <f>IF(AND(Input_Product=Elig!$C518,Elig_MatchAll_Ct&lt;22,$BC518=(Elig_MatchAll_Ct-1),AV518=0),U518,0)</f>
        <v>0</v>
      </c>
      <c r="CA518" s="311">
        <f>IF(AND(Input_Product=Elig!$C518,Elig_MatchAll_Ct&lt;22,$BC518=(Elig_MatchAll_Ct-1),AW518=0),V518,0)</f>
        <v>0</v>
      </c>
      <c r="CB518" s="312">
        <f>IF(AND(Input_Product=Elig!$C518,Elig_MatchAll_Ct&lt;22,$BC518=(Elig_MatchAll_Ct-1),AW518=0),W518,0)</f>
        <v>0</v>
      </c>
      <c r="CC518" s="311">
        <f>IF(AND(Input_Product=Elig!$C518,Elig_MatchAll_Ct&lt;22,$BC518=(Elig_MatchAll_Ct-1),AX518=0),X518,0)</f>
        <v>0</v>
      </c>
      <c r="CD518" s="312">
        <f>IF(AND(Input_Product=Elig!$C518,Elig_MatchAll_Ct&lt;22,$BC518=(Elig_MatchAll_Ct-1),AX518=0),Y518,0)</f>
        <v>0</v>
      </c>
      <c r="CE518" s="311">
        <f>IF(AND(Input_LTV&lt;=AE518,Input_Product=Elig!$C518,Elig_MatchAll_Ct&lt;22,$BC518=(Elig_MatchAll_Ct-1),AY518=0),Z518,0)</f>
        <v>0</v>
      </c>
      <c r="CF518" s="312">
        <f>IF(AND(Input_LTV&lt;=AE518,Input_Product=Elig!$C518,Elig_MatchAll_Ct&lt;22,$BC518=(Elig_MatchAll_Ct-1),AY518=0),AA518,0)</f>
        <v>0</v>
      </c>
      <c r="CG518" s="311">
        <f>IF(AND(Input_Product=Elig!$C518,Elig_MatchAll_Ct&lt;22,$BC518=(Elig_MatchAll_Ct-1),AZ518=0),AB518,0)</f>
        <v>0</v>
      </c>
      <c r="CH518" s="312">
        <f>IF(AND(Input_Product=Elig!$C518,Elig_MatchAll_Ct&lt;22,$BC518=(Elig_MatchAll_Ct-1),AZ518=0),AC518,0)</f>
        <v>0</v>
      </c>
      <c r="CI518" s="311">
        <f>IF(AND(Input_Product=Elig!$C518,Elig_MatchAll_Ct&lt;22,$BC518=(Elig_MatchAll_Ct-1),BA518=0),AD518,0)</f>
        <v>0</v>
      </c>
      <c r="CJ518" s="312">
        <f>IF(AND(Input_Product=Elig!$C518,Elig_MatchAll_Ct&lt;22,$BC518=(Elig_MatchAll_Ct-1),BA518=0),AE518,0)</f>
        <v>0</v>
      </c>
    </row>
    <row r="519" spans="2:88" ht="10.15" customHeight="1" x14ac:dyDescent="0.25">
      <c r="B519" s="287" t="s">
        <v>4010</v>
      </c>
      <c r="C519" s="281" t="str">
        <f t="shared" si="175"/>
        <v>NonQM NOO</v>
      </c>
      <c r="D519" s="282" t="s">
        <v>3885</v>
      </c>
      <c r="E519" s="283" t="s">
        <v>167</v>
      </c>
      <c r="F519" s="283" t="s">
        <v>330</v>
      </c>
      <c r="G519" s="283" t="s">
        <v>179</v>
      </c>
      <c r="H519" s="283" t="s">
        <v>136</v>
      </c>
      <c r="I519" s="282" t="s">
        <v>274</v>
      </c>
      <c r="J519" s="282" t="s">
        <v>1311</v>
      </c>
      <c r="K519" s="282" t="s">
        <v>1631</v>
      </c>
      <c r="L519" s="2103" t="s">
        <v>312</v>
      </c>
      <c r="M519" s="283" t="s">
        <v>4203</v>
      </c>
      <c r="N519" s="283" t="s">
        <v>2685</v>
      </c>
      <c r="O519" s="283" t="s">
        <v>310</v>
      </c>
      <c r="P519" s="283" t="s">
        <v>291</v>
      </c>
      <c r="Q519" s="283" t="s">
        <v>294</v>
      </c>
      <c r="R519" s="282">
        <v>2000000.01</v>
      </c>
      <c r="S519" s="323">
        <v>2500000</v>
      </c>
      <c r="T519" s="282">
        <v>0</v>
      </c>
      <c r="U519" s="282">
        <v>0</v>
      </c>
      <c r="V519" s="282">
        <v>0</v>
      </c>
      <c r="W519" s="282">
        <v>50</v>
      </c>
      <c r="X519" s="282">
        <v>0</v>
      </c>
      <c r="Y519" s="282">
        <v>999</v>
      </c>
      <c r="Z519" s="284">
        <v>720</v>
      </c>
      <c r="AA519" s="284">
        <v>999</v>
      </c>
      <c r="AB519" s="284">
        <v>9</v>
      </c>
      <c r="AC519" s="284">
        <v>999999</v>
      </c>
      <c r="AD519" s="282">
        <v>0</v>
      </c>
      <c r="AE519" s="285">
        <v>65</v>
      </c>
      <c r="AF519" s="170">
        <v>0</v>
      </c>
      <c r="AG519" s="171">
        <v>1</v>
      </c>
      <c r="AH519" s="171">
        <v>1</v>
      </c>
      <c r="AI519" s="171">
        <v>0</v>
      </c>
      <c r="AJ519" s="171">
        <v>0</v>
      </c>
      <c r="AK519" s="171">
        <v>1</v>
      </c>
      <c r="AL519" s="171">
        <v>0</v>
      </c>
      <c r="AM519" s="171">
        <v>1</v>
      </c>
      <c r="AN519" s="171">
        <v>1</v>
      </c>
      <c r="AO519" s="171">
        <v>1</v>
      </c>
      <c r="AP519" s="171">
        <v>1</v>
      </c>
      <c r="AQ519" s="171">
        <v>1</v>
      </c>
      <c r="AR519" s="171">
        <v>1</v>
      </c>
      <c r="AS519" s="171">
        <v>1</v>
      </c>
      <c r="AT519" s="171">
        <v>1</v>
      </c>
      <c r="AU519" s="171">
        <f t="shared" si="183"/>
        <v>0</v>
      </c>
      <c r="AV519" s="171">
        <f t="shared" si="184"/>
        <v>0</v>
      </c>
      <c r="AW519" s="171">
        <f t="shared" si="185"/>
        <v>1</v>
      </c>
      <c r="AX519" s="171">
        <f t="shared" si="197"/>
        <v>1</v>
      </c>
      <c r="AY519" s="171">
        <f t="shared" si="186"/>
        <v>1</v>
      </c>
      <c r="AZ519" s="171">
        <f t="shared" si="187"/>
        <v>1</v>
      </c>
      <c r="BA519" s="172">
        <f t="shared" si="188"/>
        <v>1</v>
      </c>
      <c r="BB519" s="175">
        <f t="shared" si="190"/>
        <v>16</v>
      </c>
      <c r="BC519" s="176">
        <f t="shared" si="191"/>
        <v>15</v>
      </c>
      <c r="BD519" s="176">
        <f t="shared" si="192"/>
        <v>16</v>
      </c>
      <c r="BE519" s="240" t="str">
        <f t="shared" ref="BE519:BE582" si="215">IF(BD519=21,C519,"")</f>
        <v/>
      </c>
      <c r="BH519" s="210">
        <f>IF(AND(Input_Product=Elig!$C519,Elig_MatchAll_Ct&lt;22,$BC519=(Elig_MatchAll_Ct-1),AF519=0),C519,0)</f>
        <v>0</v>
      </c>
      <c r="BI519" s="210">
        <f>IF(AND(Input_Product=Elig!$C519,Elig_MatchAll_Ct&lt;22,$BC519=(Elig_MatchAll_Ct-1),AG519=0),D519,0)</f>
        <v>0</v>
      </c>
      <c r="BJ519" s="210">
        <f>IF(AND(Input_Product=Elig!$C519,Elig_MatchAll_Ct&lt;22,$BC519=(Elig_MatchAll_Ct-1),AH519=0),E519,0)</f>
        <v>0</v>
      </c>
      <c r="BK519" s="210">
        <f>IF(AND(Input_Product=Elig!$C519,Elig_MatchAll_Ct&lt;22,$BC519=(Elig_MatchAll_Ct-1),AI519=0),F519,0)</f>
        <v>0</v>
      </c>
      <c r="BL519" s="210">
        <f>IF(AND(Input_Product=Elig!$C519,Elig_MatchAll_Ct&lt;22,$BC519=(Elig_MatchAll_Ct-1),AJ519=0),G519,0)</f>
        <v>0</v>
      </c>
      <c r="BM519" s="210">
        <f>IF(AND(Input_Product=Elig!$C519,Elig_MatchAll_Ct&lt;22,$BC519=(Elig_MatchAll_Ct-1),AK519=0),H519,0)</f>
        <v>0</v>
      </c>
      <c r="BN519" s="210">
        <f>IF(AND(Input_Product=Elig!$C519,Elig_MatchAll_Ct&lt;22,$BC519=(Elig_MatchAll_Ct-1),AL519=0),I519,0)</f>
        <v>0</v>
      </c>
      <c r="BO519" s="210">
        <f>IF(AND(Input_Product=Elig!$C519,Elig_MatchAll_Ct&lt;22,$BC519=(Elig_MatchAll_Ct-1),AM519=0),J519,0)</f>
        <v>0</v>
      </c>
      <c r="BP519" s="210">
        <f>IF(AND(Input_Product=Elig!$C519,Elig_MatchAll_Ct&lt;22,$BC519=(Elig_MatchAll_Ct-1),AN519=0),K519,0)</f>
        <v>0</v>
      </c>
      <c r="BQ519" s="210">
        <f>IF(AND(Input_Product=Elig!$C519,Elig_MatchAll_Ct&lt;22,$BC519=(Elig_MatchAll_Ct-1),AP519=0),L519,0)</f>
        <v>0</v>
      </c>
      <c r="BR519" s="210">
        <f>IF(AND(Input_Product=Elig!$C519,Elig_MatchAll_Ct&lt;22,$BC519=(Elig_MatchAll_Ct-1),AO519=0),M519,0)</f>
        <v>0</v>
      </c>
      <c r="BS519" s="210">
        <f>IF(AND(Input_Product=Elig!$C519,Elig_MatchAll_Ct&lt;22,$BC519=(Elig_MatchAll_Ct-1),AQ519=0),N519,0)</f>
        <v>0</v>
      </c>
      <c r="BT519" s="210">
        <f>IF(AND(Input_Product=Elig!$C519,Elig_MatchAll_Ct&lt;22,$BC519=(Elig_MatchAll_Ct-1),AR519=0),O519,0)</f>
        <v>0</v>
      </c>
      <c r="BU519" s="210">
        <f>IF(AND(Input_Product=Elig!$C519,Elig_MatchAll_Ct&lt;22,$BC519=(Elig_MatchAll_Ct-1),AS519=0),P519,0)</f>
        <v>0</v>
      </c>
      <c r="BV519" s="211">
        <f>IF(AND(Input_Product=Elig!$C519,Elig_MatchAll_Ct&lt;22,$BC519=(Elig_MatchAll_Ct-1),AT519=0),Q519,0)</f>
        <v>0</v>
      </c>
      <c r="BW519" s="212">
        <f>IF(AND(Input_Product=Elig!$C519,Elig_MatchAll_Ct&lt;22,$BC519=(Elig_MatchAll_Ct-1),AU519=0),R519,0)</f>
        <v>0</v>
      </c>
      <c r="BX519" s="213">
        <f>IF(AND(Input_Product=Elig!$C519,Elig_MatchAll_Ct&lt;22,$BC519=(Elig_MatchAll_Ct-1),AU519=0),S519,0)</f>
        <v>0</v>
      </c>
      <c r="BY519" s="212">
        <f>IF(AND(Input_Product=Elig!$C519,Elig_MatchAll_Ct&lt;22,$BC519=(Elig_MatchAll_Ct-1),AV519=0),T519,0)</f>
        <v>0</v>
      </c>
      <c r="BZ519" s="213">
        <f>IF(AND(Input_Product=Elig!$C519,Elig_MatchAll_Ct&lt;22,$BC519=(Elig_MatchAll_Ct-1),AV519=0),U519,0)</f>
        <v>0</v>
      </c>
      <c r="CA519" s="212">
        <f>IF(AND(Input_Product=Elig!$C519,Elig_MatchAll_Ct&lt;22,$BC519=(Elig_MatchAll_Ct-1),AW519=0),V519,0)</f>
        <v>0</v>
      </c>
      <c r="CB519" s="213">
        <f>IF(AND(Input_Product=Elig!$C519,Elig_MatchAll_Ct&lt;22,$BC519=(Elig_MatchAll_Ct-1),AW519=0),W519,0)</f>
        <v>0</v>
      </c>
      <c r="CC519" s="212">
        <f>IF(AND(Input_Product=Elig!$C519,Elig_MatchAll_Ct&lt;22,$BC519=(Elig_MatchAll_Ct-1),AX519=0),X519,0)</f>
        <v>0</v>
      </c>
      <c r="CD519" s="213">
        <f>IF(AND(Input_Product=Elig!$C519,Elig_MatchAll_Ct&lt;22,$BC519=(Elig_MatchAll_Ct-1),AX519=0),Y519,0)</f>
        <v>0</v>
      </c>
      <c r="CE519" s="212">
        <f>IF(AND(Input_LTV&lt;=AE519,Input_Product=Elig!$C519,Elig_MatchAll_Ct&lt;22,$BC519=(Elig_MatchAll_Ct-1),AY519=0),Z519,0)</f>
        <v>0</v>
      </c>
      <c r="CF519" s="213">
        <f>IF(AND(Input_LTV&lt;=AE519,Input_Product=Elig!$C519,Elig_MatchAll_Ct&lt;22,$BC519=(Elig_MatchAll_Ct-1),AY519=0),AA519,0)</f>
        <v>0</v>
      </c>
      <c r="CG519" s="212">
        <f>IF(AND(Input_Product=Elig!$C519,Elig_MatchAll_Ct&lt;22,$BC519=(Elig_MatchAll_Ct-1),AZ519=0),AB519,0)</f>
        <v>0</v>
      </c>
      <c r="CH519" s="213">
        <f>IF(AND(Input_Product=Elig!$C519,Elig_MatchAll_Ct&lt;22,$BC519=(Elig_MatchAll_Ct-1),AZ519=0),AC519,0)</f>
        <v>0</v>
      </c>
      <c r="CI519" s="212">
        <f>IF(AND(Input_Product=Elig!$C519,Elig_MatchAll_Ct&lt;22,$BC519=(Elig_MatchAll_Ct-1),BA519=0),AD519,0)</f>
        <v>0</v>
      </c>
      <c r="CJ519" s="213">
        <f>IF(AND(Input_Product=Elig!$C519,Elig_MatchAll_Ct&lt;22,$BC519=(Elig_MatchAll_Ct-1),BA519=0),AE519,0)</f>
        <v>0</v>
      </c>
    </row>
    <row r="520" spans="2:88" ht="10.15" customHeight="1" x14ac:dyDescent="0.25">
      <c r="B520" s="287" t="s">
        <v>4011</v>
      </c>
      <c r="C520" s="286" t="str">
        <f t="shared" si="175"/>
        <v>NonQM NOO</v>
      </c>
      <c r="D520" s="287" t="s">
        <v>3885</v>
      </c>
      <c r="E520" s="287" t="s">
        <v>167</v>
      </c>
      <c r="F520" s="287" t="s">
        <v>330</v>
      </c>
      <c r="G520" s="287" t="s">
        <v>179</v>
      </c>
      <c r="H520" s="287" t="s">
        <v>136</v>
      </c>
      <c r="I520" s="288" t="s">
        <v>274</v>
      </c>
      <c r="J520" s="288" t="s">
        <v>1311</v>
      </c>
      <c r="K520" s="288" t="s">
        <v>1631</v>
      </c>
      <c r="L520" s="300" t="s">
        <v>312</v>
      </c>
      <c r="M520" s="287" t="s">
        <v>4203</v>
      </c>
      <c r="N520" s="287" t="s">
        <v>2685</v>
      </c>
      <c r="O520" s="287" t="s">
        <v>310</v>
      </c>
      <c r="P520" s="287" t="s">
        <v>291</v>
      </c>
      <c r="Q520" s="287" t="s">
        <v>294</v>
      </c>
      <c r="R520" s="287">
        <v>2000000.01</v>
      </c>
      <c r="S520" s="300">
        <v>2500000</v>
      </c>
      <c r="T520" s="287">
        <v>0</v>
      </c>
      <c r="U520" s="287">
        <v>0</v>
      </c>
      <c r="V520" s="287">
        <v>0</v>
      </c>
      <c r="W520" s="287">
        <v>50</v>
      </c>
      <c r="X520" s="287">
        <v>0</v>
      </c>
      <c r="Y520" s="287">
        <v>999</v>
      </c>
      <c r="Z520" s="289">
        <v>700</v>
      </c>
      <c r="AA520" s="289">
        <v>719</v>
      </c>
      <c r="AB520" s="289">
        <v>9</v>
      </c>
      <c r="AC520" s="289">
        <v>999999</v>
      </c>
      <c r="AD520" s="287">
        <v>0</v>
      </c>
      <c r="AE520" s="290">
        <v>65</v>
      </c>
      <c r="AF520" s="170">
        <v>0</v>
      </c>
      <c r="AG520" s="171">
        <v>1</v>
      </c>
      <c r="AH520" s="171">
        <v>1</v>
      </c>
      <c r="AI520" s="171">
        <v>0</v>
      </c>
      <c r="AJ520" s="171">
        <v>0</v>
      </c>
      <c r="AK520" s="171">
        <v>1</v>
      </c>
      <c r="AL520" s="171">
        <v>0</v>
      </c>
      <c r="AM520" s="171">
        <v>1</v>
      </c>
      <c r="AN520" s="171">
        <v>1</v>
      </c>
      <c r="AO520" s="171">
        <v>1</v>
      </c>
      <c r="AP520" s="171">
        <v>1</v>
      </c>
      <c r="AQ520" s="171">
        <v>1</v>
      </c>
      <c r="AR520" s="171">
        <v>1</v>
      </c>
      <c r="AS520" s="171">
        <v>1</v>
      </c>
      <c r="AT520" s="171">
        <v>1</v>
      </c>
      <c r="AU520" s="171">
        <f t="shared" si="183"/>
        <v>0</v>
      </c>
      <c r="AV520" s="171">
        <f t="shared" si="184"/>
        <v>0</v>
      </c>
      <c r="AW520" s="171">
        <f t="shared" si="185"/>
        <v>1</v>
      </c>
      <c r="AX520" s="171">
        <f t="shared" si="197"/>
        <v>1</v>
      </c>
      <c r="AY520" s="171">
        <f t="shared" si="186"/>
        <v>0</v>
      </c>
      <c r="AZ520" s="171">
        <f t="shared" si="187"/>
        <v>1</v>
      </c>
      <c r="BA520" s="172">
        <f t="shared" si="188"/>
        <v>1</v>
      </c>
      <c r="BB520" s="175">
        <f t="shared" si="190"/>
        <v>15</v>
      </c>
      <c r="BC520" s="176">
        <f t="shared" si="191"/>
        <v>14</v>
      </c>
      <c r="BD520" s="176">
        <f t="shared" si="192"/>
        <v>15</v>
      </c>
      <c r="BE520" s="240" t="str">
        <f t="shared" si="215"/>
        <v/>
      </c>
      <c r="BH520" s="199">
        <f>IF(AND(Input_Product=Elig!$C520,Elig_MatchAll_Ct&lt;22,$BC520=(Elig_MatchAll_Ct-1),AF520=0),C520,0)</f>
        <v>0</v>
      </c>
      <c r="BI520" s="199">
        <f>IF(AND(Input_Product=Elig!$C520,Elig_MatchAll_Ct&lt;22,$BC520=(Elig_MatchAll_Ct-1),AG520=0),D520,0)</f>
        <v>0</v>
      </c>
      <c r="BJ520" s="199">
        <f>IF(AND(Input_Product=Elig!$C520,Elig_MatchAll_Ct&lt;22,$BC520=(Elig_MatchAll_Ct-1),AH520=0),E520,0)</f>
        <v>0</v>
      </c>
      <c r="BK520" s="199">
        <f>IF(AND(Input_Product=Elig!$C520,Elig_MatchAll_Ct&lt;22,$BC520=(Elig_MatchAll_Ct-1),AI520=0),F520,0)</f>
        <v>0</v>
      </c>
      <c r="BL520" s="199">
        <f>IF(AND(Input_Product=Elig!$C520,Elig_MatchAll_Ct&lt;22,$BC520=(Elig_MatchAll_Ct-1),AJ520=0),G520,0)</f>
        <v>0</v>
      </c>
      <c r="BM520" s="199">
        <f>IF(AND(Input_Product=Elig!$C520,Elig_MatchAll_Ct&lt;22,$BC520=(Elig_MatchAll_Ct-1),AK520=0),H520,0)</f>
        <v>0</v>
      </c>
      <c r="BN520" s="199">
        <f>IF(AND(Input_Product=Elig!$C520,Elig_MatchAll_Ct&lt;22,$BC520=(Elig_MatchAll_Ct-1),AL520=0),I520,0)</f>
        <v>0</v>
      </c>
      <c r="BO520" s="199">
        <f>IF(AND(Input_Product=Elig!$C520,Elig_MatchAll_Ct&lt;22,$BC520=(Elig_MatchAll_Ct-1),AM520=0),J520,0)</f>
        <v>0</v>
      </c>
      <c r="BP520" s="199">
        <f>IF(AND(Input_Product=Elig!$C520,Elig_MatchAll_Ct&lt;22,$BC520=(Elig_MatchAll_Ct-1),AN520=0),K520,0)</f>
        <v>0</v>
      </c>
      <c r="BQ520" s="199">
        <f>IF(AND(Input_Product=Elig!$C520,Elig_MatchAll_Ct&lt;22,$BC520=(Elig_MatchAll_Ct-1),AP520=0),L520,0)</f>
        <v>0</v>
      </c>
      <c r="BR520" s="199">
        <f>IF(AND(Input_Product=Elig!$C520,Elig_MatchAll_Ct&lt;22,$BC520=(Elig_MatchAll_Ct-1),AO520=0),M520,0)</f>
        <v>0</v>
      </c>
      <c r="BS520" s="199">
        <f>IF(AND(Input_Product=Elig!$C520,Elig_MatchAll_Ct&lt;22,$BC520=(Elig_MatchAll_Ct-1),AQ520=0),N520,0)</f>
        <v>0</v>
      </c>
      <c r="BT520" s="199">
        <f>IF(AND(Input_Product=Elig!$C520,Elig_MatchAll_Ct&lt;22,$BC520=(Elig_MatchAll_Ct-1),AR520=0),O520,0)</f>
        <v>0</v>
      </c>
      <c r="BU520" s="199">
        <f>IF(AND(Input_Product=Elig!$C520,Elig_MatchAll_Ct&lt;22,$BC520=(Elig_MatchAll_Ct-1),AS520=0),P520,0)</f>
        <v>0</v>
      </c>
      <c r="BV520" s="200">
        <f>IF(AND(Input_Product=Elig!$C520,Elig_MatchAll_Ct&lt;22,$BC520=(Elig_MatchAll_Ct-1),AT520=0),Q520,0)</f>
        <v>0</v>
      </c>
      <c r="BW520" s="201">
        <f>IF(AND(Input_Product=Elig!$C520,Elig_MatchAll_Ct&lt;22,$BC520=(Elig_MatchAll_Ct-1),AU520=0),R520,0)</f>
        <v>0</v>
      </c>
      <c r="BX520" s="202">
        <f>IF(AND(Input_Product=Elig!$C520,Elig_MatchAll_Ct&lt;22,$BC520=(Elig_MatchAll_Ct-1),AU520=0),S520,0)</f>
        <v>0</v>
      </c>
      <c r="BY520" s="201">
        <f>IF(AND(Input_Product=Elig!$C520,Elig_MatchAll_Ct&lt;22,$BC520=(Elig_MatchAll_Ct-1),AV520=0),T520,0)</f>
        <v>0</v>
      </c>
      <c r="BZ520" s="202">
        <f>IF(AND(Input_Product=Elig!$C520,Elig_MatchAll_Ct&lt;22,$BC520=(Elig_MatchAll_Ct-1),AV520=0),U520,0)</f>
        <v>0</v>
      </c>
      <c r="CA520" s="201">
        <f>IF(AND(Input_Product=Elig!$C520,Elig_MatchAll_Ct&lt;22,$BC520=(Elig_MatchAll_Ct-1),AW520=0),V520,0)</f>
        <v>0</v>
      </c>
      <c r="CB520" s="202">
        <f>IF(AND(Input_Product=Elig!$C520,Elig_MatchAll_Ct&lt;22,$BC520=(Elig_MatchAll_Ct-1),AW520=0),W520,0)</f>
        <v>0</v>
      </c>
      <c r="CC520" s="201">
        <f>IF(AND(Input_Product=Elig!$C520,Elig_MatchAll_Ct&lt;22,$BC520=(Elig_MatchAll_Ct-1),AX520=0),X520,0)</f>
        <v>0</v>
      </c>
      <c r="CD520" s="202">
        <f>IF(AND(Input_Product=Elig!$C520,Elig_MatchAll_Ct&lt;22,$BC520=(Elig_MatchAll_Ct-1),AX520=0),Y520,0)</f>
        <v>0</v>
      </c>
      <c r="CE520" s="201">
        <f>IF(AND(Input_LTV&lt;=AE520,Input_Product=Elig!$C520,Elig_MatchAll_Ct&lt;22,$BC520=(Elig_MatchAll_Ct-1),AY520=0),Z520,0)</f>
        <v>0</v>
      </c>
      <c r="CF520" s="202">
        <f>IF(AND(Input_LTV&lt;=AE520,Input_Product=Elig!$C520,Elig_MatchAll_Ct&lt;22,$BC520=(Elig_MatchAll_Ct-1),AY520=0),AA520,0)</f>
        <v>0</v>
      </c>
      <c r="CG520" s="201">
        <f>IF(AND(Input_Product=Elig!$C520,Elig_MatchAll_Ct&lt;22,$BC520=(Elig_MatchAll_Ct-1),AZ520=0),AB520,0)</f>
        <v>0</v>
      </c>
      <c r="CH520" s="202">
        <f>IF(AND(Input_Product=Elig!$C520,Elig_MatchAll_Ct&lt;22,$BC520=(Elig_MatchAll_Ct-1),AZ520=0),AC520,0)</f>
        <v>0</v>
      </c>
      <c r="CI520" s="201">
        <f>IF(AND(Input_Product=Elig!$C520,Elig_MatchAll_Ct&lt;22,$BC520=(Elig_MatchAll_Ct-1),BA520=0),AD520,0)</f>
        <v>0</v>
      </c>
      <c r="CJ520" s="202">
        <f>IF(AND(Input_Product=Elig!$C520,Elig_MatchAll_Ct&lt;22,$BC520=(Elig_MatchAll_Ct-1),BA520=0),AE520,0)</f>
        <v>0</v>
      </c>
    </row>
    <row r="521" spans="2:88" ht="10.15" customHeight="1" x14ac:dyDescent="0.25">
      <c r="B521" s="287" t="s">
        <v>4012</v>
      </c>
      <c r="C521" s="286" t="str">
        <f t="shared" si="175"/>
        <v>NonQM NOO</v>
      </c>
      <c r="D521" s="287" t="s">
        <v>3885</v>
      </c>
      <c r="E521" s="287" t="s">
        <v>167</v>
      </c>
      <c r="F521" s="287" t="s">
        <v>330</v>
      </c>
      <c r="G521" s="287" t="s">
        <v>179</v>
      </c>
      <c r="H521" s="287" t="s">
        <v>136</v>
      </c>
      <c r="I521" s="288" t="s">
        <v>274</v>
      </c>
      <c r="J521" s="288" t="s">
        <v>1311</v>
      </c>
      <c r="K521" s="288" t="s">
        <v>1631</v>
      </c>
      <c r="L521" s="300" t="s">
        <v>312</v>
      </c>
      <c r="M521" s="287" t="s">
        <v>4203</v>
      </c>
      <c r="N521" s="287" t="s">
        <v>2685</v>
      </c>
      <c r="O521" s="287" t="s">
        <v>310</v>
      </c>
      <c r="P521" s="287" t="s">
        <v>291</v>
      </c>
      <c r="Q521" s="287" t="s">
        <v>294</v>
      </c>
      <c r="R521" s="287">
        <v>2000000.01</v>
      </c>
      <c r="S521" s="300">
        <v>2500000</v>
      </c>
      <c r="T521" s="287">
        <v>0</v>
      </c>
      <c r="U521" s="287">
        <v>0</v>
      </c>
      <c r="V521" s="287">
        <v>0</v>
      </c>
      <c r="W521" s="287">
        <v>50</v>
      </c>
      <c r="X521" s="287">
        <v>0</v>
      </c>
      <c r="Y521" s="287">
        <v>999</v>
      </c>
      <c r="Z521" s="2101">
        <v>680</v>
      </c>
      <c r="AA521" s="2101">
        <v>699</v>
      </c>
      <c r="AB521" s="289">
        <v>9</v>
      </c>
      <c r="AC521" s="289">
        <v>999999</v>
      </c>
      <c r="AD521" s="287">
        <v>0</v>
      </c>
      <c r="AE521" s="290">
        <v>65</v>
      </c>
      <c r="AF521" s="170">
        <v>0</v>
      </c>
      <c r="AG521" s="171">
        <v>1</v>
      </c>
      <c r="AH521" s="171">
        <v>1</v>
      </c>
      <c r="AI521" s="171">
        <v>0</v>
      </c>
      <c r="AJ521" s="171">
        <v>0</v>
      </c>
      <c r="AK521" s="171">
        <v>1</v>
      </c>
      <c r="AL521" s="171">
        <v>0</v>
      </c>
      <c r="AM521" s="171">
        <v>1</v>
      </c>
      <c r="AN521" s="171">
        <v>1</v>
      </c>
      <c r="AO521" s="171">
        <v>1</v>
      </c>
      <c r="AP521" s="171">
        <v>1</v>
      </c>
      <c r="AQ521" s="171">
        <v>1</v>
      </c>
      <c r="AR521" s="171">
        <v>1</v>
      </c>
      <c r="AS521" s="171">
        <v>1</v>
      </c>
      <c r="AT521" s="171">
        <v>1</v>
      </c>
      <c r="AU521" s="171">
        <f t="shared" si="183"/>
        <v>0</v>
      </c>
      <c r="AV521" s="171">
        <f t="shared" si="184"/>
        <v>0</v>
      </c>
      <c r="AW521" s="171">
        <f t="shared" si="185"/>
        <v>1</v>
      </c>
      <c r="AX521" s="171">
        <f t="shared" si="197"/>
        <v>1</v>
      </c>
      <c r="AY521" s="171">
        <f t="shared" si="186"/>
        <v>0</v>
      </c>
      <c r="AZ521" s="171">
        <f t="shared" si="187"/>
        <v>1</v>
      </c>
      <c r="BA521" s="172">
        <f t="shared" si="188"/>
        <v>1</v>
      </c>
      <c r="BB521" s="175">
        <f t="shared" ref="BB521" si="216">SUM(AF521:BA521)</f>
        <v>15</v>
      </c>
      <c r="BC521" s="176">
        <f t="shared" ref="BC521" si="217">SUM(AF521:AZ521)</f>
        <v>14</v>
      </c>
      <c r="BD521" s="176">
        <f t="shared" ref="BD521" si="218">SUM(AG521:BA521)</f>
        <v>15</v>
      </c>
      <c r="BE521" s="240" t="str">
        <f t="shared" si="215"/>
        <v/>
      </c>
      <c r="BH521" s="199">
        <f>IF(AND(Input_Product=Elig!$C521,Elig_MatchAll_Ct&lt;22,$BC521=(Elig_MatchAll_Ct-1),AF521=0),C521,0)</f>
        <v>0</v>
      </c>
      <c r="BI521" s="199">
        <f>IF(AND(Input_Product=Elig!$C521,Elig_MatchAll_Ct&lt;22,$BC521=(Elig_MatchAll_Ct-1),AG521=0),D521,0)</f>
        <v>0</v>
      </c>
      <c r="BJ521" s="199">
        <f>IF(AND(Input_Product=Elig!$C521,Elig_MatchAll_Ct&lt;22,$BC521=(Elig_MatchAll_Ct-1),AH521=0),E521,0)</f>
        <v>0</v>
      </c>
      <c r="BK521" s="199">
        <f>IF(AND(Input_Product=Elig!$C521,Elig_MatchAll_Ct&lt;22,$BC521=(Elig_MatchAll_Ct-1),AI521=0),F521,0)</f>
        <v>0</v>
      </c>
      <c r="BL521" s="199">
        <f>IF(AND(Input_Product=Elig!$C521,Elig_MatchAll_Ct&lt;22,$BC521=(Elig_MatchAll_Ct-1),AJ521=0),G521,0)</f>
        <v>0</v>
      </c>
      <c r="BM521" s="199">
        <f>IF(AND(Input_Product=Elig!$C521,Elig_MatchAll_Ct&lt;22,$BC521=(Elig_MatchAll_Ct-1),AK521=0),H521,0)</f>
        <v>0</v>
      </c>
      <c r="BN521" s="199">
        <f>IF(AND(Input_Product=Elig!$C521,Elig_MatchAll_Ct&lt;22,$BC521=(Elig_MatchAll_Ct-1),AL521=0),I521,0)</f>
        <v>0</v>
      </c>
      <c r="BO521" s="199">
        <f>IF(AND(Input_Product=Elig!$C521,Elig_MatchAll_Ct&lt;22,$BC521=(Elig_MatchAll_Ct-1),AM521=0),J521,0)</f>
        <v>0</v>
      </c>
      <c r="BP521" s="199">
        <f>IF(AND(Input_Product=Elig!$C521,Elig_MatchAll_Ct&lt;22,$BC521=(Elig_MatchAll_Ct-1),AN521=0),K521,0)</f>
        <v>0</v>
      </c>
      <c r="BQ521" s="199">
        <f>IF(AND(Input_Product=Elig!$C521,Elig_MatchAll_Ct&lt;22,$BC521=(Elig_MatchAll_Ct-1),AP521=0),L521,0)</f>
        <v>0</v>
      </c>
      <c r="BR521" s="199">
        <f>IF(AND(Input_Product=Elig!$C521,Elig_MatchAll_Ct&lt;22,$BC521=(Elig_MatchAll_Ct-1),AO521=0),M521,0)</f>
        <v>0</v>
      </c>
      <c r="BS521" s="199">
        <f>IF(AND(Input_Product=Elig!$C521,Elig_MatchAll_Ct&lt;22,$BC521=(Elig_MatchAll_Ct-1),AQ521=0),N521,0)</f>
        <v>0</v>
      </c>
      <c r="BT521" s="199">
        <f>IF(AND(Input_Product=Elig!$C521,Elig_MatchAll_Ct&lt;22,$BC521=(Elig_MatchAll_Ct-1),AR521=0),O521,0)</f>
        <v>0</v>
      </c>
      <c r="BU521" s="199">
        <f>IF(AND(Input_Product=Elig!$C521,Elig_MatchAll_Ct&lt;22,$BC521=(Elig_MatchAll_Ct-1),AS521=0),P521,0)</f>
        <v>0</v>
      </c>
      <c r="BV521" s="200">
        <f>IF(AND(Input_Product=Elig!$C521,Elig_MatchAll_Ct&lt;22,$BC521=(Elig_MatchAll_Ct-1),AT521=0),Q521,0)</f>
        <v>0</v>
      </c>
      <c r="BW521" s="201">
        <f>IF(AND(Input_Product=Elig!$C521,Elig_MatchAll_Ct&lt;22,$BC521=(Elig_MatchAll_Ct-1),AU521=0),R521,0)</f>
        <v>0</v>
      </c>
      <c r="BX521" s="202">
        <f>IF(AND(Input_Product=Elig!$C521,Elig_MatchAll_Ct&lt;22,$BC521=(Elig_MatchAll_Ct-1),AU521=0),S521,0)</f>
        <v>0</v>
      </c>
      <c r="BY521" s="201">
        <f>IF(AND(Input_Product=Elig!$C521,Elig_MatchAll_Ct&lt;22,$BC521=(Elig_MatchAll_Ct-1),AV521=0),T521,0)</f>
        <v>0</v>
      </c>
      <c r="BZ521" s="202">
        <f>IF(AND(Input_Product=Elig!$C521,Elig_MatchAll_Ct&lt;22,$BC521=(Elig_MatchAll_Ct-1),AV521=0),U521,0)</f>
        <v>0</v>
      </c>
      <c r="CA521" s="201">
        <f>IF(AND(Input_Product=Elig!$C521,Elig_MatchAll_Ct&lt;22,$BC521=(Elig_MatchAll_Ct-1),AW521=0),V521,0)</f>
        <v>0</v>
      </c>
      <c r="CB521" s="202">
        <f>IF(AND(Input_Product=Elig!$C521,Elig_MatchAll_Ct&lt;22,$BC521=(Elig_MatchAll_Ct-1),AW521=0),W521,0)</f>
        <v>0</v>
      </c>
      <c r="CC521" s="201">
        <f>IF(AND(Input_Product=Elig!$C521,Elig_MatchAll_Ct&lt;22,$BC521=(Elig_MatchAll_Ct-1),AX521=0),X521,0)</f>
        <v>0</v>
      </c>
      <c r="CD521" s="202">
        <f>IF(AND(Input_Product=Elig!$C521,Elig_MatchAll_Ct&lt;22,$BC521=(Elig_MatchAll_Ct-1),AX521=0),Y521,0)</f>
        <v>0</v>
      </c>
      <c r="CE521" s="201">
        <f>IF(AND(Input_LTV&lt;=AE521,Input_Product=Elig!$C521,Elig_MatchAll_Ct&lt;22,$BC521=(Elig_MatchAll_Ct-1),AY521=0),Z521,0)</f>
        <v>0</v>
      </c>
      <c r="CF521" s="202">
        <f>IF(AND(Input_LTV&lt;=AE521,Input_Product=Elig!$C521,Elig_MatchAll_Ct&lt;22,$BC521=(Elig_MatchAll_Ct-1),AY521=0),AA521,0)</f>
        <v>0</v>
      </c>
      <c r="CG521" s="201">
        <f>IF(AND(Input_Product=Elig!$C521,Elig_MatchAll_Ct&lt;22,$BC521=(Elig_MatchAll_Ct-1),AZ521=0),AB521,0)</f>
        <v>0</v>
      </c>
      <c r="CH521" s="202">
        <f>IF(AND(Input_Product=Elig!$C521,Elig_MatchAll_Ct&lt;22,$BC521=(Elig_MatchAll_Ct-1),AZ521=0),AC521,0)</f>
        <v>0</v>
      </c>
      <c r="CI521" s="201">
        <f>IF(AND(Input_Product=Elig!$C521,Elig_MatchAll_Ct&lt;22,$BC521=(Elig_MatchAll_Ct-1),BA521=0),AD521,0)</f>
        <v>0</v>
      </c>
      <c r="CJ521" s="202">
        <f>IF(AND(Input_Product=Elig!$C521,Elig_MatchAll_Ct&lt;22,$BC521=(Elig_MatchAll_Ct-1),BA521=0),AE521,0)</f>
        <v>0</v>
      </c>
    </row>
    <row r="522" spans="2:88" ht="10.15" customHeight="1" x14ac:dyDescent="0.25">
      <c r="B522" s="287" t="s">
        <v>4013</v>
      </c>
      <c r="C522" s="291" t="str">
        <f t="shared" si="175"/>
        <v>NonQM NOO</v>
      </c>
      <c r="D522" s="292" t="s">
        <v>3885</v>
      </c>
      <c r="E522" s="292" t="s">
        <v>167</v>
      </c>
      <c r="F522" s="292" t="s">
        <v>330</v>
      </c>
      <c r="G522" s="292" t="s">
        <v>179</v>
      </c>
      <c r="H522" s="292" t="s">
        <v>136</v>
      </c>
      <c r="I522" s="295" t="s">
        <v>274</v>
      </c>
      <c r="J522" s="295" t="s">
        <v>1311</v>
      </c>
      <c r="K522" s="295" t="s">
        <v>1631</v>
      </c>
      <c r="L522" s="324" t="s">
        <v>312</v>
      </c>
      <c r="M522" s="292" t="s">
        <v>4203</v>
      </c>
      <c r="N522" s="292" t="s">
        <v>2685</v>
      </c>
      <c r="O522" s="292" t="s">
        <v>310</v>
      </c>
      <c r="P522" s="292" t="s">
        <v>291</v>
      </c>
      <c r="Q522" s="292" t="s">
        <v>294</v>
      </c>
      <c r="R522" s="292">
        <v>2000000.01</v>
      </c>
      <c r="S522" s="324">
        <v>2500000</v>
      </c>
      <c r="T522" s="292">
        <v>0</v>
      </c>
      <c r="U522" s="292">
        <v>0</v>
      </c>
      <c r="V522" s="292">
        <v>0</v>
      </c>
      <c r="W522" s="292">
        <v>50</v>
      </c>
      <c r="X522" s="292">
        <v>0</v>
      </c>
      <c r="Y522" s="292">
        <v>999</v>
      </c>
      <c r="Z522" s="2102">
        <v>660</v>
      </c>
      <c r="AA522" s="2102">
        <v>679</v>
      </c>
      <c r="AB522" s="293">
        <v>9</v>
      </c>
      <c r="AC522" s="293">
        <v>999999</v>
      </c>
      <c r="AD522" s="292">
        <v>0</v>
      </c>
      <c r="AE522" s="294">
        <v>65</v>
      </c>
      <c r="AF522" s="170">
        <v>0</v>
      </c>
      <c r="AG522" s="171">
        <v>1</v>
      </c>
      <c r="AH522" s="171">
        <v>1</v>
      </c>
      <c r="AI522" s="171">
        <v>0</v>
      </c>
      <c r="AJ522" s="171">
        <v>0</v>
      </c>
      <c r="AK522" s="171">
        <v>1</v>
      </c>
      <c r="AL522" s="171">
        <v>0</v>
      </c>
      <c r="AM522" s="171">
        <v>1</v>
      </c>
      <c r="AN522" s="171">
        <v>1</v>
      </c>
      <c r="AO522" s="171">
        <v>1</v>
      </c>
      <c r="AP522" s="171">
        <v>1</v>
      </c>
      <c r="AQ522" s="171">
        <v>1</v>
      </c>
      <c r="AR522" s="171">
        <v>1</v>
      </c>
      <c r="AS522" s="171">
        <v>1</v>
      </c>
      <c r="AT522" s="171">
        <v>1</v>
      </c>
      <c r="AU522" s="171">
        <f t="shared" si="183"/>
        <v>0</v>
      </c>
      <c r="AV522" s="171">
        <f t="shared" si="184"/>
        <v>0</v>
      </c>
      <c r="AW522" s="171">
        <f t="shared" si="185"/>
        <v>1</v>
      </c>
      <c r="AX522" s="171">
        <f t="shared" si="197"/>
        <v>1</v>
      </c>
      <c r="AY522" s="171">
        <f t="shared" si="186"/>
        <v>0</v>
      </c>
      <c r="AZ522" s="171">
        <f t="shared" si="187"/>
        <v>1</v>
      </c>
      <c r="BA522" s="172">
        <f t="shared" si="188"/>
        <v>1</v>
      </c>
      <c r="BB522" s="175">
        <f t="shared" si="190"/>
        <v>15</v>
      </c>
      <c r="BC522" s="176">
        <f t="shared" si="191"/>
        <v>14</v>
      </c>
      <c r="BD522" s="176">
        <f t="shared" si="192"/>
        <v>15</v>
      </c>
      <c r="BE522" s="240" t="str">
        <f t="shared" si="215"/>
        <v/>
      </c>
      <c r="BH522" s="214">
        <f>IF(AND(Input_Product=Elig!$C522,Elig_MatchAll_Ct&lt;22,$BC522=(Elig_MatchAll_Ct-1),AF522=0),C522,0)</f>
        <v>0</v>
      </c>
      <c r="BI522" s="214">
        <f>IF(AND(Input_Product=Elig!$C522,Elig_MatchAll_Ct&lt;22,$BC522=(Elig_MatchAll_Ct-1),AG522=0),D522,0)</f>
        <v>0</v>
      </c>
      <c r="BJ522" s="214">
        <f>IF(AND(Input_Product=Elig!$C522,Elig_MatchAll_Ct&lt;22,$BC522=(Elig_MatchAll_Ct-1),AH522=0),E522,0)</f>
        <v>0</v>
      </c>
      <c r="BK522" s="214">
        <f>IF(AND(Input_Product=Elig!$C522,Elig_MatchAll_Ct&lt;22,$BC522=(Elig_MatchAll_Ct-1),AI522=0),F522,0)</f>
        <v>0</v>
      </c>
      <c r="BL522" s="214">
        <f>IF(AND(Input_Product=Elig!$C522,Elig_MatchAll_Ct&lt;22,$BC522=(Elig_MatchAll_Ct-1),AJ522=0),G522,0)</f>
        <v>0</v>
      </c>
      <c r="BM522" s="214">
        <f>IF(AND(Input_Product=Elig!$C522,Elig_MatchAll_Ct&lt;22,$BC522=(Elig_MatchAll_Ct-1),AK522=0),H522,0)</f>
        <v>0</v>
      </c>
      <c r="BN522" s="214">
        <f>IF(AND(Input_Product=Elig!$C522,Elig_MatchAll_Ct&lt;22,$BC522=(Elig_MatchAll_Ct-1),AL522=0),I522,0)</f>
        <v>0</v>
      </c>
      <c r="BO522" s="214">
        <f>IF(AND(Input_Product=Elig!$C522,Elig_MatchAll_Ct&lt;22,$BC522=(Elig_MatchAll_Ct-1),AM522=0),J522,0)</f>
        <v>0</v>
      </c>
      <c r="BP522" s="214">
        <f>IF(AND(Input_Product=Elig!$C522,Elig_MatchAll_Ct&lt;22,$BC522=(Elig_MatchAll_Ct-1),AN522=0),K522,0)</f>
        <v>0</v>
      </c>
      <c r="BQ522" s="214">
        <f>IF(AND(Input_Product=Elig!$C522,Elig_MatchAll_Ct&lt;22,$BC522=(Elig_MatchAll_Ct-1),AP522=0),L522,0)</f>
        <v>0</v>
      </c>
      <c r="BR522" s="214">
        <f>IF(AND(Input_Product=Elig!$C522,Elig_MatchAll_Ct&lt;22,$BC522=(Elig_MatchAll_Ct-1),AO522=0),M522,0)</f>
        <v>0</v>
      </c>
      <c r="BS522" s="214">
        <f>IF(AND(Input_Product=Elig!$C522,Elig_MatchAll_Ct&lt;22,$BC522=(Elig_MatchAll_Ct-1),AQ522=0),N522,0)</f>
        <v>0</v>
      </c>
      <c r="BT522" s="214">
        <f>IF(AND(Input_Product=Elig!$C522,Elig_MatchAll_Ct&lt;22,$BC522=(Elig_MatchAll_Ct-1),AR522=0),O522,0)</f>
        <v>0</v>
      </c>
      <c r="BU522" s="214">
        <f>IF(AND(Input_Product=Elig!$C522,Elig_MatchAll_Ct&lt;22,$BC522=(Elig_MatchAll_Ct-1),AS522=0),P522,0)</f>
        <v>0</v>
      </c>
      <c r="BV522" s="215">
        <f>IF(AND(Input_Product=Elig!$C522,Elig_MatchAll_Ct&lt;22,$BC522=(Elig_MatchAll_Ct-1),AT522=0),Q522,0)</f>
        <v>0</v>
      </c>
      <c r="BW522" s="311">
        <f>IF(AND(Input_Product=Elig!$C522,Elig_MatchAll_Ct&lt;22,$BC522=(Elig_MatchAll_Ct-1),AU522=0),R522,0)</f>
        <v>0</v>
      </c>
      <c r="BX522" s="312">
        <f>IF(AND(Input_Product=Elig!$C522,Elig_MatchAll_Ct&lt;22,$BC522=(Elig_MatchAll_Ct-1),AU522=0),S522,0)</f>
        <v>0</v>
      </c>
      <c r="BY522" s="311">
        <f>IF(AND(Input_Product=Elig!$C522,Elig_MatchAll_Ct&lt;22,$BC522=(Elig_MatchAll_Ct-1),AV522=0),T522,0)</f>
        <v>0</v>
      </c>
      <c r="BZ522" s="312">
        <f>IF(AND(Input_Product=Elig!$C522,Elig_MatchAll_Ct&lt;22,$BC522=(Elig_MatchAll_Ct-1),AV522=0),U522,0)</f>
        <v>0</v>
      </c>
      <c r="CA522" s="311">
        <f>IF(AND(Input_Product=Elig!$C522,Elig_MatchAll_Ct&lt;22,$BC522=(Elig_MatchAll_Ct-1),AW522=0),V522,0)</f>
        <v>0</v>
      </c>
      <c r="CB522" s="312">
        <f>IF(AND(Input_Product=Elig!$C522,Elig_MatchAll_Ct&lt;22,$BC522=(Elig_MatchAll_Ct-1),AW522=0),W522,0)</f>
        <v>0</v>
      </c>
      <c r="CC522" s="311">
        <f>IF(AND(Input_Product=Elig!$C522,Elig_MatchAll_Ct&lt;22,$BC522=(Elig_MatchAll_Ct-1),AX522=0),X522,0)</f>
        <v>0</v>
      </c>
      <c r="CD522" s="312">
        <f>IF(AND(Input_Product=Elig!$C522,Elig_MatchAll_Ct&lt;22,$BC522=(Elig_MatchAll_Ct-1),AX522=0),Y522,0)</f>
        <v>0</v>
      </c>
      <c r="CE522" s="311">
        <f>IF(AND(Input_LTV&lt;=AE522,Input_Product=Elig!$C522,Elig_MatchAll_Ct&lt;22,$BC522=(Elig_MatchAll_Ct-1),AY522=0),Z522,0)</f>
        <v>0</v>
      </c>
      <c r="CF522" s="312">
        <f>IF(AND(Input_LTV&lt;=AE522,Input_Product=Elig!$C522,Elig_MatchAll_Ct&lt;22,$BC522=(Elig_MatchAll_Ct-1),AY522=0),AA522,0)</f>
        <v>0</v>
      </c>
      <c r="CG522" s="311">
        <f>IF(AND(Input_Product=Elig!$C522,Elig_MatchAll_Ct&lt;22,$BC522=(Elig_MatchAll_Ct-1),AZ522=0),AB522,0)</f>
        <v>0</v>
      </c>
      <c r="CH522" s="312">
        <f>IF(AND(Input_Product=Elig!$C522,Elig_MatchAll_Ct&lt;22,$BC522=(Elig_MatchAll_Ct-1),AZ522=0),AC522,0)</f>
        <v>0</v>
      </c>
      <c r="CI522" s="311">
        <f>IF(AND(Input_Product=Elig!$C522,Elig_MatchAll_Ct&lt;22,$BC522=(Elig_MatchAll_Ct-1),BA522=0),AD522,0)</f>
        <v>0</v>
      </c>
      <c r="CJ522" s="312">
        <f>IF(AND(Input_Product=Elig!$C522,Elig_MatchAll_Ct&lt;22,$BC522=(Elig_MatchAll_Ct-1),BA522=0),AE522,0)</f>
        <v>0</v>
      </c>
    </row>
    <row r="523" spans="2:88" ht="10.15" customHeight="1" x14ac:dyDescent="0.25">
      <c r="B523" s="287" t="s">
        <v>4014</v>
      </c>
      <c r="C523" s="281" t="str">
        <f t="shared" si="175"/>
        <v>NonQM NOO</v>
      </c>
      <c r="D523" s="282" t="s">
        <v>3885</v>
      </c>
      <c r="E523" s="283" t="s">
        <v>167</v>
      </c>
      <c r="F523" s="283" t="s">
        <v>330</v>
      </c>
      <c r="G523" s="283" t="s">
        <v>179</v>
      </c>
      <c r="H523" s="283" t="s">
        <v>136</v>
      </c>
      <c r="I523" s="282" t="s">
        <v>16</v>
      </c>
      <c r="J523" s="282" t="s">
        <v>1311</v>
      </c>
      <c r="K523" s="282" t="s">
        <v>1631</v>
      </c>
      <c r="L523" s="2103" t="s">
        <v>312</v>
      </c>
      <c r="M523" s="283" t="s">
        <v>4203</v>
      </c>
      <c r="N523" s="283" t="s">
        <v>2685</v>
      </c>
      <c r="O523" s="283" t="s">
        <v>310</v>
      </c>
      <c r="P523" s="283" t="s">
        <v>291</v>
      </c>
      <c r="Q523" s="283" t="s">
        <v>294</v>
      </c>
      <c r="R523" s="282">
        <v>2000000.01</v>
      </c>
      <c r="S523" s="323">
        <v>2500000</v>
      </c>
      <c r="T523" s="282">
        <v>0</v>
      </c>
      <c r="U523" s="282">
        <f t="shared" ref="U523:U526" si="219">S523</f>
        <v>2500000</v>
      </c>
      <c r="V523" s="282">
        <v>0</v>
      </c>
      <c r="W523" s="282">
        <v>50</v>
      </c>
      <c r="X523" s="282">
        <v>0</v>
      </c>
      <c r="Y523" s="282">
        <v>999</v>
      </c>
      <c r="Z523" s="284">
        <v>720</v>
      </c>
      <c r="AA523" s="284">
        <v>999</v>
      </c>
      <c r="AB523" s="284">
        <v>9</v>
      </c>
      <c r="AC523" s="284">
        <v>999999</v>
      </c>
      <c r="AD523" s="282">
        <v>0</v>
      </c>
      <c r="AE523" s="285">
        <v>60</v>
      </c>
      <c r="AF523" s="170">
        <v>0</v>
      </c>
      <c r="AG523" s="171">
        <v>1</v>
      </c>
      <c r="AH523" s="171">
        <v>1</v>
      </c>
      <c r="AI523" s="171">
        <v>0</v>
      </c>
      <c r="AJ523" s="171">
        <v>0</v>
      </c>
      <c r="AK523" s="171">
        <v>1</v>
      </c>
      <c r="AL523" s="171">
        <v>1</v>
      </c>
      <c r="AM523" s="171">
        <v>1</v>
      </c>
      <c r="AN523" s="171">
        <v>1</v>
      </c>
      <c r="AO523" s="171">
        <v>1</v>
      </c>
      <c r="AP523" s="171">
        <v>1</v>
      </c>
      <c r="AQ523" s="171">
        <v>1</v>
      </c>
      <c r="AR523" s="171">
        <v>1</v>
      </c>
      <c r="AS523" s="171">
        <v>1</v>
      </c>
      <c r="AT523" s="171">
        <v>1</v>
      </c>
      <c r="AU523" s="171">
        <f t="shared" si="183"/>
        <v>0</v>
      </c>
      <c r="AV523" s="171">
        <f t="shared" si="184"/>
        <v>1</v>
      </c>
      <c r="AW523" s="171">
        <f t="shared" si="185"/>
        <v>1</v>
      </c>
      <c r="AX523" s="171">
        <f t="shared" si="197"/>
        <v>1</v>
      </c>
      <c r="AY523" s="171">
        <f t="shared" si="186"/>
        <v>1</v>
      </c>
      <c r="AZ523" s="171">
        <f t="shared" si="187"/>
        <v>1</v>
      </c>
      <c r="BA523" s="172">
        <f t="shared" si="188"/>
        <v>0</v>
      </c>
      <c r="BB523" s="175">
        <f t="shared" si="190"/>
        <v>17</v>
      </c>
      <c r="BC523" s="176">
        <f t="shared" si="191"/>
        <v>17</v>
      </c>
      <c r="BD523" s="176">
        <f t="shared" si="192"/>
        <v>17</v>
      </c>
      <c r="BE523" s="240" t="str">
        <f t="shared" si="215"/>
        <v/>
      </c>
      <c r="BH523" s="210">
        <f>IF(AND(Input_Product=Elig!$C523,Elig_MatchAll_Ct&lt;22,$BC523=(Elig_MatchAll_Ct-1),AF523=0),C523,0)</f>
        <v>0</v>
      </c>
      <c r="BI523" s="210">
        <f>IF(AND(Input_Product=Elig!$C523,Elig_MatchAll_Ct&lt;22,$BC523=(Elig_MatchAll_Ct-1),AG523=0),D523,0)</f>
        <v>0</v>
      </c>
      <c r="BJ523" s="210">
        <f>IF(AND(Input_Product=Elig!$C523,Elig_MatchAll_Ct&lt;22,$BC523=(Elig_MatchAll_Ct-1),AH523=0),E523,0)</f>
        <v>0</v>
      </c>
      <c r="BK523" s="210">
        <f>IF(AND(Input_Product=Elig!$C523,Elig_MatchAll_Ct&lt;22,$BC523=(Elig_MatchAll_Ct-1),AI523=0),F523,0)</f>
        <v>0</v>
      </c>
      <c r="BL523" s="210">
        <f>IF(AND(Input_Product=Elig!$C523,Elig_MatchAll_Ct&lt;22,$BC523=(Elig_MatchAll_Ct-1),AJ523=0),G523,0)</f>
        <v>0</v>
      </c>
      <c r="BM523" s="210">
        <f>IF(AND(Input_Product=Elig!$C523,Elig_MatchAll_Ct&lt;22,$BC523=(Elig_MatchAll_Ct-1),AK523=0),H523,0)</f>
        <v>0</v>
      </c>
      <c r="BN523" s="210">
        <f>IF(AND(Input_Product=Elig!$C523,Elig_MatchAll_Ct&lt;22,$BC523=(Elig_MatchAll_Ct-1),AL523=0),I523,0)</f>
        <v>0</v>
      </c>
      <c r="BO523" s="210">
        <f>IF(AND(Input_Product=Elig!$C523,Elig_MatchAll_Ct&lt;22,$BC523=(Elig_MatchAll_Ct-1),AM523=0),J523,0)</f>
        <v>0</v>
      </c>
      <c r="BP523" s="210">
        <f>IF(AND(Input_Product=Elig!$C523,Elig_MatchAll_Ct&lt;22,$BC523=(Elig_MatchAll_Ct-1),AN523=0),K523,0)</f>
        <v>0</v>
      </c>
      <c r="BQ523" s="210">
        <f>IF(AND(Input_Product=Elig!$C523,Elig_MatchAll_Ct&lt;22,$BC523=(Elig_MatchAll_Ct-1),AP523=0),L523,0)</f>
        <v>0</v>
      </c>
      <c r="BR523" s="210">
        <f>IF(AND(Input_Product=Elig!$C523,Elig_MatchAll_Ct&lt;22,$BC523=(Elig_MatchAll_Ct-1),AO523=0),M523,0)</f>
        <v>0</v>
      </c>
      <c r="BS523" s="210">
        <f>IF(AND(Input_Product=Elig!$C523,Elig_MatchAll_Ct&lt;22,$BC523=(Elig_MatchAll_Ct-1),AQ523=0),N523,0)</f>
        <v>0</v>
      </c>
      <c r="BT523" s="210">
        <f>IF(AND(Input_Product=Elig!$C523,Elig_MatchAll_Ct&lt;22,$BC523=(Elig_MatchAll_Ct-1),AR523=0),O523,0)</f>
        <v>0</v>
      </c>
      <c r="BU523" s="210">
        <f>IF(AND(Input_Product=Elig!$C523,Elig_MatchAll_Ct&lt;22,$BC523=(Elig_MatchAll_Ct-1),AS523=0),P523,0)</f>
        <v>0</v>
      </c>
      <c r="BV523" s="211">
        <f>IF(AND(Input_Product=Elig!$C523,Elig_MatchAll_Ct&lt;22,$BC523=(Elig_MatchAll_Ct-1),AT523=0),Q523,0)</f>
        <v>0</v>
      </c>
      <c r="BW523" s="212">
        <f>IF(AND(Input_Product=Elig!$C523,Elig_MatchAll_Ct&lt;22,$BC523=(Elig_MatchAll_Ct-1),AU523=0),R523,0)</f>
        <v>0</v>
      </c>
      <c r="BX523" s="213">
        <f>IF(AND(Input_Product=Elig!$C523,Elig_MatchAll_Ct&lt;22,$BC523=(Elig_MatchAll_Ct-1),AU523=0),S523,0)</f>
        <v>0</v>
      </c>
      <c r="BY523" s="212">
        <f>IF(AND(Input_Product=Elig!$C523,Elig_MatchAll_Ct&lt;22,$BC523=(Elig_MatchAll_Ct-1),AV523=0),T523,0)</f>
        <v>0</v>
      </c>
      <c r="BZ523" s="213">
        <f>IF(AND(Input_Product=Elig!$C523,Elig_MatchAll_Ct&lt;22,$BC523=(Elig_MatchAll_Ct-1),AV523=0),U523,0)</f>
        <v>0</v>
      </c>
      <c r="CA523" s="212">
        <f>IF(AND(Input_Product=Elig!$C523,Elig_MatchAll_Ct&lt;22,$BC523=(Elig_MatchAll_Ct-1),AW523=0),V523,0)</f>
        <v>0</v>
      </c>
      <c r="CB523" s="213">
        <f>IF(AND(Input_Product=Elig!$C523,Elig_MatchAll_Ct&lt;22,$BC523=(Elig_MatchAll_Ct-1),AW523=0),W523,0)</f>
        <v>0</v>
      </c>
      <c r="CC523" s="212">
        <f>IF(AND(Input_Product=Elig!$C523,Elig_MatchAll_Ct&lt;22,$BC523=(Elig_MatchAll_Ct-1),AX523=0),X523,0)</f>
        <v>0</v>
      </c>
      <c r="CD523" s="213">
        <f>IF(AND(Input_Product=Elig!$C523,Elig_MatchAll_Ct&lt;22,$BC523=(Elig_MatchAll_Ct-1),AX523=0),Y523,0)</f>
        <v>0</v>
      </c>
      <c r="CE523" s="212">
        <f>IF(AND(Input_LTV&lt;=AE523,Input_Product=Elig!$C523,Elig_MatchAll_Ct&lt;22,$BC523=(Elig_MatchAll_Ct-1),AY523=0),Z523,0)</f>
        <v>0</v>
      </c>
      <c r="CF523" s="213">
        <f>IF(AND(Input_LTV&lt;=AE523,Input_Product=Elig!$C523,Elig_MatchAll_Ct&lt;22,$BC523=(Elig_MatchAll_Ct-1),AY523=0),AA523,0)</f>
        <v>0</v>
      </c>
      <c r="CG523" s="212">
        <f>IF(AND(Input_Product=Elig!$C523,Elig_MatchAll_Ct&lt;22,$BC523=(Elig_MatchAll_Ct-1),AZ523=0),AB523,0)</f>
        <v>0</v>
      </c>
      <c r="CH523" s="213">
        <f>IF(AND(Input_Product=Elig!$C523,Elig_MatchAll_Ct&lt;22,$BC523=(Elig_MatchAll_Ct-1),AZ523=0),AC523,0)</f>
        <v>0</v>
      </c>
      <c r="CI523" s="212">
        <f>IF(AND(Input_Product=Elig!$C523,Elig_MatchAll_Ct&lt;22,$BC523=(Elig_MatchAll_Ct-1),BA523=0),AD523,0)</f>
        <v>0</v>
      </c>
      <c r="CJ523" s="213">
        <f>IF(AND(Input_Product=Elig!$C523,Elig_MatchAll_Ct&lt;22,$BC523=(Elig_MatchAll_Ct-1),BA523=0),AE523,0)</f>
        <v>0</v>
      </c>
    </row>
    <row r="524" spans="2:88" ht="10.15" customHeight="1" x14ac:dyDescent="0.25">
      <c r="B524" s="287" t="s">
        <v>4015</v>
      </c>
      <c r="C524" s="286" t="str">
        <f t="shared" si="175"/>
        <v>NonQM NOO</v>
      </c>
      <c r="D524" s="287" t="s">
        <v>3885</v>
      </c>
      <c r="E524" s="287" t="s">
        <v>167</v>
      </c>
      <c r="F524" s="287" t="s">
        <v>330</v>
      </c>
      <c r="G524" s="287" t="s">
        <v>179</v>
      </c>
      <c r="H524" s="287" t="s">
        <v>136</v>
      </c>
      <c r="I524" s="288" t="s">
        <v>16</v>
      </c>
      <c r="J524" s="288" t="s">
        <v>1311</v>
      </c>
      <c r="K524" s="288" t="s">
        <v>1631</v>
      </c>
      <c r="L524" s="300" t="s">
        <v>312</v>
      </c>
      <c r="M524" s="287" t="s">
        <v>4203</v>
      </c>
      <c r="N524" s="287" t="s">
        <v>2685</v>
      </c>
      <c r="O524" s="287" t="s">
        <v>310</v>
      </c>
      <c r="P524" s="287" t="s">
        <v>291</v>
      </c>
      <c r="Q524" s="287" t="s">
        <v>294</v>
      </c>
      <c r="R524" s="287">
        <v>2000000.01</v>
      </c>
      <c r="S524" s="300">
        <v>2500000</v>
      </c>
      <c r="T524" s="287">
        <v>0</v>
      </c>
      <c r="U524" s="287">
        <f t="shared" si="219"/>
        <v>2500000</v>
      </c>
      <c r="V524" s="287">
        <v>0</v>
      </c>
      <c r="W524" s="287">
        <v>50</v>
      </c>
      <c r="X524" s="287">
        <v>0</v>
      </c>
      <c r="Y524" s="287">
        <v>999</v>
      </c>
      <c r="Z524" s="289">
        <v>700</v>
      </c>
      <c r="AA524" s="289">
        <v>719</v>
      </c>
      <c r="AB524" s="289">
        <v>9</v>
      </c>
      <c r="AC524" s="289">
        <v>999999</v>
      </c>
      <c r="AD524" s="287">
        <v>0</v>
      </c>
      <c r="AE524" s="290">
        <v>60</v>
      </c>
      <c r="AF524" s="170">
        <v>0</v>
      </c>
      <c r="AG524" s="171">
        <v>1</v>
      </c>
      <c r="AH524" s="171">
        <v>1</v>
      </c>
      <c r="AI524" s="171">
        <v>0</v>
      </c>
      <c r="AJ524" s="171">
        <v>0</v>
      </c>
      <c r="AK524" s="171">
        <v>1</v>
      </c>
      <c r="AL524" s="171">
        <v>1</v>
      </c>
      <c r="AM524" s="171">
        <v>1</v>
      </c>
      <c r="AN524" s="171">
        <v>1</v>
      </c>
      <c r="AO524" s="171">
        <v>1</v>
      </c>
      <c r="AP524" s="171">
        <v>1</v>
      </c>
      <c r="AQ524" s="171">
        <v>1</v>
      </c>
      <c r="AR524" s="171">
        <v>1</v>
      </c>
      <c r="AS524" s="171">
        <v>1</v>
      </c>
      <c r="AT524" s="171">
        <v>1</v>
      </c>
      <c r="AU524" s="171">
        <f t="shared" si="183"/>
        <v>0</v>
      </c>
      <c r="AV524" s="171">
        <f t="shared" si="184"/>
        <v>1</v>
      </c>
      <c r="AW524" s="171">
        <f t="shared" si="185"/>
        <v>1</v>
      </c>
      <c r="AX524" s="171">
        <f t="shared" si="197"/>
        <v>1</v>
      </c>
      <c r="AY524" s="171">
        <f t="shared" si="186"/>
        <v>0</v>
      </c>
      <c r="AZ524" s="171">
        <f t="shared" si="187"/>
        <v>1</v>
      </c>
      <c r="BA524" s="172">
        <f t="shared" si="188"/>
        <v>0</v>
      </c>
      <c r="BB524" s="175">
        <f t="shared" si="190"/>
        <v>16</v>
      </c>
      <c r="BC524" s="176">
        <f t="shared" si="191"/>
        <v>16</v>
      </c>
      <c r="BD524" s="176">
        <f t="shared" si="192"/>
        <v>16</v>
      </c>
      <c r="BE524" s="240" t="str">
        <f t="shared" si="215"/>
        <v/>
      </c>
      <c r="BH524" s="199">
        <f>IF(AND(Input_Product=Elig!$C524,Elig_MatchAll_Ct&lt;22,$BC524=(Elig_MatchAll_Ct-1),AF524=0),C524,0)</f>
        <v>0</v>
      </c>
      <c r="BI524" s="199">
        <f>IF(AND(Input_Product=Elig!$C524,Elig_MatchAll_Ct&lt;22,$BC524=(Elig_MatchAll_Ct-1),AG524=0),D524,0)</f>
        <v>0</v>
      </c>
      <c r="BJ524" s="199">
        <f>IF(AND(Input_Product=Elig!$C524,Elig_MatchAll_Ct&lt;22,$BC524=(Elig_MatchAll_Ct-1),AH524=0),E524,0)</f>
        <v>0</v>
      </c>
      <c r="BK524" s="199">
        <f>IF(AND(Input_Product=Elig!$C524,Elig_MatchAll_Ct&lt;22,$BC524=(Elig_MatchAll_Ct-1),AI524=0),F524,0)</f>
        <v>0</v>
      </c>
      <c r="BL524" s="199">
        <f>IF(AND(Input_Product=Elig!$C524,Elig_MatchAll_Ct&lt;22,$BC524=(Elig_MatchAll_Ct-1),AJ524=0),G524,0)</f>
        <v>0</v>
      </c>
      <c r="BM524" s="199">
        <f>IF(AND(Input_Product=Elig!$C524,Elig_MatchAll_Ct&lt;22,$BC524=(Elig_MatchAll_Ct-1),AK524=0),H524,0)</f>
        <v>0</v>
      </c>
      <c r="BN524" s="199">
        <f>IF(AND(Input_Product=Elig!$C524,Elig_MatchAll_Ct&lt;22,$BC524=(Elig_MatchAll_Ct-1),AL524=0),I524,0)</f>
        <v>0</v>
      </c>
      <c r="BO524" s="199">
        <f>IF(AND(Input_Product=Elig!$C524,Elig_MatchAll_Ct&lt;22,$BC524=(Elig_MatchAll_Ct-1),AM524=0),J524,0)</f>
        <v>0</v>
      </c>
      <c r="BP524" s="199">
        <f>IF(AND(Input_Product=Elig!$C524,Elig_MatchAll_Ct&lt;22,$BC524=(Elig_MatchAll_Ct-1),AN524=0),K524,0)</f>
        <v>0</v>
      </c>
      <c r="BQ524" s="199">
        <f>IF(AND(Input_Product=Elig!$C524,Elig_MatchAll_Ct&lt;22,$BC524=(Elig_MatchAll_Ct-1),AP524=0),L524,0)</f>
        <v>0</v>
      </c>
      <c r="BR524" s="199">
        <f>IF(AND(Input_Product=Elig!$C524,Elig_MatchAll_Ct&lt;22,$BC524=(Elig_MatchAll_Ct-1),AO524=0),M524,0)</f>
        <v>0</v>
      </c>
      <c r="BS524" s="199">
        <f>IF(AND(Input_Product=Elig!$C524,Elig_MatchAll_Ct&lt;22,$BC524=(Elig_MatchAll_Ct-1),AQ524=0),N524,0)</f>
        <v>0</v>
      </c>
      <c r="BT524" s="199">
        <f>IF(AND(Input_Product=Elig!$C524,Elig_MatchAll_Ct&lt;22,$BC524=(Elig_MatchAll_Ct-1),AR524=0),O524,0)</f>
        <v>0</v>
      </c>
      <c r="BU524" s="199">
        <f>IF(AND(Input_Product=Elig!$C524,Elig_MatchAll_Ct&lt;22,$BC524=(Elig_MatchAll_Ct-1),AS524=0),P524,0)</f>
        <v>0</v>
      </c>
      <c r="BV524" s="200">
        <f>IF(AND(Input_Product=Elig!$C524,Elig_MatchAll_Ct&lt;22,$BC524=(Elig_MatchAll_Ct-1),AT524=0),Q524,0)</f>
        <v>0</v>
      </c>
      <c r="BW524" s="201">
        <f>IF(AND(Input_Product=Elig!$C524,Elig_MatchAll_Ct&lt;22,$BC524=(Elig_MatchAll_Ct-1),AU524=0),R524,0)</f>
        <v>0</v>
      </c>
      <c r="BX524" s="202">
        <f>IF(AND(Input_Product=Elig!$C524,Elig_MatchAll_Ct&lt;22,$BC524=(Elig_MatchAll_Ct-1),AU524=0),S524,0)</f>
        <v>0</v>
      </c>
      <c r="BY524" s="201">
        <f>IF(AND(Input_Product=Elig!$C524,Elig_MatchAll_Ct&lt;22,$BC524=(Elig_MatchAll_Ct-1),AV524=0),T524,0)</f>
        <v>0</v>
      </c>
      <c r="BZ524" s="202">
        <f>IF(AND(Input_Product=Elig!$C524,Elig_MatchAll_Ct&lt;22,$BC524=(Elig_MatchAll_Ct-1),AV524=0),U524,0)</f>
        <v>0</v>
      </c>
      <c r="CA524" s="201">
        <f>IF(AND(Input_Product=Elig!$C524,Elig_MatchAll_Ct&lt;22,$BC524=(Elig_MatchAll_Ct-1),AW524=0),V524,0)</f>
        <v>0</v>
      </c>
      <c r="CB524" s="202">
        <f>IF(AND(Input_Product=Elig!$C524,Elig_MatchAll_Ct&lt;22,$BC524=(Elig_MatchAll_Ct-1),AW524=0),W524,0)</f>
        <v>0</v>
      </c>
      <c r="CC524" s="201">
        <f>IF(AND(Input_Product=Elig!$C524,Elig_MatchAll_Ct&lt;22,$BC524=(Elig_MatchAll_Ct-1),AX524=0),X524,0)</f>
        <v>0</v>
      </c>
      <c r="CD524" s="202">
        <f>IF(AND(Input_Product=Elig!$C524,Elig_MatchAll_Ct&lt;22,$BC524=(Elig_MatchAll_Ct-1),AX524=0),Y524,0)</f>
        <v>0</v>
      </c>
      <c r="CE524" s="201">
        <f>IF(AND(Input_LTV&lt;=AE524,Input_Product=Elig!$C524,Elig_MatchAll_Ct&lt;22,$BC524=(Elig_MatchAll_Ct-1),AY524=0),Z524,0)</f>
        <v>0</v>
      </c>
      <c r="CF524" s="202">
        <f>IF(AND(Input_LTV&lt;=AE524,Input_Product=Elig!$C524,Elig_MatchAll_Ct&lt;22,$BC524=(Elig_MatchAll_Ct-1),AY524=0),AA524,0)</f>
        <v>0</v>
      </c>
      <c r="CG524" s="201">
        <f>IF(AND(Input_Product=Elig!$C524,Elig_MatchAll_Ct&lt;22,$BC524=(Elig_MatchAll_Ct-1),AZ524=0),AB524,0)</f>
        <v>0</v>
      </c>
      <c r="CH524" s="202">
        <f>IF(AND(Input_Product=Elig!$C524,Elig_MatchAll_Ct&lt;22,$BC524=(Elig_MatchAll_Ct-1),AZ524=0),AC524,0)</f>
        <v>0</v>
      </c>
      <c r="CI524" s="201">
        <f>IF(AND(Input_Product=Elig!$C524,Elig_MatchAll_Ct&lt;22,$BC524=(Elig_MatchAll_Ct-1),BA524=0),AD524,0)</f>
        <v>0</v>
      </c>
      <c r="CJ524" s="202">
        <f>IF(AND(Input_Product=Elig!$C524,Elig_MatchAll_Ct&lt;22,$BC524=(Elig_MatchAll_Ct-1),BA524=0),AE524,0)</f>
        <v>0</v>
      </c>
    </row>
    <row r="525" spans="2:88" ht="10.15" customHeight="1" x14ac:dyDescent="0.25">
      <c r="B525" s="287" t="s">
        <v>4016</v>
      </c>
      <c r="C525" s="286" t="str">
        <f t="shared" si="175"/>
        <v>NonQM NOO</v>
      </c>
      <c r="D525" s="287" t="s">
        <v>3885</v>
      </c>
      <c r="E525" s="287" t="s">
        <v>167</v>
      </c>
      <c r="F525" s="287" t="s">
        <v>330</v>
      </c>
      <c r="G525" s="287" t="s">
        <v>179</v>
      </c>
      <c r="H525" s="287" t="s">
        <v>136</v>
      </c>
      <c r="I525" s="288" t="s">
        <v>16</v>
      </c>
      <c r="J525" s="288" t="s">
        <v>1311</v>
      </c>
      <c r="K525" s="288" t="s">
        <v>1631</v>
      </c>
      <c r="L525" s="300" t="s">
        <v>312</v>
      </c>
      <c r="M525" s="287" t="s">
        <v>4203</v>
      </c>
      <c r="N525" s="287" t="s">
        <v>2685</v>
      </c>
      <c r="O525" s="287" t="s">
        <v>310</v>
      </c>
      <c r="P525" s="287" t="s">
        <v>291</v>
      </c>
      <c r="Q525" s="287" t="s">
        <v>294</v>
      </c>
      <c r="R525" s="287">
        <v>2000000.01</v>
      </c>
      <c r="S525" s="300">
        <v>2500000</v>
      </c>
      <c r="T525" s="287">
        <v>0</v>
      </c>
      <c r="U525" s="287">
        <f t="shared" ref="U525" si="220">S525</f>
        <v>2500000</v>
      </c>
      <c r="V525" s="287">
        <v>0</v>
      </c>
      <c r="W525" s="287">
        <v>50</v>
      </c>
      <c r="X525" s="287">
        <v>0</v>
      </c>
      <c r="Y525" s="287">
        <v>999</v>
      </c>
      <c r="Z525" s="2101">
        <v>680</v>
      </c>
      <c r="AA525" s="2101">
        <v>699</v>
      </c>
      <c r="AB525" s="289">
        <v>9</v>
      </c>
      <c r="AC525" s="289">
        <v>999999</v>
      </c>
      <c r="AD525" s="287">
        <v>0</v>
      </c>
      <c r="AE525" s="290">
        <v>60</v>
      </c>
      <c r="AF525" s="170">
        <v>0</v>
      </c>
      <c r="AG525" s="171">
        <v>1</v>
      </c>
      <c r="AH525" s="171">
        <v>1</v>
      </c>
      <c r="AI525" s="171">
        <v>0</v>
      </c>
      <c r="AJ525" s="171">
        <v>0</v>
      </c>
      <c r="AK525" s="171">
        <v>1</v>
      </c>
      <c r="AL525" s="171">
        <v>1</v>
      </c>
      <c r="AM525" s="171">
        <v>1</v>
      </c>
      <c r="AN525" s="171">
        <v>1</v>
      </c>
      <c r="AO525" s="171">
        <v>1</v>
      </c>
      <c r="AP525" s="171">
        <v>1</v>
      </c>
      <c r="AQ525" s="171">
        <v>1</v>
      </c>
      <c r="AR525" s="171">
        <v>1</v>
      </c>
      <c r="AS525" s="171">
        <v>1</v>
      </c>
      <c r="AT525" s="171">
        <v>1</v>
      </c>
      <c r="AU525" s="171">
        <f t="shared" si="183"/>
        <v>0</v>
      </c>
      <c r="AV525" s="171">
        <f t="shared" si="184"/>
        <v>1</v>
      </c>
      <c r="AW525" s="171">
        <f t="shared" si="185"/>
        <v>1</v>
      </c>
      <c r="AX525" s="171">
        <f t="shared" si="197"/>
        <v>1</v>
      </c>
      <c r="AY525" s="171">
        <f t="shared" si="186"/>
        <v>0</v>
      </c>
      <c r="AZ525" s="171">
        <f t="shared" si="187"/>
        <v>1</v>
      </c>
      <c r="BA525" s="172">
        <f t="shared" si="188"/>
        <v>0</v>
      </c>
      <c r="BB525" s="175">
        <f t="shared" ref="BB525" si="221">SUM(AF525:BA525)</f>
        <v>16</v>
      </c>
      <c r="BC525" s="176">
        <f t="shared" ref="BC525" si="222">SUM(AF525:AZ525)</f>
        <v>16</v>
      </c>
      <c r="BD525" s="176">
        <f t="shared" ref="BD525" si="223">SUM(AG525:BA525)</f>
        <v>16</v>
      </c>
      <c r="BE525" s="240" t="str">
        <f t="shared" si="215"/>
        <v/>
      </c>
      <c r="BH525" s="199">
        <f>IF(AND(Input_Product=Elig!$C525,Elig_MatchAll_Ct&lt;22,$BC525=(Elig_MatchAll_Ct-1),AF525=0),C525,0)</f>
        <v>0</v>
      </c>
      <c r="BI525" s="199">
        <f>IF(AND(Input_Product=Elig!$C525,Elig_MatchAll_Ct&lt;22,$BC525=(Elig_MatchAll_Ct-1),AG525=0),D525,0)</f>
        <v>0</v>
      </c>
      <c r="BJ525" s="199">
        <f>IF(AND(Input_Product=Elig!$C525,Elig_MatchAll_Ct&lt;22,$BC525=(Elig_MatchAll_Ct-1),AH525=0),E525,0)</f>
        <v>0</v>
      </c>
      <c r="BK525" s="199">
        <f>IF(AND(Input_Product=Elig!$C525,Elig_MatchAll_Ct&lt;22,$BC525=(Elig_MatchAll_Ct-1),AI525=0),F525,0)</f>
        <v>0</v>
      </c>
      <c r="BL525" s="199">
        <f>IF(AND(Input_Product=Elig!$C525,Elig_MatchAll_Ct&lt;22,$BC525=(Elig_MatchAll_Ct-1),AJ525=0),G525,0)</f>
        <v>0</v>
      </c>
      <c r="BM525" s="199">
        <f>IF(AND(Input_Product=Elig!$C525,Elig_MatchAll_Ct&lt;22,$BC525=(Elig_MatchAll_Ct-1),AK525=0),H525,0)</f>
        <v>0</v>
      </c>
      <c r="BN525" s="199">
        <f>IF(AND(Input_Product=Elig!$C525,Elig_MatchAll_Ct&lt;22,$BC525=(Elig_MatchAll_Ct-1),AL525=0),I525,0)</f>
        <v>0</v>
      </c>
      <c r="BO525" s="199">
        <f>IF(AND(Input_Product=Elig!$C525,Elig_MatchAll_Ct&lt;22,$BC525=(Elig_MatchAll_Ct-1),AM525=0),J525,0)</f>
        <v>0</v>
      </c>
      <c r="BP525" s="199">
        <f>IF(AND(Input_Product=Elig!$C525,Elig_MatchAll_Ct&lt;22,$BC525=(Elig_MatchAll_Ct-1),AN525=0),K525,0)</f>
        <v>0</v>
      </c>
      <c r="BQ525" s="199">
        <f>IF(AND(Input_Product=Elig!$C525,Elig_MatchAll_Ct&lt;22,$BC525=(Elig_MatchAll_Ct-1),AP525=0),L525,0)</f>
        <v>0</v>
      </c>
      <c r="BR525" s="199">
        <f>IF(AND(Input_Product=Elig!$C525,Elig_MatchAll_Ct&lt;22,$BC525=(Elig_MatchAll_Ct-1),AO525=0),M525,0)</f>
        <v>0</v>
      </c>
      <c r="BS525" s="199">
        <f>IF(AND(Input_Product=Elig!$C525,Elig_MatchAll_Ct&lt;22,$BC525=(Elig_MatchAll_Ct-1),AQ525=0),N525,0)</f>
        <v>0</v>
      </c>
      <c r="BT525" s="199">
        <f>IF(AND(Input_Product=Elig!$C525,Elig_MatchAll_Ct&lt;22,$BC525=(Elig_MatchAll_Ct-1),AR525=0),O525,0)</f>
        <v>0</v>
      </c>
      <c r="BU525" s="199">
        <f>IF(AND(Input_Product=Elig!$C525,Elig_MatchAll_Ct&lt;22,$BC525=(Elig_MatchAll_Ct-1),AS525=0),P525,0)</f>
        <v>0</v>
      </c>
      <c r="BV525" s="200">
        <f>IF(AND(Input_Product=Elig!$C525,Elig_MatchAll_Ct&lt;22,$BC525=(Elig_MatchAll_Ct-1),AT525=0),Q525,0)</f>
        <v>0</v>
      </c>
      <c r="BW525" s="201">
        <f>IF(AND(Input_Product=Elig!$C525,Elig_MatchAll_Ct&lt;22,$BC525=(Elig_MatchAll_Ct-1),AU525=0),R525,0)</f>
        <v>0</v>
      </c>
      <c r="BX525" s="202">
        <f>IF(AND(Input_Product=Elig!$C525,Elig_MatchAll_Ct&lt;22,$BC525=(Elig_MatchAll_Ct-1),AU525=0),S525,0)</f>
        <v>0</v>
      </c>
      <c r="BY525" s="201">
        <f>IF(AND(Input_Product=Elig!$C525,Elig_MatchAll_Ct&lt;22,$BC525=(Elig_MatchAll_Ct-1),AV525=0),T525,0)</f>
        <v>0</v>
      </c>
      <c r="BZ525" s="202">
        <f>IF(AND(Input_Product=Elig!$C525,Elig_MatchAll_Ct&lt;22,$BC525=(Elig_MatchAll_Ct-1),AV525=0),U525,0)</f>
        <v>0</v>
      </c>
      <c r="CA525" s="201">
        <f>IF(AND(Input_Product=Elig!$C525,Elig_MatchAll_Ct&lt;22,$BC525=(Elig_MatchAll_Ct-1),AW525=0),V525,0)</f>
        <v>0</v>
      </c>
      <c r="CB525" s="202">
        <f>IF(AND(Input_Product=Elig!$C525,Elig_MatchAll_Ct&lt;22,$BC525=(Elig_MatchAll_Ct-1),AW525=0),W525,0)</f>
        <v>0</v>
      </c>
      <c r="CC525" s="201">
        <f>IF(AND(Input_Product=Elig!$C525,Elig_MatchAll_Ct&lt;22,$BC525=(Elig_MatchAll_Ct-1),AX525=0),X525,0)</f>
        <v>0</v>
      </c>
      <c r="CD525" s="202">
        <f>IF(AND(Input_Product=Elig!$C525,Elig_MatchAll_Ct&lt;22,$BC525=(Elig_MatchAll_Ct-1),AX525=0),Y525,0)</f>
        <v>0</v>
      </c>
      <c r="CE525" s="201">
        <f>IF(AND(Input_LTV&lt;=AE525,Input_Product=Elig!$C525,Elig_MatchAll_Ct&lt;22,$BC525=(Elig_MatchAll_Ct-1),AY525=0),Z525,0)</f>
        <v>0</v>
      </c>
      <c r="CF525" s="202">
        <f>IF(AND(Input_LTV&lt;=AE525,Input_Product=Elig!$C525,Elig_MatchAll_Ct&lt;22,$BC525=(Elig_MatchAll_Ct-1),AY525=0),AA525,0)</f>
        <v>0</v>
      </c>
      <c r="CG525" s="201">
        <f>IF(AND(Input_Product=Elig!$C525,Elig_MatchAll_Ct&lt;22,$BC525=(Elig_MatchAll_Ct-1),AZ525=0),AB525,0)</f>
        <v>0</v>
      </c>
      <c r="CH525" s="202">
        <f>IF(AND(Input_Product=Elig!$C525,Elig_MatchAll_Ct&lt;22,$BC525=(Elig_MatchAll_Ct-1),AZ525=0),AC525,0)</f>
        <v>0</v>
      </c>
      <c r="CI525" s="201">
        <f>IF(AND(Input_Product=Elig!$C525,Elig_MatchAll_Ct&lt;22,$BC525=(Elig_MatchAll_Ct-1),BA525=0),AD525,0)</f>
        <v>0</v>
      </c>
      <c r="CJ525" s="202">
        <f>IF(AND(Input_Product=Elig!$C525,Elig_MatchAll_Ct&lt;22,$BC525=(Elig_MatchAll_Ct-1),BA525=0),AE525,0)</f>
        <v>0</v>
      </c>
    </row>
    <row r="526" spans="2:88" ht="10.15" customHeight="1" x14ac:dyDescent="0.25">
      <c r="B526" s="287" t="s">
        <v>4017</v>
      </c>
      <c r="C526" s="291" t="str">
        <f t="shared" si="175"/>
        <v>NonQM NOO</v>
      </c>
      <c r="D526" s="292" t="s">
        <v>3885</v>
      </c>
      <c r="E526" s="292" t="s">
        <v>167</v>
      </c>
      <c r="F526" s="292" t="s">
        <v>330</v>
      </c>
      <c r="G526" s="292" t="s">
        <v>179</v>
      </c>
      <c r="H526" s="292" t="s">
        <v>136</v>
      </c>
      <c r="I526" s="295" t="s">
        <v>16</v>
      </c>
      <c r="J526" s="295" t="s">
        <v>1311</v>
      </c>
      <c r="K526" s="295" t="s">
        <v>1631</v>
      </c>
      <c r="L526" s="324" t="s">
        <v>312</v>
      </c>
      <c r="M526" s="292" t="s">
        <v>4203</v>
      </c>
      <c r="N526" s="292" t="s">
        <v>2685</v>
      </c>
      <c r="O526" s="292" t="s">
        <v>310</v>
      </c>
      <c r="P526" s="292" t="s">
        <v>291</v>
      </c>
      <c r="Q526" s="292" t="s">
        <v>294</v>
      </c>
      <c r="R526" s="292">
        <v>2000000.01</v>
      </c>
      <c r="S526" s="324">
        <v>2500000</v>
      </c>
      <c r="T526" s="292">
        <v>0</v>
      </c>
      <c r="U526" s="292">
        <f t="shared" si="219"/>
        <v>2500000</v>
      </c>
      <c r="V526" s="292">
        <v>0</v>
      </c>
      <c r="W526" s="292">
        <v>50</v>
      </c>
      <c r="X526" s="292">
        <v>0</v>
      </c>
      <c r="Y526" s="292">
        <v>999</v>
      </c>
      <c r="Z526" s="2102">
        <v>660</v>
      </c>
      <c r="AA526" s="2102">
        <v>679</v>
      </c>
      <c r="AB526" s="293">
        <v>9</v>
      </c>
      <c r="AC526" s="293">
        <v>999999</v>
      </c>
      <c r="AD526" s="292">
        <v>0</v>
      </c>
      <c r="AE526" s="294">
        <v>60</v>
      </c>
      <c r="AF526" s="170">
        <v>0</v>
      </c>
      <c r="AG526" s="171">
        <v>1</v>
      </c>
      <c r="AH526" s="171">
        <v>1</v>
      </c>
      <c r="AI526" s="171">
        <v>0</v>
      </c>
      <c r="AJ526" s="171">
        <v>0</v>
      </c>
      <c r="AK526" s="171">
        <v>1</v>
      </c>
      <c r="AL526" s="171">
        <v>1</v>
      </c>
      <c r="AM526" s="171">
        <v>1</v>
      </c>
      <c r="AN526" s="171">
        <v>1</v>
      </c>
      <c r="AO526" s="171">
        <v>1</v>
      </c>
      <c r="AP526" s="171">
        <v>1</v>
      </c>
      <c r="AQ526" s="171">
        <v>1</v>
      </c>
      <c r="AR526" s="171">
        <v>1</v>
      </c>
      <c r="AS526" s="171">
        <v>1</v>
      </c>
      <c r="AT526" s="171">
        <v>1</v>
      </c>
      <c r="AU526" s="171">
        <f t="shared" si="183"/>
        <v>0</v>
      </c>
      <c r="AV526" s="171">
        <f t="shared" si="184"/>
        <v>1</v>
      </c>
      <c r="AW526" s="171">
        <f t="shared" si="185"/>
        <v>1</v>
      </c>
      <c r="AX526" s="171">
        <f t="shared" si="197"/>
        <v>1</v>
      </c>
      <c r="AY526" s="171">
        <f t="shared" si="186"/>
        <v>0</v>
      </c>
      <c r="AZ526" s="171">
        <f t="shared" si="187"/>
        <v>1</v>
      </c>
      <c r="BA526" s="172">
        <f t="shared" si="188"/>
        <v>0</v>
      </c>
      <c r="BB526" s="175">
        <f t="shared" si="190"/>
        <v>16</v>
      </c>
      <c r="BC526" s="176">
        <f t="shared" si="191"/>
        <v>16</v>
      </c>
      <c r="BD526" s="176">
        <f t="shared" si="192"/>
        <v>16</v>
      </c>
      <c r="BE526" s="240" t="str">
        <f t="shared" si="215"/>
        <v/>
      </c>
      <c r="BH526" s="214">
        <f>IF(AND(Input_Product=Elig!$C526,Elig_MatchAll_Ct&lt;22,$BC526=(Elig_MatchAll_Ct-1),AF526=0),C526,0)</f>
        <v>0</v>
      </c>
      <c r="BI526" s="214">
        <f>IF(AND(Input_Product=Elig!$C526,Elig_MatchAll_Ct&lt;22,$BC526=(Elig_MatchAll_Ct-1),AG526=0),D526,0)</f>
        <v>0</v>
      </c>
      <c r="BJ526" s="214">
        <f>IF(AND(Input_Product=Elig!$C526,Elig_MatchAll_Ct&lt;22,$BC526=(Elig_MatchAll_Ct-1),AH526=0),E526,0)</f>
        <v>0</v>
      </c>
      <c r="BK526" s="214">
        <f>IF(AND(Input_Product=Elig!$C526,Elig_MatchAll_Ct&lt;22,$BC526=(Elig_MatchAll_Ct-1),AI526=0),F526,0)</f>
        <v>0</v>
      </c>
      <c r="BL526" s="214">
        <f>IF(AND(Input_Product=Elig!$C526,Elig_MatchAll_Ct&lt;22,$BC526=(Elig_MatchAll_Ct-1),AJ526=0),G526,0)</f>
        <v>0</v>
      </c>
      <c r="BM526" s="214">
        <f>IF(AND(Input_Product=Elig!$C526,Elig_MatchAll_Ct&lt;22,$BC526=(Elig_MatchAll_Ct-1),AK526=0),H526,0)</f>
        <v>0</v>
      </c>
      <c r="BN526" s="214">
        <f>IF(AND(Input_Product=Elig!$C526,Elig_MatchAll_Ct&lt;22,$BC526=(Elig_MatchAll_Ct-1),AL526=0),I526,0)</f>
        <v>0</v>
      </c>
      <c r="BO526" s="214">
        <f>IF(AND(Input_Product=Elig!$C526,Elig_MatchAll_Ct&lt;22,$BC526=(Elig_MatchAll_Ct-1),AM526=0),J526,0)</f>
        <v>0</v>
      </c>
      <c r="BP526" s="214">
        <f>IF(AND(Input_Product=Elig!$C526,Elig_MatchAll_Ct&lt;22,$BC526=(Elig_MatchAll_Ct-1),AN526=0),K526,0)</f>
        <v>0</v>
      </c>
      <c r="BQ526" s="214">
        <f>IF(AND(Input_Product=Elig!$C526,Elig_MatchAll_Ct&lt;22,$BC526=(Elig_MatchAll_Ct-1),AP526=0),L526,0)</f>
        <v>0</v>
      </c>
      <c r="BR526" s="214">
        <f>IF(AND(Input_Product=Elig!$C526,Elig_MatchAll_Ct&lt;22,$BC526=(Elig_MatchAll_Ct-1),AO526=0),M526,0)</f>
        <v>0</v>
      </c>
      <c r="BS526" s="214">
        <f>IF(AND(Input_Product=Elig!$C526,Elig_MatchAll_Ct&lt;22,$BC526=(Elig_MatchAll_Ct-1),AQ526=0),N526,0)</f>
        <v>0</v>
      </c>
      <c r="BT526" s="214">
        <f>IF(AND(Input_Product=Elig!$C526,Elig_MatchAll_Ct&lt;22,$BC526=(Elig_MatchAll_Ct-1),AR526=0),O526,0)</f>
        <v>0</v>
      </c>
      <c r="BU526" s="214">
        <f>IF(AND(Input_Product=Elig!$C526,Elig_MatchAll_Ct&lt;22,$BC526=(Elig_MatchAll_Ct-1),AS526=0),P526,0)</f>
        <v>0</v>
      </c>
      <c r="BV526" s="215">
        <f>IF(AND(Input_Product=Elig!$C526,Elig_MatchAll_Ct&lt;22,$BC526=(Elig_MatchAll_Ct-1),AT526=0),Q526,0)</f>
        <v>0</v>
      </c>
      <c r="BW526" s="311">
        <f>IF(AND(Input_Product=Elig!$C526,Elig_MatchAll_Ct&lt;22,$BC526=(Elig_MatchAll_Ct-1),AU526=0),R526,0)</f>
        <v>0</v>
      </c>
      <c r="BX526" s="312">
        <f>IF(AND(Input_Product=Elig!$C526,Elig_MatchAll_Ct&lt;22,$BC526=(Elig_MatchAll_Ct-1),AU526=0),S526,0)</f>
        <v>0</v>
      </c>
      <c r="BY526" s="311">
        <f>IF(AND(Input_Product=Elig!$C526,Elig_MatchAll_Ct&lt;22,$BC526=(Elig_MatchAll_Ct-1),AV526=0),T526,0)</f>
        <v>0</v>
      </c>
      <c r="BZ526" s="312">
        <f>IF(AND(Input_Product=Elig!$C526,Elig_MatchAll_Ct&lt;22,$BC526=(Elig_MatchAll_Ct-1),AV526=0),U526,0)</f>
        <v>0</v>
      </c>
      <c r="CA526" s="311">
        <f>IF(AND(Input_Product=Elig!$C526,Elig_MatchAll_Ct&lt;22,$BC526=(Elig_MatchAll_Ct-1),AW526=0),V526,0)</f>
        <v>0</v>
      </c>
      <c r="CB526" s="312">
        <f>IF(AND(Input_Product=Elig!$C526,Elig_MatchAll_Ct&lt;22,$BC526=(Elig_MatchAll_Ct-1),AW526=0),W526,0)</f>
        <v>0</v>
      </c>
      <c r="CC526" s="311">
        <f>IF(AND(Input_Product=Elig!$C526,Elig_MatchAll_Ct&lt;22,$BC526=(Elig_MatchAll_Ct-1),AX526=0),X526,0)</f>
        <v>0</v>
      </c>
      <c r="CD526" s="312">
        <f>IF(AND(Input_Product=Elig!$C526,Elig_MatchAll_Ct&lt;22,$BC526=(Elig_MatchAll_Ct-1),AX526=0),Y526,0)</f>
        <v>0</v>
      </c>
      <c r="CE526" s="311">
        <f>IF(AND(Input_LTV&lt;=AE526,Input_Product=Elig!$C526,Elig_MatchAll_Ct&lt;22,$BC526=(Elig_MatchAll_Ct-1),AY526=0),Z526,0)</f>
        <v>0</v>
      </c>
      <c r="CF526" s="312">
        <f>IF(AND(Input_LTV&lt;=AE526,Input_Product=Elig!$C526,Elig_MatchAll_Ct&lt;22,$BC526=(Elig_MatchAll_Ct-1),AY526=0),AA526,0)</f>
        <v>0</v>
      </c>
      <c r="CG526" s="311">
        <f>IF(AND(Input_Product=Elig!$C526,Elig_MatchAll_Ct&lt;22,$BC526=(Elig_MatchAll_Ct-1),AZ526=0),AB526,0)</f>
        <v>0</v>
      </c>
      <c r="CH526" s="312">
        <f>IF(AND(Input_Product=Elig!$C526,Elig_MatchAll_Ct&lt;22,$BC526=(Elig_MatchAll_Ct-1),AZ526=0),AC526,0)</f>
        <v>0</v>
      </c>
      <c r="CI526" s="311">
        <f>IF(AND(Input_Product=Elig!$C526,Elig_MatchAll_Ct&lt;22,$BC526=(Elig_MatchAll_Ct-1),BA526=0),AD526,0)</f>
        <v>0</v>
      </c>
      <c r="CJ526" s="312">
        <f>IF(AND(Input_Product=Elig!$C526,Elig_MatchAll_Ct&lt;22,$BC526=(Elig_MatchAll_Ct-1),BA526=0),AE526,0)</f>
        <v>0</v>
      </c>
    </row>
    <row r="527" spans="2:88" ht="10.15" customHeight="1" x14ac:dyDescent="0.25">
      <c r="B527" s="287" t="s">
        <v>4018</v>
      </c>
      <c r="C527" s="281" t="str">
        <f t="shared" si="175"/>
        <v>NonQM NOO</v>
      </c>
      <c r="D527" s="282" t="s">
        <v>3885</v>
      </c>
      <c r="E527" s="283" t="s">
        <v>167</v>
      </c>
      <c r="F527" s="283" t="s">
        <v>330</v>
      </c>
      <c r="G527" s="283" t="s">
        <v>305</v>
      </c>
      <c r="H527" s="283" t="s">
        <v>136</v>
      </c>
      <c r="I527" s="282" t="s">
        <v>274</v>
      </c>
      <c r="J527" s="282" t="s">
        <v>1311</v>
      </c>
      <c r="K527" s="282" t="s">
        <v>1631</v>
      </c>
      <c r="L527" s="2103" t="s">
        <v>312</v>
      </c>
      <c r="M527" s="283" t="s">
        <v>4203</v>
      </c>
      <c r="N527" s="283" t="s">
        <v>2685</v>
      </c>
      <c r="O527" s="283" t="s">
        <v>310</v>
      </c>
      <c r="P527" s="283" t="s">
        <v>291</v>
      </c>
      <c r="Q527" s="283" t="s">
        <v>294</v>
      </c>
      <c r="R527" s="282">
        <v>2000000.01</v>
      </c>
      <c r="S527" s="323">
        <v>2500000</v>
      </c>
      <c r="T527" s="282">
        <v>0</v>
      </c>
      <c r="U527" s="282">
        <v>0</v>
      </c>
      <c r="V527" s="282">
        <v>0</v>
      </c>
      <c r="W527" s="282">
        <v>50</v>
      </c>
      <c r="X527" s="282">
        <v>0</v>
      </c>
      <c r="Y527" s="282">
        <v>999</v>
      </c>
      <c r="Z527" s="284">
        <v>720</v>
      </c>
      <c r="AA527" s="284">
        <v>999</v>
      </c>
      <c r="AB527" s="284">
        <v>9</v>
      </c>
      <c r="AC527" s="284">
        <v>999999</v>
      </c>
      <c r="AD527" s="282">
        <v>0</v>
      </c>
      <c r="AE527" s="285">
        <v>65</v>
      </c>
      <c r="AF527" s="170">
        <v>0</v>
      </c>
      <c r="AG527" s="171">
        <v>1</v>
      </c>
      <c r="AH527" s="171">
        <v>1</v>
      </c>
      <c r="AI527" s="171">
        <v>0</v>
      </c>
      <c r="AJ527" s="171">
        <v>0</v>
      </c>
      <c r="AK527" s="171">
        <v>1</v>
      </c>
      <c r="AL527" s="171">
        <v>0</v>
      </c>
      <c r="AM527" s="171">
        <v>1</v>
      </c>
      <c r="AN527" s="171">
        <v>1</v>
      </c>
      <c r="AO527" s="171">
        <v>1</v>
      </c>
      <c r="AP527" s="171">
        <v>1</v>
      </c>
      <c r="AQ527" s="171">
        <v>1</v>
      </c>
      <c r="AR527" s="171">
        <v>1</v>
      </c>
      <c r="AS527" s="171">
        <v>1</v>
      </c>
      <c r="AT527" s="171">
        <v>1</v>
      </c>
      <c r="AU527" s="171">
        <f t="shared" si="183"/>
        <v>0</v>
      </c>
      <c r="AV527" s="171">
        <f t="shared" si="184"/>
        <v>0</v>
      </c>
      <c r="AW527" s="171">
        <f t="shared" si="185"/>
        <v>1</v>
      </c>
      <c r="AX527" s="171">
        <f t="shared" si="197"/>
        <v>1</v>
      </c>
      <c r="AY527" s="171">
        <f t="shared" si="186"/>
        <v>1</v>
      </c>
      <c r="AZ527" s="171">
        <f t="shared" si="187"/>
        <v>1</v>
      </c>
      <c r="BA527" s="172">
        <f t="shared" si="188"/>
        <v>1</v>
      </c>
      <c r="BB527" s="175">
        <f t="shared" si="190"/>
        <v>16</v>
      </c>
      <c r="BC527" s="176">
        <f t="shared" si="191"/>
        <v>15</v>
      </c>
      <c r="BD527" s="176">
        <f t="shared" si="192"/>
        <v>16</v>
      </c>
      <c r="BE527" s="240" t="str">
        <f t="shared" si="215"/>
        <v/>
      </c>
      <c r="BH527" s="210">
        <f>IF(AND(Input_Product=Elig!$C527,Elig_MatchAll_Ct&lt;22,$BC527=(Elig_MatchAll_Ct-1),AF527=0),C527,0)</f>
        <v>0</v>
      </c>
      <c r="BI527" s="210">
        <f>IF(AND(Input_Product=Elig!$C527,Elig_MatchAll_Ct&lt;22,$BC527=(Elig_MatchAll_Ct-1),AG527=0),D527,0)</f>
        <v>0</v>
      </c>
      <c r="BJ527" s="210">
        <f>IF(AND(Input_Product=Elig!$C527,Elig_MatchAll_Ct&lt;22,$BC527=(Elig_MatchAll_Ct-1),AH527=0),E527,0)</f>
        <v>0</v>
      </c>
      <c r="BK527" s="210">
        <f>IF(AND(Input_Product=Elig!$C527,Elig_MatchAll_Ct&lt;22,$BC527=(Elig_MatchAll_Ct-1),AI527=0),F527,0)</f>
        <v>0</v>
      </c>
      <c r="BL527" s="210">
        <f>IF(AND(Input_Product=Elig!$C527,Elig_MatchAll_Ct&lt;22,$BC527=(Elig_MatchAll_Ct-1),AJ527=0),G527,0)</f>
        <v>0</v>
      </c>
      <c r="BM527" s="210">
        <f>IF(AND(Input_Product=Elig!$C527,Elig_MatchAll_Ct&lt;22,$BC527=(Elig_MatchAll_Ct-1),AK527=0),H527,0)</f>
        <v>0</v>
      </c>
      <c r="BN527" s="210">
        <f>IF(AND(Input_Product=Elig!$C527,Elig_MatchAll_Ct&lt;22,$BC527=(Elig_MatchAll_Ct-1),AL527=0),I527,0)</f>
        <v>0</v>
      </c>
      <c r="BO527" s="210">
        <f>IF(AND(Input_Product=Elig!$C527,Elig_MatchAll_Ct&lt;22,$BC527=(Elig_MatchAll_Ct-1),AM527=0),J527,0)</f>
        <v>0</v>
      </c>
      <c r="BP527" s="210">
        <f>IF(AND(Input_Product=Elig!$C527,Elig_MatchAll_Ct&lt;22,$BC527=(Elig_MatchAll_Ct-1),AN527=0),K527,0)</f>
        <v>0</v>
      </c>
      <c r="BQ527" s="210">
        <f>IF(AND(Input_Product=Elig!$C527,Elig_MatchAll_Ct&lt;22,$BC527=(Elig_MatchAll_Ct-1),AP527=0),L527,0)</f>
        <v>0</v>
      </c>
      <c r="BR527" s="210">
        <f>IF(AND(Input_Product=Elig!$C527,Elig_MatchAll_Ct&lt;22,$BC527=(Elig_MatchAll_Ct-1),AO527=0),M527,0)</f>
        <v>0</v>
      </c>
      <c r="BS527" s="210">
        <f>IF(AND(Input_Product=Elig!$C527,Elig_MatchAll_Ct&lt;22,$BC527=(Elig_MatchAll_Ct-1),AQ527=0),N527,0)</f>
        <v>0</v>
      </c>
      <c r="BT527" s="210">
        <f>IF(AND(Input_Product=Elig!$C527,Elig_MatchAll_Ct&lt;22,$BC527=(Elig_MatchAll_Ct-1),AR527=0),O527,0)</f>
        <v>0</v>
      </c>
      <c r="BU527" s="210">
        <f>IF(AND(Input_Product=Elig!$C527,Elig_MatchAll_Ct&lt;22,$BC527=(Elig_MatchAll_Ct-1),AS527=0),P527,0)</f>
        <v>0</v>
      </c>
      <c r="BV527" s="211">
        <f>IF(AND(Input_Product=Elig!$C527,Elig_MatchAll_Ct&lt;22,$BC527=(Elig_MatchAll_Ct-1),AT527=0),Q527,0)</f>
        <v>0</v>
      </c>
      <c r="BW527" s="212">
        <f>IF(AND(Input_Product=Elig!$C527,Elig_MatchAll_Ct&lt;22,$BC527=(Elig_MatchAll_Ct-1),AU527=0),R527,0)</f>
        <v>0</v>
      </c>
      <c r="BX527" s="213">
        <f>IF(AND(Input_Product=Elig!$C527,Elig_MatchAll_Ct&lt;22,$BC527=(Elig_MatchAll_Ct-1),AU527=0),S527,0)</f>
        <v>0</v>
      </c>
      <c r="BY527" s="212">
        <f>IF(AND(Input_Product=Elig!$C527,Elig_MatchAll_Ct&lt;22,$BC527=(Elig_MatchAll_Ct-1),AV527=0),T527,0)</f>
        <v>0</v>
      </c>
      <c r="BZ527" s="213">
        <f>IF(AND(Input_Product=Elig!$C527,Elig_MatchAll_Ct&lt;22,$BC527=(Elig_MatchAll_Ct-1),AV527=0),U527,0)</f>
        <v>0</v>
      </c>
      <c r="CA527" s="212">
        <f>IF(AND(Input_Product=Elig!$C527,Elig_MatchAll_Ct&lt;22,$BC527=(Elig_MatchAll_Ct-1),AW527=0),V527,0)</f>
        <v>0</v>
      </c>
      <c r="CB527" s="213">
        <f>IF(AND(Input_Product=Elig!$C527,Elig_MatchAll_Ct&lt;22,$BC527=(Elig_MatchAll_Ct-1),AW527=0),W527,0)</f>
        <v>0</v>
      </c>
      <c r="CC527" s="212">
        <f>IF(AND(Input_Product=Elig!$C527,Elig_MatchAll_Ct&lt;22,$BC527=(Elig_MatchAll_Ct-1),AX527=0),X527,0)</f>
        <v>0</v>
      </c>
      <c r="CD527" s="213">
        <f>IF(AND(Input_Product=Elig!$C527,Elig_MatchAll_Ct&lt;22,$BC527=(Elig_MatchAll_Ct-1),AX527=0),Y527,0)</f>
        <v>0</v>
      </c>
      <c r="CE527" s="212">
        <f>IF(AND(Input_LTV&lt;=AE527,Input_Product=Elig!$C527,Elig_MatchAll_Ct&lt;22,$BC527=(Elig_MatchAll_Ct-1),AY527=0),Z527,0)</f>
        <v>0</v>
      </c>
      <c r="CF527" s="213">
        <f>IF(AND(Input_LTV&lt;=AE527,Input_Product=Elig!$C527,Elig_MatchAll_Ct&lt;22,$BC527=(Elig_MatchAll_Ct-1),AY527=0),AA527,0)</f>
        <v>0</v>
      </c>
      <c r="CG527" s="212">
        <f>IF(AND(Input_Product=Elig!$C527,Elig_MatchAll_Ct&lt;22,$BC527=(Elig_MatchAll_Ct-1),AZ527=0),AB527,0)</f>
        <v>0</v>
      </c>
      <c r="CH527" s="213">
        <f>IF(AND(Input_Product=Elig!$C527,Elig_MatchAll_Ct&lt;22,$BC527=(Elig_MatchAll_Ct-1),AZ527=0),AC527,0)</f>
        <v>0</v>
      </c>
      <c r="CI527" s="212">
        <f>IF(AND(Input_Product=Elig!$C527,Elig_MatchAll_Ct&lt;22,$BC527=(Elig_MatchAll_Ct-1),BA527=0),AD527,0)</f>
        <v>0</v>
      </c>
      <c r="CJ527" s="213">
        <f>IF(AND(Input_Product=Elig!$C527,Elig_MatchAll_Ct&lt;22,$BC527=(Elig_MatchAll_Ct-1),BA527=0),AE527,0)</f>
        <v>0</v>
      </c>
    </row>
    <row r="528" spans="2:88" ht="10.15" customHeight="1" x14ac:dyDescent="0.25">
      <c r="B528" s="287" t="s">
        <v>4019</v>
      </c>
      <c r="C528" s="286" t="str">
        <f t="shared" si="175"/>
        <v>NonQM NOO</v>
      </c>
      <c r="D528" s="287" t="s">
        <v>3885</v>
      </c>
      <c r="E528" s="287" t="s">
        <v>167</v>
      </c>
      <c r="F528" s="287" t="s">
        <v>330</v>
      </c>
      <c r="G528" s="287" t="s">
        <v>305</v>
      </c>
      <c r="H528" s="287" t="s">
        <v>136</v>
      </c>
      <c r="I528" s="288" t="s">
        <v>274</v>
      </c>
      <c r="J528" s="288" t="s">
        <v>1311</v>
      </c>
      <c r="K528" s="288" t="s">
        <v>1631</v>
      </c>
      <c r="L528" s="300" t="s">
        <v>312</v>
      </c>
      <c r="M528" s="287" t="s">
        <v>4203</v>
      </c>
      <c r="N528" s="287" t="s">
        <v>2685</v>
      </c>
      <c r="O528" s="287" t="s">
        <v>310</v>
      </c>
      <c r="P528" s="287" t="s">
        <v>291</v>
      </c>
      <c r="Q528" s="287" t="s">
        <v>294</v>
      </c>
      <c r="R528" s="287">
        <v>2000000.01</v>
      </c>
      <c r="S528" s="300">
        <v>2500000</v>
      </c>
      <c r="T528" s="287">
        <v>0</v>
      </c>
      <c r="U528" s="287">
        <v>0</v>
      </c>
      <c r="V528" s="287">
        <v>0</v>
      </c>
      <c r="W528" s="287">
        <v>50</v>
      </c>
      <c r="X528" s="287">
        <v>0</v>
      </c>
      <c r="Y528" s="287">
        <v>999</v>
      </c>
      <c r="Z528" s="289">
        <v>700</v>
      </c>
      <c r="AA528" s="289">
        <v>719</v>
      </c>
      <c r="AB528" s="289">
        <v>9</v>
      </c>
      <c r="AC528" s="289">
        <v>999999</v>
      </c>
      <c r="AD528" s="287">
        <v>0</v>
      </c>
      <c r="AE528" s="290">
        <v>65</v>
      </c>
      <c r="AF528" s="170">
        <v>0</v>
      </c>
      <c r="AG528" s="171">
        <v>1</v>
      </c>
      <c r="AH528" s="171">
        <v>1</v>
      </c>
      <c r="AI528" s="171">
        <v>0</v>
      </c>
      <c r="AJ528" s="171">
        <v>0</v>
      </c>
      <c r="AK528" s="171">
        <v>1</v>
      </c>
      <c r="AL528" s="171">
        <v>0</v>
      </c>
      <c r="AM528" s="171">
        <v>1</v>
      </c>
      <c r="AN528" s="171">
        <v>1</v>
      </c>
      <c r="AO528" s="171">
        <v>1</v>
      </c>
      <c r="AP528" s="171">
        <v>1</v>
      </c>
      <c r="AQ528" s="171">
        <v>1</v>
      </c>
      <c r="AR528" s="171">
        <v>1</v>
      </c>
      <c r="AS528" s="171">
        <v>1</v>
      </c>
      <c r="AT528" s="171">
        <v>1</v>
      </c>
      <c r="AU528" s="171">
        <f t="shared" si="183"/>
        <v>0</v>
      </c>
      <c r="AV528" s="171">
        <f t="shared" si="184"/>
        <v>0</v>
      </c>
      <c r="AW528" s="171">
        <f t="shared" si="185"/>
        <v>1</v>
      </c>
      <c r="AX528" s="171">
        <f t="shared" si="197"/>
        <v>1</v>
      </c>
      <c r="AY528" s="171">
        <f t="shared" si="186"/>
        <v>0</v>
      </c>
      <c r="AZ528" s="171">
        <f t="shared" si="187"/>
        <v>1</v>
      </c>
      <c r="BA528" s="172">
        <f t="shared" si="188"/>
        <v>1</v>
      </c>
      <c r="BB528" s="175">
        <f t="shared" si="190"/>
        <v>15</v>
      </c>
      <c r="BC528" s="176">
        <f t="shared" si="191"/>
        <v>14</v>
      </c>
      <c r="BD528" s="176">
        <f t="shared" si="192"/>
        <v>15</v>
      </c>
      <c r="BE528" s="240" t="str">
        <f t="shared" si="215"/>
        <v/>
      </c>
      <c r="BH528" s="199">
        <f>IF(AND(Input_Product=Elig!$C528,Elig_MatchAll_Ct&lt;22,$BC528=(Elig_MatchAll_Ct-1),AF528=0),C528,0)</f>
        <v>0</v>
      </c>
      <c r="BI528" s="199">
        <f>IF(AND(Input_Product=Elig!$C528,Elig_MatchAll_Ct&lt;22,$BC528=(Elig_MatchAll_Ct-1),AG528=0),D528,0)</f>
        <v>0</v>
      </c>
      <c r="BJ528" s="199">
        <f>IF(AND(Input_Product=Elig!$C528,Elig_MatchAll_Ct&lt;22,$BC528=(Elig_MatchAll_Ct-1),AH528=0),E528,0)</f>
        <v>0</v>
      </c>
      <c r="BK528" s="199">
        <f>IF(AND(Input_Product=Elig!$C528,Elig_MatchAll_Ct&lt;22,$BC528=(Elig_MatchAll_Ct-1),AI528=0),F528,0)</f>
        <v>0</v>
      </c>
      <c r="BL528" s="199">
        <f>IF(AND(Input_Product=Elig!$C528,Elig_MatchAll_Ct&lt;22,$BC528=(Elig_MatchAll_Ct-1),AJ528=0),G528,0)</f>
        <v>0</v>
      </c>
      <c r="BM528" s="199">
        <f>IF(AND(Input_Product=Elig!$C528,Elig_MatchAll_Ct&lt;22,$BC528=(Elig_MatchAll_Ct-1),AK528=0),H528,0)</f>
        <v>0</v>
      </c>
      <c r="BN528" s="199">
        <f>IF(AND(Input_Product=Elig!$C528,Elig_MatchAll_Ct&lt;22,$BC528=(Elig_MatchAll_Ct-1),AL528=0),I528,0)</f>
        <v>0</v>
      </c>
      <c r="BO528" s="199">
        <f>IF(AND(Input_Product=Elig!$C528,Elig_MatchAll_Ct&lt;22,$BC528=(Elig_MatchAll_Ct-1),AM528=0),J528,0)</f>
        <v>0</v>
      </c>
      <c r="BP528" s="199">
        <f>IF(AND(Input_Product=Elig!$C528,Elig_MatchAll_Ct&lt;22,$BC528=(Elig_MatchAll_Ct-1),AN528=0),K528,0)</f>
        <v>0</v>
      </c>
      <c r="BQ528" s="199">
        <f>IF(AND(Input_Product=Elig!$C528,Elig_MatchAll_Ct&lt;22,$BC528=(Elig_MatchAll_Ct-1),AP528=0),L528,0)</f>
        <v>0</v>
      </c>
      <c r="BR528" s="199">
        <f>IF(AND(Input_Product=Elig!$C528,Elig_MatchAll_Ct&lt;22,$BC528=(Elig_MatchAll_Ct-1),AO528=0),M528,0)</f>
        <v>0</v>
      </c>
      <c r="BS528" s="199">
        <f>IF(AND(Input_Product=Elig!$C528,Elig_MatchAll_Ct&lt;22,$BC528=(Elig_MatchAll_Ct-1),AQ528=0),N528,0)</f>
        <v>0</v>
      </c>
      <c r="BT528" s="199">
        <f>IF(AND(Input_Product=Elig!$C528,Elig_MatchAll_Ct&lt;22,$BC528=(Elig_MatchAll_Ct-1),AR528=0),O528,0)</f>
        <v>0</v>
      </c>
      <c r="BU528" s="199">
        <f>IF(AND(Input_Product=Elig!$C528,Elig_MatchAll_Ct&lt;22,$BC528=(Elig_MatchAll_Ct-1),AS528=0),P528,0)</f>
        <v>0</v>
      </c>
      <c r="BV528" s="200">
        <f>IF(AND(Input_Product=Elig!$C528,Elig_MatchAll_Ct&lt;22,$BC528=(Elig_MatchAll_Ct-1),AT528=0),Q528,0)</f>
        <v>0</v>
      </c>
      <c r="BW528" s="201">
        <f>IF(AND(Input_Product=Elig!$C528,Elig_MatchAll_Ct&lt;22,$BC528=(Elig_MatchAll_Ct-1),AU528=0),R528,0)</f>
        <v>0</v>
      </c>
      <c r="BX528" s="202">
        <f>IF(AND(Input_Product=Elig!$C528,Elig_MatchAll_Ct&lt;22,$BC528=(Elig_MatchAll_Ct-1),AU528=0),S528,0)</f>
        <v>0</v>
      </c>
      <c r="BY528" s="201">
        <f>IF(AND(Input_Product=Elig!$C528,Elig_MatchAll_Ct&lt;22,$BC528=(Elig_MatchAll_Ct-1),AV528=0),T528,0)</f>
        <v>0</v>
      </c>
      <c r="BZ528" s="202">
        <f>IF(AND(Input_Product=Elig!$C528,Elig_MatchAll_Ct&lt;22,$BC528=(Elig_MatchAll_Ct-1),AV528=0),U528,0)</f>
        <v>0</v>
      </c>
      <c r="CA528" s="201">
        <f>IF(AND(Input_Product=Elig!$C528,Elig_MatchAll_Ct&lt;22,$BC528=(Elig_MatchAll_Ct-1),AW528=0),V528,0)</f>
        <v>0</v>
      </c>
      <c r="CB528" s="202">
        <f>IF(AND(Input_Product=Elig!$C528,Elig_MatchAll_Ct&lt;22,$BC528=(Elig_MatchAll_Ct-1),AW528=0),W528,0)</f>
        <v>0</v>
      </c>
      <c r="CC528" s="201">
        <f>IF(AND(Input_Product=Elig!$C528,Elig_MatchAll_Ct&lt;22,$BC528=(Elig_MatchAll_Ct-1),AX528=0),X528,0)</f>
        <v>0</v>
      </c>
      <c r="CD528" s="202">
        <f>IF(AND(Input_Product=Elig!$C528,Elig_MatchAll_Ct&lt;22,$BC528=(Elig_MatchAll_Ct-1),AX528=0),Y528,0)</f>
        <v>0</v>
      </c>
      <c r="CE528" s="201">
        <f>IF(AND(Input_LTV&lt;=AE528,Input_Product=Elig!$C528,Elig_MatchAll_Ct&lt;22,$BC528=(Elig_MatchAll_Ct-1),AY528=0),Z528,0)</f>
        <v>0</v>
      </c>
      <c r="CF528" s="202">
        <f>IF(AND(Input_LTV&lt;=AE528,Input_Product=Elig!$C528,Elig_MatchAll_Ct&lt;22,$BC528=(Elig_MatchAll_Ct-1),AY528=0),AA528,0)</f>
        <v>0</v>
      </c>
      <c r="CG528" s="201">
        <f>IF(AND(Input_Product=Elig!$C528,Elig_MatchAll_Ct&lt;22,$BC528=(Elig_MatchAll_Ct-1),AZ528=0),AB528,0)</f>
        <v>0</v>
      </c>
      <c r="CH528" s="202">
        <f>IF(AND(Input_Product=Elig!$C528,Elig_MatchAll_Ct&lt;22,$BC528=(Elig_MatchAll_Ct-1),AZ528=0),AC528,0)</f>
        <v>0</v>
      </c>
      <c r="CI528" s="201">
        <f>IF(AND(Input_Product=Elig!$C528,Elig_MatchAll_Ct&lt;22,$BC528=(Elig_MatchAll_Ct-1),BA528=0),AD528,0)</f>
        <v>0</v>
      </c>
      <c r="CJ528" s="202">
        <f>IF(AND(Input_Product=Elig!$C528,Elig_MatchAll_Ct&lt;22,$BC528=(Elig_MatchAll_Ct-1),BA528=0),AE528,0)</f>
        <v>0</v>
      </c>
    </row>
    <row r="529" spans="2:88" ht="10.15" customHeight="1" x14ac:dyDescent="0.25">
      <c r="B529" s="287" t="s">
        <v>4020</v>
      </c>
      <c r="C529" s="286" t="str">
        <f t="shared" si="175"/>
        <v>NonQM NOO</v>
      </c>
      <c r="D529" s="287" t="s">
        <v>3885</v>
      </c>
      <c r="E529" s="287" t="s">
        <v>167</v>
      </c>
      <c r="F529" s="287" t="s">
        <v>330</v>
      </c>
      <c r="G529" s="287" t="s">
        <v>305</v>
      </c>
      <c r="H529" s="287" t="s">
        <v>136</v>
      </c>
      <c r="I529" s="288" t="s">
        <v>274</v>
      </c>
      <c r="J529" s="288" t="s">
        <v>1311</v>
      </c>
      <c r="K529" s="288" t="s">
        <v>1631</v>
      </c>
      <c r="L529" s="300" t="s">
        <v>312</v>
      </c>
      <c r="M529" s="287" t="s">
        <v>4203</v>
      </c>
      <c r="N529" s="287" t="s">
        <v>2685</v>
      </c>
      <c r="O529" s="287" t="s">
        <v>310</v>
      </c>
      <c r="P529" s="287" t="s">
        <v>291</v>
      </c>
      <c r="Q529" s="287" t="s">
        <v>294</v>
      </c>
      <c r="R529" s="287">
        <v>2000000.01</v>
      </c>
      <c r="S529" s="300">
        <v>2500000</v>
      </c>
      <c r="T529" s="287">
        <v>0</v>
      </c>
      <c r="U529" s="287">
        <v>0</v>
      </c>
      <c r="V529" s="287">
        <v>0</v>
      </c>
      <c r="W529" s="287">
        <v>50</v>
      </c>
      <c r="X529" s="287">
        <v>0</v>
      </c>
      <c r="Y529" s="287">
        <v>999</v>
      </c>
      <c r="Z529" s="2101">
        <v>680</v>
      </c>
      <c r="AA529" s="2101">
        <v>699</v>
      </c>
      <c r="AB529" s="289">
        <v>9</v>
      </c>
      <c r="AC529" s="289">
        <v>999999</v>
      </c>
      <c r="AD529" s="287">
        <v>0</v>
      </c>
      <c r="AE529" s="290">
        <v>65</v>
      </c>
      <c r="AF529" s="170">
        <v>0</v>
      </c>
      <c r="AG529" s="171">
        <v>1</v>
      </c>
      <c r="AH529" s="171">
        <v>1</v>
      </c>
      <c r="AI529" s="171">
        <v>0</v>
      </c>
      <c r="AJ529" s="171">
        <v>0</v>
      </c>
      <c r="AK529" s="171">
        <v>1</v>
      </c>
      <c r="AL529" s="171">
        <v>0</v>
      </c>
      <c r="AM529" s="171">
        <v>1</v>
      </c>
      <c r="AN529" s="171">
        <v>1</v>
      </c>
      <c r="AO529" s="171">
        <v>1</v>
      </c>
      <c r="AP529" s="171">
        <v>1</v>
      </c>
      <c r="AQ529" s="171">
        <v>1</v>
      </c>
      <c r="AR529" s="171">
        <v>1</v>
      </c>
      <c r="AS529" s="171">
        <v>1</v>
      </c>
      <c r="AT529" s="171">
        <v>1</v>
      </c>
      <c r="AU529" s="171">
        <f t="shared" si="183"/>
        <v>0</v>
      </c>
      <c r="AV529" s="171">
        <f t="shared" si="184"/>
        <v>0</v>
      </c>
      <c r="AW529" s="171">
        <f t="shared" si="185"/>
        <v>1</v>
      </c>
      <c r="AX529" s="171">
        <f t="shared" si="197"/>
        <v>1</v>
      </c>
      <c r="AY529" s="171">
        <f t="shared" si="186"/>
        <v>0</v>
      </c>
      <c r="AZ529" s="171">
        <f t="shared" si="187"/>
        <v>1</v>
      </c>
      <c r="BA529" s="172">
        <f t="shared" si="188"/>
        <v>1</v>
      </c>
      <c r="BB529" s="175">
        <f t="shared" ref="BB529" si="224">SUM(AF529:BA529)</f>
        <v>15</v>
      </c>
      <c r="BC529" s="176">
        <f t="shared" ref="BC529" si="225">SUM(AF529:AZ529)</f>
        <v>14</v>
      </c>
      <c r="BD529" s="176">
        <f t="shared" ref="BD529" si="226">SUM(AG529:BA529)</f>
        <v>15</v>
      </c>
      <c r="BE529" s="240" t="str">
        <f t="shared" si="215"/>
        <v/>
      </c>
      <c r="BH529" s="199">
        <f>IF(AND(Input_Product=Elig!$C529,Elig_MatchAll_Ct&lt;22,$BC529=(Elig_MatchAll_Ct-1),AF529=0),C529,0)</f>
        <v>0</v>
      </c>
      <c r="BI529" s="199">
        <f>IF(AND(Input_Product=Elig!$C529,Elig_MatchAll_Ct&lt;22,$BC529=(Elig_MatchAll_Ct-1),AG529=0),D529,0)</f>
        <v>0</v>
      </c>
      <c r="BJ529" s="199">
        <f>IF(AND(Input_Product=Elig!$C529,Elig_MatchAll_Ct&lt;22,$BC529=(Elig_MatchAll_Ct-1),AH529=0),E529,0)</f>
        <v>0</v>
      </c>
      <c r="BK529" s="199">
        <f>IF(AND(Input_Product=Elig!$C529,Elig_MatchAll_Ct&lt;22,$BC529=(Elig_MatchAll_Ct-1),AI529=0),F529,0)</f>
        <v>0</v>
      </c>
      <c r="BL529" s="199">
        <f>IF(AND(Input_Product=Elig!$C529,Elig_MatchAll_Ct&lt;22,$BC529=(Elig_MatchAll_Ct-1),AJ529=0),G529,0)</f>
        <v>0</v>
      </c>
      <c r="BM529" s="199">
        <f>IF(AND(Input_Product=Elig!$C529,Elig_MatchAll_Ct&lt;22,$BC529=(Elig_MatchAll_Ct-1),AK529=0),H529,0)</f>
        <v>0</v>
      </c>
      <c r="BN529" s="199">
        <f>IF(AND(Input_Product=Elig!$C529,Elig_MatchAll_Ct&lt;22,$BC529=(Elig_MatchAll_Ct-1),AL529=0),I529,0)</f>
        <v>0</v>
      </c>
      <c r="BO529" s="199">
        <f>IF(AND(Input_Product=Elig!$C529,Elig_MatchAll_Ct&lt;22,$BC529=(Elig_MatchAll_Ct-1),AM529=0),J529,0)</f>
        <v>0</v>
      </c>
      <c r="BP529" s="199">
        <f>IF(AND(Input_Product=Elig!$C529,Elig_MatchAll_Ct&lt;22,$BC529=(Elig_MatchAll_Ct-1),AN529=0),K529,0)</f>
        <v>0</v>
      </c>
      <c r="BQ529" s="199">
        <f>IF(AND(Input_Product=Elig!$C529,Elig_MatchAll_Ct&lt;22,$BC529=(Elig_MatchAll_Ct-1),AP529=0),L529,0)</f>
        <v>0</v>
      </c>
      <c r="BR529" s="199">
        <f>IF(AND(Input_Product=Elig!$C529,Elig_MatchAll_Ct&lt;22,$BC529=(Elig_MatchAll_Ct-1),AO529=0),M529,0)</f>
        <v>0</v>
      </c>
      <c r="BS529" s="199">
        <f>IF(AND(Input_Product=Elig!$C529,Elig_MatchAll_Ct&lt;22,$BC529=(Elig_MatchAll_Ct-1),AQ529=0),N529,0)</f>
        <v>0</v>
      </c>
      <c r="BT529" s="199">
        <f>IF(AND(Input_Product=Elig!$C529,Elig_MatchAll_Ct&lt;22,$BC529=(Elig_MatchAll_Ct-1),AR529=0),O529,0)</f>
        <v>0</v>
      </c>
      <c r="BU529" s="199">
        <f>IF(AND(Input_Product=Elig!$C529,Elig_MatchAll_Ct&lt;22,$BC529=(Elig_MatchAll_Ct-1),AS529=0),P529,0)</f>
        <v>0</v>
      </c>
      <c r="BV529" s="200">
        <f>IF(AND(Input_Product=Elig!$C529,Elig_MatchAll_Ct&lt;22,$BC529=(Elig_MatchAll_Ct-1),AT529=0),Q529,0)</f>
        <v>0</v>
      </c>
      <c r="BW529" s="201">
        <f>IF(AND(Input_Product=Elig!$C529,Elig_MatchAll_Ct&lt;22,$BC529=(Elig_MatchAll_Ct-1),AU529=0),R529,0)</f>
        <v>0</v>
      </c>
      <c r="BX529" s="202">
        <f>IF(AND(Input_Product=Elig!$C529,Elig_MatchAll_Ct&lt;22,$BC529=(Elig_MatchAll_Ct-1),AU529=0),S529,0)</f>
        <v>0</v>
      </c>
      <c r="BY529" s="201">
        <f>IF(AND(Input_Product=Elig!$C529,Elig_MatchAll_Ct&lt;22,$BC529=(Elig_MatchAll_Ct-1),AV529=0),T529,0)</f>
        <v>0</v>
      </c>
      <c r="BZ529" s="202">
        <f>IF(AND(Input_Product=Elig!$C529,Elig_MatchAll_Ct&lt;22,$BC529=(Elig_MatchAll_Ct-1),AV529=0),U529,0)</f>
        <v>0</v>
      </c>
      <c r="CA529" s="201">
        <f>IF(AND(Input_Product=Elig!$C529,Elig_MatchAll_Ct&lt;22,$BC529=(Elig_MatchAll_Ct-1),AW529=0),V529,0)</f>
        <v>0</v>
      </c>
      <c r="CB529" s="202">
        <f>IF(AND(Input_Product=Elig!$C529,Elig_MatchAll_Ct&lt;22,$BC529=(Elig_MatchAll_Ct-1),AW529=0),W529,0)</f>
        <v>0</v>
      </c>
      <c r="CC529" s="201">
        <f>IF(AND(Input_Product=Elig!$C529,Elig_MatchAll_Ct&lt;22,$BC529=(Elig_MatchAll_Ct-1),AX529=0),X529,0)</f>
        <v>0</v>
      </c>
      <c r="CD529" s="202">
        <f>IF(AND(Input_Product=Elig!$C529,Elig_MatchAll_Ct&lt;22,$BC529=(Elig_MatchAll_Ct-1),AX529=0),Y529,0)</f>
        <v>0</v>
      </c>
      <c r="CE529" s="201">
        <f>IF(AND(Input_LTV&lt;=AE529,Input_Product=Elig!$C529,Elig_MatchAll_Ct&lt;22,$BC529=(Elig_MatchAll_Ct-1),AY529=0),Z529,0)</f>
        <v>0</v>
      </c>
      <c r="CF529" s="202">
        <f>IF(AND(Input_LTV&lt;=AE529,Input_Product=Elig!$C529,Elig_MatchAll_Ct&lt;22,$BC529=(Elig_MatchAll_Ct-1),AY529=0),AA529,0)</f>
        <v>0</v>
      </c>
      <c r="CG529" s="201">
        <f>IF(AND(Input_Product=Elig!$C529,Elig_MatchAll_Ct&lt;22,$BC529=(Elig_MatchAll_Ct-1),AZ529=0),AB529,0)</f>
        <v>0</v>
      </c>
      <c r="CH529" s="202">
        <f>IF(AND(Input_Product=Elig!$C529,Elig_MatchAll_Ct&lt;22,$BC529=(Elig_MatchAll_Ct-1),AZ529=0),AC529,0)</f>
        <v>0</v>
      </c>
      <c r="CI529" s="201">
        <f>IF(AND(Input_Product=Elig!$C529,Elig_MatchAll_Ct&lt;22,$BC529=(Elig_MatchAll_Ct-1),BA529=0),AD529,0)</f>
        <v>0</v>
      </c>
      <c r="CJ529" s="202">
        <f>IF(AND(Input_Product=Elig!$C529,Elig_MatchAll_Ct&lt;22,$BC529=(Elig_MatchAll_Ct-1),BA529=0),AE529,0)</f>
        <v>0</v>
      </c>
    </row>
    <row r="530" spans="2:88" ht="10.15" customHeight="1" x14ac:dyDescent="0.25">
      <c r="B530" s="287" t="s">
        <v>4021</v>
      </c>
      <c r="C530" s="291" t="str">
        <f t="shared" si="175"/>
        <v>NonQM NOO</v>
      </c>
      <c r="D530" s="292" t="s">
        <v>3885</v>
      </c>
      <c r="E530" s="292" t="s">
        <v>167</v>
      </c>
      <c r="F530" s="292" t="s">
        <v>330</v>
      </c>
      <c r="G530" s="292" t="s">
        <v>305</v>
      </c>
      <c r="H530" s="292" t="s">
        <v>136</v>
      </c>
      <c r="I530" s="295" t="s">
        <v>274</v>
      </c>
      <c r="J530" s="295" t="s">
        <v>1311</v>
      </c>
      <c r="K530" s="295" t="s">
        <v>1631</v>
      </c>
      <c r="L530" s="324" t="s">
        <v>312</v>
      </c>
      <c r="M530" s="292" t="s">
        <v>4203</v>
      </c>
      <c r="N530" s="292" t="s">
        <v>2685</v>
      </c>
      <c r="O530" s="292" t="s">
        <v>310</v>
      </c>
      <c r="P530" s="292" t="s">
        <v>291</v>
      </c>
      <c r="Q530" s="292" t="s">
        <v>294</v>
      </c>
      <c r="R530" s="292">
        <v>2000000.01</v>
      </c>
      <c r="S530" s="324">
        <v>2500000</v>
      </c>
      <c r="T530" s="292">
        <v>0</v>
      </c>
      <c r="U530" s="292">
        <v>0</v>
      </c>
      <c r="V530" s="292">
        <v>0</v>
      </c>
      <c r="W530" s="292">
        <v>50</v>
      </c>
      <c r="X530" s="292">
        <v>0</v>
      </c>
      <c r="Y530" s="292">
        <v>999</v>
      </c>
      <c r="Z530" s="2102">
        <v>660</v>
      </c>
      <c r="AA530" s="2102">
        <v>679</v>
      </c>
      <c r="AB530" s="293">
        <v>9</v>
      </c>
      <c r="AC530" s="293">
        <v>999999</v>
      </c>
      <c r="AD530" s="292">
        <v>0</v>
      </c>
      <c r="AE530" s="294">
        <v>65</v>
      </c>
      <c r="AF530" s="170">
        <v>0</v>
      </c>
      <c r="AG530" s="171">
        <v>1</v>
      </c>
      <c r="AH530" s="171">
        <v>1</v>
      </c>
      <c r="AI530" s="171">
        <v>0</v>
      </c>
      <c r="AJ530" s="171">
        <v>0</v>
      </c>
      <c r="AK530" s="171">
        <v>1</v>
      </c>
      <c r="AL530" s="171">
        <v>0</v>
      </c>
      <c r="AM530" s="171">
        <v>1</v>
      </c>
      <c r="AN530" s="171">
        <v>1</v>
      </c>
      <c r="AO530" s="171">
        <v>1</v>
      </c>
      <c r="AP530" s="171">
        <v>1</v>
      </c>
      <c r="AQ530" s="171">
        <v>1</v>
      </c>
      <c r="AR530" s="171">
        <v>1</v>
      </c>
      <c r="AS530" s="171">
        <v>1</v>
      </c>
      <c r="AT530" s="171">
        <v>1</v>
      </c>
      <c r="AU530" s="171">
        <f t="shared" si="183"/>
        <v>0</v>
      </c>
      <c r="AV530" s="171">
        <f t="shared" si="184"/>
        <v>0</v>
      </c>
      <c r="AW530" s="171">
        <f t="shared" si="185"/>
        <v>1</v>
      </c>
      <c r="AX530" s="171">
        <f t="shared" si="197"/>
        <v>1</v>
      </c>
      <c r="AY530" s="171">
        <f t="shared" si="186"/>
        <v>0</v>
      </c>
      <c r="AZ530" s="171">
        <f t="shared" si="187"/>
        <v>1</v>
      </c>
      <c r="BA530" s="172">
        <f t="shared" si="188"/>
        <v>1</v>
      </c>
      <c r="BB530" s="175">
        <f t="shared" si="190"/>
        <v>15</v>
      </c>
      <c r="BC530" s="176">
        <f t="shared" si="191"/>
        <v>14</v>
      </c>
      <c r="BD530" s="176">
        <f t="shared" si="192"/>
        <v>15</v>
      </c>
      <c r="BE530" s="240" t="str">
        <f t="shared" si="215"/>
        <v/>
      </c>
      <c r="BH530" s="214">
        <f>IF(AND(Input_Product=Elig!$C530,Elig_MatchAll_Ct&lt;22,$BC530=(Elig_MatchAll_Ct-1),AF530=0),C530,0)</f>
        <v>0</v>
      </c>
      <c r="BI530" s="214">
        <f>IF(AND(Input_Product=Elig!$C530,Elig_MatchAll_Ct&lt;22,$BC530=(Elig_MatchAll_Ct-1),AG530=0),D530,0)</f>
        <v>0</v>
      </c>
      <c r="BJ530" s="214">
        <f>IF(AND(Input_Product=Elig!$C530,Elig_MatchAll_Ct&lt;22,$BC530=(Elig_MatchAll_Ct-1),AH530=0),E530,0)</f>
        <v>0</v>
      </c>
      <c r="BK530" s="214">
        <f>IF(AND(Input_Product=Elig!$C530,Elig_MatchAll_Ct&lt;22,$BC530=(Elig_MatchAll_Ct-1),AI530=0),F530,0)</f>
        <v>0</v>
      </c>
      <c r="BL530" s="214">
        <f>IF(AND(Input_Product=Elig!$C530,Elig_MatchAll_Ct&lt;22,$BC530=(Elig_MatchAll_Ct-1),AJ530=0),G530,0)</f>
        <v>0</v>
      </c>
      <c r="BM530" s="214">
        <f>IF(AND(Input_Product=Elig!$C530,Elig_MatchAll_Ct&lt;22,$BC530=(Elig_MatchAll_Ct-1),AK530=0),H530,0)</f>
        <v>0</v>
      </c>
      <c r="BN530" s="214">
        <f>IF(AND(Input_Product=Elig!$C530,Elig_MatchAll_Ct&lt;22,$BC530=(Elig_MatchAll_Ct-1),AL530=0),I530,0)</f>
        <v>0</v>
      </c>
      <c r="BO530" s="214">
        <f>IF(AND(Input_Product=Elig!$C530,Elig_MatchAll_Ct&lt;22,$BC530=(Elig_MatchAll_Ct-1),AM530=0),J530,0)</f>
        <v>0</v>
      </c>
      <c r="BP530" s="214">
        <f>IF(AND(Input_Product=Elig!$C530,Elig_MatchAll_Ct&lt;22,$BC530=(Elig_MatchAll_Ct-1),AN530=0),K530,0)</f>
        <v>0</v>
      </c>
      <c r="BQ530" s="214">
        <f>IF(AND(Input_Product=Elig!$C530,Elig_MatchAll_Ct&lt;22,$BC530=(Elig_MatchAll_Ct-1),AP530=0),L530,0)</f>
        <v>0</v>
      </c>
      <c r="BR530" s="214">
        <f>IF(AND(Input_Product=Elig!$C530,Elig_MatchAll_Ct&lt;22,$BC530=(Elig_MatchAll_Ct-1),AO530=0),M530,0)</f>
        <v>0</v>
      </c>
      <c r="BS530" s="214">
        <f>IF(AND(Input_Product=Elig!$C530,Elig_MatchAll_Ct&lt;22,$BC530=(Elig_MatchAll_Ct-1),AQ530=0),N530,0)</f>
        <v>0</v>
      </c>
      <c r="BT530" s="214">
        <f>IF(AND(Input_Product=Elig!$C530,Elig_MatchAll_Ct&lt;22,$BC530=(Elig_MatchAll_Ct-1),AR530=0),O530,0)</f>
        <v>0</v>
      </c>
      <c r="BU530" s="214">
        <f>IF(AND(Input_Product=Elig!$C530,Elig_MatchAll_Ct&lt;22,$BC530=(Elig_MatchAll_Ct-1),AS530=0),P530,0)</f>
        <v>0</v>
      </c>
      <c r="BV530" s="215">
        <f>IF(AND(Input_Product=Elig!$C530,Elig_MatchAll_Ct&lt;22,$BC530=(Elig_MatchAll_Ct-1),AT530=0),Q530,0)</f>
        <v>0</v>
      </c>
      <c r="BW530" s="311">
        <f>IF(AND(Input_Product=Elig!$C530,Elig_MatchAll_Ct&lt;22,$BC530=(Elig_MatchAll_Ct-1),AU530=0),R530,0)</f>
        <v>0</v>
      </c>
      <c r="BX530" s="312">
        <f>IF(AND(Input_Product=Elig!$C530,Elig_MatchAll_Ct&lt;22,$BC530=(Elig_MatchAll_Ct-1),AU530=0),S530,0)</f>
        <v>0</v>
      </c>
      <c r="BY530" s="311">
        <f>IF(AND(Input_Product=Elig!$C530,Elig_MatchAll_Ct&lt;22,$BC530=(Elig_MatchAll_Ct-1),AV530=0),T530,0)</f>
        <v>0</v>
      </c>
      <c r="BZ530" s="312">
        <f>IF(AND(Input_Product=Elig!$C530,Elig_MatchAll_Ct&lt;22,$BC530=(Elig_MatchAll_Ct-1),AV530=0),U530,0)</f>
        <v>0</v>
      </c>
      <c r="CA530" s="311">
        <f>IF(AND(Input_Product=Elig!$C530,Elig_MatchAll_Ct&lt;22,$BC530=(Elig_MatchAll_Ct-1),AW530=0),V530,0)</f>
        <v>0</v>
      </c>
      <c r="CB530" s="312">
        <f>IF(AND(Input_Product=Elig!$C530,Elig_MatchAll_Ct&lt;22,$BC530=(Elig_MatchAll_Ct-1),AW530=0),W530,0)</f>
        <v>0</v>
      </c>
      <c r="CC530" s="311">
        <f>IF(AND(Input_Product=Elig!$C530,Elig_MatchAll_Ct&lt;22,$BC530=(Elig_MatchAll_Ct-1),AX530=0),X530,0)</f>
        <v>0</v>
      </c>
      <c r="CD530" s="312">
        <f>IF(AND(Input_Product=Elig!$C530,Elig_MatchAll_Ct&lt;22,$BC530=(Elig_MatchAll_Ct-1),AX530=0),Y530,0)</f>
        <v>0</v>
      </c>
      <c r="CE530" s="311">
        <f>IF(AND(Input_LTV&lt;=AE530,Input_Product=Elig!$C530,Elig_MatchAll_Ct&lt;22,$BC530=(Elig_MatchAll_Ct-1),AY530=0),Z530,0)</f>
        <v>0</v>
      </c>
      <c r="CF530" s="312">
        <f>IF(AND(Input_LTV&lt;=AE530,Input_Product=Elig!$C530,Elig_MatchAll_Ct&lt;22,$BC530=(Elig_MatchAll_Ct-1),AY530=0),AA530,0)</f>
        <v>0</v>
      </c>
      <c r="CG530" s="311">
        <f>IF(AND(Input_Product=Elig!$C530,Elig_MatchAll_Ct&lt;22,$BC530=(Elig_MatchAll_Ct-1),AZ530=0),AB530,0)</f>
        <v>0</v>
      </c>
      <c r="CH530" s="312">
        <f>IF(AND(Input_Product=Elig!$C530,Elig_MatchAll_Ct&lt;22,$BC530=(Elig_MatchAll_Ct-1),AZ530=0),AC530,0)</f>
        <v>0</v>
      </c>
      <c r="CI530" s="311">
        <f>IF(AND(Input_Product=Elig!$C530,Elig_MatchAll_Ct&lt;22,$BC530=(Elig_MatchAll_Ct-1),BA530=0),AD530,0)</f>
        <v>0</v>
      </c>
      <c r="CJ530" s="312">
        <f>IF(AND(Input_Product=Elig!$C530,Elig_MatchAll_Ct&lt;22,$BC530=(Elig_MatchAll_Ct-1),BA530=0),AE530,0)</f>
        <v>0</v>
      </c>
    </row>
    <row r="531" spans="2:88" ht="10.15" customHeight="1" x14ac:dyDescent="0.25">
      <c r="B531" s="287" t="s">
        <v>4022</v>
      </c>
      <c r="C531" s="281" t="str">
        <f t="shared" si="175"/>
        <v>NonQM NOO</v>
      </c>
      <c r="D531" s="282" t="s">
        <v>3885</v>
      </c>
      <c r="E531" s="283" t="s">
        <v>167</v>
      </c>
      <c r="F531" s="283" t="s">
        <v>330</v>
      </c>
      <c r="G531" s="283" t="s">
        <v>305</v>
      </c>
      <c r="H531" s="283" t="s">
        <v>136</v>
      </c>
      <c r="I531" s="282" t="s">
        <v>16</v>
      </c>
      <c r="J531" s="282" t="s">
        <v>1311</v>
      </c>
      <c r="K531" s="282" t="s">
        <v>1631</v>
      </c>
      <c r="L531" s="2103" t="s">
        <v>312</v>
      </c>
      <c r="M531" s="283" t="s">
        <v>4203</v>
      </c>
      <c r="N531" s="283" t="s">
        <v>2685</v>
      </c>
      <c r="O531" s="283" t="s">
        <v>310</v>
      </c>
      <c r="P531" s="283" t="s">
        <v>291</v>
      </c>
      <c r="Q531" s="283" t="s">
        <v>294</v>
      </c>
      <c r="R531" s="282">
        <v>2000000.01</v>
      </c>
      <c r="S531" s="323">
        <v>2500000</v>
      </c>
      <c r="T531" s="282">
        <v>0</v>
      </c>
      <c r="U531" s="282">
        <f t="shared" ref="U531:U534" si="227">S531</f>
        <v>2500000</v>
      </c>
      <c r="V531" s="282">
        <v>0</v>
      </c>
      <c r="W531" s="282">
        <v>50</v>
      </c>
      <c r="X531" s="282">
        <v>0</v>
      </c>
      <c r="Y531" s="282">
        <v>999</v>
      </c>
      <c r="Z531" s="284">
        <v>720</v>
      </c>
      <c r="AA531" s="284">
        <v>999</v>
      </c>
      <c r="AB531" s="284">
        <v>9</v>
      </c>
      <c r="AC531" s="284">
        <v>999999</v>
      </c>
      <c r="AD531" s="282">
        <v>0</v>
      </c>
      <c r="AE531" s="285">
        <v>60</v>
      </c>
      <c r="AF531" s="170">
        <v>0</v>
      </c>
      <c r="AG531" s="171">
        <v>1</v>
      </c>
      <c r="AH531" s="171">
        <v>1</v>
      </c>
      <c r="AI531" s="171">
        <v>0</v>
      </c>
      <c r="AJ531" s="171">
        <v>0</v>
      </c>
      <c r="AK531" s="171">
        <v>1</v>
      </c>
      <c r="AL531" s="171">
        <v>1</v>
      </c>
      <c r="AM531" s="171">
        <v>1</v>
      </c>
      <c r="AN531" s="171">
        <v>1</v>
      </c>
      <c r="AO531" s="171">
        <v>1</v>
      </c>
      <c r="AP531" s="171">
        <v>1</v>
      </c>
      <c r="AQ531" s="171">
        <v>1</v>
      </c>
      <c r="AR531" s="171">
        <v>1</v>
      </c>
      <c r="AS531" s="171">
        <v>1</v>
      </c>
      <c r="AT531" s="171">
        <v>1</v>
      </c>
      <c r="AU531" s="171">
        <f t="shared" si="183"/>
        <v>0</v>
      </c>
      <c r="AV531" s="171">
        <f t="shared" si="184"/>
        <v>1</v>
      </c>
      <c r="AW531" s="171">
        <f t="shared" si="185"/>
        <v>1</v>
      </c>
      <c r="AX531" s="171">
        <f t="shared" si="197"/>
        <v>1</v>
      </c>
      <c r="AY531" s="171">
        <f t="shared" si="186"/>
        <v>1</v>
      </c>
      <c r="AZ531" s="171">
        <f t="shared" si="187"/>
        <v>1</v>
      </c>
      <c r="BA531" s="172">
        <f t="shared" si="188"/>
        <v>0</v>
      </c>
      <c r="BB531" s="175">
        <f t="shared" si="190"/>
        <v>17</v>
      </c>
      <c r="BC531" s="176">
        <f t="shared" si="191"/>
        <v>17</v>
      </c>
      <c r="BD531" s="176">
        <f t="shared" si="192"/>
        <v>17</v>
      </c>
      <c r="BE531" s="240" t="str">
        <f t="shared" si="215"/>
        <v/>
      </c>
      <c r="BH531" s="210">
        <f>IF(AND(Input_Product=Elig!$C531,Elig_MatchAll_Ct&lt;22,$BC531=(Elig_MatchAll_Ct-1),AF531=0),C531,0)</f>
        <v>0</v>
      </c>
      <c r="BI531" s="210">
        <f>IF(AND(Input_Product=Elig!$C531,Elig_MatchAll_Ct&lt;22,$BC531=(Elig_MatchAll_Ct-1),AG531=0),D531,0)</f>
        <v>0</v>
      </c>
      <c r="BJ531" s="210">
        <f>IF(AND(Input_Product=Elig!$C531,Elig_MatchAll_Ct&lt;22,$BC531=(Elig_MatchAll_Ct-1),AH531=0),E531,0)</f>
        <v>0</v>
      </c>
      <c r="BK531" s="210">
        <f>IF(AND(Input_Product=Elig!$C531,Elig_MatchAll_Ct&lt;22,$BC531=(Elig_MatchAll_Ct-1),AI531=0),F531,0)</f>
        <v>0</v>
      </c>
      <c r="BL531" s="210">
        <f>IF(AND(Input_Product=Elig!$C531,Elig_MatchAll_Ct&lt;22,$BC531=(Elig_MatchAll_Ct-1),AJ531=0),G531,0)</f>
        <v>0</v>
      </c>
      <c r="BM531" s="210">
        <f>IF(AND(Input_Product=Elig!$C531,Elig_MatchAll_Ct&lt;22,$BC531=(Elig_MatchAll_Ct-1),AK531=0),H531,0)</f>
        <v>0</v>
      </c>
      <c r="BN531" s="210">
        <f>IF(AND(Input_Product=Elig!$C531,Elig_MatchAll_Ct&lt;22,$BC531=(Elig_MatchAll_Ct-1),AL531=0),I531,0)</f>
        <v>0</v>
      </c>
      <c r="BO531" s="210">
        <f>IF(AND(Input_Product=Elig!$C531,Elig_MatchAll_Ct&lt;22,$BC531=(Elig_MatchAll_Ct-1),AM531=0),J531,0)</f>
        <v>0</v>
      </c>
      <c r="BP531" s="210">
        <f>IF(AND(Input_Product=Elig!$C531,Elig_MatchAll_Ct&lt;22,$BC531=(Elig_MatchAll_Ct-1),AN531=0),K531,0)</f>
        <v>0</v>
      </c>
      <c r="BQ531" s="210">
        <f>IF(AND(Input_Product=Elig!$C531,Elig_MatchAll_Ct&lt;22,$BC531=(Elig_MatchAll_Ct-1),AP531=0),L531,0)</f>
        <v>0</v>
      </c>
      <c r="BR531" s="210">
        <f>IF(AND(Input_Product=Elig!$C531,Elig_MatchAll_Ct&lt;22,$BC531=(Elig_MatchAll_Ct-1),AO531=0),M531,0)</f>
        <v>0</v>
      </c>
      <c r="BS531" s="210">
        <f>IF(AND(Input_Product=Elig!$C531,Elig_MatchAll_Ct&lt;22,$BC531=(Elig_MatchAll_Ct-1),AQ531=0),N531,0)</f>
        <v>0</v>
      </c>
      <c r="BT531" s="210">
        <f>IF(AND(Input_Product=Elig!$C531,Elig_MatchAll_Ct&lt;22,$BC531=(Elig_MatchAll_Ct-1),AR531=0),O531,0)</f>
        <v>0</v>
      </c>
      <c r="BU531" s="210">
        <f>IF(AND(Input_Product=Elig!$C531,Elig_MatchAll_Ct&lt;22,$BC531=(Elig_MatchAll_Ct-1),AS531=0),P531,0)</f>
        <v>0</v>
      </c>
      <c r="BV531" s="211">
        <f>IF(AND(Input_Product=Elig!$C531,Elig_MatchAll_Ct&lt;22,$BC531=(Elig_MatchAll_Ct-1),AT531=0),Q531,0)</f>
        <v>0</v>
      </c>
      <c r="BW531" s="212">
        <f>IF(AND(Input_Product=Elig!$C531,Elig_MatchAll_Ct&lt;22,$BC531=(Elig_MatchAll_Ct-1),AU531=0),R531,0)</f>
        <v>0</v>
      </c>
      <c r="BX531" s="213">
        <f>IF(AND(Input_Product=Elig!$C531,Elig_MatchAll_Ct&lt;22,$BC531=(Elig_MatchAll_Ct-1),AU531=0),S531,0)</f>
        <v>0</v>
      </c>
      <c r="BY531" s="212">
        <f>IF(AND(Input_Product=Elig!$C531,Elig_MatchAll_Ct&lt;22,$BC531=(Elig_MatchAll_Ct-1),AV531=0),T531,0)</f>
        <v>0</v>
      </c>
      <c r="BZ531" s="213">
        <f>IF(AND(Input_Product=Elig!$C531,Elig_MatchAll_Ct&lt;22,$BC531=(Elig_MatchAll_Ct-1),AV531=0),U531,0)</f>
        <v>0</v>
      </c>
      <c r="CA531" s="212">
        <f>IF(AND(Input_Product=Elig!$C531,Elig_MatchAll_Ct&lt;22,$BC531=(Elig_MatchAll_Ct-1),AW531=0),V531,0)</f>
        <v>0</v>
      </c>
      <c r="CB531" s="213">
        <f>IF(AND(Input_Product=Elig!$C531,Elig_MatchAll_Ct&lt;22,$BC531=(Elig_MatchAll_Ct-1),AW531=0),W531,0)</f>
        <v>0</v>
      </c>
      <c r="CC531" s="212">
        <f>IF(AND(Input_Product=Elig!$C531,Elig_MatchAll_Ct&lt;22,$BC531=(Elig_MatchAll_Ct-1),AX531=0),X531,0)</f>
        <v>0</v>
      </c>
      <c r="CD531" s="213">
        <f>IF(AND(Input_Product=Elig!$C531,Elig_MatchAll_Ct&lt;22,$BC531=(Elig_MatchAll_Ct-1),AX531=0),Y531,0)</f>
        <v>0</v>
      </c>
      <c r="CE531" s="212">
        <f>IF(AND(Input_LTV&lt;=AE531,Input_Product=Elig!$C531,Elig_MatchAll_Ct&lt;22,$BC531=(Elig_MatchAll_Ct-1),AY531=0),Z531,0)</f>
        <v>0</v>
      </c>
      <c r="CF531" s="213">
        <f>IF(AND(Input_LTV&lt;=AE531,Input_Product=Elig!$C531,Elig_MatchAll_Ct&lt;22,$BC531=(Elig_MatchAll_Ct-1),AY531=0),AA531,0)</f>
        <v>0</v>
      </c>
      <c r="CG531" s="212">
        <f>IF(AND(Input_Product=Elig!$C531,Elig_MatchAll_Ct&lt;22,$BC531=(Elig_MatchAll_Ct-1),AZ531=0),AB531,0)</f>
        <v>0</v>
      </c>
      <c r="CH531" s="213">
        <f>IF(AND(Input_Product=Elig!$C531,Elig_MatchAll_Ct&lt;22,$BC531=(Elig_MatchAll_Ct-1),AZ531=0),AC531,0)</f>
        <v>0</v>
      </c>
      <c r="CI531" s="212">
        <f>IF(AND(Input_Product=Elig!$C531,Elig_MatchAll_Ct&lt;22,$BC531=(Elig_MatchAll_Ct-1),BA531=0),AD531,0)</f>
        <v>0</v>
      </c>
      <c r="CJ531" s="213">
        <f>IF(AND(Input_Product=Elig!$C531,Elig_MatchAll_Ct&lt;22,$BC531=(Elig_MatchAll_Ct-1),BA531=0),AE531,0)</f>
        <v>0</v>
      </c>
    </row>
    <row r="532" spans="2:88" ht="10.15" customHeight="1" x14ac:dyDescent="0.25">
      <c r="B532" s="287" t="s">
        <v>4023</v>
      </c>
      <c r="C532" s="286" t="str">
        <f t="shared" si="175"/>
        <v>NonQM NOO</v>
      </c>
      <c r="D532" s="287" t="s">
        <v>3885</v>
      </c>
      <c r="E532" s="287" t="s">
        <v>167</v>
      </c>
      <c r="F532" s="287" t="s">
        <v>330</v>
      </c>
      <c r="G532" s="287" t="s">
        <v>305</v>
      </c>
      <c r="H532" s="287" t="s">
        <v>136</v>
      </c>
      <c r="I532" s="288" t="s">
        <v>16</v>
      </c>
      <c r="J532" s="288" t="s">
        <v>1311</v>
      </c>
      <c r="K532" s="288" t="s">
        <v>1631</v>
      </c>
      <c r="L532" s="300" t="s">
        <v>312</v>
      </c>
      <c r="M532" s="287" t="s">
        <v>4203</v>
      </c>
      <c r="N532" s="287" t="s">
        <v>2685</v>
      </c>
      <c r="O532" s="287" t="s">
        <v>310</v>
      </c>
      <c r="P532" s="287" t="s">
        <v>291</v>
      </c>
      <c r="Q532" s="287" t="s">
        <v>294</v>
      </c>
      <c r="R532" s="287">
        <v>2000000.01</v>
      </c>
      <c r="S532" s="300">
        <v>2500000</v>
      </c>
      <c r="T532" s="287">
        <v>0</v>
      </c>
      <c r="U532" s="287">
        <f t="shared" si="227"/>
        <v>2500000</v>
      </c>
      <c r="V532" s="287">
        <v>0</v>
      </c>
      <c r="W532" s="287">
        <v>50</v>
      </c>
      <c r="X532" s="287">
        <v>0</v>
      </c>
      <c r="Y532" s="287">
        <v>999</v>
      </c>
      <c r="Z532" s="289">
        <v>700</v>
      </c>
      <c r="AA532" s="289">
        <v>719</v>
      </c>
      <c r="AB532" s="289">
        <v>9</v>
      </c>
      <c r="AC532" s="289">
        <v>999999</v>
      </c>
      <c r="AD532" s="287">
        <v>0</v>
      </c>
      <c r="AE532" s="290">
        <v>60</v>
      </c>
      <c r="AF532" s="170">
        <v>0</v>
      </c>
      <c r="AG532" s="171">
        <v>1</v>
      </c>
      <c r="AH532" s="171">
        <v>1</v>
      </c>
      <c r="AI532" s="171">
        <v>0</v>
      </c>
      <c r="AJ532" s="171">
        <v>0</v>
      </c>
      <c r="AK532" s="171">
        <v>1</v>
      </c>
      <c r="AL532" s="171">
        <v>1</v>
      </c>
      <c r="AM532" s="171">
        <v>1</v>
      </c>
      <c r="AN532" s="171">
        <v>1</v>
      </c>
      <c r="AO532" s="171">
        <v>1</v>
      </c>
      <c r="AP532" s="171">
        <v>1</v>
      </c>
      <c r="AQ532" s="171">
        <v>1</v>
      </c>
      <c r="AR532" s="171">
        <v>1</v>
      </c>
      <c r="AS532" s="171">
        <v>1</v>
      </c>
      <c r="AT532" s="171">
        <v>1</v>
      </c>
      <c r="AU532" s="171">
        <f t="shared" si="183"/>
        <v>0</v>
      </c>
      <c r="AV532" s="171">
        <f t="shared" si="184"/>
        <v>1</v>
      </c>
      <c r="AW532" s="171">
        <f t="shared" si="185"/>
        <v>1</v>
      </c>
      <c r="AX532" s="171">
        <f t="shared" si="197"/>
        <v>1</v>
      </c>
      <c r="AY532" s="171">
        <f t="shared" si="186"/>
        <v>0</v>
      </c>
      <c r="AZ532" s="171">
        <f t="shared" si="187"/>
        <v>1</v>
      </c>
      <c r="BA532" s="172">
        <f t="shared" si="188"/>
        <v>0</v>
      </c>
      <c r="BB532" s="175">
        <f t="shared" si="190"/>
        <v>16</v>
      </c>
      <c r="BC532" s="176">
        <f t="shared" si="191"/>
        <v>16</v>
      </c>
      <c r="BD532" s="176">
        <f t="shared" si="192"/>
        <v>16</v>
      </c>
      <c r="BE532" s="240" t="str">
        <f t="shared" si="215"/>
        <v/>
      </c>
      <c r="BH532" s="199">
        <f>IF(AND(Input_Product=Elig!$C532,Elig_MatchAll_Ct&lt;22,$BC532=(Elig_MatchAll_Ct-1),AF532=0),C532,0)</f>
        <v>0</v>
      </c>
      <c r="BI532" s="199">
        <f>IF(AND(Input_Product=Elig!$C532,Elig_MatchAll_Ct&lt;22,$BC532=(Elig_MatchAll_Ct-1),AG532=0),D532,0)</f>
        <v>0</v>
      </c>
      <c r="BJ532" s="199">
        <f>IF(AND(Input_Product=Elig!$C532,Elig_MatchAll_Ct&lt;22,$BC532=(Elig_MatchAll_Ct-1),AH532=0),E532,0)</f>
        <v>0</v>
      </c>
      <c r="BK532" s="199">
        <f>IF(AND(Input_Product=Elig!$C532,Elig_MatchAll_Ct&lt;22,$BC532=(Elig_MatchAll_Ct-1),AI532=0),F532,0)</f>
        <v>0</v>
      </c>
      <c r="BL532" s="199">
        <f>IF(AND(Input_Product=Elig!$C532,Elig_MatchAll_Ct&lt;22,$BC532=(Elig_MatchAll_Ct-1),AJ532=0),G532,0)</f>
        <v>0</v>
      </c>
      <c r="BM532" s="199">
        <f>IF(AND(Input_Product=Elig!$C532,Elig_MatchAll_Ct&lt;22,$BC532=(Elig_MatchAll_Ct-1),AK532=0),H532,0)</f>
        <v>0</v>
      </c>
      <c r="BN532" s="199">
        <f>IF(AND(Input_Product=Elig!$C532,Elig_MatchAll_Ct&lt;22,$BC532=(Elig_MatchAll_Ct-1),AL532=0),I532,0)</f>
        <v>0</v>
      </c>
      <c r="BO532" s="199">
        <f>IF(AND(Input_Product=Elig!$C532,Elig_MatchAll_Ct&lt;22,$BC532=(Elig_MatchAll_Ct-1),AM532=0),J532,0)</f>
        <v>0</v>
      </c>
      <c r="BP532" s="199">
        <f>IF(AND(Input_Product=Elig!$C532,Elig_MatchAll_Ct&lt;22,$BC532=(Elig_MatchAll_Ct-1),AN532=0),K532,0)</f>
        <v>0</v>
      </c>
      <c r="BQ532" s="199">
        <f>IF(AND(Input_Product=Elig!$C532,Elig_MatchAll_Ct&lt;22,$BC532=(Elig_MatchAll_Ct-1),AP532=0),L532,0)</f>
        <v>0</v>
      </c>
      <c r="BR532" s="199">
        <f>IF(AND(Input_Product=Elig!$C532,Elig_MatchAll_Ct&lt;22,$BC532=(Elig_MatchAll_Ct-1),AO532=0),M532,0)</f>
        <v>0</v>
      </c>
      <c r="BS532" s="199">
        <f>IF(AND(Input_Product=Elig!$C532,Elig_MatchAll_Ct&lt;22,$BC532=(Elig_MatchAll_Ct-1),AQ532=0),N532,0)</f>
        <v>0</v>
      </c>
      <c r="BT532" s="199">
        <f>IF(AND(Input_Product=Elig!$C532,Elig_MatchAll_Ct&lt;22,$BC532=(Elig_MatchAll_Ct-1),AR532=0),O532,0)</f>
        <v>0</v>
      </c>
      <c r="BU532" s="199">
        <f>IF(AND(Input_Product=Elig!$C532,Elig_MatchAll_Ct&lt;22,$BC532=(Elig_MatchAll_Ct-1),AS532=0),P532,0)</f>
        <v>0</v>
      </c>
      <c r="BV532" s="200">
        <f>IF(AND(Input_Product=Elig!$C532,Elig_MatchAll_Ct&lt;22,$BC532=(Elig_MatchAll_Ct-1),AT532=0),Q532,0)</f>
        <v>0</v>
      </c>
      <c r="BW532" s="201">
        <f>IF(AND(Input_Product=Elig!$C532,Elig_MatchAll_Ct&lt;22,$BC532=(Elig_MatchAll_Ct-1),AU532=0),R532,0)</f>
        <v>0</v>
      </c>
      <c r="BX532" s="202">
        <f>IF(AND(Input_Product=Elig!$C532,Elig_MatchAll_Ct&lt;22,$BC532=(Elig_MatchAll_Ct-1),AU532=0),S532,0)</f>
        <v>0</v>
      </c>
      <c r="BY532" s="201">
        <f>IF(AND(Input_Product=Elig!$C532,Elig_MatchAll_Ct&lt;22,$BC532=(Elig_MatchAll_Ct-1),AV532=0),T532,0)</f>
        <v>0</v>
      </c>
      <c r="BZ532" s="202">
        <f>IF(AND(Input_Product=Elig!$C532,Elig_MatchAll_Ct&lt;22,$BC532=(Elig_MatchAll_Ct-1),AV532=0),U532,0)</f>
        <v>0</v>
      </c>
      <c r="CA532" s="201">
        <f>IF(AND(Input_Product=Elig!$C532,Elig_MatchAll_Ct&lt;22,$BC532=(Elig_MatchAll_Ct-1),AW532=0),V532,0)</f>
        <v>0</v>
      </c>
      <c r="CB532" s="202">
        <f>IF(AND(Input_Product=Elig!$C532,Elig_MatchAll_Ct&lt;22,$BC532=(Elig_MatchAll_Ct-1),AW532=0),W532,0)</f>
        <v>0</v>
      </c>
      <c r="CC532" s="201">
        <f>IF(AND(Input_Product=Elig!$C532,Elig_MatchAll_Ct&lt;22,$BC532=(Elig_MatchAll_Ct-1),AX532=0),X532,0)</f>
        <v>0</v>
      </c>
      <c r="CD532" s="202">
        <f>IF(AND(Input_Product=Elig!$C532,Elig_MatchAll_Ct&lt;22,$BC532=(Elig_MatchAll_Ct-1),AX532=0),Y532,0)</f>
        <v>0</v>
      </c>
      <c r="CE532" s="201">
        <f>IF(AND(Input_LTV&lt;=AE532,Input_Product=Elig!$C532,Elig_MatchAll_Ct&lt;22,$BC532=(Elig_MatchAll_Ct-1),AY532=0),Z532,0)</f>
        <v>0</v>
      </c>
      <c r="CF532" s="202">
        <f>IF(AND(Input_LTV&lt;=AE532,Input_Product=Elig!$C532,Elig_MatchAll_Ct&lt;22,$BC532=(Elig_MatchAll_Ct-1),AY532=0),AA532,0)</f>
        <v>0</v>
      </c>
      <c r="CG532" s="201">
        <f>IF(AND(Input_Product=Elig!$C532,Elig_MatchAll_Ct&lt;22,$BC532=(Elig_MatchAll_Ct-1),AZ532=0),AB532,0)</f>
        <v>0</v>
      </c>
      <c r="CH532" s="202">
        <f>IF(AND(Input_Product=Elig!$C532,Elig_MatchAll_Ct&lt;22,$BC532=(Elig_MatchAll_Ct-1),AZ532=0),AC532,0)</f>
        <v>0</v>
      </c>
      <c r="CI532" s="201">
        <f>IF(AND(Input_Product=Elig!$C532,Elig_MatchAll_Ct&lt;22,$BC532=(Elig_MatchAll_Ct-1),BA532=0),AD532,0)</f>
        <v>0</v>
      </c>
      <c r="CJ532" s="202">
        <f>IF(AND(Input_Product=Elig!$C532,Elig_MatchAll_Ct&lt;22,$BC532=(Elig_MatchAll_Ct-1),BA532=0),AE532,0)</f>
        <v>0</v>
      </c>
    </row>
    <row r="533" spans="2:88" ht="10.15" customHeight="1" x14ac:dyDescent="0.25">
      <c r="B533" s="287" t="s">
        <v>4024</v>
      </c>
      <c r="C533" s="286" t="str">
        <f t="shared" si="175"/>
        <v>NonQM NOO</v>
      </c>
      <c r="D533" s="287" t="s">
        <v>3885</v>
      </c>
      <c r="E533" s="287" t="s">
        <v>167</v>
      </c>
      <c r="F533" s="287" t="s">
        <v>330</v>
      </c>
      <c r="G533" s="287" t="s">
        <v>305</v>
      </c>
      <c r="H533" s="287" t="s">
        <v>136</v>
      </c>
      <c r="I533" s="288" t="s">
        <v>16</v>
      </c>
      <c r="J533" s="288" t="s">
        <v>1311</v>
      </c>
      <c r="K533" s="288" t="s">
        <v>1631</v>
      </c>
      <c r="L533" s="300" t="s">
        <v>312</v>
      </c>
      <c r="M533" s="287" t="s">
        <v>4203</v>
      </c>
      <c r="N533" s="287" t="s">
        <v>2685</v>
      </c>
      <c r="O533" s="287" t="s">
        <v>310</v>
      </c>
      <c r="P533" s="287" t="s">
        <v>291</v>
      </c>
      <c r="Q533" s="287" t="s">
        <v>294</v>
      </c>
      <c r="R533" s="287">
        <v>2000000.01</v>
      </c>
      <c r="S533" s="300">
        <v>2500000</v>
      </c>
      <c r="T533" s="287">
        <v>0</v>
      </c>
      <c r="U533" s="287">
        <f t="shared" ref="U533" si="228">S533</f>
        <v>2500000</v>
      </c>
      <c r="V533" s="287">
        <v>0</v>
      </c>
      <c r="W533" s="287">
        <v>50</v>
      </c>
      <c r="X533" s="287">
        <v>0</v>
      </c>
      <c r="Y533" s="287">
        <v>999</v>
      </c>
      <c r="Z533" s="2101">
        <v>680</v>
      </c>
      <c r="AA533" s="2101">
        <v>699</v>
      </c>
      <c r="AB533" s="289">
        <v>9</v>
      </c>
      <c r="AC533" s="289">
        <v>999999</v>
      </c>
      <c r="AD533" s="287">
        <v>0</v>
      </c>
      <c r="AE533" s="290">
        <v>60</v>
      </c>
      <c r="AF533" s="170">
        <v>0</v>
      </c>
      <c r="AG533" s="171">
        <v>1</v>
      </c>
      <c r="AH533" s="171">
        <v>1</v>
      </c>
      <c r="AI533" s="171">
        <v>0</v>
      </c>
      <c r="AJ533" s="171">
        <v>0</v>
      </c>
      <c r="AK533" s="171">
        <v>1</v>
      </c>
      <c r="AL533" s="171">
        <v>1</v>
      </c>
      <c r="AM533" s="171">
        <v>1</v>
      </c>
      <c r="AN533" s="171">
        <v>1</v>
      </c>
      <c r="AO533" s="171">
        <v>1</v>
      </c>
      <c r="AP533" s="171">
        <v>1</v>
      </c>
      <c r="AQ533" s="171">
        <v>1</v>
      </c>
      <c r="AR533" s="171">
        <v>1</v>
      </c>
      <c r="AS533" s="171">
        <v>1</v>
      </c>
      <c r="AT533" s="171">
        <v>1</v>
      </c>
      <c r="AU533" s="171">
        <f t="shared" si="183"/>
        <v>0</v>
      </c>
      <c r="AV533" s="171">
        <f t="shared" si="184"/>
        <v>1</v>
      </c>
      <c r="AW533" s="171">
        <f t="shared" si="185"/>
        <v>1</v>
      </c>
      <c r="AX533" s="171">
        <f t="shared" si="197"/>
        <v>1</v>
      </c>
      <c r="AY533" s="171">
        <f t="shared" si="186"/>
        <v>0</v>
      </c>
      <c r="AZ533" s="171">
        <f t="shared" si="187"/>
        <v>1</v>
      </c>
      <c r="BA533" s="172">
        <f t="shared" si="188"/>
        <v>0</v>
      </c>
      <c r="BB533" s="175">
        <f t="shared" ref="BB533" si="229">SUM(AF533:BA533)</f>
        <v>16</v>
      </c>
      <c r="BC533" s="176">
        <f t="shared" ref="BC533" si="230">SUM(AF533:AZ533)</f>
        <v>16</v>
      </c>
      <c r="BD533" s="176">
        <f t="shared" ref="BD533" si="231">SUM(AG533:BA533)</f>
        <v>16</v>
      </c>
      <c r="BE533" s="240" t="str">
        <f t="shared" si="215"/>
        <v/>
      </c>
      <c r="BH533" s="199">
        <f>IF(AND(Input_Product=Elig!$C533,Elig_MatchAll_Ct&lt;22,$BC533=(Elig_MatchAll_Ct-1),AF533=0),C533,0)</f>
        <v>0</v>
      </c>
      <c r="BI533" s="199">
        <f>IF(AND(Input_Product=Elig!$C533,Elig_MatchAll_Ct&lt;22,$BC533=(Elig_MatchAll_Ct-1),AG533=0),D533,0)</f>
        <v>0</v>
      </c>
      <c r="BJ533" s="199">
        <f>IF(AND(Input_Product=Elig!$C533,Elig_MatchAll_Ct&lt;22,$BC533=(Elig_MatchAll_Ct-1),AH533=0),E533,0)</f>
        <v>0</v>
      </c>
      <c r="BK533" s="199">
        <f>IF(AND(Input_Product=Elig!$C533,Elig_MatchAll_Ct&lt;22,$BC533=(Elig_MatchAll_Ct-1),AI533=0),F533,0)</f>
        <v>0</v>
      </c>
      <c r="BL533" s="199">
        <f>IF(AND(Input_Product=Elig!$C533,Elig_MatchAll_Ct&lt;22,$BC533=(Elig_MatchAll_Ct-1),AJ533=0),G533,0)</f>
        <v>0</v>
      </c>
      <c r="BM533" s="199">
        <f>IF(AND(Input_Product=Elig!$C533,Elig_MatchAll_Ct&lt;22,$BC533=(Elig_MatchAll_Ct-1),AK533=0),H533,0)</f>
        <v>0</v>
      </c>
      <c r="BN533" s="199">
        <f>IF(AND(Input_Product=Elig!$C533,Elig_MatchAll_Ct&lt;22,$BC533=(Elig_MatchAll_Ct-1),AL533=0),I533,0)</f>
        <v>0</v>
      </c>
      <c r="BO533" s="199">
        <f>IF(AND(Input_Product=Elig!$C533,Elig_MatchAll_Ct&lt;22,$BC533=(Elig_MatchAll_Ct-1),AM533=0),J533,0)</f>
        <v>0</v>
      </c>
      <c r="BP533" s="199">
        <f>IF(AND(Input_Product=Elig!$C533,Elig_MatchAll_Ct&lt;22,$BC533=(Elig_MatchAll_Ct-1),AN533=0),K533,0)</f>
        <v>0</v>
      </c>
      <c r="BQ533" s="199">
        <f>IF(AND(Input_Product=Elig!$C533,Elig_MatchAll_Ct&lt;22,$BC533=(Elig_MatchAll_Ct-1),AP533=0),L533,0)</f>
        <v>0</v>
      </c>
      <c r="BR533" s="199">
        <f>IF(AND(Input_Product=Elig!$C533,Elig_MatchAll_Ct&lt;22,$BC533=(Elig_MatchAll_Ct-1),AO533=0),M533,0)</f>
        <v>0</v>
      </c>
      <c r="BS533" s="199">
        <f>IF(AND(Input_Product=Elig!$C533,Elig_MatchAll_Ct&lt;22,$BC533=(Elig_MatchAll_Ct-1),AQ533=0),N533,0)</f>
        <v>0</v>
      </c>
      <c r="BT533" s="199">
        <f>IF(AND(Input_Product=Elig!$C533,Elig_MatchAll_Ct&lt;22,$BC533=(Elig_MatchAll_Ct-1),AR533=0),O533,0)</f>
        <v>0</v>
      </c>
      <c r="BU533" s="199">
        <f>IF(AND(Input_Product=Elig!$C533,Elig_MatchAll_Ct&lt;22,$BC533=(Elig_MatchAll_Ct-1),AS533=0),P533,0)</f>
        <v>0</v>
      </c>
      <c r="BV533" s="200">
        <f>IF(AND(Input_Product=Elig!$C533,Elig_MatchAll_Ct&lt;22,$BC533=(Elig_MatchAll_Ct-1),AT533=0),Q533,0)</f>
        <v>0</v>
      </c>
      <c r="BW533" s="201">
        <f>IF(AND(Input_Product=Elig!$C533,Elig_MatchAll_Ct&lt;22,$BC533=(Elig_MatchAll_Ct-1),AU533=0),R533,0)</f>
        <v>0</v>
      </c>
      <c r="BX533" s="202">
        <f>IF(AND(Input_Product=Elig!$C533,Elig_MatchAll_Ct&lt;22,$BC533=(Elig_MatchAll_Ct-1),AU533=0),S533,0)</f>
        <v>0</v>
      </c>
      <c r="BY533" s="201">
        <f>IF(AND(Input_Product=Elig!$C533,Elig_MatchAll_Ct&lt;22,$BC533=(Elig_MatchAll_Ct-1),AV533=0),T533,0)</f>
        <v>0</v>
      </c>
      <c r="BZ533" s="202">
        <f>IF(AND(Input_Product=Elig!$C533,Elig_MatchAll_Ct&lt;22,$BC533=(Elig_MatchAll_Ct-1),AV533=0),U533,0)</f>
        <v>0</v>
      </c>
      <c r="CA533" s="201">
        <f>IF(AND(Input_Product=Elig!$C533,Elig_MatchAll_Ct&lt;22,$BC533=(Elig_MatchAll_Ct-1),AW533=0),V533,0)</f>
        <v>0</v>
      </c>
      <c r="CB533" s="202">
        <f>IF(AND(Input_Product=Elig!$C533,Elig_MatchAll_Ct&lt;22,$BC533=(Elig_MatchAll_Ct-1),AW533=0),W533,0)</f>
        <v>0</v>
      </c>
      <c r="CC533" s="201">
        <f>IF(AND(Input_Product=Elig!$C533,Elig_MatchAll_Ct&lt;22,$BC533=(Elig_MatchAll_Ct-1),AX533=0),X533,0)</f>
        <v>0</v>
      </c>
      <c r="CD533" s="202">
        <f>IF(AND(Input_Product=Elig!$C533,Elig_MatchAll_Ct&lt;22,$BC533=(Elig_MatchAll_Ct-1),AX533=0),Y533,0)</f>
        <v>0</v>
      </c>
      <c r="CE533" s="201">
        <f>IF(AND(Input_LTV&lt;=AE533,Input_Product=Elig!$C533,Elig_MatchAll_Ct&lt;22,$BC533=(Elig_MatchAll_Ct-1),AY533=0),Z533,0)</f>
        <v>0</v>
      </c>
      <c r="CF533" s="202">
        <f>IF(AND(Input_LTV&lt;=AE533,Input_Product=Elig!$C533,Elig_MatchAll_Ct&lt;22,$BC533=(Elig_MatchAll_Ct-1),AY533=0),AA533,0)</f>
        <v>0</v>
      </c>
      <c r="CG533" s="201">
        <f>IF(AND(Input_Product=Elig!$C533,Elig_MatchAll_Ct&lt;22,$BC533=(Elig_MatchAll_Ct-1),AZ533=0),AB533,0)</f>
        <v>0</v>
      </c>
      <c r="CH533" s="202">
        <f>IF(AND(Input_Product=Elig!$C533,Elig_MatchAll_Ct&lt;22,$BC533=(Elig_MatchAll_Ct-1),AZ533=0),AC533,0)</f>
        <v>0</v>
      </c>
      <c r="CI533" s="201">
        <f>IF(AND(Input_Product=Elig!$C533,Elig_MatchAll_Ct&lt;22,$BC533=(Elig_MatchAll_Ct-1),BA533=0),AD533,0)</f>
        <v>0</v>
      </c>
      <c r="CJ533" s="202">
        <f>IF(AND(Input_Product=Elig!$C533,Elig_MatchAll_Ct&lt;22,$BC533=(Elig_MatchAll_Ct-1),BA533=0),AE533,0)</f>
        <v>0</v>
      </c>
    </row>
    <row r="534" spans="2:88" ht="10.15" customHeight="1" x14ac:dyDescent="0.25">
      <c r="B534" s="287" t="s">
        <v>4025</v>
      </c>
      <c r="C534" s="291" t="str">
        <f t="shared" si="175"/>
        <v>NonQM NOO</v>
      </c>
      <c r="D534" s="292" t="s">
        <v>3885</v>
      </c>
      <c r="E534" s="292" t="s">
        <v>167</v>
      </c>
      <c r="F534" s="292" t="s">
        <v>330</v>
      </c>
      <c r="G534" s="292" t="s">
        <v>305</v>
      </c>
      <c r="H534" s="292" t="s">
        <v>136</v>
      </c>
      <c r="I534" s="295" t="s">
        <v>16</v>
      </c>
      <c r="J534" s="295" t="s">
        <v>1311</v>
      </c>
      <c r="K534" s="295" t="s">
        <v>1631</v>
      </c>
      <c r="L534" s="324" t="s">
        <v>312</v>
      </c>
      <c r="M534" s="292" t="s">
        <v>4203</v>
      </c>
      <c r="N534" s="292" t="s">
        <v>2685</v>
      </c>
      <c r="O534" s="292" t="s">
        <v>310</v>
      </c>
      <c r="P534" s="292" t="s">
        <v>291</v>
      </c>
      <c r="Q534" s="292" t="s">
        <v>294</v>
      </c>
      <c r="R534" s="292">
        <v>2000000.01</v>
      </c>
      <c r="S534" s="324">
        <v>2500000</v>
      </c>
      <c r="T534" s="292">
        <v>0</v>
      </c>
      <c r="U534" s="292">
        <f t="shared" si="227"/>
        <v>2500000</v>
      </c>
      <c r="V534" s="292">
        <v>0</v>
      </c>
      <c r="W534" s="292">
        <v>50</v>
      </c>
      <c r="X534" s="292">
        <v>0</v>
      </c>
      <c r="Y534" s="292">
        <v>999</v>
      </c>
      <c r="Z534" s="2102">
        <v>660</v>
      </c>
      <c r="AA534" s="2102">
        <v>679</v>
      </c>
      <c r="AB534" s="293">
        <v>9</v>
      </c>
      <c r="AC534" s="293">
        <v>999999</v>
      </c>
      <c r="AD534" s="292">
        <v>0</v>
      </c>
      <c r="AE534" s="294">
        <v>60</v>
      </c>
      <c r="AF534" s="170">
        <v>0</v>
      </c>
      <c r="AG534" s="171">
        <v>1</v>
      </c>
      <c r="AH534" s="171">
        <v>1</v>
      </c>
      <c r="AI534" s="171">
        <v>0</v>
      </c>
      <c r="AJ534" s="171">
        <v>0</v>
      </c>
      <c r="AK534" s="171">
        <v>1</v>
      </c>
      <c r="AL534" s="171">
        <v>1</v>
      </c>
      <c r="AM534" s="171">
        <v>1</v>
      </c>
      <c r="AN534" s="171">
        <v>1</v>
      </c>
      <c r="AO534" s="171">
        <v>1</v>
      </c>
      <c r="AP534" s="171">
        <v>1</v>
      </c>
      <c r="AQ534" s="171">
        <v>1</v>
      </c>
      <c r="AR534" s="171">
        <v>1</v>
      </c>
      <c r="AS534" s="171">
        <v>1</v>
      </c>
      <c r="AT534" s="171">
        <v>1</v>
      </c>
      <c r="AU534" s="171">
        <f t="shared" si="183"/>
        <v>0</v>
      </c>
      <c r="AV534" s="171">
        <f t="shared" si="184"/>
        <v>1</v>
      </c>
      <c r="AW534" s="171">
        <f t="shared" si="185"/>
        <v>1</v>
      </c>
      <c r="AX534" s="171">
        <f t="shared" si="197"/>
        <v>1</v>
      </c>
      <c r="AY534" s="171">
        <f t="shared" si="186"/>
        <v>0</v>
      </c>
      <c r="AZ534" s="171">
        <f t="shared" si="187"/>
        <v>1</v>
      </c>
      <c r="BA534" s="172">
        <f t="shared" si="188"/>
        <v>0</v>
      </c>
      <c r="BB534" s="175">
        <f t="shared" si="190"/>
        <v>16</v>
      </c>
      <c r="BC534" s="176">
        <f t="shared" si="191"/>
        <v>16</v>
      </c>
      <c r="BD534" s="176">
        <f t="shared" si="192"/>
        <v>16</v>
      </c>
      <c r="BE534" s="240" t="str">
        <f t="shared" si="215"/>
        <v/>
      </c>
      <c r="BH534" s="214">
        <f>IF(AND(Input_Product=Elig!$C534,Elig_MatchAll_Ct&lt;22,$BC534=(Elig_MatchAll_Ct-1),AF534=0),C534,0)</f>
        <v>0</v>
      </c>
      <c r="BI534" s="214">
        <f>IF(AND(Input_Product=Elig!$C534,Elig_MatchAll_Ct&lt;22,$BC534=(Elig_MatchAll_Ct-1),AG534=0),D534,0)</f>
        <v>0</v>
      </c>
      <c r="BJ534" s="214">
        <f>IF(AND(Input_Product=Elig!$C534,Elig_MatchAll_Ct&lt;22,$BC534=(Elig_MatchAll_Ct-1),AH534=0),E534,0)</f>
        <v>0</v>
      </c>
      <c r="BK534" s="214">
        <f>IF(AND(Input_Product=Elig!$C534,Elig_MatchAll_Ct&lt;22,$BC534=(Elig_MatchAll_Ct-1),AI534=0),F534,0)</f>
        <v>0</v>
      </c>
      <c r="BL534" s="214">
        <f>IF(AND(Input_Product=Elig!$C534,Elig_MatchAll_Ct&lt;22,$BC534=(Elig_MatchAll_Ct-1),AJ534=0),G534,0)</f>
        <v>0</v>
      </c>
      <c r="BM534" s="214">
        <f>IF(AND(Input_Product=Elig!$C534,Elig_MatchAll_Ct&lt;22,$BC534=(Elig_MatchAll_Ct-1),AK534=0),H534,0)</f>
        <v>0</v>
      </c>
      <c r="BN534" s="214">
        <f>IF(AND(Input_Product=Elig!$C534,Elig_MatchAll_Ct&lt;22,$BC534=(Elig_MatchAll_Ct-1),AL534=0),I534,0)</f>
        <v>0</v>
      </c>
      <c r="BO534" s="214">
        <f>IF(AND(Input_Product=Elig!$C534,Elig_MatchAll_Ct&lt;22,$BC534=(Elig_MatchAll_Ct-1),AM534=0),J534,0)</f>
        <v>0</v>
      </c>
      <c r="BP534" s="214">
        <f>IF(AND(Input_Product=Elig!$C534,Elig_MatchAll_Ct&lt;22,$BC534=(Elig_MatchAll_Ct-1),AN534=0),K534,0)</f>
        <v>0</v>
      </c>
      <c r="BQ534" s="214">
        <f>IF(AND(Input_Product=Elig!$C534,Elig_MatchAll_Ct&lt;22,$BC534=(Elig_MatchAll_Ct-1),AP534=0),L534,0)</f>
        <v>0</v>
      </c>
      <c r="BR534" s="214">
        <f>IF(AND(Input_Product=Elig!$C534,Elig_MatchAll_Ct&lt;22,$BC534=(Elig_MatchAll_Ct-1),AO534=0),M534,0)</f>
        <v>0</v>
      </c>
      <c r="BS534" s="214">
        <f>IF(AND(Input_Product=Elig!$C534,Elig_MatchAll_Ct&lt;22,$BC534=(Elig_MatchAll_Ct-1),AQ534=0),N534,0)</f>
        <v>0</v>
      </c>
      <c r="BT534" s="214">
        <f>IF(AND(Input_Product=Elig!$C534,Elig_MatchAll_Ct&lt;22,$BC534=(Elig_MatchAll_Ct-1),AR534=0),O534,0)</f>
        <v>0</v>
      </c>
      <c r="BU534" s="214">
        <f>IF(AND(Input_Product=Elig!$C534,Elig_MatchAll_Ct&lt;22,$BC534=(Elig_MatchAll_Ct-1),AS534=0),P534,0)</f>
        <v>0</v>
      </c>
      <c r="BV534" s="215">
        <f>IF(AND(Input_Product=Elig!$C534,Elig_MatchAll_Ct&lt;22,$BC534=(Elig_MatchAll_Ct-1),AT534=0),Q534,0)</f>
        <v>0</v>
      </c>
      <c r="BW534" s="311">
        <f>IF(AND(Input_Product=Elig!$C534,Elig_MatchAll_Ct&lt;22,$BC534=(Elig_MatchAll_Ct-1),AU534=0),R534,0)</f>
        <v>0</v>
      </c>
      <c r="BX534" s="312">
        <f>IF(AND(Input_Product=Elig!$C534,Elig_MatchAll_Ct&lt;22,$BC534=(Elig_MatchAll_Ct-1),AU534=0),S534,0)</f>
        <v>0</v>
      </c>
      <c r="BY534" s="311">
        <f>IF(AND(Input_Product=Elig!$C534,Elig_MatchAll_Ct&lt;22,$BC534=(Elig_MatchAll_Ct-1),AV534=0),T534,0)</f>
        <v>0</v>
      </c>
      <c r="BZ534" s="312">
        <f>IF(AND(Input_Product=Elig!$C534,Elig_MatchAll_Ct&lt;22,$BC534=(Elig_MatchAll_Ct-1),AV534=0),U534,0)</f>
        <v>0</v>
      </c>
      <c r="CA534" s="311">
        <f>IF(AND(Input_Product=Elig!$C534,Elig_MatchAll_Ct&lt;22,$BC534=(Elig_MatchAll_Ct-1),AW534=0),V534,0)</f>
        <v>0</v>
      </c>
      <c r="CB534" s="312">
        <f>IF(AND(Input_Product=Elig!$C534,Elig_MatchAll_Ct&lt;22,$BC534=(Elig_MatchAll_Ct-1),AW534=0),W534,0)</f>
        <v>0</v>
      </c>
      <c r="CC534" s="311">
        <f>IF(AND(Input_Product=Elig!$C534,Elig_MatchAll_Ct&lt;22,$BC534=(Elig_MatchAll_Ct-1),AX534=0),X534,0)</f>
        <v>0</v>
      </c>
      <c r="CD534" s="312">
        <f>IF(AND(Input_Product=Elig!$C534,Elig_MatchAll_Ct&lt;22,$BC534=(Elig_MatchAll_Ct-1),AX534=0),Y534,0)</f>
        <v>0</v>
      </c>
      <c r="CE534" s="311">
        <f>IF(AND(Input_LTV&lt;=AE534,Input_Product=Elig!$C534,Elig_MatchAll_Ct&lt;22,$BC534=(Elig_MatchAll_Ct-1),AY534=0),Z534,0)</f>
        <v>0</v>
      </c>
      <c r="CF534" s="312">
        <f>IF(AND(Input_LTV&lt;=AE534,Input_Product=Elig!$C534,Elig_MatchAll_Ct&lt;22,$BC534=(Elig_MatchAll_Ct-1),AY534=0),AA534,0)</f>
        <v>0</v>
      </c>
      <c r="CG534" s="311">
        <f>IF(AND(Input_Product=Elig!$C534,Elig_MatchAll_Ct&lt;22,$BC534=(Elig_MatchAll_Ct-1),AZ534=0),AB534,0)</f>
        <v>0</v>
      </c>
      <c r="CH534" s="312">
        <f>IF(AND(Input_Product=Elig!$C534,Elig_MatchAll_Ct&lt;22,$BC534=(Elig_MatchAll_Ct-1),AZ534=0),AC534,0)</f>
        <v>0</v>
      </c>
      <c r="CI534" s="311">
        <f>IF(AND(Input_Product=Elig!$C534,Elig_MatchAll_Ct&lt;22,$BC534=(Elig_MatchAll_Ct-1),BA534=0),AD534,0)</f>
        <v>0</v>
      </c>
      <c r="CJ534" s="312">
        <f>IF(AND(Input_Product=Elig!$C534,Elig_MatchAll_Ct&lt;22,$BC534=(Elig_MatchAll_Ct-1),BA534=0),AE534,0)</f>
        <v>0</v>
      </c>
    </row>
    <row r="535" spans="2:88" ht="10.15" customHeight="1" x14ac:dyDescent="0.25">
      <c r="B535" s="287" t="s">
        <v>4026</v>
      </c>
      <c r="C535" s="281" t="str">
        <f t="shared" ref="C535:C542" si="232">Input_Name_Product2</f>
        <v>NonQM NOO</v>
      </c>
      <c r="D535" s="282" t="s">
        <v>3885</v>
      </c>
      <c r="E535" s="283" t="s">
        <v>167</v>
      </c>
      <c r="F535" s="283" t="s">
        <v>330</v>
      </c>
      <c r="G535" s="283" t="s">
        <v>181</v>
      </c>
      <c r="H535" s="283" t="s">
        <v>136</v>
      </c>
      <c r="I535" s="282" t="s">
        <v>274</v>
      </c>
      <c r="J535" s="282" t="s">
        <v>1311</v>
      </c>
      <c r="K535" s="282" t="s">
        <v>1631</v>
      </c>
      <c r="L535" s="2103" t="s">
        <v>312</v>
      </c>
      <c r="M535" s="283" t="s">
        <v>4203</v>
      </c>
      <c r="N535" s="283" t="s">
        <v>2685</v>
      </c>
      <c r="O535" s="283" t="s">
        <v>310</v>
      </c>
      <c r="P535" s="283" t="s">
        <v>291</v>
      </c>
      <c r="Q535" s="283" t="s">
        <v>294</v>
      </c>
      <c r="R535" s="282">
        <v>2000000.01</v>
      </c>
      <c r="S535" s="323">
        <v>2500000</v>
      </c>
      <c r="T535" s="282">
        <v>0</v>
      </c>
      <c r="U535" s="282">
        <v>0</v>
      </c>
      <c r="V535" s="282">
        <v>0</v>
      </c>
      <c r="W535" s="282">
        <v>50</v>
      </c>
      <c r="X535" s="282">
        <v>0.75</v>
      </c>
      <c r="Y535" s="282">
        <v>999</v>
      </c>
      <c r="Z535" s="284">
        <v>720</v>
      </c>
      <c r="AA535" s="284">
        <v>999</v>
      </c>
      <c r="AB535" s="284">
        <v>9</v>
      </c>
      <c r="AC535" s="284">
        <v>999999</v>
      </c>
      <c r="AD535" s="282">
        <v>0</v>
      </c>
      <c r="AE535" s="2104">
        <v>70</v>
      </c>
      <c r="AF535" s="170">
        <v>0</v>
      </c>
      <c r="AG535" s="171">
        <v>1</v>
      </c>
      <c r="AH535" s="171">
        <v>1</v>
      </c>
      <c r="AI535" s="171">
        <v>0</v>
      </c>
      <c r="AJ535" s="171">
        <v>0</v>
      </c>
      <c r="AK535" s="171">
        <v>1</v>
      </c>
      <c r="AL535" s="171">
        <v>0</v>
      </c>
      <c r="AM535" s="171">
        <v>1</v>
      </c>
      <c r="AN535" s="171">
        <v>1</v>
      </c>
      <c r="AO535" s="171">
        <v>1</v>
      </c>
      <c r="AP535" s="171">
        <v>1</v>
      </c>
      <c r="AQ535" s="171">
        <v>1</v>
      </c>
      <c r="AR535" s="171">
        <v>1</v>
      </c>
      <c r="AS535" s="171">
        <v>1</v>
      </c>
      <c r="AT535" s="171">
        <v>1</v>
      </c>
      <c r="AU535" s="171">
        <f t="shared" si="183"/>
        <v>0</v>
      </c>
      <c r="AV535" s="171">
        <f t="shared" si="184"/>
        <v>0</v>
      </c>
      <c r="AW535" s="171">
        <f t="shared" si="185"/>
        <v>1</v>
      </c>
      <c r="AX535" s="171">
        <f t="shared" si="197"/>
        <v>0</v>
      </c>
      <c r="AY535" s="171">
        <f t="shared" si="186"/>
        <v>1</v>
      </c>
      <c r="AZ535" s="171">
        <f t="shared" si="187"/>
        <v>1</v>
      </c>
      <c r="BA535" s="172">
        <f t="shared" si="188"/>
        <v>1</v>
      </c>
      <c r="BB535" s="175">
        <f t="shared" si="190"/>
        <v>15</v>
      </c>
      <c r="BC535" s="176">
        <f t="shared" si="191"/>
        <v>14</v>
      </c>
      <c r="BD535" s="176">
        <f t="shared" si="192"/>
        <v>15</v>
      </c>
      <c r="BE535" s="240" t="str">
        <f t="shared" si="215"/>
        <v/>
      </c>
      <c r="BH535" s="210">
        <f>IF(AND(Input_Product=Elig!$C535,Elig_MatchAll_Ct&lt;22,$BC535=(Elig_MatchAll_Ct-1),AF535=0),C535,0)</f>
        <v>0</v>
      </c>
      <c r="BI535" s="210">
        <f>IF(AND(Input_Product=Elig!$C535,Elig_MatchAll_Ct&lt;22,$BC535=(Elig_MatchAll_Ct-1),AG535=0),D535,0)</f>
        <v>0</v>
      </c>
      <c r="BJ535" s="210">
        <f>IF(AND(Input_Product=Elig!$C535,Elig_MatchAll_Ct&lt;22,$BC535=(Elig_MatchAll_Ct-1),AH535=0),E535,0)</f>
        <v>0</v>
      </c>
      <c r="BK535" s="210">
        <f>IF(AND(Input_Product=Elig!$C535,Elig_MatchAll_Ct&lt;22,$BC535=(Elig_MatchAll_Ct-1),AI535=0),F535,0)</f>
        <v>0</v>
      </c>
      <c r="BL535" s="210">
        <f>IF(AND(Input_Product=Elig!$C535,Elig_MatchAll_Ct&lt;22,$BC535=(Elig_MatchAll_Ct-1),AJ535=0),G535,0)</f>
        <v>0</v>
      </c>
      <c r="BM535" s="210">
        <f>IF(AND(Input_Product=Elig!$C535,Elig_MatchAll_Ct&lt;22,$BC535=(Elig_MatchAll_Ct-1),AK535=0),H535,0)</f>
        <v>0</v>
      </c>
      <c r="BN535" s="210">
        <f>IF(AND(Input_Product=Elig!$C535,Elig_MatchAll_Ct&lt;22,$BC535=(Elig_MatchAll_Ct-1),AL535=0),I535,0)</f>
        <v>0</v>
      </c>
      <c r="BO535" s="210">
        <f>IF(AND(Input_Product=Elig!$C535,Elig_MatchAll_Ct&lt;22,$BC535=(Elig_MatchAll_Ct-1),AM535=0),J535,0)</f>
        <v>0</v>
      </c>
      <c r="BP535" s="210">
        <f>IF(AND(Input_Product=Elig!$C535,Elig_MatchAll_Ct&lt;22,$BC535=(Elig_MatchAll_Ct-1),AN535=0),K535,0)</f>
        <v>0</v>
      </c>
      <c r="BQ535" s="210">
        <f>IF(AND(Input_Product=Elig!$C535,Elig_MatchAll_Ct&lt;22,$BC535=(Elig_MatchAll_Ct-1),AP535=0),L535,0)</f>
        <v>0</v>
      </c>
      <c r="BR535" s="210">
        <f>IF(AND(Input_Product=Elig!$C535,Elig_MatchAll_Ct&lt;22,$BC535=(Elig_MatchAll_Ct-1),AO535=0),M535,0)</f>
        <v>0</v>
      </c>
      <c r="BS535" s="210">
        <f>IF(AND(Input_Product=Elig!$C535,Elig_MatchAll_Ct&lt;22,$BC535=(Elig_MatchAll_Ct-1),AQ535=0),N535,0)</f>
        <v>0</v>
      </c>
      <c r="BT535" s="210">
        <f>IF(AND(Input_Product=Elig!$C535,Elig_MatchAll_Ct&lt;22,$BC535=(Elig_MatchAll_Ct-1),AR535=0),O535,0)</f>
        <v>0</v>
      </c>
      <c r="BU535" s="210">
        <f>IF(AND(Input_Product=Elig!$C535,Elig_MatchAll_Ct&lt;22,$BC535=(Elig_MatchAll_Ct-1),AS535=0),P535,0)</f>
        <v>0</v>
      </c>
      <c r="BV535" s="211">
        <f>IF(AND(Input_Product=Elig!$C535,Elig_MatchAll_Ct&lt;22,$BC535=(Elig_MatchAll_Ct-1),AT535=0),Q535,0)</f>
        <v>0</v>
      </c>
      <c r="BW535" s="212">
        <f>IF(AND(Input_Product=Elig!$C535,Elig_MatchAll_Ct&lt;22,$BC535=(Elig_MatchAll_Ct-1),AU535=0),R535,0)</f>
        <v>0</v>
      </c>
      <c r="BX535" s="213">
        <f>IF(AND(Input_Product=Elig!$C535,Elig_MatchAll_Ct&lt;22,$BC535=(Elig_MatchAll_Ct-1),AU535=0),S535,0)</f>
        <v>0</v>
      </c>
      <c r="BY535" s="212">
        <f>IF(AND(Input_Product=Elig!$C535,Elig_MatchAll_Ct&lt;22,$BC535=(Elig_MatchAll_Ct-1),AV535=0),T535,0)</f>
        <v>0</v>
      </c>
      <c r="BZ535" s="213">
        <f>IF(AND(Input_Product=Elig!$C535,Elig_MatchAll_Ct&lt;22,$BC535=(Elig_MatchAll_Ct-1),AV535=0),U535,0)</f>
        <v>0</v>
      </c>
      <c r="CA535" s="212">
        <f>IF(AND(Input_Product=Elig!$C535,Elig_MatchAll_Ct&lt;22,$BC535=(Elig_MatchAll_Ct-1),AW535=0),V535,0)</f>
        <v>0</v>
      </c>
      <c r="CB535" s="213">
        <f>IF(AND(Input_Product=Elig!$C535,Elig_MatchAll_Ct&lt;22,$BC535=(Elig_MatchAll_Ct-1),AW535=0),W535,0)</f>
        <v>0</v>
      </c>
      <c r="CC535" s="212">
        <f>IF(AND(Input_Product=Elig!$C535,Elig_MatchAll_Ct&lt;22,$BC535=(Elig_MatchAll_Ct-1),AX535=0),X535,0)</f>
        <v>0</v>
      </c>
      <c r="CD535" s="213">
        <f>IF(AND(Input_Product=Elig!$C535,Elig_MatchAll_Ct&lt;22,$BC535=(Elig_MatchAll_Ct-1),AX535=0),Y535,0)</f>
        <v>0</v>
      </c>
      <c r="CE535" s="212">
        <f>IF(AND(Input_LTV&lt;=AE535,Input_Product=Elig!$C535,Elig_MatchAll_Ct&lt;22,$BC535=(Elig_MatchAll_Ct-1),AY535=0),Z535,0)</f>
        <v>0</v>
      </c>
      <c r="CF535" s="213">
        <f>IF(AND(Input_LTV&lt;=AE535,Input_Product=Elig!$C535,Elig_MatchAll_Ct&lt;22,$BC535=(Elig_MatchAll_Ct-1),AY535=0),AA535,0)</f>
        <v>0</v>
      </c>
      <c r="CG535" s="212">
        <f>IF(AND(Input_Product=Elig!$C535,Elig_MatchAll_Ct&lt;22,$BC535=(Elig_MatchAll_Ct-1),AZ535=0),AB535,0)</f>
        <v>0</v>
      </c>
      <c r="CH535" s="213">
        <f>IF(AND(Input_Product=Elig!$C535,Elig_MatchAll_Ct&lt;22,$BC535=(Elig_MatchAll_Ct-1),AZ535=0),AC535,0)</f>
        <v>0</v>
      </c>
      <c r="CI535" s="212">
        <f>IF(AND(Input_Product=Elig!$C535,Elig_MatchAll_Ct&lt;22,$BC535=(Elig_MatchAll_Ct-1),BA535=0),AD535,0)</f>
        <v>0</v>
      </c>
      <c r="CJ535" s="213">
        <f>IF(AND(Input_Product=Elig!$C535,Elig_MatchAll_Ct&lt;22,$BC535=(Elig_MatchAll_Ct-1),BA535=0),AE535,0)</f>
        <v>0</v>
      </c>
    </row>
    <row r="536" spans="2:88" ht="10.15" customHeight="1" x14ac:dyDescent="0.25">
      <c r="B536" s="287" t="s">
        <v>4027</v>
      </c>
      <c r="C536" s="286" t="str">
        <f t="shared" si="175"/>
        <v>NonQM NOO</v>
      </c>
      <c r="D536" s="287" t="s">
        <v>3885</v>
      </c>
      <c r="E536" s="287" t="s">
        <v>167</v>
      </c>
      <c r="F536" s="287" t="s">
        <v>330</v>
      </c>
      <c r="G536" s="287" t="s">
        <v>181</v>
      </c>
      <c r="H536" s="287" t="s">
        <v>136</v>
      </c>
      <c r="I536" s="288" t="s">
        <v>274</v>
      </c>
      <c r="J536" s="288" t="s">
        <v>1311</v>
      </c>
      <c r="K536" s="288" t="s">
        <v>1631</v>
      </c>
      <c r="L536" s="300" t="s">
        <v>312</v>
      </c>
      <c r="M536" s="287" t="s">
        <v>4203</v>
      </c>
      <c r="N536" s="287" t="s">
        <v>2685</v>
      </c>
      <c r="O536" s="287" t="s">
        <v>310</v>
      </c>
      <c r="P536" s="287" t="s">
        <v>291</v>
      </c>
      <c r="Q536" s="287" t="s">
        <v>294</v>
      </c>
      <c r="R536" s="287">
        <v>2000000.01</v>
      </c>
      <c r="S536" s="300">
        <v>2500000</v>
      </c>
      <c r="T536" s="287">
        <v>0</v>
      </c>
      <c r="U536" s="287">
        <v>0</v>
      </c>
      <c r="V536" s="287">
        <v>0</v>
      </c>
      <c r="W536" s="287">
        <v>50</v>
      </c>
      <c r="X536" s="287">
        <v>0.75</v>
      </c>
      <c r="Y536" s="287">
        <v>999</v>
      </c>
      <c r="Z536" s="289">
        <v>700</v>
      </c>
      <c r="AA536" s="289">
        <v>719</v>
      </c>
      <c r="AB536" s="289">
        <v>9</v>
      </c>
      <c r="AC536" s="289">
        <v>999999</v>
      </c>
      <c r="AD536" s="287">
        <v>0</v>
      </c>
      <c r="AE536" s="2105">
        <v>70</v>
      </c>
      <c r="AF536" s="170">
        <v>0</v>
      </c>
      <c r="AG536" s="171">
        <v>1</v>
      </c>
      <c r="AH536" s="171">
        <v>1</v>
      </c>
      <c r="AI536" s="171">
        <v>0</v>
      </c>
      <c r="AJ536" s="171">
        <v>0</v>
      </c>
      <c r="AK536" s="171">
        <v>1</v>
      </c>
      <c r="AL536" s="171">
        <v>0</v>
      </c>
      <c r="AM536" s="171">
        <v>1</v>
      </c>
      <c r="AN536" s="171">
        <v>1</v>
      </c>
      <c r="AO536" s="171">
        <v>1</v>
      </c>
      <c r="AP536" s="171">
        <v>1</v>
      </c>
      <c r="AQ536" s="171">
        <v>1</v>
      </c>
      <c r="AR536" s="171">
        <v>1</v>
      </c>
      <c r="AS536" s="171">
        <v>1</v>
      </c>
      <c r="AT536" s="171">
        <v>1</v>
      </c>
      <c r="AU536" s="171">
        <f t="shared" si="183"/>
        <v>0</v>
      </c>
      <c r="AV536" s="171">
        <f t="shared" si="184"/>
        <v>0</v>
      </c>
      <c r="AW536" s="171">
        <f t="shared" si="185"/>
        <v>1</v>
      </c>
      <c r="AX536" s="171">
        <f t="shared" si="197"/>
        <v>0</v>
      </c>
      <c r="AY536" s="171">
        <f t="shared" si="186"/>
        <v>0</v>
      </c>
      <c r="AZ536" s="171">
        <f t="shared" si="187"/>
        <v>1</v>
      </c>
      <c r="BA536" s="172">
        <f t="shared" si="188"/>
        <v>1</v>
      </c>
      <c r="BB536" s="175">
        <f t="shared" si="190"/>
        <v>14</v>
      </c>
      <c r="BC536" s="176">
        <f t="shared" si="191"/>
        <v>13</v>
      </c>
      <c r="BD536" s="176">
        <f t="shared" si="192"/>
        <v>14</v>
      </c>
      <c r="BE536" s="240" t="str">
        <f t="shared" si="215"/>
        <v/>
      </c>
      <c r="BH536" s="199">
        <f>IF(AND(Input_Product=Elig!$C536,Elig_MatchAll_Ct&lt;22,$BC536=(Elig_MatchAll_Ct-1),AF536=0),C536,0)</f>
        <v>0</v>
      </c>
      <c r="BI536" s="199">
        <f>IF(AND(Input_Product=Elig!$C536,Elig_MatchAll_Ct&lt;22,$BC536=(Elig_MatchAll_Ct-1),AG536=0),D536,0)</f>
        <v>0</v>
      </c>
      <c r="BJ536" s="199">
        <f>IF(AND(Input_Product=Elig!$C536,Elig_MatchAll_Ct&lt;22,$BC536=(Elig_MatchAll_Ct-1),AH536=0),E536,0)</f>
        <v>0</v>
      </c>
      <c r="BK536" s="199">
        <f>IF(AND(Input_Product=Elig!$C536,Elig_MatchAll_Ct&lt;22,$BC536=(Elig_MatchAll_Ct-1),AI536=0),F536,0)</f>
        <v>0</v>
      </c>
      <c r="BL536" s="199">
        <f>IF(AND(Input_Product=Elig!$C536,Elig_MatchAll_Ct&lt;22,$BC536=(Elig_MatchAll_Ct-1),AJ536=0),G536,0)</f>
        <v>0</v>
      </c>
      <c r="BM536" s="199">
        <f>IF(AND(Input_Product=Elig!$C536,Elig_MatchAll_Ct&lt;22,$BC536=(Elig_MatchAll_Ct-1),AK536=0),H536,0)</f>
        <v>0</v>
      </c>
      <c r="BN536" s="199">
        <f>IF(AND(Input_Product=Elig!$C536,Elig_MatchAll_Ct&lt;22,$BC536=(Elig_MatchAll_Ct-1),AL536=0),I536,0)</f>
        <v>0</v>
      </c>
      <c r="BO536" s="199">
        <f>IF(AND(Input_Product=Elig!$C536,Elig_MatchAll_Ct&lt;22,$BC536=(Elig_MatchAll_Ct-1),AM536=0),J536,0)</f>
        <v>0</v>
      </c>
      <c r="BP536" s="199">
        <f>IF(AND(Input_Product=Elig!$C536,Elig_MatchAll_Ct&lt;22,$BC536=(Elig_MatchAll_Ct-1),AN536=0),K536,0)</f>
        <v>0</v>
      </c>
      <c r="BQ536" s="199">
        <f>IF(AND(Input_Product=Elig!$C536,Elig_MatchAll_Ct&lt;22,$BC536=(Elig_MatchAll_Ct-1),AP536=0),L536,0)</f>
        <v>0</v>
      </c>
      <c r="BR536" s="199">
        <f>IF(AND(Input_Product=Elig!$C536,Elig_MatchAll_Ct&lt;22,$BC536=(Elig_MatchAll_Ct-1),AO536=0),M536,0)</f>
        <v>0</v>
      </c>
      <c r="BS536" s="199">
        <f>IF(AND(Input_Product=Elig!$C536,Elig_MatchAll_Ct&lt;22,$BC536=(Elig_MatchAll_Ct-1),AQ536=0),N536,0)</f>
        <v>0</v>
      </c>
      <c r="BT536" s="199">
        <f>IF(AND(Input_Product=Elig!$C536,Elig_MatchAll_Ct&lt;22,$BC536=(Elig_MatchAll_Ct-1),AR536=0),O536,0)</f>
        <v>0</v>
      </c>
      <c r="BU536" s="199">
        <f>IF(AND(Input_Product=Elig!$C536,Elig_MatchAll_Ct&lt;22,$BC536=(Elig_MatchAll_Ct-1),AS536=0),P536,0)</f>
        <v>0</v>
      </c>
      <c r="BV536" s="200">
        <f>IF(AND(Input_Product=Elig!$C536,Elig_MatchAll_Ct&lt;22,$BC536=(Elig_MatchAll_Ct-1),AT536=0),Q536,0)</f>
        <v>0</v>
      </c>
      <c r="BW536" s="201">
        <f>IF(AND(Input_Product=Elig!$C536,Elig_MatchAll_Ct&lt;22,$BC536=(Elig_MatchAll_Ct-1),AU536=0),R536,0)</f>
        <v>0</v>
      </c>
      <c r="BX536" s="202">
        <f>IF(AND(Input_Product=Elig!$C536,Elig_MatchAll_Ct&lt;22,$BC536=(Elig_MatchAll_Ct-1),AU536=0),S536,0)</f>
        <v>0</v>
      </c>
      <c r="BY536" s="201">
        <f>IF(AND(Input_Product=Elig!$C536,Elig_MatchAll_Ct&lt;22,$BC536=(Elig_MatchAll_Ct-1),AV536=0),T536,0)</f>
        <v>0</v>
      </c>
      <c r="BZ536" s="202">
        <f>IF(AND(Input_Product=Elig!$C536,Elig_MatchAll_Ct&lt;22,$BC536=(Elig_MatchAll_Ct-1),AV536=0),U536,0)</f>
        <v>0</v>
      </c>
      <c r="CA536" s="201">
        <f>IF(AND(Input_Product=Elig!$C536,Elig_MatchAll_Ct&lt;22,$BC536=(Elig_MatchAll_Ct-1),AW536=0),V536,0)</f>
        <v>0</v>
      </c>
      <c r="CB536" s="202">
        <f>IF(AND(Input_Product=Elig!$C536,Elig_MatchAll_Ct&lt;22,$BC536=(Elig_MatchAll_Ct-1),AW536=0),W536,0)</f>
        <v>0</v>
      </c>
      <c r="CC536" s="201">
        <f>IF(AND(Input_Product=Elig!$C536,Elig_MatchAll_Ct&lt;22,$BC536=(Elig_MatchAll_Ct-1),AX536=0),X536,0)</f>
        <v>0</v>
      </c>
      <c r="CD536" s="202">
        <f>IF(AND(Input_Product=Elig!$C536,Elig_MatchAll_Ct&lt;22,$BC536=(Elig_MatchAll_Ct-1),AX536=0),Y536,0)</f>
        <v>0</v>
      </c>
      <c r="CE536" s="201">
        <f>IF(AND(Input_LTV&lt;=AE536,Input_Product=Elig!$C536,Elig_MatchAll_Ct&lt;22,$BC536=(Elig_MatchAll_Ct-1),AY536=0),Z536,0)</f>
        <v>0</v>
      </c>
      <c r="CF536" s="202">
        <f>IF(AND(Input_LTV&lt;=AE536,Input_Product=Elig!$C536,Elig_MatchAll_Ct&lt;22,$BC536=(Elig_MatchAll_Ct-1),AY536=0),AA536,0)</f>
        <v>0</v>
      </c>
      <c r="CG536" s="201">
        <f>IF(AND(Input_Product=Elig!$C536,Elig_MatchAll_Ct&lt;22,$BC536=(Elig_MatchAll_Ct-1),AZ536=0),AB536,0)</f>
        <v>0</v>
      </c>
      <c r="CH536" s="202">
        <f>IF(AND(Input_Product=Elig!$C536,Elig_MatchAll_Ct&lt;22,$BC536=(Elig_MatchAll_Ct-1),AZ536=0),AC536,0)</f>
        <v>0</v>
      </c>
      <c r="CI536" s="201">
        <f>IF(AND(Input_Product=Elig!$C536,Elig_MatchAll_Ct&lt;22,$BC536=(Elig_MatchAll_Ct-1),BA536=0),AD536,0)</f>
        <v>0</v>
      </c>
      <c r="CJ536" s="202">
        <f>IF(AND(Input_Product=Elig!$C536,Elig_MatchAll_Ct&lt;22,$BC536=(Elig_MatchAll_Ct-1),BA536=0),AE536,0)</f>
        <v>0</v>
      </c>
    </row>
    <row r="537" spans="2:88" ht="10.15" customHeight="1" x14ac:dyDescent="0.25">
      <c r="B537" s="287" t="s">
        <v>4028</v>
      </c>
      <c r="C537" s="286" t="str">
        <f t="shared" si="175"/>
        <v>NonQM NOO</v>
      </c>
      <c r="D537" s="287" t="s">
        <v>3885</v>
      </c>
      <c r="E537" s="287" t="s">
        <v>167</v>
      </c>
      <c r="F537" s="287" t="s">
        <v>330</v>
      </c>
      <c r="G537" s="287" t="s">
        <v>181</v>
      </c>
      <c r="H537" s="287" t="s">
        <v>136</v>
      </c>
      <c r="I537" s="288" t="s">
        <v>274</v>
      </c>
      <c r="J537" s="288" t="s">
        <v>1311</v>
      </c>
      <c r="K537" s="288" t="s">
        <v>1631</v>
      </c>
      <c r="L537" s="300" t="s">
        <v>312</v>
      </c>
      <c r="M537" s="287" t="s">
        <v>4203</v>
      </c>
      <c r="N537" s="287" t="s">
        <v>2685</v>
      </c>
      <c r="O537" s="287" t="s">
        <v>310</v>
      </c>
      <c r="P537" s="287" t="s">
        <v>291</v>
      </c>
      <c r="Q537" s="287" t="s">
        <v>294</v>
      </c>
      <c r="R537" s="287">
        <v>2000000.01</v>
      </c>
      <c r="S537" s="300">
        <v>2500000</v>
      </c>
      <c r="T537" s="287">
        <v>0</v>
      </c>
      <c r="U537" s="287">
        <v>0</v>
      </c>
      <c r="V537" s="287">
        <v>0</v>
      </c>
      <c r="W537" s="287">
        <v>50</v>
      </c>
      <c r="X537" s="287">
        <v>0.75</v>
      </c>
      <c r="Y537" s="287">
        <v>999</v>
      </c>
      <c r="Z537" s="2101">
        <v>680</v>
      </c>
      <c r="AA537" s="2101">
        <v>699</v>
      </c>
      <c r="AB537" s="289">
        <v>9</v>
      </c>
      <c r="AC537" s="289">
        <v>999999</v>
      </c>
      <c r="AD537" s="287">
        <v>0</v>
      </c>
      <c r="AE537" s="2105">
        <v>70</v>
      </c>
      <c r="AF537" s="170">
        <v>0</v>
      </c>
      <c r="AG537" s="171">
        <v>1</v>
      </c>
      <c r="AH537" s="171">
        <v>1</v>
      </c>
      <c r="AI537" s="171">
        <v>0</v>
      </c>
      <c r="AJ537" s="171">
        <v>0</v>
      </c>
      <c r="AK537" s="171">
        <v>1</v>
      </c>
      <c r="AL537" s="171">
        <v>0</v>
      </c>
      <c r="AM537" s="171">
        <v>1</v>
      </c>
      <c r="AN537" s="171">
        <v>1</v>
      </c>
      <c r="AO537" s="171">
        <v>1</v>
      </c>
      <c r="AP537" s="171">
        <v>1</v>
      </c>
      <c r="AQ537" s="171">
        <v>1</v>
      </c>
      <c r="AR537" s="171">
        <v>1</v>
      </c>
      <c r="AS537" s="171">
        <v>1</v>
      </c>
      <c r="AT537" s="171">
        <v>1</v>
      </c>
      <c r="AU537" s="171">
        <f t="shared" si="183"/>
        <v>0</v>
      </c>
      <c r="AV537" s="171">
        <f t="shared" si="184"/>
        <v>0</v>
      </c>
      <c r="AW537" s="171">
        <f t="shared" si="185"/>
        <v>1</v>
      </c>
      <c r="AX537" s="171">
        <f t="shared" si="197"/>
        <v>0</v>
      </c>
      <c r="AY537" s="171">
        <f t="shared" si="186"/>
        <v>0</v>
      </c>
      <c r="AZ537" s="171">
        <f t="shared" si="187"/>
        <v>1</v>
      </c>
      <c r="BA537" s="172">
        <f t="shared" si="188"/>
        <v>1</v>
      </c>
      <c r="BB537" s="175">
        <f t="shared" ref="BB537" si="233">SUM(AF537:BA537)</f>
        <v>14</v>
      </c>
      <c r="BC537" s="176">
        <f t="shared" ref="BC537" si="234">SUM(AF537:AZ537)</f>
        <v>13</v>
      </c>
      <c r="BD537" s="176">
        <f t="shared" ref="BD537" si="235">SUM(AG537:BA537)</f>
        <v>14</v>
      </c>
      <c r="BE537" s="240" t="str">
        <f t="shared" si="215"/>
        <v/>
      </c>
      <c r="BH537" s="199">
        <f>IF(AND(Input_Product=Elig!$C537,Elig_MatchAll_Ct&lt;22,$BC537=(Elig_MatchAll_Ct-1),AF537=0),C537,0)</f>
        <v>0</v>
      </c>
      <c r="BI537" s="199">
        <f>IF(AND(Input_Product=Elig!$C537,Elig_MatchAll_Ct&lt;22,$BC537=(Elig_MatchAll_Ct-1),AG537=0),D537,0)</f>
        <v>0</v>
      </c>
      <c r="BJ537" s="199">
        <f>IF(AND(Input_Product=Elig!$C537,Elig_MatchAll_Ct&lt;22,$BC537=(Elig_MatchAll_Ct-1),AH537=0),E537,0)</f>
        <v>0</v>
      </c>
      <c r="BK537" s="199">
        <f>IF(AND(Input_Product=Elig!$C537,Elig_MatchAll_Ct&lt;22,$BC537=(Elig_MatchAll_Ct-1),AI537=0),F537,0)</f>
        <v>0</v>
      </c>
      <c r="BL537" s="199">
        <f>IF(AND(Input_Product=Elig!$C537,Elig_MatchAll_Ct&lt;22,$BC537=(Elig_MatchAll_Ct-1),AJ537=0),G537,0)</f>
        <v>0</v>
      </c>
      <c r="BM537" s="199">
        <f>IF(AND(Input_Product=Elig!$C537,Elig_MatchAll_Ct&lt;22,$BC537=(Elig_MatchAll_Ct-1),AK537=0),H537,0)</f>
        <v>0</v>
      </c>
      <c r="BN537" s="199">
        <f>IF(AND(Input_Product=Elig!$C537,Elig_MatchAll_Ct&lt;22,$BC537=(Elig_MatchAll_Ct-1),AL537=0),I537,0)</f>
        <v>0</v>
      </c>
      <c r="BO537" s="199">
        <f>IF(AND(Input_Product=Elig!$C537,Elig_MatchAll_Ct&lt;22,$BC537=(Elig_MatchAll_Ct-1),AM537=0),J537,0)</f>
        <v>0</v>
      </c>
      <c r="BP537" s="199">
        <f>IF(AND(Input_Product=Elig!$C537,Elig_MatchAll_Ct&lt;22,$BC537=(Elig_MatchAll_Ct-1),AN537=0),K537,0)</f>
        <v>0</v>
      </c>
      <c r="BQ537" s="199">
        <f>IF(AND(Input_Product=Elig!$C537,Elig_MatchAll_Ct&lt;22,$BC537=(Elig_MatchAll_Ct-1),AP537=0),L537,0)</f>
        <v>0</v>
      </c>
      <c r="BR537" s="199">
        <f>IF(AND(Input_Product=Elig!$C537,Elig_MatchAll_Ct&lt;22,$BC537=(Elig_MatchAll_Ct-1),AO537=0),M537,0)</f>
        <v>0</v>
      </c>
      <c r="BS537" s="199">
        <f>IF(AND(Input_Product=Elig!$C537,Elig_MatchAll_Ct&lt;22,$BC537=(Elig_MatchAll_Ct-1),AQ537=0),N537,0)</f>
        <v>0</v>
      </c>
      <c r="BT537" s="199">
        <f>IF(AND(Input_Product=Elig!$C537,Elig_MatchAll_Ct&lt;22,$BC537=(Elig_MatchAll_Ct-1),AR537=0),O537,0)</f>
        <v>0</v>
      </c>
      <c r="BU537" s="199">
        <f>IF(AND(Input_Product=Elig!$C537,Elig_MatchAll_Ct&lt;22,$BC537=(Elig_MatchAll_Ct-1),AS537=0),P537,0)</f>
        <v>0</v>
      </c>
      <c r="BV537" s="200">
        <f>IF(AND(Input_Product=Elig!$C537,Elig_MatchAll_Ct&lt;22,$BC537=(Elig_MatchAll_Ct-1),AT537=0),Q537,0)</f>
        <v>0</v>
      </c>
      <c r="BW537" s="201">
        <f>IF(AND(Input_Product=Elig!$C537,Elig_MatchAll_Ct&lt;22,$BC537=(Elig_MatchAll_Ct-1),AU537=0),R537,0)</f>
        <v>0</v>
      </c>
      <c r="BX537" s="202">
        <f>IF(AND(Input_Product=Elig!$C537,Elig_MatchAll_Ct&lt;22,$BC537=(Elig_MatchAll_Ct-1),AU537=0),S537,0)</f>
        <v>0</v>
      </c>
      <c r="BY537" s="201">
        <f>IF(AND(Input_Product=Elig!$C537,Elig_MatchAll_Ct&lt;22,$BC537=(Elig_MatchAll_Ct-1),AV537=0),T537,0)</f>
        <v>0</v>
      </c>
      <c r="BZ537" s="202">
        <f>IF(AND(Input_Product=Elig!$C537,Elig_MatchAll_Ct&lt;22,$BC537=(Elig_MatchAll_Ct-1),AV537=0),U537,0)</f>
        <v>0</v>
      </c>
      <c r="CA537" s="201">
        <f>IF(AND(Input_Product=Elig!$C537,Elig_MatchAll_Ct&lt;22,$BC537=(Elig_MatchAll_Ct-1),AW537=0),V537,0)</f>
        <v>0</v>
      </c>
      <c r="CB537" s="202">
        <f>IF(AND(Input_Product=Elig!$C537,Elig_MatchAll_Ct&lt;22,$BC537=(Elig_MatchAll_Ct-1),AW537=0),W537,0)</f>
        <v>0</v>
      </c>
      <c r="CC537" s="201">
        <f>IF(AND(Input_Product=Elig!$C537,Elig_MatchAll_Ct&lt;22,$BC537=(Elig_MatchAll_Ct-1),AX537=0),X537,0)</f>
        <v>0</v>
      </c>
      <c r="CD537" s="202">
        <f>IF(AND(Input_Product=Elig!$C537,Elig_MatchAll_Ct&lt;22,$BC537=(Elig_MatchAll_Ct-1),AX537=0),Y537,0)</f>
        <v>0</v>
      </c>
      <c r="CE537" s="201">
        <f>IF(AND(Input_LTV&lt;=AE537,Input_Product=Elig!$C537,Elig_MatchAll_Ct&lt;22,$BC537=(Elig_MatchAll_Ct-1),AY537=0),Z537,0)</f>
        <v>0</v>
      </c>
      <c r="CF537" s="202">
        <f>IF(AND(Input_LTV&lt;=AE537,Input_Product=Elig!$C537,Elig_MatchAll_Ct&lt;22,$BC537=(Elig_MatchAll_Ct-1),AY537=0),AA537,0)</f>
        <v>0</v>
      </c>
      <c r="CG537" s="201">
        <f>IF(AND(Input_Product=Elig!$C537,Elig_MatchAll_Ct&lt;22,$BC537=(Elig_MatchAll_Ct-1),AZ537=0),AB537,0)</f>
        <v>0</v>
      </c>
      <c r="CH537" s="202">
        <f>IF(AND(Input_Product=Elig!$C537,Elig_MatchAll_Ct&lt;22,$BC537=(Elig_MatchAll_Ct-1),AZ537=0),AC537,0)</f>
        <v>0</v>
      </c>
      <c r="CI537" s="201">
        <f>IF(AND(Input_Product=Elig!$C537,Elig_MatchAll_Ct&lt;22,$BC537=(Elig_MatchAll_Ct-1),BA537=0),AD537,0)</f>
        <v>0</v>
      </c>
      <c r="CJ537" s="202">
        <f>IF(AND(Input_Product=Elig!$C537,Elig_MatchAll_Ct&lt;22,$BC537=(Elig_MatchAll_Ct-1),BA537=0),AE537,0)</f>
        <v>0</v>
      </c>
    </row>
    <row r="538" spans="2:88" ht="10.15" customHeight="1" x14ac:dyDescent="0.25">
      <c r="B538" s="287" t="s">
        <v>4029</v>
      </c>
      <c r="C538" s="291" t="str">
        <f t="shared" si="232"/>
        <v>NonQM NOO</v>
      </c>
      <c r="D538" s="292" t="s">
        <v>3885</v>
      </c>
      <c r="E538" s="292" t="s">
        <v>167</v>
      </c>
      <c r="F538" s="292" t="s">
        <v>330</v>
      </c>
      <c r="G538" s="292" t="s">
        <v>181</v>
      </c>
      <c r="H538" s="292" t="s">
        <v>136</v>
      </c>
      <c r="I538" s="295" t="s">
        <v>274</v>
      </c>
      <c r="J538" s="295" t="s">
        <v>1311</v>
      </c>
      <c r="K538" s="295" t="s">
        <v>1631</v>
      </c>
      <c r="L538" s="324" t="s">
        <v>312</v>
      </c>
      <c r="M538" s="292" t="s">
        <v>4203</v>
      </c>
      <c r="N538" s="292" t="s">
        <v>2685</v>
      </c>
      <c r="O538" s="292" t="s">
        <v>310</v>
      </c>
      <c r="P538" s="292" t="s">
        <v>291</v>
      </c>
      <c r="Q538" s="292" t="s">
        <v>294</v>
      </c>
      <c r="R538" s="292">
        <v>2000000.01</v>
      </c>
      <c r="S538" s="324">
        <v>2500000</v>
      </c>
      <c r="T538" s="292">
        <v>0</v>
      </c>
      <c r="U538" s="292">
        <v>0</v>
      </c>
      <c r="V538" s="292">
        <v>0</v>
      </c>
      <c r="W538" s="292">
        <v>50</v>
      </c>
      <c r="X538" s="292">
        <v>0.75</v>
      </c>
      <c r="Y538" s="292">
        <v>999</v>
      </c>
      <c r="Z538" s="2102">
        <v>660</v>
      </c>
      <c r="AA538" s="2102">
        <v>679</v>
      </c>
      <c r="AB538" s="293">
        <v>9</v>
      </c>
      <c r="AC538" s="293">
        <v>999999</v>
      </c>
      <c r="AD538" s="292">
        <v>0</v>
      </c>
      <c r="AE538" s="2107">
        <v>70</v>
      </c>
      <c r="AF538" s="170">
        <v>0</v>
      </c>
      <c r="AG538" s="171">
        <v>1</v>
      </c>
      <c r="AH538" s="171">
        <v>1</v>
      </c>
      <c r="AI538" s="171">
        <v>0</v>
      </c>
      <c r="AJ538" s="171">
        <v>0</v>
      </c>
      <c r="AK538" s="171">
        <v>1</v>
      </c>
      <c r="AL538" s="171">
        <v>0</v>
      </c>
      <c r="AM538" s="171">
        <v>1</v>
      </c>
      <c r="AN538" s="171">
        <v>1</v>
      </c>
      <c r="AO538" s="171">
        <v>1</v>
      </c>
      <c r="AP538" s="171">
        <v>1</v>
      </c>
      <c r="AQ538" s="171">
        <v>1</v>
      </c>
      <c r="AR538" s="171">
        <v>1</v>
      </c>
      <c r="AS538" s="171">
        <v>1</v>
      </c>
      <c r="AT538" s="171">
        <v>1</v>
      </c>
      <c r="AU538" s="171">
        <f t="shared" si="183"/>
        <v>0</v>
      </c>
      <c r="AV538" s="171">
        <f t="shared" si="184"/>
        <v>0</v>
      </c>
      <c r="AW538" s="171">
        <f t="shared" si="185"/>
        <v>1</v>
      </c>
      <c r="AX538" s="171">
        <f t="shared" si="197"/>
        <v>0</v>
      </c>
      <c r="AY538" s="171">
        <f t="shared" si="186"/>
        <v>0</v>
      </c>
      <c r="AZ538" s="171">
        <f t="shared" si="187"/>
        <v>1</v>
      </c>
      <c r="BA538" s="172">
        <f t="shared" si="188"/>
        <v>1</v>
      </c>
      <c r="BB538" s="175">
        <f t="shared" si="190"/>
        <v>14</v>
      </c>
      <c r="BC538" s="176">
        <f t="shared" si="191"/>
        <v>13</v>
      </c>
      <c r="BD538" s="176">
        <f t="shared" si="192"/>
        <v>14</v>
      </c>
      <c r="BE538" s="240" t="str">
        <f t="shared" si="215"/>
        <v/>
      </c>
      <c r="BH538" s="214">
        <f>IF(AND(Input_Product=Elig!$C538,Elig_MatchAll_Ct&lt;22,$BC538=(Elig_MatchAll_Ct-1),AF538=0),C538,0)</f>
        <v>0</v>
      </c>
      <c r="BI538" s="214">
        <f>IF(AND(Input_Product=Elig!$C538,Elig_MatchAll_Ct&lt;22,$BC538=(Elig_MatchAll_Ct-1),AG538=0),D538,0)</f>
        <v>0</v>
      </c>
      <c r="BJ538" s="214">
        <f>IF(AND(Input_Product=Elig!$C538,Elig_MatchAll_Ct&lt;22,$BC538=(Elig_MatchAll_Ct-1),AH538=0),E538,0)</f>
        <v>0</v>
      </c>
      <c r="BK538" s="214">
        <f>IF(AND(Input_Product=Elig!$C538,Elig_MatchAll_Ct&lt;22,$BC538=(Elig_MatchAll_Ct-1),AI538=0),F538,0)</f>
        <v>0</v>
      </c>
      <c r="BL538" s="214">
        <f>IF(AND(Input_Product=Elig!$C538,Elig_MatchAll_Ct&lt;22,$BC538=(Elig_MatchAll_Ct-1),AJ538=0),G538,0)</f>
        <v>0</v>
      </c>
      <c r="BM538" s="214">
        <f>IF(AND(Input_Product=Elig!$C538,Elig_MatchAll_Ct&lt;22,$BC538=(Elig_MatchAll_Ct-1),AK538=0),H538,0)</f>
        <v>0</v>
      </c>
      <c r="BN538" s="214">
        <f>IF(AND(Input_Product=Elig!$C538,Elig_MatchAll_Ct&lt;22,$BC538=(Elig_MatchAll_Ct-1),AL538=0),I538,0)</f>
        <v>0</v>
      </c>
      <c r="BO538" s="214">
        <f>IF(AND(Input_Product=Elig!$C538,Elig_MatchAll_Ct&lt;22,$BC538=(Elig_MatchAll_Ct-1),AM538=0),J538,0)</f>
        <v>0</v>
      </c>
      <c r="BP538" s="214">
        <f>IF(AND(Input_Product=Elig!$C538,Elig_MatchAll_Ct&lt;22,$BC538=(Elig_MatchAll_Ct-1),AN538=0),K538,0)</f>
        <v>0</v>
      </c>
      <c r="BQ538" s="214">
        <f>IF(AND(Input_Product=Elig!$C538,Elig_MatchAll_Ct&lt;22,$BC538=(Elig_MatchAll_Ct-1),AP538=0),L538,0)</f>
        <v>0</v>
      </c>
      <c r="BR538" s="214">
        <f>IF(AND(Input_Product=Elig!$C538,Elig_MatchAll_Ct&lt;22,$BC538=(Elig_MatchAll_Ct-1),AO538=0),M538,0)</f>
        <v>0</v>
      </c>
      <c r="BS538" s="214">
        <f>IF(AND(Input_Product=Elig!$C538,Elig_MatchAll_Ct&lt;22,$BC538=(Elig_MatchAll_Ct-1),AQ538=0),N538,0)</f>
        <v>0</v>
      </c>
      <c r="BT538" s="214">
        <f>IF(AND(Input_Product=Elig!$C538,Elig_MatchAll_Ct&lt;22,$BC538=(Elig_MatchAll_Ct-1),AR538=0),O538,0)</f>
        <v>0</v>
      </c>
      <c r="BU538" s="214">
        <f>IF(AND(Input_Product=Elig!$C538,Elig_MatchAll_Ct&lt;22,$BC538=(Elig_MatchAll_Ct-1),AS538=0),P538,0)</f>
        <v>0</v>
      </c>
      <c r="BV538" s="215">
        <f>IF(AND(Input_Product=Elig!$C538,Elig_MatchAll_Ct&lt;22,$BC538=(Elig_MatchAll_Ct-1),AT538=0),Q538,0)</f>
        <v>0</v>
      </c>
      <c r="BW538" s="311">
        <f>IF(AND(Input_Product=Elig!$C538,Elig_MatchAll_Ct&lt;22,$BC538=(Elig_MatchAll_Ct-1),AU538=0),R538,0)</f>
        <v>0</v>
      </c>
      <c r="BX538" s="312">
        <f>IF(AND(Input_Product=Elig!$C538,Elig_MatchAll_Ct&lt;22,$BC538=(Elig_MatchAll_Ct-1),AU538=0),S538,0)</f>
        <v>0</v>
      </c>
      <c r="BY538" s="311">
        <f>IF(AND(Input_Product=Elig!$C538,Elig_MatchAll_Ct&lt;22,$BC538=(Elig_MatchAll_Ct-1),AV538=0),T538,0)</f>
        <v>0</v>
      </c>
      <c r="BZ538" s="312">
        <f>IF(AND(Input_Product=Elig!$C538,Elig_MatchAll_Ct&lt;22,$BC538=(Elig_MatchAll_Ct-1),AV538=0),U538,0)</f>
        <v>0</v>
      </c>
      <c r="CA538" s="311">
        <f>IF(AND(Input_Product=Elig!$C538,Elig_MatchAll_Ct&lt;22,$BC538=(Elig_MatchAll_Ct-1),AW538=0),V538,0)</f>
        <v>0</v>
      </c>
      <c r="CB538" s="312">
        <f>IF(AND(Input_Product=Elig!$C538,Elig_MatchAll_Ct&lt;22,$BC538=(Elig_MatchAll_Ct-1),AW538=0),W538,0)</f>
        <v>0</v>
      </c>
      <c r="CC538" s="311">
        <f>IF(AND(Input_Product=Elig!$C538,Elig_MatchAll_Ct&lt;22,$BC538=(Elig_MatchAll_Ct-1),AX538=0),X538,0)</f>
        <v>0</v>
      </c>
      <c r="CD538" s="312">
        <f>IF(AND(Input_Product=Elig!$C538,Elig_MatchAll_Ct&lt;22,$BC538=(Elig_MatchAll_Ct-1),AX538=0),Y538,0)</f>
        <v>0</v>
      </c>
      <c r="CE538" s="311">
        <f>IF(AND(Input_LTV&lt;=AE538,Input_Product=Elig!$C538,Elig_MatchAll_Ct&lt;22,$BC538=(Elig_MatchAll_Ct-1),AY538=0),Z538,0)</f>
        <v>0</v>
      </c>
      <c r="CF538" s="312">
        <f>IF(AND(Input_LTV&lt;=AE538,Input_Product=Elig!$C538,Elig_MatchAll_Ct&lt;22,$BC538=(Elig_MatchAll_Ct-1),AY538=0),AA538,0)</f>
        <v>0</v>
      </c>
      <c r="CG538" s="311">
        <f>IF(AND(Input_Product=Elig!$C538,Elig_MatchAll_Ct&lt;22,$BC538=(Elig_MatchAll_Ct-1),AZ538=0),AB538,0)</f>
        <v>0</v>
      </c>
      <c r="CH538" s="312">
        <f>IF(AND(Input_Product=Elig!$C538,Elig_MatchAll_Ct&lt;22,$BC538=(Elig_MatchAll_Ct-1),AZ538=0),AC538,0)</f>
        <v>0</v>
      </c>
      <c r="CI538" s="311">
        <f>IF(AND(Input_Product=Elig!$C538,Elig_MatchAll_Ct&lt;22,$BC538=(Elig_MatchAll_Ct-1),BA538=0),AD538,0)</f>
        <v>0</v>
      </c>
      <c r="CJ538" s="312">
        <f>IF(AND(Input_Product=Elig!$C538,Elig_MatchAll_Ct&lt;22,$BC538=(Elig_MatchAll_Ct-1),BA538=0),AE538,0)</f>
        <v>0</v>
      </c>
    </row>
    <row r="539" spans="2:88" ht="10.15" customHeight="1" x14ac:dyDescent="0.25">
      <c r="B539" s="287" t="s">
        <v>4030</v>
      </c>
      <c r="C539" s="281" t="str">
        <f t="shared" si="232"/>
        <v>NonQM NOO</v>
      </c>
      <c r="D539" s="282" t="s">
        <v>3885</v>
      </c>
      <c r="E539" s="283" t="s">
        <v>167</v>
      </c>
      <c r="F539" s="283" t="s">
        <v>330</v>
      </c>
      <c r="G539" s="283" t="s">
        <v>181</v>
      </c>
      <c r="H539" s="283" t="s">
        <v>136</v>
      </c>
      <c r="I539" s="283" t="s">
        <v>16</v>
      </c>
      <c r="J539" s="282" t="s">
        <v>1311</v>
      </c>
      <c r="K539" s="282" t="s">
        <v>1631</v>
      </c>
      <c r="L539" s="2103" t="s">
        <v>312</v>
      </c>
      <c r="M539" s="283" t="s">
        <v>4203</v>
      </c>
      <c r="N539" s="283" t="s">
        <v>2685</v>
      </c>
      <c r="O539" s="283" t="s">
        <v>310</v>
      </c>
      <c r="P539" s="283" t="s">
        <v>291</v>
      </c>
      <c r="Q539" s="283" t="s">
        <v>294</v>
      </c>
      <c r="R539" s="282">
        <v>2000000.01</v>
      </c>
      <c r="S539" s="323">
        <v>2500000</v>
      </c>
      <c r="T539" s="282">
        <v>0</v>
      </c>
      <c r="U539" s="282">
        <f t="shared" ref="U539:U542" si="236">S539</f>
        <v>2500000</v>
      </c>
      <c r="V539" s="282">
        <v>0</v>
      </c>
      <c r="W539" s="282">
        <v>50</v>
      </c>
      <c r="X539" s="282">
        <v>1</v>
      </c>
      <c r="Y539" s="282">
        <v>999</v>
      </c>
      <c r="Z539" s="284">
        <v>720</v>
      </c>
      <c r="AA539" s="284">
        <v>999</v>
      </c>
      <c r="AB539" s="284">
        <v>9</v>
      </c>
      <c r="AC539" s="284">
        <v>999999</v>
      </c>
      <c r="AD539" s="282">
        <v>0</v>
      </c>
      <c r="AE539" s="2104">
        <v>65</v>
      </c>
      <c r="AF539" s="170">
        <v>0</v>
      </c>
      <c r="AG539" s="171">
        <v>1</v>
      </c>
      <c r="AH539" s="171">
        <v>1</v>
      </c>
      <c r="AI539" s="171">
        <v>0</v>
      </c>
      <c r="AJ539" s="171">
        <v>0</v>
      </c>
      <c r="AK539" s="171">
        <v>1</v>
      </c>
      <c r="AL539" s="171">
        <v>1</v>
      </c>
      <c r="AM539" s="171">
        <v>1</v>
      </c>
      <c r="AN539" s="171">
        <v>1</v>
      </c>
      <c r="AO539" s="171">
        <v>1</v>
      </c>
      <c r="AP539" s="171">
        <v>1</v>
      </c>
      <c r="AQ539" s="171">
        <v>1</v>
      </c>
      <c r="AR539" s="171">
        <v>1</v>
      </c>
      <c r="AS539" s="171">
        <v>1</v>
      </c>
      <c r="AT539" s="171">
        <v>1</v>
      </c>
      <c r="AU539" s="171">
        <f t="shared" si="183"/>
        <v>0</v>
      </c>
      <c r="AV539" s="171">
        <f t="shared" si="184"/>
        <v>1</v>
      </c>
      <c r="AW539" s="171">
        <f t="shared" si="185"/>
        <v>1</v>
      </c>
      <c r="AX539" s="171">
        <f t="shared" si="197"/>
        <v>0</v>
      </c>
      <c r="AY539" s="171">
        <f t="shared" si="186"/>
        <v>1</v>
      </c>
      <c r="AZ539" s="171">
        <f t="shared" si="187"/>
        <v>1</v>
      </c>
      <c r="BA539" s="172">
        <f t="shared" si="188"/>
        <v>1</v>
      </c>
      <c r="BB539" s="175">
        <f t="shared" si="190"/>
        <v>17</v>
      </c>
      <c r="BC539" s="176">
        <f t="shared" si="191"/>
        <v>16</v>
      </c>
      <c r="BD539" s="176">
        <f t="shared" si="192"/>
        <v>17</v>
      </c>
      <c r="BE539" s="240" t="str">
        <f t="shared" si="215"/>
        <v/>
      </c>
      <c r="BH539" s="216">
        <f>IF(AND(Input_Product=Elig!$C539,Elig_MatchAll_Ct&lt;22,$BC539=(Elig_MatchAll_Ct-1),AF539=0),C539,0)</f>
        <v>0</v>
      </c>
      <c r="BI539" s="216">
        <f>IF(AND(Input_Product=Elig!$C539,Elig_MatchAll_Ct&lt;22,$BC539=(Elig_MatchAll_Ct-1),AG539=0),D539,0)</f>
        <v>0</v>
      </c>
      <c r="BJ539" s="216">
        <f>IF(AND(Input_Product=Elig!$C539,Elig_MatchAll_Ct&lt;22,$BC539=(Elig_MatchAll_Ct-1),AH539=0),E539,0)</f>
        <v>0</v>
      </c>
      <c r="BK539" s="216">
        <f>IF(AND(Input_Product=Elig!$C539,Elig_MatchAll_Ct&lt;22,$BC539=(Elig_MatchAll_Ct-1),AI539=0),F539,0)</f>
        <v>0</v>
      </c>
      <c r="BL539" s="216">
        <f>IF(AND(Input_Product=Elig!$C539,Elig_MatchAll_Ct&lt;22,$BC539=(Elig_MatchAll_Ct-1),AJ539=0),G539,0)</f>
        <v>0</v>
      </c>
      <c r="BM539" s="216">
        <f>IF(AND(Input_Product=Elig!$C539,Elig_MatchAll_Ct&lt;22,$BC539=(Elig_MatchAll_Ct-1),AK539=0),H539,0)</f>
        <v>0</v>
      </c>
      <c r="BN539" s="216">
        <f>IF(AND(Input_Product=Elig!$C539,Elig_MatchAll_Ct&lt;22,$BC539=(Elig_MatchAll_Ct-1),AL539=0),I539,0)</f>
        <v>0</v>
      </c>
      <c r="BO539" s="216">
        <f>IF(AND(Input_Product=Elig!$C539,Elig_MatchAll_Ct&lt;22,$BC539=(Elig_MatchAll_Ct-1),AM539=0),J539,0)</f>
        <v>0</v>
      </c>
      <c r="BP539" s="216">
        <f>IF(AND(Input_Product=Elig!$C539,Elig_MatchAll_Ct&lt;22,$BC539=(Elig_MatchAll_Ct-1),AN539=0),K539,0)</f>
        <v>0</v>
      </c>
      <c r="BQ539" s="216">
        <f>IF(AND(Input_Product=Elig!$C539,Elig_MatchAll_Ct&lt;22,$BC539=(Elig_MatchAll_Ct-1),AP539=0),L539,0)</f>
        <v>0</v>
      </c>
      <c r="BR539" s="216">
        <f>IF(AND(Input_Product=Elig!$C539,Elig_MatchAll_Ct&lt;22,$BC539=(Elig_MatchAll_Ct-1),AO539=0),M539,0)</f>
        <v>0</v>
      </c>
      <c r="BS539" s="216">
        <f>IF(AND(Input_Product=Elig!$C539,Elig_MatchAll_Ct&lt;22,$BC539=(Elig_MatchAll_Ct-1),AQ539=0),N539,0)</f>
        <v>0</v>
      </c>
      <c r="BT539" s="216">
        <f>IF(AND(Input_Product=Elig!$C539,Elig_MatchAll_Ct&lt;22,$BC539=(Elig_MatchAll_Ct-1),AR539=0),O539,0)</f>
        <v>0</v>
      </c>
      <c r="BU539" s="216">
        <f>IF(AND(Input_Product=Elig!$C539,Elig_MatchAll_Ct&lt;22,$BC539=(Elig_MatchAll_Ct-1),AS539=0),P539,0)</f>
        <v>0</v>
      </c>
      <c r="BV539" s="217">
        <f>IF(AND(Input_Product=Elig!$C539,Elig_MatchAll_Ct&lt;22,$BC539=(Elig_MatchAll_Ct-1),AT539=0),Q539,0)</f>
        <v>0</v>
      </c>
      <c r="BW539" s="313">
        <f>IF(AND(Input_Product=Elig!$C539,Elig_MatchAll_Ct&lt;22,$BC539=(Elig_MatchAll_Ct-1),AU539=0),R539,0)</f>
        <v>0</v>
      </c>
      <c r="BX539" s="314">
        <f>IF(AND(Input_Product=Elig!$C539,Elig_MatchAll_Ct&lt;22,$BC539=(Elig_MatchAll_Ct-1),AU539=0),S539,0)</f>
        <v>0</v>
      </c>
      <c r="BY539" s="313">
        <f>IF(AND(Input_Product=Elig!$C539,Elig_MatchAll_Ct&lt;22,$BC539=(Elig_MatchAll_Ct-1),AV539=0),T539,0)</f>
        <v>0</v>
      </c>
      <c r="BZ539" s="314">
        <f>IF(AND(Input_Product=Elig!$C539,Elig_MatchAll_Ct&lt;22,$BC539=(Elig_MatchAll_Ct-1),AV539=0),U539,0)</f>
        <v>0</v>
      </c>
      <c r="CA539" s="313">
        <f>IF(AND(Input_Product=Elig!$C539,Elig_MatchAll_Ct&lt;22,$BC539=(Elig_MatchAll_Ct-1),AW539=0),V539,0)</f>
        <v>0</v>
      </c>
      <c r="CB539" s="314">
        <f>IF(AND(Input_Product=Elig!$C539,Elig_MatchAll_Ct&lt;22,$BC539=(Elig_MatchAll_Ct-1),AW539=0),W539,0)</f>
        <v>0</v>
      </c>
      <c r="CC539" s="313">
        <f>IF(AND(Input_Product=Elig!$C539,Elig_MatchAll_Ct&lt;22,$BC539=(Elig_MatchAll_Ct-1),AX539=0),X539,0)</f>
        <v>0</v>
      </c>
      <c r="CD539" s="314">
        <f>IF(AND(Input_Product=Elig!$C539,Elig_MatchAll_Ct&lt;22,$BC539=(Elig_MatchAll_Ct-1),AX539=0),Y539,0)</f>
        <v>0</v>
      </c>
      <c r="CE539" s="313">
        <f>IF(AND(Input_LTV&lt;=AE539,Input_Product=Elig!$C539,Elig_MatchAll_Ct&lt;22,$BC539=(Elig_MatchAll_Ct-1),AY539=0),Z539,0)</f>
        <v>0</v>
      </c>
      <c r="CF539" s="314">
        <f>IF(AND(Input_LTV&lt;=AE539,Input_Product=Elig!$C539,Elig_MatchAll_Ct&lt;22,$BC539=(Elig_MatchAll_Ct-1),AY539=0),AA539,0)</f>
        <v>0</v>
      </c>
      <c r="CG539" s="313">
        <f>IF(AND(Input_Product=Elig!$C539,Elig_MatchAll_Ct&lt;22,$BC539=(Elig_MatchAll_Ct-1),AZ539=0),AB539,0)</f>
        <v>0</v>
      </c>
      <c r="CH539" s="314">
        <f>IF(AND(Input_Product=Elig!$C539,Elig_MatchAll_Ct&lt;22,$BC539=(Elig_MatchAll_Ct-1),AZ539=0),AC539,0)</f>
        <v>0</v>
      </c>
      <c r="CI539" s="313">
        <f>IF(AND(Input_Product=Elig!$C539,Elig_MatchAll_Ct&lt;22,$BC539=(Elig_MatchAll_Ct-1),BA539=0),AD539,0)</f>
        <v>0</v>
      </c>
      <c r="CJ539" s="314">
        <f>IF(AND(Input_Product=Elig!$C539,Elig_MatchAll_Ct&lt;22,$BC539=(Elig_MatchAll_Ct-1),BA539=0),AE539,0)</f>
        <v>0</v>
      </c>
    </row>
    <row r="540" spans="2:88" ht="10.15" customHeight="1" x14ac:dyDescent="0.25">
      <c r="B540" s="287" t="s">
        <v>4031</v>
      </c>
      <c r="C540" s="286" t="str">
        <f t="shared" si="232"/>
        <v>NonQM NOO</v>
      </c>
      <c r="D540" s="287" t="s">
        <v>3885</v>
      </c>
      <c r="E540" s="287" t="s">
        <v>167</v>
      </c>
      <c r="F540" s="287" t="s">
        <v>330</v>
      </c>
      <c r="G540" s="287" t="s">
        <v>181</v>
      </c>
      <c r="H540" s="287" t="s">
        <v>136</v>
      </c>
      <c r="I540" s="288" t="s">
        <v>16</v>
      </c>
      <c r="J540" s="288" t="s">
        <v>1311</v>
      </c>
      <c r="K540" s="288" t="s">
        <v>1631</v>
      </c>
      <c r="L540" s="300" t="s">
        <v>312</v>
      </c>
      <c r="M540" s="287" t="s">
        <v>4203</v>
      </c>
      <c r="N540" s="287" t="s">
        <v>2685</v>
      </c>
      <c r="O540" s="287" t="s">
        <v>310</v>
      </c>
      <c r="P540" s="287" t="s">
        <v>291</v>
      </c>
      <c r="Q540" s="287" t="s">
        <v>294</v>
      </c>
      <c r="R540" s="287">
        <v>2000000.01</v>
      </c>
      <c r="S540" s="300">
        <v>2500000</v>
      </c>
      <c r="T540" s="287">
        <v>0</v>
      </c>
      <c r="U540" s="287">
        <f t="shared" si="236"/>
        <v>2500000</v>
      </c>
      <c r="V540" s="287">
        <v>0</v>
      </c>
      <c r="W540" s="287">
        <v>50</v>
      </c>
      <c r="X540" s="287">
        <v>1</v>
      </c>
      <c r="Y540" s="287">
        <v>999</v>
      </c>
      <c r="Z540" s="289">
        <v>700</v>
      </c>
      <c r="AA540" s="289">
        <v>719</v>
      </c>
      <c r="AB540" s="289">
        <v>9</v>
      </c>
      <c r="AC540" s="289">
        <v>999999</v>
      </c>
      <c r="AD540" s="287">
        <v>0</v>
      </c>
      <c r="AE540" s="2105">
        <v>65</v>
      </c>
      <c r="AF540" s="170">
        <v>0</v>
      </c>
      <c r="AG540" s="171">
        <v>1</v>
      </c>
      <c r="AH540" s="171">
        <v>1</v>
      </c>
      <c r="AI540" s="171">
        <v>0</v>
      </c>
      <c r="AJ540" s="171">
        <v>0</v>
      </c>
      <c r="AK540" s="171">
        <v>1</v>
      </c>
      <c r="AL540" s="171">
        <v>1</v>
      </c>
      <c r="AM540" s="171">
        <v>1</v>
      </c>
      <c r="AN540" s="171">
        <v>1</v>
      </c>
      <c r="AO540" s="171">
        <v>1</v>
      </c>
      <c r="AP540" s="171">
        <v>1</v>
      </c>
      <c r="AQ540" s="171">
        <v>1</v>
      </c>
      <c r="AR540" s="171">
        <v>1</v>
      </c>
      <c r="AS540" s="171">
        <v>1</v>
      </c>
      <c r="AT540" s="171">
        <v>1</v>
      </c>
      <c r="AU540" s="171">
        <f t="shared" si="183"/>
        <v>0</v>
      </c>
      <c r="AV540" s="171">
        <f t="shared" si="184"/>
        <v>1</v>
      </c>
      <c r="AW540" s="171">
        <f t="shared" si="185"/>
        <v>1</v>
      </c>
      <c r="AX540" s="171">
        <f t="shared" si="197"/>
        <v>0</v>
      </c>
      <c r="AY540" s="171">
        <f t="shared" si="186"/>
        <v>0</v>
      </c>
      <c r="AZ540" s="171">
        <f t="shared" si="187"/>
        <v>1</v>
      </c>
      <c r="BA540" s="172">
        <f t="shared" si="188"/>
        <v>1</v>
      </c>
      <c r="BB540" s="175">
        <f t="shared" si="190"/>
        <v>16</v>
      </c>
      <c r="BC540" s="176">
        <f t="shared" si="191"/>
        <v>15</v>
      </c>
      <c r="BD540" s="176">
        <f t="shared" si="192"/>
        <v>16</v>
      </c>
      <c r="BE540" s="240" t="str">
        <f t="shared" si="215"/>
        <v/>
      </c>
      <c r="BH540" s="210">
        <f>IF(AND(Input_Product=Elig!$C540,Elig_MatchAll_Ct&lt;22,$BC540=(Elig_MatchAll_Ct-1),AF540=0),C540,0)</f>
        <v>0</v>
      </c>
      <c r="BI540" s="210">
        <f>IF(AND(Input_Product=Elig!$C540,Elig_MatchAll_Ct&lt;22,$BC540=(Elig_MatchAll_Ct-1),AG540=0),D540,0)</f>
        <v>0</v>
      </c>
      <c r="BJ540" s="210">
        <f>IF(AND(Input_Product=Elig!$C540,Elig_MatchAll_Ct&lt;22,$BC540=(Elig_MatchAll_Ct-1),AH540=0),E540,0)</f>
        <v>0</v>
      </c>
      <c r="BK540" s="210">
        <f>IF(AND(Input_Product=Elig!$C540,Elig_MatchAll_Ct&lt;22,$BC540=(Elig_MatchAll_Ct-1),AI540=0),F540,0)</f>
        <v>0</v>
      </c>
      <c r="BL540" s="210">
        <f>IF(AND(Input_Product=Elig!$C540,Elig_MatchAll_Ct&lt;22,$BC540=(Elig_MatchAll_Ct-1),AJ540=0),G540,0)</f>
        <v>0</v>
      </c>
      <c r="BM540" s="210">
        <f>IF(AND(Input_Product=Elig!$C540,Elig_MatchAll_Ct&lt;22,$BC540=(Elig_MatchAll_Ct-1),AK540=0),H540,0)</f>
        <v>0</v>
      </c>
      <c r="BN540" s="210">
        <f>IF(AND(Input_Product=Elig!$C540,Elig_MatchAll_Ct&lt;22,$BC540=(Elig_MatchAll_Ct-1),AL540=0),I540,0)</f>
        <v>0</v>
      </c>
      <c r="BO540" s="210">
        <f>IF(AND(Input_Product=Elig!$C540,Elig_MatchAll_Ct&lt;22,$BC540=(Elig_MatchAll_Ct-1),AM540=0),J540,0)</f>
        <v>0</v>
      </c>
      <c r="BP540" s="210">
        <f>IF(AND(Input_Product=Elig!$C540,Elig_MatchAll_Ct&lt;22,$BC540=(Elig_MatchAll_Ct-1),AN540=0),K540,0)</f>
        <v>0</v>
      </c>
      <c r="BQ540" s="210">
        <f>IF(AND(Input_Product=Elig!$C540,Elig_MatchAll_Ct&lt;22,$BC540=(Elig_MatchAll_Ct-1),AP540=0),L540,0)</f>
        <v>0</v>
      </c>
      <c r="BR540" s="210">
        <f>IF(AND(Input_Product=Elig!$C540,Elig_MatchAll_Ct&lt;22,$BC540=(Elig_MatchAll_Ct-1),AO540=0),M540,0)</f>
        <v>0</v>
      </c>
      <c r="BS540" s="210">
        <f>IF(AND(Input_Product=Elig!$C540,Elig_MatchAll_Ct&lt;22,$BC540=(Elig_MatchAll_Ct-1),AQ540=0),N540,0)</f>
        <v>0</v>
      </c>
      <c r="BT540" s="210">
        <f>IF(AND(Input_Product=Elig!$C540,Elig_MatchAll_Ct&lt;22,$BC540=(Elig_MatchAll_Ct-1),AR540=0),O540,0)</f>
        <v>0</v>
      </c>
      <c r="BU540" s="210">
        <f>IF(AND(Input_Product=Elig!$C540,Elig_MatchAll_Ct&lt;22,$BC540=(Elig_MatchAll_Ct-1),AS540=0),P540,0)</f>
        <v>0</v>
      </c>
      <c r="BV540" s="211">
        <f>IF(AND(Input_Product=Elig!$C540,Elig_MatchAll_Ct&lt;22,$BC540=(Elig_MatchAll_Ct-1),AT540=0),Q540,0)</f>
        <v>0</v>
      </c>
      <c r="BW540" s="212">
        <f>IF(AND(Input_Product=Elig!$C540,Elig_MatchAll_Ct&lt;22,$BC540=(Elig_MatchAll_Ct-1),AU540=0),R540,0)</f>
        <v>0</v>
      </c>
      <c r="BX540" s="213">
        <f>IF(AND(Input_Product=Elig!$C540,Elig_MatchAll_Ct&lt;22,$BC540=(Elig_MatchAll_Ct-1),AU540=0),S540,0)</f>
        <v>0</v>
      </c>
      <c r="BY540" s="212">
        <f>IF(AND(Input_Product=Elig!$C540,Elig_MatchAll_Ct&lt;22,$BC540=(Elig_MatchAll_Ct-1),AV540=0),T540,0)</f>
        <v>0</v>
      </c>
      <c r="BZ540" s="213">
        <f>IF(AND(Input_Product=Elig!$C540,Elig_MatchAll_Ct&lt;22,$BC540=(Elig_MatchAll_Ct-1),AV540=0),U540,0)</f>
        <v>0</v>
      </c>
      <c r="CA540" s="212">
        <f>IF(AND(Input_Product=Elig!$C540,Elig_MatchAll_Ct&lt;22,$BC540=(Elig_MatchAll_Ct-1),AW540=0),V540,0)</f>
        <v>0</v>
      </c>
      <c r="CB540" s="213">
        <f>IF(AND(Input_Product=Elig!$C540,Elig_MatchAll_Ct&lt;22,$BC540=(Elig_MatchAll_Ct-1),AW540=0),W540,0)</f>
        <v>0</v>
      </c>
      <c r="CC540" s="212">
        <f>IF(AND(Input_Product=Elig!$C540,Elig_MatchAll_Ct&lt;22,$BC540=(Elig_MatchAll_Ct-1),AX540=0),X540,0)</f>
        <v>0</v>
      </c>
      <c r="CD540" s="213">
        <f>IF(AND(Input_Product=Elig!$C540,Elig_MatchAll_Ct&lt;22,$BC540=(Elig_MatchAll_Ct-1),AX540=0),Y540,0)</f>
        <v>0</v>
      </c>
      <c r="CE540" s="212">
        <f>IF(AND(Input_LTV&lt;=AE540,Input_Product=Elig!$C540,Elig_MatchAll_Ct&lt;22,$BC540=(Elig_MatchAll_Ct-1),AY540=0),Z540,0)</f>
        <v>0</v>
      </c>
      <c r="CF540" s="213">
        <f>IF(AND(Input_LTV&lt;=AE540,Input_Product=Elig!$C540,Elig_MatchAll_Ct&lt;22,$BC540=(Elig_MatchAll_Ct-1),AY540=0),AA540,0)</f>
        <v>0</v>
      </c>
      <c r="CG540" s="212">
        <f>IF(AND(Input_Product=Elig!$C540,Elig_MatchAll_Ct&lt;22,$BC540=(Elig_MatchAll_Ct-1),AZ540=0),AB540,0)</f>
        <v>0</v>
      </c>
      <c r="CH540" s="213">
        <f>IF(AND(Input_Product=Elig!$C540,Elig_MatchAll_Ct&lt;22,$BC540=(Elig_MatchAll_Ct-1),AZ540=0),AC540,0)</f>
        <v>0</v>
      </c>
      <c r="CI540" s="212">
        <f>IF(AND(Input_Product=Elig!$C540,Elig_MatchAll_Ct&lt;22,$BC540=(Elig_MatchAll_Ct-1),BA540=0),AD540,0)</f>
        <v>0</v>
      </c>
      <c r="CJ540" s="213">
        <f>IF(AND(Input_Product=Elig!$C540,Elig_MatchAll_Ct&lt;22,$BC540=(Elig_MatchAll_Ct-1),BA540=0),AE540,0)</f>
        <v>0</v>
      </c>
    </row>
    <row r="541" spans="2:88" ht="10.15" customHeight="1" x14ac:dyDescent="0.25">
      <c r="B541" s="287" t="s">
        <v>4032</v>
      </c>
      <c r="C541" s="286" t="str">
        <f t="shared" si="232"/>
        <v>NonQM NOO</v>
      </c>
      <c r="D541" s="287" t="s">
        <v>3885</v>
      </c>
      <c r="E541" s="287" t="s">
        <v>167</v>
      </c>
      <c r="F541" s="287" t="s">
        <v>330</v>
      </c>
      <c r="G541" s="287" t="s">
        <v>181</v>
      </c>
      <c r="H541" s="287" t="s">
        <v>136</v>
      </c>
      <c r="I541" s="288" t="s">
        <v>16</v>
      </c>
      <c r="J541" s="288" t="s">
        <v>1311</v>
      </c>
      <c r="K541" s="288" t="s">
        <v>1631</v>
      </c>
      <c r="L541" s="300" t="s">
        <v>312</v>
      </c>
      <c r="M541" s="287" t="s">
        <v>4203</v>
      </c>
      <c r="N541" s="287" t="s">
        <v>2685</v>
      </c>
      <c r="O541" s="287" t="s">
        <v>310</v>
      </c>
      <c r="P541" s="287" t="s">
        <v>291</v>
      </c>
      <c r="Q541" s="287" t="s">
        <v>294</v>
      </c>
      <c r="R541" s="287">
        <v>2000000.01</v>
      </c>
      <c r="S541" s="300">
        <v>2500000</v>
      </c>
      <c r="T541" s="287">
        <v>0</v>
      </c>
      <c r="U541" s="287">
        <f t="shared" ref="U541" si="237">S541</f>
        <v>2500000</v>
      </c>
      <c r="V541" s="287">
        <v>0</v>
      </c>
      <c r="W541" s="287">
        <v>50</v>
      </c>
      <c r="X541" s="287">
        <v>1</v>
      </c>
      <c r="Y541" s="287">
        <v>999</v>
      </c>
      <c r="Z541" s="2101">
        <v>680</v>
      </c>
      <c r="AA541" s="2101">
        <v>699</v>
      </c>
      <c r="AB541" s="289">
        <v>9</v>
      </c>
      <c r="AC541" s="289">
        <v>999999</v>
      </c>
      <c r="AD541" s="287">
        <v>0</v>
      </c>
      <c r="AE541" s="2105">
        <v>65</v>
      </c>
      <c r="AF541" s="170">
        <v>0</v>
      </c>
      <c r="AG541" s="171">
        <v>1</v>
      </c>
      <c r="AH541" s="171">
        <v>1</v>
      </c>
      <c r="AI541" s="171">
        <v>0</v>
      </c>
      <c r="AJ541" s="171">
        <v>0</v>
      </c>
      <c r="AK541" s="171">
        <v>1</v>
      </c>
      <c r="AL541" s="171">
        <v>1</v>
      </c>
      <c r="AM541" s="171">
        <v>1</v>
      </c>
      <c r="AN541" s="171">
        <v>1</v>
      </c>
      <c r="AO541" s="171">
        <v>1</v>
      </c>
      <c r="AP541" s="171">
        <v>1</v>
      </c>
      <c r="AQ541" s="171">
        <v>1</v>
      </c>
      <c r="AR541" s="171">
        <v>1</v>
      </c>
      <c r="AS541" s="171">
        <v>1</v>
      </c>
      <c r="AT541" s="171">
        <v>1</v>
      </c>
      <c r="AU541" s="171">
        <f t="shared" si="183"/>
        <v>0</v>
      </c>
      <c r="AV541" s="171">
        <f t="shared" si="184"/>
        <v>1</v>
      </c>
      <c r="AW541" s="171">
        <f t="shared" si="185"/>
        <v>1</v>
      </c>
      <c r="AX541" s="171">
        <f t="shared" si="197"/>
        <v>0</v>
      </c>
      <c r="AY541" s="171">
        <f t="shared" si="186"/>
        <v>0</v>
      </c>
      <c r="AZ541" s="171">
        <f t="shared" si="187"/>
        <v>1</v>
      </c>
      <c r="BA541" s="172">
        <f t="shared" si="188"/>
        <v>1</v>
      </c>
      <c r="BB541" s="175">
        <f t="shared" ref="BB541" si="238">SUM(AF541:BA541)</f>
        <v>16</v>
      </c>
      <c r="BC541" s="176">
        <f t="shared" ref="BC541" si="239">SUM(AF541:AZ541)</f>
        <v>15</v>
      </c>
      <c r="BD541" s="176">
        <f t="shared" ref="BD541" si="240">SUM(AG541:BA541)</f>
        <v>16</v>
      </c>
      <c r="BE541" s="240" t="str">
        <f t="shared" si="215"/>
        <v/>
      </c>
      <c r="BH541" s="210">
        <f>IF(AND(Input_Product=Elig!$C541,Elig_MatchAll_Ct&lt;22,$BC541=(Elig_MatchAll_Ct-1),AF541=0),C541,0)</f>
        <v>0</v>
      </c>
      <c r="BI541" s="210">
        <f>IF(AND(Input_Product=Elig!$C541,Elig_MatchAll_Ct&lt;22,$BC541=(Elig_MatchAll_Ct-1),AG541=0),D541,0)</f>
        <v>0</v>
      </c>
      <c r="BJ541" s="210">
        <f>IF(AND(Input_Product=Elig!$C541,Elig_MatchAll_Ct&lt;22,$BC541=(Elig_MatchAll_Ct-1),AH541=0),E541,0)</f>
        <v>0</v>
      </c>
      <c r="BK541" s="210">
        <f>IF(AND(Input_Product=Elig!$C541,Elig_MatchAll_Ct&lt;22,$BC541=(Elig_MatchAll_Ct-1),AI541=0),F541,0)</f>
        <v>0</v>
      </c>
      <c r="BL541" s="210">
        <f>IF(AND(Input_Product=Elig!$C541,Elig_MatchAll_Ct&lt;22,$BC541=(Elig_MatchAll_Ct-1),AJ541=0),G541,0)</f>
        <v>0</v>
      </c>
      <c r="BM541" s="210">
        <f>IF(AND(Input_Product=Elig!$C541,Elig_MatchAll_Ct&lt;22,$BC541=(Elig_MatchAll_Ct-1),AK541=0),H541,0)</f>
        <v>0</v>
      </c>
      <c r="BN541" s="210">
        <f>IF(AND(Input_Product=Elig!$C541,Elig_MatchAll_Ct&lt;22,$BC541=(Elig_MatchAll_Ct-1),AL541=0),I541,0)</f>
        <v>0</v>
      </c>
      <c r="BO541" s="210">
        <f>IF(AND(Input_Product=Elig!$C541,Elig_MatchAll_Ct&lt;22,$BC541=(Elig_MatchAll_Ct-1),AM541=0),J541,0)</f>
        <v>0</v>
      </c>
      <c r="BP541" s="210">
        <f>IF(AND(Input_Product=Elig!$C541,Elig_MatchAll_Ct&lt;22,$BC541=(Elig_MatchAll_Ct-1),AN541=0),K541,0)</f>
        <v>0</v>
      </c>
      <c r="BQ541" s="210">
        <f>IF(AND(Input_Product=Elig!$C541,Elig_MatchAll_Ct&lt;22,$BC541=(Elig_MatchAll_Ct-1),AP541=0),L541,0)</f>
        <v>0</v>
      </c>
      <c r="BR541" s="210">
        <f>IF(AND(Input_Product=Elig!$C541,Elig_MatchAll_Ct&lt;22,$BC541=(Elig_MatchAll_Ct-1),AO541=0),M541,0)</f>
        <v>0</v>
      </c>
      <c r="BS541" s="210">
        <f>IF(AND(Input_Product=Elig!$C541,Elig_MatchAll_Ct&lt;22,$BC541=(Elig_MatchAll_Ct-1),AQ541=0),N541,0)</f>
        <v>0</v>
      </c>
      <c r="BT541" s="210">
        <f>IF(AND(Input_Product=Elig!$C541,Elig_MatchAll_Ct&lt;22,$BC541=(Elig_MatchAll_Ct-1),AR541=0),O541,0)</f>
        <v>0</v>
      </c>
      <c r="BU541" s="210">
        <f>IF(AND(Input_Product=Elig!$C541,Elig_MatchAll_Ct&lt;22,$BC541=(Elig_MatchAll_Ct-1),AS541=0),P541,0)</f>
        <v>0</v>
      </c>
      <c r="BV541" s="211">
        <f>IF(AND(Input_Product=Elig!$C541,Elig_MatchAll_Ct&lt;22,$BC541=(Elig_MatchAll_Ct-1),AT541=0),Q541,0)</f>
        <v>0</v>
      </c>
      <c r="BW541" s="212">
        <f>IF(AND(Input_Product=Elig!$C541,Elig_MatchAll_Ct&lt;22,$BC541=(Elig_MatchAll_Ct-1),AU541=0),R541,0)</f>
        <v>0</v>
      </c>
      <c r="BX541" s="213">
        <f>IF(AND(Input_Product=Elig!$C541,Elig_MatchAll_Ct&lt;22,$BC541=(Elig_MatchAll_Ct-1),AU541=0),S541,0)</f>
        <v>0</v>
      </c>
      <c r="BY541" s="212">
        <f>IF(AND(Input_Product=Elig!$C541,Elig_MatchAll_Ct&lt;22,$BC541=(Elig_MatchAll_Ct-1),AV541=0),T541,0)</f>
        <v>0</v>
      </c>
      <c r="BZ541" s="213">
        <f>IF(AND(Input_Product=Elig!$C541,Elig_MatchAll_Ct&lt;22,$BC541=(Elig_MatchAll_Ct-1),AV541=0),U541,0)</f>
        <v>0</v>
      </c>
      <c r="CA541" s="212">
        <f>IF(AND(Input_Product=Elig!$C541,Elig_MatchAll_Ct&lt;22,$BC541=(Elig_MatchAll_Ct-1),AW541=0),V541,0)</f>
        <v>0</v>
      </c>
      <c r="CB541" s="213">
        <f>IF(AND(Input_Product=Elig!$C541,Elig_MatchAll_Ct&lt;22,$BC541=(Elig_MatchAll_Ct-1),AW541=0),W541,0)</f>
        <v>0</v>
      </c>
      <c r="CC541" s="212">
        <f>IF(AND(Input_Product=Elig!$C541,Elig_MatchAll_Ct&lt;22,$BC541=(Elig_MatchAll_Ct-1),AX541=0),X541,0)</f>
        <v>0</v>
      </c>
      <c r="CD541" s="213">
        <f>IF(AND(Input_Product=Elig!$C541,Elig_MatchAll_Ct&lt;22,$BC541=(Elig_MatchAll_Ct-1),AX541=0),Y541,0)</f>
        <v>0</v>
      </c>
      <c r="CE541" s="212">
        <f>IF(AND(Input_LTV&lt;=AE541,Input_Product=Elig!$C541,Elig_MatchAll_Ct&lt;22,$BC541=(Elig_MatchAll_Ct-1),AY541=0),Z541,0)</f>
        <v>0</v>
      </c>
      <c r="CF541" s="213">
        <f>IF(AND(Input_LTV&lt;=AE541,Input_Product=Elig!$C541,Elig_MatchAll_Ct&lt;22,$BC541=(Elig_MatchAll_Ct-1),AY541=0),AA541,0)</f>
        <v>0</v>
      </c>
      <c r="CG541" s="212">
        <f>IF(AND(Input_Product=Elig!$C541,Elig_MatchAll_Ct&lt;22,$BC541=(Elig_MatchAll_Ct-1),AZ541=0),AB541,0)</f>
        <v>0</v>
      </c>
      <c r="CH541" s="213">
        <f>IF(AND(Input_Product=Elig!$C541,Elig_MatchAll_Ct&lt;22,$BC541=(Elig_MatchAll_Ct-1),AZ541=0),AC541,0)</f>
        <v>0</v>
      </c>
      <c r="CI541" s="212">
        <f>IF(AND(Input_Product=Elig!$C541,Elig_MatchAll_Ct&lt;22,$BC541=(Elig_MatchAll_Ct-1),BA541=0),AD541,0)</f>
        <v>0</v>
      </c>
      <c r="CJ541" s="213">
        <f>IF(AND(Input_Product=Elig!$C541,Elig_MatchAll_Ct&lt;22,$BC541=(Elig_MatchAll_Ct-1),BA541=0),AE541,0)</f>
        <v>0</v>
      </c>
    </row>
    <row r="542" spans="2:88" ht="10.15" customHeight="1" x14ac:dyDescent="0.25">
      <c r="B542" s="287" t="s">
        <v>4100</v>
      </c>
      <c r="C542" s="291" t="str">
        <f t="shared" si="232"/>
        <v>NonQM NOO</v>
      </c>
      <c r="D542" s="292" t="s">
        <v>3885</v>
      </c>
      <c r="E542" s="292" t="s">
        <v>167</v>
      </c>
      <c r="F542" s="292" t="s">
        <v>330</v>
      </c>
      <c r="G542" s="292" t="s">
        <v>181</v>
      </c>
      <c r="H542" s="292" t="s">
        <v>136</v>
      </c>
      <c r="I542" s="295" t="s">
        <v>16</v>
      </c>
      <c r="J542" s="295" t="s">
        <v>1311</v>
      </c>
      <c r="K542" s="295" t="s">
        <v>1631</v>
      </c>
      <c r="L542" s="324" t="s">
        <v>312</v>
      </c>
      <c r="M542" s="292" t="s">
        <v>4203</v>
      </c>
      <c r="N542" s="292" t="s">
        <v>2685</v>
      </c>
      <c r="O542" s="292" t="s">
        <v>310</v>
      </c>
      <c r="P542" s="292" t="s">
        <v>291</v>
      </c>
      <c r="Q542" s="292" t="s">
        <v>294</v>
      </c>
      <c r="R542" s="292">
        <v>2000000.01</v>
      </c>
      <c r="S542" s="324">
        <v>2500000</v>
      </c>
      <c r="T542" s="292">
        <v>0</v>
      </c>
      <c r="U542" s="292">
        <f t="shared" si="236"/>
        <v>2500000</v>
      </c>
      <c r="V542" s="292">
        <v>0</v>
      </c>
      <c r="W542" s="292">
        <v>50</v>
      </c>
      <c r="X542" s="292">
        <v>1</v>
      </c>
      <c r="Y542" s="292">
        <v>999</v>
      </c>
      <c r="Z542" s="2102">
        <v>660</v>
      </c>
      <c r="AA542" s="2102">
        <v>679</v>
      </c>
      <c r="AB542" s="293">
        <v>9</v>
      </c>
      <c r="AC542" s="293">
        <v>999999</v>
      </c>
      <c r="AD542" s="292">
        <v>0</v>
      </c>
      <c r="AE542" s="2107">
        <v>65</v>
      </c>
      <c r="AF542" s="170">
        <v>0</v>
      </c>
      <c r="AG542" s="171">
        <v>1</v>
      </c>
      <c r="AH542" s="171">
        <v>1</v>
      </c>
      <c r="AI542" s="171">
        <v>0</v>
      </c>
      <c r="AJ542" s="171">
        <v>0</v>
      </c>
      <c r="AK542" s="171">
        <v>1</v>
      </c>
      <c r="AL542" s="171">
        <v>1</v>
      </c>
      <c r="AM542" s="171">
        <v>1</v>
      </c>
      <c r="AN542" s="171">
        <v>1</v>
      </c>
      <c r="AO542" s="171">
        <v>1</v>
      </c>
      <c r="AP542" s="171">
        <v>1</v>
      </c>
      <c r="AQ542" s="171">
        <v>1</v>
      </c>
      <c r="AR542" s="171">
        <v>1</v>
      </c>
      <c r="AS542" s="171">
        <v>1</v>
      </c>
      <c r="AT542" s="171">
        <v>1</v>
      </c>
      <c r="AU542" s="171">
        <f t="shared" si="183"/>
        <v>0</v>
      </c>
      <c r="AV542" s="171">
        <f t="shared" si="184"/>
        <v>1</v>
      </c>
      <c r="AW542" s="171">
        <f t="shared" si="185"/>
        <v>1</v>
      </c>
      <c r="AX542" s="171">
        <f t="shared" si="197"/>
        <v>0</v>
      </c>
      <c r="AY542" s="171">
        <f t="shared" si="186"/>
        <v>0</v>
      </c>
      <c r="AZ542" s="171">
        <f t="shared" si="187"/>
        <v>1</v>
      </c>
      <c r="BA542" s="172">
        <f t="shared" si="188"/>
        <v>1</v>
      </c>
      <c r="BB542" s="175">
        <f t="shared" si="190"/>
        <v>16</v>
      </c>
      <c r="BC542" s="176">
        <f t="shared" si="191"/>
        <v>15</v>
      </c>
      <c r="BD542" s="176">
        <f t="shared" si="192"/>
        <v>16</v>
      </c>
      <c r="BE542" s="240" t="str">
        <f t="shared" si="215"/>
        <v/>
      </c>
      <c r="BH542" s="214">
        <f>IF(AND(Input_Product=Elig!$C542,Elig_MatchAll_Ct&lt;22,$BC542=(Elig_MatchAll_Ct-1),AF542=0),C542,0)</f>
        <v>0</v>
      </c>
      <c r="BI542" s="214">
        <f>IF(AND(Input_Product=Elig!$C542,Elig_MatchAll_Ct&lt;22,$BC542=(Elig_MatchAll_Ct-1),AG542=0),D542,0)</f>
        <v>0</v>
      </c>
      <c r="BJ542" s="214">
        <f>IF(AND(Input_Product=Elig!$C542,Elig_MatchAll_Ct&lt;22,$BC542=(Elig_MatchAll_Ct-1),AH542=0),E542,0)</f>
        <v>0</v>
      </c>
      <c r="BK542" s="214">
        <f>IF(AND(Input_Product=Elig!$C542,Elig_MatchAll_Ct&lt;22,$BC542=(Elig_MatchAll_Ct-1),AI542=0),F542,0)</f>
        <v>0</v>
      </c>
      <c r="BL542" s="214">
        <f>IF(AND(Input_Product=Elig!$C542,Elig_MatchAll_Ct&lt;22,$BC542=(Elig_MatchAll_Ct-1),AJ542=0),G542,0)</f>
        <v>0</v>
      </c>
      <c r="BM542" s="214">
        <f>IF(AND(Input_Product=Elig!$C542,Elig_MatchAll_Ct&lt;22,$BC542=(Elig_MatchAll_Ct-1),AK542=0),H542,0)</f>
        <v>0</v>
      </c>
      <c r="BN542" s="214">
        <f>IF(AND(Input_Product=Elig!$C542,Elig_MatchAll_Ct&lt;22,$BC542=(Elig_MatchAll_Ct-1),AL542=0),I542,0)</f>
        <v>0</v>
      </c>
      <c r="BO542" s="214">
        <f>IF(AND(Input_Product=Elig!$C542,Elig_MatchAll_Ct&lt;22,$BC542=(Elig_MatchAll_Ct-1),AM542=0),J542,0)</f>
        <v>0</v>
      </c>
      <c r="BP542" s="214">
        <f>IF(AND(Input_Product=Elig!$C542,Elig_MatchAll_Ct&lt;22,$BC542=(Elig_MatchAll_Ct-1),AN542=0),K542,0)</f>
        <v>0</v>
      </c>
      <c r="BQ542" s="214">
        <f>IF(AND(Input_Product=Elig!$C542,Elig_MatchAll_Ct&lt;22,$BC542=(Elig_MatchAll_Ct-1),AP542=0),L542,0)</f>
        <v>0</v>
      </c>
      <c r="BR542" s="214">
        <f>IF(AND(Input_Product=Elig!$C542,Elig_MatchAll_Ct&lt;22,$BC542=(Elig_MatchAll_Ct-1),AO542=0),M542,0)</f>
        <v>0</v>
      </c>
      <c r="BS542" s="214">
        <f>IF(AND(Input_Product=Elig!$C542,Elig_MatchAll_Ct&lt;22,$BC542=(Elig_MatchAll_Ct-1),AQ542=0),N542,0)</f>
        <v>0</v>
      </c>
      <c r="BT542" s="214">
        <f>IF(AND(Input_Product=Elig!$C542,Elig_MatchAll_Ct&lt;22,$BC542=(Elig_MatchAll_Ct-1),AR542=0),O542,0)</f>
        <v>0</v>
      </c>
      <c r="BU542" s="214">
        <f>IF(AND(Input_Product=Elig!$C542,Elig_MatchAll_Ct&lt;22,$BC542=(Elig_MatchAll_Ct-1),AS542=0),P542,0)</f>
        <v>0</v>
      </c>
      <c r="BV542" s="215">
        <f>IF(AND(Input_Product=Elig!$C542,Elig_MatchAll_Ct&lt;22,$BC542=(Elig_MatchAll_Ct-1),AT542=0),Q542,0)</f>
        <v>0</v>
      </c>
      <c r="BW542" s="311">
        <f>IF(AND(Input_Product=Elig!$C542,Elig_MatchAll_Ct&lt;22,$BC542=(Elig_MatchAll_Ct-1),AU542=0),R542,0)</f>
        <v>0</v>
      </c>
      <c r="BX542" s="312">
        <f>IF(AND(Input_Product=Elig!$C542,Elig_MatchAll_Ct&lt;22,$BC542=(Elig_MatchAll_Ct-1),AU542=0),S542,0)</f>
        <v>0</v>
      </c>
      <c r="BY542" s="311">
        <f>IF(AND(Input_Product=Elig!$C542,Elig_MatchAll_Ct&lt;22,$BC542=(Elig_MatchAll_Ct-1),AV542=0),T542,0)</f>
        <v>0</v>
      </c>
      <c r="BZ542" s="312">
        <f>IF(AND(Input_Product=Elig!$C542,Elig_MatchAll_Ct&lt;22,$BC542=(Elig_MatchAll_Ct-1),AV542=0),U542,0)</f>
        <v>0</v>
      </c>
      <c r="CA542" s="311">
        <f>IF(AND(Input_Product=Elig!$C542,Elig_MatchAll_Ct&lt;22,$BC542=(Elig_MatchAll_Ct-1),AW542=0),V542,0)</f>
        <v>0</v>
      </c>
      <c r="CB542" s="312">
        <f>IF(AND(Input_Product=Elig!$C542,Elig_MatchAll_Ct&lt;22,$BC542=(Elig_MatchAll_Ct-1),AW542=0),W542,0)</f>
        <v>0</v>
      </c>
      <c r="CC542" s="311">
        <f>IF(AND(Input_Product=Elig!$C542,Elig_MatchAll_Ct&lt;22,$BC542=(Elig_MatchAll_Ct-1),AX542=0),X542,0)</f>
        <v>0</v>
      </c>
      <c r="CD542" s="312">
        <f>IF(AND(Input_Product=Elig!$C542,Elig_MatchAll_Ct&lt;22,$BC542=(Elig_MatchAll_Ct-1),AX542=0),Y542,0)</f>
        <v>0</v>
      </c>
      <c r="CE542" s="311">
        <f>IF(AND(Input_LTV&lt;=AE542,Input_Product=Elig!$C542,Elig_MatchAll_Ct&lt;22,$BC542=(Elig_MatchAll_Ct-1),AY542=0),Z542,0)</f>
        <v>0</v>
      </c>
      <c r="CF542" s="312">
        <f>IF(AND(Input_LTV&lt;=AE542,Input_Product=Elig!$C542,Elig_MatchAll_Ct&lt;22,$BC542=(Elig_MatchAll_Ct-1),AY542=0),AA542,0)</f>
        <v>0</v>
      </c>
      <c r="CG542" s="311">
        <f>IF(AND(Input_Product=Elig!$C542,Elig_MatchAll_Ct&lt;22,$BC542=(Elig_MatchAll_Ct-1),AZ542=0),AB542,0)</f>
        <v>0</v>
      </c>
      <c r="CH542" s="312">
        <f>IF(AND(Input_Product=Elig!$C542,Elig_MatchAll_Ct&lt;22,$BC542=(Elig_MatchAll_Ct-1),AZ542=0),AC542,0)</f>
        <v>0</v>
      </c>
      <c r="CI542" s="311">
        <f>IF(AND(Input_Product=Elig!$C542,Elig_MatchAll_Ct&lt;22,$BC542=(Elig_MatchAll_Ct-1),BA542=0),AD542,0)</f>
        <v>0</v>
      </c>
      <c r="CJ542" s="312">
        <f>IF(AND(Input_Product=Elig!$C542,Elig_MatchAll_Ct&lt;22,$BC542=(Elig_MatchAll_Ct-1),BA542=0),AE542,0)</f>
        <v>0</v>
      </c>
    </row>
    <row r="543" spans="2:88" ht="10.15" customHeight="1" x14ac:dyDescent="0.25">
      <c r="B543" s="287" t="s">
        <v>4101</v>
      </c>
      <c r="C543" s="281" t="str">
        <f t="shared" ref="C543:C595" si="241">Input_Name_Product2</f>
        <v>NonQM NOO</v>
      </c>
      <c r="D543" s="282" t="s">
        <v>3885</v>
      </c>
      <c r="E543" s="283" t="s">
        <v>167</v>
      </c>
      <c r="F543" s="283" t="s">
        <v>330</v>
      </c>
      <c r="G543" s="283" t="s">
        <v>303</v>
      </c>
      <c r="H543" s="283" t="s">
        <v>136</v>
      </c>
      <c r="I543" s="282" t="s">
        <v>274</v>
      </c>
      <c r="J543" s="282" t="s">
        <v>1311</v>
      </c>
      <c r="K543" s="282" t="s">
        <v>1631</v>
      </c>
      <c r="L543" s="2103" t="s">
        <v>312</v>
      </c>
      <c r="M543" s="283" t="s">
        <v>4203</v>
      </c>
      <c r="N543" s="283" t="s">
        <v>2685</v>
      </c>
      <c r="O543" s="283" t="s">
        <v>310</v>
      </c>
      <c r="P543" s="283" t="s">
        <v>291</v>
      </c>
      <c r="Q543" s="283" t="s">
        <v>294</v>
      </c>
      <c r="R543" s="323">
        <v>2500000.0099999998</v>
      </c>
      <c r="S543" s="282">
        <v>3000000</v>
      </c>
      <c r="T543" s="282">
        <v>0</v>
      </c>
      <c r="U543" s="282">
        <v>0</v>
      </c>
      <c r="V543" s="282">
        <v>0</v>
      </c>
      <c r="W543" s="282">
        <v>50</v>
      </c>
      <c r="X543" s="282">
        <v>0</v>
      </c>
      <c r="Y543" s="282">
        <v>999</v>
      </c>
      <c r="Z543" s="284">
        <v>720</v>
      </c>
      <c r="AA543" s="284">
        <v>999</v>
      </c>
      <c r="AB543" s="284">
        <v>9</v>
      </c>
      <c r="AC543" s="284">
        <v>999999</v>
      </c>
      <c r="AD543" s="282">
        <v>0</v>
      </c>
      <c r="AE543" s="2104">
        <v>75</v>
      </c>
      <c r="AF543" s="170">
        <v>0</v>
      </c>
      <c r="AG543" s="171">
        <v>1</v>
      </c>
      <c r="AH543" s="171">
        <v>1</v>
      </c>
      <c r="AI543" s="171">
        <v>0</v>
      </c>
      <c r="AJ543" s="171">
        <v>1</v>
      </c>
      <c r="AK543" s="171">
        <v>1</v>
      </c>
      <c r="AL543" s="171">
        <v>0</v>
      </c>
      <c r="AM543" s="171">
        <v>1</v>
      </c>
      <c r="AN543" s="171">
        <v>1</v>
      </c>
      <c r="AO543" s="171">
        <v>1</v>
      </c>
      <c r="AP543" s="171">
        <v>1</v>
      </c>
      <c r="AQ543" s="171">
        <v>1</v>
      </c>
      <c r="AR543" s="171">
        <v>1</v>
      </c>
      <c r="AS543" s="171">
        <v>1</v>
      </c>
      <c r="AT543" s="171">
        <v>1</v>
      </c>
      <c r="AU543" s="171">
        <f t="shared" si="183"/>
        <v>0</v>
      </c>
      <c r="AV543" s="171">
        <f t="shared" si="184"/>
        <v>0</v>
      </c>
      <c r="AW543" s="171">
        <f t="shared" si="185"/>
        <v>1</v>
      </c>
      <c r="AX543" s="171">
        <f t="shared" ref="AX543:AX580" si="242">IF(AND(Input_DSCR&gt;=Elig_DSCR_Min,Input_DSCR&lt;=Elig_DSCR_Max),1,0)</f>
        <v>1</v>
      </c>
      <c r="AY543" s="171">
        <f t="shared" si="186"/>
        <v>1</v>
      </c>
      <c r="AZ543" s="171">
        <f t="shared" si="187"/>
        <v>1</v>
      </c>
      <c r="BA543" s="172">
        <f t="shared" si="188"/>
        <v>1</v>
      </c>
      <c r="BB543" s="175">
        <f t="shared" ref="BB543:BB578" si="243">SUM(AF543:BA543)</f>
        <v>17</v>
      </c>
      <c r="BC543" s="176">
        <f t="shared" ref="BC543:BC578" si="244">SUM(AF543:AZ543)</f>
        <v>16</v>
      </c>
      <c r="BD543" s="176">
        <f t="shared" ref="BD543:BD578" si="245">SUM(AG543:BA543)</f>
        <v>17</v>
      </c>
      <c r="BE543" s="240" t="str">
        <f t="shared" si="215"/>
        <v/>
      </c>
      <c r="BH543" s="210">
        <f>IF(AND(Input_Product=Elig!$C543,Elig_MatchAll_Ct&lt;22,$BC543=(Elig_MatchAll_Ct-1),AF543=0),C543,0)</f>
        <v>0</v>
      </c>
      <c r="BI543" s="210">
        <f>IF(AND(Input_Product=Elig!$C543,Elig_MatchAll_Ct&lt;22,$BC543=(Elig_MatchAll_Ct-1),AG543=0),D543,0)</f>
        <v>0</v>
      </c>
      <c r="BJ543" s="210">
        <f>IF(AND(Input_Product=Elig!$C543,Elig_MatchAll_Ct&lt;22,$BC543=(Elig_MatchAll_Ct-1),AH543=0),E543,0)</f>
        <v>0</v>
      </c>
      <c r="BK543" s="210">
        <f>IF(AND(Input_Product=Elig!$C543,Elig_MatchAll_Ct&lt;22,$BC543=(Elig_MatchAll_Ct-1),AI543=0),F543,0)</f>
        <v>0</v>
      </c>
      <c r="BL543" s="210">
        <f>IF(AND(Input_Product=Elig!$C543,Elig_MatchAll_Ct&lt;22,$BC543=(Elig_MatchAll_Ct-1),AJ543=0),G543,0)</f>
        <v>0</v>
      </c>
      <c r="BM543" s="210">
        <f>IF(AND(Input_Product=Elig!$C543,Elig_MatchAll_Ct&lt;22,$BC543=(Elig_MatchAll_Ct-1),AK543=0),H543,0)</f>
        <v>0</v>
      </c>
      <c r="BN543" s="210">
        <f>IF(AND(Input_Product=Elig!$C543,Elig_MatchAll_Ct&lt;22,$BC543=(Elig_MatchAll_Ct-1),AL543=0),I543,0)</f>
        <v>0</v>
      </c>
      <c r="BO543" s="210">
        <f>IF(AND(Input_Product=Elig!$C543,Elig_MatchAll_Ct&lt;22,$BC543=(Elig_MatchAll_Ct-1),AM543=0),J543,0)</f>
        <v>0</v>
      </c>
      <c r="BP543" s="210">
        <f>IF(AND(Input_Product=Elig!$C543,Elig_MatchAll_Ct&lt;22,$BC543=(Elig_MatchAll_Ct-1),AN543=0),K543,0)</f>
        <v>0</v>
      </c>
      <c r="BQ543" s="210">
        <f>IF(AND(Input_Product=Elig!$C543,Elig_MatchAll_Ct&lt;22,$BC543=(Elig_MatchAll_Ct-1),AP543=0),L543,0)</f>
        <v>0</v>
      </c>
      <c r="BR543" s="210">
        <f>IF(AND(Input_Product=Elig!$C543,Elig_MatchAll_Ct&lt;22,$BC543=(Elig_MatchAll_Ct-1),AO543=0),M543,0)</f>
        <v>0</v>
      </c>
      <c r="BS543" s="210">
        <f>IF(AND(Input_Product=Elig!$C543,Elig_MatchAll_Ct&lt;22,$BC543=(Elig_MatchAll_Ct-1),AQ543=0),N543,0)</f>
        <v>0</v>
      </c>
      <c r="BT543" s="210">
        <f>IF(AND(Input_Product=Elig!$C543,Elig_MatchAll_Ct&lt;22,$BC543=(Elig_MatchAll_Ct-1),AR543=0),O543,0)</f>
        <v>0</v>
      </c>
      <c r="BU543" s="210">
        <f>IF(AND(Input_Product=Elig!$C543,Elig_MatchAll_Ct&lt;22,$BC543=(Elig_MatchAll_Ct-1),AS543=0),P543,0)</f>
        <v>0</v>
      </c>
      <c r="BV543" s="211">
        <f>IF(AND(Input_Product=Elig!$C543,Elig_MatchAll_Ct&lt;22,$BC543=(Elig_MatchAll_Ct-1),AT543=0),Q543,0)</f>
        <v>0</v>
      </c>
      <c r="BW543" s="212">
        <f>IF(AND(Input_Product=Elig!$C543,Elig_MatchAll_Ct&lt;22,$BC543=(Elig_MatchAll_Ct-1),AU543=0),R543,0)</f>
        <v>0</v>
      </c>
      <c r="BX543" s="213">
        <f>IF(AND(Input_Product=Elig!$C543,Elig_MatchAll_Ct&lt;22,$BC543=(Elig_MatchAll_Ct-1),AU543=0),S543,0)</f>
        <v>0</v>
      </c>
      <c r="BY543" s="212">
        <f>IF(AND(Input_Product=Elig!$C543,Elig_MatchAll_Ct&lt;22,$BC543=(Elig_MatchAll_Ct-1),AV543=0),T543,0)</f>
        <v>0</v>
      </c>
      <c r="BZ543" s="213">
        <f>IF(AND(Input_Product=Elig!$C543,Elig_MatchAll_Ct&lt;22,$BC543=(Elig_MatchAll_Ct-1),AV543=0),U543,0)</f>
        <v>0</v>
      </c>
      <c r="CA543" s="212">
        <f>IF(AND(Input_Product=Elig!$C543,Elig_MatchAll_Ct&lt;22,$BC543=(Elig_MatchAll_Ct-1),AW543=0),V543,0)</f>
        <v>0</v>
      </c>
      <c r="CB543" s="213">
        <f>IF(AND(Input_Product=Elig!$C543,Elig_MatchAll_Ct&lt;22,$BC543=(Elig_MatchAll_Ct-1),AW543=0),W543,0)</f>
        <v>0</v>
      </c>
      <c r="CC543" s="212">
        <f>IF(AND(Input_Product=Elig!$C543,Elig_MatchAll_Ct&lt;22,$BC543=(Elig_MatchAll_Ct-1),AX543=0),X543,0)</f>
        <v>0</v>
      </c>
      <c r="CD543" s="213">
        <f>IF(AND(Input_Product=Elig!$C543,Elig_MatchAll_Ct&lt;22,$BC543=(Elig_MatchAll_Ct-1),AX543=0),Y543,0)</f>
        <v>0</v>
      </c>
      <c r="CE543" s="212">
        <f>IF(AND(Input_LTV&lt;=AE543,Input_Product=Elig!$C543,Elig_MatchAll_Ct&lt;22,$BC543=(Elig_MatchAll_Ct-1),AY543=0),Z543,0)</f>
        <v>0</v>
      </c>
      <c r="CF543" s="213">
        <f>IF(AND(Input_LTV&lt;=AE543,Input_Product=Elig!$C543,Elig_MatchAll_Ct&lt;22,$BC543=(Elig_MatchAll_Ct-1),AY543=0),AA543,0)</f>
        <v>0</v>
      </c>
      <c r="CG543" s="212">
        <f>IF(AND(Input_Product=Elig!$C543,Elig_MatchAll_Ct&lt;22,$BC543=(Elig_MatchAll_Ct-1),AZ543=0),AB543,0)</f>
        <v>0</v>
      </c>
      <c r="CH543" s="213">
        <f>IF(AND(Input_Product=Elig!$C543,Elig_MatchAll_Ct&lt;22,$BC543=(Elig_MatchAll_Ct-1),AZ543=0),AC543,0)</f>
        <v>0</v>
      </c>
      <c r="CI543" s="212">
        <f>IF(AND(Input_Product=Elig!$C543,Elig_MatchAll_Ct&lt;22,$BC543=(Elig_MatchAll_Ct-1),BA543=0),AD543,0)</f>
        <v>0</v>
      </c>
      <c r="CJ543" s="213">
        <f>IF(AND(Input_Product=Elig!$C543,Elig_MatchAll_Ct&lt;22,$BC543=(Elig_MatchAll_Ct-1),BA543=0),AE543,0)</f>
        <v>0</v>
      </c>
    </row>
    <row r="544" spans="2:88" ht="10.15" customHeight="1" x14ac:dyDescent="0.25">
      <c r="B544" s="287" t="s">
        <v>4102</v>
      </c>
      <c r="C544" s="286" t="str">
        <f t="shared" si="241"/>
        <v>NonQM NOO</v>
      </c>
      <c r="D544" s="287" t="s">
        <v>3885</v>
      </c>
      <c r="E544" s="287" t="s">
        <v>167</v>
      </c>
      <c r="F544" s="287" t="s">
        <v>330</v>
      </c>
      <c r="G544" s="287" t="s">
        <v>303</v>
      </c>
      <c r="H544" s="287" t="s">
        <v>136</v>
      </c>
      <c r="I544" s="288" t="s">
        <v>274</v>
      </c>
      <c r="J544" s="288" t="s">
        <v>1311</v>
      </c>
      <c r="K544" s="288" t="s">
        <v>1631</v>
      </c>
      <c r="L544" s="300" t="s">
        <v>312</v>
      </c>
      <c r="M544" s="287" t="s">
        <v>4203</v>
      </c>
      <c r="N544" s="287" t="s">
        <v>2685</v>
      </c>
      <c r="O544" s="287" t="s">
        <v>310</v>
      </c>
      <c r="P544" s="287" t="s">
        <v>291</v>
      </c>
      <c r="Q544" s="287" t="s">
        <v>294</v>
      </c>
      <c r="R544" s="300">
        <v>2500000.0099999998</v>
      </c>
      <c r="S544" s="287">
        <v>3000000</v>
      </c>
      <c r="T544" s="287">
        <v>0</v>
      </c>
      <c r="U544" s="287">
        <v>0</v>
      </c>
      <c r="V544" s="287">
        <v>0</v>
      </c>
      <c r="W544" s="287">
        <v>50</v>
      </c>
      <c r="X544" s="287">
        <v>0</v>
      </c>
      <c r="Y544" s="287">
        <v>999</v>
      </c>
      <c r="Z544" s="289">
        <v>700</v>
      </c>
      <c r="AA544" s="289">
        <v>719</v>
      </c>
      <c r="AB544" s="289">
        <v>9</v>
      </c>
      <c r="AC544" s="289">
        <v>999999</v>
      </c>
      <c r="AD544" s="287">
        <v>0</v>
      </c>
      <c r="AE544" s="290">
        <v>70</v>
      </c>
      <c r="AF544" s="170">
        <v>0</v>
      </c>
      <c r="AG544" s="171">
        <v>1</v>
      </c>
      <c r="AH544" s="171">
        <v>1</v>
      </c>
      <c r="AI544" s="171">
        <v>0</v>
      </c>
      <c r="AJ544" s="171">
        <v>1</v>
      </c>
      <c r="AK544" s="171">
        <v>1</v>
      </c>
      <c r="AL544" s="171">
        <v>0</v>
      </c>
      <c r="AM544" s="171">
        <v>1</v>
      </c>
      <c r="AN544" s="171">
        <v>1</v>
      </c>
      <c r="AO544" s="171">
        <v>1</v>
      </c>
      <c r="AP544" s="171">
        <v>1</v>
      </c>
      <c r="AQ544" s="171">
        <v>1</v>
      </c>
      <c r="AR544" s="171">
        <v>1</v>
      </c>
      <c r="AS544" s="171">
        <v>1</v>
      </c>
      <c r="AT544" s="171">
        <v>1</v>
      </c>
      <c r="AU544" s="171">
        <f t="shared" si="183"/>
        <v>0</v>
      </c>
      <c r="AV544" s="171">
        <f t="shared" si="184"/>
        <v>0</v>
      </c>
      <c r="AW544" s="171">
        <f t="shared" si="185"/>
        <v>1</v>
      </c>
      <c r="AX544" s="171">
        <f t="shared" si="242"/>
        <v>1</v>
      </c>
      <c r="AY544" s="171">
        <f t="shared" si="186"/>
        <v>0</v>
      </c>
      <c r="AZ544" s="171">
        <f t="shared" si="187"/>
        <v>1</v>
      </c>
      <c r="BA544" s="172">
        <f t="shared" si="188"/>
        <v>1</v>
      </c>
      <c r="BB544" s="175">
        <f t="shared" si="243"/>
        <v>16</v>
      </c>
      <c r="BC544" s="176">
        <f t="shared" si="244"/>
        <v>15</v>
      </c>
      <c r="BD544" s="176">
        <f t="shared" si="245"/>
        <v>16</v>
      </c>
      <c r="BE544" s="240" t="str">
        <f t="shared" si="215"/>
        <v/>
      </c>
      <c r="BH544" s="199">
        <f>IF(AND(Input_Product=Elig!$C544,Elig_MatchAll_Ct&lt;22,$BC544=(Elig_MatchAll_Ct-1),AF544=0),C544,0)</f>
        <v>0</v>
      </c>
      <c r="BI544" s="199">
        <f>IF(AND(Input_Product=Elig!$C544,Elig_MatchAll_Ct&lt;22,$BC544=(Elig_MatchAll_Ct-1),AG544=0),D544,0)</f>
        <v>0</v>
      </c>
      <c r="BJ544" s="199">
        <f>IF(AND(Input_Product=Elig!$C544,Elig_MatchAll_Ct&lt;22,$BC544=(Elig_MatchAll_Ct-1),AH544=0),E544,0)</f>
        <v>0</v>
      </c>
      <c r="BK544" s="199">
        <f>IF(AND(Input_Product=Elig!$C544,Elig_MatchAll_Ct&lt;22,$BC544=(Elig_MatchAll_Ct-1),AI544=0),F544,0)</f>
        <v>0</v>
      </c>
      <c r="BL544" s="199">
        <f>IF(AND(Input_Product=Elig!$C544,Elig_MatchAll_Ct&lt;22,$BC544=(Elig_MatchAll_Ct-1),AJ544=0),G544,0)</f>
        <v>0</v>
      </c>
      <c r="BM544" s="199">
        <f>IF(AND(Input_Product=Elig!$C544,Elig_MatchAll_Ct&lt;22,$BC544=(Elig_MatchAll_Ct-1),AK544=0),H544,0)</f>
        <v>0</v>
      </c>
      <c r="BN544" s="199">
        <f>IF(AND(Input_Product=Elig!$C544,Elig_MatchAll_Ct&lt;22,$BC544=(Elig_MatchAll_Ct-1),AL544=0),I544,0)</f>
        <v>0</v>
      </c>
      <c r="BO544" s="199">
        <f>IF(AND(Input_Product=Elig!$C544,Elig_MatchAll_Ct&lt;22,$BC544=(Elig_MatchAll_Ct-1),AM544=0),J544,0)</f>
        <v>0</v>
      </c>
      <c r="BP544" s="199">
        <f>IF(AND(Input_Product=Elig!$C544,Elig_MatchAll_Ct&lt;22,$BC544=(Elig_MatchAll_Ct-1),AN544=0),K544,0)</f>
        <v>0</v>
      </c>
      <c r="BQ544" s="199">
        <f>IF(AND(Input_Product=Elig!$C544,Elig_MatchAll_Ct&lt;22,$BC544=(Elig_MatchAll_Ct-1),AP544=0),L544,0)</f>
        <v>0</v>
      </c>
      <c r="BR544" s="199">
        <f>IF(AND(Input_Product=Elig!$C544,Elig_MatchAll_Ct&lt;22,$BC544=(Elig_MatchAll_Ct-1),AO544=0),M544,0)</f>
        <v>0</v>
      </c>
      <c r="BS544" s="199">
        <f>IF(AND(Input_Product=Elig!$C544,Elig_MatchAll_Ct&lt;22,$BC544=(Elig_MatchAll_Ct-1),AQ544=0),N544,0)</f>
        <v>0</v>
      </c>
      <c r="BT544" s="199">
        <f>IF(AND(Input_Product=Elig!$C544,Elig_MatchAll_Ct&lt;22,$BC544=(Elig_MatchAll_Ct-1),AR544=0),O544,0)</f>
        <v>0</v>
      </c>
      <c r="BU544" s="199">
        <f>IF(AND(Input_Product=Elig!$C544,Elig_MatchAll_Ct&lt;22,$BC544=(Elig_MatchAll_Ct-1),AS544=0),P544,0)</f>
        <v>0</v>
      </c>
      <c r="BV544" s="200">
        <f>IF(AND(Input_Product=Elig!$C544,Elig_MatchAll_Ct&lt;22,$BC544=(Elig_MatchAll_Ct-1),AT544=0),Q544,0)</f>
        <v>0</v>
      </c>
      <c r="BW544" s="201">
        <f>IF(AND(Input_Product=Elig!$C544,Elig_MatchAll_Ct&lt;22,$BC544=(Elig_MatchAll_Ct-1),AU544=0),R544,0)</f>
        <v>0</v>
      </c>
      <c r="BX544" s="202">
        <f>IF(AND(Input_Product=Elig!$C544,Elig_MatchAll_Ct&lt;22,$BC544=(Elig_MatchAll_Ct-1),AU544=0),S544,0)</f>
        <v>0</v>
      </c>
      <c r="BY544" s="201">
        <f>IF(AND(Input_Product=Elig!$C544,Elig_MatchAll_Ct&lt;22,$BC544=(Elig_MatchAll_Ct-1),AV544=0),T544,0)</f>
        <v>0</v>
      </c>
      <c r="BZ544" s="202">
        <f>IF(AND(Input_Product=Elig!$C544,Elig_MatchAll_Ct&lt;22,$BC544=(Elig_MatchAll_Ct-1),AV544=0),U544,0)</f>
        <v>0</v>
      </c>
      <c r="CA544" s="201">
        <f>IF(AND(Input_Product=Elig!$C544,Elig_MatchAll_Ct&lt;22,$BC544=(Elig_MatchAll_Ct-1),AW544=0),V544,0)</f>
        <v>0</v>
      </c>
      <c r="CB544" s="202">
        <f>IF(AND(Input_Product=Elig!$C544,Elig_MatchAll_Ct&lt;22,$BC544=(Elig_MatchAll_Ct-1),AW544=0),W544,0)</f>
        <v>0</v>
      </c>
      <c r="CC544" s="201">
        <f>IF(AND(Input_Product=Elig!$C544,Elig_MatchAll_Ct&lt;22,$BC544=(Elig_MatchAll_Ct-1),AX544=0),X544,0)</f>
        <v>0</v>
      </c>
      <c r="CD544" s="202">
        <f>IF(AND(Input_Product=Elig!$C544,Elig_MatchAll_Ct&lt;22,$BC544=(Elig_MatchAll_Ct-1),AX544=0),Y544,0)</f>
        <v>0</v>
      </c>
      <c r="CE544" s="201">
        <f>IF(AND(Input_LTV&lt;=AE544,Input_Product=Elig!$C544,Elig_MatchAll_Ct&lt;22,$BC544=(Elig_MatchAll_Ct-1),AY544=0),Z544,0)</f>
        <v>0</v>
      </c>
      <c r="CF544" s="202">
        <f>IF(AND(Input_LTV&lt;=AE544,Input_Product=Elig!$C544,Elig_MatchAll_Ct&lt;22,$BC544=(Elig_MatchAll_Ct-1),AY544=0),AA544,0)</f>
        <v>0</v>
      </c>
      <c r="CG544" s="201">
        <f>IF(AND(Input_Product=Elig!$C544,Elig_MatchAll_Ct&lt;22,$BC544=(Elig_MatchAll_Ct-1),AZ544=0),AB544,0)</f>
        <v>0</v>
      </c>
      <c r="CH544" s="202">
        <f>IF(AND(Input_Product=Elig!$C544,Elig_MatchAll_Ct&lt;22,$BC544=(Elig_MatchAll_Ct-1),AZ544=0),AC544,0)</f>
        <v>0</v>
      </c>
      <c r="CI544" s="201">
        <f>IF(AND(Input_Product=Elig!$C544,Elig_MatchAll_Ct&lt;22,$BC544=(Elig_MatchAll_Ct-1),BA544=0),AD544,0)</f>
        <v>0</v>
      </c>
      <c r="CJ544" s="202">
        <f>IF(AND(Input_Product=Elig!$C544,Elig_MatchAll_Ct&lt;22,$BC544=(Elig_MatchAll_Ct-1),BA544=0),AE544,0)</f>
        <v>0</v>
      </c>
    </row>
    <row r="545" spans="2:88" ht="10.15" customHeight="1" x14ac:dyDescent="0.25">
      <c r="B545" s="287" t="s">
        <v>4103</v>
      </c>
      <c r="C545" s="291" t="str">
        <f t="shared" si="241"/>
        <v>NonQM NOO</v>
      </c>
      <c r="D545" s="292" t="s">
        <v>3885</v>
      </c>
      <c r="E545" s="292" t="s">
        <v>167</v>
      </c>
      <c r="F545" s="292" t="s">
        <v>330</v>
      </c>
      <c r="G545" s="292" t="s">
        <v>303</v>
      </c>
      <c r="H545" s="292" t="s">
        <v>136</v>
      </c>
      <c r="I545" s="295" t="s">
        <v>274</v>
      </c>
      <c r="J545" s="295" t="s">
        <v>1311</v>
      </c>
      <c r="K545" s="295" t="s">
        <v>1631</v>
      </c>
      <c r="L545" s="324" t="s">
        <v>312</v>
      </c>
      <c r="M545" s="292" t="s">
        <v>4203</v>
      </c>
      <c r="N545" s="292" t="s">
        <v>2685</v>
      </c>
      <c r="O545" s="292" t="s">
        <v>310</v>
      </c>
      <c r="P545" s="292" t="s">
        <v>291</v>
      </c>
      <c r="Q545" s="292" t="s">
        <v>294</v>
      </c>
      <c r="R545" s="324">
        <v>2500000.0099999998</v>
      </c>
      <c r="S545" s="292">
        <v>3000000</v>
      </c>
      <c r="T545" s="292">
        <v>0</v>
      </c>
      <c r="U545" s="292">
        <v>0</v>
      </c>
      <c r="V545" s="292">
        <v>0</v>
      </c>
      <c r="W545" s="292">
        <v>50</v>
      </c>
      <c r="X545" s="292">
        <v>0</v>
      </c>
      <c r="Y545" s="292">
        <v>999</v>
      </c>
      <c r="Z545" s="293">
        <v>680</v>
      </c>
      <c r="AA545" s="293">
        <v>699</v>
      </c>
      <c r="AB545" s="293">
        <v>9</v>
      </c>
      <c r="AC545" s="293">
        <v>999999</v>
      </c>
      <c r="AD545" s="292">
        <v>0</v>
      </c>
      <c r="AE545" s="294">
        <v>70</v>
      </c>
      <c r="AF545" s="170">
        <v>0</v>
      </c>
      <c r="AG545" s="171">
        <v>1</v>
      </c>
      <c r="AH545" s="171">
        <v>1</v>
      </c>
      <c r="AI545" s="171">
        <v>0</v>
      </c>
      <c r="AJ545" s="171">
        <v>1</v>
      </c>
      <c r="AK545" s="171">
        <v>1</v>
      </c>
      <c r="AL545" s="171">
        <v>0</v>
      </c>
      <c r="AM545" s="171">
        <v>1</v>
      </c>
      <c r="AN545" s="171">
        <v>1</v>
      </c>
      <c r="AO545" s="171">
        <v>1</v>
      </c>
      <c r="AP545" s="171">
        <v>1</v>
      </c>
      <c r="AQ545" s="171">
        <v>1</v>
      </c>
      <c r="AR545" s="171">
        <v>1</v>
      </c>
      <c r="AS545" s="171">
        <v>1</v>
      </c>
      <c r="AT545" s="171">
        <v>1</v>
      </c>
      <c r="AU545" s="171">
        <f t="shared" si="183"/>
        <v>0</v>
      </c>
      <c r="AV545" s="171">
        <f t="shared" si="184"/>
        <v>0</v>
      </c>
      <c r="AW545" s="171">
        <f t="shared" si="185"/>
        <v>1</v>
      </c>
      <c r="AX545" s="171">
        <f t="shared" si="197"/>
        <v>1</v>
      </c>
      <c r="AY545" s="171">
        <f t="shared" si="186"/>
        <v>0</v>
      </c>
      <c r="AZ545" s="171">
        <f t="shared" si="187"/>
        <v>1</v>
      </c>
      <c r="BA545" s="172">
        <f t="shared" si="188"/>
        <v>1</v>
      </c>
      <c r="BB545" s="175">
        <f t="shared" si="243"/>
        <v>16</v>
      </c>
      <c r="BC545" s="176">
        <f t="shared" si="244"/>
        <v>15</v>
      </c>
      <c r="BD545" s="176">
        <f t="shared" si="245"/>
        <v>16</v>
      </c>
      <c r="BE545" s="240" t="str">
        <f t="shared" si="215"/>
        <v/>
      </c>
      <c r="BH545" s="214">
        <f>IF(AND(Input_Product=Elig!$C545,Elig_MatchAll_Ct&lt;22,$BC545=(Elig_MatchAll_Ct-1),AF545=0),C545,0)</f>
        <v>0</v>
      </c>
      <c r="BI545" s="214">
        <f>IF(AND(Input_Product=Elig!$C545,Elig_MatchAll_Ct&lt;22,$BC545=(Elig_MatchAll_Ct-1),AG545=0),D545,0)</f>
        <v>0</v>
      </c>
      <c r="BJ545" s="214">
        <f>IF(AND(Input_Product=Elig!$C545,Elig_MatchAll_Ct&lt;22,$BC545=(Elig_MatchAll_Ct-1),AH545=0),E545,0)</f>
        <v>0</v>
      </c>
      <c r="BK545" s="214">
        <f>IF(AND(Input_Product=Elig!$C545,Elig_MatchAll_Ct&lt;22,$BC545=(Elig_MatchAll_Ct-1),AI545=0),F545,0)</f>
        <v>0</v>
      </c>
      <c r="BL545" s="214">
        <f>IF(AND(Input_Product=Elig!$C545,Elig_MatchAll_Ct&lt;22,$BC545=(Elig_MatchAll_Ct-1),AJ545=0),G545,0)</f>
        <v>0</v>
      </c>
      <c r="BM545" s="214">
        <f>IF(AND(Input_Product=Elig!$C545,Elig_MatchAll_Ct&lt;22,$BC545=(Elig_MatchAll_Ct-1),AK545=0),H545,0)</f>
        <v>0</v>
      </c>
      <c r="BN545" s="214">
        <f>IF(AND(Input_Product=Elig!$C545,Elig_MatchAll_Ct&lt;22,$BC545=(Elig_MatchAll_Ct-1),AL545=0),I545,0)</f>
        <v>0</v>
      </c>
      <c r="BO545" s="214">
        <f>IF(AND(Input_Product=Elig!$C545,Elig_MatchAll_Ct&lt;22,$BC545=(Elig_MatchAll_Ct-1),AM545=0),J545,0)</f>
        <v>0</v>
      </c>
      <c r="BP545" s="214">
        <f>IF(AND(Input_Product=Elig!$C545,Elig_MatchAll_Ct&lt;22,$BC545=(Elig_MatchAll_Ct-1),AN545=0),K545,0)</f>
        <v>0</v>
      </c>
      <c r="BQ545" s="214">
        <f>IF(AND(Input_Product=Elig!$C545,Elig_MatchAll_Ct&lt;22,$BC545=(Elig_MatchAll_Ct-1),AP545=0),L545,0)</f>
        <v>0</v>
      </c>
      <c r="BR545" s="214">
        <f>IF(AND(Input_Product=Elig!$C545,Elig_MatchAll_Ct&lt;22,$BC545=(Elig_MatchAll_Ct-1),AO545=0),M545,0)</f>
        <v>0</v>
      </c>
      <c r="BS545" s="214">
        <f>IF(AND(Input_Product=Elig!$C545,Elig_MatchAll_Ct&lt;22,$BC545=(Elig_MatchAll_Ct-1),AQ545=0),N545,0)</f>
        <v>0</v>
      </c>
      <c r="BT545" s="214">
        <f>IF(AND(Input_Product=Elig!$C545,Elig_MatchAll_Ct&lt;22,$BC545=(Elig_MatchAll_Ct-1),AR545=0),O545,0)</f>
        <v>0</v>
      </c>
      <c r="BU545" s="214">
        <f>IF(AND(Input_Product=Elig!$C545,Elig_MatchAll_Ct&lt;22,$BC545=(Elig_MatchAll_Ct-1),AS545=0),P545,0)</f>
        <v>0</v>
      </c>
      <c r="BV545" s="215">
        <f>IF(AND(Input_Product=Elig!$C545,Elig_MatchAll_Ct&lt;22,$BC545=(Elig_MatchAll_Ct-1),AT545=0),Q545,0)</f>
        <v>0</v>
      </c>
      <c r="BW545" s="311">
        <f>IF(AND(Input_Product=Elig!$C545,Elig_MatchAll_Ct&lt;22,$BC545=(Elig_MatchAll_Ct-1),AU545=0),R545,0)</f>
        <v>0</v>
      </c>
      <c r="BX545" s="312">
        <f>IF(AND(Input_Product=Elig!$C545,Elig_MatchAll_Ct&lt;22,$BC545=(Elig_MatchAll_Ct-1),AU545=0),S545,0)</f>
        <v>0</v>
      </c>
      <c r="BY545" s="311">
        <f>IF(AND(Input_Product=Elig!$C545,Elig_MatchAll_Ct&lt;22,$BC545=(Elig_MatchAll_Ct-1),AV545=0),T545,0)</f>
        <v>0</v>
      </c>
      <c r="BZ545" s="312">
        <f>IF(AND(Input_Product=Elig!$C545,Elig_MatchAll_Ct&lt;22,$BC545=(Elig_MatchAll_Ct-1),AV545=0),U545,0)</f>
        <v>0</v>
      </c>
      <c r="CA545" s="311">
        <f>IF(AND(Input_Product=Elig!$C545,Elig_MatchAll_Ct&lt;22,$BC545=(Elig_MatchAll_Ct-1),AW545=0),V545,0)</f>
        <v>0</v>
      </c>
      <c r="CB545" s="312">
        <f>IF(AND(Input_Product=Elig!$C545,Elig_MatchAll_Ct&lt;22,$BC545=(Elig_MatchAll_Ct-1),AW545=0),W545,0)</f>
        <v>0</v>
      </c>
      <c r="CC545" s="311">
        <f>IF(AND(Input_Product=Elig!$C545,Elig_MatchAll_Ct&lt;22,$BC545=(Elig_MatchAll_Ct-1),AX545=0),X545,0)</f>
        <v>0</v>
      </c>
      <c r="CD545" s="312">
        <f>IF(AND(Input_Product=Elig!$C545,Elig_MatchAll_Ct&lt;22,$BC545=(Elig_MatchAll_Ct-1),AX545=0),Y545,0)</f>
        <v>0</v>
      </c>
      <c r="CE545" s="311">
        <f>IF(AND(Input_LTV&lt;=AE545,Input_Product=Elig!$C545,Elig_MatchAll_Ct&lt;22,$BC545=(Elig_MatchAll_Ct-1),AY545=0),Z545,0)</f>
        <v>0</v>
      </c>
      <c r="CF545" s="312">
        <f>IF(AND(Input_LTV&lt;=AE545,Input_Product=Elig!$C545,Elig_MatchAll_Ct&lt;22,$BC545=(Elig_MatchAll_Ct-1),AY545=0),AA545,0)</f>
        <v>0</v>
      </c>
      <c r="CG545" s="311">
        <f>IF(AND(Input_Product=Elig!$C545,Elig_MatchAll_Ct&lt;22,$BC545=(Elig_MatchAll_Ct-1),AZ545=0),AB545,0)</f>
        <v>0</v>
      </c>
      <c r="CH545" s="312">
        <f>IF(AND(Input_Product=Elig!$C545,Elig_MatchAll_Ct&lt;22,$BC545=(Elig_MatchAll_Ct-1),AZ545=0),AC545,0)</f>
        <v>0</v>
      </c>
      <c r="CI545" s="311">
        <f>IF(AND(Input_Product=Elig!$C545,Elig_MatchAll_Ct&lt;22,$BC545=(Elig_MatchAll_Ct-1),BA545=0),AD545,0)</f>
        <v>0</v>
      </c>
      <c r="CJ545" s="312">
        <f>IF(AND(Input_Product=Elig!$C545,Elig_MatchAll_Ct&lt;22,$BC545=(Elig_MatchAll_Ct-1),BA545=0),AE545,0)</f>
        <v>0</v>
      </c>
    </row>
    <row r="546" spans="2:88" ht="10.15" customHeight="1" x14ac:dyDescent="0.25">
      <c r="B546" s="287" t="s">
        <v>4104</v>
      </c>
      <c r="C546" s="281" t="str">
        <f t="shared" si="241"/>
        <v>NonQM NOO</v>
      </c>
      <c r="D546" s="282" t="s">
        <v>3885</v>
      </c>
      <c r="E546" s="283" t="s">
        <v>167</v>
      </c>
      <c r="F546" s="283" t="s">
        <v>330</v>
      </c>
      <c r="G546" s="283" t="s">
        <v>303</v>
      </c>
      <c r="H546" s="283" t="s">
        <v>136</v>
      </c>
      <c r="I546" s="282" t="s">
        <v>16</v>
      </c>
      <c r="J546" s="282" t="s">
        <v>1311</v>
      </c>
      <c r="K546" s="282" t="s">
        <v>1631</v>
      </c>
      <c r="L546" s="2103" t="s">
        <v>312</v>
      </c>
      <c r="M546" s="283" t="s">
        <v>4203</v>
      </c>
      <c r="N546" s="283" t="s">
        <v>2685</v>
      </c>
      <c r="O546" s="283" t="s">
        <v>310</v>
      </c>
      <c r="P546" s="283" t="s">
        <v>291</v>
      </c>
      <c r="Q546" s="283" t="s">
        <v>294</v>
      </c>
      <c r="R546" s="323">
        <v>2500000.0099999998</v>
      </c>
      <c r="S546" s="282">
        <v>3000000</v>
      </c>
      <c r="T546" s="282">
        <v>0</v>
      </c>
      <c r="U546" s="282">
        <f t="shared" ref="U546:U548" si="246">S546</f>
        <v>3000000</v>
      </c>
      <c r="V546" s="282">
        <v>0</v>
      </c>
      <c r="W546" s="282">
        <v>50</v>
      </c>
      <c r="X546" s="282">
        <v>0</v>
      </c>
      <c r="Y546" s="282">
        <v>999</v>
      </c>
      <c r="Z546" s="284">
        <v>720</v>
      </c>
      <c r="AA546" s="284">
        <v>999</v>
      </c>
      <c r="AB546" s="284">
        <v>9</v>
      </c>
      <c r="AC546" s="284">
        <v>999999</v>
      </c>
      <c r="AD546" s="282">
        <v>0</v>
      </c>
      <c r="AE546" s="2104">
        <v>65</v>
      </c>
      <c r="AF546" s="170">
        <v>0</v>
      </c>
      <c r="AG546" s="171">
        <v>1</v>
      </c>
      <c r="AH546" s="171">
        <v>1</v>
      </c>
      <c r="AI546" s="171">
        <v>0</v>
      </c>
      <c r="AJ546" s="171">
        <v>1</v>
      </c>
      <c r="AK546" s="171">
        <v>1</v>
      </c>
      <c r="AL546" s="171">
        <v>1</v>
      </c>
      <c r="AM546" s="171">
        <v>1</v>
      </c>
      <c r="AN546" s="171">
        <v>1</v>
      </c>
      <c r="AO546" s="171">
        <v>1</v>
      </c>
      <c r="AP546" s="171">
        <v>1</v>
      </c>
      <c r="AQ546" s="171">
        <v>1</v>
      </c>
      <c r="AR546" s="171">
        <v>1</v>
      </c>
      <c r="AS546" s="171">
        <v>1</v>
      </c>
      <c r="AT546" s="171">
        <v>1</v>
      </c>
      <c r="AU546" s="171">
        <f t="shared" si="183"/>
        <v>0</v>
      </c>
      <c r="AV546" s="171">
        <f t="shared" si="184"/>
        <v>1</v>
      </c>
      <c r="AW546" s="171">
        <f t="shared" si="185"/>
        <v>1</v>
      </c>
      <c r="AX546" s="171">
        <f t="shared" si="197"/>
        <v>1</v>
      </c>
      <c r="AY546" s="171">
        <f t="shared" si="186"/>
        <v>1</v>
      </c>
      <c r="AZ546" s="171">
        <f t="shared" si="187"/>
        <v>1</v>
      </c>
      <c r="BA546" s="172">
        <f t="shared" si="188"/>
        <v>1</v>
      </c>
      <c r="BB546" s="175">
        <f t="shared" si="243"/>
        <v>19</v>
      </c>
      <c r="BC546" s="176">
        <f t="shared" si="244"/>
        <v>18</v>
      </c>
      <c r="BD546" s="176">
        <f t="shared" si="245"/>
        <v>19</v>
      </c>
      <c r="BE546" s="240" t="str">
        <f t="shared" si="215"/>
        <v/>
      </c>
      <c r="BH546" s="210">
        <f>IF(AND(Input_Product=Elig!$C546,Elig_MatchAll_Ct&lt;22,$BC546=(Elig_MatchAll_Ct-1),AF546=0),C546,0)</f>
        <v>0</v>
      </c>
      <c r="BI546" s="210">
        <f>IF(AND(Input_Product=Elig!$C546,Elig_MatchAll_Ct&lt;22,$BC546=(Elig_MatchAll_Ct-1),AG546=0),D546,0)</f>
        <v>0</v>
      </c>
      <c r="BJ546" s="210">
        <f>IF(AND(Input_Product=Elig!$C546,Elig_MatchAll_Ct&lt;22,$BC546=(Elig_MatchAll_Ct-1),AH546=0),E546,0)</f>
        <v>0</v>
      </c>
      <c r="BK546" s="210">
        <f>IF(AND(Input_Product=Elig!$C546,Elig_MatchAll_Ct&lt;22,$BC546=(Elig_MatchAll_Ct-1),AI546=0),F546,0)</f>
        <v>0</v>
      </c>
      <c r="BL546" s="210">
        <f>IF(AND(Input_Product=Elig!$C546,Elig_MatchAll_Ct&lt;22,$BC546=(Elig_MatchAll_Ct-1),AJ546=0),G546,0)</f>
        <v>0</v>
      </c>
      <c r="BM546" s="210">
        <f>IF(AND(Input_Product=Elig!$C546,Elig_MatchAll_Ct&lt;22,$BC546=(Elig_MatchAll_Ct-1),AK546=0),H546,0)</f>
        <v>0</v>
      </c>
      <c r="BN546" s="210">
        <f>IF(AND(Input_Product=Elig!$C546,Elig_MatchAll_Ct&lt;22,$BC546=(Elig_MatchAll_Ct-1),AL546=0),I546,0)</f>
        <v>0</v>
      </c>
      <c r="BO546" s="210">
        <f>IF(AND(Input_Product=Elig!$C546,Elig_MatchAll_Ct&lt;22,$BC546=(Elig_MatchAll_Ct-1),AM546=0),J546,0)</f>
        <v>0</v>
      </c>
      <c r="BP546" s="210">
        <f>IF(AND(Input_Product=Elig!$C546,Elig_MatchAll_Ct&lt;22,$BC546=(Elig_MatchAll_Ct-1),AN546=0),K546,0)</f>
        <v>0</v>
      </c>
      <c r="BQ546" s="210">
        <f>IF(AND(Input_Product=Elig!$C546,Elig_MatchAll_Ct&lt;22,$BC546=(Elig_MatchAll_Ct-1),AP546=0),L546,0)</f>
        <v>0</v>
      </c>
      <c r="BR546" s="210">
        <f>IF(AND(Input_Product=Elig!$C546,Elig_MatchAll_Ct&lt;22,$BC546=(Elig_MatchAll_Ct-1),AO546=0),M546,0)</f>
        <v>0</v>
      </c>
      <c r="BS546" s="210">
        <f>IF(AND(Input_Product=Elig!$C546,Elig_MatchAll_Ct&lt;22,$BC546=(Elig_MatchAll_Ct-1),AQ546=0),N546,0)</f>
        <v>0</v>
      </c>
      <c r="BT546" s="210">
        <f>IF(AND(Input_Product=Elig!$C546,Elig_MatchAll_Ct&lt;22,$BC546=(Elig_MatchAll_Ct-1),AR546=0),O546,0)</f>
        <v>0</v>
      </c>
      <c r="BU546" s="210">
        <f>IF(AND(Input_Product=Elig!$C546,Elig_MatchAll_Ct&lt;22,$BC546=(Elig_MatchAll_Ct-1),AS546=0),P546,0)</f>
        <v>0</v>
      </c>
      <c r="BV546" s="211">
        <f>IF(AND(Input_Product=Elig!$C546,Elig_MatchAll_Ct&lt;22,$BC546=(Elig_MatchAll_Ct-1),AT546=0),Q546,0)</f>
        <v>0</v>
      </c>
      <c r="BW546" s="212">
        <f>IF(AND(Input_Product=Elig!$C546,Elig_MatchAll_Ct&lt;22,$BC546=(Elig_MatchAll_Ct-1),AU546=0),R546,0)</f>
        <v>0</v>
      </c>
      <c r="BX546" s="213">
        <f>IF(AND(Input_Product=Elig!$C546,Elig_MatchAll_Ct&lt;22,$BC546=(Elig_MatchAll_Ct-1),AU546=0),S546,0)</f>
        <v>0</v>
      </c>
      <c r="BY546" s="212">
        <f>IF(AND(Input_Product=Elig!$C546,Elig_MatchAll_Ct&lt;22,$BC546=(Elig_MatchAll_Ct-1),AV546=0),T546,0)</f>
        <v>0</v>
      </c>
      <c r="BZ546" s="213">
        <f>IF(AND(Input_Product=Elig!$C546,Elig_MatchAll_Ct&lt;22,$BC546=(Elig_MatchAll_Ct-1),AV546=0),U546,0)</f>
        <v>0</v>
      </c>
      <c r="CA546" s="212">
        <f>IF(AND(Input_Product=Elig!$C546,Elig_MatchAll_Ct&lt;22,$BC546=(Elig_MatchAll_Ct-1),AW546=0),V546,0)</f>
        <v>0</v>
      </c>
      <c r="CB546" s="213">
        <f>IF(AND(Input_Product=Elig!$C546,Elig_MatchAll_Ct&lt;22,$BC546=(Elig_MatchAll_Ct-1),AW546=0),W546,0)</f>
        <v>0</v>
      </c>
      <c r="CC546" s="212">
        <f>IF(AND(Input_Product=Elig!$C546,Elig_MatchAll_Ct&lt;22,$BC546=(Elig_MatchAll_Ct-1),AX546=0),X546,0)</f>
        <v>0</v>
      </c>
      <c r="CD546" s="213">
        <f>IF(AND(Input_Product=Elig!$C546,Elig_MatchAll_Ct&lt;22,$BC546=(Elig_MatchAll_Ct-1),AX546=0),Y546,0)</f>
        <v>0</v>
      </c>
      <c r="CE546" s="212">
        <f>IF(AND(Input_LTV&lt;=AE546,Input_Product=Elig!$C546,Elig_MatchAll_Ct&lt;22,$BC546=(Elig_MatchAll_Ct-1),AY546=0),Z546,0)</f>
        <v>0</v>
      </c>
      <c r="CF546" s="213">
        <f>IF(AND(Input_LTV&lt;=AE546,Input_Product=Elig!$C546,Elig_MatchAll_Ct&lt;22,$BC546=(Elig_MatchAll_Ct-1),AY546=0),AA546,0)</f>
        <v>0</v>
      </c>
      <c r="CG546" s="212">
        <f>IF(AND(Input_Product=Elig!$C546,Elig_MatchAll_Ct&lt;22,$BC546=(Elig_MatchAll_Ct-1),AZ546=0),AB546,0)</f>
        <v>0</v>
      </c>
      <c r="CH546" s="213">
        <f>IF(AND(Input_Product=Elig!$C546,Elig_MatchAll_Ct&lt;22,$BC546=(Elig_MatchAll_Ct-1),AZ546=0),AC546,0)</f>
        <v>0</v>
      </c>
      <c r="CI546" s="212">
        <f>IF(AND(Input_Product=Elig!$C546,Elig_MatchAll_Ct&lt;22,$BC546=(Elig_MatchAll_Ct-1),BA546=0),AD546,0)</f>
        <v>0</v>
      </c>
      <c r="CJ546" s="213">
        <f>IF(AND(Input_Product=Elig!$C546,Elig_MatchAll_Ct&lt;22,$BC546=(Elig_MatchAll_Ct-1),BA546=0),AE546,0)</f>
        <v>0</v>
      </c>
    </row>
    <row r="547" spans="2:88" ht="10.15" customHeight="1" x14ac:dyDescent="0.25">
      <c r="B547" s="287" t="s">
        <v>4105</v>
      </c>
      <c r="C547" s="286" t="str">
        <f t="shared" si="241"/>
        <v>NonQM NOO</v>
      </c>
      <c r="D547" s="287" t="s">
        <v>3885</v>
      </c>
      <c r="E547" s="287" t="s">
        <v>167</v>
      </c>
      <c r="F547" s="287" t="s">
        <v>330</v>
      </c>
      <c r="G547" s="287" t="s">
        <v>303</v>
      </c>
      <c r="H547" s="287" t="s">
        <v>136</v>
      </c>
      <c r="I547" s="288" t="s">
        <v>16</v>
      </c>
      <c r="J547" s="288" t="s">
        <v>1311</v>
      </c>
      <c r="K547" s="288" t="s">
        <v>1631</v>
      </c>
      <c r="L547" s="300" t="s">
        <v>312</v>
      </c>
      <c r="M547" s="287" t="s">
        <v>4203</v>
      </c>
      <c r="N547" s="287" t="s">
        <v>2685</v>
      </c>
      <c r="O547" s="287" t="s">
        <v>310</v>
      </c>
      <c r="P547" s="287" t="s">
        <v>291</v>
      </c>
      <c r="Q547" s="287" t="s">
        <v>294</v>
      </c>
      <c r="R547" s="300">
        <v>2500000.0099999998</v>
      </c>
      <c r="S547" s="287">
        <v>3000000</v>
      </c>
      <c r="T547" s="287">
        <v>0</v>
      </c>
      <c r="U547" s="287">
        <f t="shared" si="246"/>
        <v>3000000</v>
      </c>
      <c r="V547" s="287">
        <v>0</v>
      </c>
      <c r="W547" s="287">
        <v>50</v>
      </c>
      <c r="X547" s="287">
        <v>0</v>
      </c>
      <c r="Y547" s="287">
        <v>999</v>
      </c>
      <c r="Z547" s="289">
        <v>700</v>
      </c>
      <c r="AA547" s="289">
        <v>719</v>
      </c>
      <c r="AB547" s="289">
        <v>9</v>
      </c>
      <c r="AC547" s="289">
        <v>999999</v>
      </c>
      <c r="AD547" s="287">
        <v>0</v>
      </c>
      <c r="AE547" s="290">
        <v>60</v>
      </c>
      <c r="AF547" s="170">
        <v>0</v>
      </c>
      <c r="AG547" s="171">
        <v>1</v>
      </c>
      <c r="AH547" s="171">
        <v>1</v>
      </c>
      <c r="AI547" s="171">
        <v>0</v>
      </c>
      <c r="AJ547" s="171">
        <v>1</v>
      </c>
      <c r="AK547" s="171">
        <v>1</v>
      </c>
      <c r="AL547" s="171">
        <v>1</v>
      </c>
      <c r="AM547" s="171">
        <v>1</v>
      </c>
      <c r="AN547" s="171">
        <v>1</v>
      </c>
      <c r="AO547" s="171">
        <v>1</v>
      </c>
      <c r="AP547" s="171">
        <v>1</v>
      </c>
      <c r="AQ547" s="171">
        <v>1</v>
      </c>
      <c r="AR547" s="171">
        <v>1</v>
      </c>
      <c r="AS547" s="171">
        <v>1</v>
      </c>
      <c r="AT547" s="171">
        <v>1</v>
      </c>
      <c r="AU547" s="171">
        <f t="shared" si="183"/>
        <v>0</v>
      </c>
      <c r="AV547" s="171">
        <f t="shared" si="184"/>
        <v>1</v>
      </c>
      <c r="AW547" s="171">
        <f t="shared" si="185"/>
        <v>1</v>
      </c>
      <c r="AX547" s="171">
        <f t="shared" si="197"/>
        <v>1</v>
      </c>
      <c r="AY547" s="171">
        <f t="shared" si="186"/>
        <v>0</v>
      </c>
      <c r="AZ547" s="171">
        <f t="shared" si="187"/>
        <v>1</v>
      </c>
      <c r="BA547" s="172">
        <f t="shared" si="188"/>
        <v>0</v>
      </c>
      <c r="BB547" s="175">
        <f t="shared" si="243"/>
        <v>17</v>
      </c>
      <c r="BC547" s="176">
        <f t="shared" si="244"/>
        <v>17</v>
      </c>
      <c r="BD547" s="176">
        <f t="shared" si="245"/>
        <v>17</v>
      </c>
      <c r="BE547" s="240" t="str">
        <f t="shared" si="215"/>
        <v/>
      </c>
      <c r="BH547" s="199">
        <f>IF(AND(Input_Product=Elig!$C547,Elig_MatchAll_Ct&lt;22,$BC547=(Elig_MatchAll_Ct-1),AF547=0),C547,0)</f>
        <v>0</v>
      </c>
      <c r="BI547" s="199">
        <f>IF(AND(Input_Product=Elig!$C547,Elig_MatchAll_Ct&lt;22,$BC547=(Elig_MatchAll_Ct-1),AG547=0),D547,0)</f>
        <v>0</v>
      </c>
      <c r="BJ547" s="199">
        <f>IF(AND(Input_Product=Elig!$C547,Elig_MatchAll_Ct&lt;22,$BC547=(Elig_MatchAll_Ct-1),AH547=0),E547,0)</f>
        <v>0</v>
      </c>
      <c r="BK547" s="199">
        <f>IF(AND(Input_Product=Elig!$C547,Elig_MatchAll_Ct&lt;22,$BC547=(Elig_MatchAll_Ct-1),AI547=0),F547,0)</f>
        <v>0</v>
      </c>
      <c r="BL547" s="199">
        <f>IF(AND(Input_Product=Elig!$C547,Elig_MatchAll_Ct&lt;22,$BC547=(Elig_MatchAll_Ct-1),AJ547=0),G547,0)</f>
        <v>0</v>
      </c>
      <c r="BM547" s="199">
        <f>IF(AND(Input_Product=Elig!$C547,Elig_MatchAll_Ct&lt;22,$BC547=(Elig_MatchAll_Ct-1),AK547=0),H547,0)</f>
        <v>0</v>
      </c>
      <c r="BN547" s="199">
        <f>IF(AND(Input_Product=Elig!$C547,Elig_MatchAll_Ct&lt;22,$BC547=(Elig_MatchAll_Ct-1),AL547=0),I547,0)</f>
        <v>0</v>
      </c>
      <c r="BO547" s="199">
        <f>IF(AND(Input_Product=Elig!$C547,Elig_MatchAll_Ct&lt;22,$BC547=(Elig_MatchAll_Ct-1),AM547=0),J547,0)</f>
        <v>0</v>
      </c>
      <c r="BP547" s="199">
        <f>IF(AND(Input_Product=Elig!$C547,Elig_MatchAll_Ct&lt;22,$BC547=(Elig_MatchAll_Ct-1),AN547=0),K547,0)</f>
        <v>0</v>
      </c>
      <c r="BQ547" s="199">
        <f>IF(AND(Input_Product=Elig!$C547,Elig_MatchAll_Ct&lt;22,$BC547=(Elig_MatchAll_Ct-1),AP547=0),L547,0)</f>
        <v>0</v>
      </c>
      <c r="BR547" s="199">
        <f>IF(AND(Input_Product=Elig!$C547,Elig_MatchAll_Ct&lt;22,$BC547=(Elig_MatchAll_Ct-1),AO547=0),M547,0)</f>
        <v>0</v>
      </c>
      <c r="BS547" s="199">
        <f>IF(AND(Input_Product=Elig!$C547,Elig_MatchAll_Ct&lt;22,$BC547=(Elig_MatchAll_Ct-1),AQ547=0),N547,0)</f>
        <v>0</v>
      </c>
      <c r="BT547" s="199">
        <f>IF(AND(Input_Product=Elig!$C547,Elig_MatchAll_Ct&lt;22,$BC547=(Elig_MatchAll_Ct-1),AR547=0),O547,0)</f>
        <v>0</v>
      </c>
      <c r="BU547" s="199">
        <f>IF(AND(Input_Product=Elig!$C547,Elig_MatchAll_Ct&lt;22,$BC547=(Elig_MatchAll_Ct-1),AS547=0),P547,0)</f>
        <v>0</v>
      </c>
      <c r="BV547" s="200">
        <f>IF(AND(Input_Product=Elig!$C547,Elig_MatchAll_Ct&lt;22,$BC547=(Elig_MatchAll_Ct-1),AT547=0),Q547,0)</f>
        <v>0</v>
      </c>
      <c r="BW547" s="201">
        <f>IF(AND(Input_Product=Elig!$C547,Elig_MatchAll_Ct&lt;22,$BC547=(Elig_MatchAll_Ct-1),AU547=0),R547,0)</f>
        <v>0</v>
      </c>
      <c r="BX547" s="202">
        <f>IF(AND(Input_Product=Elig!$C547,Elig_MatchAll_Ct&lt;22,$BC547=(Elig_MatchAll_Ct-1),AU547=0),S547,0)</f>
        <v>0</v>
      </c>
      <c r="BY547" s="201">
        <f>IF(AND(Input_Product=Elig!$C547,Elig_MatchAll_Ct&lt;22,$BC547=(Elig_MatchAll_Ct-1),AV547=0),T547,0)</f>
        <v>0</v>
      </c>
      <c r="BZ547" s="202">
        <f>IF(AND(Input_Product=Elig!$C547,Elig_MatchAll_Ct&lt;22,$BC547=(Elig_MatchAll_Ct-1),AV547=0),U547,0)</f>
        <v>0</v>
      </c>
      <c r="CA547" s="201">
        <f>IF(AND(Input_Product=Elig!$C547,Elig_MatchAll_Ct&lt;22,$BC547=(Elig_MatchAll_Ct-1),AW547=0),V547,0)</f>
        <v>0</v>
      </c>
      <c r="CB547" s="202">
        <f>IF(AND(Input_Product=Elig!$C547,Elig_MatchAll_Ct&lt;22,$BC547=(Elig_MatchAll_Ct-1),AW547=0),W547,0)</f>
        <v>0</v>
      </c>
      <c r="CC547" s="201">
        <f>IF(AND(Input_Product=Elig!$C547,Elig_MatchAll_Ct&lt;22,$BC547=(Elig_MatchAll_Ct-1),AX547=0),X547,0)</f>
        <v>0</v>
      </c>
      <c r="CD547" s="202">
        <f>IF(AND(Input_Product=Elig!$C547,Elig_MatchAll_Ct&lt;22,$BC547=(Elig_MatchAll_Ct-1),AX547=0),Y547,0)</f>
        <v>0</v>
      </c>
      <c r="CE547" s="201">
        <f>IF(AND(Input_LTV&lt;=AE547,Input_Product=Elig!$C547,Elig_MatchAll_Ct&lt;22,$BC547=(Elig_MatchAll_Ct-1),AY547=0),Z547,0)</f>
        <v>0</v>
      </c>
      <c r="CF547" s="202">
        <f>IF(AND(Input_LTV&lt;=AE547,Input_Product=Elig!$C547,Elig_MatchAll_Ct&lt;22,$BC547=(Elig_MatchAll_Ct-1),AY547=0),AA547,0)</f>
        <v>0</v>
      </c>
      <c r="CG547" s="201">
        <f>IF(AND(Input_Product=Elig!$C547,Elig_MatchAll_Ct&lt;22,$BC547=(Elig_MatchAll_Ct-1),AZ547=0),AB547,0)</f>
        <v>0</v>
      </c>
      <c r="CH547" s="202">
        <f>IF(AND(Input_Product=Elig!$C547,Elig_MatchAll_Ct&lt;22,$BC547=(Elig_MatchAll_Ct-1),AZ547=0),AC547,0)</f>
        <v>0</v>
      </c>
      <c r="CI547" s="201">
        <f>IF(AND(Input_Product=Elig!$C547,Elig_MatchAll_Ct&lt;22,$BC547=(Elig_MatchAll_Ct-1),BA547=0),AD547,0)</f>
        <v>0</v>
      </c>
      <c r="CJ547" s="202">
        <f>IF(AND(Input_Product=Elig!$C547,Elig_MatchAll_Ct&lt;22,$BC547=(Elig_MatchAll_Ct-1),BA547=0),AE547,0)</f>
        <v>0</v>
      </c>
    </row>
    <row r="548" spans="2:88" ht="10.15" customHeight="1" x14ac:dyDescent="0.25">
      <c r="B548" s="287" t="s">
        <v>4106</v>
      </c>
      <c r="C548" s="291" t="str">
        <f t="shared" si="241"/>
        <v>NonQM NOO</v>
      </c>
      <c r="D548" s="292" t="s">
        <v>3885</v>
      </c>
      <c r="E548" s="292" t="s">
        <v>167</v>
      </c>
      <c r="F548" s="292" t="s">
        <v>330</v>
      </c>
      <c r="G548" s="292" t="s">
        <v>303</v>
      </c>
      <c r="H548" s="292" t="s">
        <v>136</v>
      </c>
      <c r="I548" s="295" t="s">
        <v>16</v>
      </c>
      <c r="J548" s="295" t="s">
        <v>1311</v>
      </c>
      <c r="K548" s="295" t="s">
        <v>1631</v>
      </c>
      <c r="L548" s="324" t="s">
        <v>312</v>
      </c>
      <c r="M548" s="292" t="s">
        <v>4203</v>
      </c>
      <c r="N548" s="292" t="s">
        <v>2685</v>
      </c>
      <c r="O548" s="292" t="s">
        <v>310</v>
      </c>
      <c r="P548" s="292" t="s">
        <v>291</v>
      </c>
      <c r="Q548" s="292" t="s">
        <v>294</v>
      </c>
      <c r="R548" s="324">
        <v>2500000.0099999998</v>
      </c>
      <c r="S548" s="292">
        <v>3000000</v>
      </c>
      <c r="T548" s="292">
        <v>0</v>
      </c>
      <c r="U548" s="292">
        <f t="shared" si="246"/>
        <v>3000000</v>
      </c>
      <c r="V548" s="292">
        <v>0</v>
      </c>
      <c r="W548" s="292">
        <v>50</v>
      </c>
      <c r="X548" s="292">
        <v>0</v>
      </c>
      <c r="Y548" s="292">
        <v>999</v>
      </c>
      <c r="Z548" s="293">
        <v>680</v>
      </c>
      <c r="AA548" s="293">
        <v>699</v>
      </c>
      <c r="AB548" s="293">
        <v>9</v>
      </c>
      <c r="AC548" s="293">
        <v>999999</v>
      </c>
      <c r="AD548" s="292">
        <v>0</v>
      </c>
      <c r="AE548" s="294">
        <v>60</v>
      </c>
      <c r="AF548" s="170">
        <v>0</v>
      </c>
      <c r="AG548" s="171">
        <v>1</v>
      </c>
      <c r="AH548" s="171">
        <v>1</v>
      </c>
      <c r="AI548" s="171">
        <v>0</v>
      </c>
      <c r="AJ548" s="171">
        <v>1</v>
      </c>
      <c r="AK548" s="171">
        <v>1</v>
      </c>
      <c r="AL548" s="171">
        <v>1</v>
      </c>
      <c r="AM548" s="171">
        <v>1</v>
      </c>
      <c r="AN548" s="171">
        <v>1</v>
      </c>
      <c r="AO548" s="171">
        <v>1</v>
      </c>
      <c r="AP548" s="171">
        <v>1</v>
      </c>
      <c r="AQ548" s="171">
        <v>1</v>
      </c>
      <c r="AR548" s="171">
        <v>1</v>
      </c>
      <c r="AS548" s="171">
        <v>1</v>
      </c>
      <c r="AT548" s="171">
        <v>1</v>
      </c>
      <c r="AU548" s="171">
        <f t="shared" si="183"/>
        <v>0</v>
      </c>
      <c r="AV548" s="171">
        <f t="shared" si="184"/>
        <v>1</v>
      </c>
      <c r="AW548" s="171">
        <f t="shared" si="185"/>
        <v>1</v>
      </c>
      <c r="AX548" s="171">
        <f t="shared" si="197"/>
        <v>1</v>
      </c>
      <c r="AY548" s="171">
        <f t="shared" si="186"/>
        <v>0</v>
      </c>
      <c r="AZ548" s="171">
        <f t="shared" si="187"/>
        <v>1</v>
      </c>
      <c r="BA548" s="172">
        <f t="shared" si="188"/>
        <v>0</v>
      </c>
      <c r="BB548" s="175">
        <f t="shared" si="243"/>
        <v>17</v>
      </c>
      <c r="BC548" s="176">
        <f t="shared" si="244"/>
        <v>17</v>
      </c>
      <c r="BD548" s="176">
        <f t="shared" si="245"/>
        <v>17</v>
      </c>
      <c r="BE548" s="240" t="str">
        <f t="shared" si="215"/>
        <v/>
      </c>
      <c r="BH548" s="214">
        <f>IF(AND(Input_Product=Elig!$C548,Elig_MatchAll_Ct&lt;22,$BC548=(Elig_MatchAll_Ct-1),AF548=0),C548,0)</f>
        <v>0</v>
      </c>
      <c r="BI548" s="214">
        <f>IF(AND(Input_Product=Elig!$C548,Elig_MatchAll_Ct&lt;22,$BC548=(Elig_MatchAll_Ct-1),AG548=0),D548,0)</f>
        <v>0</v>
      </c>
      <c r="BJ548" s="214">
        <f>IF(AND(Input_Product=Elig!$C548,Elig_MatchAll_Ct&lt;22,$BC548=(Elig_MatchAll_Ct-1),AH548=0),E548,0)</f>
        <v>0</v>
      </c>
      <c r="BK548" s="214">
        <f>IF(AND(Input_Product=Elig!$C548,Elig_MatchAll_Ct&lt;22,$BC548=(Elig_MatchAll_Ct-1),AI548=0),F548,0)</f>
        <v>0</v>
      </c>
      <c r="BL548" s="214">
        <f>IF(AND(Input_Product=Elig!$C548,Elig_MatchAll_Ct&lt;22,$BC548=(Elig_MatchAll_Ct-1),AJ548=0),G548,0)</f>
        <v>0</v>
      </c>
      <c r="BM548" s="214">
        <f>IF(AND(Input_Product=Elig!$C548,Elig_MatchAll_Ct&lt;22,$BC548=(Elig_MatchAll_Ct-1),AK548=0),H548,0)</f>
        <v>0</v>
      </c>
      <c r="BN548" s="214">
        <f>IF(AND(Input_Product=Elig!$C548,Elig_MatchAll_Ct&lt;22,$BC548=(Elig_MatchAll_Ct-1),AL548=0),I548,0)</f>
        <v>0</v>
      </c>
      <c r="BO548" s="214">
        <f>IF(AND(Input_Product=Elig!$C548,Elig_MatchAll_Ct&lt;22,$BC548=(Elig_MatchAll_Ct-1),AM548=0),J548,0)</f>
        <v>0</v>
      </c>
      <c r="BP548" s="214">
        <f>IF(AND(Input_Product=Elig!$C548,Elig_MatchAll_Ct&lt;22,$BC548=(Elig_MatchAll_Ct-1),AN548=0),K548,0)</f>
        <v>0</v>
      </c>
      <c r="BQ548" s="214">
        <f>IF(AND(Input_Product=Elig!$C548,Elig_MatchAll_Ct&lt;22,$BC548=(Elig_MatchAll_Ct-1),AP548=0),L548,0)</f>
        <v>0</v>
      </c>
      <c r="BR548" s="214">
        <f>IF(AND(Input_Product=Elig!$C548,Elig_MatchAll_Ct&lt;22,$BC548=(Elig_MatchAll_Ct-1),AO548=0),M548,0)</f>
        <v>0</v>
      </c>
      <c r="BS548" s="214">
        <f>IF(AND(Input_Product=Elig!$C548,Elig_MatchAll_Ct&lt;22,$BC548=(Elig_MatchAll_Ct-1),AQ548=0),N548,0)</f>
        <v>0</v>
      </c>
      <c r="BT548" s="214">
        <f>IF(AND(Input_Product=Elig!$C548,Elig_MatchAll_Ct&lt;22,$BC548=(Elig_MatchAll_Ct-1),AR548=0),O548,0)</f>
        <v>0</v>
      </c>
      <c r="BU548" s="214">
        <f>IF(AND(Input_Product=Elig!$C548,Elig_MatchAll_Ct&lt;22,$BC548=(Elig_MatchAll_Ct-1),AS548=0),P548,0)</f>
        <v>0</v>
      </c>
      <c r="BV548" s="215">
        <f>IF(AND(Input_Product=Elig!$C548,Elig_MatchAll_Ct&lt;22,$BC548=(Elig_MatchAll_Ct-1),AT548=0),Q548,0)</f>
        <v>0</v>
      </c>
      <c r="BW548" s="311">
        <f>IF(AND(Input_Product=Elig!$C548,Elig_MatchAll_Ct&lt;22,$BC548=(Elig_MatchAll_Ct-1),AU548=0),R548,0)</f>
        <v>0</v>
      </c>
      <c r="BX548" s="312">
        <f>IF(AND(Input_Product=Elig!$C548,Elig_MatchAll_Ct&lt;22,$BC548=(Elig_MatchAll_Ct-1),AU548=0),S548,0)</f>
        <v>0</v>
      </c>
      <c r="BY548" s="311">
        <f>IF(AND(Input_Product=Elig!$C548,Elig_MatchAll_Ct&lt;22,$BC548=(Elig_MatchAll_Ct-1),AV548=0),T548,0)</f>
        <v>0</v>
      </c>
      <c r="BZ548" s="312">
        <f>IF(AND(Input_Product=Elig!$C548,Elig_MatchAll_Ct&lt;22,$BC548=(Elig_MatchAll_Ct-1),AV548=0),U548,0)</f>
        <v>0</v>
      </c>
      <c r="CA548" s="311">
        <f>IF(AND(Input_Product=Elig!$C548,Elig_MatchAll_Ct&lt;22,$BC548=(Elig_MatchAll_Ct-1),AW548=0),V548,0)</f>
        <v>0</v>
      </c>
      <c r="CB548" s="312">
        <f>IF(AND(Input_Product=Elig!$C548,Elig_MatchAll_Ct&lt;22,$BC548=(Elig_MatchAll_Ct-1),AW548=0),W548,0)</f>
        <v>0</v>
      </c>
      <c r="CC548" s="311">
        <f>IF(AND(Input_Product=Elig!$C548,Elig_MatchAll_Ct&lt;22,$BC548=(Elig_MatchAll_Ct-1),AX548=0),X548,0)</f>
        <v>0</v>
      </c>
      <c r="CD548" s="312">
        <f>IF(AND(Input_Product=Elig!$C548,Elig_MatchAll_Ct&lt;22,$BC548=(Elig_MatchAll_Ct-1),AX548=0),Y548,0)</f>
        <v>0</v>
      </c>
      <c r="CE548" s="311">
        <f>IF(AND(Input_LTV&lt;=AE548,Input_Product=Elig!$C548,Elig_MatchAll_Ct&lt;22,$BC548=(Elig_MatchAll_Ct-1),AY548=0),Z548,0)</f>
        <v>0</v>
      </c>
      <c r="CF548" s="312">
        <f>IF(AND(Input_LTV&lt;=AE548,Input_Product=Elig!$C548,Elig_MatchAll_Ct&lt;22,$BC548=(Elig_MatchAll_Ct-1),AY548=0),AA548,0)</f>
        <v>0</v>
      </c>
      <c r="CG548" s="311">
        <f>IF(AND(Input_Product=Elig!$C548,Elig_MatchAll_Ct&lt;22,$BC548=(Elig_MatchAll_Ct-1),AZ548=0),AB548,0)</f>
        <v>0</v>
      </c>
      <c r="CH548" s="312">
        <f>IF(AND(Input_Product=Elig!$C548,Elig_MatchAll_Ct&lt;22,$BC548=(Elig_MatchAll_Ct-1),AZ548=0),AC548,0)</f>
        <v>0</v>
      </c>
      <c r="CI548" s="311">
        <f>IF(AND(Input_Product=Elig!$C548,Elig_MatchAll_Ct&lt;22,$BC548=(Elig_MatchAll_Ct-1),BA548=0),AD548,0)</f>
        <v>0</v>
      </c>
      <c r="CJ548" s="312">
        <f>IF(AND(Input_Product=Elig!$C548,Elig_MatchAll_Ct&lt;22,$BC548=(Elig_MatchAll_Ct-1),BA548=0),AE548,0)</f>
        <v>0</v>
      </c>
    </row>
    <row r="549" spans="2:88" ht="10.15" customHeight="1" x14ac:dyDescent="0.25">
      <c r="B549" s="287" t="s">
        <v>4107</v>
      </c>
      <c r="C549" s="281" t="str">
        <f t="shared" si="241"/>
        <v>NonQM NOO</v>
      </c>
      <c r="D549" s="282" t="s">
        <v>3885</v>
      </c>
      <c r="E549" s="283" t="s">
        <v>167</v>
      </c>
      <c r="F549" s="283" t="s">
        <v>330</v>
      </c>
      <c r="G549" s="2103" t="s">
        <v>304</v>
      </c>
      <c r="H549" s="283" t="s">
        <v>446</v>
      </c>
      <c r="I549" s="282" t="s">
        <v>274</v>
      </c>
      <c r="J549" s="282" t="s">
        <v>1311</v>
      </c>
      <c r="K549" s="282" t="s">
        <v>1631</v>
      </c>
      <c r="L549" s="2103" t="s">
        <v>312</v>
      </c>
      <c r="M549" s="283" t="s">
        <v>4203</v>
      </c>
      <c r="N549" s="283" t="s">
        <v>2685</v>
      </c>
      <c r="O549" s="283" t="s">
        <v>310</v>
      </c>
      <c r="P549" s="283" t="s">
        <v>291</v>
      </c>
      <c r="Q549" s="283" t="s">
        <v>294</v>
      </c>
      <c r="R549" s="323">
        <v>2500000.0099999998</v>
      </c>
      <c r="S549" s="282">
        <v>3000000</v>
      </c>
      <c r="T549" s="282">
        <v>0</v>
      </c>
      <c r="U549" s="282">
        <v>0</v>
      </c>
      <c r="V549" s="282">
        <v>0</v>
      </c>
      <c r="W549" s="282">
        <v>50</v>
      </c>
      <c r="X549" s="282">
        <v>0</v>
      </c>
      <c r="Y549" s="282">
        <v>999</v>
      </c>
      <c r="Z549" s="284">
        <v>720</v>
      </c>
      <c r="AA549" s="284">
        <v>999</v>
      </c>
      <c r="AB549" s="284">
        <v>9</v>
      </c>
      <c r="AC549" s="284">
        <v>999999</v>
      </c>
      <c r="AD549" s="282">
        <v>0</v>
      </c>
      <c r="AE549" s="2104">
        <v>75</v>
      </c>
      <c r="AF549" s="170">
        <v>0</v>
      </c>
      <c r="AG549" s="171">
        <v>1</v>
      </c>
      <c r="AH549" s="171">
        <v>1</v>
      </c>
      <c r="AI549" s="171">
        <v>0</v>
      </c>
      <c r="AJ549" s="171">
        <v>0</v>
      </c>
      <c r="AK549" s="171">
        <v>0</v>
      </c>
      <c r="AL549" s="171">
        <v>0</v>
      </c>
      <c r="AM549" s="171">
        <v>1</v>
      </c>
      <c r="AN549" s="171">
        <v>1</v>
      </c>
      <c r="AO549" s="171">
        <v>1</v>
      </c>
      <c r="AP549" s="171">
        <v>1</v>
      </c>
      <c r="AQ549" s="171">
        <v>1</v>
      </c>
      <c r="AR549" s="171">
        <v>1</v>
      </c>
      <c r="AS549" s="171">
        <v>1</v>
      </c>
      <c r="AT549" s="171">
        <v>1</v>
      </c>
      <c r="AU549" s="171">
        <f t="shared" si="183"/>
        <v>0</v>
      </c>
      <c r="AV549" s="171">
        <f t="shared" si="184"/>
        <v>0</v>
      </c>
      <c r="AW549" s="171">
        <f t="shared" si="185"/>
        <v>1</v>
      </c>
      <c r="AX549" s="171">
        <f t="shared" si="197"/>
        <v>1</v>
      </c>
      <c r="AY549" s="171">
        <f t="shared" si="186"/>
        <v>1</v>
      </c>
      <c r="AZ549" s="171">
        <f t="shared" si="187"/>
        <v>1</v>
      </c>
      <c r="BA549" s="172">
        <f t="shared" si="188"/>
        <v>1</v>
      </c>
      <c r="BB549" s="175">
        <f t="shared" si="243"/>
        <v>15</v>
      </c>
      <c r="BC549" s="176">
        <f t="shared" si="244"/>
        <v>14</v>
      </c>
      <c r="BD549" s="176">
        <f t="shared" si="245"/>
        <v>15</v>
      </c>
      <c r="BE549" s="240" t="str">
        <f t="shared" si="215"/>
        <v/>
      </c>
      <c r="BH549" s="210">
        <f>IF(AND(Input_Product=Elig!$C549,Elig_MatchAll_Ct&lt;22,$BC549=(Elig_MatchAll_Ct-1),AF549=0),C549,0)</f>
        <v>0</v>
      </c>
      <c r="BI549" s="210">
        <f>IF(AND(Input_Product=Elig!$C549,Elig_MatchAll_Ct&lt;22,$BC549=(Elig_MatchAll_Ct-1),AG549=0),D549,0)</f>
        <v>0</v>
      </c>
      <c r="BJ549" s="210">
        <f>IF(AND(Input_Product=Elig!$C549,Elig_MatchAll_Ct&lt;22,$BC549=(Elig_MatchAll_Ct-1),AH549=0),E549,0)</f>
        <v>0</v>
      </c>
      <c r="BK549" s="210">
        <f>IF(AND(Input_Product=Elig!$C549,Elig_MatchAll_Ct&lt;22,$BC549=(Elig_MatchAll_Ct-1),AI549=0),F549,0)</f>
        <v>0</v>
      </c>
      <c r="BL549" s="210">
        <f>IF(AND(Input_Product=Elig!$C549,Elig_MatchAll_Ct&lt;22,$BC549=(Elig_MatchAll_Ct-1),AJ549=0),G549,0)</f>
        <v>0</v>
      </c>
      <c r="BM549" s="210">
        <f>IF(AND(Input_Product=Elig!$C549,Elig_MatchAll_Ct&lt;22,$BC549=(Elig_MatchAll_Ct-1),AK549=0),H549,0)</f>
        <v>0</v>
      </c>
      <c r="BN549" s="210">
        <f>IF(AND(Input_Product=Elig!$C549,Elig_MatchAll_Ct&lt;22,$BC549=(Elig_MatchAll_Ct-1),AL549=0),I549,0)</f>
        <v>0</v>
      </c>
      <c r="BO549" s="210">
        <f>IF(AND(Input_Product=Elig!$C549,Elig_MatchAll_Ct&lt;22,$BC549=(Elig_MatchAll_Ct-1),AM549=0),J549,0)</f>
        <v>0</v>
      </c>
      <c r="BP549" s="210">
        <f>IF(AND(Input_Product=Elig!$C549,Elig_MatchAll_Ct&lt;22,$BC549=(Elig_MatchAll_Ct-1),AN549=0),K549,0)</f>
        <v>0</v>
      </c>
      <c r="BQ549" s="210">
        <f>IF(AND(Input_Product=Elig!$C549,Elig_MatchAll_Ct&lt;22,$BC549=(Elig_MatchAll_Ct-1),AP549=0),L549,0)</f>
        <v>0</v>
      </c>
      <c r="BR549" s="210">
        <f>IF(AND(Input_Product=Elig!$C549,Elig_MatchAll_Ct&lt;22,$BC549=(Elig_MatchAll_Ct-1),AO549=0),M549,0)</f>
        <v>0</v>
      </c>
      <c r="BS549" s="210">
        <f>IF(AND(Input_Product=Elig!$C549,Elig_MatchAll_Ct&lt;22,$BC549=(Elig_MatchAll_Ct-1),AQ549=0),N549,0)</f>
        <v>0</v>
      </c>
      <c r="BT549" s="210">
        <f>IF(AND(Input_Product=Elig!$C549,Elig_MatchAll_Ct&lt;22,$BC549=(Elig_MatchAll_Ct-1),AR549=0),O549,0)</f>
        <v>0</v>
      </c>
      <c r="BU549" s="210">
        <f>IF(AND(Input_Product=Elig!$C549,Elig_MatchAll_Ct&lt;22,$BC549=(Elig_MatchAll_Ct-1),AS549=0),P549,0)</f>
        <v>0</v>
      </c>
      <c r="BV549" s="211">
        <f>IF(AND(Input_Product=Elig!$C549,Elig_MatchAll_Ct&lt;22,$BC549=(Elig_MatchAll_Ct-1),AT549=0),Q549,0)</f>
        <v>0</v>
      </c>
      <c r="BW549" s="212">
        <f>IF(AND(Input_Product=Elig!$C549,Elig_MatchAll_Ct&lt;22,$BC549=(Elig_MatchAll_Ct-1),AU549=0),R549,0)</f>
        <v>0</v>
      </c>
      <c r="BX549" s="213">
        <f>IF(AND(Input_Product=Elig!$C549,Elig_MatchAll_Ct&lt;22,$BC549=(Elig_MatchAll_Ct-1),AU549=0),S549,0)</f>
        <v>0</v>
      </c>
      <c r="BY549" s="212">
        <f>IF(AND(Input_Product=Elig!$C549,Elig_MatchAll_Ct&lt;22,$BC549=(Elig_MatchAll_Ct-1),AV549=0),T549,0)</f>
        <v>0</v>
      </c>
      <c r="BZ549" s="213">
        <f>IF(AND(Input_Product=Elig!$C549,Elig_MatchAll_Ct&lt;22,$BC549=(Elig_MatchAll_Ct-1),AV549=0),U549,0)</f>
        <v>0</v>
      </c>
      <c r="CA549" s="212">
        <f>IF(AND(Input_Product=Elig!$C549,Elig_MatchAll_Ct&lt;22,$BC549=(Elig_MatchAll_Ct-1),AW549=0),V549,0)</f>
        <v>0</v>
      </c>
      <c r="CB549" s="213">
        <f>IF(AND(Input_Product=Elig!$C549,Elig_MatchAll_Ct&lt;22,$BC549=(Elig_MatchAll_Ct-1),AW549=0),W549,0)</f>
        <v>0</v>
      </c>
      <c r="CC549" s="212">
        <f>IF(AND(Input_Product=Elig!$C549,Elig_MatchAll_Ct&lt;22,$BC549=(Elig_MatchAll_Ct-1),AX549=0),X549,0)</f>
        <v>0</v>
      </c>
      <c r="CD549" s="213">
        <f>IF(AND(Input_Product=Elig!$C549,Elig_MatchAll_Ct&lt;22,$BC549=(Elig_MatchAll_Ct-1),AX549=0),Y549,0)</f>
        <v>0</v>
      </c>
      <c r="CE549" s="212">
        <f>IF(AND(Input_LTV&lt;=AE549,Input_Product=Elig!$C549,Elig_MatchAll_Ct&lt;22,$BC549=(Elig_MatchAll_Ct-1),AY549=0),Z549,0)</f>
        <v>0</v>
      </c>
      <c r="CF549" s="213">
        <f>IF(AND(Input_LTV&lt;=AE549,Input_Product=Elig!$C549,Elig_MatchAll_Ct&lt;22,$BC549=(Elig_MatchAll_Ct-1),AY549=0),AA549,0)</f>
        <v>0</v>
      </c>
      <c r="CG549" s="212">
        <f>IF(AND(Input_Product=Elig!$C549,Elig_MatchAll_Ct&lt;22,$BC549=(Elig_MatchAll_Ct-1),AZ549=0),AB549,0)</f>
        <v>0</v>
      </c>
      <c r="CH549" s="213">
        <f>IF(AND(Input_Product=Elig!$C549,Elig_MatchAll_Ct&lt;22,$BC549=(Elig_MatchAll_Ct-1),AZ549=0),AC549,0)</f>
        <v>0</v>
      </c>
      <c r="CI549" s="212">
        <f>IF(AND(Input_Product=Elig!$C549,Elig_MatchAll_Ct&lt;22,$BC549=(Elig_MatchAll_Ct-1),BA549=0),AD549,0)</f>
        <v>0</v>
      </c>
      <c r="CJ549" s="213">
        <f>IF(AND(Input_Product=Elig!$C549,Elig_MatchAll_Ct&lt;22,$BC549=(Elig_MatchAll_Ct-1),BA549=0),AE549,0)</f>
        <v>0</v>
      </c>
    </row>
    <row r="550" spans="2:88" ht="10.15" customHeight="1" x14ac:dyDescent="0.25">
      <c r="B550" s="287" t="s">
        <v>4108</v>
      </c>
      <c r="C550" s="286" t="str">
        <f t="shared" si="241"/>
        <v>NonQM NOO</v>
      </c>
      <c r="D550" s="287" t="s">
        <v>3885</v>
      </c>
      <c r="E550" s="287" t="s">
        <v>167</v>
      </c>
      <c r="F550" s="287" t="s">
        <v>330</v>
      </c>
      <c r="G550" s="300" t="s">
        <v>304</v>
      </c>
      <c r="H550" s="287" t="s">
        <v>446</v>
      </c>
      <c r="I550" s="288" t="s">
        <v>274</v>
      </c>
      <c r="J550" s="288" t="s">
        <v>1311</v>
      </c>
      <c r="K550" s="288" t="s">
        <v>1631</v>
      </c>
      <c r="L550" s="300" t="s">
        <v>312</v>
      </c>
      <c r="M550" s="287" t="s">
        <v>4203</v>
      </c>
      <c r="N550" s="287" t="s">
        <v>2685</v>
      </c>
      <c r="O550" s="287" t="s">
        <v>310</v>
      </c>
      <c r="P550" s="287" t="s">
        <v>291</v>
      </c>
      <c r="Q550" s="287" t="s">
        <v>294</v>
      </c>
      <c r="R550" s="300">
        <v>2500000.0099999998</v>
      </c>
      <c r="S550" s="287">
        <v>3000000</v>
      </c>
      <c r="T550" s="287">
        <v>0</v>
      </c>
      <c r="U550" s="287">
        <v>0</v>
      </c>
      <c r="V550" s="287">
        <v>0</v>
      </c>
      <c r="W550" s="287">
        <v>50</v>
      </c>
      <c r="X550" s="287">
        <v>0</v>
      </c>
      <c r="Y550" s="287">
        <v>999</v>
      </c>
      <c r="Z550" s="289">
        <v>700</v>
      </c>
      <c r="AA550" s="289">
        <v>719</v>
      </c>
      <c r="AB550" s="289">
        <v>9</v>
      </c>
      <c r="AC550" s="289">
        <v>999999</v>
      </c>
      <c r="AD550" s="287">
        <v>0</v>
      </c>
      <c r="AE550" s="290">
        <v>70</v>
      </c>
      <c r="AF550" s="170">
        <v>0</v>
      </c>
      <c r="AG550" s="171">
        <v>1</v>
      </c>
      <c r="AH550" s="171">
        <v>1</v>
      </c>
      <c r="AI550" s="171">
        <v>0</v>
      </c>
      <c r="AJ550" s="171">
        <v>0</v>
      </c>
      <c r="AK550" s="171">
        <v>0</v>
      </c>
      <c r="AL550" s="171">
        <v>0</v>
      </c>
      <c r="AM550" s="171">
        <v>1</v>
      </c>
      <c r="AN550" s="171">
        <v>1</v>
      </c>
      <c r="AO550" s="171">
        <v>1</v>
      </c>
      <c r="AP550" s="171">
        <v>1</v>
      </c>
      <c r="AQ550" s="171">
        <v>1</v>
      </c>
      <c r="AR550" s="171">
        <v>1</v>
      </c>
      <c r="AS550" s="171">
        <v>1</v>
      </c>
      <c r="AT550" s="171">
        <v>1</v>
      </c>
      <c r="AU550" s="171">
        <f t="shared" si="183"/>
        <v>0</v>
      </c>
      <c r="AV550" s="171">
        <f t="shared" si="184"/>
        <v>0</v>
      </c>
      <c r="AW550" s="171">
        <f t="shared" si="185"/>
        <v>1</v>
      </c>
      <c r="AX550" s="171">
        <f t="shared" si="197"/>
        <v>1</v>
      </c>
      <c r="AY550" s="171">
        <f t="shared" si="186"/>
        <v>0</v>
      </c>
      <c r="AZ550" s="171">
        <f t="shared" si="187"/>
        <v>1</v>
      </c>
      <c r="BA550" s="172">
        <f t="shared" si="188"/>
        <v>1</v>
      </c>
      <c r="BB550" s="175">
        <f t="shared" si="243"/>
        <v>14</v>
      </c>
      <c r="BC550" s="176">
        <f t="shared" si="244"/>
        <v>13</v>
      </c>
      <c r="BD550" s="176">
        <f t="shared" si="245"/>
        <v>14</v>
      </c>
      <c r="BE550" s="240" t="str">
        <f t="shared" si="215"/>
        <v/>
      </c>
      <c r="BH550" s="199">
        <f>IF(AND(Input_Product=Elig!$C550,Elig_MatchAll_Ct&lt;22,$BC550=(Elig_MatchAll_Ct-1),AF550=0),C550,0)</f>
        <v>0</v>
      </c>
      <c r="BI550" s="199">
        <f>IF(AND(Input_Product=Elig!$C550,Elig_MatchAll_Ct&lt;22,$BC550=(Elig_MatchAll_Ct-1),AG550=0),D550,0)</f>
        <v>0</v>
      </c>
      <c r="BJ550" s="199">
        <f>IF(AND(Input_Product=Elig!$C550,Elig_MatchAll_Ct&lt;22,$BC550=(Elig_MatchAll_Ct-1),AH550=0),E550,0)</f>
        <v>0</v>
      </c>
      <c r="BK550" s="199">
        <f>IF(AND(Input_Product=Elig!$C550,Elig_MatchAll_Ct&lt;22,$BC550=(Elig_MatchAll_Ct-1),AI550=0),F550,0)</f>
        <v>0</v>
      </c>
      <c r="BL550" s="199">
        <f>IF(AND(Input_Product=Elig!$C550,Elig_MatchAll_Ct&lt;22,$BC550=(Elig_MatchAll_Ct-1),AJ550=0),G550,0)</f>
        <v>0</v>
      </c>
      <c r="BM550" s="199">
        <f>IF(AND(Input_Product=Elig!$C550,Elig_MatchAll_Ct&lt;22,$BC550=(Elig_MatchAll_Ct-1),AK550=0),H550,0)</f>
        <v>0</v>
      </c>
      <c r="BN550" s="199">
        <f>IF(AND(Input_Product=Elig!$C550,Elig_MatchAll_Ct&lt;22,$BC550=(Elig_MatchAll_Ct-1),AL550=0),I550,0)</f>
        <v>0</v>
      </c>
      <c r="BO550" s="199">
        <f>IF(AND(Input_Product=Elig!$C550,Elig_MatchAll_Ct&lt;22,$BC550=(Elig_MatchAll_Ct-1),AM550=0),J550,0)</f>
        <v>0</v>
      </c>
      <c r="BP550" s="199">
        <f>IF(AND(Input_Product=Elig!$C550,Elig_MatchAll_Ct&lt;22,$BC550=(Elig_MatchAll_Ct-1),AN550=0),K550,0)</f>
        <v>0</v>
      </c>
      <c r="BQ550" s="199">
        <f>IF(AND(Input_Product=Elig!$C550,Elig_MatchAll_Ct&lt;22,$BC550=(Elig_MatchAll_Ct-1),AP550=0),L550,0)</f>
        <v>0</v>
      </c>
      <c r="BR550" s="199">
        <f>IF(AND(Input_Product=Elig!$C550,Elig_MatchAll_Ct&lt;22,$BC550=(Elig_MatchAll_Ct-1),AO550=0),M550,0)</f>
        <v>0</v>
      </c>
      <c r="BS550" s="199">
        <f>IF(AND(Input_Product=Elig!$C550,Elig_MatchAll_Ct&lt;22,$BC550=(Elig_MatchAll_Ct-1),AQ550=0),N550,0)</f>
        <v>0</v>
      </c>
      <c r="BT550" s="199">
        <f>IF(AND(Input_Product=Elig!$C550,Elig_MatchAll_Ct&lt;22,$BC550=(Elig_MatchAll_Ct-1),AR550=0),O550,0)</f>
        <v>0</v>
      </c>
      <c r="BU550" s="199">
        <f>IF(AND(Input_Product=Elig!$C550,Elig_MatchAll_Ct&lt;22,$BC550=(Elig_MatchAll_Ct-1),AS550=0),P550,0)</f>
        <v>0</v>
      </c>
      <c r="BV550" s="200">
        <f>IF(AND(Input_Product=Elig!$C550,Elig_MatchAll_Ct&lt;22,$BC550=(Elig_MatchAll_Ct-1),AT550=0),Q550,0)</f>
        <v>0</v>
      </c>
      <c r="BW550" s="201">
        <f>IF(AND(Input_Product=Elig!$C550,Elig_MatchAll_Ct&lt;22,$BC550=(Elig_MatchAll_Ct-1),AU550=0),R550,0)</f>
        <v>0</v>
      </c>
      <c r="BX550" s="202">
        <f>IF(AND(Input_Product=Elig!$C550,Elig_MatchAll_Ct&lt;22,$BC550=(Elig_MatchAll_Ct-1),AU550=0),S550,0)</f>
        <v>0</v>
      </c>
      <c r="BY550" s="201">
        <f>IF(AND(Input_Product=Elig!$C550,Elig_MatchAll_Ct&lt;22,$BC550=(Elig_MatchAll_Ct-1),AV550=0),T550,0)</f>
        <v>0</v>
      </c>
      <c r="BZ550" s="202">
        <f>IF(AND(Input_Product=Elig!$C550,Elig_MatchAll_Ct&lt;22,$BC550=(Elig_MatchAll_Ct-1),AV550=0),U550,0)</f>
        <v>0</v>
      </c>
      <c r="CA550" s="201">
        <f>IF(AND(Input_Product=Elig!$C550,Elig_MatchAll_Ct&lt;22,$BC550=(Elig_MatchAll_Ct-1),AW550=0),V550,0)</f>
        <v>0</v>
      </c>
      <c r="CB550" s="202">
        <f>IF(AND(Input_Product=Elig!$C550,Elig_MatchAll_Ct&lt;22,$BC550=(Elig_MatchAll_Ct-1),AW550=0),W550,0)</f>
        <v>0</v>
      </c>
      <c r="CC550" s="201">
        <f>IF(AND(Input_Product=Elig!$C550,Elig_MatchAll_Ct&lt;22,$BC550=(Elig_MatchAll_Ct-1),AX550=0),X550,0)</f>
        <v>0</v>
      </c>
      <c r="CD550" s="202">
        <f>IF(AND(Input_Product=Elig!$C550,Elig_MatchAll_Ct&lt;22,$BC550=(Elig_MatchAll_Ct-1),AX550=0),Y550,0)</f>
        <v>0</v>
      </c>
      <c r="CE550" s="201">
        <f>IF(AND(Input_LTV&lt;=AE550,Input_Product=Elig!$C550,Elig_MatchAll_Ct&lt;22,$BC550=(Elig_MatchAll_Ct-1),AY550=0),Z550,0)</f>
        <v>0</v>
      </c>
      <c r="CF550" s="202">
        <f>IF(AND(Input_LTV&lt;=AE550,Input_Product=Elig!$C550,Elig_MatchAll_Ct&lt;22,$BC550=(Elig_MatchAll_Ct-1),AY550=0),AA550,0)</f>
        <v>0</v>
      </c>
      <c r="CG550" s="201">
        <f>IF(AND(Input_Product=Elig!$C550,Elig_MatchAll_Ct&lt;22,$BC550=(Elig_MatchAll_Ct-1),AZ550=0),AB550,0)</f>
        <v>0</v>
      </c>
      <c r="CH550" s="202">
        <f>IF(AND(Input_Product=Elig!$C550,Elig_MatchAll_Ct&lt;22,$BC550=(Elig_MatchAll_Ct-1),AZ550=0),AC550,0)</f>
        <v>0</v>
      </c>
      <c r="CI550" s="201">
        <f>IF(AND(Input_Product=Elig!$C550,Elig_MatchAll_Ct&lt;22,$BC550=(Elig_MatchAll_Ct-1),BA550=0),AD550,0)</f>
        <v>0</v>
      </c>
      <c r="CJ550" s="202">
        <f>IF(AND(Input_Product=Elig!$C550,Elig_MatchAll_Ct&lt;22,$BC550=(Elig_MatchAll_Ct-1),BA550=0),AE550,0)</f>
        <v>0</v>
      </c>
    </row>
    <row r="551" spans="2:88" ht="10.15" customHeight="1" x14ac:dyDescent="0.25">
      <c r="B551" s="287" t="s">
        <v>4109</v>
      </c>
      <c r="C551" s="291" t="str">
        <f t="shared" si="241"/>
        <v>NonQM NOO</v>
      </c>
      <c r="D551" s="292" t="s">
        <v>3885</v>
      </c>
      <c r="E551" s="292" t="s">
        <v>167</v>
      </c>
      <c r="F551" s="292" t="s">
        <v>330</v>
      </c>
      <c r="G551" s="324" t="s">
        <v>304</v>
      </c>
      <c r="H551" s="292" t="s">
        <v>446</v>
      </c>
      <c r="I551" s="295" t="s">
        <v>274</v>
      </c>
      <c r="J551" s="295" t="s">
        <v>1311</v>
      </c>
      <c r="K551" s="295" t="s">
        <v>1631</v>
      </c>
      <c r="L551" s="324" t="s">
        <v>312</v>
      </c>
      <c r="M551" s="292" t="s">
        <v>4203</v>
      </c>
      <c r="N551" s="292" t="s">
        <v>2685</v>
      </c>
      <c r="O551" s="292" t="s">
        <v>310</v>
      </c>
      <c r="P551" s="292" t="s">
        <v>291</v>
      </c>
      <c r="Q551" s="292" t="s">
        <v>294</v>
      </c>
      <c r="R551" s="324">
        <v>2500000.0099999998</v>
      </c>
      <c r="S551" s="292">
        <v>3000000</v>
      </c>
      <c r="T551" s="292">
        <v>0</v>
      </c>
      <c r="U551" s="292">
        <v>0</v>
      </c>
      <c r="V551" s="292">
        <v>0</v>
      </c>
      <c r="W551" s="292">
        <v>50</v>
      </c>
      <c r="X551" s="292">
        <v>0</v>
      </c>
      <c r="Y551" s="292">
        <v>999</v>
      </c>
      <c r="Z551" s="293">
        <v>680</v>
      </c>
      <c r="AA551" s="293">
        <v>699</v>
      </c>
      <c r="AB551" s="293">
        <v>9</v>
      </c>
      <c r="AC551" s="293">
        <v>999999</v>
      </c>
      <c r="AD551" s="292">
        <v>0</v>
      </c>
      <c r="AE551" s="294">
        <v>70</v>
      </c>
      <c r="AF551" s="170">
        <v>0</v>
      </c>
      <c r="AG551" s="171">
        <v>1</v>
      </c>
      <c r="AH551" s="171">
        <v>1</v>
      </c>
      <c r="AI551" s="171">
        <v>0</v>
      </c>
      <c r="AJ551" s="171">
        <v>0</v>
      </c>
      <c r="AK551" s="171">
        <v>0</v>
      </c>
      <c r="AL551" s="171">
        <v>0</v>
      </c>
      <c r="AM551" s="171">
        <v>1</v>
      </c>
      <c r="AN551" s="171">
        <v>1</v>
      </c>
      <c r="AO551" s="171">
        <v>1</v>
      </c>
      <c r="AP551" s="171">
        <v>1</v>
      </c>
      <c r="AQ551" s="171">
        <v>1</v>
      </c>
      <c r="AR551" s="171">
        <v>1</v>
      </c>
      <c r="AS551" s="171">
        <v>1</v>
      </c>
      <c r="AT551" s="171">
        <v>1</v>
      </c>
      <c r="AU551" s="171">
        <f t="shared" si="183"/>
        <v>0</v>
      </c>
      <c r="AV551" s="171">
        <f t="shared" si="184"/>
        <v>0</v>
      </c>
      <c r="AW551" s="171">
        <f t="shared" si="185"/>
        <v>1</v>
      </c>
      <c r="AX551" s="171">
        <f t="shared" si="197"/>
        <v>1</v>
      </c>
      <c r="AY551" s="171">
        <f t="shared" si="186"/>
        <v>0</v>
      </c>
      <c r="AZ551" s="171">
        <f t="shared" si="187"/>
        <v>1</v>
      </c>
      <c r="BA551" s="172">
        <f t="shared" si="188"/>
        <v>1</v>
      </c>
      <c r="BB551" s="175">
        <f t="shared" si="243"/>
        <v>14</v>
      </c>
      <c r="BC551" s="176">
        <f t="shared" si="244"/>
        <v>13</v>
      </c>
      <c r="BD551" s="176">
        <f t="shared" si="245"/>
        <v>14</v>
      </c>
      <c r="BE551" s="240" t="str">
        <f t="shared" si="215"/>
        <v/>
      </c>
      <c r="BH551" s="214">
        <f>IF(AND(Input_Product=Elig!$C551,Elig_MatchAll_Ct&lt;22,$BC551=(Elig_MatchAll_Ct-1),AF551=0),C551,0)</f>
        <v>0</v>
      </c>
      <c r="BI551" s="214">
        <f>IF(AND(Input_Product=Elig!$C551,Elig_MatchAll_Ct&lt;22,$BC551=(Elig_MatchAll_Ct-1),AG551=0),D551,0)</f>
        <v>0</v>
      </c>
      <c r="BJ551" s="214">
        <f>IF(AND(Input_Product=Elig!$C551,Elig_MatchAll_Ct&lt;22,$BC551=(Elig_MatchAll_Ct-1),AH551=0),E551,0)</f>
        <v>0</v>
      </c>
      <c r="BK551" s="214">
        <f>IF(AND(Input_Product=Elig!$C551,Elig_MatchAll_Ct&lt;22,$BC551=(Elig_MatchAll_Ct-1),AI551=0),F551,0)</f>
        <v>0</v>
      </c>
      <c r="BL551" s="214">
        <f>IF(AND(Input_Product=Elig!$C551,Elig_MatchAll_Ct&lt;22,$BC551=(Elig_MatchAll_Ct-1),AJ551=0),G551,0)</f>
        <v>0</v>
      </c>
      <c r="BM551" s="214">
        <f>IF(AND(Input_Product=Elig!$C551,Elig_MatchAll_Ct&lt;22,$BC551=(Elig_MatchAll_Ct-1),AK551=0),H551,0)</f>
        <v>0</v>
      </c>
      <c r="BN551" s="214">
        <f>IF(AND(Input_Product=Elig!$C551,Elig_MatchAll_Ct&lt;22,$BC551=(Elig_MatchAll_Ct-1),AL551=0),I551,0)</f>
        <v>0</v>
      </c>
      <c r="BO551" s="214">
        <f>IF(AND(Input_Product=Elig!$C551,Elig_MatchAll_Ct&lt;22,$BC551=(Elig_MatchAll_Ct-1),AM551=0),J551,0)</f>
        <v>0</v>
      </c>
      <c r="BP551" s="214">
        <f>IF(AND(Input_Product=Elig!$C551,Elig_MatchAll_Ct&lt;22,$BC551=(Elig_MatchAll_Ct-1),AN551=0),K551,0)</f>
        <v>0</v>
      </c>
      <c r="BQ551" s="214">
        <f>IF(AND(Input_Product=Elig!$C551,Elig_MatchAll_Ct&lt;22,$BC551=(Elig_MatchAll_Ct-1),AP551=0),L551,0)</f>
        <v>0</v>
      </c>
      <c r="BR551" s="214">
        <f>IF(AND(Input_Product=Elig!$C551,Elig_MatchAll_Ct&lt;22,$BC551=(Elig_MatchAll_Ct-1),AO551=0),M551,0)</f>
        <v>0</v>
      </c>
      <c r="BS551" s="214">
        <f>IF(AND(Input_Product=Elig!$C551,Elig_MatchAll_Ct&lt;22,$BC551=(Elig_MatchAll_Ct-1),AQ551=0),N551,0)</f>
        <v>0</v>
      </c>
      <c r="BT551" s="214">
        <f>IF(AND(Input_Product=Elig!$C551,Elig_MatchAll_Ct&lt;22,$BC551=(Elig_MatchAll_Ct-1),AR551=0),O551,0)</f>
        <v>0</v>
      </c>
      <c r="BU551" s="214">
        <f>IF(AND(Input_Product=Elig!$C551,Elig_MatchAll_Ct&lt;22,$BC551=(Elig_MatchAll_Ct-1),AS551=0),P551,0)</f>
        <v>0</v>
      </c>
      <c r="BV551" s="215">
        <f>IF(AND(Input_Product=Elig!$C551,Elig_MatchAll_Ct&lt;22,$BC551=(Elig_MatchAll_Ct-1),AT551=0),Q551,0)</f>
        <v>0</v>
      </c>
      <c r="BW551" s="311">
        <f>IF(AND(Input_Product=Elig!$C551,Elig_MatchAll_Ct&lt;22,$BC551=(Elig_MatchAll_Ct-1),AU551=0),R551,0)</f>
        <v>0</v>
      </c>
      <c r="BX551" s="312">
        <f>IF(AND(Input_Product=Elig!$C551,Elig_MatchAll_Ct&lt;22,$BC551=(Elig_MatchAll_Ct-1),AU551=0),S551,0)</f>
        <v>0</v>
      </c>
      <c r="BY551" s="311">
        <f>IF(AND(Input_Product=Elig!$C551,Elig_MatchAll_Ct&lt;22,$BC551=(Elig_MatchAll_Ct-1),AV551=0),T551,0)</f>
        <v>0</v>
      </c>
      <c r="BZ551" s="312">
        <f>IF(AND(Input_Product=Elig!$C551,Elig_MatchAll_Ct&lt;22,$BC551=(Elig_MatchAll_Ct-1),AV551=0),U551,0)</f>
        <v>0</v>
      </c>
      <c r="CA551" s="311">
        <f>IF(AND(Input_Product=Elig!$C551,Elig_MatchAll_Ct&lt;22,$BC551=(Elig_MatchAll_Ct-1),AW551=0),V551,0)</f>
        <v>0</v>
      </c>
      <c r="CB551" s="312">
        <f>IF(AND(Input_Product=Elig!$C551,Elig_MatchAll_Ct&lt;22,$BC551=(Elig_MatchAll_Ct-1),AW551=0),W551,0)</f>
        <v>0</v>
      </c>
      <c r="CC551" s="311">
        <f>IF(AND(Input_Product=Elig!$C551,Elig_MatchAll_Ct&lt;22,$BC551=(Elig_MatchAll_Ct-1),AX551=0),X551,0)</f>
        <v>0</v>
      </c>
      <c r="CD551" s="312">
        <f>IF(AND(Input_Product=Elig!$C551,Elig_MatchAll_Ct&lt;22,$BC551=(Elig_MatchAll_Ct-1),AX551=0),Y551,0)</f>
        <v>0</v>
      </c>
      <c r="CE551" s="311">
        <f>IF(AND(Input_LTV&lt;=AE551,Input_Product=Elig!$C551,Elig_MatchAll_Ct&lt;22,$BC551=(Elig_MatchAll_Ct-1),AY551=0),Z551,0)</f>
        <v>0</v>
      </c>
      <c r="CF551" s="312">
        <f>IF(AND(Input_LTV&lt;=AE551,Input_Product=Elig!$C551,Elig_MatchAll_Ct&lt;22,$BC551=(Elig_MatchAll_Ct-1),AY551=0),AA551,0)</f>
        <v>0</v>
      </c>
      <c r="CG551" s="311">
        <f>IF(AND(Input_Product=Elig!$C551,Elig_MatchAll_Ct&lt;22,$BC551=(Elig_MatchAll_Ct-1),AZ551=0),AB551,0)</f>
        <v>0</v>
      </c>
      <c r="CH551" s="312">
        <f>IF(AND(Input_Product=Elig!$C551,Elig_MatchAll_Ct&lt;22,$BC551=(Elig_MatchAll_Ct-1),AZ551=0),AC551,0)</f>
        <v>0</v>
      </c>
      <c r="CI551" s="311">
        <f>IF(AND(Input_Product=Elig!$C551,Elig_MatchAll_Ct&lt;22,$BC551=(Elig_MatchAll_Ct-1),BA551=0),AD551,0)</f>
        <v>0</v>
      </c>
      <c r="CJ551" s="312">
        <f>IF(AND(Input_Product=Elig!$C551,Elig_MatchAll_Ct&lt;22,$BC551=(Elig_MatchAll_Ct-1),BA551=0),AE551,0)</f>
        <v>0</v>
      </c>
    </row>
    <row r="552" spans="2:88" ht="10.15" customHeight="1" x14ac:dyDescent="0.25">
      <c r="B552" s="287" t="s">
        <v>4110</v>
      </c>
      <c r="C552" s="281" t="str">
        <f t="shared" si="241"/>
        <v>NonQM NOO</v>
      </c>
      <c r="D552" s="282" t="s">
        <v>3885</v>
      </c>
      <c r="E552" s="283" t="s">
        <v>167</v>
      </c>
      <c r="F552" s="283" t="s">
        <v>330</v>
      </c>
      <c r="G552" s="2103" t="s">
        <v>304</v>
      </c>
      <c r="H552" s="283" t="s">
        <v>446</v>
      </c>
      <c r="I552" s="282" t="s">
        <v>16</v>
      </c>
      <c r="J552" s="282" t="s">
        <v>1311</v>
      </c>
      <c r="K552" s="282" t="s">
        <v>1631</v>
      </c>
      <c r="L552" s="2103" t="s">
        <v>312</v>
      </c>
      <c r="M552" s="283" t="s">
        <v>4203</v>
      </c>
      <c r="N552" s="283" t="s">
        <v>2685</v>
      </c>
      <c r="O552" s="283" t="s">
        <v>310</v>
      </c>
      <c r="P552" s="283" t="s">
        <v>291</v>
      </c>
      <c r="Q552" s="283" t="s">
        <v>294</v>
      </c>
      <c r="R552" s="323">
        <v>2500000.0099999998</v>
      </c>
      <c r="S552" s="282">
        <v>3000000</v>
      </c>
      <c r="T552" s="282">
        <v>0</v>
      </c>
      <c r="U552" s="282">
        <f t="shared" ref="U552:U554" si="247">S552</f>
        <v>3000000</v>
      </c>
      <c r="V552" s="282">
        <v>0</v>
      </c>
      <c r="W552" s="282">
        <v>50</v>
      </c>
      <c r="X552" s="282">
        <v>0</v>
      </c>
      <c r="Y552" s="282">
        <v>999</v>
      </c>
      <c r="Z552" s="284">
        <v>720</v>
      </c>
      <c r="AA552" s="284">
        <v>999</v>
      </c>
      <c r="AB552" s="284">
        <v>9</v>
      </c>
      <c r="AC552" s="284">
        <v>999999</v>
      </c>
      <c r="AD552" s="282">
        <v>0</v>
      </c>
      <c r="AE552" s="2104">
        <v>65</v>
      </c>
      <c r="AF552" s="170">
        <v>0</v>
      </c>
      <c r="AG552" s="171">
        <v>1</v>
      </c>
      <c r="AH552" s="171">
        <v>1</v>
      </c>
      <c r="AI552" s="171">
        <v>0</v>
      </c>
      <c r="AJ552" s="171">
        <v>0</v>
      </c>
      <c r="AK552" s="171">
        <v>0</v>
      </c>
      <c r="AL552" s="171">
        <v>1</v>
      </c>
      <c r="AM552" s="171">
        <v>1</v>
      </c>
      <c r="AN552" s="171">
        <v>1</v>
      </c>
      <c r="AO552" s="171">
        <v>1</v>
      </c>
      <c r="AP552" s="171">
        <v>1</v>
      </c>
      <c r="AQ552" s="171">
        <v>1</v>
      </c>
      <c r="AR552" s="171">
        <v>1</v>
      </c>
      <c r="AS552" s="171">
        <v>1</v>
      </c>
      <c r="AT552" s="171">
        <v>1</v>
      </c>
      <c r="AU552" s="171">
        <f t="shared" si="183"/>
        <v>0</v>
      </c>
      <c r="AV552" s="171">
        <f t="shared" si="184"/>
        <v>1</v>
      </c>
      <c r="AW552" s="171">
        <f t="shared" si="185"/>
        <v>1</v>
      </c>
      <c r="AX552" s="171">
        <f t="shared" si="197"/>
        <v>1</v>
      </c>
      <c r="AY552" s="171">
        <f t="shared" si="186"/>
        <v>1</v>
      </c>
      <c r="AZ552" s="171">
        <f t="shared" si="187"/>
        <v>1</v>
      </c>
      <c r="BA552" s="172">
        <f t="shared" si="188"/>
        <v>1</v>
      </c>
      <c r="BB552" s="175">
        <f t="shared" si="243"/>
        <v>17</v>
      </c>
      <c r="BC552" s="176">
        <f t="shared" si="244"/>
        <v>16</v>
      </c>
      <c r="BD552" s="176">
        <f t="shared" si="245"/>
        <v>17</v>
      </c>
      <c r="BE552" s="240" t="str">
        <f t="shared" si="215"/>
        <v/>
      </c>
      <c r="BH552" s="210">
        <f>IF(AND(Input_Product=Elig!$C552,Elig_MatchAll_Ct&lt;22,$BC552=(Elig_MatchAll_Ct-1),AF552=0),C552,0)</f>
        <v>0</v>
      </c>
      <c r="BI552" s="210">
        <f>IF(AND(Input_Product=Elig!$C552,Elig_MatchAll_Ct&lt;22,$BC552=(Elig_MatchAll_Ct-1),AG552=0),D552,0)</f>
        <v>0</v>
      </c>
      <c r="BJ552" s="210">
        <f>IF(AND(Input_Product=Elig!$C552,Elig_MatchAll_Ct&lt;22,$BC552=(Elig_MatchAll_Ct-1),AH552=0),E552,0)</f>
        <v>0</v>
      </c>
      <c r="BK552" s="210">
        <f>IF(AND(Input_Product=Elig!$C552,Elig_MatchAll_Ct&lt;22,$BC552=(Elig_MatchAll_Ct-1),AI552=0),F552,0)</f>
        <v>0</v>
      </c>
      <c r="BL552" s="210">
        <f>IF(AND(Input_Product=Elig!$C552,Elig_MatchAll_Ct&lt;22,$BC552=(Elig_MatchAll_Ct-1),AJ552=0),G552,0)</f>
        <v>0</v>
      </c>
      <c r="BM552" s="210">
        <f>IF(AND(Input_Product=Elig!$C552,Elig_MatchAll_Ct&lt;22,$BC552=(Elig_MatchAll_Ct-1),AK552=0),H552,0)</f>
        <v>0</v>
      </c>
      <c r="BN552" s="210">
        <f>IF(AND(Input_Product=Elig!$C552,Elig_MatchAll_Ct&lt;22,$BC552=(Elig_MatchAll_Ct-1),AL552=0),I552,0)</f>
        <v>0</v>
      </c>
      <c r="BO552" s="210">
        <f>IF(AND(Input_Product=Elig!$C552,Elig_MatchAll_Ct&lt;22,$BC552=(Elig_MatchAll_Ct-1),AM552=0),J552,0)</f>
        <v>0</v>
      </c>
      <c r="BP552" s="210">
        <f>IF(AND(Input_Product=Elig!$C552,Elig_MatchAll_Ct&lt;22,$BC552=(Elig_MatchAll_Ct-1),AN552=0),K552,0)</f>
        <v>0</v>
      </c>
      <c r="BQ552" s="210">
        <f>IF(AND(Input_Product=Elig!$C552,Elig_MatchAll_Ct&lt;22,$BC552=(Elig_MatchAll_Ct-1),AP552=0),L552,0)</f>
        <v>0</v>
      </c>
      <c r="BR552" s="210">
        <f>IF(AND(Input_Product=Elig!$C552,Elig_MatchAll_Ct&lt;22,$BC552=(Elig_MatchAll_Ct-1),AO552=0),M552,0)</f>
        <v>0</v>
      </c>
      <c r="BS552" s="210">
        <f>IF(AND(Input_Product=Elig!$C552,Elig_MatchAll_Ct&lt;22,$BC552=(Elig_MatchAll_Ct-1),AQ552=0),N552,0)</f>
        <v>0</v>
      </c>
      <c r="BT552" s="210">
        <f>IF(AND(Input_Product=Elig!$C552,Elig_MatchAll_Ct&lt;22,$BC552=(Elig_MatchAll_Ct-1),AR552=0),O552,0)</f>
        <v>0</v>
      </c>
      <c r="BU552" s="210">
        <f>IF(AND(Input_Product=Elig!$C552,Elig_MatchAll_Ct&lt;22,$BC552=(Elig_MatchAll_Ct-1),AS552=0),P552,0)</f>
        <v>0</v>
      </c>
      <c r="BV552" s="211">
        <f>IF(AND(Input_Product=Elig!$C552,Elig_MatchAll_Ct&lt;22,$BC552=(Elig_MatchAll_Ct-1),AT552=0),Q552,0)</f>
        <v>0</v>
      </c>
      <c r="BW552" s="212">
        <f>IF(AND(Input_Product=Elig!$C552,Elig_MatchAll_Ct&lt;22,$BC552=(Elig_MatchAll_Ct-1),AU552=0),R552,0)</f>
        <v>0</v>
      </c>
      <c r="BX552" s="213">
        <f>IF(AND(Input_Product=Elig!$C552,Elig_MatchAll_Ct&lt;22,$BC552=(Elig_MatchAll_Ct-1),AU552=0),S552,0)</f>
        <v>0</v>
      </c>
      <c r="BY552" s="212">
        <f>IF(AND(Input_Product=Elig!$C552,Elig_MatchAll_Ct&lt;22,$BC552=(Elig_MatchAll_Ct-1),AV552=0),T552,0)</f>
        <v>0</v>
      </c>
      <c r="BZ552" s="213">
        <f>IF(AND(Input_Product=Elig!$C552,Elig_MatchAll_Ct&lt;22,$BC552=(Elig_MatchAll_Ct-1),AV552=0),U552,0)</f>
        <v>0</v>
      </c>
      <c r="CA552" s="212">
        <f>IF(AND(Input_Product=Elig!$C552,Elig_MatchAll_Ct&lt;22,$BC552=(Elig_MatchAll_Ct-1),AW552=0),V552,0)</f>
        <v>0</v>
      </c>
      <c r="CB552" s="213">
        <f>IF(AND(Input_Product=Elig!$C552,Elig_MatchAll_Ct&lt;22,$BC552=(Elig_MatchAll_Ct-1),AW552=0),W552,0)</f>
        <v>0</v>
      </c>
      <c r="CC552" s="212">
        <f>IF(AND(Input_Product=Elig!$C552,Elig_MatchAll_Ct&lt;22,$BC552=(Elig_MatchAll_Ct-1),AX552=0),X552,0)</f>
        <v>0</v>
      </c>
      <c r="CD552" s="213">
        <f>IF(AND(Input_Product=Elig!$C552,Elig_MatchAll_Ct&lt;22,$BC552=(Elig_MatchAll_Ct-1),AX552=0),Y552,0)</f>
        <v>0</v>
      </c>
      <c r="CE552" s="212">
        <f>IF(AND(Input_LTV&lt;=AE552,Input_Product=Elig!$C552,Elig_MatchAll_Ct&lt;22,$BC552=(Elig_MatchAll_Ct-1),AY552=0),Z552,0)</f>
        <v>0</v>
      </c>
      <c r="CF552" s="213">
        <f>IF(AND(Input_LTV&lt;=AE552,Input_Product=Elig!$C552,Elig_MatchAll_Ct&lt;22,$BC552=(Elig_MatchAll_Ct-1),AY552=0),AA552,0)</f>
        <v>0</v>
      </c>
      <c r="CG552" s="212">
        <f>IF(AND(Input_Product=Elig!$C552,Elig_MatchAll_Ct&lt;22,$BC552=(Elig_MatchAll_Ct-1),AZ552=0),AB552,0)</f>
        <v>0</v>
      </c>
      <c r="CH552" s="213">
        <f>IF(AND(Input_Product=Elig!$C552,Elig_MatchAll_Ct&lt;22,$BC552=(Elig_MatchAll_Ct-1),AZ552=0),AC552,0)</f>
        <v>0</v>
      </c>
      <c r="CI552" s="212">
        <f>IF(AND(Input_Product=Elig!$C552,Elig_MatchAll_Ct&lt;22,$BC552=(Elig_MatchAll_Ct-1),BA552=0),AD552,0)</f>
        <v>0</v>
      </c>
      <c r="CJ552" s="213">
        <f>IF(AND(Input_Product=Elig!$C552,Elig_MatchAll_Ct&lt;22,$BC552=(Elig_MatchAll_Ct-1),BA552=0),AE552,0)</f>
        <v>0</v>
      </c>
    </row>
    <row r="553" spans="2:88" ht="10.15" customHeight="1" x14ac:dyDescent="0.25">
      <c r="B553" s="287" t="s">
        <v>4111</v>
      </c>
      <c r="C553" s="286" t="str">
        <f t="shared" si="241"/>
        <v>NonQM NOO</v>
      </c>
      <c r="D553" s="287" t="s">
        <v>3885</v>
      </c>
      <c r="E553" s="287" t="s">
        <v>167</v>
      </c>
      <c r="F553" s="287" t="s">
        <v>330</v>
      </c>
      <c r="G553" s="300" t="s">
        <v>304</v>
      </c>
      <c r="H553" s="287" t="s">
        <v>446</v>
      </c>
      <c r="I553" s="288" t="s">
        <v>16</v>
      </c>
      <c r="J553" s="288" t="s">
        <v>1311</v>
      </c>
      <c r="K553" s="288" t="s">
        <v>1631</v>
      </c>
      <c r="L553" s="300" t="s">
        <v>312</v>
      </c>
      <c r="M553" s="287" t="s">
        <v>4203</v>
      </c>
      <c r="N553" s="287" t="s">
        <v>2685</v>
      </c>
      <c r="O553" s="287" t="s">
        <v>310</v>
      </c>
      <c r="P553" s="287" t="s">
        <v>291</v>
      </c>
      <c r="Q553" s="287" t="s">
        <v>294</v>
      </c>
      <c r="R553" s="300">
        <v>2500000.0099999998</v>
      </c>
      <c r="S553" s="287">
        <v>3000000</v>
      </c>
      <c r="T553" s="287">
        <v>0</v>
      </c>
      <c r="U553" s="287">
        <f t="shared" si="247"/>
        <v>3000000</v>
      </c>
      <c r="V553" s="287">
        <v>0</v>
      </c>
      <c r="W553" s="287">
        <v>50</v>
      </c>
      <c r="X553" s="287">
        <v>0</v>
      </c>
      <c r="Y553" s="287">
        <v>999</v>
      </c>
      <c r="Z553" s="289">
        <v>700</v>
      </c>
      <c r="AA553" s="289">
        <v>719</v>
      </c>
      <c r="AB553" s="289">
        <v>9</v>
      </c>
      <c r="AC553" s="289">
        <v>999999</v>
      </c>
      <c r="AD553" s="287">
        <v>0</v>
      </c>
      <c r="AE553" s="290">
        <v>60</v>
      </c>
      <c r="AF553" s="170">
        <v>0</v>
      </c>
      <c r="AG553" s="171">
        <v>1</v>
      </c>
      <c r="AH553" s="171">
        <v>1</v>
      </c>
      <c r="AI553" s="171">
        <v>0</v>
      </c>
      <c r="AJ553" s="171">
        <v>0</v>
      </c>
      <c r="AK553" s="171">
        <v>0</v>
      </c>
      <c r="AL553" s="171">
        <v>1</v>
      </c>
      <c r="AM553" s="171">
        <v>1</v>
      </c>
      <c r="AN553" s="171">
        <v>1</v>
      </c>
      <c r="AO553" s="171">
        <v>1</v>
      </c>
      <c r="AP553" s="171">
        <v>1</v>
      </c>
      <c r="AQ553" s="171">
        <v>1</v>
      </c>
      <c r="AR553" s="171">
        <v>1</v>
      </c>
      <c r="AS553" s="171">
        <v>1</v>
      </c>
      <c r="AT553" s="171">
        <v>1</v>
      </c>
      <c r="AU553" s="171">
        <f t="shared" si="183"/>
        <v>0</v>
      </c>
      <c r="AV553" s="171">
        <f t="shared" si="184"/>
        <v>1</v>
      </c>
      <c r="AW553" s="171">
        <f t="shared" si="185"/>
        <v>1</v>
      </c>
      <c r="AX553" s="171">
        <f t="shared" si="197"/>
        <v>1</v>
      </c>
      <c r="AY553" s="171">
        <f t="shared" si="186"/>
        <v>0</v>
      </c>
      <c r="AZ553" s="171">
        <f t="shared" si="187"/>
        <v>1</v>
      </c>
      <c r="BA553" s="172">
        <f t="shared" si="188"/>
        <v>0</v>
      </c>
      <c r="BB553" s="175">
        <f t="shared" si="243"/>
        <v>15</v>
      </c>
      <c r="BC553" s="176">
        <f t="shared" si="244"/>
        <v>15</v>
      </c>
      <c r="BD553" s="176">
        <f t="shared" si="245"/>
        <v>15</v>
      </c>
      <c r="BE553" s="240" t="str">
        <f t="shared" si="215"/>
        <v/>
      </c>
      <c r="BH553" s="199">
        <f>IF(AND(Input_Product=Elig!$C553,Elig_MatchAll_Ct&lt;22,$BC553=(Elig_MatchAll_Ct-1),AF553=0),C553,0)</f>
        <v>0</v>
      </c>
      <c r="BI553" s="199">
        <f>IF(AND(Input_Product=Elig!$C553,Elig_MatchAll_Ct&lt;22,$BC553=(Elig_MatchAll_Ct-1),AG553=0),D553,0)</f>
        <v>0</v>
      </c>
      <c r="BJ553" s="199">
        <f>IF(AND(Input_Product=Elig!$C553,Elig_MatchAll_Ct&lt;22,$BC553=(Elig_MatchAll_Ct-1),AH553=0),E553,0)</f>
        <v>0</v>
      </c>
      <c r="BK553" s="199">
        <f>IF(AND(Input_Product=Elig!$C553,Elig_MatchAll_Ct&lt;22,$BC553=(Elig_MatchAll_Ct-1),AI553=0),F553,0)</f>
        <v>0</v>
      </c>
      <c r="BL553" s="199">
        <f>IF(AND(Input_Product=Elig!$C553,Elig_MatchAll_Ct&lt;22,$BC553=(Elig_MatchAll_Ct-1),AJ553=0),G553,0)</f>
        <v>0</v>
      </c>
      <c r="BM553" s="199">
        <f>IF(AND(Input_Product=Elig!$C553,Elig_MatchAll_Ct&lt;22,$BC553=(Elig_MatchAll_Ct-1),AK553=0),H553,0)</f>
        <v>0</v>
      </c>
      <c r="BN553" s="199">
        <f>IF(AND(Input_Product=Elig!$C553,Elig_MatchAll_Ct&lt;22,$BC553=(Elig_MatchAll_Ct-1),AL553=0),I553,0)</f>
        <v>0</v>
      </c>
      <c r="BO553" s="199">
        <f>IF(AND(Input_Product=Elig!$C553,Elig_MatchAll_Ct&lt;22,$BC553=(Elig_MatchAll_Ct-1),AM553=0),J553,0)</f>
        <v>0</v>
      </c>
      <c r="BP553" s="199">
        <f>IF(AND(Input_Product=Elig!$C553,Elig_MatchAll_Ct&lt;22,$BC553=(Elig_MatchAll_Ct-1),AN553=0),K553,0)</f>
        <v>0</v>
      </c>
      <c r="BQ553" s="199">
        <f>IF(AND(Input_Product=Elig!$C553,Elig_MatchAll_Ct&lt;22,$BC553=(Elig_MatchAll_Ct-1),AP553=0),L553,0)</f>
        <v>0</v>
      </c>
      <c r="BR553" s="199">
        <f>IF(AND(Input_Product=Elig!$C553,Elig_MatchAll_Ct&lt;22,$BC553=(Elig_MatchAll_Ct-1),AO553=0),M553,0)</f>
        <v>0</v>
      </c>
      <c r="BS553" s="199">
        <f>IF(AND(Input_Product=Elig!$C553,Elig_MatchAll_Ct&lt;22,$BC553=(Elig_MatchAll_Ct-1),AQ553=0),N553,0)</f>
        <v>0</v>
      </c>
      <c r="BT553" s="199">
        <f>IF(AND(Input_Product=Elig!$C553,Elig_MatchAll_Ct&lt;22,$BC553=(Elig_MatchAll_Ct-1),AR553=0),O553,0)</f>
        <v>0</v>
      </c>
      <c r="BU553" s="199">
        <f>IF(AND(Input_Product=Elig!$C553,Elig_MatchAll_Ct&lt;22,$BC553=(Elig_MatchAll_Ct-1),AS553=0),P553,0)</f>
        <v>0</v>
      </c>
      <c r="BV553" s="200">
        <f>IF(AND(Input_Product=Elig!$C553,Elig_MatchAll_Ct&lt;22,$BC553=(Elig_MatchAll_Ct-1),AT553=0),Q553,0)</f>
        <v>0</v>
      </c>
      <c r="BW553" s="201">
        <f>IF(AND(Input_Product=Elig!$C553,Elig_MatchAll_Ct&lt;22,$BC553=(Elig_MatchAll_Ct-1),AU553=0),R553,0)</f>
        <v>0</v>
      </c>
      <c r="BX553" s="202">
        <f>IF(AND(Input_Product=Elig!$C553,Elig_MatchAll_Ct&lt;22,$BC553=(Elig_MatchAll_Ct-1),AU553=0),S553,0)</f>
        <v>0</v>
      </c>
      <c r="BY553" s="201">
        <f>IF(AND(Input_Product=Elig!$C553,Elig_MatchAll_Ct&lt;22,$BC553=(Elig_MatchAll_Ct-1),AV553=0),T553,0)</f>
        <v>0</v>
      </c>
      <c r="BZ553" s="202">
        <f>IF(AND(Input_Product=Elig!$C553,Elig_MatchAll_Ct&lt;22,$BC553=(Elig_MatchAll_Ct-1),AV553=0),U553,0)</f>
        <v>0</v>
      </c>
      <c r="CA553" s="201">
        <f>IF(AND(Input_Product=Elig!$C553,Elig_MatchAll_Ct&lt;22,$BC553=(Elig_MatchAll_Ct-1),AW553=0),V553,0)</f>
        <v>0</v>
      </c>
      <c r="CB553" s="202">
        <f>IF(AND(Input_Product=Elig!$C553,Elig_MatchAll_Ct&lt;22,$BC553=(Elig_MatchAll_Ct-1),AW553=0),W553,0)</f>
        <v>0</v>
      </c>
      <c r="CC553" s="201">
        <f>IF(AND(Input_Product=Elig!$C553,Elig_MatchAll_Ct&lt;22,$BC553=(Elig_MatchAll_Ct-1),AX553=0),X553,0)</f>
        <v>0</v>
      </c>
      <c r="CD553" s="202">
        <f>IF(AND(Input_Product=Elig!$C553,Elig_MatchAll_Ct&lt;22,$BC553=(Elig_MatchAll_Ct-1),AX553=0),Y553,0)</f>
        <v>0</v>
      </c>
      <c r="CE553" s="201">
        <f>IF(AND(Input_LTV&lt;=AE553,Input_Product=Elig!$C553,Elig_MatchAll_Ct&lt;22,$BC553=(Elig_MatchAll_Ct-1),AY553=0),Z553,0)</f>
        <v>0</v>
      </c>
      <c r="CF553" s="202">
        <f>IF(AND(Input_LTV&lt;=AE553,Input_Product=Elig!$C553,Elig_MatchAll_Ct&lt;22,$BC553=(Elig_MatchAll_Ct-1),AY553=0),AA553,0)</f>
        <v>0</v>
      </c>
      <c r="CG553" s="201">
        <f>IF(AND(Input_Product=Elig!$C553,Elig_MatchAll_Ct&lt;22,$BC553=(Elig_MatchAll_Ct-1),AZ553=0),AB553,0)</f>
        <v>0</v>
      </c>
      <c r="CH553" s="202">
        <f>IF(AND(Input_Product=Elig!$C553,Elig_MatchAll_Ct&lt;22,$BC553=(Elig_MatchAll_Ct-1),AZ553=0),AC553,0)</f>
        <v>0</v>
      </c>
      <c r="CI553" s="201">
        <f>IF(AND(Input_Product=Elig!$C553,Elig_MatchAll_Ct&lt;22,$BC553=(Elig_MatchAll_Ct-1),BA553=0),AD553,0)</f>
        <v>0</v>
      </c>
      <c r="CJ553" s="202">
        <f>IF(AND(Input_Product=Elig!$C553,Elig_MatchAll_Ct&lt;22,$BC553=(Elig_MatchAll_Ct-1),BA553=0),AE553,0)</f>
        <v>0</v>
      </c>
    </row>
    <row r="554" spans="2:88" ht="10.15" customHeight="1" x14ac:dyDescent="0.25">
      <c r="B554" s="287" t="s">
        <v>4112</v>
      </c>
      <c r="C554" s="291" t="str">
        <f t="shared" si="241"/>
        <v>NonQM NOO</v>
      </c>
      <c r="D554" s="292" t="s">
        <v>3885</v>
      </c>
      <c r="E554" s="292" t="s">
        <v>167</v>
      </c>
      <c r="F554" s="292" t="s">
        <v>330</v>
      </c>
      <c r="G554" s="324" t="s">
        <v>304</v>
      </c>
      <c r="H554" s="292" t="s">
        <v>446</v>
      </c>
      <c r="I554" s="295" t="s">
        <v>16</v>
      </c>
      <c r="J554" s="295" t="s">
        <v>1311</v>
      </c>
      <c r="K554" s="295" t="s">
        <v>1631</v>
      </c>
      <c r="L554" s="324" t="s">
        <v>312</v>
      </c>
      <c r="M554" s="292" t="s">
        <v>4203</v>
      </c>
      <c r="N554" s="292" t="s">
        <v>2685</v>
      </c>
      <c r="O554" s="292" t="s">
        <v>310</v>
      </c>
      <c r="P554" s="292" t="s">
        <v>291</v>
      </c>
      <c r="Q554" s="292" t="s">
        <v>294</v>
      </c>
      <c r="R554" s="324">
        <v>2500000.0099999998</v>
      </c>
      <c r="S554" s="292">
        <v>3000000</v>
      </c>
      <c r="T554" s="292">
        <v>0</v>
      </c>
      <c r="U554" s="292">
        <f t="shared" si="247"/>
        <v>3000000</v>
      </c>
      <c r="V554" s="292">
        <v>0</v>
      </c>
      <c r="W554" s="292">
        <v>50</v>
      </c>
      <c r="X554" s="292">
        <v>0</v>
      </c>
      <c r="Y554" s="292">
        <v>999</v>
      </c>
      <c r="Z554" s="293">
        <v>680</v>
      </c>
      <c r="AA554" s="293">
        <v>699</v>
      </c>
      <c r="AB554" s="293">
        <v>9</v>
      </c>
      <c r="AC554" s="293">
        <v>999999</v>
      </c>
      <c r="AD554" s="292">
        <v>0</v>
      </c>
      <c r="AE554" s="294">
        <v>60</v>
      </c>
      <c r="AF554" s="170">
        <v>0</v>
      </c>
      <c r="AG554" s="171">
        <v>1</v>
      </c>
      <c r="AH554" s="171">
        <v>1</v>
      </c>
      <c r="AI554" s="171">
        <v>0</v>
      </c>
      <c r="AJ554" s="171">
        <v>0</v>
      </c>
      <c r="AK554" s="171">
        <v>0</v>
      </c>
      <c r="AL554" s="171">
        <v>1</v>
      </c>
      <c r="AM554" s="171">
        <v>1</v>
      </c>
      <c r="AN554" s="171">
        <v>1</v>
      </c>
      <c r="AO554" s="171">
        <v>1</v>
      </c>
      <c r="AP554" s="171">
        <v>1</v>
      </c>
      <c r="AQ554" s="171">
        <v>1</v>
      </c>
      <c r="AR554" s="171">
        <v>1</v>
      </c>
      <c r="AS554" s="171">
        <v>1</v>
      </c>
      <c r="AT554" s="171">
        <v>1</v>
      </c>
      <c r="AU554" s="171">
        <f t="shared" si="183"/>
        <v>0</v>
      </c>
      <c r="AV554" s="171">
        <f t="shared" si="184"/>
        <v>1</v>
      </c>
      <c r="AW554" s="171">
        <f t="shared" si="185"/>
        <v>1</v>
      </c>
      <c r="AX554" s="171">
        <f t="shared" si="197"/>
        <v>1</v>
      </c>
      <c r="AY554" s="171">
        <f t="shared" si="186"/>
        <v>0</v>
      </c>
      <c r="AZ554" s="171">
        <f t="shared" si="187"/>
        <v>1</v>
      </c>
      <c r="BA554" s="172">
        <f t="shared" si="188"/>
        <v>0</v>
      </c>
      <c r="BB554" s="175">
        <f t="shared" si="243"/>
        <v>15</v>
      </c>
      <c r="BC554" s="176">
        <f t="shared" si="244"/>
        <v>15</v>
      </c>
      <c r="BD554" s="176">
        <f t="shared" si="245"/>
        <v>15</v>
      </c>
      <c r="BE554" s="240" t="str">
        <f t="shared" si="215"/>
        <v/>
      </c>
      <c r="BH554" s="214">
        <f>IF(AND(Input_Product=Elig!$C554,Elig_MatchAll_Ct&lt;22,$BC554=(Elig_MatchAll_Ct-1),AF554=0),C554,0)</f>
        <v>0</v>
      </c>
      <c r="BI554" s="214">
        <f>IF(AND(Input_Product=Elig!$C554,Elig_MatchAll_Ct&lt;22,$BC554=(Elig_MatchAll_Ct-1),AG554=0),D554,0)</f>
        <v>0</v>
      </c>
      <c r="BJ554" s="214">
        <f>IF(AND(Input_Product=Elig!$C554,Elig_MatchAll_Ct&lt;22,$BC554=(Elig_MatchAll_Ct-1),AH554=0),E554,0)</f>
        <v>0</v>
      </c>
      <c r="BK554" s="214">
        <f>IF(AND(Input_Product=Elig!$C554,Elig_MatchAll_Ct&lt;22,$BC554=(Elig_MatchAll_Ct-1),AI554=0),F554,0)</f>
        <v>0</v>
      </c>
      <c r="BL554" s="214">
        <f>IF(AND(Input_Product=Elig!$C554,Elig_MatchAll_Ct&lt;22,$BC554=(Elig_MatchAll_Ct-1),AJ554=0),G554,0)</f>
        <v>0</v>
      </c>
      <c r="BM554" s="214">
        <f>IF(AND(Input_Product=Elig!$C554,Elig_MatchAll_Ct&lt;22,$BC554=(Elig_MatchAll_Ct-1),AK554=0),H554,0)</f>
        <v>0</v>
      </c>
      <c r="BN554" s="214">
        <f>IF(AND(Input_Product=Elig!$C554,Elig_MatchAll_Ct&lt;22,$BC554=(Elig_MatchAll_Ct-1),AL554=0),I554,0)</f>
        <v>0</v>
      </c>
      <c r="BO554" s="214">
        <f>IF(AND(Input_Product=Elig!$C554,Elig_MatchAll_Ct&lt;22,$BC554=(Elig_MatchAll_Ct-1),AM554=0),J554,0)</f>
        <v>0</v>
      </c>
      <c r="BP554" s="214">
        <f>IF(AND(Input_Product=Elig!$C554,Elig_MatchAll_Ct&lt;22,$BC554=(Elig_MatchAll_Ct-1),AN554=0),K554,0)</f>
        <v>0</v>
      </c>
      <c r="BQ554" s="214">
        <f>IF(AND(Input_Product=Elig!$C554,Elig_MatchAll_Ct&lt;22,$BC554=(Elig_MatchAll_Ct-1),AP554=0),L554,0)</f>
        <v>0</v>
      </c>
      <c r="BR554" s="214">
        <f>IF(AND(Input_Product=Elig!$C554,Elig_MatchAll_Ct&lt;22,$BC554=(Elig_MatchAll_Ct-1),AO554=0),M554,0)</f>
        <v>0</v>
      </c>
      <c r="BS554" s="214">
        <f>IF(AND(Input_Product=Elig!$C554,Elig_MatchAll_Ct&lt;22,$BC554=(Elig_MatchAll_Ct-1),AQ554=0),N554,0)</f>
        <v>0</v>
      </c>
      <c r="BT554" s="214">
        <f>IF(AND(Input_Product=Elig!$C554,Elig_MatchAll_Ct&lt;22,$BC554=(Elig_MatchAll_Ct-1),AR554=0),O554,0)</f>
        <v>0</v>
      </c>
      <c r="BU554" s="214">
        <f>IF(AND(Input_Product=Elig!$C554,Elig_MatchAll_Ct&lt;22,$BC554=(Elig_MatchAll_Ct-1),AS554=0),P554,0)</f>
        <v>0</v>
      </c>
      <c r="BV554" s="215">
        <f>IF(AND(Input_Product=Elig!$C554,Elig_MatchAll_Ct&lt;22,$BC554=(Elig_MatchAll_Ct-1),AT554=0),Q554,0)</f>
        <v>0</v>
      </c>
      <c r="BW554" s="311">
        <f>IF(AND(Input_Product=Elig!$C554,Elig_MatchAll_Ct&lt;22,$BC554=(Elig_MatchAll_Ct-1),AU554=0),R554,0)</f>
        <v>0</v>
      </c>
      <c r="BX554" s="312">
        <f>IF(AND(Input_Product=Elig!$C554,Elig_MatchAll_Ct&lt;22,$BC554=(Elig_MatchAll_Ct-1),AU554=0),S554,0)</f>
        <v>0</v>
      </c>
      <c r="BY554" s="311">
        <f>IF(AND(Input_Product=Elig!$C554,Elig_MatchAll_Ct&lt;22,$BC554=(Elig_MatchAll_Ct-1),AV554=0),T554,0)</f>
        <v>0</v>
      </c>
      <c r="BZ554" s="312">
        <f>IF(AND(Input_Product=Elig!$C554,Elig_MatchAll_Ct&lt;22,$BC554=(Elig_MatchAll_Ct-1),AV554=0),U554,0)</f>
        <v>0</v>
      </c>
      <c r="CA554" s="311">
        <f>IF(AND(Input_Product=Elig!$C554,Elig_MatchAll_Ct&lt;22,$BC554=(Elig_MatchAll_Ct-1),AW554=0),V554,0)</f>
        <v>0</v>
      </c>
      <c r="CB554" s="312">
        <f>IF(AND(Input_Product=Elig!$C554,Elig_MatchAll_Ct&lt;22,$BC554=(Elig_MatchAll_Ct-1),AW554=0),W554,0)</f>
        <v>0</v>
      </c>
      <c r="CC554" s="311">
        <f>IF(AND(Input_Product=Elig!$C554,Elig_MatchAll_Ct&lt;22,$BC554=(Elig_MatchAll_Ct-1),AX554=0),X554,0)</f>
        <v>0</v>
      </c>
      <c r="CD554" s="312">
        <f>IF(AND(Input_Product=Elig!$C554,Elig_MatchAll_Ct&lt;22,$BC554=(Elig_MatchAll_Ct-1),AX554=0),Y554,0)</f>
        <v>0</v>
      </c>
      <c r="CE554" s="311">
        <f>IF(AND(Input_LTV&lt;=AE554,Input_Product=Elig!$C554,Elig_MatchAll_Ct&lt;22,$BC554=(Elig_MatchAll_Ct-1),AY554=0),Z554,0)</f>
        <v>0</v>
      </c>
      <c r="CF554" s="312">
        <f>IF(AND(Input_LTV&lt;=AE554,Input_Product=Elig!$C554,Elig_MatchAll_Ct&lt;22,$BC554=(Elig_MatchAll_Ct-1),AY554=0),AA554,0)</f>
        <v>0</v>
      </c>
      <c r="CG554" s="311">
        <f>IF(AND(Input_Product=Elig!$C554,Elig_MatchAll_Ct&lt;22,$BC554=(Elig_MatchAll_Ct-1),AZ554=0),AB554,0)</f>
        <v>0</v>
      </c>
      <c r="CH554" s="312">
        <f>IF(AND(Input_Product=Elig!$C554,Elig_MatchAll_Ct&lt;22,$BC554=(Elig_MatchAll_Ct-1),AZ554=0),AC554,0)</f>
        <v>0</v>
      </c>
      <c r="CI554" s="311">
        <f>IF(AND(Input_Product=Elig!$C554,Elig_MatchAll_Ct&lt;22,$BC554=(Elig_MatchAll_Ct-1),BA554=0),AD554,0)</f>
        <v>0</v>
      </c>
      <c r="CJ554" s="312">
        <f>IF(AND(Input_Product=Elig!$C554,Elig_MatchAll_Ct&lt;22,$BC554=(Elig_MatchAll_Ct-1),BA554=0),AE554,0)</f>
        <v>0</v>
      </c>
    </row>
    <row r="555" spans="2:88" ht="10.15" customHeight="1" x14ac:dyDescent="0.25">
      <c r="B555" s="287" t="s">
        <v>4113</v>
      </c>
      <c r="C555" s="281" t="str">
        <f t="shared" si="241"/>
        <v>NonQM NOO</v>
      </c>
      <c r="D555" s="282" t="s">
        <v>3885</v>
      </c>
      <c r="E555" s="283" t="s">
        <v>167</v>
      </c>
      <c r="F555" s="283" t="s">
        <v>330</v>
      </c>
      <c r="G555" s="2103" t="s">
        <v>468</v>
      </c>
      <c r="H555" s="283" t="s">
        <v>136</v>
      </c>
      <c r="I555" s="282" t="s">
        <v>274</v>
      </c>
      <c r="J555" s="282" t="s">
        <v>1311</v>
      </c>
      <c r="K555" s="282" t="s">
        <v>1631</v>
      </c>
      <c r="L555" s="2103" t="s">
        <v>312</v>
      </c>
      <c r="M555" s="283" t="s">
        <v>4203</v>
      </c>
      <c r="N555" s="283" t="s">
        <v>2685</v>
      </c>
      <c r="O555" s="283" t="s">
        <v>310</v>
      </c>
      <c r="P555" s="283" t="s">
        <v>291</v>
      </c>
      <c r="Q555" s="283" t="s">
        <v>294</v>
      </c>
      <c r="R555" s="323">
        <v>2500000.0099999998</v>
      </c>
      <c r="S555" s="282">
        <v>3000000</v>
      </c>
      <c r="T555" s="282">
        <v>0</v>
      </c>
      <c r="U555" s="282">
        <v>0</v>
      </c>
      <c r="V555" s="282">
        <v>0</v>
      </c>
      <c r="W555" s="282">
        <v>50</v>
      </c>
      <c r="X555" s="282">
        <v>0</v>
      </c>
      <c r="Y555" s="282">
        <v>999</v>
      </c>
      <c r="Z555" s="284">
        <v>720</v>
      </c>
      <c r="AA555" s="284">
        <v>999</v>
      </c>
      <c r="AB555" s="284">
        <v>9</v>
      </c>
      <c r="AC555" s="284">
        <v>999999</v>
      </c>
      <c r="AD555" s="282">
        <v>0</v>
      </c>
      <c r="AE555" s="2104">
        <v>75</v>
      </c>
      <c r="AF555" s="170">
        <v>0</v>
      </c>
      <c r="AG555" s="171">
        <v>1</v>
      </c>
      <c r="AH555" s="171">
        <v>1</v>
      </c>
      <c r="AI555" s="171">
        <v>0</v>
      </c>
      <c r="AJ555" s="171">
        <v>0</v>
      </c>
      <c r="AK555" s="171">
        <v>1</v>
      </c>
      <c r="AL555" s="171">
        <v>0</v>
      </c>
      <c r="AM555" s="171">
        <v>1</v>
      </c>
      <c r="AN555" s="171">
        <v>1</v>
      </c>
      <c r="AO555" s="171">
        <v>1</v>
      </c>
      <c r="AP555" s="171">
        <v>1</v>
      </c>
      <c r="AQ555" s="171">
        <v>1</v>
      </c>
      <c r="AR555" s="171">
        <v>1</v>
      </c>
      <c r="AS555" s="171">
        <v>1</v>
      </c>
      <c r="AT555" s="171">
        <v>1</v>
      </c>
      <c r="AU555" s="171">
        <f t="shared" si="183"/>
        <v>0</v>
      </c>
      <c r="AV555" s="171">
        <f t="shared" si="184"/>
        <v>0</v>
      </c>
      <c r="AW555" s="171">
        <f t="shared" si="185"/>
        <v>1</v>
      </c>
      <c r="AX555" s="171">
        <f t="shared" si="197"/>
        <v>1</v>
      </c>
      <c r="AY555" s="171">
        <f t="shared" si="186"/>
        <v>1</v>
      </c>
      <c r="AZ555" s="171">
        <f t="shared" si="187"/>
        <v>1</v>
      </c>
      <c r="BA555" s="172">
        <f t="shared" si="188"/>
        <v>1</v>
      </c>
      <c r="BB555" s="175">
        <f t="shared" ref="BB555:BB560" si="248">SUM(AF555:BA555)</f>
        <v>16</v>
      </c>
      <c r="BC555" s="176">
        <f t="shared" ref="BC555:BC560" si="249">SUM(AF555:AZ555)</f>
        <v>15</v>
      </c>
      <c r="BD555" s="176">
        <f t="shared" ref="BD555:BD560" si="250">SUM(AG555:BA555)</f>
        <v>16</v>
      </c>
      <c r="BE555" s="240" t="str">
        <f t="shared" si="215"/>
        <v/>
      </c>
      <c r="BH555" s="210">
        <f>IF(AND(Input_Product=Elig!$C555,Elig_MatchAll_Ct&lt;22,$BC555=(Elig_MatchAll_Ct-1),AF555=0),C555,0)</f>
        <v>0</v>
      </c>
      <c r="BI555" s="210">
        <f>IF(AND(Input_Product=Elig!$C555,Elig_MatchAll_Ct&lt;22,$BC555=(Elig_MatchAll_Ct-1),AG555=0),D555,0)</f>
        <v>0</v>
      </c>
      <c r="BJ555" s="210">
        <f>IF(AND(Input_Product=Elig!$C555,Elig_MatchAll_Ct&lt;22,$BC555=(Elig_MatchAll_Ct-1),AH555=0),E555,0)</f>
        <v>0</v>
      </c>
      <c r="BK555" s="210">
        <f>IF(AND(Input_Product=Elig!$C555,Elig_MatchAll_Ct&lt;22,$BC555=(Elig_MatchAll_Ct-1),AI555=0),F555,0)</f>
        <v>0</v>
      </c>
      <c r="BL555" s="210">
        <f>IF(AND(Input_Product=Elig!$C555,Elig_MatchAll_Ct&lt;22,$BC555=(Elig_MatchAll_Ct-1),AJ555=0),G555,0)</f>
        <v>0</v>
      </c>
      <c r="BM555" s="210">
        <f>IF(AND(Input_Product=Elig!$C555,Elig_MatchAll_Ct&lt;22,$BC555=(Elig_MatchAll_Ct-1),AK555=0),H555,0)</f>
        <v>0</v>
      </c>
      <c r="BN555" s="210">
        <f>IF(AND(Input_Product=Elig!$C555,Elig_MatchAll_Ct&lt;22,$BC555=(Elig_MatchAll_Ct-1),AL555=0),I555,0)</f>
        <v>0</v>
      </c>
      <c r="BO555" s="210">
        <f>IF(AND(Input_Product=Elig!$C555,Elig_MatchAll_Ct&lt;22,$BC555=(Elig_MatchAll_Ct-1),AM555=0),J555,0)</f>
        <v>0</v>
      </c>
      <c r="BP555" s="210">
        <f>IF(AND(Input_Product=Elig!$C555,Elig_MatchAll_Ct&lt;22,$BC555=(Elig_MatchAll_Ct-1),AN555=0),K555,0)</f>
        <v>0</v>
      </c>
      <c r="BQ555" s="210">
        <f>IF(AND(Input_Product=Elig!$C555,Elig_MatchAll_Ct&lt;22,$BC555=(Elig_MatchAll_Ct-1),AP555=0),L555,0)</f>
        <v>0</v>
      </c>
      <c r="BR555" s="210">
        <f>IF(AND(Input_Product=Elig!$C555,Elig_MatchAll_Ct&lt;22,$BC555=(Elig_MatchAll_Ct-1),AO555=0),M555,0)</f>
        <v>0</v>
      </c>
      <c r="BS555" s="210">
        <f>IF(AND(Input_Product=Elig!$C555,Elig_MatchAll_Ct&lt;22,$BC555=(Elig_MatchAll_Ct-1),AQ555=0),N555,0)</f>
        <v>0</v>
      </c>
      <c r="BT555" s="210">
        <f>IF(AND(Input_Product=Elig!$C555,Elig_MatchAll_Ct&lt;22,$BC555=(Elig_MatchAll_Ct-1),AR555=0),O555,0)</f>
        <v>0</v>
      </c>
      <c r="BU555" s="210">
        <f>IF(AND(Input_Product=Elig!$C555,Elig_MatchAll_Ct&lt;22,$BC555=(Elig_MatchAll_Ct-1),AS555=0),P555,0)</f>
        <v>0</v>
      </c>
      <c r="BV555" s="211">
        <f>IF(AND(Input_Product=Elig!$C555,Elig_MatchAll_Ct&lt;22,$BC555=(Elig_MatchAll_Ct-1),AT555=0),Q555,0)</f>
        <v>0</v>
      </c>
      <c r="BW555" s="212">
        <f>IF(AND(Input_Product=Elig!$C555,Elig_MatchAll_Ct&lt;22,$BC555=(Elig_MatchAll_Ct-1),AU555=0),R555,0)</f>
        <v>0</v>
      </c>
      <c r="BX555" s="213">
        <f>IF(AND(Input_Product=Elig!$C555,Elig_MatchAll_Ct&lt;22,$BC555=(Elig_MatchAll_Ct-1),AU555=0),S555,0)</f>
        <v>0</v>
      </c>
      <c r="BY555" s="212">
        <f>IF(AND(Input_Product=Elig!$C555,Elig_MatchAll_Ct&lt;22,$BC555=(Elig_MatchAll_Ct-1),AV555=0),T555,0)</f>
        <v>0</v>
      </c>
      <c r="BZ555" s="213">
        <f>IF(AND(Input_Product=Elig!$C555,Elig_MatchAll_Ct&lt;22,$BC555=(Elig_MatchAll_Ct-1),AV555=0),U555,0)</f>
        <v>0</v>
      </c>
      <c r="CA555" s="212">
        <f>IF(AND(Input_Product=Elig!$C555,Elig_MatchAll_Ct&lt;22,$BC555=(Elig_MatchAll_Ct-1),AW555=0),V555,0)</f>
        <v>0</v>
      </c>
      <c r="CB555" s="213">
        <f>IF(AND(Input_Product=Elig!$C555,Elig_MatchAll_Ct&lt;22,$BC555=(Elig_MatchAll_Ct-1),AW555=0),W555,0)</f>
        <v>0</v>
      </c>
      <c r="CC555" s="212">
        <f>IF(AND(Input_Product=Elig!$C555,Elig_MatchAll_Ct&lt;22,$BC555=(Elig_MatchAll_Ct-1),AX555=0),X555,0)</f>
        <v>0</v>
      </c>
      <c r="CD555" s="213">
        <f>IF(AND(Input_Product=Elig!$C555,Elig_MatchAll_Ct&lt;22,$BC555=(Elig_MatchAll_Ct-1),AX555=0),Y555,0)</f>
        <v>0</v>
      </c>
      <c r="CE555" s="212">
        <f>IF(AND(Input_LTV&lt;=AE555,Input_Product=Elig!$C555,Elig_MatchAll_Ct&lt;22,$BC555=(Elig_MatchAll_Ct-1),AY555=0),Z555,0)</f>
        <v>0</v>
      </c>
      <c r="CF555" s="213">
        <f>IF(AND(Input_LTV&lt;=AE555,Input_Product=Elig!$C555,Elig_MatchAll_Ct&lt;22,$BC555=(Elig_MatchAll_Ct-1),AY555=0),AA555,0)</f>
        <v>0</v>
      </c>
      <c r="CG555" s="212">
        <f>IF(AND(Input_Product=Elig!$C555,Elig_MatchAll_Ct&lt;22,$BC555=(Elig_MatchAll_Ct-1),AZ555=0),AB555,0)</f>
        <v>0</v>
      </c>
      <c r="CH555" s="213">
        <f>IF(AND(Input_Product=Elig!$C555,Elig_MatchAll_Ct&lt;22,$BC555=(Elig_MatchAll_Ct-1),AZ555=0),AC555,0)</f>
        <v>0</v>
      </c>
      <c r="CI555" s="212">
        <f>IF(AND(Input_Product=Elig!$C555,Elig_MatchAll_Ct&lt;22,$BC555=(Elig_MatchAll_Ct-1),BA555=0),AD555,0)</f>
        <v>0</v>
      </c>
      <c r="CJ555" s="213">
        <f>IF(AND(Input_Product=Elig!$C555,Elig_MatchAll_Ct&lt;22,$BC555=(Elig_MatchAll_Ct-1),BA555=0),AE555,0)</f>
        <v>0</v>
      </c>
    </row>
    <row r="556" spans="2:88" ht="10.15" customHeight="1" x14ac:dyDescent="0.25">
      <c r="B556" s="287" t="s">
        <v>4114</v>
      </c>
      <c r="C556" s="286" t="str">
        <f t="shared" si="241"/>
        <v>NonQM NOO</v>
      </c>
      <c r="D556" s="287" t="s">
        <v>3885</v>
      </c>
      <c r="E556" s="287" t="s">
        <v>167</v>
      </c>
      <c r="F556" s="287" t="s">
        <v>330</v>
      </c>
      <c r="G556" s="300" t="s">
        <v>468</v>
      </c>
      <c r="H556" s="287" t="s">
        <v>136</v>
      </c>
      <c r="I556" s="288" t="s">
        <v>274</v>
      </c>
      <c r="J556" s="288" t="s">
        <v>1311</v>
      </c>
      <c r="K556" s="288" t="s">
        <v>1631</v>
      </c>
      <c r="L556" s="300" t="s">
        <v>312</v>
      </c>
      <c r="M556" s="287" t="s">
        <v>4203</v>
      </c>
      <c r="N556" s="287" t="s">
        <v>2685</v>
      </c>
      <c r="O556" s="287" t="s">
        <v>310</v>
      </c>
      <c r="P556" s="287" t="s">
        <v>291</v>
      </c>
      <c r="Q556" s="287" t="s">
        <v>294</v>
      </c>
      <c r="R556" s="300">
        <v>2500000.0099999998</v>
      </c>
      <c r="S556" s="287">
        <v>3000000</v>
      </c>
      <c r="T556" s="287">
        <v>0</v>
      </c>
      <c r="U556" s="287">
        <v>0</v>
      </c>
      <c r="V556" s="287">
        <v>0</v>
      </c>
      <c r="W556" s="287">
        <v>50</v>
      </c>
      <c r="X556" s="287">
        <v>0</v>
      </c>
      <c r="Y556" s="287">
        <v>999</v>
      </c>
      <c r="Z556" s="289">
        <v>700</v>
      </c>
      <c r="AA556" s="289">
        <v>719</v>
      </c>
      <c r="AB556" s="289">
        <v>9</v>
      </c>
      <c r="AC556" s="289">
        <v>999999</v>
      </c>
      <c r="AD556" s="287">
        <v>0</v>
      </c>
      <c r="AE556" s="290">
        <v>70</v>
      </c>
      <c r="AF556" s="170">
        <v>0</v>
      </c>
      <c r="AG556" s="171">
        <v>1</v>
      </c>
      <c r="AH556" s="171">
        <v>1</v>
      </c>
      <c r="AI556" s="171">
        <v>0</v>
      </c>
      <c r="AJ556" s="171">
        <v>0</v>
      </c>
      <c r="AK556" s="171">
        <v>1</v>
      </c>
      <c r="AL556" s="171">
        <v>0</v>
      </c>
      <c r="AM556" s="171">
        <v>1</v>
      </c>
      <c r="AN556" s="171">
        <v>1</v>
      </c>
      <c r="AO556" s="171">
        <v>1</v>
      </c>
      <c r="AP556" s="171">
        <v>1</v>
      </c>
      <c r="AQ556" s="171">
        <v>1</v>
      </c>
      <c r="AR556" s="171">
        <v>1</v>
      </c>
      <c r="AS556" s="171">
        <v>1</v>
      </c>
      <c r="AT556" s="171">
        <v>1</v>
      </c>
      <c r="AU556" s="171">
        <f t="shared" si="183"/>
        <v>0</v>
      </c>
      <c r="AV556" s="171">
        <f t="shared" si="184"/>
        <v>0</v>
      </c>
      <c r="AW556" s="171">
        <f t="shared" si="185"/>
        <v>1</v>
      </c>
      <c r="AX556" s="171">
        <f t="shared" si="197"/>
        <v>1</v>
      </c>
      <c r="AY556" s="171">
        <f t="shared" si="186"/>
        <v>0</v>
      </c>
      <c r="AZ556" s="171">
        <f t="shared" si="187"/>
        <v>1</v>
      </c>
      <c r="BA556" s="172">
        <f t="shared" si="188"/>
        <v>1</v>
      </c>
      <c r="BB556" s="175">
        <f t="shared" si="248"/>
        <v>15</v>
      </c>
      <c r="BC556" s="176">
        <f t="shared" si="249"/>
        <v>14</v>
      </c>
      <c r="BD556" s="176">
        <f t="shared" si="250"/>
        <v>15</v>
      </c>
      <c r="BE556" s="240" t="str">
        <f t="shared" si="215"/>
        <v/>
      </c>
      <c r="BH556" s="199">
        <f>IF(AND(Input_Product=Elig!$C556,Elig_MatchAll_Ct&lt;22,$BC556=(Elig_MatchAll_Ct-1),AF556=0),C556,0)</f>
        <v>0</v>
      </c>
      <c r="BI556" s="199">
        <f>IF(AND(Input_Product=Elig!$C556,Elig_MatchAll_Ct&lt;22,$BC556=(Elig_MatchAll_Ct-1),AG556=0),D556,0)</f>
        <v>0</v>
      </c>
      <c r="BJ556" s="199">
        <f>IF(AND(Input_Product=Elig!$C556,Elig_MatchAll_Ct&lt;22,$BC556=(Elig_MatchAll_Ct-1),AH556=0),E556,0)</f>
        <v>0</v>
      </c>
      <c r="BK556" s="199">
        <f>IF(AND(Input_Product=Elig!$C556,Elig_MatchAll_Ct&lt;22,$BC556=(Elig_MatchAll_Ct-1),AI556=0),F556,0)</f>
        <v>0</v>
      </c>
      <c r="BL556" s="199">
        <f>IF(AND(Input_Product=Elig!$C556,Elig_MatchAll_Ct&lt;22,$BC556=(Elig_MatchAll_Ct-1),AJ556=0),G556,0)</f>
        <v>0</v>
      </c>
      <c r="BM556" s="199">
        <f>IF(AND(Input_Product=Elig!$C556,Elig_MatchAll_Ct&lt;22,$BC556=(Elig_MatchAll_Ct-1),AK556=0),H556,0)</f>
        <v>0</v>
      </c>
      <c r="BN556" s="199">
        <f>IF(AND(Input_Product=Elig!$C556,Elig_MatchAll_Ct&lt;22,$BC556=(Elig_MatchAll_Ct-1),AL556=0),I556,0)</f>
        <v>0</v>
      </c>
      <c r="BO556" s="199">
        <f>IF(AND(Input_Product=Elig!$C556,Elig_MatchAll_Ct&lt;22,$BC556=(Elig_MatchAll_Ct-1),AM556=0),J556,0)</f>
        <v>0</v>
      </c>
      <c r="BP556" s="199">
        <f>IF(AND(Input_Product=Elig!$C556,Elig_MatchAll_Ct&lt;22,$BC556=(Elig_MatchAll_Ct-1),AN556=0),K556,0)</f>
        <v>0</v>
      </c>
      <c r="BQ556" s="199">
        <f>IF(AND(Input_Product=Elig!$C556,Elig_MatchAll_Ct&lt;22,$BC556=(Elig_MatchAll_Ct-1),AP556=0),L556,0)</f>
        <v>0</v>
      </c>
      <c r="BR556" s="199">
        <f>IF(AND(Input_Product=Elig!$C556,Elig_MatchAll_Ct&lt;22,$BC556=(Elig_MatchAll_Ct-1),AO556=0),M556,0)</f>
        <v>0</v>
      </c>
      <c r="BS556" s="199">
        <f>IF(AND(Input_Product=Elig!$C556,Elig_MatchAll_Ct&lt;22,$BC556=(Elig_MatchAll_Ct-1),AQ556=0),N556,0)</f>
        <v>0</v>
      </c>
      <c r="BT556" s="199">
        <f>IF(AND(Input_Product=Elig!$C556,Elig_MatchAll_Ct&lt;22,$BC556=(Elig_MatchAll_Ct-1),AR556=0),O556,0)</f>
        <v>0</v>
      </c>
      <c r="BU556" s="199">
        <f>IF(AND(Input_Product=Elig!$C556,Elig_MatchAll_Ct&lt;22,$BC556=(Elig_MatchAll_Ct-1),AS556=0),P556,0)</f>
        <v>0</v>
      </c>
      <c r="BV556" s="200">
        <f>IF(AND(Input_Product=Elig!$C556,Elig_MatchAll_Ct&lt;22,$BC556=(Elig_MatchAll_Ct-1),AT556=0),Q556,0)</f>
        <v>0</v>
      </c>
      <c r="BW556" s="201">
        <f>IF(AND(Input_Product=Elig!$C556,Elig_MatchAll_Ct&lt;22,$BC556=(Elig_MatchAll_Ct-1),AU556=0),R556,0)</f>
        <v>0</v>
      </c>
      <c r="BX556" s="202">
        <f>IF(AND(Input_Product=Elig!$C556,Elig_MatchAll_Ct&lt;22,$BC556=(Elig_MatchAll_Ct-1),AU556=0),S556,0)</f>
        <v>0</v>
      </c>
      <c r="BY556" s="201">
        <f>IF(AND(Input_Product=Elig!$C556,Elig_MatchAll_Ct&lt;22,$BC556=(Elig_MatchAll_Ct-1),AV556=0),T556,0)</f>
        <v>0</v>
      </c>
      <c r="BZ556" s="202">
        <f>IF(AND(Input_Product=Elig!$C556,Elig_MatchAll_Ct&lt;22,$BC556=(Elig_MatchAll_Ct-1),AV556=0),U556,0)</f>
        <v>0</v>
      </c>
      <c r="CA556" s="201">
        <f>IF(AND(Input_Product=Elig!$C556,Elig_MatchAll_Ct&lt;22,$BC556=(Elig_MatchAll_Ct-1),AW556=0),V556,0)</f>
        <v>0</v>
      </c>
      <c r="CB556" s="202">
        <f>IF(AND(Input_Product=Elig!$C556,Elig_MatchAll_Ct&lt;22,$BC556=(Elig_MatchAll_Ct-1),AW556=0),W556,0)</f>
        <v>0</v>
      </c>
      <c r="CC556" s="201">
        <f>IF(AND(Input_Product=Elig!$C556,Elig_MatchAll_Ct&lt;22,$BC556=(Elig_MatchAll_Ct-1),AX556=0),X556,0)</f>
        <v>0</v>
      </c>
      <c r="CD556" s="202">
        <f>IF(AND(Input_Product=Elig!$C556,Elig_MatchAll_Ct&lt;22,$BC556=(Elig_MatchAll_Ct-1),AX556=0),Y556,0)</f>
        <v>0</v>
      </c>
      <c r="CE556" s="201">
        <f>IF(AND(Input_LTV&lt;=AE556,Input_Product=Elig!$C556,Elig_MatchAll_Ct&lt;22,$BC556=(Elig_MatchAll_Ct-1),AY556=0),Z556,0)</f>
        <v>0</v>
      </c>
      <c r="CF556" s="202">
        <f>IF(AND(Input_LTV&lt;=AE556,Input_Product=Elig!$C556,Elig_MatchAll_Ct&lt;22,$BC556=(Elig_MatchAll_Ct-1),AY556=0),AA556,0)</f>
        <v>0</v>
      </c>
      <c r="CG556" s="201">
        <f>IF(AND(Input_Product=Elig!$C556,Elig_MatchAll_Ct&lt;22,$BC556=(Elig_MatchAll_Ct-1),AZ556=0),AB556,0)</f>
        <v>0</v>
      </c>
      <c r="CH556" s="202">
        <f>IF(AND(Input_Product=Elig!$C556,Elig_MatchAll_Ct&lt;22,$BC556=(Elig_MatchAll_Ct-1),AZ556=0),AC556,0)</f>
        <v>0</v>
      </c>
      <c r="CI556" s="201">
        <f>IF(AND(Input_Product=Elig!$C556,Elig_MatchAll_Ct&lt;22,$BC556=(Elig_MatchAll_Ct-1),BA556=0),AD556,0)</f>
        <v>0</v>
      </c>
      <c r="CJ556" s="202">
        <f>IF(AND(Input_Product=Elig!$C556,Elig_MatchAll_Ct&lt;22,$BC556=(Elig_MatchAll_Ct-1),BA556=0),AE556,0)</f>
        <v>0</v>
      </c>
    </row>
    <row r="557" spans="2:88" ht="10.15" customHeight="1" x14ac:dyDescent="0.25">
      <c r="B557" s="287" t="s">
        <v>4115</v>
      </c>
      <c r="C557" s="291" t="str">
        <f t="shared" si="241"/>
        <v>NonQM NOO</v>
      </c>
      <c r="D557" s="292" t="s">
        <v>3885</v>
      </c>
      <c r="E557" s="292" t="s">
        <v>167</v>
      </c>
      <c r="F557" s="292" t="s">
        <v>330</v>
      </c>
      <c r="G557" s="324" t="s">
        <v>468</v>
      </c>
      <c r="H557" s="292" t="s">
        <v>136</v>
      </c>
      <c r="I557" s="295" t="s">
        <v>274</v>
      </c>
      <c r="J557" s="295" t="s">
        <v>1311</v>
      </c>
      <c r="K557" s="295" t="s">
        <v>1631</v>
      </c>
      <c r="L557" s="324" t="s">
        <v>312</v>
      </c>
      <c r="M557" s="292" t="s">
        <v>4203</v>
      </c>
      <c r="N557" s="292" t="s">
        <v>2685</v>
      </c>
      <c r="O557" s="292" t="s">
        <v>310</v>
      </c>
      <c r="P557" s="292" t="s">
        <v>291</v>
      </c>
      <c r="Q557" s="292" t="s">
        <v>294</v>
      </c>
      <c r="R557" s="324">
        <v>2500000.0099999998</v>
      </c>
      <c r="S557" s="292">
        <v>3000000</v>
      </c>
      <c r="T557" s="292">
        <v>0</v>
      </c>
      <c r="U557" s="292">
        <v>0</v>
      </c>
      <c r="V557" s="292">
        <v>0</v>
      </c>
      <c r="W557" s="292">
        <v>50</v>
      </c>
      <c r="X557" s="292">
        <v>0</v>
      </c>
      <c r="Y557" s="292">
        <v>999</v>
      </c>
      <c r="Z557" s="293">
        <v>680</v>
      </c>
      <c r="AA557" s="293">
        <v>699</v>
      </c>
      <c r="AB557" s="293">
        <v>9</v>
      </c>
      <c r="AC557" s="293">
        <v>999999</v>
      </c>
      <c r="AD557" s="292">
        <v>0</v>
      </c>
      <c r="AE557" s="294">
        <v>70</v>
      </c>
      <c r="AF557" s="170">
        <v>0</v>
      </c>
      <c r="AG557" s="171">
        <v>1</v>
      </c>
      <c r="AH557" s="171">
        <v>1</v>
      </c>
      <c r="AI557" s="171">
        <v>0</v>
      </c>
      <c r="AJ557" s="171">
        <v>0</v>
      </c>
      <c r="AK557" s="171">
        <v>1</v>
      </c>
      <c r="AL557" s="171">
        <v>0</v>
      </c>
      <c r="AM557" s="171">
        <v>1</v>
      </c>
      <c r="AN557" s="171">
        <v>1</v>
      </c>
      <c r="AO557" s="171">
        <v>1</v>
      </c>
      <c r="AP557" s="171">
        <v>1</v>
      </c>
      <c r="AQ557" s="171">
        <v>1</v>
      </c>
      <c r="AR557" s="171">
        <v>1</v>
      </c>
      <c r="AS557" s="171">
        <v>1</v>
      </c>
      <c r="AT557" s="171">
        <v>1</v>
      </c>
      <c r="AU557" s="171">
        <f t="shared" si="183"/>
        <v>0</v>
      </c>
      <c r="AV557" s="171">
        <f t="shared" si="184"/>
        <v>0</v>
      </c>
      <c r="AW557" s="171">
        <f t="shared" si="185"/>
        <v>1</v>
      </c>
      <c r="AX557" s="171">
        <f t="shared" si="197"/>
        <v>1</v>
      </c>
      <c r="AY557" s="171">
        <f t="shared" si="186"/>
        <v>0</v>
      </c>
      <c r="AZ557" s="171">
        <f t="shared" si="187"/>
        <v>1</v>
      </c>
      <c r="BA557" s="172">
        <f t="shared" si="188"/>
        <v>1</v>
      </c>
      <c r="BB557" s="175">
        <f t="shared" si="248"/>
        <v>15</v>
      </c>
      <c r="BC557" s="176">
        <f t="shared" si="249"/>
        <v>14</v>
      </c>
      <c r="BD557" s="176">
        <f t="shared" si="250"/>
        <v>15</v>
      </c>
      <c r="BE557" s="240" t="str">
        <f t="shared" si="215"/>
        <v/>
      </c>
      <c r="BH557" s="214">
        <f>IF(AND(Input_Product=Elig!$C557,Elig_MatchAll_Ct&lt;22,$BC557=(Elig_MatchAll_Ct-1),AF557=0),C557,0)</f>
        <v>0</v>
      </c>
      <c r="BI557" s="214">
        <f>IF(AND(Input_Product=Elig!$C557,Elig_MatchAll_Ct&lt;22,$BC557=(Elig_MatchAll_Ct-1),AG557=0),D557,0)</f>
        <v>0</v>
      </c>
      <c r="BJ557" s="214">
        <f>IF(AND(Input_Product=Elig!$C557,Elig_MatchAll_Ct&lt;22,$BC557=(Elig_MatchAll_Ct-1),AH557=0),E557,0)</f>
        <v>0</v>
      </c>
      <c r="BK557" s="214">
        <f>IF(AND(Input_Product=Elig!$C557,Elig_MatchAll_Ct&lt;22,$BC557=(Elig_MatchAll_Ct-1),AI557=0),F557,0)</f>
        <v>0</v>
      </c>
      <c r="BL557" s="214">
        <f>IF(AND(Input_Product=Elig!$C557,Elig_MatchAll_Ct&lt;22,$BC557=(Elig_MatchAll_Ct-1),AJ557=0),G557,0)</f>
        <v>0</v>
      </c>
      <c r="BM557" s="214">
        <f>IF(AND(Input_Product=Elig!$C557,Elig_MatchAll_Ct&lt;22,$BC557=(Elig_MatchAll_Ct-1),AK557=0),H557,0)</f>
        <v>0</v>
      </c>
      <c r="BN557" s="214">
        <f>IF(AND(Input_Product=Elig!$C557,Elig_MatchAll_Ct&lt;22,$BC557=(Elig_MatchAll_Ct-1),AL557=0),I557,0)</f>
        <v>0</v>
      </c>
      <c r="BO557" s="214">
        <f>IF(AND(Input_Product=Elig!$C557,Elig_MatchAll_Ct&lt;22,$BC557=(Elig_MatchAll_Ct-1),AM557=0),J557,0)</f>
        <v>0</v>
      </c>
      <c r="BP557" s="214">
        <f>IF(AND(Input_Product=Elig!$C557,Elig_MatchAll_Ct&lt;22,$BC557=(Elig_MatchAll_Ct-1),AN557=0),K557,0)</f>
        <v>0</v>
      </c>
      <c r="BQ557" s="214">
        <f>IF(AND(Input_Product=Elig!$C557,Elig_MatchAll_Ct&lt;22,$BC557=(Elig_MatchAll_Ct-1),AP557=0),L557,0)</f>
        <v>0</v>
      </c>
      <c r="BR557" s="214">
        <f>IF(AND(Input_Product=Elig!$C557,Elig_MatchAll_Ct&lt;22,$BC557=(Elig_MatchAll_Ct-1),AO557=0),M557,0)</f>
        <v>0</v>
      </c>
      <c r="BS557" s="214">
        <f>IF(AND(Input_Product=Elig!$C557,Elig_MatchAll_Ct&lt;22,$BC557=(Elig_MatchAll_Ct-1),AQ557=0),N557,0)</f>
        <v>0</v>
      </c>
      <c r="BT557" s="214">
        <f>IF(AND(Input_Product=Elig!$C557,Elig_MatchAll_Ct&lt;22,$BC557=(Elig_MatchAll_Ct-1),AR557=0),O557,0)</f>
        <v>0</v>
      </c>
      <c r="BU557" s="214">
        <f>IF(AND(Input_Product=Elig!$C557,Elig_MatchAll_Ct&lt;22,$BC557=(Elig_MatchAll_Ct-1),AS557=0),P557,0)</f>
        <v>0</v>
      </c>
      <c r="BV557" s="215">
        <f>IF(AND(Input_Product=Elig!$C557,Elig_MatchAll_Ct&lt;22,$BC557=(Elig_MatchAll_Ct-1),AT557=0),Q557,0)</f>
        <v>0</v>
      </c>
      <c r="BW557" s="311">
        <f>IF(AND(Input_Product=Elig!$C557,Elig_MatchAll_Ct&lt;22,$BC557=(Elig_MatchAll_Ct-1),AU557=0),R557,0)</f>
        <v>0</v>
      </c>
      <c r="BX557" s="312">
        <f>IF(AND(Input_Product=Elig!$C557,Elig_MatchAll_Ct&lt;22,$BC557=(Elig_MatchAll_Ct-1),AU557=0),S557,0)</f>
        <v>0</v>
      </c>
      <c r="BY557" s="311">
        <f>IF(AND(Input_Product=Elig!$C557,Elig_MatchAll_Ct&lt;22,$BC557=(Elig_MatchAll_Ct-1),AV557=0),T557,0)</f>
        <v>0</v>
      </c>
      <c r="BZ557" s="312">
        <f>IF(AND(Input_Product=Elig!$C557,Elig_MatchAll_Ct&lt;22,$BC557=(Elig_MatchAll_Ct-1),AV557=0),U557,0)</f>
        <v>0</v>
      </c>
      <c r="CA557" s="311">
        <f>IF(AND(Input_Product=Elig!$C557,Elig_MatchAll_Ct&lt;22,$BC557=(Elig_MatchAll_Ct-1),AW557=0),V557,0)</f>
        <v>0</v>
      </c>
      <c r="CB557" s="312">
        <f>IF(AND(Input_Product=Elig!$C557,Elig_MatchAll_Ct&lt;22,$BC557=(Elig_MatchAll_Ct-1),AW557=0),W557,0)</f>
        <v>0</v>
      </c>
      <c r="CC557" s="311">
        <f>IF(AND(Input_Product=Elig!$C557,Elig_MatchAll_Ct&lt;22,$BC557=(Elig_MatchAll_Ct-1),AX557=0),X557,0)</f>
        <v>0</v>
      </c>
      <c r="CD557" s="312">
        <f>IF(AND(Input_Product=Elig!$C557,Elig_MatchAll_Ct&lt;22,$BC557=(Elig_MatchAll_Ct-1),AX557=0),Y557,0)</f>
        <v>0</v>
      </c>
      <c r="CE557" s="311">
        <f>IF(AND(Input_LTV&lt;=AE557,Input_Product=Elig!$C557,Elig_MatchAll_Ct&lt;22,$BC557=(Elig_MatchAll_Ct-1),AY557=0),Z557,0)</f>
        <v>0</v>
      </c>
      <c r="CF557" s="312">
        <f>IF(AND(Input_LTV&lt;=AE557,Input_Product=Elig!$C557,Elig_MatchAll_Ct&lt;22,$BC557=(Elig_MatchAll_Ct-1),AY557=0),AA557,0)</f>
        <v>0</v>
      </c>
      <c r="CG557" s="311">
        <f>IF(AND(Input_Product=Elig!$C557,Elig_MatchAll_Ct&lt;22,$BC557=(Elig_MatchAll_Ct-1),AZ557=0),AB557,0)</f>
        <v>0</v>
      </c>
      <c r="CH557" s="312">
        <f>IF(AND(Input_Product=Elig!$C557,Elig_MatchAll_Ct&lt;22,$BC557=(Elig_MatchAll_Ct-1),AZ557=0),AC557,0)</f>
        <v>0</v>
      </c>
      <c r="CI557" s="311">
        <f>IF(AND(Input_Product=Elig!$C557,Elig_MatchAll_Ct&lt;22,$BC557=(Elig_MatchAll_Ct-1),BA557=0),AD557,0)</f>
        <v>0</v>
      </c>
      <c r="CJ557" s="312">
        <f>IF(AND(Input_Product=Elig!$C557,Elig_MatchAll_Ct&lt;22,$BC557=(Elig_MatchAll_Ct-1),BA557=0),AE557,0)</f>
        <v>0</v>
      </c>
    </row>
    <row r="558" spans="2:88" ht="10.15" customHeight="1" x14ac:dyDescent="0.25">
      <c r="B558" s="287" t="s">
        <v>4116</v>
      </c>
      <c r="C558" s="281" t="str">
        <f t="shared" si="241"/>
        <v>NonQM NOO</v>
      </c>
      <c r="D558" s="282" t="s">
        <v>3885</v>
      </c>
      <c r="E558" s="283" t="s">
        <v>167</v>
      </c>
      <c r="F558" s="283" t="s">
        <v>330</v>
      </c>
      <c r="G558" s="2103" t="s">
        <v>468</v>
      </c>
      <c r="H558" s="283" t="s">
        <v>136</v>
      </c>
      <c r="I558" s="282" t="s">
        <v>16</v>
      </c>
      <c r="J558" s="282" t="s">
        <v>1311</v>
      </c>
      <c r="K558" s="282" t="s">
        <v>1631</v>
      </c>
      <c r="L558" s="2103" t="s">
        <v>312</v>
      </c>
      <c r="M558" s="283" t="s">
        <v>4203</v>
      </c>
      <c r="N558" s="283" t="s">
        <v>2685</v>
      </c>
      <c r="O558" s="283" t="s">
        <v>310</v>
      </c>
      <c r="P558" s="283" t="s">
        <v>291</v>
      </c>
      <c r="Q558" s="283" t="s">
        <v>294</v>
      </c>
      <c r="R558" s="323">
        <v>2500000.0099999998</v>
      </c>
      <c r="S558" s="282">
        <v>3000000</v>
      </c>
      <c r="T558" s="282">
        <v>0</v>
      </c>
      <c r="U558" s="282">
        <f t="shared" ref="U558:U560" si="251">S558</f>
        <v>3000000</v>
      </c>
      <c r="V558" s="282">
        <v>0</v>
      </c>
      <c r="W558" s="282">
        <v>50</v>
      </c>
      <c r="X558" s="282">
        <v>0</v>
      </c>
      <c r="Y558" s="282">
        <v>999</v>
      </c>
      <c r="Z558" s="284">
        <v>720</v>
      </c>
      <c r="AA558" s="284">
        <v>999</v>
      </c>
      <c r="AB558" s="284">
        <v>9</v>
      </c>
      <c r="AC558" s="284">
        <v>999999</v>
      </c>
      <c r="AD558" s="282">
        <v>0</v>
      </c>
      <c r="AE558" s="2104">
        <v>65</v>
      </c>
      <c r="AF558" s="170">
        <v>0</v>
      </c>
      <c r="AG558" s="171">
        <v>1</v>
      </c>
      <c r="AH558" s="171">
        <v>1</v>
      </c>
      <c r="AI558" s="171">
        <v>0</v>
      </c>
      <c r="AJ558" s="171">
        <v>0</v>
      </c>
      <c r="AK558" s="171">
        <v>1</v>
      </c>
      <c r="AL558" s="171">
        <v>1</v>
      </c>
      <c r="AM558" s="171">
        <v>1</v>
      </c>
      <c r="AN558" s="171">
        <v>1</v>
      </c>
      <c r="AO558" s="171">
        <v>1</v>
      </c>
      <c r="AP558" s="171">
        <v>1</v>
      </c>
      <c r="AQ558" s="171">
        <v>1</v>
      </c>
      <c r="AR558" s="171">
        <v>1</v>
      </c>
      <c r="AS558" s="171">
        <v>1</v>
      </c>
      <c r="AT558" s="171">
        <v>1</v>
      </c>
      <c r="AU558" s="171">
        <f t="shared" si="183"/>
        <v>0</v>
      </c>
      <c r="AV558" s="171">
        <f t="shared" si="184"/>
        <v>1</v>
      </c>
      <c r="AW558" s="171">
        <f t="shared" si="185"/>
        <v>1</v>
      </c>
      <c r="AX558" s="171">
        <f t="shared" si="197"/>
        <v>1</v>
      </c>
      <c r="AY558" s="171">
        <f t="shared" si="186"/>
        <v>1</v>
      </c>
      <c r="AZ558" s="171">
        <f t="shared" si="187"/>
        <v>1</v>
      </c>
      <c r="BA558" s="172">
        <f t="shared" si="188"/>
        <v>1</v>
      </c>
      <c r="BB558" s="175">
        <f t="shared" si="248"/>
        <v>18</v>
      </c>
      <c r="BC558" s="176">
        <f t="shared" si="249"/>
        <v>17</v>
      </c>
      <c r="BD558" s="176">
        <f t="shared" si="250"/>
        <v>18</v>
      </c>
      <c r="BE558" s="240" t="str">
        <f t="shared" si="215"/>
        <v/>
      </c>
      <c r="BH558" s="210">
        <f>IF(AND(Input_Product=Elig!$C558,Elig_MatchAll_Ct&lt;22,$BC558=(Elig_MatchAll_Ct-1),AF558=0),C558,0)</f>
        <v>0</v>
      </c>
      <c r="BI558" s="210">
        <f>IF(AND(Input_Product=Elig!$C558,Elig_MatchAll_Ct&lt;22,$BC558=(Elig_MatchAll_Ct-1),AG558=0),D558,0)</f>
        <v>0</v>
      </c>
      <c r="BJ558" s="210">
        <f>IF(AND(Input_Product=Elig!$C558,Elig_MatchAll_Ct&lt;22,$BC558=(Elig_MatchAll_Ct-1),AH558=0),E558,0)</f>
        <v>0</v>
      </c>
      <c r="BK558" s="210">
        <f>IF(AND(Input_Product=Elig!$C558,Elig_MatchAll_Ct&lt;22,$BC558=(Elig_MatchAll_Ct-1),AI558=0),F558,0)</f>
        <v>0</v>
      </c>
      <c r="BL558" s="210">
        <f>IF(AND(Input_Product=Elig!$C558,Elig_MatchAll_Ct&lt;22,$BC558=(Elig_MatchAll_Ct-1),AJ558=0),G558,0)</f>
        <v>0</v>
      </c>
      <c r="BM558" s="210">
        <f>IF(AND(Input_Product=Elig!$C558,Elig_MatchAll_Ct&lt;22,$BC558=(Elig_MatchAll_Ct-1),AK558=0),H558,0)</f>
        <v>0</v>
      </c>
      <c r="BN558" s="210">
        <f>IF(AND(Input_Product=Elig!$C558,Elig_MatchAll_Ct&lt;22,$BC558=(Elig_MatchAll_Ct-1),AL558=0),I558,0)</f>
        <v>0</v>
      </c>
      <c r="BO558" s="210">
        <f>IF(AND(Input_Product=Elig!$C558,Elig_MatchAll_Ct&lt;22,$BC558=(Elig_MatchAll_Ct-1),AM558=0),J558,0)</f>
        <v>0</v>
      </c>
      <c r="BP558" s="210">
        <f>IF(AND(Input_Product=Elig!$C558,Elig_MatchAll_Ct&lt;22,$BC558=(Elig_MatchAll_Ct-1),AN558=0),K558,0)</f>
        <v>0</v>
      </c>
      <c r="BQ558" s="210">
        <f>IF(AND(Input_Product=Elig!$C558,Elig_MatchAll_Ct&lt;22,$BC558=(Elig_MatchAll_Ct-1),AP558=0),L558,0)</f>
        <v>0</v>
      </c>
      <c r="BR558" s="210">
        <f>IF(AND(Input_Product=Elig!$C558,Elig_MatchAll_Ct&lt;22,$BC558=(Elig_MatchAll_Ct-1),AO558=0),M558,0)</f>
        <v>0</v>
      </c>
      <c r="BS558" s="210">
        <f>IF(AND(Input_Product=Elig!$C558,Elig_MatchAll_Ct&lt;22,$BC558=(Elig_MatchAll_Ct-1),AQ558=0),N558,0)</f>
        <v>0</v>
      </c>
      <c r="BT558" s="210">
        <f>IF(AND(Input_Product=Elig!$C558,Elig_MatchAll_Ct&lt;22,$BC558=(Elig_MatchAll_Ct-1),AR558=0),O558,0)</f>
        <v>0</v>
      </c>
      <c r="BU558" s="210">
        <f>IF(AND(Input_Product=Elig!$C558,Elig_MatchAll_Ct&lt;22,$BC558=(Elig_MatchAll_Ct-1),AS558=0),P558,0)</f>
        <v>0</v>
      </c>
      <c r="BV558" s="211">
        <f>IF(AND(Input_Product=Elig!$C558,Elig_MatchAll_Ct&lt;22,$BC558=(Elig_MatchAll_Ct-1),AT558=0),Q558,0)</f>
        <v>0</v>
      </c>
      <c r="BW558" s="212">
        <f>IF(AND(Input_Product=Elig!$C558,Elig_MatchAll_Ct&lt;22,$BC558=(Elig_MatchAll_Ct-1),AU558=0),R558,0)</f>
        <v>0</v>
      </c>
      <c r="BX558" s="213">
        <f>IF(AND(Input_Product=Elig!$C558,Elig_MatchAll_Ct&lt;22,$BC558=(Elig_MatchAll_Ct-1),AU558=0),S558,0)</f>
        <v>0</v>
      </c>
      <c r="BY558" s="212">
        <f>IF(AND(Input_Product=Elig!$C558,Elig_MatchAll_Ct&lt;22,$BC558=(Elig_MatchAll_Ct-1),AV558=0),T558,0)</f>
        <v>0</v>
      </c>
      <c r="BZ558" s="213">
        <f>IF(AND(Input_Product=Elig!$C558,Elig_MatchAll_Ct&lt;22,$BC558=(Elig_MatchAll_Ct-1),AV558=0),U558,0)</f>
        <v>0</v>
      </c>
      <c r="CA558" s="212">
        <f>IF(AND(Input_Product=Elig!$C558,Elig_MatchAll_Ct&lt;22,$BC558=(Elig_MatchAll_Ct-1),AW558=0),V558,0)</f>
        <v>0</v>
      </c>
      <c r="CB558" s="213">
        <f>IF(AND(Input_Product=Elig!$C558,Elig_MatchAll_Ct&lt;22,$BC558=(Elig_MatchAll_Ct-1),AW558=0),W558,0)</f>
        <v>0</v>
      </c>
      <c r="CC558" s="212">
        <f>IF(AND(Input_Product=Elig!$C558,Elig_MatchAll_Ct&lt;22,$BC558=(Elig_MatchAll_Ct-1),AX558=0),X558,0)</f>
        <v>0</v>
      </c>
      <c r="CD558" s="213">
        <f>IF(AND(Input_Product=Elig!$C558,Elig_MatchAll_Ct&lt;22,$BC558=(Elig_MatchAll_Ct-1),AX558=0),Y558,0)</f>
        <v>0</v>
      </c>
      <c r="CE558" s="212">
        <f>IF(AND(Input_LTV&lt;=AE558,Input_Product=Elig!$C558,Elig_MatchAll_Ct&lt;22,$BC558=(Elig_MatchAll_Ct-1),AY558=0),Z558,0)</f>
        <v>0</v>
      </c>
      <c r="CF558" s="213">
        <f>IF(AND(Input_LTV&lt;=AE558,Input_Product=Elig!$C558,Elig_MatchAll_Ct&lt;22,$BC558=(Elig_MatchAll_Ct-1),AY558=0),AA558,0)</f>
        <v>0</v>
      </c>
      <c r="CG558" s="212">
        <f>IF(AND(Input_Product=Elig!$C558,Elig_MatchAll_Ct&lt;22,$BC558=(Elig_MatchAll_Ct-1),AZ558=0),AB558,0)</f>
        <v>0</v>
      </c>
      <c r="CH558" s="213">
        <f>IF(AND(Input_Product=Elig!$C558,Elig_MatchAll_Ct&lt;22,$BC558=(Elig_MatchAll_Ct-1),AZ558=0),AC558,0)</f>
        <v>0</v>
      </c>
      <c r="CI558" s="212">
        <f>IF(AND(Input_Product=Elig!$C558,Elig_MatchAll_Ct&lt;22,$BC558=(Elig_MatchAll_Ct-1),BA558=0),AD558,0)</f>
        <v>0</v>
      </c>
      <c r="CJ558" s="213">
        <f>IF(AND(Input_Product=Elig!$C558,Elig_MatchAll_Ct&lt;22,$BC558=(Elig_MatchAll_Ct-1),BA558=0),AE558,0)</f>
        <v>0</v>
      </c>
    </row>
    <row r="559" spans="2:88" ht="10.15" customHeight="1" x14ac:dyDescent="0.25">
      <c r="B559" s="287" t="s">
        <v>4117</v>
      </c>
      <c r="C559" s="286" t="str">
        <f t="shared" si="241"/>
        <v>NonQM NOO</v>
      </c>
      <c r="D559" s="287" t="s">
        <v>3885</v>
      </c>
      <c r="E559" s="287" t="s">
        <v>167</v>
      </c>
      <c r="F559" s="287" t="s">
        <v>330</v>
      </c>
      <c r="G559" s="300" t="s">
        <v>468</v>
      </c>
      <c r="H559" s="287" t="s">
        <v>136</v>
      </c>
      <c r="I559" s="288" t="s">
        <v>16</v>
      </c>
      <c r="J559" s="288" t="s">
        <v>1311</v>
      </c>
      <c r="K559" s="288" t="s">
        <v>1631</v>
      </c>
      <c r="L559" s="300" t="s">
        <v>312</v>
      </c>
      <c r="M559" s="287" t="s">
        <v>4203</v>
      </c>
      <c r="N559" s="287" t="s">
        <v>2685</v>
      </c>
      <c r="O559" s="287" t="s">
        <v>310</v>
      </c>
      <c r="P559" s="287" t="s">
        <v>291</v>
      </c>
      <c r="Q559" s="287" t="s">
        <v>294</v>
      </c>
      <c r="R559" s="300">
        <v>2500000.0099999998</v>
      </c>
      <c r="S559" s="287">
        <v>3000000</v>
      </c>
      <c r="T559" s="287">
        <v>0</v>
      </c>
      <c r="U559" s="287">
        <f t="shared" si="251"/>
        <v>3000000</v>
      </c>
      <c r="V559" s="287">
        <v>0</v>
      </c>
      <c r="W559" s="287">
        <v>50</v>
      </c>
      <c r="X559" s="287">
        <v>0</v>
      </c>
      <c r="Y559" s="287">
        <v>999</v>
      </c>
      <c r="Z559" s="289">
        <v>700</v>
      </c>
      <c r="AA559" s="289">
        <v>719</v>
      </c>
      <c r="AB559" s="289">
        <v>9</v>
      </c>
      <c r="AC559" s="289">
        <v>999999</v>
      </c>
      <c r="AD559" s="287">
        <v>0</v>
      </c>
      <c r="AE559" s="290">
        <v>60</v>
      </c>
      <c r="AF559" s="170">
        <v>0</v>
      </c>
      <c r="AG559" s="171">
        <v>1</v>
      </c>
      <c r="AH559" s="171">
        <v>1</v>
      </c>
      <c r="AI559" s="171">
        <v>0</v>
      </c>
      <c r="AJ559" s="171">
        <v>0</v>
      </c>
      <c r="AK559" s="171">
        <v>1</v>
      </c>
      <c r="AL559" s="171">
        <v>1</v>
      </c>
      <c r="AM559" s="171">
        <v>1</v>
      </c>
      <c r="AN559" s="171">
        <v>1</v>
      </c>
      <c r="AO559" s="171">
        <v>1</v>
      </c>
      <c r="AP559" s="171">
        <v>1</v>
      </c>
      <c r="AQ559" s="171">
        <v>1</v>
      </c>
      <c r="AR559" s="171">
        <v>1</v>
      </c>
      <c r="AS559" s="171">
        <v>1</v>
      </c>
      <c r="AT559" s="171">
        <v>1</v>
      </c>
      <c r="AU559" s="171">
        <f t="shared" si="183"/>
        <v>0</v>
      </c>
      <c r="AV559" s="171">
        <f t="shared" si="184"/>
        <v>1</v>
      </c>
      <c r="AW559" s="171">
        <f t="shared" si="185"/>
        <v>1</v>
      </c>
      <c r="AX559" s="171">
        <f t="shared" si="197"/>
        <v>1</v>
      </c>
      <c r="AY559" s="171">
        <f t="shared" si="186"/>
        <v>0</v>
      </c>
      <c r="AZ559" s="171">
        <f t="shared" si="187"/>
        <v>1</v>
      </c>
      <c r="BA559" s="172">
        <f t="shared" si="188"/>
        <v>0</v>
      </c>
      <c r="BB559" s="175">
        <f t="shared" si="248"/>
        <v>16</v>
      </c>
      <c r="BC559" s="176">
        <f t="shared" si="249"/>
        <v>16</v>
      </c>
      <c r="BD559" s="176">
        <f t="shared" si="250"/>
        <v>16</v>
      </c>
      <c r="BE559" s="240" t="str">
        <f t="shared" si="215"/>
        <v/>
      </c>
      <c r="BH559" s="199">
        <f>IF(AND(Input_Product=Elig!$C559,Elig_MatchAll_Ct&lt;22,$BC559=(Elig_MatchAll_Ct-1),AF559=0),C559,0)</f>
        <v>0</v>
      </c>
      <c r="BI559" s="199">
        <f>IF(AND(Input_Product=Elig!$C559,Elig_MatchAll_Ct&lt;22,$BC559=(Elig_MatchAll_Ct-1),AG559=0),D559,0)</f>
        <v>0</v>
      </c>
      <c r="BJ559" s="199">
        <f>IF(AND(Input_Product=Elig!$C559,Elig_MatchAll_Ct&lt;22,$BC559=(Elig_MatchAll_Ct-1),AH559=0),E559,0)</f>
        <v>0</v>
      </c>
      <c r="BK559" s="199">
        <f>IF(AND(Input_Product=Elig!$C559,Elig_MatchAll_Ct&lt;22,$BC559=(Elig_MatchAll_Ct-1),AI559=0),F559,0)</f>
        <v>0</v>
      </c>
      <c r="BL559" s="199">
        <f>IF(AND(Input_Product=Elig!$C559,Elig_MatchAll_Ct&lt;22,$BC559=(Elig_MatchAll_Ct-1),AJ559=0),G559,0)</f>
        <v>0</v>
      </c>
      <c r="BM559" s="199">
        <f>IF(AND(Input_Product=Elig!$C559,Elig_MatchAll_Ct&lt;22,$BC559=(Elig_MatchAll_Ct-1),AK559=0),H559,0)</f>
        <v>0</v>
      </c>
      <c r="BN559" s="199">
        <f>IF(AND(Input_Product=Elig!$C559,Elig_MatchAll_Ct&lt;22,$BC559=(Elig_MatchAll_Ct-1),AL559=0),I559,0)</f>
        <v>0</v>
      </c>
      <c r="BO559" s="199">
        <f>IF(AND(Input_Product=Elig!$C559,Elig_MatchAll_Ct&lt;22,$BC559=(Elig_MatchAll_Ct-1),AM559=0),J559,0)</f>
        <v>0</v>
      </c>
      <c r="BP559" s="199">
        <f>IF(AND(Input_Product=Elig!$C559,Elig_MatchAll_Ct&lt;22,$BC559=(Elig_MatchAll_Ct-1),AN559=0),K559,0)</f>
        <v>0</v>
      </c>
      <c r="BQ559" s="199">
        <f>IF(AND(Input_Product=Elig!$C559,Elig_MatchAll_Ct&lt;22,$BC559=(Elig_MatchAll_Ct-1),AP559=0),L559,0)</f>
        <v>0</v>
      </c>
      <c r="BR559" s="199">
        <f>IF(AND(Input_Product=Elig!$C559,Elig_MatchAll_Ct&lt;22,$BC559=(Elig_MatchAll_Ct-1),AO559=0),M559,0)</f>
        <v>0</v>
      </c>
      <c r="BS559" s="199">
        <f>IF(AND(Input_Product=Elig!$C559,Elig_MatchAll_Ct&lt;22,$BC559=(Elig_MatchAll_Ct-1),AQ559=0),N559,0)</f>
        <v>0</v>
      </c>
      <c r="BT559" s="199">
        <f>IF(AND(Input_Product=Elig!$C559,Elig_MatchAll_Ct&lt;22,$BC559=(Elig_MatchAll_Ct-1),AR559=0),O559,0)</f>
        <v>0</v>
      </c>
      <c r="BU559" s="199">
        <f>IF(AND(Input_Product=Elig!$C559,Elig_MatchAll_Ct&lt;22,$BC559=(Elig_MatchAll_Ct-1),AS559=0),P559,0)</f>
        <v>0</v>
      </c>
      <c r="BV559" s="200">
        <f>IF(AND(Input_Product=Elig!$C559,Elig_MatchAll_Ct&lt;22,$BC559=(Elig_MatchAll_Ct-1),AT559=0),Q559,0)</f>
        <v>0</v>
      </c>
      <c r="BW559" s="201">
        <f>IF(AND(Input_Product=Elig!$C559,Elig_MatchAll_Ct&lt;22,$BC559=(Elig_MatchAll_Ct-1),AU559=0),R559,0)</f>
        <v>0</v>
      </c>
      <c r="BX559" s="202">
        <f>IF(AND(Input_Product=Elig!$C559,Elig_MatchAll_Ct&lt;22,$BC559=(Elig_MatchAll_Ct-1),AU559=0),S559,0)</f>
        <v>0</v>
      </c>
      <c r="BY559" s="201">
        <f>IF(AND(Input_Product=Elig!$C559,Elig_MatchAll_Ct&lt;22,$BC559=(Elig_MatchAll_Ct-1),AV559=0),T559,0)</f>
        <v>0</v>
      </c>
      <c r="BZ559" s="202">
        <f>IF(AND(Input_Product=Elig!$C559,Elig_MatchAll_Ct&lt;22,$BC559=(Elig_MatchAll_Ct-1),AV559=0),U559,0)</f>
        <v>0</v>
      </c>
      <c r="CA559" s="201">
        <f>IF(AND(Input_Product=Elig!$C559,Elig_MatchAll_Ct&lt;22,$BC559=(Elig_MatchAll_Ct-1),AW559=0),V559,0)</f>
        <v>0</v>
      </c>
      <c r="CB559" s="202">
        <f>IF(AND(Input_Product=Elig!$C559,Elig_MatchAll_Ct&lt;22,$BC559=(Elig_MatchAll_Ct-1),AW559=0),W559,0)</f>
        <v>0</v>
      </c>
      <c r="CC559" s="201">
        <f>IF(AND(Input_Product=Elig!$C559,Elig_MatchAll_Ct&lt;22,$BC559=(Elig_MatchAll_Ct-1),AX559=0),X559,0)</f>
        <v>0</v>
      </c>
      <c r="CD559" s="202">
        <f>IF(AND(Input_Product=Elig!$C559,Elig_MatchAll_Ct&lt;22,$BC559=(Elig_MatchAll_Ct-1),AX559=0),Y559,0)</f>
        <v>0</v>
      </c>
      <c r="CE559" s="201">
        <f>IF(AND(Input_LTV&lt;=AE559,Input_Product=Elig!$C559,Elig_MatchAll_Ct&lt;22,$BC559=(Elig_MatchAll_Ct-1),AY559=0),Z559,0)</f>
        <v>0</v>
      </c>
      <c r="CF559" s="202">
        <f>IF(AND(Input_LTV&lt;=AE559,Input_Product=Elig!$C559,Elig_MatchAll_Ct&lt;22,$BC559=(Elig_MatchAll_Ct-1),AY559=0),AA559,0)</f>
        <v>0</v>
      </c>
      <c r="CG559" s="201">
        <f>IF(AND(Input_Product=Elig!$C559,Elig_MatchAll_Ct&lt;22,$BC559=(Elig_MatchAll_Ct-1),AZ559=0),AB559,0)</f>
        <v>0</v>
      </c>
      <c r="CH559" s="202">
        <f>IF(AND(Input_Product=Elig!$C559,Elig_MatchAll_Ct&lt;22,$BC559=(Elig_MatchAll_Ct-1),AZ559=0),AC559,0)</f>
        <v>0</v>
      </c>
      <c r="CI559" s="201">
        <f>IF(AND(Input_Product=Elig!$C559,Elig_MatchAll_Ct&lt;22,$BC559=(Elig_MatchAll_Ct-1),BA559=0),AD559,0)</f>
        <v>0</v>
      </c>
      <c r="CJ559" s="202">
        <f>IF(AND(Input_Product=Elig!$C559,Elig_MatchAll_Ct&lt;22,$BC559=(Elig_MatchAll_Ct-1),BA559=0),AE559,0)</f>
        <v>0</v>
      </c>
    </row>
    <row r="560" spans="2:88" ht="10.15" customHeight="1" x14ac:dyDescent="0.25">
      <c r="B560" s="287" t="s">
        <v>4118</v>
      </c>
      <c r="C560" s="291" t="str">
        <f t="shared" si="241"/>
        <v>NonQM NOO</v>
      </c>
      <c r="D560" s="292" t="s">
        <v>3885</v>
      </c>
      <c r="E560" s="292" t="s">
        <v>167</v>
      </c>
      <c r="F560" s="292" t="s">
        <v>330</v>
      </c>
      <c r="G560" s="324" t="s">
        <v>468</v>
      </c>
      <c r="H560" s="292" t="s">
        <v>136</v>
      </c>
      <c r="I560" s="295" t="s">
        <v>16</v>
      </c>
      <c r="J560" s="295" t="s">
        <v>1311</v>
      </c>
      <c r="K560" s="295" t="s">
        <v>1631</v>
      </c>
      <c r="L560" s="324" t="s">
        <v>312</v>
      </c>
      <c r="M560" s="292" t="s">
        <v>4203</v>
      </c>
      <c r="N560" s="292" t="s">
        <v>2685</v>
      </c>
      <c r="O560" s="292" t="s">
        <v>310</v>
      </c>
      <c r="P560" s="292" t="s">
        <v>291</v>
      </c>
      <c r="Q560" s="292" t="s">
        <v>294</v>
      </c>
      <c r="R560" s="324">
        <v>2500000.0099999998</v>
      </c>
      <c r="S560" s="292">
        <v>3000000</v>
      </c>
      <c r="T560" s="292">
        <v>0</v>
      </c>
      <c r="U560" s="292">
        <f t="shared" si="251"/>
        <v>3000000</v>
      </c>
      <c r="V560" s="292">
        <v>0</v>
      </c>
      <c r="W560" s="292">
        <v>50</v>
      </c>
      <c r="X560" s="292">
        <v>0</v>
      </c>
      <c r="Y560" s="292">
        <v>999</v>
      </c>
      <c r="Z560" s="293">
        <v>680</v>
      </c>
      <c r="AA560" s="293">
        <v>699</v>
      </c>
      <c r="AB560" s="293">
        <v>9</v>
      </c>
      <c r="AC560" s="293">
        <v>999999</v>
      </c>
      <c r="AD560" s="292">
        <v>0</v>
      </c>
      <c r="AE560" s="294">
        <v>60</v>
      </c>
      <c r="AF560" s="170">
        <v>0</v>
      </c>
      <c r="AG560" s="171">
        <v>1</v>
      </c>
      <c r="AH560" s="171">
        <v>1</v>
      </c>
      <c r="AI560" s="171">
        <v>0</v>
      </c>
      <c r="AJ560" s="171">
        <v>0</v>
      </c>
      <c r="AK560" s="171">
        <v>1</v>
      </c>
      <c r="AL560" s="171">
        <v>1</v>
      </c>
      <c r="AM560" s="171">
        <v>1</v>
      </c>
      <c r="AN560" s="171">
        <v>1</v>
      </c>
      <c r="AO560" s="171">
        <v>1</v>
      </c>
      <c r="AP560" s="171">
        <v>1</v>
      </c>
      <c r="AQ560" s="171">
        <v>1</v>
      </c>
      <c r="AR560" s="171">
        <v>1</v>
      </c>
      <c r="AS560" s="171">
        <v>1</v>
      </c>
      <c r="AT560" s="171">
        <v>1</v>
      </c>
      <c r="AU560" s="171">
        <f t="shared" si="183"/>
        <v>0</v>
      </c>
      <c r="AV560" s="171">
        <f t="shared" si="184"/>
        <v>1</v>
      </c>
      <c r="AW560" s="171">
        <f t="shared" si="185"/>
        <v>1</v>
      </c>
      <c r="AX560" s="171">
        <f t="shared" si="197"/>
        <v>1</v>
      </c>
      <c r="AY560" s="171">
        <f t="shared" si="186"/>
        <v>0</v>
      </c>
      <c r="AZ560" s="171">
        <f t="shared" si="187"/>
        <v>1</v>
      </c>
      <c r="BA560" s="172">
        <f t="shared" si="188"/>
        <v>0</v>
      </c>
      <c r="BB560" s="175">
        <f t="shared" si="248"/>
        <v>16</v>
      </c>
      <c r="BC560" s="176">
        <f t="shared" si="249"/>
        <v>16</v>
      </c>
      <c r="BD560" s="176">
        <f t="shared" si="250"/>
        <v>16</v>
      </c>
      <c r="BE560" s="240" t="str">
        <f t="shared" si="215"/>
        <v/>
      </c>
      <c r="BH560" s="214">
        <f>IF(AND(Input_Product=Elig!$C560,Elig_MatchAll_Ct&lt;22,$BC560=(Elig_MatchAll_Ct-1),AF560=0),C560,0)</f>
        <v>0</v>
      </c>
      <c r="BI560" s="214">
        <f>IF(AND(Input_Product=Elig!$C560,Elig_MatchAll_Ct&lt;22,$BC560=(Elig_MatchAll_Ct-1),AG560=0),D560,0)</f>
        <v>0</v>
      </c>
      <c r="BJ560" s="214">
        <f>IF(AND(Input_Product=Elig!$C560,Elig_MatchAll_Ct&lt;22,$BC560=(Elig_MatchAll_Ct-1),AH560=0),E560,0)</f>
        <v>0</v>
      </c>
      <c r="BK560" s="214">
        <f>IF(AND(Input_Product=Elig!$C560,Elig_MatchAll_Ct&lt;22,$BC560=(Elig_MatchAll_Ct-1),AI560=0),F560,0)</f>
        <v>0</v>
      </c>
      <c r="BL560" s="214">
        <f>IF(AND(Input_Product=Elig!$C560,Elig_MatchAll_Ct&lt;22,$BC560=(Elig_MatchAll_Ct-1),AJ560=0),G560,0)</f>
        <v>0</v>
      </c>
      <c r="BM560" s="214">
        <f>IF(AND(Input_Product=Elig!$C560,Elig_MatchAll_Ct&lt;22,$BC560=(Elig_MatchAll_Ct-1),AK560=0),H560,0)</f>
        <v>0</v>
      </c>
      <c r="BN560" s="214">
        <f>IF(AND(Input_Product=Elig!$C560,Elig_MatchAll_Ct&lt;22,$BC560=(Elig_MatchAll_Ct-1),AL560=0),I560,0)</f>
        <v>0</v>
      </c>
      <c r="BO560" s="214">
        <f>IF(AND(Input_Product=Elig!$C560,Elig_MatchAll_Ct&lt;22,$BC560=(Elig_MatchAll_Ct-1),AM560=0),J560,0)</f>
        <v>0</v>
      </c>
      <c r="BP560" s="214">
        <f>IF(AND(Input_Product=Elig!$C560,Elig_MatchAll_Ct&lt;22,$BC560=(Elig_MatchAll_Ct-1),AN560=0),K560,0)</f>
        <v>0</v>
      </c>
      <c r="BQ560" s="214">
        <f>IF(AND(Input_Product=Elig!$C560,Elig_MatchAll_Ct&lt;22,$BC560=(Elig_MatchAll_Ct-1),AP560=0),L560,0)</f>
        <v>0</v>
      </c>
      <c r="BR560" s="214">
        <f>IF(AND(Input_Product=Elig!$C560,Elig_MatchAll_Ct&lt;22,$BC560=(Elig_MatchAll_Ct-1),AO560=0),M560,0)</f>
        <v>0</v>
      </c>
      <c r="BS560" s="214">
        <f>IF(AND(Input_Product=Elig!$C560,Elig_MatchAll_Ct&lt;22,$BC560=(Elig_MatchAll_Ct-1),AQ560=0),N560,0)</f>
        <v>0</v>
      </c>
      <c r="BT560" s="214">
        <f>IF(AND(Input_Product=Elig!$C560,Elig_MatchAll_Ct&lt;22,$BC560=(Elig_MatchAll_Ct-1),AR560=0),O560,0)</f>
        <v>0</v>
      </c>
      <c r="BU560" s="214">
        <f>IF(AND(Input_Product=Elig!$C560,Elig_MatchAll_Ct&lt;22,$BC560=(Elig_MatchAll_Ct-1),AS560=0),P560,0)</f>
        <v>0</v>
      </c>
      <c r="BV560" s="215">
        <f>IF(AND(Input_Product=Elig!$C560,Elig_MatchAll_Ct&lt;22,$BC560=(Elig_MatchAll_Ct-1),AT560=0),Q560,0)</f>
        <v>0</v>
      </c>
      <c r="BW560" s="311">
        <f>IF(AND(Input_Product=Elig!$C560,Elig_MatchAll_Ct&lt;22,$BC560=(Elig_MatchAll_Ct-1),AU560=0),R560,0)</f>
        <v>0</v>
      </c>
      <c r="BX560" s="312">
        <f>IF(AND(Input_Product=Elig!$C560,Elig_MatchAll_Ct&lt;22,$BC560=(Elig_MatchAll_Ct-1),AU560=0),S560,0)</f>
        <v>0</v>
      </c>
      <c r="BY560" s="311">
        <f>IF(AND(Input_Product=Elig!$C560,Elig_MatchAll_Ct&lt;22,$BC560=(Elig_MatchAll_Ct-1),AV560=0),T560,0)</f>
        <v>0</v>
      </c>
      <c r="BZ560" s="312">
        <f>IF(AND(Input_Product=Elig!$C560,Elig_MatchAll_Ct&lt;22,$BC560=(Elig_MatchAll_Ct-1),AV560=0),U560,0)</f>
        <v>0</v>
      </c>
      <c r="CA560" s="311">
        <f>IF(AND(Input_Product=Elig!$C560,Elig_MatchAll_Ct&lt;22,$BC560=(Elig_MatchAll_Ct-1),AW560=0),V560,0)</f>
        <v>0</v>
      </c>
      <c r="CB560" s="312">
        <f>IF(AND(Input_Product=Elig!$C560,Elig_MatchAll_Ct&lt;22,$BC560=(Elig_MatchAll_Ct-1),AW560=0),W560,0)</f>
        <v>0</v>
      </c>
      <c r="CC560" s="311">
        <f>IF(AND(Input_Product=Elig!$C560,Elig_MatchAll_Ct&lt;22,$BC560=(Elig_MatchAll_Ct-1),AX560=0),X560,0)</f>
        <v>0</v>
      </c>
      <c r="CD560" s="312">
        <f>IF(AND(Input_Product=Elig!$C560,Elig_MatchAll_Ct&lt;22,$BC560=(Elig_MatchAll_Ct-1),AX560=0),Y560,0)</f>
        <v>0</v>
      </c>
      <c r="CE560" s="311">
        <f>IF(AND(Input_LTV&lt;=AE560,Input_Product=Elig!$C560,Elig_MatchAll_Ct&lt;22,$BC560=(Elig_MatchAll_Ct-1),AY560=0),Z560,0)</f>
        <v>0</v>
      </c>
      <c r="CF560" s="312">
        <f>IF(AND(Input_LTV&lt;=AE560,Input_Product=Elig!$C560,Elig_MatchAll_Ct&lt;22,$BC560=(Elig_MatchAll_Ct-1),AY560=0),AA560,0)</f>
        <v>0</v>
      </c>
      <c r="CG560" s="311">
        <f>IF(AND(Input_Product=Elig!$C560,Elig_MatchAll_Ct&lt;22,$BC560=(Elig_MatchAll_Ct-1),AZ560=0),AB560,0)</f>
        <v>0</v>
      </c>
      <c r="CH560" s="312">
        <f>IF(AND(Input_Product=Elig!$C560,Elig_MatchAll_Ct&lt;22,$BC560=(Elig_MatchAll_Ct-1),AZ560=0),AC560,0)</f>
        <v>0</v>
      </c>
      <c r="CI560" s="311">
        <f>IF(AND(Input_Product=Elig!$C560,Elig_MatchAll_Ct&lt;22,$BC560=(Elig_MatchAll_Ct-1),BA560=0),AD560,0)</f>
        <v>0</v>
      </c>
      <c r="CJ560" s="312">
        <f>IF(AND(Input_Product=Elig!$C560,Elig_MatchAll_Ct&lt;22,$BC560=(Elig_MatchAll_Ct-1),BA560=0),AE560,0)</f>
        <v>0</v>
      </c>
    </row>
    <row r="561" spans="2:88" ht="10.15" customHeight="1" x14ac:dyDescent="0.25">
      <c r="B561" s="287" t="s">
        <v>4119</v>
      </c>
      <c r="C561" s="281" t="str">
        <f t="shared" si="241"/>
        <v>NonQM NOO</v>
      </c>
      <c r="D561" s="282" t="s">
        <v>3885</v>
      </c>
      <c r="E561" s="283" t="s">
        <v>167</v>
      </c>
      <c r="F561" s="283" t="s">
        <v>330</v>
      </c>
      <c r="G561" s="283" t="s">
        <v>179</v>
      </c>
      <c r="H561" s="283" t="s">
        <v>136</v>
      </c>
      <c r="I561" s="282" t="s">
        <v>274</v>
      </c>
      <c r="J561" s="282" t="s">
        <v>1311</v>
      </c>
      <c r="K561" s="282" t="s">
        <v>1631</v>
      </c>
      <c r="L561" s="2103" t="s">
        <v>312</v>
      </c>
      <c r="M561" s="283" t="s">
        <v>4203</v>
      </c>
      <c r="N561" s="283" t="s">
        <v>2685</v>
      </c>
      <c r="O561" s="283" t="s">
        <v>310</v>
      </c>
      <c r="P561" s="283" t="s">
        <v>291</v>
      </c>
      <c r="Q561" s="283" t="s">
        <v>294</v>
      </c>
      <c r="R561" s="323">
        <v>2500000.0099999998</v>
      </c>
      <c r="S561" s="282">
        <v>3000000</v>
      </c>
      <c r="T561" s="282">
        <v>0</v>
      </c>
      <c r="U561" s="282">
        <v>0</v>
      </c>
      <c r="V561" s="282">
        <v>0</v>
      </c>
      <c r="W561" s="282">
        <v>50</v>
      </c>
      <c r="X561" s="282">
        <v>0</v>
      </c>
      <c r="Y561" s="282">
        <v>999</v>
      </c>
      <c r="Z561" s="284">
        <v>720</v>
      </c>
      <c r="AA561" s="284">
        <v>999</v>
      </c>
      <c r="AB561" s="284">
        <v>9</v>
      </c>
      <c r="AC561" s="284">
        <v>999999</v>
      </c>
      <c r="AD561" s="282">
        <v>0</v>
      </c>
      <c r="AE561" s="285">
        <v>65</v>
      </c>
      <c r="AF561" s="170">
        <v>0</v>
      </c>
      <c r="AG561" s="171">
        <v>1</v>
      </c>
      <c r="AH561" s="171">
        <v>1</v>
      </c>
      <c r="AI561" s="171">
        <v>0</v>
      </c>
      <c r="AJ561" s="171">
        <v>0</v>
      </c>
      <c r="AK561" s="171">
        <v>1</v>
      </c>
      <c r="AL561" s="171">
        <v>0</v>
      </c>
      <c r="AM561" s="171">
        <v>1</v>
      </c>
      <c r="AN561" s="171">
        <v>1</v>
      </c>
      <c r="AO561" s="171">
        <v>1</v>
      </c>
      <c r="AP561" s="171">
        <v>1</v>
      </c>
      <c r="AQ561" s="171">
        <v>1</v>
      </c>
      <c r="AR561" s="171">
        <v>1</v>
      </c>
      <c r="AS561" s="171">
        <v>1</v>
      </c>
      <c r="AT561" s="171">
        <v>1</v>
      </c>
      <c r="AU561" s="171">
        <f t="shared" si="183"/>
        <v>0</v>
      </c>
      <c r="AV561" s="171">
        <f t="shared" si="184"/>
        <v>0</v>
      </c>
      <c r="AW561" s="171">
        <f t="shared" si="185"/>
        <v>1</v>
      </c>
      <c r="AX561" s="171">
        <f t="shared" si="197"/>
        <v>1</v>
      </c>
      <c r="AY561" s="171">
        <f t="shared" si="186"/>
        <v>1</v>
      </c>
      <c r="AZ561" s="171">
        <f t="shared" si="187"/>
        <v>1</v>
      </c>
      <c r="BA561" s="172">
        <f t="shared" si="188"/>
        <v>1</v>
      </c>
      <c r="BB561" s="175">
        <f t="shared" si="243"/>
        <v>16</v>
      </c>
      <c r="BC561" s="176">
        <f t="shared" si="244"/>
        <v>15</v>
      </c>
      <c r="BD561" s="176">
        <f t="shared" si="245"/>
        <v>16</v>
      </c>
      <c r="BE561" s="240" t="str">
        <f t="shared" si="215"/>
        <v/>
      </c>
      <c r="BH561" s="210">
        <f>IF(AND(Input_Product=Elig!$C561,Elig_MatchAll_Ct&lt;22,$BC561=(Elig_MatchAll_Ct-1),AF561=0),C561,0)</f>
        <v>0</v>
      </c>
      <c r="BI561" s="210">
        <f>IF(AND(Input_Product=Elig!$C561,Elig_MatchAll_Ct&lt;22,$BC561=(Elig_MatchAll_Ct-1),AG561=0),D561,0)</f>
        <v>0</v>
      </c>
      <c r="BJ561" s="210">
        <f>IF(AND(Input_Product=Elig!$C561,Elig_MatchAll_Ct&lt;22,$BC561=(Elig_MatchAll_Ct-1),AH561=0),E561,0)</f>
        <v>0</v>
      </c>
      <c r="BK561" s="210">
        <f>IF(AND(Input_Product=Elig!$C561,Elig_MatchAll_Ct&lt;22,$BC561=(Elig_MatchAll_Ct-1),AI561=0),F561,0)</f>
        <v>0</v>
      </c>
      <c r="BL561" s="210">
        <f>IF(AND(Input_Product=Elig!$C561,Elig_MatchAll_Ct&lt;22,$BC561=(Elig_MatchAll_Ct-1),AJ561=0),G561,0)</f>
        <v>0</v>
      </c>
      <c r="BM561" s="210">
        <f>IF(AND(Input_Product=Elig!$C561,Elig_MatchAll_Ct&lt;22,$BC561=(Elig_MatchAll_Ct-1),AK561=0),H561,0)</f>
        <v>0</v>
      </c>
      <c r="BN561" s="210">
        <f>IF(AND(Input_Product=Elig!$C561,Elig_MatchAll_Ct&lt;22,$BC561=(Elig_MatchAll_Ct-1),AL561=0),I561,0)</f>
        <v>0</v>
      </c>
      <c r="BO561" s="210">
        <f>IF(AND(Input_Product=Elig!$C561,Elig_MatchAll_Ct&lt;22,$BC561=(Elig_MatchAll_Ct-1),AM561=0),J561,0)</f>
        <v>0</v>
      </c>
      <c r="BP561" s="210">
        <f>IF(AND(Input_Product=Elig!$C561,Elig_MatchAll_Ct&lt;22,$BC561=(Elig_MatchAll_Ct-1),AN561=0),K561,0)</f>
        <v>0</v>
      </c>
      <c r="BQ561" s="210">
        <f>IF(AND(Input_Product=Elig!$C561,Elig_MatchAll_Ct&lt;22,$BC561=(Elig_MatchAll_Ct-1),AP561=0),L561,0)</f>
        <v>0</v>
      </c>
      <c r="BR561" s="210">
        <f>IF(AND(Input_Product=Elig!$C561,Elig_MatchAll_Ct&lt;22,$BC561=(Elig_MatchAll_Ct-1),AO561=0),M561,0)</f>
        <v>0</v>
      </c>
      <c r="BS561" s="210">
        <f>IF(AND(Input_Product=Elig!$C561,Elig_MatchAll_Ct&lt;22,$BC561=(Elig_MatchAll_Ct-1),AQ561=0),N561,0)</f>
        <v>0</v>
      </c>
      <c r="BT561" s="210">
        <f>IF(AND(Input_Product=Elig!$C561,Elig_MatchAll_Ct&lt;22,$BC561=(Elig_MatchAll_Ct-1),AR561=0),O561,0)</f>
        <v>0</v>
      </c>
      <c r="BU561" s="210">
        <f>IF(AND(Input_Product=Elig!$C561,Elig_MatchAll_Ct&lt;22,$BC561=(Elig_MatchAll_Ct-1),AS561=0),P561,0)</f>
        <v>0</v>
      </c>
      <c r="BV561" s="211">
        <f>IF(AND(Input_Product=Elig!$C561,Elig_MatchAll_Ct&lt;22,$BC561=(Elig_MatchAll_Ct-1),AT561=0),Q561,0)</f>
        <v>0</v>
      </c>
      <c r="BW561" s="212">
        <f>IF(AND(Input_Product=Elig!$C561,Elig_MatchAll_Ct&lt;22,$BC561=(Elig_MatchAll_Ct-1),AU561=0),R561,0)</f>
        <v>0</v>
      </c>
      <c r="BX561" s="213">
        <f>IF(AND(Input_Product=Elig!$C561,Elig_MatchAll_Ct&lt;22,$BC561=(Elig_MatchAll_Ct-1),AU561=0),S561,0)</f>
        <v>0</v>
      </c>
      <c r="BY561" s="212">
        <f>IF(AND(Input_Product=Elig!$C561,Elig_MatchAll_Ct&lt;22,$BC561=(Elig_MatchAll_Ct-1),AV561=0),T561,0)</f>
        <v>0</v>
      </c>
      <c r="BZ561" s="213">
        <f>IF(AND(Input_Product=Elig!$C561,Elig_MatchAll_Ct&lt;22,$BC561=(Elig_MatchAll_Ct-1),AV561=0),U561,0)</f>
        <v>0</v>
      </c>
      <c r="CA561" s="212">
        <f>IF(AND(Input_Product=Elig!$C561,Elig_MatchAll_Ct&lt;22,$BC561=(Elig_MatchAll_Ct-1),AW561=0),V561,0)</f>
        <v>0</v>
      </c>
      <c r="CB561" s="213">
        <f>IF(AND(Input_Product=Elig!$C561,Elig_MatchAll_Ct&lt;22,$BC561=(Elig_MatchAll_Ct-1),AW561=0),W561,0)</f>
        <v>0</v>
      </c>
      <c r="CC561" s="212">
        <f>IF(AND(Input_Product=Elig!$C561,Elig_MatchAll_Ct&lt;22,$BC561=(Elig_MatchAll_Ct-1),AX561=0),X561,0)</f>
        <v>0</v>
      </c>
      <c r="CD561" s="213">
        <f>IF(AND(Input_Product=Elig!$C561,Elig_MatchAll_Ct&lt;22,$BC561=(Elig_MatchAll_Ct-1),AX561=0),Y561,0)</f>
        <v>0</v>
      </c>
      <c r="CE561" s="212">
        <f>IF(AND(Input_LTV&lt;=AE561,Input_Product=Elig!$C561,Elig_MatchAll_Ct&lt;22,$BC561=(Elig_MatchAll_Ct-1),AY561=0),Z561,0)</f>
        <v>0</v>
      </c>
      <c r="CF561" s="213">
        <f>IF(AND(Input_LTV&lt;=AE561,Input_Product=Elig!$C561,Elig_MatchAll_Ct&lt;22,$BC561=(Elig_MatchAll_Ct-1),AY561=0),AA561,0)</f>
        <v>0</v>
      </c>
      <c r="CG561" s="212">
        <f>IF(AND(Input_Product=Elig!$C561,Elig_MatchAll_Ct&lt;22,$BC561=(Elig_MatchAll_Ct-1),AZ561=0),AB561,0)</f>
        <v>0</v>
      </c>
      <c r="CH561" s="213">
        <f>IF(AND(Input_Product=Elig!$C561,Elig_MatchAll_Ct&lt;22,$BC561=(Elig_MatchAll_Ct-1),AZ561=0),AC561,0)</f>
        <v>0</v>
      </c>
      <c r="CI561" s="212">
        <f>IF(AND(Input_Product=Elig!$C561,Elig_MatchAll_Ct&lt;22,$BC561=(Elig_MatchAll_Ct-1),BA561=0),AD561,0)</f>
        <v>0</v>
      </c>
      <c r="CJ561" s="213">
        <f>IF(AND(Input_Product=Elig!$C561,Elig_MatchAll_Ct&lt;22,$BC561=(Elig_MatchAll_Ct-1),BA561=0),AE561,0)</f>
        <v>0</v>
      </c>
    </row>
    <row r="562" spans="2:88" ht="10.15" customHeight="1" x14ac:dyDescent="0.25">
      <c r="B562" s="287" t="s">
        <v>4120</v>
      </c>
      <c r="C562" s="286" t="str">
        <f t="shared" si="241"/>
        <v>NonQM NOO</v>
      </c>
      <c r="D562" s="287" t="s">
        <v>3885</v>
      </c>
      <c r="E562" s="287" t="s">
        <v>167</v>
      </c>
      <c r="F562" s="287" t="s">
        <v>330</v>
      </c>
      <c r="G562" s="287" t="s">
        <v>179</v>
      </c>
      <c r="H562" s="287" t="s">
        <v>136</v>
      </c>
      <c r="I562" s="288" t="s">
        <v>274</v>
      </c>
      <c r="J562" s="288" t="s">
        <v>1311</v>
      </c>
      <c r="K562" s="288" t="s">
        <v>1631</v>
      </c>
      <c r="L562" s="300" t="s">
        <v>312</v>
      </c>
      <c r="M562" s="287" t="s">
        <v>4203</v>
      </c>
      <c r="N562" s="287" t="s">
        <v>2685</v>
      </c>
      <c r="O562" s="287" t="s">
        <v>310</v>
      </c>
      <c r="P562" s="287" t="s">
        <v>291</v>
      </c>
      <c r="Q562" s="287" t="s">
        <v>294</v>
      </c>
      <c r="R562" s="300">
        <v>2500000.0099999998</v>
      </c>
      <c r="S562" s="287">
        <v>3000000</v>
      </c>
      <c r="T562" s="287">
        <v>0</v>
      </c>
      <c r="U562" s="287">
        <v>0</v>
      </c>
      <c r="V562" s="287">
        <v>0</v>
      </c>
      <c r="W562" s="287">
        <v>50</v>
      </c>
      <c r="X562" s="287">
        <v>0</v>
      </c>
      <c r="Y562" s="287">
        <v>999</v>
      </c>
      <c r="Z562" s="289">
        <v>700</v>
      </c>
      <c r="AA562" s="289">
        <v>719</v>
      </c>
      <c r="AB562" s="289">
        <v>9</v>
      </c>
      <c r="AC562" s="289">
        <v>999999</v>
      </c>
      <c r="AD562" s="287">
        <v>0</v>
      </c>
      <c r="AE562" s="290">
        <v>65</v>
      </c>
      <c r="AF562" s="170">
        <v>0</v>
      </c>
      <c r="AG562" s="171">
        <v>1</v>
      </c>
      <c r="AH562" s="171">
        <v>1</v>
      </c>
      <c r="AI562" s="171">
        <v>0</v>
      </c>
      <c r="AJ562" s="171">
        <v>0</v>
      </c>
      <c r="AK562" s="171">
        <v>1</v>
      </c>
      <c r="AL562" s="171">
        <v>0</v>
      </c>
      <c r="AM562" s="171">
        <v>1</v>
      </c>
      <c r="AN562" s="171">
        <v>1</v>
      </c>
      <c r="AO562" s="171">
        <v>1</v>
      </c>
      <c r="AP562" s="171">
        <v>1</v>
      </c>
      <c r="AQ562" s="171">
        <v>1</v>
      </c>
      <c r="AR562" s="171">
        <v>1</v>
      </c>
      <c r="AS562" s="171">
        <v>1</v>
      </c>
      <c r="AT562" s="171">
        <v>1</v>
      </c>
      <c r="AU562" s="171">
        <f t="shared" si="183"/>
        <v>0</v>
      </c>
      <c r="AV562" s="171">
        <f t="shared" si="184"/>
        <v>0</v>
      </c>
      <c r="AW562" s="171">
        <f t="shared" si="185"/>
        <v>1</v>
      </c>
      <c r="AX562" s="171">
        <f t="shared" si="197"/>
        <v>1</v>
      </c>
      <c r="AY562" s="171">
        <f t="shared" si="186"/>
        <v>0</v>
      </c>
      <c r="AZ562" s="171">
        <f t="shared" si="187"/>
        <v>1</v>
      </c>
      <c r="BA562" s="172">
        <f t="shared" si="188"/>
        <v>1</v>
      </c>
      <c r="BB562" s="175">
        <f t="shared" si="243"/>
        <v>15</v>
      </c>
      <c r="BC562" s="176">
        <f t="shared" si="244"/>
        <v>14</v>
      </c>
      <c r="BD562" s="176">
        <f t="shared" si="245"/>
        <v>15</v>
      </c>
      <c r="BE562" s="240" t="str">
        <f t="shared" si="215"/>
        <v/>
      </c>
      <c r="BH562" s="199">
        <f>IF(AND(Input_Product=Elig!$C562,Elig_MatchAll_Ct&lt;22,$BC562=(Elig_MatchAll_Ct-1),AF562=0),C562,0)</f>
        <v>0</v>
      </c>
      <c r="BI562" s="199">
        <f>IF(AND(Input_Product=Elig!$C562,Elig_MatchAll_Ct&lt;22,$BC562=(Elig_MatchAll_Ct-1),AG562=0),D562,0)</f>
        <v>0</v>
      </c>
      <c r="BJ562" s="199">
        <f>IF(AND(Input_Product=Elig!$C562,Elig_MatchAll_Ct&lt;22,$BC562=(Elig_MatchAll_Ct-1),AH562=0),E562,0)</f>
        <v>0</v>
      </c>
      <c r="BK562" s="199">
        <f>IF(AND(Input_Product=Elig!$C562,Elig_MatchAll_Ct&lt;22,$BC562=(Elig_MatchAll_Ct-1),AI562=0),F562,0)</f>
        <v>0</v>
      </c>
      <c r="BL562" s="199">
        <f>IF(AND(Input_Product=Elig!$C562,Elig_MatchAll_Ct&lt;22,$BC562=(Elig_MatchAll_Ct-1),AJ562=0),G562,0)</f>
        <v>0</v>
      </c>
      <c r="BM562" s="199">
        <f>IF(AND(Input_Product=Elig!$C562,Elig_MatchAll_Ct&lt;22,$BC562=(Elig_MatchAll_Ct-1),AK562=0),H562,0)</f>
        <v>0</v>
      </c>
      <c r="BN562" s="199">
        <f>IF(AND(Input_Product=Elig!$C562,Elig_MatchAll_Ct&lt;22,$BC562=(Elig_MatchAll_Ct-1),AL562=0),I562,0)</f>
        <v>0</v>
      </c>
      <c r="BO562" s="199">
        <f>IF(AND(Input_Product=Elig!$C562,Elig_MatchAll_Ct&lt;22,$BC562=(Elig_MatchAll_Ct-1),AM562=0),J562,0)</f>
        <v>0</v>
      </c>
      <c r="BP562" s="199">
        <f>IF(AND(Input_Product=Elig!$C562,Elig_MatchAll_Ct&lt;22,$BC562=(Elig_MatchAll_Ct-1),AN562=0),K562,0)</f>
        <v>0</v>
      </c>
      <c r="BQ562" s="199">
        <f>IF(AND(Input_Product=Elig!$C562,Elig_MatchAll_Ct&lt;22,$BC562=(Elig_MatchAll_Ct-1),AP562=0),L562,0)</f>
        <v>0</v>
      </c>
      <c r="BR562" s="199">
        <f>IF(AND(Input_Product=Elig!$C562,Elig_MatchAll_Ct&lt;22,$BC562=(Elig_MatchAll_Ct-1),AO562=0),M562,0)</f>
        <v>0</v>
      </c>
      <c r="BS562" s="199">
        <f>IF(AND(Input_Product=Elig!$C562,Elig_MatchAll_Ct&lt;22,$BC562=(Elig_MatchAll_Ct-1),AQ562=0),N562,0)</f>
        <v>0</v>
      </c>
      <c r="BT562" s="199">
        <f>IF(AND(Input_Product=Elig!$C562,Elig_MatchAll_Ct&lt;22,$BC562=(Elig_MatchAll_Ct-1),AR562=0),O562,0)</f>
        <v>0</v>
      </c>
      <c r="BU562" s="199">
        <f>IF(AND(Input_Product=Elig!$C562,Elig_MatchAll_Ct&lt;22,$BC562=(Elig_MatchAll_Ct-1),AS562=0),P562,0)</f>
        <v>0</v>
      </c>
      <c r="BV562" s="200">
        <f>IF(AND(Input_Product=Elig!$C562,Elig_MatchAll_Ct&lt;22,$BC562=(Elig_MatchAll_Ct-1),AT562=0),Q562,0)</f>
        <v>0</v>
      </c>
      <c r="BW562" s="201">
        <f>IF(AND(Input_Product=Elig!$C562,Elig_MatchAll_Ct&lt;22,$BC562=(Elig_MatchAll_Ct-1),AU562=0),R562,0)</f>
        <v>0</v>
      </c>
      <c r="BX562" s="202">
        <f>IF(AND(Input_Product=Elig!$C562,Elig_MatchAll_Ct&lt;22,$BC562=(Elig_MatchAll_Ct-1),AU562=0),S562,0)</f>
        <v>0</v>
      </c>
      <c r="BY562" s="201">
        <f>IF(AND(Input_Product=Elig!$C562,Elig_MatchAll_Ct&lt;22,$BC562=(Elig_MatchAll_Ct-1),AV562=0),T562,0)</f>
        <v>0</v>
      </c>
      <c r="BZ562" s="202">
        <f>IF(AND(Input_Product=Elig!$C562,Elig_MatchAll_Ct&lt;22,$BC562=(Elig_MatchAll_Ct-1),AV562=0),U562,0)</f>
        <v>0</v>
      </c>
      <c r="CA562" s="201">
        <f>IF(AND(Input_Product=Elig!$C562,Elig_MatchAll_Ct&lt;22,$BC562=(Elig_MatchAll_Ct-1),AW562=0),V562,0)</f>
        <v>0</v>
      </c>
      <c r="CB562" s="202">
        <f>IF(AND(Input_Product=Elig!$C562,Elig_MatchAll_Ct&lt;22,$BC562=(Elig_MatchAll_Ct-1),AW562=0),W562,0)</f>
        <v>0</v>
      </c>
      <c r="CC562" s="201">
        <f>IF(AND(Input_Product=Elig!$C562,Elig_MatchAll_Ct&lt;22,$BC562=(Elig_MatchAll_Ct-1),AX562=0),X562,0)</f>
        <v>0</v>
      </c>
      <c r="CD562" s="202">
        <f>IF(AND(Input_Product=Elig!$C562,Elig_MatchAll_Ct&lt;22,$BC562=(Elig_MatchAll_Ct-1),AX562=0),Y562,0)</f>
        <v>0</v>
      </c>
      <c r="CE562" s="201">
        <f>IF(AND(Input_LTV&lt;=AE562,Input_Product=Elig!$C562,Elig_MatchAll_Ct&lt;22,$BC562=(Elig_MatchAll_Ct-1),AY562=0),Z562,0)</f>
        <v>0</v>
      </c>
      <c r="CF562" s="202">
        <f>IF(AND(Input_LTV&lt;=AE562,Input_Product=Elig!$C562,Elig_MatchAll_Ct&lt;22,$BC562=(Elig_MatchAll_Ct-1),AY562=0),AA562,0)</f>
        <v>0</v>
      </c>
      <c r="CG562" s="201">
        <f>IF(AND(Input_Product=Elig!$C562,Elig_MatchAll_Ct&lt;22,$BC562=(Elig_MatchAll_Ct-1),AZ562=0),AB562,0)</f>
        <v>0</v>
      </c>
      <c r="CH562" s="202">
        <f>IF(AND(Input_Product=Elig!$C562,Elig_MatchAll_Ct&lt;22,$BC562=(Elig_MatchAll_Ct-1),AZ562=0),AC562,0)</f>
        <v>0</v>
      </c>
      <c r="CI562" s="201">
        <f>IF(AND(Input_Product=Elig!$C562,Elig_MatchAll_Ct&lt;22,$BC562=(Elig_MatchAll_Ct-1),BA562=0),AD562,0)</f>
        <v>0</v>
      </c>
      <c r="CJ562" s="202">
        <f>IF(AND(Input_Product=Elig!$C562,Elig_MatchAll_Ct&lt;22,$BC562=(Elig_MatchAll_Ct-1),BA562=0),AE562,0)</f>
        <v>0</v>
      </c>
    </row>
    <row r="563" spans="2:88" ht="10.15" customHeight="1" x14ac:dyDescent="0.25">
      <c r="B563" s="287" t="s">
        <v>4121</v>
      </c>
      <c r="C563" s="291" t="str">
        <f t="shared" si="241"/>
        <v>NonQM NOO</v>
      </c>
      <c r="D563" s="292" t="s">
        <v>3885</v>
      </c>
      <c r="E563" s="292" t="s">
        <v>167</v>
      </c>
      <c r="F563" s="292" t="s">
        <v>330</v>
      </c>
      <c r="G563" s="292" t="s">
        <v>179</v>
      </c>
      <c r="H563" s="292" t="s">
        <v>136</v>
      </c>
      <c r="I563" s="295" t="s">
        <v>274</v>
      </c>
      <c r="J563" s="295" t="s">
        <v>1311</v>
      </c>
      <c r="K563" s="295" t="s">
        <v>1631</v>
      </c>
      <c r="L563" s="324" t="s">
        <v>312</v>
      </c>
      <c r="M563" s="292" t="s">
        <v>4203</v>
      </c>
      <c r="N563" s="292" t="s">
        <v>2685</v>
      </c>
      <c r="O563" s="292" t="s">
        <v>310</v>
      </c>
      <c r="P563" s="292" t="s">
        <v>291</v>
      </c>
      <c r="Q563" s="292" t="s">
        <v>294</v>
      </c>
      <c r="R563" s="324">
        <v>2500000.0099999998</v>
      </c>
      <c r="S563" s="292">
        <v>3000000</v>
      </c>
      <c r="T563" s="292">
        <v>0</v>
      </c>
      <c r="U563" s="292">
        <v>0</v>
      </c>
      <c r="V563" s="292">
        <v>0</v>
      </c>
      <c r="W563" s="292">
        <v>50</v>
      </c>
      <c r="X563" s="292">
        <v>0</v>
      </c>
      <c r="Y563" s="292">
        <v>999</v>
      </c>
      <c r="Z563" s="293">
        <v>680</v>
      </c>
      <c r="AA563" s="293">
        <v>699</v>
      </c>
      <c r="AB563" s="293">
        <v>9</v>
      </c>
      <c r="AC563" s="293">
        <v>999999</v>
      </c>
      <c r="AD563" s="292">
        <v>0</v>
      </c>
      <c r="AE563" s="294">
        <v>65</v>
      </c>
      <c r="AF563" s="170">
        <v>0</v>
      </c>
      <c r="AG563" s="171">
        <v>1</v>
      </c>
      <c r="AH563" s="171">
        <v>1</v>
      </c>
      <c r="AI563" s="171">
        <v>0</v>
      </c>
      <c r="AJ563" s="171">
        <v>0</v>
      </c>
      <c r="AK563" s="171">
        <v>1</v>
      </c>
      <c r="AL563" s="171">
        <v>0</v>
      </c>
      <c r="AM563" s="171">
        <v>1</v>
      </c>
      <c r="AN563" s="171">
        <v>1</v>
      </c>
      <c r="AO563" s="171">
        <v>1</v>
      </c>
      <c r="AP563" s="171">
        <v>1</v>
      </c>
      <c r="AQ563" s="171">
        <v>1</v>
      </c>
      <c r="AR563" s="171">
        <v>1</v>
      </c>
      <c r="AS563" s="171">
        <v>1</v>
      </c>
      <c r="AT563" s="171">
        <v>1</v>
      </c>
      <c r="AU563" s="171">
        <f t="shared" si="183"/>
        <v>0</v>
      </c>
      <c r="AV563" s="171">
        <f t="shared" si="184"/>
        <v>0</v>
      </c>
      <c r="AW563" s="171">
        <f t="shared" si="185"/>
        <v>1</v>
      </c>
      <c r="AX563" s="171">
        <f t="shared" si="197"/>
        <v>1</v>
      </c>
      <c r="AY563" s="171">
        <f t="shared" si="186"/>
        <v>0</v>
      </c>
      <c r="AZ563" s="171">
        <f t="shared" si="187"/>
        <v>1</v>
      </c>
      <c r="BA563" s="172">
        <f t="shared" si="188"/>
        <v>1</v>
      </c>
      <c r="BB563" s="175">
        <f t="shared" si="243"/>
        <v>15</v>
      </c>
      <c r="BC563" s="176">
        <f t="shared" si="244"/>
        <v>14</v>
      </c>
      <c r="BD563" s="176">
        <f t="shared" si="245"/>
        <v>15</v>
      </c>
      <c r="BE563" s="240" t="str">
        <f t="shared" si="215"/>
        <v/>
      </c>
      <c r="BH563" s="214">
        <f>IF(AND(Input_Product=Elig!$C563,Elig_MatchAll_Ct&lt;22,$BC563=(Elig_MatchAll_Ct-1),AF563=0),C563,0)</f>
        <v>0</v>
      </c>
      <c r="BI563" s="214">
        <f>IF(AND(Input_Product=Elig!$C563,Elig_MatchAll_Ct&lt;22,$BC563=(Elig_MatchAll_Ct-1),AG563=0),D563,0)</f>
        <v>0</v>
      </c>
      <c r="BJ563" s="214">
        <f>IF(AND(Input_Product=Elig!$C563,Elig_MatchAll_Ct&lt;22,$BC563=(Elig_MatchAll_Ct-1),AH563=0),E563,0)</f>
        <v>0</v>
      </c>
      <c r="BK563" s="214">
        <f>IF(AND(Input_Product=Elig!$C563,Elig_MatchAll_Ct&lt;22,$BC563=(Elig_MatchAll_Ct-1),AI563=0),F563,0)</f>
        <v>0</v>
      </c>
      <c r="BL563" s="214">
        <f>IF(AND(Input_Product=Elig!$C563,Elig_MatchAll_Ct&lt;22,$BC563=(Elig_MatchAll_Ct-1),AJ563=0),G563,0)</f>
        <v>0</v>
      </c>
      <c r="BM563" s="214">
        <f>IF(AND(Input_Product=Elig!$C563,Elig_MatchAll_Ct&lt;22,$BC563=(Elig_MatchAll_Ct-1),AK563=0),H563,0)</f>
        <v>0</v>
      </c>
      <c r="BN563" s="214">
        <f>IF(AND(Input_Product=Elig!$C563,Elig_MatchAll_Ct&lt;22,$BC563=(Elig_MatchAll_Ct-1),AL563=0),I563,0)</f>
        <v>0</v>
      </c>
      <c r="BO563" s="214">
        <f>IF(AND(Input_Product=Elig!$C563,Elig_MatchAll_Ct&lt;22,$BC563=(Elig_MatchAll_Ct-1),AM563=0),J563,0)</f>
        <v>0</v>
      </c>
      <c r="BP563" s="214">
        <f>IF(AND(Input_Product=Elig!$C563,Elig_MatchAll_Ct&lt;22,$BC563=(Elig_MatchAll_Ct-1),AN563=0),K563,0)</f>
        <v>0</v>
      </c>
      <c r="BQ563" s="214">
        <f>IF(AND(Input_Product=Elig!$C563,Elig_MatchAll_Ct&lt;22,$BC563=(Elig_MatchAll_Ct-1),AP563=0),L563,0)</f>
        <v>0</v>
      </c>
      <c r="BR563" s="214">
        <f>IF(AND(Input_Product=Elig!$C563,Elig_MatchAll_Ct&lt;22,$BC563=(Elig_MatchAll_Ct-1),AO563=0),M563,0)</f>
        <v>0</v>
      </c>
      <c r="BS563" s="214">
        <f>IF(AND(Input_Product=Elig!$C563,Elig_MatchAll_Ct&lt;22,$BC563=(Elig_MatchAll_Ct-1),AQ563=0),N563,0)</f>
        <v>0</v>
      </c>
      <c r="BT563" s="214">
        <f>IF(AND(Input_Product=Elig!$C563,Elig_MatchAll_Ct&lt;22,$BC563=(Elig_MatchAll_Ct-1),AR563=0),O563,0)</f>
        <v>0</v>
      </c>
      <c r="BU563" s="214">
        <f>IF(AND(Input_Product=Elig!$C563,Elig_MatchAll_Ct&lt;22,$BC563=(Elig_MatchAll_Ct-1),AS563=0),P563,0)</f>
        <v>0</v>
      </c>
      <c r="BV563" s="215">
        <f>IF(AND(Input_Product=Elig!$C563,Elig_MatchAll_Ct&lt;22,$BC563=(Elig_MatchAll_Ct-1),AT563=0),Q563,0)</f>
        <v>0</v>
      </c>
      <c r="BW563" s="311">
        <f>IF(AND(Input_Product=Elig!$C563,Elig_MatchAll_Ct&lt;22,$BC563=(Elig_MatchAll_Ct-1),AU563=0),R563,0)</f>
        <v>0</v>
      </c>
      <c r="BX563" s="312">
        <f>IF(AND(Input_Product=Elig!$C563,Elig_MatchAll_Ct&lt;22,$BC563=(Elig_MatchAll_Ct-1),AU563=0),S563,0)</f>
        <v>0</v>
      </c>
      <c r="BY563" s="311">
        <f>IF(AND(Input_Product=Elig!$C563,Elig_MatchAll_Ct&lt;22,$BC563=(Elig_MatchAll_Ct-1),AV563=0),T563,0)</f>
        <v>0</v>
      </c>
      <c r="BZ563" s="312">
        <f>IF(AND(Input_Product=Elig!$C563,Elig_MatchAll_Ct&lt;22,$BC563=(Elig_MatchAll_Ct-1),AV563=0),U563,0)</f>
        <v>0</v>
      </c>
      <c r="CA563" s="311">
        <f>IF(AND(Input_Product=Elig!$C563,Elig_MatchAll_Ct&lt;22,$BC563=(Elig_MatchAll_Ct-1),AW563=0),V563,0)</f>
        <v>0</v>
      </c>
      <c r="CB563" s="312">
        <f>IF(AND(Input_Product=Elig!$C563,Elig_MatchAll_Ct&lt;22,$BC563=(Elig_MatchAll_Ct-1),AW563=0),W563,0)</f>
        <v>0</v>
      </c>
      <c r="CC563" s="311">
        <f>IF(AND(Input_Product=Elig!$C563,Elig_MatchAll_Ct&lt;22,$BC563=(Elig_MatchAll_Ct-1),AX563=0),X563,0)</f>
        <v>0</v>
      </c>
      <c r="CD563" s="312">
        <f>IF(AND(Input_Product=Elig!$C563,Elig_MatchAll_Ct&lt;22,$BC563=(Elig_MatchAll_Ct-1),AX563=0),Y563,0)</f>
        <v>0</v>
      </c>
      <c r="CE563" s="311">
        <f>IF(AND(Input_LTV&lt;=AE563,Input_Product=Elig!$C563,Elig_MatchAll_Ct&lt;22,$BC563=(Elig_MatchAll_Ct-1),AY563=0),Z563,0)</f>
        <v>0</v>
      </c>
      <c r="CF563" s="312">
        <f>IF(AND(Input_LTV&lt;=AE563,Input_Product=Elig!$C563,Elig_MatchAll_Ct&lt;22,$BC563=(Elig_MatchAll_Ct-1),AY563=0),AA563,0)</f>
        <v>0</v>
      </c>
      <c r="CG563" s="311">
        <f>IF(AND(Input_Product=Elig!$C563,Elig_MatchAll_Ct&lt;22,$BC563=(Elig_MatchAll_Ct-1),AZ563=0),AB563,0)</f>
        <v>0</v>
      </c>
      <c r="CH563" s="312">
        <f>IF(AND(Input_Product=Elig!$C563,Elig_MatchAll_Ct&lt;22,$BC563=(Elig_MatchAll_Ct-1),AZ563=0),AC563,0)</f>
        <v>0</v>
      </c>
      <c r="CI563" s="311">
        <f>IF(AND(Input_Product=Elig!$C563,Elig_MatchAll_Ct&lt;22,$BC563=(Elig_MatchAll_Ct-1),BA563=0),AD563,0)</f>
        <v>0</v>
      </c>
      <c r="CJ563" s="312">
        <f>IF(AND(Input_Product=Elig!$C563,Elig_MatchAll_Ct&lt;22,$BC563=(Elig_MatchAll_Ct-1),BA563=0),AE563,0)</f>
        <v>0</v>
      </c>
    </row>
    <row r="564" spans="2:88" ht="10.15" customHeight="1" x14ac:dyDescent="0.25">
      <c r="B564" s="287" t="s">
        <v>4122</v>
      </c>
      <c r="C564" s="281" t="str">
        <f t="shared" si="241"/>
        <v>NonQM NOO</v>
      </c>
      <c r="D564" s="282" t="s">
        <v>3885</v>
      </c>
      <c r="E564" s="283" t="s">
        <v>167</v>
      </c>
      <c r="F564" s="283" t="s">
        <v>330</v>
      </c>
      <c r="G564" s="283" t="s">
        <v>179</v>
      </c>
      <c r="H564" s="283" t="s">
        <v>136</v>
      </c>
      <c r="I564" s="282" t="s">
        <v>16</v>
      </c>
      <c r="J564" s="282" t="s">
        <v>1311</v>
      </c>
      <c r="K564" s="282" t="s">
        <v>1631</v>
      </c>
      <c r="L564" s="2103" t="s">
        <v>312</v>
      </c>
      <c r="M564" s="283" t="s">
        <v>4203</v>
      </c>
      <c r="N564" s="283" t="s">
        <v>2685</v>
      </c>
      <c r="O564" s="283" t="s">
        <v>310</v>
      </c>
      <c r="P564" s="283" t="s">
        <v>291</v>
      </c>
      <c r="Q564" s="283" t="s">
        <v>294</v>
      </c>
      <c r="R564" s="323">
        <v>2500000.0099999998</v>
      </c>
      <c r="S564" s="282">
        <v>3000000</v>
      </c>
      <c r="T564" s="282">
        <v>0</v>
      </c>
      <c r="U564" s="282">
        <f t="shared" ref="U564:U566" si="252">S564</f>
        <v>3000000</v>
      </c>
      <c r="V564" s="282">
        <v>0</v>
      </c>
      <c r="W564" s="282">
        <v>50</v>
      </c>
      <c r="X564" s="282">
        <v>0</v>
      </c>
      <c r="Y564" s="282">
        <v>999</v>
      </c>
      <c r="Z564" s="284">
        <v>720</v>
      </c>
      <c r="AA564" s="284">
        <v>999</v>
      </c>
      <c r="AB564" s="284">
        <v>9</v>
      </c>
      <c r="AC564" s="284">
        <v>999999</v>
      </c>
      <c r="AD564" s="282">
        <v>0</v>
      </c>
      <c r="AE564" s="285">
        <v>60</v>
      </c>
      <c r="AF564" s="170">
        <v>0</v>
      </c>
      <c r="AG564" s="171">
        <v>1</v>
      </c>
      <c r="AH564" s="171">
        <v>1</v>
      </c>
      <c r="AI564" s="171">
        <v>0</v>
      </c>
      <c r="AJ564" s="171">
        <v>0</v>
      </c>
      <c r="AK564" s="171">
        <v>1</v>
      </c>
      <c r="AL564" s="171">
        <v>1</v>
      </c>
      <c r="AM564" s="171">
        <v>1</v>
      </c>
      <c r="AN564" s="171">
        <v>1</v>
      </c>
      <c r="AO564" s="171">
        <v>1</v>
      </c>
      <c r="AP564" s="171">
        <v>1</v>
      </c>
      <c r="AQ564" s="171">
        <v>1</v>
      </c>
      <c r="AR564" s="171">
        <v>1</v>
      </c>
      <c r="AS564" s="171">
        <v>1</v>
      </c>
      <c r="AT564" s="171">
        <v>1</v>
      </c>
      <c r="AU564" s="171">
        <f t="shared" si="183"/>
        <v>0</v>
      </c>
      <c r="AV564" s="171">
        <f t="shared" si="184"/>
        <v>1</v>
      </c>
      <c r="AW564" s="171">
        <f t="shared" si="185"/>
        <v>1</v>
      </c>
      <c r="AX564" s="171">
        <f t="shared" si="197"/>
        <v>1</v>
      </c>
      <c r="AY564" s="171">
        <f t="shared" si="186"/>
        <v>1</v>
      </c>
      <c r="AZ564" s="171">
        <f t="shared" si="187"/>
        <v>1</v>
      </c>
      <c r="BA564" s="172">
        <f t="shared" si="188"/>
        <v>0</v>
      </c>
      <c r="BB564" s="175">
        <f t="shared" si="243"/>
        <v>17</v>
      </c>
      <c r="BC564" s="176">
        <f t="shared" si="244"/>
        <v>17</v>
      </c>
      <c r="BD564" s="176">
        <f t="shared" si="245"/>
        <v>17</v>
      </c>
      <c r="BE564" s="240" t="str">
        <f t="shared" si="215"/>
        <v/>
      </c>
      <c r="BH564" s="210">
        <f>IF(AND(Input_Product=Elig!$C564,Elig_MatchAll_Ct&lt;22,$BC564=(Elig_MatchAll_Ct-1),AF564=0),C564,0)</f>
        <v>0</v>
      </c>
      <c r="BI564" s="210">
        <f>IF(AND(Input_Product=Elig!$C564,Elig_MatchAll_Ct&lt;22,$BC564=(Elig_MatchAll_Ct-1),AG564=0),D564,0)</f>
        <v>0</v>
      </c>
      <c r="BJ564" s="210">
        <f>IF(AND(Input_Product=Elig!$C564,Elig_MatchAll_Ct&lt;22,$BC564=(Elig_MatchAll_Ct-1),AH564=0),E564,0)</f>
        <v>0</v>
      </c>
      <c r="BK564" s="210">
        <f>IF(AND(Input_Product=Elig!$C564,Elig_MatchAll_Ct&lt;22,$BC564=(Elig_MatchAll_Ct-1),AI564=0),F564,0)</f>
        <v>0</v>
      </c>
      <c r="BL564" s="210">
        <f>IF(AND(Input_Product=Elig!$C564,Elig_MatchAll_Ct&lt;22,$BC564=(Elig_MatchAll_Ct-1),AJ564=0),G564,0)</f>
        <v>0</v>
      </c>
      <c r="BM564" s="210">
        <f>IF(AND(Input_Product=Elig!$C564,Elig_MatchAll_Ct&lt;22,$BC564=(Elig_MatchAll_Ct-1),AK564=0),H564,0)</f>
        <v>0</v>
      </c>
      <c r="BN564" s="210">
        <f>IF(AND(Input_Product=Elig!$C564,Elig_MatchAll_Ct&lt;22,$BC564=(Elig_MatchAll_Ct-1),AL564=0),I564,0)</f>
        <v>0</v>
      </c>
      <c r="BO564" s="210">
        <f>IF(AND(Input_Product=Elig!$C564,Elig_MatchAll_Ct&lt;22,$BC564=(Elig_MatchAll_Ct-1),AM564=0),J564,0)</f>
        <v>0</v>
      </c>
      <c r="BP564" s="210">
        <f>IF(AND(Input_Product=Elig!$C564,Elig_MatchAll_Ct&lt;22,$BC564=(Elig_MatchAll_Ct-1),AN564=0),K564,0)</f>
        <v>0</v>
      </c>
      <c r="BQ564" s="210">
        <f>IF(AND(Input_Product=Elig!$C564,Elig_MatchAll_Ct&lt;22,$BC564=(Elig_MatchAll_Ct-1),AP564=0),L564,0)</f>
        <v>0</v>
      </c>
      <c r="BR564" s="210">
        <f>IF(AND(Input_Product=Elig!$C564,Elig_MatchAll_Ct&lt;22,$BC564=(Elig_MatchAll_Ct-1),AO564=0),M564,0)</f>
        <v>0</v>
      </c>
      <c r="BS564" s="210">
        <f>IF(AND(Input_Product=Elig!$C564,Elig_MatchAll_Ct&lt;22,$BC564=(Elig_MatchAll_Ct-1),AQ564=0),N564,0)</f>
        <v>0</v>
      </c>
      <c r="BT564" s="210">
        <f>IF(AND(Input_Product=Elig!$C564,Elig_MatchAll_Ct&lt;22,$BC564=(Elig_MatchAll_Ct-1),AR564=0),O564,0)</f>
        <v>0</v>
      </c>
      <c r="BU564" s="210">
        <f>IF(AND(Input_Product=Elig!$C564,Elig_MatchAll_Ct&lt;22,$BC564=(Elig_MatchAll_Ct-1),AS564=0),P564,0)</f>
        <v>0</v>
      </c>
      <c r="BV564" s="211">
        <f>IF(AND(Input_Product=Elig!$C564,Elig_MatchAll_Ct&lt;22,$BC564=(Elig_MatchAll_Ct-1),AT564=0),Q564,0)</f>
        <v>0</v>
      </c>
      <c r="BW564" s="212">
        <f>IF(AND(Input_Product=Elig!$C564,Elig_MatchAll_Ct&lt;22,$BC564=(Elig_MatchAll_Ct-1),AU564=0),R564,0)</f>
        <v>0</v>
      </c>
      <c r="BX564" s="213">
        <f>IF(AND(Input_Product=Elig!$C564,Elig_MatchAll_Ct&lt;22,$BC564=(Elig_MatchAll_Ct-1),AU564=0),S564,0)</f>
        <v>0</v>
      </c>
      <c r="BY564" s="212">
        <f>IF(AND(Input_Product=Elig!$C564,Elig_MatchAll_Ct&lt;22,$BC564=(Elig_MatchAll_Ct-1),AV564=0),T564,0)</f>
        <v>0</v>
      </c>
      <c r="BZ564" s="213">
        <f>IF(AND(Input_Product=Elig!$C564,Elig_MatchAll_Ct&lt;22,$BC564=(Elig_MatchAll_Ct-1),AV564=0),U564,0)</f>
        <v>0</v>
      </c>
      <c r="CA564" s="212">
        <f>IF(AND(Input_Product=Elig!$C564,Elig_MatchAll_Ct&lt;22,$BC564=(Elig_MatchAll_Ct-1),AW564=0),V564,0)</f>
        <v>0</v>
      </c>
      <c r="CB564" s="213">
        <f>IF(AND(Input_Product=Elig!$C564,Elig_MatchAll_Ct&lt;22,$BC564=(Elig_MatchAll_Ct-1),AW564=0),W564,0)</f>
        <v>0</v>
      </c>
      <c r="CC564" s="212">
        <f>IF(AND(Input_Product=Elig!$C564,Elig_MatchAll_Ct&lt;22,$BC564=(Elig_MatchAll_Ct-1),AX564=0),X564,0)</f>
        <v>0</v>
      </c>
      <c r="CD564" s="213">
        <f>IF(AND(Input_Product=Elig!$C564,Elig_MatchAll_Ct&lt;22,$BC564=(Elig_MatchAll_Ct-1),AX564=0),Y564,0)</f>
        <v>0</v>
      </c>
      <c r="CE564" s="212">
        <f>IF(AND(Input_LTV&lt;=AE564,Input_Product=Elig!$C564,Elig_MatchAll_Ct&lt;22,$BC564=(Elig_MatchAll_Ct-1),AY564=0),Z564,0)</f>
        <v>0</v>
      </c>
      <c r="CF564" s="213">
        <f>IF(AND(Input_LTV&lt;=AE564,Input_Product=Elig!$C564,Elig_MatchAll_Ct&lt;22,$BC564=(Elig_MatchAll_Ct-1),AY564=0),AA564,0)</f>
        <v>0</v>
      </c>
      <c r="CG564" s="212">
        <f>IF(AND(Input_Product=Elig!$C564,Elig_MatchAll_Ct&lt;22,$BC564=(Elig_MatchAll_Ct-1),AZ564=0),AB564,0)</f>
        <v>0</v>
      </c>
      <c r="CH564" s="213">
        <f>IF(AND(Input_Product=Elig!$C564,Elig_MatchAll_Ct&lt;22,$BC564=(Elig_MatchAll_Ct-1),AZ564=0),AC564,0)</f>
        <v>0</v>
      </c>
      <c r="CI564" s="212">
        <f>IF(AND(Input_Product=Elig!$C564,Elig_MatchAll_Ct&lt;22,$BC564=(Elig_MatchAll_Ct-1),BA564=0),AD564,0)</f>
        <v>0</v>
      </c>
      <c r="CJ564" s="213">
        <f>IF(AND(Input_Product=Elig!$C564,Elig_MatchAll_Ct&lt;22,$BC564=(Elig_MatchAll_Ct-1),BA564=0),AE564,0)</f>
        <v>0</v>
      </c>
    </row>
    <row r="565" spans="2:88" ht="10.15" customHeight="1" x14ac:dyDescent="0.25">
      <c r="B565" s="287" t="s">
        <v>4123</v>
      </c>
      <c r="C565" s="286" t="str">
        <f t="shared" si="241"/>
        <v>NonQM NOO</v>
      </c>
      <c r="D565" s="287" t="s">
        <v>3885</v>
      </c>
      <c r="E565" s="287" t="s">
        <v>167</v>
      </c>
      <c r="F565" s="287" t="s">
        <v>330</v>
      </c>
      <c r="G565" s="287" t="s">
        <v>179</v>
      </c>
      <c r="H565" s="287" t="s">
        <v>136</v>
      </c>
      <c r="I565" s="288" t="s">
        <v>16</v>
      </c>
      <c r="J565" s="288" t="s">
        <v>1311</v>
      </c>
      <c r="K565" s="288" t="s">
        <v>1631</v>
      </c>
      <c r="L565" s="300" t="s">
        <v>312</v>
      </c>
      <c r="M565" s="287" t="s">
        <v>4203</v>
      </c>
      <c r="N565" s="287" t="s">
        <v>2685</v>
      </c>
      <c r="O565" s="287" t="s">
        <v>310</v>
      </c>
      <c r="P565" s="287" t="s">
        <v>291</v>
      </c>
      <c r="Q565" s="287" t="s">
        <v>294</v>
      </c>
      <c r="R565" s="300">
        <v>2500000.0099999998</v>
      </c>
      <c r="S565" s="287">
        <v>3000000</v>
      </c>
      <c r="T565" s="287">
        <v>0</v>
      </c>
      <c r="U565" s="287">
        <f t="shared" si="252"/>
        <v>3000000</v>
      </c>
      <c r="V565" s="287">
        <v>0</v>
      </c>
      <c r="W565" s="287">
        <v>50</v>
      </c>
      <c r="X565" s="287">
        <v>0</v>
      </c>
      <c r="Y565" s="287">
        <v>999</v>
      </c>
      <c r="Z565" s="289">
        <v>700</v>
      </c>
      <c r="AA565" s="289">
        <v>719</v>
      </c>
      <c r="AB565" s="289">
        <v>9</v>
      </c>
      <c r="AC565" s="289">
        <v>999999</v>
      </c>
      <c r="AD565" s="287">
        <v>0</v>
      </c>
      <c r="AE565" s="290">
        <v>60</v>
      </c>
      <c r="AF565" s="170">
        <v>0</v>
      </c>
      <c r="AG565" s="171">
        <v>1</v>
      </c>
      <c r="AH565" s="171">
        <v>1</v>
      </c>
      <c r="AI565" s="171">
        <v>0</v>
      </c>
      <c r="AJ565" s="171">
        <v>0</v>
      </c>
      <c r="AK565" s="171">
        <v>1</v>
      </c>
      <c r="AL565" s="171">
        <v>1</v>
      </c>
      <c r="AM565" s="171">
        <v>1</v>
      </c>
      <c r="AN565" s="171">
        <v>1</v>
      </c>
      <c r="AO565" s="171">
        <v>1</v>
      </c>
      <c r="AP565" s="171">
        <v>1</v>
      </c>
      <c r="AQ565" s="171">
        <v>1</v>
      </c>
      <c r="AR565" s="171">
        <v>1</v>
      </c>
      <c r="AS565" s="171">
        <v>1</v>
      </c>
      <c r="AT565" s="171">
        <v>1</v>
      </c>
      <c r="AU565" s="171">
        <f t="shared" si="183"/>
        <v>0</v>
      </c>
      <c r="AV565" s="171">
        <f t="shared" si="184"/>
        <v>1</v>
      </c>
      <c r="AW565" s="171">
        <f t="shared" si="185"/>
        <v>1</v>
      </c>
      <c r="AX565" s="171">
        <f t="shared" si="197"/>
        <v>1</v>
      </c>
      <c r="AY565" s="171">
        <f t="shared" si="186"/>
        <v>0</v>
      </c>
      <c r="AZ565" s="171">
        <f t="shared" si="187"/>
        <v>1</v>
      </c>
      <c r="BA565" s="172">
        <f t="shared" si="188"/>
        <v>0</v>
      </c>
      <c r="BB565" s="175">
        <f t="shared" si="243"/>
        <v>16</v>
      </c>
      <c r="BC565" s="176">
        <f t="shared" si="244"/>
        <v>16</v>
      </c>
      <c r="BD565" s="176">
        <f t="shared" si="245"/>
        <v>16</v>
      </c>
      <c r="BE565" s="240" t="str">
        <f t="shared" si="215"/>
        <v/>
      </c>
      <c r="BH565" s="199">
        <f>IF(AND(Input_Product=Elig!$C565,Elig_MatchAll_Ct&lt;22,$BC565=(Elig_MatchAll_Ct-1),AF565=0),C565,0)</f>
        <v>0</v>
      </c>
      <c r="BI565" s="199">
        <f>IF(AND(Input_Product=Elig!$C565,Elig_MatchAll_Ct&lt;22,$BC565=(Elig_MatchAll_Ct-1),AG565=0),D565,0)</f>
        <v>0</v>
      </c>
      <c r="BJ565" s="199">
        <f>IF(AND(Input_Product=Elig!$C565,Elig_MatchAll_Ct&lt;22,$BC565=(Elig_MatchAll_Ct-1),AH565=0),E565,0)</f>
        <v>0</v>
      </c>
      <c r="BK565" s="199">
        <f>IF(AND(Input_Product=Elig!$C565,Elig_MatchAll_Ct&lt;22,$BC565=(Elig_MatchAll_Ct-1),AI565=0),F565,0)</f>
        <v>0</v>
      </c>
      <c r="BL565" s="199">
        <f>IF(AND(Input_Product=Elig!$C565,Elig_MatchAll_Ct&lt;22,$BC565=(Elig_MatchAll_Ct-1),AJ565=0),G565,0)</f>
        <v>0</v>
      </c>
      <c r="BM565" s="199">
        <f>IF(AND(Input_Product=Elig!$C565,Elig_MatchAll_Ct&lt;22,$BC565=(Elig_MatchAll_Ct-1),AK565=0),H565,0)</f>
        <v>0</v>
      </c>
      <c r="BN565" s="199">
        <f>IF(AND(Input_Product=Elig!$C565,Elig_MatchAll_Ct&lt;22,$BC565=(Elig_MatchAll_Ct-1),AL565=0),I565,0)</f>
        <v>0</v>
      </c>
      <c r="BO565" s="199">
        <f>IF(AND(Input_Product=Elig!$C565,Elig_MatchAll_Ct&lt;22,$BC565=(Elig_MatchAll_Ct-1),AM565=0),J565,0)</f>
        <v>0</v>
      </c>
      <c r="BP565" s="199">
        <f>IF(AND(Input_Product=Elig!$C565,Elig_MatchAll_Ct&lt;22,$BC565=(Elig_MatchAll_Ct-1),AN565=0),K565,0)</f>
        <v>0</v>
      </c>
      <c r="BQ565" s="199">
        <f>IF(AND(Input_Product=Elig!$C565,Elig_MatchAll_Ct&lt;22,$BC565=(Elig_MatchAll_Ct-1),AP565=0),L565,0)</f>
        <v>0</v>
      </c>
      <c r="BR565" s="199">
        <f>IF(AND(Input_Product=Elig!$C565,Elig_MatchAll_Ct&lt;22,$BC565=(Elig_MatchAll_Ct-1),AO565=0),M565,0)</f>
        <v>0</v>
      </c>
      <c r="BS565" s="199">
        <f>IF(AND(Input_Product=Elig!$C565,Elig_MatchAll_Ct&lt;22,$BC565=(Elig_MatchAll_Ct-1),AQ565=0),N565,0)</f>
        <v>0</v>
      </c>
      <c r="BT565" s="199">
        <f>IF(AND(Input_Product=Elig!$C565,Elig_MatchAll_Ct&lt;22,$BC565=(Elig_MatchAll_Ct-1),AR565=0),O565,0)</f>
        <v>0</v>
      </c>
      <c r="BU565" s="199">
        <f>IF(AND(Input_Product=Elig!$C565,Elig_MatchAll_Ct&lt;22,$BC565=(Elig_MatchAll_Ct-1),AS565=0),P565,0)</f>
        <v>0</v>
      </c>
      <c r="BV565" s="200">
        <f>IF(AND(Input_Product=Elig!$C565,Elig_MatchAll_Ct&lt;22,$BC565=(Elig_MatchAll_Ct-1),AT565=0),Q565,0)</f>
        <v>0</v>
      </c>
      <c r="BW565" s="201">
        <f>IF(AND(Input_Product=Elig!$C565,Elig_MatchAll_Ct&lt;22,$BC565=(Elig_MatchAll_Ct-1),AU565=0),R565,0)</f>
        <v>0</v>
      </c>
      <c r="BX565" s="202">
        <f>IF(AND(Input_Product=Elig!$C565,Elig_MatchAll_Ct&lt;22,$BC565=(Elig_MatchAll_Ct-1),AU565=0),S565,0)</f>
        <v>0</v>
      </c>
      <c r="BY565" s="201">
        <f>IF(AND(Input_Product=Elig!$C565,Elig_MatchAll_Ct&lt;22,$BC565=(Elig_MatchAll_Ct-1),AV565=0),T565,0)</f>
        <v>0</v>
      </c>
      <c r="BZ565" s="202">
        <f>IF(AND(Input_Product=Elig!$C565,Elig_MatchAll_Ct&lt;22,$BC565=(Elig_MatchAll_Ct-1),AV565=0),U565,0)</f>
        <v>0</v>
      </c>
      <c r="CA565" s="201">
        <f>IF(AND(Input_Product=Elig!$C565,Elig_MatchAll_Ct&lt;22,$BC565=(Elig_MatchAll_Ct-1),AW565=0),V565,0)</f>
        <v>0</v>
      </c>
      <c r="CB565" s="202">
        <f>IF(AND(Input_Product=Elig!$C565,Elig_MatchAll_Ct&lt;22,$BC565=(Elig_MatchAll_Ct-1),AW565=0),W565,0)</f>
        <v>0</v>
      </c>
      <c r="CC565" s="201">
        <f>IF(AND(Input_Product=Elig!$C565,Elig_MatchAll_Ct&lt;22,$BC565=(Elig_MatchAll_Ct-1),AX565=0),X565,0)</f>
        <v>0</v>
      </c>
      <c r="CD565" s="202">
        <f>IF(AND(Input_Product=Elig!$C565,Elig_MatchAll_Ct&lt;22,$BC565=(Elig_MatchAll_Ct-1),AX565=0),Y565,0)</f>
        <v>0</v>
      </c>
      <c r="CE565" s="201">
        <f>IF(AND(Input_LTV&lt;=AE565,Input_Product=Elig!$C565,Elig_MatchAll_Ct&lt;22,$BC565=(Elig_MatchAll_Ct-1),AY565=0),Z565,0)</f>
        <v>0</v>
      </c>
      <c r="CF565" s="202">
        <f>IF(AND(Input_LTV&lt;=AE565,Input_Product=Elig!$C565,Elig_MatchAll_Ct&lt;22,$BC565=(Elig_MatchAll_Ct-1),AY565=0),AA565,0)</f>
        <v>0</v>
      </c>
      <c r="CG565" s="201">
        <f>IF(AND(Input_Product=Elig!$C565,Elig_MatchAll_Ct&lt;22,$BC565=(Elig_MatchAll_Ct-1),AZ565=0),AB565,0)</f>
        <v>0</v>
      </c>
      <c r="CH565" s="202">
        <f>IF(AND(Input_Product=Elig!$C565,Elig_MatchAll_Ct&lt;22,$BC565=(Elig_MatchAll_Ct-1),AZ565=0),AC565,0)</f>
        <v>0</v>
      </c>
      <c r="CI565" s="201">
        <f>IF(AND(Input_Product=Elig!$C565,Elig_MatchAll_Ct&lt;22,$BC565=(Elig_MatchAll_Ct-1),BA565=0),AD565,0)</f>
        <v>0</v>
      </c>
      <c r="CJ565" s="202">
        <f>IF(AND(Input_Product=Elig!$C565,Elig_MatchAll_Ct&lt;22,$BC565=(Elig_MatchAll_Ct-1),BA565=0),AE565,0)</f>
        <v>0</v>
      </c>
    </row>
    <row r="566" spans="2:88" ht="10.15" customHeight="1" x14ac:dyDescent="0.25">
      <c r="B566" s="287" t="s">
        <v>4124</v>
      </c>
      <c r="C566" s="291" t="str">
        <f t="shared" si="241"/>
        <v>NonQM NOO</v>
      </c>
      <c r="D566" s="292" t="s">
        <v>3885</v>
      </c>
      <c r="E566" s="292" t="s">
        <v>167</v>
      </c>
      <c r="F566" s="292" t="s">
        <v>330</v>
      </c>
      <c r="G566" s="292" t="s">
        <v>179</v>
      </c>
      <c r="H566" s="292" t="s">
        <v>136</v>
      </c>
      <c r="I566" s="295" t="s">
        <v>16</v>
      </c>
      <c r="J566" s="295" t="s">
        <v>1311</v>
      </c>
      <c r="K566" s="295" t="s">
        <v>1631</v>
      </c>
      <c r="L566" s="324" t="s">
        <v>312</v>
      </c>
      <c r="M566" s="292" t="s">
        <v>4203</v>
      </c>
      <c r="N566" s="292" t="s">
        <v>2685</v>
      </c>
      <c r="O566" s="292" t="s">
        <v>310</v>
      </c>
      <c r="P566" s="292" t="s">
        <v>291</v>
      </c>
      <c r="Q566" s="292" t="s">
        <v>294</v>
      </c>
      <c r="R566" s="324">
        <v>2500000.0099999998</v>
      </c>
      <c r="S566" s="292">
        <v>3000000</v>
      </c>
      <c r="T566" s="292">
        <v>0</v>
      </c>
      <c r="U566" s="292">
        <f t="shared" si="252"/>
        <v>3000000</v>
      </c>
      <c r="V566" s="292">
        <v>0</v>
      </c>
      <c r="W566" s="292">
        <v>50</v>
      </c>
      <c r="X566" s="292">
        <v>0</v>
      </c>
      <c r="Y566" s="292">
        <v>999</v>
      </c>
      <c r="Z566" s="293">
        <v>680</v>
      </c>
      <c r="AA566" s="293">
        <v>699</v>
      </c>
      <c r="AB566" s="293">
        <v>9</v>
      </c>
      <c r="AC566" s="293">
        <v>999999</v>
      </c>
      <c r="AD566" s="292">
        <v>0</v>
      </c>
      <c r="AE566" s="294">
        <v>60</v>
      </c>
      <c r="AF566" s="170">
        <v>0</v>
      </c>
      <c r="AG566" s="171">
        <v>1</v>
      </c>
      <c r="AH566" s="171">
        <v>1</v>
      </c>
      <c r="AI566" s="171">
        <v>0</v>
      </c>
      <c r="AJ566" s="171">
        <v>0</v>
      </c>
      <c r="AK566" s="171">
        <v>1</v>
      </c>
      <c r="AL566" s="171">
        <v>1</v>
      </c>
      <c r="AM566" s="171">
        <v>1</v>
      </c>
      <c r="AN566" s="171">
        <v>1</v>
      </c>
      <c r="AO566" s="171">
        <v>1</v>
      </c>
      <c r="AP566" s="171">
        <v>1</v>
      </c>
      <c r="AQ566" s="171">
        <v>1</v>
      </c>
      <c r="AR566" s="171">
        <v>1</v>
      </c>
      <c r="AS566" s="171">
        <v>1</v>
      </c>
      <c r="AT566" s="171">
        <v>1</v>
      </c>
      <c r="AU566" s="171">
        <f t="shared" si="183"/>
        <v>0</v>
      </c>
      <c r="AV566" s="171">
        <f t="shared" si="184"/>
        <v>1</v>
      </c>
      <c r="AW566" s="171">
        <f t="shared" si="185"/>
        <v>1</v>
      </c>
      <c r="AX566" s="171">
        <f t="shared" si="197"/>
        <v>1</v>
      </c>
      <c r="AY566" s="171">
        <f t="shared" si="186"/>
        <v>0</v>
      </c>
      <c r="AZ566" s="171">
        <f t="shared" si="187"/>
        <v>1</v>
      </c>
      <c r="BA566" s="172">
        <f t="shared" si="188"/>
        <v>0</v>
      </c>
      <c r="BB566" s="175">
        <f t="shared" si="243"/>
        <v>16</v>
      </c>
      <c r="BC566" s="176">
        <f t="shared" si="244"/>
        <v>16</v>
      </c>
      <c r="BD566" s="176">
        <f t="shared" si="245"/>
        <v>16</v>
      </c>
      <c r="BE566" s="240" t="str">
        <f t="shared" si="215"/>
        <v/>
      </c>
      <c r="BH566" s="214">
        <f>IF(AND(Input_Product=Elig!$C566,Elig_MatchAll_Ct&lt;22,$BC566=(Elig_MatchAll_Ct-1),AF566=0),C566,0)</f>
        <v>0</v>
      </c>
      <c r="BI566" s="214">
        <f>IF(AND(Input_Product=Elig!$C566,Elig_MatchAll_Ct&lt;22,$BC566=(Elig_MatchAll_Ct-1),AG566=0),D566,0)</f>
        <v>0</v>
      </c>
      <c r="BJ566" s="214">
        <f>IF(AND(Input_Product=Elig!$C566,Elig_MatchAll_Ct&lt;22,$BC566=(Elig_MatchAll_Ct-1),AH566=0),E566,0)</f>
        <v>0</v>
      </c>
      <c r="BK566" s="214">
        <f>IF(AND(Input_Product=Elig!$C566,Elig_MatchAll_Ct&lt;22,$BC566=(Elig_MatchAll_Ct-1),AI566=0),F566,0)</f>
        <v>0</v>
      </c>
      <c r="BL566" s="214">
        <f>IF(AND(Input_Product=Elig!$C566,Elig_MatchAll_Ct&lt;22,$BC566=(Elig_MatchAll_Ct-1),AJ566=0),G566,0)</f>
        <v>0</v>
      </c>
      <c r="BM566" s="214">
        <f>IF(AND(Input_Product=Elig!$C566,Elig_MatchAll_Ct&lt;22,$BC566=(Elig_MatchAll_Ct-1),AK566=0),H566,0)</f>
        <v>0</v>
      </c>
      <c r="BN566" s="214">
        <f>IF(AND(Input_Product=Elig!$C566,Elig_MatchAll_Ct&lt;22,$BC566=(Elig_MatchAll_Ct-1),AL566=0),I566,0)</f>
        <v>0</v>
      </c>
      <c r="BO566" s="214">
        <f>IF(AND(Input_Product=Elig!$C566,Elig_MatchAll_Ct&lt;22,$BC566=(Elig_MatchAll_Ct-1),AM566=0),J566,0)</f>
        <v>0</v>
      </c>
      <c r="BP566" s="214">
        <f>IF(AND(Input_Product=Elig!$C566,Elig_MatchAll_Ct&lt;22,$BC566=(Elig_MatchAll_Ct-1),AN566=0),K566,0)</f>
        <v>0</v>
      </c>
      <c r="BQ566" s="214">
        <f>IF(AND(Input_Product=Elig!$C566,Elig_MatchAll_Ct&lt;22,$BC566=(Elig_MatchAll_Ct-1),AP566=0),L566,0)</f>
        <v>0</v>
      </c>
      <c r="BR566" s="214">
        <f>IF(AND(Input_Product=Elig!$C566,Elig_MatchAll_Ct&lt;22,$BC566=(Elig_MatchAll_Ct-1),AO566=0),M566,0)</f>
        <v>0</v>
      </c>
      <c r="BS566" s="214">
        <f>IF(AND(Input_Product=Elig!$C566,Elig_MatchAll_Ct&lt;22,$BC566=(Elig_MatchAll_Ct-1),AQ566=0),N566,0)</f>
        <v>0</v>
      </c>
      <c r="BT566" s="214">
        <f>IF(AND(Input_Product=Elig!$C566,Elig_MatchAll_Ct&lt;22,$BC566=(Elig_MatchAll_Ct-1),AR566=0),O566,0)</f>
        <v>0</v>
      </c>
      <c r="BU566" s="214">
        <f>IF(AND(Input_Product=Elig!$C566,Elig_MatchAll_Ct&lt;22,$BC566=(Elig_MatchAll_Ct-1),AS566=0),P566,0)</f>
        <v>0</v>
      </c>
      <c r="BV566" s="215">
        <f>IF(AND(Input_Product=Elig!$C566,Elig_MatchAll_Ct&lt;22,$BC566=(Elig_MatchAll_Ct-1),AT566=0),Q566,0)</f>
        <v>0</v>
      </c>
      <c r="BW566" s="311">
        <f>IF(AND(Input_Product=Elig!$C566,Elig_MatchAll_Ct&lt;22,$BC566=(Elig_MatchAll_Ct-1),AU566=0),R566,0)</f>
        <v>0</v>
      </c>
      <c r="BX566" s="312">
        <f>IF(AND(Input_Product=Elig!$C566,Elig_MatchAll_Ct&lt;22,$BC566=(Elig_MatchAll_Ct-1),AU566=0),S566,0)</f>
        <v>0</v>
      </c>
      <c r="BY566" s="311">
        <f>IF(AND(Input_Product=Elig!$C566,Elig_MatchAll_Ct&lt;22,$BC566=(Elig_MatchAll_Ct-1),AV566=0),T566,0)</f>
        <v>0</v>
      </c>
      <c r="BZ566" s="312">
        <f>IF(AND(Input_Product=Elig!$C566,Elig_MatchAll_Ct&lt;22,$BC566=(Elig_MatchAll_Ct-1),AV566=0),U566,0)</f>
        <v>0</v>
      </c>
      <c r="CA566" s="311">
        <f>IF(AND(Input_Product=Elig!$C566,Elig_MatchAll_Ct&lt;22,$BC566=(Elig_MatchAll_Ct-1),AW566=0),V566,0)</f>
        <v>0</v>
      </c>
      <c r="CB566" s="312">
        <f>IF(AND(Input_Product=Elig!$C566,Elig_MatchAll_Ct&lt;22,$BC566=(Elig_MatchAll_Ct-1),AW566=0),W566,0)</f>
        <v>0</v>
      </c>
      <c r="CC566" s="311">
        <f>IF(AND(Input_Product=Elig!$C566,Elig_MatchAll_Ct&lt;22,$BC566=(Elig_MatchAll_Ct-1),AX566=0),X566,0)</f>
        <v>0</v>
      </c>
      <c r="CD566" s="312">
        <f>IF(AND(Input_Product=Elig!$C566,Elig_MatchAll_Ct&lt;22,$BC566=(Elig_MatchAll_Ct-1),AX566=0),Y566,0)</f>
        <v>0</v>
      </c>
      <c r="CE566" s="311">
        <f>IF(AND(Input_LTV&lt;=AE566,Input_Product=Elig!$C566,Elig_MatchAll_Ct&lt;22,$BC566=(Elig_MatchAll_Ct-1),AY566=0),Z566,0)</f>
        <v>0</v>
      </c>
      <c r="CF566" s="312">
        <f>IF(AND(Input_LTV&lt;=AE566,Input_Product=Elig!$C566,Elig_MatchAll_Ct&lt;22,$BC566=(Elig_MatchAll_Ct-1),AY566=0),AA566,0)</f>
        <v>0</v>
      </c>
      <c r="CG566" s="311">
        <f>IF(AND(Input_Product=Elig!$C566,Elig_MatchAll_Ct&lt;22,$BC566=(Elig_MatchAll_Ct-1),AZ566=0),AB566,0)</f>
        <v>0</v>
      </c>
      <c r="CH566" s="312">
        <f>IF(AND(Input_Product=Elig!$C566,Elig_MatchAll_Ct&lt;22,$BC566=(Elig_MatchAll_Ct-1),AZ566=0),AC566,0)</f>
        <v>0</v>
      </c>
      <c r="CI566" s="311">
        <f>IF(AND(Input_Product=Elig!$C566,Elig_MatchAll_Ct&lt;22,$BC566=(Elig_MatchAll_Ct-1),BA566=0),AD566,0)</f>
        <v>0</v>
      </c>
      <c r="CJ566" s="312">
        <f>IF(AND(Input_Product=Elig!$C566,Elig_MatchAll_Ct&lt;22,$BC566=(Elig_MatchAll_Ct-1),BA566=0),AE566,0)</f>
        <v>0</v>
      </c>
    </row>
    <row r="567" spans="2:88" ht="10.15" customHeight="1" x14ac:dyDescent="0.25">
      <c r="B567" s="287" t="s">
        <v>4125</v>
      </c>
      <c r="C567" s="281" t="str">
        <f t="shared" si="241"/>
        <v>NonQM NOO</v>
      </c>
      <c r="D567" s="282" t="s">
        <v>3885</v>
      </c>
      <c r="E567" s="283" t="s">
        <v>167</v>
      </c>
      <c r="F567" s="283" t="s">
        <v>330</v>
      </c>
      <c r="G567" s="283" t="s">
        <v>305</v>
      </c>
      <c r="H567" s="283" t="s">
        <v>136</v>
      </c>
      <c r="I567" s="282" t="s">
        <v>274</v>
      </c>
      <c r="J567" s="282" t="s">
        <v>1311</v>
      </c>
      <c r="K567" s="282" t="s">
        <v>1631</v>
      </c>
      <c r="L567" s="2103" t="s">
        <v>312</v>
      </c>
      <c r="M567" s="283" t="s">
        <v>4203</v>
      </c>
      <c r="N567" s="283" t="s">
        <v>2685</v>
      </c>
      <c r="O567" s="283" t="s">
        <v>310</v>
      </c>
      <c r="P567" s="283" t="s">
        <v>291</v>
      </c>
      <c r="Q567" s="283" t="s">
        <v>294</v>
      </c>
      <c r="R567" s="323">
        <v>2500000.0099999998</v>
      </c>
      <c r="S567" s="282">
        <v>3000000</v>
      </c>
      <c r="T567" s="282">
        <v>0</v>
      </c>
      <c r="U567" s="282">
        <v>0</v>
      </c>
      <c r="V567" s="282">
        <v>0</v>
      </c>
      <c r="W567" s="282">
        <v>50</v>
      </c>
      <c r="X567" s="282">
        <v>0</v>
      </c>
      <c r="Y567" s="282">
        <v>999</v>
      </c>
      <c r="Z567" s="284">
        <v>720</v>
      </c>
      <c r="AA567" s="284">
        <v>999</v>
      </c>
      <c r="AB567" s="284">
        <v>9</v>
      </c>
      <c r="AC567" s="284">
        <v>999999</v>
      </c>
      <c r="AD567" s="282">
        <v>0</v>
      </c>
      <c r="AE567" s="285">
        <v>65</v>
      </c>
      <c r="AF567" s="170">
        <v>0</v>
      </c>
      <c r="AG567" s="171">
        <v>1</v>
      </c>
      <c r="AH567" s="171">
        <v>1</v>
      </c>
      <c r="AI567" s="171">
        <v>0</v>
      </c>
      <c r="AJ567" s="171">
        <v>0</v>
      </c>
      <c r="AK567" s="171">
        <v>1</v>
      </c>
      <c r="AL567" s="171">
        <v>0</v>
      </c>
      <c r="AM567" s="171">
        <v>1</v>
      </c>
      <c r="AN567" s="171">
        <v>1</v>
      </c>
      <c r="AO567" s="171">
        <v>1</v>
      </c>
      <c r="AP567" s="171">
        <v>1</v>
      </c>
      <c r="AQ567" s="171">
        <v>1</v>
      </c>
      <c r="AR567" s="171">
        <v>1</v>
      </c>
      <c r="AS567" s="171">
        <v>1</v>
      </c>
      <c r="AT567" s="171">
        <v>1</v>
      </c>
      <c r="AU567" s="171">
        <f t="shared" si="183"/>
        <v>0</v>
      </c>
      <c r="AV567" s="171">
        <f t="shared" si="184"/>
        <v>0</v>
      </c>
      <c r="AW567" s="171">
        <f t="shared" si="185"/>
        <v>1</v>
      </c>
      <c r="AX567" s="171">
        <f t="shared" si="197"/>
        <v>1</v>
      </c>
      <c r="AY567" s="171">
        <f t="shared" si="186"/>
        <v>1</v>
      </c>
      <c r="AZ567" s="171">
        <f t="shared" si="187"/>
        <v>1</v>
      </c>
      <c r="BA567" s="172">
        <f t="shared" si="188"/>
        <v>1</v>
      </c>
      <c r="BB567" s="175">
        <f t="shared" si="243"/>
        <v>16</v>
      </c>
      <c r="BC567" s="176">
        <f t="shared" si="244"/>
        <v>15</v>
      </c>
      <c r="BD567" s="176">
        <f t="shared" si="245"/>
        <v>16</v>
      </c>
      <c r="BE567" s="240" t="str">
        <f t="shared" si="215"/>
        <v/>
      </c>
      <c r="BH567" s="210">
        <f>IF(AND(Input_Product=Elig!$C567,Elig_MatchAll_Ct&lt;22,$BC567=(Elig_MatchAll_Ct-1),AF567=0),C567,0)</f>
        <v>0</v>
      </c>
      <c r="BI567" s="210">
        <f>IF(AND(Input_Product=Elig!$C567,Elig_MatchAll_Ct&lt;22,$BC567=(Elig_MatchAll_Ct-1),AG567=0),D567,0)</f>
        <v>0</v>
      </c>
      <c r="BJ567" s="210">
        <f>IF(AND(Input_Product=Elig!$C567,Elig_MatchAll_Ct&lt;22,$BC567=(Elig_MatchAll_Ct-1),AH567=0),E567,0)</f>
        <v>0</v>
      </c>
      <c r="BK567" s="210">
        <f>IF(AND(Input_Product=Elig!$C567,Elig_MatchAll_Ct&lt;22,$BC567=(Elig_MatchAll_Ct-1),AI567=0),F567,0)</f>
        <v>0</v>
      </c>
      <c r="BL567" s="210">
        <f>IF(AND(Input_Product=Elig!$C567,Elig_MatchAll_Ct&lt;22,$BC567=(Elig_MatchAll_Ct-1),AJ567=0),G567,0)</f>
        <v>0</v>
      </c>
      <c r="BM567" s="210">
        <f>IF(AND(Input_Product=Elig!$C567,Elig_MatchAll_Ct&lt;22,$BC567=(Elig_MatchAll_Ct-1),AK567=0),H567,0)</f>
        <v>0</v>
      </c>
      <c r="BN567" s="210">
        <f>IF(AND(Input_Product=Elig!$C567,Elig_MatchAll_Ct&lt;22,$BC567=(Elig_MatchAll_Ct-1),AL567=0),I567,0)</f>
        <v>0</v>
      </c>
      <c r="BO567" s="210">
        <f>IF(AND(Input_Product=Elig!$C567,Elig_MatchAll_Ct&lt;22,$BC567=(Elig_MatchAll_Ct-1),AM567=0),J567,0)</f>
        <v>0</v>
      </c>
      <c r="BP567" s="210">
        <f>IF(AND(Input_Product=Elig!$C567,Elig_MatchAll_Ct&lt;22,$BC567=(Elig_MatchAll_Ct-1),AN567=0),K567,0)</f>
        <v>0</v>
      </c>
      <c r="BQ567" s="210">
        <f>IF(AND(Input_Product=Elig!$C567,Elig_MatchAll_Ct&lt;22,$BC567=(Elig_MatchAll_Ct-1),AP567=0),L567,0)</f>
        <v>0</v>
      </c>
      <c r="BR567" s="210">
        <f>IF(AND(Input_Product=Elig!$C567,Elig_MatchAll_Ct&lt;22,$BC567=(Elig_MatchAll_Ct-1),AO567=0),M567,0)</f>
        <v>0</v>
      </c>
      <c r="BS567" s="210">
        <f>IF(AND(Input_Product=Elig!$C567,Elig_MatchAll_Ct&lt;22,$BC567=(Elig_MatchAll_Ct-1),AQ567=0),N567,0)</f>
        <v>0</v>
      </c>
      <c r="BT567" s="210">
        <f>IF(AND(Input_Product=Elig!$C567,Elig_MatchAll_Ct&lt;22,$BC567=(Elig_MatchAll_Ct-1),AR567=0),O567,0)</f>
        <v>0</v>
      </c>
      <c r="BU567" s="210">
        <f>IF(AND(Input_Product=Elig!$C567,Elig_MatchAll_Ct&lt;22,$BC567=(Elig_MatchAll_Ct-1),AS567=0),P567,0)</f>
        <v>0</v>
      </c>
      <c r="BV567" s="211">
        <f>IF(AND(Input_Product=Elig!$C567,Elig_MatchAll_Ct&lt;22,$BC567=(Elig_MatchAll_Ct-1),AT567=0),Q567,0)</f>
        <v>0</v>
      </c>
      <c r="BW567" s="212">
        <f>IF(AND(Input_Product=Elig!$C567,Elig_MatchAll_Ct&lt;22,$BC567=(Elig_MatchAll_Ct-1),AU567=0),R567,0)</f>
        <v>0</v>
      </c>
      <c r="BX567" s="213">
        <f>IF(AND(Input_Product=Elig!$C567,Elig_MatchAll_Ct&lt;22,$BC567=(Elig_MatchAll_Ct-1),AU567=0),S567,0)</f>
        <v>0</v>
      </c>
      <c r="BY567" s="212">
        <f>IF(AND(Input_Product=Elig!$C567,Elig_MatchAll_Ct&lt;22,$BC567=(Elig_MatchAll_Ct-1),AV567=0),T567,0)</f>
        <v>0</v>
      </c>
      <c r="BZ567" s="213">
        <f>IF(AND(Input_Product=Elig!$C567,Elig_MatchAll_Ct&lt;22,$BC567=(Elig_MatchAll_Ct-1),AV567=0),U567,0)</f>
        <v>0</v>
      </c>
      <c r="CA567" s="212">
        <f>IF(AND(Input_Product=Elig!$C567,Elig_MatchAll_Ct&lt;22,$BC567=(Elig_MatchAll_Ct-1),AW567=0),V567,0)</f>
        <v>0</v>
      </c>
      <c r="CB567" s="213">
        <f>IF(AND(Input_Product=Elig!$C567,Elig_MatchAll_Ct&lt;22,$BC567=(Elig_MatchAll_Ct-1),AW567=0),W567,0)</f>
        <v>0</v>
      </c>
      <c r="CC567" s="212">
        <f>IF(AND(Input_Product=Elig!$C567,Elig_MatchAll_Ct&lt;22,$BC567=(Elig_MatchAll_Ct-1),AX567=0),X567,0)</f>
        <v>0</v>
      </c>
      <c r="CD567" s="213">
        <f>IF(AND(Input_Product=Elig!$C567,Elig_MatchAll_Ct&lt;22,$BC567=(Elig_MatchAll_Ct-1),AX567=0),Y567,0)</f>
        <v>0</v>
      </c>
      <c r="CE567" s="212">
        <f>IF(AND(Input_LTV&lt;=AE567,Input_Product=Elig!$C567,Elig_MatchAll_Ct&lt;22,$BC567=(Elig_MatchAll_Ct-1),AY567=0),Z567,0)</f>
        <v>0</v>
      </c>
      <c r="CF567" s="213">
        <f>IF(AND(Input_LTV&lt;=AE567,Input_Product=Elig!$C567,Elig_MatchAll_Ct&lt;22,$BC567=(Elig_MatchAll_Ct-1),AY567=0),AA567,0)</f>
        <v>0</v>
      </c>
      <c r="CG567" s="212">
        <f>IF(AND(Input_Product=Elig!$C567,Elig_MatchAll_Ct&lt;22,$BC567=(Elig_MatchAll_Ct-1),AZ567=0),AB567,0)</f>
        <v>0</v>
      </c>
      <c r="CH567" s="213">
        <f>IF(AND(Input_Product=Elig!$C567,Elig_MatchAll_Ct&lt;22,$BC567=(Elig_MatchAll_Ct-1),AZ567=0),AC567,0)</f>
        <v>0</v>
      </c>
      <c r="CI567" s="212">
        <f>IF(AND(Input_Product=Elig!$C567,Elig_MatchAll_Ct&lt;22,$BC567=(Elig_MatchAll_Ct-1),BA567=0),AD567,0)</f>
        <v>0</v>
      </c>
      <c r="CJ567" s="213">
        <f>IF(AND(Input_Product=Elig!$C567,Elig_MatchAll_Ct&lt;22,$BC567=(Elig_MatchAll_Ct-1),BA567=0),AE567,0)</f>
        <v>0</v>
      </c>
    </row>
    <row r="568" spans="2:88" ht="10.15" customHeight="1" x14ac:dyDescent="0.25">
      <c r="B568" s="287" t="s">
        <v>4126</v>
      </c>
      <c r="C568" s="286" t="str">
        <f t="shared" si="241"/>
        <v>NonQM NOO</v>
      </c>
      <c r="D568" s="287" t="s">
        <v>3885</v>
      </c>
      <c r="E568" s="287" t="s">
        <v>167</v>
      </c>
      <c r="F568" s="287" t="s">
        <v>330</v>
      </c>
      <c r="G568" s="287" t="s">
        <v>305</v>
      </c>
      <c r="H568" s="287" t="s">
        <v>136</v>
      </c>
      <c r="I568" s="288" t="s">
        <v>274</v>
      </c>
      <c r="J568" s="288" t="s">
        <v>1311</v>
      </c>
      <c r="K568" s="288" t="s">
        <v>1631</v>
      </c>
      <c r="L568" s="300" t="s">
        <v>312</v>
      </c>
      <c r="M568" s="287" t="s">
        <v>4203</v>
      </c>
      <c r="N568" s="287" t="s">
        <v>2685</v>
      </c>
      <c r="O568" s="287" t="s">
        <v>310</v>
      </c>
      <c r="P568" s="287" t="s">
        <v>291</v>
      </c>
      <c r="Q568" s="287" t="s">
        <v>294</v>
      </c>
      <c r="R568" s="300">
        <v>2500000.0099999998</v>
      </c>
      <c r="S568" s="287">
        <v>3000000</v>
      </c>
      <c r="T568" s="287">
        <v>0</v>
      </c>
      <c r="U568" s="287">
        <v>0</v>
      </c>
      <c r="V568" s="287">
        <v>0</v>
      </c>
      <c r="W568" s="287">
        <v>50</v>
      </c>
      <c r="X568" s="287">
        <v>0</v>
      </c>
      <c r="Y568" s="287">
        <v>999</v>
      </c>
      <c r="Z568" s="289">
        <v>700</v>
      </c>
      <c r="AA568" s="289">
        <v>719</v>
      </c>
      <c r="AB568" s="289">
        <v>9</v>
      </c>
      <c r="AC568" s="289">
        <v>999999</v>
      </c>
      <c r="AD568" s="287">
        <v>0</v>
      </c>
      <c r="AE568" s="290">
        <v>65</v>
      </c>
      <c r="AF568" s="170">
        <v>0</v>
      </c>
      <c r="AG568" s="171">
        <v>1</v>
      </c>
      <c r="AH568" s="171">
        <v>1</v>
      </c>
      <c r="AI568" s="171">
        <v>0</v>
      </c>
      <c r="AJ568" s="171">
        <v>0</v>
      </c>
      <c r="AK568" s="171">
        <v>1</v>
      </c>
      <c r="AL568" s="171">
        <v>0</v>
      </c>
      <c r="AM568" s="171">
        <v>1</v>
      </c>
      <c r="AN568" s="171">
        <v>1</v>
      </c>
      <c r="AO568" s="171">
        <v>1</v>
      </c>
      <c r="AP568" s="171">
        <v>1</v>
      </c>
      <c r="AQ568" s="171">
        <v>1</v>
      </c>
      <c r="AR568" s="171">
        <v>1</v>
      </c>
      <c r="AS568" s="171">
        <v>1</v>
      </c>
      <c r="AT568" s="171">
        <v>1</v>
      </c>
      <c r="AU568" s="171">
        <f t="shared" si="183"/>
        <v>0</v>
      </c>
      <c r="AV568" s="171">
        <f t="shared" si="184"/>
        <v>0</v>
      </c>
      <c r="AW568" s="171">
        <f t="shared" si="185"/>
        <v>1</v>
      </c>
      <c r="AX568" s="171">
        <f t="shared" si="197"/>
        <v>1</v>
      </c>
      <c r="AY568" s="171">
        <f t="shared" si="186"/>
        <v>0</v>
      </c>
      <c r="AZ568" s="171">
        <f t="shared" si="187"/>
        <v>1</v>
      </c>
      <c r="BA568" s="172">
        <f t="shared" si="188"/>
        <v>1</v>
      </c>
      <c r="BB568" s="175">
        <f t="shared" si="243"/>
        <v>15</v>
      </c>
      <c r="BC568" s="176">
        <f t="shared" si="244"/>
        <v>14</v>
      </c>
      <c r="BD568" s="176">
        <f t="shared" si="245"/>
        <v>15</v>
      </c>
      <c r="BE568" s="240" t="str">
        <f t="shared" si="215"/>
        <v/>
      </c>
      <c r="BH568" s="199">
        <f>IF(AND(Input_Product=Elig!$C568,Elig_MatchAll_Ct&lt;22,$BC568=(Elig_MatchAll_Ct-1),AF568=0),C568,0)</f>
        <v>0</v>
      </c>
      <c r="BI568" s="199">
        <f>IF(AND(Input_Product=Elig!$C568,Elig_MatchAll_Ct&lt;22,$BC568=(Elig_MatchAll_Ct-1),AG568=0),D568,0)</f>
        <v>0</v>
      </c>
      <c r="BJ568" s="199">
        <f>IF(AND(Input_Product=Elig!$C568,Elig_MatchAll_Ct&lt;22,$BC568=(Elig_MatchAll_Ct-1),AH568=0),E568,0)</f>
        <v>0</v>
      </c>
      <c r="BK568" s="199">
        <f>IF(AND(Input_Product=Elig!$C568,Elig_MatchAll_Ct&lt;22,$BC568=(Elig_MatchAll_Ct-1),AI568=0),F568,0)</f>
        <v>0</v>
      </c>
      <c r="BL568" s="199">
        <f>IF(AND(Input_Product=Elig!$C568,Elig_MatchAll_Ct&lt;22,$BC568=(Elig_MatchAll_Ct-1),AJ568=0),G568,0)</f>
        <v>0</v>
      </c>
      <c r="BM568" s="199">
        <f>IF(AND(Input_Product=Elig!$C568,Elig_MatchAll_Ct&lt;22,$BC568=(Elig_MatchAll_Ct-1),AK568=0),H568,0)</f>
        <v>0</v>
      </c>
      <c r="BN568" s="199">
        <f>IF(AND(Input_Product=Elig!$C568,Elig_MatchAll_Ct&lt;22,$BC568=(Elig_MatchAll_Ct-1),AL568=0),I568,0)</f>
        <v>0</v>
      </c>
      <c r="BO568" s="199">
        <f>IF(AND(Input_Product=Elig!$C568,Elig_MatchAll_Ct&lt;22,$BC568=(Elig_MatchAll_Ct-1),AM568=0),J568,0)</f>
        <v>0</v>
      </c>
      <c r="BP568" s="199">
        <f>IF(AND(Input_Product=Elig!$C568,Elig_MatchAll_Ct&lt;22,$BC568=(Elig_MatchAll_Ct-1),AN568=0),K568,0)</f>
        <v>0</v>
      </c>
      <c r="BQ568" s="199">
        <f>IF(AND(Input_Product=Elig!$C568,Elig_MatchAll_Ct&lt;22,$BC568=(Elig_MatchAll_Ct-1),AP568=0),L568,0)</f>
        <v>0</v>
      </c>
      <c r="BR568" s="199">
        <f>IF(AND(Input_Product=Elig!$C568,Elig_MatchAll_Ct&lt;22,$BC568=(Elig_MatchAll_Ct-1),AO568=0),M568,0)</f>
        <v>0</v>
      </c>
      <c r="BS568" s="199">
        <f>IF(AND(Input_Product=Elig!$C568,Elig_MatchAll_Ct&lt;22,$BC568=(Elig_MatchAll_Ct-1),AQ568=0),N568,0)</f>
        <v>0</v>
      </c>
      <c r="BT568" s="199">
        <f>IF(AND(Input_Product=Elig!$C568,Elig_MatchAll_Ct&lt;22,$BC568=(Elig_MatchAll_Ct-1),AR568=0),O568,0)</f>
        <v>0</v>
      </c>
      <c r="BU568" s="199">
        <f>IF(AND(Input_Product=Elig!$C568,Elig_MatchAll_Ct&lt;22,$BC568=(Elig_MatchAll_Ct-1),AS568=0),P568,0)</f>
        <v>0</v>
      </c>
      <c r="BV568" s="200">
        <f>IF(AND(Input_Product=Elig!$C568,Elig_MatchAll_Ct&lt;22,$BC568=(Elig_MatchAll_Ct-1),AT568=0),Q568,0)</f>
        <v>0</v>
      </c>
      <c r="BW568" s="201">
        <f>IF(AND(Input_Product=Elig!$C568,Elig_MatchAll_Ct&lt;22,$BC568=(Elig_MatchAll_Ct-1),AU568=0),R568,0)</f>
        <v>0</v>
      </c>
      <c r="BX568" s="202">
        <f>IF(AND(Input_Product=Elig!$C568,Elig_MatchAll_Ct&lt;22,$BC568=(Elig_MatchAll_Ct-1),AU568=0),S568,0)</f>
        <v>0</v>
      </c>
      <c r="BY568" s="201">
        <f>IF(AND(Input_Product=Elig!$C568,Elig_MatchAll_Ct&lt;22,$BC568=(Elig_MatchAll_Ct-1),AV568=0),T568,0)</f>
        <v>0</v>
      </c>
      <c r="BZ568" s="202">
        <f>IF(AND(Input_Product=Elig!$C568,Elig_MatchAll_Ct&lt;22,$BC568=(Elig_MatchAll_Ct-1),AV568=0),U568,0)</f>
        <v>0</v>
      </c>
      <c r="CA568" s="201">
        <f>IF(AND(Input_Product=Elig!$C568,Elig_MatchAll_Ct&lt;22,$BC568=(Elig_MatchAll_Ct-1),AW568=0),V568,0)</f>
        <v>0</v>
      </c>
      <c r="CB568" s="202">
        <f>IF(AND(Input_Product=Elig!$C568,Elig_MatchAll_Ct&lt;22,$BC568=(Elig_MatchAll_Ct-1),AW568=0),W568,0)</f>
        <v>0</v>
      </c>
      <c r="CC568" s="201">
        <f>IF(AND(Input_Product=Elig!$C568,Elig_MatchAll_Ct&lt;22,$BC568=(Elig_MatchAll_Ct-1),AX568=0),X568,0)</f>
        <v>0</v>
      </c>
      <c r="CD568" s="202">
        <f>IF(AND(Input_Product=Elig!$C568,Elig_MatchAll_Ct&lt;22,$BC568=(Elig_MatchAll_Ct-1),AX568=0),Y568,0)</f>
        <v>0</v>
      </c>
      <c r="CE568" s="201">
        <f>IF(AND(Input_LTV&lt;=AE568,Input_Product=Elig!$C568,Elig_MatchAll_Ct&lt;22,$BC568=(Elig_MatchAll_Ct-1),AY568=0),Z568,0)</f>
        <v>0</v>
      </c>
      <c r="CF568" s="202">
        <f>IF(AND(Input_LTV&lt;=AE568,Input_Product=Elig!$C568,Elig_MatchAll_Ct&lt;22,$BC568=(Elig_MatchAll_Ct-1),AY568=0),AA568,0)</f>
        <v>0</v>
      </c>
      <c r="CG568" s="201">
        <f>IF(AND(Input_Product=Elig!$C568,Elig_MatchAll_Ct&lt;22,$BC568=(Elig_MatchAll_Ct-1),AZ568=0),AB568,0)</f>
        <v>0</v>
      </c>
      <c r="CH568" s="202">
        <f>IF(AND(Input_Product=Elig!$C568,Elig_MatchAll_Ct&lt;22,$BC568=(Elig_MatchAll_Ct-1),AZ568=0),AC568,0)</f>
        <v>0</v>
      </c>
      <c r="CI568" s="201">
        <f>IF(AND(Input_Product=Elig!$C568,Elig_MatchAll_Ct&lt;22,$BC568=(Elig_MatchAll_Ct-1),BA568=0),AD568,0)</f>
        <v>0</v>
      </c>
      <c r="CJ568" s="202">
        <f>IF(AND(Input_Product=Elig!$C568,Elig_MatchAll_Ct&lt;22,$BC568=(Elig_MatchAll_Ct-1),BA568=0),AE568,0)</f>
        <v>0</v>
      </c>
    </row>
    <row r="569" spans="2:88" ht="10.15" customHeight="1" x14ac:dyDescent="0.25">
      <c r="B569" s="287" t="s">
        <v>4127</v>
      </c>
      <c r="C569" s="291" t="str">
        <f t="shared" si="241"/>
        <v>NonQM NOO</v>
      </c>
      <c r="D569" s="292" t="s">
        <v>3885</v>
      </c>
      <c r="E569" s="292" t="s">
        <v>167</v>
      </c>
      <c r="F569" s="292" t="s">
        <v>330</v>
      </c>
      <c r="G569" s="292" t="s">
        <v>305</v>
      </c>
      <c r="H569" s="292" t="s">
        <v>136</v>
      </c>
      <c r="I569" s="295" t="s">
        <v>274</v>
      </c>
      <c r="J569" s="295" t="s">
        <v>1311</v>
      </c>
      <c r="K569" s="295" t="s">
        <v>1631</v>
      </c>
      <c r="L569" s="324" t="s">
        <v>312</v>
      </c>
      <c r="M569" s="292" t="s">
        <v>4203</v>
      </c>
      <c r="N569" s="292" t="s">
        <v>2685</v>
      </c>
      <c r="O569" s="292" t="s">
        <v>310</v>
      </c>
      <c r="P569" s="292" t="s">
        <v>291</v>
      </c>
      <c r="Q569" s="292" t="s">
        <v>294</v>
      </c>
      <c r="R569" s="324">
        <v>2500000.0099999998</v>
      </c>
      <c r="S569" s="292">
        <v>3000000</v>
      </c>
      <c r="T569" s="292">
        <v>0</v>
      </c>
      <c r="U569" s="292">
        <v>0</v>
      </c>
      <c r="V569" s="292">
        <v>0</v>
      </c>
      <c r="W569" s="292">
        <v>50</v>
      </c>
      <c r="X569" s="292">
        <v>0</v>
      </c>
      <c r="Y569" s="292">
        <v>999</v>
      </c>
      <c r="Z569" s="293">
        <v>680</v>
      </c>
      <c r="AA569" s="293">
        <v>699</v>
      </c>
      <c r="AB569" s="293">
        <v>9</v>
      </c>
      <c r="AC569" s="293">
        <v>999999</v>
      </c>
      <c r="AD569" s="292">
        <v>0</v>
      </c>
      <c r="AE569" s="294">
        <v>65</v>
      </c>
      <c r="AF569" s="170">
        <v>0</v>
      </c>
      <c r="AG569" s="171">
        <v>1</v>
      </c>
      <c r="AH569" s="171">
        <v>1</v>
      </c>
      <c r="AI569" s="171">
        <v>0</v>
      </c>
      <c r="AJ569" s="171">
        <v>0</v>
      </c>
      <c r="AK569" s="171">
        <v>1</v>
      </c>
      <c r="AL569" s="171">
        <v>0</v>
      </c>
      <c r="AM569" s="171">
        <v>1</v>
      </c>
      <c r="AN569" s="171">
        <v>1</v>
      </c>
      <c r="AO569" s="171">
        <v>1</v>
      </c>
      <c r="AP569" s="171">
        <v>1</v>
      </c>
      <c r="AQ569" s="171">
        <v>1</v>
      </c>
      <c r="AR569" s="171">
        <v>1</v>
      </c>
      <c r="AS569" s="171">
        <v>1</v>
      </c>
      <c r="AT569" s="171">
        <v>1</v>
      </c>
      <c r="AU569" s="171">
        <f t="shared" si="183"/>
        <v>0</v>
      </c>
      <c r="AV569" s="171">
        <f t="shared" si="184"/>
        <v>0</v>
      </c>
      <c r="AW569" s="171">
        <f t="shared" si="185"/>
        <v>1</v>
      </c>
      <c r="AX569" s="171">
        <f t="shared" si="197"/>
        <v>1</v>
      </c>
      <c r="AY569" s="171">
        <f t="shared" si="186"/>
        <v>0</v>
      </c>
      <c r="AZ569" s="171">
        <f t="shared" si="187"/>
        <v>1</v>
      </c>
      <c r="BA569" s="172">
        <f t="shared" si="188"/>
        <v>1</v>
      </c>
      <c r="BB569" s="175">
        <f t="shared" si="243"/>
        <v>15</v>
      </c>
      <c r="BC569" s="176">
        <f t="shared" si="244"/>
        <v>14</v>
      </c>
      <c r="BD569" s="176">
        <f t="shared" si="245"/>
        <v>15</v>
      </c>
      <c r="BE569" s="240" t="str">
        <f t="shared" si="215"/>
        <v/>
      </c>
      <c r="BH569" s="214">
        <f>IF(AND(Input_Product=Elig!$C569,Elig_MatchAll_Ct&lt;22,$BC569=(Elig_MatchAll_Ct-1),AF569=0),C569,0)</f>
        <v>0</v>
      </c>
      <c r="BI569" s="214">
        <f>IF(AND(Input_Product=Elig!$C569,Elig_MatchAll_Ct&lt;22,$BC569=(Elig_MatchAll_Ct-1),AG569=0),D569,0)</f>
        <v>0</v>
      </c>
      <c r="BJ569" s="214">
        <f>IF(AND(Input_Product=Elig!$C569,Elig_MatchAll_Ct&lt;22,$BC569=(Elig_MatchAll_Ct-1),AH569=0),E569,0)</f>
        <v>0</v>
      </c>
      <c r="BK569" s="214">
        <f>IF(AND(Input_Product=Elig!$C569,Elig_MatchAll_Ct&lt;22,$BC569=(Elig_MatchAll_Ct-1),AI569=0),F569,0)</f>
        <v>0</v>
      </c>
      <c r="BL569" s="214">
        <f>IF(AND(Input_Product=Elig!$C569,Elig_MatchAll_Ct&lt;22,$BC569=(Elig_MatchAll_Ct-1),AJ569=0),G569,0)</f>
        <v>0</v>
      </c>
      <c r="BM569" s="214">
        <f>IF(AND(Input_Product=Elig!$C569,Elig_MatchAll_Ct&lt;22,$BC569=(Elig_MatchAll_Ct-1),AK569=0),H569,0)</f>
        <v>0</v>
      </c>
      <c r="BN569" s="214">
        <f>IF(AND(Input_Product=Elig!$C569,Elig_MatchAll_Ct&lt;22,$BC569=(Elig_MatchAll_Ct-1),AL569=0),I569,0)</f>
        <v>0</v>
      </c>
      <c r="BO569" s="214">
        <f>IF(AND(Input_Product=Elig!$C569,Elig_MatchAll_Ct&lt;22,$BC569=(Elig_MatchAll_Ct-1),AM569=0),J569,0)</f>
        <v>0</v>
      </c>
      <c r="BP569" s="214">
        <f>IF(AND(Input_Product=Elig!$C569,Elig_MatchAll_Ct&lt;22,$BC569=(Elig_MatchAll_Ct-1),AN569=0),K569,0)</f>
        <v>0</v>
      </c>
      <c r="BQ569" s="214">
        <f>IF(AND(Input_Product=Elig!$C569,Elig_MatchAll_Ct&lt;22,$BC569=(Elig_MatchAll_Ct-1),AP569=0),L569,0)</f>
        <v>0</v>
      </c>
      <c r="BR569" s="214">
        <f>IF(AND(Input_Product=Elig!$C569,Elig_MatchAll_Ct&lt;22,$BC569=(Elig_MatchAll_Ct-1),AO569=0),M569,0)</f>
        <v>0</v>
      </c>
      <c r="BS569" s="214">
        <f>IF(AND(Input_Product=Elig!$C569,Elig_MatchAll_Ct&lt;22,$BC569=(Elig_MatchAll_Ct-1),AQ569=0),N569,0)</f>
        <v>0</v>
      </c>
      <c r="BT569" s="214">
        <f>IF(AND(Input_Product=Elig!$C569,Elig_MatchAll_Ct&lt;22,$BC569=(Elig_MatchAll_Ct-1),AR569=0),O569,0)</f>
        <v>0</v>
      </c>
      <c r="BU569" s="214">
        <f>IF(AND(Input_Product=Elig!$C569,Elig_MatchAll_Ct&lt;22,$BC569=(Elig_MatchAll_Ct-1),AS569=0),P569,0)</f>
        <v>0</v>
      </c>
      <c r="BV569" s="215">
        <f>IF(AND(Input_Product=Elig!$C569,Elig_MatchAll_Ct&lt;22,$BC569=(Elig_MatchAll_Ct-1),AT569=0),Q569,0)</f>
        <v>0</v>
      </c>
      <c r="BW569" s="311">
        <f>IF(AND(Input_Product=Elig!$C569,Elig_MatchAll_Ct&lt;22,$BC569=(Elig_MatchAll_Ct-1),AU569=0),R569,0)</f>
        <v>0</v>
      </c>
      <c r="BX569" s="312">
        <f>IF(AND(Input_Product=Elig!$C569,Elig_MatchAll_Ct&lt;22,$BC569=(Elig_MatchAll_Ct-1),AU569=0),S569,0)</f>
        <v>0</v>
      </c>
      <c r="BY569" s="311">
        <f>IF(AND(Input_Product=Elig!$C569,Elig_MatchAll_Ct&lt;22,$BC569=(Elig_MatchAll_Ct-1),AV569=0),T569,0)</f>
        <v>0</v>
      </c>
      <c r="BZ569" s="312">
        <f>IF(AND(Input_Product=Elig!$C569,Elig_MatchAll_Ct&lt;22,$BC569=(Elig_MatchAll_Ct-1),AV569=0),U569,0)</f>
        <v>0</v>
      </c>
      <c r="CA569" s="311">
        <f>IF(AND(Input_Product=Elig!$C569,Elig_MatchAll_Ct&lt;22,$BC569=(Elig_MatchAll_Ct-1),AW569=0),V569,0)</f>
        <v>0</v>
      </c>
      <c r="CB569" s="312">
        <f>IF(AND(Input_Product=Elig!$C569,Elig_MatchAll_Ct&lt;22,$BC569=(Elig_MatchAll_Ct-1),AW569=0),W569,0)</f>
        <v>0</v>
      </c>
      <c r="CC569" s="311">
        <f>IF(AND(Input_Product=Elig!$C569,Elig_MatchAll_Ct&lt;22,$BC569=(Elig_MatchAll_Ct-1),AX569=0),X569,0)</f>
        <v>0</v>
      </c>
      <c r="CD569" s="312">
        <f>IF(AND(Input_Product=Elig!$C569,Elig_MatchAll_Ct&lt;22,$BC569=(Elig_MatchAll_Ct-1),AX569=0),Y569,0)</f>
        <v>0</v>
      </c>
      <c r="CE569" s="311">
        <f>IF(AND(Input_LTV&lt;=AE569,Input_Product=Elig!$C569,Elig_MatchAll_Ct&lt;22,$BC569=(Elig_MatchAll_Ct-1),AY569=0),Z569,0)</f>
        <v>0</v>
      </c>
      <c r="CF569" s="312">
        <f>IF(AND(Input_LTV&lt;=AE569,Input_Product=Elig!$C569,Elig_MatchAll_Ct&lt;22,$BC569=(Elig_MatchAll_Ct-1),AY569=0),AA569,0)</f>
        <v>0</v>
      </c>
      <c r="CG569" s="311">
        <f>IF(AND(Input_Product=Elig!$C569,Elig_MatchAll_Ct&lt;22,$BC569=(Elig_MatchAll_Ct-1),AZ569=0),AB569,0)</f>
        <v>0</v>
      </c>
      <c r="CH569" s="312">
        <f>IF(AND(Input_Product=Elig!$C569,Elig_MatchAll_Ct&lt;22,$BC569=(Elig_MatchAll_Ct-1),AZ569=0),AC569,0)</f>
        <v>0</v>
      </c>
      <c r="CI569" s="311">
        <f>IF(AND(Input_Product=Elig!$C569,Elig_MatchAll_Ct&lt;22,$BC569=(Elig_MatchAll_Ct-1),BA569=0),AD569,0)</f>
        <v>0</v>
      </c>
      <c r="CJ569" s="312">
        <f>IF(AND(Input_Product=Elig!$C569,Elig_MatchAll_Ct&lt;22,$BC569=(Elig_MatchAll_Ct-1),BA569=0),AE569,0)</f>
        <v>0</v>
      </c>
    </row>
    <row r="570" spans="2:88" ht="10.15" customHeight="1" x14ac:dyDescent="0.25">
      <c r="B570" s="287" t="s">
        <v>4128</v>
      </c>
      <c r="C570" s="281" t="str">
        <f t="shared" si="241"/>
        <v>NonQM NOO</v>
      </c>
      <c r="D570" s="282" t="s">
        <v>3885</v>
      </c>
      <c r="E570" s="283" t="s">
        <v>167</v>
      </c>
      <c r="F570" s="283" t="s">
        <v>330</v>
      </c>
      <c r="G570" s="283" t="s">
        <v>305</v>
      </c>
      <c r="H570" s="283" t="s">
        <v>136</v>
      </c>
      <c r="I570" s="282" t="s">
        <v>16</v>
      </c>
      <c r="J570" s="282" t="s">
        <v>1311</v>
      </c>
      <c r="K570" s="282" t="s">
        <v>1631</v>
      </c>
      <c r="L570" s="2103" t="s">
        <v>312</v>
      </c>
      <c r="M570" s="283" t="s">
        <v>4203</v>
      </c>
      <c r="N570" s="283" t="s">
        <v>2685</v>
      </c>
      <c r="O570" s="283" t="s">
        <v>310</v>
      </c>
      <c r="P570" s="283" t="s">
        <v>291</v>
      </c>
      <c r="Q570" s="283" t="s">
        <v>294</v>
      </c>
      <c r="R570" s="323">
        <v>2500000.0099999998</v>
      </c>
      <c r="S570" s="282">
        <v>3000000</v>
      </c>
      <c r="T570" s="282">
        <v>0</v>
      </c>
      <c r="U570" s="282">
        <f t="shared" ref="U570:U572" si="253">S570</f>
        <v>3000000</v>
      </c>
      <c r="V570" s="282">
        <v>0</v>
      </c>
      <c r="W570" s="282">
        <v>50</v>
      </c>
      <c r="X570" s="282">
        <v>0</v>
      </c>
      <c r="Y570" s="282">
        <v>999</v>
      </c>
      <c r="Z570" s="284">
        <v>720</v>
      </c>
      <c r="AA570" s="284">
        <v>999</v>
      </c>
      <c r="AB570" s="284">
        <v>9</v>
      </c>
      <c r="AC570" s="284">
        <v>999999</v>
      </c>
      <c r="AD570" s="282">
        <v>0</v>
      </c>
      <c r="AE570" s="285">
        <v>60</v>
      </c>
      <c r="AF570" s="170">
        <v>0</v>
      </c>
      <c r="AG570" s="171">
        <v>1</v>
      </c>
      <c r="AH570" s="171">
        <v>1</v>
      </c>
      <c r="AI570" s="171">
        <v>0</v>
      </c>
      <c r="AJ570" s="171">
        <v>0</v>
      </c>
      <c r="AK570" s="171">
        <v>1</v>
      </c>
      <c r="AL570" s="171">
        <v>1</v>
      </c>
      <c r="AM570" s="171">
        <v>1</v>
      </c>
      <c r="AN570" s="171">
        <v>1</v>
      </c>
      <c r="AO570" s="171">
        <v>1</v>
      </c>
      <c r="AP570" s="171">
        <v>1</v>
      </c>
      <c r="AQ570" s="171">
        <v>1</v>
      </c>
      <c r="AR570" s="171">
        <v>1</v>
      </c>
      <c r="AS570" s="171">
        <v>1</v>
      </c>
      <c r="AT570" s="171">
        <v>1</v>
      </c>
      <c r="AU570" s="171">
        <f t="shared" si="183"/>
        <v>0</v>
      </c>
      <c r="AV570" s="171">
        <f t="shared" si="184"/>
        <v>1</v>
      </c>
      <c r="AW570" s="171">
        <f t="shared" si="185"/>
        <v>1</v>
      </c>
      <c r="AX570" s="171">
        <f t="shared" si="197"/>
        <v>1</v>
      </c>
      <c r="AY570" s="171">
        <f t="shared" si="186"/>
        <v>1</v>
      </c>
      <c r="AZ570" s="171">
        <f t="shared" si="187"/>
        <v>1</v>
      </c>
      <c r="BA570" s="172">
        <f t="shared" si="188"/>
        <v>0</v>
      </c>
      <c r="BB570" s="175">
        <f t="shared" si="243"/>
        <v>17</v>
      </c>
      <c r="BC570" s="176">
        <f t="shared" si="244"/>
        <v>17</v>
      </c>
      <c r="BD570" s="176">
        <f t="shared" si="245"/>
        <v>17</v>
      </c>
      <c r="BE570" s="240" t="str">
        <f t="shared" si="215"/>
        <v/>
      </c>
      <c r="BH570" s="210">
        <f>IF(AND(Input_Product=Elig!$C570,Elig_MatchAll_Ct&lt;22,$BC570=(Elig_MatchAll_Ct-1),AF570=0),C570,0)</f>
        <v>0</v>
      </c>
      <c r="BI570" s="210">
        <f>IF(AND(Input_Product=Elig!$C570,Elig_MatchAll_Ct&lt;22,$BC570=(Elig_MatchAll_Ct-1),AG570=0),D570,0)</f>
        <v>0</v>
      </c>
      <c r="BJ570" s="210">
        <f>IF(AND(Input_Product=Elig!$C570,Elig_MatchAll_Ct&lt;22,$BC570=(Elig_MatchAll_Ct-1),AH570=0),E570,0)</f>
        <v>0</v>
      </c>
      <c r="BK570" s="210">
        <f>IF(AND(Input_Product=Elig!$C570,Elig_MatchAll_Ct&lt;22,$BC570=(Elig_MatchAll_Ct-1),AI570=0),F570,0)</f>
        <v>0</v>
      </c>
      <c r="BL570" s="210">
        <f>IF(AND(Input_Product=Elig!$C570,Elig_MatchAll_Ct&lt;22,$BC570=(Elig_MatchAll_Ct-1),AJ570=0),G570,0)</f>
        <v>0</v>
      </c>
      <c r="BM570" s="210">
        <f>IF(AND(Input_Product=Elig!$C570,Elig_MatchAll_Ct&lt;22,$BC570=(Elig_MatchAll_Ct-1),AK570=0),H570,0)</f>
        <v>0</v>
      </c>
      <c r="BN570" s="210">
        <f>IF(AND(Input_Product=Elig!$C570,Elig_MatchAll_Ct&lt;22,$BC570=(Elig_MatchAll_Ct-1),AL570=0),I570,0)</f>
        <v>0</v>
      </c>
      <c r="BO570" s="210">
        <f>IF(AND(Input_Product=Elig!$C570,Elig_MatchAll_Ct&lt;22,$BC570=(Elig_MatchAll_Ct-1),AM570=0),J570,0)</f>
        <v>0</v>
      </c>
      <c r="BP570" s="210">
        <f>IF(AND(Input_Product=Elig!$C570,Elig_MatchAll_Ct&lt;22,$BC570=(Elig_MatchAll_Ct-1),AN570=0),K570,0)</f>
        <v>0</v>
      </c>
      <c r="BQ570" s="210">
        <f>IF(AND(Input_Product=Elig!$C570,Elig_MatchAll_Ct&lt;22,$BC570=(Elig_MatchAll_Ct-1),AP570=0),L570,0)</f>
        <v>0</v>
      </c>
      <c r="BR570" s="210">
        <f>IF(AND(Input_Product=Elig!$C570,Elig_MatchAll_Ct&lt;22,$BC570=(Elig_MatchAll_Ct-1),AO570=0),M570,0)</f>
        <v>0</v>
      </c>
      <c r="BS570" s="210">
        <f>IF(AND(Input_Product=Elig!$C570,Elig_MatchAll_Ct&lt;22,$BC570=(Elig_MatchAll_Ct-1),AQ570=0),N570,0)</f>
        <v>0</v>
      </c>
      <c r="BT570" s="210">
        <f>IF(AND(Input_Product=Elig!$C570,Elig_MatchAll_Ct&lt;22,$BC570=(Elig_MatchAll_Ct-1),AR570=0),O570,0)</f>
        <v>0</v>
      </c>
      <c r="BU570" s="210">
        <f>IF(AND(Input_Product=Elig!$C570,Elig_MatchAll_Ct&lt;22,$BC570=(Elig_MatchAll_Ct-1),AS570=0),P570,0)</f>
        <v>0</v>
      </c>
      <c r="BV570" s="211">
        <f>IF(AND(Input_Product=Elig!$C570,Elig_MatchAll_Ct&lt;22,$BC570=(Elig_MatchAll_Ct-1),AT570=0),Q570,0)</f>
        <v>0</v>
      </c>
      <c r="BW570" s="212">
        <f>IF(AND(Input_Product=Elig!$C570,Elig_MatchAll_Ct&lt;22,$BC570=(Elig_MatchAll_Ct-1),AU570=0),R570,0)</f>
        <v>0</v>
      </c>
      <c r="BX570" s="213">
        <f>IF(AND(Input_Product=Elig!$C570,Elig_MatchAll_Ct&lt;22,$BC570=(Elig_MatchAll_Ct-1),AU570=0),S570,0)</f>
        <v>0</v>
      </c>
      <c r="BY570" s="212">
        <f>IF(AND(Input_Product=Elig!$C570,Elig_MatchAll_Ct&lt;22,$BC570=(Elig_MatchAll_Ct-1),AV570=0),T570,0)</f>
        <v>0</v>
      </c>
      <c r="BZ570" s="213">
        <f>IF(AND(Input_Product=Elig!$C570,Elig_MatchAll_Ct&lt;22,$BC570=(Elig_MatchAll_Ct-1),AV570=0),U570,0)</f>
        <v>0</v>
      </c>
      <c r="CA570" s="212">
        <f>IF(AND(Input_Product=Elig!$C570,Elig_MatchAll_Ct&lt;22,$BC570=(Elig_MatchAll_Ct-1),AW570=0),V570,0)</f>
        <v>0</v>
      </c>
      <c r="CB570" s="213">
        <f>IF(AND(Input_Product=Elig!$C570,Elig_MatchAll_Ct&lt;22,$BC570=(Elig_MatchAll_Ct-1),AW570=0),W570,0)</f>
        <v>0</v>
      </c>
      <c r="CC570" s="212">
        <f>IF(AND(Input_Product=Elig!$C570,Elig_MatchAll_Ct&lt;22,$BC570=(Elig_MatchAll_Ct-1),AX570=0),X570,0)</f>
        <v>0</v>
      </c>
      <c r="CD570" s="213">
        <f>IF(AND(Input_Product=Elig!$C570,Elig_MatchAll_Ct&lt;22,$BC570=(Elig_MatchAll_Ct-1),AX570=0),Y570,0)</f>
        <v>0</v>
      </c>
      <c r="CE570" s="212">
        <f>IF(AND(Input_LTV&lt;=AE570,Input_Product=Elig!$C570,Elig_MatchAll_Ct&lt;22,$BC570=(Elig_MatchAll_Ct-1),AY570=0),Z570,0)</f>
        <v>0</v>
      </c>
      <c r="CF570" s="213">
        <f>IF(AND(Input_LTV&lt;=AE570,Input_Product=Elig!$C570,Elig_MatchAll_Ct&lt;22,$BC570=(Elig_MatchAll_Ct-1),AY570=0),AA570,0)</f>
        <v>0</v>
      </c>
      <c r="CG570" s="212">
        <f>IF(AND(Input_Product=Elig!$C570,Elig_MatchAll_Ct&lt;22,$BC570=(Elig_MatchAll_Ct-1),AZ570=0),AB570,0)</f>
        <v>0</v>
      </c>
      <c r="CH570" s="213">
        <f>IF(AND(Input_Product=Elig!$C570,Elig_MatchAll_Ct&lt;22,$BC570=(Elig_MatchAll_Ct-1),AZ570=0),AC570,0)</f>
        <v>0</v>
      </c>
      <c r="CI570" s="212">
        <f>IF(AND(Input_Product=Elig!$C570,Elig_MatchAll_Ct&lt;22,$BC570=(Elig_MatchAll_Ct-1),BA570=0),AD570,0)</f>
        <v>0</v>
      </c>
      <c r="CJ570" s="213">
        <f>IF(AND(Input_Product=Elig!$C570,Elig_MatchAll_Ct&lt;22,$BC570=(Elig_MatchAll_Ct-1),BA570=0),AE570,0)</f>
        <v>0</v>
      </c>
    </row>
    <row r="571" spans="2:88" ht="10.15" customHeight="1" x14ac:dyDescent="0.25">
      <c r="B571" s="287" t="s">
        <v>4129</v>
      </c>
      <c r="C571" s="286" t="str">
        <f t="shared" si="241"/>
        <v>NonQM NOO</v>
      </c>
      <c r="D571" s="287" t="s">
        <v>3885</v>
      </c>
      <c r="E571" s="287" t="s">
        <v>167</v>
      </c>
      <c r="F571" s="287" t="s">
        <v>330</v>
      </c>
      <c r="G571" s="287" t="s">
        <v>305</v>
      </c>
      <c r="H571" s="287" t="s">
        <v>136</v>
      </c>
      <c r="I571" s="288" t="s">
        <v>16</v>
      </c>
      <c r="J571" s="288" t="s">
        <v>1311</v>
      </c>
      <c r="K571" s="288" t="s">
        <v>1631</v>
      </c>
      <c r="L571" s="300" t="s">
        <v>312</v>
      </c>
      <c r="M571" s="287" t="s">
        <v>4203</v>
      </c>
      <c r="N571" s="287" t="s">
        <v>2685</v>
      </c>
      <c r="O571" s="287" t="s">
        <v>310</v>
      </c>
      <c r="P571" s="287" t="s">
        <v>291</v>
      </c>
      <c r="Q571" s="287" t="s">
        <v>294</v>
      </c>
      <c r="R571" s="300">
        <v>2500000.0099999998</v>
      </c>
      <c r="S571" s="287">
        <v>3000000</v>
      </c>
      <c r="T571" s="287">
        <v>0</v>
      </c>
      <c r="U571" s="287">
        <f t="shared" si="253"/>
        <v>3000000</v>
      </c>
      <c r="V571" s="287">
        <v>0</v>
      </c>
      <c r="W571" s="287">
        <v>50</v>
      </c>
      <c r="X571" s="287">
        <v>0</v>
      </c>
      <c r="Y571" s="287">
        <v>999</v>
      </c>
      <c r="Z571" s="289">
        <v>700</v>
      </c>
      <c r="AA571" s="289">
        <v>719</v>
      </c>
      <c r="AB571" s="289">
        <v>9</v>
      </c>
      <c r="AC571" s="289">
        <v>999999</v>
      </c>
      <c r="AD571" s="287">
        <v>0</v>
      </c>
      <c r="AE571" s="290">
        <v>60</v>
      </c>
      <c r="AF571" s="170">
        <v>0</v>
      </c>
      <c r="AG571" s="171">
        <v>1</v>
      </c>
      <c r="AH571" s="171">
        <v>1</v>
      </c>
      <c r="AI571" s="171">
        <v>0</v>
      </c>
      <c r="AJ571" s="171">
        <v>0</v>
      </c>
      <c r="AK571" s="171">
        <v>1</v>
      </c>
      <c r="AL571" s="171">
        <v>1</v>
      </c>
      <c r="AM571" s="171">
        <v>1</v>
      </c>
      <c r="AN571" s="171">
        <v>1</v>
      </c>
      <c r="AO571" s="171">
        <v>1</v>
      </c>
      <c r="AP571" s="171">
        <v>1</v>
      </c>
      <c r="AQ571" s="171">
        <v>1</v>
      </c>
      <c r="AR571" s="171">
        <v>1</v>
      </c>
      <c r="AS571" s="171">
        <v>1</v>
      </c>
      <c r="AT571" s="171">
        <v>1</v>
      </c>
      <c r="AU571" s="171">
        <f t="shared" si="183"/>
        <v>0</v>
      </c>
      <c r="AV571" s="171">
        <f t="shared" si="184"/>
        <v>1</v>
      </c>
      <c r="AW571" s="171">
        <f t="shared" si="185"/>
        <v>1</v>
      </c>
      <c r="AX571" s="171">
        <f t="shared" si="197"/>
        <v>1</v>
      </c>
      <c r="AY571" s="171">
        <f t="shared" si="186"/>
        <v>0</v>
      </c>
      <c r="AZ571" s="171">
        <f t="shared" si="187"/>
        <v>1</v>
      </c>
      <c r="BA571" s="172">
        <f t="shared" si="188"/>
        <v>0</v>
      </c>
      <c r="BB571" s="175">
        <f t="shared" si="243"/>
        <v>16</v>
      </c>
      <c r="BC571" s="176">
        <f t="shared" si="244"/>
        <v>16</v>
      </c>
      <c r="BD571" s="176">
        <f t="shared" si="245"/>
        <v>16</v>
      </c>
      <c r="BE571" s="240" t="str">
        <f t="shared" si="215"/>
        <v/>
      </c>
      <c r="BH571" s="199">
        <f>IF(AND(Input_Product=Elig!$C571,Elig_MatchAll_Ct&lt;22,$BC571=(Elig_MatchAll_Ct-1),AF571=0),C571,0)</f>
        <v>0</v>
      </c>
      <c r="BI571" s="199">
        <f>IF(AND(Input_Product=Elig!$C571,Elig_MatchAll_Ct&lt;22,$BC571=(Elig_MatchAll_Ct-1),AG571=0),D571,0)</f>
        <v>0</v>
      </c>
      <c r="BJ571" s="199">
        <f>IF(AND(Input_Product=Elig!$C571,Elig_MatchAll_Ct&lt;22,$BC571=(Elig_MatchAll_Ct-1),AH571=0),E571,0)</f>
        <v>0</v>
      </c>
      <c r="BK571" s="199">
        <f>IF(AND(Input_Product=Elig!$C571,Elig_MatchAll_Ct&lt;22,$BC571=(Elig_MatchAll_Ct-1),AI571=0),F571,0)</f>
        <v>0</v>
      </c>
      <c r="BL571" s="199">
        <f>IF(AND(Input_Product=Elig!$C571,Elig_MatchAll_Ct&lt;22,$BC571=(Elig_MatchAll_Ct-1),AJ571=0),G571,0)</f>
        <v>0</v>
      </c>
      <c r="BM571" s="199">
        <f>IF(AND(Input_Product=Elig!$C571,Elig_MatchAll_Ct&lt;22,$BC571=(Elig_MatchAll_Ct-1),AK571=0),H571,0)</f>
        <v>0</v>
      </c>
      <c r="BN571" s="199">
        <f>IF(AND(Input_Product=Elig!$C571,Elig_MatchAll_Ct&lt;22,$BC571=(Elig_MatchAll_Ct-1),AL571=0),I571,0)</f>
        <v>0</v>
      </c>
      <c r="BO571" s="199">
        <f>IF(AND(Input_Product=Elig!$C571,Elig_MatchAll_Ct&lt;22,$BC571=(Elig_MatchAll_Ct-1),AM571=0),J571,0)</f>
        <v>0</v>
      </c>
      <c r="BP571" s="199">
        <f>IF(AND(Input_Product=Elig!$C571,Elig_MatchAll_Ct&lt;22,$BC571=(Elig_MatchAll_Ct-1),AN571=0),K571,0)</f>
        <v>0</v>
      </c>
      <c r="BQ571" s="199">
        <f>IF(AND(Input_Product=Elig!$C571,Elig_MatchAll_Ct&lt;22,$BC571=(Elig_MatchAll_Ct-1),AP571=0),L571,0)</f>
        <v>0</v>
      </c>
      <c r="BR571" s="199">
        <f>IF(AND(Input_Product=Elig!$C571,Elig_MatchAll_Ct&lt;22,$BC571=(Elig_MatchAll_Ct-1),AO571=0),M571,0)</f>
        <v>0</v>
      </c>
      <c r="BS571" s="199">
        <f>IF(AND(Input_Product=Elig!$C571,Elig_MatchAll_Ct&lt;22,$BC571=(Elig_MatchAll_Ct-1),AQ571=0),N571,0)</f>
        <v>0</v>
      </c>
      <c r="BT571" s="199">
        <f>IF(AND(Input_Product=Elig!$C571,Elig_MatchAll_Ct&lt;22,$BC571=(Elig_MatchAll_Ct-1),AR571=0),O571,0)</f>
        <v>0</v>
      </c>
      <c r="BU571" s="199">
        <f>IF(AND(Input_Product=Elig!$C571,Elig_MatchAll_Ct&lt;22,$BC571=(Elig_MatchAll_Ct-1),AS571=0),P571,0)</f>
        <v>0</v>
      </c>
      <c r="BV571" s="200">
        <f>IF(AND(Input_Product=Elig!$C571,Elig_MatchAll_Ct&lt;22,$BC571=(Elig_MatchAll_Ct-1),AT571=0),Q571,0)</f>
        <v>0</v>
      </c>
      <c r="BW571" s="201">
        <f>IF(AND(Input_Product=Elig!$C571,Elig_MatchAll_Ct&lt;22,$BC571=(Elig_MatchAll_Ct-1),AU571=0),R571,0)</f>
        <v>0</v>
      </c>
      <c r="BX571" s="202">
        <f>IF(AND(Input_Product=Elig!$C571,Elig_MatchAll_Ct&lt;22,$BC571=(Elig_MatchAll_Ct-1),AU571=0),S571,0)</f>
        <v>0</v>
      </c>
      <c r="BY571" s="201">
        <f>IF(AND(Input_Product=Elig!$C571,Elig_MatchAll_Ct&lt;22,$BC571=(Elig_MatchAll_Ct-1),AV571=0),T571,0)</f>
        <v>0</v>
      </c>
      <c r="BZ571" s="202">
        <f>IF(AND(Input_Product=Elig!$C571,Elig_MatchAll_Ct&lt;22,$BC571=(Elig_MatchAll_Ct-1),AV571=0),U571,0)</f>
        <v>0</v>
      </c>
      <c r="CA571" s="201">
        <f>IF(AND(Input_Product=Elig!$C571,Elig_MatchAll_Ct&lt;22,$BC571=(Elig_MatchAll_Ct-1),AW571=0),V571,0)</f>
        <v>0</v>
      </c>
      <c r="CB571" s="202">
        <f>IF(AND(Input_Product=Elig!$C571,Elig_MatchAll_Ct&lt;22,$BC571=(Elig_MatchAll_Ct-1),AW571=0),W571,0)</f>
        <v>0</v>
      </c>
      <c r="CC571" s="201">
        <f>IF(AND(Input_Product=Elig!$C571,Elig_MatchAll_Ct&lt;22,$BC571=(Elig_MatchAll_Ct-1),AX571=0),X571,0)</f>
        <v>0</v>
      </c>
      <c r="CD571" s="202">
        <f>IF(AND(Input_Product=Elig!$C571,Elig_MatchAll_Ct&lt;22,$BC571=(Elig_MatchAll_Ct-1),AX571=0),Y571,0)</f>
        <v>0</v>
      </c>
      <c r="CE571" s="201">
        <f>IF(AND(Input_LTV&lt;=AE571,Input_Product=Elig!$C571,Elig_MatchAll_Ct&lt;22,$BC571=(Elig_MatchAll_Ct-1),AY571=0),Z571,0)</f>
        <v>0</v>
      </c>
      <c r="CF571" s="202">
        <f>IF(AND(Input_LTV&lt;=AE571,Input_Product=Elig!$C571,Elig_MatchAll_Ct&lt;22,$BC571=(Elig_MatchAll_Ct-1),AY571=0),AA571,0)</f>
        <v>0</v>
      </c>
      <c r="CG571" s="201">
        <f>IF(AND(Input_Product=Elig!$C571,Elig_MatchAll_Ct&lt;22,$BC571=(Elig_MatchAll_Ct-1),AZ571=0),AB571,0)</f>
        <v>0</v>
      </c>
      <c r="CH571" s="202">
        <f>IF(AND(Input_Product=Elig!$C571,Elig_MatchAll_Ct&lt;22,$BC571=(Elig_MatchAll_Ct-1),AZ571=0),AC571,0)</f>
        <v>0</v>
      </c>
      <c r="CI571" s="201">
        <f>IF(AND(Input_Product=Elig!$C571,Elig_MatchAll_Ct&lt;22,$BC571=(Elig_MatchAll_Ct-1),BA571=0),AD571,0)</f>
        <v>0</v>
      </c>
      <c r="CJ571" s="202">
        <f>IF(AND(Input_Product=Elig!$C571,Elig_MatchAll_Ct&lt;22,$BC571=(Elig_MatchAll_Ct-1),BA571=0),AE571,0)</f>
        <v>0</v>
      </c>
    </row>
    <row r="572" spans="2:88" ht="10.15" customHeight="1" x14ac:dyDescent="0.25">
      <c r="B572" s="287" t="s">
        <v>4130</v>
      </c>
      <c r="C572" s="291" t="str">
        <f t="shared" si="241"/>
        <v>NonQM NOO</v>
      </c>
      <c r="D572" s="292" t="s">
        <v>3885</v>
      </c>
      <c r="E572" s="292" t="s">
        <v>167</v>
      </c>
      <c r="F572" s="292" t="s">
        <v>330</v>
      </c>
      <c r="G572" s="292" t="s">
        <v>305</v>
      </c>
      <c r="H572" s="292" t="s">
        <v>136</v>
      </c>
      <c r="I572" s="295" t="s">
        <v>16</v>
      </c>
      <c r="J572" s="295" t="s">
        <v>1311</v>
      </c>
      <c r="K572" s="295" t="s">
        <v>1631</v>
      </c>
      <c r="L572" s="324" t="s">
        <v>312</v>
      </c>
      <c r="M572" s="292" t="s">
        <v>4203</v>
      </c>
      <c r="N572" s="292" t="s">
        <v>2685</v>
      </c>
      <c r="O572" s="292" t="s">
        <v>310</v>
      </c>
      <c r="P572" s="292" t="s">
        <v>291</v>
      </c>
      <c r="Q572" s="292" t="s">
        <v>294</v>
      </c>
      <c r="R572" s="324">
        <v>2500000.0099999998</v>
      </c>
      <c r="S572" s="292">
        <v>3000000</v>
      </c>
      <c r="T572" s="292">
        <v>0</v>
      </c>
      <c r="U572" s="292">
        <f t="shared" si="253"/>
        <v>3000000</v>
      </c>
      <c r="V572" s="292">
        <v>0</v>
      </c>
      <c r="W572" s="292">
        <v>50</v>
      </c>
      <c r="X572" s="292">
        <v>0</v>
      </c>
      <c r="Y572" s="292">
        <v>999</v>
      </c>
      <c r="Z572" s="293">
        <v>680</v>
      </c>
      <c r="AA572" s="293">
        <v>699</v>
      </c>
      <c r="AB572" s="293">
        <v>9</v>
      </c>
      <c r="AC572" s="293">
        <v>999999</v>
      </c>
      <c r="AD572" s="292">
        <v>0</v>
      </c>
      <c r="AE572" s="294">
        <v>60</v>
      </c>
      <c r="AF572" s="170">
        <v>0</v>
      </c>
      <c r="AG572" s="171">
        <v>1</v>
      </c>
      <c r="AH572" s="171">
        <v>1</v>
      </c>
      <c r="AI572" s="171">
        <v>0</v>
      </c>
      <c r="AJ572" s="171">
        <v>0</v>
      </c>
      <c r="AK572" s="171">
        <v>1</v>
      </c>
      <c r="AL572" s="171">
        <v>1</v>
      </c>
      <c r="AM572" s="171">
        <v>1</v>
      </c>
      <c r="AN572" s="171">
        <v>1</v>
      </c>
      <c r="AO572" s="171">
        <v>1</v>
      </c>
      <c r="AP572" s="171">
        <v>1</v>
      </c>
      <c r="AQ572" s="171">
        <v>1</v>
      </c>
      <c r="AR572" s="171">
        <v>1</v>
      </c>
      <c r="AS572" s="171">
        <v>1</v>
      </c>
      <c r="AT572" s="171">
        <v>1</v>
      </c>
      <c r="AU572" s="171">
        <f t="shared" si="183"/>
        <v>0</v>
      </c>
      <c r="AV572" s="171">
        <f t="shared" si="184"/>
        <v>1</v>
      </c>
      <c r="AW572" s="171">
        <f t="shared" si="185"/>
        <v>1</v>
      </c>
      <c r="AX572" s="171">
        <f t="shared" si="197"/>
        <v>1</v>
      </c>
      <c r="AY572" s="171">
        <f t="shared" si="186"/>
        <v>0</v>
      </c>
      <c r="AZ572" s="171">
        <f t="shared" si="187"/>
        <v>1</v>
      </c>
      <c r="BA572" s="172">
        <f t="shared" si="188"/>
        <v>0</v>
      </c>
      <c r="BB572" s="175">
        <f t="shared" si="243"/>
        <v>16</v>
      </c>
      <c r="BC572" s="176">
        <f t="shared" si="244"/>
        <v>16</v>
      </c>
      <c r="BD572" s="176">
        <f t="shared" si="245"/>
        <v>16</v>
      </c>
      <c r="BE572" s="240" t="str">
        <f t="shared" si="215"/>
        <v/>
      </c>
      <c r="BH572" s="214">
        <f>IF(AND(Input_Product=Elig!$C572,Elig_MatchAll_Ct&lt;22,$BC572=(Elig_MatchAll_Ct-1),AF572=0),C572,0)</f>
        <v>0</v>
      </c>
      <c r="BI572" s="214">
        <f>IF(AND(Input_Product=Elig!$C572,Elig_MatchAll_Ct&lt;22,$BC572=(Elig_MatchAll_Ct-1),AG572=0),D572,0)</f>
        <v>0</v>
      </c>
      <c r="BJ572" s="214">
        <f>IF(AND(Input_Product=Elig!$C572,Elig_MatchAll_Ct&lt;22,$BC572=(Elig_MatchAll_Ct-1),AH572=0),E572,0)</f>
        <v>0</v>
      </c>
      <c r="BK572" s="214">
        <f>IF(AND(Input_Product=Elig!$C572,Elig_MatchAll_Ct&lt;22,$BC572=(Elig_MatchAll_Ct-1),AI572=0),F572,0)</f>
        <v>0</v>
      </c>
      <c r="BL572" s="214">
        <f>IF(AND(Input_Product=Elig!$C572,Elig_MatchAll_Ct&lt;22,$BC572=(Elig_MatchAll_Ct-1),AJ572=0),G572,0)</f>
        <v>0</v>
      </c>
      <c r="BM572" s="214">
        <f>IF(AND(Input_Product=Elig!$C572,Elig_MatchAll_Ct&lt;22,$BC572=(Elig_MatchAll_Ct-1),AK572=0),H572,0)</f>
        <v>0</v>
      </c>
      <c r="BN572" s="214">
        <f>IF(AND(Input_Product=Elig!$C572,Elig_MatchAll_Ct&lt;22,$BC572=(Elig_MatchAll_Ct-1),AL572=0),I572,0)</f>
        <v>0</v>
      </c>
      <c r="BO572" s="214">
        <f>IF(AND(Input_Product=Elig!$C572,Elig_MatchAll_Ct&lt;22,$BC572=(Elig_MatchAll_Ct-1),AM572=0),J572,0)</f>
        <v>0</v>
      </c>
      <c r="BP572" s="214">
        <f>IF(AND(Input_Product=Elig!$C572,Elig_MatchAll_Ct&lt;22,$BC572=(Elig_MatchAll_Ct-1),AN572=0),K572,0)</f>
        <v>0</v>
      </c>
      <c r="BQ572" s="214">
        <f>IF(AND(Input_Product=Elig!$C572,Elig_MatchAll_Ct&lt;22,$BC572=(Elig_MatchAll_Ct-1),AP572=0),L572,0)</f>
        <v>0</v>
      </c>
      <c r="BR572" s="214">
        <f>IF(AND(Input_Product=Elig!$C572,Elig_MatchAll_Ct&lt;22,$BC572=(Elig_MatchAll_Ct-1),AO572=0),M572,0)</f>
        <v>0</v>
      </c>
      <c r="BS572" s="214">
        <f>IF(AND(Input_Product=Elig!$C572,Elig_MatchAll_Ct&lt;22,$BC572=(Elig_MatchAll_Ct-1),AQ572=0),N572,0)</f>
        <v>0</v>
      </c>
      <c r="BT572" s="214">
        <f>IF(AND(Input_Product=Elig!$C572,Elig_MatchAll_Ct&lt;22,$BC572=(Elig_MatchAll_Ct-1),AR572=0),O572,0)</f>
        <v>0</v>
      </c>
      <c r="BU572" s="214">
        <f>IF(AND(Input_Product=Elig!$C572,Elig_MatchAll_Ct&lt;22,$BC572=(Elig_MatchAll_Ct-1),AS572=0),P572,0)</f>
        <v>0</v>
      </c>
      <c r="BV572" s="215">
        <f>IF(AND(Input_Product=Elig!$C572,Elig_MatchAll_Ct&lt;22,$BC572=(Elig_MatchAll_Ct-1),AT572=0),Q572,0)</f>
        <v>0</v>
      </c>
      <c r="BW572" s="311">
        <f>IF(AND(Input_Product=Elig!$C572,Elig_MatchAll_Ct&lt;22,$BC572=(Elig_MatchAll_Ct-1),AU572=0),R572,0)</f>
        <v>0</v>
      </c>
      <c r="BX572" s="312">
        <f>IF(AND(Input_Product=Elig!$C572,Elig_MatchAll_Ct&lt;22,$BC572=(Elig_MatchAll_Ct-1),AU572=0),S572,0)</f>
        <v>0</v>
      </c>
      <c r="BY572" s="311">
        <f>IF(AND(Input_Product=Elig!$C572,Elig_MatchAll_Ct&lt;22,$BC572=(Elig_MatchAll_Ct-1),AV572=0),T572,0)</f>
        <v>0</v>
      </c>
      <c r="BZ572" s="312">
        <f>IF(AND(Input_Product=Elig!$C572,Elig_MatchAll_Ct&lt;22,$BC572=(Elig_MatchAll_Ct-1),AV572=0),U572,0)</f>
        <v>0</v>
      </c>
      <c r="CA572" s="311">
        <f>IF(AND(Input_Product=Elig!$C572,Elig_MatchAll_Ct&lt;22,$BC572=(Elig_MatchAll_Ct-1),AW572=0),V572,0)</f>
        <v>0</v>
      </c>
      <c r="CB572" s="312">
        <f>IF(AND(Input_Product=Elig!$C572,Elig_MatchAll_Ct&lt;22,$BC572=(Elig_MatchAll_Ct-1),AW572=0),W572,0)</f>
        <v>0</v>
      </c>
      <c r="CC572" s="311">
        <f>IF(AND(Input_Product=Elig!$C572,Elig_MatchAll_Ct&lt;22,$BC572=(Elig_MatchAll_Ct-1),AX572=0),X572,0)</f>
        <v>0</v>
      </c>
      <c r="CD572" s="312">
        <f>IF(AND(Input_Product=Elig!$C572,Elig_MatchAll_Ct&lt;22,$BC572=(Elig_MatchAll_Ct-1),AX572=0),Y572,0)</f>
        <v>0</v>
      </c>
      <c r="CE572" s="311">
        <f>IF(AND(Input_LTV&lt;=AE572,Input_Product=Elig!$C572,Elig_MatchAll_Ct&lt;22,$BC572=(Elig_MatchAll_Ct-1),AY572=0),Z572,0)</f>
        <v>0</v>
      </c>
      <c r="CF572" s="312">
        <f>IF(AND(Input_LTV&lt;=AE572,Input_Product=Elig!$C572,Elig_MatchAll_Ct&lt;22,$BC572=(Elig_MatchAll_Ct-1),AY572=0),AA572,0)</f>
        <v>0</v>
      </c>
      <c r="CG572" s="311">
        <f>IF(AND(Input_Product=Elig!$C572,Elig_MatchAll_Ct&lt;22,$BC572=(Elig_MatchAll_Ct-1),AZ572=0),AB572,0)</f>
        <v>0</v>
      </c>
      <c r="CH572" s="312">
        <f>IF(AND(Input_Product=Elig!$C572,Elig_MatchAll_Ct&lt;22,$BC572=(Elig_MatchAll_Ct-1),AZ572=0),AC572,0)</f>
        <v>0</v>
      </c>
      <c r="CI572" s="311">
        <f>IF(AND(Input_Product=Elig!$C572,Elig_MatchAll_Ct&lt;22,$BC572=(Elig_MatchAll_Ct-1),BA572=0),AD572,0)</f>
        <v>0</v>
      </c>
      <c r="CJ572" s="312">
        <f>IF(AND(Input_Product=Elig!$C572,Elig_MatchAll_Ct&lt;22,$BC572=(Elig_MatchAll_Ct-1),BA572=0),AE572,0)</f>
        <v>0</v>
      </c>
    </row>
    <row r="573" spans="2:88" ht="10.15" customHeight="1" x14ac:dyDescent="0.25">
      <c r="B573" s="287" t="s">
        <v>4131</v>
      </c>
      <c r="C573" s="281" t="str">
        <f t="shared" si="241"/>
        <v>NonQM NOO</v>
      </c>
      <c r="D573" s="282" t="s">
        <v>3885</v>
      </c>
      <c r="E573" s="283" t="s">
        <v>167</v>
      </c>
      <c r="F573" s="283" t="s">
        <v>330</v>
      </c>
      <c r="G573" s="283" t="s">
        <v>181</v>
      </c>
      <c r="H573" s="283" t="s">
        <v>136</v>
      </c>
      <c r="I573" s="282" t="s">
        <v>274</v>
      </c>
      <c r="J573" s="282" t="s">
        <v>1311</v>
      </c>
      <c r="K573" s="282" t="s">
        <v>1631</v>
      </c>
      <c r="L573" s="2103" t="s">
        <v>312</v>
      </c>
      <c r="M573" s="283" t="s">
        <v>4203</v>
      </c>
      <c r="N573" s="283" t="s">
        <v>2685</v>
      </c>
      <c r="O573" s="283" t="s">
        <v>310</v>
      </c>
      <c r="P573" s="283" t="s">
        <v>291</v>
      </c>
      <c r="Q573" s="283" t="s">
        <v>294</v>
      </c>
      <c r="R573" s="323">
        <v>2500000.0099999998</v>
      </c>
      <c r="S573" s="282">
        <v>3000000</v>
      </c>
      <c r="T573" s="282">
        <v>0</v>
      </c>
      <c r="U573" s="282">
        <v>0</v>
      </c>
      <c r="V573" s="282">
        <v>0</v>
      </c>
      <c r="W573" s="282">
        <v>50</v>
      </c>
      <c r="X573" s="282">
        <v>0.75</v>
      </c>
      <c r="Y573" s="282">
        <v>999</v>
      </c>
      <c r="Z573" s="284">
        <v>720</v>
      </c>
      <c r="AA573" s="284">
        <v>999</v>
      </c>
      <c r="AB573" s="284">
        <v>9</v>
      </c>
      <c r="AC573" s="284">
        <v>999999</v>
      </c>
      <c r="AD573" s="282">
        <v>0</v>
      </c>
      <c r="AE573" s="2104">
        <v>70</v>
      </c>
      <c r="AF573" s="170">
        <v>0</v>
      </c>
      <c r="AG573" s="171">
        <v>1</v>
      </c>
      <c r="AH573" s="171">
        <v>1</v>
      </c>
      <c r="AI573" s="171">
        <v>0</v>
      </c>
      <c r="AJ573" s="171">
        <v>0</v>
      </c>
      <c r="AK573" s="171">
        <v>1</v>
      </c>
      <c r="AL573" s="171">
        <v>0</v>
      </c>
      <c r="AM573" s="171">
        <v>1</v>
      </c>
      <c r="AN573" s="171">
        <v>1</v>
      </c>
      <c r="AO573" s="171">
        <v>1</v>
      </c>
      <c r="AP573" s="171">
        <v>1</v>
      </c>
      <c r="AQ573" s="171">
        <v>1</v>
      </c>
      <c r="AR573" s="171">
        <v>1</v>
      </c>
      <c r="AS573" s="171">
        <v>1</v>
      </c>
      <c r="AT573" s="171">
        <v>1</v>
      </c>
      <c r="AU573" s="171">
        <f t="shared" si="183"/>
        <v>0</v>
      </c>
      <c r="AV573" s="171">
        <f t="shared" si="184"/>
        <v>0</v>
      </c>
      <c r="AW573" s="171">
        <f t="shared" si="185"/>
        <v>1</v>
      </c>
      <c r="AX573" s="171">
        <f t="shared" si="197"/>
        <v>0</v>
      </c>
      <c r="AY573" s="171">
        <f t="shared" si="186"/>
        <v>1</v>
      </c>
      <c r="AZ573" s="171">
        <f t="shared" si="187"/>
        <v>1</v>
      </c>
      <c r="BA573" s="172">
        <f t="shared" si="188"/>
        <v>1</v>
      </c>
      <c r="BB573" s="175">
        <f t="shared" si="243"/>
        <v>15</v>
      </c>
      <c r="BC573" s="176">
        <f t="shared" si="244"/>
        <v>14</v>
      </c>
      <c r="BD573" s="176">
        <f t="shared" si="245"/>
        <v>15</v>
      </c>
      <c r="BE573" s="240" t="str">
        <f t="shared" si="215"/>
        <v/>
      </c>
      <c r="BH573" s="210">
        <f>IF(AND(Input_Product=Elig!$C573,Elig_MatchAll_Ct&lt;22,$BC573=(Elig_MatchAll_Ct-1),AF573=0),C573,0)</f>
        <v>0</v>
      </c>
      <c r="BI573" s="210">
        <f>IF(AND(Input_Product=Elig!$C573,Elig_MatchAll_Ct&lt;22,$BC573=(Elig_MatchAll_Ct-1),AG573=0),D573,0)</f>
        <v>0</v>
      </c>
      <c r="BJ573" s="210">
        <f>IF(AND(Input_Product=Elig!$C573,Elig_MatchAll_Ct&lt;22,$BC573=(Elig_MatchAll_Ct-1),AH573=0),E573,0)</f>
        <v>0</v>
      </c>
      <c r="BK573" s="210">
        <f>IF(AND(Input_Product=Elig!$C573,Elig_MatchAll_Ct&lt;22,$BC573=(Elig_MatchAll_Ct-1),AI573=0),F573,0)</f>
        <v>0</v>
      </c>
      <c r="BL573" s="210">
        <f>IF(AND(Input_Product=Elig!$C573,Elig_MatchAll_Ct&lt;22,$BC573=(Elig_MatchAll_Ct-1),AJ573=0),G573,0)</f>
        <v>0</v>
      </c>
      <c r="BM573" s="210">
        <f>IF(AND(Input_Product=Elig!$C573,Elig_MatchAll_Ct&lt;22,$BC573=(Elig_MatchAll_Ct-1),AK573=0),H573,0)</f>
        <v>0</v>
      </c>
      <c r="BN573" s="210">
        <f>IF(AND(Input_Product=Elig!$C573,Elig_MatchAll_Ct&lt;22,$BC573=(Elig_MatchAll_Ct-1),AL573=0),I573,0)</f>
        <v>0</v>
      </c>
      <c r="BO573" s="210">
        <f>IF(AND(Input_Product=Elig!$C573,Elig_MatchAll_Ct&lt;22,$BC573=(Elig_MatchAll_Ct-1),AM573=0),J573,0)</f>
        <v>0</v>
      </c>
      <c r="BP573" s="210">
        <f>IF(AND(Input_Product=Elig!$C573,Elig_MatchAll_Ct&lt;22,$BC573=(Elig_MatchAll_Ct-1),AN573=0),K573,0)</f>
        <v>0</v>
      </c>
      <c r="BQ573" s="210">
        <f>IF(AND(Input_Product=Elig!$C573,Elig_MatchAll_Ct&lt;22,$BC573=(Elig_MatchAll_Ct-1),AP573=0),L573,0)</f>
        <v>0</v>
      </c>
      <c r="BR573" s="210">
        <f>IF(AND(Input_Product=Elig!$C573,Elig_MatchAll_Ct&lt;22,$BC573=(Elig_MatchAll_Ct-1),AO573=0),M573,0)</f>
        <v>0</v>
      </c>
      <c r="BS573" s="210">
        <f>IF(AND(Input_Product=Elig!$C573,Elig_MatchAll_Ct&lt;22,$BC573=(Elig_MatchAll_Ct-1),AQ573=0),N573,0)</f>
        <v>0</v>
      </c>
      <c r="BT573" s="210">
        <f>IF(AND(Input_Product=Elig!$C573,Elig_MatchAll_Ct&lt;22,$BC573=(Elig_MatchAll_Ct-1),AR573=0),O573,0)</f>
        <v>0</v>
      </c>
      <c r="BU573" s="210">
        <f>IF(AND(Input_Product=Elig!$C573,Elig_MatchAll_Ct&lt;22,$BC573=(Elig_MatchAll_Ct-1),AS573=0),P573,0)</f>
        <v>0</v>
      </c>
      <c r="BV573" s="211">
        <f>IF(AND(Input_Product=Elig!$C573,Elig_MatchAll_Ct&lt;22,$BC573=(Elig_MatchAll_Ct-1),AT573=0),Q573,0)</f>
        <v>0</v>
      </c>
      <c r="BW573" s="212">
        <f>IF(AND(Input_Product=Elig!$C573,Elig_MatchAll_Ct&lt;22,$BC573=(Elig_MatchAll_Ct-1),AU573=0),R573,0)</f>
        <v>0</v>
      </c>
      <c r="BX573" s="213">
        <f>IF(AND(Input_Product=Elig!$C573,Elig_MatchAll_Ct&lt;22,$BC573=(Elig_MatchAll_Ct-1),AU573=0),S573,0)</f>
        <v>0</v>
      </c>
      <c r="BY573" s="212">
        <f>IF(AND(Input_Product=Elig!$C573,Elig_MatchAll_Ct&lt;22,$BC573=(Elig_MatchAll_Ct-1),AV573=0),T573,0)</f>
        <v>0</v>
      </c>
      <c r="BZ573" s="213">
        <f>IF(AND(Input_Product=Elig!$C573,Elig_MatchAll_Ct&lt;22,$BC573=(Elig_MatchAll_Ct-1),AV573=0),U573,0)</f>
        <v>0</v>
      </c>
      <c r="CA573" s="212">
        <f>IF(AND(Input_Product=Elig!$C573,Elig_MatchAll_Ct&lt;22,$BC573=(Elig_MatchAll_Ct-1),AW573=0),V573,0)</f>
        <v>0</v>
      </c>
      <c r="CB573" s="213">
        <f>IF(AND(Input_Product=Elig!$C573,Elig_MatchAll_Ct&lt;22,$BC573=(Elig_MatchAll_Ct-1),AW573=0),W573,0)</f>
        <v>0</v>
      </c>
      <c r="CC573" s="212">
        <f>IF(AND(Input_Product=Elig!$C573,Elig_MatchAll_Ct&lt;22,$BC573=(Elig_MatchAll_Ct-1),AX573=0),X573,0)</f>
        <v>0</v>
      </c>
      <c r="CD573" s="213">
        <f>IF(AND(Input_Product=Elig!$C573,Elig_MatchAll_Ct&lt;22,$BC573=(Elig_MatchAll_Ct-1),AX573=0),Y573,0)</f>
        <v>0</v>
      </c>
      <c r="CE573" s="212">
        <f>IF(AND(Input_LTV&lt;=AE573,Input_Product=Elig!$C573,Elig_MatchAll_Ct&lt;22,$BC573=(Elig_MatchAll_Ct-1),AY573=0),Z573,0)</f>
        <v>0</v>
      </c>
      <c r="CF573" s="213">
        <f>IF(AND(Input_LTV&lt;=AE573,Input_Product=Elig!$C573,Elig_MatchAll_Ct&lt;22,$BC573=(Elig_MatchAll_Ct-1),AY573=0),AA573,0)</f>
        <v>0</v>
      </c>
      <c r="CG573" s="212">
        <f>IF(AND(Input_Product=Elig!$C573,Elig_MatchAll_Ct&lt;22,$BC573=(Elig_MatchAll_Ct-1),AZ573=0),AB573,0)</f>
        <v>0</v>
      </c>
      <c r="CH573" s="213">
        <f>IF(AND(Input_Product=Elig!$C573,Elig_MatchAll_Ct&lt;22,$BC573=(Elig_MatchAll_Ct-1),AZ573=0),AC573,0)</f>
        <v>0</v>
      </c>
      <c r="CI573" s="212">
        <f>IF(AND(Input_Product=Elig!$C573,Elig_MatchAll_Ct&lt;22,$BC573=(Elig_MatchAll_Ct-1),BA573=0),AD573,0)</f>
        <v>0</v>
      </c>
      <c r="CJ573" s="213">
        <f>IF(AND(Input_Product=Elig!$C573,Elig_MatchAll_Ct&lt;22,$BC573=(Elig_MatchAll_Ct-1),BA573=0),AE573,0)</f>
        <v>0</v>
      </c>
    </row>
    <row r="574" spans="2:88" ht="10.15" customHeight="1" x14ac:dyDescent="0.25">
      <c r="B574" s="287" t="s">
        <v>4132</v>
      </c>
      <c r="C574" s="286" t="str">
        <f t="shared" si="241"/>
        <v>NonQM NOO</v>
      </c>
      <c r="D574" s="287" t="s">
        <v>3885</v>
      </c>
      <c r="E574" s="287" t="s">
        <v>167</v>
      </c>
      <c r="F574" s="287" t="s">
        <v>330</v>
      </c>
      <c r="G574" s="287" t="s">
        <v>181</v>
      </c>
      <c r="H574" s="287" t="s">
        <v>136</v>
      </c>
      <c r="I574" s="288" t="s">
        <v>274</v>
      </c>
      <c r="J574" s="288" t="s">
        <v>1311</v>
      </c>
      <c r="K574" s="288" t="s">
        <v>1631</v>
      </c>
      <c r="L574" s="300" t="s">
        <v>312</v>
      </c>
      <c r="M574" s="287" t="s">
        <v>4203</v>
      </c>
      <c r="N574" s="287" t="s">
        <v>2685</v>
      </c>
      <c r="O574" s="287" t="s">
        <v>310</v>
      </c>
      <c r="P574" s="287" t="s">
        <v>291</v>
      </c>
      <c r="Q574" s="287" t="s">
        <v>294</v>
      </c>
      <c r="R574" s="300">
        <v>2500000.0099999998</v>
      </c>
      <c r="S574" s="287">
        <v>3000000</v>
      </c>
      <c r="T574" s="287">
        <v>0</v>
      </c>
      <c r="U574" s="287">
        <v>0</v>
      </c>
      <c r="V574" s="287">
        <v>0</v>
      </c>
      <c r="W574" s="287">
        <v>50</v>
      </c>
      <c r="X574" s="287">
        <v>0.75</v>
      </c>
      <c r="Y574" s="287">
        <v>999</v>
      </c>
      <c r="Z574" s="289">
        <v>700</v>
      </c>
      <c r="AA574" s="289">
        <v>719</v>
      </c>
      <c r="AB574" s="289">
        <v>9</v>
      </c>
      <c r="AC574" s="289">
        <v>999999</v>
      </c>
      <c r="AD574" s="287">
        <v>0</v>
      </c>
      <c r="AE574" s="2105">
        <v>70</v>
      </c>
      <c r="AF574" s="170">
        <v>0</v>
      </c>
      <c r="AG574" s="171">
        <v>1</v>
      </c>
      <c r="AH574" s="171">
        <v>1</v>
      </c>
      <c r="AI574" s="171">
        <v>0</v>
      </c>
      <c r="AJ574" s="171">
        <v>0</v>
      </c>
      <c r="AK574" s="171">
        <v>1</v>
      </c>
      <c r="AL574" s="171">
        <v>0</v>
      </c>
      <c r="AM574" s="171">
        <v>1</v>
      </c>
      <c r="AN574" s="171">
        <v>1</v>
      </c>
      <c r="AO574" s="171">
        <v>1</v>
      </c>
      <c r="AP574" s="171">
        <v>1</v>
      </c>
      <c r="AQ574" s="171">
        <v>1</v>
      </c>
      <c r="AR574" s="171">
        <v>1</v>
      </c>
      <c r="AS574" s="171">
        <v>1</v>
      </c>
      <c r="AT574" s="171">
        <v>1</v>
      </c>
      <c r="AU574" s="171">
        <f t="shared" si="183"/>
        <v>0</v>
      </c>
      <c r="AV574" s="171">
        <f t="shared" si="184"/>
        <v>0</v>
      </c>
      <c r="AW574" s="171">
        <f t="shared" si="185"/>
        <v>1</v>
      </c>
      <c r="AX574" s="171">
        <f t="shared" si="197"/>
        <v>0</v>
      </c>
      <c r="AY574" s="171">
        <f t="shared" si="186"/>
        <v>0</v>
      </c>
      <c r="AZ574" s="171">
        <f t="shared" si="187"/>
        <v>1</v>
      </c>
      <c r="BA574" s="172">
        <f t="shared" si="188"/>
        <v>1</v>
      </c>
      <c r="BB574" s="175">
        <f t="shared" si="243"/>
        <v>14</v>
      </c>
      <c r="BC574" s="176">
        <f t="shared" si="244"/>
        <v>13</v>
      </c>
      <c r="BD574" s="176">
        <f t="shared" si="245"/>
        <v>14</v>
      </c>
      <c r="BE574" s="240" t="str">
        <f t="shared" si="215"/>
        <v/>
      </c>
      <c r="BH574" s="199">
        <f>IF(AND(Input_Product=Elig!$C574,Elig_MatchAll_Ct&lt;22,$BC574=(Elig_MatchAll_Ct-1),AF574=0),C574,0)</f>
        <v>0</v>
      </c>
      <c r="BI574" s="199">
        <f>IF(AND(Input_Product=Elig!$C574,Elig_MatchAll_Ct&lt;22,$BC574=(Elig_MatchAll_Ct-1),AG574=0),D574,0)</f>
        <v>0</v>
      </c>
      <c r="BJ574" s="199">
        <f>IF(AND(Input_Product=Elig!$C574,Elig_MatchAll_Ct&lt;22,$BC574=(Elig_MatchAll_Ct-1),AH574=0),E574,0)</f>
        <v>0</v>
      </c>
      <c r="BK574" s="199">
        <f>IF(AND(Input_Product=Elig!$C574,Elig_MatchAll_Ct&lt;22,$BC574=(Elig_MatchAll_Ct-1),AI574=0),F574,0)</f>
        <v>0</v>
      </c>
      <c r="BL574" s="199">
        <f>IF(AND(Input_Product=Elig!$C574,Elig_MatchAll_Ct&lt;22,$BC574=(Elig_MatchAll_Ct-1),AJ574=0),G574,0)</f>
        <v>0</v>
      </c>
      <c r="BM574" s="199">
        <f>IF(AND(Input_Product=Elig!$C574,Elig_MatchAll_Ct&lt;22,$BC574=(Elig_MatchAll_Ct-1),AK574=0),H574,0)</f>
        <v>0</v>
      </c>
      <c r="BN574" s="199">
        <f>IF(AND(Input_Product=Elig!$C574,Elig_MatchAll_Ct&lt;22,$BC574=(Elig_MatchAll_Ct-1),AL574=0),I574,0)</f>
        <v>0</v>
      </c>
      <c r="BO574" s="199">
        <f>IF(AND(Input_Product=Elig!$C574,Elig_MatchAll_Ct&lt;22,$BC574=(Elig_MatchAll_Ct-1),AM574=0),J574,0)</f>
        <v>0</v>
      </c>
      <c r="BP574" s="199">
        <f>IF(AND(Input_Product=Elig!$C574,Elig_MatchAll_Ct&lt;22,$BC574=(Elig_MatchAll_Ct-1),AN574=0),K574,0)</f>
        <v>0</v>
      </c>
      <c r="BQ574" s="199">
        <f>IF(AND(Input_Product=Elig!$C574,Elig_MatchAll_Ct&lt;22,$BC574=(Elig_MatchAll_Ct-1),AP574=0),L574,0)</f>
        <v>0</v>
      </c>
      <c r="BR574" s="199">
        <f>IF(AND(Input_Product=Elig!$C574,Elig_MatchAll_Ct&lt;22,$BC574=(Elig_MatchAll_Ct-1),AO574=0),M574,0)</f>
        <v>0</v>
      </c>
      <c r="BS574" s="199">
        <f>IF(AND(Input_Product=Elig!$C574,Elig_MatchAll_Ct&lt;22,$BC574=(Elig_MatchAll_Ct-1),AQ574=0),N574,0)</f>
        <v>0</v>
      </c>
      <c r="BT574" s="199">
        <f>IF(AND(Input_Product=Elig!$C574,Elig_MatchAll_Ct&lt;22,$BC574=(Elig_MatchAll_Ct-1),AR574=0),O574,0)</f>
        <v>0</v>
      </c>
      <c r="BU574" s="199">
        <f>IF(AND(Input_Product=Elig!$C574,Elig_MatchAll_Ct&lt;22,$BC574=(Elig_MatchAll_Ct-1),AS574=0),P574,0)</f>
        <v>0</v>
      </c>
      <c r="BV574" s="200">
        <f>IF(AND(Input_Product=Elig!$C574,Elig_MatchAll_Ct&lt;22,$BC574=(Elig_MatchAll_Ct-1),AT574=0),Q574,0)</f>
        <v>0</v>
      </c>
      <c r="BW574" s="201">
        <f>IF(AND(Input_Product=Elig!$C574,Elig_MatchAll_Ct&lt;22,$BC574=(Elig_MatchAll_Ct-1),AU574=0),R574,0)</f>
        <v>0</v>
      </c>
      <c r="BX574" s="202">
        <f>IF(AND(Input_Product=Elig!$C574,Elig_MatchAll_Ct&lt;22,$BC574=(Elig_MatchAll_Ct-1),AU574=0),S574,0)</f>
        <v>0</v>
      </c>
      <c r="BY574" s="201">
        <f>IF(AND(Input_Product=Elig!$C574,Elig_MatchAll_Ct&lt;22,$BC574=(Elig_MatchAll_Ct-1),AV574=0),T574,0)</f>
        <v>0</v>
      </c>
      <c r="BZ574" s="202">
        <f>IF(AND(Input_Product=Elig!$C574,Elig_MatchAll_Ct&lt;22,$BC574=(Elig_MatchAll_Ct-1),AV574=0),U574,0)</f>
        <v>0</v>
      </c>
      <c r="CA574" s="201">
        <f>IF(AND(Input_Product=Elig!$C574,Elig_MatchAll_Ct&lt;22,$BC574=(Elig_MatchAll_Ct-1),AW574=0),V574,0)</f>
        <v>0</v>
      </c>
      <c r="CB574" s="202">
        <f>IF(AND(Input_Product=Elig!$C574,Elig_MatchAll_Ct&lt;22,$BC574=(Elig_MatchAll_Ct-1),AW574=0),W574,0)</f>
        <v>0</v>
      </c>
      <c r="CC574" s="201">
        <f>IF(AND(Input_Product=Elig!$C574,Elig_MatchAll_Ct&lt;22,$BC574=(Elig_MatchAll_Ct-1),AX574=0),X574,0)</f>
        <v>0</v>
      </c>
      <c r="CD574" s="202">
        <f>IF(AND(Input_Product=Elig!$C574,Elig_MatchAll_Ct&lt;22,$BC574=(Elig_MatchAll_Ct-1),AX574=0),Y574,0)</f>
        <v>0</v>
      </c>
      <c r="CE574" s="201">
        <f>IF(AND(Input_LTV&lt;=AE574,Input_Product=Elig!$C574,Elig_MatchAll_Ct&lt;22,$BC574=(Elig_MatchAll_Ct-1),AY574=0),Z574,0)</f>
        <v>0</v>
      </c>
      <c r="CF574" s="202">
        <f>IF(AND(Input_LTV&lt;=AE574,Input_Product=Elig!$C574,Elig_MatchAll_Ct&lt;22,$BC574=(Elig_MatchAll_Ct-1),AY574=0),AA574,0)</f>
        <v>0</v>
      </c>
      <c r="CG574" s="201">
        <f>IF(AND(Input_Product=Elig!$C574,Elig_MatchAll_Ct&lt;22,$BC574=(Elig_MatchAll_Ct-1),AZ574=0),AB574,0)</f>
        <v>0</v>
      </c>
      <c r="CH574" s="202">
        <f>IF(AND(Input_Product=Elig!$C574,Elig_MatchAll_Ct&lt;22,$BC574=(Elig_MatchAll_Ct-1),AZ574=0),AC574,0)</f>
        <v>0</v>
      </c>
      <c r="CI574" s="201">
        <f>IF(AND(Input_Product=Elig!$C574,Elig_MatchAll_Ct&lt;22,$BC574=(Elig_MatchAll_Ct-1),BA574=0),AD574,0)</f>
        <v>0</v>
      </c>
      <c r="CJ574" s="202">
        <f>IF(AND(Input_Product=Elig!$C574,Elig_MatchAll_Ct&lt;22,$BC574=(Elig_MatchAll_Ct-1),BA574=0),AE574,0)</f>
        <v>0</v>
      </c>
    </row>
    <row r="575" spans="2:88" ht="10.15" customHeight="1" x14ac:dyDescent="0.25">
      <c r="B575" s="287" t="s">
        <v>4133</v>
      </c>
      <c r="C575" s="291" t="str">
        <f t="shared" si="241"/>
        <v>NonQM NOO</v>
      </c>
      <c r="D575" s="292" t="s">
        <v>3885</v>
      </c>
      <c r="E575" s="292" t="s">
        <v>167</v>
      </c>
      <c r="F575" s="292" t="s">
        <v>330</v>
      </c>
      <c r="G575" s="292" t="s">
        <v>181</v>
      </c>
      <c r="H575" s="292" t="s">
        <v>136</v>
      </c>
      <c r="I575" s="295" t="s">
        <v>274</v>
      </c>
      <c r="J575" s="295" t="s">
        <v>1311</v>
      </c>
      <c r="K575" s="295" t="s">
        <v>1631</v>
      </c>
      <c r="L575" s="324" t="s">
        <v>312</v>
      </c>
      <c r="M575" s="292" t="s">
        <v>4203</v>
      </c>
      <c r="N575" s="292" t="s">
        <v>2685</v>
      </c>
      <c r="O575" s="292" t="s">
        <v>310</v>
      </c>
      <c r="P575" s="292" t="s">
        <v>291</v>
      </c>
      <c r="Q575" s="292" t="s">
        <v>294</v>
      </c>
      <c r="R575" s="324">
        <v>2500000.0099999998</v>
      </c>
      <c r="S575" s="292">
        <v>3000000</v>
      </c>
      <c r="T575" s="292">
        <v>0</v>
      </c>
      <c r="U575" s="292">
        <v>0</v>
      </c>
      <c r="V575" s="292">
        <v>0</v>
      </c>
      <c r="W575" s="292">
        <v>50</v>
      </c>
      <c r="X575" s="292">
        <v>0.75</v>
      </c>
      <c r="Y575" s="292">
        <v>999</v>
      </c>
      <c r="Z575" s="293">
        <v>680</v>
      </c>
      <c r="AA575" s="293">
        <v>699</v>
      </c>
      <c r="AB575" s="293">
        <v>9</v>
      </c>
      <c r="AC575" s="293">
        <v>999999</v>
      </c>
      <c r="AD575" s="292">
        <v>0</v>
      </c>
      <c r="AE575" s="2107">
        <v>65</v>
      </c>
      <c r="AF575" s="170">
        <v>0</v>
      </c>
      <c r="AG575" s="171">
        <v>1</v>
      </c>
      <c r="AH575" s="171">
        <v>1</v>
      </c>
      <c r="AI575" s="171">
        <v>0</v>
      </c>
      <c r="AJ575" s="171">
        <v>0</v>
      </c>
      <c r="AK575" s="171">
        <v>1</v>
      </c>
      <c r="AL575" s="171">
        <v>0</v>
      </c>
      <c r="AM575" s="171">
        <v>1</v>
      </c>
      <c r="AN575" s="171">
        <v>1</v>
      </c>
      <c r="AO575" s="171">
        <v>1</v>
      </c>
      <c r="AP575" s="171">
        <v>1</v>
      </c>
      <c r="AQ575" s="171">
        <v>1</v>
      </c>
      <c r="AR575" s="171">
        <v>1</v>
      </c>
      <c r="AS575" s="171">
        <v>1</v>
      </c>
      <c r="AT575" s="171">
        <v>1</v>
      </c>
      <c r="AU575" s="171">
        <f t="shared" si="183"/>
        <v>0</v>
      </c>
      <c r="AV575" s="171">
        <f t="shared" si="184"/>
        <v>0</v>
      </c>
      <c r="AW575" s="171">
        <f t="shared" si="185"/>
        <v>1</v>
      </c>
      <c r="AX575" s="171">
        <f t="shared" si="197"/>
        <v>0</v>
      </c>
      <c r="AY575" s="171">
        <f t="shared" si="186"/>
        <v>0</v>
      </c>
      <c r="AZ575" s="171">
        <f t="shared" si="187"/>
        <v>1</v>
      </c>
      <c r="BA575" s="172">
        <f t="shared" si="188"/>
        <v>1</v>
      </c>
      <c r="BB575" s="175">
        <f t="shared" si="243"/>
        <v>14</v>
      </c>
      <c r="BC575" s="176">
        <f t="shared" si="244"/>
        <v>13</v>
      </c>
      <c r="BD575" s="176">
        <f t="shared" si="245"/>
        <v>14</v>
      </c>
      <c r="BE575" s="240" t="str">
        <f t="shared" si="215"/>
        <v/>
      </c>
      <c r="BH575" s="214">
        <f>IF(AND(Input_Product=Elig!$C575,Elig_MatchAll_Ct&lt;22,$BC575=(Elig_MatchAll_Ct-1),AF575=0),C575,0)</f>
        <v>0</v>
      </c>
      <c r="BI575" s="214">
        <f>IF(AND(Input_Product=Elig!$C575,Elig_MatchAll_Ct&lt;22,$BC575=(Elig_MatchAll_Ct-1),AG575=0),D575,0)</f>
        <v>0</v>
      </c>
      <c r="BJ575" s="214">
        <f>IF(AND(Input_Product=Elig!$C575,Elig_MatchAll_Ct&lt;22,$BC575=(Elig_MatchAll_Ct-1),AH575=0),E575,0)</f>
        <v>0</v>
      </c>
      <c r="BK575" s="214">
        <f>IF(AND(Input_Product=Elig!$C575,Elig_MatchAll_Ct&lt;22,$BC575=(Elig_MatchAll_Ct-1),AI575=0),F575,0)</f>
        <v>0</v>
      </c>
      <c r="BL575" s="214">
        <f>IF(AND(Input_Product=Elig!$C575,Elig_MatchAll_Ct&lt;22,$BC575=(Elig_MatchAll_Ct-1),AJ575=0),G575,0)</f>
        <v>0</v>
      </c>
      <c r="BM575" s="214">
        <f>IF(AND(Input_Product=Elig!$C575,Elig_MatchAll_Ct&lt;22,$BC575=(Elig_MatchAll_Ct-1),AK575=0),H575,0)</f>
        <v>0</v>
      </c>
      <c r="BN575" s="214">
        <f>IF(AND(Input_Product=Elig!$C575,Elig_MatchAll_Ct&lt;22,$BC575=(Elig_MatchAll_Ct-1),AL575=0),I575,0)</f>
        <v>0</v>
      </c>
      <c r="BO575" s="214">
        <f>IF(AND(Input_Product=Elig!$C575,Elig_MatchAll_Ct&lt;22,$BC575=(Elig_MatchAll_Ct-1),AM575=0),J575,0)</f>
        <v>0</v>
      </c>
      <c r="BP575" s="214">
        <f>IF(AND(Input_Product=Elig!$C575,Elig_MatchAll_Ct&lt;22,$BC575=(Elig_MatchAll_Ct-1),AN575=0),K575,0)</f>
        <v>0</v>
      </c>
      <c r="BQ575" s="214">
        <f>IF(AND(Input_Product=Elig!$C575,Elig_MatchAll_Ct&lt;22,$BC575=(Elig_MatchAll_Ct-1),AP575=0),L575,0)</f>
        <v>0</v>
      </c>
      <c r="BR575" s="214">
        <f>IF(AND(Input_Product=Elig!$C575,Elig_MatchAll_Ct&lt;22,$BC575=(Elig_MatchAll_Ct-1),AO575=0),M575,0)</f>
        <v>0</v>
      </c>
      <c r="BS575" s="214">
        <f>IF(AND(Input_Product=Elig!$C575,Elig_MatchAll_Ct&lt;22,$BC575=(Elig_MatchAll_Ct-1),AQ575=0),N575,0)</f>
        <v>0</v>
      </c>
      <c r="BT575" s="214">
        <f>IF(AND(Input_Product=Elig!$C575,Elig_MatchAll_Ct&lt;22,$BC575=(Elig_MatchAll_Ct-1),AR575=0),O575,0)</f>
        <v>0</v>
      </c>
      <c r="BU575" s="214">
        <f>IF(AND(Input_Product=Elig!$C575,Elig_MatchAll_Ct&lt;22,$BC575=(Elig_MatchAll_Ct-1),AS575=0),P575,0)</f>
        <v>0</v>
      </c>
      <c r="BV575" s="215">
        <f>IF(AND(Input_Product=Elig!$C575,Elig_MatchAll_Ct&lt;22,$BC575=(Elig_MatchAll_Ct-1),AT575=0),Q575,0)</f>
        <v>0</v>
      </c>
      <c r="BW575" s="311">
        <f>IF(AND(Input_Product=Elig!$C575,Elig_MatchAll_Ct&lt;22,$BC575=(Elig_MatchAll_Ct-1),AU575=0),R575,0)</f>
        <v>0</v>
      </c>
      <c r="BX575" s="312">
        <f>IF(AND(Input_Product=Elig!$C575,Elig_MatchAll_Ct&lt;22,$BC575=(Elig_MatchAll_Ct-1),AU575=0),S575,0)</f>
        <v>0</v>
      </c>
      <c r="BY575" s="311">
        <f>IF(AND(Input_Product=Elig!$C575,Elig_MatchAll_Ct&lt;22,$BC575=(Elig_MatchAll_Ct-1),AV575=0),T575,0)</f>
        <v>0</v>
      </c>
      <c r="BZ575" s="312">
        <f>IF(AND(Input_Product=Elig!$C575,Elig_MatchAll_Ct&lt;22,$BC575=(Elig_MatchAll_Ct-1),AV575=0),U575,0)</f>
        <v>0</v>
      </c>
      <c r="CA575" s="311">
        <f>IF(AND(Input_Product=Elig!$C575,Elig_MatchAll_Ct&lt;22,$BC575=(Elig_MatchAll_Ct-1),AW575=0),V575,0)</f>
        <v>0</v>
      </c>
      <c r="CB575" s="312">
        <f>IF(AND(Input_Product=Elig!$C575,Elig_MatchAll_Ct&lt;22,$BC575=(Elig_MatchAll_Ct-1),AW575=0),W575,0)</f>
        <v>0</v>
      </c>
      <c r="CC575" s="311">
        <f>IF(AND(Input_Product=Elig!$C575,Elig_MatchAll_Ct&lt;22,$BC575=(Elig_MatchAll_Ct-1),AX575=0),X575,0)</f>
        <v>0</v>
      </c>
      <c r="CD575" s="312">
        <f>IF(AND(Input_Product=Elig!$C575,Elig_MatchAll_Ct&lt;22,$BC575=(Elig_MatchAll_Ct-1),AX575=0),Y575,0)</f>
        <v>0</v>
      </c>
      <c r="CE575" s="311">
        <f>IF(AND(Input_LTV&lt;=AE575,Input_Product=Elig!$C575,Elig_MatchAll_Ct&lt;22,$BC575=(Elig_MatchAll_Ct-1),AY575=0),Z575,0)</f>
        <v>0</v>
      </c>
      <c r="CF575" s="312">
        <f>IF(AND(Input_LTV&lt;=AE575,Input_Product=Elig!$C575,Elig_MatchAll_Ct&lt;22,$BC575=(Elig_MatchAll_Ct-1),AY575=0),AA575,0)</f>
        <v>0</v>
      </c>
      <c r="CG575" s="311">
        <f>IF(AND(Input_Product=Elig!$C575,Elig_MatchAll_Ct&lt;22,$BC575=(Elig_MatchAll_Ct-1),AZ575=0),AB575,0)</f>
        <v>0</v>
      </c>
      <c r="CH575" s="312">
        <f>IF(AND(Input_Product=Elig!$C575,Elig_MatchAll_Ct&lt;22,$BC575=(Elig_MatchAll_Ct-1),AZ575=0),AC575,0)</f>
        <v>0</v>
      </c>
      <c r="CI575" s="311">
        <f>IF(AND(Input_Product=Elig!$C575,Elig_MatchAll_Ct&lt;22,$BC575=(Elig_MatchAll_Ct-1),BA575=0),AD575,0)</f>
        <v>0</v>
      </c>
      <c r="CJ575" s="312">
        <f>IF(AND(Input_Product=Elig!$C575,Elig_MatchAll_Ct&lt;22,$BC575=(Elig_MatchAll_Ct-1),BA575=0),AE575,0)</f>
        <v>0</v>
      </c>
    </row>
    <row r="576" spans="2:88" ht="10.15" customHeight="1" x14ac:dyDescent="0.25">
      <c r="B576" s="287" t="s">
        <v>4134</v>
      </c>
      <c r="C576" s="281" t="str">
        <f t="shared" si="241"/>
        <v>NonQM NOO</v>
      </c>
      <c r="D576" s="282" t="s">
        <v>3885</v>
      </c>
      <c r="E576" s="283" t="s">
        <v>167</v>
      </c>
      <c r="F576" s="283" t="s">
        <v>330</v>
      </c>
      <c r="G576" s="283" t="s">
        <v>181</v>
      </c>
      <c r="H576" s="283" t="s">
        <v>136</v>
      </c>
      <c r="I576" s="283" t="s">
        <v>16</v>
      </c>
      <c r="J576" s="282" t="s">
        <v>1311</v>
      </c>
      <c r="K576" s="282" t="s">
        <v>1631</v>
      </c>
      <c r="L576" s="2103" t="s">
        <v>312</v>
      </c>
      <c r="M576" s="283" t="s">
        <v>4203</v>
      </c>
      <c r="N576" s="283" t="s">
        <v>2685</v>
      </c>
      <c r="O576" s="283" t="s">
        <v>310</v>
      </c>
      <c r="P576" s="283" t="s">
        <v>291</v>
      </c>
      <c r="Q576" s="283" t="s">
        <v>294</v>
      </c>
      <c r="R576" s="323">
        <v>2500000.0099999998</v>
      </c>
      <c r="S576" s="282">
        <v>3000000</v>
      </c>
      <c r="T576" s="282">
        <v>0</v>
      </c>
      <c r="U576" s="282">
        <f t="shared" ref="U576:U578" si="254">S576</f>
        <v>3000000</v>
      </c>
      <c r="V576" s="282">
        <v>0</v>
      </c>
      <c r="W576" s="282">
        <v>50</v>
      </c>
      <c r="X576" s="282">
        <v>1</v>
      </c>
      <c r="Y576" s="282">
        <v>999</v>
      </c>
      <c r="Z576" s="284">
        <v>720</v>
      </c>
      <c r="AA576" s="284">
        <v>999</v>
      </c>
      <c r="AB576" s="284">
        <v>9</v>
      </c>
      <c r="AC576" s="284">
        <v>999999</v>
      </c>
      <c r="AD576" s="282">
        <v>0</v>
      </c>
      <c r="AE576" s="2104">
        <v>65</v>
      </c>
      <c r="AF576" s="170">
        <v>0</v>
      </c>
      <c r="AG576" s="171">
        <v>1</v>
      </c>
      <c r="AH576" s="171">
        <v>1</v>
      </c>
      <c r="AI576" s="171">
        <v>0</v>
      </c>
      <c r="AJ576" s="171">
        <v>0</v>
      </c>
      <c r="AK576" s="171">
        <v>1</v>
      </c>
      <c r="AL576" s="171">
        <v>1</v>
      </c>
      <c r="AM576" s="171">
        <v>1</v>
      </c>
      <c r="AN576" s="171">
        <v>1</v>
      </c>
      <c r="AO576" s="171">
        <v>1</v>
      </c>
      <c r="AP576" s="171">
        <v>1</v>
      </c>
      <c r="AQ576" s="171">
        <v>1</v>
      </c>
      <c r="AR576" s="171">
        <v>1</v>
      </c>
      <c r="AS576" s="171">
        <v>1</v>
      </c>
      <c r="AT576" s="171">
        <v>1</v>
      </c>
      <c r="AU576" s="171">
        <f t="shared" si="183"/>
        <v>0</v>
      </c>
      <c r="AV576" s="171">
        <f t="shared" si="184"/>
        <v>1</v>
      </c>
      <c r="AW576" s="171">
        <f t="shared" si="185"/>
        <v>1</v>
      </c>
      <c r="AX576" s="171">
        <f t="shared" si="197"/>
        <v>0</v>
      </c>
      <c r="AY576" s="171">
        <f t="shared" si="186"/>
        <v>1</v>
      </c>
      <c r="AZ576" s="171">
        <f t="shared" si="187"/>
        <v>1</v>
      </c>
      <c r="BA576" s="172">
        <f t="shared" si="188"/>
        <v>1</v>
      </c>
      <c r="BB576" s="175">
        <f t="shared" si="243"/>
        <v>17</v>
      </c>
      <c r="BC576" s="176">
        <f t="shared" si="244"/>
        <v>16</v>
      </c>
      <c r="BD576" s="176">
        <f t="shared" si="245"/>
        <v>17</v>
      </c>
      <c r="BE576" s="240" t="str">
        <f t="shared" si="215"/>
        <v/>
      </c>
      <c r="BH576" s="216">
        <f>IF(AND(Input_Product=Elig!$C576,Elig_MatchAll_Ct&lt;22,$BC576=(Elig_MatchAll_Ct-1),AF576=0),C576,0)</f>
        <v>0</v>
      </c>
      <c r="BI576" s="216">
        <f>IF(AND(Input_Product=Elig!$C576,Elig_MatchAll_Ct&lt;22,$BC576=(Elig_MatchAll_Ct-1),AG576=0),D576,0)</f>
        <v>0</v>
      </c>
      <c r="BJ576" s="216">
        <f>IF(AND(Input_Product=Elig!$C576,Elig_MatchAll_Ct&lt;22,$BC576=(Elig_MatchAll_Ct-1),AH576=0),E576,0)</f>
        <v>0</v>
      </c>
      <c r="BK576" s="216">
        <f>IF(AND(Input_Product=Elig!$C576,Elig_MatchAll_Ct&lt;22,$BC576=(Elig_MatchAll_Ct-1),AI576=0),F576,0)</f>
        <v>0</v>
      </c>
      <c r="BL576" s="216">
        <f>IF(AND(Input_Product=Elig!$C576,Elig_MatchAll_Ct&lt;22,$BC576=(Elig_MatchAll_Ct-1),AJ576=0),G576,0)</f>
        <v>0</v>
      </c>
      <c r="BM576" s="216">
        <f>IF(AND(Input_Product=Elig!$C576,Elig_MatchAll_Ct&lt;22,$BC576=(Elig_MatchAll_Ct-1),AK576=0),H576,0)</f>
        <v>0</v>
      </c>
      <c r="BN576" s="216">
        <f>IF(AND(Input_Product=Elig!$C576,Elig_MatchAll_Ct&lt;22,$BC576=(Elig_MatchAll_Ct-1),AL576=0),I576,0)</f>
        <v>0</v>
      </c>
      <c r="BO576" s="216">
        <f>IF(AND(Input_Product=Elig!$C576,Elig_MatchAll_Ct&lt;22,$BC576=(Elig_MatchAll_Ct-1),AM576=0),J576,0)</f>
        <v>0</v>
      </c>
      <c r="BP576" s="216">
        <f>IF(AND(Input_Product=Elig!$C576,Elig_MatchAll_Ct&lt;22,$BC576=(Elig_MatchAll_Ct-1),AN576=0),K576,0)</f>
        <v>0</v>
      </c>
      <c r="BQ576" s="216">
        <f>IF(AND(Input_Product=Elig!$C576,Elig_MatchAll_Ct&lt;22,$BC576=(Elig_MatchAll_Ct-1),AP576=0),L576,0)</f>
        <v>0</v>
      </c>
      <c r="BR576" s="216">
        <f>IF(AND(Input_Product=Elig!$C576,Elig_MatchAll_Ct&lt;22,$BC576=(Elig_MatchAll_Ct-1),AO576=0),M576,0)</f>
        <v>0</v>
      </c>
      <c r="BS576" s="216">
        <f>IF(AND(Input_Product=Elig!$C576,Elig_MatchAll_Ct&lt;22,$BC576=(Elig_MatchAll_Ct-1),AQ576=0),N576,0)</f>
        <v>0</v>
      </c>
      <c r="BT576" s="216">
        <f>IF(AND(Input_Product=Elig!$C576,Elig_MatchAll_Ct&lt;22,$BC576=(Elig_MatchAll_Ct-1),AR576=0),O576,0)</f>
        <v>0</v>
      </c>
      <c r="BU576" s="216">
        <f>IF(AND(Input_Product=Elig!$C576,Elig_MatchAll_Ct&lt;22,$BC576=(Elig_MatchAll_Ct-1),AS576=0),P576,0)</f>
        <v>0</v>
      </c>
      <c r="BV576" s="217">
        <f>IF(AND(Input_Product=Elig!$C576,Elig_MatchAll_Ct&lt;22,$BC576=(Elig_MatchAll_Ct-1),AT576=0),Q576,0)</f>
        <v>0</v>
      </c>
      <c r="BW576" s="313">
        <f>IF(AND(Input_Product=Elig!$C576,Elig_MatchAll_Ct&lt;22,$BC576=(Elig_MatchAll_Ct-1),AU576=0),R576,0)</f>
        <v>0</v>
      </c>
      <c r="BX576" s="314">
        <f>IF(AND(Input_Product=Elig!$C576,Elig_MatchAll_Ct&lt;22,$BC576=(Elig_MatchAll_Ct-1),AU576=0),S576,0)</f>
        <v>0</v>
      </c>
      <c r="BY576" s="313">
        <f>IF(AND(Input_Product=Elig!$C576,Elig_MatchAll_Ct&lt;22,$BC576=(Elig_MatchAll_Ct-1),AV576=0),T576,0)</f>
        <v>0</v>
      </c>
      <c r="BZ576" s="314">
        <f>IF(AND(Input_Product=Elig!$C576,Elig_MatchAll_Ct&lt;22,$BC576=(Elig_MatchAll_Ct-1),AV576=0),U576,0)</f>
        <v>0</v>
      </c>
      <c r="CA576" s="313">
        <f>IF(AND(Input_Product=Elig!$C576,Elig_MatchAll_Ct&lt;22,$BC576=(Elig_MatchAll_Ct-1),AW576=0),V576,0)</f>
        <v>0</v>
      </c>
      <c r="CB576" s="314">
        <f>IF(AND(Input_Product=Elig!$C576,Elig_MatchAll_Ct&lt;22,$BC576=(Elig_MatchAll_Ct-1),AW576=0),W576,0)</f>
        <v>0</v>
      </c>
      <c r="CC576" s="313">
        <f>IF(AND(Input_Product=Elig!$C576,Elig_MatchAll_Ct&lt;22,$BC576=(Elig_MatchAll_Ct-1),AX576=0),X576,0)</f>
        <v>0</v>
      </c>
      <c r="CD576" s="314">
        <f>IF(AND(Input_Product=Elig!$C576,Elig_MatchAll_Ct&lt;22,$BC576=(Elig_MatchAll_Ct-1),AX576=0),Y576,0)</f>
        <v>0</v>
      </c>
      <c r="CE576" s="313">
        <f>IF(AND(Input_LTV&lt;=AE576,Input_Product=Elig!$C576,Elig_MatchAll_Ct&lt;22,$BC576=(Elig_MatchAll_Ct-1),AY576=0),Z576,0)</f>
        <v>0</v>
      </c>
      <c r="CF576" s="314">
        <f>IF(AND(Input_LTV&lt;=AE576,Input_Product=Elig!$C576,Elig_MatchAll_Ct&lt;22,$BC576=(Elig_MatchAll_Ct-1),AY576=0),AA576,0)</f>
        <v>0</v>
      </c>
      <c r="CG576" s="313">
        <f>IF(AND(Input_Product=Elig!$C576,Elig_MatchAll_Ct&lt;22,$BC576=(Elig_MatchAll_Ct-1),AZ576=0),AB576,0)</f>
        <v>0</v>
      </c>
      <c r="CH576" s="314">
        <f>IF(AND(Input_Product=Elig!$C576,Elig_MatchAll_Ct&lt;22,$BC576=(Elig_MatchAll_Ct-1),AZ576=0),AC576,0)</f>
        <v>0</v>
      </c>
      <c r="CI576" s="313">
        <f>IF(AND(Input_Product=Elig!$C576,Elig_MatchAll_Ct&lt;22,$BC576=(Elig_MatchAll_Ct-1),BA576=0),AD576,0)</f>
        <v>0</v>
      </c>
      <c r="CJ576" s="314">
        <f>IF(AND(Input_Product=Elig!$C576,Elig_MatchAll_Ct&lt;22,$BC576=(Elig_MatchAll_Ct-1),BA576=0),AE576,0)</f>
        <v>0</v>
      </c>
    </row>
    <row r="577" spans="2:88" ht="10.15" customHeight="1" x14ac:dyDescent="0.25">
      <c r="B577" s="287" t="s">
        <v>4135</v>
      </c>
      <c r="C577" s="286" t="str">
        <f t="shared" si="241"/>
        <v>NonQM NOO</v>
      </c>
      <c r="D577" s="287" t="s">
        <v>3885</v>
      </c>
      <c r="E577" s="287" t="s">
        <v>167</v>
      </c>
      <c r="F577" s="287" t="s">
        <v>330</v>
      </c>
      <c r="G577" s="287" t="s">
        <v>181</v>
      </c>
      <c r="H577" s="287" t="s">
        <v>136</v>
      </c>
      <c r="I577" s="288" t="s">
        <v>16</v>
      </c>
      <c r="J577" s="288" t="s">
        <v>1311</v>
      </c>
      <c r="K577" s="288" t="s">
        <v>1631</v>
      </c>
      <c r="L577" s="300" t="s">
        <v>312</v>
      </c>
      <c r="M577" s="287" t="s">
        <v>4203</v>
      </c>
      <c r="N577" s="287" t="s">
        <v>2685</v>
      </c>
      <c r="O577" s="287" t="s">
        <v>310</v>
      </c>
      <c r="P577" s="287" t="s">
        <v>291</v>
      </c>
      <c r="Q577" s="287" t="s">
        <v>294</v>
      </c>
      <c r="R577" s="300">
        <v>2500000.0099999998</v>
      </c>
      <c r="S577" s="287">
        <v>3000000</v>
      </c>
      <c r="T577" s="287">
        <v>0</v>
      </c>
      <c r="U577" s="287">
        <f t="shared" si="254"/>
        <v>3000000</v>
      </c>
      <c r="V577" s="287">
        <v>0</v>
      </c>
      <c r="W577" s="287">
        <v>50</v>
      </c>
      <c r="X577" s="287">
        <v>1</v>
      </c>
      <c r="Y577" s="287">
        <v>999</v>
      </c>
      <c r="Z577" s="289">
        <v>700</v>
      </c>
      <c r="AA577" s="289">
        <v>719</v>
      </c>
      <c r="AB577" s="289">
        <v>9</v>
      </c>
      <c r="AC577" s="289">
        <v>999999</v>
      </c>
      <c r="AD577" s="287">
        <v>0</v>
      </c>
      <c r="AE577" s="2105">
        <v>65</v>
      </c>
      <c r="AF577" s="170">
        <v>0</v>
      </c>
      <c r="AG577" s="171">
        <v>1</v>
      </c>
      <c r="AH577" s="171">
        <v>1</v>
      </c>
      <c r="AI577" s="171">
        <v>0</v>
      </c>
      <c r="AJ577" s="171">
        <v>0</v>
      </c>
      <c r="AK577" s="171">
        <v>1</v>
      </c>
      <c r="AL577" s="171">
        <v>1</v>
      </c>
      <c r="AM577" s="171">
        <v>1</v>
      </c>
      <c r="AN577" s="171">
        <v>1</v>
      </c>
      <c r="AO577" s="171">
        <v>1</v>
      </c>
      <c r="AP577" s="171">
        <v>1</v>
      </c>
      <c r="AQ577" s="171">
        <v>1</v>
      </c>
      <c r="AR577" s="171">
        <v>1</v>
      </c>
      <c r="AS577" s="171">
        <v>1</v>
      </c>
      <c r="AT577" s="171">
        <v>1</v>
      </c>
      <c r="AU577" s="171">
        <f t="shared" si="183"/>
        <v>0</v>
      </c>
      <c r="AV577" s="171">
        <f t="shared" si="184"/>
        <v>1</v>
      </c>
      <c r="AW577" s="171">
        <f t="shared" si="185"/>
        <v>1</v>
      </c>
      <c r="AX577" s="171">
        <f t="shared" si="197"/>
        <v>0</v>
      </c>
      <c r="AY577" s="171">
        <f t="shared" si="186"/>
        <v>0</v>
      </c>
      <c r="AZ577" s="171">
        <f t="shared" si="187"/>
        <v>1</v>
      </c>
      <c r="BA577" s="172">
        <f t="shared" si="188"/>
        <v>1</v>
      </c>
      <c r="BB577" s="175">
        <f t="shared" si="243"/>
        <v>16</v>
      </c>
      <c r="BC577" s="176">
        <f t="shared" si="244"/>
        <v>15</v>
      </c>
      <c r="BD577" s="176">
        <f t="shared" si="245"/>
        <v>16</v>
      </c>
      <c r="BE577" s="240" t="str">
        <f t="shared" si="215"/>
        <v/>
      </c>
      <c r="BH577" s="210">
        <f>IF(AND(Input_Product=Elig!$C577,Elig_MatchAll_Ct&lt;22,$BC577=(Elig_MatchAll_Ct-1),AF577=0),C577,0)</f>
        <v>0</v>
      </c>
      <c r="BI577" s="210">
        <f>IF(AND(Input_Product=Elig!$C577,Elig_MatchAll_Ct&lt;22,$BC577=(Elig_MatchAll_Ct-1),AG577=0),D577,0)</f>
        <v>0</v>
      </c>
      <c r="BJ577" s="210">
        <f>IF(AND(Input_Product=Elig!$C577,Elig_MatchAll_Ct&lt;22,$BC577=(Elig_MatchAll_Ct-1),AH577=0),E577,0)</f>
        <v>0</v>
      </c>
      <c r="BK577" s="210">
        <f>IF(AND(Input_Product=Elig!$C577,Elig_MatchAll_Ct&lt;22,$BC577=(Elig_MatchAll_Ct-1),AI577=0),F577,0)</f>
        <v>0</v>
      </c>
      <c r="BL577" s="210">
        <f>IF(AND(Input_Product=Elig!$C577,Elig_MatchAll_Ct&lt;22,$BC577=(Elig_MatchAll_Ct-1),AJ577=0),G577,0)</f>
        <v>0</v>
      </c>
      <c r="BM577" s="210">
        <f>IF(AND(Input_Product=Elig!$C577,Elig_MatchAll_Ct&lt;22,$BC577=(Elig_MatchAll_Ct-1),AK577=0),H577,0)</f>
        <v>0</v>
      </c>
      <c r="BN577" s="210">
        <f>IF(AND(Input_Product=Elig!$C577,Elig_MatchAll_Ct&lt;22,$BC577=(Elig_MatchAll_Ct-1),AL577=0),I577,0)</f>
        <v>0</v>
      </c>
      <c r="BO577" s="210">
        <f>IF(AND(Input_Product=Elig!$C577,Elig_MatchAll_Ct&lt;22,$BC577=(Elig_MatchAll_Ct-1),AM577=0),J577,0)</f>
        <v>0</v>
      </c>
      <c r="BP577" s="210">
        <f>IF(AND(Input_Product=Elig!$C577,Elig_MatchAll_Ct&lt;22,$BC577=(Elig_MatchAll_Ct-1),AN577=0),K577,0)</f>
        <v>0</v>
      </c>
      <c r="BQ577" s="210">
        <f>IF(AND(Input_Product=Elig!$C577,Elig_MatchAll_Ct&lt;22,$BC577=(Elig_MatchAll_Ct-1),AP577=0),L577,0)</f>
        <v>0</v>
      </c>
      <c r="BR577" s="210">
        <f>IF(AND(Input_Product=Elig!$C577,Elig_MatchAll_Ct&lt;22,$BC577=(Elig_MatchAll_Ct-1),AO577=0),M577,0)</f>
        <v>0</v>
      </c>
      <c r="BS577" s="210">
        <f>IF(AND(Input_Product=Elig!$C577,Elig_MatchAll_Ct&lt;22,$BC577=(Elig_MatchAll_Ct-1),AQ577=0),N577,0)</f>
        <v>0</v>
      </c>
      <c r="BT577" s="210">
        <f>IF(AND(Input_Product=Elig!$C577,Elig_MatchAll_Ct&lt;22,$BC577=(Elig_MatchAll_Ct-1),AR577=0),O577,0)</f>
        <v>0</v>
      </c>
      <c r="BU577" s="210">
        <f>IF(AND(Input_Product=Elig!$C577,Elig_MatchAll_Ct&lt;22,$BC577=(Elig_MatchAll_Ct-1),AS577=0),P577,0)</f>
        <v>0</v>
      </c>
      <c r="BV577" s="211">
        <f>IF(AND(Input_Product=Elig!$C577,Elig_MatchAll_Ct&lt;22,$BC577=(Elig_MatchAll_Ct-1),AT577=0),Q577,0)</f>
        <v>0</v>
      </c>
      <c r="BW577" s="212">
        <f>IF(AND(Input_Product=Elig!$C577,Elig_MatchAll_Ct&lt;22,$BC577=(Elig_MatchAll_Ct-1),AU577=0),R577,0)</f>
        <v>0</v>
      </c>
      <c r="BX577" s="213">
        <f>IF(AND(Input_Product=Elig!$C577,Elig_MatchAll_Ct&lt;22,$BC577=(Elig_MatchAll_Ct-1),AU577=0),S577,0)</f>
        <v>0</v>
      </c>
      <c r="BY577" s="212">
        <f>IF(AND(Input_Product=Elig!$C577,Elig_MatchAll_Ct&lt;22,$BC577=(Elig_MatchAll_Ct-1),AV577=0),T577,0)</f>
        <v>0</v>
      </c>
      <c r="BZ577" s="213">
        <f>IF(AND(Input_Product=Elig!$C577,Elig_MatchAll_Ct&lt;22,$BC577=(Elig_MatchAll_Ct-1),AV577=0),U577,0)</f>
        <v>0</v>
      </c>
      <c r="CA577" s="212">
        <f>IF(AND(Input_Product=Elig!$C577,Elig_MatchAll_Ct&lt;22,$BC577=(Elig_MatchAll_Ct-1),AW577=0),V577,0)</f>
        <v>0</v>
      </c>
      <c r="CB577" s="213">
        <f>IF(AND(Input_Product=Elig!$C577,Elig_MatchAll_Ct&lt;22,$BC577=(Elig_MatchAll_Ct-1),AW577=0),W577,0)</f>
        <v>0</v>
      </c>
      <c r="CC577" s="212">
        <f>IF(AND(Input_Product=Elig!$C577,Elig_MatchAll_Ct&lt;22,$BC577=(Elig_MatchAll_Ct-1),AX577=0),X577,0)</f>
        <v>0</v>
      </c>
      <c r="CD577" s="213">
        <f>IF(AND(Input_Product=Elig!$C577,Elig_MatchAll_Ct&lt;22,$BC577=(Elig_MatchAll_Ct-1),AX577=0),Y577,0)</f>
        <v>0</v>
      </c>
      <c r="CE577" s="212">
        <f>IF(AND(Input_LTV&lt;=AE577,Input_Product=Elig!$C577,Elig_MatchAll_Ct&lt;22,$BC577=(Elig_MatchAll_Ct-1),AY577=0),Z577,0)</f>
        <v>0</v>
      </c>
      <c r="CF577" s="213">
        <f>IF(AND(Input_LTV&lt;=AE577,Input_Product=Elig!$C577,Elig_MatchAll_Ct&lt;22,$BC577=(Elig_MatchAll_Ct-1),AY577=0),AA577,0)</f>
        <v>0</v>
      </c>
      <c r="CG577" s="212">
        <f>IF(AND(Input_Product=Elig!$C577,Elig_MatchAll_Ct&lt;22,$BC577=(Elig_MatchAll_Ct-1),AZ577=0),AB577,0)</f>
        <v>0</v>
      </c>
      <c r="CH577" s="213">
        <f>IF(AND(Input_Product=Elig!$C577,Elig_MatchAll_Ct&lt;22,$BC577=(Elig_MatchAll_Ct-1),AZ577=0),AC577,0)</f>
        <v>0</v>
      </c>
      <c r="CI577" s="212">
        <f>IF(AND(Input_Product=Elig!$C577,Elig_MatchAll_Ct&lt;22,$BC577=(Elig_MatchAll_Ct-1),BA577=0),AD577,0)</f>
        <v>0</v>
      </c>
      <c r="CJ577" s="213">
        <f>IF(AND(Input_Product=Elig!$C577,Elig_MatchAll_Ct&lt;22,$BC577=(Elig_MatchAll_Ct-1),BA577=0),AE577,0)</f>
        <v>0</v>
      </c>
    </row>
    <row r="578" spans="2:88" ht="10.15" customHeight="1" x14ac:dyDescent="0.25">
      <c r="B578" s="287" t="s">
        <v>4136</v>
      </c>
      <c r="C578" s="291" t="str">
        <f t="shared" si="241"/>
        <v>NonQM NOO</v>
      </c>
      <c r="D578" s="292" t="s">
        <v>3885</v>
      </c>
      <c r="E578" s="292" t="s">
        <v>167</v>
      </c>
      <c r="F578" s="292" t="s">
        <v>330</v>
      </c>
      <c r="G578" s="292" t="s">
        <v>181</v>
      </c>
      <c r="H578" s="292" t="s">
        <v>136</v>
      </c>
      <c r="I578" s="295" t="s">
        <v>16</v>
      </c>
      <c r="J578" s="295" t="s">
        <v>1311</v>
      </c>
      <c r="K578" s="295" t="s">
        <v>1631</v>
      </c>
      <c r="L578" s="324" t="s">
        <v>312</v>
      </c>
      <c r="M578" s="292" t="s">
        <v>4203</v>
      </c>
      <c r="N578" s="292" t="s">
        <v>2685</v>
      </c>
      <c r="O578" s="292" t="s">
        <v>310</v>
      </c>
      <c r="P578" s="292" t="s">
        <v>291</v>
      </c>
      <c r="Q578" s="292" t="s">
        <v>294</v>
      </c>
      <c r="R578" s="324">
        <v>2500000.0099999998</v>
      </c>
      <c r="S578" s="292">
        <v>3000000</v>
      </c>
      <c r="T578" s="292">
        <v>0</v>
      </c>
      <c r="U578" s="292">
        <f t="shared" si="254"/>
        <v>3000000</v>
      </c>
      <c r="V578" s="292">
        <v>0</v>
      </c>
      <c r="W578" s="292">
        <v>50</v>
      </c>
      <c r="X578" s="292">
        <v>1</v>
      </c>
      <c r="Y578" s="292">
        <v>999</v>
      </c>
      <c r="Z578" s="293">
        <v>680</v>
      </c>
      <c r="AA578" s="293">
        <v>699</v>
      </c>
      <c r="AB578" s="293">
        <v>9</v>
      </c>
      <c r="AC578" s="293">
        <v>999999</v>
      </c>
      <c r="AD578" s="292">
        <v>0</v>
      </c>
      <c r="AE578" s="2107">
        <v>60</v>
      </c>
      <c r="AF578" s="170">
        <v>0</v>
      </c>
      <c r="AG578" s="171">
        <v>1</v>
      </c>
      <c r="AH578" s="171">
        <v>1</v>
      </c>
      <c r="AI578" s="171">
        <v>0</v>
      </c>
      <c r="AJ578" s="171">
        <v>0</v>
      </c>
      <c r="AK578" s="171">
        <v>1</v>
      </c>
      <c r="AL578" s="171">
        <v>1</v>
      </c>
      <c r="AM578" s="171">
        <v>1</v>
      </c>
      <c r="AN578" s="171">
        <v>1</v>
      </c>
      <c r="AO578" s="171">
        <v>1</v>
      </c>
      <c r="AP578" s="171">
        <v>1</v>
      </c>
      <c r="AQ578" s="171">
        <v>1</v>
      </c>
      <c r="AR578" s="171">
        <v>1</v>
      </c>
      <c r="AS578" s="171">
        <v>1</v>
      </c>
      <c r="AT578" s="171">
        <v>1</v>
      </c>
      <c r="AU578" s="171">
        <f t="shared" si="183"/>
        <v>0</v>
      </c>
      <c r="AV578" s="171">
        <f t="shared" si="184"/>
        <v>1</v>
      </c>
      <c r="AW578" s="171">
        <f t="shared" si="185"/>
        <v>1</v>
      </c>
      <c r="AX578" s="171">
        <f t="shared" si="197"/>
        <v>0</v>
      </c>
      <c r="AY578" s="171">
        <f t="shared" si="186"/>
        <v>0</v>
      </c>
      <c r="AZ578" s="171">
        <f t="shared" si="187"/>
        <v>1</v>
      </c>
      <c r="BA578" s="172">
        <f t="shared" si="188"/>
        <v>0</v>
      </c>
      <c r="BB578" s="175">
        <f t="shared" si="243"/>
        <v>15</v>
      </c>
      <c r="BC578" s="176">
        <f t="shared" si="244"/>
        <v>15</v>
      </c>
      <c r="BD578" s="176">
        <f t="shared" si="245"/>
        <v>15</v>
      </c>
      <c r="BE578" s="240" t="str">
        <f t="shared" si="215"/>
        <v/>
      </c>
      <c r="BH578" s="214">
        <f>IF(AND(Input_Product=Elig!$C578,Elig_MatchAll_Ct&lt;22,$BC578=(Elig_MatchAll_Ct-1),AF578=0),C578,0)</f>
        <v>0</v>
      </c>
      <c r="BI578" s="214">
        <f>IF(AND(Input_Product=Elig!$C578,Elig_MatchAll_Ct&lt;22,$BC578=(Elig_MatchAll_Ct-1),AG578=0),D578,0)</f>
        <v>0</v>
      </c>
      <c r="BJ578" s="214">
        <f>IF(AND(Input_Product=Elig!$C578,Elig_MatchAll_Ct&lt;22,$BC578=(Elig_MatchAll_Ct-1),AH578=0),E578,0)</f>
        <v>0</v>
      </c>
      <c r="BK578" s="214">
        <f>IF(AND(Input_Product=Elig!$C578,Elig_MatchAll_Ct&lt;22,$BC578=(Elig_MatchAll_Ct-1),AI578=0),F578,0)</f>
        <v>0</v>
      </c>
      <c r="BL578" s="214">
        <f>IF(AND(Input_Product=Elig!$C578,Elig_MatchAll_Ct&lt;22,$BC578=(Elig_MatchAll_Ct-1),AJ578=0),G578,0)</f>
        <v>0</v>
      </c>
      <c r="BM578" s="214">
        <f>IF(AND(Input_Product=Elig!$C578,Elig_MatchAll_Ct&lt;22,$BC578=(Elig_MatchAll_Ct-1),AK578=0),H578,0)</f>
        <v>0</v>
      </c>
      <c r="BN578" s="214">
        <f>IF(AND(Input_Product=Elig!$C578,Elig_MatchAll_Ct&lt;22,$BC578=(Elig_MatchAll_Ct-1),AL578=0),I578,0)</f>
        <v>0</v>
      </c>
      <c r="BO578" s="214">
        <f>IF(AND(Input_Product=Elig!$C578,Elig_MatchAll_Ct&lt;22,$BC578=(Elig_MatchAll_Ct-1),AM578=0),J578,0)</f>
        <v>0</v>
      </c>
      <c r="BP578" s="214">
        <f>IF(AND(Input_Product=Elig!$C578,Elig_MatchAll_Ct&lt;22,$BC578=(Elig_MatchAll_Ct-1),AN578=0),K578,0)</f>
        <v>0</v>
      </c>
      <c r="BQ578" s="214">
        <f>IF(AND(Input_Product=Elig!$C578,Elig_MatchAll_Ct&lt;22,$BC578=(Elig_MatchAll_Ct-1),AP578=0),L578,0)</f>
        <v>0</v>
      </c>
      <c r="BR578" s="214">
        <f>IF(AND(Input_Product=Elig!$C578,Elig_MatchAll_Ct&lt;22,$BC578=(Elig_MatchAll_Ct-1),AO578=0),M578,0)</f>
        <v>0</v>
      </c>
      <c r="BS578" s="214">
        <f>IF(AND(Input_Product=Elig!$C578,Elig_MatchAll_Ct&lt;22,$BC578=(Elig_MatchAll_Ct-1),AQ578=0),N578,0)</f>
        <v>0</v>
      </c>
      <c r="BT578" s="214">
        <f>IF(AND(Input_Product=Elig!$C578,Elig_MatchAll_Ct&lt;22,$BC578=(Elig_MatchAll_Ct-1),AR578=0),O578,0)</f>
        <v>0</v>
      </c>
      <c r="BU578" s="214">
        <f>IF(AND(Input_Product=Elig!$C578,Elig_MatchAll_Ct&lt;22,$BC578=(Elig_MatchAll_Ct-1),AS578=0),P578,0)</f>
        <v>0</v>
      </c>
      <c r="BV578" s="215">
        <f>IF(AND(Input_Product=Elig!$C578,Elig_MatchAll_Ct&lt;22,$BC578=(Elig_MatchAll_Ct-1),AT578=0),Q578,0)</f>
        <v>0</v>
      </c>
      <c r="BW578" s="311">
        <f>IF(AND(Input_Product=Elig!$C578,Elig_MatchAll_Ct&lt;22,$BC578=(Elig_MatchAll_Ct-1),AU578=0),R578,0)</f>
        <v>0</v>
      </c>
      <c r="BX578" s="312">
        <f>IF(AND(Input_Product=Elig!$C578,Elig_MatchAll_Ct&lt;22,$BC578=(Elig_MatchAll_Ct-1),AU578=0),S578,0)</f>
        <v>0</v>
      </c>
      <c r="BY578" s="311">
        <f>IF(AND(Input_Product=Elig!$C578,Elig_MatchAll_Ct&lt;22,$BC578=(Elig_MatchAll_Ct-1),AV578=0),T578,0)</f>
        <v>0</v>
      </c>
      <c r="BZ578" s="312">
        <f>IF(AND(Input_Product=Elig!$C578,Elig_MatchAll_Ct&lt;22,$BC578=(Elig_MatchAll_Ct-1),AV578=0),U578,0)</f>
        <v>0</v>
      </c>
      <c r="CA578" s="311">
        <f>IF(AND(Input_Product=Elig!$C578,Elig_MatchAll_Ct&lt;22,$BC578=(Elig_MatchAll_Ct-1),AW578=0),V578,0)</f>
        <v>0</v>
      </c>
      <c r="CB578" s="312">
        <f>IF(AND(Input_Product=Elig!$C578,Elig_MatchAll_Ct&lt;22,$BC578=(Elig_MatchAll_Ct-1),AW578=0),W578,0)</f>
        <v>0</v>
      </c>
      <c r="CC578" s="311">
        <f>IF(AND(Input_Product=Elig!$C578,Elig_MatchAll_Ct&lt;22,$BC578=(Elig_MatchAll_Ct-1),AX578=0),X578,0)</f>
        <v>0</v>
      </c>
      <c r="CD578" s="312">
        <f>IF(AND(Input_Product=Elig!$C578,Elig_MatchAll_Ct&lt;22,$BC578=(Elig_MatchAll_Ct-1),AX578=0),Y578,0)</f>
        <v>0</v>
      </c>
      <c r="CE578" s="311">
        <f>IF(AND(Input_LTV&lt;=AE578,Input_Product=Elig!$C578,Elig_MatchAll_Ct&lt;22,$BC578=(Elig_MatchAll_Ct-1),AY578=0),Z578,0)</f>
        <v>0</v>
      </c>
      <c r="CF578" s="312">
        <f>IF(AND(Input_LTV&lt;=AE578,Input_Product=Elig!$C578,Elig_MatchAll_Ct&lt;22,$BC578=(Elig_MatchAll_Ct-1),AY578=0),AA578,0)</f>
        <v>0</v>
      </c>
      <c r="CG578" s="311">
        <f>IF(AND(Input_Product=Elig!$C578,Elig_MatchAll_Ct&lt;22,$BC578=(Elig_MatchAll_Ct-1),AZ578=0),AB578,0)</f>
        <v>0</v>
      </c>
      <c r="CH578" s="312">
        <f>IF(AND(Input_Product=Elig!$C578,Elig_MatchAll_Ct&lt;22,$BC578=(Elig_MatchAll_Ct-1),AZ578=0),AC578,0)</f>
        <v>0</v>
      </c>
      <c r="CI578" s="311">
        <f>IF(AND(Input_Product=Elig!$C578,Elig_MatchAll_Ct&lt;22,$BC578=(Elig_MatchAll_Ct-1),BA578=0),AD578,0)</f>
        <v>0</v>
      </c>
      <c r="CJ578" s="312">
        <f>IF(AND(Input_Product=Elig!$C578,Elig_MatchAll_Ct&lt;22,$BC578=(Elig_MatchAll_Ct-1),BA578=0),AE578,0)</f>
        <v>0</v>
      </c>
    </row>
    <row r="579" spans="2:88" ht="10.15" customHeight="1" x14ac:dyDescent="0.25">
      <c r="B579" s="287" t="s">
        <v>4137</v>
      </c>
      <c r="C579" s="281" t="str">
        <f t="shared" si="241"/>
        <v>NonQM NOO</v>
      </c>
      <c r="D579" s="282" t="s">
        <v>3885</v>
      </c>
      <c r="E579" s="283" t="s">
        <v>167</v>
      </c>
      <c r="F579" s="283" t="s">
        <v>330</v>
      </c>
      <c r="G579" s="283" t="s">
        <v>303</v>
      </c>
      <c r="H579" s="283" t="s">
        <v>136</v>
      </c>
      <c r="I579" s="282" t="s">
        <v>274</v>
      </c>
      <c r="J579" s="282" t="s">
        <v>1311</v>
      </c>
      <c r="K579" s="282" t="s">
        <v>1631</v>
      </c>
      <c r="L579" s="2103" t="s">
        <v>312</v>
      </c>
      <c r="M579" s="283" t="s">
        <v>4203</v>
      </c>
      <c r="N579" s="283" t="s">
        <v>2685</v>
      </c>
      <c r="O579" s="283" t="s">
        <v>310</v>
      </c>
      <c r="P579" s="283" t="s">
        <v>291</v>
      </c>
      <c r="Q579" s="283" t="s">
        <v>294</v>
      </c>
      <c r="R579" s="323">
        <v>3000000.01</v>
      </c>
      <c r="S579" s="323">
        <v>3500000</v>
      </c>
      <c r="T579" s="282">
        <v>0</v>
      </c>
      <c r="U579" s="282">
        <v>0</v>
      </c>
      <c r="V579" s="282">
        <v>0</v>
      </c>
      <c r="W579" s="282">
        <v>50</v>
      </c>
      <c r="X579" s="282">
        <v>0</v>
      </c>
      <c r="Y579" s="282">
        <v>999</v>
      </c>
      <c r="Z579" s="284">
        <v>720</v>
      </c>
      <c r="AA579" s="284">
        <v>999</v>
      </c>
      <c r="AB579" s="284">
        <v>9</v>
      </c>
      <c r="AC579" s="284">
        <v>999999</v>
      </c>
      <c r="AD579" s="282">
        <v>0</v>
      </c>
      <c r="AE579" s="2104">
        <v>70</v>
      </c>
      <c r="AF579" s="170">
        <v>0</v>
      </c>
      <c r="AG579" s="171">
        <v>1</v>
      </c>
      <c r="AH579" s="171">
        <v>1</v>
      </c>
      <c r="AI579" s="171">
        <v>0</v>
      </c>
      <c r="AJ579" s="171">
        <v>1</v>
      </c>
      <c r="AK579" s="171">
        <v>1</v>
      </c>
      <c r="AL579" s="171">
        <v>0</v>
      </c>
      <c r="AM579" s="171">
        <v>1</v>
      </c>
      <c r="AN579" s="171">
        <v>1</v>
      </c>
      <c r="AO579" s="171">
        <v>1</v>
      </c>
      <c r="AP579" s="171">
        <v>1</v>
      </c>
      <c r="AQ579" s="171">
        <v>1</v>
      </c>
      <c r="AR579" s="171">
        <v>1</v>
      </c>
      <c r="AS579" s="171">
        <v>1</v>
      </c>
      <c r="AT579" s="171">
        <v>1</v>
      </c>
      <c r="AU579" s="171">
        <f t="shared" si="183"/>
        <v>0</v>
      </c>
      <c r="AV579" s="171">
        <f t="shared" si="184"/>
        <v>0</v>
      </c>
      <c r="AW579" s="171">
        <f t="shared" si="185"/>
        <v>1</v>
      </c>
      <c r="AX579" s="171">
        <f t="shared" si="242"/>
        <v>1</v>
      </c>
      <c r="AY579" s="171">
        <f t="shared" si="186"/>
        <v>1</v>
      </c>
      <c r="AZ579" s="171">
        <f t="shared" si="187"/>
        <v>1</v>
      </c>
      <c r="BA579" s="172">
        <f t="shared" si="188"/>
        <v>1</v>
      </c>
      <c r="BB579" s="175">
        <f t="shared" ref="BB579:BB594" si="255">SUM(AF579:BA579)</f>
        <v>17</v>
      </c>
      <c r="BC579" s="176">
        <f t="shared" ref="BC579:BC594" si="256">SUM(AF579:AZ579)</f>
        <v>16</v>
      </c>
      <c r="BD579" s="176">
        <f t="shared" ref="BD579:BD594" si="257">SUM(AG579:BA579)</f>
        <v>17</v>
      </c>
      <c r="BE579" s="240" t="str">
        <f t="shared" si="215"/>
        <v/>
      </c>
      <c r="BH579" s="210">
        <f>IF(AND(Input_Product=Elig!$C579,Elig_MatchAll_Ct&lt;22,$BC579=(Elig_MatchAll_Ct-1),AF579=0),C579,0)</f>
        <v>0</v>
      </c>
      <c r="BI579" s="210">
        <f>IF(AND(Input_Product=Elig!$C579,Elig_MatchAll_Ct&lt;22,$BC579=(Elig_MatchAll_Ct-1),AG579=0),D579,0)</f>
        <v>0</v>
      </c>
      <c r="BJ579" s="210">
        <f>IF(AND(Input_Product=Elig!$C579,Elig_MatchAll_Ct&lt;22,$BC579=(Elig_MatchAll_Ct-1),AH579=0),E579,0)</f>
        <v>0</v>
      </c>
      <c r="BK579" s="210">
        <f>IF(AND(Input_Product=Elig!$C579,Elig_MatchAll_Ct&lt;22,$BC579=(Elig_MatchAll_Ct-1),AI579=0),F579,0)</f>
        <v>0</v>
      </c>
      <c r="BL579" s="210">
        <f>IF(AND(Input_Product=Elig!$C579,Elig_MatchAll_Ct&lt;22,$BC579=(Elig_MatchAll_Ct-1),AJ579=0),G579,0)</f>
        <v>0</v>
      </c>
      <c r="BM579" s="210">
        <f>IF(AND(Input_Product=Elig!$C579,Elig_MatchAll_Ct&lt;22,$BC579=(Elig_MatchAll_Ct-1),AK579=0),H579,0)</f>
        <v>0</v>
      </c>
      <c r="BN579" s="210">
        <f>IF(AND(Input_Product=Elig!$C579,Elig_MatchAll_Ct&lt;22,$BC579=(Elig_MatchAll_Ct-1),AL579=0),I579,0)</f>
        <v>0</v>
      </c>
      <c r="BO579" s="210">
        <f>IF(AND(Input_Product=Elig!$C579,Elig_MatchAll_Ct&lt;22,$BC579=(Elig_MatchAll_Ct-1),AM579=0),J579,0)</f>
        <v>0</v>
      </c>
      <c r="BP579" s="210">
        <f>IF(AND(Input_Product=Elig!$C579,Elig_MatchAll_Ct&lt;22,$BC579=(Elig_MatchAll_Ct-1),AN579=0),K579,0)</f>
        <v>0</v>
      </c>
      <c r="BQ579" s="210">
        <f>IF(AND(Input_Product=Elig!$C579,Elig_MatchAll_Ct&lt;22,$BC579=(Elig_MatchAll_Ct-1),AP579=0),L579,0)</f>
        <v>0</v>
      </c>
      <c r="BR579" s="210">
        <f>IF(AND(Input_Product=Elig!$C579,Elig_MatchAll_Ct&lt;22,$BC579=(Elig_MatchAll_Ct-1),AO579=0),M579,0)</f>
        <v>0</v>
      </c>
      <c r="BS579" s="210">
        <f>IF(AND(Input_Product=Elig!$C579,Elig_MatchAll_Ct&lt;22,$BC579=(Elig_MatchAll_Ct-1),AQ579=0),N579,0)</f>
        <v>0</v>
      </c>
      <c r="BT579" s="210">
        <f>IF(AND(Input_Product=Elig!$C579,Elig_MatchAll_Ct&lt;22,$BC579=(Elig_MatchAll_Ct-1),AR579=0),O579,0)</f>
        <v>0</v>
      </c>
      <c r="BU579" s="210">
        <f>IF(AND(Input_Product=Elig!$C579,Elig_MatchAll_Ct&lt;22,$BC579=(Elig_MatchAll_Ct-1),AS579=0),P579,0)</f>
        <v>0</v>
      </c>
      <c r="BV579" s="211">
        <f>IF(AND(Input_Product=Elig!$C579,Elig_MatchAll_Ct&lt;22,$BC579=(Elig_MatchAll_Ct-1),AT579=0),Q579,0)</f>
        <v>0</v>
      </c>
      <c r="BW579" s="212">
        <f>IF(AND(Input_Product=Elig!$C579,Elig_MatchAll_Ct&lt;22,$BC579=(Elig_MatchAll_Ct-1),AU579=0),R579,0)</f>
        <v>0</v>
      </c>
      <c r="BX579" s="213">
        <f>IF(AND(Input_Product=Elig!$C579,Elig_MatchAll_Ct&lt;22,$BC579=(Elig_MatchAll_Ct-1),AU579=0),S579,0)</f>
        <v>0</v>
      </c>
      <c r="BY579" s="212">
        <f>IF(AND(Input_Product=Elig!$C579,Elig_MatchAll_Ct&lt;22,$BC579=(Elig_MatchAll_Ct-1),AV579=0),T579,0)</f>
        <v>0</v>
      </c>
      <c r="BZ579" s="213">
        <f>IF(AND(Input_Product=Elig!$C579,Elig_MatchAll_Ct&lt;22,$BC579=(Elig_MatchAll_Ct-1),AV579=0),U579,0)</f>
        <v>0</v>
      </c>
      <c r="CA579" s="212">
        <f>IF(AND(Input_Product=Elig!$C579,Elig_MatchAll_Ct&lt;22,$BC579=(Elig_MatchAll_Ct-1),AW579=0),V579,0)</f>
        <v>0</v>
      </c>
      <c r="CB579" s="213">
        <f>IF(AND(Input_Product=Elig!$C579,Elig_MatchAll_Ct&lt;22,$BC579=(Elig_MatchAll_Ct-1),AW579=0),W579,0)</f>
        <v>0</v>
      </c>
      <c r="CC579" s="212">
        <f>IF(AND(Input_Product=Elig!$C579,Elig_MatchAll_Ct&lt;22,$BC579=(Elig_MatchAll_Ct-1),AX579=0),X579,0)</f>
        <v>0</v>
      </c>
      <c r="CD579" s="213">
        <f>IF(AND(Input_Product=Elig!$C579,Elig_MatchAll_Ct&lt;22,$BC579=(Elig_MatchAll_Ct-1),AX579=0),Y579,0)</f>
        <v>0</v>
      </c>
      <c r="CE579" s="212">
        <f>IF(AND(Input_LTV&lt;=AE579,Input_Product=Elig!$C579,Elig_MatchAll_Ct&lt;22,$BC579=(Elig_MatchAll_Ct-1),AY579=0),Z579,0)</f>
        <v>0</v>
      </c>
      <c r="CF579" s="213">
        <f>IF(AND(Input_LTV&lt;=AE579,Input_Product=Elig!$C579,Elig_MatchAll_Ct&lt;22,$BC579=(Elig_MatchAll_Ct-1),AY579=0),AA579,0)</f>
        <v>0</v>
      </c>
      <c r="CG579" s="212">
        <f>IF(AND(Input_Product=Elig!$C579,Elig_MatchAll_Ct&lt;22,$BC579=(Elig_MatchAll_Ct-1),AZ579=0),AB579,0)</f>
        <v>0</v>
      </c>
      <c r="CH579" s="213">
        <f>IF(AND(Input_Product=Elig!$C579,Elig_MatchAll_Ct&lt;22,$BC579=(Elig_MatchAll_Ct-1),AZ579=0),AC579,0)</f>
        <v>0</v>
      </c>
      <c r="CI579" s="212">
        <f>IF(AND(Input_Product=Elig!$C579,Elig_MatchAll_Ct&lt;22,$BC579=(Elig_MatchAll_Ct-1),BA579=0),AD579,0)</f>
        <v>0</v>
      </c>
      <c r="CJ579" s="213">
        <f>IF(AND(Input_Product=Elig!$C579,Elig_MatchAll_Ct&lt;22,$BC579=(Elig_MatchAll_Ct-1),BA579=0),AE579,0)</f>
        <v>0</v>
      </c>
    </row>
    <row r="580" spans="2:88" ht="10.15" customHeight="1" x14ac:dyDescent="0.25">
      <c r="B580" s="287" t="s">
        <v>4138</v>
      </c>
      <c r="C580" s="286" t="str">
        <f t="shared" si="241"/>
        <v>NonQM NOO</v>
      </c>
      <c r="D580" s="287" t="s">
        <v>3885</v>
      </c>
      <c r="E580" s="287" t="s">
        <v>167</v>
      </c>
      <c r="F580" s="287" t="s">
        <v>330</v>
      </c>
      <c r="G580" s="287" t="s">
        <v>303</v>
      </c>
      <c r="H580" s="287" t="s">
        <v>136</v>
      </c>
      <c r="I580" s="288" t="s">
        <v>274</v>
      </c>
      <c r="J580" s="288" t="s">
        <v>1311</v>
      </c>
      <c r="K580" s="288" t="s">
        <v>1631</v>
      </c>
      <c r="L580" s="300" t="s">
        <v>312</v>
      </c>
      <c r="M580" s="287" t="s">
        <v>4203</v>
      </c>
      <c r="N580" s="287" t="s">
        <v>2685</v>
      </c>
      <c r="O580" s="287" t="s">
        <v>310</v>
      </c>
      <c r="P580" s="287" t="s">
        <v>291</v>
      </c>
      <c r="Q580" s="287" t="s">
        <v>294</v>
      </c>
      <c r="R580" s="300">
        <v>3000000.01</v>
      </c>
      <c r="S580" s="300">
        <v>3500000</v>
      </c>
      <c r="T580" s="287">
        <v>0</v>
      </c>
      <c r="U580" s="287">
        <v>0</v>
      </c>
      <c r="V580" s="287">
        <v>0</v>
      </c>
      <c r="W580" s="287">
        <v>50</v>
      </c>
      <c r="X580" s="287">
        <v>0</v>
      </c>
      <c r="Y580" s="287">
        <v>999</v>
      </c>
      <c r="Z580" s="289">
        <v>700</v>
      </c>
      <c r="AA580" s="289">
        <v>719</v>
      </c>
      <c r="AB580" s="289">
        <v>9</v>
      </c>
      <c r="AC580" s="289">
        <v>999999</v>
      </c>
      <c r="AD580" s="287">
        <v>0</v>
      </c>
      <c r="AE580" s="2105">
        <v>70</v>
      </c>
      <c r="AF580" s="170">
        <v>0</v>
      </c>
      <c r="AG580" s="171">
        <v>1</v>
      </c>
      <c r="AH580" s="171">
        <v>1</v>
      </c>
      <c r="AI580" s="171">
        <v>0</v>
      </c>
      <c r="AJ580" s="171">
        <v>1</v>
      </c>
      <c r="AK580" s="171">
        <v>1</v>
      </c>
      <c r="AL580" s="171">
        <v>0</v>
      </c>
      <c r="AM580" s="171">
        <v>1</v>
      </c>
      <c r="AN580" s="171">
        <v>1</v>
      </c>
      <c r="AO580" s="171">
        <v>1</v>
      </c>
      <c r="AP580" s="171">
        <v>1</v>
      </c>
      <c r="AQ580" s="171">
        <v>1</v>
      </c>
      <c r="AR580" s="171">
        <v>1</v>
      </c>
      <c r="AS580" s="171">
        <v>1</v>
      </c>
      <c r="AT580" s="171">
        <v>1</v>
      </c>
      <c r="AU580" s="171">
        <f t="shared" si="183"/>
        <v>0</v>
      </c>
      <c r="AV580" s="171">
        <f t="shared" si="184"/>
        <v>0</v>
      </c>
      <c r="AW580" s="171">
        <f t="shared" si="185"/>
        <v>1</v>
      </c>
      <c r="AX580" s="171">
        <f t="shared" si="242"/>
        <v>1</v>
      </c>
      <c r="AY580" s="171">
        <f t="shared" si="186"/>
        <v>0</v>
      </c>
      <c r="AZ580" s="171">
        <f t="shared" si="187"/>
        <v>1</v>
      </c>
      <c r="BA580" s="172">
        <f t="shared" si="188"/>
        <v>1</v>
      </c>
      <c r="BB580" s="175">
        <f t="shared" si="255"/>
        <v>16</v>
      </c>
      <c r="BC580" s="176">
        <f t="shared" si="256"/>
        <v>15</v>
      </c>
      <c r="BD580" s="176">
        <f t="shared" si="257"/>
        <v>16</v>
      </c>
      <c r="BE580" s="240" t="str">
        <f t="shared" si="215"/>
        <v/>
      </c>
      <c r="BH580" s="199">
        <f>IF(AND(Input_Product=Elig!$C580,Elig_MatchAll_Ct&lt;22,$BC580=(Elig_MatchAll_Ct-1),AF580=0),C580,0)</f>
        <v>0</v>
      </c>
      <c r="BI580" s="199">
        <f>IF(AND(Input_Product=Elig!$C580,Elig_MatchAll_Ct&lt;22,$BC580=(Elig_MatchAll_Ct-1),AG580=0),D580,0)</f>
        <v>0</v>
      </c>
      <c r="BJ580" s="199">
        <f>IF(AND(Input_Product=Elig!$C580,Elig_MatchAll_Ct&lt;22,$BC580=(Elig_MatchAll_Ct-1),AH580=0),E580,0)</f>
        <v>0</v>
      </c>
      <c r="BK580" s="199">
        <f>IF(AND(Input_Product=Elig!$C580,Elig_MatchAll_Ct&lt;22,$BC580=(Elig_MatchAll_Ct-1),AI580=0),F580,0)</f>
        <v>0</v>
      </c>
      <c r="BL580" s="199">
        <f>IF(AND(Input_Product=Elig!$C580,Elig_MatchAll_Ct&lt;22,$BC580=(Elig_MatchAll_Ct-1),AJ580=0),G580,0)</f>
        <v>0</v>
      </c>
      <c r="BM580" s="199">
        <f>IF(AND(Input_Product=Elig!$C580,Elig_MatchAll_Ct&lt;22,$BC580=(Elig_MatchAll_Ct-1),AK580=0),H580,0)</f>
        <v>0</v>
      </c>
      <c r="BN580" s="199">
        <f>IF(AND(Input_Product=Elig!$C580,Elig_MatchAll_Ct&lt;22,$BC580=(Elig_MatchAll_Ct-1),AL580=0),I580,0)</f>
        <v>0</v>
      </c>
      <c r="BO580" s="199">
        <f>IF(AND(Input_Product=Elig!$C580,Elig_MatchAll_Ct&lt;22,$BC580=(Elig_MatchAll_Ct-1),AM580=0),J580,0)</f>
        <v>0</v>
      </c>
      <c r="BP580" s="199">
        <f>IF(AND(Input_Product=Elig!$C580,Elig_MatchAll_Ct&lt;22,$BC580=(Elig_MatchAll_Ct-1),AN580=0),K580,0)</f>
        <v>0</v>
      </c>
      <c r="BQ580" s="199">
        <f>IF(AND(Input_Product=Elig!$C580,Elig_MatchAll_Ct&lt;22,$BC580=(Elig_MatchAll_Ct-1),AP580=0),L580,0)</f>
        <v>0</v>
      </c>
      <c r="BR580" s="199">
        <f>IF(AND(Input_Product=Elig!$C580,Elig_MatchAll_Ct&lt;22,$BC580=(Elig_MatchAll_Ct-1),AO580=0),M580,0)</f>
        <v>0</v>
      </c>
      <c r="BS580" s="199">
        <f>IF(AND(Input_Product=Elig!$C580,Elig_MatchAll_Ct&lt;22,$BC580=(Elig_MatchAll_Ct-1),AQ580=0),N580,0)</f>
        <v>0</v>
      </c>
      <c r="BT580" s="199">
        <f>IF(AND(Input_Product=Elig!$C580,Elig_MatchAll_Ct&lt;22,$BC580=(Elig_MatchAll_Ct-1),AR580=0),O580,0)</f>
        <v>0</v>
      </c>
      <c r="BU580" s="199">
        <f>IF(AND(Input_Product=Elig!$C580,Elig_MatchAll_Ct&lt;22,$BC580=(Elig_MatchAll_Ct-1),AS580=0),P580,0)</f>
        <v>0</v>
      </c>
      <c r="BV580" s="200">
        <f>IF(AND(Input_Product=Elig!$C580,Elig_MatchAll_Ct&lt;22,$BC580=(Elig_MatchAll_Ct-1),AT580=0),Q580,0)</f>
        <v>0</v>
      </c>
      <c r="BW580" s="201">
        <f>IF(AND(Input_Product=Elig!$C580,Elig_MatchAll_Ct&lt;22,$BC580=(Elig_MatchAll_Ct-1),AU580=0),R580,0)</f>
        <v>0</v>
      </c>
      <c r="BX580" s="202">
        <f>IF(AND(Input_Product=Elig!$C580,Elig_MatchAll_Ct&lt;22,$BC580=(Elig_MatchAll_Ct-1),AU580=0),S580,0)</f>
        <v>0</v>
      </c>
      <c r="BY580" s="201">
        <f>IF(AND(Input_Product=Elig!$C580,Elig_MatchAll_Ct&lt;22,$BC580=(Elig_MatchAll_Ct-1),AV580=0),T580,0)</f>
        <v>0</v>
      </c>
      <c r="BZ580" s="202">
        <f>IF(AND(Input_Product=Elig!$C580,Elig_MatchAll_Ct&lt;22,$BC580=(Elig_MatchAll_Ct-1),AV580=0),U580,0)</f>
        <v>0</v>
      </c>
      <c r="CA580" s="201">
        <f>IF(AND(Input_Product=Elig!$C580,Elig_MatchAll_Ct&lt;22,$BC580=(Elig_MatchAll_Ct-1),AW580=0),V580,0)</f>
        <v>0</v>
      </c>
      <c r="CB580" s="202">
        <f>IF(AND(Input_Product=Elig!$C580,Elig_MatchAll_Ct&lt;22,$BC580=(Elig_MatchAll_Ct-1),AW580=0),W580,0)</f>
        <v>0</v>
      </c>
      <c r="CC580" s="201">
        <f>IF(AND(Input_Product=Elig!$C580,Elig_MatchAll_Ct&lt;22,$BC580=(Elig_MatchAll_Ct-1),AX580=0),X580,0)</f>
        <v>0</v>
      </c>
      <c r="CD580" s="202">
        <f>IF(AND(Input_Product=Elig!$C580,Elig_MatchAll_Ct&lt;22,$BC580=(Elig_MatchAll_Ct-1),AX580=0),Y580,0)</f>
        <v>0</v>
      </c>
      <c r="CE580" s="201">
        <f>IF(AND(Input_LTV&lt;=AE580,Input_Product=Elig!$C580,Elig_MatchAll_Ct&lt;22,$BC580=(Elig_MatchAll_Ct-1),AY580=0),Z580,0)</f>
        <v>0</v>
      </c>
      <c r="CF580" s="202">
        <f>IF(AND(Input_LTV&lt;=AE580,Input_Product=Elig!$C580,Elig_MatchAll_Ct&lt;22,$BC580=(Elig_MatchAll_Ct-1),AY580=0),AA580,0)</f>
        <v>0</v>
      </c>
      <c r="CG580" s="201">
        <f>IF(AND(Input_Product=Elig!$C580,Elig_MatchAll_Ct&lt;22,$BC580=(Elig_MatchAll_Ct-1),AZ580=0),AB580,0)</f>
        <v>0</v>
      </c>
      <c r="CH580" s="202">
        <f>IF(AND(Input_Product=Elig!$C580,Elig_MatchAll_Ct&lt;22,$BC580=(Elig_MatchAll_Ct-1),AZ580=0),AC580,0)</f>
        <v>0</v>
      </c>
      <c r="CI580" s="201">
        <f>IF(AND(Input_Product=Elig!$C580,Elig_MatchAll_Ct&lt;22,$BC580=(Elig_MatchAll_Ct-1),BA580=0),AD580,0)</f>
        <v>0</v>
      </c>
      <c r="CJ580" s="202">
        <f>IF(AND(Input_Product=Elig!$C580,Elig_MatchAll_Ct&lt;22,$BC580=(Elig_MatchAll_Ct-1),BA580=0),AE580,0)</f>
        <v>0</v>
      </c>
    </row>
    <row r="581" spans="2:88" ht="10.15" customHeight="1" x14ac:dyDescent="0.25">
      <c r="B581" s="287" t="s">
        <v>4139</v>
      </c>
      <c r="C581" s="281" t="str">
        <f t="shared" si="241"/>
        <v>NonQM NOO</v>
      </c>
      <c r="D581" s="282" t="s">
        <v>3885</v>
      </c>
      <c r="E581" s="283" t="s">
        <v>167</v>
      </c>
      <c r="F581" s="283" t="s">
        <v>330</v>
      </c>
      <c r="G581" s="283" t="s">
        <v>303</v>
      </c>
      <c r="H581" s="283" t="s">
        <v>136</v>
      </c>
      <c r="I581" s="282" t="s">
        <v>16</v>
      </c>
      <c r="J581" s="282" t="s">
        <v>1311</v>
      </c>
      <c r="K581" s="282" t="s">
        <v>1631</v>
      </c>
      <c r="L581" s="2103" t="s">
        <v>312</v>
      </c>
      <c r="M581" s="283" t="s">
        <v>4203</v>
      </c>
      <c r="N581" s="283" t="s">
        <v>2685</v>
      </c>
      <c r="O581" s="283" t="s">
        <v>310</v>
      </c>
      <c r="P581" s="283" t="s">
        <v>291</v>
      </c>
      <c r="Q581" s="283" t="s">
        <v>294</v>
      </c>
      <c r="R581" s="323">
        <v>3000000.01</v>
      </c>
      <c r="S581" s="323">
        <v>3500000</v>
      </c>
      <c r="T581" s="282">
        <v>0</v>
      </c>
      <c r="U581" s="282">
        <f t="shared" ref="U581:U582" si="258">S581</f>
        <v>3500000</v>
      </c>
      <c r="V581" s="282">
        <v>0</v>
      </c>
      <c r="W581" s="282">
        <v>50</v>
      </c>
      <c r="X581" s="282">
        <v>0</v>
      </c>
      <c r="Y581" s="282">
        <v>999</v>
      </c>
      <c r="Z581" s="284">
        <v>720</v>
      </c>
      <c r="AA581" s="284">
        <v>999</v>
      </c>
      <c r="AB581" s="284">
        <v>9</v>
      </c>
      <c r="AC581" s="284">
        <v>999999</v>
      </c>
      <c r="AD581" s="282">
        <v>0</v>
      </c>
      <c r="AE581" s="2104">
        <v>55</v>
      </c>
      <c r="AF581" s="170">
        <v>0</v>
      </c>
      <c r="AG581" s="171">
        <v>1</v>
      </c>
      <c r="AH581" s="171">
        <v>1</v>
      </c>
      <c r="AI581" s="171">
        <v>0</v>
      </c>
      <c r="AJ581" s="171">
        <v>1</v>
      </c>
      <c r="AK581" s="171">
        <v>1</v>
      </c>
      <c r="AL581" s="171">
        <v>1</v>
      </c>
      <c r="AM581" s="171">
        <v>1</v>
      </c>
      <c r="AN581" s="171">
        <v>1</v>
      </c>
      <c r="AO581" s="171">
        <v>1</v>
      </c>
      <c r="AP581" s="171">
        <v>1</v>
      </c>
      <c r="AQ581" s="171">
        <v>1</v>
      </c>
      <c r="AR581" s="171">
        <v>1</v>
      </c>
      <c r="AS581" s="171">
        <v>1</v>
      </c>
      <c r="AT581" s="171">
        <v>1</v>
      </c>
      <c r="AU581" s="171">
        <f t="shared" si="183"/>
        <v>0</v>
      </c>
      <c r="AV581" s="171">
        <f t="shared" si="184"/>
        <v>1</v>
      </c>
      <c r="AW581" s="171">
        <f t="shared" si="185"/>
        <v>1</v>
      </c>
      <c r="AX581" s="171">
        <f t="shared" si="197"/>
        <v>1</v>
      </c>
      <c r="AY581" s="171">
        <f t="shared" si="186"/>
        <v>1</v>
      </c>
      <c r="AZ581" s="171">
        <f t="shared" si="187"/>
        <v>1</v>
      </c>
      <c r="BA581" s="172">
        <f t="shared" si="188"/>
        <v>0</v>
      </c>
      <c r="BB581" s="175">
        <f t="shared" si="255"/>
        <v>18</v>
      </c>
      <c r="BC581" s="176">
        <f t="shared" si="256"/>
        <v>18</v>
      </c>
      <c r="BD581" s="176">
        <f t="shared" si="257"/>
        <v>18</v>
      </c>
      <c r="BE581" s="240" t="str">
        <f t="shared" si="215"/>
        <v/>
      </c>
      <c r="BH581" s="210">
        <f>IF(AND(Input_Product=Elig!$C581,Elig_MatchAll_Ct&lt;22,$BC581=(Elig_MatchAll_Ct-1),AF581=0),C581,0)</f>
        <v>0</v>
      </c>
      <c r="BI581" s="210">
        <f>IF(AND(Input_Product=Elig!$C581,Elig_MatchAll_Ct&lt;22,$BC581=(Elig_MatchAll_Ct-1),AG581=0),D581,0)</f>
        <v>0</v>
      </c>
      <c r="BJ581" s="210">
        <f>IF(AND(Input_Product=Elig!$C581,Elig_MatchAll_Ct&lt;22,$BC581=(Elig_MatchAll_Ct-1),AH581=0),E581,0)</f>
        <v>0</v>
      </c>
      <c r="BK581" s="210">
        <f>IF(AND(Input_Product=Elig!$C581,Elig_MatchAll_Ct&lt;22,$BC581=(Elig_MatchAll_Ct-1),AI581=0),F581,0)</f>
        <v>0</v>
      </c>
      <c r="BL581" s="210">
        <f>IF(AND(Input_Product=Elig!$C581,Elig_MatchAll_Ct&lt;22,$BC581=(Elig_MatchAll_Ct-1),AJ581=0),G581,0)</f>
        <v>0</v>
      </c>
      <c r="BM581" s="210">
        <f>IF(AND(Input_Product=Elig!$C581,Elig_MatchAll_Ct&lt;22,$BC581=(Elig_MatchAll_Ct-1),AK581=0),H581,0)</f>
        <v>0</v>
      </c>
      <c r="BN581" s="210">
        <f>IF(AND(Input_Product=Elig!$C581,Elig_MatchAll_Ct&lt;22,$BC581=(Elig_MatchAll_Ct-1),AL581=0),I581,0)</f>
        <v>0</v>
      </c>
      <c r="BO581" s="210">
        <f>IF(AND(Input_Product=Elig!$C581,Elig_MatchAll_Ct&lt;22,$BC581=(Elig_MatchAll_Ct-1),AM581=0),J581,0)</f>
        <v>0</v>
      </c>
      <c r="BP581" s="210">
        <f>IF(AND(Input_Product=Elig!$C581,Elig_MatchAll_Ct&lt;22,$BC581=(Elig_MatchAll_Ct-1),AN581=0),K581,0)</f>
        <v>0</v>
      </c>
      <c r="BQ581" s="210">
        <f>IF(AND(Input_Product=Elig!$C581,Elig_MatchAll_Ct&lt;22,$BC581=(Elig_MatchAll_Ct-1),AP581=0),L581,0)</f>
        <v>0</v>
      </c>
      <c r="BR581" s="210">
        <f>IF(AND(Input_Product=Elig!$C581,Elig_MatchAll_Ct&lt;22,$BC581=(Elig_MatchAll_Ct-1),AO581=0),M581,0)</f>
        <v>0</v>
      </c>
      <c r="BS581" s="210">
        <f>IF(AND(Input_Product=Elig!$C581,Elig_MatchAll_Ct&lt;22,$BC581=(Elig_MatchAll_Ct-1),AQ581=0),N581,0)</f>
        <v>0</v>
      </c>
      <c r="BT581" s="210">
        <f>IF(AND(Input_Product=Elig!$C581,Elig_MatchAll_Ct&lt;22,$BC581=(Elig_MatchAll_Ct-1),AR581=0),O581,0)</f>
        <v>0</v>
      </c>
      <c r="BU581" s="210">
        <f>IF(AND(Input_Product=Elig!$C581,Elig_MatchAll_Ct&lt;22,$BC581=(Elig_MatchAll_Ct-1),AS581=0),P581,0)</f>
        <v>0</v>
      </c>
      <c r="BV581" s="211">
        <f>IF(AND(Input_Product=Elig!$C581,Elig_MatchAll_Ct&lt;22,$BC581=(Elig_MatchAll_Ct-1),AT581=0),Q581,0)</f>
        <v>0</v>
      </c>
      <c r="BW581" s="212">
        <f>IF(AND(Input_Product=Elig!$C581,Elig_MatchAll_Ct&lt;22,$BC581=(Elig_MatchAll_Ct-1),AU581=0),R581,0)</f>
        <v>0</v>
      </c>
      <c r="BX581" s="213">
        <f>IF(AND(Input_Product=Elig!$C581,Elig_MatchAll_Ct&lt;22,$BC581=(Elig_MatchAll_Ct-1),AU581=0),S581,0)</f>
        <v>0</v>
      </c>
      <c r="BY581" s="212">
        <f>IF(AND(Input_Product=Elig!$C581,Elig_MatchAll_Ct&lt;22,$BC581=(Elig_MatchAll_Ct-1),AV581=0),T581,0)</f>
        <v>0</v>
      </c>
      <c r="BZ581" s="213">
        <f>IF(AND(Input_Product=Elig!$C581,Elig_MatchAll_Ct&lt;22,$BC581=(Elig_MatchAll_Ct-1),AV581=0),U581,0)</f>
        <v>0</v>
      </c>
      <c r="CA581" s="212">
        <f>IF(AND(Input_Product=Elig!$C581,Elig_MatchAll_Ct&lt;22,$BC581=(Elig_MatchAll_Ct-1),AW581=0),V581,0)</f>
        <v>0</v>
      </c>
      <c r="CB581" s="213">
        <f>IF(AND(Input_Product=Elig!$C581,Elig_MatchAll_Ct&lt;22,$BC581=(Elig_MatchAll_Ct-1),AW581=0),W581,0)</f>
        <v>0</v>
      </c>
      <c r="CC581" s="212">
        <f>IF(AND(Input_Product=Elig!$C581,Elig_MatchAll_Ct&lt;22,$BC581=(Elig_MatchAll_Ct-1),AX581=0),X581,0)</f>
        <v>0</v>
      </c>
      <c r="CD581" s="213">
        <f>IF(AND(Input_Product=Elig!$C581,Elig_MatchAll_Ct&lt;22,$BC581=(Elig_MatchAll_Ct-1),AX581=0),Y581,0)</f>
        <v>0</v>
      </c>
      <c r="CE581" s="212">
        <f>IF(AND(Input_LTV&lt;=AE581,Input_Product=Elig!$C581,Elig_MatchAll_Ct&lt;22,$BC581=(Elig_MatchAll_Ct-1),AY581=0),Z581,0)</f>
        <v>0</v>
      </c>
      <c r="CF581" s="213">
        <f>IF(AND(Input_LTV&lt;=AE581,Input_Product=Elig!$C581,Elig_MatchAll_Ct&lt;22,$BC581=(Elig_MatchAll_Ct-1),AY581=0),AA581,0)</f>
        <v>0</v>
      </c>
      <c r="CG581" s="212">
        <f>IF(AND(Input_Product=Elig!$C581,Elig_MatchAll_Ct&lt;22,$BC581=(Elig_MatchAll_Ct-1),AZ581=0),AB581,0)</f>
        <v>0</v>
      </c>
      <c r="CH581" s="213">
        <f>IF(AND(Input_Product=Elig!$C581,Elig_MatchAll_Ct&lt;22,$BC581=(Elig_MatchAll_Ct-1),AZ581=0),AC581,0)</f>
        <v>0</v>
      </c>
      <c r="CI581" s="212">
        <f>IF(AND(Input_Product=Elig!$C581,Elig_MatchAll_Ct&lt;22,$BC581=(Elig_MatchAll_Ct-1),BA581=0),AD581,0)</f>
        <v>0</v>
      </c>
      <c r="CJ581" s="213">
        <f>IF(AND(Input_Product=Elig!$C581,Elig_MatchAll_Ct&lt;22,$BC581=(Elig_MatchAll_Ct-1),BA581=0),AE581,0)</f>
        <v>0</v>
      </c>
    </row>
    <row r="582" spans="2:88" ht="10.15" customHeight="1" x14ac:dyDescent="0.25">
      <c r="B582" s="287" t="s">
        <v>4140</v>
      </c>
      <c r="C582" s="286" t="str">
        <f t="shared" si="241"/>
        <v>NonQM NOO</v>
      </c>
      <c r="D582" s="287" t="s">
        <v>3885</v>
      </c>
      <c r="E582" s="287" t="s">
        <v>167</v>
      </c>
      <c r="F582" s="287" t="s">
        <v>330</v>
      </c>
      <c r="G582" s="287" t="s">
        <v>303</v>
      </c>
      <c r="H582" s="287" t="s">
        <v>136</v>
      </c>
      <c r="I582" s="288" t="s">
        <v>16</v>
      </c>
      <c r="J582" s="288" t="s">
        <v>1311</v>
      </c>
      <c r="K582" s="288" t="s">
        <v>1631</v>
      </c>
      <c r="L582" s="300" t="s">
        <v>312</v>
      </c>
      <c r="M582" s="287" t="s">
        <v>4203</v>
      </c>
      <c r="N582" s="287" t="s">
        <v>2685</v>
      </c>
      <c r="O582" s="287" t="s">
        <v>310</v>
      </c>
      <c r="P582" s="287" t="s">
        <v>291</v>
      </c>
      <c r="Q582" s="287" t="s">
        <v>294</v>
      </c>
      <c r="R582" s="300">
        <v>3000000.01</v>
      </c>
      <c r="S582" s="300">
        <v>3500000</v>
      </c>
      <c r="T582" s="287">
        <v>0</v>
      </c>
      <c r="U582" s="287">
        <f t="shared" si="258"/>
        <v>3500000</v>
      </c>
      <c r="V582" s="287">
        <v>0</v>
      </c>
      <c r="W582" s="287">
        <v>50</v>
      </c>
      <c r="X582" s="287">
        <v>0</v>
      </c>
      <c r="Y582" s="287">
        <v>999</v>
      </c>
      <c r="Z582" s="289">
        <v>700</v>
      </c>
      <c r="AA582" s="289">
        <v>719</v>
      </c>
      <c r="AB582" s="289">
        <v>9</v>
      </c>
      <c r="AC582" s="289">
        <v>999999</v>
      </c>
      <c r="AD582" s="287">
        <v>0</v>
      </c>
      <c r="AE582" s="2105">
        <v>55</v>
      </c>
      <c r="AF582" s="170">
        <v>0</v>
      </c>
      <c r="AG582" s="171">
        <v>1</v>
      </c>
      <c r="AH582" s="171">
        <v>1</v>
      </c>
      <c r="AI582" s="171">
        <v>0</v>
      </c>
      <c r="AJ582" s="171">
        <v>1</v>
      </c>
      <c r="AK582" s="171">
        <v>1</v>
      </c>
      <c r="AL582" s="171">
        <v>1</v>
      </c>
      <c r="AM582" s="171">
        <v>1</v>
      </c>
      <c r="AN582" s="171">
        <v>1</v>
      </c>
      <c r="AO582" s="171">
        <v>1</v>
      </c>
      <c r="AP582" s="171">
        <v>1</v>
      </c>
      <c r="AQ582" s="171">
        <v>1</v>
      </c>
      <c r="AR582" s="171">
        <v>1</v>
      </c>
      <c r="AS582" s="171">
        <v>1</v>
      </c>
      <c r="AT582" s="171">
        <v>1</v>
      </c>
      <c r="AU582" s="171">
        <f t="shared" si="183"/>
        <v>0</v>
      </c>
      <c r="AV582" s="171">
        <f t="shared" si="184"/>
        <v>1</v>
      </c>
      <c r="AW582" s="171">
        <f t="shared" si="185"/>
        <v>1</v>
      </c>
      <c r="AX582" s="171">
        <f t="shared" si="197"/>
        <v>1</v>
      </c>
      <c r="AY582" s="171">
        <f t="shared" si="186"/>
        <v>0</v>
      </c>
      <c r="AZ582" s="171">
        <f t="shared" si="187"/>
        <v>1</v>
      </c>
      <c r="BA582" s="172">
        <f t="shared" si="188"/>
        <v>0</v>
      </c>
      <c r="BB582" s="175">
        <f t="shared" si="255"/>
        <v>17</v>
      </c>
      <c r="BC582" s="176">
        <f t="shared" si="256"/>
        <v>17</v>
      </c>
      <c r="BD582" s="176">
        <f t="shared" si="257"/>
        <v>17</v>
      </c>
      <c r="BE582" s="240" t="str">
        <f t="shared" si="215"/>
        <v/>
      </c>
      <c r="BH582" s="199">
        <f>IF(AND(Input_Product=Elig!$C582,Elig_MatchAll_Ct&lt;22,$BC582=(Elig_MatchAll_Ct-1),AF582=0),C582,0)</f>
        <v>0</v>
      </c>
      <c r="BI582" s="199">
        <f>IF(AND(Input_Product=Elig!$C582,Elig_MatchAll_Ct&lt;22,$BC582=(Elig_MatchAll_Ct-1),AG582=0),D582,0)</f>
        <v>0</v>
      </c>
      <c r="BJ582" s="199">
        <f>IF(AND(Input_Product=Elig!$C582,Elig_MatchAll_Ct&lt;22,$BC582=(Elig_MatchAll_Ct-1),AH582=0),E582,0)</f>
        <v>0</v>
      </c>
      <c r="BK582" s="199">
        <f>IF(AND(Input_Product=Elig!$C582,Elig_MatchAll_Ct&lt;22,$BC582=(Elig_MatchAll_Ct-1),AI582=0),F582,0)</f>
        <v>0</v>
      </c>
      <c r="BL582" s="199">
        <f>IF(AND(Input_Product=Elig!$C582,Elig_MatchAll_Ct&lt;22,$BC582=(Elig_MatchAll_Ct-1),AJ582=0),G582,0)</f>
        <v>0</v>
      </c>
      <c r="BM582" s="199">
        <f>IF(AND(Input_Product=Elig!$C582,Elig_MatchAll_Ct&lt;22,$BC582=(Elig_MatchAll_Ct-1),AK582=0),H582,0)</f>
        <v>0</v>
      </c>
      <c r="BN582" s="199">
        <f>IF(AND(Input_Product=Elig!$C582,Elig_MatchAll_Ct&lt;22,$BC582=(Elig_MatchAll_Ct-1),AL582=0),I582,0)</f>
        <v>0</v>
      </c>
      <c r="BO582" s="199">
        <f>IF(AND(Input_Product=Elig!$C582,Elig_MatchAll_Ct&lt;22,$BC582=(Elig_MatchAll_Ct-1),AM582=0),J582,0)</f>
        <v>0</v>
      </c>
      <c r="BP582" s="199">
        <f>IF(AND(Input_Product=Elig!$C582,Elig_MatchAll_Ct&lt;22,$BC582=(Elig_MatchAll_Ct-1),AN582=0),K582,0)</f>
        <v>0</v>
      </c>
      <c r="BQ582" s="199">
        <f>IF(AND(Input_Product=Elig!$C582,Elig_MatchAll_Ct&lt;22,$BC582=(Elig_MatchAll_Ct-1),AP582=0),L582,0)</f>
        <v>0</v>
      </c>
      <c r="BR582" s="199">
        <f>IF(AND(Input_Product=Elig!$C582,Elig_MatchAll_Ct&lt;22,$BC582=(Elig_MatchAll_Ct-1),AO582=0),M582,0)</f>
        <v>0</v>
      </c>
      <c r="BS582" s="199">
        <f>IF(AND(Input_Product=Elig!$C582,Elig_MatchAll_Ct&lt;22,$BC582=(Elig_MatchAll_Ct-1),AQ582=0),N582,0)</f>
        <v>0</v>
      </c>
      <c r="BT582" s="199">
        <f>IF(AND(Input_Product=Elig!$C582,Elig_MatchAll_Ct&lt;22,$BC582=(Elig_MatchAll_Ct-1),AR582=0),O582,0)</f>
        <v>0</v>
      </c>
      <c r="BU582" s="199">
        <f>IF(AND(Input_Product=Elig!$C582,Elig_MatchAll_Ct&lt;22,$BC582=(Elig_MatchAll_Ct-1),AS582=0),P582,0)</f>
        <v>0</v>
      </c>
      <c r="BV582" s="200">
        <f>IF(AND(Input_Product=Elig!$C582,Elig_MatchAll_Ct&lt;22,$BC582=(Elig_MatchAll_Ct-1),AT582=0),Q582,0)</f>
        <v>0</v>
      </c>
      <c r="BW582" s="201">
        <f>IF(AND(Input_Product=Elig!$C582,Elig_MatchAll_Ct&lt;22,$BC582=(Elig_MatchAll_Ct-1),AU582=0),R582,0)</f>
        <v>0</v>
      </c>
      <c r="BX582" s="202">
        <f>IF(AND(Input_Product=Elig!$C582,Elig_MatchAll_Ct&lt;22,$BC582=(Elig_MatchAll_Ct-1),AU582=0),S582,0)</f>
        <v>0</v>
      </c>
      <c r="BY582" s="201">
        <f>IF(AND(Input_Product=Elig!$C582,Elig_MatchAll_Ct&lt;22,$BC582=(Elig_MatchAll_Ct-1),AV582=0),T582,0)</f>
        <v>0</v>
      </c>
      <c r="BZ582" s="202">
        <f>IF(AND(Input_Product=Elig!$C582,Elig_MatchAll_Ct&lt;22,$BC582=(Elig_MatchAll_Ct-1),AV582=0),U582,0)</f>
        <v>0</v>
      </c>
      <c r="CA582" s="201">
        <f>IF(AND(Input_Product=Elig!$C582,Elig_MatchAll_Ct&lt;22,$BC582=(Elig_MatchAll_Ct-1),AW582=0),V582,0)</f>
        <v>0</v>
      </c>
      <c r="CB582" s="202">
        <f>IF(AND(Input_Product=Elig!$C582,Elig_MatchAll_Ct&lt;22,$BC582=(Elig_MatchAll_Ct-1),AW582=0),W582,0)</f>
        <v>0</v>
      </c>
      <c r="CC582" s="201">
        <f>IF(AND(Input_Product=Elig!$C582,Elig_MatchAll_Ct&lt;22,$BC582=(Elig_MatchAll_Ct-1),AX582=0),X582,0)</f>
        <v>0</v>
      </c>
      <c r="CD582" s="202">
        <f>IF(AND(Input_Product=Elig!$C582,Elig_MatchAll_Ct&lt;22,$BC582=(Elig_MatchAll_Ct-1),AX582=0),Y582,0)</f>
        <v>0</v>
      </c>
      <c r="CE582" s="201">
        <f>IF(AND(Input_LTV&lt;=AE582,Input_Product=Elig!$C582,Elig_MatchAll_Ct&lt;22,$BC582=(Elig_MatchAll_Ct-1),AY582=0),Z582,0)</f>
        <v>0</v>
      </c>
      <c r="CF582" s="202">
        <f>IF(AND(Input_LTV&lt;=AE582,Input_Product=Elig!$C582,Elig_MatchAll_Ct&lt;22,$BC582=(Elig_MatchAll_Ct-1),AY582=0),AA582,0)</f>
        <v>0</v>
      </c>
      <c r="CG582" s="201">
        <f>IF(AND(Input_Product=Elig!$C582,Elig_MatchAll_Ct&lt;22,$BC582=(Elig_MatchAll_Ct-1),AZ582=0),AB582,0)</f>
        <v>0</v>
      </c>
      <c r="CH582" s="202">
        <f>IF(AND(Input_Product=Elig!$C582,Elig_MatchAll_Ct&lt;22,$BC582=(Elig_MatchAll_Ct-1),AZ582=0),AC582,0)</f>
        <v>0</v>
      </c>
      <c r="CI582" s="201">
        <f>IF(AND(Input_Product=Elig!$C582,Elig_MatchAll_Ct&lt;22,$BC582=(Elig_MatchAll_Ct-1),BA582=0),AD582,0)</f>
        <v>0</v>
      </c>
      <c r="CJ582" s="202">
        <f>IF(AND(Input_Product=Elig!$C582,Elig_MatchAll_Ct&lt;22,$BC582=(Elig_MatchAll_Ct-1),BA582=0),AE582,0)</f>
        <v>0</v>
      </c>
    </row>
    <row r="583" spans="2:88" ht="10.15" customHeight="1" x14ac:dyDescent="0.25">
      <c r="B583" s="287" t="s">
        <v>4141</v>
      </c>
      <c r="C583" s="281" t="str">
        <f t="shared" si="241"/>
        <v>NonQM NOO</v>
      </c>
      <c r="D583" s="282" t="s">
        <v>3885</v>
      </c>
      <c r="E583" s="283" t="s">
        <v>167</v>
      </c>
      <c r="F583" s="283" t="s">
        <v>330</v>
      </c>
      <c r="G583" s="2103" t="s">
        <v>304</v>
      </c>
      <c r="H583" s="283" t="s">
        <v>446</v>
      </c>
      <c r="I583" s="282" t="s">
        <v>274</v>
      </c>
      <c r="J583" s="282" t="s">
        <v>1311</v>
      </c>
      <c r="K583" s="282" t="s">
        <v>1631</v>
      </c>
      <c r="L583" s="2103" t="s">
        <v>312</v>
      </c>
      <c r="M583" s="283" t="s">
        <v>4203</v>
      </c>
      <c r="N583" s="283" t="s">
        <v>2685</v>
      </c>
      <c r="O583" s="283" t="s">
        <v>310</v>
      </c>
      <c r="P583" s="283" t="s">
        <v>291</v>
      </c>
      <c r="Q583" s="283" t="s">
        <v>294</v>
      </c>
      <c r="R583" s="323">
        <v>3000000.01</v>
      </c>
      <c r="S583" s="323">
        <v>3500000</v>
      </c>
      <c r="T583" s="282">
        <v>0</v>
      </c>
      <c r="U583" s="282">
        <v>0</v>
      </c>
      <c r="V583" s="282">
        <v>0</v>
      </c>
      <c r="W583" s="282">
        <v>50</v>
      </c>
      <c r="X583" s="282">
        <v>0</v>
      </c>
      <c r="Y583" s="282">
        <v>999</v>
      </c>
      <c r="Z583" s="284">
        <v>720</v>
      </c>
      <c r="AA583" s="284">
        <v>999</v>
      </c>
      <c r="AB583" s="284">
        <v>9</v>
      </c>
      <c r="AC583" s="284">
        <v>999999</v>
      </c>
      <c r="AD583" s="282">
        <v>0</v>
      </c>
      <c r="AE583" s="2104">
        <v>70</v>
      </c>
      <c r="AF583" s="170">
        <v>0</v>
      </c>
      <c r="AG583" s="171">
        <v>1</v>
      </c>
      <c r="AH583" s="171">
        <v>1</v>
      </c>
      <c r="AI583" s="171">
        <v>0</v>
      </c>
      <c r="AJ583" s="171">
        <v>0</v>
      </c>
      <c r="AK583" s="171">
        <v>0</v>
      </c>
      <c r="AL583" s="171">
        <v>0</v>
      </c>
      <c r="AM583" s="171">
        <v>1</v>
      </c>
      <c r="AN583" s="171">
        <v>1</v>
      </c>
      <c r="AO583" s="171">
        <v>1</v>
      </c>
      <c r="AP583" s="171">
        <v>1</v>
      </c>
      <c r="AQ583" s="171">
        <v>1</v>
      </c>
      <c r="AR583" s="171">
        <v>1</v>
      </c>
      <c r="AS583" s="171">
        <v>1</v>
      </c>
      <c r="AT583" s="171">
        <v>1</v>
      </c>
      <c r="AU583" s="171">
        <f t="shared" si="183"/>
        <v>0</v>
      </c>
      <c r="AV583" s="171">
        <f t="shared" si="184"/>
        <v>0</v>
      </c>
      <c r="AW583" s="171">
        <f t="shared" si="185"/>
        <v>1</v>
      </c>
      <c r="AX583" s="171">
        <f t="shared" si="197"/>
        <v>1</v>
      </c>
      <c r="AY583" s="171">
        <f t="shared" si="186"/>
        <v>1</v>
      </c>
      <c r="AZ583" s="171">
        <f t="shared" si="187"/>
        <v>1</v>
      </c>
      <c r="BA583" s="172">
        <f t="shared" si="188"/>
        <v>1</v>
      </c>
      <c r="BB583" s="175">
        <f t="shared" si="255"/>
        <v>15</v>
      </c>
      <c r="BC583" s="176">
        <f t="shared" si="256"/>
        <v>14</v>
      </c>
      <c r="BD583" s="176">
        <f t="shared" si="257"/>
        <v>15</v>
      </c>
      <c r="BE583" s="240" t="str">
        <f t="shared" ref="BE583:BE646" si="259">IF(BD583=21,C583,"")</f>
        <v/>
      </c>
      <c r="BH583" s="210">
        <f>IF(AND(Input_Product=Elig!$C583,Elig_MatchAll_Ct&lt;22,$BC583=(Elig_MatchAll_Ct-1),AF583=0),C583,0)</f>
        <v>0</v>
      </c>
      <c r="BI583" s="210">
        <f>IF(AND(Input_Product=Elig!$C583,Elig_MatchAll_Ct&lt;22,$BC583=(Elig_MatchAll_Ct-1),AG583=0),D583,0)</f>
        <v>0</v>
      </c>
      <c r="BJ583" s="210">
        <f>IF(AND(Input_Product=Elig!$C583,Elig_MatchAll_Ct&lt;22,$BC583=(Elig_MatchAll_Ct-1),AH583=0),E583,0)</f>
        <v>0</v>
      </c>
      <c r="BK583" s="210">
        <f>IF(AND(Input_Product=Elig!$C583,Elig_MatchAll_Ct&lt;22,$BC583=(Elig_MatchAll_Ct-1),AI583=0),F583,0)</f>
        <v>0</v>
      </c>
      <c r="BL583" s="210">
        <f>IF(AND(Input_Product=Elig!$C583,Elig_MatchAll_Ct&lt;22,$BC583=(Elig_MatchAll_Ct-1),AJ583=0),G583,0)</f>
        <v>0</v>
      </c>
      <c r="BM583" s="210">
        <f>IF(AND(Input_Product=Elig!$C583,Elig_MatchAll_Ct&lt;22,$BC583=(Elig_MatchAll_Ct-1),AK583=0),H583,0)</f>
        <v>0</v>
      </c>
      <c r="BN583" s="210">
        <f>IF(AND(Input_Product=Elig!$C583,Elig_MatchAll_Ct&lt;22,$BC583=(Elig_MatchAll_Ct-1),AL583=0),I583,0)</f>
        <v>0</v>
      </c>
      <c r="BO583" s="210">
        <f>IF(AND(Input_Product=Elig!$C583,Elig_MatchAll_Ct&lt;22,$BC583=(Elig_MatchAll_Ct-1),AM583=0),J583,0)</f>
        <v>0</v>
      </c>
      <c r="BP583" s="210">
        <f>IF(AND(Input_Product=Elig!$C583,Elig_MatchAll_Ct&lt;22,$BC583=(Elig_MatchAll_Ct-1),AN583=0),K583,0)</f>
        <v>0</v>
      </c>
      <c r="BQ583" s="210">
        <f>IF(AND(Input_Product=Elig!$C583,Elig_MatchAll_Ct&lt;22,$BC583=(Elig_MatchAll_Ct-1),AP583=0),L583,0)</f>
        <v>0</v>
      </c>
      <c r="BR583" s="210">
        <f>IF(AND(Input_Product=Elig!$C583,Elig_MatchAll_Ct&lt;22,$BC583=(Elig_MatchAll_Ct-1),AO583=0),M583,0)</f>
        <v>0</v>
      </c>
      <c r="BS583" s="210">
        <f>IF(AND(Input_Product=Elig!$C583,Elig_MatchAll_Ct&lt;22,$BC583=(Elig_MatchAll_Ct-1),AQ583=0),N583,0)</f>
        <v>0</v>
      </c>
      <c r="BT583" s="210">
        <f>IF(AND(Input_Product=Elig!$C583,Elig_MatchAll_Ct&lt;22,$BC583=(Elig_MatchAll_Ct-1),AR583=0),O583,0)</f>
        <v>0</v>
      </c>
      <c r="BU583" s="210">
        <f>IF(AND(Input_Product=Elig!$C583,Elig_MatchAll_Ct&lt;22,$BC583=(Elig_MatchAll_Ct-1),AS583=0),P583,0)</f>
        <v>0</v>
      </c>
      <c r="BV583" s="211">
        <f>IF(AND(Input_Product=Elig!$C583,Elig_MatchAll_Ct&lt;22,$BC583=(Elig_MatchAll_Ct-1),AT583=0),Q583,0)</f>
        <v>0</v>
      </c>
      <c r="BW583" s="212">
        <f>IF(AND(Input_Product=Elig!$C583,Elig_MatchAll_Ct&lt;22,$BC583=(Elig_MatchAll_Ct-1),AU583=0),R583,0)</f>
        <v>0</v>
      </c>
      <c r="BX583" s="213">
        <f>IF(AND(Input_Product=Elig!$C583,Elig_MatchAll_Ct&lt;22,$BC583=(Elig_MatchAll_Ct-1),AU583=0),S583,0)</f>
        <v>0</v>
      </c>
      <c r="BY583" s="212">
        <f>IF(AND(Input_Product=Elig!$C583,Elig_MatchAll_Ct&lt;22,$BC583=(Elig_MatchAll_Ct-1),AV583=0),T583,0)</f>
        <v>0</v>
      </c>
      <c r="BZ583" s="213">
        <f>IF(AND(Input_Product=Elig!$C583,Elig_MatchAll_Ct&lt;22,$BC583=(Elig_MatchAll_Ct-1),AV583=0),U583,0)</f>
        <v>0</v>
      </c>
      <c r="CA583" s="212">
        <f>IF(AND(Input_Product=Elig!$C583,Elig_MatchAll_Ct&lt;22,$BC583=(Elig_MatchAll_Ct-1),AW583=0),V583,0)</f>
        <v>0</v>
      </c>
      <c r="CB583" s="213">
        <f>IF(AND(Input_Product=Elig!$C583,Elig_MatchAll_Ct&lt;22,$BC583=(Elig_MatchAll_Ct-1),AW583=0),W583,0)</f>
        <v>0</v>
      </c>
      <c r="CC583" s="212">
        <f>IF(AND(Input_Product=Elig!$C583,Elig_MatchAll_Ct&lt;22,$BC583=(Elig_MatchAll_Ct-1),AX583=0),X583,0)</f>
        <v>0</v>
      </c>
      <c r="CD583" s="213">
        <f>IF(AND(Input_Product=Elig!$C583,Elig_MatchAll_Ct&lt;22,$BC583=(Elig_MatchAll_Ct-1),AX583=0),Y583,0)</f>
        <v>0</v>
      </c>
      <c r="CE583" s="212">
        <f>IF(AND(Input_LTV&lt;=AE583,Input_Product=Elig!$C583,Elig_MatchAll_Ct&lt;22,$BC583=(Elig_MatchAll_Ct-1),AY583=0),Z583,0)</f>
        <v>0</v>
      </c>
      <c r="CF583" s="213">
        <f>IF(AND(Input_LTV&lt;=AE583,Input_Product=Elig!$C583,Elig_MatchAll_Ct&lt;22,$BC583=(Elig_MatchAll_Ct-1),AY583=0),AA583,0)</f>
        <v>0</v>
      </c>
      <c r="CG583" s="212">
        <f>IF(AND(Input_Product=Elig!$C583,Elig_MatchAll_Ct&lt;22,$BC583=(Elig_MatchAll_Ct-1),AZ583=0),AB583,0)</f>
        <v>0</v>
      </c>
      <c r="CH583" s="213">
        <f>IF(AND(Input_Product=Elig!$C583,Elig_MatchAll_Ct&lt;22,$BC583=(Elig_MatchAll_Ct-1),AZ583=0),AC583,0)</f>
        <v>0</v>
      </c>
      <c r="CI583" s="212">
        <f>IF(AND(Input_Product=Elig!$C583,Elig_MatchAll_Ct&lt;22,$BC583=(Elig_MatchAll_Ct-1),BA583=0),AD583,0)</f>
        <v>0</v>
      </c>
      <c r="CJ583" s="213">
        <f>IF(AND(Input_Product=Elig!$C583,Elig_MatchAll_Ct&lt;22,$BC583=(Elig_MatchAll_Ct-1),BA583=0),AE583,0)</f>
        <v>0</v>
      </c>
    </row>
    <row r="584" spans="2:88" ht="10.15" customHeight="1" x14ac:dyDescent="0.25">
      <c r="B584" s="287" t="s">
        <v>4142</v>
      </c>
      <c r="C584" s="286" t="str">
        <f t="shared" si="241"/>
        <v>NonQM NOO</v>
      </c>
      <c r="D584" s="287" t="s">
        <v>3885</v>
      </c>
      <c r="E584" s="287" t="s">
        <v>167</v>
      </c>
      <c r="F584" s="287" t="s">
        <v>330</v>
      </c>
      <c r="G584" s="300" t="s">
        <v>304</v>
      </c>
      <c r="H584" s="287" t="s">
        <v>446</v>
      </c>
      <c r="I584" s="288" t="s">
        <v>274</v>
      </c>
      <c r="J584" s="288" t="s">
        <v>1311</v>
      </c>
      <c r="K584" s="288" t="s">
        <v>1631</v>
      </c>
      <c r="L584" s="300" t="s">
        <v>312</v>
      </c>
      <c r="M584" s="287" t="s">
        <v>4203</v>
      </c>
      <c r="N584" s="287" t="s">
        <v>2685</v>
      </c>
      <c r="O584" s="287" t="s">
        <v>310</v>
      </c>
      <c r="P584" s="287" t="s">
        <v>291</v>
      </c>
      <c r="Q584" s="287" t="s">
        <v>294</v>
      </c>
      <c r="R584" s="300">
        <v>3000000.01</v>
      </c>
      <c r="S584" s="300">
        <v>3500000</v>
      </c>
      <c r="T584" s="287">
        <v>0</v>
      </c>
      <c r="U584" s="287">
        <v>0</v>
      </c>
      <c r="V584" s="287">
        <v>0</v>
      </c>
      <c r="W584" s="287">
        <v>50</v>
      </c>
      <c r="X584" s="287">
        <v>0</v>
      </c>
      <c r="Y584" s="287">
        <v>999</v>
      </c>
      <c r="Z584" s="289">
        <v>700</v>
      </c>
      <c r="AA584" s="289">
        <v>719</v>
      </c>
      <c r="AB584" s="289">
        <v>9</v>
      </c>
      <c r="AC584" s="289">
        <v>999999</v>
      </c>
      <c r="AD584" s="287">
        <v>0</v>
      </c>
      <c r="AE584" s="2105">
        <v>70</v>
      </c>
      <c r="AF584" s="170">
        <v>0</v>
      </c>
      <c r="AG584" s="171">
        <v>1</v>
      </c>
      <c r="AH584" s="171">
        <v>1</v>
      </c>
      <c r="AI584" s="171">
        <v>0</v>
      </c>
      <c r="AJ584" s="171">
        <v>0</v>
      </c>
      <c r="AK584" s="171">
        <v>0</v>
      </c>
      <c r="AL584" s="171">
        <v>0</v>
      </c>
      <c r="AM584" s="171">
        <v>1</v>
      </c>
      <c r="AN584" s="171">
        <v>1</v>
      </c>
      <c r="AO584" s="171">
        <v>1</v>
      </c>
      <c r="AP584" s="171">
        <v>1</v>
      </c>
      <c r="AQ584" s="171">
        <v>1</v>
      </c>
      <c r="AR584" s="171">
        <v>1</v>
      </c>
      <c r="AS584" s="171">
        <v>1</v>
      </c>
      <c r="AT584" s="171">
        <v>1</v>
      </c>
      <c r="AU584" s="171">
        <f t="shared" si="183"/>
        <v>0</v>
      </c>
      <c r="AV584" s="171">
        <f t="shared" si="184"/>
        <v>0</v>
      </c>
      <c r="AW584" s="171">
        <f t="shared" si="185"/>
        <v>1</v>
      </c>
      <c r="AX584" s="171">
        <f t="shared" si="197"/>
        <v>1</v>
      </c>
      <c r="AY584" s="171">
        <f t="shared" si="186"/>
        <v>0</v>
      </c>
      <c r="AZ584" s="171">
        <f t="shared" si="187"/>
        <v>1</v>
      </c>
      <c r="BA584" s="172">
        <f t="shared" si="188"/>
        <v>1</v>
      </c>
      <c r="BB584" s="175">
        <f t="shared" si="255"/>
        <v>14</v>
      </c>
      <c r="BC584" s="176">
        <f t="shared" si="256"/>
        <v>13</v>
      </c>
      <c r="BD584" s="176">
        <f t="shared" si="257"/>
        <v>14</v>
      </c>
      <c r="BE584" s="240" t="str">
        <f t="shared" si="259"/>
        <v/>
      </c>
      <c r="BH584" s="199">
        <f>IF(AND(Input_Product=Elig!$C584,Elig_MatchAll_Ct&lt;22,$BC584=(Elig_MatchAll_Ct-1),AF584=0),C584,0)</f>
        <v>0</v>
      </c>
      <c r="BI584" s="199">
        <f>IF(AND(Input_Product=Elig!$C584,Elig_MatchAll_Ct&lt;22,$BC584=(Elig_MatchAll_Ct-1),AG584=0),D584,0)</f>
        <v>0</v>
      </c>
      <c r="BJ584" s="199">
        <f>IF(AND(Input_Product=Elig!$C584,Elig_MatchAll_Ct&lt;22,$BC584=(Elig_MatchAll_Ct-1),AH584=0),E584,0)</f>
        <v>0</v>
      </c>
      <c r="BK584" s="199">
        <f>IF(AND(Input_Product=Elig!$C584,Elig_MatchAll_Ct&lt;22,$BC584=(Elig_MatchAll_Ct-1),AI584=0),F584,0)</f>
        <v>0</v>
      </c>
      <c r="BL584" s="199">
        <f>IF(AND(Input_Product=Elig!$C584,Elig_MatchAll_Ct&lt;22,$BC584=(Elig_MatchAll_Ct-1),AJ584=0),G584,0)</f>
        <v>0</v>
      </c>
      <c r="BM584" s="199">
        <f>IF(AND(Input_Product=Elig!$C584,Elig_MatchAll_Ct&lt;22,$BC584=(Elig_MatchAll_Ct-1),AK584=0),H584,0)</f>
        <v>0</v>
      </c>
      <c r="BN584" s="199">
        <f>IF(AND(Input_Product=Elig!$C584,Elig_MatchAll_Ct&lt;22,$BC584=(Elig_MatchAll_Ct-1),AL584=0),I584,0)</f>
        <v>0</v>
      </c>
      <c r="BO584" s="199">
        <f>IF(AND(Input_Product=Elig!$C584,Elig_MatchAll_Ct&lt;22,$BC584=(Elig_MatchAll_Ct-1),AM584=0),J584,0)</f>
        <v>0</v>
      </c>
      <c r="BP584" s="199">
        <f>IF(AND(Input_Product=Elig!$C584,Elig_MatchAll_Ct&lt;22,$BC584=(Elig_MatchAll_Ct-1),AN584=0),K584,0)</f>
        <v>0</v>
      </c>
      <c r="BQ584" s="199">
        <f>IF(AND(Input_Product=Elig!$C584,Elig_MatchAll_Ct&lt;22,$BC584=(Elig_MatchAll_Ct-1),AP584=0),L584,0)</f>
        <v>0</v>
      </c>
      <c r="BR584" s="199">
        <f>IF(AND(Input_Product=Elig!$C584,Elig_MatchAll_Ct&lt;22,$BC584=(Elig_MatchAll_Ct-1),AO584=0),M584,0)</f>
        <v>0</v>
      </c>
      <c r="BS584" s="199">
        <f>IF(AND(Input_Product=Elig!$C584,Elig_MatchAll_Ct&lt;22,$BC584=(Elig_MatchAll_Ct-1),AQ584=0),N584,0)</f>
        <v>0</v>
      </c>
      <c r="BT584" s="199">
        <f>IF(AND(Input_Product=Elig!$C584,Elig_MatchAll_Ct&lt;22,$BC584=(Elig_MatchAll_Ct-1),AR584=0),O584,0)</f>
        <v>0</v>
      </c>
      <c r="BU584" s="199">
        <f>IF(AND(Input_Product=Elig!$C584,Elig_MatchAll_Ct&lt;22,$BC584=(Elig_MatchAll_Ct-1),AS584=0),P584,0)</f>
        <v>0</v>
      </c>
      <c r="BV584" s="200">
        <f>IF(AND(Input_Product=Elig!$C584,Elig_MatchAll_Ct&lt;22,$BC584=(Elig_MatchAll_Ct-1),AT584=0),Q584,0)</f>
        <v>0</v>
      </c>
      <c r="BW584" s="201">
        <f>IF(AND(Input_Product=Elig!$C584,Elig_MatchAll_Ct&lt;22,$BC584=(Elig_MatchAll_Ct-1),AU584=0),R584,0)</f>
        <v>0</v>
      </c>
      <c r="BX584" s="202">
        <f>IF(AND(Input_Product=Elig!$C584,Elig_MatchAll_Ct&lt;22,$BC584=(Elig_MatchAll_Ct-1),AU584=0),S584,0)</f>
        <v>0</v>
      </c>
      <c r="BY584" s="201">
        <f>IF(AND(Input_Product=Elig!$C584,Elig_MatchAll_Ct&lt;22,$BC584=(Elig_MatchAll_Ct-1),AV584=0),T584,0)</f>
        <v>0</v>
      </c>
      <c r="BZ584" s="202">
        <f>IF(AND(Input_Product=Elig!$C584,Elig_MatchAll_Ct&lt;22,$BC584=(Elig_MatchAll_Ct-1),AV584=0),U584,0)</f>
        <v>0</v>
      </c>
      <c r="CA584" s="201">
        <f>IF(AND(Input_Product=Elig!$C584,Elig_MatchAll_Ct&lt;22,$BC584=(Elig_MatchAll_Ct-1),AW584=0),V584,0)</f>
        <v>0</v>
      </c>
      <c r="CB584" s="202">
        <f>IF(AND(Input_Product=Elig!$C584,Elig_MatchAll_Ct&lt;22,$BC584=(Elig_MatchAll_Ct-1),AW584=0),W584,0)</f>
        <v>0</v>
      </c>
      <c r="CC584" s="201">
        <f>IF(AND(Input_Product=Elig!$C584,Elig_MatchAll_Ct&lt;22,$BC584=(Elig_MatchAll_Ct-1),AX584=0),X584,0)</f>
        <v>0</v>
      </c>
      <c r="CD584" s="202">
        <f>IF(AND(Input_Product=Elig!$C584,Elig_MatchAll_Ct&lt;22,$BC584=(Elig_MatchAll_Ct-1),AX584=0),Y584,0)</f>
        <v>0</v>
      </c>
      <c r="CE584" s="201">
        <f>IF(AND(Input_LTV&lt;=AE584,Input_Product=Elig!$C584,Elig_MatchAll_Ct&lt;22,$BC584=(Elig_MatchAll_Ct-1),AY584=0),Z584,0)</f>
        <v>0</v>
      </c>
      <c r="CF584" s="202">
        <f>IF(AND(Input_LTV&lt;=AE584,Input_Product=Elig!$C584,Elig_MatchAll_Ct&lt;22,$BC584=(Elig_MatchAll_Ct-1),AY584=0),AA584,0)</f>
        <v>0</v>
      </c>
      <c r="CG584" s="201">
        <f>IF(AND(Input_Product=Elig!$C584,Elig_MatchAll_Ct&lt;22,$BC584=(Elig_MatchAll_Ct-1),AZ584=0),AB584,0)</f>
        <v>0</v>
      </c>
      <c r="CH584" s="202">
        <f>IF(AND(Input_Product=Elig!$C584,Elig_MatchAll_Ct&lt;22,$BC584=(Elig_MatchAll_Ct-1),AZ584=0),AC584,0)</f>
        <v>0</v>
      </c>
      <c r="CI584" s="201">
        <f>IF(AND(Input_Product=Elig!$C584,Elig_MatchAll_Ct&lt;22,$BC584=(Elig_MatchAll_Ct-1),BA584=0),AD584,0)</f>
        <v>0</v>
      </c>
      <c r="CJ584" s="202">
        <f>IF(AND(Input_Product=Elig!$C584,Elig_MatchAll_Ct&lt;22,$BC584=(Elig_MatchAll_Ct-1),BA584=0),AE584,0)</f>
        <v>0</v>
      </c>
    </row>
    <row r="585" spans="2:88" ht="10.15" customHeight="1" x14ac:dyDescent="0.25">
      <c r="B585" s="287" t="s">
        <v>4143</v>
      </c>
      <c r="C585" s="281" t="str">
        <f t="shared" si="241"/>
        <v>NonQM NOO</v>
      </c>
      <c r="D585" s="282" t="s">
        <v>3885</v>
      </c>
      <c r="E585" s="283" t="s">
        <v>167</v>
      </c>
      <c r="F585" s="283" t="s">
        <v>330</v>
      </c>
      <c r="G585" s="2103" t="s">
        <v>304</v>
      </c>
      <c r="H585" s="283" t="s">
        <v>446</v>
      </c>
      <c r="I585" s="282" t="s">
        <v>16</v>
      </c>
      <c r="J585" s="282" t="s">
        <v>1311</v>
      </c>
      <c r="K585" s="282" t="s">
        <v>1631</v>
      </c>
      <c r="L585" s="2103" t="s">
        <v>312</v>
      </c>
      <c r="M585" s="283" t="s">
        <v>4203</v>
      </c>
      <c r="N585" s="283" t="s">
        <v>2685</v>
      </c>
      <c r="O585" s="283" t="s">
        <v>310</v>
      </c>
      <c r="P585" s="283" t="s">
        <v>291</v>
      </c>
      <c r="Q585" s="283" t="s">
        <v>294</v>
      </c>
      <c r="R585" s="323">
        <v>3000000.01</v>
      </c>
      <c r="S585" s="323">
        <v>3500000</v>
      </c>
      <c r="T585" s="282">
        <v>0</v>
      </c>
      <c r="U585" s="282">
        <f t="shared" ref="U585:U586" si="260">S585</f>
        <v>3500000</v>
      </c>
      <c r="V585" s="282">
        <v>0</v>
      </c>
      <c r="W585" s="282">
        <v>50</v>
      </c>
      <c r="X585" s="282">
        <v>0</v>
      </c>
      <c r="Y585" s="282">
        <v>999</v>
      </c>
      <c r="Z585" s="284">
        <v>720</v>
      </c>
      <c r="AA585" s="284">
        <v>999</v>
      </c>
      <c r="AB585" s="284">
        <v>9</v>
      </c>
      <c r="AC585" s="284">
        <v>999999</v>
      </c>
      <c r="AD585" s="282">
        <v>0</v>
      </c>
      <c r="AE585" s="2104">
        <v>55</v>
      </c>
      <c r="AF585" s="170">
        <v>0</v>
      </c>
      <c r="AG585" s="171">
        <v>1</v>
      </c>
      <c r="AH585" s="171">
        <v>1</v>
      </c>
      <c r="AI585" s="171">
        <v>0</v>
      </c>
      <c r="AJ585" s="171">
        <v>0</v>
      </c>
      <c r="AK585" s="171">
        <v>0</v>
      </c>
      <c r="AL585" s="171">
        <v>1</v>
      </c>
      <c r="AM585" s="171">
        <v>1</v>
      </c>
      <c r="AN585" s="171">
        <v>1</v>
      </c>
      <c r="AO585" s="171">
        <v>1</v>
      </c>
      <c r="AP585" s="171">
        <v>1</v>
      </c>
      <c r="AQ585" s="171">
        <v>1</v>
      </c>
      <c r="AR585" s="171">
        <v>1</v>
      </c>
      <c r="AS585" s="171">
        <v>1</v>
      </c>
      <c r="AT585" s="171">
        <v>1</v>
      </c>
      <c r="AU585" s="171">
        <f t="shared" si="183"/>
        <v>0</v>
      </c>
      <c r="AV585" s="171">
        <f t="shared" si="184"/>
        <v>1</v>
      </c>
      <c r="AW585" s="171">
        <f t="shared" si="185"/>
        <v>1</v>
      </c>
      <c r="AX585" s="171">
        <f t="shared" si="197"/>
        <v>1</v>
      </c>
      <c r="AY585" s="171">
        <f t="shared" si="186"/>
        <v>1</v>
      </c>
      <c r="AZ585" s="171">
        <f t="shared" si="187"/>
        <v>1</v>
      </c>
      <c r="BA585" s="172">
        <f t="shared" si="188"/>
        <v>0</v>
      </c>
      <c r="BB585" s="175">
        <f t="shared" si="255"/>
        <v>16</v>
      </c>
      <c r="BC585" s="176">
        <f t="shared" si="256"/>
        <v>16</v>
      </c>
      <c r="BD585" s="176">
        <f t="shared" si="257"/>
        <v>16</v>
      </c>
      <c r="BE585" s="240" t="str">
        <f t="shared" si="259"/>
        <v/>
      </c>
      <c r="BH585" s="210">
        <f>IF(AND(Input_Product=Elig!$C585,Elig_MatchAll_Ct&lt;22,$BC585=(Elig_MatchAll_Ct-1),AF585=0),C585,0)</f>
        <v>0</v>
      </c>
      <c r="BI585" s="210">
        <f>IF(AND(Input_Product=Elig!$C585,Elig_MatchAll_Ct&lt;22,$BC585=(Elig_MatchAll_Ct-1),AG585=0),D585,0)</f>
        <v>0</v>
      </c>
      <c r="BJ585" s="210">
        <f>IF(AND(Input_Product=Elig!$C585,Elig_MatchAll_Ct&lt;22,$BC585=(Elig_MatchAll_Ct-1),AH585=0),E585,0)</f>
        <v>0</v>
      </c>
      <c r="BK585" s="210">
        <f>IF(AND(Input_Product=Elig!$C585,Elig_MatchAll_Ct&lt;22,$BC585=(Elig_MatchAll_Ct-1),AI585=0),F585,0)</f>
        <v>0</v>
      </c>
      <c r="BL585" s="210">
        <f>IF(AND(Input_Product=Elig!$C585,Elig_MatchAll_Ct&lt;22,$BC585=(Elig_MatchAll_Ct-1),AJ585=0),G585,0)</f>
        <v>0</v>
      </c>
      <c r="BM585" s="210">
        <f>IF(AND(Input_Product=Elig!$C585,Elig_MatchAll_Ct&lt;22,$BC585=(Elig_MatchAll_Ct-1),AK585=0),H585,0)</f>
        <v>0</v>
      </c>
      <c r="BN585" s="210">
        <f>IF(AND(Input_Product=Elig!$C585,Elig_MatchAll_Ct&lt;22,$BC585=(Elig_MatchAll_Ct-1),AL585=0),I585,0)</f>
        <v>0</v>
      </c>
      <c r="BO585" s="210">
        <f>IF(AND(Input_Product=Elig!$C585,Elig_MatchAll_Ct&lt;22,$BC585=(Elig_MatchAll_Ct-1),AM585=0),J585,0)</f>
        <v>0</v>
      </c>
      <c r="BP585" s="210">
        <f>IF(AND(Input_Product=Elig!$C585,Elig_MatchAll_Ct&lt;22,$BC585=(Elig_MatchAll_Ct-1),AN585=0),K585,0)</f>
        <v>0</v>
      </c>
      <c r="BQ585" s="210">
        <f>IF(AND(Input_Product=Elig!$C585,Elig_MatchAll_Ct&lt;22,$BC585=(Elig_MatchAll_Ct-1),AP585=0),L585,0)</f>
        <v>0</v>
      </c>
      <c r="BR585" s="210">
        <f>IF(AND(Input_Product=Elig!$C585,Elig_MatchAll_Ct&lt;22,$BC585=(Elig_MatchAll_Ct-1),AO585=0),M585,0)</f>
        <v>0</v>
      </c>
      <c r="BS585" s="210">
        <f>IF(AND(Input_Product=Elig!$C585,Elig_MatchAll_Ct&lt;22,$BC585=(Elig_MatchAll_Ct-1),AQ585=0),N585,0)</f>
        <v>0</v>
      </c>
      <c r="BT585" s="210">
        <f>IF(AND(Input_Product=Elig!$C585,Elig_MatchAll_Ct&lt;22,$BC585=(Elig_MatchAll_Ct-1),AR585=0),O585,0)</f>
        <v>0</v>
      </c>
      <c r="BU585" s="210">
        <f>IF(AND(Input_Product=Elig!$C585,Elig_MatchAll_Ct&lt;22,$BC585=(Elig_MatchAll_Ct-1),AS585=0),P585,0)</f>
        <v>0</v>
      </c>
      <c r="BV585" s="211">
        <f>IF(AND(Input_Product=Elig!$C585,Elig_MatchAll_Ct&lt;22,$BC585=(Elig_MatchAll_Ct-1),AT585=0),Q585,0)</f>
        <v>0</v>
      </c>
      <c r="BW585" s="212">
        <f>IF(AND(Input_Product=Elig!$C585,Elig_MatchAll_Ct&lt;22,$BC585=(Elig_MatchAll_Ct-1),AU585=0),R585,0)</f>
        <v>0</v>
      </c>
      <c r="BX585" s="213">
        <f>IF(AND(Input_Product=Elig!$C585,Elig_MatchAll_Ct&lt;22,$BC585=(Elig_MatchAll_Ct-1),AU585=0),S585,0)</f>
        <v>0</v>
      </c>
      <c r="BY585" s="212">
        <f>IF(AND(Input_Product=Elig!$C585,Elig_MatchAll_Ct&lt;22,$BC585=(Elig_MatchAll_Ct-1),AV585=0),T585,0)</f>
        <v>0</v>
      </c>
      <c r="BZ585" s="213">
        <f>IF(AND(Input_Product=Elig!$C585,Elig_MatchAll_Ct&lt;22,$BC585=(Elig_MatchAll_Ct-1),AV585=0),U585,0)</f>
        <v>0</v>
      </c>
      <c r="CA585" s="212">
        <f>IF(AND(Input_Product=Elig!$C585,Elig_MatchAll_Ct&lt;22,$BC585=(Elig_MatchAll_Ct-1),AW585=0),V585,0)</f>
        <v>0</v>
      </c>
      <c r="CB585" s="213">
        <f>IF(AND(Input_Product=Elig!$C585,Elig_MatchAll_Ct&lt;22,$BC585=(Elig_MatchAll_Ct-1),AW585=0),W585,0)</f>
        <v>0</v>
      </c>
      <c r="CC585" s="212">
        <f>IF(AND(Input_Product=Elig!$C585,Elig_MatchAll_Ct&lt;22,$BC585=(Elig_MatchAll_Ct-1),AX585=0),X585,0)</f>
        <v>0</v>
      </c>
      <c r="CD585" s="213">
        <f>IF(AND(Input_Product=Elig!$C585,Elig_MatchAll_Ct&lt;22,$BC585=(Elig_MatchAll_Ct-1),AX585=0),Y585,0)</f>
        <v>0</v>
      </c>
      <c r="CE585" s="212">
        <f>IF(AND(Input_LTV&lt;=AE585,Input_Product=Elig!$C585,Elig_MatchAll_Ct&lt;22,$BC585=(Elig_MatchAll_Ct-1),AY585=0),Z585,0)</f>
        <v>0</v>
      </c>
      <c r="CF585" s="213">
        <f>IF(AND(Input_LTV&lt;=AE585,Input_Product=Elig!$C585,Elig_MatchAll_Ct&lt;22,$BC585=(Elig_MatchAll_Ct-1),AY585=0),AA585,0)</f>
        <v>0</v>
      </c>
      <c r="CG585" s="212">
        <f>IF(AND(Input_Product=Elig!$C585,Elig_MatchAll_Ct&lt;22,$BC585=(Elig_MatchAll_Ct-1),AZ585=0),AB585,0)</f>
        <v>0</v>
      </c>
      <c r="CH585" s="213">
        <f>IF(AND(Input_Product=Elig!$C585,Elig_MatchAll_Ct&lt;22,$BC585=(Elig_MatchAll_Ct-1),AZ585=0),AC585,0)</f>
        <v>0</v>
      </c>
      <c r="CI585" s="212">
        <f>IF(AND(Input_Product=Elig!$C585,Elig_MatchAll_Ct&lt;22,$BC585=(Elig_MatchAll_Ct-1),BA585=0),AD585,0)</f>
        <v>0</v>
      </c>
      <c r="CJ585" s="213">
        <f>IF(AND(Input_Product=Elig!$C585,Elig_MatchAll_Ct&lt;22,$BC585=(Elig_MatchAll_Ct-1),BA585=0),AE585,0)</f>
        <v>0</v>
      </c>
    </row>
    <row r="586" spans="2:88" ht="10.15" customHeight="1" x14ac:dyDescent="0.25">
      <c r="B586" s="287" t="s">
        <v>4144</v>
      </c>
      <c r="C586" s="286" t="str">
        <f t="shared" si="241"/>
        <v>NonQM NOO</v>
      </c>
      <c r="D586" s="287" t="s">
        <v>3885</v>
      </c>
      <c r="E586" s="287" t="s">
        <v>167</v>
      </c>
      <c r="F586" s="287" t="s">
        <v>330</v>
      </c>
      <c r="G586" s="300" t="s">
        <v>304</v>
      </c>
      <c r="H586" s="287" t="s">
        <v>446</v>
      </c>
      <c r="I586" s="288" t="s">
        <v>16</v>
      </c>
      <c r="J586" s="288" t="s">
        <v>1311</v>
      </c>
      <c r="K586" s="288" t="s">
        <v>1631</v>
      </c>
      <c r="L586" s="300" t="s">
        <v>312</v>
      </c>
      <c r="M586" s="287" t="s">
        <v>4203</v>
      </c>
      <c r="N586" s="287" t="s">
        <v>2685</v>
      </c>
      <c r="O586" s="287" t="s">
        <v>310</v>
      </c>
      <c r="P586" s="287" t="s">
        <v>291</v>
      </c>
      <c r="Q586" s="287" t="s">
        <v>294</v>
      </c>
      <c r="R586" s="300">
        <v>3000000.01</v>
      </c>
      <c r="S586" s="300">
        <v>3500000</v>
      </c>
      <c r="T586" s="287">
        <v>0</v>
      </c>
      <c r="U586" s="287">
        <f t="shared" si="260"/>
        <v>3500000</v>
      </c>
      <c r="V586" s="287">
        <v>0</v>
      </c>
      <c r="W586" s="287">
        <v>50</v>
      </c>
      <c r="X586" s="287">
        <v>0</v>
      </c>
      <c r="Y586" s="287">
        <v>999</v>
      </c>
      <c r="Z586" s="289">
        <v>700</v>
      </c>
      <c r="AA586" s="289">
        <v>719</v>
      </c>
      <c r="AB586" s="289">
        <v>9</v>
      </c>
      <c r="AC586" s="289">
        <v>999999</v>
      </c>
      <c r="AD586" s="287">
        <v>0</v>
      </c>
      <c r="AE586" s="2105">
        <v>55</v>
      </c>
      <c r="AF586" s="170">
        <v>0</v>
      </c>
      <c r="AG586" s="171">
        <v>1</v>
      </c>
      <c r="AH586" s="171">
        <v>1</v>
      </c>
      <c r="AI586" s="171">
        <v>0</v>
      </c>
      <c r="AJ586" s="171">
        <v>0</v>
      </c>
      <c r="AK586" s="171">
        <v>0</v>
      </c>
      <c r="AL586" s="171">
        <v>1</v>
      </c>
      <c r="AM586" s="171">
        <v>1</v>
      </c>
      <c r="AN586" s="171">
        <v>1</v>
      </c>
      <c r="AO586" s="171">
        <v>1</v>
      </c>
      <c r="AP586" s="171">
        <v>1</v>
      </c>
      <c r="AQ586" s="171">
        <v>1</v>
      </c>
      <c r="AR586" s="171">
        <v>1</v>
      </c>
      <c r="AS586" s="171">
        <v>1</v>
      </c>
      <c r="AT586" s="171">
        <v>1</v>
      </c>
      <c r="AU586" s="171">
        <f t="shared" si="183"/>
        <v>0</v>
      </c>
      <c r="AV586" s="171">
        <f t="shared" si="184"/>
        <v>1</v>
      </c>
      <c r="AW586" s="171">
        <f t="shared" si="185"/>
        <v>1</v>
      </c>
      <c r="AX586" s="171">
        <f t="shared" si="197"/>
        <v>1</v>
      </c>
      <c r="AY586" s="171">
        <f t="shared" si="186"/>
        <v>0</v>
      </c>
      <c r="AZ586" s="171">
        <f t="shared" si="187"/>
        <v>1</v>
      </c>
      <c r="BA586" s="172">
        <f t="shared" si="188"/>
        <v>0</v>
      </c>
      <c r="BB586" s="175">
        <f t="shared" si="255"/>
        <v>15</v>
      </c>
      <c r="BC586" s="176">
        <f t="shared" si="256"/>
        <v>15</v>
      </c>
      <c r="BD586" s="176">
        <f t="shared" si="257"/>
        <v>15</v>
      </c>
      <c r="BE586" s="240" t="str">
        <f t="shared" si="259"/>
        <v/>
      </c>
      <c r="BH586" s="199">
        <f>IF(AND(Input_Product=Elig!$C586,Elig_MatchAll_Ct&lt;22,$BC586=(Elig_MatchAll_Ct-1),AF586=0),C586,0)</f>
        <v>0</v>
      </c>
      <c r="BI586" s="199">
        <f>IF(AND(Input_Product=Elig!$C586,Elig_MatchAll_Ct&lt;22,$BC586=(Elig_MatchAll_Ct-1),AG586=0),D586,0)</f>
        <v>0</v>
      </c>
      <c r="BJ586" s="199">
        <f>IF(AND(Input_Product=Elig!$C586,Elig_MatchAll_Ct&lt;22,$BC586=(Elig_MatchAll_Ct-1),AH586=0),E586,0)</f>
        <v>0</v>
      </c>
      <c r="BK586" s="199">
        <f>IF(AND(Input_Product=Elig!$C586,Elig_MatchAll_Ct&lt;22,$BC586=(Elig_MatchAll_Ct-1),AI586=0),F586,0)</f>
        <v>0</v>
      </c>
      <c r="BL586" s="199">
        <f>IF(AND(Input_Product=Elig!$C586,Elig_MatchAll_Ct&lt;22,$BC586=(Elig_MatchAll_Ct-1),AJ586=0),G586,0)</f>
        <v>0</v>
      </c>
      <c r="BM586" s="199">
        <f>IF(AND(Input_Product=Elig!$C586,Elig_MatchAll_Ct&lt;22,$BC586=(Elig_MatchAll_Ct-1),AK586=0),H586,0)</f>
        <v>0</v>
      </c>
      <c r="BN586" s="199">
        <f>IF(AND(Input_Product=Elig!$C586,Elig_MatchAll_Ct&lt;22,$BC586=(Elig_MatchAll_Ct-1),AL586=0),I586,0)</f>
        <v>0</v>
      </c>
      <c r="BO586" s="199">
        <f>IF(AND(Input_Product=Elig!$C586,Elig_MatchAll_Ct&lt;22,$BC586=(Elig_MatchAll_Ct-1),AM586=0),J586,0)</f>
        <v>0</v>
      </c>
      <c r="BP586" s="199">
        <f>IF(AND(Input_Product=Elig!$C586,Elig_MatchAll_Ct&lt;22,$BC586=(Elig_MatchAll_Ct-1),AN586=0),K586,0)</f>
        <v>0</v>
      </c>
      <c r="BQ586" s="199">
        <f>IF(AND(Input_Product=Elig!$C586,Elig_MatchAll_Ct&lt;22,$BC586=(Elig_MatchAll_Ct-1),AP586=0),L586,0)</f>
        <v>0</v>
      </c>
      <c r="BR586" s="199">
        <f>IF(AND(Input_Product=Elig!$C586,Elig_MatchAll_Ct&lt;22,$BC586=(Elig_MatchAll_Ct-1),AO586=0),M586,0)</f>
        <v>0</v>
      </c>
      <c r="BS586" s="199">
        <f>IF(AND(Input_Product=Elig!$C586,Elig_MatchAll_Ct&lt;22,$BC586=(Elig_MatchAll_Ct-1),AQ586=0),N586,0)</f>
        <v>0</v>
      </c>
      <c r="BT586" s="199">
        <f>IF(AND(Input_Product=Elig!$C586,Elig_MatchAll_Ct&lt;22,$BC586=(Elig_MatchAll_Ct-1),AR586=0),O586,0)</f>
        <v>0</v>
      </c>
      <c r="BU586" s="199">
        <f>IF(AND(Input_Product=Elig!$C586,Elig_MatchAll_Ct&lt;22,$BC586=(Elig_MatchAll_Ct-1),AS586=0),P586,0)</f>
        <v>0</v>
      </c>
      <c r="BV586" s="200">
        <f>IF(AND(Input_Product=Elig!$C586,Elig_MatchAll_Ct&lt;22,$BC586=(Elig_MatchAll_Ct-1),AT586=0),Q586,0)</f>
        <v>0</v>
      </c>
      <c r="BW586" s="201">
        <f>IF(AND(Input_Product=Elig!$C586,Elig_MatchAll_Ct&lt;22,$BC586=(Elig_MatchAll_Ct-1),AU586=0),R586,0)</f>
        <v>0</v>
      </c>
      <c r="BX586" s="202">
        <f>IF(AND(Input_Product=Elig!$C586,Elig_MatchAll_Ct&lt;22,$BC586=(Elig_MatchAll_Ct-1),AU586=0),S586,0)</f>
        <v>0</v>
      </c>
      <c r="BY586" s="201">
        <f>IF(AND(Input_Product=Elig!$C586,Elig_MatchAll_Ct&lt;22,$BC586=(Elig_MatchAll_Ct-1),AV586=0),T586,0)</f>
        <v>0</v>
      </c>
      <c r="BZ586" s="202">
        <f>IF(AND(Input_Product=Elig!$C586,Elig_MatchAll_Ct&lt;22,$BC586=(Elig_MatchAll_Ct-1),AV586=0),U586,0)</f>
        <v>0</v>
      </c>
      <c r="CA586" s="201">
        <f>IF(AND(Input_Product=Elig!$C586,Elig_MatchAll_Ct&lt;22,$BC586=(Elig_MatchAll_Ct-1),AW586=0),V586,0)</f>
        <v>0</v>
      </c>
      <c r="CB586" s="202">
        <f>IF(AND(Input_Product=Elig!$C586,Elig_MatchAll_Ct&lt;22,$BC586=(Elig_MatchAll_Ct-1),AW586=0),W586,0)</f>
        <v>0</v>
      </c>
      <c r="CC586" s="201">
        <f>IF(AND(Input_Product=Elig!$C586,Elig_MatchAll_Ct&lt;22,$BC586=(Elig_MatchAll_Ct-1),AX586=0),X586,0)</f>
        <v>0</v>
      </c>
      <c r="CD586" s="202">
        <f>IF(AND(Input_Product=Elig!$C586,Elig_MatchAll_Ct&lt;22,$BC586=(Elig_MatchAll_Ct-1),AX586=0),Y586,0)</f>
        <v>0</v>
      </c>
      <c r="CE586" s="201">
        <f>IF(AND(Input_LTV&lt;=AE586,Input_Product=Elig!$C586,Elig_MatchAll_Ct&lt;22,$BC586=(Elig_MatchAll_Ct-1),AY586=0),Z586,0)</f>
        <v>0</v>
      </c>
      <c r="CF586" s="202">
        <f>IF(AND(Input_LTV&lt;=AE586,Input_Product=Elig!$C586,Elig_MatchAll_Ct&lt;22,$BC586=(Elig_MatchAll_Ct-1),AY586=0),AA586,0)</f>
        <v>0</v>
      </c>
      <c r="CG586" s="201">
        <f>IF(AND(Input_Product=Elig!$C586,Elig_MatchAll_Ct&lt;22,$BC586=(Elig_MatchAll_Ct-1),AZ586=0),AB586,0)</f>
        <v>0</v>
      </c>
      <c r="CH586" s="202">
        <f>IF(AND(Input_Product=Elig!$C586,Elig_MatchAll_Ct&lt;22,$BC586=(Elig_MatchAll_Ct-1),AZ586=0),AC586,0)</f>
        <v>0</v>
      </c>
      <c r="CI586" s="201">
        <f>IF(AND(Input_Product=Elig!$C586,Elig_MatchAll_Ct&lt;22,$BC586=(Elig_MatchAll_Ct-1),BA586=0),AD586,0)</f>
        <v>0</v>
      </c>
      <c r="CJ586" s="202">
        <f>IF(AND(Input_Product=Elig!$C586,Elig_MatchAll_Ct&lt;22,$BC586=(Elig_MatchAll_Ct-1),BA586=0),AE586,0)</f>
        <v>0</v>
      </c>
    </row>
    <row r="587" spans="2:88" ht="10.15" customHeight="1" x14ac:dyDescent="0.25">
      <c r="B587" s="287" t="s">
        <v>4145</v>
      </c>
      <c r="C587" s="281" t="str">
        <f t="shared" si="241"/>
        <v>NonQM NOO</v>
      </c>
      <c r="D587" s="282" t="s">
        <v>3885</v>
      </c>
      <c r="E587" s="283" t="s">
        <v>167</v>
      </c>
      <c r="F587" s="283" t="s">
        <v>330</v>
      </c>
      <c r="G587" s="2103" t="s">
        <v>468</v>
      </c>
      <c r="H587" s="283" t="s">
        <v>136</v>
      </c>
      <c r="I587" s="282" t="s">
        <v>274</v>
      </c>
      <c r="J587" s="282" t="s">
        <v>1311</v>
      </c>
      <c r="K587" s="282" t="s">
        <v>1631</v>
      </c>
      <c r="L587" s="2103" t="s">
        <v>312</v>
      </c>
      <c r="M587" s="283" t="s">
        <v>4203</v>
      </c>
      <c r="N587" s="283" t="s">
        <v>2685</v>
      </c>
      <c r="O587" s="283" t="s">
        <v>310</v>
      </c>
      <c r="P587" s="283" t="s">
        <v>291</v>
      </c>
      <c r="Q587" s="283" t="s">
        <v>294</v>
      </c>
      <c r="R587" s="323">
        <v>3000000.01</v>
      </c>
      <c r="S587" s="323">
        <v>3500000</v>
      </c>
      <c r="T587" s="282">
        <v>0</v>
      </c>
      <c r="U587" s="282">
        <v>0</v>
      </c>
      <c r="V587" s="282">
        <v>0</v>
      </c>
      <c r="W587" s="282">
        <v>50</v>
      </c>
      <c r="X587" s="282">
        <v>0</v>
      </c>
      <c r="Y587" s="282">
        <v>999</v>
      </c>
      <c r="Z587" s="284">
        <v>720</v>
      </c>
      <c r="AA587" s="284">
        <v>999</v>
      </c>
      <c r="AB587" s="284">
        <v>9</v>
      </c>
      <c r="AC587" s="284">
        <v>999999</v>
      </c>
      <c r="AD587" s="282">
        <v>0</v>
      </c>
      <c r="AE587" s="2104">
        <v>70</v>
      </c>
      <c r="AF587" s="170">
        <v>0</v>
      </c>
      <c r="AG587" s="171">
        <v>1</v>
      </c>
      <c r="AH587" s="171">
        <v>1</v>
      </c>
      <c r="AI587" s="171">
        <v>0</v>
      </c>
      <c r="AJ587" s="171">
        <v>0</v>
      </c>
      <c r="AK587" s="171">
        <v>1</v>
      </c>
      <c r="AL587" s="171">
        <v>0</v>
      </c>
      <c r="AM587" s="171">
        <v>1</v>
      </c>
      <c r="AN587" s="171">
        <v>1</v>
      </c>
      <c r="AO587" s="171">
        <v>1</v>
      </c>
      <c r="AP587" s="171">
        <v>1</v>
      </c>
      <c r="AQ587" s="171">
        <v>1</v>
      </c>
      <c r="AR587" s="171">
        <v>1</v>
      </c>
      <c r="AS587" s="171">
        <v>1</v>
      </c>
      <c r="AT587" s="171">
        <v>1</v>
      </c>
      <c r="AU587" s="171">
        <f t="shared" si="183"/>
        <v>0</v>
      </c>
      <c r="AV587" s="171">
        <f t="shared" si="184"/>
        <v>0</v>
      </c>
      <c r="AW587" s="171">
        <f t="shared" si="185"/>
        <v>1</v>
      </c>
      <c r="AX587" s="171">
        <f t="shared" si="197"/>
        <v>1</v>
      </c>
      <c r="AY587" s="171">
        <f t="shared" si="186"/>
        <v>1</v>
      </c>
      <c r="AZ587" s="171">
        <f t="shared" si="187"/>
        <v>1</v>
      </c>
      <c r="BA587" s="172">
        <f t="shared" si="188"/>
        <v>1</v>
      </c>
      <c r="BB587" s="175">
        <f t="shared" ref="BB587:BB590" si="261">SUM(AF587:BA587)</f>
        <v>16</v>
      </c>
      <c r="BC587" s="176">
        <f t="shared" ref="BC587:BC590" si="262">SUM(AF587:AZ587)</f>
        <v>15</v>
      </c>
      <c r="BD587" s="176">
        <f t="shared" ref="BD587:BD590" si="263">SUM(AG587:BA587)</f>
        <v>16</v>
      </c>
      <c r="BE587" s="240" t="str">
        <f t="shared" si="259"/>
        <v/>
      </c>
      <c r="BH587" s="210">
        <f>IF(AND(Input_Product=Elig!$C587,Elig_MatchAll_Ct&lt;22,$BC587=(Elig_MatchAll_Ct-1),AF587=0),C587,0)</f>
        <v>0</v>
      </c>
      <c r="BI587" s="210">
        <f>IF(AND(Input_Product=Elig!$C587,Elig_MatchAll_Ct&lt;22,$BC587=(Elig_MatchAll_Ct-1),AG587=0),D587,0)</f>
        <v>0</v>
      </c>
      <c r="BJ587" s="210">
        <f>IF(AND(Input_Product=Elig!$C587,Elig_MatchAll_Ct&lt;22,$BC587=(Elig_MatchAll_Ct-1),AH587=0),E587,0)</f>
        <v>0</v>
      </c>
      <c r="BK587" s="210">
        <f>IF(AND(Input_Product=Elig!$C587,Elig_MatchAll_Ct&lt;22,$BC587=(Elig_MatchAll_Ct-1),AI587=0),F587,0)</f>
        <v>0</v>
      </c>
      <c r="BL587" s="210">
        <f>IF(AND(Input_Product=Elig!$C587,Elig_MatchAll_Ct&lt;22,$BC587=(Elig_MatchAll_Ct-1),AJ587=0),G587,0)</f>
        <v>0</v>
      </c>
      <c r="BM587" s="210">
        <f>IF(AND(Input_Product=Elig!$C587,Elig_MatchAll_Ct&lt;22,$BC587=(Elig_MatchAll_Ct-1),AK587=0),H587,0)</f>
        <v>0</v>
      </c>
      <c r="BN587" s="210">
        <f>IF(AND(Input_Product=Elig!$C587,Elig_MatchAll_Ct&lt;22,$BC587=(Elig_MatchAll_Ct-1),AL587=0),I587,0)</f>
        <v>0</v>
      </c>
      <c r="BO587" s="210">
        <f>IF(AND(Input_Product=Elig!$C587,Elig_MatchAll_Ct&lt;22,$BC587=(Elig_MatchAll_Ct-1),AM587=0),J587,0)</f>
        <v>0</v>
      </c>
      <c r="BP587" s="210">
        <f>IF(AND(Input_Product=Elig!$C587,Elig_MatchAll_Ct&lt;22,$BC587=(Elig_MatchAll_Ct-1),AN587=0),K587,0)</f>
        <v>0</v>
      </c>
      <c r="BQ587" s="210">
        <f>IF(AND(Input_Product=Elig!$C587,Elig_MatchAll_Ct&lt;22,$BC587=(Elig_MatchAll_Ct-1),AP587=0),L587,0)</f>
        <v>0</v>
      </c>
      <c r="BR587" s="210">
        <f>IF(AND(Input_Product=Elig!$C587,Elig_MatchAll_Ct&lt;22,$BC587=(Elig_MatchAll_Ct-1),AO587=0),M587,0)</f>
        <v>0</v>
      </c>
      <c r="BS587" s="210">
        <f>IF(AND(Input_Product=Elig!$C587,Elig_MatchAll_Ct&lt;22,$BC587=(Elig_MatchAll_Ct-1),AQ587=0),N587,0)</f>
        <v>0</v>
      </c>
      <c r="BT587" s="210">
        <f>IF(AND(Input_Product=Elig!$C587,Elig_MatchAll_Ct&lt;22,$BC587=(Elig_MatchAll_Ct-1),AR587=0),O587,0)</f>
        <v>0</v>
      </c>
      <c r="BU587" s="210">
        <f>IF(AND(Input_Product=Elig!$C587,Elig_MatchAll_Ct&lt;22,$BC587=(Elig_MatchAll_Ct-1),AS587=0),P587,0)</f>
        <v>0</v>
      </c>
      <c r="BV587" s="211">
        <f>IF(AND(Input_Product=Elig!$C587,Elig_MatchAll_Ct&lt;22,$BC587=(Elig_MatchAll_Ct-1),AT587=0),Q587,0)</f>
        <v>0</v>
      </c>
      <c r="BW587" s="212">
        <f>IF(AND(Input_Product=Elig!$C587,Elig_MatchAll_Ct&lt;22,$BC587=(Elig_MatchAll_Ct-1),AU587=0),R587,0)</f>
        <v>0</v>
      </c>
      <c r="BX587" s="213">
        <f>IF(AND(Input_Product=Elig!$C587,Elig_MatchAll_Ct&lt;22,$BC587=(Elig_MatchAll_Ct-1),AU587=0),S587,0)</f>
        <v>0</v>
      </c>
      <c r="BY587" s="212">
        <f>IF(AND(Input_Product=Elig!$C587,Elig_MatchAll_Ct&lt;22,$BC587=(Elig_MatchAll_Ct-1),AV587=0),T587,0)</f>
        <v>0</v>
      </c>
      <c r="BZ587" s="213">
        <f>IF(AND(Input_Product=Elig!$C587,Elig_MatchAll_Ct&lt;22,$BC587=(Elig_MatchAll_Ct-1),AV587=0),U587,0)</f>
        <v>0</v>
      </c>
      <c r="CA587" s="212">
        <f>IF(AND(Input_Product=Elig!$C587,Elig_MatchAll_Ct&lt;22,$BC587=(Elig_MatchAll_Ct-1),AW587=0),V587,0)</f>
        <v>0</v>
      </c>
      <c r="CB587" s="213">
        <f>IF(AND(Input_Product=Elig!$C587,Elig_MatchAll_Ct&lt;22,$BC587=(Elig_MatchAll_Ct-1),AW587=0),W587,0)</f>
        <v>0</v>
      </c>
      <c r="CC587" s="212">
        <f>IF(AND(Input_Product=Elig!$C587,Elig_MatchAll_Ct&lt;22,$BC587=(Elig_MatchAll_Ct-1),AX587=0),X587,0)</f>
        <v>0</v>
      </c>
      <c r="CD587" s="213">
        <f>IF(AND(Input_Product=Elig!$C587,Elig_MatchAll_Ct&lt;22,$BC587=(Elig_MatchAll_Ct-1),AX587=0),Y587,0)</f>
        <v>0</v>
      </c>
      <c r="CE587" s="212">
        <f>IF(AND(Input_LTV&lt;=AE587,Input_Product=Elig!$C587,Elig_MatchAll_Ct&lt;22,$BC587=(Elig_MatchAll_Ct-1),AY587=0),Z587,0)</f>
        <v>0</v>
      </c>
      <c r="CF587" s="213">
        <f>IF(AND(Input_LTV&lt;=AE587,Input_Product=Elig!$C587,Elig_MatchAll_Ct&lt;22,$BC587=(Elig_MatchAll_Ct-1),AY587=0),AA587,0)</f>
        <v>0</v>
      </c>
      <c r="CG587" s="212">
        <f>IF(AND(Input_Product=Elig!$C587,Elig_MatchAll_Ct&lt;22,$BC587=(Elig_MatchAll_Ct-1),AZ587=0),AB587,0)</f>
        <v>0</v>
      </c>
      <c r="CH587" s="213">
        <f>IF(AND(Input_Product=Elig!$C587,Elig_MatchAll_Ct&lt;22,$BC587=(Elig_MatchAll_Ct-1),AZ587=0),AC587,0)</f>
        <v>0</v>
      </c>
      <c r="CI587" s="212">
        <f>IF(AND(Input_Product=Elig!$C587,Elig_MatchAll_Ct&lt;22,$BC587=(Elig_MatchAll_Ct-1),BA587=0),AD587,0)</f>
        <v>0</v>
      </c>
      <c r="CJ587" s="213">
        <f>IF(AND(Input_Product=Elig!$C587,Elig_MatchAll_Ct&lt;22,$BC587=(Elig_MatchAll_Ct-1),BA587=0),AE587,0)</f>
        <v>0</v>
      </c>
    </row>
    <row r="588" spans="2:88" ht="10.15" customHeight="1" x14ac:dyDescent="0.25">
      <c r="B588" s="287" t="s">
        <v>4146</v>
      </c>
      <c r="C588" s="286" t="str">
        <f t="shared" si="241"/>
        <v>NonQM NOO</v>
      </c>
      <c r="D588" s="287" t="s">
        <v>3885</v>
      </c>
      <c r="E588" s="287" t="s">
        <v>167</v>
      </c>
      <c r="F588" s="287" t="s">
        <v>330</v>
      </c>
      <c r="G588" s="300" t="s">
        <v>468</v>
      </c>
      <c r="H588" s="287" t="s">
        <v>136</v>
      </c>
      <c r="I588" s="288" t="s">
        <v>274</v>
      </c>
      <c r="J588" s="288" t="s">
        <v>1311</v>
      </c>
      <c r="K588" s="288" t="s">
        <v>1631</v>
      </c>
      <c r="L588" s="300" t="s">
        <v>312</v>
      </c>
      <c r="M588" s="287" t="s">
        <v>4203</v>
      </c>
      <c r="N588" s="287" t="s">
        <v>2685</v>
      </c>
      <c r="O588" s="287" t="s">
        <v>310</v>
      </c>
      <c r="P588" s="287" t="s">
        <v>291</v>
      </c>
      <c r="Q588" s="287" t="s">
        <v>294</v>
      </c>
      <c r="R588" s="300">
        <v>3000000.01</v>
      </c>
      <c r="S588" s="300">
        <v>3500000</v>
      </c>
      <c r="T588" s="287">
        <v>0</v>
      </c>
      <c r="U588" s="287">
        <v>0</v>
      </c>
      <c r="V588" s="287">
        <v>0</v>
      </c>
      <c r="W588" s="287">
        <v>50</v>
      </c>
      <c r="X588" s="287">
        <v>0</v>
      </c>
      <c r="Y588" s="287">
        <v>999</v>
      </c>
      <c r="Z588" s="289">
        <v>700</v>
      </c>
      <c r="AA588" s="289">
        <v>719</v>
      </c>
      <c r="AB588" s="289">
        <v>9</v>
      </c>
      <c r="AC588" s="289">
        <v>999999</v>
      </c>
      <c r="AD588" s="287">
        <v>0</v>
      </c>
      <c r="AE588" s="2105">
        <v>70</v>
      </c>
      <c r="AF588" s="170">
        <v>0</v>
      </c>
      <c r="AG588" s="171">
        <v>1</v>
      </c>
      <c r="AH588" s="171">
        <v>1</v>
      </c>
      <c r="AI588" s="171">
        <v>0</v>
      </c>
      <c r="AJ588" s="171">
        <v>0</v>
      </c>
      <c r="AK588" s="171">
        <v>1</v>
      </c>
      <c r="AL588" s="171">
        <v>0</v>
      </c>
      <c r="AM588" s="171">
        <v>1</v>
      </c>
      <c r="AN588" s="171">
        <v>1</v>
      </c>
      <c r="AO588" s="171">
        <v>1</v>
      </c>
      <c r="AP588" s="171">
        <v>1</v>
      </c>
      <c r="AQ588" s="171">
        <v>1</v>
      </c>
      <c r="AR588" s="171">
        <v>1</v>
      </c>
      <c r="AS588" s="171">
        <v>1</v>
      </c>
      <c r="AT588" s="171">
        <v>1</v>
      </c>
      <c r="AU588" s="171">
        <f t="shared" si="183"/>
        <v>0</v>
      </c>
      <c r="AV588" s="171">
        <f t="shared" si="184"/>
        <v>0</v>
      </c>
      <c r="AW588" s="171">
        <f t="shared" si="185"/>
        <v>1</v>
      </c>
      <c r="AX588" s="171">
        <f t="shared" si="197"/>
        <v>1</v>
      </c>
      <c r="AY588" s="171">
        <f t="shared" si="186"/>
        <v>0</v>
      </c>
      <c r="AZ588" s="171">
        <f t="shared" si="187"/>
        <v>1</v>
      </c>
      <c r="BA588" s="172">
        <f t="shared" si="188"/>
        <v>1</v>
      </c>
      <c r="BB588" s="175">
        <f t="shared" si="261"/>
        <v>15</v>
      </c>
      <c r="BC588" s="176">
        <f t="shared" si="262"/>
        <v>14</v>
      </c>
      <c r="BD588" s="176">
        <f t="shared" si="263"/>
        <v>15</v>
      </c>
      <c r="BE588" s="240" t="str">
        <f t="shared" si="259"/>
        <v/>
      </c>
      <c r="BH588" s="199">
        <f>IF(AND(Input_Product=Elig!$C588,Elig_MatchAll_Ct&lt;22,$BC588=(Elig_MatchAll_Ct-1),AF588=0),C588,0)</f>
        <v>0</v>
      </c>
      <c r="BI588" s="199">
        <f>IF(AND(Input_Product=Elig!$C588,Elig_MatchAll_Ct&lt;22,$BC588=(Elig_MatchAll_Ct-1),AG588=0),D588,0)</f>
        <v>0</v>
      </c>
      <c r="BJ588" s="199">
        <f>IF(AND(Input_Product=Elig!$C588,Elig_MatchAll_Ct&lt;22,$BC588=(Elig_MatchAll_Ct-1),AH588=0),E588,0)</f>
        <v>0</v>
      </c>
      <c r="BK588" s="199">
        <f>IF(AND(Input_Product=Elig!$C588,Elig_MatchAll_Ct&lt;22,$BC588=(Elig_MatchAll_Ct-1),AI588=0),F588,0)</f>
        <v>0</v>
      </c>
      <c r="BL588" s="199">
        <f>IF(AND(Input_Product=Elig!$C588,Elig_MatchAll_Ct&lt;22,$BC588=(Elig_MatchAll_Ct-1),AJ588=0),G588,0)</f>
        <v>0</v>
      </c>
      <c r="BM588" s="199">
        <f>IF(AND(Input_Product=Elig!$C588,Elig_MatchAll_Ct&lt;22,$BC588=(Elig_MatchAll_Ct-1),AK588=0),H588,0)</f>
        <v>0</v>
      </c>
      <c r="BN588" s="199">
        <f>IF(AND(Input_Product=Elig!$C588,Elig_MatchAll_Ct&lt;22,$BC588=(Elig_MatchAll_Ct-1),AL588=0),I588,0)</f>
        <v>0</v>
      </c>
      <c r="BO588" s="199">
        <f>IF(AND(Input_Product=Elig!$C588,Elig_MatchAll_Ct&lt;22,$BC588=(Elig_MatchAll_Ct-1),AM588=0),J588,0)</f>
        <v>0</v>
      </c>
      <c r="BP588" s="199">
        <f>IF(AND(Input_Product=Elig!$C588,Elig_MatchAll_Ct&lt;22,$BC588=(Elig_MatchAll_Ct-1),AN588=0),K588,0)</f>
        <v>0</v>
      </c>
      <c r="BQ588" s="199">
        <f>IF(AND(Input_Product=Elig!$C588,Elig_MatchAll_Ct&lt;22,$BC588=(Elig_MatchAll_Ct-1),AP588=0),L588,0)</f>
        <v>0</v>
      </c>
      <c r="BR588" s="199">
        <f>IF(AND(Input_Product=Elig!$C588,Elig_MatchAll_Ct&lt;22,$BC588=(Elig_MatchAll_Ct-1),AO588=0),M588,0)</f>
        <v>0</v>
      </c>
      <c r="BS588" s="199">
        <f>IF(AND(Input_Product=Elig!$C588,Elig_MatchAll_Ct&lt;22,$BC588=(Elig_MatchAll_Ct-1),AQ588=0),N588,0)</f>
        <v>0</v>
      </c>
      <c r="BT588" s="199">
        <f>IF(AND(Input_Product=Elig!$C588,Elig_MatchAll_Ct&lt;22,$BC588=(Elig_MatchAll_Ct-1),AR588=0),O588,0)</f>
        <v>0</v>
      </c>
      <c r="BU588" s="199">
        <f>IF(AND(Input_Product=Elig!$C588,Elig_MatchAll_Ct&lt;22,$BC588=(Elig_MatchAll_Ct-1),AS588=0),P588,0)</f>
        <v>0</v>
      </c>
      <c r="BV588" s="200">
        <f>IF(AND(Input_Product=Elig!$C588,Elig_MatchAll_Ct&lt;22,$BC588=(Elig_MatchAll_Ct-1),AT588=0),Q588,0)</f>
        <v>0</v>
      </c>
      <c r="BW588" s="201">
        <f>IF(AND(Input_Product=Elig!$C588,Elig_MatchAll_Ct&lt;22,$BC588=(Elig_MatchAll_Ct-1),AU588=0),R588,0)</f>
        <v>0</v>
      </c>
      <c r="BX588" s="202">
        <f>IF(AND(Input_Product=Elig!$C588,Elig_MatchAll_Ct&lt;22,$BC588=(Elig_MatchAll_Ct-1),AU588=0),S588,0)</f>
        <v>0</v>
      </c>
      <c r="BY588" s="201">
        <f>IF(AND(Input_Product=Elig!$C588,Elig_MatchAll_Ct&lt;22,$BC588=(Elig_MatchAll_Ct-1),AV588=0),T588,0)</f>
        <v>0</v>
      </c>
      <c r="BZ588" s="202">
        <f>IF(AND(Input_Product=Elig!$C588,Elig_MatchAll_Ct&lt;22,$BC588=(Elig_MatchAll_Ct-1),AV588=0),U588,0)</f>
        <v>0</v>
      </c>
      <c r="CA588" s="201">
        <f>IF(AND(Input_Product=Elig!$C588,Elig_MatchAll_Ct&lt;22,$BC588=(Elig_MatchAll_Ct-1),AW588=0),V588,0)</f>
        <v>0</v>
      </c>
      <c r="CB588" s="202">
        <f>IF(AND(Input_Product=Elig!$C588,Elig_MatchAll_Ct&lt;22,$BC588=(Elig_MatchAll_Ct-1),AW588=0),W588,0)</f>
        <v>0</v>
      </c>
      <c r="CC588" s="201">
        <f>IF(AND(Input_Product=Elig!$C588,Elig_MatchAll_Ct&lt;22,$BC588=(Elig_MatchAll_Ct-1),AX588=0),X588,0)</f>
        <v>0</v>
      </c>
      <c r="CD588" s="202">
        <f>IF(AND(Input_Product=Elig!$C588,Elig_MatchAll_Ct&lt;22,$BC588=(Elig_MatchAll_Ct-1),AX588=0),Y588,0)</f>
        <v>0</v>
      </c>
      <c r="CE588" s="201">
        <f>IF(AND(Input_LTV&lt;=AE588,Input_Product=Elig!$C588,Elig_MatchAll_Ct&lt;22,$BC588=(Elig_MatchAll_Ct-1),AY588=0),Z588,0)</f>
        <v>0</v>
      </c>
      <c r="CF588" s="202">
        <f>IF(AND(Input_LTV&lt;=AE588,Input_Product=Elig!$C588,Elig_MatchAll_Ct&lt;22,$BC588=(Elig_MatchAll_Ct-1),AY588=0),AA588,0)</f>
        <v>0</v>
      </c>
      <c r="CG588" s="201">
        <f>IF(AND(Input_Product=Elig!$C588,Elig_MatchAll_Ct&lt;22,$BC588=(Elig_MatchAll_Ct-1),AZ588=0),AB588,0)</f>
        <v>0</v>
      </c>
      <c r="CH588" s="202">
        <f>IF(AND(Input_Product=Elig!$C588,Elig_MatchAll_Ct&lt;22,$BC588=(Elig_MatchAll_Ct-1),AZ588=0),AC588,0)</f>
        <v>0</v>
      </c>
      <c r="CI588" s="201">
        <f>IF(AND(Input_Product=Elig!$C588,Elig_MatchAll_Ct&lt;22,$BC588=(Elig_MatchAll_Ct-1),BA588=0),AD588,0)</f>
        <v>0</v>
      </c>
      <c r="CJ588" s="202">
        <f>IF(AND(Input_Product=Elig!$C588,Elig_MatchAll_Ct&lt;22,$BC588=(Elig_MatchAll_Ct-1),BA588=0),AE588,0)</f>
        <v>0</v>
      </c>
    </row>
    <row r="589" spans="2:88" ht="10.15" customHeight="1" x14ac:dyDescent="0.25">
      <c r="B589" s="287" t="s">
        <v>4147</v>
      </c>
      <c r="C589" s="281" t="str">
        <f t="shared" si="241"/>
        <v>NonQM NOO</v>
      </c>
      <c r="D589" s="282" t="s">
        <v>3885</v>
      </c>
      <c r="E589" s="283" t="s">
        <v>167</v>
      </c>
      <c r="F589" s="283" t="s">
        <v>330</v>
      </c>
      <c r="G589" s="2103" t="s">
        <v>468</v>
      </c>
      <c r="H589" s="283" t="s">
        <v>136</v>
      </c>
      <c r="I589" s="282" t="s">
        <v>16</v>
      </c>
      <c r="J589" s="282" t="s">
        <v>1311</v>
      </c>
      <c r="K589" s="282" t="s">
        <v>1631</v>
      </c>
      <c r="L589" s="2103" t="s">
        <v>312</v>
      </c>
      <c r="M589" s="283" t="s">
        <v>4203</v>
      </c>
      <c r="N589" s="283" t="s">
        <v>2685</v>
      </c>
      <c r="O589" s="283" t="s">
        <v>310</v>
      </c>
      <c r="P589" s="283" t="s">
        <v>291</v>
      </c>
      <c r="Q589" s="283" t="s">
        <v>294</v>
      </c>
      <c r="R589" s="323">
        <v>3000000.01</v>
      </c>
      <c r="S589" s="323">
        <v>3500000</v>
      </c>
      <c r="T589" s="282">
        <v>0</v>
      </c>
      <c r="U589" s="282">
        <f t="shared" ref="U589:U590" si="264">S589</f>
        <v>3500000</v>
      </c>
      <c r="V589" s="282">
        <v>0</v>
      </c>
      <c r="W589" s="282">
        <v>50</v>
      </c>
      <c r="X589" s="282">
        <v>0</v>
      </c>
      <c r="Y589" s="282">
        <v>999</v>
      </c>
      <c r="Z589" s="284">
        <v>720</v>
      </c>
      <c r="AA589" s="284">
        <v>999</v>
      </c>
      <c r="AB589" s="284">
        <v>9</v>
      </c>
      <c r="AC589" s="284">
        <v>999999</v>
      </c>
      <c r="AD589" s="282">
        <v>0</v>
      </c>
      <c r="AE589" s="2104">
        <v>55</v>
      </c>
      <c r="AF589" s="170">
        <v>0</v>
      </c>
      <c r="AG589" s="171">
        <v>1</v>
      </c>
      <c r="AH589" s="171">
        <v>1</v>
      </c>
      <c r="AI589" s="171">
        <v>0</v>
      </c>
      <c r="AJ589" s="171">
        <v>0</v>
      </c>
      <c r="AK589" s="171">
        <v>1</v>
      </c>
      <c r="AL589" s="171">
        <v>1</v>
      </c>
      <c r="AM589" s="171">
        <v>1</v>
      </c>
      <c r="AN589" s="171">
        <v>1</v>
      </c>
      <c r="AO589" s="171">
        <v>1</v>
      </c>
      <c r="AP589" s="171">
        <v>1</v>
      </c>
      <c r="AQ589" s="171">
        <v>1</v>
      </c>
      <c r="AR589" s="171">
        <v>1</v>
      </c>
      <c r="AS589" s="171">
        <v>1</v>
      </c>
      <c r="AT589" s="171">
        <v>1</v>
      </c>
      <c r="AU589" s="171">
        <f t="shared" si="183"/>
        <v>0</v>
      </c>
      <c r="AV589" s="171">
        <f t="shared" si="184"/>
        <v>1</v>
      </c>
      <c r="AW589" s="171">
        <f t="shared" si="185"/>
        <v>1</v>
      </c>
      <c r="AX589" s="171">
        <f t="shared" si="197"/>
        <v>1</v>
      </c>
      <c r="AY589" s="171">
        <f t="shared" si="186"/>
        <v>1</v>
      </c>
      <c r="AZ589" s="171">
        <f t="shared" si="187"/>
        <v>1</v>
      </c>
      <c r="BA589" s="172">
        <f t="shared" si="188"/>
        <v>0</v>
      </c>
      <c r="BB589" s="175">
        <f t="shared" si="261"/>
        <v>17</v>
      </c>
      <c r="BC589" s="176">
        <f t="shared" si="262"/>
        <v>17</v>
      </c>
      <c r="BD589" s="176">
        <f t="shared" si="263"/>
        <v>17</v>
      </c>
      <c r="BE589" s="240" t="str">
        <f t="shared" si="259"/>
        <v/>
      </c>
      <c r="BH589" s="210">
        <f>IF(AND(Input_Product=Elig!$C589,Elig_MatchAll_Ct&lt;22,$BC589=(Elig_MatchAll_Ct-1),AF589=0),C589,0)</f>
        <v>0</v>
      </c>
      <c r="BI589" s="210">
        <f>IF(AND(Input_Product=Elig!$C589,Elig_MatchAll_Ct&lt;22,$BC589=(Elig_MatchAll_Ct-1),AG589=0),D589,0)</f>
        <v>0</v>
      </c>
      <c r="BJ589" s="210">
        <f>IF(AND(Input_Product=Elig!$C589,Elig_MatchAll_Ct&lt;22,$BC589=(Elig_MatchAll_Ct-1),AH589=0),E589,0)</f>
        <v>0</v>
      </c>
      <c r="BK589" s="210">
        <f>IF(AND(Input_Product=Elig!$C589,Elig_MatchAll_Ct&lt;22,$BC589=(Elig_MatchAll_Ct-1),AI589=0),F589,0)</f>
        <v>0</v>
      </c>
      <c r="BL589" s="210">
        <f>IF(AND(Input_Product=Elig!$C589,Elig_MatchAll_Ct&lt;22,$BC589=(Elig_MatchAll_Ct-1),AJ589=0),G589,0)</f>
        <v>0</v>
      </c>
      <c r="BM589" s="210">
        <f>IF(AND(Input_Product=Elig!$C589,Elig_MatchAll_Ct&lt;22,$BC589=(Elig_MatchAll_Ct-1),AK589=0),H589,0)</f>
        <v>0</v>
      </c>
      <c r="BN589" s="210">
        <f>IF(AND(Input_Product=Elig!$C589,Elig_MatchAll_Ct&lt;22,$BC589=(Elig_MatchAll_Ct-1),AL589=0),I589,0)</f>
        <v>0</v>
      </c>
      <c r="BO589" s="210">
        <f>IF(AND(Input_Product=Elig!$C589,Elig_MatchAll_Ct&lt;22,$BC589=(Elig_MatchAll_Ct-1),AM589=0),J589,0)</f>
        <v>0</v>
      </c>
      <c r="BP589" s="210">
        <f>IF(AND(Input_Product=Elig!$C589,Elig_MatchAll_Ct&lt;22,$BC589=(Elig_MatchAll_Ct-1),AN589=0),K589,0)</f>
        <v>0</v>
      </c>
      <c r="BQ589" s="210">
        <f>IF(AND(Input_Product=Elig!$C589,Elig_MatchAll_Ct&lt;22,$BC589=(Elig_MatchAll_Ct-1),AP589=0),L589,0)</f>
        <v>0</v>
      </c>
      <c r="BR589" s="210">
        <f>IF(AND(Input_Product=Elig!$C589,Elig_MatchAll_Ct&lt;22,$BC589=(Elig_MatchAll_Ct-1),AO589=0),M589,0)</f>
        <v>0</v>
      </c>
      <c r="BS589" s="210">
        <f>IF(AND(Input_Product=Elig!$C589,Elig_MatchAll_Ct&lt;22,$BC589=(Elig_MatchAll_Ct-1),AQ589=0),N589,0)</f>
        <v>0</v>
      </c>
      <c r="BT589" s="210">
        <f>IF(AND(Input_Product=Elig!$C589,Elig_MatchAll_Ct&lt;22,$BC589=(Elig_MatchAll_Ct-1),AR589=0),O589,0)</f>
        <v>0</v>
      </c>
      <c r="BU589" s="210">
        <f>IF(AND(Input_Product=Elig!$C589,Elig_MatchAll_Ct&lt;22,$BC589=(Elig_MatchAll_Ct-1),AS589=0),P589,0)</f>
        <v>0</v>
      </c>
      <c r="BV589" s="211">
        <f>IF(AND(Input_Product=Elig!$C589,Elig_MatchAll_Ct&lt;22,$BC589=(Elig_MatchAll_Ct-1),AT589=0),Q589,0)</f>
        <v>0</v>
      </c>
      <c r="BW589" s="212">
        <f>IF(AND(Input_Product=Elig!$C589,Elig_MatchAll_Ct&lt;22,$BC589=(Elig_MatchAll_Ct-1),AU589=0),R589,0)</f>
        <v>0</v>
      </c>
      <c r="BX589" s="213">
        <f>IF(AND(Input_Product=Elig!$C589,Elig_MatchAll_Ct&lt;22,$BC589=(Elig_MatchAll_Ct-1),AU589=0),S589,0)</f>
        <v>0</v>
      </c>
      <c r="BY589" s="212">
        <f>IF(AND(Input_Product=Elig!$C589,Elig_MatchAll_Ct&lt;22,$BC589=(Elig_MatchAll_Ct-1),AV589=0),T589,0)</f>
        <v>0</v>
      </c>
      <c r="BZ589" s="213">
        <f>IF(AND(Input_Product=Elig!$C589,Elig_MatchAll_Ct&lt;22,$BC589=(Elig_MatchAll_Ct-1),AV589=0),U589,0)</f>
        <v>0</v>
      </c>
      <c r="CA589" s="212">
        <f>IF(AND(Input_Product=Elig!$C589,Elig_MatchAll_Ct&lt;22,$BC589=(Elig_MatchAll_Ct-1),AW589=0),V589,0)</f>
        <v>0</v>
      </c>
      <c r="CB589" s="213">
        <f>IF(AND(Input_Product=Elig!$C589,Elig_MatchAll_Ct&lt;22,$BC589=(Elig_MatchAll_Ct-1),AW589=0),W589,0)</f>
        <v>0</v>
      </c>
      <c r="CC589" s="212">
        <f>IF(AND(Input_Product=Elig!$C589,Elig_MatchAll_Ct&lt;22,$BC589=(Elig_MatchAll_Ct-1),AX589=0),X589,0)</f>
        <v>0</v>
      </c>
      <c r="CD589" s="213">
        <f>IF(AND(Input_Product=Elig!$C589,Elig_MatchAll_Ct&lt;22,$BC589=(Elig_MatchAll_Ct-1),AX589=0),Y589,0)</f>
        <v>0</v>
      </c>
      <c r="CE589" s="212">
        <f>IF(AND(Input_LTV&lt;=AE589,Input_Product=Elig!$C589,Elig_MatchAll_Ct&lt;22,$BC589=(Elig_MatchAll_Ct-1),AY589=0),Z589,0)</f>
        <v>0</v>
      </c>
      <c r="CF589" s="213">
        <f>IF(AND(Input_LTV&lt;=AE589,Input_Product=Elig!$C589,Elig_MatchAll_Ct&lt;22,$BC589=(Elig_MatchAll_Ct-1),AY589=0),AA589,0)</f>
        <v>0</v>
      </c>
      <c r="CG589" s="212">
        <f>IF(AND(Input_Product=Elig!$C589,Elig_MatchAll_Ct&lt;22,$BC589=(Elig_MatchAll_Ct-1),AZ589=0),AB589,0)</f>
        <v>0</v>
      </c>
      <c r="CH589" s="213">
        <f>IF(AND(Input_Product=Elig!$C589,Elig_MatchAll_Ct&lt;22,$BC589=(Elig_MatchAll_Ct-1),AZ589=0),AC589,0)</f>
        <v>0</v>
      </c>
      <c r="CI589" s="212">
        <f>IF(AND(Input_Product=Elig!$C589,Elig_MatchAll_Ct&lt;22,$BC589=(Elig_MatchAll_Ct-1),BA589=0),AD589,0)</f>
        <v>0</v>
      </c>
      <c r="CJ589" s="213">
        <f>IF(AND(Input_Product=Elig!$C589,Elig_MatchAll_Ct&lt;22,$BC589=(Elig_MatchAll_Ct-1),BA589=0),AE589,0)</f>
        <v>0</v>
      </c>
    </row>
    <row r="590" spans="2:88" ht="10.15" customHeight="1" x14ac:dyDescent="0.25">
      <c r="B590" s="287" t="s">
        <v>4148</v>
      </c>
      <c r="C590" s="286" t="str">
        <f t="shared" si="241"/>
        <v>NonQM NOO</v>
      </c>
      <c r="D590" s="287" t="s">
        <v>3885</v>
      </c>
      <c r="E590" s="287" t="s">
        <v>167</v>
      </c>
      <c r="F590" s="287" t="s">
        <v>330</v>
      </c>
      <c r="G590" s="300" t="s">
        <v>468</v>
      </c>
      <c r="H590" s="287" t="s">
        <v>136</v>
      </c>
      <c r="I590" s="288" t="s">
        <v>16</v>
      </c>
      <c r="J590" s="288" t="s">
        <v>1311</v>
      </c>
      <c r="K590" s="288" t="s">
        <v>1631</v>
      </c>
      <c r="L590" s="300" t="s">
        <v>312</v>
      </c>
      <c r="M590" s="287" t="s">
        <v>4203</v>
      </c>
      <c r="N590" s="287" t="s">
        <v>2685</v>
      </c>
      <c r="O590" s="287" t="s">
        <v>310</v>
      </c>
      <c r="P590" s="287" t="s">
        <v>291</v>
      </c>
      <c r="Q590" s="287" t="s">
        <v>294</v>
      </c>
      <c r="R590" s="300">
        <v>3000000.01</v>
      </c>
      <c r="S590" s="300">
        <v>3500000</v>
      </c>
      <c r="T590" s="287">
        <v>0</v>
      </c>
      <c r="U590" s="287">
        <f t="shared" si="264"/>
        <v>3500000</v>
      </c>
      <c r="V590" s="287">
        <v>0</v>
      </c>
      <c r="W590" s="287">
        <v>50</v>
      </c>
      <c r="X590" s="287">
        <v>0</v>
      </c>
      <c r="Y590" s="287">
        <v>999</v>
      </c>
      <c r="Z590" s="289">
        <v>700</v>
      </c>
      <c r="AA590" s="289">
        <v>719</v>
      </c>
      <c r="AB590" s="289">
        <v>9</v>
      </c>
      <c r="AC590" s="289">
        <v>999999</v>
      </c>
      <c r="AD590" s="287">
        <v>0</v>
      </c>
      <c r="AE590" s="2105">
        <v>55</v>
      </c>
      <c r="AF590" s="170">
        <v>0</v>
      </c>
      <c r="AG590" s="171">
        <v>1</v>
      </c>
      <c r="AH590" s="171">
        <v>1</v>
      </c>
      <c r="AI590" s="171">
        <v>0</v>
      </c>
      <c r="AJ590" s="171">
        <v>0</v>
      </c>
      <c r="AK590" s="171">
        <v>1</v>
      </c>
      <c r="AL590" s="171">
        <v>1</v>
      </c>
      <c r="AM590" s="171">
        <v>1</v>
      </c>
      <c r="AN590" s="171">
        <v>1</v>
      </c>
      <c r="AO590" s="171">
        <v>1</v>
      </c>
      <c r="AP590" s="171">
        <v>1</v>
      </c>
      <c r="AQ590" s="171">
        <v>1</v>
      </c>
      <c r="AR590" s="171">
        <v>1</v>
      </c>
      <c r="AS590" s="171">
        <v>1</v>
      </c>
      <c r="AT590" s="171">
        <v>1</v>
      </c>
      <c r="AU590" s="171">
        <f t="shared" si="183"/>
        <v>0</v>
      </c>
      <c r="AV590" s="171">
        <f t="shared" si="184"/>
        <v>1</v>
      </c>
      <c r="AW590" s="171">
        <f t="shared" si="185"/>
        <v>1</v>
      </c>
      <c r="AX590" s="171">
        <f t="shared" si="197"/>
        <v>1</v>
      </c>
      <c r="AY590" s="171">
        <f t="shared" si="186"/>
        <v>0</v>
      </c>
      <c r="AZ590" s="171">
        <f t="shared" si="187"/>
        <v>1</v>
      </c>
      <c r="BA590" s="172">
        <f t="shared" si="188"/>
        <v>0</v>
      </c>
      <c r="BB590" s="175">
        <f t="shared" si="261"/>
        <v>16</v>
      </c>
      <c r="BC590" s="176">
        <f t="shared" si="262"/>
        <v>16</v>
      </c>
      <c r="BD590" s="176">
        <f t="shared" si="263"/>
        <v>16</v>
      </c>
      <c r="BE590" s="240" t="str">
        <f t="shared" si="259"/>
        <v/>
      </c>
      <c r="BH590" s="199">
        <f>IF(AND(Input_Product=Elig!$C590,Elig_MatchAll_Ct&lt;22,$BC590=(Elig_MatchAll_Ct-1),AF590=0),C590,0)</f>
        <v>0</v>
      </c>
      <c r="BI590" s="199">
        <f>IF(AND(Input_Product=Elig!$C590,Elig_MatchAll_Ct&lt;22,$BC590=(Elig_MatchAll_Ct-1),AG590=0),D590,0)</f>
        <v>0</v>
      </c>
      <c r="BJ590" s="199">
        <f>IF(AND(Input_Product=Elig!$C590,Elig_MatchAll_Ct&lt;22,$BC590=(Elig_MatchAll_Ct-1),AH590=0),E590,0)</f>
        <v>0</v>
      </c>
      <c r="BK590" s="199">
        <f>IF(AND(Input_Product=Elig!$C590,Elig_MatchAll_Ct&lt;22,$BC590=(Elig_MatchAll_Ct-1),AI590=0),F590,0)</f>
        <v>0</v>
      </c>
      <c r="BL590" s="199">
        <f>IF(AND(Input_Product=Elig!$C590,Elig_MatchAll_Ct&lt;22,$BC590=(Elig_MatchAll_Ct-1),AJ590=0),G590,0)</f>
        <v>0</v>
      </c>
      <c r="BM590" s="199">
        <f>IF(AND(Input_Product=Elig!$C590,Elig_MatchAll_Ct&lt;22,$BC590=(Elig_MatchAll_Ct-1),AK590=0),H590,0)</f>
        <v>0</v>
      </c>
      <c r="BN590" s="199">
        <f>IF(AND(Input_Product=Elig!$C590,Elig_MatchAll_Ct&lt;22,$BC590=(Elig_MatchAll_Ct-1),AL590=0),I590,0)</f>
        <v>0</v>
      </c>
      <c r="BO590" s="199">
        <f>IF(AND(Input_Product=Elig!$C590,Elig_MatchAll_Ct&lt;22,$BC590=(Elig_MatchAll_Ct-1),AM590=0),J590,0)</f>
        <v>0</v>
      </c>
      <c r="BP590" s="199">
        <f>IF(AND(Input_Product=Elig!$C590,Elig_MatchAll_Ct&lt;22,$BC590=(Elig_MatchAll_Ct-1),AN590=0),K590,0)</f>
        <v>0</v>
      </c>
      <c r="BQ590" s="199">
        <f>IF(AND(Input_Product=Elig!$C590,Elig_MatchAll_Ct&lt;22,$BC590=(Elig_MatchAll_Ct-1),AP590=0),L590,0)</f>
        <v>0</v>
      </c>
      <c r="BR590" s="199">
        <f>IF(AND(Input_Product=Elig!$C590,Elig_MatchAll_Ct&lt;22,$BC590=(Elig_MatchAll_Ct-1),AO590=0),M590,0)</f>
        <v>0</v>
      </c>
      <c r="BS590" s="199">
        <f>IF(AND(Input_Product=Elig!$C590,Elig_MatchAll_Ct&lt;22,$BC590=(Elig_MatchAll_Ct-1),AQ590=0),N590,0)</f>
        <v>0</v>
      </c>
      <c r="BT590" s="199">
        <f>IF(AND(Input_Product=Elig!$C590,Elig_MatchAll_Ct&lt;22,$BC590=(Elig_MatchAll_Ct-1),AR590=0),O590,0)</f>
        <v>0</v>
      </c>
      <c r="BU590" s="199">
        <f>IF(AND(Input_Product=Elig!$C590,Elig_MatchAll_Ct&lt;22,$BC590=(Elig_MatchAll_Ct-1),AS590=0),P590,0)</f>
        <v>0</v>
      </c>
      <c r="BV590" s="200">
        <f>IF(AND(Input_Product=Elig!$C590,Elig_MatchAll_Ct&lt;22,$BC590=(Elig_MatchAll_Ct-1),AT590=0),Q590,0)</f>
        <v>0</v>
      </c>
      <c r="BW590" s="201">
        <f>IF(AND(Input_Product=Elig!$C590,Elig_MatchAll_Ct&lt;22,$BC590=(Elig_MatchAll_Ct-1),AU590=0),R590,0)</f>
        <v>0</v>
      </c>
      <c r="BX590" s="202">
        <f>IF(AND(Input_Product=Elig!$C590,Elig_MatchAll_Ct&lt;22,$BC590=(Elig_MatchAll_Ct-1),AU590=0),S590,0)</f>
        <v>0</v>
      </c>
      <c r="BY590" s="201">
        <f>IF(AND(Input_Product=Elig!$C590,Elig_MatchAll_Ct&lt;22,$BC590=(Elig_MatchAll_Ct-1),AV590=0),T590,0)</f>
        <v>0</v>
      </c>
      <c r="BZ590" s="202">
        <f>IF(AND(Input_Product=Elig!$C590,Elig_MatchAll_Ct&lt;22,$BC590=(Elig_MatchAll_Ct-1),AV590=0),U590,0)</f>
        <v>0</v>
      </c>
      <c r="CA590" s="201">
        <f>IF(AND(Input_Product=Elig!$C590,Elig_MatchAll_Ct&lt;22,$BC590=(Elig_MatchAll_Ct-1),AW590=0),V590,0)</f>
        <v>0</v>
      </c>
      <c r="CB590" s="202">
        <f>IF(AND(Input_Product=Elig!$C590,Elig_MatchAll_Ct&lt;22,$BC590=(Elig_MatchAll_Ct-1),AW590=0),W590,0)</f>
        <v>0</v>
      </c>
      <c r="CC590" s="201">
        <f>IF(AND(Input_Product=Elig!$C590,Elig_MatchAll_Ct&lt;22,$BC590=(Elig_MatchAll_Ct-1),AX590=0),X590,0)</f>
        <v>0</v>
      </c>
      <c r="CD590" s="202">
        <f>IF(AND(Input_Product=Elig!$C590,Elig_MatchAll_Ct&lt;22,$BC590=(Elig_MatchAll_Ct-1),AX590=0),Y590,0)</f>
        <v>0</v>
      </c>
      <c r="CE590" s="201">
        <f>IF(AND(Input_LTV&lt;=AE590,Input_Product=Elig!$C590,Elig_MatchAll_Ct&lt;22,$BC590=(Elig_MatchAll_Ct-1),AY590=0),Z590,0)</f>
        <v>0</v>
      </c>
      <c r="CF590" s="202">
        <f>IF(AND(Input_LTV&lt;=AE590,Input_Product=Elig!$C590,Elig_MatchAll_Ct&lt;22,$BC590=(Elig_MatchAll_Ct-1),AY590=0),AA590,0)</f>
        <v>0</v>
      </c>
      <c r="CG590" s="201">
        <f>IF(AND(Input_Product=Elig!$C590,Elig_MatchAll_Ct&lt;22,$BC590=(Elig_MatchAll_Ct-1),AZ590=0),AB590,0)</f>
        <v>0</v>
      </c>
      <c r="CH590" s="202">
        <f>IF(AND(Input_Product=Elig!$C590,Elig_MatchAll_Ct&lt;22,$BC590=(Elig_MatchAll_Ct-1),AZ590=0),AC590,0)</f>
        <v>0</v>
      </c>
      <c r="CI590" s="201">
        <f>IF(AND(Input_Product=Elig!$C590,Elig_MatchAll_Ct&lt;22,$BC590=(Elig_MatchAll_Ct-1),BA590=0),AD590,0)</f>
        <v>0</v>
      </c>
      <c r="CJ590" s="202">
        <f>IF(AND(Input_Product=Elig!$C590,Elig_MatchAll_Ct&lt;22,$BC590=(Elig_MatchAll_Ct-1),BA590=0),AE590,0)</f>
        <v>0</v>
      </c>
    </row>
    <row r="591" spans="2:88" ht="10.15" customHeight="1" x14ac:dyDescent="0.25">
      <c r="B591" s="287" t="s">
        <v>4149</v>
      </c>
      <c r="C591" s="281" t="str">
        <f t="shared" si="241"/>
        <v>NonQM NOO</v>
      </c>
      <c r="D591" s="282" t="s">
        <v>3885</v>
      </c>
      <c r="E591" s="283" t="s">
        <v>167</v>
      </c>
      <c r="F591" s="283" t="s">
        <v>330</v>
      </c>
      <c r="G591" s="283" t="s">
        <v>181</v>
      </c>
      <c r="H591" s="283" t="s">
        <v>136</v>
      </c>
      <c r="I591" s="282" t="s">
        <v>274</v>
      </c>
      <c r="J591" s="282" t="s">
        <v>1311</v>
      </c>
      <c r="K591" s="282" t="s">
        <v>1631</v>
      </c>
      <c r="L591" s="2103" t="s">
        <v>312</v>
      </c>
      <c r="M591" s="283" t="s">
        <v>4203</v>
      </c>
      <c r="N591" s="283" t="s">
        <v>2685</v>
      </c>
      <c r="O591" s="283" t="s">
        <v>310</v>
      </c>
      <c r="P591" s="283" t="s">
        <v>291</v>
      </c>
      <c r="Q591" s="283" t="s">
        <v>294</v>
      </c>
      <c r="R591" s="323">
        <v>3000000.01</v>
      </c>
      <c r="S591" s="323">
        <v>3500000</v>
      </c>
      <c r="T591" s="282">
        <v>0</v>
      </c>
      <c r="U591" s="282">
        <v>0</v>
      </c>
      <c r="V591" s="282">
        <v>0</v>
      </c>
      <c r="W591" s="282">
        <v>50</v>
      </c>
      <c r="X591" s="282">
        <v>0.75</v>
      </c>
      <c r="Y591" s="282">
        <v>999</v>
      </c>
      <c r="Z591" s="284">
        <v>720</v>
      </c>
      <c r="AA591" s="284">
        <v>999</v>
      </c>
      <c r="AB591" s="284">
        <v>9</v>
      </c>
      <c r="AC591" s="284">
        <v>999999</v>
      </c>
      <c r="AD591" s="282">
        <v>0</v>
      </c>
      <c r="AE591" s="2104">
        <v>70</v>
      </c>
      <c r="AF591" s="170">
        <v>0</v>
      </c>
      <c r="AG591" s="171">
        <v>1</v>
      </c>
      <c r="AH591" s="171">
        <v>1</v>
      </c>
      <c r="AI591" s="171">
        <v>0</v>
      </c>
      <c r="AJ591" s="171">
        <v>0</v>
      </c>
      <c r="AK591" s="171">
        <v>1</v>
      </c>
      <c r="AL591" s="171">
        <v>0</v>
      </c>
      <c r="AM591" s="171">
        <v>1</v>
      </c>
      <c r="AN591" s="171">
        <v>1</v>
      </c>
      <c r="AO591" s="171">
        <v>1</v>
      </c>
      <c r="AP591" s="171">
        <v>1</v>
      </c>
      <c r="AQ591" s="171">
        <v>1</v>
      </c>
      <c r="AR591" s="171">
        <v>1</v>
      </c>
      <c r="AS591" s="171">
        <v>1</v>
      </c>
      <c r="AT591" s="171">
        <v>1</v>
      </c>
      <c r="AU591" s="171">
        <f t="shared" si="183"/>
        <v>0</v>
      </c>
      <c r="AV591" s="171">
        <f t="shared" si="184"/>
        <v>0</v>
      </c>
      <c r="AW591" s="171">
        <f t="shared" si="185"/>
        <v>1</v>
      </c>
      <c r="AX591" s="171">
        <f t="shared" si="197"/>
        <v>0</v>
      </c>
      <c r="AY591" s="171">
        <f t="shared" si="186"/>
        <v>1</v>
      </c>
      <c r="AZ591" s="171">
        <f t="shared" si="187"/>
        <v>1</v>
      </c>
      <c r="BA591" s="172">
        <f t="shared" si="188"/>
        <v>1</v>
      </c>
      <c r="BB591" s="175">
        <f t="shared" si="255"/>
        <v>15</v>
      </c>
      <c r="BC591" s="176">
        <f t="shared" si="256"/>
        <v>14</v>
      </c>
      <c r="BD591" s="176">
        <f t="shared" si="257"/>
        <v>15</v>
      </c>
      <c r="BE591" s="240" t="str">
        <f t="shared" si="259"/>
        <v/>
      </c>
      <c r="BH591" s="210">
        <f>IF(AND(Input_Product=Elig!$C591,Elig_MatchAll_Ct&lt;22,$BC591=(Elig_MatchAll_Ct-1),AF591=0),C591,0)</f>
        <v>0</v>
      </c>
      <c r="BI591" s="210">
        <f>IF(AND(Input_Product=Elig!$C591,Elig_MatchAll_Ct&lt;22,$BC591=(Elig_MatchAll_Ct-1),AG591=0),D591,0)</f>
        <v>0</v>
      </c>
      <c r="BJ591" s="210">
        <f>IF(AND(Input_Product=Elig!$C591,Elig_MatchAll_Ct&lt;22,$BC591=(Elig_MatchAll_Ct-1),AH591=0),E591,0)</f>
        <v>0</v>
      </c>
      <c r="BK591" s="210">
        <f>IF(AND(Input_Product=Elig!$C591,Elig_MatchAll_Ct&lt;22,$BC591=(Elig_MatchAll_Ct-1),AI591=0),F591,0)</f>
        <v>0</v>
      </c>
      <c r="BL591" s="210">
        <f>IF(AND(Input_Product=Elig!$C591,Elig_MatchAll_Ct&lt;22,$BC591=(Elig_MatchAll_Ct-1),AJ591=0),G591,0)</f>
        <v>0</v>
      </c>
      <c r="BM591" s="210">
        <f>IF(AND(Input_Product=Elig!$C591,Elig_MatchAll_Ct&lt;22,$BC591=(Elig_MatchAll_Ct-1),AK591=0),H591,0)</f>
        <v>0</v>
      </c>
      <c r="BN591" s="210">
        <f>IF(AND(Input_Product=Elig!$C591,Elig_MatchAll_Ct&lt;22,$BC591=(Elig_MatchAll_Ct-1),AL591=0),I591,0)</f>
        <v>0</v>
      </c>
      <c r="BO591" s="210">
        <f>IF(AND(Input_Product=Elig!$C591,Elig_MatchAll_Ct&lt;22,$BC591=(Elig_MatchAll_Ct-1),AM591=0),J591,0)</f>
        <v>0</v>
      </c>
      <c r="BP591" s="210">
        <f>IF(AND(Input_Product=Elig!$C591,Elig_MatchAll_Ct&lt;22,$BC591=(Elig_MatchAll_Ct-1),AN591=0),K591,0)</f>
        <v>0</v>
      </c>
      <c r="BQ591" s="210">
        <f>IF(AND(Input_Product=Elig!$C591,Elig_MatchAll_Ct&lt;22,$BC591=(Elig_MatchAll_Ct-1),AP591=0),L591,0)</f>
        <v>0</v>
      </c>
      <c r="BR591" s="210">
        <f>IF(AND(Input_Product=Elig!$C591,Elig_MatchAll_Ct&lt;22,$BC591=(Elig_MatchAll_Ct-1),AO591=0),M591,0)</f>
        <v>0</v>
      </c>
      <c r="BS591" s="210">
        <f>IF(AND(Input_Product=Elig!$C591,Elig_MatchAll_Ct&lt;22,$BC591=(Elig_MatchAll_Ct-1),AQ591=0),N591,0)</f>
        <v>0</v>
      </c>
      <c r="BT591" s="210">
        <f>IF(AND(Input_Product=Elig!$C591,Elig_MatchAll_Ct&lt;22,$BC591=(Elig_MatchAll_Ct-1),AR591=0),O591,0)</f>
        <v>0</v>
      </c>
      <c r="BU591" s="210">
        <f>IF(AND(Input_Product=Elig!$C591,Elig_MatchAll_Ct&lt;22,$BC591=(Elig_MatchAll_Ct-1),AS591=0),P591,0)</f>
        <v>0</v>
      </c>
      <c r="BV591" s="211">
        <f>IF(AND(Input_Product=Elig!$C591,Elig_MatchAll_Ct&lt;22,$BC591=(Elig_MatchAll_Ct-1),AT591=0),Q591,0)</f>
        <v>0</v>
      </c>
      <c r="BW591" s="212">
        <f>IF(AND(Input_Product=Elig!$C591,Elig_MatchAll_Ct&lt;22,$BC591=(Elig_MatchAll_Ct-1),AU591=0),R591,0)</f>
        <v>0</v>
      </c>
      <c r="BX591" s="213">
        <f>IF(AND(Input_Product=Elig!$C591,Elig_MatchAll_Ct&lt;22,$BC591=(Elig_MatchAll_Ct-1),AU591=0),S591,0)</f>
        <v>0</v>
      </c>
      <c r="BY591" s="212">
        <f>IF(AND(Input_Product=Elig!$C591,Elig_MatchAll_Ct&lt;22,$BC591=(Elig_MatchAll_Ct-1),AV591=0),T591,0)</f>
        <v>0</v>
      </c>
      <c r="BZ591" s="213">
        <f>IF(AND(Input_Product=Elig!$C591,Elig_MatchAll_Ct&lt;22,$BC591=(Elig_MatchAll_Ct-1),AV591=0),U591,0)</f>
        <v>0</v>
      </c>
      <c r="CA591" s="212">
        <f>IF(AND(Input_Product=Elig!$C591,Elig_MatchAll_Ct&lt;22,$BC591=(Elig_MatchAll_Ct-1),AW591=0),V591,0)</f>
        <v>0</v>
      </c>
      <c r="CB591" s="213">
        <f>IF(AND(Input_Product=Elig!$C591,Elig_MatchAll_Ct&lt;22,$BC591=(Elig_MatchAll_Ct-1),AW591=0),W591,0)</f>
        <v>0</v>
      </c>
      <c r="CC591" s="212">
        <f>IF(AND(Input_Product=Elig!$C591,Elig_MatchAll_Ct&lt;22,$BC591=(Elig_MatchAll_Ct-1),AX591=0),X591,0)</f>
        <v>0</v>
      </c>
      <c r="CD591" s="213">
        <f>IF(AND(Input_Product=Elig!$C591,Elig_MatchAll_Ct&lt;22,$BC591=(Elig_MatchAll_Ct-1),AX591=0),Y591,0)</f>
        <v>0</v>
      </c>
      <c r="CE591" s="212">
        <f>IF(AND(Input_LTV&lt;=AE591,Input_Product=Elig!$C591,Elig_MatchAll_Ct&lt;22,$BC591=(Elig_MatchAll_Ct-1),AY591=0),Z591,0)</f>
        <v>0</v>
      </c>
      <c r="CF591" s="213">
        <f>IF(AND(Input_LTV&lt;=AE591,Input_Product=Elig!$C591,Elig_MatchAll_Ct&lt;22,$BC591=(Elig_MatchAll_Ct-1),AY591=0),AA591,0)</f>
        <v>0</v>
      </c>
      <c r="CG591" s="212">
        <f>IF(AND(Input_Product=Elig!$C591,Elig_MatchAll_Ct&lt;22,$BC591=(Elig_MatchAll_Ct-1),AZ591=0),AB591,0)</f>
        <v>0</v>
      </c>
      <c r="CH591" s="213">
        <f>IF(AND(Input_Product=Elig!$C591,Elig_MatchAll_Ct&lt;22,$BC591=(Elig_MatchAll_Ct-1),AZ591=0),AC591,0)</f>
        <v>0</v>
      </c>
      <c r="CI591" s="212">
        <f>IF(AND(Input_Product=Elig!$C591,Elig_MatchAll_Ct&lt;22,$BC591=(Elig_MatchAll_Ct-1),BA591=0),AD591,0)</f>
        <v>0</v>
      </c>
      <c r="CJ591" s="213">
        <f>IF(AND(Input_Product=Elig!$C591,Elig_MatchAll_Ct&lt;22,$BC591=(Elig_MatchAll_Ct-1),BA591=0),AE591,0)</f>
        <v>0</v>
      </c>
    </row>
    <row r="592" spans="2:88" ht="10.15" customHeight="1" x14ac:dyDescent="0.25">
      <c r="B592" s="287" t="s">
        <v>4150</v>
      </c>
      <c r="C592" s="286" t="str">
        <f t="shared" si="241"/>
        <v>NonQM NOO</v>
      </c>
      <c r="D592" s="287" t="s">
        <v>3885</v>
      </c>
      <c r="E592" s="287" t="s">
        <v>167</v>
      </c>
      <c r="F592" s="287" t="s">
        <v>330</v>
      </c>
      <c r="G592" s="287" t="s">
        <v>181</v>
      </c>
      <c r="H592" s="287" t="s">
        <v>136</v>
      </c>
      <c r="I592" s="288" t="s">
        <v>274</v>
      </c>
      <c r="J592" s="288" t="s">
        <v>1311</v>
      </c>
      <c r="K592" s="288" t="s">
        <v>1631</v>
      </c>
      <c r="L592" s="300" t="s">
        <v>312</v>
      </c>
      <c r="M592" s="287" t="s">
        <v>4203</v>
      </c>
      <c r="N592" s="287" t="s">
        <v>2685</v>
      </c>
      <c r="O592" s="287" t="s">
        <v>310</v>
      </c>
      <c r="P592" s="287" t="s">
        <v>291</v>
      </c>
      <c r="Q592" s="287" t="s">
        <v>294</v>
      </c>
      <c r="R592" s="300">
        <v>3000000.01</v>
      </c>
      <c r="S592" s="300">
        <v>3500000</v>
      </c>
      <c r="T592" s="287">
        <v>0</v>
      </c>
      <c r="U592" s="287">
        <v>0</v>
      </c>
      <c r="V592" s="287">
        <v>0</v>
      </c>
      <c r="W592" s="287">
        <v>50</v>
      </c>
      <c r="X592" s="287">
        <v>0.75</v>
      </c>
      <c r="Y592" s="287">
        <v>999</v>
      </c>
      <c r="Z592" s="289">
        <v>700</v>
      </c>
      <c r="AA592" s="289">
        <v>719</v>
      </c>
      <c r="AB592" s="289">
        <v>9</v>
      </c>
      <c r="AC592" s="289">
        <v>999999</v>
      </c>
      <c r="AD592" s="287">
        <v>0</v>
      </c>
      <c r="AE592" s="2105">
        <v>70</v>
      </c>
      <c r="AF592" s="170">
        <v>0</v>
      </c>
      <c r="AG592" s="171">
        <v>1</v>
      </c>
      <c r="AH592" s="171">
        <v>1</v>
      </c>
      <c r="AI592" s="171">
        <v>0</v>
      </c>
      <c r="AJ592" s="171">
        <v>0</v>
      </c>
      <c r="AK592" s="171">
        <v>1</v>
      </c>
      <c r="AL592" s="171">
        <v>0</v>
      </c>
      <c r="AM592" s="171">
        <v>1</v>
      </c>
      <c r="AN592" s="171">
        <v>1</v>
      </c>
      <c r="AO592" s="171">
        <v>1</v>
      </c>
      <c r="AP592" s="171">
        <v>1</v>
      </c>
      <c r="AQ592" s="171">
        <v>1</v>
      </c>
      <c r="AR592" s="171">
        <v>1</v>
      </c>
      <c r="AS592" s="171">
        <v>1</v>
      </c>
      <c r="AT592" s="171">
        <v>1</v>
      </c>
      <c r="AU592" s="171">
        <f t="shared" si="183"/>
        <v>0</v>
      </c>
      <c r="AV592" s="171">
        <f t="shared" si="184"/>
        <v>0</v>
      </c>
      <c r="AW592" s="171">
        <f t="shared" si="185"/>
        <v>1</v>
      </c>
      <c r="AX592" s="171">
        <f t="shared" si="197"/>
        <v>0</v>
      </c>
      <c r="AY592" s="171">
        <f t="shared" si="186"/>
        <v>0</v>
      </c>
      <c r="AZ592" s="171">
        <f t="shared" si="187"/>
        <v>1</v>
      </c>
      <c r="BA592" s="172">
        <f t="shared" si="188"/>
        <v>1</v>
      </c>
      <c r="BB592" s="175">
        <f t="shared" si="255"/>
        <v>14</v>
      </c>
      <c r="BC592" s="176">
        <f t="shared" si="256"/>
        <v>13</v>
      </c>
      <c r="BD592" s="176">
        <f t="shared" si="257"/>
        <v>14</v>
      </c>
      <c r="BE592" s="240" t="str">
        <f t="shared" si="259"/>
        <v/>
      </c>
      <c r="BH592" s="199">
        <f>IF(AND(Input_Product=Elig!$C592,Elig_MatchAll_Ct&lt;22,$BC592=(Elig_MatchAll_Ct-1),AF592=0),C592,0)</f>
        <v>0</v>
      </c>
      <c r="BI592" s="199">
        <f>IF(AND(Input_Product=Elig!$C592,Elig_MatchAll_Ct&lt;22,$BC592=(Elig_MatchAll_Ct-1),AG592=0),D592,0)</f>
        <v>0</v>
      </c>
      <c r="BJ592" s="199">
        <f>IF(AND(Input_Product=Elig!$C592,Elig_MatchAll_Ct&lt;22,$BC592=(Elig_MatchAll_Ct-1),AH592=0),E592,0)</f>
        <v>0</v>
      </c>
      <c r="BK592" s="199">
        <f>IF(AND(Input_Product=Elig!$C592,Elig_MatchAll_Ct&lt;22,$BC592=(Elig_MatchAll_Ct-1),AI592=0),F592,0)</f>
        <v>0</v>
      </c>
      <c r="BL592" s="199">
        <f>IF(AND(Input_Product=Elig!$C592,Elig_MatchAll_Ct&lt;22,$BC592=(Elig_MatchAll_Ct-1),AJ592=0),G592,0)</f>
        <v>0</v>
      </c>
      <c r="BM592" s="199">
        <f>IF(AND(Input_Product=Elig!$C592,Elig_MatchAll_Ct&lt;22,$BC592=(Elig_MatchAll_Ct-1),AK592=0),H592,0)</f>
        <v>0</v>
      </c>
      <c r="BN592" s="199">
        <f>IF(AND(Input_Product=Elig!$C592,Elig_MatchAll_Ct&lt;22,$BC592=(Elig_MatchAll_Ct-1),AL592=0),I592,0)</f>
        <v>0</v>
      </c>
      <c r="BO592" s="199">
        <f>IF(AND(Input_Product=Elig!$C592,Elig_MatchAll_Ct&lt;22,$BC592=(Elig_MatchAll_Ct-1),AM592=0),J592,0)</f>
        <v>0</v>
      </c>
      <c r="BP592" s="199">
        <f>IF(AND(Input_Product=Elig!$C592,Elig_MatchAll_Ct&lt;22,$BC592=(Elig_MatchAll_Ct-1),AN592=0),K592,0)</f>
        <v>0</v>
      </c>
      <c r="BQ592" s="199">
        <f>IF(AND(Input_Product=Elig!$C592,Elig_MatchAll_Ct&lt;22,$BC592=(Elig_MatchAll_Ct-1),AP592=0),L592,0)</f>
        <v>0</v>
      </c>
      <c r="BR592" s="199">
        <f>IF(AND(Input_Product=Elig!$C592,Elig_MatchAll_Ct&lt;22,$BC592=(Elig_MatchAll_Ct-1),AO592=0),M592,0)</f>
        <v>0</v>
      </c>
      <c r="BS592" s="199">
        <f>IF(AND(Input_Product=Elig!$C592,Elig_MatchAll_Ct&lt;22,$BC592=(Elig_MatchAll_Ct-1),AQ592=0),N592,0)</f>
        <v>0</v>
      </c>
      <c r="BT592" s="199">
        <f>IF(AND(Input_Product=Elig!$C592,Elig_MatchAll_Ct&lt;22,$BC592=(Elig_MatchAll_Ct-1),AR592=0),O592,0)</f>
        <v>0</v>
      </c>
      <c r="BU592" s="199">
        <f>IF(AND(Input_Product=Elig!$C592,Elig_MatchAll_Ct&lt;22,$BC592=(Elig_MatchAll_Ct-1),AS592=0),P592,0)</f>
        <v>0</v>
      </c>
      <c r="BV592" s="200">
        <f>IF(AND(Input_Product=Elig!$C592,Elig_MatchAll_Ct&lt;22,$BC592=(Elig_MatchAll_Ct-1),AT592=0),Q592,0)</f>
        <v>0</v>
      </c>
      <c r="BW592" s="201">
        <f>IF(AND(Input_Product=Elig!$C592,Elig_MatchAll_Ct&lt;22,$BC592=(Elig_MatchAll_Ct-1),AU592=0),R592,0)</f>
        <v>0</v>
      </c>
      <c r="BX592" s="202">
        <f>IF(AND(Input_Product=Elig!$C592,Elig_MatchAll_Ct&lt;22,$BC592=(Elig_MatchAll_Ct-1),AU592=0),S592,0)</f>
        <v>0</v>
      </c>
      <c r="BY592" s="201">
        <f>IF(AND(Input_Product=Elig!$C592,Elig_MatchAll_Ct&lt;22,$BC592=(Elig_MatchAll_Ct-1),AV592=0),T592,0)</f>
        <v>0</v>
      </c>
      <c r="BZ592" s="202">
        <f>IF(AND(Input_Product=Elig!$C592,Elig_MatchAll_Ct&lt;22,$BC592=(Elig_MatchAll_Ct-1),AV592=0),U592,0)</f>
        <v>0</v>
      </c>
      <c r="CA592" s="201">
        <f>IF(AND(Input_Product=Elig!$C592,Elig_MatchAll_Ct&lt;22,$BC592=(Elig_MatchAll_Ct-1),AW592=0),V592,0)</f>
        <v>0</v>
      </c>
      <c r="CB592" s="202">
        <f>IF(AND(Input_Product=Elig!$C592,Elig_MatchAll_Ct&lt;22,$BC592=(Elig_MatchAll_Ct-1),AW592=0),W592,0)</f>
        <v>0</v>
      </c>
      <c r="CC592" s="201">
        <f>IF(AND(Input_Product=Elig!$C592,Elig_MatchAll_Ct&lt;22,$BC592=(Elig_MatchAll_Ct-1),AX592=0),X592,0)</f>
        <v>0</v>
      </c>
      <c r="CD592" s="202">
        <f>IF(AND(Input_Product=Elig!$C592,Elig_MatchAll_Ct&lt;22,$BC592=(Elig_MatchAll_Ct-1),AX592=0),Y592,0)</f>
        <v>0</v>
      </c>
      <c r="CE592" s="201">
        <f>IF(AND(Input_LTV&lt;=AE592,Input_Product=Elig!$C592,Elig_MatchAll_Ct&lt;22,$BC592=(Elig_MatchAll_Ct-1),AY592=0),Z592,0)</f>
        <v>0</v>
      </c>
      <c r="CF592" s="202">
        <f>IF(AND(Input_LTV&lt;=AE592,Input_Product=Elig!$C592,Elig_MatchAll_Ct&lt;22,$BC592=(Elig_MatchAll_Ct-1),AY592=0),AA592,0)</f>
        <v>0</v>
      </c>
      <c r="CG592" s="201">
        <f>IF(AND(Input_Product=Elig!$C592,Elig_MatchAll_Ct&lt;22,$BC592=(Elig_MatchAll_Ct-1),AZ592=0),AB592,0)</f>
        <v>0</v>
      </c>
      <c r="CH592" s="202">
        <f>IF(AND(Input_Product=Elig!$C592,Elig_MatchAll_Ct&lt;22,$BC592=(Elig_MatchAll_Ct-1),AZ592=0),AC592,0)</f>
        <v>0</v>
      </c>
      <c r="CI592" s="201">
        <f>IF(AND(Input_Product=Elig!$C592,Elig_MatchAll_Ct&lt;22,$BC592=(Elig_MatchAll_Ct-1),BA592=0),AD592,0)</f>
        <v>0</v>
      </c>
      <c r="CJ592" s="202">
        <f>IF(AND(Input_Product=Elig!$C592,Elig_MatchAll_Ct&lt;22,$BC592=(Elig_MatchAll_Ct-1),BA592=0),AE592,0)</f>
        <v>0</v>
      </c>
    </row>
    <row r="593" spans="2:88" ht="10.15" customHeight="1" x14ac:dyDescent="0.25">
      <c r="B593" s="287" t="s">
        <v>4151</v>
      </c>
      <c r="C593" s="281" t="str">
        <f t="shared" si="241"/>
        <v>NonQM NOO</v>
      </c>
      <c r="D593" s="282" t="s">
        <v>3885</v>
      </c>
      <c r="E593" s="283" t="s">
        <v>167</v>
      </c>
      <c r="F593" s="283" t="s">
        <v>330</v>
      </c>
      <c r="G593" s="283" t="s">
        <v>181</v>
      </c>
      <c r="H593" s="283" t="s">
        <v>136</v>
      </c>
      <c r="I593" s="283" t="s">
        <v>16</v>
      </c>
      <c r="J593" s="282" t="s">
        <v>1311</v>
      </c>
      <c r="K593" s="282" t="s">
        <v>1631</v>
      </c>
      <c r="L593" s="2103" t="s">
        <v>312</v>
      </c>
      <c r="M593" s="283" t="s">
        <v>4203</v>
      </c>
      <c r="N593" s="283" t="s">
        <v>2685</v>
      </c>
      <c r="O593" s="283" t="s">
        <v>310</v>
      </c>
      <c r="P593" s="283" t="s">
        <v>291</v>
      </c>
      <c r="Q593" s="283" t="s">
        <v>294</v>
      </c>
      <c r="R593" s="323">
        <v>3000000.01</v>
      </c>
      <c r="S593" s="323">
        <v>3500000</v>
      </c>
      <c r="T593" s="282">
        <v>0</v>
      </c>
      <c r="U593" s="282">
        <f t="shared" ref="U593:U594" si="265">S593</f>
        <v>3500000</v>
      </c>
      <c r="V593" s="282">
        <v>0</v>
      </c>
      <c r="W593" s="282">
        <v>50</v>
      </c>
      <c r="X593" s="282">
        <v>1</v>
      </c>
      <c r="Y593" s="282">
        <v>999</v>
      </c>
      <c r="Z593" s="284">
        <v>720</v>
      </c>
      <c r="AA593" s="284">
        <v>999</v>
      </c>
      <c r="AB593" s="284">
        <v>9</v>
      </c>
      <c r="AC593" s="284">
        <v>999999</v>
      </c>
      <c r="AD593" s="282">
        <v>0</v>
      </c>
      <c r="AE593" s="2104">
        <v>55</v>
      </c>
      <c r="AF593" s="170">
        <v>0</v>
      </c>
      <c r="AG593" s="171">
        <v>1</v>
      </c>
      <c r="AH593" s="171">
        <v>1</v>
      </c>
      <c r="AI593" s="171">
        <v>0</v>
      </c>
      <c r="AJ593" s="171">
        <v>0</v>
      </c>
      <c r="AK593" s="171">
        <v>1</v>
      </c>
      <c r="AL593" s="171">
        <v>1</v>
      </c>
      <c r="AM593" s="171">
        <v>1</v>
      </c>
      <c r="AN593" s="171">
        <v>1</v>
      </c>
      <c r="AO593" s="171">
        <v>1</v>
      </c>
      <c r="AP593" s="171">
        <v>1</v>
      </c>
      <c r="AQ593" s="171">
        <v>1</v>
      </c>
      <c r="AR593" s="171">
        <v>1</v>
      </c>
      <c r="AS593" s="171">
        <v>1</v>
      </c>
      <c r="AT593" s="171">
        <v>1</v>
      </c>
      <c r="AU593" s="171">
        <f t="shared" si="183"/>
        <v>0</v>
      </c>
      <c r="AV593" s="171">
        <f t="shared" si="184"/>
        <v>1</v>
      </c>
      <c r="AW593" s="171">
        <f t="shared" si="185"/>
        <v>1</v>
      </c>
      <c r="AX593" s="171">
        <f t="shared" si="197"/>
        <v>0</v>
      </c>
      <c r="AY593" s="171">
        <f t="shared" si="186"/>
        <v>1</v>
      </c>
      <c r="AZ593" s="171">
        <f t="shared" si="187"/>
        <v>1</v>
      </c>
      <c r="BA593" s="172">
        <f t="shared" si="188"/>
        <v>0</v>
      </c>
      <c r="BB593" s="175">
        <f t="shared" si="255"/>
        <v>16</v>
      </c>
      <c r="BC593" s="176">
        <f t="shared" si="256"/>
        <v>16</v>
      </c>
      <c r="BD593" s="176">
        <f t="shared" si="257"/>
        <v>16</v>
      </c>
      <c r="BE593" s="240" t="str">
        <f t="shared" si="259"/>
        <v/>
      </c>
      <c r="BH593" s="216">
        <f>IF(AND(Input_Product=Elig!$C593,Elig_MatchAll_Ct&lt;22,$BC593=(Elig_MatchAll_Ct-1),AF593=0),C593,0)</f>
        <v>0</v>
      </c>
      <c r="BI593" s="216">
        <f>IF(AND(Input_Product=Elig!$C593,Elig_MatchAll_Ct&lt;22,$BC593=(Elig_MatchAll_Ct-1),AG593=0),D593,0)</f>
        <v>0</v>
      </c>
      <c r="BJ593" s="216">
        <f>IF(AND(Input_Product=Elig!$C593,Elig_MatchAll_Ct&lt;22,$BC593=(Elig_MatchAll_Ct-1),AH593=0),E593,0)</f>
        <v>0</v>
      </c>
      <c r="BK593" s="216">
        <f>IF(AND(Input_Product=Elig!$C593,Elig_MatchAll_Ct&lt;22,$BC593=(Elig_MatchAll_Ct-1),AI593=0),F593,0)</f>
        <v>0</v>
      </c>
      <c r="BL593" s="216">
        <f>IF(AND(Input_Product=Elig!$C593,Elig_MatchAll_Ct&lt;22,$BC593=(Elig_MatchAll_Ct-1),AJ593=0),G593,0)</f>
        <v>0</v>
      </c>
      <c r="BM593" s="216">
        <f>IF(AND(Input_Product=Elig!$C593,Elig_MatchAll_Ct&lt;22,$BC593=(Elig_MatchAll_Ct-1),AK593=0),H593,0)</f>
        <v>0</v>
      </c>
      <c r="BN593" s="216">
        <f>IF(AND(Input_Product=Elig!$C593,Elig_MatchAll_Ct&lt;22,$BC593=(Elig_MatchAll_Ct-1),AL593=0),I593,0)</f>
        <v>0</v>
      </c>
      <c r="BO593" s="216">
        <f>IF(AND(Input_Product=Elig!$C593,Elig_MatchAll_Ct&lt;22,$BC593=(Elig_MatchAll_Ct-1),AM593=0),J593,0)</f>
        <v>0</v>
      </c>
      <c r="BP593" s="216">
        <f>IF(AND(Input_Product=Elig!$C593,Elig_MatchAll_Ct&lt;22,$BC593=(Elig_MatchAll_Ct-1),AN593=0),K593,0)</f>
        <v>0</v>
      </c>
      <c r="BQ593" s="216">
        <f>IF(AND(Input_Product=Elig!$C593,Elig_MatchAll_Ct&lt;22,$BC593=(Elig_MatchAll_Ct-1),AP593=0),L593,0)</f>
        <v>0</v>
      </c>
      <c r="BR593" s="216">
        <f>IF(AND(Input_Product=Elig!$C593,Elig_MatchAll_Ct&lt;22,$BC593=(Elig_MatchAll_Ct-1),AO593=0),M593,0)</f>
        <v>0</v>
      </c>
      <c r="BS593" s="216">
        <f>IF(AND(Input_Product=Elig!$C593,Elig_MatchAll_Ct&lt;22,$BC593=(Elig_MatchAll_Ct-1),AQ593=0),N593,0)</f>
        <v>0</v>
      </c>
      <c r="BT593" s="216">
        <f>IF(AND(Input_Product=Elig!$C593,Elig_MatchAll_Ct&lt;22,$BC593=(Elig_MatchAll_Ct-1),AR593=0),O593,0)</f>
        <v>0</v>
      </c>
      <c r="BU593" s="216">
        <f>IF(AND(Input_Product=Elig!$C593,Elig_MatchAll_Ct&lt;22,$BC593=(Elig_MatchAll_Ct-1),AS593=0),P593,0)</f>
        <v>0</v>
      </c>
      <c r="BV593" s="217">
        <f>IF(AND(Input_Product=Elig!$C593,Elig_MatchAll_Ct&lt;22,$BC593=(Elig_MatchAll_Ct-1),AT593=0),Q593,0)</f>
        <v>0</v>
      </c>
      <c r="BW593" s="313">
        <f>IF(AND(Input_Product=Elig!$C593,Elig_MatchAll_Ct&lt;22,$BC593=(Elig_MatchAll_Ct-1),AU593=0),R593,0)</f>
        <v>0</v>
      </c>
      <c r="BX593" s="314">
        <f>IF(AND(Input_Product=Elig!$C593,Elig_MatchAll_Ct&lt;22,$BC593=(Elig_MatchAll_Ct-1),AU593=0),S593,0)</f>
        <v>0</v>
      </c>
      <c r="BY593" s="313">
        <f>IF(AND(Input_Product=Elig!$C593,Elig_MatchAll_Ct&lt;22,$BC593=(Elig_MatchAll_Ct-1),AV593=0),T593,0)</f>
        <v>0</v>
      </c>
      <c r="BZ593" s="314">
        <f>IF(AND(Input_Product=Elig!$C593,Elig_MatchAll_Ct&lt;22,$BC593=(Elig_MatchAll_Ct-1),AV593=0),U593,0)</f>
        <v>0</v>
      </c>
      <c r="CA593" s="313">
        <f>IF(AND(Input_Product=Elig!$C593,Elig_MatchAll_Ct&lt;22,$BC593=(Elig_MatchAll_Ct-1),AW593=0),V593,0)</f>
        <v>0</v>
      </c>
      <c r="CB593" s="314">
        <f>IF(AND(Input_Product=Elig!$C593,Elig_MatchAll_Ct&lt;22,$BC593=(Elig_MatchAll_Ct-1),AW593=0),W593,0)</f>
        <v>0</v>
      </c>
      <c r="CC593" s="313">
        <f>IF(AND(Input_Product=Elig!$C593,Elig_MatchAll_Ct&lt;22,$BC593=(Elig_MatchAll_Ct-1),AX593=0),X593,0)</f>
        <v>0</v>
      </c>
      <c r="CD593" s="314">
        <f>IF(AND(Input_Product=Elig!$C593,Elig_MatchAll_Ct&lt;22,$BC593=(Elig_MatchAll_Ct-1),AX593=0),Y593,0)</f>
        <v>0</v>
      </c>
      <c r="CE593" s="313">
        <f>IF(AND(Input_LTV&lt;=AE593,Input_Product=Elig!$C593,Elig_MatchAll_Ct&lt;22,$BC593=(Elig_MatchAll_Ct-1),AY593=0),Z593,0)</f>
        <v>0</v>
      </c>
      <c r="CF593" s="314">
        <f>IF(AND(Input_LTV&lt;=AE593,Input_Product=Elig!$C593,Elig_MatchAll_Ct&lt;22,$BC593=(Elig_MatchAll_Ct-1),AY593=0),AA593,0)</f>
        <v>0</v>
      </c>
      <c r="CG593" s="313">
        <f>IF(AND(Input_Product=Elig!$C593,Elig_MatchAll_Ct&lt;22,$BC593=(Elig_MatchAll_Ct-1),AZ593=0),AB593,0)</f>
        <v>0</v>
      </c>
      <c r="CH593" s="314">
        <f>IF(AND(Input_Product=Elig!$C593,Elig_MatchAll_Ct&lt;22,$BC593=(Elig_MatchAll_Ct-1),AZ593=0),AC593,0)</f>
        <v>0</v>
      </c>
      <c r="CI593" s="313">
        <f>IF(AND(Input_Product=Elig!$C593,Elig_MatchAll_Ct&lt;22,$BC593=(Elig_MatchAll_Ct-1),BA593=0),AD593,0)</f>
        <v>0</v>
      </c>
      <c r="CJ593" s="314">
        <f>IF(AND(Input_Product=Elig!$C593,Elig_MatchAll_Ct&lt;22,$BC593=(Elig_MatchAll_Ct-1),BA593=0),AE593,0)</f>
        <v>0</v>
      </c>
    </row>
    <row r="594" spans="2:88" ht="10.15" customHeight="1" x14ac:dyDescent="0.25">
      <c r="B594" s="287" t="s">
        <v>4152</v>
      </c>
      <c r="C594" s="286" t="str">
        <f t="shared" si="241"/>
        <v>NonQM NOO</v>
      </c>
      <c r="D594" s="287" t="s">
        <v>3885</v>
      </c>
      <c r="E594" s="287" t="s">
        <v>167</v>
      </c>
      <c r="F594" s="287" t="s">
        <v>330</v>
      </c>
      <c r="G594" s="287" t="s">
        <v>181</v>
      </c>
      <c r="H594" s="287" t="s">
        <v>136</v>
      </c>
      <c r="I594" s="288" t="s">
        <v>16</v>
      </c>
      <c r="J594" s="288" t="s">
        <v>1311</v>
      </c>
      <c r="K594" s="288" t="s">
        <v>1631</v>
      </c>
      <c r="L594" s="300" t="s">
        <v>312</v>
      </c>
      <c r="M594" s="287" t="s">
        <v>4203</v>
      </c>
      <c r="N594" s="287" t="s">
        <v>2685</v>
      </c>
      <c r="O594" s="287" t="s">
        <v>310</v>
      </c>
      <c r="P594" s="287" t="s">
        <v>291</v>
      </c>
      <c r="Q594" s="287" t="s">
        <v>294</v>
      </c>
      <c r="R594" s="300">
        <v>3000000.01</v>
      </c>
      <c r="S594" s="300">
        <v>3500000</v>
      </c>
      <c r="T594" s="287">
        <v>0</v>
      </c>
      <c r="U594" s="287">
        <f t="shared" si="265"/>
        <v>3500000</v>
      </c>
      <c r="V594" s="287">
        <v>0</v>
      </c>
      <c r="W594" s="287">
        <v>50</v>
      </c>
      <c r="X594" s="287">
        <v>1</v>
      </c>
      <c r="Y594" s="287">
        <v>999</v>
      </c>
      <c r="Z594" s="289">
        <v>700</v>
      </c>
      <c r="AA594" s="289">
        <v>719</v>
      </c>
      <c r="AB594" s="289">
        <v>9</v>
      </c>
      <c r="AC594" s="289">
        <v>999999</v>
      </c>
      <c r="AD594" s="287">
        <v>0</v>
      </c>
      <c r="AE594" s="2105">
        <v>55</v>
      </c>
      <c r="AF594" s="170">
        <v>0</v>
      </c>
      <c r="AG594" s="171">
        <v>1</v>
      </c>
      <c r="AH594" s="171">
        <v>1</v>
      </c>
      <c r="AI594" s="171">
        <v>0</v>
      </c>
      <c r="AJ594" s="171">
        <v>0</v>
      </c>
      <c r="AK594" s="171">
        <v>1</v>
      </c>
      <c r="AL594" s="171">
        <v>1</v>
      </c>
      <c r="AM594" s="171">
        <v>1</v>
      </c>
      <c r="AN594" s="171">
        <v>1</v>
      </c>
      <c r="AO594" s="171">
        <v>1</v>
      </c>
      <c r="AP594" s="171">
        <v>1</v>
      </c>
      <c r="AQ594" s="171">
        <v>1</v>
      </c>
      <c r="AR594" s="171">
        <v>1</v>
      </c>
      <c r="AS594" s="171">
        <v>1</v>
      </c>
      <c r="AT594" s="171">
        <v>1</v>
      </c>
      <c r="AU594" s="171">
        <f t="shared" si="183"/>
        <v>0</v>
      </c>
      <c r="AV594" s="171">
        <f t="shared" si="184"/>
        <v>1</v>
      </c>
      <c r="AW594" s="171">
        <f t="shared" si="185"/>
        <v>1</v>
      </c>
      <c r="AX594" s="171">
        <f t="shared" si="197"/>
        <v>0</v>
      </c>
      <c r="AY594" s="171">
        <f t="shared" si="186"/>
        <v>0</v>
      </c>
      <c r="AZ594" s="171">
        <f t="shared" si="187"/>
        <v>1</v>
      </c>
      <c r="BA594" s="172">
        <f t="shared" si="188"/>
        <v>0</v>
      </c>
      <c r="BB594" s="175">
        <f t="shared" si="255"/>
        <v>15</v>
      </c>
      <c r="BC594" s="176">
        <f t="shared" si="256"/>
        <v>15</v>
      </c>
      <c r="BD594" s="176">
        <f t="shared" si="257"/>
        <v>15</v>
      </c>
      <c r="BE594" s="240" t="str">
        <f t="shared" si="259"/>
        <v/>
      </c>
      <c r="BH594" s="210">
        <f>IF(AND(Input_Product=Elig!$C594,Elig_MatchAll_Ct&lt;22,$BC594=(Elig_MatchAll_Ct-1),AF594=0),C594,0)</f>
        <v>0</v>
      </c>
      <c r="BI594" s="210">
        <f>IF(AND(Input_Product=Elig!$C594,Elig_MatchAll_Ct&lt;22,$BC594=(Elig_MatchAll_Ct-1),AG594=0),D594,0)</f>
        <v>0</v>
      </c>
      <c r="BJ594" s="210">
        <f>IF(AND(Input_Product=Elig!$C594,Elig_MatchAll_Ct&lt;22,$BC594=(Elig_MatchAll_Ct-1),AH594=0),E594,0)</f>
        <v>0</v>
      </c>
      <c r="BK594" s="210">
        <f>IF(AND(Input_Product=Elig!$C594,Elig_MatchAll_Ct&lt;22,$BC594=(Elig_MatchAll_Ct-1),AI594=0),F594,0)</f>
        <v>0</v>
      </c>
      <c r="BL594" s="210">
        <f>IF(AND(Input_Product=Elig!$C594,Elig_MatchAll_Ct&lt;22,$BC594=(Elig_MatchAll_Ct-1),AJ594=0),G594,0)</f>
        <v>0</v>
      </c>
      <c r="BM594" s="210">
        <f>IF(AND(Input_Product=Elig!$C594,Elig_MatchAll_Ct&lt;22,$BC594=(Elig_MatchAll_Ct-1),AK594=0),H594,0)</f>
        <v>0</v>
      </c>
      <c r="BN594" s="210">
        <f>IF(AND(Input_Product=Elig!$C594,Elig_MatchAll_Ct&lt;22,$BC594=(Elig_MatchAll_Ct-1),AL594=0),I594,0)</f>
        <v>0</v>
      </c>
      <c r="BO594" s="210">
        <f>IF(AND(Input_Product=Elig!$C594,Elig_MatchAll_Ct&lt;22,$BC594=(Elig_MatchAll_Ct-1),AM594=0),J594,0)</f>
        <v>0</v>
      </c>
      <c r="BP594" s="210">
        <f>IF(AND(Input_Product=Elig!$C594,Elig_MatchAll_Ct&lt;22,$BC594=(Elig_MatchAll_Ct-1),AN594=0),K594,0)</f>
        <v>0</v>
      </c>
      <c r="BQ594" s="210">
        <f>IF(AND(Input_Product=Elig!$C594,Elig_MatchAll_Ct&lt;22,$BC594=(Elig_MatchAll_Ct-1),AP594=0),L594,0)</f>
        <v>0</v>
      </c>
      <c r="BR594" s="210">
        <f>IF(AND(Input_Product=Elig!$C594,Elig_MatchAll_Ct&lt;22,$BC594=(Elig_MatchAll_Ct-1),AO594=0),M594,0)</f>
        <v>0</v>
      </c>
      <c r="BS594" s="210">
        <f>IF(AND(Input_Product=Elig!$C594,Elig_MatchAll_Ct&lt;22,$BC594=(Elig_MatchAll_Ct-1),AQ594=0),N594,0)</f>
        <v>0</v>
      </c>
      <c r="BT594" s="210">
        <f>IF(AND(Input_Product=Elig!$C594,Elig_MatchAll_Ct&lt;22,$BC594=(Elig_MatchAll_Ct-1),AR594=0),O594,0)</f>
        <v>0</v>
      </c>
      <c r="BU594" s="210">
        <f>IF(AND(Input_Product=Elig!$C594,Elig_MatchAll_Ct&lt;22,$BC594=(Elig_MatchAll_Ct-1),AS594=0),P594,0)</f>
        <v>0</v>
      </c>
      <c r="BV594" s="211">
        <f>IF(AND(Input_Product=Elig!$C594,Elig_MatchAll_Ct&lt;22,$BC594=(Elig_MatchAll_Ct-1),AT594=0),Q594,0)</f>
        <v>0</v>
      </c>
      <c r="BW594" s="212">
        <f>IF(AND(Input_Product=Elig!$C594,Elig_MatchAll_Ct&lt;22,$BC594=(Elig_MatchAll_Ct-1),AU594=0),R594,0)</f>
        <v>0</v>
      </c>
      <c r="BX594" s="213">
        <f>IF(AND(Input_Product=Elig!$C594,Elig_MatchAll_Ct&lt;22,$BC594=(Elig_MatchAll_Ct-1),AU594=0),S594,0)</f>
        <v>0</v>
      </c>
      <c r="BY594" s="212">
        <f>IF(AND(Input_Product=Elig!$C594,Elig_MatchAll_Ct&lt;22,$BC594=(Elig_MatchAll_Ct-1),AV594=0),T594,0)</f>
        <v>0</v>
      </c>
      <c r="BZ594" s="213">
        <f>IF(AND(Input_Product=Elig!$C594,Elig_MatchAll_Ct&lt;22,$BC594=(Elig_MatchAll_Ct-1),AV594=0),U594,0)</f>
        <v>0</v>
      </c>
      <c r="CA594" s="212">
        <f>IF(AND(Input_Product=Elig!$C594,Elig_MatchAll_Ct&lt;22,$BC594=(Elig_MatchAll_Ct-1),AW594=0),V594,0)</f>
        <v>0</v>
      </c>
      <c r="CB594" s="213">
        <f>IF(AND(Input_Product=Elig!$C594,Elig_MatchAll_Ct&lt;22,$BC594=(Elig_MatchAll_Ct-1),AW594=0),W594,0)</f>
        <v>0</v>
      </c>
      <c r="CC594" s="212">
        <f>IF(AND(Input_Product=Elig!$C594,Elig_MatchAll_Ct&lt;22,$BC594=(Elig_MatchAll_Ct-1),AX594=0),X594,0)</f>
        <v>0</v>
      </c>
      <c r="CD594" s="213">
        <f>IF(AND(Input_Product=Elig!$C594,Elig_MatchAll_Ct&lt;22,$BC594=(Elig_MatchAll_Ct-1),AX594=0),Y594,0)</f>
        <v>0</v>
      </c>
      <c r="CE594" s="212">
        <f>IF(AND(Input_LTV&lt;=AE594,Input_Product=Elig!$C594,Elig_MatchAll_Ct&lt;22,$BC594=(Elig_MatchAll_Ct-1),AY594=0),Z594,0)</f>
        <v>0</v>
      </c>
      <c r="CF594" s="213">
        <f>IF(AND(Input_LTV&lt;=AE594,Input_Product=Elig!$C594,Elig_MatchAll_Ct&lt;22,$BC594=(Elig_MatchAll_Ct-1),AY594=0),AA594,0)</f>
        <v>0</v>
      </c>
      <c r="CG594" s="212">
        <f>IF(AND(Input_Product=Elig!$C594,Elig_MatchAll_Ct&lt;22,$BC594=(Elig_MatchAll_Ct-1),AZ594=0),AB594,0)</f>
        <v>0</v>
      </c>
      <c r="CH594" s="213">
        <f>IF(AND(Input_Product=Elig!$C594,Elig_MatchAll_Ct&lt;22,$BC594=(Elig_MatchAll_Ct-1),AZ594=0),AC594,0)</f>
        <v>0</v>
      </c>
      <c r="CI594" s="212">
        <f>IF(AND(Input_Product=Elig!$C594,Elig_MatchAll_Ct&lt;22,$BC594=(Elig_MatchAll_Ct-1),BA594=0),AD594,0)</f>
        <v>0</v>
      </c>
      <c r="CJ594" s="213">
        <f>IF(AND(Input_Product=Elig!$C594,Elig_MatchAll_Ct&lt;22,$BC594=(Elig_MatchAll_Ct-1),BA594=0),AE594,0)</f>
        <v>0</v>
      </c>
    </row>
    <row r="595" spans="2:88" ht="10.15" customHeight="1" x14ac:dyDescent="0.25">
      <c r="B595" s="287" t="s">
        <v>4153</v>
      </c>
      <c r="C595" s="281" t="str">
        <f t="shared" si="241"/>
        <v>NonQM NOO</v>
      </c>
      <c r="D595" s="282" t="s">
        <v>3885</v>
      </c>
      <c r="E595" s="283" t="s">
        <v>167</v>
      </c>
      <c r="F595" s="283" t="s">
        <v>330</v>
      </c>
      <c r="G595" s="283" t="s">
        <v>181</v>
      </c>
      <c r="H595" s="283" t="s">
        <v>136</v>
      </c>
      <c r="I595" s="282" t="s">
        <v>274</v>
      </c>
      <c r="J595" s="282" t="s">
        <v>1311</v>
      </c>
      <c r="K595" s="282" t="s">
        <v>1631</v>
      </c>
      <c r="L595" s="2103" t="s">
        <v>312</v>
      </c>
      <c r="M595" s="283" t="s">
        <v>4203</v>
      </c>
      <c r="N595" s="283" t="s">
        <v>2685</v>
      </c>
      <c r="O595" s="283" t="s">
        <v>310</v>
      </c>
      <c r="P595" s="283" t="s">
        <v>291</v>
      </c>
      <c r="Q595" s="283" t="s">
        <v>294</v>
      </c>
      <c r="R595" s="323">
        <v>3500000.01</v>
      </c>
      <c r="S595" s="323">
        <v>4000000</v>
      </c>
      <c r="T595" s="282">
        <v>0</v>
      </c>
      <c r="U595" s="282">
        <v>0</v>
      </c>
      <c r="V595" s="282">
        <v>0</v>
      </c>
      <c r="W595" s="282">
        <v>50</v>
      </c>
      <c r="X595" s="282">
        <v>0.75</v>
      </c>
      <c r="Y595" s="282">
        <v>999</v>
      </c>
      <c r="Z595" s="284">
        <v>720</v>
      </c>
      <c r="AA595" s="284">
        <v>999</v>
      </c>
      <c r="AB595" s="284">
        <v>9</v>
      </c>
      <c r="AC595" s="284">
        <v>999999</v>
      </c>
      <c r="AD595" s="282">
        <v>0</v>
      </c>
      <c r="AE595" s="2104">
        <v>60</v>
      </c>
      <c r="AF595" s="170">
        <v>0</v>
      </c>
      <c r="AG595" s="171">
        <v>1</v>
      </c>
      <c r="AH595" s="171">
        <v>1</v>
      </c>
      <c r="AI595" s="171">
        <v>0</v>
      </c>
      <c r="AJ595" s="171">
        <v>0</v>
      </c>
      <c r="AK595" s="171">
        <v>1</v>
      </c>
      <c r="AL595" s="171">
        <v>0</v>
      </c>
      <c r="AM595" s="171">
        <v>1</v>
      </c>
      <c r="AN595" s="171">
        <v>1</v>
      </c>
      <c r="AO595" s="171">
        <v>1</v>
      </c>
      <c r="AP595" s="171">
        <v>1</v>
      </c>
      <c r="AQ595" s="171">
        <v>1</v>
      </c>
      <c r="AR595" s="171">
        <v>1</v>
      </c>
      <c r="AS595" s="171">
        <v>1</v>
      </c>
      <c r="AT595" s="171">
        <v>1</v>
      </c>
      <c r="AU595" s="171">
        <f t="shared" si="183"/>
        <v>0</v>
      </c>
      <c r="AV595" s="171">
        <f t="shared" si="184"/>
        <v>0</v>
      </c>
      <c r="AW595" s="171">
        <f t="shared" si="185"/>
        <v>1</v>
      </c>
      <c r="AX595" s="171">
        <f t="shared" si="197"/>
        <v>0</v>
      </c>
      <c r="AY595" s="171">
        <f t="shared" si="186"/>
        <v>1</v>
      </c>
      <c r="AZ595" s="171">
        <f t="shared" si="187"/>
        <v>1</v>
      </c>
      <c r="BA595" s="172">
        <f t="shared" si="188"/>
        <v>0</v>
      </c>
      <c r="BB595" s="175">
        <f t="shared" ref="BB595" si="266">SUM(AF595:BA595)</f>
        <v>14</v>
      </c>
      <c r="BC595" s="176">
        <f t="shared" ref="BC595" si="267">SUM(AF595:AZ595)</f>
        <v>14</v>
      </c>
      <c r="BD595" s="176">
        <f t="shared" ref="BD595" si="268">SUM(AG595:BA595)</f>
        <v>14</v>
      </c>
      <c r="BE595" s="240" t="str">
        <f t="shared" si="259"/>
        <v/>
      </c>
      <c r="BH595" s="210">
        <f>IF(AND(Input_Product=Elig!$C595,Elig_MatchAll_Ct&lt;22,$BC595=(Elig_MatchAll_Ct-1),AF595=0),C595,0)</f>
        <v>0</v>
      </c>
      <c r="BI595" s="210">
        <f>IF(AND(Input_Product=Elig!$C595,Elig_MatchAll_Ct&lt;22,$BC595=(Elig_MatchAll_Ct-1),AG595=0),D595,0)</f>
        <v>0</v>
      </c>
      <c r="BJ595" s="210">
        <f>IF(AND(Input_Product=Elig!$C595,Elig_MatchAll_Ct&lt;22,$BC595=(Elig_MatchAll_Ct-1),AH595=0),E595,0)</f>
        <v>0</v>
      </c>
      <c r="BK595" s="210">
        <f>IF(AND(Input_Product=Elig!$C595,Elig_MatchAll_Ct&lt;22,$BC595=(Elig_MatchAll_Ct-1),AI595=0),F595,0)</f>
        <v>0</v>
      </c>
      <c r="BL595" s="210">
        <f>IF(AND(Input_Product=Elig!$C595,Elig_MatchAll_Ct&lt;22,$BC595=(Elig_MatchAll_Ct-1),AJ595=0),G595,0)</f>
        <v>0</v>
      </c>
      <c r="BM595" s="210">
        <f>IF(AND(Input_Product=Elig!$C595,Elig_MatchAll_Ct&lt;22,$BC595=(Elig_MatchAll_Ct-1),AK595=0),H595,0)</f>
        <v>0</v>
      </c>
      <c r="BN595" s="210">
        <f>IF(AND(Input_Product=Elig!$C595,Elig_MatchAll_Ct&lt;22,$BC595=(Elig_MatchAll_Ct-1),AL595=0),I595,0)</f>
        <v>0</v>
      </c>
      <c r="BO595" s="210">
        <f>IF(AND(Input_Product=Elig!$C595,Elig_MatchAll_Ct&lt;22,$BC595=(Elig_MatchAll_Ct-1),AM595=0),J595,0)</f>
        <v>0</v>
      </c>
      <c r="BP595" s="210">
        <f>IF(AND(Input_Product=Elig!$C595,Elig_MatchAll_Ct&lt;22,$BC595=(Elig_MatchAll_Ct-1),AN595=0),K595,0)</f>
        <v>0</v>
      </c>
      <c r="BQ595" s="210">
        <f>IF(AND(Input_Product=Elig!$C595,Elig_MatchAll_Ct&lt;22,$BC595=(Elig_MatchAll_Ct-1),AP595=0),L595,0)</f>
        <v>0</v>
      </c>
      <c r="BR595" s="210">
        <f>IF(AND(Input_Product=Elig!$C595,Elig_MatchAll_Ct&lt;22,$BC595=(Elig_MatchAll_Ct-1),AO595=0),M595,0)</f>
        <v>0</v>
      </c>
      <c r="BS595" s="210">
        <f>IF(AND(Input_Product=Elig!$C595,Elig_MatchAll_Ct&lt;22,$BC595=(Elig_MatchAll_Ct-1),AQ595=0),N595,0)</f>
        <v>0</v>
      </c>
      <c r="BT595" s="210">
        <f>IF(AND(Input_Product=Elig!$C595,Elig_MatchAll_Ct&lt;22,$BC595=(Elig_MatchAll_Ct-1),AR595=0),O595,0)</f>
        <v>0</v>
      </c>
      <c r="BU595" s="210">
        <f>IF(AND(Input_Product=Elig!$C595,Elig_MatchAll_Ct&lt;22,$BC595=(Elig_MatchAll_Ct-1),AS595=0),P595,0)</f>
        <v>0</v>
      </c>
      <c r="BV595" s="211">
        <f>IF(AND(Input_Product=Elig!$C595,Elig_MatchAll_Ct&lt;22,$BC595=(Elig_MatchAll_Ct-1),AT595=0),Q595,0)</f>
        <v>0</v>
      </c>
      <c r="BW595" s="212">
        <f>IF(AND(Input_Product=Elig!$C595,Elig_MatchAll_Ct&lt;22,$BC595=(Elig_MatchAll_Ct-1),AU595=0),R595,0)</f>
        <v>0</v>
      </c>
      <c r="BX595" s="213">
        <f>IF(AND(Input_Product=Elig!$C595,Elig_MatchAll_Ct&lt;22,$BC595=(Elig_MatchAll_Ct-1),AU595=0),S595,0)</f>
        <v>0</v>
      </c>
      <c r="BY595" s="212">
        <f>IF(AND(Input_Product=Elig!$C595,Elig_MatchAll_Ct&lt;22,$BC595=(Elig_MatchAll_Ct-1),AV595=0),T595,0)</f>
        <v>0</v>
      </c>
      <c r="BZ595" s="213">
        <f>IF(AND(Input_Product=Elig!$C595,Elig_MatchAll_Ct&lt;22,$BC595=(Elig_MatchAll_Ct-1),AV595=0),U595,0)</f>
        <v>0</v>
      </c>
      <c r="CA595" s="212">
        <f>IF(AND(Input_Product=Elig!$C595,Elig_MatchAll_Ct&lt;22,$BC595=(Elig_MatchAll_Ct-1),AW595=0),V595,0)</f>
        <v>0</v>
      </c>
      <c r="CB595" s="213">
        <f>IF(AND(Input_Product=Elig!$C595,Elig_MatchAll_Ct&lt;22,$BC595=(Elig_MatchAll_Ct-1),AW595=0),W595,0)</f>
        <v>0</v>
      </c>
      <c r="CC595" s="212">
        <f>IF(AND(Input_Product=Elig!$C595,Elig_MatchAll_Ct&lt;22,$BC595=(Elig_MatchAll_Ct-1),AX595=0),X595,0)</f>
        <v>0</v>
      </c>
      <c r="CD595" s="213">
        <f>IF(AND(Input_Product=Elig!$C595,Elig_MatchAll_Ct&lt;22,$BC595=(Elig_MatchAll_Ct-1),AX595=0),Y595,0)</f>
        <v>0</v>
      </c>
      <c r="CE595" s="212">
        <f>IF(AND(Input_LTV&lt;=AE595,Input_Product=Elig!$C595,Elig_MatchAll_Ct&lt;22,$BC595=(Elig_MatchAll_Ct-1),AY595=0),Z595,0)</f>
        <v>0</v>
      </c>
      <c r="CF595" s="213">
        <f>IF(AND(Input_LTV&lt;=AE595,Input_Product=Elig!$C595,Elig_MatchAll_Ct&lt;22,$BC595=(Elig_MatchAll_Ct-1),AY595=0),AA595,0)</f>
        <v>0</v>
      </c>
      <c r="CG595" s="212">
        <f>IF(AND(Input_Product=Elig!$C595,Elig_MatchAll_Ct&lt;22,$BC595=(Elig_MatchAll_Ct-1),AZ595=0),AB595,0)</f>
        <v>0</v>
      </c>
      <c r="CH595" s="213">
        <f>IF(AND(Input_Product=Elig!$C595,Elig_MatchAll_Ct&lt;22,$BC595=(Elig_MatchAll_Ct-1),AZ595=0),AC595,0)</f>
        <v>0</v>
      </c>
      <c r="CI595" s="212">
        <f>IF(AND(Input_Product=Elig!$C595,Elig_MatchAll_Ct&lt;22,$BC595=(Elig_MatchAll_Ct-1),BA595=0),AD595,0)</f>
        <v>0</v>
      </c>
      <c r="CJ595" s="213">
        <f>IF(AND(Input_Product=Elig!$C595,Elig_MatchAll_Ct&lt;22,$BC595=(Elig_MatchAll_Ct-1),BA595=0),AE595,0)</f>
        <v>0</v>
      </c>
    </row>
    <row r="596" spans="2:88" ht="10.15" customHeight="1" x14ac:dyDescent="0.25">
      <c r="B596" s="1913" t="s">
        <v>1167</v>
      </c>
      <c r="C596" s="151" t="str">
        <f t="shared" ref="C596:C625" si="269">Input_Name_Product3</f>
        <v>Multi NOO</v>
      </c>
      <c r="D596" s="152" t="s">
        <v>2218</v>
      </c>
      <c r="E596" s="153" t="s">
        <v>167</v>
      </c>
      <c r="F596" s="153" t="s">
        <v>330</v>
      </c>
      <c r="G596" s="153" t="s">
        <v>181</v>
      </c>
      <c r="H596" s="153" t="s">
        <v>136</v>
      </c>
      <c r="I596" s="152" t="s">
        <v>274</v>
      </c>
      <c r="J596" s="152" t="s">
        <v>1311</v>
      </c>
      <c r="K596" s="153" t="s">
        <v>356</v>
      </c>
      <c r="L596" s="153" t="s">
        <v>312</v>
      </c>
      <c r="M596" s="153" t="s">
        <v>4203</v>
      </c>
      <c r="N596" s="153" t="s">
        <v>2685</v>
      </c>
      <c r="O596" s="153" t="s">
        <v>310</v>
      </c>
      <c r="P596" s="153" t="s">
        <v>108</v>
      </c>
      <c r="Q596" s="153" t="s">
        <v>294</v>
      </c>
      <c r="R596" s="152">
        <v>150000</v>
      </c>
      <c r="S596" s="152">
        <v>1000000</v>
      </c>
      <c r="T596" s="152">
        <v>0</v>
      </c>
      <c r="U596" s="152">
        <v>0</v>
      </c>
      <c r="V596" s="152">
        <v>0</v>
      </c>
      <c r="W596" s="152">
        <v>50</v>
      </c>
      <c r="X596" s="152">
        <v>1</v>
      </c>
      <c r="Y596" s="152">
        <v>999</v>
      </c>
      <c r="Z596" s="154">
        <v>720</v>
      </c>
      <c r="AA596" s="154">
        <v>999</v>
      </c>
      <c r="AB596" s="154">
        <v>3</v>
      </c>
      <c r="AC596" s="154">
        <v>999999</v>
      </c>
      <c r="AD596" s="152">
        <v>0</v>
      </c>
      <c r="AE596" s="152">
        <v>75</v>
      </c>
      <c r="AF596" s="170">
        <v>0</v>
      </c>
      <c r="AG596" s="171">
        <v>1</v>
      </c>
      <c r="AH596" s="171">
        <v>1</v>
      </c>
      <c r="AI596" s="171">
        <v>0</v>
      </c>
      <c r="AJ596" s="171">
        <v>0</v>
      </c>
      <c r="AK596" s="171">
        <v>1</v>
      </c>
      <c r="AL596" s="171">
        <v>0</v>
      </c>
      <c r="AM596" s="171">
        <v>1</v>
      </c>
      <c r="AN596" s="171">
        <v>0</v>
      </c>
      <c r="AO596" s="171">
        <v>1</v>
      </c>
      <c r="AP596" s="171">
        <v>1</v>
      </c>
      <c r="AQ596" s="171">
        <v>1</v>
      </c>
      <c r="AR596" s="171">
        <v>1</v>
      </c>
      <c r="AS596" s="171">
        <v>1</v>
      </c>
      <c r="AT596" s="171">
        <v>1</v>
      </c>
      <c r="AU596" s="171">
        <f t="shared" si="183"/>
        <v>1</v>
      </c>
      <c r="AV596" s="171">
        <f t="shared" si="184"/>
        <v>0</v>
      </c>
      <c r="AW596" s="171">
        <f t="shared" si="185"/>
        <v>1</v>
      </c>
      <c r="AX596" s="171">
        <f t="shared" si="197"/>
        <v>0</v>
      </c>
      <c r="AY596" s="171">
        <f t="shared" si="186"/>
        <v>1</v>
      </c>
      <c r="AZ596" s="171">
        <f t="shared" si="187"/>
        <v>1</v>
      </c>
      <c r="BA596" s="172">
        <f t="shared" si="188"/>
        <v>1</v>
      </c>
      <c r="BB596" s="175">
        <f t="shared" si="190"/>
        <v>15</v>
      </c>
      <c r="BC596" s="176">
        <f t="shared" si="191"/>
        <v>14</v>
      </c>
      <c r="BD596" s="176">
        <f t="shared" si="192"/>
        <v>15</v>
      </c>
      <c r="BE596" s="240" t="str">
        <f t="shared" si="259"/>
        <v/>
      </c>
      <c r="BH596" s="210">
        <f>IF(AND(Input_Product=Elig!$C596,Elig_MatchAll_Ct&lt;22,$BC596=(Elig_MatchAll_Ct-1),AF596=0),C596,0)</f>
        <v>0</v>
      </c>
      <c r="BI596" s="210">
        <f>IF(AND(Input_Product=Elig!$C596,Elig_MatchAll_Ct&lt;22,$BC596=(Elig_MatchAll_Ct-1),AG596=0),D596,0)</f>
        <v>0</v>
      </c>
      <c r="BJ596" s="210">
        <f>IF(AND(Input_Product=Elig!$C596,Elig_MatchAll_Ct&lt;22,$BC596=(Elig_MatchAll_Ct-1),AH596=0),E596,0)</f>
        <v>0</v>
      </c>
      <c r="BK596" s="210">
        <f>IF(AND(Input_Product=Elig!$C596,Elig_MatchAll_Ct&lt;22,$BC596=(Elig_MatchAll_Ct-1),AI596=0),F596,0)</f>
        <v>0</v>
      </c>
      <c r="BL596" s="210">
        <f>IF(AND(Input_Product=Elig!$C596,Elig_MatchAll_Ct&lt;22,$BC596=(Elig_MatchAll_Ct-1),AJ596=0),G596,0)</f>
        <v>0</v>
      </c>
      <c r="BM596" s="210">
        <f>IF(AND(Input_Product=Elig!$C596,Elig_MatchAll_Ct&lt;22,$BC596=(Elig_MatchAll_Ct-1),AK596=0),H596,0)</f>
        <v>0</v>
      </c>
      <c r="BN596" s="210">
        <f>IF(AND(Input_Product=Elig!$C596,Elig_MatchAll_Ct&lt;22,$BC596=(Elig_MatchAll_Ct-1),AL596=0),I596,0)</f>
        <v>0</v>
      </c>
      <c r="BO596" s="210">
        <f>IF(AND(Input_Product=Elig!$C596,Elig_MatchAll_Ct&lt;22,$BC596=(Elig_MatchAll_Ct-1),AM596=0),J596,0)</f>
        <v>0</v>
      </c>
      <c r="BP596" s="210">
        <f>IF(AND(Input_Product=Elig!$C596,Elig_MatchAll_Ct&lt;22,$BC596=(Elig_MatchAll_Ct-1),AN596=0),K596,0)</f>
        <v>0</v>
      </c>
      <c r="BQ596" s="210">
        <f>IF(AND(Input_Product=Elig!$C596,Elig_MatchAll_Ct&lt;22,$BC596=(Elig_MatchAll_Ct-1),AP596=0),L596,0)</f>
        <v>0</v>
      </c>
      <c r="BR596" s="210">
        <f>IF(AND(Input_Product=Elig!$C596,Elig_MatchAll_Ct&lt;22,$BC596=(Elig_MatchAll_Ct-1),AO596=0),M596,0)</f>
        <v>0</v>
      </c>
      <c r="BS596" s="210">
        <f>IF(AND(Input_Product=Elig!$C596,Elig_MatchAll_Ct&lt;22,$BC596=(Elig_MatchAll_Ct-1),AQ596=0),N596,0)</f>
        <v>0</v>
      </c>
      <c r="BT596" s="210">
        <f>IF(AND(Input_Product=Elig!$C596,Elig_MatchAll_Ct&lt;22,$BC596=(Elig_MatchAll_Ct-1),AR596=0),O596,0)</f>
        <v>0</v>
      </c>
      <c r="BU596" s="210">
        <f>IF(AND(Input_Product=Elig!$C596,Elig_MatchAll_Ct&lt;22,$BC596=(Elig_MatchAll_Ct-1),AS596=0),P596,0)</f>
        <v>0</v>
      </c>
      <c r="BV596" s="211">
        <f>IF(AND(Input_Product=Elig!$C596,Elig_MatchAll_Ct&lt;22,$BC596=(Elig_MatchAll_Ct-1),AT596=0),Q596,0)</f>
        <v>0</v>
      </c>
      <c r="BW596" s="212">
        <f>IF(AND(Input_Product=Elig!$C596,Elig_MatchAll_Ct&lt;22,$BC596=(Elig_MatchAll_Ct-1),AU596=0),R596,0)</f>
        <v>0</v>
      </c>
      <c r="BX596" s="213">
        <f>IF(AND(Input_Product=Elig!$C596,Elig_MatchAll_Ct&lt;22,$BC596=(Elig_MatchAll_Ct-1),AU596=0),S596,0)</f>
        <v>0</v>
      </c>
      <c r="BY596" s="212">
        <f>IF(AND(Input_Product=Elig!$C596,Elig_MatchAll_Ct&lt;22,$BC596=(Elig_MatchAll_Ct-1),AV596=0),T596,0)</f>
        <v>0</v>
      </c>
      <c r="BZ596" s="213">
        <f>IF(AND(Input_Product=Elig!$C596,Elig_MatchAll_Ct&lt;22,$BC596=(Elig_MatchAll_Ct-1),AV596=0),U596,0)</f>
        <v>0</v>
      </c>
      <c r="CA596" s="212">
        <f>IF(AND(Input_Product=Elig!$C596,Elig_MatchAll_Ct&lt;22,$BC596=(Elig_MatchAll_Ct-1),AW596=0),V596,0)</f>
        <v>0</v>
      </c>
      <c r="CB596" s="213">
        <f>IF(AND(Input_Product=Elig!$C596,Elig_MatchAll_Ct&lt;22,$BC596=(Elig_MatchAll_Ct-1),AW596=0),W596,0)</f>
        <v>0</v>
      </c>
      <c r="CC596" s="212">
        <f>IF(AND(Input_Product=Elig!$C596,Elig_MatchAll_Ct&lt;22,$BC596=(Elig_MatchAll_Ct-1),AX596=0),X596,0)</f>
        <v>0</v>
      </c>
      <c r="CD596" s="213">
        <f>IF(AND(Input_Product=Elig!$C596,Elig_MatchAll_Ct&lt;22,$BC596=(Elig_MatchAll_Ct-1),AX596=0),Y596,0)</f>
        <v>0</v>
      </c>
      <c r="CE596" s="212">
        <f>IF(AND(Input_LTV&lt;=AE596,Input_Product=Elig!$C596,Elig_MatchAll_Ct&lt;22,$BC596=(Elig_MatchAll_Ct-1),AY596=0),Z596,0)</f>
        <v>0</v>
      </c>
      <c r="CF596" s="213">
        <f>IF(AND(Input_LTV&lt;=AE596,Input_Product=Elig!$C596,Elig_MatchAll_Ct&lt;22,$BC596=(Elig_MatchAll_Ct-1),AY596=0),AA596,0)</f>
        <v>0</v>
      </c>
      <c r="CG596" s="212">
        <f>IF(AND(Input_Product=Elig!$C596,Elig_MatchAll_Ct&lt;22,$BC596=(Elig_MatchAll_Ct-1),AZ596=0),AB596,0)</f>
        <v>0</v>
      </c>
      <c r="CH596" s="213">
        <f>IF(AND(Input_Product=Elig!$C596,Elig_MatchAll_Ct&lt;22,$BC596=(Elig_MatchAll_Ct-1),AZ596=0),AC596,0)</f>
        <v>0</v>
      </c>
      <c r="CI596" s="212">
        <f>IF(AND(Input_Product=Elig!$C596,Elig_MatchAll_Ct&lt;22,$BC596=(Elig_MatchAll_Ct-1),BA596=0),AD596,0)</f>
        <v>0</v>
      </c>
      <c r="CJ596" s="213">
        <f>IF(AND(Input_Product=Elig!$C596,Elig_MatchAll_Ct&lt;22,$BC596=(Elig_MatchAll_Ct-1),BA596=0),AE596,0)</f>
        <v>0</v>
      </c>
    </row>
    <row r="597" spans="2:88" ht="10.15" customHeight="1" x14ac:dyDescent="0.25">
      <c r="B597" s="1914" t="s">
        <v>1168</v>
      </c>
      <c r="C597" s="155" t="str">
        <f t="shared" si="269"/>
        <v>Multi NOO</v>
      </c>
      <c r="D597" s="156" t="s">
        <v>2218</v>
      </c>
      <c r="E597" s="156" t="s">
        <v>167</v>
      </c>
      <c r="F597" s="156" t="s">
        <v>330</v>
      </c>
      <c r="G597" s="156" t="s">
        <v>181</v>
      </c>
      <c r="H597" s="156" t="s">
        <v>136</v>
      </c>
      <c r="I597" s="157" t="s">
        <v>274</v>
      </c>
      <c r="J597" s="157" t="s">
        <v>1311</v>
      </c>
      <c r="K597" s="157" t="s">
        <v>356</v>
      </c>
      <c r="L597" s="156" t="s">
        <v>312</v>
      </c>
      <c r="M597" s="156" t="s">
        <v>4203</v>
      </c>
      <c r="N597" s="156" t="s">
        <v>2685</v>
      </c>
      <c r="O597" s="156" t="s">
        <v>310</v>
      </c>
      <c r="P597" s="156" t="s">
        <v>108</v>
      </c>
      <c r="Q597" s="156" t="s">
        <v>294</v>
      </c>
      <c r="R597" s="156">
        <v>150000</v>
      </c>
      <c r="S597" s="156">
        <v>1000000</v>
      </c>
      <c r="T597" s="156">
        <v>0</v>
      </c>
      <c r="U597" s="156">
        <v>0</v>
      </c>
      <c r="V597" s="156">
        <v>0</v>
      </c>
      <c r="W597" s="156">
        <v>50</v>
      </c>
      <c r="X597" s="156">
        <v>1</v>
      </c>
      <c r="Y597" s="156">
        <v>999</v>
      </c>
      <c r="Z597" s="158">
        <v>700</v>
      </c>
      <c r="AA597" s="158">
        <v>719</v>
      </c>
      <c r="AB597" s="158">
        <v>3</v>
      </c>
      <c r="AC597" s="158">
        <v>999999</v>
      </c>
      <c r="AD597" s="156">
        <v>0</v>
      </c>
      <c r="AE597" s="156">
        <v>75</v>
      </c>
      <c r="AF597" s="170">
        <v>0</v>
      </c>
      <c r="AG597" s="171">
        <v>1</v>
      </c>
      <c r="AH597" s="171">
        <v>1</v>
      </c>
      <c r="AI597" s="171">
        <v>0</v>
      </c>
      <c r="AJ597" s="171">
        <v>0</v>
      </c>
      <c r="AK597" s="171">
        <v>1</v>
      </c>
      <c r="AL597" s="171">
        <v>0</v>
      </c>
      <c r="AM597" s="171">
        <v>1</v>
      </c>
      <c r="AN597" s="171">
        <v>0</v>
      </c>
      <c r="AO597" s="171">
        <v>1</v>
      </c>
      <c r="AP597" s="171">
        <v>1</v>
      </c>
      <c r="AQ597" s="171">
        <v>1</v>
      </c>
      <c r="AR597" s="171">
        <v>1</v>
      </c>
      <c r="AS597" s="171">
        <v>1</v>
      </c>
      <c r="AT597" s="171">
        <v>1</v>
      </c>
      <c r="AU597" s="171">
        <f t="shared" si="183"/>
        <v>1</v>
      </c>
      <c r="AV597" s="171">
        <f t="shared" si="184"/>
        <v>0</v>
      </c>
      <c r="AW597" s="171">
        <f t="shared" si="185"/>
        <v>1</v>
      </c>
      <c r="AX597" s="171">
        <f t="shared" si="197"/>
        <v>0</v>
      </c>
      <c r="AY597" s="171">
        <f t="shared" si="186"/>
        <v>0</v>
      </c>
      <c r="AZ597" s="171">
        <f t="shared" si="187"/>
        <v>1</v>
      </c>
      <c r="BA597" s="172">
        <f t="shared" si="188"/>
        <v>1</v>
      </c>
      <c r="BB597" s="175">
        <f t="shared" si="190"/>
        <v>14</v>
      </c>
      <c r="BC597" s="176">
        <f t="shared" si="191"/>
        <v>13</v>
      </c>
      <c r="BD597" s="176">
        <f t="shared" si="192"/>
        <v>14</v>
      </c>
      <c r="BE597" s="240" t="str">
        <f t="shared" si="259"/>
        <v/>
      </c>
      <c r="BH597" s="199">
        <f>IF(AND(Input_Product=Elig!$C597,Elig_MatchAll_Ct&lt;22,$BC597=(Elig_MatchAll_Ct-1),AF597=0),C597,0)</f>
        <v>0</v>
      </c>
      <c r="BI597" s="199">
        <f>IF(AND(Input_Product=Elig!$C597,Elig_MatchAll_Ct&lt;22,$BC597=(Elig_MatchAll_Ct-1),AG597=0),D597,0)</f>
        <v>0</v>
      </c>
      <c r="BJ597" s="199">
        <f>IF(AND(Input_Product=Elig!$C597,Elig_MatchAll_Ct&lt;22,$BC597=(Elig_MatchAll_Ct-1),AH597=0),E597,0)</f>
        <v>0</v>
      </c>
      <c r="BK597" s="199">
        <f>IF(AND(Input_Product=Elig!$C597,Elig_MatchAll_Ct&lt;22,$BC597=(Elig_MatchAll_Ct-1),AI597=0),F597,0)</f>
        <v>0</v>
      </c>
      <c r="BL597" s="199">
        <f>IF(AND(Input_Product=Elig!$C597,Elig_MatchAll_Ct&lt;22,$BC597=(Elig_MatchAll_Ct-1),AJ597=0),G597,0)</f>
        <v>0</v>
      </c>
      <c r="BM597" s="199">
        <f>IF(AND(Input_Product=Elig!$C597,Elig_MatchAll_Ct&lt;22,$BC597=(Elig_MatchAll_Ct-1),AK597=0),H597,0)</f>
        <v>0</v>
      </c>
      <c r="BN597" s="199">
        <f>IF(AND(Input_Product=Elig!$C597,Elig_MatchAll_Ct&lt;22,$BC597=(Elig_MatchAll_Ct-1),AL597=0),I597,0)</f>
        <v>0</v>
      </c>
      <c r="BO597" s="199">
        <f>IF(AND(Input_Product=Elig!$C597,Elig_MatchAll_Ct&lt;22,$BC597=(Elig_MatchAll_Ct-1),AM597=0),J597,0)</f>
        <v>0</v>
      </c>
      <c r="BP597" s="199">
        <f>IF(AND(Input_Product=Elig!$C597,Elig_MatchAll_Ct&lt;22,$BC597=(Elig_MatchAll_Ct-1),AN597=0),K597,0)</f>
        <v>0</v>
      </c>
      <c r="BQ597" s="199">
        <f>IF(AND(Input_Product=Elig!$C597,Elig_MatchAll_Ct&lt;22,$BC597=(Elig_MatchAll_Ct-1),AP597=0),L597,0)</f>
        <v>0</v>
      </c>
      <c r="BR597" s="199">
        <f>IF(AND(Input_Product=Elig!$C597,Elig_MatchAll_Ct&lt;22,$BC597=(Elig_MatchAll_Ct-1),AO597=0),M597,0)</f>
        <v>0</v>
      </c>
      <c r="BS597" s="199">
        <f>IF(AND(Input_Product=Elig!$C597,Elig_MatchAll_Ct&lt;22,$BC597=(Elig_MatchAll_Ct-1),AQ597=0),N597,0)</f>
        <v>0</v>
      </c>
      <c r="BT597" s="199">
        <f>IF(AND(Input_Product=Elig!$C597,Elig_MatchAll_Ct&lt;22,$BC597=(Elig_MatchAll_Ct-1),AR597=0),O597,0)</f>
        <v>0</v>
      </c>
      <c r="BU597" s="199">
        <f>IF(AND(Input_Product=Elig!$C597,Elig_MatchAll_Ct&lt;22,$BC597=(Elig_MatchAll_Ct-1),AS597=0),P597,0)</f>
        <v>0</v>
      </c>
      <c r="BV597" s="200">
        <f>IF(AND(Input_Product=Elig!$C597,Elig_MatchAll_Ct&lt;22,$BC597=(Elig_MatchAll_Ct-1),AT597=0),Q597,0)</f>
        <v>0</v>
      </c>
      <c r="BW597" s="201">
        <f>IF(AND(Input_Product=Elig!$C597,Elig_MatchAll_Ct&lt;22,$BC597=(Elig_MatchAll_Ct-1),AU597=0),R597,0)</f>
        <v>0</v>
      </c>
      <c r="BX597" s="202">
        <f>IF(AND(Input_Product=Elig!$C597,Elig_MatchAll_Ct&lt;22,$BC597=(Elig_MatchAll_Ct-1),AU597=0),S597,0)</f>
        <v>0</v>
      </c>
      <c r="BY597" s="201">
        <f>IF(AND(Input_Product=Elig!$C597,Elig_MatchAll_Ct&lt;22,$BC597=(Elig_MatchAll_Ct-1),AV597=0),T597,0)</f>
        <v>0</v>
      </c>
      <c r="BZ597" s="202">
        <f>IF(AND(Input_Product=Elig!$C597,Elig_MatchAll_Ct&lt;22,$BC597=(Elig_MatchAll_Ct-1),AV597=0),U597,0)</f>
        <v>0</v>
      </c>
      <c r="CA597" s="201">
        <f>IF(AND(Input_Product=Elig!$C597,Elig_MatchAll_Ct&lt;22,$BC597=(Elig_MatchAll_Ct-1),AW597=0),V597,0)</f>
        <v>0</v>
      </c>
      <c r="CB597" s="202">
        <f>IF(AND(Input_Product=Elig!$C597,Elig_MatchAll_Ct&lt;22,$BC597=(Elig_MatchAll_Ct-1),AW597=0),W597,0)</f>
        <v>0</v>
      </c>
      <c r="CC597" s="201">
        <f>IF(AND(Input_Product=Elig!$C597,Elig_MatchAll_Ct&lt;22,$BC597=(Elig_MatchAll_Ct-1),AX597=0),X597,0)</f>
        <v>0</v>
      </c>
      <c r="CD597" s="202">
        <f>IF(AND(Input_Product=Elig!$C597,Elig_MatchAll_Ct&lt;22,$BC597=(Elig_MatchAll_Ct-1),AX597=0),Y597,0)</f>
        <v>0</v>
      </c>
      <c r="CE597" s="201">
        <f>IF(AND(Input_LTV&lt;=AE597,Input_Product=Elig!$C597,Elig_MatchAll_Ct&lt;22,$BC597=(Elig_MatchAll_Ct-1),AY597=0),Z597,0)</f>
        <v>0</v>
      </c>
      <c r="CF597" s="202">
        <f>IF(AND(Input_LTV&lt;=AE597,Input_Product=Elig!$C597,Elig_MatchAll_Ct&lt;22,$BC597=(Elig_MatchAll_Ct-1),AY597=0),AA597,0)</f>
        <v>0</v>
      </c>
      <c r="CG597" s="201">
        <f>IF(AND(Input_Product=Elig!$C597,Elig_MatchAll_Ct&lt;22,$BC597=(Elig_MatchAll_Ct-1),AZ597=0),AB597,0)</f>
        <v>0</v>
      </c>
      <c r="CH597" s="202">
        <f>IF(AND(Input_Product=Elig!$C597,Elig_MatchAll_Ct&lt;22,$BC597=(Elig_MatchAll_Ct-1),AZ597=0),AC597,0)</f>
        <v>0</v>
      </c>
      <c r="CI597" s="201">
        <f>IF(AND(Input_Product=Elig!$C597,Elig_MatchAll_Ct&lt;22,$BC597=(Elig_MatchAll_Ct-1),BA597=0),AD597,0)</f>
        <v>0</v>
      </c>
      <c r="CJ597" s="202">
        <f>IF(AND(Input_Product=Elig!$C597,Elig_MatchAll_Ct&lt;22,$BC597=(Elig_MatchAll_Ct-1),BA597=0),AE597,0)</f>
        <v>0</v>
      </c>
    </row>
    <row r="598" spans="2:88" ht="10.15" customHeight="1" x14ac:dyDescent="0.25">
      <c r="B598" s="1914" t="s">
        <v>1169</v>
      </c>
      <c r="C598" s="155" t="str">
        <f t="shared" si="269"/>
        <v>Multi NOO</v>
      </c>
      <c r="D598" s="156" t="s">
        <v>2218</v>
      </c>
      <c r="E598" s="156" t="s">
        <v>167</v>
      </c>
      <c r="F598" s="156" t="s">
        <v>330</v>
      </c>
      <c r="G598" s="156" t="s">
        <v>181</v>
      </c>
      <c r="H598" s="156" t="s">
        <v>136</v>
      </c>
      <c r="I598" s="157" t="s">
        <v>274</v>
      </c>
      <c r="J598" s="157" t="s">
        <v>1311</v>
      </c>
      <c r="K598" s="157" t="s">
        <v>356</v>
      </c>
      <c r="L598" s="156" t="s">
        <v>312</v>
      </c>
      <c r="M598" s="156" t="s">
        <v>4203</v>
      </c>
      <c r="N598" s="156" t="s">
        <v>2685</v>
      </c>
      <c r="O598" s="156" t="s">
        <v>310</v>
      </c>
      <c r="P598" s="156" t="s">
        <v>108</v>
      </c>
      <c r="Q598" s="156" t="s">
        <v>294</v>
      </c>
      <c r="R598" s="156">
        <v>150000</v>
      </c>
      <c r="S598" s="156">
        <v>1000000</v>
      </c>
      <c r="T598" s="156">
        <v>0</v>
      </c>
      <c r="U598" s="156">
        <v>0</v>
      </c>
      <c r="V598" s="156">
        <v>0</v>
      </c>
      <c r="W598" s="156">
        <v>50</v>
      </c>
      <c r="X598" s="156">
        <v>1</v>
      </c>
      <c r="Y598" s="156">
        <v>999</v>
      </c>
      <c r="Z598" s="158">
        <v>680</v>
      </c>
      <c r="AA598" s="158">
        <v>699</v>
      </c>
      <c r="AB598" s="158">
        <v>3</v>
      </c>
      <c r="AC598" s="158">
        <v>999999</v>
      </c>
      <c r="AD598" s="156">
        <v>0</v>
      </c>
      <c r="AE598" s="156">
        <v>75</v>
      </c>
      <c r="AF598" s="170">
        <v>0</v>
      </c>
      <c r="AG598" s="171">
        <v>1</v>
      </c>
      <c r="AH598" s="171">
        <v>1</v>
      </c>
      <c r="AI598" s="171">
        <v>0</v>
      </c>
      <c r="AJ598" s="171">
        <v>0</v>
      </c>
      <c r="AK598" s="171">
        <v>1</v>
      </c>
      <c r="AL598" s="171">
        <v>0</v>
      </c>
      <c r="AM598" s="171">
        <v>1</v>
      </c>
      <c r="AN598" s="171">
        <v>0</v>
      </c>
      <c r="AO598" s="171">
        <v>1</v>
      </c>
      <c r="AP598" s="171">
        <v>1</v>
      </c>
      <c r="AQ598" s="171">
        <v>1</v>
      </c>
      <c r="AR598" s="171">
        <v>1</v>
      </c>
      <c r="AS598" s="171">
        <v>1</v>
      </c>
      <c r="AT598" s="171">
        <v>1</v>
      </c>
      <c r="AU598" s="171">
        <f t="shared" si="183"/>
        <v>1</v>
      </c>
      <c r="AV598" s="171">
        <f t="shared" si="184"/>
        <v>0</v>
      </c>
      <c r="AW598" s="171">
        <f t="shared" si="185"/>
        <v>1</v>
      </c>
      <c r="AX598" s="171">
        <f t="shared" si="197"/>
        <v>0</v>
      </c>
      <c r="AY598" s="171">
        <f t="shared" si="186"/>
        <v>0</v>
      </c>
      <c r="AZ598" s="171">
        <f t="shared" si="187"/>
        <v>1</v>
      </c>
      <c r="BA598" s="172">
        <f t="shared" si="188"/>
        <v>1</v>
      </c>
      <c r="BB598" s="175">
        <f t="shared" si="190"/>
        <v>14</v>
      </c>
      <c r="BC598" s="176">
        <f t="shared" si="191"/>
        <v>13</v>
      </c>
      <c r="BD598" s="176">
        <f t="shared" si="192"/>
        <v>14</v>
      </c>
      <c r="BE598" s="240" t="str">
        <f t="shared" si="259"/>
        <v/>
      </c>
      <c r="BH598" s="199">
        <f>IF(AND(Input_Product=Elig!$C598,Elig_MatchAll_Ct&lt;22,$BC598=(Elig_MatchAll_Ct-1),AF598=0),C598,0)</f>
        <v>0</v>
      </c>
      <c r="BI598" s="199">
        <f>IF(AND(Input_Product=Elig!$C598,Elig_MatchAll_Ct&lt;22,$BC598=(Elig_MatchAll_Ct-1),AG598=0),D598,0)</f>
        <v>0</v>
      </c>
      <c r="BJ598" s="199">
        <f>IF(AND(Input_Product=Elig!$C598,Elig_MatchAll_Ct&lt;22,$BC598=(Elig_MatchAll_Ct-1),AH598=0),E598,0)</f>
        <v>0</v>
      </c>
      <c r="BK598" s="199">
        <f>IF(AND(Input_Product=Elig!$C598,Elig_MatchAll_Ct&lt;22,$BC598=(Elig_MatchAll_Ct-1),AI598=0),F598,0)</f>
        <v>0</v>
      </c>
      <c r="BL598" s="199">
        <f>IF(AND(Input_Product=Elig!$C598,Elig_MatchAll_Ct&lt;22,$BC598=(Elig_MatchAll_Ct-1),AJ598=0),G598,0)</f>
        <v>0</v>
      </c>
      <c r="BM598" s="199">
        <f>IF(AND(Input_Product=Elig!$C598,Elig_MatchAll_Ct&lt;22,$BC598=(Elig_MatchAll_Ct-1),AK598=0),H598,0)</f>
        <v>0</v>
      </c>
      <c r="BN598" s="199">
        <f>IF(AND(Input_Product=Elig!$C598,Elig_MatchAll_Ct&lt;22,$BC598=(Elig_MatchAll_Ct-1),AL598=0),I598,0)</f>
        <v>0</v>
      </c>
      <c r="BO598" s="199">
        <f>IF(AND(Input_Product=Elig!$C598,Elig_MatchAll_Ct&lt;22,$BC598=(Elig_MatchAll_Ct-1),AM598=0),J598,0)</f>
        <v>0</v>
      </c>
      <c r="BP598" s="199">
        <f>IF(AND(Input_Product=Elig!$C598,Elig_MatchAll_Ct&lt;22,$BC598=(Elig_MatchAll_Ct-1),AN598=0),K598,0)</f>
        <v>0</v>
      </c>
      <c r="BQ598" s="199">
        <f>IF(AND(Input_Product=Elig!$C598,Elig_MatchAll_Ct&lt;22,$BC598=(Elig_MatchAll_Ct-1),AP598=0),L598,0)</f>
        <v>0</v>
      </c>
      <c r="BR598" s="199">
        <f>IF(AND(Input_Product=Elig!$C598,Elig_MatchAll_Ct&lt;22,$BC598=(Elig_MatchAll_Ct-1),AO598=0),M598,0)</f>
        <v>0</v>
      </c>
      <c r="BS598" s="199">
        <f>IF(AND(Input_Product=Elig!$C598,Elig_MatchAll_Ct&lt;22,$BC598=(Elig_MatchAll_Ct-1),AQ598=0),N598,0)</f>
        <v>0</v>
      </c>
      <c r="BT598" s="199">
        <f>IF(AND(Input_Product=Elig!$C598,Elig_MatchAll_Ct&lt;22,$BC598=(Elig_MatchAll_Ct-1),AR598=0),O598,0)</f>
        <v>0</v>
      </c>
      <c r="BU598" s="199">
        <f>IF(AND(Input_Product=Elig!$C598,Elig_MatchAll_Ct&lt;22,$BC598=(Elig_MatchAll_Ct-1),AS598=0),P598,0)</f>
        <v>0</v>
      </c>
      <c r="BV598" s="200">
        <f>IF(AND(Input_Product=Elig!$C598,Elig_MatchAll_Ct&lt;22,$BC598=(Elig_MatchAll_Ct-1),AT598=0),Q598,0)</f>
        <v>0</v>
      </c>
      <c r="BW598" s="201">
        <f>IF(AND(Input_Product=Elig!$C598,Elig_MatchAll_Ct&lt;22,$BC598=(Elig_MatchAll_Ct-1),AU598=0),R598,0)</f>
        <v>0</v>
      </c>
      <c r="BX598" s="202">
        <f>IF(AND(Input_Product=Elig!$C598,Elig_MatchAll_Ct&lt;22,$BC598=(Elig_MatchAll_Ct-1),AU598=0),S598,0)</f>
        <v>0</v>
      </c>
      <c r="BY598" s="201">
        <f>IF(AND(Input_Product=Elig!$C598,Elig_MatchAll_Ct&lt;22,$BC598=(Elig_MatchAll_Ct-1),AV598=0),T598,0)</f>
        <v>0</v>
      </c>
      <c r="BZ598" s="202">
        <f>IF(AND(Input_Product=Elig!$C598,Elig_MatchAll_Ct&lt;22,$BC598=(Elig_MatchAll_Ct-1),AV598=0),U598,0)</f>
        <v>0</v>
      </c>
      <c r="CA598" s="201">
        <f>IF(AND(Input_Product=Elig!$C598,Elig_MatchAll_Ct&lt;22,$BC598=(Elig_MatchAll_Ct-1),AW598=0),V598,0)</f>
        <v>0</v>
      </c>
      <c r="CB598" s="202">
        <f>IF(AND(Input_Product=Elig!$C598,Elig_MatchAll_Ct&lt;22,$BC598=(Elig_MatchAll_Ct-1),AW598=0),W598,0)</f>
        <v>0</v>
      </c>
      <c r="CC598" s="201">
        <f>IF(AND(Input_Product=Elig!$C598,Elig_MatchAll_Ct&lt;22,$BC598=(Elig_MatchAll_Ct-1),AX598=0),X598,0)</f>
        <v>0</v>
      </c>
      <c r="CD598" s="202">
        <f>IF(AND(Input_Product=Elig!$C598,Elig_MatchAll_Ct&lt;22,$BC598=(Elig_MatchAll_Ct-1),AX598=0),Y598,0)</f>
        <v>0</v>
      </c>
      <c r="CE598" s="201">
        <f>IF(AND(Input_LTV&lt;=AE598,Input_Product=Elig!$C598,Elig_MatchAll_Ct&lt;22,$BC598=(Elig_MatchAll_Ct-1),AY598=0),Z598,0)</f>
        <v>0</v>
      </c>
      <c r="CF598" s="202">
        <f>IF(AND(Input_LTV&lt;=AE598,Input_Product=Elig!$C598,Elig_MatchAll_Ct&lt;22,$BC598=(Elig_MatchAll_Ct-1),AY598=0),AA598,0)</f>
        <v>0</v>
      </c>
      <c r="CG598" s="201">
        <f>IF(AND(Input_Product=Elig!$C598,Elig_MatchAll_Ct&lt;22,$BC598=(Elig_MatchAll_Ct-1),AZ598=0),AB598,0)</f>
        <v>0</v>
      </c>
      <c r="CH598" s="202">
        <f>IF(AND(Input_Product=Elig!$C598,Elig_MatchAll_Ct&lt;22,$BC598=(Elig_MatchAll_Ct-1),AZ598=0),AC598,0)</f>
        <v>0</v>
      </c>
      <c r="CI598" s="201">
        <f>IF(AND(Input_Product=Elig!$C598,Elig_MatchAll_Ct&lt;22,$BC598=(Elig_MatchAll_Ct-1),BA598=0),AD598,0)</f>
        <v>0</v>
      </c>
      <c r="CJ598" s="202">
        <f>IF(AND(Input_Product=Elig!$C598,Elig_MatchAll_Ct&lt;22,$BC598=(Elig_MatchAll_Ct-1),BA598=0),AE598,0)</f>
        <v>0</v>
      </c>
    </row>
    <row r="599" spans="2:88" ht="10.15" customHeight="1" x14ac:dyDescent="0.25">
      <c r="B599" s="1914" t="s">
        <v>1170</v>
      </c>
      <c r="C599" s="155" t="str">
        <f t="shared" si="269"/>
        <v>Multi NOO</v>
      </c>
      <c r="D599" s="156" t="s">
        <v>2218</v>
      </c>
      <c r="E599" s="156" t="s">
        <v>167</v>
      </c>
      <c r="F599" s="156" t="s">
        <v>330</v>
      </c>
      <c r="G599" s="156" t="s">
        <v>181</v>
      </c>
      <c r="H599" s="156" t="s">
        <v>136</v>
      </c>
      <c r="I599" s="156" t="s">
        <v>274</v>
      </c>
      <c r="J599" s="156" t="s">
        <v>1311</v>
      </c>
      <c r="K599" s="156" t="s">
        <v>356</v>
      </c>
      <c r="L599" s="156" t="s">
        <v>312</v>
      </c>
      <c r="M599" s="156" t="s">
        <v>4203</v>
      </c>
      <c r="N599" s="156" t="s">
        <v>2685</v>
      </c>
      <c r="O599" s="156" t="s">
        <v>310</v>
      </c>
      <c r="P599" s="156" t="s">
        <v>108</v>
      </c>
      <c r="Q599" s="156" t="s">
        <v>294</v>
      </c>
      <c r="R599" s="156">
        <v>150000</v>
      </c>
      <c r="S599" s="156">
        <v>1000000</v>
      </c>
      <c r="T599" s="156">
        <v>0</v>
      </c>
      <c r="U599" s="156">
        <v>0</v>
      </c>
      <c r="V599" s="156">
        <v>0</v>
      </c>
      <c r="W599" s="156">
        <v>50</v>
      </c>
      <c r="X599" s="156">
        <v>1</v>
      </c>
      <c r="Y599" s="156">
        <v>999</v>
      </c>
      <c r="Z599" s="158">
        <v>660</v>
      </c>
      <c r="AA599" s="158">
        <v>679</v>
      </c>
      <c r="AB599" s="158">
        <v>3</v>
      </c>
      <c r="AC599" s="158">
        <v>999999</v>
      </c>
      <c r="AD599" s="156">
        <v>0</v>
      </c>
      <c r="AE599" s="156">
        <v>70</v>
      </c>
      <c r="AF599" s="170">
        <v>0</v>
      </c>
      <c r="AG599" s="171">
        <v>1</v>
      </c>
      <c r="AH599" s="171">
        <v>1</v>
      </c>
      <c r="AI599" s="171">
        <v>0</v>
      </c>
      <c r="AJ599" s="171">
        <v>0</v>
      </c>
      <c r="AK599" s="171">
        <v>1</v>
      </c>
      <c r="AL599" s="171">
        <v>0</v>
      </c>
      <c r="AM599" s="171">
        <v>1</v>
      </c>
      <c r="AN599" s="171">
        <v>0</v>
      </c>
      <c r="AO599" s="171">
        <v>1</v>
      </c>
      <c r="AP599" s="171">
        <v>1</v>
      </c>
      <c r="AQ599" s="171">
        <v>1</v>
      </c>
      <c r="AR599" s="171">
        <v>1</v>
      </c>
      <c r="AS599" s="171">
        <v>1</v>
      </c>
      <c r="AT599" s="171">
        <v>1</v>
      </c>
      <c r="AU599" s="171">
        <f t="shared" si="183"/>
        <v>1</v>
      </c>
      <c r="AV599" s="171">
        <f t="shared" si="184"/>
        <v>0</v>
      </c>
      <c r="AW599" s="171">
        <f t="shared" si="185"/>
        <v>1</v>
      </c>
      <c r="AX599" s="171">
        <f t="shared" si="197"/>
        <v>0</v>
      </c>
      <c r="AY599" s="171">
        <f t="shared" si="186"/>
        <v>0</v>
      </c>
      <c r="AZ599" s="171">
        <f t="shared" si="187"/>
        <v>1</v>
      </c>
      <c r="BA599" s="172">
        <f t="shared" si="188"/>
        <v>1</v>
      </c>
      <c r="BB599" s="175">
        <f t="shared" si="190"/>
        <v>14</v>
      </c>
      <c r="BC599" s="176">
        <f t="shared" si="191"/>
        <v>13</v>
      </c>
      <c r="BD599" s="176">
        <f t="shared" si="192"/>
        <v>14</v>
      </c>
      <c r="BE599" s="240" t="str">
        <f t="shared" si="259"/>
        <v/>
      </c>
      <c r="BH599" s="214">
        <f>IF(AND(Input_Product=Elig!$C599,Elig_MatchAll_Ct&lt;22,$BC599=(Elig_MatchAll_Ct-1),AF599=0),C599,0)</f>
        <v>0</v>
      </c>
      <c r="BI599" s="214">
        <f>IF(AND(Input_Product=Elig!$C599,Elig_MatchAll_Ct&lt;22,$BC599=(Elig_MatchAll_Ct-1),AG599=0),D599,0)</f>
        <v>0</v>
      </c>
      <c r="BJ599" s="214">
        <f>IF(AND(Input_Product=Elig!$C599,Elig_MatchAll_Ct&lt;22,$BC599=(Elig_MatchAll_Ct-1),AH599=0),E599,0)</f>
        <v>0</v>
      </c>
      <c r="BK599" s="214">
        <f>IF(AND(Input_Product=Elig!$C599,Elig_MatchAll_Ct&lt;22,$BC599=(Elig_MatchAll_Ct-1),AI599=0),F599,0)</f>
        <v>0</v>
      </c>
      <c r="BL599" s="214">
        <f>IF(AND(Input_Product=Elig!$C599,Elig_MatchAll_Ct&lt;22,$BC599=(Elig_MatchAll_Ct-1),AJ599=0),G599,0)</f>
        <v>0</v>
      </c>
      <c r="BM599" s="214">
        <f>IF(AND(Input_Product=Elig!$C599,Elig_MatchAll_Ct&lt;22,$BC599=(Elig_MatchAll_Ct-1),AK599=0),H599,0)</f>
        <v>0</v>
      </c>
      <c r="BN599" s="214">
        <f>IF(AND(Input_Product=Elig!$C599,Elig_MatchAll_Ct&lt;22,$BC599=(Elig_MatchAll_Ct-1),AL599=0),I599,0)</f>
        <v>0</v>
      </c>
      <c r="BO599" s="214">
        <f>IF(AND(Input_Product=Elig!$C599,Elig_MatchAll_Ct&lt;22,$BC599=(Elig_MatchAll_Ct-1),AM599=0),J599,0)</f>
        <v>0</v>
      </c>
      <c r="BP599" s="214">
        <f>IF(AND(Input_Product=Elig!$C599,Elig_MatchAll_Ct&lt;22,$BC599=(Elig_MatchAll_Ct-1),AN599=0),K599,0)</f>
        <v>0</v>
      </c>
      <c r="BQ599" s="214">
        <f>IF(AND(Input_Product=Elig!$C599,Elig_MatchAll_Ct&lt;22,$BC599=(Elig_MatchAll_Ct-1),AP599=0),L599,0)</f>
        <v>0</v>
      </c>
      <c r="BR599" s="214">
        <f>IF(AND(Input_Product=Elig!$C599,Elig_MatchAll_Ct&lt;22,$BC599=(Elig_MatchAll_Ct-1),AO599=0),M599,0)</f>
        <v>0</v>
      </c>
      <c r="BS599" s="214">
        <f>IF(AND(Input_Product=Elig!$C599,Elig_MatchAll_Ct&lt;22,$BC599=(Elig_MatchAll_Ct-1),AQ599=0),N599,0)</f>
        <v>0</v>
      </c>
      <c r="BT599" s="214">
        <f>IF(AND(Input_Product=Elig!$C599,Elig_MatchAll_Ct&lt;22,$BC599=(Elig_MatchAll_Ct-1),AR599=0),O599,0)</f>
        <v>0</v>
      </c>
      <c r="BU599" s="214">
        <f>IF(AND(Input_Product=Elig!$C599,Elig_MatchAll_Ct&lt;22,$BC599=(Elig_MatchAll_Ct-1),AS599=0),P599,0)</f>
        <v>0</v>
      </c>
      <c r="BV599" s="215">
        <f>IF(AND(Input_Product=Elig!$C599,Elig_MatchAll_Ct&lt;22,$BC599=(Elig_MatchAll_Ct-1),AT599=0),Q599,0)</f>
        <v>0</v>
      </c>
      <c r="BW599" s="311">
        <f>IF(AND(Input_Product=Elig!$C599,Elig_MatchAll_Ct&lt;22,$BC599=(Elig_MatchAll_Ct-1),AU599=0),R599,0)</f>
        <v>0</v>
      </c>
      <c r="BX599" s="312">
        <f>IF(AND(Input_Product=Elig!$C599,Elig_MatchAll_Ct&lt;22,$BC599=(Elig_MatchAll_Ct-1),AU599=0),S599,0)</f>
        <v>0</v>
      </c>
      <c r="BY599" s="311">
        <f>IF(AND(Input_Product=Elig!$C599,Elig_MatchAll_Ct&lt;22,$BC599=(Elig_MatchAll_Ct-1),AV599=0),T599,0)</f>
        <v>0</v>
      </c>
      <c r="BZ599" s="312">
        <f>IF(AND(Input_Product=Elig!$C599,Elig_MatchAll_Ct&lt;22,$BC599=(Elig_MatchAll_Ct-1),AV599=0),U599,0)</f>
        <v>0</v>
      </c>
      <c r="CA599" s="311">
        <f>IF(AND(Input_Product=Elig!$C599,Elig_MatchAll_Ct&lt;22,$BC599=(Elig_MatchAll_Ct-1),AW599=0),V599,0)</f>
        <v>0</v>
      </c>
      <c r="CB599" s="312">
        <f>IF(AND(Input_Product=Elig!$C599,Elig_MatchAll_Ct&lt;22,$BC599=(Elig_MatchAll_Ct-1),AW599=0),W599,0)</f>
        <v>0</v>
      </c>
      <c r="CC599" s="311">
        <f>IF(AND(Input_Product=Elig!$C599,Elig_MatchAll_Ct&lt;22,$BC599=(Elig_MatchAll_Ct-1),AX599=0),X599,0)</f>
        <v>0</v>
      </c>
      <c r="CD599" s="312">
        <f>IF(AND(Input_Product=Elig!$C599,Elig_MatchAll_Ct&lt;22,$BC599=(Elig_MatchAll_Ct-1),AX599=0),Y599,0)</f>
        <v>0</v>
      </c>
      <c r="CE599" s="311">
        <f>IF(AND(Input_LTV&lt;=AE599,Input_Product=Elig!$C599,Elig_MatchAll_Ct&lt;22,$BC599=(Elig_MatchAll_Ct-1),AY599=0),Z599,0)</f>
        <v>0</v>
      </c>
      <c r="CF599" s="312">
        <f>IF(AND(Input_LTV&lt;=AE599,Input_Product=Elig!$C599,Elig_MatchAll_Ct&lt;22,$BC599=(Elig_MatchAll_Ct-1),AY599=0),AA599,0)</f>
        <v>0</v>
      </c>
      <c r="CG599" s="311">
        <f>IF(AND(Input_Product=Elig!$C599,Elig_MatchAll_Ct&lt;22,$BC599=(Elig_MatchAll_Ct-1),AZ599=0),AB599,0)</f>
        <v>0</v>
      </c>
      <c r="CH599" s="312">
        <f>IF(AND(Input_Product=Elig!$C599,Elig_MatchAll_Ct&lt;22,$BC599=(Elig_MatchAll_Ct-1),AZ599=0),AC599,0)</f>
        <v>0</v>
      </c>
      <c r="CI599" s="311">
        <f>IF(AND(Input_Product=Elig!$C599,Elig_MatchAll_Ct&lt;22,$BC599=(Elig_MatchAll_Ct-1),BA599=0),AD599,0)</f>
        <v>0</v>
      </c>
      <c r="CJ599" s="312">
        <f>IF(AND(Input_Product=Elig!$C599,Elig_MatchAll_Ct&lt;22,$BC599=(Elig_MatchAll_Ct-1),BA599=0),AE599,0)</f>
        <v>0</v>
      </c>
    </row>
    <row r="600" spans="2:88" ht="10.15" customHeight="1" x14ac:dyDescent="0.25">
      <c r="B600" s="1914" t="s">
        <v>1171</v>
      </c>
      <c r="C600" s="151" t="str">
        <f t="shared" si="269"/>
        <v>Multi NOO</v>
      </c>
      <c r="D600" s="152" t="s">
        <v>2218</v>
      </c>
      <c r="E600" s="153" t="s">
        <v>167</v>
      </c>
      <c r="F600" s="153" t="s">
        <v>330</v>
      </c>
      <c r="G600" s="153" t="s">
        <v>181</v>
      </c>
      <c r="H600" s="153" t="s">
        <v>136</v>
      </c>
      <c r="I600" s="152" t="s">
        <v>16</v>
      </c>
      <c r="J600" s="152" t="s">
        <v>1311</v>
      </c>
      <c r="K600" s="152" t="s">
        <v>356</v>
      </c>
      <c r="L600" s="153" t="s">
        <v>312</v>
      </c>
      <c r="M600" s="153" t="s">
        <v>4203</v>
      </c>
      <c r="N600" s="153" t="s">
        <v>2685</v>
      </c>
      <c r="O600" s="153" t="s">
        <v>310</v>
      </c>
      <c r="P600" s="153" t="s">
        <v>108</v>
      </c>
      <c r="Q600" s="153" t="s">
        <v>294</v>
      </c>
      <c r="R600" s="152">
        <v>150000</v>
      </c>
      <c r="S600" s="152">
        <v>1000000</v>
      </c>
      <c r="T600" s="152">
        <v>0</v>
      </c>
      <c r="U600" s="152">
        <v>1000000</v>
      </c>
      <c r="V600" s="152">
        <v>0</v>
      </c>
      <c r="W600" s="152">
        <v>50</v>
      </c>
      <c r="X600" s="152">
        <v>1</v>
      </c>
      <c r="Y600" s="152">
        <v>999</v>
      </c>
      <c r="Z600" s="154">
        <v>720</v>
      </c>
      <c r="AA600" s="154">
        <v>999</v>
      </c>
      <c r="AB600" s="154">
        <v>3</v>
      </c>
      <c r="AC600" s="154">
        <v>999999</v>
      </c>
      <c r="AD600" s="152">
        <v>0</v>
      </c>
      <c r="AE600" s="152">
        <v>70</v>
      </c>
      <c r="AF600" s="170">
        <v>0</v>
      </c>
      <c r="AG600" s="171">
        <v>1</v>
      </c>
      <c r="AH600" s="171">
        <v>1</v>
      </c>
      <c r="AI600" s="171">
        <v>0</v>
      </c>
      <c r="AJ600" s="171">
        <v>0</v>
      </c>
      <c r="AK600" s="171">
        <v>1</v>
      </c>
      <c r="AL600" s="171">
        <v>1</v>
      </c>
      <c r="AM600" s="171">
        <v>1</v>
      </c>
      <c r="AN600" s="171">
        <v>0</v>
      </c>
      <c r="AO600" s="171">
        <v>1</v>
      </c>
      <c r="AP600" s="171">
        <v>1</v>
      </c>
      <c r="AQ600" s="171">
        <v>1</v>
      </c>
      <c r="AR600" s="171">
        <v>1</v>
      </c>
      <c r="AS600" s="171">
        <v>1</v>
      </c>
      <c r="AT600" s="171">
        <v>1</v>
      </c>
      <c r="AU600" s="171">
        <f t="shared" si="183"/>
        <v>1</v>
      </c>
      <c r="AV600" s="171">
        <f t="shared" si="184"/>
        <v>1</v>
      </c>
      <c r="AW600" s="171">
        <f t="shared" si="185"/>
        <v>1</v>
      </c>
      <c r="AX600" s="171">
        <f t="shared" si="197"/>
        <v>0</v>
      </c>
      <c r="AY600" s="171">
        <f t="shared" si="186"/>
        <v>1</v>
      </c>
      <c r="AZ600" s="171">
        <f t="shared" si="187"/>
        <v>1</v>
      </c>
      <c r="BA600" s="172">
        <f t="shared" si="188"/>
        <v>1</v>
      </c>
      <c r="BB600" s="175">
        <f t="shared" si="190"/>
        <v>17</v>
      </c>
      <c r="BC600" s="176">
        <f t="shared" si="191"/>
        <v>16</v>
      </c>
      <c r="BD600" s="176">
        <f t="shared" si="192"/>
        <v>17</v>
      </c>
      <c r="BE600" s="240" t="str">
        <f t="shared" si="259"/>
        <v/>
      </c>
      <c r="BH600" s="210">
        <f>IF(AND(Input_Product=Elig!$C600,Elig_MatchAll_Ct&lt;22,$BC600=(Elig_MatchAll_Ct-1),AF600=0),C600,0)</f>
        <v>0</v>
      </c>
      <c r="BI600" s="210">
        <f>IF(AND(Input_Product=Elig!$C600,Elig_MatchAll_Ct&lt;22,$BC600=(Elig_MatchAll_Ct-1),AG600=0),D600,0)</f>
        <v>0</v>
      </c>
      <c r="BJ600" s="210">
        <f>IF(AND(Input_Product=Elig!$C600,Elig_MatchAll_Ct&lt;22,$BC600=(Elig_MatchAll_Ct-1),AH600=0),E600,0)</f>
        <v>0</v>
      </c>
      <c r="BK600" s="210">
        <f>IF(AND(Input_Product=Elig!$C600,Elig_MatchAll_Ct&lt;22,$BC600=(Elig_MatchAll_Ct-1),AI600=0),F600,0)</f>
        <v>0</v>
      </c>
      <c r="BL600" s="210">
        <f>IF(AND(Input_Product=Elig!$C600,Elig_MatchAll_Ct&lt;22,$BC600=(Elig_MatchAll_Ct-1),AJ600=0),G600,0)</f>
        <v>0</v>
      </c>
      <c r="BM600" s="210">
        <f>IF(AND(Input_Product=Elig!$C600,Elig_MatchAll_Ct&lt;22,$BC600=(Elig_MatchAll_Ct-1),AK600=0),H600,0)</f>
        <v>0</v>
      </c>
      <c r="BN600" s="210">
        <f>IF(AND(Input_Product=Elig!$C600,Elig_MatchAll_Ct&lt;22,$BC600=(Elig_MatchAll_Ct-1),AL600=0),I600,0)</f>
        <v>0</v>
      </c>
      <c r="BO600" s="210">
        <f>IF(AND(Input_Product=Elig!$C600,Elig_MatchAll_Ct&lt;22,$BC600=(Elig_MatchAll_Ct-1),AM600=0),J600,0)</f>
        <v>0</v>
      </c>
      <c r="BP600" s="210">
        <f>IF(AND(Input_Product=Elig!$C600,Elig_MatchAll_Ct&lt;22,$BC600=(Elig_MatchAll_Ct-1),AN600=0),K600,0)</f>
        <v>0</v>
      </c>
      <c r="BQ600" s="210">
        <f>IF(AND(Input_Product=Elig!$C600,Elig_MatchAll_Ct&lt;22,$BC600=(Elig_MatchAll_Ct-1),AP600=0),L600,0)</f>
        <v>0</v>
      </c>
      <c r="BR600" s="210">
        <f>IF(AND(Input_Product=Elig!$C600,Elig_MatchAll_Ct&lt;22,$BC600=(Elig_MatchAll_Ct-1),AO600=0),M600,0)</f>
        <v>0</v>
      </c>
      <c r="BS600" s="210">
        <f>IF(AND(Input_Product=Elig!$C600,Elig_MatchAll_Ct&lt;22,$BC600=(Elig_MatchAll_Ct-1),AQ600=0),N600,0)</f>
        <v>0</v>
      </c>
      <c r="BT600" s="210">
        <f>IF(AND(Input_Product=Elig!$C600,Elig_MatchAll_Ct&lt;22,$BC600=(Elig_MatchAll_Ct-1),AR600=0),O600,0)</f>
        <v>0</v>
      </c>
      <c r="BU600" s="210">
        <f>IF(AND(Input_Product=Elig!$C600,Elig_MatchAll_Ct&lt;22,$BC600=(Elig_MatchAll_Ct-1),AS600=0),P600,0)</f>
        <v>0</v>
      </c>
      <c r="BV600" s="211">
        <f>IF(AND(Input_Product=Elig!$C600,Elig_MatchAll_Ct&lt;22,$BC600=(Elig_MatchAll_Ct-1),AT600=0),Q600,0)</f>
        <v>0</v>
      </c>
      <c r="BW600" s="212">
        <f>IF(AND(Input_Product=Elig!$C600,Elig_MatchAll_Ct&lt;22,$BC600=(Elig_MatchAll_Ct-1),AU600=0),R600,0)</f>
        <v>0</v>
      </c>
      <c r="BX600" s="213">
        <f>IF(AND(Input_Product=Elig!$C600,Elig_MatchAll_Ct&lt;22,$BC600=(Elig_MatchAll_Ct-1),AU600=0),S600,0)</f>
        <v>0</v>
      </c>
      <c r="BY600" s="212">
        <f>IF(AND(Input_Product=Elig!$C600,Elig_MatchAll_Ct&lt;22,$BC600=(Elig_MatchAll_Ct-1),AV600=0),T600,0)</f>
        <v>0</v>
      </c>
      <c r="BZ600" s="213">
        <f>IF(AND(Input_Product=Elig!$C600,Elig_MatchAll_Ct&lt;22,$BC600=(Elig_MatchAll_Ct-1),AV600=0),U600,0)</f>
        <v>0</v>
      </c>
      <c r="CA600" s="212">
        <f>IF(AND(Input_Product=Elig!$C600,Elig_MatchAll_Ct&lt;22,$BC600=(Elig_MatchAll_Ct-1),AW600=0),V600,0)</f>
        <v>0</v>
      </c>
      <c r="CB600" s="213">
        <f>IF(AND(Input_Product=Elig!$C600,Elig_MatchAll_Ct&lt;22,$BC600=(Elig_MatchAll_Ct-1),AW600=0),W600,0)</f>
        <v>0</v>
      </c>
      <c r="CC600" s="212">
        <f>IF(AND(Input_Product=Elig!$C600,Elig_MatchAll_Ct&lt;22,$BC600=(Elig_MatchAll_Ct-1),AX600=0),X600,0)</f>
        <v>0</v>
      </c>
      <c r="CD600" s="213">
        <f>IF(AND(Input_Product=Elig!$C600,Elig_MatchAll_Ct&lt;22,$BC600=(Elig_MatchAll_Ct-1),AX600=0),Y600,0)</f>
        <v>0</v>
      </c>
      <c r="CE600" s="212">
        <f>IF(AND(Input_LTV&lt;=AE600,Input_Product=Elig!$C600,Elig_MatchAll_Ct&lt;22,$BC600=(Elig_MatchAll_Ct-1),AY600=0),Z600,0)</f>
        <v>0</v>
      </c>
      <c r="CF600" s="213">
        <f>IF(AND(Input_LTV&lt;=AE600,Input_Product=Elig!$C600,Elig_MatchAll_Ct&lt;22,$BC600=(Elig_MatchAll_Ct-1),AY600=0),AA600,0)</f>
        <v>0</v>
      </c>
      <c r="CG600" s="212">
        <f>IF(AND(Input_Product=Elig!$C600,Elig_MatchAll_Ct&lt;22,$BC600=(Elig_MatchAll_Ct-1),AZ600=0),AB600,0)</f>
        <v>0</v>
      </c>
      <c r="CH600" s="213">
        <f>IF(AND(Input_Product=Elig!$C600,Elig_MatchAll_Ct&lt;22,$BC600=(Elig_MatchAll_Ct-1),AZ600=0),AC600,0)</f>
        <v>0</v>
      </c>
      <c r="CI600" s="212">
        <f>IF(AND(Input_Product=Elig!$C600,Elig_MatchAll_Ct&lt;22,$BC600=(Elig_MatchAll_Ct-1),BA600=0),AD600,0)</f>
        <v>0</v>
      </c>
      <c r="CJ600" s="213">
        <f>IF(AND(Input_Product=Elig!$C600,Elig_MatchAll_Ct&lt;22,$BC600=(Elig_MatchAll_Ct-1),BA600=0),AE600,0)</f>
        <v>0</v>
      </c>
    </row>
    <row r="601" spans="2:88" ht="10.15" customHeight="1" x14ac:dyDescent="0.25">
      <c r="B601" s="1914" t="s">
        <v>1172</v>
      </c>
      <c r="C601" s="155" t="str">
        <f t="shared" si="269"/>
        <v>Multi NOO</v>
      </c>
      <c r="D601" s="156" t="s">
        <v>2218</v>
      </c>
      <c r="E601" s="156" t="s">
        <v>167</v>
      </c>
      <c r="F601" s="156" t="s">
        <v>330</v>
      </c>
      <c r="G601" s="156" t="s">
        <v>181</v>
      </c>
      <c r="H601" s="156" t="s">
        <v>136</v>
      </c>
      <c r="I601" s="157" t="s">
        <v>16</v>
      </c>
      <c r="J601" s="157" t="s">
        <v>1311</v>
      </c>
      <c r="K601" s="157" t="s">
        <v>356</v>
      </c>
      <c r="L601" s="156" t="s">
        <v>312</v>
      </c>
      <c r="M601" s="156" t="s">
        <v>4203</v>
      </c>
      <c r="N601" s="156" t="s">
        <v>2685</v>
      </c>
      <c r="O601" s="156" t="s">
        <v>310</v>
      </c>
      <c r="P601" s="156" t="s">
        <v>108</v>
      </c>
      <c r="Q601" s="156" t="s">
        <v>294</v>
      </c>
      <c r="R601" s="156">
        <v>150000</v>
      </c>
      <c r="S601" s="156">
        <v>1000000</v>
      </c>
      <c r="T601" s="156">
        <v>0</v>
      </c>
      <c r="U601" s="156">
        <v>1000000</v>
      </c>
      <c r="V601" s="156">
        <v>0</v>
      </c>
      <c r="W601" s="156">
        <v>50</v>
      </c>
      <c r="X601" s="156">
        <v>1</v>
      </c>
      <c r="Y601" s="156">
        <v>999</v>
      </c>
      <c r="Z601" s="158">
        <v>700</v>
      </c>
      <c r="AA601" s="158">
        <v>719</v>
      </c>
      <c r="AB601" s="158">
        <v>3</v>
      </c>
      <c r="AC601" s="158">
        <v>999999</v>
      </c>
      <c r="AD601" s="156">
        <v>0</v>
      </c>
      <c r="AE601" s="156">
        <v>70</v>
      </c>
      <c r="AF601" s="170">
        <v>0</v>
      </c>
      <c r="AG601" s="171">
        <v>1</v>
      </c>
      <c r="AH601" s="171">
        <v>1</v>
      </c>
      <c r="AI601" s="171">
        <v>0</v>
      </c>
      <c r="AJ601" s="171">
        <v>0</v>
      </c>
      <c r="AK601" s="171">
        <v>1</v>
      </c>
      <c r="AL601" s="171">
        <v>1</v>
      </c>
      <c r="AM601" s="171">
        <v>1</v>
      </c>
      <c r="AN601" s="171">
        <v>0</v>
      </c>
      <c r="AO601" s="171">
        <v>1</v>
      </c>
      <c r="AP601" s="171">
        <v>1</v>
      </c>
      <c r="AQ601" s="171">
        <v>1</v>
      </c>
      <c r="AR601" s="171">
        <v>1</v>
      </c>
      <c r="AS601" s="171">
        <v>1</v>
      </c>
      <c r="AT601" s="171">
        <v>1</v>
      </c>
      <c r="AU601" s="171">
        <f t="shared" si="183"/>
        <v>1</v>
      </c>
      <c r="AV601" s="171">
        <f t="shared" si="184"/>
        <v>1</v>
      </c>
      <c r="AW601" s="171">
        <f t="shared" si="185"/>
        <v>1</v>
      </c>
      <c r="AX601" s="171">
        <f t="shared" si="197"/>
        <v>0</v>
      </c>
      <c r="AY601" s="171">
        <f t="shared" si="186"/>
        <v>0</v>
      </c>
      <c r="AZ601" s="171">
        <f t="shared" si="187"/>
        <v>1</v>
      </c>
      <c r="BA601" s="172">
        <f t="shared" si="188"/>
        <v>1</v>
      </c>
      <c r="BB601" s="175">
        <f t="shared" si="190"/>
        <v>16</v>
      </c>
      <c r="BC601" s="176">
        <f t="shared" si="191"/>
        <v>15</v>
      </c>
      <c r="BD601" s="176">
        <f t="shared" si="192"/>
        <v>16</v>
      </c>
      <c r="BE601" s="240" t="str">
        <f t="shared" si="259"/>
        <v/>
      </c>
      <c r="BH601" s="199">
        <f>IF(AND(Input_Product=Elig!$C601,Elig_MatchAll_Ct&lt;22,$BC601=(Elig_MatchAll_Ct-1),AF601=0),C601,0)</f>
        <v>0</v>
      </c>
      <c r="BI601" s="199">
        <f>IF(AND(Input_Product=Elig!$C601,Elig_MatchAll_Ct&lt;22,$BC601=(Elig_MatchAll_Ct-1),AG601=0),D601,0)</f>
        <v>0</v>
      </c>
      <c r="BJ601" s="199">
        <f>IF(AND(Input_Product=Elig!$C601,Elig_MatchAll_Ct&lt;22,$BC601=(Elig_MatchAll_Ct-1),AH601=0),E601,0)</f>
        <v>0</v>
      </c>
      <c r="BK601" s="199">
        <f>IF(AND(Input_Product=Elig!$C601,Elig_MatchAll_Ct&lt;22,$BC601=(Elig_MatchAll_Ct-1),AI601=0),F601,0)</f>
        <v>0</v>
      </c>
      <c r="BL601" s="199">
        <f>IF(AND(Input_Product=Elig!$C601,Elig_MatchAll_Ct&lt;22,$BC601=(Elig_MatchAll_Ct-1),AJ601=0),G601,0)</f>
        <v>0</v>
      </c>
      <c r="BM601" s="199">
        <f>IF(AND(Input_Product=Elig!$C601,Elig_MatchAll_Ct&lt;22,$BC601=(Elig_MatchAll_Ct-1),AK601=0),H601,0)</f>
        <v>0</v>
      </c>
      <c r="BN601" s="199">
        <f>IF(AND(Input_Product=Elig!$C601,Elig_MatchAll_Ct&lt;22,$BC601=(Elig_MatchAll_Ct-1),AL601=0),I601,0)</f>
        <v>0</v>
      </c>
      <c r="BO601" s="199">
        <f>IF(AND(Input_Product=Elig!$C601,Elig_MatchAll_Ct&lt;22,$BC601=(Elig_MatchAll_Ct-1),AM601=0),J601,0)</f>
        <v>0</v>
      </c>
      <c r="BP601" s="199">
        <f>IF(AND(Input_Product=Elig!$C601,Elig_MatchAll_Ct&lt;22,$BC601=(Elig_MatchAll_Ct-1),AN601=0),K601,0)</f>
        <v>0</v>
      </c>
      <c r="BQ601" s="199">
        <f>IF(AND(Input_Product=Elig!$C601,Elig_MatchAll_Ct&lt;22,$BC601=(Elig_MatchAll_Ct-1),AP601=0),L601,0)</f>
        <v>0</v>
      </c>
      <c r="BR601" s="199">
        <f>IF(AND(Input_Product=Elig!$C601,Elig_MatchAll_Ct&lt;22,$BC601=(Elig_MatchAll_Ct-1),AO601=0),M601,0)</f>
        <v>0</v>
      </c>
      <c r="BS601" s="199">
        <f>IF(AND(Input_Product=Elig!$C601,Elig_MatchAll_Ct&lt;22,$BC601=(Elig_MatchAll_Ct-1),AQ601=0),N601,0)</f>
        <v>0</v>
      </c>
      <c r="BT601" s="199">
        <f>IF(AND(Input_Product=Elig!$C601,Elig_MatchAll_Ct&lt;22,$BC601=(Elig_MatchAll_Ct-1),AR601=0),O601,0)</f>
        <v>0</v>
      </c>
      <c r="BU601" s="199">
        <f>IF(AND(Input_Product=Elig!$C601,Elig_MatchAll_Ct&lt;22,$BC601=(Elig_MatchAll_Ct-1),AS601=0),P601,0)</f>
        <v>0</v>
      </c>
      <c r="BV601" s="200">
        <f>IF(AND(Input_Product=Elig!$C601,Elig_MatchAll_Ct&lt;22,$BC601=(Elig_MatchAll_Ct-1),AT601=0),Q601,0)</f>
        <v>0</v>
      </c>
      <c r="BW601" s="201">
        <f>IF(AND(Input_Product=Elig!$C601,Elig_MatchAll_Ct&lt;22,$BC601=(Elig_MatchAll_Ct-1),AU601=0),R601,0)</f>
        <v>0</v>
      </c>
      <c r="BX601" s="202">
        <f>IF(AND(Input_Product=Elig!$C601,Elig_MatchAll_Ct&lt;22,$BC601=(Elig_MatchAll_Ct-1),AU601=0),S601,0)</f>
        <v>0</v>
      </c>
      <c r="BY601" s="201">
        <f>IF(AND(Input_Product=Elig!$C601,Elig_MatchAll_Ct&lt;22,$BC601=(Elig_MatchAll_Ct-1),AV601=0),T601,0)</f>
        <v>0</v>
      </c>
      <c r="BZ601" s="202">
        <f>IF(AND(Input_Product=Elig!$C601,Elig_MatchAll_Ct&lt;22,$BC601=(Elig_MatchAll_Ct-1),AV601=0),U601,0)</f>
        <v>0</v>
      </c>
      <c r="CA601" s="201">
        <f>IF(AND(Input_Product=Elig!$C601,Elig_MatchAll_Ct&lt;22,$BC601=(Elig_MatchAll_Ct-1),AW601=0),V601,0)</f>
        <v>0</v>
      </c>
      <c r="CB601" s="202">
        <f>IF(AND(Input_Product=Elig!$C601,Elig_MatchAll_Ct&lt;22,$BC601=(Elig_MatchAll_Ct-1),AW601=0),W601,0)</f>
        <v>0</v>
      </c>
      <c r="CC601" s="201">
        <f>IF(AND(Input_Product=Elig!$C601,Elig_MatchAll_Ct&lt;22,$BC601=(Elig_MatchAll_Ct-1),AX601=0),X601,0)</f>
        <v>0</v>
      </c>
      <c r="CD601" s="202">
        <f>IF(AND(Input_Product=Elig!$C601,Elig_MatchAll_Ct&lt;22,$BC601=(Elig_MatchAll_Ct-1),AX601=0),Y601,0)</f>
        <v>0</v>
      </c>
      <c r="CE601" s="201">
        <f>IF(AND(Input_LTV&lt;=AE601,Input_Product=Elig!$C601,Elig_MatchAll_Ct&lt;22,$BC601=(Elig_MatchAll_Ct-1),AY601=0),Z601,0)</f>
        <v>0</v>
      </c>
      <c r="CF601" s="202">
        <f>IF(AND(Input_LTV&lt;=AE601,Input_Product=Elig!$C601,Elig_MatchAll_Ct&lt;22,$BC601=(Elig_MatchAll_Ct-1),AY601=0),AA601,0)</f>
        <v>0</v>
      </c>
      <c r="CG601" s="201">
        <f>IF(AND(Input_Product=Elig!$C601,Elig_MatchAll_Ct&lt;22,$BC601=(Elig_MatchAll_Ct-1),AZ601=0),AB601,0)</f>
        <v>0</v>
      </c>
      <c r="CH601" s="202">
        <f>IF(AND(Input_Product=Elig!$C601,Elig_MatchAll_Ct&lt;22,$BC601=(Elig_MatchAll_Ct-1),AZ601=0),AC601,0)</f>
        <v>0</v>
      </c>
      <c r="CI601" s="201">
        <f>IF(AND(Input_Product=Elig!$C601,Elig_MatchAll_Ct&lt;22,$BC601=(Elig_MatchAll_Ct-1),BA601=0),AD601,0)</f>
        <v>0</v>
      </c>
      <c r="CJ601" s="202">
        <f>IF(AND(Input_Product=Elig!$C601,Elig_MatchAll_Ct&lt;22,$BC601=(Elig_MatchAll_Ct-1),BA601=0),AE601,0)</f>
        <v>0</v>
      </c>
    </row>
    <row r="602" spans="2:88" ht="10.15" customHeight="1" x14ac:dyDescent="0.25">
      <c r="B602" s="1914" t="s">
        <v>1173</v>
      </c>
      <c r="C602" s="155" t="str">
        <f t="shared" si="269"/>
        <v>Multi NOO</v>
      </c>
      <c r="D602" s="156" t="s">
        <v>2218</v>
      </c>
      <c r="E602" s="156" t="s">
        <v>167</v>
      </c>
      <c r="F602" s="156" t="s">
        <v>330</v>
      </c>
      <c r="G602" s="156" t="s">
        <v>181</v>
      </c>
      <c r="H602" s="156" t="s">
        <v>136</v>
      </c>
      <c r="I602" s="157" t="s">
        <v>16</v>
      </c>
      <c r="J602" s="157" t="s">
        <v>1311</v>
      </c>
      <c r="K602" s="157" t="s">
        <v>356</v>
      </c>
      <c r="L602" s="156" t="s">
        <v>312</v>
      </c>
      <c r="M602" s="156" t="s">
        <v>4203</v>
      </c>
      <c r="N602" s="156" t="s">
        <v>2685</v>
      </c>
      <c r="O602" s="156" t="s">
        <v>310</v>
      </c>
      <c r="P602" s="156" t="s">
        <v>108</v>
      </c>
      <c r="Q602" s="156" t="s">
        <v>294</v>
      </c>
      <c r="R602" s="156">
        <v>150000</v>
      </c>
      <c r="S602" s="156">
        <v>1000000</v>
      </c>
      <c r="T602" s="156">
        <v>0</v>
      </c>
      <c r="U602" s="156">
        <v>1000000</v>
      </c>
      <c r="V602" s="156">
        <v>0</v>
      </c>
      <c r="W602" s="156">
        <v>50</v>
      </c>
      <c r="X602" s="156">
        <v>1</v>
      </c>
      <c r="Y602" s="156">
        <v>999</v>
      </c>
      <c r="Z602" s="158">
        <v>680</v>
      </c>
      <c r="AA602" s="158">
        <v>699</v>
      </c>
      <c r="AB602" s="158">
        <v>3</v>
      </c>
      <c r="AC602" s="158">
        <v>999999</v>
      </c>
      <c r="AD602" s="156">
        <v>0</v>
      </c>
      <c r="AE602" s="156">
        <v>70</v>
      </c>
      <c r="AF602" s="170">
        <v>0</v>
      </c>
      <c r="AG602" s="171">
        <v>1</v>
      </c>
      <c r="AH602" s="171">
        <v>1</v>
      </c>
      <c r="AI602" s="171">
        <v>0</v>
      </c>
      <c r="AJ602" s="171">
        <v>0</v>
      </c>
      <c r="AK602" s="171">
        <v>1</v>
      </c>
      <c r="AL602" s="171">
        <v>1</v>
      </c>
      <c r="AM602" s="171">
        <v>1</v>
      </c>
      <c r="AN602" s="171">
        <v>0</v>
      </c>
      <c r="AO602" s="171">
        <v>1</v>
      </c>
      <c r="AP602" s="171">
        <v>1</v>
      </c>
      <c r="AQ602" s="171">
        <v>1</v>
      </c>
      <c r="AR602" s="171">
        <v>1</v>
      </c>
      <c r="AS602" s="171">
        <v>1</v>
      </c>
      <c r="AT602" s="171">
        <v>1</v>
      </c>
      <c r="AU602" s="171">
        <f t="shared" si="183"/>
        <v>1</v>
      </c>
      <c r="AV602" s="171">
        <f t="shared" si="184"/>
        <v>1</v>
      </c>
      <c r="AW602" s="171">
        <f t="shared" si="185"/>
        <v>1</v>
      </c>
      <c r="AX602" s="171">
        <f t="shared" si="197"/>
        <v>0</v>
      </c>
      <c r="AY602" s="171">
        <f t="shared" si="186"/>
        <v>0</v>
      </c>
      <c r="AZ602" s="171">
        <f t="shared" si="187"/>
        <v>1</v>
      </c>
      <c r="BA602" s="172">
        <f t="shared" si="188"/>
        <v>1</v>
      </c>
      <c r="BB602" s="175">
        <f t="shared" si="190"/>
        <v>16</v>
      </c>
      <c r="BC602" s="176">
        <f t="shared" si="191"/>
        <v>15</v>
      </c>
      <c r="BD602" s="176">
        <f t="shared" si="192"/>
        <v>16</v>
      </c>
      <c r="BE602" s="240" t="str">
        <f t="shared" si="259"/>
        <v/>
      </c>
      <c r="BH602" s="199">
        <f>IF(AND(Input_Product=Elig!$C602,Elig_MatchAll_Ct&lt;22,$BC602=(Elig_MatchAll_Ct-1),AF602=0),C602,0)</f>
        <v>0</v>
      </c>
      <c r="BI602" s="199">
        <f>IF(AND(Input_Product=Elig!$C602,Elig_MatchAll_Ct&lt;22,$BC602=(Elig_MatchAll_Ct-1),AG602=0),D602,0)</f>
        <v>0</v>
      </c>
      <c r="BJ602" s="199">
        <f>IF(AND(Input_Product=Elig!$C602,Elig_MatchAll_Ct&lt;22,$BC602=(Elig_MatchAll_Ct-1),AH602=0),E602,0)</f>
        <v>0</v>
      </c>
      <c r="BK602" s="199">
        <f>IF(AND(Input_Product=Elig!$C602,Elig_MatchAll_Ct&lt;22,$BC602=(Elig_MatchAll_Ct-1),AI602=0),F602,0)</f>
        <v>0</v>
      </c>
      <c r="BL602" s="199">
        <f>IF(AND(Input_Product=Elig!$C602,Elig_MatchAll_Ct&lt;22,$BC602=(Elig_MatchAll_Ct-1),AJ602=0),G602,0)</f>
        <v>0</v>
      </c>
      <c r="BM602" s="199">
        <f>IF(AND(Input_Product=Elig!$C602,Elig_MatchAll_Ct&lt;22,$BC602=(Elig_MatchAll_Ct-1),AK602=0),H602,0)</f>
        <v>0</v>
      </c>
      <c r="BN602" s="199">
        <f>IF(AND(Input_Product=Elig!$C602,Elig_MatchAll_Ct&lt;22,$BC602=(Elig_MatchAll_Ct-1),AL602=0),I602,0)</f>
        <v>0</v>
      </c>
      <c r="BO602" s="199">
        <f>IF(AND(Input_Product=Elig!$C602,Elig_MatchAll_Ct&lt;22,$BC602=(Elig_MatchAll_Ct-1),AM602=0),J602,0)</f>
        <v>0</v>
      </c>
      <c r="BP602" s="199">
        <f>IF(AND(Input_Product=Elig!$C602,Elig_MatchAll_Ct&lt;22,$BC602=(Elig_MatchAll_Ct-1),AN602=0),K602,0)</f>
        <v>0</v>
      </c>
      <c r="BQ602" s="199">
        <f>IF(AND(Input_Product=Elig!$C602,Elig_MatchAll_Ct&lt;22,$BC602=(Elig_MatchAll_Ct-1),AP602=0),L602,0)</f>
        <v>0</v>
      </c>
      <c r="BR602" s="199">
        <f>IF(AND(Input_Product=Elig!$C602,Elig_MatchAll_Ct&lt;22,$BC602=(Elig_MatchAll_Ct-1),AO602=0),M602,0)</f>
        <v>0</v>
      </c>
      <c r="BS602" s="199">
        <f>IF(AND(Input_Product=Elig!$C602,Elig_MatchAll_Ct&lt;22,$BC602=(Elig_MatchAll_Ct-1),AQ602=0),N602,0)</f>
        <v>0</v>
      </c>
      <c r="BT602" s="199">
        <f>IF(AND(Input_Product=Elig!$C602,Elig_MatchAll_Ct&lt;22,$BC602=(Elig_MatchAll_Ct-1),AR602=0),O602,0)</f>
        <v>0</v>
      </c>
      <c r="BU602" s="199">
        <f>IF(AND(Input_Product=Elig!$C602,Elig_MatchAll_Ct&lt;22,$BC602=(Elig_MatchAll_Ct-1),AS602=0),P602,0)</f>
        <v>0</v>
      </c>
      <c r="BV602" s="200">
        <f>IF(AND(Input_Product=Elig!$C602,Elig_MatchAll_Ct&lt;22,$BC602=(Elig_MatchAll_Ct-1),AT602=0),Q602,0)</f>
        <v>0</v>
      </c>
      <c r="BW602" s="201">
        <f>IF(AND(Input_Product=Elig!$C602,Elig_MatchAll_Ct&lt;22,$BC602=(Elig_MatchAll_Ct-1),AU602=0),R602,0)</f>
        <v>0</v>
      </c>
      <c r="BX602" s="202">
        <f>IF(AND(Input_Product=Elig!$C602,Elig_MatchAll_Ct&lt;22,$BC602=(Elig_MatchAll_Ct-1),AU602=0),S602,0)</f>
        <v>0</v>
      </c>
      <c r="BY602" s="201">
        <f>IF(AND(Input_Product=Elig!$C602,Elig_MatchAll_Ct&lt;22,$BC602=(Elig_MatchAll_Ct-1),AV602=0),T602,0)</f>
        <v>0</v>
      </c>
      <c r="BZ602" s="202">
        <f>IF(AND(Input_Product=Elig!$C602,Elig_MatchAll_Ct&lt;22,$BC602=(Elig_MatchAll_Ct-1),AV602=0),U602,0)</f>
        <v>0</v>
      </c>
      <c r="CA602" s="201">
        <f>IF(AND(Input_Product=Elig!$C602,Elig_MatchAll_Ct&lt;22,$BC602=(Elig_MatchAll_Ct-1),AW602=0),V602,0)</f>
        <v>0</v>
      </c>
      <c r="CB602" s="202">
        <f>IF(AND(Input_Product=Elig!$C602,Elig_MatchAll_Ct&lt;22,$BC602=(Elig_MatchAll_Ct-1),AW602=0),W602,0)</f>
        <v>0</v>
      </c>
      <c r="CC602" s="201">
        <f>IF(AND(Input_Product=Elig!$C602,Elig_MatchAll_Ct&lt;22,$BC602=(Elig_MatchAll_Ct-1),AX602=0),X602,0)</f>
        <v>0</v>
      </c>
      <c r="CD602" s="202">
        <f>IF(AND(Input_Product=Elig!$C602,Elig_MatchAll_Ct&lt;22,$BC602=(Elig_MatchAll_Ct-1),AX602=0),Y602,0)</f>
        <v>0</v>
      </c>
      <c r="CE602" s="201">
        <f>IF(AND(Input_LTV&lt;=AE602,Input_Product=Elig!$C602,Elig_MatchAll_Ct&lt;22,$BC602=(Elig_MatchAll_Ct-1),AY602=0),Z602,0)</f>
        <v>0</v>
      </c>
      <c r="CF602" s="202">
        <f>IF(AND(Input_LTV&lt;=AE602,Input_Product=Elig!$C602,Elig_MatchAll_Ct&lt;22,$BC602=(Elig_MatchAll_Ct-1),AY602=0),AA602,0)</f>
        <v>0</v>
      </c>
      <c r="CG602" s="201">
        <f>IF(AND(Input_Product=Elig!$C602,Elig_MatchAll_Ct&lt;22,$BC602=(Elig_MatchAll_Ct-1),AZ602=0),AB602,0)</f>
        <v>0</v>
      </c>
      <c r="CH602" s="202">
        <f>IF(AND(Input_Product=Elig!$C602,Elig_MatchAll_Ct&lt;22,$BC602=(Elig_MatchAll_Ct-1),AZ602=0),AC602,0)</f>
        <v>0</v>
      </c>
      <c r="CI602" s="201">
        <f>IF(AND(Input_Product=Elig!$C602,Elig_MatchAll_Ct&lt;22,$BC602=(Elig_MatchAll_Ct-1),BA602=0),AD602,0)</f>
        <v>0</v>
      </c>
      <c r="CJ602" s="202">
        <f>IF(AND(Input_Product=Elig!$C602,Elig_MatchAll_Ct&lt;22,$BC602=(Elig_MatchAll_Ct-1),BA602=0),AE602,0)</f>
        <v>0</v>
      </c>
    </row>
    <row r="603" spans="2:88" ht="10.15" customHeight="1" x14ac:dyDescent="0.25">
      <c r="B603" s="1914" t="s">
        <v>1174</v>
      </c>
      <c r="C603" s="155" t="str">
        <f t="shared" si="269"/>
        <v>Multi NOO</v>
      </c>
      <c r="D603" s="156" t="s">
        <v>2218</v>
      </c>
      <c r="E603" s="156" t="s">
        <v>167</v>
      </c>
      <c r="F603" s="156" t="s">
        <v>330</v>
      </c>
      <c r="G603" s="156" t="s">
        <v>181</v>
      </c>
      <c r="H603" s="156" t="s">
        <v>136</v>
      </c>
      <c r="I603" s="156" t="s">
        <v>16</v>
      </c>
      <c r="J603" s="156" t="s">
        <v>1311</v>
      </c>
      <c r="K603" s="156" t="s">
        <v>356</v>
      </c>
      <c r="L603" s="156" t="s">
        <v>312</v>
      </c>
      <c r="M603" s="156" t="s">
        <v>4203</v>
      </c>
      <c r="N603" s="156" t="s">
        <v>2685</v>
      </c>
      <c r="O603" s="156" t="s">
        <v>310</v>
      </c>
      <c r="P603" s="156" t="s">
        <v>108</v>
      </c>
      <c r="Q603" s="156" t="s">
        <v>294</v>
      </c>
      <c r="R603" s="156">
        <v>150000</v>
      </c>
      <c r="S603" s="156">
        <v>1000000</v>
      </c>
      <c r="T603" s="156">
        <v>0</v>
      </c>
      <c r="U603" s="156">
        <v>1000000</v>
      </c>
      <c r="V603" s="156">
        <v>0</v>
      </c>
      <c r="W603" s="156">
        <v>50</v>
      </c>
      <c r="X603" s="156">
        <v>1</v>
      </c>
      <c r="Y603" s="156">
        <v>999</v>
      </c>
      <c r="Z603" s="158">
        <v>660</v>
      </c>
      <c r="AA603" s="158">
        <v>679</v>
      </c>
      <c r="AB603" s="158">
        <v>3</v>
      </c>
      <c r="AC603" s="158">
        <v>999999</v>
      </c>
      <c r="AD603" s="156">
        <v>0</v>
      </c>
      <c r="AE603" s="156">
        <v>65</v>
      </c>
      <c r="AF603" s="170">
        <v>0</v>
      </c>
      <c r="AG603" s="171">
        <v>1</v>
      </c>
      <c r="AH603" s="171">
        <v>1</v>
      </c>
      <c r="AI603" s="171">
        <v>0</v>
      </c>
      <c r="AJ603" s="171">
        <v>0</v>
      </c>
      <c r="AK603" s="171">
        <v>1</v>
      </c>
      <c r="AL603" s="171">
        <v>1</v>
      </c>
      <c r="AM603" s="171">
        <v>1</v>
      </c>
      <c r="AN603" s="171">
        <v>0</v>
      </c>
      <c r="AO603" s="171">
        <v>1</v>
      </c>
      <c r="AP603" s="171">
        <v>1</v>
      </c>
      <c r="AQ603" s="171">
        <v>1</v>
      </c>
      <c r="AR603" s="171">
        <v>1</v>
      </c>
      <c r="AS603" s="171">
        <v>1</v>
      </c>
      <c r="AT603" s="171">
        <v>1</v>
      </c>
      <c r="AU603" s="171">
        <f t="shared" si="183"/>
        <v>1</v>
      </c>
      <c r="AV603" s="171">
        <f t="shared" si="184"/>
        <v>1</v>
      </c>
      <c r="AW603" s="171">
        <f t="shared" si="185"/>
        <v>1</v>
      </c>
      <c r="AX603" s="171">
        <f t="shared" si="197"/>
        <v>0</v>
      </c>
      <c r="AY603" s="171">
        <f t="shared" si="186"/>
        <v>0</v>
      </c>
      <c r="AZ603" s="171">
        <f t="shared" si="187"/>
        <v>1</v>
      </c>
      <c r="BA603" s="172">
        <f t="shared" si="188"/>
        <v>1</v>
      </c>
      <c r="BB603" s="175">
        <f t="shared" si="190"/>
        <v>16</v>
      </c>
      <c r="BC603" s="176">
        <f t="shared" si="191"/>
        <v>15</v>
      </c>
      <c r="BD603" s="176">
        <f t="shared" si="192"/>
        <v>16</v>
      </c>
      <c r="BE603" s="240" t="str">
        <f t="shared" si="259"/>
        <v/>
      </c>
      <c r="BH603" s="214">
        <f>IF(AND(Input_Product=Elig!$C603,Elig_MatchAll_Ct&lt;22,$BC603=(Elig_MatchAll_Ct-1),AF603=0),C603,0)</f>
        <v>0</v>
      </c>
      <c r="BI603" s="214">
        <f>IF(AND(Input_Product=Elig!$C603,Elig_MatchAll_Ct&lt;22,$BC603=(Elig_MatchAll_Ct-1),AG603=0),D603,0)</f>
        <v>0</v>
      </c>
      <c r="BJ603" s="214">
        <f>IF(AND(Input_Product=Elig!$C603,Elig_MatchAll_Ct&lt;22,$BC603=(Elig_MatchAll_Ct-1),AH603=0),E603,0)</f>
        <v>0</v>
      </c>
      <c r="BK603" s="214">
        <f>IF(AND(Input_Product=Elig!$C603,Elig_MatchAll_Ct&lt;22,$BC603=(Elig_MatchAll_Ct-1),AI603=0),F603,0)</f>
        <v>0</v>
      </c>
      <c r="BL603" s="214">
        <f>IF(AND(Input_Product=Elig!$C603,Elig_MatchAll_Ct&lt;22,$BC603=(Elig_MatchAll_Ct-1),AJ603=0),G603,0)</f>
        <v>0</v>
      </c>
      <c r="BM603" s="214">
        <f>IF(AND(Input_Product=Elig!$C603,Elig_MatchAll_Ct&lt;22,$BC603=(Elig_MatchAll_Ct-1),AK603=0),H603,0)</f>
        <v>0</v>
      </c>
      <c r="BN603" s="214">
        <f>IF(AND(Input_Product=Elig!$C603,Elig_MatchAll_Ct&lt;22,$BC603=(Elig_MatchAll_Ct-1),AL603=0),I603,0)</f>
        <v>0</v>
      </c>
      <c r="BO603" s="214">
        <f>IF(AND(Input_Product=Elig!$C603,Elig_MatchAll_Ct&lt;22,$BC603=(Elig_MatchAll_Ct-1),AM603=0),J603,0)</f>
        <v>0</v>
      </c>
      <c r="BP603" s="214">
        <f>IF(AND(Input_Product=Elig!$C603,Elig_MatchAll_Ct&lt;22,$BC603=(Elig_MatchAll_Ct-1),AN603=0),K603,0)</f>
        <v>0</v>
      </c>
      <c r="BQ603" s="214">
        <f>IF(AND(Input_Product=Elig!$C603,Elig_MatchAll_Ct&lt;22,$BC603=(Elig_MatchAll_Ct-1),AP603=0),L603,0)</f>
        <v>0</v>
      </c>
      <c r="BR603" s="214">
        <f>IF(AND(Input_Product=Elig!$C603,Elig_MatchAll_Ct&lt;22,$BC603=(Elig_MatchAll_Ct-1),AO603=0),M603,0)</f>
        <v>0</v>
      </c>
      <c r="BS603" s="214">
        <f>IF(AND(Input_Product=Elig!$C603,Elig_MatchAll_Ct&lt;22,$BC603=(Elig_MatchAll_Ct-1),AQ603=0),N603,0)</f>
        <v>0</v>
      </c>
      <c r="BT603" s="214">
        <f>IF(AND(Input_Product=Elig!$C603,Elig_MatchAll_Ct&lt;22,$BC603=(Elig_MatchAll_Ct-1),AR603=0),O603,0)</f>
        <v>0</v>
      </c>
      <c r="BU603" s="214">
        <f>IF(AND(Input_Product=Elig!$C603,Elig_MatchAll_Ct&lt;22,$BC603=(Elig_MatchAll_Ct-1),AS603=0),P603,0)</f>
        <v>0</v>
      </c>
      <c r="BV603" s="215">
        <f>IF(AND(Input_Product=Elig!$C603,Elig_MatchAll_Ct&lt;22,$BC603=(Elig_MatchAll_Ct-1),AT603=0),Q603,0)</f>
        <v>0</v>
      </c>
      <c r="BW603" s="311">
        <f>IF(AND(Input_Product=Elig!$C603,Elig_MatchAll_Ct&lt;22,$BC603=(Elig_MatchAll_Ct-1),AU603=0),R603,0)</f>
        <v>0</v>
      </c>
      <c r="BX603" s="312">
        <f>IF(AND(Input_Product=Elig!$C603,Elig_MatchAll_Ct&lt;22,$BC603=(Elig_MatchAll_Ct-1),AU603=0),S603,0)</f>
        <v>0</v>
      </c>
      <c r="BY603" s="311">
        <f>IF(AND(Input_Product=Elig!$C603,Elig_MatchAll_Ct&lt;22,$BC603=(Elig_MatchAll_Ct-1),AV603=0),T603,0)</f>
        <v>0</v>
      </c>
      <c r="BZ603" s="312">
        <f>IF(AND(Input_Product=Elig!$C603,Elig_MatchAll_Ct&lt;22,$BC603=(Elig_MatchAll_Ct-1),AV603=0),U603,0)</f>
        <v>0</v>
      </c>
      <c r="CA603" s="311">
        <f>IF(AND(Input_Product=Elig!$C603,Elig_MatchAll_Ct&lt;22,$BC603=(Elig_MatchAll_Ct-1),AW603=0),V603,0)</f>
        <v>0</v>
      </c>
      <c r="CB603" s="312">
        <f>IF(AND(Input_Product=Elig!$C603,Elig_MatchAll_Ct&lt;22,$BC603=(Elig_MatchAll_Ct-1),AW603=0),W603,0)</f>
        <v>0</v>
      </c>
      <c r="CC603" s="311">
        <f>IF(AND(Input_Product=Elig!$C603,Elig_MatchAll_Ct&lt;22,$BC603=(Elig_MatchAll_Ct-1),AX603=0),X603,0)</f>
        <v>0</v>
      </c>
      <c r="CD603" s="312">
        <f>IF(AND(Input_Product=Elig!$C603,Elig_MatchAll_Ct&lt;22,$BC603=(Elig_MatchAll_Ct-1),AX603=0),Y603,0)</f>
        <v>0</v>
      </c>
      <c r="CE603" s="311">
        <f>IF(AND(Input_LTV&lt;=AE603,Input_Product=Elig!$C603,Elig_MatchAll_Ct&lt;22,$BC603=(Elig_MatchAll_Ct-1),AY603=0),Z603,0)</f>
        <v>0</v>
      </c>
      <c r="CF603" s="312">
        <f>IF(AND(Input_LTV&lt;=AE603,Input_Product=Elig!$C603,Elig_MatchAll_Ct&lt;22,$BC603=(Elig_MatchAll_Ct-1),AY603=0),AA603,0)</f>
        <v>0</v>
      </c>
      <c r="CG603" s="311">
        <f>IF(AND(Input_Product=Elig!$C603,Elig_MatchAll_Ct&lt;22,$BC603=(Elig_MatchAll_Ct-1),AZ603=0),AB603,0)</f>
        <v>0</v>
      </c>
      <c r="CH603" s="312">
        <f>IF(AND(Input_Product=Elig!$C603,Elig_MatchAll_Ct&lt;22,$BC603=(Elig_MatchAll_Ct-1),AZ603=0),AC603,0)</f>
        <v>0</v>
      </c>
      <c r="CI603" s="311">
        <f>IF(AND(Input_Product=Elig!$C603,Elig_MatchAll_Ct&lt;22,$BC603=(Elig_MatchAll_Ct-1),BA603=0),AD603,0)</f>
        <v>0</v>
      </c>
      <c r="CJ603" s="312">
        <f>IF(AND(Input_Product=Elig!$C603,Elig_MatchAll_Ct&lt;22,$BC603=(Elig_MatchAll_Ct-1),BA603=0),AE603,0)</f>
        <v>0</v>
      </c>
    </row>
    <row r="604" spans="2:88" ht="10.15" customHeight="1" x14ac:dyDescent="0.25">
      <c r="B604" s="1914" t="s">
        <v>1175</v>
      </c>
      <c r="C604" s="151" t="str">
        <f t="shared" si="269"/>
        <v>Multi NOO</v>
      </c>
      <c r="D604" s="152" t="s">
        <v>2218</v>
      </c>
      <c r="E604" s="153" t="s">
        <v>167</v>
      </c>
      <c r="F604" s="153" t="s">
        <v>330</v>
      </c>
      <c r="G604" s="153" t="s">
        <v>181</v>
      </c>
      <c r="H604" s="153" t="s">
        <v>136</v>
      </c>
      <c r="I604" s="152" t="s">
        <v>274</v>
      </c>
      <c r="J604" s="152" t="s">
        <v>1311</v>
      </c>
      <c r="K604" s="152" t="s">
        <v>356</v>
      </c>
      <c r="L604" s="153" t="s">
        <v>312</v>
      </c>
      <c r="M604" s="153" t="s">
        <v>4203</v>
      </c>
      <c r="N604" s="153" t="s">
        <v>2685</v>
      </c>
      <c r="O604" s="153" t="s">
        <v>310</v>
      </c>
      <c r="P604" s="153" t="s">
        <v>108</v>
      </c>
      <c r="Q604" s="153" t="s">
        <v>294</v>
      </c>
      <c r="R604" s="152">
        <v>1000000.01</v>
      </c>
      <c r="S604" s="152">
        <v>1500000</v>
      </c>
      <c r="T604" s="152">
        <v>0</v>
      </c>
      <c r="U604" s="152">
        <v>0</v>
      </c>
      <c r="V604" s="152">
        <v>0</v>
      </c>
      <c r="W604" s="152">
        <v>50</v>
      </c>
      <c r="X604" s="152">
        <v>1</v>
      </c>
      <c r="Y604" s="152">
        <v>999</v>
      </c>
      <c r="Z604" s="154">
        <v>720</v>
      </c>
      <c r="AA604" s="154">
        <v>999</v>
      </c>
      <c r="AB604" s="154">
        <v>6</v>
      </c>
      <c r="AC604" s="154">
        <v>999999</v>
      </c>
      <c r="AD604" s="152">
        <v>0</v>
      </c>
      <c r="AE604" s="152">
        <v>70</v>
      </c>
      <c r="AF604" s="170">
        <v>0</v>
      </c>
      <c r="AG604" s="171">
        <v>1</v>
      </c>
      <c r="AH604" s="171">
        <v>1</v>
      </c>
      <c r="AI604" s="171">
        <v>0</v>
      </c>
      <c r="AJ604" s="171">
        <v>0</v>
      </c>
      <c r="AK604" s="171">
        <v>1</v>
      </c>
      <c r="AL604" s="171">
        <v>0</v>
      </c>
      <c r="AM604" s="171">
        <v>1</v>
      </c>
      <c r="AN604" s="171">
        <v>0</v>
      </c>
      <c r="AO604" s="171">
        <v>1</v>
      </c>
      <c r="AP604" s="171">
        <v>1</v>
      </c>
      <c r="AQ604" s="171">
        <v>1</v>
      </c>
      <c r="AR604" s="171">
        <v>1</v>
      </c>
      <c r="AS604" s="171">
        <v>1</v>
      </c>
      <c r="AT604" s="171">
        <v>1</v>
      </c>
      <c r="AU604" s="171">
        <f t="shared" si="183"/>
        <v>0</v>
      </c>
      <c r="AV604" s="171">
        <f t="shared" si="184"/>
        <v>0</v>
      </c>
      <c r="AW604" s="171">
        <f t="shared" si="185"/>
        <v>1</v>
      </c>
      <c r="AX604" s="171">
        <f t="shared" si="197"/>
        <v>0</v>
      </c>
      <c r="AY604" s="171">
        <f t="shared" si="186"/>
        <v>1</v>
      </c>
      <c r="AZ604" s="171">
        <f t="shared" si="187"/>
        <v>1</v>
      </c>
      <c r="BA604" s="172">
        <f t="shared" si="188"/>
        <v>1</v>
      </c>
      <c r="BB604" s="175">
        <f t="shared" si="190"/>
        <v>14</v>
      </c>
      <c r="BC604" s="176">
        <f t="shared" si="191"/>
        <v>13</v>
      </c>
      <c r="BD604" s="176">
        <f t="shared" si="192"/>
        <v>14</v>
      </c>
      <c r="BE604" s="240" t="str">
        <f t="shared" si="259"/>
        <v/>
      </c>
      <c r="BH604" s="210">
        <f>IF(AND(Input_Product=Elig!$C604,Elig_MatchAll_Ct&lt;22,$BC604=(Elig_MatchAll_Ct-1),AF604=0),C604,0)</f>
        <v>0</v>
      </c>
      <c r="BI604" s="210">
        <f>IF(AND(Input_Product=Elig!$C604,Elig_MatchAll_Ct&lt;22,$BC604=(Elig_MatchAll_Ct-1),AG604=0),D604,0)</f>
        <v>0</v>
      </c>
      <c r="BJ604" s="210">
        <f>IF(AND(Input_Product=Elig!$C604,Elig_MatchAll_Ct&lt;22,$BC604=(Elig_MatchAll_Ct-1),AH604=0),E604,0)</f>
        <v>0</v>
      </c>
      <c r="BK604" s="210">
        <f>IF(AND(Input_Product=Elig!$C604,Elig_MatchAll_Ct&lt;22,$BC604=(Elig_MatchAll_Ct-1),AI604=0),F604,0)</f>
        <v>0</v>
      </c>
      <c r="BL604" s="210">
        <f>IF(AND(Input_Product=Elig!$C604,Elig_MatchAll_Ct&lt;22,$BC604=(Elig_MatchAll_Ct-1),AJ604=0),G604,0)</f>
        <v>0</v>
      </c>
      <c r="BM604" s="210">
        <f>IF(AND(Input_Product=Elig!$C604,Elig_MatchAll_Ct&lt;22,$BC604=(Elig_MatchAll_Ct-1),AK604=0),H604,0)</f>
        <v>0</v>
      </c>
      <c r="BN604" s="210">
        <f>IF(AND(Input_Product=Elig!$C604,Elig_MatchAll_Ct&lt;22,$BC604=(Elig_MatchAll_Ct-1),AL604=0),I604,0)</f>
        <v>0</v>
      </c>
      <c r="BO604" s="210">
        <f>IF(AND(Input_Product=Elig!$C604,Elig_MatchAll_Ct&lt;22,$BC604=(Elig_MatchAll_Ct-1),AM604=0),J604,0)</f>
        <v>0</v>
      </c>
      <c r="BP604" s="210">
        <f>IF(AND(Input_Product=Elig!$C604,Elig_MatchAll_Ct&lt;22,$BC604=(Elig_MatchAll_Ct-1),AN604=0),K604,0)</f>
        <v>0</v>
      </c>
      <c r="BQ604" s="210">
        <f>IF(AND(Input_Product=Elig!$C604,Elig_MatchAll_Ct&lt;22,$BC604=(Elig_MatchAll_Ct-1),AP604=0),L604,0)</f>
        <v>0</v>
      </c>
      <c r="BR604" s="210">
        <f>IF(AND(Input_Product=Elig!$C604,Elig_MatchAll_Ct&lt;22,$BC604=(Elig_MatchAll_Ct-1),AO604=0),M604,0)</f>
        <v>0</v>
      </c>
      <c r="BS604" s="210">
        <f>IF(AND(Input_Product=Elig!$C604,Elig_MatchAll_Ct&lt;22,$BC604=(Elig_MatchAll_Ct-1),AQ604=0),N604,0)</f>
        <v>0</v>
      </c>
      <c r="BT604" s="210">
        <f>IF(AND(Input_Product=Elig!$C604,Elig_MatchAll_Ct&lt;22,$BC604=(Elig_MatchAll_Ct-1),AR604=0),O604,0)</f>
        <v>0</v>
      </c>
      <c r="BU604" s="210">
        <f>IF(AND(Input_Product=Elig!$C604,Elig_MatchAll_Ct&lt;22,$BC604=(Elig_MatchAll_Ct-1),AS604=0),P604,0)</f>
        <v>0</v>
      </c>
      <c r="BV604" s="211">
        <f>IF(AND(Input_Product=Elig!$C604,Elig_MatchAll_Ct&lt;22,$BC604=(Elig_MatchAll_Ct-1),AT604=0),Q604,0)</f>
        <v>0</v>
      </c>
      <c r="BW604" s="212">
        <f>IF(AND(Input_Product=Elig!$C604,Elig_MatchAll_Ct&lt;22,$BC604=(Elig_MatchAll_Ct-1),AU604=0),R604,0)</f>
        <v>0</v>
      </c>
      <c r="BX604" s="213">
        <f>IF(AND(Input_Product=Elig!$C604,Elig_MatchAll_Ct&lt;22,$BC604=(Elig_MatchAll_Ct-1),AU604=0),S604,0)</f>
        <v>0</v>
      </c>
      <c r="BY604" s="212">
        <f>IF(AND(Input_Product=Elig!$C604,Elig_MatchAll_Ct&lt;22,$BC604=(Elig_MatchAll_Ct-1),AV604=0),T604,0)</f>
        <v>0</v>
      </c>
      <c r="BZ604" s="213">
        <f>IF(AND(Input_Product=Elig!$C604,Elig_MatchAll_Ct&lt;22,$BC604=(Elig_MatchAll_Ct-1),AV604=0),U604,0)</f>
        <v>0</v>
      </c>
      <c r="CA604" s="212">
        <f>IF(AND(Input_Product=Elig!$C604,Elig_MatchAll_Ct&lt;22,$BC604=(Elig_MatchAll_Ct-1),AW604=0),V604,0)</f>
        <v>0</v>
      </c>
      <c r="CB604" s="213">
        <f>IF(AND(Input_Product=Elig!$C604,Elig_MatchAll_Ct&lt;22,$BC604=(Elig_MatchAll_Ct-1),AW604=0),W604,0)</f>
        <v>0</v>
      </c>
      <c r="CC604" s="212">
        <f>IF(AND(Input_Product=Elig!$C604,Elig_MatchAll_Ct&lt;22,$BC604=(Elig_MatchAll_Ct-1),AX604=0),X604,0)</f>
        <v>0</v>
      </c>
      <c r="CD604" s="213">
        <f>IF(AND(Input_Product=Elig!$C604,Elig_MatchAll_Ct&lt;22,$BC604=(Elig_MatchAll_Ct-1),AX604=0),Y604,0)</f>
        <v>0</v>
      </c>
      <c r="CE604" s="212">
        <f>IF(AND(Input_LTV&lt;=AE604,Input_Product=Elig!$C604,Elig_MatchAll_Ct&lt;22,$BC604=(Elig_MatchAll_Ct-1),AY604=0),Z604,0)</f>
        <v>0</v>
      </c>
      <c r="CF604" s="213">
        <f>IF(AND(Input_LTV&lt;=AE604,Input_Product=Elig!$C604,Elig_MatchAll_Ct&lt;22,$BC604=(Elig_MatchAll_Ct-1),AY604=0),AA604,0)</f>
        <v>0</v>
      </c>
      <c r="CG604" s="212">
        <f>IF(AND(Input_Product=Elig!$C604,Elig_MatchAll_Ct&lt;22,$BC604=(Elig_MatchAll_Ct-1),AZ604=0),AB604,0)</f>
        <v>0</v>
      </c>
      <c r="CH604" s="213">
        <f>IF(AND(Input_Product=Elig!$C604,Elig_MatchAll_Ct&lt;22,$BC604=(Elig_MatchAll_Ct-1),AZ604=0),AC604,0)</f>
        <v>0</v>
      </c>
      <c r="CI604" s="212">
        <f>IF(AND(Input_Product=Elig!$C604,Elig_MatchAll_Ct&lt;22,$BC604=(Elig_MatchAll_Ct-1),BA604=0),AD604,0)</f>
        <v>0</v>
      </c>
      <c r="CJ604" s="213">
        <f>IF(AND(Input_Product=Elig!$C604,Elig_MatchAll_Ct&lt;22,$BC604=(Elig_MatchAll_Ct-1),BA604=0),AE604,0)</f>
        <v>0</v>
      </c>
    </row>
    <row r="605" spans="2:88" ht="10.15" customHeight="1" x14ac:dyDescent="0.25">
      <c r="B605" s="1914" t="s">
        <v>1176</v>
      </c>
      <c r="C605" s="155" t="str">
        <f t="shared" si="269"/>
        <v>Multi NOO</v>
      </c>
      <c r="D605" s="156" t="s">
        <v>2218</v>
      </c>
      <c r="E605" s="156" t="s">
        <v>167</v>
      </c>
      <c r="F605" s="156" t="s">
        <v>330</v>
      </c>
      <c r="G605" s="156" t="s">
        <v>181</v>
      </c>
      <c r="H605" s="156" t="s">
        <v>136</v>
      </c>
      <c r="I605" s="157" t="s">
        <v>274</v>
      </c>
      <c r="J605" s="157" t="s">
        <v>1311</v>
      </c>
      <c r="K605" s="157" t="s">
        <v>356</v>
      </c>
      <c r="L605" s="156" t="s">
        <v>312</v>
      </c>
      <c r="M605" s="156" t="s">
        <v>4203</v>
      </c>
      <c r="N605" s="156" t="s">
        <v>2685</v>
      </c>
      <c r="O605" s="156" t="s">
        <v>310</v>
      </c>
      <c r="P605" s="156" t="s">
        <v>108</v>
      </c>
      <c r="Q605" s="156" t="s">
        <v>294</v>
      </c>
      <c r="R605" s="156">
        <v>1000000.01</v>
      </c>
      <c r="S605" s="156">
        <v>1500000</v>
      </c>
      <c r="T605" s="156">
        <v>0</v>
      </c>
      <c r="U605" s="156">
        <v>0</v>
      </c>
      <c r="V605" s="156">
        <v>0</v>
      </c>
      <c r="W605" s="156">
        <v>50</v>
      </c>
      <c r="X605" s="156">
        <v>1</v>
      </c>
      <c r="Y605" s="156">
        <v>999</v>
      </c>
      <c r="Z605" s="158">
        <v>700</v>
      </c>
      <c r="AA605" s="158">
        <v>719</v>
      </c>
      <c r="AB605" s="158">
        <v>6</v>
      </c>
      <c r="AC605" s="158">
        <v>999999</v>
      </c>
      <c r="AD605" s="156">
        <v>0</v>
      </c>
      <c r="AE605" s="156">
        <v>70</v>
      </c>
      <c r="AF605" s="170">
        <v>0</v>
      </c>
      <c r="AG605" s="171">
        <v>1</v>
      </c>
      <c r="AH605" s="171">
        <v>1</v>
      </c>
      <c r="AI605" s="171">
        <v>0</v>
      </c>
      <c r="AJ605" s="171">
        <v>0</v>
      </c>
      <c r="AK605" s="171">
        <v>1</v>
      </c>
      <c r="AL605" s="171">
        <v>0</v>
      </c>
      <c r="AM605" s="171">
        <v>1</v>
      </c>
      <c r="AN605" s="171">
        <v>0</v>
      </c>
      <c r="AO605" s="171">
        <v>1</v>
      </c>
      <c r="AP605" s="171">
        <v>1</v>
      </c>
      <c r="AQ605" s="171">
        <v>1</v>
      </c>
      <c r="AR605" s="171">
        <v>1</v>
      </c>
      <c r="AS605" s="171">
        <v>1</v>
      </c>
      <c r="AT605" s="171">
        <v>1</v>
      </c>
      <c r="AU605" s="171">
        <f t="shared" si="183"/>
        <v>0</v>
      </c>
      <c r="AV605" s="171">
        <f t="shared" si="184"/>
        <v>0</v>
      </c>
      <c r="AW605" s="171">
        <f t="shared" si="185"/>
        <v>1</v>
      </c>
      <c r="AX605" s="171">
        <f t="shared" si="197"/>
        <v>0</v>
      </c>
      <c r="AY605" s="171">
        <f t="shared" si="186"/>
        <v>0</v>
      </c>
      <c r="AZ605" s="171">
        <f t="shared" si="187"/>
        <v>1</v>
      </c>
      <c r="BA605" s="172">
        <f t="shared" si="188"/>
        <v>1</v>
      </c>
      <c r="BB605" s="175">
        <f t="shared" si="190"/>
        <v>13</v>
      </c>
      <c r="BC605" s="176">
        <f t="shared" si="191"/>
        <v>12</v>
      </c>
      <c r="BD605" s="176">
        <f t="shared" si="192"/>
        <v>13</v>
      </c>
      <c r="BE605" s="240" t="str">
        <f t="shared" si="259"/>
        <v/>
      </c>
      <c r="BH605" s="199">
        <f>IF(AND(Input_Product=Elig!$C605,Elig_MatchAll_Ct&lt;22,$BC605=(Elig_MatchAll_Ct-1),AF605=0),C605,0)</f>
        <v>0</v>
      </c>
      <c r="BI605" s="199">
        <f>IF(AND(Input_Product=Elig!$C605,Elig_MatchAll_Ct&lt;22,$BC605=(Elig_MatchAll_Ct-1),AG605=0),D605,0)</f>
        <v>0</v>
      </c>
      <c r="BJ605" s="199">
        <f>IF(AND(Input_Product=Elig!$C605,Elig_MatchAll_Ct&lt;22,$BC605=(Elig_MatchAll_Ct-1),AH605=0),E605,0)</f>
        <v>0</v>
      </c>
      <c r="BK605" s="199">
        <f>IF(AND(Input_Product=Elig!$C605,Elig_MatchAll_Ct&lt;22,$BC605=(Elig_MatchAll_Ct-1),AI605=0),F605,0)</f>
        <v>0</v>
      </c>
      <c r="BL605" s="199">
        <f>IF(AND(Input_Product=Elig!$C605,Elig_MatchAll_Ct&lt;22,$BC605=(Elig_MatchAll_Ct-1),AJ605=0),G605,0)</f>
        <v>0</v>
      </c>
      <c r="BM605" s="199">
        <f>IF(AND(Input_Product=Elig!$C605,Elig_MatchAll_Ct&lt;22,$BC605=(Elig_MatchAll_Ct-1),AK605=0),H605,0)</f>
        <v>0</v>
      </c>
      <c r="BN605" s="199">
        <f>IF(AND(Input_Product=Elig!$C605,Elig_MatchAll_Ct&lt;22,$BC605=(Elig_MatchAll_Ct-1),AL605=0),I605,0)</f>
        <v>0</v>
      </c>
      <c r="BO605" s="199">
        <f>IF(AND(Input_Product=Elig!$C605,Elig_MatchAll_Ct&lt;22,$BC605=(Elig_MatchAll_Ct-1),AM605=0),J605,0)</f>
        <v>0</v>
      </c>
      <c r="BP605" s="199">
        <f>IF(AND(Input_Product=Elig!$C605,Elig_MatchAll_Ct&lt;22,$BC605=(Elig_MatchAll_Ct-1),AN605=0),K605,0)</f>
        <v>0</v>
      </c>
      <c r="BQ605" s="199">
        <f>IF(AND(Input_Product=Elig!$C605,Elig_MatchAll_Ct&lt;22,$BC605=(Elig_MatchAll_Ct-1),AP605=0),L605,0)</f>
        <v>0</v>
      </c>
      <c r="BR605" s="199">
        <f>IF(AND(Input_Product=Elig!$C605,Elig_MatchAll_Ct&lt;22,$BC605=(Elig_MatchAll_Ct-1),AO605=0),M605,0)</f>
        <v>0</v>
      </c>
      <c r="BS605" s="199">
        <f>IF(AND(Input_Product=Elig!$C605,Elig_MatchAll_Ct&lt;22,$BC605=(Elig_MatchAll_Ct-1),AQ605=0),N605,0)</f>
        <v>0</v>
      </c>
      <c r="BT605" s="199">
        <f>IF(AND(Input_Product=Elig!$C605,Elig_MatchAll_Ct&lt;22,$BC605=(Elig_MatchAll_Ct-1),AR605=0),O605,0)</f>
        <v>0</v>
      </c>
      <c r="BU605" s="199">
        <f>IF(AND(Input_Product=Elig!$C605,Elig_MatchAll_Ct&lt;22,$BC605=(Elig_MatchAll_Ct-1),AS605=0),P605,0)</f>
        <v>0</v>
      </c>
      <c r="BV605" s="200">
        <f>IF(AND(Input_Product=Elig!$C605,Elig_MatchAll_Ct&lt;22,$BC605=(Elig_MatchAll_Ct-1),AT605=0),Q605,0)</f>
        <v>0</v>
      </c>
      <c r="BW605" s="201">
        <f>IF(AND(Input_Product=Elig!$C605,Elig_MatchAll_Ct&lt;22,$BC605=(Elig_MatchAll_Ct-1),AU605=0),R605,0)</f>
        <v>0</v>
      </c>
      <c r="BX605" s="202">
        <f>IF(AND(Input_Product=Elig!$C605,Elig_MatchAll_Ct&lt;22,$BC605=(Elig_MatchAll_Ct-1),AU605=0),S605,0)</f>
        <v>0</v>
      </c>
      <c r="BY605" s="201">
        <f>IF(AND(Input_Product=Elig!$C605,Elig_MatchAll_Ct&lt;22,$BC605=(Elig_MatchAll_Ct-1),AV605=0),T605,0)</f>
        <v>0</v>
      </c>
      <c r="BZ605" s="202">
        <f>IF(AND(Input_Product=Elig!$C605,Elig_MatchAll_Ct&lt;22,$BC605=(Elig_MatchAll_Ct-1),AV605=0),U605,0)</f>
        <v>0</v>
      </c>
      <c r="CA605" s="201">
        <f>IF(AND(Input_Product=Elig!$C605,Elig_MatchAll_Ct&lt;22,$BC605=(Elig_MatchAll_Ct-1),AW605=0),V605,0)</f>
        <v>0</v>
      </c>
      <c r="CB605" s="202">
        <f>IF(AND(Input_Product=Elig!$C605,Elig_MatchAll_Ct&lt;22,$BC605=(Elig_MatchAll_Ct-1),AW605=0),W605,0)</f>
        <v>0</v>
      </c>
      <c r="CC605" s="201">
        <f>IF(AND(Input_Product=Elig!$C605,Elig_MatchAll_Ct&lt;22,$BC605=(Elig_MatchAll_Ct-1),AX605=0),X605,0)</f>
        <v>0</v>
      </c>
      <c r="CD605" s="202">
        <f>IF(AND(Input_Product=Elig!$C605,Elig_MatchAll_Ct&lt;22,$BC605=(Elig_MatchAll_Ct-1),AX605=0),Y605,0)</f>
        <v>0</v>
      </c>
      <c r="CE605" s="201">
        <f>IF(AND(Input_LTV&lt;=AE605,Input_Product=Elig!$C605,Elig_MatchAll_Ct&lt;22,$BC605=(Elig_MatchAll_Ct-1),AY605=0),Z605,0)</f>
        <v>0</v>
      </c>
      <c r="CF605" s="202">
        <f>IF(AND(Input_LTV&lt;=AE605,Input_Product=Elig!$C605,Elig_MatchAll_Ct&lt;22,$BC605=(Elig_MatchAll_Ct-1),AY605=0),AA605,0)</f>
        <v>0</v>
      </c>
      <c r="CG605" s="201">
        <f>IF(AND(Input_Product=Elig!$C605,Elig_MatchAll_Ct&lt;22,$BC605=(Elig_MatchAll_Ct-1),AZ605=0),AB605,0)</f>
        <v>0</v>
      </c>
      <c r="CH605" s="202">
        <f>IF(AND(Input_Product=Elig!$C605,Elig_MatchAll_Ct&lt;22,$BC605=(Elig_MatchAll_Ct-1),AZ605=0),AC605,0)</f>
        <v>0</v>
      </c>
      <c r="CI605" s="201">
        <f>IF(AND(Input_Product=Elig!$C605,Elig_MatchAll_Ct&lt;22,$BC605=(Elig_MatchAll_Ct-1),BA605=0),AD605,0)</f>
        <v>0</v>
      </c>
      <c r="CJ605" s="202">
        <f>IF(AND(Input_Product=Elig!$C605,Elig_MatchAll_Ct&lt;22,$BC605=(Elig_MatchAll_Ct-1),BA605=0),AE605,0)</f>
        <v>0</v>
      </c>
    </row>
    <row r="606" spans="2:88" ht="10.15" customHeight="1" x14ac:dyDescent="0.25">
      <c r="B606" s="1914" t="s">
        <v>1177</v>
      </c>
      <c r="C606" s="155" t="str">
        <f t="shared" si="269"/>
        <v>Multi NOO</v>
      </c>
      <c r="D606" s="156" t="s">
        <v>2218</v>
      </c>
      <c r="E606" s="156" t="s">
        <v>167</v>
      </c>
      <c r="F606" s="156" t="s">
        <v>330</v>
      </c>
      <c r="G606" s="156" t="s">
        <v>181</v>
      </c>
      <c r="H606" s="156" t="s">
        <v>136</v>
      </c>
      <c r="I606" s="157" t="s">
        <v>274</v>
      </c>
      <c r="J606" s="157" t="s">
        <v>1311</v>
      </c>
      <c r="K606" s="157" t="s">
        <v>356</v>
      </c>
      <c r="L606" s="156" t="s">
        <v>312</v>
      </c>
      <c r="M606" s="156" t="s">
        <v>4203</v>
      </c>
      <c r="N606" s="156" t="s">
        <v>2685</v>
      </c>
      <c r="O606" s="156" t="s">
        <v>310</v>
      </c>
      <c r="P606" s="156" t="s">
        <v>108</v>
      </c>
      <c r="Q606" s="156" t="s">
        <v>294</v>
      </c>
      <c r="R606" s="156">
        <v>1000000.01</v>
      </c>
      <c r="S606" s="156">
        <v>1500000</v>
      </c>
      <c r="T606" s="156">
        <v>0</v>
      </c>
      <c r="U606" s="156">
        <v>0</v>
      </c>
      <c r="V606" s="156">
        <v>0</v>
      </c>
      <c r="W606" s="156">
        <v>50</v>
      </c>
      <c r="X606" s="156">
        <v>1</v>
      </c>
      <c r="Y606" s="156">
        <v>999</v>
      </c>
      <c r="Z606" s="158">
        <v>680</v>
      </c>
      <c r="AA606" s="158">
        <v>699</v>
      </c>
      <c r="AB606" s="158">
        <v>6</v>
      </c>
      <c r="AC606" s="158">
        <v>999999</v>
      </c>
      <c r="AD606" s="156">
        <v>0</v>
      </c>
      <c r="AE606" s="156">
        <v>70</v>
      </c>
      <c r="AF606" s="170">
        <v>0</v>
      </c>
      <c r="AG606" s="171">
        <v>1</v>
      </c>
      <c r="AH606" s="171">
        <v>1</v>
      </c>
      <c r="AI606" s="171">
        <v>0</v>
      </c>
      <c r="AJ606" s="171">
        <v>0</v>
      </c>
      <c r="AK606" s="171">
        <v>1</v>
      </c>
      <c r="AL606" s="171">
        <v>0</v>
      </c>
      <c r="AM606" s="171">
        <v>1</v>
      </c>
      <c r="AN606" s="171">
        <v>0</v>
      </c>
      <c r="AO606" s="171">
        <v>1</v>
      </c>
      <c r="AP606" s="171">
        <v>1</v>
      </c>
      <c r="AQ606" s="171">
        <v>1</v>
      </c>
      <c r="AR606" s="171">
        <v>1</v>
      </c>
      <c r="AS606" s="171">
        <v>1</v>
      </c>
      <c r="AT606" s="171">
        <v>1</v>
      </c>
      <c r="AU606" s="171">
        <f t="shared" si="183"/>
        <v>0</v>
      </c>
      <c r="AV606" s="171">
        <f t="shared" si="184"/>
        <v>0</v>
      </c>
      <c r="AW606" s="171">
        <f t="shared" si="185"/>
        <v>1</v>
      </c>
      <c r="AX606" s="171">
        <f t="shared" si="197"/>
        <v>0</v>
      </c>
      <c r="AY606" s="171">
        <f t="shared" si="186"/>
        <v>0</v>
      </c>
      <c r="AZ606" s="171">
        <f t="shared" si="187"/>
        <v>1</v>
      </c>
      <c r="BA606" s="172">
        <f t="shared" si="188"/>
        <v>1</v>
      </c>
      <c r="BB606" s="175">
        <f t="shared" si="190"/>
        <v>13</v>
      </c>
      <c r="BC606" s="176">
        <f t="shared" si="191"/>
        <v>12</v>
      </c>
      <c r="BD606" s="176">
        <f t="shared" si="192"/>
        <v>13</v>
      </c>
      <c r="BE606" s="240" t="str">
        <f t="shared" si="259"/>
        <v/>
      </c>
      <c r="BH606" s="199">
        <f>IF(AND(Input_Product=Elig!$C606,Elig_MatchAll_Ct&lt;22,$BC606=(Elig_MatchAll_Ct-1),AF606=0),C606,0)</f>
        <v>0</v>
      </c>
      <c r="BI606" s="199">
        <f>IF(AND(Input_Product=Elig!$C606,Elig_MatchAll_Ct&lt;22,$BC606=(Elig_MatchAll_Ct-1),AG606=0),D606,0)</f>
        <v>0</v>
      </c>
      <c r="BJ606" s="199">
        <f>IF(AND(Input_Product=Elig!$C606,Elig_MatchAll_Ct&lt;22,$BC606=(Elig_MatchAll_Ct-1),AH606=0),E606,0)</f>
        <v>0</v>
      </c>
      <c r="BK606" s="199">
        <f>IF(AND(Input_Product=Elig!$C606,Elig_MatchAll_Ct&lt;22,$BC606=(Elig_MatchAll_Ct-1),AI606=0),F606,0)</f>
        <v>0</v>
      </c>
      <c r="BL606" s="199">
        <f>IF(AND(Input_Product=Elig!$C606,Elig_MatchAll_Ct&lt;22,$BC606=(Elig_MatchAll_Ct-1),AJ606=0),G606,0)</f>
        <v>0</v>
      </c>
      <c r="BM606" s="199">
        <f>IF(AND(Input_Product=Elig!$C606,Elig_MatchAll_Ct&lt;22,$BC606=(Elig_MatchAll_Ct-1),AK606=0),H606,0)</f>
        <v>0</v>
      </c>
      <c r="BN606" s="199">
        <f>IF(AND(Input_Product=Elig!$C606,Elig_MatchAll_Ct&lt;22,$BC606=(Elig_MatchAll_Ct-1),AL606=0),I606,0)</f>
        <v>0</v>
      </c>
      <c r="BO606" s="199">
        <f>IF(AND(Input_Product=Elig!$C606,Elig_MatchAll_Ct&lt;22,$BC606=(Elig_MatchAll_Ct-1),AM606=0),J606,0)</f>
        <v>0</v>
      </c>
      <c r="BP606" s="199">
        <f>IF(AND(Input_Product=Elig!$C606,Elig_MatchAll_Ct&lt;22,$BC606=(Elig_MatchAll_Ct-1),AN606=0),K606,0)</f>
        <v>0</v>
      </c>
      <c r="BQ606" s="199">
        <f>IF(AND(Input_Product=Elig!$C606,Elig_MatchAll_Ct&lt;22,$BC606=(Elig_MatchAll_Ct-1),AP606=0),L606,0)</f>
        <v>0</v>
      </c>
      <c r="BR606" s="199">
        <f>IF(AND(Input_Product=Elig!$C606,Elig_MatchAll_Ct&lt;22,$BC606=(Elig_MatchAll_Ct-1),AO606=0),M606,0)</f>
        <v>0</v>
      </c>
      <c r="BS606" s="199">
        <f>IF(AND(Input_Product=Elig!$C606,Elig_MatchAll_Ct&lt;22,$BC606=(Elig_MatchAll_Ct-1),AQ606=0),N606,0)</f>
        <v>0</v>
      </c>
      <c r="BT606" s="199">
        <f>IF(AND(Input_Product=Elig!$C606,Elig_MatchAll_Ct&lt;22,$BC606=(Elig_MatchAll_Ct-1),AR606=0),O606,0)</f>
        <v>0</v>
      </c>
      <c r="BU606" s="199">
        <f>IF(AND(Input_Product=Elig!$C606,Elig_MatchAll_Ct&lt;22,$BC606=(Elig_MatchAll_Ct-1),AS606=0),P606,0)</f>
        <v>0</v>
      </c>
      <c r="BV606" s="200">
        <f>IF(AND(Input_Product=Elig!$C606,Elig_MatchAll_Ct&lt;22,$BC606=(Elig_MatchAll_Ct-1),AT606=0),Q606,0)</f>
        <v>0</v>
      </c>
      <c r="BW606" s="201">
        <f>IF(AND(Input_Product=Elig!$C606,Elig_MatchAll_Ct&lt;22,$BC606=(Elig_MatchAll_Ct-1),AU606=0),R606,0)</f>
        <v>0</v>
      </c>
      <c r="BX606" s="202">
        <f>IF(AND(Input_Product=Elig!$C606,Elig_MatchAll_Ct&lt;22,$BC606=(Elig_MatchAll_Ct-1),AU606=0),S606,0)</f>
        <v>0</v>
      </c>
      <c r="BY606" s="201">
        <f>IF(AND(Input_Product=Elig!$C606,Elig_MatchAll_Ct&lt;22,$BC606=(Elig_MatchAll_Ct-1),AV606=0),T606,0)</f>
        <v>0</v>
      </c>
      <c r="BZ606" s="202">
        <f>IF(AND(Input_Product=Elig!$C606,Elig_MatchAll_Ct&lt;22,$BC606=(Elig_MatchAll_Ct-1),AV606=0),U606,0)</f>
        <v>0</v>
      </c>
      <c r="CA606" s="201">
        <f>IF(AND(Input_Product=Elig!$C606,Elig_MatchAll_Ct&lt;22,$BC606=(Elig_MatchAll_Ct-1),AW606=0),V606,0)</f>
        <v>0</v>
      </c>
      <c r="CB606" s="202">
        <f>IF(AND(Input_Product=Elig!$C606,Elig_MatchAll_Ct&lt;22,$BC606=(Elig_MatchAll_Ct-1),AW606=0),W606,0)</f>
        <v>0</v>
      </c>
      <c r="CC606" s="201">
        <f>IF(AND(Input_Product=Elig!$C606,Elig_MatchAll_Ct&lt;22,$BC606=(Elig_MatchAll_Ct-1),AX606=0),X606,0)</f>
        <v>0</v>
      </c>
      <c r="CD606" s="202">
        <f>IF(AND(Input_Product=Elig!$C606,Elig_MatchAll_Ct&lt;22,$BC606=(Elig_MatchAll_Ct-1),AX606=0),Y606,0)</f>
        <v>0</v>
      </c>
      <c r="CE606" s="201">
        <f>IF(AND(Input_LTV&lt;=AE606,Input_Product=Elig!$C606,Elig_MatchAll_Ct&lt;22,$BC606=(Elig_MatchAll_Ct-1),AY606=0),Z606,0)</f>
        <v>0</v>
      </c>
      <c r="CF606" s="202">
        <f>IF(AND(Input_LTV&lt;=AE606,Input_Product=Elig!$C606,Elig_MatchAll_Ct&lt;22,$BC606=(Elig_MatchAll_Ct-1),AY606=0),AA606,0)</f>
        <v>0</v>
      </c>
      <c r="CG606" s="201">
        <f>IF(AND(Input_Product=Elig!$C606,Elig_MatchAll_Ct&lt;22,$BC606=(Elig_MatchAll_Ct-1),AZ606=0),AB606,0)</f>
        <v>0</v>
      </c>
      <c r="CH606" s="202">
        <f>IF(AND(Input_Product=Elig!$C606,Elig_MatchAll_Ct&lt;22,$BC606=(Elig_MatchAll_Ct-1),AZ606=0),AC606,0)</f>
        <v>0</v>
      </c>
      <c r="CI606" s="201">
        <f>IF(AND(Input_Product=Elig!$C606,Elig_MatchAll_Ct&lt;22,$BC606=(Elig_MatchAll_Ct-1),BA606=0),AD606,0)</f>
        <v>0</v>
      </c>
      <c r="CJ606" s="202">
        <f>IF(AND(Input_Product=Elig!$C606,Elig_MatchAll_Ct&lt;22,$BC606=(Elig_MatchAll_Ct-1),BA606=0),AE606,0)</f>
        <v>0</v>
      </c>
    </row>
    <row r="607" spans="2:88" ht="10.15" customHeight="1" x14ac:dyDescent="0.25">
      <c r="B607" s="1914" t="s">
        <v>1178</v>
      </c>
      <c r="C607" s="155" t="str">
        <f t="shared" si="269"/>
        <v>Multi NOO</v>
      </c>
      <c r="D607" s="156" t="s">
        <v>2218</v>
      </c>
      <c r="E607" s="156" t="s">
        <v>167</v>
      </c>
      <c r="F607" s="156" t="s">
        <v>330</v>
      </c>
      <c r="G607" s="156" t="s">
        <v>181</v>
      </c>
      <c r="H607" s="156" t="s">
        <v>136</v>
      </c>
      <c r="I607" s="156" t="s">
        <v>274</v>
      </c>
      <c r="J607" s="156" t="s">
        <v>1311</v>
      </c>
      <c r="K607" s="156" t="s">
        <v>356</v>
      </c>
      <c r="L607" s="156" t="s">
        <v>312</v>
      </c>
      <c r="M607" s="156" t="s">
        <v>4203</v>
      </c>
      <c r="N607" s="156" t="s">
        <v>2685</v>
      </c>
      <c r="O607" s="156" t="s">
        <v>310</v>
      </c>
      <c r="P607" s="156" t="s">
        <v>108</v>
      </c>
      <c r="Q607" s="156" t="s">
        <v>294</v>
      </c>
      <c r="R607" s="156">
        <v>1000000.01</v>
      </c>
      <c r="S607" s="156">
        <v>1500000</v>
      </c>
      <c r="T607" s="156">
        <v>0</v>
      </c>
      <c r="U607" s="156">
        <v>0</v>
      </c>
      <c r="V607" s="156">
        <v>0</v>
      </c>
      <c r="W607" s="156">
        <v>50</v>
      </c>
      <c r="X607" s="156">
        <v>1</v>
      </c>
      <c r="Y607" s="156">
        <v>999</v>
      </c>
      <c r="Z607" s="158">
        <v>660</v>
      </c>
      <c r="AA607" s="158">
        <v>679</v>
      </c>
      <c r="AB607" s="158">
        <v>6</v>
      </c>
      <c r="AC607" s="158">
        <v>999999</v>
      </c>
      <c r="AD607" s="156">
        <v>0</v>
      </c>
      <c r="AE607" s="156">
        <v>65</v>
      </c>
      <c r="AF607" s="170">
        <v>0</v>
      </c>
      <c r="AG607" s="171">
        <v>1</v>
      </c>
      <c r="AH607" s="171">
        <v>1</v>
      </c>
      <c r="AI607" s="171">
        <v>0</v>
      </c>
      <c r="AJ607" s="171">
        <v>0</v>
      </c>
      <c r="AK607" s="171">
        <v>1</v>
      </c>
      <c r="AL607" s="171">
        <v>0</v>
      </c>
      <c r="AM607" s="171">
        <v>1</v>
      </c>
      <c r="AN607" s="171">
        <v>0</v>
      </c>
      <c r="AO607" s="171">
        <v>1</v>
      </c>
      <c r="AP607" s="171">
        <v>1</v>
      </c>
      <c r="AQ607" s="171">
        <v>1</v>
      </c>
      <c r="AR607" s="171">
        <v>1</v>
      </c>
      <c r="AS607" s="171">
        <v>1</v>
      </c>
      <c r="AT607" s="171">
        <v>1</v>
      </c>
      <c r="AU607" s="171">
        <f t="shared" si="183"/>
        <v>0</v>
      </c>
      <c r="AV607" s="171">
        <f t="shared" si="184"/>
        <v>0</v>
      </c>
      <c r="AW607" s="171">
        <f t="shared" si="185"/>
        <v>1</v>
      </c>
      <c r="AX607" s="171">
        <f t="shared" si="197"/>
        <v>0</v>
      </c>
      <c r="AY607" s="171">
        <f t="shared" si="186"/>
        <v>0</v>
      </c>
      <c r="AZ607" s="171">
        <f t="shared" si="187"/>
        <v>1</v>
      </c>
      <c r="BA607" s="172">
        <f t="shared" si="188"/>
        <v>1</v>
      </c>
      <c r="BB607" s="175">
        <f t="shared" si="190"/>
        <v>13</v>
      </c>
      <c r="BC607" s="176">
        <f t="shared" si="191"/>
        <v>12</v>
      </c>
      <c r="BD607" s="176">
        <f t="shared" si="192"/>
        <v>13</v>
      </c>
      <c r="BE607" s="240" t="str">
        <f t="shared" si="259"/>
        <v/>
      </c>
      <c r="BH607" s="214">
        <f>IF(AND(Input_Product=Elig!$C607,Elig_MatchAll_Ct&lt;22,$BC607=(Elig_MatchAll_Ct-1),AF607=0),C607,0)</f>
        <v>0</v>
      </c>
      <c r="BI607" s="214">
        <f>IF(AND(Input_Product=Elig!$C607,Elig_MatchAll_Ct&lt;22,$BC607=(Elig_MatchAll_Ct-1),AG607=0),D607,0)</f>
        <v>0</v>
      </c>
      <c r="BJ607" s="214">
        <f>IF(AND(Input_Product=Elig!$C607,Elig_MatchAll_Ct&lt;22,$BC607=(Elig_MatchAll_Ct-1),AH607=0),E607,0)</f>
        <v>0</v>
      </c>
      <c r="BK607" s="214">
        <f>IF(AND(Input_Product=Elig!$C607,Elig_MatchAll_Ct&lt;22,$BC607=(Elig_MatchAll_Ct-1),AI607=0),F607,0)</f>
        <v>0</v>
      </c>
      <c r="BL607" s="214">
        <f>IF(AND(Input_Product=Elig!$C607,Elig_MatchAll_Ct&lt;22,$BC607=(Elig_MatchAll_Ct-1),AJ607=0),G607,0)</f>
        <v>0</v>
      </c>
      <c r="BM607" s="214">
        <f>IF(AND(Input_Product=Elig!$C607,Elig_MatchAll_Ct&lt;22,$BC607=(Elig_MatchAll_Ct-1),AK607=0),H607,0)</f>
        <v>0</v>
      </c>
      <c r="BN607" s="214">
        <f>IF(AND(Input_Product=Elig!$C607,Elig_MatchAll_Ct&lt;22,$BC607=(Elig_MatchAll_Ct-1),AL607=0),I607,0)</f>
        <v>0</v>
      </c>
      <c r="BO607" s="214">
        <f>IF(AND(Input_Product=Elig!$C607,Elig_MatchAll_Ct&lt;22,$BC607=(Elig_MatchAll_Ct-1),AM607=0),J607,0)</f>
        <v>0</v>
      </c>
      <c r="BP607" s="214">
        <f>IF(AND(Input_Product=Elig!$C607,Elig_MatchAll_Ct&lt;22,$BC607=(Elig_MatchAll_Ct-1),AN607=0),K607,0)</f>
        <v>0</v>
      </c>
      <c r="BQ607" s="214">
        <f>IF(AND(Input_Product=Elig!$C607,Elig_MatchAll_Ct&lt;22,$BC607=(Elig_MatchAll_Ct-1),AP607=0),L607,0)</f>
        <v>0</v>
      </c>
      <c r="BR607" s="214">
        <f>IF(AND(Input_Product=Elig!$C607,Elig_MatchAll_Ct&lt;22,$BC607=(Elig_MatchAll_Ct-1),AO607=0),M607,0)</f>
        <v>0</v>
      </c>
      <c r="BS607" s="214">
        <f>IF(AND(Input_Product=Elig!$C607,Elig_MatchAll_Ct&lt;22,$BC607=(Elig_MatchAll_Ct-1),AQ607=0),N607,0)</f>
        <v>0</v>
      </c>
      <c r="BT607" s="214">
        <f>IF(AND(Input_Product=Elig!$C607,Elig_MatchAll_Ct&lt;22,$BC607=(Elig_MatchAll_Ct-1),AR607=0),O607,0)</f>
        <v>0</v>
      </c>
      <c r="BU607" s="214">
        <f>IF(AND(Input_Product=Elig!$C607,Elig_MatchAll_Ct&lt;22,$BC607=(Elig_MatchAll_Ct-1),AS607=0),P607,0)</f>
        <v>0</v>
      </c>
      <c r="BV607" s="215">
        <f>IF(AND(Input_Product=Elig!$C607,Elig_MatchAll_Ct&lt;22,$BC607=(Elig_MatchAll_Ct-1),AT607=0),Q607,0)</f>
        <v>0</v>
      </c>
      <c r="BW607" s="311">
        <f>IF(AND(Input_Product=Elig!$C607,Elig_MatchAll_Ct&lt;22,$BC607=(Elig_MatchAll_Ct-1),AU607=0),R607,0)</f>
        <v>0</v>
      </c>
      <c r="BX607" s="312">
        <f>IF(AND(Input_Product=Elig!$C607,Elig_MatchAll_Ct&lt;22,$BC607=(Elig_MatchAll_Ct-1),AU607=0),S607,0)</f>
        <v>0</v>
      </c>
      <c r="BY607" s="311">
        <f>IF(AND(Input_Product=Elig!$C607,Elig_MatchAll_Ct&lt;22,$BC607=(Elig_MatchAll_Ct-1),AV607=0),T607,0)</f>
        <v>0</v>
      </c>
      <c r="BZ607" s="312">
        <f>IF(AND(Input_Product=Elig!$C607,Elig_MatchAll_Ct&lt;22,$BC607=(Elig_MatchAll_Ct-1),AV607=0),U607,0)</f>
        <v>0</v>
      </c>
      <c r="CA607" s="311">
        <f>IF(AND(Input_Product=Elig!$C607,Elig_MatchAll_Ct&lt;22,$BC607=(Elig_MatchAll_Ct-1),AW607=0),V607,0)</f>
        <v>0</v>
      </c>
      <c r="CB607" s="312">
        <f>IF(AND(Input_Product=Elig!$C607,Elig_MatchAll_Ct&lt;22,$BC607=(Elig_MatchAll_Ct-1),AW607=0),W607,0)</f>
        <v>0</v>
      </c>
      <c r="CC607" s="311">
        <f>IF(AND(Input_Product=Elig!$C607,Elig_MatchAll_Ct&lt;22,$BC607=(Elig_MatchAll_Ct-1),AX607=0),X607,0)</f>
        <v>0</v>
      </c>
      <c r="CD607" s="312">
        <f>IF(AND(Input_Product=Elig!$C607,Elig_MatchAll_Ct&lt;22,$BC607=(Elig_MatchAll_Ct-1),AX607=0),Y607,0)</f>
        <v>0</v>
      </c>
      <c r="CE607" s="311">
        <f>IF(AND(Input_LTV&lt;=AE607,Input_Product=Elig!$C607,Elig_MatchAll_Ct&lt;22,$BC607=(Elig_MatchAll_Ct-1),AY607=0),Z607,0)</f>
        <v>0</v>
      </c>
      <c r="CF607" s="312">
        <f>IF(AND(Input_LTV&lt;=AE607,Input_Product=Elig!$C607,Elig_MatchAll_Ct&lt;22,$BC607=(Elig_MatchAll_Ct-1),AY607=0),AA607,0)</f>
        <v>0</v>
      </c>
      <c r="CG607" s="311">
        <f>IF(AND(Input_Product=Elig!$C607,Elig_MatchAll_Ct&lt;22,$BC607=(Elig_MatchAll_Ct-1),AZ607=0),AB607,0)</f>
        <v>0</v>
      </c>
      <c r="CH607" s="312">
        <f>IF(AND(Input_Product=Elig!$C607,Elig_MatchAll_Ct&lt;22,$BC607=(Elig_MatchAll_Ct-1),AZ607=0),AC607,0)</f>
        <v>0</v>
      </c>
      <c r="CI607" s="311">
        <f>IF(AND(Input_Product=Elig!$C607,Elig_MatchAll_Ct&lt;22,$BC607=(Elig_MatchAll_Ct-1),BA607=0),AD607,0)</f>
        <v>0</v>
      </c>
      <c r="CJ607" s="312">
        <f>IF(AND(Input_Product=Elig!$C607,Elig_MatchAll_Ct&lt;22,$BC607=(Elig_MatchAll_Ct-1),BA607=0),AE607,0)</f>
        <v>0</v>
      </c>
    </row>
    <row r="608" spans="2:88" ht="10.15" customHeight="1" x14ac:dyDescent="0.25">
      <c r="B608" s="1914" t="s">
        <v>1179</v>
      </c>
      <c r="C608" s="151" t="str">
        <f t="shared" si="269"/>
        <v>Multi NOO</v>
      </c>
      <c r="D608" s="152" t="s">
        <v>2218</v>
      </c>
      <c r="E608" s="153" t="s">
        <v>167</v>
      </c>
      <c r="F608" s="153" t="s">
        <v>330</v>
      </c>
      <c r="G608" s="153" t="s">
        <v>181</v>
      </c>
      <c r="H608" s="153" t="s">
        <v>136</v>
      </c>
      <c r="I608" s="152" t="s">
        <v>16</v>
      </c>
      <c r="J608" s="152" t="s">
        <v>1311</v>
      </c>
      <c r="K608" s="152" t="s">
        <v>356</v>
      </c>
      <c r="L608" s="153" t="s">
        <v>312</v>
      </c>
      <c r="M608" s="153" t="s">
        <v>4203</v>
      </c>
      <c r="N608" s="153" t="s">
        <v>2685</v>
      </c>
      <c r="O608" s="153" t="s">
        <v>310</v>
      </c>
      <c r="P608" s="153" t="s">
        <v>108</v>
      </c>
      <c r="Q608" s="153" t="s">
        <v>294</v>
      </c>
      <c r="R608" s="152">
        <v>1000000.01</v>
      </c>
      <c r="S608" s="152">
        <v>1500000</v>
      </c>
      <c r="T608" s="152">
        <v>0</v>
      </c>
      <c r="U608" s="152">
        <v>1000000</v>
      </c>
      <c r="V608" s="152">
        <v>0</v>
      </c>
      <c r="W608" s="152">
        <v>50</v>
      </c>
      <c r="X608" s="152">
        <v>1</v>
      </c>
      <c r="Y608" s="152">
        <v>999</v>
      </c>
      <c r="Z608" s="154">
        <v>720</v>
      </c>
      <c r="AA608" s="154">
        <v>999</v>
      </c>
      <c r="AB608" s="154">
        <v>6</v>
      </c>
      <c r="AC608" s="154">
        <v>999999</v>
      </c>
      <c r="AD608" s="152">
        <v>0</v>
      </c>
      <c r="AE608" s="152">
        <v>65</v>
      </c>
      <c r="AF608" s="170">
        <v>0</v>
      </c>
      <c r="AG608" s="171">
        <v>1</v>
      </c>
      <c r="AH608" s="171">
        <v>1</v>
      </c>
      <c r="AI608" s="171">
        <v>0</v>
      </c>
      <c r="AJ608" s="171">
        <v>0</v>
      </c>
      <c r="AK608" s="171">
        <v>1</v>
      </c>
      <c r="AL608" s="171">
        <v>1</v>
      </c>
      <c r="AM608" s="171">
        <v>1</v>
      </c>
      <c r="AN608" s="171">
        <v>0</v>
      </c>
      <c r="AO608" s="171">
        <v>1</v>
      </c>
      <c r="AP608" s="171">
        <v>1</v>
      </c>
      <c r="AQ608" s="171">
        <v>1</v>
      </c>
      <c r="AR608" s="171">
        <v>1</v>
      </c>
      <c r="AS608" s="171">
        <v>1</v>
      </c>
      <c r="AT608" s="171">
        <v>1</v>
      </c>
      <c r="AU608" s="171">
        <f t="shared" ref="AU608:AU703" si="270">IF(AND(Input_LoanAmt&gt;=Elig_LoanAmt_Min,Input_LoanAmt&lt;=Elig_LoanAmt_Max),1,0)</f>
        <v>0</v>
      </c>
      <c r="AV608" s="171">
        <f t="shared" ref="AV608:AV703" si="271">IF(AND(Input_CashoutAmt&gt;=Elig_CashoutAmt_Min,Input_CashoutAmt&lt;=Elig_CashoutAmt_Max),1,0)</f>
        <v>1</v>
      </c>
      <c r="AW608" s="171">
        <f t="shared" ref="AW608:AW703" si="272">IF(AND(Input_DTI&gt;=Elig_DTI_Min,Input_DTI&lt;=Elig_DTI_Max),1,0)</f>
        <v>1</v>
      </c>
      <c r="AX608" s="171">
        <f t="shared" si="197"/>
        <v>0</v>
      </c>
      <c r="AY608" s="171">
        <f t="shared" ref="AY608:AY703" si="273">IF(AND(Input_CreditScore&gt;=Elig_CreditScore_Min,Input_CreditScore&lt;=Elig_CreditScore_Max),1,0)</f>
        <v>1</v>
      </c>
      <c r="AZ608" s="171">
        <f t="shared" ref="AZ608:AZ703" si="274">IF(AND(Input_ReservesMonths&gt;=Elig_Reserves_Min,Input_ReservesMonths&lt;=Elig_Reserves_Max),1,0)</f>
        <v>1</v>
      </c>
      <c r="BA608" s="172">
        <f t="shared" ref="BA608:BA703" si="275">IF(AND(Input_LTV&gt;=Elig_LTV_Min,Input_LTV&lt;=Elig_LTV_Max),1,0)</f>
        <v>1</v>
      </c>
      <c r="BB608" s="175">
        <f t="shared" si="190"/>
        <v>16</v>
      </c>
      <c r="BC608" s="176">
        <f t="shared" si="191"/>
        <v>15</v>
      </c>
      <c r="BD608" s="176">
        <f t="shared" si="192"/>
        <v>16</v>
      </c>
      <c r="BE608" s="240" t="str">
        <f t="shared" si="259"/>
        <v/>
      </c>
      <c r="BH608" s="210">
        <f>IF(AND(Input_Product=Elig!$C608,Elig_MatchAll_Ct&lt;22,$BC608=(Elig_MatchAll_Ct-1),AF608=0),C608,0)</f>
        <v>0</v>
      </c>
      <c r="BI608" s="210">
        <f>IF(AND(Input_Product=Elig!$C608,Elig_MatchAll_Ct&lt;22,$BC608=(Elig_MatchAll_Ct-1),AG608=0),D608,0)</f>
        <v>0</v>
      </c>
      <c r="BJ608" s="210">
        <f>IF(AND(Input_Product=Elig!$C608,Elig_MatchAll_Ct&lt;22,$BC608=(Elig_MatchAll_Ct-1),AH608=0),E608,0)</f>
        <v>0</v>
      </c>
      <c r="BK608" s="210">
        <f>IF(AND(Input_Product=Elig!$C608,Elig_MatchAll_Ct&lt;22,$BC608=(Elig_MatchAll_Ct-1),AI608=0),F608,0)</f>
        <v>0</v>
      </c>
      <c r="BL608" s="210">
        <f>IF(AND(Input_Product=Elig!$C608,Elig_MatchAll_Ct&lt;22,$BC608=(Elig_MatchAll_Ct-1),AJ608=0),G608,0)</f>
        <v>0</v>
      </c>
      <c r="BM608" s="210">
        <f>IF(AND(Input_Product=Elig!$C608,Elig_MatchAll_Ct&lt;22,$BC608=(Elig_MatchAll_Ct-1),AK608=0),H608,0)</f>
        <v>0</v>
      </c>
      <c r="BN608" s="210">
        <f>IF(AND(Input_Product=Elig!$C608,Elig_MatchAll_Ct&lt;22,$BC608=(Elig_MatchAll_Ct-1),AL608=0),I608,0)</f>
        <v>0</v>
      </c>
      <c r="BO608" s="210">
        <f>IF(AND(Input_Product=Elig!$C608,Elig_MatchAll_Ct&lt;22,$BC608=(Elig_MatchAll_Ct-1),AM608=0),J608,0)</f>
        <v>0</v>
      </c>
      <c r="BP608" s="210">
        <f>IF(AND(Input_Product=Elig!$C608,Elig_MatchAll_Ct&lt;22,$BC608=(Elig_MatchAll_Ct-1),AN608=0),K608,0)</f>
        <v>0</v>
      </c>
      <c r="BQ608" s="210">
        <f>IF(AND(Input_Product=Elig!$C608,Elig_MatchAll_Ct&lt;22,$BC608=(Elig_MatchAll_Ct-1),AP608=0),L608,0)</f>
        <v>0</v>
      </c>
      <c r="BR608" s="210">
        <f>IF(AND(Input_Product=Elig!$C608,Elig_MatchAll_Ct&lt;22,$BC608=(Elig_MatchAll_Ct-1),AO608=0),M608,0)</f>
        <v>0</v>
      </c>
      <c r="BS608" s="210">
        <f>IF(AND(Input_Product=Elig!$C608,Elig_MatchAll_Ct&lt;22,$BC608=(Elig_MatchAll_Ct-1),AQ608=0),N608,0)</f>
        <v>0</v>
      </c>
      <c r="BT608" s="210">
        <f>IF(AND(Input_Product=Elig!$C608,Elig_MatchAll_Ct&lt;22,$BC608=(Elig_MatchAll_Ct-1),AR608=0),O608,0)</f>
        <v>0</v>
      </c>
      <c r="BU608" s="210">
        <f>IF(AND(Input_Product=Elig!$C608,Elig_MatchAll_Ct&lt;22,$BC608=(Elig_MatchAll_Ct-1),AS608=0),P608,0)</f>
        <v>0</v>
      </c>
      <c r="BV608" s="211">
        <f>IF(AND(Input_Product=Elig!$C608,Elig_MatchAll_Ct&lt;22,$BC608=(Elig_MatchAll_Ct-1),AT608=0),Q608,0)</f>
        <v>0</v>
      </c>
      <c r="BW608" s="212">
        <f>IF(AND(Input_Product=Elig!$C608,Elig_MatchAll_Ct&lt;22,$BC608=(Elig_MatchAll_Ct-1),AU608=0),R608,0)</f>
        <v>0</v>
      </c>
      <c r="BX608" s="213">
        <f>IF(AND(Input_Product=Elig!$C608,Elig_MatchAll_Ct&lt;22,$BC608=(Elig_MatchAll_Ct-1),AU608=0),S608,0)</f>
        <v>0</v>
      </c>
      <c r="BY608" s="212">
        <f>IF(AND(Input_Product=Elig!$C608,Elig_MatchAll_Ct&lt;22,$BC608=(Elig_MatchAll_Ct-1),AV608=0),T608,0)</f>
        <v>0</v>
      </c>
      <c r="BZ608" s="213">
        <f>IF(AND(Input_Product=Elig!$C608,Elig_MatchAll_Ct&lt;22,$BC608=(Elig_MatchAll_Ct-1),AV608=0),U608,0)</f>
        <v>0</v>
      </c>
      <c r="CA608" s="212">
        <f>IF(AND(Input_Product=Elig!$C608,Elig_MatchAll_Ct&lt;22,$BC608=(Elig_MatchAll_Ct-1),AW608=0),V608,0)</f>
        <v>0</v>
      </c>
      <c r="CB608" s="213">
        <f>IF(AND(Input_Product=Elig!$C608,Elig_MatchAll_Ct&lt;22,$BC608=(Elig_MatchAll_Ct-1),AW608=0),W608,0)</f>
        <v>0</v>
      </c>
      <c r="CC608" s="212">
        <f>IF(AND(Input_Product=Elig!$C608,Elig_MatchAll_Ct&lt;22,$BC608=(Elig_MatchAll_Ct-1),AX608=0),X608,0)</f>
        <v>0</v>
      </c>
      <c r="CD608" s="213">
        <f>IF(AND(Input_Product=Elig!$C608,Elig_MatchAll_Ct&lt;22,$BC608=(Elig_MatchAll_Ct-1),AX608=0),Y608,0)</f>
        <v>0</v>
      </c>
      <c r="CE608" s="212">
        <f>IF(AND(Input_LTV&lt;=AE608,Input_Product=Elig!$C608,Elig_MatchAll_Ct&lt;22,$BC608=(Elig_MatchAll_Ct-1),AY608=0),Z608,0)</f>
        <v>0</v>
      </c>
      <c r="CF608" s="213">
        <f>IF(AND(Input_LTV&lt;=AE608,Input_Product=Elig!$C608,Elig_MatchAll_Ct&lt;22,$BC608=(Elig_MatchAll_Ct-1),AY608=0),AA608,0)</f>
        <v>0</v>
      </c>
      <c r="CG608" s="212">
        <f>IF(AND(Input_Product=Elig!$C608,Elig_MatchAll_Ct&lt;22,$BC608=(Elig_MatchAll_Ct-1),AZ608=0),AB608,0)</f>
        <v>0</v>
      </c>
      <c r="CH608" s="213">
        <f>IF(AND(Input_Product=Elig!$C608,Elig_MatchAll_Ct&lt;22,$BC608=(Elig_MatchAll_Ct-1),AZ608=0),AC608,0)</f>
        <v>0</v>
      </c>
      <c r="CI608" s="212">
        <f>IF(AND(Input_Product=Elig!$C608,Elig_MatchAll_Ct&lt;22,$BC608=(Elig_MatchAll_Ct-1),BA608=0),AD608,0)</f>
        <v>0</v>
      </c>
      <c r="CJ608" s="213">
        <f>IF(AND(Input_Product=Elig!$C608,Elig_MatchAll_Ct&lt;22,$BC608=(Elig_MatchAll_Ct-1),BA608=0),AE608,0)</f>
        <v>0</v>
      </c>
    </row>
    <row r="609" spans="2:88" ht="10.15" customHeight="1" x14ac:dyDescent="0.25">
      <c r="B609" s="1914" t="s">
        <v>1180</v>
      </c>
      <c r="C609" s="155" t="str">
        <f t="shared" si="269"/>
        <v>Multi NOO</v>
      </c>
      <c r="D609" s="156" t="s">
        <v>2218</v>
      </c>
      <c r="E609" s="156" t="s">
        <v>167</v>
      </c>
      <c r="F609" s="156" t="s">
        <v>330</v>
      </c>
      <c r="G609" s="156" t="s">
        <v>181</v>
      </c>
      <c r="H609" s="156" t="s">
        <v>136</v>
      </c>
      <c r="I609" s="157" t="s">
        <v>16</v>
      </c>
      <c r="J609" s="157" t="s">
        <v>1311</v>
      </c>
      <c r="K609" s="157" t="s">
        <v>356</v>
      </c>
      <c r="L609" s="156" t="s">
        <v>312</v>
      </c>
      <c r="M609" s="156" t="s">
        <v>4203</v>
      </c>
      <c r="N609" s="156" t="s">
        <v>2685</v>
      </c>
      <c r="O609" s="156" t="s">
        <v>310</v>
      </c>
      <c r="P609" s="156" t="s">
        <v>108</v>
      </c>
      <c r="Q609" s="156" t="s">
        <v>294</v>
      </c>
      <c r="R609" s="156">
        <v>1000000.01</v>
      </c>
      <c r="S609" s="156">
        <v>1500000</v>
      </c>
      <c r="T609" s="156">
        <v>0</v>
      </c>
      <c r="U609" s="156">
        <v>1000000</v>
      </c>
      <c r="V609" s="156">
        <v>0</v>
      </c>
      <c r="W609" s="156">
        <v>50</v>
      </c>
      <c r="X609" s="156">
        <v>1</v>
      </c>
      <c r="Y609" s="156">
        <v>999</v>
      </c>
      <c r="Z609" s="158">
        <v>700</v>
      </c>
      <c r="AA609" s="158">
        <v>719</v>
      </c>
      <c r="AB609" s="158">
        <v>6</v>
      </c>
      <c r="AC609" s="158">
        <v>999999</v>
      </c>
      <c r="AD609" s="156">
        <v>0</v>
      </c>
      <c r="AE609" s="156">
        <v>65</v>
      </c>
      <c r="AF609" s="170">
        <v>0</v>
      </c>
      <c r="AG609" s="171">
        <v>1</v>
      </c>
      <c r="AH609" s="171">
        <v>1</v>
      </c>
      <c r="AI609" s="171">
        <v>0</v>
      </c>
      <c r="AJ609" s="171">
        <v>0</v>
      </c>
      <c r="AK609" s="171">
        <v>1</v>
      </c>
      <c r="AL609" s="171">
        <v>1</v>
      </c>
      <c r="AM609" s="171">
        <v>1</v>
      </c>
      <c r="AN609" s="171">
        <v>0</v>
      </c>
      <c r="AO609" s="171">
        <v>1</v>
      </c>
      <c r="AP609" s="171">
        <v>1</v>
      </c>
      <c r="AQ609" s="171">
        <v>1</v>
      </c>
      <c r="AR609" s="171">
        <v>1</v>
      </c>
      <c r="AS609" s="171">
        <v>1</v>
      </c>
      <c r="AT609" s="171">
        <v>1</v>
      </c>
      <c r="AU609" s="171">
        <f t="shared" si="270"/>
        <v>0</v>
      </c>
      <c r="AV609" s="171">
        <f t="shared" si="271"/>
        <v>1</v>
      </c>
      <c r="AW609" s="171">
        <f t="shared" si="272"/>
        <v>1</v>
      </c>
      <c r="AX609" s="171">
        <f t="shared" si="197"/>
        <v>0</v>
      </c>
      <c r="AY609" s="171">
        <f t="shared" si="273"/>
        <v>0</v>
      </c>
      <c r="AZ609" s="171">
        <f t="shared" si="274"/>
        <v>1</v>
      </c>
      <c r="BA609" s="172">
        <f t="shared" si="275"/>
        <v>1</v>
      </c>
      <c r="BB609" s="175">
        <f t="shared" si="190"/>
        <v>15</v>
      </c>
      <c r="BC609" s="176">
        <f t="shared" si="191"/>
        <v>14</v>
      </c>
      <c r="BD609" s="176">
        <f t="shared" si="192"/>
        <v>15</v>
      </c>
      <c r="BE609" s="240" t="str">
        <f t="shared" si="259"/>
        <v/>
      </c>
      <c r="BH609" s="199">
        <f>IF(AND(Input_Product=Elig!$C609,Elig_MatchAll_Ct&lt;22,$BC609=(Elig_MatchAll_Ct-1),AF609=0),C609,0)</f>
        <v>0</v>
      </c>
      <c r="BI609" s="199">
        <f>IF(AND(Input_Product=Elig!$C609,Elig_MatchAll_Ct&lt;22,$BC609=(Elig_MatchAll_Ct-1),AG609=0),D609,0)</f>
        <v>0</v>
      </c>
      <c r="BJ609" s="199">
        <f>IF(AND(Input_Product=Elig!$C609,Elig_MatchAll_Ct&lt;22,$BC609=(Elig_MatchAll_Ct-1),AH609=0),E609,0)</f>
        <v>0</v>
      </c>
      <c r="BK609" s="199">
        <f>IF(AND(Input_Product=Elig!$C609,Elig_MatchAll_Ct&lt;22,$BC609=(Elig_MatchAll_Ct-1),AI609=0),F609,0)</f>
        <v>0</v>
      </c>
      <c r="BL609" s="199">
        <f>IF(AND(Input_Product=Elig!$C609,Elig_MatchAll_Ct&lt;22,$BC609=(Elig_MatchAll_Ct-1),AJ609=0),G609,0)</f>
        <v>0</v>
      </c>
      <c r="BM609" s="199">
        <f>IF(AND(Input_Product=Elig!$C609,Elig_MatchAll_Ct&lt;22,$BC609=(Elig_MatchAll_Ct-1),AK609=0),H609,0)</f>
        <v>0</v>
      </c>
      <c r="BN609" s="199">
        <f>IF(AND(Input_Product=Elig!$C609,Elig_MatchAll_Ct&lt;22,$BC609=(Elig_MatchAll_Ct-1),AL609=0),I609,0)</f>
        <v>0</v>
      </c>
      <c r="BO609" s="199">
        <f>IF(AND(Input_Product=Elig!$C609,Elig_MatchAll_Ct&lt;22,$BC609=(Elig_MatchAll_Ct-1),AM609=0),J609,0)</f>
        <v>0</v>
      </c>
      <c r="BP609" s="199">
        <f>IF(AND(Input_Product=Elig!$C609,Elig_MatchAll_Ct&lt;22,$BC609=(Elig_MatchAll_Ct-1),AN609=0),K609,0)</f>
        <v>0</v>
      </c>
      <c r="BQ609" s="199">
        <f>IF(AND(Input_Product=Elig!$C609,Elig_MatchAll_Ct&lt;22,$BC609=(Elig_MatchAll_Ct-1),AP609=0),L609,0)</f>
        <v>0</v>
      </c>
      <c r="BR609" s="199">
        <f>IF(AND(Input_Product=Elig!$C609,Elig_MatchAll_Ct&lt;22,$BC609=(Elig_MatchAll_Ct-1),AO609=0),M609,0)</f>
        <v>0</v>
      </c>
      <c r="BS609" s="199">
        <f>IF(AND(Input_Product=Elig!$C609,Elig_MatchAll_Ct&lt;22,$BC609=(Elig_MatchAll_Ct-1),AQ609=0),N609,0)</f>
        <v>0</v>
      </c>
      <c r="BT609" s="199">
        <f>IF(AND(Input_Product=Elig!$C609,Elig_MatchAll_Ct&lt;22,$BC609=(Elig_MatchAll_Ct-1),AR609=0),O609,0)</f>
        <v>0</v>
      </c>
      <c r="BU609" s="199">
        <f>IF(AND(Input_Product=Elig!$C609,Elig_MatchAll_Ct&lt;22,$BC609=(Elig_MatchAll_Ct-1),AS609=0),P609,0)</f>
        <v>0</v>
      </c>
      <c r="BV609" s="200">
        <f>IF(AND(Input_Product=Elig!$C609,Elig_MatchAll_Ct&lt;22,$BC609=(Elig_MatchAll_Ct-1),AT609=0),Q609,0)</f>
        <v>0</v>
      </c>
      <c r="BW609" s="201">
        <f>IF(AND(Input_Product=Elig!$C609,Elig_MatchAll_Ct&lt;22,$BC609=(Elig_MatchAll_Ct-1),AU609=0),R609,0)</f>
        <v>0</v>
      </c>
      <c r="BX609" s="202">
        <f>IF(AND(Input_Product=Elig!$C609,Elig_MatchAll_Ct&lt;22,$BC609=(Elig_MatchAll_Ct-1),AU609=0),S609,0)</f>
        <v>0</v>
      </c>
      <c r="BY609" s="201">
        <f>IF(AND(Input_Product=Elig!$C609,Elig_MatchAll_Ct&lt;22,$BC609=(Elig_MatchAll_Ct-1),AV609=0),T609,0)</f>
        <v>0</v>
      </c>
      <c r="BZ609" s="202">
        <f>IF(AND(Input_Product=Elig!$C609,Elig_MatchAll_Ct&lt;22,$BC609=(Elig_MatchAll_Ct-1),AV609=0),U609,0)</f>
        <v>0</v>
      </c>
      <c r="CA609" s="201">
        <f>IF(AND(Input_Product=Elig!$C609,Elig_MatchAll_Ct&lt;22,$BC609=(Elig_MatchAll_Ct-1),AW609=0),V609,0)</f>
        <v>0</v>
      </c>
      <c r="CB609" s="202">
        <f>IF(AND(Input_Product=Elig!$C609,Elig_MatchAll_Ct&lt;22,$BC609=(Elig_MatchAll_Ct-1),AW609=0),W609,0)</f>
        <v>0</v>
      </c>
      <c r="CC609" s="201">
        <f>IF(AND(Input_Product=Elig!$C609,Elig_MatchAll_Ct&lt;22,$BC609=(Elig_MatchAll_Ct-1),AX609=0),X609,0)</f>
        <v>0</v>
      </c>
      <c r="CD609" s="202">
        <f>IF(AND(Input_Product=Elig!$C609,Elig_MatchAll_Ct&lt;22,$BC609=(Elig_MatchAll_Ct-1),AX609=0),Y609,0)</f>
        <v>0</v>
      </c>
      <c r="CE609" s="201">
        <f>IF(AND(Input_LTV&lt;=AE609,Input_Product=Elig!$C609,Elig_MatchAll_Ct&lt;22,$BC609=(Elig_MatchAll_Ct-1),AY609=0),Z609,0)</f>
        <v>0</v>
      </c>
      <c r="CF609" s="202">
        <f>IF(AND(Input_LTV&lt;=AE609,Input_Product=Elig!$C609,Elig_MatchAll_Ct&lt;22,$BC609=(Elig_MatchAll_Ct-1),AY609=0),AA609,0)</f>
        <v>0</v>
      </c>
      <c r="CG609" s="201">
        <f>IF(AND(Input_Product=Elig!$C609,Elig_MatchAll_Ct&lt;22,$BC609=(Elig_MatchAll_Ct-1),AZ609=0),AB609,0)</f>
        <v>0</v>
      </c>
      <c r="CH609" s="202">
        <f>IF(AND(Input_Product=Elig!$C609,Elig_MatchAll_Ct&lt;22,$BC609=(Elig_MatchAll_Ct-1),AZ609=0),AC609,0)</f>
        <v>0</v>
      </c>
      <c r="CI609" s="201">
        <f>IF(AND(Input_Product=Elig!$C609,Elig_MatchAll_Ct&lt;22,$BC609=(Elig_MatchAll_Ct-1),BA609=0),AD609,0)</f>
        <v>0</v>
      </c>
      <c r="CJ609" s="202">
        <f>IF(AND(Input_Product=Elig!$C609,Elig_MatchAll_Ct&lt;22,$BC609=(Elig_MatchAll_Ct-1),BA609=0),AE609,0)</f>
        <v>0</v>
      </c>
    </row>
    <row r="610" spans="2:88" ht="10.15" customHeight="1" x14ac:dyDescent="0.25">
      <c r="B610" s="1914" t="s">
        <v>1181</v>
      </c>
      <c r="C610" s="155" t="str">
        <f t="shared" si="269"/>
        <v>Multi NOO</v>
      </c>
      <c r="D610" s="156" t="s">
        <v>2218</v>
      </c>
      <c r="E610" s="156" t="s">
        <v>167</v>
      </c>
      <c r="F610" s="156" t="s">
        <v>330</v>
      </c>
      <c r="G610" s="156" t="s">
        <v>181</v>
      </c>
      <c r="H610" s="156" t="s">
        <v>136</v>
      </c>
      <c r="I610" s="157" t="s">
        <v>16</v>
      </c>
      <c r="J610" s="157" t="s">
        <v>1311</v>
      </c>
      <c r="K610" s="157" t="s">
        <v>356</v>
      </c>
      <c r="L610" s="156" t="s">
        <v>312</v>
      </c>
      <c r="M610" s="156" t="s">
        <v>4203</v>
      </c>
      <c r="N610" s="156" t="s">
        <v>2685</v>
      </c>
      <c r="O610" s="156" t="s">
        <v>310</v>
      </c>
      <c r="P610" s="156" t="s">
        <v>108</v>
      </c>
      <c r="Q610" s="156" t="s">
        <v>294</v>
      </c>
      <c r="R610" s="156">
        <v>1000000.01</v>
      </c>
      <c r="S610" s="156">
        <v>1500000</v>
      </c>
      <c r="T610" s="156">
        <v>0</v>
      </c>
      <c r="U610" s="156">
        <v>1000000</v>
      </c>
      <c r="V610" s="156">
        <v>0</v>
      </c>
      <c r="W610" s="156">
        <v>50</v>
      </c>
      <c r="X610" s="156">
        <v>1</v>
      </c>
      <c r="Y610" s="156">
        <v>999</v>
      </c>
      <c r="Z610" s="158">
        <v>680</v>
      </c>
      <c r="AA610" s="158">
        <v>699</v>
      </c>
      <c r="AB610" s="158">
        <v>6</v>
      </c>
      <c r="AC610" s="158">
        <v>999999</v>
      </c>
      <c r="AD610" s="156">
        <v>0</v>
      </c>
      <c r="AE610" s="156">
        <v>65</v>
      </c>
      <c r="AF610" s="170">
        <v>0</v>
      </c>
      <c r="AG610" s="171">
        <v>1</v>
      </c>
      <c r="AH610" s="171">
        <v>1</v>
      </c>
      <c r="AI610" s="171">
        <v>0</v>
      </c>
      <c r="AJ610" s="171">
        <v>0</v>
      </c>
      <c r="AK610" s="171">
        <v>1</v>
      </c>
      <c r="AL610" s="171">
        <v>1</v>
      </c>
      <c r="AM610" s="171">
        <v>1</v>
      </c>
      <c r="AN610" s="171">
        <v>0</v>
      </c>
      <c r="AO610" s="171">
        <v>1</v>
      </c>
      <c r="AP610" s="171">
        <v>1</v>
      </c>
      <c r="AQ610" s="171">
        <v>1</v>
      </c>
      <c r="AR610" s="171">
        <v>1</v>
      </c>
      <c r="AS610" s="171">
        <v>1</v>
      </c>
      <c r="AT610" s="171">
        <v>1</v>
      </c>
      <c r="AU610" s="171">
        <f t="shared" si="270"/>
        <v>0</v>
      </c>
      <c r="AV610" s="171">
        <f t="shared" si="271"/>
        <v>1</v>
      </c>
      <c r="AW610" s="171">
        <f t="shared" si="272"/>
        <v>1</v>
      </c>
      <c r="AX610" s="171">
        <f t="shared" si="197"/>
        <v>0</v>
      </c>
      <c r="AY610" s="171">
        <f t="shared" si="273"/>
        <v>0</v>
      </c>
      <c r="AZ610" s="171">
        <f t="shared" si="274"/>
        <v>1</v>
      </c>
      <c r="BA610" s="172">
        <f t="shared" si="275"/>
        <v>1</v>
      </c>
      <c r="BB610" s="175">
        <f t="shared" si="190"/>
        <v>15</v>
      </c>
      <c r="BC610" s="176">
        <f t="shared" si="191"/>
        <v>14</v>
      </c>
      <c r="BD610" s="176">
        <f t="shared" si="192"/>
        <v>15</v>
      </c>
      <c r="BE610" s="240" t="str">
        <f t="shared" si="259"/>
        <v/>
      </c>
      <c r="BH610" s="199">
        <f>IF(AND(Input_Product=Elig!$C610,Elig_MatchAll_Ct&lt;22,$BC610=(Elig_MatchAll_Ct-1),AF610=0),C610,0)</f>
        <v>0</v>
      </c>
      <c r="BI610" s="199">
        <f>IF(AND(Input_Product=Elig!$C610,Elig_MatchAll_Ct&lt;22,$BC610=(Elig_MatchAll_Ct-1),AG610=0),D610,0)</f>
        <v>0</v>
      </c>
      <c r="BJ610" s="199">
        <f>IF(AND(Input_Product=Elig!$C610,Elig_MatchAll_Ct&lt;22,$BC610=(Elig_MatchAll_Ct-1),AH610=0),E610,0)</f>
        <v>0</v>
      </c>
      <c r="BK610" s="199">
        <f>IF(AND(Input_Product=Elig!$C610,Elig_MatchAll_Ct&lt;22,$BC610=(Elig_MatchAll_Ct-1),AI610=0),F610,0)</f>
        <v>0</v>
      </c>
      <c r="BL610" s="199">
        <f>IF(AND(Input_Product=Elig!$C610,Elig_MatchAll_Ct&lt;22,$BC610=(Elig_MatchAll_Ct-1),AJ610=0),G610,0)</f>
        <v>0</v>
      </c>
      <c r="BM610" s="199">
        <f>IF(AND(Input_Product=Elig!$C610,Elig_MatchAll_Ct&lt;22,$BC610=(Elig_MatchAll_Ct-1),AK610=0),H610,0)</f>
        <v>0</v>
      </c>
      <c r="BN610" s="199">
        <f>IF(AND(Input_Product=Elig!$C610,Elig_MatchAll_Ct&lt;22,$BC610=(Elig_MatchAll_Ct-1),AL610=0),I610,0)</f>
        <v>0</v>
      </c>
      <c r="BO610" s="199">
        <f>IF(AND(Input_Product=Elig!$C610,Elig_MatchAll_Ct&lt;22,$BC610=(Elig_MatchAll_Ct-1),AM610=0),J610,0)</f>
        <v>0</v>
      </c>
      <c r="BP610" s="199">
        <f>IF(AND(Input_Product=Elig!$C610,Elig_MatchAll_Ct&lt;22,$BC610=(Elig_MatchAll_Ct-1),AN610=0),K610,0)</f>
        <v>0</v>
      </c>
      <c r="BQ610" s="199">
        <f>IF(AND(Input_Product=Elig!$C610,Elig_MatchAll_Ct&lt;22,$BC610=(Elig_MatchAll_Ct-1),AP610=0),L610,0)</f>
        <v>0</v>
      </c>
      <c r="BR610" s="199">
        <f>IF(AND(Input_Product=Elig!$C610,Elig_MatchAll_Ct&lt;22,$BC610=(Elig_MatchAll_Ct-1),AO610=0),M610,0)</f>
        <v>0</v>
      </c>
      <c r="BS610" s="199">
        <f>IF(AND(Input_Product=Elig!$C610,Elig_MatchAll_Ct&lt;22,$BC610=(Elig_MatchAll_Ct-1),AQ610=0),N610,0)</f>
        <v>0</v>
      </c>
      <c r="BT610" s="199">
        <f>IF(AND(Input_Product=Elig!$C610,Elig_MatchAll_Ct&lt;22,$BC610=(Elig_MatchAll_Ct-1),AR610=0),O610,0)</f>
        <v>0</v>
      </c>
      <c r="BU610" s="199">
        <f>IF(AND(Input_Product=Elig!$C610,Elig_MatchAll_Ct&lt;22,$BC610=(Elig_MatchAll_Ct-1),AS610=0),P610,0)</f>
        <v>0</v>
      </c>
      <c r="BV610" s="200">
        <f>IF(AND(Input_Product=Elig!$C610,Elig_MatchAll_Ct&lt;22,$BC610=(Elig_MatchAll_Ct-1),AT610=0),Q610,0)</f>
        <v>0</v>
      </c>
      <c r="BW610" s="201">
        <f>IF(AND(Input_Product=Elig!$C610,Elig_MatchAll_Ct&lt;22,$BC610=(Elig_MatchAll_Ct-1),AU610=0),R610,0)</f>
        <v>0</v>
      </c>
      <c r="BX610" s="202">
        <f>IF(AND(Input_Product=Elig!$C610,Elig_MatchAll_Ct&lt;22,$BC610=(Elig_MatchAll_Ct-1),AU610=0),S610,0)</f>
        <v>0</v>
      </c>
      <c r="BY610" s="201">
        <f>IF(AND(Input_Product=Elig!$C610,Elig_MatchAll_Ct&lt;22,$BC610=(Elig_MatchAll_Ct-1),AV610=0),T610,0)</f>
        <v>0</v>
      </c>
      <c r="BZ610" s="202">
        <f>IF(AND(Input_Product=Elig!$C610,Elig_MatchAll_Ct&lt;22,$BC610=(Elig_MatchAll_Ct-1),AV610=0),U610,0)</f>
        <v>0</v>
      </c>
      <c r="CA610" s="201">
        <f>IF(AND(Input_Product=Elig!$C610,Elig_MatchAll_Ct&lt;22,$BC610=(Elig_MatchAll_Ct-1),AW610=0),V610,0)</f>
        <v>0</v>
      </c>
      <c r="CB610" s="202">
        <f>IF(AND(Input_Product=Elig!$C610,Elig_MatchAll_Ct&lt;22,$BC610=(Elig_MatchAll_Ct-1),AW610=0),W610,0)</f>
        <v>0</v>
      </c>
      <c r="CC610" s="201">
        <f>IF(AND(Input_Product=Elig!$C610,Elig_MatchAll_Ct&lt;22,$BC610=(Elig_MatchAll_Ct-1),AX610=0),X610,0)</f>
        <v>0</v>
      </c>
      <c r="CD610" s="202">
        <f>IF(AND(Input_Product=Elig!$C610,Elig_MatchAll_Ct&lt;22,$BC610=(Elig_MatchAll_Ct-1),AX610=0),Y610,0)</f>
        <v>0</v>
      </c>
      <c r="CE610" s="201">
        <f>IF(AND(Input_LTV&lt;=AE610,Input_Product=Elig!$C610,Elig_MatchAll_Ct&lt;22,$BC610=(Elig_MatchAll_Ct-1),AY610=0),Z610,0)</f>
        <v>0</v>
      </c>
      <c r="CF610" s="202">
        <f>IF(AND(Input_LTV&lt;=AE610,Input_Product=Elig!$C610,Elig_MatchAll_Ct&lt;22,$BC610=(Elig_MatchAll_Ct-1),AY610=0),AA610,0)</f>
        <v>0</v>
      </c>
      <c r="CG610" s="201">
        <f>IF(AND(Input_Product=Elig!$C610,Elig_MatchAll_Ct&lt;22,$BC610=(Elig_MatchAll_Ct-1),AZ610=0),AB610,0)</f>
        <v>0</v>
      </c>
      <c r="CH610" s="202">
        <f>IF(AND(Input_Product=Elig!$C610,Elig_MatchAll_Ct&lt;22,$BC610=(Elig_MatchAll_Ct-1),AZ610=0),AC610,0)</f>
        <v>0</v>
      </c>
      <c r="CI610" s="201">
        <f>IF(AND(Input_Product=Elig!$C610,Elig_MatchAll_Ct&lt;22,$BC610=(Elig_MatchAll_Ct-1),BA610=0),AD610,0)</f>
        <v>0</v>
      </c>
      <c r="CJ610" s="202">
        <f>IF(AND(Input_Product=Elig!$C610,Elig_MatchAll_Ct&lt;22,$BC610=(Elig_MatchAll_Ct-1),BA610=0),AE610,0)</f>
        <v>0</v>
      </c>
    </row>
    <row r="611" spans="2:88" ht="10.15" customHeight="1" x14ac:dyDescent="0.25">
      <c r="B611" s="1914" t="s">
        <v>1182</v>
      </c>
      <c r="C611" s="155" t="str">
        <f t="shared" si="269"/>
        <v>Multi NOO</v>
      </c>
      <c r="D611" s="156" t="s">
        <v>2218</v>
      </c>
      <c r="E611" s="156" t="s">
        <v>167</v>
      </c>
      <c r="F611" s="156" t="s">
        <v>330</v>
      </c>
      <c r="G611" s="156" t="s">
        <v>181</v>
      </c>
      <c r="H611" s="156" t="s">
        <v>136</v>
      </c>
      <c r="I611" s="156" t="s">
        <v>16</v>
      </c>
      <c r="J611" s="156" t="s">
        <v>1311</v>
      </c>
      <c r="K611" s="156" t="s">
        <v>356</v>
      </c>
      <c r="L611" s="156" t="s">
        <v>312</v>
      </c>
      <c r="M611" s="156" t="s">
        <v>4203</v>
      </c>
      <c r="N611" s="156" t="s">
        <v>2685</v>
      </c>
      <c r="O611" s="156" t="s">
        <v>310</v>
      </c>
      <c r="P611" s="156" t="s">
        <v>108</v>
      </c>
      <c r="Q611" s="156" t="s">
        <v>294</v>
      </c>
      <c r="R611" s="156">
        <v>1000000.01</v>
      </c>
      <c r="S611" s="156">
        <v>1500000</v>
      </c>
      <c r="T611" s="156">
        <v>0</v>
      </c>
      <c r="U611" s="156">
        <v>1000000</v>
      </c>
      <c r="V611" s="156">
        <v>0</v>
      </c>
      <c r="W611" s="156">
        <v>50</v>
      </c>
      <c r="X611" s="156">
        <v>1</v>
      </c>
      <c r="Y611" s="156">
        <v>999</v>
      </c>
      <c r="Z611" s="158">
        <v>660</v>
      </c>
      <c r="AA611" s="158">
        <v>679</v>
      </c>
      <c r="AB611" s="158">
        <v>6</v>
      </c>
      <c r="AC611" s="158">
        <v>999999</v>
      </c>
      <c r="AD611" s="156">
        <v>0</v>
      </c>
      <c r="AE611" s="156">
        <v>60</v>
      </c>
      <c r="AF611" s="170">
        <v>0</v>
      </c>
      <c r="AG611" s="171">
        <v>1</v>
      </c>
      <c r="AH611" s="171">
        <v>1</v>
      </c>
      <c r="AI611" s="171">
        <v>0</v>
      </c>
      <c r="AJ611" s="171">
        <v>0</v>
      </c>
      <c r="AK611" s="171">
        <v>1</v>
      </c>
      <c r="AL611" s="171">
        <v>1</v>
      </c>
      <c r="AM611" s="171">
        <v>1</v>
      </c>
      <c r="AN611" s="171">
        <v>0</v>
      </c>
      <c r="AO611" s="171">
        <v>1</v>
      </c>
      <c r="AP611" s="171">
        <v>1</v>
      </c>
      <c r="AQ611" s="171">
        <v>1</v>
      </c>
      <c r="AR611" s="171">
        <v>1</v>
      </c>
      <c r="AS611" s="171">
        <v>1</v>
      </c>
      <c r="AT611" s="171">
        <v>1</v>
      </c>
      <c r="AU611" s="171">
        <f t="shared" si="270"/>
        <v>0</v>
      </c>
      <c r="AV611" s="171">
        <f t="shared" si="271"/>
        <v>1</v>
      </c>
      <c r="AW611" s="171">
        <f t="shared" si="272"/>
        <v>1</v>
      </c>
      <c r="AX611" s="171">
        <f t="shared" si="197"/>
        <v>0</v>
      </c>
      <c r="AY611" s="171">
        <f t="shared" si="273"/>
        <v>0</v>
      </c>
      <c r="AZ611" s="171">
        <f t="shared" si="274"/>
        <v>1</v>
      </c>
      <c r="BA611" s="172">
        <f t="shared" si="275"/>
        <v>0</v>
      </c>
      <c r="BB611" s="175">
        <f t="shared" si="190"/>
        <v>14</v>
      </c>
      <c r="BC611" s="176">
        <f t="shared" si="191"/>
        <v>14</v>
      </c>
      <c r="BD611" s="176">
        <f t="shared" si="192"/>
        <v>14</v>
      </c>
      <c r="BE611" s="240" t="str">
        <f t="shared" si="259"/>
        <v/>
      </c>
      <c r="BH611" s="214">
        <f>IF(AND(Input_Product=Elig!$C611,Elig_MatchAll_Ct&lt;22,$BC611=(Elig_MatchAll_Ct-1),AF611=0),C611,0)</f>
        <v>0</v>
      </c>
      <c r="BI611" s="214">
        <f>IF(AND(Input_Product=Elig!$C611,Elig_MatchAll_Ct&lt;22,$BC611=(Elig_MatchAll_Ct-1),AG611=0),D611,0)</f>
        <v>0</v>
      </c>
      <c r="BJ611" s="214">
        <f>IF(AND(Input_Product=Elig!$C611,Elig_MatchAll_Ct&lt;22,$BC611=(Elig_MatchAll_Ct-1),AH611=0),E611,0)</f>
        <v>0</v>
      </c>
      <c r="BK611" s="214">
        <f>IF(AND(Input_Product=Elig!$C611,Elig_MatchAll_Ct&lt;22,$BC611=(Elig_MatchAll_Ct-1),AI611=0),F611,0)</f>
        <v>0</v>
      </c>
      <c r="BL611" s="214">
        <f>IF(AND(Input_Product=Elig!$C611,Elig_MatchAll_Ct&lt;22,$BC611=(Elig_MatchAll_Ct-1),AJ611=0),G611,0)</f>
        <v>0</v>
      </c>
      <c r="BM611" s="214">
        <f>IF(AND(Input_Product=Elig!$C611,Elig_MatchAll_Ct&lt;22,$BC611=(Elig_MatchAll_Ct-1),AK611=0),H611,0)</f>
        <v>0</v>
      </c>
      <c r="BN611" s="214">
        <f>IF(AND(Input_Product=Elig!$C611,Elig_MatchAll_Ct&lt;22,$BC611=(Elig_MatchAll_Ct-1),AL611=0),I611,0)</f>
        <v>0</v>
      </c>
      <c r="BO611" s="214">
        <f>IF(AND(Input_Product=Elig!$C611,Elig_MatchAll_Ct&lt;22,$BC611=(Elig_MatchAll_Ct-1),AM611=0),J611,0)</f>
        <v>0</v>
      </c>
      <c r="BP611" s="214">
        <f>IF(AND(Input_Product=Elig!$C611,Elig_MatchAll_Ct&lt;22,$BC611=(Elig_MatchAll_Ct-1),AN611=0),K611,0)</f>
        <v>0</v>
      </c>
      <c r="BQ611" s="214">
        <f>IF(AND(Input_Product=Elig!$C611,Elig_MatchAll_Ct&lt;22,$BC611=(Elig_MatchAll_Ct-1),AP611=0),L611,0)</f>
        <v>0</v>
      </c>
      <c r="BR611" s="214">
        <f>IF(AND(Input_Product=Elig!$C611,Elig_MatchAll_Ct&lt;22,$BC611=(Elig_MatchAll_Ct-1),AO611=0),M611,0)</f>
        <v>0</v>
      </c>
      <c r="BS611" s="214">
        <f>IF(AND(Input_Product=Elig!$C611,Elig_MatchAll_Ct&lt;22,$BC611=(Elig_MatchAll_Ct-1),AQ611=0),N611,0)</f>
        <v>0</v>
      </c>
      <c r="BT611" s="214">
        <f>IF(AND(Input_Product=Elig!$C611,Elig_MatchAll_Ct&lt;22,$BC611=(Elig_MatchAll_Ct-1),AR611=0),O611,0)</f>
        <v>0</v>
      </c>
      <c r="BU611" s="214">
        <f>IF(AND(Input_Product=Elig!$C611,Elig_MatchAll_Ct&lt;22,$BC611=(Elig_MatchAll_Ct-1),AS611=0),P611,0)</f>
        <v>0</v>
      </c>
      <c r="BV611" s="215">
        <f>IF(AND(Input_Product=Elig!$C611,Elig_MatchAll_Ct&lt;22,$BC611=(Elig_MatchAll_Ct-1),AT611=0),Q611,0)</f>
        <v>0</v>
      </c>
      <c r="BW611" s="311">
        <f>IF(AND(Input_Product=Elig!$C611,Elig_MatchAll_Ct&lt;22,$BC611=(Elig_MatchAll_Ct-1),AU611=0),R611,0)</f>
        <v>0</v>
      </c>
      <c r="BX611" s="312">
        <f>IF(AND(Input_Product=Elig!$C611,Elig_MatchAll_Ct&lt;22,$BC611=(Elig_MatchAll_Ct-1),AU611=0),S611,0)</f>
        <v>0</v>
      </c>
      <c r="BY611" s="311">
        <f>IF(AND(Input_Product=Elig!$C611,Elig_MatchAll_Ct&lt;22,$BC611=(Elig_MatchAll_Ct-1),AV611=0),T611,0)</f>
        <v>0</v>
      </c>
      <c r="BZ611" s="312">
        <f>IF(AND(Input_Product=Elig!$C611,Elig_MatchAll_Ct&lt;22,$BC611=(Elig_MatchAll_Ct-1),AV611=0),U611,0)</f>
        <v>0</v>
      </c>
      <c r="CA611" s="311">
        <f>IF(AND(Input_Product=Elig!$C611,Elig_MatchAll_Ct&lt;22,$BC611=(Elig_MatchAll_Ct-1),AW611=0),V611,0)</f>
        <v>0</v>
      </c>
      <c r="CB611" s="312">
        <f>IF(AND(Input_Product=Elig!$C611,Elig_MatchAll_Ct&lt;22,$BC611=(Elig_MatchAll_Ct-1),AW611=0),W611,0)</f>
        <v>0</v>
      </c>
      <c r="CC611" s="311">
        <f>IF(AND(Input_Product=Elig!$C611,Elig_MatchAll_Ct&lt;22,$BC611=(Elig_MatchAll_Ct-1),AX611=0),X611,0)</f>
        <v>0</v>
      </c>
      <c r="CD611" s="312">
        <f>IF(AND(Input_Product=Elig!$C611,Elig_MatchAll_Ct&lt;22,$BC611=(Elig_MatchAll_Ct-1),AX611=0),Y611,0)</f>
        <v>0</v>
      </c>
      <c r="CE611" s="311">
        <f>IF(AND(Input_LTV&lt;=AE611,Input_Product=Elig!$C611,Elig_MatchAll_Ct&lt;22,$BC611=(Elig_MatchAll_Ct-1),AY611=0),Z611,0)</f>
        <v>0</v>
      </c>
      <c r="CF611" s="312">
        <f>IF(AND(Input_LTV&lt;=AE611,Input_Product=Elig!$C611,Elig_MatchAll_Ct&lt;22,$BC611=(Elig_MatchAll_Ct-1),AY611=0),AA611,0)</f>
        <v>0</v>
      </c>
      <c r="CG611" s="311">
        <f>IF(AND(Input_Product=Elig!$C611,Elig_MatchAll_Ct&lt;22,$BC611=(Elig_MatchAll_Ct-1),AZ611=0),AB611,0)</f>
        <v>0</v>
      </c>
      <c r="CH611" s="312">
        <f>IF(AND(Input_Product=Elig!$C611,Elig_MatchAll_Ct&lt;22,$BC611=(Elig_MatchAll_Ct-1),AZ611=0),AC611,0)</f>
        <v>0</v>
      </c>
      <c r="CI611" s="311">
        <f>IF(AND(Input_Product=Elig!$C611,Elig_MatchAll_Ct&lt;22,$BC611=(Elig_MatchAll_Ct-1),BA611=0),AD611,0)</f>
        <v>0</v>
      </c>
      <c r="CJ611" s="312">
        <f>IF(AND(Input_Product=Elig!$C611,Elig_MatchAll_Ct&lt;22,$BC611=(Elig_MatchAll_Ct-1),BA611=0),AE611,0)</f>
        <v>0</v>
      </c>
    </row>
    <row r="612" spans="2:88" ht="10.15" customHeight="1" x14ac:dyDescent="0.25">
      <c r="B612" s="1914" t="s">
        <v>1183</v>
      </c>
      <c r="C612" s="151" t="str">
        <f t="shared" si="269"/>
        <v>Multi NOO</v>
      </c>
      <c r="D612" s="152" t="s">
        <v>2218</v>
      </c>
      <c r="E612" s="153" t="s">
        <v>167</v>
      </c>
      <c r="F612" s="153" t="s">
        <v>330</v>
      </c>
      <c r="G612" s="153" t="s">
        <v>181</v>
      </c>
      <c r="H612" s="153" t="s">
        <v>136</v>
      </c>
      <c r="I612" s="152" t="s">
        <v>274</v>
      </c>
      <c r="J612" s="152" t="s">
        <v>1311</v>
      </c>
      <c r="K612" s="152" t="s">
        <v>356</v>
      </c>
      <c r="L612" s="153" t="s">
        <v>312</v>
      </c>
      <c r="M612" s="153" t="s">
        <v>4203</v>
      </c>
      <c r="N612" s="153" t="s">
        <v>2685</v>
      </c>
      <c r="O612" s="153" t="s">
        <v>310</v>
      </c>
      <c r="P612" s="153" t="s">
        <v>108</v>
      </c>
      <c r="Q612" s="153" t="s">
        <v>294</v>
      </c>
      <c r="R612" s="152">
        <v>1500000.01</v>
      </c>
      <c r="S612" s="152">
        <v>2000000</v>
      </c>
      <c r="T612" s="152">
        <v>0</v>
      </c>
      <c r="U612" s="152">
        <v>0</v>
      </c>
      <c r="V612" s="152">
        <v>0</v>
      </c>
      <c r="W612" s="152">
        <v>50</v>
      </c>
      <c r="X612" s="152">
        <v>1</v>
      </c>
      <c r="Y612" s="152">
        <v>999</v>
      </c>
      <c r="Z612" s="154">
        <v>720</v>
      </c>
      <c r="AA612" s="154">
        <v>999</v>
      </c>
      <c r="AB612" s="154">
        <v>6</v>
      </c>
      <c r="AC612" s="154">
        <v>999999</v>
      </c>
      <c r="AD612" s="152">
        <v>0</v>
      </c>
      <c r="AE612" s="152">
        <v>65</v>
      </c>
      <c r="AF612" s="170">
        <v>0</v>
      </c>
      <c r="AG612" s="171">
        <v>1</v>
      </c>
      <c r="AH612" s="171">
        <v>1</v>
      </c>
      <c r="AI612" s="171">
        <v>0</v>
      </c>
      <c r="AJ612" s="171">
        <v>0</v>
      </c>
      <c r="AK612" s="171">
        <v>1</v>
      </c>
      <c r="AL612" s="171">
        <v>0</v>
      </c>
      <c r="AM612" s="171">
        <v>1</v>
      </c>
      <c r="AN612" s="171">
        <v>0</v>
      </c>
      <c r="AO612" s="171">
        <v>1</v>
      </c>
      <c r="AP612" s="171">
        <v>1</v>
      </c>
      <c r="AQ612" s="171">
        <v>1</v>
      </c>
      <c r="AR612" s="171">
        <v>1</v>
      </c>
      <c r="AS612" s="171">
        <v>1</v>
      </c>
      <c r="AT612" s="171">
        <v>1</v>
      </c>
      <c r="AU612" s="171">
        <f t="shared" si="270"/>
        <v>0</v>
      </c>
      <c r="AV612" s="171">
        <f t="shared" si="271"/>
        <v>0</v>
      </c>
      <c r="AW612" s="171">
        <f t="shared" si="272"/>
        <v>1</v>
      </c>
      <c r="AX612" s="171">
        <f t="shared" si="197"/>
        <v>0</v>
      </c>
      <c r="AY612" s="171">
        <f t="shared" si="273"/>
        <v>1</v>
      </c>
      <c r="AZ612" s="171">
        <f t="shared" si="274"/>
        <v>1</v>
      </c>
      <c r="BA612" s="172">
        <f t="shared" si="275"/>
        <v>1</v>
      </c>
      <c r="BB612" s="175">
        <f t="shared" si="190"/>
        <v>14</v>
      </c>
      <c r="BC612" s="176">
        <f t="shared" si="191"/>
        <v>13</v>
      </c>
      <c r="BD612" s="176">
        <f t="shared" si="192"/>
        <v>14</v>
      </c>
      <c r="BE612" s="240" t="str">
        <f t="shared" si="259"/>
        <v/>
      </c>
      <c r="BH612" s="210">
        <f>IF(AND(Input_Product=Elig!$C612,Elig_MatchAll_Ct&lt;22,$BC612=(Elig_MatchAll_Ct-1),AF612=0),C612,0)</f>
        <v>0</v>
      </c>
      <c r="BI612" s="210">
        <f>IF(AND(Input_Product=Elig!$C612,Elig_MatchAll_Ct&lt;22,$BC612=(Elig_MatchAll_Ct-1),AG612=0),D612,0)</f>
        <v>0</v>
      </c>
      <c r="BJ612" s="210">
        <f>IF(AND(Input_Product=Elig!$C612,Elig_MatchAll_Ct&lt;22,$BC612=(Elig_MatchAll_Ct-1),AH612=0),E612,0)</f>
        <v>0</v>
      </c>
      <c r="BK612" s="210">
        <f>IF(AND(Input_Product=Elig!$C612,Elig_MatchAll_Ct&lt;22,$BC612=(Elig_MatchAll_Ct-1),AI612=0),F612,0)</f>
        <v>0</v>
      </c>
      <c r="BL612" s="210">
        <f>IF(AND(Input_Product=Elig!$C612,Elig_MatchAll_Ct&lt;22,$BC612=(Elig_MatchAll_Ct-1),AJ612=0),G612,0)</f>
        <v>0</v>
      </c>
      <c r="BM612" s="210">
        <f>IF(AND(Input_Product=Elig!$C612,Elig_MatchAll_Ct&lt;22,$BC612=(Elig_MatchAll_Ct-1),AK612=0),H612,0)</f>
        <v>0</v>
      </c>
      <c r="BN612" s="210">
        <f>IF(AND(Input_Product=Elig!$C612,Elig_MatchAll_Ct&lt;22,$BC612=(Elig_MatchAll_Ct-1),AL612=0),I612,0)</f>
        <v>0</v>
      </c>
      <c r="BO612" s="210">
        <f>IF(AND(Input_Product=Elig!$C612,Elig_MatchAll_Ct&lt;22,$BC612=(Elig_MatchAll_Ct-1),AM612=0),J612,0)</f>
        <v>0</v>
      </c>
      <c r="BP612" s="210">
        <f>IF(AND(Input_Product=Elig!$C612,Elig_MatchAll_Ct&lt;22,$BC612=(Elig_MatchAll_Ct-1),AN612=0),K612,0)</f>
        <v>0</v>
      </c>
      <c r="BQ612" s="210">
        <f>IF(AND(Input_Product=Elig!$C612,Elig_MatchAll_Ct&lt;22,$BC612=(Elig_MatchAll_Ct-1),AP612=0),L612,0)</f>
        <v>0</v>
      </c>
      <c r="BR612" s="210">
        <f>IF(AND(Input_Product=Elig!$C612,Elig_MatchAll_Ct&lt;22,$BC612=(Elig_MatchAll_Ct-1),AO612=0),M612,0)</f>
        <v>0</v>
      </c>
      <c r="BS612" s="210">
        <f>IF(AND(Input_Product=Elig!$C612,Elig_MatchAll_Ct&lt;22,$BC612=(Elig_MatchAll_Ct-1),AQ612=0),N612,0)</f>
        <v>0</v>
      </c>
      <c r="BT612" s="210">
        <f>IF(AND(Input_Product=Elig!$C612,Elig_MatchAll_Ct&lt;22,$BC612=(Elig_MatchAll_Ct-1),AR612=0),O612,0)</f>
        <v>0</v>
      </c>
      <c r="BU612" s="210">
        <f>IF(AND(Input_Product=Elig!$C612,Elig_MatchAll_Ct&lt;22,$BC612=(Elig_MatchAll_Ct-1),AS612=0),P612,0)</f>
        <v>0</v>
      </c>
      <c r="BV612" s="211">
        <f>IF(AND(Input_Product=Elig!$C612,Elig_MatchAll_Ct&lt;22,$BC612=(Elig_MatchAll_Ct-1),AT612=0),Q612,0)</f>
        <v>0</v>
      </c>
      <c r="BW612" s="212">
        <f>IF(AND(Input_Product=Elig!$C612,Elig_MatchAll_Ct&lt;22,$BC612=(Elig_MatchAll_Ct-1),AU612=0),R612,0)</f>
        <v>0</v>
      </c>
      <c r="BX612" s="213">
        <f>IF(AND(Input_Product=Elig!$C612,Elig_MatchAll_Ct&lt;22,$BC612=(Elig_MatchAll_Ct-1),AU612=0),S612,0)</f>
        <v>0</v>
      </c>
      <c r="BY612" s="212">
        <f>IF(AND(Input_Product=Elig!$C612,Elig_MatchAll_Ct&lt;22,$BC612=(Elig_MatchAll_Ct-1),AV612=0),T612,0)</f>
        <v>0</v>
      </c>
      <c r="BZ612" s="213">
        <f>IF(AND(Input_Product=Elig!$C612,Elig_MatchAll_Ct&lt;22,$BC612=(Elig_MatchAll_Ct-1),AV612=0),U612,0)</f>
        <v>0</v>
      </c>
      <c r="CA612" s="212">
        <f>IF(AND(Input_Product=Elig!$C612,Elig_MatchAll_Ct&lt;22,$BC612=(Elig_MatchAll_Ct-1),AW612=0),V612,0)</f>
        <v>0</v>
      </c>
      <c r="CB612" s="213">
        <f>IF(AND(Input_Product=Elig!$C612,Elig_MatchAll_Ct&lt;22,$BC612=(Elig_MatchAll_Ct-1),AW612=0),W612,0)</f>
        <v>0</v>
      </c>
      <c r="CC612" s="212">
        <f>IF(AND(Input_Product=Elig!$C612,Elig_MatchAll_Ct&lt;22,$BC612=(Elig_MatchAll_Ct-1),AX612=0),X612,0)</f>
        <v>0</v>
      </c>
      <c r="CD612" s="213">
        <f>IF(AND(Input_Product=Elig!$C612,Elig_MatchAll_Ct&lt;22,$BC612=(Elig_MatchAll_Ct-1),AX612=0),Y612,0)</f>
        <v>0</v>
      </c>
      <c r="CE612" s="212">
        <f>IF(AND(Input_LTV&lt;=AE612,Input_Product=Elig!$C612,Elig_MatchAll_Ct&lt;22,$BC612=(Elig_MatchAll_Ct-1),AY612=0),Z612,0)</f>
        <v>0</v>
      </c>
      <c r="CF612" s="213">
        <f>IF(AND(Input_LTV&lt;=AE612,Input_Product=Elig!$C612,Elig_MatchAll_Ct&lt;22,$BC612=(Elig_MatchAll_Ct-1),AY612=0),AA612,0)</f>
        <v>0</v>
      </c>
      <c r="CG612" s="212">
        <f>IF(AND(Input_Product=Elig!$C612,Elig_MatchAll_Ct&lt;22,$BC612=(Elig_MatchAll_Ct-1),AZ612=0),AB612,0)</f>
        <v>0</v>
      </c>
      <c r="CH612" s="213">
        <f>IF(AND(Input_Product=Elig!$C612,Elig_MatchAll_Ct&lt;22,$BC612=(Elig_MatchAll_Ct-1),AZ612=0),AC612,0)</f>
        <v>0</v>
      </c>
      <c r="CI612" s="212">
        <f>IF(AND(Input_Product=Elig!$C612,Elig_MatchAll_Ct&lt;22,$BC612=(Elig_MatchAll_Ct-1),BA612=0),AD612,0)</f>
        <v>0</v>
      </c>
      <c r="CJ612" s="213">
        <f>IF(AND(Input_Product=Elig!$C612,Elig_MatchAll_Ct&lt;22,$BC612=(Elig_MatchAll_Ct-1),BA612=0),AE612,0)</f>
        <v>0</v>
      </c>
    </row>
    <row r="613" spans="2:88" ht="10.15" customHeight="1" x14ac:dyDescent="0.25">
      <c r="B613" s="1914" t="s">
        <v>1184</v>
      </c>
      <c r="C613" s="155" t="str">
        <f t="shared" si="269"/>
        <v>Multi NOO</v>
      </c>
      <c r="D613" s="156" t="s">
        <v>2218</v>
      </c>
      <c r="E613" s="156" t="s">
        <v>167</v>
      </c>
      <c r="F613" s="156" t="s">
        <v>330</v>
      </c>
      <c r="G613" s="156" t="s">
        <v>181</v>
      </c>
      <c r="H613" s="156" t="s">
        <v>136</v>
      </c>
      <c r="I613" s="157" t="s">
        <v>274</v>
      </c>
      <c r="J613" s="157" t="s">
        <v>1311</v>
      </c>
      <c r="K613" s="157" t="s">
        <v>356</v>
      </c>
      <c r="L613" s="156" t="s">
        <v>312</v>
      </c>
      <c r="M613" s="156" t="s">
        <v>4203</v>
      </c>
      <c r="N613" s="156" t="s">
        <v>2685</v>
      </c>
      <c r="O613" s="156" t="s">
        <v>310</v>
      </c>
      <c r="P613" s="156" t="s">
        <v>108</v>
      </c>
      <c r="Q613" s="156" t="s">
        <v>294</v>
      </c>
      <c r="R613" s="156">
        <v>1500000.01</v>
      </c>
      <c r="S613" s="156">
        <v>2000000</v>
      </c>
      <c r="T613" s="156">
        <v>0</v>
      </c>
      <c r="U613" s="156">
        <v>0</v>
      </c>
      <c r="V613" s="156">
        <v>0</v>
      </c>
      <c r="W613" s="156">
        <v>50</v>
      </c>
      <c r="X613" s="156">
        <v>1</v>
      </c>
      <c r="Y613" s="156">
        <v>999</v>
      </c>
      <c r="Z613" s="158">
        <v>700</v>
      </c>
      <c r="AA613" s="158">
        <v>719</v>
      </c>
      <c r="AB613" s="158">
        <v>6</v>
      </c>
      <c r="AC613" s="158">
        <v>999999</v>
      </c>
      <c r="AD613" s="156">
        <v>0</v>
      </c>
      <c r="AE613" s="156">
        <v>65</v>
      </c>
      <c r="AF613" s="170">
        <v>0</v>
      </c>
      <c r="AG613" s="171">
        <v>1</v>
      </c>
      <c r="AH613" s="171">
        <v>1</v>
      </c>
      <c r="AI613" s="171">
        <v>0</v>
      </c>
      <c r="AJ613" s="171">
        <v>0</v>
      </c>
      <c r="AK613" s="171">
        <v>1</v>
      </c>
      <c r="AL613" s="171">
        <v>0</v>
      </c>
      <c r="AM613" s="171">
        <v>1</v>
      </c>
      <c r="AN613" s="171">
        <v>0</v>
      </c>
      <c r="AO613" s="171">
        <v>1</v>
      </c>
      <c r="AP613" s="171">
        <v>1</v>
      </c>
      <c r="AQ613" s="171">
        <v>1</v>
      </c>
      <c r="AR613" s="171">
        <v>1</v>
      </c>
      <c r="AS613" s="171">
        <v>1</v>
      </c>
      <c r="AT613" s="171">
        <v>1</v>
      </c>
      <c r="AU613" s="171">
        <f t="shared" si="270"/>
        <v>0</v>
      </c>
      <c r="AV613" s="171">
        <f t="shared" si="271"/>
        <v>0</v>
      </c>
      <c r="AW613" s="171">
        <f t="shared" si="272"/>
        <v>1</v>
      </c>
      <c r="AX613" s="171">
        <f t="shared" si="197"/>
        <v>0</v>
      </c>
      <c r="AY613" s="171">
        <f t="shared" si="273"/>
        <v>0</v>
      </c>
      <c r="AZ613" s="171">
        <f t="shared" si="274"/>
        <v>1</v>
      </c>
      <c r="BA613" s="172">
        <f t="shared" si="275"/>
        <v>1</v>
      </c>
      <c r="BB613" s="175">
        <f t="shared" si="190"/>
        <v>13</v>
      </c>
      <c r="BC613" s="176">
        <f t="shared" si="191"/>
        <v>12</v>
      </c>
      <c r="BD613" s="176">
        <f t="shared" si="192"/>
        <v>13</v>
      </c>
      <c r="BE613" s="240" t="str">
        <f t="shared" si="259"/>
        <v/>
      </c>
      <c r="BH613" s="199">
        <f>IF(AND(Input_Product=Elig!$C613,Elig_MatchAll_Ct&lt;22,$BC613=(Elig_MatchAll_Ct-1),AF613=0),C613,0)</f>
        <v>0</v>
      </c>
      <c r="BI613" s="199">
        <f>IF(AND(Input_Product=Elig!$C613,Elig_MatchAll_Ct&lt;22,$BC613=(Elig_MatchAll_Ct-1),AG613=0),D613,0)</f>
        <v>0</v>
      </c>
      <c r="BJ613" s="199">
        <f>IF(AND(Input_Product=Elig!$C613,Elig_MatchAll_Ct&lt;22,$BC613=(Elig_MatchAll_Ct-1),AH613=0),E613,0)</f>
        <v>0</v>
      </c>
      <c r="BK613" s="199">
        <f>IF(AND(Input_Product=Elig!$C613,Elig_MatchAll_Ct&lt;22,$BC613=(Elig_MatchAll_Ct-1),AI613=0),F613,0)</f>
        <v>0</v>
      </c>
      <c r="BL613" s="199">
        <f>IF(AND(Input_Product=Elig!$C613,Elig_MatchAll_Ct&lt;22,$BC613=(Elig_MatchAll_Ct-1),AJ613=0),G613,0)</f>
        <v>0</v>
      </c>
      <c r="BM613" s="199">
        <f>IF(AND(Input_Product=Elig!$C613,Elig_MatchAll_Ct&lt;22,$BC613=(Elig_MatchAll_Ct-1),AK613=0),H613,0)</f>
        <v>0</v>
      </c>
      <c r="BN613" s="199">
        <f>IF(AND(Input_Product=Elig!$C613,Elig_MatchAll_Ct&lt;22,$BC613=(Elig_MatchAll_Ct-1),AL613=0),I613,0)</f>
        <v>0</v>
      </c>
      <c r="BO613" s="199">
        <f>IF(AND(Input_Product=Elig!$C613,Elig_MatchAll_Ct&lt;22,$BC613=(Elig_MatchAll_Ct-1),AM613=0),J613,0)</f>
        <v>0</v>
      </c>
      <c r="BP613" s="199">
        <f>IF(AND(Input_Product=Elig!$C613,Elig_MatchAll_Ct&lt;22,$BC613=(Elig_MatchAll_Ct-1),AN613=0),K613,0)</f>
        <v>0</v>
      </c>
      <c r="BQ613" s="199">
        <f>IF(AND(Input_Product=Elig!$C613,Elig_MatchAll_Ct&lt;22,$BC613=(Elig_MatchAll_Ct-1),AP613=0),L613,0)</f>
        <v>0</v>
      </c>
      <c r="BR613" s="199">
        <f>IF(AND(Input_Product=Elig!$C613,Elig_MatchAll_Ct&lt;22,$BC613=(Elig_MatchAll_Ct-1),AO613=0),M613,0)</f>
        <v>0</v>
      </c>
      <c r="BS613" s="199">
        <f>IF(AND(Input_Product=Elig!$C613,Elig_MatchAll_Ct&lt;22,$BC613=(Elig_MatchAll_Ct-1),AQ613=0),N613,0)</f>
        <v>0</v>
      </c>
      <c r="BT613" s="199">
        <f>IF(AND(Input_Product=Elig!$C613,Elig_MatchAll_Ct&lt;22,$BC613=(Elig_MatchAll_Ct-1),AR613=0),O613,0)</f>
        <v>0</v>
      </c>
      <c r="BU613" s="199">
        <f>IF(AND(Input_Product=Elig!$C613,Elig_MatchAll_Ct&lt;22,$BC613=(Elig_MatchAll_Ct-1),AS613=0),P613,0)</f>
        <v>0</v>
      </c>
      <c r="BV613" s="200">
        <f>IF(AND(Input_Product=Elig!$C613,Elig_MatchAll_Ct&lt;22,$BC613=(Elig_MatchAll_Ct-1),AT613=0),Q613,0)</f>
        <v>0</v>
      </c>
      <c r="BW613" s="201">
        <f>IF(AND(Input_Product=Elig!$C613,Elig_MatchAll_Ct&lt;22,$BC613=(Elig_MatchAll_Ct-1),AU613=0),R613,0)</f>
        <v>0</v>
      </c>
      <c r="BX613" s="202">
        <f>IF(AND(Input_Product=Elig!$C613,Elig_MatchAll_Ct&lt;22,$BC613=(Elig_MatchAll_Ct-1),AU613=0),S613,0)</f>
        <v>0</v>
      </c>
      <c r="BY613" s="201">
        <f>IF(AND(Input_Product=Elig!$C613,Elig_MatchAll_Ct&lt;22,$BC613=(Elig_MatchAll_Ct-1),AV613=0),T613,0)</f>
        <v>0</v>
      </c>
      <c r="BZ613" s="202">
        <f>IF(AND(Input_Product=Elig!$C613,Elig_MatchAll_Ct&lt;22,$BC613=(Elig_MatchAll_Ct-1),AV613=0),U613,0)</f>
        <v>0</v>
      </c>
      <c r="CA613" s="201">
        <f>IF(AND(Input_Product=Elig!$C613,Elig_MatchAll_Ct&lt;22,$BC613=(Elig_MatchAll_Ct-1),AW613=0),V613,0)</f>
        <v>0</v>
      </c>
      <c r="CB613" s="202">
        <f>IF(AND(Input_Product=Elig!$C613,Elig_MatchAll_Ct&lt;22,$BC613=(Elig_MatchAll_Ct-1),AW613=0),W613,0)</f>
        <v>0</v>
      </c>
      <c r="CC613" s="201">
        <f>IF(AND(Input_Product=Elig!$C613,Elig_MatchAll_Ct&lt;22,$BC613=(Elig_MatchAll_Ct-1),AX613=0),X613,0)</f>
        <v>0</v>
      </c>
      <c r="CD613" s="202">
        <f>IF(AND(Input_Product=Elig!$C613,Elig_MatchAll_Ct&lt;22,$BC613=(Elig_MatchAll_Ct-1),AX613=0),Y613,0)</f>
        <v>0</v>
      </c>
      <c r="CE613" s="201">
        <f>IF(AND(Input_LTV&lt;=AE613,Input_Product=Elig!$C613,Elig_MatchAll_Ct&lt;22,$BC613=(Elig_MatchAll_Ct-1),AY613=0),Z613,0)</f>
        <v>0</v>
      </c>
      <c r="CF613" s="202">
        <f>IF(AND(Input_LTV&lt;=AE613,Input_Product=Elig!$C613,Elig_MatchAll_Ct&lt;22,$BC613=(Elig_MatchAll_Ct-1),AY613=0),AA613,0)</f>
        <v>0</v>
      </c>
      <c r="CG613" s="201">
        <f>IF(AND(Input_Product=Elig!$C613,Elig_MatchAll_Ct&lt;22,$BC613=(Elig_MatchAll_Ct-1),AZ613=0),AB613,0)</f>
        <v>0</v>
      </c>
      <c r="CH613" s="202">
        <f>IF(AND(Input_Product=Elig!$C613,Elig_MatchAll_Ct&lt;22,$BC613=(Elig_MatchAll_Ct-1),AZ613=0),AC613,0)</f>
        <v>0</v>
      </c>
      <c r="CI613" s="201">
        <f>IF(AND(Input_Product=Elig!$C613,Elig_MatchAll_Ct&lt;22,$BC613=(Elig_MatchAll_Ct-1),BA613=0),AD613,0)</f>
        <v>0</v>
      </c>
      <c r="CJ613" s="202">
        <f>IF(AND(Input_Product=Elig!$C613,Elig_MatchAll_Ct&lt;22,$BC613=(Elig_MatchAll_Ct-1),BA613=0),AE613,0)</f>
        <v>0</v>
      </c>
    </row>
    <row r="614" spans="2:88" ht="10.15" customHeight="1" x14ac:dyDescent="0.25">
      <c r="B614" s="1914" t="s">
        <v>1185</v>
      </c>
      <c r="C614" s="155" t="str">
        <f t="shared" si="269"/>
        <v>Multi NOO</v>
      </c>
      <c r="D614" s="156" t="s">
        <v>2218</v>
      </c>
      <c r="E614" s="156" t="s">
        <v>167</v>
      </c>
      <c r="F614" s="156" t="s">
        <v>330</v>
      </c>
      <c r="G614" s="156" t="s">
        <v>181</v>
      </c>
      <c r="H614" s="156" t="s">
        <v>136</v>
      </c>
      <c r="I614" s="157" t="s">
        <v>274</v>
      </c>
      <c r="J614" s="157" t="s">
        <v>1311</v>
      </c>
      <c r="K614" s="157" t="s">
        <v>356</v>
      </c>
      <c r="L614" s="156" t="s">
        <v>312</v>
      </c>
      <c r="M614" s="156" t="s">
        <v>4203</v>
      </c>
      <c r="N614" s="156" t="s">
        <v>2685</v>
      </c>
      <c r="O614" s="156" t="s">
        <v>310</v>
      </c>
      <c r="P614" s="156" t="s">
        <v>108</v>
      </c>
      <c r="Q614" s="156" t="s">
        <v>294</v>
      </c>
      <c r="R614" s="156">
        <v>1500000.01</v>
      </c>
      <c r="S614" s="156">
        <v>2000000</v>
      </c>
      <c r="T614" s="156">
        <v>0</v>
      </c>
      <c r="U614" s="156">
        <v>0</v>
      </c>
      <c r="V614" s="156">
        <v>0</v>
      </c>
      <c r="W614" s="156">
        <v>50</v>
      </c>
      <c r="X614" s="156">
        <v>1</v>
      </c>
      <c r="Y614" s="156">
        <v>999</v>
      </c>
      <c r="Z614" s="158">
        <v>680</v>
      </c>
      <c r="AA614" s="158">
        <v>699</v>
      </c>
      <c r="AB614" s="158">
        <v>6</v>
      </c>
      <c r="AC614" s="158">
        <v>999999</v>
      </c>
      <c r="AD614" s="156">
        <v>0</v>
      </c>
      <c r="AE614" s="156">
        <v>60</v>
      </c>
      <c r="AF614" s="170">
        <v>0</v>
      </c>
      <c r="AG614" s="171">
        <v>1</v>
      </c>
      <c r="AH614" s="171">
        <v>1</v>
      </c>
      <c r="AI614" s="171">
        <v>0</v>
      </c>
      <c r="AJ614" s="171">
        <v>0</v>
      </c>
      <c r="AK614" s="171">
        <v>1</v>
      </c>
      <c r="AL614" s="171">
        <v>0</v>
      </c>
      <c r="AM614" s="171">
        <v>1</v>
      </c>
      <c r="AN614" s="171">
        <v>0</v>
      </c>
      <c r="AO614" s="171">
        <v>1</v>
      </c>
      <c r="AP614" s="171">
        <v>1</v>
      </c>
      <c r="AQ614" s="171">
        <v>1</v>
      </c>
      <c r="AR614" s="171">
        <v>1</v>
      </c>
      <c r="AS614" s="171">
        <v>1</v>
      </c>
      <c r="AT614" s="171">
        <v>1</v>
      </c>
      <c r="AU614" s="171">
        <f t="shared" si="270"/>
        <v>0</v>
      </c>
      <c r="AV614" s="171">
        <f t="shared" si="271"/>
        <v>0</v>
      </c>
      <c r="AW614" s="171">
        <f t="shared" si="272"/>
        <v>1</v>
      </c>
      <c r="AX614" s="171">
        <f t="shared" si="197"/>
        <v>0</v>
      </c>
      <c r="AY614" s="171">
        <f t="shared" si="273"/>
        <v>0</v>
      </c>
      <c r="AZ614" s="171">
        <f t="shared" si="274"/>
        <v>1</v>
      </c>
      <c r="BA614" s="172">
        <f t="shared" si="275"/>
        <v>0</v>
      </c>
      <c r="BB614" s="175">
        <f t="shared" si="190"/>
        <v>12</v>
      </c>
      <c r="BC614" s="176">
        <f t="shared" si="191"/>
        <v>12</v>
      </c>
      <c r="BD614" s="176">
        <f t="shared" si="192"/>
        <v>12</v>
      </c>
      <c r="BE614" s="240" t="str">
        <f t="shared" si="259"/>
        <v/>
      </c>
      <c r="BH614" s="199">
        <f>IF(AND(Input_Product=Elig!$C614,Elig_MatchAll_Ct&lt;22,$BC614=(Elig_MatchAll_Ct-1),AF614=0),C614,0)</f>
        <v>0</v>
      </c>
      <c r="BI614" s="199">
        <f>IF(AND(Input_Product=Elig!$C614,Elig_MatchAll_Ct&lt;22,$BC614=(Elig_MatchAll_Ct-1),AG614=0),D614,0)</f>
        <v>0</v>
      </c>
      <c r="BJ614" s="199">
        <f>IF(AND(Input_Product=Elig!$C614,Elig_MatchAll_Ct&lt;22,$BC614=(Elig_MatchAll_Ct-1),AH614=0),E614,0)</f>
        <v>0</v>
      </c>
      <c r="BK614" s="199">
        <f>IF(AND(Input_Product=Elig!$C614,Elig_MatchAll_Ct&lt;22,$BC614=(Elig_MatchAll_Ct-1),AI614=0),F614,0)</f>
        <v>0</v>
      </c>
      <c r="BL614" s="199">
        <f>IF(AND(Input_Product=Elig!$C614,Elig_MatchAll_Ct&lt;22,$BC614=(Elig_MatchAll_Ct-1),AJ614=0),G614,0)</f>
        <v>0</v>
      </c>
      <c r="BM614" s="199">
        <f>IF(AND(Input_Product=Elig!$C614,Elig_MatchAll_Ct&lt;22,$BC614=(Elig_MatchAll_Ct-1),AK614=0),H614,0)</f>
        <v>0</v>
      </c>
      <c r="BN614" s="199">
        <f>IF(AND(Input_Product=Elig!$C614,Elig_MatchAll_Ct&lt;22,$BC614=(Elig_MatchAll_Ct-1),AL614=0),I614,0)</f>
        <v>0</v>
      </c>
      <c r="BO614" s="199">
        <f>IF(AND(Input_Product=Elig!$C614,Elig_MatchAll_Ct&lt;22,$BC614=(Elig_MatchAll_Ct-1),AM614=0),J614,0)</f>
        <v>0</v>
      </c>
      <c r="BP614" s="199">
        <f>IF(AND(Input_Product=Elig!$C614,Elig_MatchAll_Ct&lt;22,$BC614=(Elig_MatchAll_Ct-1),AN614=0),K614,0)</f>
        <v>0</v>
      </c>
      <c r="BQ614" s="199">
        <f>IF(AND(Input_Product=Elig!$C614,Elig_MatchAll_Ct&lt;22,$BC614=(Elig_MatchAll_Ct-1),AP614=0),L614,0)</f>
        <v>0</v>
      </c>
      <c r="BR614" s="199">
        <f>IF(AND(Input_Product=Elig!$C614,Elig_MatchAll_Ct&lt;22,$BC614=(Elig_MatchAll_Ct-1),AO614=0),M614,0)</f>
        <v>0</v>
      </c>
      <c r="BS614" s="199">
        <f>IF(AND(Input_Product=Elig!$C614,Elig_MatchAll_Ct&lt;22,$BC614=(Elig_MatchAll_Ct-1),AQ614=0),N614,0)</f>
        <v>0</v>
      </c>
      <c r="BT614" s="199">
        <f>IF(AND(Input_Product=Elig!$C614,Elig_MatchAll_Ct&lt;22,$BC614=(Elig_MatchAll_Ct-1),AR614=0),O614,0)</f>
        <v>0</v>
      </c>
      <c r="BU614" s="199">
        <f>IF(AND(Input_Product=Elig!$C614,Elig_MatchAll_Ct&lt;22,$BC614=(Elig_MatchAll_Ct-1),AS614=0),P614,0)</f>
        <v>0</v>
      </c>
      <c r="BV614" s="200">
        <f>IF(AND(Input_Product=Elig!$C614,Elig_MatchAll_Ct&lt;22,$BC614=(Elig_MatchAll_Ct-1),AT614=0),Q614,0)</f>
        <v>0</v>
      </c>
      <c r="BW614" s="201">
        <f>IF(AND(Input_Product=Elig!$C614,Elig_MatchAll_Ct&lt;22,$BC614=(Elig_MatchAll_Ct-1),AU614=0),R614,0)</f>
        <v>0</v>
      </c>
      <c r="BX614" s="202">
        <f>IF(AND(Input_Product=Elig!$C614,Elig_MatchAll_Ct&lt;22,$BC614=(Elig_MatchAll_Ct-1),AU614=0),S614,0)</f>
        <v>0</v>
      </c>
      <c r="BY614" s="201">
        <f>IF(AND(Input_Product=Elig!$C614,Elig_MatchAll_Ct&lt;22,$BC614=(Elig_MatchAll_Ct-1),AV614=0),T614,0)</f>
        <v>0</v>
      </c>
      <c r="BZ614" s="202">
        <f>IF(AND(Input_Product=Elig!$C614,Elig_MatchAll_Ct&lt;22,$BC614=(Elig_MatchAll_Ct-1),AV614=0),U614,0)</f>
        <v>0</v>
      </c>
      <c r="CA614" s="201">
        <f>IF(AND(Input_Product=Elig!$C614,Elig_MatchAll_Ct&lt;22,$BC614=(Elig_MatchAll_Ct-1),AW614=0),V614,0)</f>
        <v>0</v>
      </c>
      <c r="CB614" s="202">
        <f>IF(AND(Input_Product=Elig!$C614,Elig_MatchAll_Ct&lt;22,$BC614=(Elig_MatchAll_Ct-1),AW614=0),W614,0)</f>
        <v>0</v>
      </c>
      <c r="CC614" s="201">
        <f>IF(AND(Input_Product=Elig!$C614,Elig_MatchAll_Ct&lt;22,$BC614=(Elig_MatchAll_Ct-1),AX614=0),X614,0)</f>
        <v>0</v>
      </c>
      <c r="CD614" s="202">
        <f>IF(AND(Input_Product=Elig!$C614,Elig_MatchAll_Ct&lt;22,$BC614=(Elig_MatchAll_Ct-1),AX614=0),Y614,0)</f>
        <v>0</v>
      </c>
      <c r="CE614" s="201">
        <f>IF(AND(Input_LTV&lt;=AE614,Input_Product=Elig!$C614,Elig_MatchAll_Ct&lt;22,$BC614=(Elig_MatchAll_Ct-1),AY614=0),Z614,0)</f>
        <v>0</v>
      </c>
      <c r="CF614" s="202">
        <f>IF(AND(Input_LTV&lt;=AE614,Input_Product=Elig!$C614,Elig_MatchAll_Ct&lt;22,$BC614=(Elig_MatchAll_Ct-1),AY614=0),AA614,0)</f>
        <v>0</v>
      </c>
      <c r="CG614" s="201">
        <f>IF(AND(Input_Product=Elig!$C614,Elig_MatchAll_Ct&lt;22,$BC614=(Elig_MatchAll_Ct-1),AZ614=0),AB614,0)</f>
        <v>0</v>
      </c>
      <c r="CH614" s="202">
        <f>IF(AND(Input_Product=Elig!$C614,Elig_MatchAll_Ct&lt;22,$BC614=(Elig_MatchAll_Ct-1),AZ614=0),AC614,0)</f>
        <v>0</v>
      </c>
      <c r="CI614" s="201">
        <f>IF(AND(Input_Product=Elig!$C614,Elig_MatchAll_Ct&lt;22,$BC614=(Elig_MatchAll_Ct-1),BA614=0),AD614,0)</f>
        <v>0</v>
      </c>
      <c r="CJ614" s="202">
        <f>IF(AND(Input_Product=Elig!$C614,Elig_MatchAll_Ct&lt;22,$BC614=(Elig_MatchAll_Ct-1),BA614=0),AE614,0)</f>
        <v>0</v>
      </c>
    </row>
    <row r="615" spans="2:88" ht="10.15" customHeight="1" x14ac:dyDescent="0.25">
      <c r="B615" s="1914" t="s">
        <v>1186</v>
      </c>
      <c r="C615" s="155" t="str">
        <f t="shared" si="269"/>
        <v>Multi NOO</v>
      </c>
      <c r="D615" s="156" t="s">
        <v>2218</v>
      </c>
      <c r="E615" s="156" t="s">
        <v>167</v>
      </c>
      <c r="F615" s="156" t="s">
        <v>330</v>
      </c>
      <c r="G615" s="156" t="s">
        <v>181</v>
      </c>
      <c r="H615" s="156" t="s">
        <v>136</v>
      </c>
      <c r="I615" s="156" t="s">
        <v>274</v>
      </c>
      <c r="J615" s="156" t="s">
        <v>1311</v>
      </c>
      <c r="K615" s="156" t="s">
        <v>356</v>
      </c>
      <c r="L615" s="156" t="s">
        <v>312</v>
      </c>
      <c r="M615" s="156" t="s">
        <v>4203</v>
      </c>
      <c r="N615" s="156" t="s">
        <v>2685</v>
      </c>
      <c r="O615" s="156" t="s">
        <v>310</v>
      </c>
      <c r="P615" s="156" t="s">
        <v>108</v>
      </c>
      <c r="Q615" s="156" t="s">
        <v>294</v>
      </c>
      <c r="R615" s="156">
        <v>1500000.01</v>
      </c>
      <c r="S615" s="156">
        <v>2000000</v>
      </c>
      <c r="T615" s="156">
        <v>0</v>
      </c>
      <c r="U615" s="156">
        <v>0</v>
      </c>
      <c r="V615" s="156">
        <v>0</v>
      </c>
      <c r="W615" s="156">
        <v>50</v>
      </c>
      <c r="X615" s="156">
        <v>1</v>
      </c>
      <c r="Y615" s="156">
        <v>999</v>
      </c>
      <c r="Z615" s="158">
        <v>660</v>
      </c>
      <c r="AA615" s="158">
        <v>679</v>
      </c>
      <c r="AB615" s="158">
        <v>6</v>
      </c>
      <c r="AC615" s="158">
        <v>999999</v>
      </c>
      <c r="AD615" s="156">
        <v>0</v>
      </c>
      <c r="AE615" s="156">
        <v>60</v>
      </c>
      <c r="AF615" s="170">
        <v>0</v>
      </c>
      <c r="AG615" s="171">
        <v>1</v>
      </c>
      <c r="AH615" s="171">
        <v>1</v>
      </c>
      <c r="AI615" s="171">
        <v>0</v>
      </c>
      <c r="AJ615" s="171">
        <v>0</v>
      </c>
      <c r="AK615" s="171">
        <v>1</v>
      </c>
      <c r="AL615" s="171">
        <v>0</v>
      </c>
      <c r="AM615" s="171">
        <v>1</v>
      </c>
      <c r="AN615" s="171">
        <v>0</v>
      </c>
      <c r="AO615" s="171">
        <v>1</v>
      </c>
      <c r="AP615" s="171">
        <v>1</v>
      </c>
      <c r="AQ615" s="171">
        <v>1</v>
      </c>
      <c r="AR615" s="171">
        <v>1</v>
      </c>
      <c r="AS615" s="171">
        <v>1</v>
      </c>
      <c r="AT615" s="171">
        <v>1</v>
      </c>
      <c r="AU615" s="171">
        <f t="shared" si="270"/>
        <v>0</v>
      </c>
      <c r="AV615" s="171">
        <f t="shared" si="271"/>
        <v>0</v>
      </c>
      <c r="AW615" s="171">
        <f t="shared" si="272"/>
        <v>1</v>
      </c>
      <c r="AX615" s="171">
        <f t="shared" si="197"/>
        <v>0</v>
      </c>
      <c r="AY615" s="171">
        <f t="shared" si="273"/>
        <v>0</v>
      </c>
      <c r="AZ615" s="171">
        <f t="shared" si="274"/>
        <v>1</v>
      </c>
      <c r="BA615" s="172">
        <f t="shared" si="275"/>
        <v>0</v>
      </c>
      <c r="BB615" s="175">
        <f t="shared" ref="BB615:BB626" si="276">SUM(AF615:BA615)</f>
        <v>12</v>
      </c>
      <c r="BC615" s="176">
        <f t="shared" ref="BC615:BC626" si="277">SUM(AF615:AZ615)</f>
        <v>12</v>
      </c>
      <c r="BD615" s="176">
        <f t="shared" ref="BD615:BD626" si="278">SUM(AG615:BA615)</f>
        <v>12</v>
      </c>
      <c r="BE615" s="240" t="str">
        <f t="shared" si="259"/>
        <v/>
      </c>
      <c r="BH615" s="214">
        <f>IF(AND(Input_Product=Elig!$C615,Elig_MatchAll_Ct&lt;22,$BC615=(Elig_MatchAll_Ct-1),AF615=0),C615,0)</f>
        <v>0</v>
      </c>
      <c r="BI615" s="214">
        <f>IF(AND(Input_Product=Elig!$C615,Elig_MatchAll_Ct&lt;22,$BC615=(Elig_MatchAll_Ct-1),AG615=0),D615,0)</f>
        <v>0</v>
      </c>
      <c r="BJ615" s="214">
        <f>IF(AND(Input_Product=Elig!$C615,Elig_MatchAll_Ct&lt;22,$BC615=(Elig_MatchAll_Ct-1),AH615=0),E615,0)</f>
        <v>0</v>
      </c>
      <c r="BK615" s="214">
        <f>IF(AND(Input_Product=Elig!$C615,Elig_MatchAll_Ct&lt;22,$BC615=(Elig_MatchAll_Ct-1),AI615=0),F615,0)</f>
        <v>0</v>
      </c>
      <c r="BL615" s="214">
        <f>IF(AND(Input_Product=Elig!$C615,Elig_MatchAll_Ct&lt;22,$BC615=(Elig_MatchAll_Ct-1),AJ615=0),G615,0)</f>
        <v>0</v>
      </c>
      <c r="BM615" s="214">
        <f>IF(AND(Input_Product=Elig!$C615,Elig_MatchAll_Ct&lt;22,$BC615=(Elig_MatchAll_Ct-1),AK615=0),H615,0)</f>
        <v>0</v>
      </c>
      <c r="BN615" s="214">
        <f>IF(AND(Input_Product=Elig!$C615,Elig_MatchAll_Ct&lt;22,$BC615=(Elig_MatchAll_Ct-1),AL615=0),I615,0)</f>
        <v>0</v>
      </c>
      <c r="BO615" s="214">
        <f>IF(AND(Input_Product=Elig!$C615,Elig_MatchAll_Ct&lt;22,$BC615=(Elig_MatchAll_Ct-1),AM615=0),J615,0)</f>
        <v>0</v>
      </c>
      <c r="BP615" s="214">
        <f>IF(AND(Input_Product=Elig!$C615,Elig_MatchAll_Ct&lt;22,$BC615=(Elig_MatchAll_Ct-1),AN615=0),K615,0)</f>
        <v>0</v>
      </c>
      <c r="BQ615" s="214">
        <f>IF(AND(Input_Product=Elig!$C615,Elig_MatchAll_Ct&lt;22,$BC615=(Elig_MatchAll_Ct-1),AP615=0),L615,0)</f>
        <v>0</v>
      </c>
      <c r="BR615" s="214">
        <f>IF(AND(Input_Product=Elig!$C615,Elig_MatchAll_Ct&lt;22,$BC615=(Elig_MatchAll_Ct-1),AO615=0),M615,0)</f>
        <v>0</v>
      </c>
      <c r="BS615" s="214">
        <f>IF(AND(Input_Product=Elig!$C615,Elig_MatchAll_Ct&lt;22,$BC615=(Elig_MatchAll_Ct-1),AQ615=0),N615,0)</f>
        <v>0</v>
      </c>
      <c r="BT615" s="214">
        <f>IF(AND(Input_Product=Elig!$C615,Elig_MatchAll_Ct&lt;22,$BC615=(Elig_MatchAll_Ct-1),AR615=0),O615,0)</f>
        <v>0</v>
      </c>
      <c r="BU615" s="214">
        <f>IF(AND(Input_Product=Elig!$C615,Elig_MatchAll_Ct&lt;22,$BC615=(Elig_MatchAll_Ct-1),AS615=0),P615,0)</f>
        <v>0</v>
      </c>
      <c r="BV615" s="215">
        <f>IF(AND(Input_Product=Elig!$C615,Elig_MatchAll_Ct&lt;22,$BC615=(Elig_MatchAll_Ct-1),AT615=0),Q615,0)</f>
        <v>0</v>
      </c>
      <c r="BW615" s="311">
        <f>IF(AND(Input_Product=Elig!$C615,Elig_MatchAll_Ct&lt;22,$BC615=(Elig_MatchAll_Ct-1),AU615=0),R615,0)</f>
        <v>0</v>
      </c>
      <c r="BX615" s="312">
        <f>IF(AND(Input_Product=Elig!$C615,Elig_MatchAll_Ct&lt;22,$BC615=(Elig_MatchAll_Ct-1),AU615=0),S615,0)</f>
        <v>0</v>
      </c>
      <c r="BY615" s="311">
        <f>IF(AND(Input_Product=Elig!$C615,Elig_MatchAll_Ct&lt;22,$BC615=(Elig_MatchAll_Ct-1),AV615=0),T615,0)</f>
        <v>0</v>
      </c>
      <c r="BZ615" s="312">
        <f>IF(AND(Input_Product=Elig!$C615,Elig_MatchAll_Ct&lt;22,$BC615=(Elig_MatchAll_Ct-1),AV615=0),U615,0)</f>
        <v>0</v>
      </c>
      <c r="CA615" s="311">
        <f>IF(AND(Input_Product=Elig!$C615,Elig_MatchAll_Ct&lt;22,$BC615=(Elig_MatchAll_Ct-1),AW615=0),V615,0)</f>
        <v>0</v>
      </c>
      <c r="CB615" s="312">
        <f>IF(AND(Input_Product=Elig!$C615,Elig_MatchAll_Ct&lt;22,$BC615=(Elig_MatchAll_Ct-1),AW615=0),W615,0)</f>
        <v>0</v>
      </c>
      <c r="CC615" s="311">
        <f>IF(AND(Input_Product=Elig!$C615,Elig_MatchAll_Ct&lt;22,$BC615=(Elig_MatchAll_Ct-1),AX615=0),X615,0)</f>
        <v>0</v>
      </c>
      <c r="CD615" s="312">
        <f>IF(AND(Input_Product=Elig!$C615,Elig_MatchAll_Ct&lt;22,$BC615=(Elig_MatchAll_Ct-1),AX615=0),Y615,0)</f>
        <v>0</v>
      </c>
      <c r="CE615" s="311">
        <f>IF(AND(Input_LTV&lt;=AE615,Input_Product=Elig!$C615,Elig_MatchAll_Ct&lt;22,$BC615=(Elig_MatchAll_Ct-1),AY615=0),Z615,0)</f>
        <v>0</v>
      </c>
      <c r="CF615" s="312">
        <f>IF(AND(Input_LTV&lt;=AE615,Input_Product=Elig!$C615,Elig_MatchAll_Ct&lt;22,$BC615=(Elig_MatchAll_Ct-1),AY615=0),AA615,0)</f>
        <v>0</v>
      </c>
      <c r="CG615" s="311">
        <f>IF(AND(Input_Product=Elig!$C615,Elig_MatchAll_Ct&lt;22,$BC615=(Elig_MatchAll_Ct-1),AZ615=0),AB615,0)</f>
        <v>0</v>
      </c>
      <c r="CH615" s="312">
        <f>IF(AND(Input_Product=Elig!$C615,Elig_MatchAll_Ct&lt;22,$BC615=(Elig_MatchAll_Ct-1),AZ615=0),AC615,0)</f>
        <v>0</v>
      </c>
      <c r="CI615" s="311">
        <f>IF(AND(Input_Product=Elig!$C615,Elig_MatchAll_Ct&lt;22,$BC615=(Elig_MatchAll_Ct-1),BA615=0),AD615,0)</f>
        <v>0</v>
      </c>
      <c r="CJ615" s="312">
        <f>IF(AND(Input_Product=Elig!$C615,Elig_MatchAll_Ct&lt;22,$BC615=(Elig_MatchAll_Ct-1),BA615=0),AE615,0)</f>
        <v>0</v>
      </c>
    </row>
    <row r="616" spans="2:88" ht="10.15" customHeight="1" x14ac:dyDescent="0.25">
      <c r="B616" s="1914" t="s">
        <v>1187</v>
      </c>
      <c r="C616" s="151" t="str">
        <f t="shared" si="269"/>
        <v>Multi NOO</v>
      </c>
      <c r="D616" s="152" t="s">
        <v>2218</v>
      </c>
      <c r="E616" s="153" t="s">
        <v>167</v>
      </c>
      <c r="F616" s="153" t="s">
        <v>330</v>
      </c>
      <c r="G616" s="153" t="s">
        <v>181</v>
      </c>
      <c r="H616" s="153" t="s">
        <v>136</v>
      </c>
      <c r="I616" s="152" t="s">
        <v>16</v>
      </c>
      <c r="J616" s="152" t="s">
        <v>1311</v>
      </c>
      <c r="K616" s="152" t="s">
        <v>356</v>
      </c>
      <c r="L616" s="153" t="s">
        <v>312</v>
      </c>
      <c r="M616" s="153" t="s">
        <v>4203</v>
      </c>
      <c r="N616" s="153" t="s">
        <v>2685</v>
      </c>
      <c r="O616" s="153" t="s">
        <v>310</v>
      </c>
      <c r="P616" s="153" t="s">
        <v>108</v>
      </c>
      <c r="Q616" s="153" t="s">
        <v>294</v>
      </c>
      <c r="R616" s="152">
        <v>1500000.01</v>
      </c>
      <c r="S616" s="152">
        <v>2000000</v>
      </c>
      <c r="T616" s="152">
        <v>0</v>
      </c>
      <c r="U616" s="152">
        <v>1000000</v>
      </c>
      <c r="V616" s="152">
        <v>0</v>
      </c>
      <c r="W616" s="152">
        <v>50</v>
      </c>
      <c r="X616" s="152">
        <v>1</v>
      </c>
      <c r="Y616" s="152">
        <v>999</v>
      </c>
      <c r="Z616" s="154">
        <v>720</v>
      </c>
      <c r="AA616" s="154">
        <v>999</v>
      </c>
      <c r="AB616" s="154">
        <v>6</v>
      </c>
      <c r="AC616" s="154">
        <v>999999</v>
      </c>
      <c r="AD616" s="152">
        <v>0</v>
      </c>
      <c r="AE616" s="152">
        <v>55</v>
      </c>
      <c r="AF616" s="170">
        <v>0</v>
      </c>
      <c r="AG616" s="171">
        <v>1</v>
      </c>
      <c r="AH616" s="171">
        <v>1</v>
      </c>
      <c r="AI616" s="171">
        <v>0</v>
      </c>
      <c r="AJ616" s="171">
        <v>0</v>
      </c>
      <c r="AK616" s="171">
        <v>1</v>
      </c>
      <c r="AL616" s="171">
        <v>1</v>
      </c>
      <c r="AM616" s="171">
        <v>1</v>
      </c>
      <c r="AN616" s="171">
        <v>0</v>
      </c>
      <c r="AO616" s="171">
        <v>1</v>
      </c>
      <c r="AP616" s="171">
        <v>1</v>
      </c>
      <c r="AQ616" s="171">
        <v>1</v>
      </c>
      <c r="AR616" s="171">
        <v>1</v>
      </c>
      <c r="AS616" s="171">
        <v>1</v>
      </c>
      <c r="AT616" s="171">
        <v>1</v>
      </c>
      <c r="AU616" s="171">
        <f t="shared" si="270"/>
        <v>0</v>
      </c>
      <c r="AV616" s="171">
        <f t="shared" si="271"/>
        <v>1</v>
      </c>
      <c r="AW616" s="171">
        <f t="shared" si="272"/>
        <v>1</v>
      </c>
      <c r="AX616" s="171">
        <f t="shared" si="197"/>
        <v>0</v>
      </c>
      <c r="AY616" s="171">
        <f t="shared" si="273"/>
        <v>1</v>
      </c>
      <c r="AZ616" s="171">
        <f t="shared" si="274"/>
        <v>1</v>
      </c>
      <c r="BA616" s="172">
        <f t="shared" si="275"/>
        <v>0</v>
      </c>
      <c r="BB616" s="175">
        <f t="shared" si="276"/>
        <v>15</v>
      </c>
      <c r="BC616" s="176">
        <f t="shared" si="277"/>
        <v>15</v>
      </c>
      <c r="BD616" s="176">
        <f t="shared" si="278"/>
        <v>15</v>
      </c>
      <c r="BE616" s="240" t="str">
        <f t="shared" si="259"/>
        <v/>
      </c>
      <c r="BH616" s="210">
        <f>IF(AND(Input_Product=Elig!$C616,Elig_MatchAll_Ct&lt;22,$BC616=(Elig_MatchAll_Ct-1),AF616=0),C616,0)</f>
        <v>0</v>
      </c>
      <c r="BI616" s="210">
        <f>IF(AND(Input_Product=Elig!$C616,Elig_MatchAll_Ct&lt;22,$BC616=(Elig_MatchAll_Ct-1),AG616=0),D616,0)</f>
        <v>0</v>
      </c>
      <c r="BJ616" s="210">
        <f>IF(AND(Input_Product=Elig!$C616,Elig_MatchAll_Ct&lt;22,$BC616=(Elig_MatchAll_Ct-1),AH616=0),E616,0)</f>
        <v>0</v>
      </c>
      <c r="BK616" s="210">
        <f>IF(AND(Input_Product=Elig!$C616,Elig_MatchAll_Ct&lt;22,$BC616=(Elig_MatchAll_Ct-1),AI616=0),F616,0)</f>
        <v>0</v>
      </c>
      <c r="BL616" s="210">
        <f>IF(AND(Input_Product=Elig!$C616,Elig_MatchAll_Ct&lt;22,$BC616=(Elig_MatchAll_Ct-1),AJ616=0),G616,0)</f>
        <v>0</v>
      </c>
      <c r="BM616" s="210">
        <f>IF(AND(Input_Product=Elig!$C616,Elig_MatchAll_Ct&lt;22,$BC616=(Elig_MatchAll_Ct-1),AK616=0),H616,0)</f>
        <v>0</v>
      </c>
      <c r="BN616" s="210">
        <f>IF(AND(Input_Product=Elig!$C616,Elig_MatchAll_Ct&lt;22,$BC616=(Elig_MatchAll_Ct-1),AL616=0),I616,0)</f>
        <v>0</v>
      </c>
      <c r="BO616" s="210">
        <f>IF(AND(Input_Product=Elig!$C616,Elig_MatchAll_Ct&lt;22,$BC616=(Elig_MatchAll_Ct-1),AM616=0),J616,0)</f>
        <v>0</v>
      </c>
      <c r="BP616" s="210">
        <f>IF(AND(Input_Product=Elig!$C616,Elig_MatchAll_Ct&lt;22,$BC616=(Elig_MatchAll_Ct-1),AN616=0),K616,0)</f>
        <v>0</v>
      </c>
      <c r="BQ616" s="210">
        <f>IF(AND(Input_Product=Elig!$C616,Elig_MatchAll_Ct&lt;22,$BC616=(Elig_MatchAll_Ct-1),AP616=0),L616,0)</f>
        <v>0</v>
      </c>
      <c r="BR616" s="210">
        <f>IF(AND(Input_Product=Elig!$C616,Elig_MatchAll_Ct&lt;22,$BC616=(Elig_MatchAll_Ct-1),AO616=0),M616,0)</f>
        <v>0</v>
      </c>
      <c r="BS616" s="210">
        <f>IF(AND(Input_Product=Elig!$C616,Elig_MatchAll_Ct&lt;22,$BC616=(Elig_MatchAll_Ct-1),AQ616=0),N616,0)</f>
        <v>0</v>
      </c>
      <c r="BT616" s="210">
        <f>IF(AND(Input_Product=Elig!$C616,Elig_MatchAll_Ct&lt;22,$BC616=(Elig_MatchAll_Ct-1),AR616=0),O616,0)</f>
        <v>0</v>
      </c>
      <c r="BU616" s="210">
        <f>IF(AND(Input_Product=Elig!$C616,Elig_MatchAll_Ct&lt;22,$BC616=(Elig_MatchAll_Ct-1),AS616=0),P616,0)</f>
        <v>0</v>
      </c>
      <c r="BV616" s="211">
        <f>IF(AND(Input_Product=Elig!$C616,Elig_MatchAll_Ct&lt;22,$BC616=(Elig_MatchAll_Ct-1),AT616=0),Q616,0)</f>
        <v>0</v>
      </c>
      <c r="BW616" s="212">
        <f>IF(AND(Input_Product=Elig!$C616,Elig_MatchAll_Ct&lt;22,$BC616=(Elig_MatchAll_Ct-1),AU616=0),R616,0)</f>
        <v>0</v>
      </c>
      <c r="BX616" s="213">
        <f>IF(AND(Input_Product=Elig!$C616,Elig_MatchAll_Ct&lt;22,$BC616=(Elig_MatchAll_Ct-1),AU616=0),S616,0)</f>
        <v>0</v>
      </c>
      <c r="BY616" s="212">
        <f>IF(AND(Input_Product=Elig!$C616,Elig_MatchAll_Ct&lt;22,$BC616=(Elig_MatchAll_Ct-1),AV616=0),T616,0)</f>
        <v>0</v>
      </c>
      <c r="BZ616" s="213">
        <f>IF(AND(Input_Product=Elig!$C616,Elig_MatchAll_Ct&lt;22,$BC616=(Elig_MatchAll_Ct-1),AV616=0),U616,0)</f>
        <v>0</v>
      </c>
      <c r="CA616" s="212">
        <f>IF(AND(Input_Product=Elig!$C616,Elig_MatchAll_Ct&lt;22,$BC616=(Elig_MatchAll_Ct-1),AW616=0),V616,0)</f>
        <v>0</v>
      </c>
      <c r="CB616" s="213">
        <f>IF(AND(Input_Product=Elig!$C616,Elig_MatchAll_Ct&lt;22,$BC616=(Elig_MatchAll_Ct-1),AW616=0),W616,0)</f>
        <v>0</v>
      </c>
      <c r="CC616" s="212">
        <f>IF(AND(Input_Product=Elig!$C616,Elig_MatchAll_Ct&lt;22,$BC616=(Elig_MatchAll_Ct-1),AX616=0),X616,0)</f>
        <v>0</v>
      </c>
      <c r="CD616" s="213">
        <f>IF(AND(Input_Product=Elig!$C616,Elig_MatchAll_Ct&lt;22,$BC616=(Elig_MatchAll_Ct-1),AX616=0),Y616,0)</f>
        <v>0</v>
      </c>
      <c r="CE616" s="212">
        <f>IF(AND(Input_LTV&lt;=AE616,Input_Product=Elig!$C616,Elig_MatchAll_Ct&lt;22,$BC616=(Elig_MatchAll_Ct-1),AY616=0),Z616,0)</f>
        <v>0</v>
      </c>
      <c r="CF616" s="213">
        <f>IF(AND(Input_LTV&lt;=AE616,Input_Product=Elig!$C616,Elig_MatchAll_Ct&lt;22,$BC616=(Elig_MatchAll_Ct-1),AY616=0),AA616,0)</f>
        <v>0</v>
      </c>
      <c r="CG616" s="212">
        <f>IF(AND(Input_Product=Elig!$C616,Elig_MatchAll_Ct&lt;22,$BC616=(Elig_MatchAll_Ct-1),AZ616=0),AB616,0)</f>
        <v>0</v>
      </c>
      <c r="CH616" s="213">
        <f>IF(AND(Input_Product=Elig!$C616,Elig_MatchAll_Ct&lt;22,$BC616=(Elig_MatchAll_Ct-1),AZ616=0),AC616,0)</f>
        <v>0</v>
      </c>
      <c r="CI616" s="212">
        <f>IF(AND(Input_Product=Elig!$C616,Elig_MatchAll_Ct&lt;22,$BC616=(Elig_MatchAll_Ct-1),BA616=0),AD616,0)</f>
        <v>0</v>
      </c>
      <c r="CJ616" s="213">
        <f>IF(AND(Input_Product=Elig!$C616,Elig_MatchAll_Ct&lt;22,$BC616=(Elig_MatchAll_Ct-1),BA616=0),AE616,0)</f>
        <v>0</v>
      </c>
    </row>
    <row r="617" spans="2:88" ht="10.15" customHeight="1" x14ac:dyDescent="0.25">
      <c r="B617" s="1914" t="s">
        <v>1188</v>
      </c>
      <c r="C617" s="155" t="str">
        <f t="shared" si="269"/>
        <v>Multi NOO</v>
      </c>
      <c r="D617" s="156" t="s">
        <v>2218</v>
      </c>
      <c r="E617" s="156" t="s">
        <v>167</v>
      </c>
      <c r="F617" s="156" t="s">
        <v>330</v>
      </c>
      <c r="G617" s="156" t="s">
        <v>181</v>
      </c>
      <c r="H617" s="156" t="s">
        <v>136</v>
      </c>
      <c r="I617" s="157" t="s">
        <v>16</v>
      </c>
      <c r="J617" s="157" t="s">
        <v>1311</v>
      </c>
      <c r="K617" s="157" t="s">
        <v>356</v>
      </c>
      <c r="L617" s="156" t="s">
        <v>312</v>
      </c>
      <c r="M617" s="156" t="s">
        <v>4203</v>
      </c>
      <c r="N617" s="156" t="s">
        <v>2685</v>
      </c>
      <c r="O617" s="156" t="s">
        <v>310</v>
      </c>
      <c r="P617" s="156" t="s">
        <v>108</v>
      </c>
      <c r="Q617" s="156" t="s">
        <v>294</v>
      </c>
      <c r="R617" s="156">
        <v>1500000.01</v>
      </c>
      <c r="S617" s="156">
        <v>2000000</v>
      </c>
      <c r="T617" s="156">
        <v>0</v>
      </c>
      <c r="U617" s="156">
        <v>1000000</v>
      </c>
      <c r="V617" s="156">
        <v>0</v>
      </c>
      <c r="W617" s="156">
        <v>50</v>
      </c>
      <c r="X617" s="156">
        <v>1</v>
      </c>
      <c r="Y617" s="156">
        <v>999</v>
      </c>
      <c r="Z617" s="158">
        <v>700</v>
      </c>
      <c r="AA617" s="158">
        <v>719</v>
      </c>
      <c r="AB617" s="158">
        <v>6</v>
      </c>
      <c r="AC617" s="158">
        <v>999999</v>
      </c>
      <c r="AD617" s="156">
        <v>0</v>
      </c>
      <c r="AE617" s="156">
        <v>55</v>
      </c>
      <c r="AF617" s="170">
        <v>0</v>
      </c>
      <c r="AG617" s="171">
        <v>1</v>
      </c>
      <c r="AH617" s="171">
        <v>1</v>
      </c>
      <c r="AI617" s="171">
        <v>0</v>
      </c>
      <c r="AJ617" s="171">
        <v>0</v>
      </c>
      <c r="AK617" s="171">
        <v>1</v>
      </c>
      <c r="AL617" s="171">
        <v>1</v>
      </c>
      <c r="AM617" s="171">
        <v>1</v>
      </c>
      <c r="AN617" s="171">
        <v>0</v>
      </c>
      <c r="AO617" s="171">
        <v>1</v>
      </c>
      <c r="AP617" s="171">
        <v>1</v>
      </c>
      <c r="AQ617" s="171">
        <v>1</v>
      </c>
      <c r="AR617" s="171">
        <v>1</v>
      </c>
      <c r="AS617" s="171">
        <v>1</v>
      </c>
      <c r="AT617" s="171">
        <v>1</v>
      </c>
      <c r="AU617" s="171">
        <f t="shared" si="270"/>
        <v>0</v>
      </c>
      <c r="AV617" s="171">
        <f t="shared" si="271"/>
        <v>1</v>
      </c>
      <c r="AW617" s="171">
        <f t="shared" si="272"/>
        <v>1</v>
      </c>
      <c r="AX617" s="171">
        <f t="shared" si="197"/>
        <v>0</v>
      </c>
      <c r="AY617" s="171">
        <f t="shared" si="273"/>
        <v>0</v>
      </c>
      <c r="AZ617" s="171">
        <f t="shared" si="274"/>
        <v>1</v>
      </c>
      <c r="BA617" s="172">
        <f t="shared" si="275"/>
        <v>0</v>
      </c>
      <c r="BB617" s="175">
        <f t="shared" si="276"/>
        <v>14</v>
      </c>
      <c r="BC617" s="176">
        <f t="shared" si="277"/>
        <v>14</v>
      </c>
      <c r="BD617" s="176">
        <f t="shared" si="278"/>
        <v>14</v>
      </c>
      <c r="BE617" s="240" t="str">
        <f t="shared" si="259"/>
        <v/>
      </c>
      <c r="BH617" s="199">
        <f>IF(AND(Input_Product=Elig!$C617,Elig_MatchAll_Ct&lt;22,$BC617=(Elig_MatchAll_Ct-1),AF617=0),C617,0)</f>
        <v>0</v>
      </c>
      <c r="BI617" s="199">
        <f>IF(AND(Input_Product=Elig!$C617,Elig_MatchAll_Ct&lt;22,$BC617=(Elig_MatchAll_Ct-1),AG617=0),D617,0)</f>
        <v>0</v>
      </c>
      <c r="BJ617" s="199">
        <f>IF(AND(Input_Product=Elig!$C617,Elig_MatchAll_Ct&lt;22,$BC617=(Elig_MatchAll_Ct-1),AH617=0),E617,0)</f>
        <v>0</v>
      </c>
      <c r="BK617" s="199">
        <f>IF(AND(Input_Product=Elig!$C617,Elig_MatchAll_Ct&lt;22,$BC617=(Elig_MatchAll_Ct-1),AI617=0),F617,0)</f>
        <v>0</v>
      </c>
      <c r="BL617" s="199">
        <f>IF(AND(Input_Product=Elig!$C617,Elig_MatchAll_Ct&lt;22,$BC617=(Elig_MatchAll_Ct-1),AJ617=0),G617,0)</f>
        <v>0</v>
      </c>
      <c r="BM617" s="199">
        <f>IF(AND(Input_Product=Elig!$C617,Elig_MatchAll_Ct&lt;22,$BC617=(Elig_MatchAll_Ct-1),AK617=0),H617,0)</f>
        <v>0</v>
      </c>
      <c r="BN617" s="199">
        <f>IF(AND(Input_Product=Elig!$C617,Elig_MatchAll_Ct&lt;22,$BC617=(Elig_MatchAll_Ct-1),AL617=0),I617,0)</f>
        <v>0</v>
      </c>
      <c r="BO617" s="199">
        <f>IF(AND(Input_Product=Elig!$C617,Elig_MatchAll_Ct&lt;22,$BC617=(Elig_MatchAll_Ct-1),AM617=0),J617,0)</f>
        <v>0</v>
      </c>
      <c r="BP617" s="199">
        <f>IF(AND(Input_Product=Elig!$C617,Elig_MatchAll_Ct&lt;22,$BC617=(Elig_MatchAll_Ct-1),AN617=0),K617,0)</f>
        <v>0</v>
      </c>
      <c r="BQ617" s="199">
        <f>IF(AND(Input_Product=Elig!$C617,Elig_MatchAll_Ct&lt;22,$BC617=(Elig_MatchAll_Ct-1),AP617=0),L617,0)</f>
        <v>0</v>
      </c>
      <c r="BR617" s="199">
        <f>IF(AND(Input_Product=Elig!$C617,Elig_MatchAll_Ct&lt;22,$BC617=(Elig_MatchAll_Ct-1),AO617=0),M617,0)</f>
        <v>0</v>
      </c>
      <c r="BS617" s="199">
        <f>IF(AND(Input_Product=Elig!$C617,Elig_MatchAll_Ct&lt;22,$BC617=(Elig_MatchAll_Ct-1),AQ617=0),N617,0)</f>
        <v>0</v>
      </c>
      <c r="BT617" s="199">
        <f>IF(AND(Input_Product=Elig!$C617,Elig_MatchAll_Ct&lt;22,$BC617=(Elig_MatchAll_Ct-1),AR617=0),O617,0)</f>
        <v>0</v>
      </c>
      <c r="BU617" s="199">
        <f>IF(AND(Input_Product=Elig!$C617,Elig_MatchAll_Ct&lt;22,$BC617=(Elig_MatchAll_Ct-1),AS617=0),P617,0)</f>
        <v>0</v>
      </c>
      <c r="BV617" s="200">
        <f>IF(AND(Input_Product=Elig!$C617,Elig_MatchAll_Ct&lt;22,$BC617=(Elig_MatchAll_Ct-1),AT617=0),Q617,0)</f>
        <v>0</v>
      </c>
      <c r="BW617" s="201">
        <f>IF(AND(Input_Product=Elig!$C617,Elig_MatchAll_Ct&lt;22,$BC617=(Elig_MatchAll_Ct-1),AU617=0),R617,0)</f>
        <v>0</v>
      </c>
      <c r="BX617" s="202">
        <f>IF(AND(Input_Product=Elig!$C617,Elig_MatchAll_Ct&lt;22,$BC617=(Elig_MatchAll_Ct-1),AU617=0),S617,0)</f>
        <v>0</v>
      </c>
      <c r="BY617" s="201">
        <f>IF(AND(Input_Product=Elig!$C617,Elig_MatchAll_Ct&lt;22,$BC617=(Elig_MatchAll_Ct-1),AV617=0),T617,0)</f>
        <v>0</v>
      </c>
      <c r="BZ617" s="202">
        <f>IF(AND(Input_Product=Elig!$C617,Elig_MatchAll_Ct&lt;22,$BC617=(Elig_MatchAll_Ct-1),AV617=0),U617,0)</f>
        <v>0</v>
      </c>
      <c r="CA617" s="201">
        <f>IF(AND(Input_Product=Elig!$C617,Elig_MatchAll_Ct&lt;22,$BC617=(Elig_MatchAll_Ct-1),AW617=0),V617,0)</f>
        <v>0</v>
      </c>
      <c r="CB617" s="202">
        <f>IF(AND(Input_Product=Elig!$C617,Elig_MatchAll_Ct&lt;22,$BC617=(Elig_MatchAll_Ct-1),AW617=0),W617,0)</f>
        <v>0</v>
      </c>
      <c r="CC617" s="201">
        <f>IF(AND(Input_Product=Elig!$C617,Elig_MatchAll_Ct&lt;22,$BC617=(Elig_MatchAll_Ct-1),AX617=0),X617,0)</f>
        <v>0</v>
      </c>
      <c r="CD617" s="202">
        <f>IF(AND(Input_Product=Elig!$C617,Elig_MatchAll_Ct&lt;22,$BC617=(Elig_MatchAll_Ct-1),AX617=0),Y617,0)</f>
        <v>0</v>
      </c>
      <c r="CE617" s="201">
        <f>IF(AND(Input_LTV&lt;=AE617,Input_Product=Elig!$C617,Elig_MatchAll_Ct&lt;22,$BC617=(Elig_MatchAll_Ct-1),AY617=0),Z617,0)</f>
        <v>0</v>
      </c>
      <c r="CF617" s="202">
        <f>IF(AND(Input_LTV&lt;=AE617,Input_Product=Elig!$C617,Elig_MatchAll_Ct&lt;22,$BC617=(Elig_MatchAll_Ct-1),AY617=0),AA617,0)</f>
        <v>0</v>
      </c>
      <c r="CG617" s="201">
        <f>IF(AND(Input_Product=Elig!$C617,Elig_MatchAll_Ct&lt;22,$BC617=(Elig_MatchAll_Ct-1),AZ617=0),AB617,0)</f>
        <v>0</v>
      </c>
      <c r="CH617" s="202">
        <f>IF(AND(Input_Product=Elig!$C617,Elig_MatchAll_Ct&lt;22,$BC617=(Elig_MatchAll_Ct-1),AZ617=0),AC617,0)</f>
        <v>0</v>
      </c>
      <c r="CI617" s="201">
        <f>IF(AND(Input_Product=Elig!$C617,Elig_MatchAll_Ct&lt;22,$BC617=(Elig_MatchAll_Ct-1),BA617=0),AD617,0)</f>
        <v>0</v>
      </c>
      <c r="CJ617" s="202">
        <f>IF(AND(Input_Product=Elig!$C617,Elig_MatchAll_Ct&lt;22,$BC617=(Elig_MatchAll_Ct-1),BA617=0),AE617,0)</f>
        <v>0</v>
      </c>
    </row>
    <row r="618" spans="2:88" ht="10.15" customHeight="1" x14ac:dyDescent="0.25">
      <c r="B618" s="1914" t="s">
        <v>1189</v>
      </c>
      <c r="C618" s="155" t="str">
        <f t="shared" si="269"/>
        <v>Multi NOO</v>
      </c>
      <c r="D618" s="156" t="s">
        <v>2218</v>
      </c>
      <c r="E618" s="156" t="s">
        <v>167</v>
      </c>
      <c r="F618" s="156" t="s">
        <v>330</v>
      </c>
      <c r="G618" s="156" t="s">
        <v>181</v>
      </c>
      <c r="H618" s="156" t="s">
        <v>136</v>
      </c>
      <c r="I618" s="157" t="s">
        <v>16</v>
      </c>
      <c r="J618" s="157" t="s">
        <v>1311</v>
      </c>
      <c r="K618" s="157" t="s">
        <v>356</v>
      </c>
      <c r="L618" s="156" t="s">
        <v>312</v>
      </c>
      <c r="M618" s="156" t="s">
        <v>4203</v>
      </c>
      <c r="N618" s="156" t="s">
        <v>2685</v>
      </c>
      <c r="O618" s="156" t="s">
        <v>310</v>
      </c>
      <c r="P618" s="156" t="s">
        <v>108</v>
      </c>
      <c r="Q618" s="156" t="s">
        <v>294</v>
      </c>
      <c r="R618" s="156">
        <v>1500000.01</v>
      </c>
      <c r="S618" s="156">
        <v>2000000</v>
      </c>
      <c r="T618" s="156">
        <v>0</v>
      </c>
      <c r="U618" s="156">
        <v>1000000</v>
      </c>
      <c r="V618" s="156">
        <v>0</v>
      </c>
      <c r="W618" s="156">
        <v>50</v>
      </c>
      <c r="X618" s="156">
        <v>1</v>
      </c>
      <c r="Y618" s="156">
        <v>999</v>
      </c>
      <c r="Z618" s="158">
        <v>680</v>
      </c>
      <c r="AA618" s="158">
        <v>699</v>
      </c>
      <c r="AB618" s="158">
        <v>6</v>
      </c>
      <c r="AC618" s="158">
        <v>999999</v>
      </c>
      <c r="AD618" s="156">
        <v>0</v>
      </c>
      <c r="AE618" s="156">
        <v>55</v>
      </c>
      <c r="AF618" s="170">
        <v>0</v>
      </c>
      <c r="AG618" s="171">
        <v>1</v>
      </c>
      <c r="AH618" s="171">
        <v>1</v>
      </c>
      <c r="AI618" s="171">
        <v>0</v>
      </c>
      <c r="AJ618" s="171">
        <v>0</v>
      </c>
      <c r="AK618" s="171">
        <v>1</v>
      </c>
      <c r="AL618" s="171">
        <v>1</v>
      </c>
      <c r="AM618" s="171">
        <v>1</v>
      </c>
      <c r="AN618" s="171">
        <v>0</v>
      </c>
      <c r="AO618" s="171">
        <v>1</v>
      </c>
      <c r="AP618" s="171">
        <v>1</v>
      </c>
      <c r="AQ618" s="171">
        <v>1</v>
      </c>
      <c r="AR618" s="171">
        <v>1</v>
      </c>
      <c r="AS618" s="171">
        <v>1</v>
      </c>
      <c r="AT618" s="171">
        <v>1</v>
      </c>
      <c r="AU618" s="171">
        <f t="shared" si="270"/>
        <v>0</v>
      </c>
      <c r="AV618" s="171">
        <f t="shared" si="271"/>
        <v>1</v>
      </c>
      <c r="AW618" s="171">
        <f t="shared" si="272"/>
        <v>1</v>
      </c>
      <c r="AX618" s="171">
        <f t="shared" si="197"/>
        <v>0</v>
      </c>
      <c r="AY618" s="171">
        <f t="shared" si="273"/>
        <v>0</v>
      </c>
      <c r="AZ618" s="171">
        <f t="shared" si="274"/>
        <v>1</v>
      </c>
      <c r="BA618" s="172">
        <f t="shared" si="275"/>
        <v>0</v>
      </c>
      <c r="BB618" s="175">
        <f t="shared" si="276"/>
        <v>14</v>
      </c>
      <c r="BC618" s="176">
        <f t="shared" si="277"/>
        <v>14</v>
      </c>
      <c r="BD618" s="176">
        <f t="shared" si="278"/>
        <v>14</v>
      </c>
      <c r="BE618" s="240" t="str">
        <f t="shared" si="259"/>
        <v/>
      </c>
      <c r="BH618" s="199">
        <f>IF(AND(Input_Product=Elig!$C618,Elig_MatchAll_Ct&lt;22,$BC618=(Elig_MatchAll_Ct-1),AF618=0),C618,0)</f>
        <v>0</v>
      </c>
      <c r="BI618" s="199">
        <f>IF(AND(Input_Product=Elig!$C618,Elig_MatchAll_Ct&lt;22,$BC618=(Elig_MatchAll_Ct-1),AG618=0),D618,0)</f>
        <v>0</v>
      </c>
      <c r="BJ618" s="199">
        <f>IF(AND(Input_Product=Elig!$C618,Elig_MatchAll_Ct&lt;22,$BC618=(Elig_MatchAll_Ct-1),AH618=0),E618,0)</f>
        <v>0</v>
      </c>
      <c r="BK618" s="199">
        <f>IF(AND(Input_Product=Elig!$C618,Elig_MatchAll_Ct&lt;22,$BC618=(Elig_MatchAll_Ct-1),AI618=0),F618,0)</f>
        <v>0</v>
      </c>
      <c r="BL618" s="199">
        <f>IF(AND(Input_Product=Elig!$C618,Elig_MatchAll_Ct&lt;22,$BC618=(Elig_MatchAll_Ct-1),AJ618=0),G618,0)</f>
        <v>0</v>
      </c>
      <c r="BM618" s="199">
        <f>IF(AND(Input_Product=Elig!$C618,Elig_MatchAll_Ct&lt;22,$BC618=(Elig_MatchAll_Ct-1),AK618=0),H618,0)</f>
        <v>0</v>
      </c>
      <c r="BN618" s="199">
        <f>IF(AND(Input_Product=Elig!$C618,Elig_MatchAll_Ct&lt;22,$BC618=(Elig_MatchAll_Ct-1),AL618=0),I618,0)</f>
        <v>0</v>
      </c>
      <c r="BO618" s="199">
        <f>IF(AND(Input_Product=Elig!$C618,Elig_MatchAll_Ct&lt;22,$BC618=(Elig_MatchAll_Ct-1),AM618=0),J618,0)</f>
        <v>0</v>
      </c>
      <c r="BP618" s="199">
        <f>IF(AND(Input_Product=Elig!$C618,Elig_MatchAll_Ct&lt;22,$BC618=(Elig_MatchAll_Ct-1),AN618=0),K618,0)</f>
        <v>0</v>
      </c>
      <c r="BQ618" s="199">
        <f>IF(AND(Input_Product=Elig!$C618,Elig_MatchAll_Ct&lt;22,$BC618=(Elig_MatchAll_Ct-1),AP618=0),L618,0)</f>
        <v>0</v>
      </c>
      <c r="BR618" s="199">
        <f>IF(AND(Input_Product=Elig!$C618,Elig_MatchAll_Ct&lt;22,$BC618=(Elig_MatchAll_Ct-1),AO618=0),M618,0)</f>
        <v>0</v>
      </c>
      <c r="BS618" s="199">
        <f>IF(AND(Input_Product=Elig!$C618,Elig_MatchAll_Ct&lt;22,$BC618=(Elig_MatchAll_Ct-1),AQ618=0),N618,0)</f>
        <v>0</v>
      </c>
      <c r="BT618" s="199">
        <f>IF(AND(Input_Product=Elig!$C618,Elig_MatchAll_Ct&lt;22,$BC618=(Elig_MatchAll_Ct-1),AR618=0),O618,0)</f>
        <v>0</v>
      </c>
      <c r="BU618" s="199">
        <f>IF(AND(Input_Product=Elig!$C618,Elig_MatchAll_Ct&lt;22,$BC618=(Elig_MatchAll_Ct-1),AS618=0),P618,0)</f>
        <v>0</v>
      </c>
      <c r="BV618" s="200">
        <f>IF(AND(Input_Product=Elig!$C618,Elig_MatchAll_Ct&lt;22,$BC618=(Elig_MatchAll_Ct-1),AT618=0),Q618,0)</f>
        <v>0</v>
      </c>
      <c r="BW618" s="201">
        <f>IF(AND(Input_Product=Elig!$C618,Elig_MatchAll_Ct&lt;22,$BC618=(Elig_MatchAll_Ct-1),AU618=0),R618,0)</f>
        <v>0</v>
      </c>
      <c r="BX618" s="202">
        <f>IF(AND(Input_Product=Elig!$C618,Elig_MatchAll_Ct&lt;22,$BC618=(Elig_MatchAll_Ct-1),AU618=0),S618,0)</f>
        <v>0</v>
      </c>
      <c r="BY618" s="201">
        <f>IF(AND(Input_Product=Elig!$C618,Elig_MatchAll_Ct&lt;22,$BC618=(Elig_MatchAll_Ct-1),AV618=0),T618,0)</f>
        <v>0</v>
      </c>
      <c r="BZ618" s="202">
        <f>IF(AND(Input_Product=Elig!$C618,Elig_MatchAll_Ct&lt;22,$BC618=(Elig_MatchAll_Ct-1),AV618=0),U618,0)</f>
        <v>0</v>
      </c>
      <c r="CA618" s="201">
        <f>IF(AND(Input_Product=Elig!$C618,Elig_MatchAll_Ct&lt;22,$BC618=(Elig_MatchAll_Ct-1),AW618=0),V618,0)</f>
        <v>0</v>
      </c>
      <c r="CB618" s="202">
        <f>IF(AND(Input_Product=Elig!$C618,Elig_MatchAll_Ct&lt;22,$BC618=(Elig_MatchAll_Ct-1),AW618=0),W618,0)</f>
        <v>0</v>
      </c>
      <c r="CC618" s="201">
        <f>IF(AND(Input_Product=Elig!$C618,Elig_MatchAll_Ct&lt;22,$BC618=(Elig_MatchAll_Ct-1),AX618=0),X618,0)</f>
        <v>0</v>
      </c>
      <c r="CD618" s="202">
        <f>IF(AND(Input_Product=Elig!$C618,Elig_MatchAll_Ct&lt;22,$BC618=(Elig_MatchAll_Ct-1),AX618=0),Y618,0)</f>
        <v>0</v>
      </c>
      <c r="CE618" s="201">
        <f>IF(AND(Input_LTV&lt;=AE618,Input_Product=Elig!$C618,Elig_MatchAll_Ct&lt;22,$BC618=(Elig_MatchAll_Ct-1),AY618=0),Z618,0)</f>
        <v>0</v>
      </c>
      <c r="CF618" s="202">
        <f>IF(AND(Input_LTV&lt;=AE618,Input_Product=Elig!$C618,Elig_MatchAll_Ct&lt;22,$BC618=(Elig_MatchAll_Ct-1),AY618=0),AA618,0)</f>
        <v>0</v>
      </c>
      <c r="CG618" s="201">
        <f>IF(AND(Input_Product=Elig!$C618,Elig_MatchAll_Ct&lt;22,$BC618=(Elig_MatchAll_Ct-1),AZ618=0),AB618,0)</f>
        <v>0</v>
      </c>
      <c r="CH618" s="202">
        <f>IF(AND(Input_Product=Elig!$C618,Elig_MatchAll_Ct&lt;22,$BC618=(Elig_MatchAll_Ct-1),AZ618=0),AC618,0)</f>
        <v>0</v>
      </c>
      <c r="CI618" s="201">
        <f>IF(AND(Input_Product=Elig!$C618,Elig_MatchAll_Ct&lt;22,$BC618=(Elig_MatchAll_Ct-1),BA618=0),AD618,0)</f>
        <v>0</v>
      </c>
      <c r="CJ618" s="202">
        <f>IF(AND(Input_Product=Elig!$C618,Elig_MatchAll_Ct&lt;22,$BC618=(Elig_MatchAll_Ct-1),BA618=0),AE618,0)</f>
        <v>0</v>
      </c>
    </row>
    <row r="619" spans="2:88" ht="10.15" customHeight="1" x14ac:dyDescent="0.25">
      <c r="B619" s="1914" t="s">
        <v>1190</v>
      </c>
      <c r="C619" s="155" t="str">
        <f t="shared" si="269"/>
        <v>Multi NOO</v>
      </c>
      <c r="D619" s="156" t="s">
        <v>2218</v>
      </c>
      <c r="E619" s="156" t="s">
        <v>167</v>
      </c>
      <c r="F619" s="156" t="s">
        <v>330</v>
      </c>
      <c r="G619" s="156" t="s">
        <v>181</v>
      </c>
      <c r="H619" s="156" t="s">
        <v>136</v>
      </c>
      <c r="I619" s="156" t="s">
        <v>16</v>
      </c>
      <c r="J619" s="156" t="s">
        <v>1311</v>
      </c>
      <c r="K619" s="156" t="s">
        <v>356</v>
      </c>
      <c r="L619" s="156" t="s">
        <v>312</v>
      </c>
      <c r="M619" s="156" t="s">
        <v>4203</v>
      </c>
      <c r="N619" s="156" t="s">
        <v>2685</v>
      </c>
      <c r="O619" s="156" t="s">
        <v>310</v>
      </c>
      <c r="P619" s="156" t="s">
        <v>108</v>
      </c>
      <c r="Q619" s="156" t="s">
        <v>294</v>
      </c>
      <c r="R619" s="156">
        <v>1500000.01</v>
      </c>
      <c r="S619" s="156">
        <v>2000000</v>
      </c>
      <c r="T619" s="156">
        <v>0</v>
      </c>
      <c r="U619" s="156">
        <v>1000000</v>
      </c>
      <c r="V619" s="156">
        <v>0</v>
      </c>
      <c r="W619" s="156">
        <v>50</v>
      </c>
      <c r="X619" s="156">
        <v>1</v>
      </c>
      <c r="Y619" s="156">
        <v>999</v>
      </c>
      <c r="Z619" s="158">
        <v>660</v>
      </c>
      <c r="AA619" s="158">
        <v>679</v>
      </c>
      <c r="AB619" s="158">
        <v>6</v>
      </c>
      <c r="AC619" s="158">
        <v>999999</v>
      </c>
      <c r="AD619" s="156">
        <v>0</v>
      </c>
      <c r="AE619" s="156">
        <v>55</v>
      </c>
      <c r="AF619" s="170">
        <v>0</v>
      </c>
      <c r="AG619" s="171">
        <v>1</v>
      </c>
      <c r="AH619" s="171">
        <v>1</v>
      </c>
      <c r="AI619" s="171">
        <v>0</v>
      </c>
      <c r="AJ619" s="171">
        <v>0</v>
      </c>
      <c r="AK619" s="171">
        <v>1</v>
      </c>
      <c r="AL619" s="171">
        <v>1</v>
      </c>
      <c r="AM619" s="171">
        <v>1</v>
      </c>
      <c r="AN619" s="171">
        <v>0</v>
      </c>
      <c r="AO619" s="171">
        <v>1</v>
      </c>
      <c r="AP619" s="171">
        <v>1</v>
      </c>
      <c r="AQ619" s="171">
        <v>1</v>
      </c>
      <c r="AR619" s="171">
        <v>1</v>
      </c>
      <c r="AS619" s="171">
        <v>1</v>
      </c>
      <c r="AT619" s="171">
        <v>1</v>
      </c>
      <c r="AU619" s="171">
        <f t="shared" si="270"/>
        <v>0</v>
      </c>
      <c r="AV619" s="171">
        <f t="shared" si="271"/>
        <v>1</v>
      </c>
      <c r="AW619" s="171">
        <f t="shared" si="272"/>
        <v>1</v>
      </c>
      <c r="AX619" s="171">
        <f t="shared" si="197"/>
        <v>0</v>
      </c>
      <c r="AY619" s="171">
        <f t="shared" si="273"/>
        <v>0</v>
      </c>
      <c r="AZ619" s="171">
        <f t="shared" si="274"/>
        <v>1</v>
      </c>
      <c r="BA619" s="172">
        <f t="shared" si="275"/>
        <v>0</v>
      </c>
      <c r="BB619" s="175">
        <f t="shared" si="276"/>
        <v>14</v>
      </c>
      <c r="BC619" s="176">
        <f t="shared" si="277"/>
        <v>14</v>
      </c>
      <c r="BD619" s="176">
        <f t="shared" si="278"/>
        <v>14</v>
      </c>
      <c r="BE619" s="240" t="str">
        <f t="shared" si="259"/>
        <v/>
      </c>
      <c r="BH619" s="214">
        <f>IF(AND(Input_Product=Elig!$C619,Elig_MatchAll_Ct&lt;22,$BC619=(Elig_MatchAll_Ct-1),AF619=0),C619,0)</f>
        <v>0</v>
      </c>
      <c r="BI619" s="214">
        <f>IF(AND(Input_Product=Elig!$C619,Elig_MatchAll_Ct&lt;22,$BC619=(Elig_MatchAll_Ct-1),AG619=0),D619,0)</f>
        <v>0</v>
      </c>
      <c r="BJ619" s="214">
        <f>IF(AND(Input_Product=Elig!$C619,Elig_MatchAll_Ct&lt;22,$BC619=(Elig_MatchAll_Ct-1),AH619=0),E619,0)</f>
        <v>0</v>
      </c>
      <c r="BK619" s="214">
        <f>IF(AND(Input_Product=Elig!$C619,Elig_MatchAll_Ct&lt;22,$BC619=(Elig_MatchAll_Ct-1),AI619=0),F619,0)</f>
        <v>0</v>
      </c>
      <c r="BL619" s="214">
        <f>IF(AND(Input_Product=Elig!$C619,Elig_MatchAll_Ct&lt;22,$BC619=(Elig_MatchAll_Ct-1),AJ619=0),G619,0)</f>
        <v>0</v>
      </c>
      <c r="BM619" s="214">
        <f>IF(AND(Input_Product=Elig!$C619,Elig_MatchAll_Ct&lt;22,$BC619=(Elig_MatchAll_Ct-1),AK619=0),H619,0)</f>
        <v>0</v>
      </c>
      <c r="BN619" s="214">
        <f>IF(AND(Input_Product=Elig!$C619,Elig_MatchAll_Ct&lt;22,$BC619=(Elig_MatchAll_Ct-1),AL619=0),I619,0)</f>
        <v>0</v>
      </c>
      <c r="BO619" s="214">
        <f>IF(AND(Input_Product=Elig!$C619,Elig_MatchAll_Ct&lt;22,$BC619=(Elig_MatchAll_Ct-1),AM619=0),J619,0)</f>
        <v>0</v>
      </c>
      <c r="BP619" s="214">
        <f>IF(AND(Input_Product=Elig!$C619,Elig_MatchAll_Ct&lt;22,$BC619=(Elig_MatchAll_Ct-1),AN619=0),K619,0)</f>
        <v>0</v>
      </c>
      <c r="BQ619" s="214">
        <f>IF(AND(Input_Product=Elig!$C619,Elig_MatchAll_Ct&lt;22,$BC619=(Elig_MatchAll_Ct-1),AP619=0),L619,0)</f>
        <v>0</v>
      </c>
      <c r="BR619" s="214">
        <f>IF(AND(Input_Product=Elig!$C619,Elig_MatchAll_Ct&lt;22,$BC619=(Elig_MatchAll_Ct-1),AO619=0),M619,0)</f>
        <v>0</v>
      </c>
      <c r="BS619" s="214">
        <f>IF(AND(Input_Product=Elig!$C619,Elig_MatchAll_Ct&lt;22,$BC619=(Elig_MatchAll_Ct-1),AQ619=0),N619,0)</f>
        <v>0</v>
      </c>
      <c r="BT619" s="214">
        <f>IF(AND(Input_Product=Elig!$C619,Elig_MatchAll_Ct&lt;22,$BC619=(Elig_MatchAll_Ct-1),AR619=0),O619,0)</f>
        <v>0</v>
      </c>
      <c r="BU619" s="214">
        <f>IF(AND(Input_Product=Elig!$C619,Elig_MatchAll_Ct&lt;22,$BC619=(Elig_MatchAll_Ct-1),AS619=0),P619,0)</f>
        <v>0</v>
      </c>
      <c r="BV619" s="215">
        <f>IF(AND(Input_Product=Elig!$C619,Elig_MatchAll_Ct&lt;22,$BC619=(Elig_MatchAll_Ct-1),AT619=0),Q619,0)</f>
        <v>0</v>
      </c>
      <c r="BW619" s="311">
        <f>IF(AND(Input_Product=Elig!$C619,Elig_MatchAll_Ct&lt;22,$BC619=(Elig_MatchAll_Ct-1),AU619=0),R619,0)</f>
        <v>0</v>
      </c>
      <c r="BX619" s="312">
        <f>IF(AND(Input_Product=Elig!$C619,Elig_MatchAll_Ct&lt;22,$BC619=(Elig_MatchAll_Ct-1),AU619=0),S619,0)</f>
        <v>0</v>
      </c>
      <c r="BY619" s="311">
        <f>IF(AND(Input_Product=Elig!$C619,Elig_MatchAll_Ct&lt;22,$BC619=(Elig_MatchAll_Ct-1),AV619=0),T619,0)</f>
        <v>0</v>
      </c>
      <c r="BZ619" s="312">
        <f>IF(AND(Input_Product=Elig!$C619,Elig_MatchAll_Ct&lt;22,$BC619=(Elig_MatchAll_Ct-1),AV619=0),U619,0)</f>
        <v>0</v>
      </c>
      <c r="CA619" s="311">
        <f>IF(AND(Input_Product=Elig!$C619,Elig_MatchAll_Ct&lt;22,$BC619=(Elig_MatchAll_Ct-1),AW619=0),V619,0)</f>
        <v>0</v>
      </c>
      <c r="CB619" s="312">
        <f>IF(AND(Input_Product=Elig!$C619,Elig_MatchAll_Ct&lt;22,$BC619=(Elig_MatchAll_Ct-1),AW619=0),W619,0)</f>
        <v>0</v>
      </c>
      <c r="CC619" s="311">
        <f>IF(AND(Input_Product=Elig!$C619,Elig_MatchAll_Ct&lt;22,$BC619=(Elig_MatchAll_Ct-1),AX619=0),X619,0)</f>
        <v>0</v>
      </c>
      <c r="CD619" s="312">
        <f>IF(AND(Input_Product=Elig!$C619,Elig_MatchAll_Ct&lt;22,$BC619=(Elig_MatchAll_Ct-1),AX619=0),Y619,0)</f>
        <v>0</v>
      </c>
      <c r="CE619" s="311">
        <f>IF(AND(Input_LTV&lt;=AE619,Input_Product=Elig!$C619,Elig_MatchAll_Ct&lt;22,$BC619=(Elig_MatchAll_Ct-1),AY619=0),Z619,0)</f>
        <v>0</v>
      </c>
      <c r="CF619" s="312">
        <f>IF(AND(Input_LTV&lt;=AE619,Input_Product=Elig!$C619,Elig_MatchAll_Ct&lt;22,$BC619=(Elig_MatchAll_Ct-1),AY619=0),AA619,0)</f>
        <v>0</v>
      </c>
      <c r="CG619" s="311">
        <f>IF(AND(Input_Product=Elig!$C619,Elig_MatchAll_Ct&lt;22,$BC619=(Elig_MatchAll_Ct-1),AZ619=0),AB619,0)</f>
        <v>0</v>
      </c>
      <c r="CH619" s="312">
        <f>IF(AND(Input_Product=Elig!$C619,Elig_MatchAll_Ct&lt;22,$BC619=(Elig_MatchAll_Ct-1),AZ619=0),AC619,0)</f>
        <v>0</v>
      </c>
      <c r="CI619" s="311">
        <f>IF(AND(Input_Product=Elig!$C619,Elig_MatchAll_Ct&lt;22,$BC619=(Elig_MatchAll_Ct-1),BA619=0),AD619,0)</f>
        <v>0</v>
      </c>
      <c r="CJ619" s="312">
        <f>IF(AND(Input_Product=Elig!$C619,Elig_MatchAll_Ct&lt;22,$BC619=(Elig_MatchAll_Ct-1),BA619=0),AE619,0)</f>
        <v>0</v>
      </c>
    </row>
    <row r="620" spans="2:88" ht="10.15" customHeight="1" x14ac:dyDescent="0.25">
      <c r="B620" s="1914" t="s">
        <v>1191</v>
      </c>
      <c r="C620" s="151" t="str">
        <f t="shared" si="269"/>
        <v>Multi NOO</v>
      </c>
      <c r="D620" s="152" t="s">
        <v>2218</v>
      </c>
      <c r="E620" s="153" t="s">
        <v>167</v>
      </c>
      <c r="F620" s="153" t="s">
        <v>330</v>
      </c>
      <c r="G620" s="153" t="s">
        <v>181</v>
      </c>
      <c r="H620" s="153" t="s">
        <v>136</v>
      </c>
      <c r="I620" s="152" t="s">
        <v>274</v>
      </c>
      <c r="J620" s="152" t="s">
        <v>1311</v>
      </c>
      <c r="K620" s="152" t="s">
        <v>356</v>
      </c>
      <c r="L620" s="153" t="s">
        <v>312</v>
      </c>
      <c r="M620" s="153" t="s">
        <v>4203</v>
      </c>
      <c r="N620" s="153" t="s">
        <v>2685</v>
      </c>
      <c r="O620" s="153" t="s">
        <v>310</v>
      </c>
      <c r="P620" s="153" t="s">
        <v>108</v>
      </c>
      <c r="Q620" s="153" t="s">
        <v>294</v>
      </c>
      <c r="R620" s="152">
        <v>2000000.01</v>
      </c>
      <c r="S620" s="152">
        <v>3000000</v>
      </c>
      <c r="T620" s="152">
        <v>0</v>
      </c>
      <c r="U620" s="152">
        <v>0</v>
      </c>
      <c r="V620" s="152">
        <v>0</v>
      </c>
      <c r="W620" s="152">
        <v>50</v>
      </c>
      <c r="X620" s="152">
        <v>1</v>
      </c>
      <c r="Y620" s="152">
        <v>999</v>
      </c>
      <c r="Z620" s="154">
        <v>720</v>
      </c>
      <c r="AA620" s="154">
        <v>999</v>
      </c>
      <c r="AB620" s="154">
        <v>9</v>
      </c>
      <c r="AC620" s="154">
        <v>999999</v>
      </c>
      <c r="AD620" s="152">
        <v>0</v>
      </c>
      <c r="AE620" s="152">
        <v>65</v>
      </c>
      <c r="AF620" s="170">
        <v>0</v>
      </c>
      <c r="AG620" s="171">
        <v>1</v>
      </c>
      <c r="AH620" s="171">
        <v>1</v>
      </c>
      <c r="AI620" s="171">
        <v>0</v>
      </c>
      <c r="AJ620" s="171">
        <v>0</v>
      </c>
      <c r="AK620" s="171">
        <v>1</v>
      </c>
      <c r="AL620" s="171">
        <v>0</v>
      </c>
      <c r="AM620" s="171">
        <v>1</v>
      </c>
      <c r="AN620" s="171">
        <v>0</v>
      </c>
      <c r="AO620" s="171">
        <v>1</v>
      </c>
      <c r="AP620" s="171">
        <v>1</v>
      </c>
      <c r="AQ620" s="171">
        <v>1</v>
      </c>
      <c r="AR620" s="171">
        <v>1</v>
      </c>
      <c r="AS620" s="171">
        <v>1</v>
      </c>
      <c r="AT620" s="171">
        <v>1</v>
      </c>
      <c r="AU620" s="171">
        <f t="shared" si="270"/>
        <v>0</v>
      </c>
      <c r="AV620" s="171">
        <f t="shared" si="271"/>
        <v>0</v>
      </c>
      <c r="AW620" s="171">
        <f t="shared" si="272"/>
        <v>1</v>
      </c>
      <c r="AX620" s="171">
        <f t="shared" si="197"/>
        <v>0</v>
      </c>
      <c r="AY620" s="171">
        <f t="shared" si="273"/>
        <v>1</v>
      </c>
      <c r="AZ620" s="171">
        <f t="shared" si="274"/>
        <v>1</v>
      </c>
      <c r="BA620" s="172">
        <f t="shared" si="275"/>
        <v>1</v>
      </c>
      <c r="BB620" s="175">
        <f t="shared" si="276"/>
        <v>14</v>
      </c>
      <c r="BC620" s="176">
        <f t="shared" si="277"/>
        <v>13</v>
      </c>
      <c r="BD620" s="176">
        <f t="shared" si="278"/>
        <v>14</v>
      </c>
      <c r="BE620" s="240" t="str">
        <f t="shared" si="259"/>
        <v/>
      </c>
      <c r="BH620" s="210">
        <f>IF(AND(Input_Product=Elig!$C620,Elig_MatchAll_Ct&lt;22,$BC620=(Elig_MatchAll_Ct-1),AF620=0),C620,0)</f>
        <v>0</v>
      </c>
      <c r="BI620" s="210">
        <f>IF(AND(Input_Product=Elig!$C620,Elig_MatchAll_Ct&lt;22,$BC620=(Elig_MatchAll_Ct-1),AG620=0),D620,0)</f>
        <v>0</v>
      </c>
      <c r="BJ620" s="210">
        <f>IF(AND(Input_Product=Elig!$C620,Elig_MatchAll_Ct&lt;22,$BC620=(Elig_MatchAll_Ct-1),AH620=0),E620,0)</f>
        <v>0</v>
      </c>
      <c r="BK620" s="210">
        <f>IF(AND(Input_Product=Elig!$C620,Elig_MatchAll_Ct&lt;22,$BC620=(Elig_MatchAll_Ct-1),AI620=0),F620,0)</f>
        <v>0</v>
      </c>
      <c r="BL620" s="210">
        <f>IF(AND(Input_Product=Elig!$C620,Elig_MatchAll_Ct&lt;22,$BC620=(Elig_MatchAll_Ct-1),AJ620=0),G620,0)</f>
        <v>0</v>
      </c>
      <c r="BM620" s="210">
        <f>IF(AND(Input_Product=Elig!$C620,Elig_MatchAll_Ct&lt;22,$BC620=(Elig_MatchAll_Ct-1),AK620=0),H620,0)</f>
        <v>0</v>
      </c>
      <c r="BN620" s="210">
        <f>IF(AND(Input_Product=Elig!$C620,Elig_MatchAll_Ct&lt;22,$BC620=(Elig_MatchAll_Ct-1),AL620=0),I620,0)</f>
        <v>0</v>
      </c>
      <c r="BO620" s="210">
        <f>IF(AND(Input_Product=Elig!$C620,Elig_MatchAll_Ct&lt;22,$BC620=(Elig_MatchAll_Ct-1),AM620=0),J620,0)</f>
        <v>0</v>
      </c>
      <c r="BP620" s="210">
        <f>IF(AND(Input_Product=Elig!$C620,Elig_MatchAll_Ct&lt;22,$BC620=(Elig_MatchAll_Ct-1),AN620=0),K620,0)</f>
        <v>0</v>
      </c>
      <c r="BQ620" s="210">
        <f>IF(AND(Input_Product=Elig!$C620,Elig_MatchAll_Ct&lt;22,$BC620=(Elig_MatchAll_Ct-1),AP620=0),L620,0)</f>
        <v>0</v>
      </c>
      <c r="BR620" s="210">
        <f>IF(AND(Input_Product=Elig!$C620,Elig_MatchAll_Ct&lt;22,$BC620=(Elig_MatchAll_Ct-1),AO620=0),M620,0)</f>
        <v>0</v>
      </c>
      <c r="BS620" s="210">
        <f>IF(AND(Input_Product=Elig!$C620,Elig_MatchAll_Ct&lt;22,$BC620=(Elig_MatchAll_Ct-1),AQ620=0),N620,0)</f>
        <v>0</v>
      </c>
      <c r="BT620" s="210">
        <f>IF(AND(Input_Product=Elig!$C620,Elig_MatchAll_Ct&lt;22,$BC620=(Elig_MatchAll_Ct-1),AR620=0),O620,0)</f>
        <v>0</v>
      </c>
      <c r="BU620" s="210">
        <f>IF(AND(Input_Product=Elig!$C620,Elig_MatchAll_Ct&lt;22,$BC620=(Elig_MatchAll_Ct-1),AS620=0),P620,0)</f>
        <v>0</v>
      </c>
      <c r="BV620" s="211">
        <f>IF(AND(Input_Product=Elig!$C620,Elig_MatchAll_Ct&lt;22,$BC620=(Elig_MatchAll_Ct-1),AT620=0),Q620,0)</f>
        <v>0</v>
      </c>
      <c r="BW620" s="212">
        <f>IF(AND(Input_Product=Elig!$C620,Elig_MatchAll_Ct&lt;22,$BC620=(Elig_MatchAll_Ct-1),AU620=0),R620,0)</f>
        <v>0</v>
      </c>
      <c r="BX620" s="213">
        <f>IF(AND(Input_Product=Elig!$C620,Elig_MatchAll_Ct&lt;22,$BC620=(Elig_MatchAll_Ct-1),AU620=0),S620,0)</f>
        <v>0</v>
      </c>
      <c r="BY620" s="212">
        <f>IF(AND(Input_Product=Elig!$C620,Elig_MatchAll_Ct&lt;22,$BC620=(Elig_MatchAll_Ct-1),AV620=0),T620,0)</f>
        <v>0</v>
      </c>
      <c r="BZ620" s="213">
        <f>IF(AND(Input_Product=Elig!$C620,Elig_MatchAll_Ct&lt;22,$BC620=(Elig_MatchAll_Ct-1),AV620=0),U620,0)</f>
        <v>0</v>
      </c>
      <c r="CA620" s="212">
        <f>IF(AND(Input_Product=Elig!$C620,Elig_MatchAll_Ct&lt;22,$BC620=(Elig_MatchAll_Ct-1),AW620=0),V620,0)</f>
        <v>0</v>
      </c>
      <c r="CB620" s="213">
        <f>IF(AND(Input_Product=Elig!$C620,Elig_MatchAll_Ct&lt;22,$BC620=(Elig_MatchAll_Ct-1),AW620=0),W620,0)</f>
        <v>0</v>
      </c>
      <c r="CC620" s="212">
        <f>IF(AND(Input_Product=Elig!$C620,Elig_MatchAll_Ct&lt;22,$BC620=(Elig_MatchAll_Ct-1),AX620=0),X620,0)</f>
        <v>0</v>
      </c>
      <c r="CD620" s="213">
        <f>IF(AND(Input_Product=Elig!$C620,Elig_MatchAll_Ct&lt;22,$BC620=(Elig_MatchAll_Ct-1),AX620=0),Y620,0)</f>
        <v>0</v>
      </c>
      <c r="CE620" s="212">
        <f>IF(AND(Input_LTV&lt;=AE620,Input_Product=Elig!$C620,Elig_MatchAll_Ct&lt;22,$BC620=(Elig_MatchAll_Ct-1),AY620=0),Z620,0)</f>
        <v>0</v>
      </c>
      <c r="CF620" s="213">
        <f>IF(AND(Input_LTV&lt;=AE620,Input_Product=Elig!$C620,Elig_MatchAll_Ct&lt;22,$BC620=(Elig_MatchAll_Ct-1),AY620=0),AA620,0)</f>
        <v>0</v>
      </c>
      <c r="CG620" s="212">
        <f>IF(AND(Input_Product=Elig!$C620,Elig_MatchAll_Ct&lt;22,$BC620=(Elig_MatchAll_Ct-1),AZ620=0),AB620,0)</f>
        <v>0</v>
      </c>
      <c r="CH620" s="213">
        <f>IF(AND(Input_Product=Elig!$C620,Elig_MatchAll_Ct&lt;22,$BC620=(Elig_MatchAll_Ct-1),AZ620=0),AC620,0)</f>
        <v>0</v>
      </c>
      <c r="CI620" s="212">
        <f>IF(AND(Input_Product=Elig!$C620,Elig_MatchAll_Ct&lt;22,$BC620=(Elig_MatchAll_Ct-1),BA620=0),AD620,0)</f>
        <v>0</v>
      </c>
      <c r="CJ620" s="213">
        <f>IF(AND(Input_Product=Elig!$C620,Elig_MatchAll_Ct&lt;22,$BC620=(Elig_MatchAll_Ct-1),BA620=0),AE620,0)</f>
        <v>0</v>
      </c>
    </row>
    <row r="621" spans="2:88" ht="10.15" customHeight="1" x14ac:dyDescent="0.25">
      <c r="B621" s="1914" t="s">
        <v>1192</v>
      </c>
      <c r="C621" s="155" t="str">
        <f t="shared" si="269"/>
        <v>Multi NOO</v>
      </c>
      <c r="D621" s="156" t="s">
        <v>2218</v>
      </c>
      <c r="E621" s="156" t="s">
        <v>167</v>
      </c>
      <c r="F621" s="156" t="s">
        <v>330</v>
      </c>
      <c r="G621" s="156" t="s">
        <v>181</v>
      </c>
      <c r="H621" s="156" t="s">
        <v>136</v>
      </c>
      <c r="I621" s="157" t="s">
        <v>274</v>
      </c>
      <c r="J621" s="157" t="s">
        <v>1311</v>
      </c>
      <c r="K621" s="157" t="s">
        <v>356</v>
      </c>
      <c r="L621" s="156" t="s">
        <v>312</v>
      </c>
      <c r="M621" s="156" t="s">
        <v>4203</v>
      </c>
      <c r="N621" s="156" t="s">
        <v>2685</v>
      </c>
      <c r="O621" s="156" t="s">
        <v>310</v>
      </c>
      <c r="P621" s="156" t="s">
        <v>108</v>
      </c>
      <c r="Q621" s="156" t="s">
        <v>294</v>
      </c>
      <c r="R621" s="156">
        <v>2000000.01</v>
      </c>
      <c r="S621" s="156">
        <v>3000000</v>
      </c>
      <c r="T621" s="156">
        <v>0</v>
      </c>
      <c r="U621" s="156">
        <v>0</v>
      </c>
      <c r="V621" s="156">
        <v>0</v>
      </c>
      <c r="W621" s="156">
        <v>50</v>
      </c>
      <c r="X621" s="156">
        <v>1</v>
      </c>
      <c r="Y621" s="156">
        <v>999</v>
      </c>
      <c r="Z621" s="158">
        <v>700</v>
      </c>
      <c r="AA621" s="158">
        <v>719</v>
      </c>
      <c r="AB621" s="158">
        <v>9</v>
      </c>
      <c r="AC621" s="158">
        <v>999999</v>
      </c>
      <c r="AD621" s="156">
        <v>0</v>
      </c>
      <c r="AE621" s="156">
        <v>65</v>
      </c>
      <c r="AF621" s="170">
        <v>0</v>
      </c>
      <c r="AG621" s="171">
        <v>1</v>
      </c>
      <c r="AH621" s="171">
        <v>1</v>
      </c>
      <c r="AI621" s="171">
        <v>0</v>
      </c>
      <c r="AJ621" s="171">
        <v>0</v>
      </c>
      <c r="AK621" s="171">
        <v>1</v>
      </c>
      <c r="AL621" s="171">
        <v>0</v>
      </c>
      <c r="AM621" s="171">
        <v>1</v>
      </c>
      <c r="AN621" s="171">
        <v>0</v>
      </c>
      <c r="AO621" s="171">
        <v>1</v>
      </c>
      <c r="AP621" s="171">
        <v>1</v>
      </c>
      <c r="AQ621" s="171">
        <v>1</v>
      </c>
      <c r="AR621" s="171">
        <v>1</v>
      </c>
      <c r="AS621" s="171">
        <v>1</v>
      </c>
      <c r="AT621" s="171">
        <v>1</v>
      </c>
      <c r="AU621" s="171">
        <f t="shared" si="270"/>
        <v>0</v>
      </c>
      <c r="AV621" s="171">
        <f t="shared" si="271"/>
        <v>0</v>
      </c>
      <c r="AW621" s="171">
        <f t="shared" si="272"/>
        <v>1</v>
      </c>
      <c r="AX621" s="171">
        <f t="shared" si="197"/>
        <v>0</v>
      </c>
      <c r="AY621" s="171">
        <f t="shared" si="273"/>
        <v>0</v>
      </c>
      <c r="AZ621" s="171">
        <f t="shared" si="274"/>
        <v>1</v>
      </c>
      <c r="BA621" s="172">
        <f t="shared" si="275"/>
        <v>1</v>
      </c>
      <c r="BB621" s="175">
        <f t="shared" si="276"/>
        <v>13</v>
      </c>
      <c r="BC621" s="176">
        <f t="shared" si="277"/>
        <v>12</v>
      </c>
      <c r="BD621" s="176">
        <f t="shared" si="278"/>
        <v>13</v>
      </c>
      <c r="BE621" s="240" t="str">
        <f t="shared" si="259"/>
        <v/>
      </c>
      <c r="BH621" s="199">
        <f>IF(AND(Input_Product=Elig!$C621,Elig_MatchAll_Ct&lt;22,$BC621=(Elig_MatchAll_Ct-1),AF621=0),C621,0)</f>
        <v>0</v>
      </c>
      <c r="BI621" s="199">
        <f>IF(AND(Input_Product=Elig!$C621,Elig_MatchAll_Ct&lt;22,$BC621=(Elig_MatchAll_Ct-1),AG621=0),D621,0)</f>
        <v>0</v>
      </c>
      <c r="BJ621" s="199">
        <f>IF(AND(Input_Product=Elig!$C621,Elig_MatchAll_Ct&lt;22,$BC621=(Elig_MatchAll_Ct-1),AH621=0),E621,0)</f>
        <v>0</v>
      </c>
      <c r="BK621" s="199">
        <f>IF(AND(Input_Product=Elig!$C621,Elig_MatchAll_Ct&lt;22,$BC621=(Elig_MatchAll_Ct-1),AI621=0),F621,0)</f>
        <v>0</v>
      </c>
      <c r="BL621" s="199">
        <f>IF(AND(Input_Product=Elig!$C621,Elig_MatchAll_Ct&lt;22,$BC621=(Elig_MatchAll_Ct-1),AJ621=0),G621,0)</f>
        <v>0</v>
      </c>
      <c r="BM621" s="199">
        <f>IF(AND(Input_Product=Elig!$C621,Elig_MatchAll_Ct&lt;22,$BC621=(Elig_MatchAll_Ct-1),AK621=0),H621,0)</f>
        <v>0</v>
      </c>
      <c r="BN621" s="199">
        <f>IF(AND(Input_Product=Elig!$C621,Elig_MatchAll_Ct&lt;22,$BC621=(Elig_MatchAll_Ct-1),AL621=0),I621,0)</f>
        <v>0</v>
      </c>
      <c r="BO621" s="199">
        <f>IF(AND(Input_Product=Elig!$C621,Elig_MatchAll_Ct&lt;22,$BC621=(Elig_MatchAll_Ct-1),AM621=0),J621,0)</f>
        <v>0</v>
      </c>
      <c r="BP621" s="199">
        <f>IF(AND(Input_Product=Elig!$C621,Elig_MatchAll_Ct&lt;22,$BC621=(Elig_MatchAll_Ct-1),AN621=0),K621,0)</f>
        <v>0</v>
      </c>
      <c r="BQ621" s="199">
        <f>IF(AND(Input_Product=Elig!$C621,Elig_MatchAll_Ct&lt;22,$BC621=(Elig_MatchAll_Ct-1),AP621=0),L621,0)</f>
        <v>0</v>
      </c>
      <c r="BR621" s="199">
        <f>IF(AND(Input_Product=Elig!$C621,Elig_MatchAll_Ct&lt;22,$BC621=(Elig_MatchAll_Ct-1),AO621=0),M621,0)</f>
        <v>0</v>
      </c>
      <c r="BS621" s="199">
        <f>IF(AND(Input_Product=Elig!$C621,Elig_MatchAll_Ct&lt;22,$BC621=(Elig_MatchAll_Ct-1),AQ621=0),N621,0)</f>
        <v>0</v>
      </c>
      <c r="BT621" s="199">
        <f>IF(AND(Input_Product=Elig!$C621,Elig_MatchAll_Ct&lt;22,$BC621=(Elig_MatchAll_Ct-1),AR621=0),O621,0)</f>
        <v>0</v>
      </c>
      <c r="BU621" s="199">
        <f>IF(AND(Input_Product=Elig!$C621,Elig_MatchAll_Ct&lt;22,$BC621=(Elig_MatchAll_Ct-1),AS621=0),P621,0)</f>
        <v>0</v>
      </c>
      <c r="BV621" s="200">
        <f>IF(AND(Input_Product=Elig!$C621,Elig_MatchAll_Ct&lt;22,$BC621=(Elig_MatchAll_Ct-1),AT621=0),Q621,0)</f>
        <v>0</v>
      </c>
      <c r="BW621" s="201">
        <f>IF(AND(Input_Product=Elig!$C621,Elig_MatchAll_Ct&lt;22,$BC621=(Elig_MatchAll_Ct-1),AU621=0),R621,0)</f>
        <v>0</v>
      </c>
      <c r="BX621" s="202">
        <f>IF(AND(Input_Product=Elig!$C621,Elig_MatchAll_Ct&lt;22,$BC621=(Elig_MatchAll_Ct-1),AU621=0),S621,0)</f>
        <v>0</v>
      </c>
      <c r="BY621" s="201">
        <f>IF(AND(Input_Product=Elig!$C621,Elig_MatchAll_Ct&lt;22,$BC621=(Elig_MatchAll_Ct-1),AV621=0),T621,0)</f>
        <v>0</v>
      </c>
      <c r="BZ621" s="202">
        <f>IF(AND(Input_Product=Elig!$C621,Elig_MatchAll_Ct&lt;22,$BC621=(Elig_MatchAll_Ct-1),AV621=0),U621,0)</f>
        <v>0</v>
      </c>
      <c r="CA621" s="201">
        <f>IF(AND(Input_Product=Elig!$C621,Elig_MatchAll_Ct&lt;22,$BC621=(Elig_MatchAll_Ct-1),AW621=0),V621,0)</f>
        <v>0</v>
      </c>
      <c r="CB621" s="202">
        <f>IF(AND(Input_Product=Elig!$C621,Elig_MatchAll_Ct&lt;22,$BC621=(Elig_MatchAll_Ct-1),AW621=0),W621,0)</f>
        <v>0</v>
      </c>
      <c r="CC621" s="201">
        <f>IF(AND(Input_Product=Elig!$C621,Elig_MatchAll_Ct&lt;22,$BC621=(Elig_MatchAll_Ct-1),AX621=0),X621,0)</f>
        <v>0</v>
      </c>
      <c r="CD621" s="202">
        <f>IF(AND(Input_Product=Elig!$C621,Elig_MatchAll_Ct&lt;22,$BC621=(Elig_MatchAll_Ct-1),AX621=0),Y621,0)</f>
        <v>0</v>
      </c>
      <c r="CE621" s="201">
        <f>IF(AND(Input_LTV&lt;=AE621,Input_Product=Elig!$C621,Elig_MatchAll_Ct&lt;22,$BC621=(Elig_MatchAll_Ct-1),AY621=0),Z621,0)</f>
        <v>0</v>
      </c>
      <c r="CF621" s="202">
        <f>IF(AND(Input_LTV&lt;=AE621,Input_Product=Elig!$C621,Elig_MatchAll_Ct&lt;22,$BC621=(Elig_MatchAll_Ct-1),AY621=0),AA621,0)</f>
        <v>0</v>
      </c>
      <c r="CG621" s="201">
        <f>IF(AND(Input_Product=Elig!$C621,Elig_MatchAll_Ct&lt;22,$BC621=(Elig_MatchAll_Ct-1),AZ621=0),AB621,0)</f>
        <v>0</v>
      </c>
      <c r="CH621" s="202">
        <f>IF(AND(Input_Product=Elig!$C621,Elig_MatchAll_Ct&lt;22,$BC621=(Elig_MatchAll_Ct-1),AZ621=0),AC621,0)</f>
        <v>0</v>
      </c>
      <c r="CI621" s="201">
        <f>IF(AND(Input_Product=Elig!$C621,Elig_MatchAll_Ct&lt;22,$BC621=(Elig_MatchAll_Ct-1),BA621=0),AD621,0)</f>
        <v>0</v>
      </c>
      <c r="CJ621" s="202">
        <f>IF(AND(Input_Product=Elig!$C621,Elig_MatchAll_Ct&lt;22,$BC621=(Elig_MatchAll_Ct-1),BA621=0),AE621,0)</f>
        <v>0</v>
      </c>
    </row>
    <row r="622" spans="2:88" ht="10.15" customHeight="1" x14ac:dyDescent="0.25">
      <c r="B622" s="1914" t="s">
        <v>1193</v>
      </c>
      <c r="C622" s="155" t="str">
        <f t="shared" si="269"/>
        <v>Multi NOO</v>
      </c>
      <c r="D622" s="156" t="s">
        <v>2218</v>
      </c>
      <c r="E622" s="156" t="s">
        <v>167</v>
      </c>
      <c r="F622" s="156" t="s">
        <v>330</v>
      </c>
      <c r="G622" s="156" t="s">
        <v>181</v>
      </c>
      <c r="H622" s="156" t="s">
        <v>136</v>
      </c>
      <c r="I622" s="157" t="s">
        <v>274</v>
      </c>
      <c r="J622" s="157" t="s">
        <v>1311</v>
      </c>
      <c r="K622" s="157" t="s">
        <v>356</v>
      </c>
      <c r="L622" s="156" t="s">
        <v>312</v>
      </c>
      <c r="M622" s="156" t="s">
        <v>4203</v>
      </c>
      <c r="N622" s="156" t="s">
        <v>2685</v>
      </c>
      <c r="O622" s="156" t="s">
        <v>310</v>
      </c>
      <c r="P622" s="156" t="s">
        <v>108</v>
      </c>
      <c r="Q622" s="156" t="s">
        <v>294</v>
      </c>
      <c r="R622" s="156">
        <v>2000000.01</v>
      </c>
      <c r="S622" s="156">
        <v>3000000</v>
      </c>
      <c r="T622" s="156">
        <v>0</v>
      </c>
      <c r="U622" s="156">
        <v>0</v>
      </c>
      <c r="V622" s="156">
        <v>0</v>
      </c>
      <c r="W622" s="156">
        <v>50</v>
      </c>
      <c r="X622" s="156">
        <v>1</v>
      </c>
      <c r="Y622" s="156">
        <v>999</v>
      </c>
      <c r="Z622" s="158">
        <v>680</v>
      </c>
      <c r="AA622" s="158">
        <v>699</v>
      </c>
      <c r="AB622" s="158">
        <v>9</v>
      </c>
      <c r="AC622" s="158">
        <v>999999</v>
      </c>
      <c r="AD622" s="156">
        <v>0</v>
      </c>
      <c r="AE622" s="156">
        <v>60</v>
      </c>
      <c r="AF622" s="170">
        <v>0</v>
      </c>
      <c r="AG622" s="171">
        <v>1</v>
      </c>
      <c r="AH622" s="171">
        <v>1</v>
      </c>
      <c r="AI622" s="171">
        <v>0</v>
      </c>
      <c r="AJ622" s="171">
        <v>0</v>
      </c>
      <c r="AK622" s="171">
        <v>1</v>
      </c>
      <c r="AL622" s="171">
        <v>0</v>
      </c>
      <c r="AM622" s="171">
        <v>1</v>
      </c>
      <c r="AN622" s="171">
        <v>0</v>
      </c>
      <c r="AO622" s="171">
        <v>1</v>
      </c>
      <c r="AP622" s="171">
        <v>1</v>
      </c>
      <c r="AQ622" s="171">
        <v>1</v>
      </c>
      <c r="AR622" s="171">
        <v>1</v>
      </c>
      <c r="AS622" s="171">
        <v>1</v>
      </c>
      <c r="AT622" s="171">
        <v>1</v>
      </c>
      <c r="AU622" s="171">
        <f t="shared" si="270"/>
        <v>0</v>
      </c>
      <c r="AV622" s="171">
        <f t="shared" si="271"/>
        <v>0</v>
      </c>
      <c r="AW622" s="171">
        <f t="shared" si="272"/>
        <v>1</v>
      </c>
      <c r="AX622" s="171">
        <f t="shared" si="197"/>
        <v>0</v>
      </c>
      <c r="AY622" s="171">
        <f t="shared" si="273"/>
        <v>0</v>
      </c>
      <c r="AZ622" s="171">
        <f t="shared" si="274"/>
        <v>1</v>
      </c>
      <c r="BA622" s="172">
        <f t="shared" si="275"/>
        <v>0</v>
      </c>
      <c r="BB622" s="175">
        <f t="shared" si="276"/>
        <v>12</v>
      </c>
      <c r="BC622" s="176">
        <f t="shared" si="277"/>
        <v>12</v>
      </c>
      <c r="BD622" s="176">
        <f t="shared" si="278"/>
        <v>12</v>
      </c>
      <c r="BE622" s="240" t="str">
        <f t="shared" si="259"/>
        <v/>
      </c>
      <c r="BH622" s="315">
        <f>IF(AND(Input_Product=Elig!$C622,Elig_MatchAll_Ct&lt;22,$BC622=(Elig_MatchAll_Ct-1),AF622=0),C622,0)</f>
        <v>0</v>
      </c>
      <c r="BI622" s="315">
        <f>IF(AND(Input_Product=Elig!$C622,Elig_MatchAll_Ct&lt;22,$BC622=(Elig_MatchAll_Ct-1),AG622=0),D622,0)</f>
        <v>0</v>
      </c>
      <c r="BJ622" s="315">
        <f>IF(AND(Input_Product=Elig!$C622,Elig_MatchAll_Ct&lt;22,$BC622=(Elig_MatchAll_Ct-1),AH622=0),E622,0)</f>
        <v>0</v>
      </c>
      <c r="BK622" s="315">
        <f>IF(AND(Input_Product=Elig!$C622,Elig_MatchAll_Ct&lt;22,$BC622=(Elig_MatchAll_Ct-1),AI622=0),F622,0)</f>
        <v>0</v>
      </c>
      <c r="BL622" s="315">
        <f>IF(AND(Input_Product=Elig!$C622,Elig_MatchAll_Ct&lt;22,$BC622=(Elig_MatchAll_Ct-1),AJ622=0),G622,0)</f>
        <v>0</v>
      </c>
      <c r="BM622" s="315">
        <f>IF(AND(Input_Product=Elig!$C622,Elig_MatchAll_Ct&lt;22,$BC622=(Elig_MatchAll_Ct-1),AK622=0),H622,0)</f>
        <v>0</v>
      </c>
      <c r="BN622" s="315">
        <f>IF(AND(Input_Product=Elig!$C622,Elig_MatchAll_Ct&lt;22,$BC622=(Elig_MatchAll_Ct-1),AL622=0),I622,0)</f>
        <v>0</v>
      </c>
      <c r="BO622" s="315">
        <f>IF(AND(Input_Product=Elig!$C622,Elig_MatchAll_Ct&lt;22,$BC622=(Elig_MatchAll_Ct-1),AM622=0),J622,0)</f>
        <v>0</v>
      </c>
      <c r="BP622" s="315">
        <f>IF(AND(Input_Product=Elig!$C622,Elig_MatchAll_Ct&lt;22,$BC622=(Elig_MatchAll_Ct-1),AN622=0),K622,0)</f>
        <v>0</v>
      </c>
      <c r="BQ622" s="315">
        <f>IF(AND(Input_Product=Elig!$C622,Elig_MatchAll_Ct&lt;22,$BC622=(Elig_MatchAll_Ct-1),AP622=0),L622,0)</f>
        <v>0</v>
      </c>
      <c r="BR622" s="315">
        <f>IF(AND(Input_Product=Elig!$C622,Elig_MatchAll_Ct&lt;22,$BC622=(Elig_MatchAll_Ct-1),AO622=0),M622,0)</f>
        <v>0</v>
      </c>
      <c r="BS622" s="315">
        <f>IF(AND(Input_Product=Elig!$C622,Elig_MatchAll_Ct&lt;22,$BC622=(Elig_MatchAll_Ct-1),AQ622=0),N622,0)</f>
        <v>0</v>
      </c>
      <c r="BT622" s="315">
        <f>IF(AND(Input_Product=Elig!$C622,Elig_MatchAll_Ct&lt;22,$BC622=(Elig_MatchAll_Ct-1),AR622=0),O622,0)</f>
        <v>0</v>
      </c>
      <c r="BU622" s="315">
        <f>IF(AND(Input_Product=Elig!$C622,Elig_MatchAll_Ct&lt;22,$BC622=(Elig_MatchAll_Ct-1),AS622=0),P622,0)</f>
        <v>0</v>
      </c>
      <c r="BV622" s="316">
        <f>IF(AND(Input_Product=Elig!$C622,Elig_MatchAll_Ct&lt;22,$BC622=(Elig_MatchAll_Ct-1),AT622=0),Q622,0)</f>
        <v>0</v>
      </c>
      <c r="BW622" s="317">
        <f>IF(AND(Input_Product=Elig!$C622,Elig_MatchAll_Ct&lt;22,$BC622=(Elig_MatchAll_Ct-1),AU622=0),R622,0)</f>
        <v>0</v>
      </c>
      <c r="BX622" s="318">
        <f>IF(AND(Input_Product=Elig!$C622,Elig_MatchAll_Ct&lt;22,$BC622=(Elig_MatchAll_Ct-1),AU622=0),S622,0)</f>
        <v>0</v>
      </c>
      <c r="BY622" s="317">
        <f>IF(AND(Input_Product=Elig!$C622,Elig_MatchAll_Ct&lt;22,$BC622=(Elig_MatchAll_Ct-1),AV622=0),T622,0)</f>
        <v>0</v>
      </c>
      <c r="BZ622" s="318">
        <f>IF(AND(Input_Product=Elig!$C622,Elig_MatchAll_Ct&lt;22,$BC622=(Elig_MatchAll_Ct-1),AV622=0),U622,0)</f>
        <v>0</v>
      </c>
      <c r="CA622" s="317">
        <f>IF(AND(Input_Product=Elig!$C622,Elig_MatchAll_Ct&lt;22,$BC622=(Elig_MatchAll_Ct-1),AW622=0),V622,0)</f>
        <v>0</v>
      </c>
      <c r="CB622" s="318">
        <f>IF(AND(Input_Product=Elig!$C622,Elig_MatchAll_Ct&lt;22,$BC622=(Elig_MatchAll_Ct-1),AW622=0),W622,0)</f>
        <v>0</v>
      </c>
      <c r="CC622" s="317">
        <f>IF(AND(Input_Product=Elig!$C622,Elig_MatchAll_Ct&lt;22,$BC622=(Elig_MatchAll_Ct-1),AX622=0),X622,0)</f>
        <v>0</v>
      </c>
      <c r="CD622" s="318">
        <f>IF(AND(Input_Product=Elig!$C622,Elig_MatchAll_Ct&lt;22,$BC622=(Elig_MatchAll_Ct-1),AX622=0),Y622,0)</f>
        <v>0</v>
      </c>
      <c r="CE622" s="317">
        <f>IF(AND(Input_LTV&lt;=AE622,Input_Product=Elig!$C622,Elig_MatchAll_Ct&lt;22,$BC622=(Elig_MatchAll_Ct-1),AY622=0),Z622,0)</f>
        <v>0</v>
      </c>
      <c r="CF622" s="318">
        <f>IF(AND(Input_LTV&lt;=AE622,Input_Product=Elig!$C622,Elig_MatchAll_Ct&lt;22,$BC622=(Elig_MatchAll_Ct-1),AY622=0),AA622,0)</f>
        <v>0</v>
      </c>
      <c r="CG622" s="317">
        <f>IF(AND(Input_Product=Elig!$C622,Elig_MatchAll_Ct&lt;22,$BC622=(Elig_MatchAll_Ct-1),AZ622=0),AB622,0)</f>
        <v>0</v>
      </c>
      <c r="CH622" s="318">
        <f>IF(AND(Input_Product=Elig!$C622,Elig_MatchAll_Ct&lt;22,$BC622=(Elig_MatchAll_Ct-1),AZ622=0),AC622,0)</f>
        <v>0</v>
      </c>
      <c r="CI622" s="317">
        <f>IF(AND(Input_Product=Elig!$C622,Elig_MatchAll_Ct&lt;22,$BC622=(Elig_MatchAll_Ct-1),BA622=0),AD622,0)</f>
        <v>0</v>
      </c>
      <c r="CJ622" s="318">
        <f>IF(AND(Input_Product=Elig!$C622,Elig_MatchAll_Ct&lt;22,$BC622=(Elig_MatchAll_Ct-1),BA622=0),AE622,0)</f>
        <v>0</v>
      </c>
    </row>
    <row r="623" spans="2:88" ht="10.15" customHeight="1" x14ac:dyDescent="0.25">
      <c r="B623" s="1914" t="s">
        <v>1232</v>
      </c>
      <c r="C623" s="151" t="str">
        <f t="shared" si="269"/>
        <v>Multi NOO</v>
      </c>
      <c r="D623" s="152" t="s">
        <v>2218</v>
      </c>
      <c r="E623" s="153" t="s">
        <v>167</v>
      </c>
      <c r="F623" s="153" t="s">
        <v>330</v>
      </c>
      <c r="G623" s="153" t="s">
        <v>181</v>
      </c>
      <c r="H623" s="153" t="s">
        <v>136</v>
      </c>
      <c r="I623" s="152" t="s">
        <v>16</v>
      </c>
      <c r="J623" s="152" t="s">
        <v>1311</v>
      </c>
      <c r="K623" s="152" t="s">
        <v>356</v>
      </c>
      <c r="L623" s="153" t="s">
        <v>312</v>
      </c>
      <c r="M623" s="153" t="s">
        <v>4203</v>
      </c>
      <c r="N623" s="153" t="s">
        <v>2685</v>
      </c>
      <c r="O623" s="153" t="s">
        <v>310</v>
      </c>
      <c r="P623" s="153" t="s">
        <v>108</v>
      </c>
      <c r="Q623" s="153" t="s">
        <v>294</v>
      </c>
      <c r="R623" s="152">
        <v>2000000.01</v>
      </c>
      <c r="S623" s="152">
        <v>3000000</v>
      </c>
      <c r="T623" s="152">
        <v>0</v>
      </c>
      <c r="U623" s="152">
        <v>1000000</v>
      </c>
      <c r="V623" s="152">
        <v>0</v>
      </c>
      <c r="W623" s="152">
        <v>50</v>
      </c>
      <c r="X623" s="152">
        <v>1</v>
      </c>
      <c r="Y623" s="152">
        <v>999</v>
      </c>
      <c r="Z623" s="154">
        <v>720</v>
      </c>
      <c r="AA623" s="154">
        <v>999</v>
      </c>
      <c r="AB623" s="154">
        <v>9</v>
      </c>
      <c r="AC623" s="154">
        <v>999999</v>
      </c>
      <c r="AD623" s="152">
        <v>0</v>
      </c>
      <c r="AE623" s="152">
        <v>55</v>
      </c>
      <c r="AF623" s="170">
        <v>0</v>
      </c>
      <c r="AG623" s="171">
        <v>1</v>
      </c>
      <c r="AH623" s="171">
        <v>1</v>
      </c>
      <c r="AI623" s="171">
        <v>0</v>
      </c>
      <c r="AJ623" s="171">
        <v>0</v>
      </c>
      <c r="AK623" s="171">
        <v>1</v>
      </c>
      <c r="AL623" s="171">
        <v>1</v>
      </c>
      <c r="AM623" s="171">
        <v>1</v>
      </c>
      <c r="AN623" s="171">
        <v>0</v>
      </c>
      <c r="AO623" s="171">
        <v>1</v>
      </c>
      <c r="AP623" s="171">
        <v>1</v>
      </c>
      <c r="AQ623" s="171">
        <v>1</v>
      </c>
      <c r="AR623" s="171">
        <v>1</v>
      </c>
      <c r="AS623" s="171">
        <v>1</v>
      </c>
      <c r="AT623" s="171">
        <v>1</v>
      </c>
      <c r="AU623" s="171">
        <f t="shared" si="270"/>
        <v>0</v>
      </c>
      <c r="AV623" s="171">
        <f t="shared" si="271"/>
        <v>1</v>
      </c>
      <c r="AW623" s="171">
        <f t="shared" si="272"/>
        <v>1</v>
      </c>
      <c r="AX623" s="171">
        <f t="shared" si="197"/>
        <v>0</v>
      </c>
      <c r="AY623" s="171">
        <f t="shared" si="273"/>
        <v>1</v>
      </c>
      <c r="AZ623" s="171">
        <f t="shared" si="274"/>
        <v>1</v>
      </c>
      <c r="BA623" s="172">
        <f t="shared" si="275"/>
        <v>0</v>
      </c>
      <c r="BB623" s="175">
        <f t="shared" si="276"/>
        <v>15</v>
      </c>
      <c r="BC623" s="176">
        <f t="shared" si="277"/>
        <v>15</v>
      </c>
      <c r="BD623" s="176">
        <f t="shared" si="278"/>
        <v>15</v>
      </c>
      <c r="BE623" s="240" t="str">
        <f t="shared" si="259"/>
        <v/>
      </c>
      <c r="BH623" s="216">
        <f>IF(AND(Input_Product=Elig!$C623,Elig_MatchAll_Ct&lt;22,$BC623=(Elig_MatchAll_Ct-1),AF623=0),C623,0)</f>
        <v>0</v>
      </c>
      <c r="BI623" s="216">
        <f>IF(AND(Input_Product=Elig!$C623,Elig_MatchAll_Ct&lt;22,$BC623=(Elig_MatchAll_Ct-1),AG623=0),D623,0)</f>
        <v>0</v>
      </c>
      <c r="BJ623" s="216">
        <f>IF(AND(Input_Product=Elig!$C623,Elig_MatchAll_Ct&lt;22,$BC623=(Elig_MatchAll_Ct-1),AH623=0),E623,0)</f>
        <v>0</v>
      </c>
      <c r="BK623" s="216">
        <f>IF(AND(Input_Product=Elig!$C623,Elig_MatchAll_Ct&lt;22,$BC623=(Elig_MatchAll_Ct-1),AI623=0),F623,0)</f>
        <v>0</v>
      </c>
      <c r="BL623" s="216">
        <f>IF(AND(Input_Product=Elig!$C623,Elig_MatchAll_Ct&lt;22,$BC623=(Elig_MatchAll_Ct-1),AJ623=0),G623,0)</f>
        <v>0</v>
      </c>
      <c r="BM623" s="216">
        <f>IF(AND(Input_Product=Elig!$C623,Elig_MatchAll_Ct&lt;22,$BC623=(Elig_MatchAll_Ct-1),AK623=0),H623,0)</f>
        <v>0</v>
      </c>
      <c r="BN623" s="216">
        <f>IF(AND(Input_Product=Elig!$C623,Elig_MatchAll_Ct&lt;22,$BC623=(Elig_MatchAll_Ct-1),AL623=0),I623,0)</f>
        <v>0</v>
      </c>
      <c r="BO623" s="216">
        <f>IF(AND(Input_Product=Elig!$C623,Elig_MatchAll_Ct&lt;22,$BC623=(Elig_MatchAll_Ct-1),AM623=0),J623,0)</f>
        <v>0</v>
      </c>
      <c r="BP623" s="216">
        <f>IF(AND(Input_Product=Elig!$C623,Elig_MatchAll_Ct&lt;22,$BC623=(Elig_MatchAll_Ct-1),AN623=0),K623,0)</f>
        <v>0</v>
      </c>
      <c r="BQ623" s="216">
        <f>IF(AND(Input_Product=Elig!$C623,Elig_MatchAll_Ct&lt;22,$BC623=(Elig_MatchAll_Ct-1),AP623=0),L623,0)</f>
        <v>0</v>
      </c>
      <c r="BR623" s="216">
        <f>IF(AND(Input_Product=Elig!$C623,Elig_MatchAll_Ct&lt;22,$BC623=(Elig_MatchAll_Ct-1),AO623=0),M623,0)</f>
        <v>0</v>
      </c>
      <c r="BS623" s="216">
        <f>IF(AND(Input_Product=Elig!$C623,Elig_MatchAll_Ct&lt;22,$BC623=(Elig_MatchAll_Ct-1),AQ623=0),N623,0)</f>
        <v>0</v>
      </c>
      <c r="BT623" s="216">
        <f>IF(AND(Input_Product=Elig!$C623,Elig_MatchAll_Ct&lt;22,$BC623=(Elig_MatchAll_Ct-1),AR623=0),O623,0)</f>
        <v>0</v>
      </c>
      <c r="BU623" s="216">
        <f>IF(AND(Input_Product=Elig!$C623,Elig_MatchAll_Ct&lt;22,$BC623=(Elig_MatchAll_Ct-1),AS623=0),P623,0)</f>
        <v>0</v>
      </c>
      <c r="BV623" s="217">
        <f>IF(AND(Input_Product=Elig!$C623,Elig_MatchAll_Ct&lt;22,$BC623=(Elig_MatchAll_Ct-1),AT623=0),Q623,0)</f>
        <v>0</v>
      </c>
      <c r="BW623" s="313">
        <f>IF(AND(Input_Product=Elig!$C623,Elig_MatchAll_Ct&lt;22,$BC623=(Elig_MatchAll_Ct-1),AU623=0),R623,0)</f>
        <v>0</v>
      </c>
      <c r="BX623" s="314">
        <f>IF(AND(Input_Product=Elig!$C623,Elig_MatchAll_Ct&lt;22,$BC623=(Elig_MatchAll_Ct-1),AU623=0),S623,0)</f>
        <v>0</v>
      </c>
      <c r="BY623" s="313">
        <f>IF(AND(Input_Product=Elig!$C623,Elig_MatchAll_Ct&lt;22,$BC623=(Elig_MatchAll_Ct-1),AV623=0),T623,0)</f>
        <v>0</v>
      </c>
      <c r="BZ623" s="314">
        <f>IF(AND(Input_Product=Elig!$C623,Elig_MatchAll_Ct&lt;22,$BC623=(Elig_MatchAll_Ct-1),AV623=0),U623,0)</f>
        <v>0</v>
      </c>
      <c r="CA623" s="313">
        <f>IF(AND(Input_Product=Elig!$C623,Elig_MatchAll_Ct&lt;22,$BC623=(Elig_MatchAll_Ct-1),AW623=0),V623,0)</f>
        <v>0</v>
      </c>
      <c r="CB623" s="314">
        <f>IF(AND(Input_Product=Elig!$C623,Elig_MatchAll_Ct&lt;22,$BC623=(Elig_MatchAll_Ct-1),AW623=0),W623,0)</f>
        <v>0</v>
      </c>
      <c r="CC623" s="313">
        <f>IF(AND(Input_Product=Elig!$C623,Elig_MatchAll_Ct&lt;22,$BC623=(Elig_MatchAll_Ct-1),AX623=0),X623,0)</f>
        <v>0</v>
      </c>
      <c r="CD623" s="314">
        <f>IF(AND(Input_Product=Elig!$C623,Elig_MatchAll_Ct&lt;22,$BC623=(Elig_MatchAll_Ct-1),AX623=0),Y623,0)</f>
        <v>0</v>
      </c>
      <c r="CE623" s="313">
        <f>IF(AND(Input_LTV&lt;=AE623,Input_Product=Elig!$C623,Elig_MatchAll_Ct&lt;22,$BC623=(Elig_MatchAll_Ct-1),AY623=0),Z623,0)</f>
        <v>0</v>
      </c>
      <c r="CF623" s="314">
        <f>IF(AND(Input_LTV&lt;=AE623,Input_Product=Elig!$C623,Elig_MatchAll_Ct&lt;22,$BC623=(Elig_MatchAll_Ct-1),AY623=0),AA623,0)</f>
        <v>0</v>
      </c>
      <c r="CG623" s="313">
        <f>IF(AND(Input_Product=Elig!$C623,Elig_MatchAll_Ct&lt;22,$BC623=(Elig_MatchAll_Ct-1),AZ623=0),AB623,0)</f>
        <v>0</v>
      </c>
      <c r="CH623" s="314">
        <f>IF(AND(Input_Product=Elig!$C623,Elig_MatchAll_Ct&lt;22,$BC623=(Elig_MatchAll_Ct-1),AZ623=0),AC623,0)</f>
        <v>0</v>
      </c>
      <c r="CI623" s="313">
        <f>IF(AND(Input_Product=Elig!$C623,Elig_MatchAll_Ct&lt;22,$BC623=(Elig_MatchAll_Ct-1),BA623=0),AD623,0)</f>
        <v>0</v>
      </c>
      <c r="CJ623" s="314">
        <f>IF(AND(Input_Product=Elig!$C623,Elig_MatchAll_Ct&lt;22,$BC623=(Elig_MatchAll_Ct-1),BA623=0),AE623,0)</f>
        <v>0</v>
      </c>
    </row>
    <row r="624" spans="2:88" ht="10.15" customHeight="1" x14ac:dyDescent="0.25">
      <c r="B624" s="1914" t="s">
        <v>1194</v>
      </c>
      <c r="C624" s="155" t="str">
        <f t="shared" si="269"/>
        <v>Multi NOO</v>
      </c>
      <c r="D624" s="156" t="s">
        <v>2218</v>
      </c>
      <c r="E624" s="156" t="s">
        <v>167</v>
      </c>
      <c r="F624" s="156" t="s">
        <v>330</v>
      </c>
      <c r="G624" s="156" t="s">
        <v>181</v>
      </c>
      <c r="H624" s="156" t="s">
        <v>136</v>
      </c>
      <c r="I624" s="157" t="s">
        <v>16</v>
      </c>
      <c r="J624" s="157" t="s">
        <v>1311</v>
      </c>
      <c r="K624" s="157" t="s">
        <v>356</v>
      </c>
      <c r="L624" s="156" t="s">
        <v>312</v>
      </c>
      <c r="M624" s="156" t="s">
        <v>4203</v>
      </c>
      <c r="N624" s="156" t="s">
        <v>2685</v>
      </c>
      <c r="O624" s="156" t="s">
        <v>310</v>
      </c>
      <c r="P624" s="156" t="s">
        <v>108</v>
      </c>
      <c r="Q624" s="156" t="s">
        <v>294</v>
      </c>
      <c r="R624" s="156">
        <v>2000000.01</v>
      </c>
      <c r="S624" s="156">
        <v>3000000</v>
      </c>
      <c r="T624" s="156">
        <v>0</v>
      </c>
      <c r="U624" s="156">
        <v>1000000</v>
      </c>
      <c r="V624" s="156">
        <v>0</v>
      </c>
      <c r="W624" s="156">
        <v>50</v>
      </c>
      <c r="X624" s="156">
        <v>1</v>
      </c>
      <c r="Y624" s="156">
        <v>999</v>
      </c>
      <c r="Z624" s="158">
        <v>700</v>
      </c>
      <c r="AA624" s="158">
        <v>719</v>
      </c>
      <c r="AB624" s="158">
        <v>9</v>
      </c>
      <c r="AC624" s="158">
        <v>999999</v>
      </c>
      <c r="AD624" s="156">
        <v>0</v>
      </c>
      <c r="AE624" s="156">
        <v>55</v>
      </c>
      <c r="AF624" s="170">
        <v>0</v>
      </c>
      <c r="AG624" s="171">
        <v>1</v>
      </c>
      <c r="AH624" s="171">
        <v>1</v>
      </c>
      <c r="AI624" s="171">
        <v>0</v>
      </c>
      <c r="AJ624" s="171">
        <v>0</v>
      </c>
      <c r="AK624" s="171">
        <v>1</v>
      </c>
      <c r="AL624" s="171">
        <v>1</v>
      </c>
      <c r="AM624" s="171">
        <v>1</v>
      </c>
      <c r="AN624" s="171">
        <v>0</v>
      </c>
      <c r="AO624" s="171">
        <v>1</v>
      </c>
      <c r="AP624" s="171">
        <v>1</v>
      </c>
      <c r="AQ624" s="171">
        <v>1</v>
      </c>
      <c r="AR624" s="171">
        <v>1</v>
      </c>
      <c r="AS624" s="171">
        <v>1</v>
      </c>
      <c r="AT624" s="171">
        <v>1</v>
      </c>
      <c r="AU624" s="171">
        <f t="shared" si="270"/>
        <v>0</v>
      </c>
      <c r="AV624" s="171">
        <f t="shared" si="271"/>
        <v>1</v>
      </c>
      <c r="AW624" s="171">
        <f t="shared" si="272"/>
        <v>1</v>
      </c>
      <c r="AX624" s="171">
        <f t="shared" si="197"/>
        <v>0</v>
      </c>
      <c r="AY624" s="171">
        <f t="shared" si="273"/>
        <v>0</v>
      </c>
      <c r="AZ624" s="171">
        <f t="shared" si="274"/>
        <v>1</v>
      </c>
      <c r="BA624" s="172">
        <f t="shared" si="275"/>
        <v>0</v>
      </c>
      <c r="BB624" s="175">
        <f t="shared" si="276"/>
        <v>14</v>
      </c>
      <c r="BC624" s="176">
        <f t="shared" si="277"/>
        <v>14</v>
      </c>
      <c r="BD624" s="176">
        <f t="shared" si="278"/>
        <v>14</v>
      </c>
      <c r="BE624" s="240" t="str">
        <f t="shared" si="259"/>
        <v/>
      </c>
      <c r="BH624" s="199">
        <f>IF(AND(Input_Product=Elig!$C624,Elig_MatchAll_Ct&lt;22,$BC624=(Elig_MatchAll_Ct-1),AF624=0),C624,0)</f>
        <v>0</v>
      </c>
      <c r="BI624" s="199">
        <f>IF(AND(Input_Product=Elig!$C624,Elig_MatchAll_Ct&lt;22,$BC624=(Elig_MatchAll_Ct-1),AG624=0),D624,0)</f>
        <v>0</v>
      </c>
      <c r="BJ624" s="199">
        <f>IF(AND(Input_Product=Elig!$C624,Elig_MatchAll_Ct&lt;22,$BC624=(Elig_MatchAll_Ct-1),AH624=0),E624,0)</f>
        <v>0</v>
      </c>
      <c r="BK624" s="199">
        <f>IF(AND(Input_Product=Elig!$C624,Elig_MatchAll_Ct&lt;22,$BC624=(Elig_MatchAll_Ct-1),AI624=0),F624,0)</f>
        <v>0</v>
      </c>
      <c r="BL624" s="199">
        <f>IF(AND(Input_Product=Elig!$C624,Elig_MatchAll_Ct&lt;22,$BC624=(Elig_MatchAll_Ct-1),AJ624=0),G624,0)</f>
        <v>0</v>
      </c>
      <c r="BM624" s="199">
        <f>IF(AND(Input_Product=Elig!$C624,Elig_MatchAll_Ct&lt;22,$BC624=(Elig_MatchAll_Ct-1),AK624=0),H624,0)</f>
        <v>0</v>
      </c>
      <c r="BN624" s="199">
        <f>IF(AND(Input_Product=Elig!$C624,Elig_MatchAll_Ct&lt;22,$BC624=(Elig_MatchAll_Ct-1),AL624=0),I624,0)</f>
        <v>0</v>
      </c>
      <c r="BO624" s="199">
        <f>IF(AND(Input_Product=Elig!$C624,Elig_MatchAll_Ct&lt;22,$BC624=(Elig_MatchAll_Ct-1),AM624=0),J624,0)</f>
        <v>0</v>
      </c>
      <c r="BP624" s="199">
        <f>IF(AND(Input_Product=Elig!$C624,Elig_MatchAll_Ct&lt;22,$BC624=(Elig_MatchAll_Ct-1),AN624=0),K624,0)</f>
        <v>0</v>
      </c>
      <c r="BQ624" s="199">
        <f>IF(AND(Input_Product=Elig!$C624,Elig_MatchAll_Ct&lt;22,$BC624=(Elig_MatchAll_Ct-1),AP624=0),L624,0)</f>
        <v>0</v>
      </c>
      <c r="BR624" s="199">
        <f>IF(AND(Input_Product=Elig!$C624,Elig_MatchAll_Ct&lt;22,$BC624=(Elig_MatchAll_Ct-1),AO624=0),M624,0)</f>
        <v>0</v>
      </c>
      <c r="BS624" s="199">
        <f>IF(AND(Input_Product=Elig!$C624,Elig_MatchAll_Ct&lt;22,$BC624=(Elig_MatchAll_Ct-1),AQ624=0),N624,0)</f>
        <v>0</v>
      </c>
      <c r="BT624" s="199">
        <f>IF(AND(Input_Product=Elig!$C624,Elig_MatchAll_Ct&lt;22,$BC624=(Elig_MatchAll_Ct-1),AR624=0),O624,0)</f>
        <v>0</v>
      </c>
      <c r="BU624" s="199">
        <f>IF(AND(Input_Product=Elig!$C624,Elig_MatchAll_Ct&lt;22,$BC624=(Elig_MatchAll_Ct-1),AS624=0),P624,0)</f>
        <v>0</v>
      </c>
      <c r="BV624" s="200">
        <f>IF(AND(Input_Product=Elig!$C624,Elig_MatchAll_Ct&lt;22,$BC624=(Elig_MatchAll_Ct-1),AT624=0),Q624,0)</f>
        <v>0</v>
      </c>
      <c r="BW624" s="201">
        <f>IF(AND(Input_Product=Elig!$C624,Elig_MatchAll_Ct&lt;22,$BC624=(Elig_MatchAll_Ct-1),AU624=0),R624,0)</f>
        <v>0</v>
      </c>
      <c r="BX624" s="202">
        <f>IF(AND(Input_Product=Elig!$C624,Elig_MatchAll_Ct&lt;22,$BC624=(Elig_MatchAll_Ct-1),AU624=0),S624,0)</f>
        <v>0</v>
      </c>
      <c r="BY624" s="201">
        <f>IF(AND(Input_Product=Elig!$C624,Elig_MatchAll_Ct&lt;22,$BC624=(Elig_MatchAll_Ct-1),AV624=0),T624,0)</f>
        <v>0</v>
      </c>
      <c r="BZ624" s="202">
        <f>IF(AND(Input_Product=Elig!$C624,Elig_MatchAll_Ct&lt;22,$BC624=(Elig_MatchAll_Ct-1),AV624=0),U624,0)</f>
        <v>0</v>
      </c>
      <c r="CA624" s="201">
        <f>IF(AND(Input_Product=Elig!$C624,Elig_MatchAll_Ct&lt;22,$BC624=(Elig_MatchAll_Ct-1),AW624=0),V624,0)</f>
        <v>0</v>
      </c>
      <c r="CB624" s="202">
        <f>IF(AND(Input_Product=Elig!$C624,Elig_MatchAll_Ct&lt;22,$BC624=(Elig_MatchAll_Ct-1),AW624=0),W624,0)</f>
        <v>0</v>
      </c>
      <c r="CC624" s="201">
        <f>IF(AND(Input_Product=Elig!$C624,Elig_MatchAll_Ct&lt;22,$BC624=(Elig_MatchAll_Ct-1),AX624=0),X624,0)</f>
        <v>0</v>
      </c>
      <c r="CD624" s="202">
        <f>IF(AND(Input_Product=Elig!$C624,Elig_MatchAll_Ct&lt;22,$BC624=(Elig_MatchAll_Ct-1),AX624=0),Y624,0)</f>
        <v>0</v>
      </c>
      <c r="CE624" s="201">
        <f>IF(AND(Input_LTV&lt;=AE624,Input_Product=Elig!$C624,Elig_MatchAll_Ct&lt;22,$BC624=(Elig_MatchAll_Ct-1),AY624=0),Z624,0)</f>
        <v>0</v>
      </c>
      <c r="CF624" s="202">
        <f>IF(AND(Input_LTV&lt;=AE624,Input_Product=Elig!$C624,Elig_MatchAll_Ct&lt;22,$BC624=(Elig_MatchAll_Ct-1),AY624=0),AA624,0)</f>
        <v>0</v>
      </c>
      <c r="CG624" s="201">
        <f>IF(AND(Input_Product=Elig!$C624,Elig_MatchAll_Ct&lt;22,$BC624=(Elig_MatchAll_Ct-1),AZ624=0),AB624,0)</f>
        <v>0</v>
      </c>
      <c r="CH624" s="202">
        <f>IF(AND(Input_Product=Elig!$C624,Elig_MatchAll_Ct&lt;22,$BC624=(Elig_MatchAll_Ct-1),AZ624=0),AC624,0)</f>
        <v>0</v>
      </c>
      <c r="CI624" s="201">
        <f>IF(AND(Input_Product=Elig!$C624,Elig_MatchAll_Ct&lt;22,$BC624=(Elig_MatchAll_Ct-1),BA624=0),AD624,0)</f>
        <v>0</v>
      </c>
      <c r="CJ624" s="202">
        <f>IF(AND(Input_Product=Elig!$C624,Elig_MatchAll_Ct&lt;22,$BC624=(Elig_MatchAll_Ct-1),BA624=0),AE624,0)</f>
        <v>0</v>
      </c>
    </row>
    <row r="625" spans="2:88" ht="10.15" customHeight="1" x14ac:dyDescent="0.25">
      <c r="B625" s="1914" t="s">
        <v>1195</v>
      </c>
      <c r="C625" s="297" t="str">
        <f t="shared" si="269"/>
        <v>Multi NOO</v>
      </c>
      <c r="D625" s="296" t="s">
        <v>2218</v>
      </c>
      <c r="E625" s="296" t="s">
        <v>167</v>
      </c>
      <c r="F625" s="296" t="s">
        <v>330</v>
      </c>
      <c r="G625" s="296" t="s">
        <v>181</v>
      </c>
      <c r="H625" s="296" t="s">
        <v>136</v>
      </c>
      <c r="I625" s="298" t="s">
        <v>16</v>
      </c>
      <c r="J625" s="298" t="s">
        <v>1311</v>
      </c>
      <c r="K625" s="298" t="s">
        <v>356</v>
      </c>
      <c r="L625" s="296" t="s">
        <v>312</v>
      </c>
      <c r="M625" s="296" t="s">
        <v>4203</v>
      </c>
      <c r="N625" s="296" t="s">
        <v>2685</v>
      </c>
      <c r="O625" s="296" t="s">
        <v>310</v>
      </c>
      <c r="P625" s="296" t="s">
        <v>108</v>
      </c>
      <c r="Q625" s="296" t="s">
        <v>294</v>
      </c>
      <c r="R625" s="296">
        <v>2000000.01</v>
      </c>
      <c r="S625" s="296">
        <v>3000000</v>
      </c>
      <c r="T625" s="296">
        <v>0</v>
      </c>
      <c r="U625" s="296">
        <v>1000000</v>
      </c>
      <c r="V625" s="296">
        <v>0</v>
      </c>
      <c r="W625" s="296">
        <v>50</v>
      </c>
      <c r="X625" s="296">
        <v>1</v>
      </c>
      <c r="Y625" s="296">
        <v>999</v>
      </c>
      <c r="Z625" s="299">
        <v>680</v>
      </c>
      <c r="AA625" s="299">
        <v>699</v>
      </c>
      <c r="AB625" s="299">
        <v>9</v>
      </c>
      <c r="AC625" s="299">
        <v>999999</v>
      </c>
      <c r="AD625" s="296">
        <v>0</v>
      </c>
      <c r="AE625" s="296">
        <v>55</v>
      </c>
      <c r="AF625" s="170">
        <v>0</v>
      </c>
      <c r="AG625" s="171">
        <v>1</v>
      </c>
      <c r="AH625" s="171">
        <v>1</v>
      </c>
      <c r="AI625" s="171">
        <v>0</v>
      </c>
      <c r="AJ625" s="171">
        <v>0</v>
      </c>
      <c r="AK625" s="171">
        <v>1</v>
      </c>
      <c r="AL625" s="171">
        <v>1</v>
      </c>
      <c r="AM625" s="171">
        <v>1</v>
      </c>
      <c r="AN625" s="171">
        <v>0</v>
      </c>
      <c r="AO625" s="171">
        <v>1</v>
      </c>
      <c r="AP625" s="171">
        <v>1</v>
      </c>
      <c r="AQ625" s="171">
        <v>1</v>
      </c>
      <c r="AR625" s="171">
        <v>1</v>
      </c>
      <c r="AS625" s="171">
        <v>1</v>
      </c>
      <c r="AT625" s="171">
        <v>1</v>
      </c>
      <c r="AU625" s="171">
        <f t="shared" si="270"/>
        <v>0</v>
      </c>
      <c r="AV625" s="171">
        <f t="shared" si="271"/>
        <v>1</v>
      </c>
      <c r="AW625" s="171">
        <f t="shared" si="272"/>
        <v>1</v>
      </c>
      <c r="AX625" s="171">
        <f t="shared" si="197"/>
        <v>0</v>
      </c>
      <c r="AY625" s="171">
        <f t="shared" si="273"/>
        <v>0</v>
      </c>
      <c r="AZ625" s="171">
        <f t="shared" si="274"/>
        <v>1</v>
      </c>
      <c r="BA625" s="172">
        <f t="shared" si="275"/>
        <v>0</v>
      </c>
      <c r="BB625" s="175">
        <f t="shared" si="276"/>
        <v>14</v>
      </c>
      <c r="BC625" s="176">
        <f t="shared" si="277"/>
        <v>14</v>
      </c>
      <c r="BD625" s="176">
        <f t="shared" si="278"/>
        <v>14</v>
      </c>
      <c r="BE625" s="240" t="str">
        <f t="shared" si="259"/>
        <v/>
      </c>
      <c r="BH625" s="315">
        <f>IF(AND(Input_Product=Elig!$C625,Elig_MatchAll_Ct&lt;22,$BC625=(Elig_MatchAll_Ct-1),AF625=0),C625,0)</f>
        <v>0</v>
      </c>
      <c r="BI625" s="315">
        <f>IF(AND(Input_Product=Elig!$C625,Elig_MatchAll_Ct&lt;22,$BC625=(Elig_MatchAll_Ct-1),AG625=0),D625,0)</f>
        <v>0</v>
      </c>
      <c r="BJ625" s="315">
        <f>IF(AND(Input_Product=Elig!$C625,Elig_MatchAll_Ct&lt;22,$BC625=(Elig_MatchAll_Ct-1),AH625=0),E625,0)</f>
        <v>0</v>
      </c>
      <c r="BK625" s="315">
        <f>IF(AND(Input_Product=Elig!$C625,Elig_MatchAll_Ct&lt;22,$BC625=(Elig_MatchAll_Ct-1),AI625=0),F625,0)</f>
        <v>0</v>
      </c>
      <c r="BL625" s="315">
        <f>IF(AND(Input_Product=Elig!$C625,Elig_MatchAll_Ct&lt;22,$BC625=(Elig_MatchAll_Ct-1),AJ625=0),G625,0)</f>
        <v>0</v>
      </c>
      <c r="BM625" s="315">
        <f>IF(AND(Input_Product=Elig!$C625,Elig_MatchAll_Ct&lt;22,$BC625=(Elig_MatchAll_Ct-1),AK625=0),H625,0)</f>
        <v>0</v>
      </c>
      <c r="BN625" s="315">
        <f>IF(AND(Input_Product=Elig!$C625,Elig_MatchAll_Ct&lt;22,$BC625=(Elig_MatchAll_Ct-1),AL625=0),I625,0)</f>
        <v>0</v>
      </c>
      <c r="BO625" s="315">
        <f>IF(AND(Input_Product=Elig!$C625,Elig_MatchAll_Ct&lt;22,$BC625=(Elig_MatchAll_Ct-1),AM625=0),J625,0)</f>
        <v>0</v>
      </c>
      <c r="BP625" s="315">
        <f>IF(AND(Input_Product=Elig!$C625,Elig_MatchAll_Ct&lt;22,$BC625=(Elig_MatchAll_Ct-1),AN625=0),K625,0)</f>
        <v>0</v>
      </c>
      <c r="BQ625" s="315">
        <f>IF(AND(Input_Product=Elig!$C625,Elig_MatchAll_Ct&lt;22,$BC625=(Elig_MatchAll_Ct-1),AP625=0),L625,0)</f>
        <v>0</v>
      </c>
      <c r="BR625" s="315">
        <f>IF(AND(Input_Product=Elig!$C625,Elig_MatchAll_Ct&lt;22,$BC625=(Elig_MatchAll_Ct-1),AO625=0),M625,0)</f>
        <v>0</v>
      </c>
      <c r="BS625" s="315">
        <f>IF(AND(Input_Product=Elig!$C625,Elig_MatchAll_Ct&lt;22,$BC625=(Elig_MatchAll_Ct-1),AQ625=0),N625,0)</f>
        <v>0</v>
      </c>
      <c r="BT625" s="315">
        <f>IF(AND(Input_Product=Elig!$C625,Elig_MatchAll_Ct&lt;22,$BC625=(Elig_MatchAll_Ct-1),AR625=0),O625,0)</f>
        <v>0</v>
      </c>
      <c r="BU625" s="315">
        <f>IF(AND(Input_Product=Elig!$C625,Elig_MatchAll_Ct&lt;22,$BC625=(Elig_MatchAll_Ct-1),AS625=0),P625,0)</f>
        <v>0</v>
      </c>
      <c r="BV625" s="316">
        <f>IF(AND(Input_Product=Elig!$C625,Elig_MatchAll_Ct&lt;22,$BC625=(Elig_MatchAll_Ct-1),AT625=0),Q625,0)</f>
        <v>0</v>
      </c>
      <c r="BW625" s="317">
        <f>IF(AND(Input_Product=Elig!$C625,Elig_MatchAll_Ct&lt;22,$BC625=(Elig_MatchAll_Ct-1),AU625=0),R625,0)</f>
        <v>0</v>
      </c>
      <c r="BX625" s="318">
        <f>IF(AND(Input_Product=Elig!$C625,Elig_MatchAll_Ct&lt;22,$BC625=(Elig_MatchAll_Ct-1),AU625=0),S625,0)</f>
        <v>0</v>
      </c>
      <c r="BY625" s="317">
        <f>IF(AND(Input_Product=Elig!$C625,Elig_MatchAll_Ct&lt;22,$BC625=(Elig_MatchAll_Ct-1),AV625=0),T625,0)</f>
        <v>0</v>
      </c>
      <c r="BZ625" s="318">
        <f>IF(AND(Input_Product=Elig!$C625,Elig_MatchAll_Ct&lt;22,$BC625=(Elig_MatchAll_Ct-1),AV625=0),U625,0)</f>
        <v>0</v>
      </c>
      <c r="CA625" s="317">
        <f>IF(AND(Input_Product=Elig!$C625,Elig_MatchAll_Ct&lt;22,$BC625=(Elig_MatchAll_Ct-1),AW625=0),V625,0)</f>
        <v>0</v>
      </c>
      <c r="CB625" s="318">
        <f>IF(AND(Input_Product=Elig!$C625,Elig_MatchAll_Ct&lt;22,$BC625=(Elig_MatchAll_Ct-1),AW625=0),W625,0)</f>
        <v>0</v>
      </c>
      <c r="CC625" s="317">
        <f>IF(AND(Input_Product=Elig!$C625,Elig_MatchAll_Ct&lt;22,$BC625=(Elig_MatchAll_Ct-1),AX625=0),X625,0)</f>
        <v>0</v>
      </c>
      <c r="CD625" s="318">
        <f>IF(AND(Input_Product=Elig!$C625,Elig_MatchAll_Ct&lt;22,$BC625=(Elig_MatchAll_Ct-1),AX625=0),Y625,0)</f>
        <v>0</v>
      </c>
      <c r="CE625" s="317">
        <f>IF(AND(Input_LTV&lt;=AE625,Input_Product=Elig!$C625,Elig_MatchAll_Ct&lt;22,$BC625=(Elig_MatchAll_Ct-1),AY625=0),Z625,0)</f>
        <v>0</v>
      </c>
      <c r="CF625" s="318">
        <f>IF(AND(Input_LTV&lt;=AE625,Input_Product=Elig!$C625,Elig_MatchAll_Ct&lt;22,$BC625=(Elig_MatchAll_Ct-1),AY625=0),AA625,0)</f>
        <v>0</v>
      </c>
      <c r="CG625" s="317">
        <f>IF(AND(Input_Product=Elig!$C625,Elig_MatchAll_Ct&lt;22,$BC625=(Elig_MatchAll_Ct-1),AZ625=0),AB625,0)</f>
        <v>0</v>
      </c>
      <c r="CH625" s="318">
        <f>IF(AND(Input_Product=Elig!$C625,Elig_MatchAll_Ct&lt;22,$BC625=(Elig_MatchAll_Ct-1),AZ625=0),AC625,0)</f>
        <v>0</v>
      </c>
      <c r="CI625" s="317">
        <f>IF(AND(Input_Product=Elig!$C625,Elig_MatchAll_Ct&lt;22,$BC625=(Elig_MatchAll_Ct-1),BA625=0),AD625,0)</f>
        <v>0</v>
      </c>
      <c r="CJ625" s="318">
        <f>IF(AND(Input_Product=Elig!$C625,Elig_MatchAll_Ct&lt;22,$BC625=(Elig_MatchAll_Ct-1),BA625=0),AE625,0)</f>
        <v>0</v>
      </c>
    </row>
    <row r="626" spans="2:88" ht="10.15" customHeight="1" x14ac:dyDescent="0.25">
      <c r="B626" s="2023" t="s">
        <v>1256</v>
      </c>
      <c r="C626" s="2024" t="str">
        <f t="shared" ref="C626:C782" si="279">Input_Name_Product4</f>
        <v>Second OO</v>
      </c>
      <c r="D626" s="2025" t="s">
        <v>1561</v>
      </c>
      <c r="E626" s="2025" t="s">
        <v>98</v>
      </c>
      <c r="F626" s="2025" t="s">
        <v>328</v>
      </c>
      <c r="G626" s="2025" t="s">
        <v>303</v>
      </c>
      <c r="H626" s="2025" t="s">
        <v>136</v>
      </c>
      <c r="I626" s="2025" t="s">
        <v>1332</v>
      </c>
      <c r="J626" s="2023" t="s">
        <v>1311</v>
      </c>
      <c r="K626" s="2025" t="s">
        <v>1790</v>
      </c>
      <c r="L626" s="2023" t="s">
        <v>430</v>
      </c>
      <c r="M626" s="2023" t="s">
        <v>2677</v>
      </c>
      <c r="N626" s="2025" t="s">
        <v>82</v>
      </c>
      <c r="O626" s="2023" t="s">
        <v>310</v>
      </c>
      <c r="P626" s="2023" t="s">
        <v>291</v>
      </c>
      <c r="Q626" s="2023" t="s">
        <v>294</v>
      </c>
      <c r="R626" s="2023">
        <v>50000</v>
      </c>
      <c r="S626" s="2023">
        <v>350000</v>
      </c>
      <c r="T626" s="2023">
        <v>0</v>
      </c>
      <c r="U626" s="2023">
        <f t="shared" ref="U626:U705" si="280">S626</f>
        <v>350000</v>
      </c>
      <c r="V626" s="2023">
        <v>0</v>
      </c>
      <c r="W626" s="2023">
        <v>50</v>
      </c>
      <c r="X626" s="2023">
        <v>0</v>
      </c>
      <c r="Y626" s="2023">
        <v>999</v>
      </c>
      <c r="Z626" s="2026">
        <v>720</v>
      </c>
      <c r="AA626" s="2026">
        <v>999</v>
      </c>
      <c r="AB626" s="2026">
        <v>0</v>
      </c>
      <c r="AC626" s="2026">
        <v>999999</v>
      </c>
      <c r="AD626" s="2023">
        <v>0</v>
      </c>
      <c r="AE626" s="1482">
        <v>90</v>
      </c>
      <c r="AF626" s="170">
        <v>1</v>
      </c>
      <c r="AG626" s="171">
        <v>1</v>
      </c>
      <c r="AH626" s="171">
        <v>1</v>
      </c>
      <c r="AI626" s="171">
        <v>1</v>
      </c>
      <c r="AJ626" s="171">
        <v>1</v>
      </c>
      <c r="AK626" s="171">
        <v>1</v>
      </c>
      <c r="AL626" s="171">
        <v>1</v>
      </c>
      <c r="AM626" s="171">
        <v>1</v>
      </c>
      <c r="AN626" s="171">
        <v>1</v>
      </c>
      <c r="AO626" s="171">
        <v>1</v>
      </c>
      <c r="AP626" s="171">
        <v>1</v>
      </c>
      <c r="AQ626" s="171">
        <v>1</v>
      </c>
      <c r="AR626" s="171">
        <v>1</v>
      </c>
      <c r="AS626" s="171">
        <v>1</v>
      </c>
      <c r="AT626" s="171">
        <v>1</v>
      </c>
      <c r="AU626" s="171">
        <f t="shared" si="270"/>
        <v>1</v>
      </c>
      <c r="AV626" s="171">
        <f t="shared" si="271"/>
        <v>1</v>
      </c>
      <c r="AW626" s="171">
        <f t="shared" si="272"/>
        <v>1</v>
      </c>
      <c r="AX626" s="171">
        <f t="shared" si="197"/>
        <v>1</v>
      </c>
      <c r="AY626" s="171">
        <f t="shared" si="273"/>
        <v>1</v>
      </c>
      <c r="AZ626" s="171">
        <f t="shared" si="274"/>
        <v>1</v>
      </c>
      <c r="BA626" s="172">
        <f t="shared" si="275"/>
        <v>1</v>
      </c>
      <c r="BB626" s="175">
        <f t="shared" si="276"/>
        <v>22</v>
      </c>
      <c r="BC626" s="176">
        <f t="shared" si="277"/>
        <v>21</v>
      </c>
      <c r="BD626" s="176">
        <f t="shared" si="278"/>
        <v>21</v>
      </c>
      <c r="BE626" s="240" t="str">
        <f t="shared" si="259"/>
        <v>Second OO</v>
      </c>
      <c r="BF626" s="220"/>
      <c r="BG626" s="220"/>
      <c r="BH626" s="216">
        <f>IF(AND(Input_Product=Elig!$C626,Elig_MatchAll_Ct&lt;22,$BC626=(Elig_MatchAll_Ct-1),AF626=0),C626,0)</f>
        <v>0</v>
      </c>
      <c r="BI626" s="216">
        <f>IF(AND(Input_Product=Elig!$C626,Elig_MatchAll_Ct&lt;22,$BC626=(Elig_MatchAll_Ct-1),AG626=0),D626,0)</f>
        <v>0</v>
      </c>
      <c r="BJ626" s="216">
        <f>IF(AND(Input_Product=Elig!$C626,Elig_MatchAll_Ct&lt;22,$BC626=(Elig_MatchAll_Ct-1),AH626=0),E626,0)</f>
        <v>0</v>
      </c>
      <c r="BK626" s="216">
        <f>IF(AND(Input_Product=Elig!$C626,Elig_MatchAll_Ct&lt;22,$BC626=(Elig_MatchAll_Ct-1),AI626=0),F626,0)</f>
        <v>0</v>
      </c>
      <c r="BL626" s="216">
        <f>IF(AND(Input_Product=Elig!$C626,Elig_MatchAll_Ct&lt;22,$BC626=(Elig_MatchAll_Ct-1),AJ626=0),G626,0)</f>
        <v>0</v>
      </c>
      <c r="BM626" s="216">
        <f>IF(AND(Input_Product=Elig!$C626,Elig_MatchAll_Ct&lt;22,$BC626=(Elig_MatchAll_Ct-1),AK626=0),H626,0)</f>
        <v>0</v>
      </c>
      <c r="BN626" s="216">
        <f>IF(AND(Input_Product=Elig!$C626,Elig_MatchAll_Ct&lt;22,$BC626=(Elig_MatchAll_Ct-1),AL626=0),I626,0)</f>
        <v>0</v>
      </c>
      <c r="BO626" s="216">
        <f>IF(AND(Input_Product=Elig!$C626,Elig_MatchAll_Ct&lt;22,$BC626=(Elig_MatchAll_Ct-1),AM626=0),J626,0)</f>
        <v>0</v>
      </c>
      <c r="BP626" s="216">
        <f>IF(AND(Input_Product=Elig!$C626,Elig_MatchAll_Ct&lt;22,$BC626=(Elig_MatchAll_Ct-1),AN626=0),K626,0)</f>
        <v>0</v>
      </c>
      <c r="BQ626" s="216">
        <f>IF(AND(Input_Product=Elig!$C626,Elig_MatchAll_Ct&lt;22,$BC626=(Elig_MatchAll_Ct-1),AP626=0),L626,0)</f>
        <v>0</v>
      </c>
      <c r="BR626" s="216">
        <f>IF(AND(Input_Product=Elig!$C626,Elig_MatchAll_Ct&lt;22,$BC626=(Elig_MatchAll_Ct-1),AO626=0),M626,0)</f>
        <v>0</v>
      </c>
      <c r="BS626" s="216">
        <f>IF(AND(Input_Product=Elig!$C626,Elig_MatchAll_Ct&lt;22,$BC626=(Elig_MatchAll_Ct-1),AQ626=0),N626,0)</f>
        <v>0</v>
      </c>
      <c r="BT626" s="216">
        <f>IF(AND(Input_Product=Elig!$C626,Elig_MatchAll_Ct&lt;22,$BC626=(Elig_MatchAll_Ct-1),AR626=0),O626,0)</f>
        <v>0</v>
      </c>
      <c r="BU626" s="216">
        <f>IF(AND(Input_Product=Elig!$C626,Elig_MatchAll_Ct&lt;22,$BC626=(Elig_MatchAll_Ct-1),AS626=0),P626,0)</f>
        <v>0</v>
      </c>
      <c r="BV626" s="217">
        <f>IF(AND(Input_Product=Elig!$C626,Elig_MatchAll_Ct&lt;22,$BC626=(Elig_MatchAll_Ct-1),AT626=0),Q626,0)</f>
        <v>0</v>
      </c>
      <c r="BW626" s="313">
        <f>IF(AND(Input_Product=Elig!$C626,Elig_MatchAll_Ct&lt;22,$BC626=(Elig_MatchAll_Ct-1),AU626=0),R626,0)</f>
        <v>0</v>
      </c>
      <c r="BX626" s="314">
        <f>IF(AND(Input_Product=Elig!$C626,Elig_MatchAll_Ct&lt;22,$BC626=(Elig_MatchAll_Ct-1),AU626=0),S626,0)</f>
        <v>0</v>
      </c>
      <c r="BY626" s="313">
        <f>IF(AND(Input_Product=Elig!$C626,Elig_MatchAll_Ct&lt;22,$BC626=(Elig_MatchAll_Ct-1),AV626=0),T626,0)</f>
        <v>0</v>
      </c>
      <c r="BZ626" s="314">
        <f>IF(AND(Input_Product=Elig!$C626,Elig_MatchAll_Ct&lt;22,$BC626=(Elig_MatchAll_Ct-1),AV626=0),U626,0)</f>
        <v>0</v>
      </c>
      <c r="CA626" s="313">
        <f>IF(AND(Input_Product=Elig!$C626,Elig_MatchAll_Ct&lt;22,$BC626=(Elig_MatchAll_Ct-1),AW626=0),V626,0)</f>
        <v>0</v>
      </c>
      <c r="CB626" s="314">
        <f>IF(AND(Input_Product=Elig!$C626,Elig_MatchAll_Ct&lt;22,$BC626=(Elig_MatchAll_Ct-1),AW626=0),W626,0)</f>
        <v>0</v>
      </c>
      <c r="CC626" s="313">
        <f>IF(AND(Input_Product=Elig!$C626,Elig_MatchAll_Ct&lt;22,$BC626=(Elig_MatchAll_Ct-1),AX626=0),X626,0)</f>
        <v>0</v>
      </c>
      <c r="CD626" s="314">
        <f>IF(AND(Input_Product=Elig!$C626,Elig_MatchAll_Ct&lt;22,$BC626=(Elig_MatchAll_Ct-1),AX626=0),Y626,0)</f>
        <v>0</v>
      </c>
      <c r="CE626" s="313">
        <f>IF(AND(Input_LTV&lt;=AE626,Input_Product=Elig!$C626,Elig_MatchAll_Ct&lt;22,$BC626=(Elig_MatchAll_Ct-1),AY626=0),Z626,0)</f>
        <v>0</v>
      </c>
      <c r="CF626" s="314">
        <f>IF(AND(Input_LTV&lt;=AE626,Input_Product=Elig!$C626,Elig_MatchAll_Ct&lt;22,$BC626=(Elig_MatchAll_Ct-1),AY626=0),AA626,0)</f>
        <v>0</v>
      </c>
      <c r="CG626" s="313">
        <f>IF(AND(Input_Product=Elig!$C626,Elig_MatchAll_Ct&lt;22,$BC626=(Elig_MatchAll_Ct-1),AZ626=0),AB626,0)</f>
        <v>0</v>
      </c>
      <c r="CH626" s="314">
        <f>IF(AND(Input_Product=Elig!$C626,Elig_MatchAll_Ct&lt;22,$BC626=(Elig_MatchAll_Ct-1),AZ626=0),AC626,0)</f>
        <v>0</v>
      </c>
      <c r="CI626" s="313">
        <f>IF(AND(Input_Product=Elig!$C626,Elig_MatchAll_Ct&lt;22,$BC626=(Elig_MatchAll_Ct-1),BA626=0),AD626,0)</f>
        <v>0</v>
      </c>
      <c r="CJ626" s="314">
        <f>IF(AND(Input_Product=Elig!$C626,Elig_MatchAll_Ct&lt;22,$BC626=(Elig_MatchAll_Ct-1),BA626=0),AE626,0)</f>
        <v>0</v>
      </c>
    </row>
    <row r="627" spans="2:88" ht="10.15" customHeight="1" x14ac:dyDescent="0.25">
      <c r="B627" s="2027" t="s">
        <v>1257</v>
      </c>
      <c r="C627" s="2028" t="str">
        <f t="shared" si="279"/>
        <v>Second OO</v>
      </c>
      <c r="D627" s="2027" t="s">
        <v>1561</v>
      </c>
      <c r="E627" s="2027" t="s">
        <v>98</v>
      </c>
      <c r="F627" s="2027" t="s">
        <v>328</v>
      </c>
      <c r="G627" s="2029" t="s">
        <v>303</v>
      </c>
      <c r="H627" s="2029" t="s">
        <v>136</v>
      </c>
      <c r="I627" s="2027" t="s">
        <v>1332</v>
      </c>
      <c r="J627" s="2027" t="s">
        <v>1311</v>
      </c>
      <c r="K627" s="2029" t="s">
        <v>1790</v>
      </c>
      <c r="L627" s="2027" t="s">
        <v>430</v>
      </c>
      <c r="M627" s="2027" t="s">
        <v>2677</v>
      </c>
      <c r="N627" s="2029" t="s">
        <v>82</v>
      </c>
      <c r="O627" s="2027" t="s">
        <v>310</v>
      </c>
      <c r="P627" s="2027" t="s">
        <v>291</v>
      </c>
      <c r="Q627" s="2027" t="s">
        <v>294</v>
      </c>
      <c r="R627" s="2027">
        <v>50000</v>
      </c>
      <c r="S627" s="2027">
        <v>350000</v>
      </c>
      <c r="T627" s="2027">
        <v>0</v>
      </c>
      <c r="U627" s="2027">
        <f t="shared" si="280"/>
        <v>350000</v>
      </c>
      <c r="V627" s="2027">
        <v>0</v>
      </c>
      <c r="W627" s="2027">
        <v>50</v>
      </c>
      <c r="X627" s="2027">
        <v>0</v>
      </c>
      <c r="Y627" s="2027">
        <v>999</v>
      </c>
      <c r="Z627" s="2030">
        <v>700</v>
      </c>
      <c r="AA627" s="2030">
        <v>719</v>
      </c>
      <c r="AB627" s="2030">
        <v>0</v>
      </c>
      <c r="AC627" s="2030">
        <v>999999</v>
      </c>
      <c r="AD627" s="2027">
        <v>0</v>
      </c>
      <c r="AE627" s="1483">
        <v>90</v>
      </c>
      <c r="AF627" s="170">
        <v>1</v>
      </c>
      <c r="AG627" s="171">
        <v>1</v>
      </c>
      <c r="AH627" s="171">
        <v>1</v>
      </c>
      <c r="AI627" s="171">
        <v>1</v>
      </c>
      <c r="AJ627" s="171">
        <v>1</v>
      </c>
      <c r="AK627" s="171">
        <v>1</v>
      </c>
      <c r="AL627" s="171">
        <v>1</v>
      </c>
      <c r="AM627" s="171">
        <v>1</v>
      </c>
      <c r="AN627" s="171">
        <v>1</v>
      </c>
      <c r="AO627" s="171">
        <v>1</v>
      </c>
      <c r="AP627" s="171">
        <v>1</v>
      </c>
      <c r="AQ627" s="171">
        <v>1</v>
      </c>
      <c r="AR627" s="171">
        <v>1</v>
      </c>
      <c r="AS627" s="171">
        <v>1</v>
      </c>
      <c r="AT627" s="171">
        <v>1</v>
      </c>
      <c r="AU627" s="171">
        <f t="shared" si="270"/>
        <v>1</v>
      </c>
      <c r="AV627" s="171">
        <f t="shared" si="271"/>
        <v>1</v>
      </c>
      <c r="AW627" s="171">
        <f t="shared" si="272"/>
        <v>1</v>
      </c>
      <c r="AX627" s="171">
        <f t="shared" si="197"/>
        <v>1</v>
      </c>
      <c r="AY627" s="171">
        <f t="shared" si="273"/>
        <v>0</v>
      </c>
      <c r="AZ627" s="171">
        <f t="shared" si="274"/>
        <v>1</v>
      </c>
      <c r="BA627" s="172">
        <f t="shared" si="275"/>
        <v>1</v>
      </c>
      <c r="BB627" s="175">
        <f t="shared" ref="BB627:BB706" si="281">SUM(AF627:BA627)</f>
        <v>21</v>
      </c>
      <c r="BC627" s="176">
        <f t="shared" ref="BC627:BC706" si="282">SUM(AF627:AZ627)</f>
        <v>20</v>
      </c>
      <c r="BD627" s="176">
        <f t="shared" ref="BD627:BD706" si="283">SUM(AG627:BA627)</f>
        <v>20</v>
      </c>
      <c r="BE627" s="240" t="str">
        <f t="shared" si="259"/>
        <v/>
      </c>
      <c r="BF627" s="234"/>
      <c r="BG627" s="234"/>
      <c r="BH627" s="199">
        <f>IF(AND(Input_Product=Elig!$C627,Elig_MatchAll_Ct&lt;22,$BC627=(Elig_MatchAll_Ct-1),AF627=0),C627,0)</f>
        <v>0</v>
      </c>
      <c r="BI627" s="199">
        <f>IF(AND(Input_Product=Elig!$C627,Elig_MatchAll_Ct&lt;22,$BC627=(Elig_MatchAll_Ct-1),AG627=0),D627,0)</f>
        <v>0</v>
      </c>
      <c r="BJ627" s="199">
        <f>IF(AND(Input_Product=Elig!$C627,Elig_MatchAll_Ct&lt;22,$BC627=(Elig_MatchAll_Ct-1),AH627=0),E627,0)</f>
        <v>0</v>
      </c>
      <c r="BK627" s="199">
        <f>IF(AND(Input_Product=Elig!$C627,Elig_MatchAll_Ct&lt;22,$BC627=(Elig_MatchAll_Ct-1),AI627=0),F627,0)</f>
        <v>0</v>
      </c>
      <c r="BL627" s="199">
        <f>IF(AND(Input_Product=Elig!$C627,Elig_MatchAll_Ct&lt;22,$BC627=(Elig_MatchAll_Ct-1),AJ627=0),G627,0)</f>
        <v>0</v>
      </c>
      <c r="BM627" s="199">
        <f>IF(AND(Input_Product=Elig!$C627,Elig_MatchAll_Ct&lt;22,$BC627=(Elig_MatchAll_Ct-1),AK627=0),H627,0)</f>
        <v>0</v>
      </c>
      <c r="BN627" s="199">
        <f>IF(AND(Input_Product=Elig!$C627,Elig_MatchAll_Ct&lt;22,$BC627=(Elig_MatchAll_Ct-1),AL627=0),I627,0)</f>
        <v>0</v>
      </c>
      <c r="BO627" s="199">
        <f>IF(AND(Input_Product=Elig!$C627,Elig_MatchAll_Ct&lt;22,$BC627=(Elig_MatchAll_Ct-1),AM627=0),J627,0)</f>
        <v>0</v>
      </c>
      <c r="BP627" s="199">
        <f>IF(AND(Input_Product=Elig!$C627,Elig_MatchAll_Ct&lt;22,$BC627=(Elig_MatchAll_Ct-1),AN627=0),K627,0)</f>
        <v>0</v>
      </c>
      <c r="BQ627" s="199">
        <f>IF(AND(Input_Product=Elig!$C627,Elig_MatchAll_Ct&lt;22,$BC627=(Elig_MatchAll_Ct-1),AP627=0),L627,0)</f>
        <v>0</v>
      </c>
      <c r="BR627" s="199">
        <f>IF(AND(Input_Product=Elig!$C627,Elig_MatchAll_Ct&lt;22,$BC627=(Elig_MatchAll_Ct-1),AO627=0),M627,0)</f>
        <v>0</v>
      </c>
      <c r="BS627" s="199">
        <f>IF(AND(Input_Product=Elig!$C627,Elig_MatchAll_Ct&lt;22,$BC627=(Elig_MatchAll_Ct-1),AQ627=0),N627,0)</f>
        <v>0</v>
      </c>
      <c r="BT627" s="199">
        <f>IF(AND(Input_Product=Elig!$C627,Elig_MatchAll_Ct&lt;22,$BC627=(Elig_MatchAll_Ct-1),AR627=0),O627,0)</f>
        <v>0</v>
      </c>
      <c r="BU627" s="199">
        <f>IF(AND(Input_Product=Elig!$C627,Elig_MatchAll_Ct&lt;22,$BC627=(Elig_MatchAll_Ct-1),AS627=0),P627,0)</f>
        <v>0</v>
      </c>
      <c r="BV627" s="200">
        <f>IF(AND(Input_Product=Elig!$C627,Elig_MatchAll_Ct&lt;22,$BC627=(Elig_MatchAll_Ct-1),AT627=0),Q627,0)</f>
        <v>0</v>
      </c>
      <c r="BW627" s="201">
        <f>IF(AND(Input_Product=Elig!$C627,Elig_MatchAll_Ct&lt;22,$BC627=(Elig_MatchAll_Ct-1),AU627=0),R627,0)</f>
        <v>0</v>
      </c>
      <c r="BX627" s="202">
        <f>IF(AND(Input_Product=Elig!$C627,Elig_MatchAll_Ct&lt;22,$BC627=(Elig_MatchAll_Ct-1),AU627=0),S627,0)</f>
        <v>0</v>
      </c>
      <c r="BY627" s="201">
        <f>IF(AND(Input_Product=Elig!$C627,Elig_MatchAll_Ct&lt;22,$BC627=(Elig_MatchAll_Ct-1),AV627=0),T627,0)</f>
        <v>0</v>
      </c>
      <c r="BZ627" s="202">
        <f>IF(AND(Input_Product=Elig!$C627,Elig_MatchAll_Ct&lt;22,$BC627=(Elig_MatchAll_Ct-1),AV627=0),U627,0)</f>
        <v>0</v>
      </c>
      <c r="CA627" s="201">
        <f>IF(AND(Input_Product=Elig!$C627,Elig_MatchAll_Ct&lt;22,$BC627=(Elig_MatchAll_Ct-1),AW627=0),V627,0)</f>
        <v>0</v>
      </c>
      <c r="CB627" s="202">
        <f>IF(AND(Input_Product=Elig!$C627,Elig_MatchAll_Ct&lt;22,$BC627=(Elig_MatchAll_Ct-1),AW627=0),W627,0)</f>
        <v>0</v>
      </c>
      <c r="CC627" s="201">
        <f>IF(AND(Input_Product=Elig!$C627,Elig_MatchAll_Ct&lt;22,$BC627=(Elig_MatchAll_Ct-1),AX627=0),X627,0)</f>
        <v>0</v>
      </c>
      <c r="CD627" s="202">
        <f>IF(AND(Input_Product=Elig!$C627,Elig_MatchAll_Ct&lt;22,$BC627=(Elig_MatchAll_Ct-1),AX627=0),Y627,0)</f>
        <v>0</v>
      </c>
      <c r="CE627" s="201">
        <f>IF(AND(Input_LTV&lt;=AE627,Input_Product=Elig!$C627,Elig_MatchAll_Ct&lt;22,$BC627=(Elig_MatchAll_Ct-1),AY627=0),Z627,0)</f>
        <v>0</v>
      </c>
      <c r="CF627" s="202">
        <f>IF(AND(Input_LTV&lt;=AE627,Input_Product=Elig!$C627,Elig_MatchAll_Ct&lt;22,$BC627=(Elig_MatchAll_Ct-1),AY627=0),AA627,0)</f>
        <v>0</v>
      </c>
      <c r="CG627" s="201">
        <f>IF(AND(Input_Product=Elig!$C627,Elig_MatchAll_Ct&lt;22,$BC627=(Elig_MatchAll_Ct-1),AZ627=0),AB627,0)</f>
        <v>0</v>
      </c>
      <c r="CH627" s="202">
        <f>IF(AND(Input_Product=Elig!$C627,Elig_MatchAll_Ct&lt;22,$BC627=(Elig_MatchAll_Ct-1),AZ627=0),AC627,0)</f>
        <v>0</v>
      </c>
      <c r="CI627" s="201">
        <f>IF(AND(Input_Product=Elig!$C627,Elig_MatchAll_Ct&lt;22,$BC627=(Elig_MatchAll_Ct-1),BA627=0),AD627,0)</f>
        <v>0</v>
      </c>
      <c r="CJ627" s="202">
        <f>IF(AND(Input_Product=Elig!$C627,Elig_MatchAll_Ct&lt;22,$BC627=(Elig_MatchAll_Ct-1),BA627=0),AE627,0)</f>
        <v>0</v>
      </c>
    </row>
    <row r="628" spans="2:88" ht="10.15" customHeight="1" x14ac:dyDescent="0.25">
      <c r="B628" s="2027" t="s">
        <v>1258</v>
      </c>
      <c r="C628" s="2028" t="str">
        <f t="shared" si="279"/>
        <v>Second OO</v>
      </c>
      <c r="D628" s="2027" t="s">
        <v>1561</v>
      </c>
      <c r="E628" s="2027" t="s">
        <v>98</v>
      </c>
      <c r="F628" s="2027" t="s">
        <v>328</v>
      </c>
      <c r="G628" s="2029" t="s">
        <v>303</v>
      </c>
      <c r="H628" s="2029" t="s">
        <v>136</v>
      </c>
      <c r="I628" s="2027" t="s">
        <v>1332</v>
      </c>
      <c r="J628" s="2027" t="s">
        <v>1311</v>
      </c>
      <c r="K628" s="2029" t="s">
        <v>1790</v>
      </c>
      <c r="L628" s="2027" t="s">
        <v>430</v>
      </c>
      <c r="M628" s="2027" t="s">
        <v>2677</v>
      </c>
      <c r="N628" s="2029" t="s">
        <v>82</v>
      </c>
      <c r="O628" s="2027" t="s">
        <v>310</v>
      </c>
      <c r="P628" s="2027" t="s">
        <v>291</v>
      </c>
      <c r="Q628" s="2027" t="s">
        <v>294</v>
      </c>
      <c r="R628" s="2027">
        <v>50000</v>
      </c>
      <c r="S628" s="2027">
        <v>350000</v>
      </c>
      <c r="T628" s="2027">
        <v>0</v>
      </c>
      <c r="U628" s="2027">
        <f t="shared" si="280"/>
        <v>350000</v>
      </c>
      <c r="V628" s="2027">
        <v>0</v>
      </c>
      <c r="W628" s="2027">
        <v>50</v>
      </c>
      <c r="X628" s="2027">
        <v>0</v>
      </c>
      <c r="Y628" s="2027">
        <v>999</v>
      </c>
      <c r="Z628" s="2030">
        <v>680</v>
      </c>
      <c r="AA628" s="2030">
        <v>699</v>
      </c>
      <c r="AB628" s="2030">
        <v>0</v>
      </c>
      <c r="AC628" s="2030">
        <v>999999</v>
      </c>
      <c r="AD628" s="2027">
        <v>0</v>
      </c>
      <c r="AE628" s="1483">
        <v>85</v>
      </c>
      <c r="AF628" s="170">
        <v>1</v>
      </c>
      <c r="AG628" s="171">
        <v>1</v>
      </c>
      <c r="AH628" s="171">
        <v>1</v>
      </c>
      <c r="AI628" s="171">
        <v>1</v>
      </c>
      <c r="AJ628" s="171">
        <v>1</v>
      </c>
      <c r="AK628" s="171">
        <v>1</v>
      </c>
      <c r="AL628" s="171">
        <v>1</v>
      </c>
      <c r="AM628" s="171">
        <v>1</v>
      </c>
      <c r="AN628" s="171">
        <v>1</v>
      </c>
      <c r="AO628" s="171">
        <v>1</v>
      </c>
      <c r="AP628" s="171">
        <v>1</v>
      </c>
      <c r="AQ628" s="171">
        <v>1</v>
      </c>
      <c r="AR628" s="171">
        <v>1</v>
      </c>
      <c r="AS628" s="171">
        <v>1</v>
      </c>
      <c r="AT628" s="171">
        <v>1</v>
      </c>
      <c r="AU628" s="171">
        <f t="shared" si="270"/>
        <v>1</v>
      </c>
      <c r="AV628" s="171">
        <f t="shared" si="271"/>
        <v>1</v>
      </c>
      <c r="AW628" s="171">
        <f t="shared" si="272"/>
        <v>1</v>
      </c>
      <c r="AX628" s="171">
        <f t="shared" si="197"/>
        <v>1</v>
      </c>
      <c r="AY628" s="171">
        <f t="shared" si="273"/>
        <v>0</v>
      </c>
      <c r="AZ628" s="171">
        <f t="shared" si="274"/>
        <v>1</v>
      </c>
      <c r="BA628" s="172">
        <f t="shared" si="275"/>
        <v>1</v>
      </c>
      <c r="BB628" s="175">
        <f t="shared" si="281"/>
        <v>21</v>
      </c>
      <c r="BC628" s="176">
        <f t="shared" si="282"/>
        <v>20</v>
      </c>
      <c r="BD628" s="176">
        <f t="shared" si="283"/>
        <v>20</v>
      </c>
      <c r="BE628" s="240" t="str">
        <f t="shared" si="259"/>
        <v/>
      </c>
      <c r="BF628" s="234"/>
      <c r="BG628" s="234"/>
      <c r="BH628" s="199">
        <f>IF(AND(Input_Product=Elig!$C628,Elig_MatchAll_Ct&lt;22,$BC628=(Elig_MatchAll_Ct-1),AF628=0),C628,0)</f>
        <v>0</v>
      </c>
      <c r="BI628" s="199">
        <f>IF(AND(Input_Product=Elig!$C628,Elig_MatchAll_Ct&lt;22,$BC628=(Elig_MatchAll_Ct-1),AG628=0),D628,0)</f>
        <v>0</v>
      </c>
      <c r="BJ628" s="199">
        <f>IF(AND(Input_Product=Elig!$C628,Elig_MatchAll_Ct&lt;22,$BC628=(Elig_MatchAll_Ct-1),AH628=0),E628,0)</f>
        <v>0</v>
      </c>
      <c r="BK628" s="199">
        <f>IF(AND(Input_Product=Elig!$C628,Elig_MatchAll_Ct&lt;22,$BC628=(Elig_MatchAll_Ct-1),AI628=0),F628,0)</f>
        <v>0</v>
      </c>
      <c r="BL628" s="199">
        <f>IF(AND(Input_Product=Elig!$C628,Elig_MatchAll_Ct&lt;22,$BC628=(Elig_MatchAll_Ct-1),AJ628=0),G628,0)</f>
        <v>0</v>
      </c>
      <c r="BM628" s="199">
        <f>IF(AND(Input_Product=Elig!$C628,Elig_MatchAll_Ct&lt;22,$BC628=(Elig_MatchAll_Ct-1),AK628=0),H628,0)</f>
        <v>0</v>
      </c>
      <c r="BN628" s="199">
        <f>IF(AND(Input_Product=Elig!$C628,Elig_MatchAll_Ct&lt;22,$BC628=(Elig_MatchAll_Ct-1),AL628=0),I628,0)</f>
        <v>0</v>
      </c>
      <c r="BO628" s="199">
        <f>IF(AND(Input_Product=Elig!$C628,Elig_MatchAll_Ct&lt;22,$BC628=(Elig_MatchAll_Ct-1),AM628=0),J628,0)</f>
        <v>0</v>
      </c>
      <c r="BP628" s="199">
        <f>IF(AND(Input_Product=Elig!$C628,Elig_MatchAll_Ct&lt;22,$BC628=(Elig_MatchAll_Ct-1),AN628=0),K628,0)</f>
        <v>0</v>
      </c>
      <c r="BQ628" s="199">
        <f>IF(AND(Input_Product=Elig!$C628,Elig_MatchAll_Ct&lt;22,$BC628=(Elig_MatchAll_Ct-1),AP628=0),L628,0)</f>
        <v>0</v>
      </c>
      <c r="BR628" s="199">
        <f>IF(AND(Input_Product=Elig!$C628,Elig_MatchAll_Ct&lt;22,$BC628=(Elig_MatchAll_Ct-1),AO628=0),M628,0)</f>
        <v>0</v>
      </c>
      <c r="BS628" s="199">
        <f>IF(AND(Input_Product=Elig!$C628,Elig_MatchAll_Ct&lt;22,$BC628=(Elig_MatchAll_Ct-1),AQ628=0),N628,0)</f>
        <v>0</v>
      </c>
      <c r="BT628" s="199">
        <f>IF(AND(Input_Product=Elig!$C628,Elig_MatchAll_Ct&lt;22,$BC628=(Elig_MatchAll_Ct-1),AR628=0),O628,0)</f>
        <v>0</v>
      </c>
      <c r="BU628" s="199">
        <f>IF(AND(Input_Product=Elig!$C628,Elig_MatchAll_Ct&lt;22,$BC628=(Elig_MatchAll_Ct-1),AS628=0),P628,0)</f>
        <v>0</v>
      </c>
      <c r="BV628" s="200">
        <f>IF(AND(Input_Product=Elig!$C628,Elig_MatchAll_Ct&lt;22,$BC628=(Elig_MatchAll_Ct-1),AT628=0),Q628,0)</f>
        <v>0</v>
      </c>
      <c r="BW628" s="201">
        <f>IF(AND(Input_Product=Elig!$C628,Elig_MatchAll_Ct&lt;22,$BC628=(Elig_MatchAll_Ct-1),AU628=0),R628,0)</f>
        <v>0</v>
      </c>
      <c r="BX628" s="202">
        <f>IF(AND(Input_Product=Elig!$C628,Elig_MatchAll_Ct&lt;22,$BC628=(Elig_MatchAll_Ct-1),AU628=0),S628,0)</f>
        <v>0</v>
      </c>
      <c r="BY628" s="201">
        <f>IF(AND(Input_Product=Elig!$C628,Elig_MatchAll_Ct&lt;22,$BC628=(Elig_MatchAll_Ct-1),AV628=0),T628,0)</f>
        <v>0</v>
      </c>
      <c r="BZ628" s="202">
        <f>IF(AND(Input_Product=Elig!$C628,Elig_MatchAll_Ct&lt;22,$BC628=(Elig_MatchAll_Ct-1),AV628=0),U628,0)</f>
        <v>0</v>
      </c>
      <c r="CA628" s="201">
        <f>IF(AND(Input_Product=Elig!$C628,Elig_MatchAll_Ct&lt;22,$BC628=(Elig_MatchAll_Ct-1),AW628=0),V628,0)</f>
        <v>0</v>
      </c>
      <c r="CB628" s="202">
        <f>IF(AND(Input_Product=Elig!$C628,Elig_MatchAll_Ct&lt;22,$BC628=(Elig_MatchAll_Ct-1),AW628=0),W628,0)</f>
        <v>0</v>
      </c>
      <c r="CC628" s="201">
        <f>IF(AND(Input_Product=Elig!$C628,Elig_MatchAll_Ct&lt;22,$BC628=(Elig_MatchAll_Ct-1),AX628=0),X628,0)</f>
        <v>0</v>
      </c>
      <c r="CD628" s="202">
        <f>IF(AND(Input_Product=Elig!$C628,Elig_MatchAll_Ct&lt;22,$BC628=(Elig_MatchAll_Ct-1),AX628=0),Y628,0)</f>
        <v>0</v>
      </c>
      <c r="CE628" s="201">
        <f>IF(AND(Input_LTV&lt;=AE628,Input_Product=Elig!$C628,Elig_MatchAll_Ct&lt;22,$BC628=(Elig_MatchAll_Ct-1),AY628=0),Z628,0)</f>
        <v>0</v>
      </c>
      <c r="CF628" s="202">
        <f>IF(AND(Input_LTV&lt;=AE628,Input_Product=Elig!$C628,Elig_MatchAll_Ct&lt;22,$BC628=(Elig_MatchAll_Ct-1),AY628=0),AA628,0)</f>
        <v>0</v>
      </c>
      <c r="CG628" s="201">
        <f>IF(AND(Input_Product=Elig!$C628,Elig_MatchAll_Ct&lt;22,$BC628=(Elig_MatchAll_Ct-1),AZ628=0),AB628,0)</f>
        <v>0</v>
      </c>
      <c r="CH628" s="202">
        <f>IF(AND(Input_Product=Elig!$C628,Elig_MatchAll_Ct&lt;22,$BC628=(Elig_MatchAll_Ct-1),AZ628=0),AC628,0)</f>
        <v>0</v>
      </c>
      <c r="CI628" s="201">
        <f>IF(AND(Input_Product=Elig!$C628,Elig_MatchAll_Ct&lt;22,$BC628=(Elig_MatchAll_Ct-1),BA628=0),AD628,0)</f>
        <v>0</v>
      </c>
      <c r="CJ628" s="202">
        <f>IF(AND(Input_Product=Elig!$C628,Elig_MatchAll_Ct&lt;22,$BC628=(Elig_MatchAll_Ct-1),BA628=0),AE628,0)</f>
        <v>0</v>
      </c>
    </row>
    <row r="629" spans="2:88" ht="10.15" customHeight="1" x14ac:dyDescent="0.25">
      <c r="B629" s="2027" t="s">
        <v>1259</v>
      </c>
      <c r="C629" s="2032" t="str">
        <f t="shared" si="279"/>
        <v>Second OO</v>
      </c>
      <c r="D629" s="2031" t="s">
        <v>1561</v>
      </c>
      <c r="E629" s="2031" t="s">
        <v>98</v>
      </c>
      <c r="F629" s="2031" t="s">
        <v>328</v>
      </c>
      <c r="G629" s="2033" t="s">
        <v>303</v>
      </c>
      <c r="H629" s="2033" t="s">
        <v>136</v>
      </c>
      <c r="I629" s="2031" t="s">
        <v>1332</v>
      </c>
      <c r="J629" s="2031" t="s">
        <v>1311</v>
      </c>
      <c r="K629" s="2033" t="s">
        <v>1790</v>
      </c>
      <c r="L629" s="2031" t="s">
        <v>430</v>
      </c>
      <c r="M629" s="2031" t="s">
        <v>2677</v>
      </c>
      <c r="N629" s="2033" t="s">
        <v>82</v>
      </c>
      <c r="O629" s="2031" t="s">
        <v>310</v>
      </c>
      <c r="P629" s="2031" t="s">
        <v>291</v>
      </c>
      <c r="Q629" s="2031" t="s">
        <v>294</v>
      </c>
      <c r="R629" s="2031">
        <v>50000</v>
      </c>
      <c r="S629" s="2031">
        <v>350000</v>
      </c>
      <c r="T629" s="2031">
        <v>0</v>
      </c>
      <c r="U629" s="2031">
        <f t="shared" si="280"/>
        <v>350000</v>
      </c>
      <c r="V629" s="2031">
        <v>0</v>
      </c>
      <c r="W629" s="2031">
        <v>50</v>
      </c>
      <c r="X629" s="2031">
        <v>0</v>
      </c>
      <c r="Y629" s="2031">
        <v>999</v>
      </c>
      <c r="Z629" s="2034">
        <v>660</v>
      </c>
      <c r="AA629" s="2034">
        <v>679</v>
      </c>
      <c r="AB629" s="2034">
        <v>0</v>
      </c>
      <c r="AC629" s="2034">
        <v>999999</v>
      </c>
      <c r="AD629" s="2031">
        <v>0</v>
      </c>
      <c r="AE629" s="1484">
        <v>80</v>
      </c>
      <c r="AF629" s="170">
        <v>1</v>
      </c>
      <c r="AG629" s="171">
        <v>1</v>
      </c>
      <c r="AH629" s="171">
        <v>1</v>
      </c>
      <c r="AI629" s="171">
        <v>1</v>
      </c>
      <c r="AJ629" s="171">
        <v>1</v>
      </c>
      <c r="AK629" s="171">
        <v>1</v>
      </c>
      <c r="AL629" s="171">
        <v>1</v>
      </c>
      <c r="AM629" s="171">
        <v>1</v>
      </c>
      <c r="AN629" s="171">
        <v>1</v>
      </c>
      <c r="AO629" s="171">
        <v>1</v>
      </c>
      <c r="AP629" s="171">
        <v>1</v>
      </c>
      <c r="AQ629" s="171">
        <v>1</v>
      </c>
      <c r="AR629" s="171">
        <v>1</v>
      </c>
      <c r="AS629" s="171">
        <v>1</v>
      </c>
      <c r="AT629" s="171">
        <v>1</v>
      </c>
      <c r="AU629" s="171">
        <f t="shared" si="270"/>
        <v>1</v>
      </c>
      <c r="AV629" s="171">
        <f t="shared" si="271"/>
        <v>1</v>
      </c>
      <c r="AW629" s="171">
        <f t="shared" si="272"/>
        <v>1</v>
      </c>
      <c r="AX629" s="171">
        <f t="shared" si="197"/>
        <v>1</v>
      </c>
      <c r="AY629" s="171">
        <f t="shared" si="273"/>
        <v>0</v>
      </c>
      <c r="AZ629" s="171">
        <f t="shared" si="274"/>
        <v>1</v>
      </c>
      <c r="BA629" s="172">
        <f t="shared" si="275"/>
        <v>1</v>
      </c>
      <c r="BB629" s="175">
        <f t="shared" si="281"/>
        <v>21</v>
      </c>
      <c r="BC629" s="176">
        <f t="shared" si="282"/>
        <v>20</v>
      </c>
      <c r="BD629" s="176">
        <f t="shared" si="283"/>
        <v>20</v>
      </c>
      <c r="BE629" s="240" t="str">
        <f t="shared" si="259"/>
        <v/>
      </c>
      <c r="BF629" s="234"/>
      <c r="BG629" s="234"/>
      <c r="BH629" s="214">
        <f>IF(AND(Input_Product=Elig!$C629,Elig_MatchAll_Ct&lt;22,$BC629=(Elig_MatchAll_Ct-1),AF629=0),C629,0)</f>
        <v>0</v>
      </c>
      <c r="BI629" s="214">
        <f>IF(AND(Input_Product=Elig!$C629,Elig_MatchAll_Ct&lt;22,$BC629=(Elig_MatchAll_Ct-1),AG629=0),D629,0)</f>
        <v>0</v>
      </c>
      <c r="BJ629" s="214">
        <f>IF(AND(Input_Product=Elig!$C629,Elig_MatchAll_Ct&lt;22,$BC629=(Elig_MatchAll_Ct-1),AH629=0),E629,0)</f>
        <v>0</v>
      </c>
      <c r="BK629" s="214">
        <f>IF(AND(Input_Product=Elig!$C629,Elig_MatchAll_Ct&lt;22,$BC629=(Elig_MatchAll_Ct-1),AI629=0),F629,0)</f>
        <v>0</v>
      </c>
      <c r="BL629" s="214">
        <f>IF(AND(Input_Product=Elig!$C629,Elig_MatchAll_Ct&lt;22,$BC629=(Elig_MatchAll_Ct-1),AJ629=0),G629,0)</f>
        <v>0</v>
      </c>
      <c r="BM629" s="214">
        <f>IF(AND(Input_Product=Elig!$C629,Elig_MatchAll_Ct&lt;22,$BC629=(Elig_MatchAll_Ct-1),AK629=0),H629,0)</f>
        <v>0</v>
      </c>
      <c r="BN629" s="214">
        <f>IF(AND(Input_Product=Elig!$C629,Elig_MatchAll_Ct&lt;22,$BC629=(Elig_MatchAll_Ct-1),AL629=0),I629,0)</f>
        <v>0</v>
      </c>
      <c r="BO629" s="214">
        <f>IF(AND(Input_Product=Elig!$C629,Elig_MatchAll_Ct&lt;22,$BC629=(Elig_MatchAll_Ct-1),AM629=0),J629,0)</f>
        <v>0</v>
      </c>
      <c r="BP629" s="214">
        <f>IF(AND(Input_Product=Elig!$C629,Elig_MatchAll_Ct&lt;22,$BC629=(Elig_MatchAll_Ct-1),AN629=0),K629,0)</f>
        <v>0</v>
      </c>
      <c r="BQ629" s="214">
        <f>IF(AND(Input_Product=Elig!$C629,Elig_MatchAll_Ct&lt;22,$BC629=(Elig_MatchAll_Ct-1),AP629=0),L629,0)</f>
        <v>0</v>
      </c>
      <c r="BR629" s="214">
        <f>IF(AND(Input_Product=Elig!$C629,Elig_MatchAll_Ct&lt;22,$BC629=(Elig_MatchAll_Ct-1),AO629=0),M629,0)</f>
        <v>0</v>
      </c>
      <c r="BS629" s="214">
        <f>IF(AND(Input_Product=Elig!$C629,Elig_MatchAll_Ct&lt;22,$BC629=(Elig_MatchAll_Ct-1),AQ629=0),N629,0)</f>
        <v>0</v>
      </c>
      <c r="BT629" s="214">
        <f>IF(AND(Input_Product=Elig!$C629,Elig_MatchAll_Ct&lt;22,$BC629=(Elig_MatchAll_Ct-1),AR629=0),O629,0)</f>
        <v>0</v>
      </c>
      <c r="BU629" s="214">
        <f>IF(AND(Input_Product=Elig!$C629,Elig_MatchAll_Ct&lt;22,$BC629=(Elig_MatchAll_Ct-1),AS629=0),P629,0)</f>
        <v>0</v>
      </c>
      <c r="BV629" s="215">
        <f>IF(AND(Input_Product=Elig!$C629,Elig_MatchAll_Ct&lt;22,$BC629=(Elig_MatchAll_Ct-1),AT629=0),Q629,0)</f>
        <v>0</v>
      </c>
      <c r="BW629" s="311">
        <f>IF(AND(Input_Product=Elig!$C629,Elig_MatchAll_Ct&lt;22,$BC629=(Elig_MatchAll_Ct-1),AU629=0),R629,0)</f>
        <v>0</v>
      </c>
      <c r="BX629" s="312">
        <f>IF(AND(Input_Product=Elig!$C629,Elig_MatchAll_Ct&lt;22,$BC629=(Elig_MatchAll_Ct-1),AU629=0),S629,0)</f>
        <v>0</v>
      </c>
      <c r="BY629" s="311">
        <f>IF(AND(Input_Product=Elig!$C629,Elig_MatchAll_Ct&lt;22,$BC629=(Elig_MatchAll_Ct-1),AV629=0),T629,0)</f>
        <v>0</v>
      </c>
      <c r="BZ629" s="312">
        <f>IF(AND(Input_Product=Elig!$C629,Elig_MatchAll_Ct&lt;22,$BC629=(Elig_MatchAll_Ct-1),AV629=0),U629,0)</f>
        <v>0</v>
      </c>
      <c r="CA629" s="311">
        <f>IF(AND(Input_Product=Elig!$C629,Elig_MatchAll_Ct&lt;22,$BC629=(Elig_MatchAll_Ct-1),AW629=0),V629,0)</f>
        <v>0</v>
      </c>
      <c r="CB629" s="312">
        <f>IF(AND(Input_Product=Elig!$C629,Elig_MatchAll_Ct&lt;22,$BC629=(Elig_MatchAll_Ct-1),AW629=0),W629,0)</f>
        <v>0</v>
      </c>
      <c r="CC629" s="311">
        <f>IF(AND(Input_Product=Elig!$C629,Elig_MatchAll_Ct&lt;22,$BC629=(Elig_MatchAll_Ct-1),AX629=0),X629,0)</f>
        <v>0</v>
      </c>
      <c r="CD629" s="312">
        <f>IF(AND(Input_Product=Elig!$C629,Elig_MatchAll_Ct&lt;22,$BC629=(Elig_MatchAll_Ct-1),AX629=0),Y629,0)</f>
        <v>0</v>
      </c>
      <c r="CE629" s="311">
        <f>IF(AND(Input_LTV&lt;=AE629,Input_Product=Elig!$C629,Elig_MatchAll_Ct&lt;22,$BC629=(Elig_MatchAll_Ct-1),AY629=0),Z629,0)</f>
        <v>0</v>
      </c>
      <c r="CF629" s="312">
        <f>IF(AND(Input_LTV&lt;=AE629,Input_Product=Elig!$C629,Elig_MatchAll_Ct&lt;22,$BC629=(Elig_MatchAll_Ct-1),AY629=0),AA629,0)</f>
        <v>0</v>
      </c>
      <c r="CG629" s="311">
        <f>IF(AND(Input_Product=Elig!$C629,Elig_MatchAll_Ct&lt;22,$BC629=(Elig_MatchAll_Ct-1),AZ629=0),AB629,0)</f>
        <v>0</v>
      </c>
      <c r="CH629" s="312">
        <f>IF(AND(Input_Product=Elig!$C629,Elig_MatchAll_Ct&lt;22,$BC629=(Elig_MatchAll_Ct-1),AZ629=0),AC629,0)</f>
        <v>0</v>
      </c>
      <c r="CI629" s="311">
        <f>IF(AND(Input_Product=Elig!$C629,Elig_MatchAll_Ct&lt;22,$BC629=(Elig_MatchAll_Ct-1),BA629=0),AD629,0)</f>
        <v>0</v>
      </c>
      <c r="CJ629" s="312">
        <f>IF(AND(Input_Product=Elig!$C629,Elig_MatchAll_Ct&lt;22,$BC629=(Elig_MatchAll_Ct-1),BA629=0),AE629,0)</f>
        <v>0</v>
      </c>
    </row>
    <row r="630" spans="2:88" ht="10.15" customHeight="1" x14ac:dyDescent="0.25">
      <c r="B630" s="2027" t="s">
        <v>1260</v>
      </c>
      <c r="C630" s="2024" t="str">
        <f t="shared" si="279"/>
        <v>Second OO</v>
      </c>
      <c r="D630" s="2025" t="s">
        <v>1302</v>
      </c>
      <c r="E630" s="2025" t="s">
        <v>98</v>
      </c>
      <c r="F630" s="2025" t="s">
        <v>328</v>
      </c>
      <c r="G630" s="2025" t="s">
        <v>303</v>
      </c>
      <c r="H630" s="2025" t="s">
        <v>136</v>
      </c>
      <c r="I630" s="2023" t="s">
        <v>1332</v>
      </c>
      <c r="J630" s="2023" t="s">
        <v>1311</v>
      </c>
      <c r="K630" s="2025" t="s">
        <v>1790</v>
      </c>
      <c r="L630" s="2023" t="s">
        <v>430</v>
      </c>
      <c r="M630" s="2023" t="s">
        <v>2677</v>
      </c>
      <c r="N630" s="2025" t="s">
        <v>82</v>
      </c>
      <c r="O630" s="2023" t="s">
        <v>310</v>
      </c>
      <c r="P630" s="2023" t="s">
        <v>291</v>
      </c>
      <c r="Q630" s="2023" t="s">
        <v>294</v>
      </c>
      <c r="R630" s="2023">
        <v>200000</v>
      </c>
      <c r="S630" s="2023">
        <v>350000</v>
      </c>
      <c r="T630" s="2023">
        <v>0</v>
      </c>
      <c r="U630" s="2023">
        <f t="shared" si="280"/>
        <v>350000</v>
      </c>
      <c r="V630" s="2023">
        <v>0</v>
      </c>
      <c r="W630" s="2023">
        <v>50</v>
      </c>
      <c r="X630" s="2023">
        <v>0</v>
      </c>
      <c r="Y630" s="2023">
        <v>999</v>
      </c>
      <c r="Z630" s="2026">
        <v>720</v>
      </c>
      <c r="AA630" s="2026">
        <v>999</v>
      </c>
      <c r="AB630" s="2026">
        <v>0</v>
      </c>
      <c r="AC630" s="2026">
        <v>999999</v>
      </c>
      <c r="AD630" s="2023">
        <v>0</v>
      </c>
      <c r="AE630" s="1482">
        <v>90</v>
      </c>
      <c r="AF630" s="170">
        <v>1</v>
      </c>
      <c r="AG630" s="171">
        <v>0</v>
      </c>
      <c r="AH630" s="171">
        <v>1</v>
      </c>
      <c r="AI630" s="171">
        <v>1</v>
      </c>
      <c r="AJ630" s="171">
        <v>1</v>
      </c>
      <c r="AK630" s="171">
        <v>1</v>
      </c>
      <c r="AL630" s="171">
        <v>1</v>
      </c>
      <c r="AM630" s="171">
        <v>1</v>
      </c>
      <c r="AN630" s="171">
        <v>1</v>
      </c>
      <c r="AO630" s="171">
        <v>1</v>
      </c>
      <c r="AP630" s="171">
        <v>1</v>
      </c>
      <c r="AQ630" s="171">
        <v>1</v>
      </c>
      <c r="AR630" s="171">
        <v>1</v>
      </c>
      <c r="AS630" s="171">
        <v>1</v>
      </c>
      <c r="AT630" s="171">
        <v>1</v>
      </c>
      <c r="AU630" s="171">
        <f t="shared" si="270"/>
        <v>1</v>
      </c>
      <c r="AV630" s="171">
        <f t="shared" si="271"/>
        <v>1</v>
      </c>
      <c r="AW630" s="171">
        <f t="shared" si="272"/>
        <v>1</v>
      </c>
      <c r="AX630" s="171">
        <f t="shared" si="197"/>
        <v>1</v>
      </c>
      <c r="AY630" s="171">
        <f t="shared" si="273"/>
        <v>1</v>
      </c>
      <c r="AZ630" s="171">
        <f t="shared" si="274"/>
        <v>1</v>
      </c>
      <c r="BA630" s="172">
        <f t="shared" si="275"/>
        <v>1</v>
      </c>
      <c r="BB630" s="175">
        <f t="shared" si="281"/>
        <v>21</v>
      </c>
      <c r="BC630" s="176">
        <f t="shared" si="282"/>
        <v>20</v>
      </c>
      <c r="BD630" s="176">
        <f t="shared" si="283"/>
        <v>20</v>
      </c>
      <c r="BE630" s="240" t="str">
        <f t="shared" si="259"/>
        <v/>
      </c>
      <c r="BF630" s="220"/>
      <c r="BG630" s="220"/>
      <c r="BH630" s="216">
        <f>IF(AND(Input_Product=Elig!$C630,Elig_MatchAll_Ct&lt;22,$BC630=(Elig_MatchAll_Ct-1),AF630=0),C630,0)</f>
        <v>0</v>
      </c>
      <c r="BI630" s="216">
        <f>IF(AND(Input_Product=Elig!$C630,Elig_MatchAll_Ct&lt;22,$BC630=(Elig_MatchAll_Ct-1),AG630=0),D630,0)</f>
        <v>0</v>
      </c>
      <c r="BJ630" s="216">
        <f>IF(AND(Input_Product=Elig!$C630,Elig_MatchAll_Ct&lt;22,$BC630=(Elig_MatchAll_Ct-1),AH630=0),E630,0)</f>
        <v>0</v>
      </c>
      <c r="BK630" s="216">
        <f>IF(AND(Input_Product=Elig!$C630,Elig_MatchAll_Ct&lt;22,$BC630=(Elig_MatchAll_Ct-1),AI630=0),F630,0)</f>
        <v>0</v>
      </c>
      <c r="BL630" s="216">
        <f>IF(AND(Input_Product=Elig!$C630,Elig_MatchAll_Ct&lt;22,$BC630=(Elig_MatchAll_Ct-1),AJ630=0),G630,0)</f>
        <v>0</v>
      </c>
      <c r="BM630" s="216">
        <f>IF(AND(Input_Product=Elig!$C630,Elig_MatchAll_Ct&lt;22,$BC630=(Elig_MatchAll_Ct-1),AK630=0),H630,0)</f>
        <v>0</v>
      </c>
      <c r="BN630" s="216">
        <f>IF(AND(Input_Product=Elig!$C630,Elig_MatchAll_Ct&lt;22,$BC630=(Elig_MatchAll_Ct-1),AL630=0),I630,0)</f>
        <v>0</v>
      </c>
      <c r="BO630" s="216">
        <f>IF(AND(Input_Product=Elig!$C630,Elig_MatchAll_Ct&lt;22,$BC630=(Elig_MatchAll_Ct-1),AM630=0),J630,0)</f>
        <v>0</v>
      </c>
      <c r="BP630" s="216">
        <f>IF(AND(Input_Product=Elig!$C630,Elig_MatchAll_Ct&lt;22,$BC630=(Elig_MatchAll_Ct-1),AN630=0),K630,0)</f>
        <v>0</v>
      </c>
      <c r="BQ630" s="216">
        <f>IF(AND(Input_Product=Elig!$C630,Elig_MatchAll_Ct&lt;22,$BC630=(Elig_MatchAll_Ct-1),AP630=0),L630,0)</f>
        <v>0</v>
      </c>
      <c r="BR630" s="216">
        <f>IF(AND(Input_Product=Elig!$C630,Elig_MatchAll_Ct&lt;22,$BC630=(Elig_MatchAll_Ct-1),AO630=0),M630,0)</f>
        <v>0</v>
      </c>
      <c r="BS630" s="216">
        <f>IF(AND(Input_Product=Elig!$C630,Elig_MatchAll_Ct&lt;22,$BC630=(Elig_MatchAll_Ct-1),AQ630=0),N630,0)</f>
        <v>0</v>
      </c>
      <c r="BT630" s="216">
        <f>IF(AND(Input_Product=Elig!$C630,Elig_MatchAll_Ct&lt;22,$BC630=(Elig_MatchAll_Ct-1),AR630=0),O630,0)</f>
        <v>0</v>
      </c>
      <c r="BU630" s="216">
        <f>IF(AND(Input_Product=Elig!$C630,Elig_MatchAll_Ct&lt;22,$BC630=(Elig_MatchAll_Ct-1),AS630=0),P630,0)</f>
        <v>0</v>
      </c>
      <c r="BV630" s="217">
        <f>IF(AND(Input_Product=Elig!$C630,Elig_MatchAll_Ct&lt;22,$BC630=(Elig_MatchAll_Ct-1),AT630=0),Q630,0)</f>
        <v>0</v>
      </c>
      <c r="BW630" s="313">
        <f>IF(AND(Input_Product=Elig!$C630,Elig_MatchAll_Ct&lt;22,$BC630=(Elig_MatchAll_Ct-1),AU630=0),R630,0)</f>
        <v>0</v>
      </c>
      <c r="BX630" s="314">
        <f>IF(AND(Input_Product=Elig!$C630,Elig_MatchAll_Ct&lt;22,$BC630=(Elig_MatchAll_Ct-1),AU630=0),S630,0)</f>
        <v>0</v>
      </c>
      <c r="BY630" s="313">
        <f>IF(AND(Input_Product=Elig!$C630,Elig_MatchAll_Ct&lt;22,$BC630=(Elig_MatchAll_Ct-1),AV630=0),T630,0)</f>
        <v>0</v>
      </c>
      <c r="BZ630" s="314">
        <f>IF(AND(Input_Product=Elig!$C630,Elig_MatchAll_Ct&lt;22,$BC630=(Elig_MatchAll_Ct-1),AV630=0),U630,0)</f>
        <v>0</v>
      </c>
      <c r="CA630" s="313">
        <f>IF(AND(Input_Product=Elig!$C630,Elig_MatchAll_Ct&lt;22,$BC630=(Elig_MatchAll_Ct-1),AW630=0),V630,0)</f>
        <v>0</v>
      </c>
      <c r="CB630" s="314">
        <f>IF(AND(Input_Product=Elig!$C630,Elig_MatchAll_Ct&lt;22,$BC630=(Elig_MatchAll_Ct-1),AW630=0),W630,0)</f>
        <v>0</v>
      </c>
      <c r="CC630" s="313">
        <f>IF(AND(Input_Product=Elig!$C630,Elig_MatchAll_Ct&lt;22,$BC630=(Elig_MatchAll_Ct-1),AX630=0),X630,0)</f>
        <v>0</v>
      </c>
      <c r="CD630" s="314">
        <f>IF(AND(Input_Product=Elig!$C630,Elig_MatchAll_Ct&lt;22,$BC630=(Elig_MatchAll_Ct-1),AX630=0),Y630,0)</f>
        <v>0</v>
      </c>
      <c r="CE630" s="313">
        <f>IF(AND(Input_LTV&lt;=AE630,Input_Product=Elig!$C630,Elig_MatchAll_Ct&lt;22,$BC630=(Elig_MatchAll_Ct-1),AY630=0),Z630,0)</f>
        <v>0</v>
      </c>
      <c r="CF630" s="314">
        <f>IF(AND(Input_LTV&lt;=AE630,Input_Product=Elig!$C630,Elig_MatchAll_Ct&lt;22,$BC630=(Elig_MatchAll_Ct-1),AY630=0),AA630,0)</f>
        <v>0</v>
      </c>
      <c r="CG630" s="313">
        <f>IF(AND(Input_Product=Elig!$C630,Elig_MatchAll_Ct&lt;22,$BC630=(Elig_MatchAll_Ct-1),AZ630=0),AB630,0)</f>
        <v>0</v>
      </c>
      <c r="CH630" s="314">
        <f>IF(AND(Input_Product=Elig!$C630,Elig_MatchAll_Ct&lt;22,$BC630=(Elig_MatchAll_Ct-1),AZ630=0),AC630,0)</f>
        <v>0</v>
      </c>
      <c r="CI630" s="313">
        <f>IF(AND(Input_Product=Elig!$C630,Elig_MatchAll_Ct&lt;22,$BC630=(Elig_MatchAll_Ct-1),BA630=0),AD630,0)</f>
        <v>0</v>
      </c>
      <c r="CJ630" s="314">
        <f>IF(AND(Input_Product=Elig!$C630,Elig_MatchAll_Ct&lt;22,$BC630=(Elig_MatchAll_Ct-1),BA630=0),AE630,0)</f>
        <v>0</v>
      </c>
    </row>
    <row r="631" spans="2:88" ht="10.15" customHeight="1" x14ac:dyDescent="0.25">
      <c r="B631" s="2027" t="s">
        <v>1261</v>
      </c>
      <c r="C631" s="2028" t="str">
        <f t="shared" si="279"/>
        <v>Second OO</v>
      </c>
      <c r="D631" s="2027" t="s">
        <v>1302</v>
      </c>
      <c r="E631" s="2027" t="s">
        <v>98</v>
      </c>
      <c r="F631" s="2027" t="s">
        <v>328</v>
      </c>
      <c r="G631" s="2029" t="s">
        <v>303</v>
      </c>
      <c r="H631" s="2029" t="s">
        <v>136</v>
      </c>
      <c r="I631" s="2027" t="s">
        <v>1332</v>
      </c>
      <c r="J631" s="2027" t="s">
        <v>1311</v>
      </c>
      <c r="K631" s="2029" t="s">
        <v>1790</v>
      </c>
      <c r="L631" s="2027" t="s">
        <v>430</v>
      </c>
      <c r="M631" s="2027" t="s">
        <v>2677</v>
      </c>
      <c r="N631" s="2029" t="s">
        <v>82</v>
      </c>
      <c r="O631" s="2027" t="s">
        <v>310</v>
      </c>
      <c r="P631" s="2027" t="s">
        <v>291</v>
      </c>
      <c r="Q631" s="2027" t="s">
        <v>294</v>
      </c>
      <c r="R631" s="2027">
        <v>200000</v>
      </c>
      <c r="S631" s="2027">
        <v>350000</v>
      </c>
      <c r="T631" s="2027">
        <v>0</v>
      </c>
      <c r="U631" s="2027">
        <f t="shared" si="280"/>
        <v>350000</v>
      </c>
      <c r="V631" s="2027">
        <v>0</v>
      </c>
      <c r="W631" s="2027">
        <v>50</v>
      </c>
      <c r="X631" s="2027">
        <v>0</v>
      </c>
      <c r="Y631" s="2027">
        <v>999</v>
      </c>
      <c r="Z631" s="2030">
        <v>700</v>
      </c>
      <c r="AA631" s="2030">
        <v>719</v>
      </c>
      <c r="AB631" s="2030">
        <v>0</v>
      </c>
      <c r="AC631" s="2030">
        <v>999999</v>
      </c>
      <c r="AD631" s="2027">
        <v>0</v>
      </c>
      <c r="AE631" s="1483">
        <v>90</v>
      </c>
      <c r="AF631" s="170">
        <v>1</v>
      </c>
      <c r="AG631" s="171">
        <v>0</v>
      </c>
      <c r="AH631" s="171">
        <v>1</v>
      </c>
      <c r="AI631" s="171">
        <v>1</v>
      </c>
      <c r="AJ631" s="171">
        <v>1</v>
      </c>
      <c r="AK631" s="171">
        <v>1</v>
      </c>
      <c r="AL631" s="171">
        <v>1</v>
      </c>
      <c r="AM631" s="171">
        <v>1</v>
      </c>
      <c r="AN631" s="171">
        <v>1</v>
      </c>
      <c r="AO631" s="171">
        <v>1</v>
      </c>
      <c r="AP631" s="171">
        <v>1</v>
      </c>
      <c r="AQ631" s="171">
        <v>1</v>
      </c>
      <c r="AR631" s="171">
        <v>1</v>
      </c>
      <c r="AS631" s="171">
        <v>1</v>
      </c>
      <c r="AT631" s="171">
        <v>1</v>
      </c>
      <c r="AU631" s="171">
        <f t="shared" si="270"/>
        <v>1</v>
      </c>
      <c r="AV631" s="171">
        <f t="shared" si="271"/>
        <v>1</v>
      </c>
      <c r="AW631" s="171">
        <f t="shared" si="272"/>
        <v>1</v>
      </c>
      <c r="AX631" s="171">
        <f t="shared" si="197"/>
        <v>1</v>
      </c>
      <c r="AY631" s="171">
        <f t="shared" si="273"/>
        <v>0</v>
      </c>
      <c r="AZ631" s="171">
        <f t="shared" si="274"/>
        <v>1</v>
      </c>
      <c r="BA631" s="172">
        <f t="shared" si="275"/>
        <v>1</v>
      </c>
      <c r="BB631" s="175">
        <f t="shared" si="281"/>
        <v>20</v>
      </c>
      <c r="BC631" s="176">
        <f t="shared" si="282"/>
        <v>19</v>
      </c>
      <c r="BD631" s="176">
        <f t="shared" si="283"/>
        <v>19</v>
      </c>
      <c r="BE631" s="240" t="str">
        <f t="shared" si="259"/>
        <v/>
      </c>
      <c r="BF631" s="234"/>
      <c r="BG631" s="234"/>
      <c r="BH631" s="199">
        <f>IF(AND(Input_Product=Elig!$C631,Elig_MatchAll_Ct&lt;22,$BC631=(Elig_MatchAll_Ct-1),AF631=0),C631,0)</f>
        <v>0</v>
      </c>
      <c r="BI631" s="199">
        <f>IF(AND(Input_Product=Elig!$C631,Elig_MatchAll_Ct&lt;22,$BC631=(Elig_MatchAll_Ct-1),AG631=0),D631,0)</f>
        <v>0</v>
      </c>
      <c r="BJ631" s="199">
        <f>IF(AND(Input_Product=Elig!$C631,Elig_MatchAll_Ct&lt;22,$BC631=(Elig_MatchAll_Ct-1),AH631=0),E631,0)</f>
        <v>0</v>
      </c>
      <c r="BK631" s="199">
        <f>IF(AND(Input_Product=Elig!$C631,Elig_MatchAll_Ct&lt;22,$BC631=(Elig_MatchAll_Ct-1),AI631=0),F631,0)</f>
        <v>0</v>
      </c>
      <c r="BL631" s="199">
        <f>IF(AND(Input_Product=Elig!$C631,Elig_MatchAll_Ct&lt;22,$BC631=(Elig_MatchAll_Ct-1),AJ631=0),G631,0)</f>
        <v>0</v>
      </c>
      <c r="BM631" s="199">
        <f>IF(AND(Input_Product=Elig!$C631,Elig_MatchAll_Ct&lt;22,$BC631=(Elig_MatchAll_Ct-1),AK631=0),H631,0)</f>
        <v>0</v>
      </c>
      <c r="BN631" s="199">
        <f>IF(AND(Input_Product=Elig!$C631,Elig_MatchAll_Ct&lt;22,$BC631=(Elig_MatchAll_Ct-1),AL631=0),I631,0)</f>
        <v>0</v>
      </c>
      <c r="BO631" s="199">
        <f>IF(AND(Input_Product=Elig!$C631,Elig_MatchAll_Ct&lt;22,$BC631=(Elig_MatchAll_Ct-1),AM631=0),J631,0)</f>
        <v>0</v>
      </c>
      <c r="BP631" s="199">
        <f>IF(AND(Input_Product=Elig!$C631,Elig_MatchAll_Ct&lt;22,$BC631=(Elig_MatchAll_Ct-1),AN631=0),K631,0)</f>
        <v>0</v>
      </c>
      <c r="BQ631" s="199">
        <f>IF(AND(Input_Product=Elig!$C631,Elig_MatchAll_Ct&lt;22,$BC631=(Elig_MatchAll_Ct-1),AP631=0),L631,0)</f>
        <v>0</v>
      </c>
      <c r="BR631" s="199">
        <f>IF(AND(Input_Product=Elig!$C631,Elig_MatchAll_Ct&lt;22,$BC631=(Elig_MatchAll_Ct-1),AO631=0),M631,0)</f>
        <v>0</v>
      </c>
      <c r="BS631" s="199">
        <f>IF(AND(Input_Product=Elig!$C631,Elig_MatchAll_Ct&lt;22,$BC631=(Elig_MatchAll_Ct-1),AQ631=0),N631,0)</f>
        <v>0</v>
      </c>
      <c r="BT631" s="199">
        <f>IF(AND(Input_Product=Elig!$C631,Elig_MatchAll_Ct&lt;22,$BC631=(Elig_MatchAll_Ct-1),AR631=0),O631,0)</f>
        <v>0</v>
      </c>
      <c r="BU631" s="199">
        <f>IF(AND(Input_Product=Elig!$C631,Elig_MatchAll_Ct&lt;22,$BC631=(Elig_MatchAll_Ct-1),AS631=0),P631,0)</f>
        <v>0</v>
      </c>
      <c r="BV631" s="200">
        <f>IF(AND(Input_Product=Elig!$C631,Elig_MatchAll_Ct&lt;22,$BC631=(Elig_MatchAll_Ct-1),AT631=0),Q631,0)</f>
        <v>0</v>
      </c>
      <c r="BW631" s="201">
        <f>IF(AND(Input_Product=Elig!$C631,Elig_MatchAll_Ct&lt;22,$BC631=(Elig_MatchAll_Ct-1),AU631=0),R631,0)</f>
        <v>0</v>
      </c>
      <c r="BX631" s="202">
        <f>IF(AND(Input_Product=Elig!$C631,Elig_MatchAll_Ct&lt;22,$BC631=(Elig_MatchAll_Ct-1),AU631=0),S631,0)</f>
        <v>0</v>
      </c>
      <c r="BY631" s="201">
        <f>IF(AND(Input_Product=Elig!$C631,Elig_MatchAll_Ct&lt;22,$BC631=(Elig_MatchAll_Ct-1),AV631=0),T631,0)</f>
        <v>0</v>
      </c>
      <c r="BZ631" s="202">
        <f>IF(AND(Input_Product=Elig!$C631,Elig_MatchAll_Ct&lt;22,$BC631=(Elig_MatchAll_Ct-1),AV631=0),U631,0)</f>
        <v>0</v>
      </c>
      <c r="CA631" s="201">
        <f>IF(AND(Input_Product=Elig!$C631,Elig_MatchAll_Ct&lt;22,$BC631=(Elig_MatchAll_Ct-1),AW631=0),V631,0)</f>
        <v>0</v>
      </c>
      <c r="CB631" s="202">
        <f>IF(AND(Input_Product=Elig!$C631,Elig_MatchAll_Ct&lt;22,$BC631=(Elig_MatchAll_Ct-1),AW631=0),W631,0)</f>
        <v>0</v>
      </c>
      <c r="CC631" s="201">
        <f>IF(AND(Input_Product=Elig!$C631,Elig_MatchAll_Ct&lt;22,$BC631=(Elig_MatchAll_Ct-1),AX631=0),X631,0)</f>
        <v>0</v>
      </c>
      <c r="CD631" s="202">
        <f>IF(AND(Input_Product=Elig!$C631,Elig_MatchAll_Ct&lt;22,$BC631=(Elig_MatchAll_Ct-1),AX631=0),Y631,0)</f>
        <v>0</v>
      </c>
      <c r="CE631" s="201">
        <f>IF(AND(Input_LTV&lt;=AE631,Input_Product=Elig!$C631,Elig_MatchAll_Ct&lt;22,$BC631=(Elig_MatchAll_Ct-1),AY631=0),Z631,0)</f>
        <v>0</v>
      </c>
      <c r="CF631" s="202">
        <f>IF(AND(Input_LTV&lt;=AE631,Input_Product=Elig!$C631,Elig_MatchAll_Ct&lt;22,$BC631=(Elig_MatchAll_Ct-1),AY631=0),AA631,0)</f>
        <v>0</v>
      </c>
      <c r="CG631" s="201">
        <f>IF(AND(Input_Product=Elig!$C631,Elig_MatchAll_Ct&lt;22,$BC631=(Elig_MatchAll_Ct-1),AZ631=0),AB631,0)</f>
        <v>0</v>
      </c>
      <c r="CH631" s="202">
        <f>IF(AND(Input_Product=Elig!$C631,Elig_MatchAll_Ct&lt;22,$BC631=(Elig_MatchAll_Ct-1),AZ631=0),AC631,0)</f>
        <v>0</v>
      </c>
      <c r="CI631" s="201">
        <f>IF(AND(Input_Product=Elig!$C631,Elig_MatchAll_Ct&lt;22,$BC631=(Elig_MatchAll_Ct-1),BA631=0),AD631,0)</f>
        <v>0</v>
      </c>
      <c r="CJ631" s="202">
        <f>IF(AND(Input_Product=Elig!$C631,Elig_MatchAll_Ct&lt;22,$BC631=(Elig_MatchAll_Ct-1),BA631=0),AE631,0)</f>
        <v>0</v>
      </c>
    </row>
    <row r="632" spans="2:88" ht="10.15" customHeight="1" x14ac:dyDescent="0.25">
      <c r="B632" s="2027" t="s">
        <v>1262</v>
      </c>
      <c r="C632" s="2028" t="str">
        <f t="shared" si="279"/>
        <v>Second OO</v>
      </c>
      <c r="D632" s="2027" t="s">
        <v>1302</v>
      </c>
      <c r="E632" s="2027" t="s">
        <v>98</v>
      </c>
      <c r="F632" s="2027" t="s">
        <v>328</v>
      </c>
      <c r="G632" s="2029" t="s">
        <v>303</v>
      </c>
      <c r="H632" s="2029" t="s">
        <v>136</v>
      </c>
      <c r="I632" s="2027" t="s">
        <v>1332</v>
      </c>
      <c r="J632" s="2027" t="s">
        <v>1311</v>
      </c>
      <c r="K632" s="2029" t="s">
        <v>1790</v>
      </c>
      <c r="L632" s="2027" t="s">
        <v>430</v>
      </c>
      <c r="M632" s="2027" t="s">
        <v>2677</v>
      </c>
      <c r="N632" s="2029" t="s">
        <v>82</v>
      </c>
      <c r="O632" s="2027" t="s">
        <v>310</v>
      </c>
      <c r="P632" s="2027" t="s">
        <v>291</v>
      </c>
      <c r="Q632" s="2027" t="s">
        <v>294</v>
      </c>
      <c r="R632" s="2027">
        <v>200000</v>
      </c>
      <c r="S632" s="2027">
        <v>350000</v>
      </c>
      <c r="T632" s="2027">
        <v>0</v>
      </c>
      <c r="U632" s="2027">
        <f t="shared" si="280"/>
        <v>350000</v>
      </c>
      <c r="V632" s="2027">
        <v>0</v>
      </c>
      <c r="W632" s="2027">
        <v>50</v>
      </c>
      <c r="X632" s="2027">
        <v>0</v>
      </c>
      <c r="Y632" s="2027">
        <v>999</v>
      </c>
      <c r="Z632" s="2030">
        <v>680</v>
      </c>
      <c r="AA632" s="2030">
        <v>699</v>
      </c>
      <c r="AB632" s="2030">
        <v>0</v>
      </c>
      <c r="AC632" s="2030">
        <v>999999</v>
      </c>
      <c r="AD632" s="2027">
        <v>0</v>
      </c>
      <c r="AE632" s="1483">
        <v>85</v>
      </c>
      <c r="AF632" s="170">
        <v>1</v>
      </c>
      <c r="AG632" s="171">
        <v>0</v>
      </c>
      <c r="AH632" s="171">
        <v>1</v>
      </c>
      <c r="AI632" s="171">
        <v>1</v>
      </c>
      <c r="AJ632" s="171">
        <v>1</v>
      </c>
      <c r="AK632" s="171">
        <v>1</v>
      </c>
      <c r="AL632" s="171">
        <v>1</v>
      </c>
      <c r="AM632" s="171">
        <v>1</v>
      </c>
      <c r="AN632" s="171">
        <v>1</v>
      </c>
      <c r="AO632" s="171">
        <v>1</v>
      </c>
      <c r="AP632" s="171">
        <v>1</v>
      </c>
      <c r="AQ632" s="171">
        <v>1</v>
      </c>
      <c r="AR632" s="171">
        <v>1</v>
      </c>
      <c r="AS632" s="171">
        <v>1</v>
      </c>
      <c r="AT632" s="171">
        <v>1</v>
      </c>
      <c r="AU632" s="171">
        <f t="shared" si="270"/>
        <v>1</v>
      </c>
      <c r="AV632" s="171">
        <f t="shared" si="271"/>
        <v>1</v>
      </c>
      <c r="AW632" s="171">
        <f t="shared" si="272"/>
        <v>1</v>
      </c>
      <c r="AX632" s="171">
        <f t="shared" ref="AX632:AX711" si="284">IF(AND(Input_DSCR&gt;=Elig_DSCR_Min,Input_DSCR&lt;=Elig_DSCR_Max),1,0)</f>
        <v>1</v>
      </c>
      <c r="AY632" s="171">
        <f t="shared" si="273"/>
        <v>0</v>
      </c>
      <c r="AZ632" s="171">
        <f t="shared" si="274"/>
        <v>1</v>
      </c>
      <c r="BA632" s="172">
        <f t="shared" si="275"/>
        <v>1</v>
      </c>
      <c r="BB632" s="175">
        <f t="shared" si="281"/>
        <v>20</v>
      </c>
      <c r="BC632" s="176">
        <f t="shared" si="282"/>
        <v>19</v>
      </c>
      <c r="BD632" s="176">
        <f t="shared" si="283"/>
        <v>19</v>
      </c>
      <c r="BE632" s="240" t="str">
        <f t="shared" si="259"/>
        <v/>
      </c>
      <c r="BF632" s="234"/>
      <c r="BG632" s="234"/>
      <c r="BH632" s="199">
        <f>IF(AND(Input_Product=Elig!$C632,Elig_MatchAll_Ct&lt;22,$BC632=(Elig_MatchAll_Ct-1),AF632=0),C632,0)</f>
        <v>0</v>
      </c>
      <c r="BI632" s="199">
        <f>IF(AND(Input_Product=Elig!$C632,Elig_MatchAll_Ct&lt;22,$BC632=(Elig_MatchAll_Ct-1),AG632=0),D632,0)</f>
        <v>0</v>
      </c>
      <c r="BJ632" s="199">
        <f>IF(AND(Input_Product=Elig!$C632,Elig_MatchAll_Ct&lt;22,$BC632=(Elig_MatchAll_Ct-1),AH632=0),E632,0)</f>
        <v>0</v>
      </c>
      <c r="BK632" s="199">
        <f>IF(AND(Input_Product=Elig!$C632,Elig_MatchAll_Ct&lt;22,$BC632=(Elig_MatchAll_Ct-1),AI632=0),F632,0)</f>
        <v>0</v>
      </c>
      <c r="BL632" s="199">
        <f>IF(AND(Input_Product=Elig!$C632,Elig_MatchAll_Ct&lt;22,$BC632=(Elig_MatchAll_Ct-1),AJ632=0),G632,0)</f>
        <v>0</v>
      </c>
      <c r="BM632" s="199">
        <f>IF(AND(Input_Product=Elig!$C632,Elig_MatchAll_Ct&lt;22,$BC632=(Elig_MatchAll_Ct-1),AK632=0),H632,0)</f>
        <v>0</v>
      </c>
      <c r="BN632" s="199">
        <f>IF(AND(Input_Product=Elig!$C632,Elig_MatchAll_Ct&lt;22,$BC632=(Elig_MatchAll_Ct-1),AL632=0),I632,0)</f>
        <v>0</v>
      </c>
      <c r="BO632" s="199">
        <f>IF(AND(Input_Product=Elig!$C632,Elig_MatchAll_Ct&lt;22,$BC632=(Elig_MatchAll_Ct-1),AM632=0),J632,0)</f>
        <v>0</v>
      </c>
      <c r="BP632" s="199">
        <f>IF(AND(Input_Product=Elig!$C632,Elig_MatchAll_Ct&lt;22,$BC632=(Elig_MatchAll_Ct-1),AN632=0),K632,0)</f>
        <v>0</v>
      </c>
      <c r="BQ632" s="199">
        <f>IF(AND(Input_Product=Elig!$C632,Elig_MatchAll_Ct&lt;22,$BC632=(Elig_MatchAll_Ct-1),AP632=0),L632,0)</f>
        <v>0</v>
      </c>
      <c r="BR632" s="199">
        <f>IF(AND(Input_Product=Elig!$C632,Elig_MatchAll_Ct&lt;22,$BC632=(Elig_MatchAll_Ct-1),AO632=0),M632,0)</f>
        <v>0</v>
      </c>
      <c r="BS632" s="199">
        <f>IF(AND(Input_Product=Elig!$C632,Elig_MatchAll_Ct&lt;22,$BC632=(Elig_MatchAll_Ct-1),AQ632=0),N632,0)</f>
        <v>0</v>
      </c>
      <c r="BT632" s="199">
        <f>IF(AND(Input_Product=Elig!$C632,Elig_MatchAll_Ct&lt;22,$BC632=(Elig_MatchAll_Ct-1),AR632=0),O632,0)</f>
        <v>0</v>
      </c>
      <c r="BU632" s="199">
        <f>IF(AND(Input_Product=Elig!$C632,Elig_MatchAll_Ct&lt;22,$BC632=(Elig_MatchAll_Ct-1),AS632=0),P632,0)</f>
        <v>0</v>
      </c>
      <c r="BV632" s="200">
        <f>IF(AND(Input_Product=Elig!$C632,Elig_MatchAll_Ct&lt;22,$BC632=(Elig_MatchAll_Ct-1),AT632=0),Q632,0)</f>
        <v>0</v>
      </c>
      <c r="BW632" s="201">
        <f>IF(AND(Input_Product=Elig!$C632,Elig_MatchAll_Ct&lt;22,$BC632=(Elig_MatchAll_Ct-1),AU632=0),R632,0)</f>
        <v>0</v>
      </c>
      <c r="BX632" s="202">
        <f>IF(AND(Input_Product=Elig!$C632,Elig_MatchAll_Ct&lt;22,$BC632=(Elig_MatchAll_Ct-1),AU632=0),S632,0)</f>
        <v>0</v>
      </c>
      <c r="BY632" s="201">
        <f>IF(AND(Input_Product=Elig!$C632,Elig_MatchAll_Ct&lt;22,$BC632=(Elig_MatchAll_Ct-1),AV632=0),T632,0)</f>
        <v>0</v>
      </c>
      <c r="BZ632" s="202">
        <f>IF(AND(Input_Product=Elig!$C632,Elig_MatchAll_Ct&lt;22,$BC632=(Elig_MatchAll_Ct-1),AV632=0),U632,0)</f>
        <v>0</v>
      </c>
      <c r="CA632" s="201">
        <f>IF(AND(Input_Product=Elig!$C632,Elig_MatchAll_Ct&lt;22,$BC632=(Elig_MatchAll_Ct-1),AW632=0),V632,0)</f>
        <v>0</v>
      </c>
      <c r="CB632" s="202">
        <f>IF(AND(Input_Product=Elig!$C632,Elig_MatchAll_Ct&lt;22,$BC632=(Elig_MatchAll_Ct-1),AW632=0),W632,0)</f>
        <v>0</v>
      </c>
      <c r="CC632" s="201">
        <f>IF(AND(Input_Product=Elig!$C632,Elig_MatchAll_Ct&lt;22,$BC632=(Elig_MatchAll_Ct-1),AX632=0),X632,0)</f>
        <v>0</v>
      </c>
      <c r="CD632" s="202">
        <f>IF(AND(Input_Product=Elig!$C632,Elig_MatchAll_Ct&lt;22,$BC632=(Elig_MatchAll_Ct-1),AX632=0),Y632,0)</f>
        <v>0</v>
      </c>
      <c r="CE632" s="201">
        <f>IF(AND(Input_LTV&lt;=AE632,Input_Product=Elig!$C632,Elig_MatchAll_Ct&lt;22,$BC632=(Elig_MatchAll_Ct-1),AY632=0),Z632,0)</f>
        <v>0</v>
      </c>
      <c r="CF632" s="202">
        <f>IF(AND(Input_LTV&lt;=AE632,Input_Product=Elig!$C632,Elig_MatchAll_Ct&lt;22,$BC632=(Elig_MatchAll_Ct-1),AY632=0),AA632,0)</f>
        <v>0</v>
      </c>
      <c r="CG632" s="201">
        <f>IF(AND(Input_Product=Elig!$C632,Elig_MatchAll_Ct&lt;22,$BC632=(Elig_MatchAll_Ct-1),AZ632=0),AB632,0)</f>
        <v>0</v>
      </c>
      <c r="CH632" s="202">
        <f>IF(AND(Input_Product=Elig!$C632,Elig_MatchAll_Ct&lt;22,$BC632=(Elig_MatchAll_Ct-1),AZ632=0),AC632,0)</f>
        <v>0</v>
      </c>
      <c r="CI632" s="201">
        <f>IF(AND(Input_Product=Elig!$C632,Elig_MatchAll_Ct&lt;22,$BC632=(Elig_MatchAll_Ct-1),BA632=0),AD632,0)</f>
        <v>0</v>
      </c>
      <c r="CJ632" s="202">
        <f>IF(AND(Input_Product=Elig!$C632,Elig_MatchAll_Ct&lt;22,$BC632=(Elig_MatchAll_Ct-1),BA632=0),AE632,0)</f>
        <v>0</v>
      </c>
    </row>
    <row r="633" spans="2:88" ht="10.15" customHeight="1" x14ac:dyDescent="0.25">
      <c r="B633" s="2027" t="s">
        <v>1263</v>
      </c>
      <c r="C633" s="2032" t="str">
        <f t="shared" si="279"/>
        <v>Second OO</v>
      </c>
      <c r="D633" s="2031" t="s">
        <v>1302</v>
      </c>
      <c r="E633" s="2031" t="s">
        <v>98</v>
      </c>
      <c r="F633" s="2031" t="s">
        <v>328</v>
      </c>
      <c r="G633" s="2033" t="s">
        <v>303</v>
      </c>
      <c r="H633" s="2033" t="s">
        <v>136</v>
      </c>
      <c r="I633" s="2031" t="s">
        <v>1332</v>
      </c>
      <c r="J633" s="2031" t="s">
        <v>1311</v>
      </c>
      <c r="K633" s="2033" t="s">
        <v>1790</v>
      </c>
      <c r="L633" s="2031" t="s">
        <v>430</v>
      </c>
      <c r="M633" s="2031" t="s">
        <v>2677</v>
      </c>
      <c r="N633" s="2033" t="s">
        <v>82</v>
      </c>
      <c r="O633" s="2031" t="s">
        <v>310</v>
      </c>
      <c r="P633" s="2031" t="s">
        <v>291</v>
      </c>
      <c r="Q633" s="2031" t="s">
        <v>294</v>
      </c>
      <c r="R633" s="2031">
        <v>200000</v>
      </c>
      <c r="S633" s="2031">
        <v>350000</v>
      </c>
      <c r="T633" s="2031">
        <v>0</v>
      </c>
      <c r="U633" s="2031">
        <f t="shared" si="280"/>
        <v>350000</v>
      </c>
      <c r="V633" s="2031">
        <v>0</v>
      </c>
      <c r="W633" s="2031">
        <v>50</v>
      </c>
      <c r="X633" s="2031">
        <v>0</v>
      </c>
      <c r="Y633" s="2031">
        <v>999</v>
      </c>
      <c r="Z633" s="2034">
        <v>660</v>
      </c>
      <c r="AA633" s="2034">
        <v>679</v>
      </c>
      <c r="AB633" s="2034">
        <v>0</v>
      </c>
      <c r="AC633" s="2034">
        <v>999999</v>
      </c>
      <c r="AD633" s="2031">
        <v>0</v>
      </c>
      <c r="AE633" s="1484">
        <v>80</v>
      </c>
      <c r="AF633" s="170">
        <v>1</v>
      </c>
      <c r="AG633" s="171">
        <v>0</v>
      </c>
      <c r="AH633" s="171">
        <v>1</v>
      </c>
      <c r="AI633" s="171">
        <v>1</v>
      </c>
      <c r="AJ633" s="171">
        <v>1</v>
      </c>
      <c r="AK633" s="171">
        <v>1</v>
      </c>
      <c r="AL633" s="171">
        <v>1</v>
      </c>
      <c r="AM633" s="171">
        <v>1</v>
      </c>
      <c r="AN633" s="171">
        <v>1</v>
      </c>
      <c r="AO633" s="171">
        <v>1</v>
      </c>
      <c r="AP633" s="171">
        <v>1</v>
      </c>
      <c r="AQ633" s="171">
        <v>1</v>
      </c>
      <c r="AR633" s="171">
        <v>1</v>
      </c>
      <c r="AS633" s="171">
        <v>1</v>
      </c>
      <c r="AT633" s="171">
        <v>1</v>
      </c>
      <c r="AU633" s="171">
        <f t="shared" si="270"/>
        <v>1</v>
      </c>
      <c r="AV633" s="171">
        <f t="shared" si="271"/>
        <v>1</v>
      </c>
      <c r="AW633" s="171">
        <f t="shared" si="272"/>
        <v>1</v>
      </c>
      <c r="AX633" s="171">
        <f t="shared" si="284"/>
        <v>1</v>
      </c>
      <c r="AY633" s="171">
        <f t="shared" si="273"/>
        <v>0</v>
      </c>
      <c r="AZ633" s="171">
        <f t="shared" si="274"/>
        <v>1</v>
      </c>
      <c r="BA633" s="172">
        <f t="shared" si="275"/>
        <v>1</v>
      </c>
      <c r="BB633" s="175">
        <f t="shared" si="281"/>
        <v>20</v>
      </c>
      <c r="BC633" s="176">
        <f t="shared" si="282"/>
        <v>19</v>
      </c>
      <c r="BD633" s="176">
        <f t="shared" si="283"/>
        <v>19</v>
      </c>
      <c r="BE633" s="240" t="str">
        <f t="shared" si="259"/>
        <v/>
      </c>
      <c r="BF633" s="234"/>
      <c r="BG633" s="234"/>
      <c r="BH633" s="214">
        <f>IF(AND(Input_Product=Elig!$C633,Elig_MatchAll_Ct&lt;22,$BC633=(Elig_MatchAll_Ct-1),AF633=0),C633,0)</f>
        <v>0</v>
      </c>
      <c r="BI633" s="214">
        <f>IF(AND(Input_Product=Elig!$C633,Elig_MatchAll_Ct&lt;22,$BC633=(Elig_MatchAll_Ct-1),AG633=0),D633,0)</f>
        <v>0</v>
      </c>
      <c r="BJ633" s="214">
        <f>IF(AND(Input_Product=Elig!$C633,Elig_MatchAll_Ct&lt;22,$BC633=(Elig_MatchAll_Ct-1),AH633=0),E633,0)</f>
        <v>0</v>
      </c>
      <c r="BK633" s="214">
        <f>IF(AND(Input_Product=Elig!$C633,Elig_MatchAll_Ct&lt;22,$BC633=(Elig_MatchAll_Ct-1),AI633=0),F633,0)</f>
        <v>0</v>
      </c>
      <c r="BL633" s="214">
        <f>IF(AND(Input_Product=Elig!$C633,Elig_MatchAll_Ct&lt;22,$BC633=(Elig_MatchAll_Ct-1),AJ633=0),G633,0)</f>
        <v>0</v>
      </c>
      <c r="BM633" s="214">
        <f>IF(AND(Input_Product=Elig!$C633,Elig_MatchAll_Ct&lt;22,$BC633=(Elig_MatchAll_Ct-1),AK633=0),H633,0)</f>
        <v>0</v>
      </c>
      <c r="BN633" s="214">
        <f>IF(AND(Input_Product=Elig!$C633,Elig_MatchAll_Ct&lt;22,$BC633=(Elig_MatchAll_Ct-1),AL633=0),I633,0)</f>
        <v>0</v>
      </c>
      <c r="BO633" s="214">
        <f>IF(AND(Input_Product=Elig!$C633,Elig_MatchAll_Ct&lt;22,$BC633=(Elig_MatchAll_Ct-1),AM633=0),J633,0)</f>
        <v>0</v>
      </c>
      <c r="BP633" s="214">
        <f>IF(AND(Input_Product=Elig!$C633,Elig_MatchAll_Ct&lt;22,$BC633=(Elig_MatchAll_Ct-1),AN633=0),K633,0)</f>
        <v>0</v>
      </c>
      <c r="BQ633" s="214">
        <f>IF(AND(Input_Product=Elig!$C633,Elig_MatchAll_Ct&lt;22,$BC633=(Elig_MatchAll_Ct-1),AP633=0),L633,0)</f>
        <v>0</v>
      </c>
      <c r="BR633" s="214">
        <f>IF(AND(Input_Product=Elig!$C633,Elig_MatchAll_Ct&lt;22,$BC633=(Elig_MatchAll_Ct-1),AO633=0),M633,0)</f>
        <v>0</v>
      </c>
      <c r="BS633" s="214">
        <f>IF(AND(Input_Product=Elig!$C633,Elig_MatchAll_Ct&lt;22,$BC633=(Elig_MatchAll_Ct-1),AQ633=0),N633,0)</f>
        <v>0</v>
      </c>
      <c r="BT633" s="214">
        <f>IF(AND(Input_Product=Elig!$C633,Elig_MatchAll_Ct&lt;22,$BC633=(Elig_MatchAll_Ct-1),AR633=0),O633,0)</f>
        <v>0</v>
      </c>
      <c r="BU633" s="214">
        <f>IF(AND(Input_Product=Elig!$C633,Elig_MatchAll_Ct&lt;22,$BC633=(Elig_MatchAll_Ct-1),AS633=0),P633,0)</f>
        <v>0</v>
      </c>
      <c r="BV633" s="215">
        <f>IF(AND(Input_Product=Elig!$C633,Elig_MatchAll_Ct&lt;22,$BC633=(Elig_MatchAll_Ct-1),AT633=0),Q633,0)</f>
        <v>0</v>
      </c>
      <c r="BW633" s="311">
        <f>IF(AND(Input_Product=Elig!$C633,Elig_MatchAll_Ct&lt;22,$BC633=(Elig_MatchAll_Ct-1),AU633=0),R633,0)</f>
        <v>0</v>
      </c>
      <c r="BX633" s="312">
        <f>IF(AND(Input_Product=Elig!$C633,Elig_MatchAll_Ct&lt;22,$BC633=(Elig_MatchAll_Ct-1),AU633=0),S633,0)</f>
        <v>0</v>
      </c>
      <c r="BY633" s="311">
        <f>IF(AND(Input_Product=Elig!$C633,Elig_MatchAll_Ct&lt;22,$BC633=(Elig_MatchAll_Ct-1),AV633=0),T633,0)</f>
        <v>0</v>
      </c>
      <c r="BZ633" s="312">
        <f>IF(AND(Input_Product=Elig!$C633,Elig_MatchAll_Ct&lt;22,$BC633=(Elig_MatchAll_Ct-1),AV633=0),U633,0)</f>
        <v>0</v>
      </c>
      <c r="CA633" s="311">
        <f>IF(AND(Input_Product=Elig!$C633,Elig_MatchAll_Ct&lt;22,$BC633=(Elig_MatchAll_Ct-1),AW633=0),V633,0)</f>
        <v>0</v>
      </c>
      <c r="CB633" s="312">
        <f>IF(AND(Input_Product=Elig!$C633,Elig_MatchAll_Ct&lt;22,$BC633=(Elig_MatchAll_Ct-1),AW633=0),W633,0)</f>
        <v>0</v>
      </c>
      <c r="CC633" s="311">
        <f>IF(AND(Input_Product=Elig!$C633,Elig_MatchAll_Ct&lt;22,$BC633=(Elig_MatchAll_Ct-1),AX633=0),X633,0)</f>
        <v>0</v>
      </c>
      <c r="CD633" s="312">
        <f>IF(AND(Input_Product=Elig!$C633,Elig_MatchAll_Ct&lt;22,$BC633=(Elig_MatchAll_Ct-1),AX633=0),Y633,0)</f>
        <v>0</v>
      </c>
      <c r="CE633" s="311">
        <f>IF(AND(Input_LTV&lt;=AE633,Input_Product=Elig!$C633,Elig_MatchAll_Ct&lt;22,$BC633=(Elig_MatchAll_Ct-1),AY633=0),Z633,0)</f>
        <v>0</v>
      </c>
      <c r="CF633" s="312">
        <f>IF(AND(Input_LTV&lt;=AE633,Input_Product=Elig!$C633,Elig_MatchAll_Ct&lt;22,$BC633=(Elig_MatchAll_Ct-1),AY633=0),AA633,0)</f>
        <v>0</v>
      </c>
      <c r="CG633" s="311">
        <f>IF(AND(Input_Product=Elig!$C633,Elig_MatchAll_Ct&lt;22,$BC633=(Elig_MatchAll_Ct-1),AZ633=0),AB633,0)</f>
        <v>0</v>
      </c>
      <c r="CH633" s="312">
        <f>IF(AND(Input_Product=Elig!$C633,Elig_MatchAll_Ct&lt;22,$BC633=(Elig_MatchAll_Ct-1),AZ633=0),AC633,0)</f>
        <v>0</v>
      </c>
      <c r="CI633" s="311">
        <f>IF(AND(Input_Product=Elig!$C633,Elig_MatchAll_Ct&lt;22,$BC633=(Elig_MatchAll_Ct-1),BA633=0),AD633,0)</f>
        <v>0</v>
      </c>
      <c r="CJ633" s="312">
        <f>IF(AND(Input_Product=Elig!$C633,Elig_MatchAll_Ct&lt;22,$BC633=(Elig_MatchAll_Ct-1),BA633=0),AE633,0)</f>
        <v>0</v>
      </c>
    </row>
    <row r="634" spans="2:88" ht="10.15" customHeight="1" x14ac:dyDescent="0.25">
      <c r="B634" s="2027" t="s">
        <v>1264</v>
      </c>
      <c r="C634" s="2024" t="str">
        <f t="shared" si="279"/>
        <v>Second OO</v>
      </c>
      <c r="D634" s="2025" t="s">
        <v>1561</v>
      </c>
      <c r="E634" s="2025" t="s">
        <v>98</v>
      </c>
      <c r="F634" s="2025" t="s">
        <v>328</v>
      </c>
      <c r="G634" s="2103" t="s">
        <v>175</v>
      </c>
      <c r="H634" s="2025" t="s">
        <v>446</v>
      </c>
      <c r="I634" s="2023" t="s">
        <v>1332</v>
      </c>
      <c r="J634" s="2023" t="s">
        <v>1311</v>
      </c>
      <c r="K634" s="2025" t="s">
        <v>1790</v>
      </c>
      <c r="L634" s="2023" t="s">
        <v>430</v>
      </c>
      <c r="M634" s="2023" t="s">
        <v>2677</v>
      </c>
      <c r="N634" s="2025" t="s">
        <v>82</v>
      </c>
      <c r="O634" s="2023" t="s">
        <v>310</v>
      </c>
      <c r="P634" s="2023" t="s">
        <v>291</v>
      </c>
      <c r="Q634" s="2023" t="s">
        <v>294</v>
      </c>
      <c r="R634" s="2023">
        <v>50000</v>
      </c>
      <c r="S634" s="2023">
        <v>350000</v>
      </c>
      <c r="T634" s="2023">
        <v>0</v>
      </c>
      <c r="U634" s="2023">
        <f t="shared" si="280"/>
        <v>350000</v>
      </c>
      <c r="V634" s="2023">
        <v>0</v>
      </c>
      <c r="W634" s="2023">
        <v>50</v>
      </c>
      <c r="X634" s="2023">
        <v>0</v>
      </c>
      <c r="Y634" s="2023">
        <v>999</v>
      </c>
      <c r="Z634" s="2026">
        <v>720</v>
      </c>
      <c r="AA634" s="2026">
        <v>999</v>
      </c>
      <c r="AB634" s="2026">
        <v>0</v>
      </c>
      <c r="AC634" s="2026">
        <v>999999</v>
      </c>
      <c r="AD634" s="2023">
        <v>0</v>
      </c>
      <c r="AE634" s="2104">
        <v>90</v>
      </c>
      <c r="AF634" s="170">
        <v>1</v>
      </c>
      <c r="AG634" s="171">
        <v>1</v>
      </c>
      <c r="AH634" s="171">
        <v>1</v>
      </c>
      <c r="AI634" s="171">
        <v>1</v>
      </c>
      <c r="AJ634" s="171">
        <v>0</v>
      </c>
      <c r="AK634" s="171">
        <v>0</v>
      </c>
      <c r="AL634" s="171">
        <v>1</v>
      </c>
      <c r="AM634" s="171">
        <v>1</v>
      </c>
      <c r="AN634" s="171">
        <v>1</v>
      </c>
      <c r="AO634" s="171">
        <v>1</v>
      </c>
      <c r="AP634" s="171">
        <v>1</v>
      </c>
      <c r="AQ634" s="171">
        <v>1</v>
      </c>
      <c r="AR634" s="171">
        <v>1</v>
      </c>
      <c r="AS634" s="171">
        <v>1</v>
      </c>
      <c r="AT634" s="171">
        <v>1</v>
      </c>
      <c r="AU634" s="171">
        <f t="shared" si="270"/>
        <v>1</v>
      </c>
      <c r="AV634" s="171">
        <f t="shared" si="271"/>
        <v>1</v>
      </c>
      <c r="AW634" s="171">
        <f t="shared" si="272"/>
        <v>1</v>
      </c>
      <c r="AX634" s="171">
        <f t="shared" si="284"/>
        <v>1</v>
      </c>
      <c r="AY634" s="171">
        <f t="shared" si="273"/>
        <v>1</v>
      </c>
      <c r="AZ634" s="171">
        <f t="shared" si="274"/>
        <v>1</v>
      </c>
      <c r="BA634" s="172">
        <f t="shared" si="275"/>
        <v>1</v>
      </c>
      <c r="BB634" s="175">
        <f t="shared" si="281"/>
        <v>20</v>
      </c>
      <c r="BC634" s="176">
        <f t="shared" si="282"/>
        <v>19</v>
      </c>
      <c r="BD634" s="176">
        <f t="shared" si="283"/>
        <v>19</v>
      </c>
      <c r="BE634" s="240" t="str">
        <f t="shared" si="259"/>
        <v/>
      </c>
      <c r="BF634" s="220"/>
      <c r="BG634" s="220"/>
      <c r="BH634" s="216">
        <f>IF(AND(Input_Product=Elig!$C634,Elig_MatchAll_Ct&lt;22,$BC634=(Elig_MatchAll_Ct-1),AF634=0),C634,0)</f>
        <v>0</v>
      </c>
      <c r="BI634" s="216">
        <f>IF(AND(Input_Product=Elig!$C634,Elig_MatchAll_Ct&lt;22,$BC634=(Elig_MatchAll_Ct-1),AG634=0),D634,0)</f>
        <v>0</v>
      </c>
      <c r="BJ634" s="216">
        <f>IF(AND(Input_Product=Elig!$C634,Elig_MatchAll_Ct&lt;22,$BC634=(Elig_MatchAll_Ct-1),AH634=0),E634,0)</f>
        <v>0</v>
      </c>
      <c r="BK634" s="216">
        <f>IF(AND(Input_Product=Elig!$C634,Elig_MatchAll_Ct&lt;22,$BC634=(Elig_MatchAll_Ct-1),AI634=0),F634,0)</f>
        <v>0</v>
      </c>
      <c r="BL634" s="216">
        <f>IF(AND(Input_Product=Elig!$C634,Elig_MatchAll_Ct&lt;22,$BC634=(Elig_MatchAll_Ct-1),AJ634=0),G634,0)</f>
        <v>0</v>
      </c>
      <c r="BM634" s="216">
        <f>IF(AND(Input_Product=Elig!$C634,Elig_MatchAll_Ct&lt;22,$BC634=(Elig_MatchAll_Ct-1),AK634=0),H634,0)</f>
        <v>0</v>
      </c>
      <c r="BN634" s="216">
        <f>IF(AND(Input_Product=Elig!$C634,Elig_MatchAll_Ct&lt;22,$BC634=(Elig_MatchAll_Ct-1),AL634=0),I634,0)</f>
        <v>0</v>
      </c>
      <c r="BO634" s="216">
        <f>IF(AND(Input_Product=Elig!$C634,Elig_MatchAll_Ct&lt;22,$BC634=(Elig_MatchAll_Ct-1),AM634=0),J634,0)</f>
        <v>0</v>
      </c>
      <c r="BP634" s="216">
        <f>IF(AND(Input_Product=Elig!$C634,Elig_MatchAll_Ct&lt;22,$BC634=(Elig_MatchAll_Ct-1),AN634=0),K634,0)</f>
        <v>0</v>
      </c>
      <c r="BQ634" s="216">
        <f>IF(AND(Input_Product=Elig!$C634,Elig_MatchAll_Ct&lt;22,$BC634=(Elig_MatchAll_Ct-1),AP634=0),L634,0)</f>
        <v>0</v>
      </c>
      <c r="BR634" s="216">
        <f>IF(AND(Input_Product=Elig!$C634,Elig_MatchAll_Ct&lt;22,$BC634=(Elig_MatchAll_Ct-1),AO634=0),M634,0)</f>
        <v>0</v>
      </c>
      <c r="BS634" s="216">
        <f>IF(AND(Input_Product=Elig!$C634,Elig_MatchAll_Ct&lt;22,$BC634=(Elig_MatchAll_Ct-1),AQ634=0),N634,0)</f>
        <v>0</v>
      </c>
      <c r="BT634" s="216">
        <f>IF(AND(Input_Product=Elig!$C634,Elig_MatchAll_Ct&lt;22,$BC634=(Elig_MatchAll_Ct-1),AR634=0),O634,0)</f>
        <v>0</v>
      </c>
      <c r="BU634" s="216">
        <f>IF(AND(Input_Product=Elig!$C634,Elig_MatchAll_Ct&lt;22,$BC634=(Elig_MatchAll_Ct-1),AS634=0),P634,0)</f>
        <v>0</v>
      </c>
      <c r="BV634" s="217">
        <f>IF(AND(Input_Product=Elig!$C634,Elig_MatchAll_Ct&lt;22,$BC634=(Elig_MatchAll_Ct-1),AT634=0),Q634,0)</f>
        <v>0</v>
      </c>
      <c r="BW634" s="313">
        <f>IF(AND(Input_Product=Elig!$C634,Elig_MatchAll_Ct&lt;22,$BC634=(Elig_MatchAll_Ct-1),AU634=0),R634,0)</f>
        <v>0</v>
      </c>
      <c r="BX634" s="314">
        <f>IF(AND(Input_Product=Elig!$C634,Elig_MatchAll_Ct&lt;22,$BC634=(Elig_MatchAll_Ct-1),AU634=0),S634,0)</f>
        <v>0</v>
      </c>
      <c r="BY634" s="313">
        <f>IF(AND(Input_Product=Elig!$C634,Elig_MatchAll_Ct&lt;22,$BC634=(Elig_MatchAll_Ct-1),AV634=0),T634,0)</f>
        <v>0</v>
      </c>
      <c r="BZ634" s="314">
        <f>IF(AND(Input_Product=Elig!$C634,Elig_MatchAll_Ct&lt;22,$BC634=(Elig_MatchAll_Ct-1),AV634=0),U634,0)</f>
        <v>0</v>
      </c>
      <c r="CA634" s="313">
        <f>IF(AND(Input_Product=Elig!$C634,Elig_MatchAll_Ct&lt;22,$BC634=(Elig_MatchAll_Ct-1),AW634=0),V634,0)</f>
        <v>0</v>
      </c>
      <c r="CB634" s="314">
        <f>IF(AND(Input_Product=Elig!$C634,Elig_MatchAll_Ct&lt;22,$BC634=(Elig_MatchAll_Ct-1),AW634=0),W634,0)</f>
        <v>0</v>
      </c>
      <c r="CC634" s="313">
        <f>IF(AND(Input_Product=Elig!$C634,Elig_MatchAll_Ct&lt;22,$BC634=(Elig_MatchAll_Ct-1),AX634=0),X634,0)</f>
        <v>0</v>
      </c>
      <c r="CD634" s="314">
        <f>IF(AND(Input_Product=Elig!$C634,Elig_MatchAll_Ct&lt;22,$BC634=(Elig_MatchAll_Ct-1),AX634=0),Y634,0)</f>
        <v>0</v>
      </c>
      <c r="CE634" s="313">
        <f>IF(AND(Input_LTV&lt;=AE634,Input_Product=Elig!$C634,Elig_MatchAll_Ct&lt;22,$BC634=(Elig_MatchAll_Ct-1),AY634=0),Z634,0)</f>
        <v>0</v>
      </c>
      <c r="CF634" s="314">
        <f>IF(AND(Input_LTV&lt;=AE634,Input_Product=Elig!$C634,Elig_MatchAll_Ct&lt;22,$BC634=(Elig_MatchAll_Ct-1),AY634=0),AA634,0)</f>
        <v>0</v>
      </c>
      <c r="CG634" s="313">
        <f>IF(AND(Input_Product=Elig!$C634,Elig_MatchAll_Ct&lt;22,$BC634=(Elig_MatchAll_Ct-1),AZ634=0),AB634,0)</f>
        <v>0</v>
      </c>
      <c r="CH634" s="314">
        <f>IF(AND(Input_Product=Elig!$C634,Elig_MatchAll_Ct&lt;22,$BC634=(Elig_MatchAll_Ct-1),AZ634=0),AC634,0)</f>
        <v>0</v>
      </c>
      <c r="CI634" s="313">
        <f>IF(AND(Input_Product=Elig!$C634,Elig_MatchAll_Ct&lt;22,$BC634=(Elig_MatchAll_Ct-1),BA634=0),AD634,0)</f>
        <v>0</v>
      </c>
      <c r="CJ634" s="314">
        <f>IF(AND(Input_Product=Elig!$C634,Elig_MatchAll_Ct&lt;22,$BC634=(Elig_MatchAll_Ct-1),BA634=0),AE634,0)</f>
        <v>0</v>
      </c>
    </row>
    <row r="635" spans="2:88" ht="10.15" customHeight="1" x14ac:dyDescent="0.25">
      <c r="B635" s="2027" t="s">
        <v>1265</v>
      </c>
      <c r="C635" s="2028" t="str">
        <f t="shared" si="279"/>
        <v>Second OO</v>
      </c>
      <c r="D635" s="2027" t="s">
        <v>1561</v>
      </c>
      <c r="E635" s="2027" t="s">
        <v>98</v>
      </c>
      <c r="F635" s="2027" t="s">
        <v>328</v>
      </c>
      <c r="G635" s="2110" t="s">
        <v>175</v>
      </c>
      <c r="H635" s="2029" t="s">
        <v>446</v>
      </c>
      <c r="I635" s="2027" t="s">
        <v>1332</v>
      </c>
      <c r="J635" s="2027" t="s">
        <v>1311</v>
      </c>
      <c r="K635" s="2029" t="s">
        <v>1790</v>
      </c>
      <c r="L635" s="2027" t="s">
        <v>430</v>
      </c>
      <c r="M635" s="2027" t="s">
        <v>2677</v>
      </c>
      <c r="N635" s="2029" t="s">
        <v>82</v>
      </c>
      <c r="O635" s="2027" t="s">
        <v>310</v>
      </c>
      <c r="P635" s="2027" t="s">
        <v>291</v>
      </c>
      <c r="Q635" s="2027" t="s">
        <v>294</v>
      </c>
      <c r="R635" s="2027">
        <v>50000</v>
      </c>
      <c r="S635" s="2027">
        <v>350000</v>
      </c>
      <c r="T635" s="2027">
        <v>0</v>
      </c>
      <c r="U635" s="2027">
        <f t="shared" si="280"/>
        <v>350000</v>
      </c>
      <c r="V635" s="2027">
        <v>0</v>
      </c>
      <c r="W635" s="2027">
        <v>50</v>
      </c>
      <c r="X635" s="2027">
        <v>0</v>
      </c>
      <c r="Y635" s="2027">
        <v>999</v>
      </c>
      <c r="Z635" s="2030">
        <v>700</v>
      </c>
      <c r="AA635" s="2030">
        <v>719</v>
      </c>
      <c r="AB635" s="2030">
        <v>0</v>
      </c>
      <c r="AC635" s="2030">
        <v>999999</v>
      </c>
      <c r="AD635" s="2027">
        <v>0</v>
      </c>
      <c r="AE635" s="2105">
        <v>85</v>
      </c>
      <c r="AF635" s="170">
        <v>1</v>
      </c>
      <c r="AG635" s="171">
        <v>1</v>
      </c>
      <c r="AH635" s="171">
        <v>1</v>
      </c>
      <c r="AI635" s="171">
        <v>1</v>
      </c>
      <c r="AJ635" s="171">
        <v>0</v>
      </c>
      <c r="AK635" s="171">
        <v>0</v>
      </c>
      <c r="AL635" s="171">
        <v>1</v>
      </c>
      <c r="AM635" s="171">
        <v>1</v>
      </c>
      <c r="AN635" s="171">
        <v>1</v>
      </c>
      <c r="AO635" s="171">
        <v>1</v>
      </c>
      <c r="AP635" s="171">
        <v>1</v>
      </c>
      <c r="AQ635" s="171">
        <v>1</v>
      </c>
      <c r="AR635" s="171">
        <v>1</v>
      </c>
      <c r="AS635" s="171">
        <v>1</v>
      </c>
      <c r="AT635" s="171">
        <v>1</v>
      </c>
      <c r="AU635" s="171">
        <f t="shared" si="270"/>
        <v>1</v>
      </c>
      <c r="AV635" s="171">
        <f t="shared" si="271"/>
        <v>1</v>
      </c>
      <c r="AW635" s="171">
        <f t="shared" si="272"/>
        <v>1</v>
      </c>
      <c r="AX635" s="171">
        <f t="shared" si="284"/>
        <v>1</v>
      </c>
      <c r="AY635" s="171">
        <f t="shared" si="273"/>
        <v>0</v>
      </c>
      <c r="AZ635" s="171">
        <f t="shared" si="274"/>
        <v>1</v>
      </c>
      <c r="BA635" s="172">
        <f t="shared" si="275"/>
        <v>1</v>
      </c>
      <c r="BB635" s="175">
        <f t="shared" si="281"/>
        <v>19</v>
      </c>
      <c r="BC635" s="176">
        <f t="shared" si="282"/>
        <v>18</v>
      </c>
      <c r="BD635" s="176">
        <f t="shared" si="283"/>
        <v>18</v>
      </c>
      <c r="BE635" s="240" t="str">
        <f t="shared" si="259"/>
        <v/>
      </c>
      <c r="BF635" s="234"/>
      <c r="BG635" s="234"/>
      <c r="BH635" s="199">
        <f>IF(AND(Input_Product=Elig!$C635,Elig_MatchAll_Ct&lt;22,$BC635=(Elig_MatchAll_Ct-1),AF635=0),C635,0)</f>
        <v>0</v>
      </c>
      <c r="BI635" s="199">
        <f>IF(AND(Input_Product=Elig!$C635,Elig_MatchAll_Ct&lt;22,$BC635=(Elig_MatchAll_Ct-1),AG635=0),D635,0)</f>
        <v>0</v>
      </c>
      <c r="BJ635" s="199">
        <f>IF(AND(Input_Product=Elig!$C635,Elig_MatchAll_Ct&lt;22,$BC635=(Elig_MatchAll_Ct-1),AH635=0),E635,0)</f>
        <v>0</v>
      </c>
      <c r="BK635" s="199">
        <f>IF(AND(Input_Product=Elig!$C635,Elig_MatchAll_Ct&lt;22,$BC635=(Elig_MatchAll_Ct-1),AI635=0),F635,0)</f>
        <v>0</v>
      </c>
      <c r="BL635" s="199">
        <f>IF(AND(Input_Product=Elig!$C635,Elig_MatchAll_Ct&lt;22,$BC635=(Elig_MatchAll_Ct-1),AJ635=0),G635,0)</f>
        <v>0</v>
      </c>
      <c r="BM635" s="199">
        <f>IF(AND(Input_Product=Elig!$C635,Elig_MatchAll_Ct&lt;22,$BC635=(Elig_MatchAll_Ct-1),AK635=0),H635,0)</f>
        <v>0</v>
      </c>
      <c r="BN635" s="199">
        <f>IF(AND(Input_Product=Elig!$C635,Elig_MatchAll_Ct&lt;22,$BC635=(Elig_MatchAll_Ct-1),AL635=0),I635,0)</f>
        <v>0</v>
      </c>
      <c r="BO635" s="199">
        <f>IF(AND(Input_Product=Elig!$C635,Elig_MatchAll_Ct&lt;22,$BC635=(Elig_MatchAll_Ct-1),AM635=0),J635,0)</f>
        <v>0</v>
      </c>
      <c r="BP635" s="199">
        <f>IF(AND(Input_Product=Elig!$C635,Elig_MatchAll_Ct&lt;22,$BC635=(Elig_MatchAll_Ct-1),AN635=0),K635,0)</f>
        <v>0</v>
      </c>
      <c r="BQ635" s="199">
        <f>IF(AND(Input_Product=Elig!$C635,Elig_MatchAll_Ct&lt;22,$BC635=(Elig_MatchAll_Ct-1),AP635=0),L635,0)</f>
        <v>0</v>
      </c>
      <c r="BR635" s="199">
        <f>IF(AND(Input_Product=Elig!$C635,Elig_MatchAll_Ct&lt;22,$BC635=(Elig_MatchAll_Ct-1),AO635=0),M635,0)</f>
        <v>0</v>
      </c>
      <c r="BS635" s="199">
        <f>IF(AND(Input_Product=Elig!$C635,Elig_MatchAll_Ct&lt;22,$BC635=(Elig_MatchAll_Ct-1),AQ635=0),N635,0)</f>
        <v>0</v>
      </c>
      <c r="BT635" s="199">
        <f>IF(AND(Input_Product=Elig!$C635,Elig_MatchAll_Ct&lt;22,$BC635=(Elig_MatchAll_Ct-1),AR635=0),O635,0)</f>
        <v>0</v>
      </c>
      <c r="BU635" s="199">
        <f>IF(AND(Input_Product=Elig!$C635,Elig_MatchAll_Ct&lt;22,$BC635=(Elig_MatchAll_Ct-1),AS635=0),P635,0)</f>
        <v>0</v>
      </c>
      <c r="BV635" s="200">
        <f>IF(AND(Input_Product=Elig!$C635,Elig_MatchAll_Ct&lt;22,$BC635=(Elig_MatchAll_Ct-1),AT635=0),Q635,0)</f>
        <v>0</v>
      </c>
      <c r="BW635" s="201">
        <f>IF(AND(Input_Product=Elig!$C635,Elig_MatchAll_Ct&lt;22,$BC635=(Elig_MatchAll_Ct-1),AU635=0),R635,0)</f>
        <v>0</v>
      </c>
      <c r="BX635" s="202">
        <f>IF(AND(Input_Product=Elig!$C635,Elig_MatchAll_Ct&lt;22,$BC635=(Elig_MatchAll_Ct-1),AU635=0),S635,0)</f>
        <v>0</v>
      </c>
      <c r="BY635" s="201">
        <f>IF(AND(Input_Product=Elig!$C635,Elig_MatchAll_Ct&lt;22,$BC635=(Elig_MatchAll_Ct-1),AV635=0),T635,0)</f>
        <v>0</v>
      </c>
      <c r="BZ635" s="202">
        <f>IF(AND(Input_Product=Elig!$C635,Elig_MatchAll_Ct&lt;22,$BC635=(Elig_MatchAll_Ct-1),AV635=0),U635,0)</f>
        <v>0</v>
      </c>
      <c r="CA635" s="201">
        <f>IF(AND(Input_Product=Elig!$C635,Elig_MatchAll_Ct&lt;22,$BC635=(Elig_MatchAll_Ct-1),AW635=0),V635,0)</f>
        <v>0</v>
      </c>
      <c r="CB635" s="202">
        <f>IF(AND(Input_Product=Elig!$C635,Elig_MatchAll_Ct&lt;22,$BC635=(Elig_MatchAll_Ct-1),AW635=0),W635,0)</f>
        <v>0</v>
      </c>
      <c r="CC635" s="201">
        <f>IF(AND(Input_Product=Elig!$C635,Elig_MatchAll_Ct&lt;22,$BC635=(Elig_MatchAll_Ct-1),AX635=0),X635,0)</f>
        <v>0</v>
      </c>
      <c r="CD635" s="202">
        <f>IF(AND(Input_Product=Elig!$C635,Elig_MatchAll_Ct&lt;22,$BC635=(Elig_MatchAll_Ct-1),AX635=0),Y635,0)</f>
        <v>0</v>
      </c>
      <c r="CE635" s="201">
        <f>IF(AND(Input_LTV&lt;=AE635,Input_Product=Elig!$C635,Elig_MatchAll_Ct&lt;22,$BC635=(Elig_MatchAll_Ct-1),AY635=0),Z635,0)</f>
        <v>0</v>
      </c>
      <c r="CF635" s="202">
        <f>IF(AND(Input_LTV&lt;=AE635,Input_Product=Elig!$C635,Elig_MatchAll_Ct&lt;22,$BC635=(Elig_MatchAll_Ct-1),AY635=0),AA635,0)</f>
        <v>0</v>
      </c>
      <c r="CG635" s="201">
        <f>IF(AND(Input_Product=Elig!$C635,Elig_MatchAll_Ct&lt;22,$BC635=(Elig_MatchAll_Ct-1),AZ635=0),AB635,0)</f>
        <v>0</v>
      </c>
      <c r="CH635" s="202">
        <f>IF(AND(Input_Product=Elig!$C635,Elig_MatchAll_Ct&lt;22,$BC635=(Elig_MatchAll_Ct-1),AZ635=0),AC635,0)</f>
        <v>0</v>
      </c>
      <c r="CI635" s="201">
        <f>IF(AND(Input_Product=Elig!$C635,Elig_MatchAll_Ct&lt;22,$BC635=(Elig_MatchAll_Ct-1),BA635=0),AD635,0)</f>
        <v>0</v>
      </c>
      <c r="CJ635" s="202">
        <f>IF(AND(Input_Product=Elig!$C635,Elig_MatchAll_Ct&lt;22,$BC635=(Elig_MatchAll_Ct-1),BA635=0),AE635,0)</f>
        <v>0</v>
      </c>
    </row>
    <row r="636" spans="2:88" ht="10.15" customHeight="1" x14ac:dyDescent="0.25">
      <c r="B636" s="2027" t="s">
        <v>1266</v>
      </c>
      <c r="C636" s="2028" t="str">
        <f t="shared" si="279"/>
        <v>Second OO</v>
      </c>
      <c r="D636" s="2027" t="s">
        <v>1561</v>
      </c>
      <c r="E636" s="2027" t="s">
        <v>98</v>
      </c>
      <c r="F636" s="2027" t="s">
        <v>328</v>
      </c>
      <c r="G636" s="2110" t="s">
        <v>175</v>
      </c>
      <c r="H636" s="2029" t="s">
        <v>446</v>
      </c>
      <c r="I636" s="2027" t="s">
        <v>1332</v>
      </c>
      <c r="J636" s="2027" t="s">
        <v>1311</v>
      </c>
      <c r="K636" s="2029" t="s">
        <v>1790</v>
      </c>
      <c r="L636" s="2027" t="s">
        <v>430</v>
      </c>
      <c r="M636" s="2027" t="s">
        <v>2677</v>
      </c>
      <c r="N636" s="2029" t="s">
        <v>82</v>
      </c>
      <c r="O636" s="2027" t="s">
        <v>310</v>
      </c>
      <c r="P636" s="2027" t="s">
        <v>291</v>
      </c>
      <c r="Q636" s="2027" t="s">
        <v>294</v>
      </c>
      <c r="R636" s="2027">
        <v>50000</v>
      </c>
      <c r="S636" s="2027">
        <v>350000</v>
      </c>
      <c r="T636" s="2027">
        <v>0</v>
      </c>
      <c r="U636" s="2027">
        <f t="shared" si="280"/>
        <v>350000</v>
      </c>
      <c r="V636" s="2027">
        <v>0</v>
      </c>
      <c r="W636" s="2027">
        <v>50</v>
      </c>
      <c r="X636" s="2027">
        <v>0</v>
      </c>
      <c r="Y636" s="2027">
        <v>999</v>
      </c>
      <c r="Z636" s="2030">
        <v>680</v>
      </c>
      <c r="AA636" s="2030">
        <v>699</v>
      </c>
      <c r="AB636" s="2030">
        <v>0</v>
      </c>
      <c r="AC636" s="2030">
        <v>999999</v>
      </c>
      <c r="AD636" s="2027">
        <v>0</v>
      </c>
      <c r="AE636" s="2105">
        <v>80</v>
      </c>
      <c r="AF636" s="170">
        <v>1</v>
      </c>
      <c r="AG636" s="171">
        <v>1</v>
      </c>
      <c r="AH636" s="171">
        <v>1</v>
      </c>
      <c r="AI636" s="171">
        <v>1</v>
      </c>
      <c r="AJ636" s="171">
        <v>0</v>
      </c>
      <c r="AK636" s="171">
        <v>0</v>
      </c>
      <c r="AL636" s="171">
        <v>1</v>
      </c>
      <c r="AM636" s="171">
        <v>1</v>
      </c>
      <c r="AN636" s="171">
        <v>1</v>
      </c>
      <c r="AO636" s="171">
        <v>1</v>
      </c>
      <c r="AP636" s="171">
        <v>1</v>
      </c>
      <c r="AQ636" s="171">
        <v>1</v>
      </c>
      <c r="AR636" s="171">
        <v>1</v>
      </c>
      <c r="AS636" s="171">
        <v>1</v>
      </c>
      <c r="AT636" s="171">
        <v>1</v>
      </c>
      <c r="AU636" s="171">
        <f t="shared" si="270"/>
        <v>1</v>
      </c>
      <c r="AV636" s="171">
        <f t="shared" si="271"/>
        <v>1</v>
      </c>
      <c r="AW636" s="171">
        <f t="shared" si="272"/>
        <v>1</v>
      </c>
      <c r="AX636" s="171">
        <f t="shared" si="284"/>
        <v>1</v>
      </c>
      <c r="AY636" s="171">
        <f t="shared" si="273"/>
        <v>0</v>
      </c>
      <c r="AZ636" s="171">
        <f t="shared" si="274"/>
        <v>1</v>
      </c>
      <c r="BA636" s="172">
        <f t="shared" si="275"/>
        <v>1</v>
      </c>
      <c r="BB636" s="175">
        <f t="shared" si="281"/>
        <v>19</v>
      </c>
      <c r="BC636" s="176">
        <f t="shared" si="282"/>
        <v>18</v>
      </c>
      <c r="BD636" s="176">
        <f t="shared" si="283"/>
        <v>18</v>
      </c>
      <c r="BE636" s="240" t="str">
        <f t="shared" si="259"/>
        <v/>
      </c>
      <c r="BF636" s="234"/>
      <c r="BG636" s="234"/>
      <c r="BH636" s="199">
        <f>IF(AND(Input_Product=Elig!$C636,Elig_MatchAll_Ct&lt;22,$BC636=(Elig_MatchAll_Ct-1),AF636=0),C636,0)</f>
        <v>0</v>
      </c>
      <c r="BI636" s="199">
        <f>IF(AND(Input_Product=Elig!$C636,Elig_MatchAll_Ct&lt;22,$BC636=(Elig_MatchAll_Ct-1),AG636=0),D636,0)</f>
        <v>0</v>
      </c>
      <c r="BJ636" s="199">
        <f>IF(AND(Input_Product=Elig!$C636,Elig_MatchAll_Ct&lt;22,$BC636=(Elig_MatchAll_Ct-1),AH636=0),E636,0)</f>
        <v>0</v>
      </c>
      <c r="BK636" s="199">
        <f>IF(AND(Input_Product=Elig!$C636,Elig_MatchAll_Ct&lt;22,$BC636=(Elig_MatchAll_Ct-1),AI636=0),F636,0)</f>
        <v>0</v>
      </c>
      <c r="BL636" s="199">
        <f>IF(AND(Input_Product=Elig!$C636,Elig_MatchAll_Ct&lt;22,$BC636=(Elig_MatchAll_Ct-1),AJ636=0),G636,0)</f>
        <v>0</v>
      </c>
      <c r="BM636" s="199">
        <f>IF(AND(Input_Product=Elig!$C636,Elig_MatchAll_Ct&lt;22,$BC636=(Elig_MatchAll_Ct-1),AK636=0),H636,0)</f>
        <v>0</v>
      </c>
      <c r="BN636" s="199">
        <f>IF(AND(Input_Product=Elig!$C636,Elig_MatchAll_Ct&lt;22,$BC636=(Elig_MatchAll_Ct-1),AL636=0),I636,0)</f>
        <v>0</v>
      </c>
      <c r="BO636" s="199">
        <f>IF(AND(Input_Product=Elig!$C636,Elig_MatchAll_Ct&lt;22,$BC636=(Elig_MatchAll_Ct-1),AM636=0),J636,0)</f>
        <v>0</v>
      </c>
      <c r="BP636" s="199">
        <f>IF(AND(Input_Product=Elig!$C636,Elig_MatchAll_Ct&lt;22,$BC636=(Elig_MatchAll_Ct-1),AN636=0),K636,0)</f>
        <v>0</v>
      </c>
      <c r="BQ636" s="199">
        <f>IF(AND(Input_Product=Elig!$C636,Elig_MatchAll_Ct&lt;22,$BC636=(Elig_MatchAll_Ct-1),AP636=0),L636,0)</f>
        <v>0</v>
      </c>
      <c r="BR636" s="199">
        <f>IF(AND(Input_Product=Elig!$C636,Elig_MatchAll_Ct&lt;22,$BC636=(Elig_MatchAll_Ct-1),AO636=0),M636,0)</f>
        <v>0</v>
      </c>
      <c r="BS636" s="199">
        <f>IF(AND(Input_Product=Elig!$C636,Elig_MatchAll_Ct&lt;22,$BC636=(Elig_MatchAll_Ct-1),AQ636=0),N636,0)</f>
        <v>0</v>
      </c>
      <c r="BT636" s="199">
        <f>IF(AND(Input_Product=Elig!$C636,Elig_MatchAll_Ct&lt;22,$BC636=(Elig_MatchAll_Ct-1),AR636=0),O636,0)</f>
        <v>0</v>
      </c>
      <c r="BU636" s="199">
        <f>IF(AND(Input_Product=Elig!$C636,Elig_MatchAll_Ct&lt;22,$BC636=(Elig_MatchAll_Ct-1),AS636=0),P636,0)</f>
        <v>0</v>
      </c>
      <c r="BV636" s="200">
        <f>IF(AND(Input_Product=Elig!$C636,Elig_MatchAll_Ct&lt;22,$BC636=(Elig_MatchAll_Ct-1),AT636=0),Q636,0)</f>
        <v>0</v>
      </c>
      <c r="BW636" s="201">
        <f>IF(AND(Input_Product=Elig!$C636,Elig_MatchAll_Ct&lt;22,$BC636=(Elig_MatchAll_Ct-1),AU636=0),R636,0)</f>
        <v>0</v>
      </c>
      <c r="BX636" s="202">
        <f>IF(AND(Input_Product=Elig!$C636,Elig_MatchAll_Ct&lt;22,$BC636=(Elig_MatchAll_Ct-1),AU636=0),S636,0)</f>
        <v>0</v>
      </c>
      <c r="BY636" s="201">
        <f>IF(AND(Input_Product=Elig!$C636,Elig_MatchAll_Ct&lt;22,$BC636=(Elig_MatchAll_Ct-1),AV636=0),T636,0)</f>
        <v>0</v>
      </c>
      <c r="BZ636" s="202">
        <f>IF(AND(Input_Product=Elig!$C636,Elig_MatchAll_Ct&lt;22,$BC636=(Elig_MatchAll_Ct-1),AV636=0),U636,0)</f>
        <v>0</v>
      </c>
      <c r="CA636" s="201">
        <f>IF(AND(Input_Product=Elig!$C636,Elig_MatchAll_Ct&lt;22,$BC636=(Elig_MatchAll_Ct-1),AW636=0),V636,0)</f>
        <v>0</v>
      </c>
      <c r="CB636" s="202">
        <f>IF(AND(Input_Product=Elig!$C636,Elig_MatchAll_Ct&lt;22,$BC636=(Elig_MatchAll_Ct-1),AW636=0),W636,0)</f>
        <v>0</v>
      </c>
      <c r="CC636" s="201">
        <f>IF(AND(Input_Product=Elig!$C636,Elig_MatchAll_Ct&lt;22,$BC636=(Elig_MatchAll_Ct-1),AX636=0),X636,0)</f>
        <v>0</v>
      </c>
      <c r="CD636" s="202">
        <f>IF(AND(Input_Product=Elig!$C636,Elig_MatchAll_Ct&lt;22,$BC636=(Elig_MatchAll_Ct-1),AX636=0),Y636,0)</f>
        <v>0</v>
      </c>
      <c r="CE636" s="201">
        <f>IF(AND(Input_LTV&lt;=AE636,Input_Product=Elig!$C636,Elig_MatchAll_Ct&lt;22,$BC636=(Elig_MatchAll_Ct-1),AY636=0),Z636,0)</f>
        <v>0</v>
      </c>
      <c r="CF636" s="202">
        <f>IF(AND(Input_LTV&lt;=AE636,Input_Product=Elig!$C636,Elig_MatchAll_Ct&lt;22,$BC636=(Elig_MatchAll_Ct-1),AY636=0),AA636,0)</f>
        <v>0</v>
      </c>
      <c r="CG636" s="201">
        <f>IF(AND(Input_Product=Elig!$C636,Elig_MatchAll_Ct&lt;22,$BC636=(Elig_MatchAll_Ct-1),AZ636=0),AB636,0)</f>
        <v>0</v>
      </c>
      <c r="CH636" s="202">
        <f>IF(AND(Input_Product=Elig!$C636,Elig_MatchAll_Ct&lt;22,$BC636=(Elig_MatchAll_Ct-1),AZ636=0),AC636,0)</f>
        <v>0</v>
      </c>
      <c r="CI636" s="201">
        <f>IF(AND(Input_Product=Elig!$C636,Elig_MatchAll_Ct&lt;22,$BC636=(Elig_MatchAll_Ct-1),BA636=0),AD636,0)</f>
        <v>0</v>
      </c>
      <c r="CJ636" s="202">
        <f>IF(AND(Input_Product=Elig!$C636,Elig_MatchAll_Ct&lt;22,$BC636=(Elig_MatchAll_Ct-1),BA636=0),AE636,0)</f>
        <v>0</v>
      </c>
    </row>
    <row r="637" spans="2:88" ht="10.15" customHeight="1" x14ac:dyDescent="0.25">
      <c r="B637" s="2027" t="s">
        <v>1267</v>
      </c>
      <c r="C637" s="2032" t="str">
        <f t="shared" si="279"/>
        <v>Second OO</v>
      </c>
      <c r="D637" s="2031" t="s">
        <v>1561</v>
      </c>
      <c r="E637" s="2031" t="s">
        <v>98</v>
      </c>
      <c r="F637" s="2031" t="s">
        <v>328</v>
      </c>
      <c r="G637" s="2111" t="s">
        <v>175</v>
      </c>
      <c r="H637" s="2033" t="s">
        <v>446</v>
      </c>
      <c r="I637" s="2031" t="s">
        <v>1332</v>
      </c>
      <c r="J637" s="2031" t="s">
        <v>1311</v>
      </c>
      <c r="K637" s="2033" t="s">
        <v>1790</v>
      </c>
      <c r="L637" s="2031" t="s">
        <v>430</v>
      </c>
      <c r="M637" s="2031" t="s">
        <v>2677</v>
      </c>
      <c r="N637" s="2033" t="s">
        <v>82</v>
      </c>
      <c r="O637" s="2031" t="s">
        <v>310</v>
      </c>
      <c r="P637" s="2031" t="s">
        <v>291</v>
      </c>
      <c r="Q637" s="2031" t="s">
        <v>294</v>
      </c>
      <c r="R637" s="2031">
        <v>50000</v>
      </c>
      <c r="S637" s="2031">
        <v>350000</v>
      </c>
      <c r="T637" s="2031">
        <v>0</v>
      </c>
      <c r="U637" s="2031">
        <f t="shared" si="280"/>
        <v>350000</v>
      </c>
      <c r="V637" s="2031">
        <v>0</v>
      </c>
      <c r="W637" s="2031">
        <v>50</v>
      </c>
      <c r="X637" s="2031">
        <v>0</v>
      </c>
      <c r="Y637" s="2031">
        <v>999</v>
      </c>
      <c r="Z637" s="2034">
        <v>660</v>
      </c>
      <c r="AA637" s="2034">
        <v>679</v>
      </c>
      <c r="AB637" s="2034">
        <v>0</v>
      </c>
      <c r="AC637" s="2034">
        <v>999999</v>
      </c>
      <c r="AD637" s="2031">
        <v>0</v>
      </c>
      <c r="AE637" s="2107">
        <v>75</v>
      </c>
      <c r="AF637" s="170">
        <v>1</v>
      </c>
      <c r="AG637" s="171">
        <v>1</v>
      </c>
      <c r="AH637" s="171">
        <v>1</v>
      </c>
      <c r="AI637" s="171">
        <v>1</v>
      </c>
      <c r="AJ637" s="171">
        <v>0</v>
      </c>
      <c r="AK637" s="171">
        <v>0</v>
      </c>
      <c r="AL637" s="171">
        <v>1</v>
      </c>
      <c r="AM637" s="171">
        <v>1</v>
      </c>
      <c r="AN637" s="171">
        <v>1</v>
      </c>
      <c r="AO637" s="171">
        <v>1</v>
      </c>
      <c r="AP637" s="171">
        <v>1</v>
      </c>
      <c r="AQ637" s="171">
        <v>1</v>
      </c>
      <c r="AR637" s="171">
        <v>1</v>
      </c>
      <c r="AS637" s="171">
        <v>1</v>
      </c>
      <c r="AT637" s="171">
        <v>1</v>
      </c>
      <c r="AU637" s="171">
        <f t="shared" si="270"/>
        <v>1</v>
      </c>
      <c r="AV637" s="171">
        <f t="shared" si="271"/>
        <v>1</v>
      </c>
      <c r="AW637" s="171">
        <f t="shared" si="272"/>
        <v>1</v>
      </c>
      <c r="AX637" s="171">
        <f t="shared" si="284"/>
        <v>1</v>
      </c>
      <c r="AY637" s="171">
        <f t="shared" si="273"/>
        <v>0</v>
      </c>
      <c r="AZ637" s="171">
        <f t="shared" si="274"/>
        <v>1</v>
      </c>
      <c r="BA637" s="172">
        <f t="shared" si="275"/>
        <v>1</v>
      </c>
      <c r="BB637" s="175">
        <f t="shared" si="281"/>
        <v>19</v>
      </c>
      <c r="BC637" s="176">
        <f t="shared" si="282"/>
        <v>18</v>
      </c>
      <c r="BD637" s="176">
        <f t="shared" si="283"/>
        <v>18</v>
      </c>
      <c r="BE637" s="240" t="str">
        <f t="shared" si="259"/>
        <v/>
      </c>
      <c r="BF637" s="234"/>
      <c r="BG637" s="234"/>
      <c r="BH637" s="214">
        <f>IF(AND(Input_Product=Elig!$C637,Elig_MatchAll_Ct&lt;22,$BC637=(Elig_MatchAll_Ct-1),AF637=0),C637,0)</f>
        <v>0</v>
      </c>
      <c r="BI637" s="214">
        <f>IF(AND(Input_Product=Elig!$C637,Elig_MatchAll_Ct&lt;22,$BC637=(Elig_MatchAll_Ct-1),AG637=0),D637,0)</f>
        <v>0</v>
      </c>
      <c r="BJ637" s="214">
        <f>IF(AND(Input_Product=Elig!$C637,Elig_MatchAll_Ct&lt;22,$BC637=(Elig_MatchAll_Ct-1),AH637=0),E637,0)</f>
        <v>0</v>
      </c>
      <c r="BK637" s="214">
        <f>IF(AND(Input_Product=Elig!$C637,Elig_MatchAll_Ct&lt;22,$BC637=(Elig_MatchAll_Ct-1),AI637=0),F637,0)</f>
        <v>0</v>
      </c>
      <c r="BL637" s="214">
        <f>IF(AND(Input_Product=Elig!$C637,Elig_MatchAll_Ct&lt;22,$BC637=(Elig_MatchAll_Ct-1),AJ637=0),G637,0)</f>
        <v>0</v>
      </c>
      <c r="BM637" s="214">
        <f>IF(AND(Input_Product=Elig!$C637,Elig_MatchAll_Ct&lt;22,$BC637=(Elig_MatchAll_Ct-1),AK637=0),H637,0)</f>
        <v>0</v>
      </c>
      <c r="BN637" s="214">
        <f>IF(AND(Input_Product=Elig!$C637,Elig_MatchAll_Ct&lt;22,$BC637=(Elig_MatchAll_Ct-1),AL637=0),I637,0)</f>
        <v>0</v>
      </c>
      <c r="BO637" s="214">
        <f>IF(AND(Input_Product=Elig!$C637,Elig_MatchAll_Ct&lt;22,$BC637=(Elig_MatchAll_Ct-1),AM637=0),J637,0)</f>
        <v>0</v>
      </c>
      <c r="BP637" s="214">
        <f>IF(AND(Input_Product=Elig!$C637,Elig_MatchAll_Ct&lt;22,$BC637=(Elig_MatchAll_Ct-1),AN637=0),K637,0)</f>
        <v>0</v>
      </c>
      <c r="BQ637" s="214">
        <f>IF(AND(Input_Product=Elig!$C637,Elig_MatchAll_Ct&lt;22,$BC637=(Elig_MatchAll_Ct-1),AP637=0),L637,0)</f>
        <v>0</v>
      </c>
      <c r="BR637" s="214">
        <f>IF(AND(Input_Product=Elig!$C637,Elig_MatchAll_Ct&lt;22,$BC637=(Elig_MatchAll_Ct-1),AO637=0),M637,0)</f>
        <v>0</v>
      </c>
      <c r="BS637" s="214">
        <f>IF(AND(Input_Product=Elig!$C637,Elig_MatchAll_Ct&lt;22,$BC637=(Elig_MatchAll_Ct-1),AQ637=0),N637,0)</f>
        <v>0</v>
      </c>
      <c r="BT637" s="214">
        <f>IF(AND(Input_Product=Elig!$C637,Elig_MatchAll_Ct&lt;22,$BC637=(Elig_MatchAll_Ct-1),AR637=0),O637,0)</f>
        <v>0</v>
      </c>
      <c r="BU637" s="214">
        <f>IF(AND(Input_Product=Elig!$C637,Elig_MatchAll_Ct&lt;22,$BC637=(Elig_MatchAll_Ct-1),AS637=0),P637,0)</f>
        <v>0</v>
      </c>
      <c r="BV637" s="215">
        <f>IF(AND(Input_Product=Elig!$C637,Elig_MatchAll_Ct&lt;22,$BC637=(Elig_MatchAll_Ct-1),AT637=0),Q637,0)</f>
        <v>0</v>
      </c>
      <c r="BW637" s="311">
        <f>IF(AND(Input_Product=Elig!$C637,Elig_MatchAll_Ct&lt;22,$BC637=(Elig_MatchAll_Ct-1),AU637=0),R637,0)</f>
        <v>0</v>
      </c>
      <c r="BX637" s="312">
        <f>IF(AND(Input_Product=Elig!$C637,Elig_MatchAll_Ct&lt;22,$BC637=(Elig_MatchAll_Ct-1),AU637=0),S637,0)</f>
        <v>0</v>
      </c>
      <c r="BY637" s="311">
        <f>IF(AND(Input_Product=Elig!$C637,Elig_MatchAll_Ct&lt;22,$BC637=(Elig_MatchAll_Ct-1),AV637=0),T637,0)</f>
        <v>0</v>
      </c>
      <c r="BZ637" s="312">
        <f>IF(AND(Input_Product=Elig!$C637,Elig_MatchAll_Ct&lt;22,$BC637=(Elig_MatchAll_Ct-1),AV637=0),U637,0)</f>
        <v>0</v>
      </c>
      <c r="CA637" s="311">
        <f>IF(AND(Input_Product=Elig!$C637,Elig_MatchAll_Ct&lt;22,$BC637=(Elig_MatchAll_Ct-1),AW637=0),V637,0)</f>
        <v>0</v>
      </c>
      <c r="CB637" s="312">
        <f>IF(AND(Input_Product=Elig!$C637,Elig_MatchAll_Ct&lt;22,$BC637=(Elig_MatchAll_Ct-1),AW637=0),W637,0)</f>
        <v>0</v>
      </c>
      <c r="CC637" s="311">
        <f>IF(AND(Input_Product=Elig!$C637,Elig_MatchAll_Ct&lt;22,$BC637=(Elig_MatchAll_Ct-1),AX637=0),X637,0)</f>
        <v>0</v>
      </c>
      <c r="CD637" s="312">
        <f>IF(AND(Input_Product=Elig!$C637,Elig_MatchAll_Ct&lt;22,$BC637=(Elig_MatchAll_Ct-1),AX637=0),Y637,0)</f>
        <v>0</v>
      </c>
      <c r="CE637" s="311">
        <f>IF(AND(Input_LTV&lt;=AE637,Input_Product=Elig!$C637,Elig_MatchAll_Ct&lt;22,$BC637=(Elig_MatchAll_Ct-1),AY637=0),Z637,0)</f>
        <v>0</v>
      </c>
      <c r="CF637" s="312">
        <f>IF(AND(Input_LTV&lt;=AE637,Input_Product=Elig!$C637,Elig_MatchAll_Ct&lt;22,$BC637=(Elig_MatchAll_Ct-1),AY637=0),AA637,0)</f>
        <v>0</v>
      </c>
      <c r="CG637" s="311">
        <f>IF(AND(Input_Product=Elig!$C637,Elig_MatchAll_Ct&lt;22,$BC637=(Elig_MatchAll_Ct-1),AZ637=0),AB637,0)</f>
        <v>0</v>
      </c>
      <c r="CH637" s="312">
        <f>IF(AND(Input_Product=Elig!$C637,Elig_MatchAll_Ct&lt;22,$BC637=(Elig_MatchAll_Ct-1),AZ637=0),AC637,0)</f>
        <v>0</v>
      </c>
      <c r="CI637" s="311">
        <f>IF(AND(Input_Product=Elig!$C637,Elig_MatchAll_Ct&lt;22,$BC637=(Elig_MatchAll_Ct-1),BA637=0),AD637,0)</f>
        <v>0</v>
      </c>
      <c r="CJ637" s="312">
        <f>IF(AND(Input_Product=Elig!$C637,Elig_MatchAll_Ct&lt;22,$BC637=(Elig_MatchAll_Ct-1),BA637=0),AE637,0)</f>
        <v>0</v>
      </c>
    </row>
    <row r="638" spans="2:88" ht="10.15" customHeight="1" x14ac:dyDescent="0.25">
      <c r="B638" s="2027" t="s">
        <v>1268</v>
      </c>
      <c r="C638" s="2024" t="str">
        <f t="shared" si="279"/>
        <v>Second OO</v>
      </c>
      <c r="D638" s="2025" t="s">
        <v>1302</v>
      </c>
      <c r="E638" s="2025" t="s">
        <v>98</v>
      </c>
      <c r="F638" s="2025" t="s">
        <v>328</v>
      </c>
      <c r="G638" s="2103" t="s">
        <v>175</v>
      </c>
      <c r="H638" s="2025" t="s">
        <v>446</v>
      </c>
      <c r="I638" s="2023" t="s">
        <v>1332</v>
      </c>
      <c r="J638" s="2023" t="s">
        <v>1311</v>
      </c>
      <c r="K638" s="2025" t="s">
        <v>1790</v>
      </c>
      <c r="L638" s="2023" t="s">
        <v>430</v>
      </c>
      <c r="M638" s="2023" t="s">
        <v>2677</v>
      </c>
      <c r="N638" s="2025" t="s">
        <v>82</v>
      </c>
      <c r="O638" s="2023" t="s">
        <v>310</v>
      </c>
      <c r="P638" s="2023" t="s">
        <v>291</v>
      </c>
      <c r="Q638" s="2023" t="s">
        <v>294</v>
      </c>
      <c r="R638" s="2023">
        <v>200000</v>
      </c>
      <c r="S638" s="2023">
        <v>350000</v>
      </c>
      <c r="T638" s="2023">
        <v>0</v>
      </c>
      <c r="U638" s="2023">
        <f t="shared" si="280"/>
        <v>350000</v>
      </c>
      <c r="V638" s="2023">
        <v>0</v>
      </c>
      <c r="W638" s="2023">
        <v>50</v>
      </c>
      <c r="X638" s="2023">
        <v>0</v>
      </c>
      <c r="Y638" s="2023">
        <v>999</v>
      </c>
      <c r="Z638" s="2026">
        <v>720</v>
      </c>
      <c r="AA638" s="2026">
        <v>999</v>
      </c>
      <c r="AB638" s="2026">
        <v>0</v>
      </c>
      <c r="AC638" s="2026">
        <v>999999</v>
      </c>
      <c r="AD638" s="2023">
        <v>0</v>
      </c>
      <c r="AE638" s="2104">
        <v>90</v>
      </c>
      <c r="AF638" s="170">
        <v>1</v>
      </c>
      <c r="AG638" s="171">
        <v>0</v>
      </c>
      <c r="AH638" s="171">
        <v>1</v>
      </c>
      <c r="AI638" s="171">
        <v>1</v>
      </c>
      <c r="AJ638" s="171">
        <v>0</v>
      </c>
      <c r="AK638" s="171">
        <v>0</v>
      </c>
      <c r="AL638" s="171">
        <v>1</v>
      </c>
      <c r="AM638" s="171">
        <v>1</v>
      </c>
      <c r="AN638" s="171">
        <v>1</v>
      </c>
      <c r="AO638" s="171">
        <v>1</v>
      </c>
      <c r="AP638" s="171">
        <v>1</v>
      </c>
      <c r="AQ638" s="171">
        <v>1</v>
      </c>
      <c r="AR638" s="171">
        <v>1</v>
      </c>
      <c r="AS638" s="171">
        <v>1</v>
      </c>
      <c r="AT638" s="171">
        <v>1</v>
      </c>
      <c r="AU638" s="171">
        <f t="shared" si="270"/>
        <v>1</v>
      </c>
      <c r="AV638" s="171">
        <f t="shared" si="271"/>
        <v>1</v>
      </c>
      <c r="AW638" s="171">
        <f t="shared" si="272"/>
        <v>1</v>
      </c>
      <c r="AX638" s="171">
        <f t="shared" si="284"/>
        <v>1</v>
      </c>
      <c r="AY638" s="171">
        <f t="shared" si="273"/>
        <v>1</v>
      </c>
      <c r="AZ638" s="171">
        <f t="shared" si="274"/>
        <v>1</v>
      </c>
      <c r="BA638" s="172">
        <f t="shared" si="275"/>
        <v>1</v>
      </c>
      <c r="BB638" s="175">
        <f t="shared" si="281"/>
        <v>19</v>
      </c>
      <c r="BC638" s="176">
        <f t="shared" si="282"/>
        <v>18</v>
      </c>
      <c r="BD638" s="176">
        <f t="shared" si="283"/>
        <v>18</v>
      </c>
      <c r="BE638" s="240" t="str">
        <f t="shared" si="259"/>
        <v/>
      </c>
      <c r="BF638" s="220"/>
      <c r="BG638" s="220"/>
      <c r="BH638" s="216">
        <f>IF(AND(Input_Product=Elig!$C638,Elig_MatchAll_Ct&lt;22,$BC638=(Elig_MatchAll_Ct-1),AF638=0),C638,0)</f>
        <v>0</v>
      </c>
      <c r="BI638" s="216">
        <f>IF(AND(Input_Product=Elig!$C638,Elig_MatchAll_Ct&lt;22,$BC638=(Elig_MatchAll_Ct-1),AG638=0),D638,0)</f>
        <v>0</v>
      </c>
      <c r="BJ638" s="216">
        <f>IF(AND(Input_Product=Elig!$C638,Elig_MatchAll_Ct&lt;22,$BC638=(Elig_MatchAll_Ct-1),AH638=0),E638,0)</f>
        <v>0</v>
      </c>
      <c r="BK638" s="216">
        <f>IF(AND(Input_Product=Elig!$C638,Elig_MatchAll_Ct&lt;22,$BC638=(Elig_MatchAll_Ct-1),AI638=0),F638,0)</f>
        <v>0</v>
      </c>
      <c r="BL638" s="216">
        <f>IF(AND(Input_Product=Elig!$C638,Elig_MatchAll_Ct&lt;22,$BC638=(Elig_MatchAll_Ct-1),AJ638=0),G638,0)</f>
        <v>0</v>
      </c>
      <c r="BM638" s="216">
        <f>IF(AND(Input_Product=Elig!$C638,Elig_MatchAll_Ct&lt;22,$BC638=(Elig_MatchAll_Ct-1),AK638=0),H638,0)</f>
        <v>0</v>
      </c>
      <c r="BN638" s="216">
        <f>IF(AND(Input_Product=Elig!$C638,Elig_MatchAll_Ct&lt;22,$BC638=(Elig_MatchAll_Ct-1),AL638=0),I638,0)</f>
        <v>0</v>
      </c>
      <c r="BO638" s="216">
        <f>IF(AND(Input_Product=Elig!$C638,Elig_MatchAll_Ct&lt;22,$BC638=(Elig_MatchAll_Ct-1),AM638=0),J638,0)</f>
        <v>0</v>
      </c>
      <c r="BP638" s="216">
        <f>IF(AND(Input_Product=Elig!$C638,Elig_MatchAll_Ct&lt;22,$BC638=(Elig_MatchAll_Ct-1),AN638=0),K638,0)</f>
        <v>0</v>
      </c>
      <c r="BQ638" s="216">
        <f>IF(AND(Input_Product=Elig!$C638,Elig_MatchAll_Ct&lt;22,$BC638=(Elig_MatchAll_Ct-1),AP638=0),L638,0)</f>
        <v>0</v>
      </c>
      <c r="BR638" s="216">
        <f>IF(AND(Input_Product=Elig!$C638,Elig_MatchAll_Ct&lt;22,$BC638=(Elig_MatchAll_Ct-1),AO638=0),M638,0)</f>
        <v>0</v>
      </c>
      <c r="BS638" s="216">
        <f>IF(AND(Input_Product=Elig!$C638,Elig_MatchAll_Ct&lt;22,$BC638=(Elig_MatchAll_Ct-1),AQ638=0),N638,0)</f>
        <v>0</v>
      </c>
      <c r="BT638" s="216">
        <f>IF(AND(Input_Product=Elig!$C638,Elig_MatchAll_Ct&lt;22,$BC638=(Elig_MatchAll_Ct-1),AR638=0),O638,0)</f>
        <v>0</v>
      </c>
      <c r="BU638" s="216">
        <f>IF(AND(Input_Product=Elig!$C638,Elig_MatchAll_Ct&lt;22,$BC638=(Elig_MatchAll_Ct-1),AS638=0),P638,0)</f>
        <v>0</v>
      </c>
      <c r="BV638" s="217">
        <f>IF(AND(Input_Product=Elig!$C638,Elig_MatchAll_Ct&lt;22,$BC638=(Elig_MatchAll_Ct-1),AT638=0),Q638,0)</f>
        <v>0</v>
      </c>
      <c r="BW638" s="313">
        <f>IF(AND(Input_Product=Elig!$C638,Elig_MatchAll_Ct&lt;22,$BC638=(Elig_MatchAll_Ct-1),AU638=0),R638,0)</f>
        <v>0</v>
      </c>
      <c r="BX638" s="314">
        <f>IF(AND(Input_Product=Elig!$C638,Elig_MatchAll_Ct&lt;22,$BC638=(Elig_MatchAll_Ct-1),AU638=0),S638,0)</f>
        <v>0</v>
      </c>
      <c r="BY638" s="313">
        <f>IF(AND(Input_Product=Elig!$C638,Elig_MatchAll_Ct&lt;22,$BC638=(Elig_MatchAll_Ct-1),AV638=0),T638,0)</f>
        <v>0</v>
      </c>
      <c r="BZ638" s="314">
        <f>IF(AND(Input_Product=Elig!$C638,Elig_MatchAll_Ct&lt;22,$BC638=(Elig_MatchAll_Ct-1),AV638=0),U638,0)</f>
        <v>0</v>
      </c>
      <c r="CA638" s="313">
        <f>IF(AND(Input_Product=Elig!$C638,Elig_MatchAll_Ct&lt;22,$BC638=(Elig_MatchAll_Ct-1),AW638=0),V638,0)</f>
        <v>0</v>
      </c>
      <c r="CB638" s="314">
        <f>IF(AND(Input_Product=Elig!$C638,Elig_MatchAll_Ct&lt;22,$BC638=(Elig_MatchAll_Ct-1),AW638=0),W638,0)</f>
        <v>0</v>
      </c>
      <c r="CC638" s="313">
        <f>IF(AND(Input_Product=Elig!$C638,Elig_MatchAll_Ct&lt;22,$BC638=(Elig_MatchAll_Ct-1),AX638=0),X638,0)</f>
        <v>0</v>
      </c>
      <c r="CD638" s="314">
        <f>IF(AND(Input_Product=Elig!$C638,Elig_MatchAll_Ct&lt;22,$BC638=(Elig_MatchAll_Ct-1),AX638=0),Y638,0)</f>
        <v>0</v>
      </c>
      <c r="CE638" s="313">
        <f>IF(AND(Input_LTV&lt;=AE638,Input_Product=Elig!$C638,Elig_MatchAll_Ct&lt;22,$BC638=(Elig_MatchAll_Ct-1),AY638=0),Z638,0)</f>
        <v>0</v>
      </c>
      <c r="CF638" s="314">
        <f>IF(AND(Input_LTV&lt;=AE638,Input_Product=Elig!$C638,Elig_MatchAll_Ct&lt;22,$BC638=(Elig_MatchAll_Ct-1),AY638=0),AA638,0)</f>
        <v>0</v>
      </c>
      <c r="CG638" s="313">
        <f>IF(AND(Input_Product=Elig!$C638,Elig_MatchAll_Ct&lt;22,$BC638=(Elig_MatchAll_Ct-1),AZ638=0),AB638,0)</f>
        <v>0</v>
      </c>
      <c r="CH638" s="314">
        <f>IF(AND(Input_Product=Elig!$C638,Elig_MatchAll_Ct&lt;22,$BC638=(Elig_MatchAll_Ct-1),AZ638=0),AC638,0)</f>
        <v>0</v>
      </c>
      <c r="CI638" s="313">
        <f>IF(AND(Input_Product=Elig!$C638,Elig_MatchAll_Ct&lt;22,$BC638=(Elig_MatchAll_Ct-1),BA638=0),AD638,0)</f>
        <v>0</v>
      </c>
      <c r="CJ638" s="314">
        <f>IF(AND(Input_Product=Elig!$C638,Elig_MatchAll_Ct&lt;22,$BC638=(Elig_MatchAll_Ct-1),BA638=0),AE638,0)</f>
        <v>0</v>
      </c>
    </row>
    <row r="639" spans="2:88" ht="10.15" customHeight="1" x14ac:dyDescent="0.25">
      <c r="B639" s="2027" t="s">
        <v>1269</v>
      </c>
      <c r="C639" s="2028" t="str">
        <f t="shared" si="279"/>
        <v>Second OO</v>
      </c>
      <c r="D639" s="2027" t="s">
        <v>1302</v>
      </c>
      <c r="E639" s="2027" t="s">
        <v>98</v>
      </c>
      <c r="F639" s="2027" t="s">
        <v>328</v>
      </c>
      <c r="G639" s="2110" t="s">
        <v>175</v>
      </c>
      <c r="H639" s="2029" t="s">
        <v>446</v>
      </c>
      <c r="I639" s="2027" t="s">
        <v>1332</v>
      </c>
      <c r="J639" s="2027" t="s">
        <v>1311</v>
      </c>
      <c r="K639" s="2029" t="s">
        <v>1790</v>
      </c>
      <c r="L639" s="2027" t="s">
        <v>430</v>
      </c>
      <c r="M639" s="2027" t="s">
        <v>2677</v>
      </c>
      <c r="N639" s="2029" t="s">
        <v>82</v>
      </c>
      <c r="O639" s="2027" t="s">
        <v>310</v>
      </c>
      <c r="P639" s="2027" t="s">
        <v>291</v>
      </c>
      <c r="Q639" s="2027" t="s">
        <v>294</v>
      </c>
      <c r="R639" s="2027">
        <v>200000</v>
      </c>
      <c r="S639" s="2027">
        <v>350000</v>
      </c>
      <c r="T639" s="2027">
        <v>0</v>
      </c>
      <c r="U639" s="2027">
        <f t="shared" si="280"/>
        <v>350000</v>
      </c>
      <c r="V639" s="2027">
        <v>0</v>
      </c>
      <c r="W639" s="2027">
        <v>50</v>
      </c>
      <c r="X639" s="2027">
        <v>0</v>
      </c>
      <c r="Y639" s="2027">
        <v>999</v>
      </c>
      <c r="Z639" s="2030">
        <v>700</v>
      </c>
      <c r="AA639" s="2030">
        <v>719</v>
      </c>
      <c r="AB639" s="2030">
        <v>0</v>
      </c>
      <c r="AC639" s="2030">
        <v>999999</v>
      </c>
      <c r="AD639" s="2027">
        <v>0</v>
      </c>
      <c r="AE639" s="2105">
        <v>85</v>
      </c>
      <c r="AF639" s="170">
        <v>1</v>
      </c>
      <c r="AG639" s="171">
        <v>0</v>
      </c>
      <c r="AH639" s="171">
        <v>1</v>
      </c>
      <c r="AI639" s="171">
        <v>1</v>
      </c>
      <c r="AJ639" s="171">
        <v>0</v>
      </c>
      <c r="AK639" s="171">
        <v>0</v>
      </c>
      <c r="AL639" s="171">
        <v>1</v>
      </c>
      <c r="AM639" s="171">
        <v>1</v>
      </c>
      <c r="AN639" s="171">
        <v>1</v>
      </c>
      <c r="AO639" s="171">
        <v>1</v>
      </c>
      <c r="AP639" s="171">
        <v>1</v>
      </c>
      <c r="AQ639" s="171">
        <v>1</v>
      </c>
      <c r="AR639" s="171">
        <v>1</v>
      </c>
      <c r="AS639" s="171">
        <v>1</v>
      </c>
      <c r="AT639" s="171">
        <v>1</v>
      </c>
      <c r="AU639" s="171">
        <f t="shared" si="270"/>
        <v>1</v>
      </c>
      <c r="AV639" s="171">
        <f t="shared" si="271"/>
        <v>1</v>
      </c>
      <c r="AW639" s="171">
        <f t="shared" si="272"/>
        <v>1</v>
      </c>
      <c r="AX639" s="171">
        <f t="shared" si="284"/>
        <v>1</v>
      </c>
      <c r="AY639" s="171">
        <f t="shared" si="273"/>
        <v>0</v>
      </c>
      <c r="AZ639" s="171">
        <f t="shared" si="274"/>
        <v>1</v>
      </c>
      <c r="BA639" s="172">
        <f t="shared" si="275"/>
        <v>1</v>
      </c>
      <c r="BB639" s="175">
        <f t="shared" si="281"/>
        <v>18</v>
      </c>
      <c r="BC639" s="176">
        <f t="shared" si="282"/>
        <v>17</v>
      </c>
      <c r="BD639" s="176">
        <f t="shared" si="283"/>
        <v>17</v>
      </c>
      <c r="BE639" s="240" t="str">
        <f t="shared" si="259"/>
        <v/>
      </c>
      <c r="BF639" s="234"/>
      <c r="BG639" s="234"/>
      <c r="BH639" s="199">
        <f>IF(AND(Input_Product=Elig!$C639,Elig_MatchAll_Ct&lt;22,$BC639=(Elig_MatchAll_Ct-1),AF639=0),C639,0)</f>
        <v>0</v>
      </c>
      <c r="BI639" s="199">
        <f>IF(AND(Input_Product=Elig!$C639,Elig_MatchAll_Ct&lt;22,$BC639=(Elig_MatchAll_Ct-1),AG639=0),D639,0)</f>
        <v>0</v>
      </c>
      <c r="BJ639" s="199">
        <f>IF(AND(Input_Product=Elig!$C639,Elig_MatchAll_Ct&lt;22,$BC639=(Elig_MatchAll_Ct-1),AH639=0),E639,0)</f>
        <v>0</v>
      </c>
      <c r="BK639" s="199">
        <f>IF(AND(Input_Product=Elig!$C639,Elig_MatchAll_Ct&lt;22,$BC639=(Elig_MatchAll_Ct-1),AI639=0),F639,0)</f>
        <v>0</v>
      </c>
      <c r="BL639" s="199">
        <f>IF(AND(Input_Product=Elig!$C639,Elig_MatchAll_Ct&lt;22,$BC639=(Elig_MatchAll_Ct-1),AJ639=0),G639,0)</f>
        <v>0</v>
      </c>
      <c r="BM639" s="199">
        <f>IF(AND(Input_Product=Elig!$C639,Elig_MatchAll_Ct&lt;22,$BC639=(Elig_MatchAll_Ct-1),AK639=0),H639,0)</f>
        <v>0</v>
      </c>
      <c r="BN639" s="199">
        <f>IF(AND(Input_Product=Elig!$C639,Elig_MatchAll_Ct&lt;22,$BC639=(Elig_MatchAll_Ct-1),AL639=0),I639,0)</f>
        <v>0</v>
      </c>
      <c r="BO639" s="199">
        <f>IF(AND(Input_Product=Elig!$C639,Elig_MatchAll_Ct&lt;22,$BC639=(Elig_MatchAll_Ct-1),AM639=0),J639,0)</f>
        <v>0</v>
      </c>
      <c r="BP639" s="199">
        <f>IF(AND(Input_Product=Elig!$C639,Elig_MatchAll_Ct&lt;22,$BC639=(Elig_MatchAll_Ct-1),AN639=0),K639,0)</f>
        <v>0</v>
      </c>
      <c r="BQ639" s="199">
        <f>IF(AND(Input_Product=Elig!$C639,Elig_MatchAll_Ct&lt;22,$BC639=(Elig_MatchAll_Ct-1),AP639=0),L639,0)</f>
        <v>0</v>
      </c>
      <c r="BR639" s="199">
        <f>IF(AND(Input_Product=Elig!$C639,Elig_MatchAll_Ct&lt;22,$BC639=(Elig_MatchAll_Ct-1),AO639=0),M639,0)</f>
        <v>0</v>
      </c>
      <c r="BS639" s="199">
        <f>IF(AND(Input_Product=Elig!$C639,Elig_MatchAll_Ct&lt;22,$BC639=(Elig_MatchAll_Ct-1),AQ639=0),N639,0)</f>
        <v>0</v>
      </c>
      <c r="BT639" s="199">
        <f>IF(AND(Input_Product=Elig!$C639,Elig_MatchAll_Ct&lt;22,$BC639=(Elig_MatchAll_Ct-1),AR639=0),O639,0)</f>
        <v>0</v>
      </c>
      <c r="BU639" s="199">
        <f>IF(AND(Input_Product=Elig!$C639,Elig_MatchAll_Ct&lt;22,$BC639=(Elig_MatchAll_Ct-1),AS639=0),P639,0)</f>
        <v>0</v>
      </c>
      <c r="BV639" s="200">
        <f>IF(AND(Input_Product=Elig!$C639,Elig_MatchAll_Ct&lt;22,$BC639=(Elig_MatchAll_Ct-1),AT639=0),Q639,0)</f>
        <v>0</v>
      </c>
      <c r="BW639" s="201">
        <f>IF(AND(Input_Product=Elig!$C639,Elig_MatchAll_Ct&lt;22,$BC639=(Elig_MatchAll_Ct-1),AU639=0),R639,0)</f>
        <v>0</v>
      </c>
      <c r="BX639" s="202">
        <f>IF(AND(Input_Product=Elig!$C639,Elig_MatchAll_Ct&lt;22,$BC639=(Elig_MatchAll_Ct-1),AU639=0),S639,0)</f>
        <v>0</v>
      </c>
      <c r="BY639" s="201">
        <f>IF(AND(Input_Product=Elig!$C639,Elig_MatchAll_Ct&lt;22,$BC639=(Elig_MatchAll_Ct-1),AV639=0),T639,0)</f>
        <v>0</v>
      </c>
      <c r="BZ639" s="202">
        <f>IF(AND(Input_Product=Elig!$C639,Elig_MatchAll_Ct&lt;22,$BC639=(Elig_MatchAll_Ct-1),AV639=0),U639,0)</f>
        <v>0</v>
      </c>
      <c r="CA639" s="201">
        <f>IF(AND(Input_Product=Elig!$C639,Elig_MatchAll_Ct&lt;22,$BC639=(Elig_MatchAll_Ct-1),AW639=0),V639,0)</f>
        <v>0</v>
      </c>
      <c r="CB639" s="202">
        <f>IF(AND(Input_Product=Elig!$C639,Elig_MatchAll_Ct&lt;22,$BC639=(Elig_MatchAll_Ct-1),AW639=0),W639,0)</f>
        <v>0</v>
      </c>
      <c r="CC639" s="201">
        <f>IF(AND(Input_Product=Elig!$C639,Elig_MatchAll_Ct&lt;22,$BC639=(Elig_MatchAll_Ct-1),AX639=0),X639,0)</f>
        <v>0</v>
      </c>
      <c r="CD639" s="202">
        <f>IF(AND(Input_Product=Elig!$C639,Elig_MatchAll_Ct&lt;22,$BC639=(Elig_MatchAll_Ct-1),AX639=0),Y639,0)</f>
        <v>0</v>
      </c>
      <c r="CE639" s="201">
        <f>IF(AND(Input_LTV&lt;=AE639,Input_Product=Elig!$C639,Elig_MatchAll_Ct&lt;22,$BC639=(Elig_MatchAll_Ct-1),AY639=0),Z639,0)</f>
        <v>0</v>
      </c>
      <c r="CF639" s="202">
        <f>IF(AND(Input_LTV&lt;=AE639,Input_Product=Elig!$C639,Elig_MatchAll_Ct&lt;22,$BC639=(Elig_MatchAll_Ct-1),AY639=0),AA639,0)</f>
        <v>0</v>
      </c>
      <c r="CG639" s="201">
        <f>IF(AND(Input_Product=Elig!$C639,Elig_MatchAll_Ct&lt;22,$BC639=(Elig_MatchAll_Ct-1),AZ639=0),AB639,0)</f>
        <v>0</v>
      </c>
      <c r="CH639" s="202">
        <f>IF(AND(Input_Product=Elig!$C639,Elig_MatchAll_Ct&lt;22,$BC639=(Elig_MatchAll_Ct-1),AZ639=0),AC639,0)</f>
        <v>0</v>
      </c>
      <c r="CI639" s="201">
        <f>IF(AND(Input_Product=Elig!$C639,Elig_MatchAll_Ct&lt;22,$BC639=(Elig_MatchAll_Ct-1),BA639=0),AD639,0)</f>
        <v>0</v>
      </c>
      <c r="CJ639" s="202">
        <f>IF(AND(Input_Product=Elig!$C639,Elig_MatchAll_Ct&lt;22,$BC639=(Elig_MatchAll_Ct-1),BA639=0),AE639,0)</f>
        <v>0</v>
      </c>
    </row>
    <row r="640" spans="2:88" ht="10.15" customHeight="1" x14ac:dyDescent="0.25">
      <c r="B640" s="2027" t="s">
        <v>1270</v>
      </c>
      <c r="C640" s="2028" t="str">
        <f t="shared" si="279"/>
        <v>Second OO</v>
      </c>
      <c r="D640" s="2027" t="s">
        <v>1302</v>
      </c>
      <c r="E640" s="2027" t="s">
        <v>98</v>
      </c>
      <c r="F640" s="2027" t="s">
        <v>328</v>
      </c>
      <c r="G640" s="2110" t="s">
        <v>175</v>
      </c>
      <c r="H640" s="2029" t="s">
        <v>446</v>
      </c>
      <c r="I640" s="2027" t="s">
        <v>1332</v>
      </c>
      <c r="J640" s="2027" t="s">
        <v>1311</v>
      </c>
      <c r="K640" s="2029" t="s">
        <v>1790</v>
      </c>
      <c r="L640" s="2027" t="s">
        <v>430</v>
      </c>
      <c r="M640" s="2027" t="s">
        <v>2677</v>
      </c>
      <c r="N640" s="2029" t="s">
        <v>82</v>
      </c>
      <c r="O640" s="2027" t="s">
        <v>310</v>
      </c>
      <c r="P640" s="2027" t="s">
        <v>291</v>
      </c>
      <c r="Q640" s="2027" t="s">
        <v>294</v>
      </c>
      <c r="R640" s="2027">
        <v>200000</v>
      </c>
      <c r="S640" s="2027">
        <v>350000</v>
      </c>
      <c r="T640" s="2027">
        <v>0</v>
      </c>
      <c r="U640" s="2027">
        <f t="shared" si="280"/>
        <v>350000</v>
      </c>
      <c r="V640" s="2027">
        <v>0</v>
      </c>
      <c r="W640" s="2027">
        <v>50</v>
      </c>
      <c r="X640" s="2027">
        <v>0</v>
      </c>
      <c r="Y640" s="2027">
        <v>999</v>
      </c>
      <c r="Z640" s="2030">
        <v>680</v>
      </c>
      <c r="AA640" s="2030">
        <v>699</v>
      </c>
      <c r="AB640" s="2030">
        <v>0</v>
      </c>
      <c r="AC640" s="2030">
        <v>999999</v>
      </c>
      <c r="AD640" s="2027">
        <v>0</v>
      </c>
      <c r="AE640" s="2105">
        <v>80</v>
      </c>
      <c r="AF640" s="170">
        <v>1</v>
      </c>
      <c r="AG640" s="171">
        <v>0</v>
      </c>
      <c r="AH640" s="171">
        <v>1</v>
      </c>
      <c r="AI640" s="171">
        <v>1</v>
      </c>
      <c r="AJ640" s="171">
        <v>0</v>
      </c>
      <c r="AK640" s="171">
        <v>0</v>
      </c>
      <c r="AL640" s="171">
        <v>1</v>
      </c>
      <c r="AM640" s="171">
        <v>1</v>
      </c>
      <c r="AN640" s="171">
        <v>1</v>
      </c>
      <c r="AO640" s="171">
        <v>1</v>
      </c>
      <c r="AP640" s="171">
        <v>1</v>
      </c>
      <c r="AQ640" s="171">
        <v>1</v>
      </c>
      <c r="AR640" s="171">
        <v>1</v>
      </c>
      <c r="AS640" s="171">
        <v>1</v>
      </c>
      <c r="AT640" s="171">
        <v>1</v>
      </c>
      <c r="AU640" s="171">
        <f t="shared" si="270"/>
        <v>1</v>
      </c>
      <c r="AV640" s="171">
        <f t="shared" si="271"/>
        <v>1</v>
      </c>
      <c r="AW640" s="171">
        <f t="shared" si="272"/>
        <v>1</v>
      </c>
      <c r="AX640" s="171">
        <f t="shared" si="284"/>
        <v>1</v>
      </c>
      <c r="AY640" s="171">
        <f t="shared" si="273"/>
        <v>0</v>
      </c>
      <c r="AZ640" s="171">
        <f t="shared" si="274"/>
        <v>1</v>
      </c>
      <c r="BA640" s="172">
        <f t="shared" si="275"/>
        <v>1</v>
      </c>
      <c r="BB640" s="175">
        <f t="shared" si="281"/>
        <v>18</v>
      </c>
      <c r="BC640" s="176">
        <f t="shared" si="282"/>
        <v>17</v>
      </c>
      <c r="BD640" s="176">
        <f t="shared" si="283"/>
        <v>17</v>
      </c>
      <c r="BE640" s="240" t="str">
        <f t="shared" si="259"/>
        <v/>
      </c>
      <c r="BF640" s="234"/>
      <c r="BG640" s="234"/>
      <c r="BH640" s="199">
        <f>IF(AND(Input_Product=Elig!$C640,Elig_MatchAll_Ct&lt;22,$BC640=(Elig_MatchAll_Ct-1),AF640=0),C640,0)</f>
        <v>0</v>
      </c>
      <c r="BI640" s="199">
        <f>IF(AND(Input_Product=Elig!$C640,Elig_MatchAll_Ct&lt;22,$BC640=(Elig_MatchAll_Ct-1),AG640=0),D640,0)</f>
        <v>0</v>
      </c>
      <c r="BJ640" s="199">
        <f>IF(AND(Input_Product=Elig!$C640,Elig_MatchAll_Ct&lt;22,$BC640=(Elig_MatchAll_Ct-1),AH640=0),E640,0)</f>
        <v>0</v>
      </c>
      <c r="BK640" s="199">
        <f>IF(AND(Input_Product=Elig!$C640,Elig_MatchAll_Ct&lt;22,$BC640=(Elig_MatchAll_Ct-1),AI640=0),F640,0)</f>
        <v>0</v>
      </c>
      <c r="BL640" s="199">
        <f>IF(AND(Input_Product=Elig!$C640,Elig_MatchAll_Ct&lt;22,$BC640=(Elig_MatchAll_Ct-1),AJ640=0),G640,0)</f>
        <v>0</v>
      </c>
      <c r="BM640" s="199">
        <f>IF(AND(Input_Product=Elig!$C640,Elig_MatchAll_Ct&lt;22,$BC640=(Elig_MatchAll_Ct-1),AK640=0),H640,0)</f>
        <v>0</v>
      </c>
      <c r="BN640" s="199">
        <f>IF(AND(Input_Product=Elig!$C640,Elig_MatchAll_Ct&lt;22,$BC640=(Elig_MatchAll_Ct-1),AL640=0),I640,0)</f>
        <v>0</v>
      </c>
      <c r="BO640" s="199">
        <f>IF(AND(Input_Product=Elig!$C640,Elig_MatchAll_Ct&lt;22,$BC640=(Elig_MatchAll_Ct-1),AM640=0),J640,0)</f>
        <v>0</v>
      </c>
      <c r="BP640" s="199">
        <f>IF(AND(Input_Product=Elig!$C640,Elig_MatchAll_Ct&lt;22,$BC640=(Elig_MatchAll_Ct-1),AN640=0),K640,0)</f>
        <v>0</v>
      </c>
      <c r="BQ640" s="199">
        <f>IF(AND(Input_Product=Elig!$C640,Elig_MatchAll_Ct&lt;22,$BC640=(Elig_MatchAll_Ct-1),AP640=0),L640,0)</f>
        <v>0</v>
      </c>
      <c r="BR640" s="199">
        <f>IF(AND(Input_Product=Elig!$C640,Elig_MatchAll_Ct&lt;22,$BC640=(Elig_MatchAll_Ct-1),AO640=0),M640,0)</f>
        <v>0</v>
      </c>
      <c r="BS640" s="199">
        <f>IF(AND(Input_Product=Elig!$C640,Elig_MatchAll_Ct&lt;22,$BC640=(Elig_MatchAll_Ct-1),AQ640=0),N640,0)</f>
        <v>0</v>
      </c>
      <c r="BT640" s="199">
        <f>IF(AND(Input_Product=Elig!$C640,Elig_MatchAll_Ct&lt;22,$BC640=(Elig_MatchAll_Ct-1),AR640=0),O640,0)</f>
        <v>0</v>
      </c>
      <c r="BU640" s="199">
        <f>IF(AND(Input_Product=Elig!$C640,Elig_MatchAll_Ct&lt;22,$BC640=(Elig_MatchAll_Ct-1),AS640=0),P640,0)</f>
        <v>0</v>
      </c>
      <c r="BV640" s="200">
        <f>IF(AND(Input_Product=Elig!$C640,Elig_MatchAll_Ct&lt;22,$BC640=(Elig_MatchAll_Ct-1),AT640=0),Q640,0)</f>
        <v>0</v>
      </c>
      <c r="BW640" s="201">
        <f>IF(AND(Input_Product=Elig!$C640,Elig_MatchAll_Ct&lt;22,$BC640=(Elig_MatchAll_Ct-1),AU640=0),R640,0)</f>
        <v>0</v>
      </c>
      <c r="BX640" s="202">
        <f>IF(AND(Input_Product=Elig!$C640,Elig_MatchAll_Ct&lt;22,$BC640=(Elig_MatchAll_Ct-1),AU640=0),S640,0)</f>
        <v>0</v>
      </c>
      <c r="BY640" s="201">
        <f>IF(AND(Input_Product=Elig!$C640,Elig_MatchAll_Ct&lt;22,$BC640=(Elig_MatchAll_Ct-1),AV640=0),T640,0)</f>
        <v>0</v>
      </c>
      <c r="BZ640" s="202">
        <f>IF(AND(Input_Product=Elig!$C640,Elig_MatchAll_Ct&lt;22,$BC640=(Elig_MatchAll_Ct-1),AV640=0),U640,0)</f>
        <v>0</v>
      </c>
      <c r="CA640" s="201">
        <f>IF(AND(Input_Product=Elig!$C640,Elig_MatchAll_Ct&lt;22,$BC640=(Elig_MatchAll_Ct-1),AW640=0),V640,0)</f>
        <v>0</v>
      </c>
      <c r="CB640" s="202">
        <f>IF(AND(Input_Product=Elig!$C640,Elig_MatchAll_Ct&lt;22,$BC640=(Elig_MatchAll_Ct-1),AW640=0),W640,0)</f>
        <v>0</v>
      </c>
      <c r="CC640" s="201">
        <f>IF(AND(Input_Product=Elig!$C640,Elig_MatchAll_Ct&lt;22,$BC640=(Elig_MatchAll_Ct-1),AX640=0),X640,0)</f>
        <v>0</v>
      </c>
      <c r="CD640" s="202">
        <f>IF(AND(Input_Product=Elig!$C640,Elig_MatchAll_Ct&lt;22,$BC640=(Elig_MatchAll_Ct-1),AX640=0),Y640,0)</f>
        <v>0</v>
      </c>
      <c r="CE640" s="201">
        <f>IF(AND(Input_LTV&lt;=AE640,Input_Product=Elig!$C640,Elig_MatchAll_Ct&lt;22,$BC640=(Elig_MatchAll_Ct-1),AY640=0),Z640,0)</f>
        <v>0</v>
      </c>
      <c r="CF640" s="202">
        <f>IF(AND(Input_LTV&lt;=AE640,Input_Product=Elig!$C640,Elig_MatchAll_Ct&lt;22,$BC640=(Elig_MatchAll_Ct-1),AY640=0),AA640,0)</f>
        <v>0</v>
      </c>
      <c r="CG640" s="201">
        <f>IF(AND(Input_Product=Elig!$C640,Elig_MatchAll_Ct&lt;22,$BC640=(Elig_MatchAll_Ct-1),AZ640=0),AB640,0)</f>
        <v>0</v>
      </c>
      <c r="CH640" s="202">
        <f>IF(AND(Input_Product=Elig!$C640,Elig_MatchAll_Ct&lt;22,$BC640=(Elig_MatchAll_Ct-1),AZ640=0),AC640,0)</f>
        <v>0</v>
      </c>
      <c r="CI640" s="201">
        <f>IF(AND(Input_Product=Elig!$C640,Elig_MatchAll_Ct&lt;22,$BC640=(Elig_MatchAll_Ct-1),BA640=0),AD640,0)</f>
        <v>0</v>
      </c>
      <c r="CJ640" s="202">
        <f>IF(AND(Input_Product=Elig!$C640,Elig_MatchAll_Ct&lt;22,$BC640=(Elig_MatchAll_Ct-1),BA640=0),AE640,0)</f>
        <v>0</v>
      </c>
    </row>
    <row r="641" spans="2:88" ht="10.15" customHeight="1" x14ac:dyDescent="0.25">
      <c r="B641" s="2027" t="s">
        <v>1271</v>
      </c>
      <c r="C641" s="2032" t="str">
        <f t="shared" si="279"/>
        <v>Second OO</v>
      </c>
      <c r="D641" s="2031" t="s">
        <v>1302</v>
      </c>
      <c r="E641" s="2031" t="s">
        <v>98</v>
      </c>
      <c r="F641" s="2031" t="s">
        <v>328</v>
      </c>
      <c r="G641" s="2111" t="s">
        <v>175</v>
      </c>
      <c r="H641" s="2033" t="s">
        <v>446</v>
      </c>
      <c r="I641" s="2031" t="s">
        <v>1332</v>
      </c>
      <c r="J641" s="2031" t="s">
        <v>1311</v>
      </c>
      <c r="K641" s="2033" t="s">
        <v>1790</v>
      </c>
      <c r="L641" s="2031" t="s">
        <v>430</v>
      </c>
      <c r="M641" s="2031" t="s">
        <v>2677</v>
      </c>
      <c r="N641" s="2033" t="s">
        <v>82</v>
      </c>
      <c r="O641" s="2031" t="s">
        <v>310</v>
      </c>
      <c r="P641" s="2031" t="s">
        <v>291</v>
      </c>
      <c r="Q641" s="2031" t="s">
        <v>294</v>
      </c>
      <c r="R641" s="2031">
        <v>200000</v>
      </c>
      <c r="S641" s="2031">
        <v>350000</v>
      </c>
      <c r="T641" s="2031">
        <v>0</v>
      </c>
      <c r="U641" s="2031">
        <f t="shared" si="280"/>
        <v>350000</v>
      </c>
      <c r="V641" s="2031">
        <v>0</v>
      </c>
      <c r="W641" s="2031">
        <v>50</v>
      </c>
      <c r="X641" s="2031">
        <v>0</v>
      </c>
      <c r="Y641" s="2031">
        <v>999</v>
      </c>
      <c r="Z641" s="2034">
        <v>660</v>
      </c>
      <c r="AA641" s="2034">
        <v>679</v>
      </c>
      <c r="AB641" s="2034">
        <v>0</v>
      </c>
      <c r="AC641" s="2034">
        <v>999999</v>
      </c>
      <c r="AD641" s="2031">
        <v>0</v>
      </c>
      <c r="AE641" s="2107">
        <v>75</v>
      </c>
      <c r="AF641" s="170">
        <v>1</v>
      </c>
      <c r="AG641" s="171">
        <v>0</v>
      </c>
      <c r="AH641" s="171">
        <v>1</v>
      </c>
      <c r="AI641" s="171">
        <v>1</v>
      </c>
      <c r="AJ641" s="171">
        <v>0</v>
      </c>
      <c r="AK641" s="171">
        <v>0</v>
      </c>
      <c r="AL641" s="171">
        <v>1</v>
      </c>
      <c r="AM641" s="171">
        <v>1</v>
      </c>
      <c r="AN641" s="171">
        <v>1</v>
      </c>
      <c r="AO641" s="171">
        <v>1</v>
      </c>
      <c r="AP641" s="171">
        <v>1</v>
      </c>
      <c r="AQ641" s="171">
        <v>1</v>
      </c>
      <c r="AR641" s="171">
        <v>1</v>
      </c>
      <c r="AS641" s="171">
        <v>1</v>
      </c>
      <c r="AT641" s="171">
        <v>1</v>
      </c>
      <c r="AU641" s="171">
        <f t="shared" si="270"/>
        <v>1</v>
      </c>
      <c r="AV641" s="171">
        <f t="shared" si="271"/>
        <v>1</v>
      </c>
      <c r="AW641" s="171">
        <f t="shared" si="272"/>
        <v>1</v>
      </c>
      <c r="AX641" s="171">
        <f t="shared" si="284"/>
        <v>1</v>
      </c>
      <c r="AY641" s="171">
        <f t="shared" si="273"/>
        <v>0</v>
      </c>
      <c r="AZ641" s="171">
        <f t="shared" si="274"/>
        <v>1</v>
      </c>
      <c r="BA641" s="172">
        <f t="shared" si="275"/>
        <v>1</v>
      </c>
      <c r="BB641" s="175">
        <f t="shared" si="281"/>
        <v>18</v>
      </c>
      <c r="BC641" s="176">
        <f t="shared" si="282"/>
        <v>17</v>
      </c>
      <c r="BD641" s="176">
        <f t="shared" si="283"/>
        <v>17</v>
      </c>
      <c r="BE641" s="240" t="str">
        <f t="shared" si="259"/>
        <v/>
      </c>
      <c r="BF641" s="234"/>
      <c r="BG641" s="234"/>
      <c r="BH641" s="214">
        <f>IF(AND(Input_Product=Elig!$C641,Elig_MatchAll_Ct&lt;22,$BC641=(Elig_MatchAll_Ct-1),AF641=0),C641,0)</f>
        <v>0</v>
      </c>
      <c r="BI641" s="214">
        <f>IF(AND(Input_Product=Elig!$C641,Elig_MatchAll_Ct&lt;22,$BC641=(Elig_MatchAll_Ct-1),AG641=0),D641,0)</f>
        <v>0</v>
      </c>
      <c r="BJ641" s="214">
        <f>IF(AND(Input_Product=Elig!$C641,Elig_MatchAll_Ct&lt;22,$BC641=(Elig_MatchAll_Ct-1),AH641=0),E641,0)</f>
        <v>0</v>
      </c>
      <c r="BK641" s="214">
        <f>IF(AND(Input_Product=Elig!$C641,Elig_MatchAll_Ct&lt;22,$BC641=(Elig_MatchAll_Ct-1),AI641=0),F641,0)</f>
        <v>0</v>
      </c>
      <c r="BL641" s="214">
        <f>IF(AND(Input_Product=Elig!$C641,Elig_MatchAll_Ct&lt;22,$BC641=(Elig_MatchAll_Ct-1),AJ641=0),G641,0)</f>
        <v>0</v>
      </c>
      <c r="BM641" s="214">
        <f>IF(AND(Input_Product=Elig!$C641,Elig_MatchAll_Ct&lt;22,$BC641=(Elig_MatchAll_Ct-1),AK641=0),H641,0)</f>
        <v>0</v>
      </c>
      <c r="BN641" s="214">
        <f>IF(AND(Input_Product=Elig!$C641,Elig_MatchAll_Ct&lt;22,$BC641=(Elig_MatchAll_Ct-1),AL641=0),I641,0)</f>
        <v>0</v>
      </c>
      <c r="BO641" s="214">
        <f>IF(AND(Input_Product=Elig!$C641,Elig_MatchAll_Ct&lt;22,$BC641=(Elig_MatchAll_Ct-1),AM641=0),J641,0)</f>
        <v>0</v>
      </c>
      <c r="BP641" s="214">
        <f>IF(AND(Input_Product=Elig!$C641,Elig_MatchAll_Ct&lt;22,$BC641=(Elig_MatchAll_Ct-1),AN641=0),K641,0)</f>
        <v>0</v>
      </c>
      <c r="BQ641" s="214">
        <f>IF(AND(Input_Product=Elig!$C641,Elig_MatchAll_Ct&lt;22,$BC641=(Elig_MatchAll_Ct-1),AP641=0),L641,0)</f>
        <v>0</v>
      </c>
      <c r="BR641" s="214">
        <f>IF(AND(Input_Product=Elig!$C641,Elig_MatchAll_Ct&lt;22,$BC641=(Elig_MatchAll_Ct-1),AO641=0),M641,0)</f>
        <v>0</v>
      </c>
      <c r="BS641" s="214">
        <f>IF(AND(Input_Product=Elig!$C641,Elig_MatchAll_Ct&lt;22,$BC641=(Elig_MatchAll_Ct-1),AQ641=0),N641,0)</f>
        <v>0</v>
      </c>
      <c r="BT641" s="214">
        <f>IF(AND(Input_Product=Elig!$C641,Elig_MatchAll_Ct&lt;22,$BC641=(Elig_MatchAll_Ct-1),AR641=0),O641,0)</f>
        <v>0</v>
      </c>
      <c r="BU641" s="214">
        <f>IF(AND(Input_Product=Elig!$C641,Elig_MatchAll_Ct&lt;22,$BC641=(Elig_MatchAll_Ct-1),AS641=0),P641,0)</f>
        <v>0</v>
      </c>
      <c r="BV641" s="215">
        <f>IF(AND(Input_Product=Elig!$C641,Elig_MatchAll_Ct&lt;22,$BC641=(Elig_MatchAll_Ct-1),AT641=0),Q641,0)</f>
        <v>0</v>
      </c>
      <c r="BW641" s="311">
        <f>IF(AND(Input_Product=Elig!$C641,Elig_MatchAll_Ct&lt;22,$BC641=(Elig_MatchAll_Ct-1),AU641=0),R641,0)</f>
        <v>0</v>
      </c>
      <c r="BX641" s="312">
        <f>IF(AND(Input_Product=Elig!$C641,Elig_MatchAll_Ct&lt;22,$BC641=(Elig_MatchAll_Ct-1),AU641=0),S641,0)</f>
        <v>0</v>
      </c>
      <c r="BY641" s="311">
        <f>IF(AND(Input_Product=Elig!$C641,Elig_MatchAll_Ct&lt;22,$BC641=(Elig_MatchAll_Ct-1),AV641=0),T641,0)</f>
        <v>0</v>
      </c>
      <c r="BZ641" s="312">
        <f>IF(AND(Input_Product=Elig!$C641,Elig_MatchAll_Ct&lt;22,$BC641=(Elig_MatchAll_Ct-1),AV641=0),U641,0)</f>
        <v>0</v>
      </c>
      <c r="CA641" s="311">
        <f>IF(AND(Input_Product=Elig!$C641,Elig_MatchAll_Ct&lt;22,$BC641=(Elig_MatchAll_Ct-1),AW641=0),V641,0)</f>
        <v>0</v>
      </c>
      <c r="CB641" s="312">
        <f>IF(AND(Input_Product=Elig!$C641,Elig_MatchAll_Ct&lt;22,$BC641=(Elig_MatchAll_Ct-1),AW641=0),W641,0)</f>
        <v>0</v>
      </c>
      <c r="CC641" s="311">
        <f>IF(AND(Input_Product=Elig!$C641,Elig_MatchAll_Ct&lt;22,$BC641=(Elig_MatchAll_Ct-1),AX641=0),X641,0)</f>
        <v>0</v>
      </c>
      <c r="CD641" s="312">
        <f>IF(AND(Input_Product=Elig!$C641,Elig_MatchAll_Ct&lt;22,$BC641=(Elig_MatchAll_Ct-1),AX641=0),Y641,0)</f>
        <v>0</v>
      </c>
      <c r="CE641" s="311">
        <f>IF(AND(Input_LTV&lt;=AE641,Input_Product=Elig!$C641,Elig_MatchAll_Ct&lt;22,$BC641=(Elig_MatchAll_Ct-1),AY641=0),Z641,0)</f>
        <v>0</v>
      </c>
      <c r="CF641" s="312">
        <f>IF(AND(Input_LTV&lt;=AE641,Input_Product=Elig!$C641,Elig_MatchAll_Ct&lt;22,$BC641=(Elig_MatchAll_Ct-1),AY641=0),AA641,0)</f>
        <v>0</v>
      </c>
      <c r="CG641" s="311">
        <f>IF(AND(Input_Product=Elig!$C641,Elig_MatchAll_Ct&lt;22,$BC641=(Elig_MatchAll_Ct-1),AZ641=0),AB641,0)</f>
        <v>0</v>
      </c>
      <c r="CH641" s="312">
        <f>IF(AND(Input_Product=Elig!$C641,Elig_MatchAll_Ct&lt;22,$BC641=(Elig_MatchAll_Ct-1),AZ641=0),AC641,0)</f>
        <v>0</v>
      </c>
      <c r="CI641" s="311">
        <f>IF(AND(Input_Product=Elig!$C641,Elig_MatchAll_Ct&lt;22,$BC641=(Elig_MatchAll_Ct-1),BA641=0),AD641,0)</f>
        <v>0</v>
      </c>
      <c r="CJ641" s="312">
        <f>IF(AND(Input_Product=Elig!$C641,Elig_MatchAll_Ct&lt;22,$BC641=(Elig_MatchAll_Ct-1),BA641=0),AE641,0)</f>
        <v>0</v>
      </c>
    </row>
    <row r="642" spans="2:88" ht="10.15" customHeight="1" x14ac:dyDescent="0.25">
      <c r="B642" s="2027" t="s">
        <v>1272</v>
      </c>
      <c r="C642" s="2024" t="str">
        <f t="shared" si="279"/>
        <v>Second OO</v>
      </c>
      <c r="D642" s="2025" t="s">
        <v>1561</v>
      </c>
      <c r="E642" s="2025" t="s">
        <v>98</v>
      </c>
      <c r="F642" s="2025" t="s">
        <v>328</v>
      </c>
      <c r="G642" s="2103" t="s">
        <v>468</v>
      </c>
      <c r="H642" s="2025" t="s">
        <v>136</v>
      </c>
      <c r="I642" s="2023" t="s">
        <v>1332</v>
      </c>
      <c r="J642" s="2023" t="s">
        <v>1311</v>
      </c>
      <c r="K642" s="2025" t="s">
        <v>1790</v>
      </c>
      <c r="L642" s="2023" t="s">
        <v>430</v>
      </c>
      <c r="M642" s="2023" t="s">
        <v>2677</v>
      </c>
      <c r="N642" s="2025" t="s">
        <v>82</v>
      </c>
      <c r="O642" s="2023" t="s">
        <v>310</v>
      </c>
      <c r="P642" s="2023" t="s">
        <v>291</v>
      </c>
      <c r="Q642" s="2023" t="s">
        <v>294</v>
      </c>
      <c r="R642" s="2023">
        <v>50000</v>
      </c>
      <c r="S642" s="2023">
        <v>350000</v>
      </c>
      <c r="T642" s="2023">
        <v>0</v>
      </c>
      <c r="U642" s="2023">
        <f t="shared" ref="U642:U649" si="285">S642</f>
        <v>350000</v>
      </c>
      <c r="V642" s="2023">
        <v>0</v>
      </c>
      <c r="W642" s="2023">
        <v>50</v>
      </c>
      <c r="X642" s="2023">
        <v>0</v>
      </c>
      <c r="Y642" s="2023">
        <v>999</v>
      </c>
      <c r="Z642" s="2026">
        <v>720</v>
      </c>
      <c r="AA642" s="2026">
        <v>999</v>
      </c>
      <c r="AB642" s="2026">
        <v>0</v>
      </c>
      <c r="AC642" s="2026">
        <v>999999</v>
      </c>
      <c r="AD642" s="2023">
        <v>0</v>
      </c>
      <c r="AE642" s="2104">
        <v>90</v>
      </c>
      <c r="AF642" s="170">
        <v>1</v>
      </c>
      <c r="AG642" s="171">
        <v>1</v>
      </c>
      <c r="AH642" s="171">
        <v>1</v>
      </c>
      <c r="AI642" s="171">
        <v>1</v>
      </c>
      <c r="AJ642" s="171">
        <v>0</v>
      </c>
      <c r="AK642" s="171">
        <v>1</v>
      </c>
      <c r="AL642" s="171">
        <v>1</v>
      </c>
      <c r="AM642" s="171">
        <v>1</v>
      </c>
      <c r="AN642" s="171">
        <v>1</v>
      </c>
      <c r="AO642" s="171">
        <v>1</v>
      </c>
      <c r="AP642" s="171">
        <v>1</v>
      </c>
      <c r="AQ642" s="171">
        <v>1</v>
      </c>
      <c r="AR642" s="171">
        <v>1</v>
      </c>
      <c r="AS642" s="171">
        <v>1</v>
      </c>
      <c r="AT642" s="171">
        <v>1</v>
      </c>
      <c r="AU642" s="171">
        <f t="shared" si="270"/>
        <v>1</v>
      </c>
      <c r="AV642" s="171">
        <f t="shared" si="271"/>
        <v>1</v>
      </c>
      <c r="AW642" s="171">
        <f t="shared" si="272"/>
        <v>1</v>
      </c>
      <c r="AX642" s="171">
        <f t="shared" si="284"/>
        <v>1</v>
      </c>
      <c r="AY642" s="171">
        <f t="shared" si="273"/>
        <v>1</v>
      </c>
      <c r="AZ642" s="171">
        <f t="shared" si="274"/>
        <v>1</v>
      </c>
      <c r="BA642" s="172">
        <f t="shared" si="275"/>
        <v>1</v>
      </c>
      <c r="BB642" s="175">
        <f t="shared" ref="BB642:BB649" si="286">SUM(AF642:BA642)</f>
        <v>21</v>
      </c>
      <c r="BC642" s="176">
        <f t="shared" ref="BC642:BC649" si="287">SUM(AF642:AZ642)</f>
        <v>20</v>
      </c>
      <c r="BD642" s="176">
        <f t="shared" ref="BD642:BD649" si="288">SUM(AG642:BA642)</f>
        <v>20</v>
      </c>
      <c r="BE642" s="240" t="str">
        <f t="shared" si="259"/>
        <v/>
      </c>
      <c r="BF642" s="220"/>
      <c r="BG642" s="220"/>
      <c r="BH642" s="216">
        <f>IF(AND(Input_Product=Elig!$C642,Elig_MatchAll_Ct&lt;22,$BC642=(Elig_MatchAll_Ct-1),AF642=0),C642,0)</f>
        <v>0</v>
      </c>
      <c r="BI642" s="216">
        <f>IF(AND(Input_Product=Elig!$C642,Elig_MatchAll_Ct&lt;22,$BC642=(Elig_MatchAll_Ct-1),AG642=0),D642,0)</f>
        <v>0</v>
      </c>
      <c r="BJ642" s="216">
        <f>IF(AND(Input_Product=Elig!$C642,Elig_MatchAll_Ct&lt;22,$BC642=(Elig_MatchAll_Ct-1),AH642=0),E642,0)</f>
        <v>0</v>
      </c>
      <c r="BK642" s="216">
        <f>IF(AND(Input_Product=Elig!$C642,Elig_MatchAll_Ct&lt;22,$BC642=(Elig_MatchAll_Ct-1),AI642=0),F642,0)</f>
        <v>0</v>
      </c>
      <c r="BL642" s="216">
        <f>IF(AND(Input_Product=Elig!$C642,Elig_MatchAll_Ct&lt;22,$BC642=(Elig_MatchAll_Ct-1),AJ642=0),G642,0)</f>
        <v>0</v>
      </c>
      <c r="BM642" s="216">
        <f>IF(AND(Input_Product=Elig!$C642,Elig_MatchAll_Ct&lt;22,$BC642=(Elig_MatchAll_Ct-1),AK642=0),H642,0)</f>
        <v>0</v>
      </c>
      <c r="BN642" s="216">
        <f>IF(AND(Input_Product=Elig!$C642,Elig_MatchAll_Ct&lt;22,$BC642=(Elig_MatchAll_Ct-1),AL642=0),I642,0)</f>
        <v>0</v>
      </c>
      <c r="BO642" s="216">
        <f>IF(AND(Input_Product=Elig!$C642,Elig_MatchAll_Ct&lt;22,$BC642=(Elig_MatchAll_Ct-1),AM642=0),J642,0)</f>
        <v>0</v>
      </c>
      <c r="BP642" s="216">
        <f>IF(AND(Input_Product=Elig!$C642,Elig_MatchAll_Ct&lt;22,$BC642=(Elig_MatchAll_Ct-1),AN642=0),K642,0)</f>
        <v>0</v>
      </c>
      <c r="BQ642" s="216">
        <f>IF(AND(Input_Product=Elig!$C642,Elig_MatchAll_Ct&lt;22,$BC642=(Elig_MatchAll_Ct-1),AP642=0),L642,0)</f>
        <v>0</v>
      </c>
      <c r="BR642" s="216">
        <f>IF(AND(Input_Product=Elig!$C642,Elig_MatchAll_Ct&lt;22,$BC642=(Elig_MatchAll_Ct-1),AO642=0),M642,0)</f>
        <v>0</v>
      </c>
      <c r="BS642" s="216">
        <f>IF(AND(Input_Product=Elig!$C642,Elig_MatchAll_Ct&lt;22,$BC642=(Elig_MatchAll_Ct-1),AQ642=0),N642,0)</f>
        <v>0</v>
      </c>
      <c r="BT642" s="216">
        <f>IF(AND(Input_Product=Elig!$C642,Elig_MatchAll_Ct&lt;22,$BC642=(Elig_MatchAll_Ct-1),AR642=0),O642,0)</f>
        <v>0</v>
      </c>
      <c r="BU642" s="216">
        <f>IF(AND(Input_Product=Elig!$C642,Elig_MatchAll_Ct&lt;22,$BC642=(Elig_MatchAll_Ct-1),AS642=0),P642,0)</f>
        <v>0</v>
      </c>
      <c r="BV642" s="217">
        <f>IF(AND(Input_Product=Elig!$C642,Elig_MatchAll_Ct&lt;22,$BC642=(Elig_MatchAll_Ct-1),AT642=0),Q642,0)</f>
        <v>0</v>
      </c>
      <c r="BW642" s="313">
        <f>IF(AND(Input_Product=Elig!$C642,Elig_MatchAll_Ct&lt;22,$BC642=(Elig_MatchAll_Ct-1),AU642=0),R642,0)</f>
        <v>0</v>
      </c>
      <c r="BX642" s="314">
        <f>IF(AND(Input_Product=Elig!$C642,Elig_MatchAll_Ct&lt;22,$BC642=(Elig_MatchAll_Ct-1),AU642=0),S642,0)</f>
        <v>0</v>
      </c>
      <c r="BY642" s="313">
        <f>IF(AND(Input_Product=Elig!$C642,Elig_MatchAll_Ct&lt;22,$BC642=(Elig_MatchAll_Ct-1),AV642=0),T642,0)</f>
        <v>0</v>
      </c>
      <c r="BZ642" s="314">
        <f>IF(AND(Input_Product=Elig!$C642,Elig_MatchAll_Ct&lt;22,$BC642=(Elig_MatchAll_Ct-1),AV642=0),U642,0)</f>
        <v>0</v>
      </c>
      <c r="CA642" s="313">
        <f>IF(AND(Input_Product=Elig!$C642,Elig_MatchAll_Ct&lt;22,$BC642=(Elig_MatchAll_Ct-1),AW642=0),V642,0)</f>
        <v>0</v>
      </c>
      <c r="CB642" s="314">
        <f>IF(AND(Input_Product=Elig!$C642,Elig_MatchAll_Ct&lt;22,$BC642=(Elig_MatchAll_Ct-1),AW642=0),W642,0)</f>
        <v>0</v>
      </c>
      <c r="CC642" s="313">
        <f>IF(AND(Input_Product=Elig!$C642,Elig_MatchAll_Ct&lt;22,$BC642=(Elig_MatchAll_Ct-1),AX642=0),X642,0)</f>
        <v>0</v>
      </c>
      <c r="CD642" s="314">
        <f>IF(AND(Input_Product=Elig!$C642,Elig_MatchAll_Ct&lt;22,$BC642=(Elig_MatchAll_Ct-1),AX642=0),Y642,0)</f>
        <v>0</v>
      </c>
      <c r="CE642" s="313">
        <f>IF(AND(Input_LTV&lt;=AE642,Input_Product=Elig!$C642,Elig_MatchAll_Ct&lt;22,$BC642=(Elig_MatchAll_Ct-1),AY642=0),Z642,0)</f>
        <v>0</v>
      </c>
      <c r="CF642" s="314">
        <f>IF(AND(Input_LTV&lt;=AE642,Input_Product=Elig!$C642,Elig_MatchAll_Ct&lt;22,$BC642=(Elig_MatchAll_Ct-1),AY642=0),AA642,0)</f>
        <v>0</v>
      </c>
      <c r="CG642" s="313">
        <f>IF(AND(Input_Product=Elig!$C642,Elig_MatchAll_Ct&lt;22,$BC642=(Elig_MatchAll_Ct-1),AZ642=0),AB642,0)</f>
        <v>0</v>
      </c>
      <c r="CH642" s="314">
        <f>IF(AND(Input_Product=Elig!$C642,Elig_MatchAll_Ct&lt;22,$BC642=(Elig_MatchAll_Ct-1),AZ642=0),AC642,0)</f>
        <v>0</v>
      </c>
      <c r="CI642" s="313">
        <f>IF(AND(Input_Product=Elig!$C642,Elig_MatchAll_Ct&lt;22,$BC642=(Elig_MatchAll_Ct-1),BA642=0),AD642,0)</f>
        <v>0</v>
      </c>
      <c r="CJ642" s="314">
        <f>IF(AND(Input_Product=Elig!$C642,Elig_MatchAll_Ct&lt;22,$BC642=(Elig_MatchAll_Ct-1),BA642=0),AE642,0)</f>
        <v>0</v>
      </c>
    </row>
    <row r="643" spans="2:88" ht="10.15" customHeight="1" x14ac:dyDescent="0.25">
      <c r="B643" s="2027" t="s">
        <v>1273</v>
      </c>
      <c r="C643" s="2028" t="str">
        <f t="shared" si="279"/>
        <v>Second OO</v>
      </c>
      <c r="D643" s="2027" t="s">
        <v>1561</v>
      </c>
      <c r="E643" s="2027" t="s">
        <v>98</v>
      </c>
      <c r="F643" s="2027" t="s">
        <v>328</v>
      </c>
      <c r="G643" s="2110" t="s">
        <v>468</v>
      </c>
      <c r="H643" s="2029" t="s">
        <v>136</v>
      </c>
      <c r="I643" s="2027" t="s">
        <v>1332</v>
      </c>
      <c r="J643" s="2027" t="s">
        <v>1311</v>
      </c>
      <c r="K643" s="2029" t="s">
        <v>1790</v>
      </c>
      <c r="L643" s="2027" t="s">
        <v>430</v>
      </c>
      <c r="M643" s="2027" t="s">
        <v>2677</v>
      </c>
      <c r="N643" s="2029" t="s">
        <v>82</v>
      </c>
      <c r="O643" s="2027" t="s">
        <v>310</v>
      </c>
      <c r="P643" s="2027" t="s">
        <v>291</v>
      </c>
      <c r="Q643" s="2027" t="s">
        <v>294</v>
      </c>
      <c r="R643" s="2027">
        <v>50000</v>
      </c>
      <c r="S643" s="2027">
        <v>350000</v>
      </c>
      <c r="T643" s="2027">
        <v>0</v>
      </c>
      <c r="U643" s="2027">
        <f t="shared" si="285"/>
        <v>350000</v>
      </c>
      <c r="V643" s="2027">
        <v>0</v>
      </c>
      <c r="W643" s="2027">
        <v>50</v>
      </c>
      <c r="X643" s="2027">
        <v>0</v>
      </c>
      <c r="Y643" s="2027">
        <v>999</v>
      </c>
      <c r="Z643" s="2030">
        <v>700</v>
      </c>
      <c r="AA643" s="2030">
        <v>719</v>
      </c>
      <c r="AB643" s="2030">
        <v>0</v>
      </c>
      <c r="AC643" s="2030">
        <v>999999</v>
      </c>
      <c r="AD643" s="2027">
        <v>0</v>
      </c>
      <c r="AE643" s="2105">
        <v>85</v>
      </c>
      <c r="AF643" s="170">
        <v>1</v>
      </c>
      <c r="AG643" s="171">
        <v>1</v>
      </c>
      <c r="AH643" s="171">
        <v>1</v>
      </c>
      <c r="AI643" s="171">
        <v>1</v>
      </c>
      <c r="AJ643" s="171">
        <v>0</v>
      </c>
      <c r="AK643" s="171">
        <v>1</v>
      </c>
      <c r="AL643" s="171">
        <v>1</v>
      </c>
      <c r="AM643" s="171">
        <v>1</v>
      </c>
      <c r="AN643" s="171">
        <v>1</v>
      </c>
      <c r="AO643" s="171">
        <v>1</v>
      </c>
      <c r="AP643" s="171">
        <v>1</v>
      </c>
      <c r="AQ643" s="171">
        <v>1</v>
      </c>
      <c r="AR643" s="171">
        <v>1</v>
      </c>
      <c r="AS643" s="171">
        <v>1</v>
      </c>
      <c r="AT643" s="171">
        <v>1</v>
      </c>
      <c r="AU643" s="171">
        <f t="shared" si="270"/>
        <v>1</v>
      </c>
      <c r="AV643" s="171">
        <f t="shared" si="271"/>
        <v>1</v>
      </c>
      <c r="AW643" s="171">
        <f t="shared" si="272"/>
        <v>1</v>
      </c>
      <c r="AX643" s="171">
        <f t="shared" si="284"/>
        <v>1</v>
      </c>
      <c r="AY643" s="171">
        <f t="shared" si="273"/>
        <v>0</v>
      </c>
      <c r="AZ643" s="171">
        <f t="shared" si="274"/>
        <v>1</v>
      </c>
      <c r="BA643" s="172">
        <f t="shared" si="275"/>
        <v>1</v>
      </c>
      <c r="BB643" s="175">
        <f t="shared" si="286"/>
        <v>20</v>
      </c>
      <c r="BC643" s="176">
        <f t="shared" si="287"/>
        <v>19</v>
      </c>
      <c r="BD643" s="176">
        <f t="shared" si="288"/>
        <v>19</v>
      </c>
      <c r="BE643" s="240" t="str">
        <f t="shared" si="259"/>
        <v/>
      </c>
      <c r="BF643" s="234"/>
      <c r="BG643" s="234"/>
      <c r="BH643" s="199">
        <f>IF(AND(Input_Product=Elig!$C643,Elig_MatchAll_Ct&lt;22,$BC643=(Elig_MatchAll_Ct-1),AF643=0),C643,0)</f>
        <v>0</v>
      </c>
      <c r="BI643" s="199">
        <f>IF(AND(Input_Product=Elig!$C643,Elig_MatchAll_Ct&lt;22,$BC643=(Elig_MatchAll_Ct-1),AG643=0),D643,0)</f>
        <v>0</v>
      </c>
      <c r="BJ643" s="199">
        <f>IF(AND(Input_Product=Elig!$C643,Elig_MatchAll_Ct&lt;22,$BC643=(Elig_MatchAll_Ct-1),AH643=0),E643,0)</f>
        <v>0</v>
      </c>
      <c r="BK643" s="199">
        <f>IF(AND(Input_Product=Elig!$C643,Elig_MatchAll_Ct&lt;22,$BC643=(Elig_MatchAll_Ct-1),AI643=0),F643,0)</f>
        <v>0</v>
      </c>
      <c r="BL643" s="199">
        <f>IF(AND(Input_Product=Elig!$C643,Elig_MatchAll_Ct&lt;22,$BC643=(Elig_MatchAll_Ct-1),AJ643=0),G643,0)</f>
        <v>0</v>
      </c>
      <c r="BM643" s="199">
        <f>IF(AND(Input_Product=Elig!$C643,Elig_MatchAll_Ct&lt;22,$BC643=(Elig_MatchAll_Ct-1),AK643=0),H643,0)</f>
        <v>0</v>
      </c>
      <c r="BN643" s="199">
        <f>IF(AND(Input_Product=Elig!$C643,Elig_MatchAll_Ct&lt;22,$BC643=(Elig_MatchAll_Ct-1),AL643=0),I643,0)</f>
        <v>0</v>
      </c>
      <c r="BO643" s="199">
        <f>IF(AND(Input_Product=Elig!$C643,Elig_MatchAll_Ct&lt;22,$BC643=(Elig_MatchAll_Ct-1),AM643=0),J643,0)</f>
        <v>0</v>
      </c>
      <c r="BP643" s="199">
        <f>IF(AND(Input_Product=Elig!$C643,Elig_MatchAll_Ct&lt;22,$BC643=(Elig_MatchAll_Ct-1),AN643=0),K643,0)</f>
        <v>0</v>
      </c>
      <c r="BQ643" s="199">
        <f>IF(AND(Input_Product=Elig!$C643,Elig_MatchAll_Ct&lt;22,$BC643=(Elig_MatchAll_Ct-1),AP643=0),L643,0)</f>
        <v>0</v>
      </c>
      <c r="BR643" s="199">
        <f>IF(AND(Input_Product=Elig!$C643,Elig_MatchAll_Ct&lt;22,$BC643=(Elig_MatchAll_Ct-1),AO643=0),M643,0)</f>
        <v>0</v>
      </c>
      <c r="BS643" s="199">
        <f>IF(AND(Input_Product=Elig!$C643,Elig_MatchAll_Ct&lt;22,$BC643=(Elig_MatchAll_Ct-1),AQ643=0),N643,0)</f>
        <v>0</v>
      </c>
      <c r="BT643" s="199">
        <f>IF(AND(Input_Product=Elig!$C643,Elig_MatchAll_Ct&lt;22,$BC643=(Elig_MatchAll_Ct-1),AR643=0),O643,0)</f>
        <v>0</v>
      </c>
      <c r="BU643" s="199">
        <f>IF(AND(Input_Product=Elig!$C643,Elig_MatchAll_Ct&lt;22,$BC643=(Elig_MatchAll_Ct-1),AS643=0),P643,0)</f>
        <v>0</v>
      </c>
      <c r="BV643" s="200">
        <f>IF(AND(Input_Product=Elig!$C643,Elig_MatchAll_Ct&lt;22,$BC643=(Elig_MatchAll_Ct-1),AT643=0),Q643,0)</f>
        <v>0</v>
      </c>
      <c r="BW643" s="201">
        <f>IF(AND(Input_Product=Elig!$C643,Elig_MatchAll_Ct&lt;22,$BC643=(Elig_MatchAll_Ct-1),AU643=0),R643,0)</f>
        <v>0</v>
      </c>
      <c r="BX643" s="202">
        <f>IF(AND(Input_Product=Elig!$C643,Elig_MatchAll_Ct&lt;22,$BC643=(Elig_MatchAll_Ct-1),AU643=0),S643,0)</f>
        <v>0</v>
      </c>
      <c r="BY643" s="201">
        <f>IF(AND(Input_Product=Elig!$C643,Elig_MatchAll_Ct&lt;22,$BC643=(Elig_MatchAll_Ct-1),AV643=0),T643,0)</f>
        <v>0</v>
      </c>
      <c r="BZ643" s="202">
        <f>IF(AND(Input_Product=Elig!$C643,Elig_MatchAll_Ct&lt;22,$BC643=(Elig_MatchAll_Ct-1),AV643=0),U643,0)</f>
        <v>0</v>
      </c>
      <c r="CA643" s="201">
        <f>IF(AND(Input_Product=Elig!$C643,Elig_MatchAll_Ct&lt;22,$BC643=(Elig_MatchAll_Ct-1),AW643=0),V643,0)</f>
        <v>0</v>
      </c>
      <c r="CB643" s="202">
        <f>IF(AND(Input_Product=Elig!$C643,Elig_MatchAll_Ct&lt;22,$BC643=(Elig_MatchAll_Ct-1),AW643=0),W643,0)</f>
        <v>0</v>
      </c>
      <c r="CC643" s="201">
        <f>IF(AND(Input_Product=Elig!$C643,Elig_MatchAll_Ct&lt;22,$BC643=(Elig_MatchAll_Ct-1),AX643=0),X643,0)</f>
        <v>0</v>
      </c>
      <c r="CD643" s="202">
        <f>IF(AND(Input_Product=Elig!$C643,Elig_MatchAll_Ct&lt;22,$BC643=(Elig_MatchAll_Ct-1),AX643=0),Y643,0)</f>
        <v>0</v>
      </c>
      <c r="CE643" s="201">
        <f>IF(AND(Input_LTV&lt;=AE643,Input_Product=Elig!$C643,Elig_MatchAll_Ct&lt;22,$BC643=(Elig_MatchAll_Ct-1),AY643=0),Z643,0)</f>
        <v>0</v>
      </c>
      <c r="CF643" s="202">
        <f>IF(AND(Input_LTV&lt;=AE643,Input_Product=Elig!$C643,Elig_MatchAll_Ct&lt;22,$BC643=(Elig_MatchAll_Ct-1),AY643=0),AA643,0)</f>
        <v>0</v>
      </c>
      <c r="CG643" s="201">
        <f>IF(AND(Input_Product=Elig!$C643,Elig_MatchAll_Ct&lt;22,$BC643=(Elig_MatchAll_Ct-1),AZ643=0),AB643,0)</f>
        <v>0</v>
      </c>
      <c r="CH643" s="202">
        <f>IF(AND(Input_Product=Elig!$C643,Elig_MatchAll_Ct&lt;22,$BC643=(Elig_MatchAll_Ct-1),AZ643=0),AC643,0)</f>
        <v>0</v>
      </c>
      <c r="CI643" s="201">
        <f>IF(AND(Input_Product=Elig!$C643,Elig_MatchAll_Ct&lt;22,$BC643=(Elig_MatchAll_Ct-1),BA643=0),AD643,0)</f>
        <v>0</v>
      </c>
      <c r="CJ643" s="202">
        <f>IF(AND(Input_Product=Elig!$C643,Elig_MatchAll_Ct&lt;22,$BC643=(Elig_MatchAll_Ct-1),BA643=0),AE643,0)</f>
        <v>0</v>
      </c>
    </row>
    <row r="644" spans="2:88" ht="10.15" customHeight="1" x14ac:dyDescent="0.25">
      <c r="B644" s="2027" t="s">
        <v>1274</v>
      </c>
      <c r="C644" s="2028" t="str">
        <f t="shared" si="279"/>
        <v>Second OO</v>
      </c>
      <c r="D644" s="2027" t="s">
        <v>1561</v>
      </c>
      <c r="E644" s="2027" t="s">
        <v>98</v>
      </c>
      <c r="F644" s="2027" t="s">
        <v>328</v>
      </c>
      <c r="G644" s="2110" t="s">
        <v>468</v>
      </c>
      <c r="H644" s="2029" t="s">
        <v>136</v>
      </c>
      <c r="I644" s="2027" t="s">
        <v>1332</v>
      </c>
      <c r="J644" s="2027" t="s">
        <v>1311</v>
      </c>
      <c r="K644" s="2029" t="s">
        <v>1790</v>
      </c>
      <c r="L644" s="2027" t="s">
        <v>430</v>
      </c>
      <c r="M644" s="2027" t="s">
        <v>2677</v>
      </c>
      <c r="N644" s="2029" t="s">
        <v>82</v>
      </c>
      <c r="O644" s="2027" t="s">
        <v>310</v>
      </c>
      <c r="P644" s="2027" t="s">
        <v>291</v>
      </c>
      <c r="Q644" s="2027" t="s">
        <v>294</v>
      </c>
      <c r="R644" s="2027">
        <v>50000</v>
      </c>
      <c r="S644" s="2027">
        <v>350000</v>
      </c>
      <c r="T644" s="2027">
        <v>0</v>
      </c>
      <c r="U644" s="2027">
        <f t="shared" si="285"/>
        <v>350000</v>
      </c>
      <c r="V644" s="2027">
        <v>0</v>
      </c>
      <c r="W644" s="2027">
        <v>50</v>
      </c>
      <c r="X644" s="2027">
        <v>0</v>
      </c>
      <c r="Y644" s="2027">
        <v>999</v>
      </c>
      <c r="Z644" s="2030">
        <v>680</v>
      </c>
      <c r="AA644" s="2030">
        <v>699</v>
      </c>
      <c r="AB644" s="2030">
        <v>0</v>
      </c>
      <c r="AC644" s="2030">
        <v>999999</v>
      </c>
      <c r="AD644" s="2027">
        <v>0</v>
      </c>
      <c r="AE644" s="2105">
        <v>80</v>
      </c>
      <c r="AF644" s="170">
        <v>1</v>
      </c>
      <c r="AG644" s="171">
        <v>1</v>
      </c>
      <c r="AH644" s="171">
        <v>1</v>
      </c>
      <c r="AI644" s="171">
        <v>1</v>
      </c>
      <c r="AJ644" s="171">
        <v>0</v>
      </c>
      <c r="AK644" s="171">
        <v>1</v>
      </c>
      <c r="AL644" s="171">
        <v>1</v>
      </c>
      <c r="AM644" s="171">
        <v>1</v>
      </c>
      <c r="AN644" s="171">
        <v>1</v>
      </c>
      <c r="AO644" s="171">
        <v>1</v>
      </c>
      <c r="AP644" s="171">
        <v>1</v>
      </c>
      <c r="AQ644" s="171">
        <v>1</v>
      </c>
      <c r="AR644" s="171">
        <v>1</v>
      </c>
      <c r="AS644" s="171">
        <v>1</v>
      </c>
      <c r="AT644" s="171">
        <v>1</v>
      </c>
      <c r="AU644" s="171">
        <f t="shared" si="270"/>
        <v>1</v>
      </c>
      <c r="AV644" s="171">
        <f t="shared" si="271"/>
        <v>1</v>
      </c>
      <c r="AW644" s="171">
        <f t="shared" si="272"/>
        <v>1</v>
      </c>
      <c r="AX644" s="171">
        <f t="shared" si="284"/>
        <v>1</v>
      </c>
      <c r="AY644" s="171">
        <f t="shared" si="273"/>
        <v>0</v>
      </c>
      <c r="AZ644" s="171">
        <f t="shared" si="274"/>
        <v>1</v>
      </c>
      <c r="BA644" s="172">
        <f t="shared" si="275"/>
        <v>1</v>
      </c>
      <c r="BB644" s="175">
        <f t="shared" si="286"/>
        <v>20</v>
      </c>
      <c r="BC644" s="176">
        <f t="shared" si="287"/>
        <v>19</v>
      </c>
      <c r="BD644" s="176">
        <f t="shared" si="288"/>
        <v>19</v>
      </c>
      <c r="BE644" s="240" t="str">
        <f t="shared" si="259"/>
        <v/>
      </c>
      <c r="BF644" s="234"/>
      <c r="BG644" s="234"/>
      <c r="BH644" s="199">
        <f>IF(AND(Input_Product=Elig!$C644,Elig_MatchAll_Ct&lt;22,$BC644=(Elig_MatchAll_Ct-1),AF644=0),C644,0)</f>
        <v>0</v>
      </c>
      <c r="BI644" s="199">
        <f>IF(AND(Input_Product=Elig!$C644,Elig_MatchAll_Ct&lt;22,$BC644=(Elig_MatchAll_Ct-1),AG644=0),D644,0)</f>
        <v>0</v>
      </c>
      <c r="BJ644" s="199">
        <f>IF(AND(Input_Product=Elig!$C644,Elig_MatchAll_Ct&lt;22,$BC644=(Elig_MatchAll_Ct-1),AH644=0),E644,0)</f>
        <v>0</v>
      </c>
      <c r="BK644" s="199">
        <f>IF(AND(Input_Product=Elig!$C644,Elig_MatchAll_Ct&lt;22,$BC644=(Elig_MatchAll_Ct-1),AI644=0),F644,0)</f>
        <v>0</v>
      </c>
      <c r="BL644" s="199">
        <f>IF(AND(Input_Product=Elig!$C644,Elig_MatchAll_Ct&lt;22,$BC644=(Elig_MatchAll_Ct-1),AJ644=0),G644,0)</f>
        <v>0</v>
      </c>
      <c r="BM644" s="199">
        <f>IF(AND(Input_Product=Elig!$C644,Elig_MatchAll_Ct&lt;22,$BC644=(Elig_MatchAll_Ct-1),AK644=0),H644,0)</f>
        <v>0</v>
      </c>
      <c r="BN644" s="199">
        <f>IF(AND(Input_Product=Elig!$C644,Elig_MatchAll_Ct&lt;22,$BC644=(Elig_MatchAll_Ct-1),AL644=0),I644,0)</f>
        <v>0</v>
      </c>
      <c r="BO644" s="199">
        <f>IF(AND(Input_Product=Elig!$C644,Elig_MatchAll_Ct&lt;22,$BC644=(Elig_MatchAll_Ct-1),AM644=0),J644,0)</f>
        <v>0</v>
      </c>
      <c r="BP644" s="199">
        <f>IF(AND(Input_Product=Elig!$C644,Elig_MatchAll_Ct&lt;22,$BC644=(Elig_MatchAll_Ct-1),AN644=0),K644,0)</f>
        <v>0</v>
      </c>
      <c r="BQ644" s="199">
        <f>IF(AND(Input_Product=Elig!$C644,Elig_MatchAll_Ct&lt;22,$BC644=(Elig_MatchAll_Ct-1),AP644=0),L644,0)</f>
        <v>0</v>
      </c>
      <c r="BR644" s="199">
        <f>IF(AND(Input_Product=Elig!$C644,Elig_MatchAll_Ct&lt;22,$BC644=(Elig_MatchAll_Ct-1),AO644=0),M644,0)</f>
        <v>0</v>
      </c>
      <c r="BS644" s="199">
        <f>IF(AND(Input_Product=Elig!$C644,Elig_MatchAll_Ct&lt;22,$BC644=(Elig_MatchAll_Ct-1),AQ644=0),N644,0)</f>
        <v>0</v>
      </c>
      <c r="BT644" s="199">
        <f>IF(AND(Input_Product=Elig!$C644,Elig_MatchAll_Ct&lt;22,$BC644=(Elig_MatchAll_Ct-1),AR644=0),O644,0)</f>
        <v>0</v>
      </c>
      <c r="BU644" s="199">
        <f>IF(AND(Input_Product=Elig!$C644,Elig_MatchAll_Ct&lt;22,$BC644=(Elig_MatchAll_Ct-1),AS644=0),P644,0)</f>
        <v>0</v>
      </c>
      <c r="BV644" s="200">
        <f>IF(AND(Input_Product=Elig!$C644,Elig_MatchAll_Ct&lt;22,$BC644=(Elig_MatchAll_Ct-1),AT644=0),Q644,0)</f>
        <v>0</v>
      </c>
      <c r="BW644" s="201">
        <f>IF(AND(Input_Product=Elig!$C644,Elig_MatchAll_Ct&lt;22,$BC644=(Elig_MatchAll_Ct-1),AU644=0),R644,0)</f>
        <v>0</v>
      </c>
      <c r="BX644" s="202">
        <f>IF(AND(Input_Product=Elig!$C644,Elig_MatchAll_Ct&lt;22,$BC644=(Elig_MatchAll_Ct-1),AU644=0),S644,0)</f>
        <v>0</v>
      </c>
      <c r="BY644" s="201">
        <f>IF(AND(Input_Product=Elig!$C644,Elig_MatchAll_Ct&lt;22,$BC644=(Elig_MatchAll_Ct-1),AV644=0),T644,0)</f>
        <v>0</v>
      </c>
      <c r="BZ644" s="202">
        <f>IF(AND(Input_Product=Elig!$C644,Elig_MatchAll_Ct&lt;22,$BC644=(Elig_MatchAll_Ct-1),AV644=0),U644,0)</f>
        <v>0</v>
      </c>
      <c r="CA644" s="201">
        <f>IF(AND(Input_Product=Elig!$C644,Elig_MatchAll_Ct&lt;22,$BC644=(Elig_MatchAll_Ct-1),AW644=0),V644,0)</f>
        <v>0</v>
      </c>
      <c r="CB644" s="202">
        <f>IF(AND(Input_Product=Elig!$C644,Elig_MatchAll_Ct&lt;22,$BC644=(Elig_MatchAll_Ct-1),AW644=0),W644,0)</f>
        <v>0</v>
      </c>
      <c r="CC644" s="201">
        <f>IF(AND(Input_Product=Elig!$C644,Elig_MatchAll_Ct&lt;22,$BC644=(Elig_MatchAll_Ct-1),AX644=0),X644,0)</f>
        <v>0</v>
      </c>
      <c r="CD644" s="202">
        <f>IF(AND(Input_Product=Elig!$C644,Elig_MatchAll_Ct&lt;22,$BC644=(Elig_MatchAll_Ct-1),AX644=0),Y644,0)</f>
        <v>0</v>
      </c>
      <c r="CE644" s="201">
        <f>IF(AND(Input_LTV&lt;=AE644,Input_Product=Elig!$C644,Elig_MatchAll_Ct&lt;22,$BC644=(Elig_MatchAll_Ct-1),AY644=0),Z644,0)</f>
        <v>0</v>
      </c>
      <c r="CF644" s="202">
        <f>IF(AND(Input_LTV&lt;=AE644,Input_Product=Elig!$C644,Elig_MatchAll_Ct&lt;22,$BC644=(Elig_MatchAll_Ct-1),AY644=0),AA644,0)</f>
        <v>0</v>
      </c>
      <c r="CG644" s="201">
        <f>IF(AND(Input_Product=Elig!$C644,Elig_MatchAll_Ct&lt;22,$BC644=(Elig_MatchAll_Ct-1),AZ644=0),AB644,0)</f>
        <v>0</v>
      </c>
      <c r="CH644" s="202">
        <f>IF(AND(Input_Product=Elig!$C644,Elig_MatchAll_Ct&lt;22,$BC644=(Elig_MatchAll_Ct-1),AZ644=0),AC644,0)</f>
        <v>0</v>
      </c>
      <c r="CI644" s="201">
        <f>IF(AND(Input_Product=Elig!$C644,Elig_MatchAll_Ct&lt;22,$BC644=(Elig_MatchAll_Ct-1),BA644=0),AD644,0)</f>
        <v>0</v>
      </c>
      <c r="CJ644" s="202">
        <f>IF(AND(Input_Product=Elig!$C644,Elig_MatchAll_Ct&lt;22,$BC644=(Elig_MatchAll_Ct-1),BA644=0),AE644,0)</f>
        <v>0</v>
      </c>
    </row>
    <row r="645" spans="2:88" ht="10.15" customHeight="1" x14ac:dyDescent="0.25">
      <c r="B645" s="2027" t="s">
        <v>1275</v>
      </c>
      <c r="C645" s="2032" t="str">
        <f t="shared" si="279"/>
        <v>Second OO</v>
      </c>
      <c r="D645" s="2031" t="s">
        <v>1561</v>
      </c>
      <c r="E645" s="2031" t="s">
        <v>98</v>
      </c>
      <c r="F645" s="2031" t="s">
        <v>328</v>
      </c>
      <c r="G645" s="2111" t="s">
        <v>468</v>
      </c>
      <c r="H645" s="2033" t="s">
        <v>136</v>
      </c>
      <c r="I645" s="2031" t="s">
        <v>1332</v>
      </c>
      <c r="J645" s="2031" t="s">
        <v>1311</v>
      </c>
      <c r="K645" s="2033" t="s">
        <v>1790</v>
      </c>
      <c r="L645" s="2031" t="s">
        <v>430</v>
      </c>
      <c r="M645" s="2031" t="s">
        <v>2677</v>
      </c>
      <c r="N645" s="2033" t="s">
        <v>82</v>
      </c>
      <c r="O645" s="2031" t="s">
        <v>310</v>
      </c>
      <c r="P645" s="2031" t="s">
        <v>291</v>
      </c>
      <c r="Q645" s="2031" t="s">
        <v>294</v>
      </c>
      <c r="R645" s="2031">
        <v>50000</v>
      </c>
      <c r="S645" s="2031">
        <v>350000</v>
      </c>
      <c r="T645" s="2031">
        <v>0</v>
      </c>
      <c r="U645" s="2031">
        <f t="shared" si="285"/>
        <v>350000</v>
      </c>
      <c r="V645" s="2031">
        <v>0</v>
      </c>
      <c r="W645" s="2031">
        <v>50</v>
      </c>
      <c r="X645" s="2031">
        <v>0</v>
      </c>
      <c r="Y645" s="2031">
        <v>999</v>
      </c>
      <c r="Z645" s="2034">
        <v>660</v>
      </c>
      <c r="AA645" s="2034">
        <v>679</v>
      </c>
      <c r="AB645" s="2034">
        <v>0</v>
      </c>
      <c r="AC645" s="2034">
        <v>999999</v>
      </c>
      <c r="AD645" s="2031">
        <v>0</v>
      </c>
      <c r="AE645" s="2107">
        <v>75</v>
      </c>
      <c r="AF645" s="170">
        <v>1</v>
      </c>
      <c r="AG645" s="171">
        <v>1</v>
      </c>
      <c r="AH645" s="171">
        <v>1</v>
      </c>
      <c r="AI645" s="171">
        <v>1</v>
      </c>
      <c r="AJ645" s="171">
        <v>0</v>
      </c>
      <c r="AK645" s="171">
        <v>1</v>
      </c>
      <c r="AL645" s="171">
        <v>1</v>
      </c>
      <c r="AM645" s="171">
        <v>1</v>
      </c>
      <c r="AN645" s="171">
        <v>1</v>
      </c>
      <c r="AO645" s="171">
        <v>1</v>
      </c>
      <c r="AP645" s="171">
        <v>1</v>
      </c>
      <c r="AQ645" s="171">
        <v>1</v>
      </c>
      <c r="AR645" s="171">
        <v>1</v>
      </c>
      <c r="AS645" s="171">
        <v>1</v>
      </c>
      <c r="AT645" s="171">
        <v>1</v>
      </c>
      <c r="AU645" s="171">
        <f t="shared" si="270"/>
        <v>1</v>
      </c>
      <c r="AV645" s="171">
        <f t="shared" si="271"/>
        <v>1</v>
      </c>
      <c r="AW645" s="171">
        <f t="shared" si="272"/>
        <v>1</v>
      </c>
      <c r="AX645" s="171">
        <f t="shared" si="284"/>
        <v>1</v>
      </c>
      <c r="AY645" s="171">
        <f t="shared" si="273"/>
        <v>0</v>
      </c>
      <c r="AZ645" s="171">
        <f t="shared" si="274"/>
        <v>1</v>
      </c>
      <c r="BA645" s="172">
        <f t="shared" si="275"/>
        <v>1</v>
      </c>
      <c r="BB645" s="175">
        <f t="shared" si="286"/>
        <v>20</v>
      </c>
      <c r="BC645" s="176">
        <f t="shared" si="287"/>
        <v>19</v>
      </c>
      <c r="BD645" s="176">
        <f t="shared" si="288"/>
        <v>19</v>
      </c>
      <c r="BE645" s="240" t="str">
        <f t="shared" si="259"/>
        <v/>
      </c>
      <c r="BF645" s="234"/>
      <c r="BG645" s="234"/>
      <c r="BH645" s="214">
        <f>IF(AND(Input_Product=Elig!$C645,Elig_MatchAll_Ct&lt;22,$BC645=(Elig_MatchAll_Ct-1),AF645=0),C645,0)</f>
        <v>0</v>
      </c>
      <c r="BI645" s="214">
        <f>IF(AND(Input_Product=Elig!$C645,Elig_MatchAll_Ct&lt;22,$BC645=(Elig_MatchAll_Ct-1),AG645=0),D645,0)</f>
        <v>0</v>
      </c>
      <c r="BJ645" s="214">
        <f>IF(AND(Input_Product=Elig!$C645,Elig_MatchAll_Ct&lt;22,$BC645=(Elig_MatchAll_Ct-1),AH645=0),E645,0)</f>
        <v>0</v>
      </c>
      <c r="BK645" s="214">
        <f>IF(AND(Input_Product=Elig!$C645,Elig_MatchAll_Ct&lt;22,$BC645=(Elig_MatchAll_Ct-1),AI645=0),F645,0)</f>
        <v>0</v>
      </c>
      <c r="BL645" s="214">
        <f>IF(AND(Input_Product=Elig!$C645,Elig_MatchAll_Ct&lt;22,$BC645=(Elig_MatchAll_Ct-1),AJ645=0),G645,0)</f>
        <v>0</v>
      </c>
      <c r="BM645" s="214">
        <f>IF(AND(Input_Product=Elig!$C645,Elig_MatchAll_Ct&lt;22,$BC645=(Elig_MatchAll_Ct-1),AK645=0),H645,0)</f>
        <v>0</v>
      </c>
      <c r="BN645" s="214">
        <f>IF(AND(Input_Product=Elig!$C645,Elig_MatchAll_Ct&lt;22,$BC645=(Elig_MatchAll_Ct-1),AL645=0),I645,0)</f>
        <v>0</v>
      </c>
      <c r="BO645" s="214">
        <f>IF(AND(Input_Product=Elig!$C645,Elig_MatchAll_Ct&lt;22,$BC645=(Elig_MatchAll_Ct-1),AM645=0),J645,0)</f>
        <v>0</v>
      </c>
      <c r="BP645" s="214">
        <f>IF(AND(Input_Product=Elig!$C645,Elig_MatchAll_Ct&lt;22,$BC645=(Elig_MatchAll_Ct-1),AN645=0),K645,0)</f>
        <v>0</v>
      </c>
      <c r="BQ645" s="214">
        <f>IF(AND(Input_Product=Elig!$C645,Elig_MatchAll_Ct&lt;22,$BC645=(Elig_MatchAll_Ct-1),AP645=0),L645,0)</f>
        <v>0</v>
      </c>
      <c r="BR645" s="214">
        <f>IF(AND(Input_Product=Elig!$C645,Elig_MatchAll_Ct&lt;22,$BC645=(Elig_MatchAll_Ct-1),AO645=0),M645,0)</f>
        <v>0</v>
      </c>
      <c r="BS645" s="214">
        <f>IF(AND(Input_Product=Elig!$C645,Elig_MatchAll_Ct&lt;22,$BC645=(Elig_MatchAll_Ct-1),AQ645=0),N645,0)</f>
        <v>0</v>
      </c>
      <c r="BT645" s="214">
        <f>IF(AND(Input_Product=Elig!$C645,Elig_MatchAll_Ct&lt;22,$BC645=(Elig_MatchAll_Ct-1),AR645=0),O645,0)</f>
        <v>0</v>
      </c>
      <c r="BU645" s="214">
        <f>IF(AND(Input_Product=Elig!$C645,Elig_MatchAll_Ct&lt;22,$BC645=(Elig_MatchAll_Ct-1),AS645=0),P645,0)</f>
        <v>0</v>
      </c>
      <c r="BV645" s="215">
        <f>IF(AND(Input_Product=Elig!$C645,Elig_MatchAll_Ct&lt;22,$BC645=(Elig_MatchAll_Ct-1),AT645=0),Q645,0)</f>
        <v>0</v>
      </c>
      <c r="BW645" s="311">
        <f>IF(AND(Input_Product=Elig!$C645,Elig_MatchAll_Ct&lt;22,$BC645=(Elig_MatchAll_Ct-1),AU645=0),R645,0)</f>
        <v>0</v>
      </c>
      <c r="BX645" s="312">
        <f>IF(AND(Input_Product=Elig!$C645,Elig_MatchAll_Ct&lt;22,$BC645=(Elig_MatchAll_Ct-1),AU645=0),S645,0)</f>
        <v>0</v>
      </c>
      <c r="BY645" s="311">
        <f>IF(AND(Input_Product=Elig!$C645,Elig_MatchAll_Ct&lt;22,$BC645=(Elig_MatchAll_Ct-1),AV645=0),T645,0)</f>
        <v>0</v>
      </c>
      <c r="BZ645" s="312">
        <f>IF(AND(Input_Product=Elig!$C645,Elig_MatchAll_Ct&lt;22,$BC645=(Elig_MatchAll_Ct-1),AV645=0),U645,0)</f>
        <v>0</v>
      </c>
      <c r="CA645" s="311">
        <f>IF(AND(Input_Product=Elig!$C645,Elig_MatchAll_Ct&lt;22,$BC645=(Elig_MatchAll_Ct-1),AW645=0),V645,0)</f>
        <v>0</v>
      </c>
      <c r="CB645" s="312">
        <f>IF(AND(Input_Product=Elig!$C645,Elig_MatchAll_Ct&lt;22,$BC645=(Elig_MatchAll_Ct-1),AW645=0),W645,0)</f>
        <v>0</v>
      </c>
      <c r="CC645" s="311">
        <f>IF(AND(Input_Product=Elig!$C645,Elig_MatchAll_Ct&lt;22,$BC645=(Elig_MatchAll_Ct-1),AX645=0),X645,0)</f>
        <v>0</v>
      </c>
      <c r="CD645" s="312">
        <f>IF(AND(Input_Product=Elig!$C645,Elig_MatchAll_Ct&lt;22,$BC645=(Elig_MatchAll_Ct-1),AX645=0),Y645,0)</f>
        <v>0</v>
      </c>
      <c r="CE645" s="311">
        <f>IF(AND(Input_LTV&lt;=AE645,Input_Product=Elig!$C645,Elig_MatchAll_Ct&lt;22,$BC645=(Elig_MatchAll_Ct-1),AY645=0),Z645,0)</f>
        <v>0</v>
      </c>
      <c r="CF645" s="312">
        <f>IF(AND(Input_LTV&lt;=AE645,Input_Product=Elig!$C645,Elig_MatchAll_Ct&lt;22,$BC645=(Elig_MatchAll_Ct-1),AY645=0),AA645,0)</f>
        <v>0</v>
      </c>
      <c r="CG645" s="311">
        <f>IF(AND(Input_Product=Elig!$C645,Elig_MatchAll_Ct&lt;22,$BC645=(Elig_MatchAll_Ct-1),AZ645=0),AB645,0)</f>
        <v>0</v>
      </c>
      <c r="CH645" s="312">
        <f>IF(AND(Input_Product=Elig!$C645,Elig_MatchAll_Ct&lt;22,$BC645=(Elig_MatchAll_Ct-1),AZ645=0),AC645,0)</f>
        <v>0</v>
      </c>
      <c r="CI645" s="311">
        <f>IF(AND(Input_Product=Elig!$C645,Elig_MatchAll_Ct&lt;22,$BC645=(Elig_MatchAll_Ct-1),BA645=0),AD645,0)</f>
        <v>0</v>
      </c>
      <c r="CJ645" s="312">
        <f>IF(AND(Input_Product=Elig!$C645,Elig_MatchAll_Ct&lt;22,$BC645=(Elig_MatchAll_Ct-1),BA645=0),AE645,0)</f>
        <v>0</v>
      </c>
    </row>
    <row r="646" spans="2:88" ht="10.15" customHeight="1" x14ac:dyDescent="0.25">
      <c r="B646" s="2027" t="s">
        <v>1276</v>
      </c>
      <c r="C646" s="2024" t="str">
        <f t="shared" si="279"/>
        <v>Second OO</v>
      </c>
      <c r="D646" s="2025" t="s">
        <v>1302</v>
      </c>
      <c r="E646" s="2025" t="s">
        <v>98</v>
      </c>
      <c r="F646" s="2025" t="s">
        <v>328</v>
      </c>
      <c r="G646" s="2103" t="s">
        <v>468</v>
      </c>
      <c r="H646" s="2025" t="s">
        <v>136</v>
      </c>
      <c r="I646" s="2023" t="s">
        <v>1332</v>
      </c>
      <c r="J646" s="2023" t="s">
        <v>1311</v>
      </c>
      <c r="K646" s="2025" t="s">
        <v>1790</v>
      </c>
      <c r="L646" s="2023" t="s">
        <v>430</v>
      </c>
      <c r="M646" s="2023" t="s">
        <v>2677</v>
      </c>
      <c r="N646" s="2025" t="s">
        <v>82</v>
      </c>
      <c r="O646" s="2023" t="s">
        <v>310</v>
      </c>
      <c r="P646" s="2023" t="s">
        <v>291</v>
      </c>
      <c r="Q646" s="2023" t="s">
        <v>294</v>
      </c>
      <c r="R646" s="2023">
        <v>200000</v>
      </c>
      <c r="S646" s="2023">
        <v>350000</v>
      </c>
      <c r="T646" s="2023">
        <v>0</v>
      </c>
      <c r="U646" s="2023">
        <f t="shared" si="285"/>
        <v>350000</v>
      </c>
      <c r="V646" s="2023">
        <v>0</v>
      </c>
      <c r="W646" s="2023">
        <v>50</v>
      </c>
      <c r="X646" s="2023">
        <v>0</v>
      </c>
      <c r="Y646" s="2023">
        <v>999</v>
      </c>
      <c r="Z646" s="2026">
        <v>720</v>
      </c>
      <c r="AA646" s="2026">
        <v>999</v>
      </c>
      <c r="AB646" s="2026">
        <v>0</v>
      </c>
      <c r="AC646" s="2026">
        <v>999999</v>
      </c>
      <c r="AD646" s="2023">
        <v>0</v>
      </c>
      <c r="AE646" s="2104">
        <v>90</v>
      </c>
      <c r="AF646" s="170">
        <v>1</v>
      </c>
      <c r="AG646" s="171">
        <v>0</v>
      </c>
      <c r="AH646" s="171">
        <v>1</v>
      </c>
      <c r="AI646" s="171">
        <v>1</v>
      </c>
      <c r="AJ646" s="171">
        <v>0</v>
      </c>
      <c r="AK646" s="171">
        <v>1</v>
      </c>
      <c r="AL646" s="171">
        <v>1</v>
      </c>
      <c r="AM646" s="171">
        <v>1</v>
      </c>
      <c r="AN646" s="171">
        <v>1</v>
      </c>
      <c r="AO646" s="171">
        <v>1</v>
      </c>
      <c r="AP646" s="171">
        <v>1</v>
      </c>
      <c r="AQ646" s="171">
        <v>1</v>
      </c>
      <c r="AR646" s="171">
        <v>1</v>
      </c>
      <c r="AS646" s="171">
        <v>1</v>
      </c>
      <c r="AT646" s="171">
        <v>1</v>
      </c>
      <c r="AU646" s="171">
        <f t="shared" si="270"/>
        <v>1</v>
      </c>
      <c r="AV646" s="171">
        <f t="shared" si="271"/>
        <v>1</v>
      </c>
      <c r="AW646" s="171">
        <f t="shared" si="272"/>
        <v>1</v>
      </c>
      <c r="AX646" s="171">
        <f t="shared" si="284"/>
        <v>1</v>
      </c>
      <c r="AY646" s="171">
        <f t="shared" si="273"/>
        <v>1</v>
      </c>
      <c r="AZ646" s="171">
        <f t="shared" si="274"/>
        <v>1</v>
      </c>
      <c r="BA646" s="172">
        <f t="shared" si="275"/>
        <v>1</v>
      </c>
      <c r="BB646" s="175">
        <f t="shared" si="286"/>
        <v>20</v>
      </c>
      <c r="BC646" s="176">
        <f t="shared" si="287"/>
        <v>19</v>
      </c>
      <c r="BD646" s="176">
        <f t="shared" si="288"/>
        <v>19</v>
      </c>
      <c r="BE646" s="240" t="str">
        <f t="shared" si="259"/>
        <v/>
      </c>
      <c r="BF646" s="220"/>
      <c r="BG646" s="220"/>
      <c r="BH646" s="216">
        <f>IF(AND(Input_Product=Elig!$C646,Elig_MatchAll_Ct&lt;22,$BC646=(Elig_MatchAll_Ct-1),AF646=0),C646,0)</f>
        <v>0</v>
      </c>
      <c r="BI646" s="216">
        <f>IF(AND(Input_Product=Elig!$C646,Elig_MatchAll_Ct&lt;22,$BC646=(Elig_MatchAll_Ct-1),AG646=0),D646,0)</f>
        <v>0</v>
      </c>
      <c r="BJ646" s="216">
        <f>IF(AND(Input_Product=Elig!$C646,Elig_MatchAll_Ct&lt;22,$BC646=(Elig_MatchAll_Ct-1),AH646=0),E646,0)</f>
        <v>0</v>
      </c>
      <c r="BK646" s="216">
        <f>IF(AND(Input_Product=Elig!$C646,Elig_MatchAll_Ct&lt;22,$BC646=(Elig_MatchAll_Ct-1),AI646=0),F646,0)</f>
        <v>0</v>
      </c>
      <c r="BL646" s="216">
        <f>IF(AND(Input_Product=Elig!$C646,Elig_MatchAll_Ct&lt;22,$BC646=(Elig_MatchAll_Ct-1),AJ646=0),G646,0)</f>
        <v>0</v>
      </c>
      <c r="BM646" s="216">
        <f>IF(AND(Input_Product=Elig!$C646,Elig_MatchAll_Ct&lt;22,$BC646=(Elig_MatchAll_Ct-1),AK646=0),H646,0)</f>
        <v>0</v>
      </c>
      <c r="BN646" s="216">
        <f>IF(AND(Input_Product=Elig!$C646,Elig_MatchAll_Ct&lt;22,$BC646=(Elig_MatchAll_Ct-1),AL646=0),I646,0)</f>
        <v>0</v>
      </c>
      <c r="BO646" s="216">
        <f>IF(AND(Input_Product=Elig!$C646,Elig_MatchAll_Ct&lt;22,$BC646=(Elig_MatchAll_Ct-1),AM646=0),J646,0)</f>
        <v>0</v>
      </c>
      <c r="BP646" s="216">
        <f>IF(AND(Input_Product=Elig!$C646,Elig_MatchAll_Ct&lt;22,$BC646=(Elig_MatchAll_Ct-1),AN646=0),K646,0)</f>
        <v>0</v>
      </c>
      <c r="BQ646" s="216">
        <f>IF(AND(Input_Product=Elig!$C646,Elig_MatchAll_Ct&lt;22,$BC646=(Elig_MatchAll_Ct-1),AP646=0),L646,0)</f>
        <v>0</v>
      </c>
      <c r="BR646" s="216">
        <f>IF(AND(Input_Product=Elig!$C646,Elig_MatchAll_Ct&lt;22,$BC646=(Elig_MatchAll_Ct-1),AO646=0),M646,0)</f>
        <v>0</v>
      </c>
      <c r="BS646" s="216">
        <f>IF(AND(Input_Product=Elig!$C646,Elig_MatchAll_Ct&lt;22,$BC646=(Elig_MatchAll_Ct-1),AQ646=0),N646,0)</f>
        <v>0</v>
      </c>
      <c r="BT646" s="216">
        <f>IF(AND(Input_Product=Elig!$C646,Elig_MatchAll_Ct&lt;22,$BC646=(Elig_MatchAll_Ct-1),AR646=0),O646,0)</f>
        <v>0</v>
      </c>
      <c r="BU646" s="216">
        <f>IF(AND(Input_Product=Elig!$C646,Elig_MatchAll_Ct&lt;22,$BC646=(Elig_MatchAll_Ct-1),AS646=0),P646,0)</f>
        <v>0</v>
      </c>
      <c r="BV646" s="217">
        <f>IF(AND(Input_Product=Elig!$C646,Elig_MatchAll_Ct&lt;22,$BC646=(Elig_MatchAll_Ct-1),AT646=0),Q646,0)</f>
        <v>0</v>
      </c>
      <c r="BW646" s="313">
        <f>IF(AND(Input_Product=Elig!$C646,Elig_MatchAll_Ct&lt;22,$BC646=(Elig_MatchAll_Ct-1),AU646=0),R646,0)</f>
        <v>0</v>
      </c>
      <c r="BX646" s="314">
        <f>IF(AND(Input_Product=Elig!$C646,Elig_MatchAll_Ct&lt;22,$BC646=(Elig_MatchAll_Ct-1),AU646=0),S646,0)</f>
        <v>0</v>
      </c>
      <c r="BY646" s="313">
        <f>IF(AND(Input_Product=Elig!$C646,Elig_MatchAll_Ct&lt;22,$BC646=(Elig_MatchAll_Ct-1),AV646=0),T646,0)</f>
        <v>0</v>
      </c>
      <c r="BZ646" s="314">
        <f>IF(AND(Input_Product=Elig!$C646,Elig_MatchAll_Ct&lt;22,$BC646=(Elig_MatchAll_Ct-1),AV646=0),U646,0)</f>
        <v>0</v>
      </c>
      <c r="CA646" s="313">
        <f>IF(AND(Input_Product=Elig!$C646,Elig_MatchAll_Ct&lt;22,$BC646=(Elig_MatchAll_Ct-1),AW646=0),V646,0)</f>
        <v>0</v>
      </c>
      <c r="CB646" s="314">
        <f>IF(AND(Input_Product=Elig!$C646,Elig_MatchAll_Ct&lt;22,$BC646=(Elig_MatchAll_Ct-1),AW646=0),W646,0)</f>
        <v>0</v>
      </c>
      <c r="CC646" s="313">
        <f>IF(AND(Input_Product=Elig!$C646,Elig_MatchAll_Ct&lt;22,$BC646=(Elig_MatchAll_Ct-1),AX646=0),X646,0)</f>
        <v>0</v>
      </c>
      <c r="CD646" s="314">
        <f>IF(AND(Input_Product=Elig!$C646,Elig_MatchAll_Ct&lt;22,$BC646=(Elig_MatchAll_Ct-1),AX646=0),Y646,0)</f>
        <v>0</v>
      </c>
      <c r="CE646" s="313">
        <f>IF(AND(Input_LTV&lt;=AE646,Input_Product=Elig!$C646,Elig_MatchAll_Ct&lt;22,$BC646=(Elig_MatchAll_Ct-1),AY646=0),Z646,0)</f>
        <v>0</v>
      </c>
      <c r="CF646" s="314">
        <f>IF(AND(Input_LTV&lt;=AE646,Input_Product=Elig!$C646,Elig_MatchAll_Ct&lt;22,$BC646=(Elig_MatchAll_Ct-1),AY646=0),AA646,0)</f>
        <v>0</v>
      </c>
      <c r="CG646" s="313">
        <f>IF(AND(Input_Product=Elig!$C646,Elig_MatchAll_Ct&lt;22,$BC646=(Elig_MatchAll_Ct-1),AZ646=0),AB646,0)</f>
        <v>0</v>
      </c>
      <c r="CH646" s="314">
        <f>IF(AND(Input_Product=Elig!$C646,Elig_MatchAll_Ct&lt;22,$BC646=(Elig_MatchAll_Ct-1),AZ646=0),AC646,0)</f>
        <v>0</v>
      </c>
      <c r="CI646" s="313">
        <f>IF(AND(Input_Product=Elig!$C646,Elig_MatchAll_Ct&lt;22,$BC646=(Elig_MatchAll_Ct-1),BA646=0),AD646,0)</f>
        <v>0</v>
      </c>
      <c r="CJ646" s="314">
        <f>IF(AND(Input_Product=Elig!$C646,Elig_MatchAll_Ct&lt;22,$BC646=(Elig_MatchAll_Ct-1),BA646=0),AE646,0)</f>
        <v>0</v>
      </c>
    </row>
    <row r="647" spans="2:88" ht="10.15" customHeight="1" x14ac:dyDescent="0.25">
      <c r="B647" s="2027" t="s">
        <v>1277</v>
      </c>
      <c r="C647" s="2028" t="str">
        <f t="shared" si="279"/>
        <v>Second OO</v>
      </c>
      <c r="D647" s="2027" t="s">
        <v>1302</v>
      </c>
      <c r="E647" s="2027" t="s">
        <v>98</v>
      </c>
      <c r="F647" s="2027" t="s">
        <v>328</v>
      </c>
      <c r="G647" s="2110" t="s">
        <v>468</v>
      </c>
      <c r="H647" s="2029" t="s">
        <v>136</v>
      </c>
      <c r="I647" s="2027" t="s">
        <v>1332</v>
      </c>
      <c r="J647" s="2027" t="s">
        <v>1311</v>
      </c>
      <c r="K647" s="2029" t="s">
        <v>1790</v>
      </c>
      <c r="L647" s="2027" t="s">
        <v>430</v>
      </c>
      <c r="M647" s="2027" t="s">
        <v>2677</v>
      </c>
      <c r="N647" s="2029" t="s">
        <v>82</v>
      </c>
      <c r="O647" s="2027" t="s">
        <v>310</v>
      </c>
      <c r="P647" s="2027" t="s">
        <v>291</v>
      </c>
      <c r="Q647" s="2027" t="s">
        <v>294</v>
      </c>
      <c r="R647" s="2027">
        <v>200000</v>
      </c>
      <c r="S647" s="2027">
        <v>350000</v>
      </c>
      <c r="T647" s="2027">
        <v>0</v>
      </c>
      <c r="U647" s="2027">
        <f t="shared" si="285"/>
        <v>350000</v>
      </c>
      <c r="V647" s="2027">
        <v>0</v>
      </c>
      <c r="W647" s="2027">
        <v>50</v>
      </c>
      <c r="X647" s="2027">
        <v>0</v>
      </c>
      <c r="Y647" s="2027">
        <v>999</v>
      </c>
      <c r="Z647" s="2030">
        <v>700</v>
      </c>
      <c r="AA647" s="2030">
        <v>719</v>
      </c>
      <c r="AB647" s="2030">
        <v>0</v>
      </c>
      <c r="AC647" s="2030">
        <v>999999</v>
      </c>
      <c r="AD647" s="2027">
        <v>0</v>
      </c>
      <c r="AE647" s="2105">
        <v>85</v>
      </c>
      <c r="AF647" s="170">
        <v>1</v>
      </c>
      <c r="AG647" s="171">
        <v>0</v>
      </c>
      <c r="AH647" s="171">
        <v>1</v>
      </c>
      <c r="AI647" s="171">
        <v>1</v>
      </c>
      <c r="AJ647" s="171">
        <v>0</v>
      </c>
      <c r="AK647" s="171">
        <v>1</v>
      </c>
      <c r="AL647" s="171">
        <v>1</v>
      </c>
      <c r="AM647" s="171">
        <v>1</v>
      </c>
      <c r="AN647" s="171">
        <v>1</v>
      </c>
      <c r="AO647" s="171">
        <v>1</v>
      </c>
      <c r="AP647" s="171">
        <v>1</v>
      </c>
      <c r="AQ647" s="171">
        <v>1</v>
      </c>
      <c r="AR647" s="171">
        <v>1</v>
      </c>
      <c r="AS647" s="171">
        <v>1</v>
      </c>
      <c r="AT647" s="171">
        <v>1</v>
      </c>
      <c r="AU647" s="171">
        <f t="shared" si="270"/>
        <v>1</v>
      </c>
      <c r="AV647" s="171">
        <f t="shared" si="271"/>
        <v>1</v>
      </c>
      <c r="AW647" s="171">
        <f t="shared" si="272"/>
        <v>1</v>
      </c>
      <c r="AX647" s="171">
        <f t="shared" si="284"/>
        <v>1</v>
      </c>
      <c r="AY647" s="171">
        <f t="shared" si="273"/>
        <v>0</v>
      </c>
      <c r="AZ647" s="171">
        <f t="shared" si="274"/>
        <v>1</v>
      </c>
      <c r="BA647" s="172">
        <f t="shared" si="275"/>
        <v>1</v>
      </c>
      <c r="BB647" s="175">
        <f t="shared" si="286"/>
        <v>19</v>
      </c>
      <c r="BC647" s="176">
        <f t="shared" si="287"/>
        <v>18</v>
      </c>
      <c r="BD647" s="176">
        <f t="shared" si="288"/>
        <v>18</v>
      </c>
      <c r="BE647" s="240" t="str">
        <f t="shared" ref="BE647:BE710" si="289">IF(BD647=21,C647,"")</f>
        <v/>
      </c>
      <c r="BF647" s="234"/>
      <c r="BG647" s="234"/>
      <c r="BH647" s="199">
        <f>IF(AND(Input_Product=Elig!$C647,Elig_MatchAll_Ct&lt;22,$BC647=(Elig_MatchAll_Ct-1),AF647=0),C647,0)</f>
        <v>0</v>
      </c>
      <c r="BI647" s="199">
        <f>IF(AND(Input_Product=Elig!$C647,Elig_MatchAll_Ct&lt;22,$BC647=(Elig_MatchAll_Ct-1),AG647=0),D647,0)</f>
        <v>0</v>
      </c>
      <c r="BJ647" s="199">
        <f>IF(AND(Input_Product=Elig!$C647,Elig_MatchAll_Ct&lt;22,$BC647=(Elig_MatchAll_Ct-1),AH647=0),E647,0)</f>
        <v>0</v>
      </c>
      <c r="BK647" s="199">
        <f>IF(AND(Input_Product=Elig!$C647,Elig_MatchAll_Ct&lt;22,$BC647=(Elig_MatchAll_Ct-1),AI647=0),F647,0)</f>
        <v>0</v>
      </c>
      <c r="BL647" s="199">
        <f>IF(AND(Input_Product=Elig!$C647,Elig_MatchAll_Ct&lt;22,$BC647=(Elig_MatchAll_Ct-1),AJ647=0),G647,0)</f>
        <v>0</v>
      </c>
      <c r="BM647" s="199">
        <f>IF(AND(Input_Product=Elig!$C647,Elig_MatchAll_Ct&lt;22,$BC647=(Elig_MatchAll_Ct-1),AK647=0),H647,0)</f>
        <v>0</v>
      </c>
      <c r="BN647" s="199">
        <f>IF(AND(Input_Product=Elig!$C647,Elig_MatchAll_Ct&lt;22,$BC647=(Elig_MatchAll_Ct-1),AL647=0),I647,0)</f>
        <v>0</v>
      </c>
      <c r="BO647" s="199">
        <f>IF(AND(Input_Product=Elig!$C647,Elig_MatchAll_Ct&lt;22,$BC647=(Elig_MatchAll_Ct-1),AM647=0),J647,0)</f>
        <v>0</v>
      </c>
      <c r="BP647" s="199">
        <f>IF(AND(Input_Product=Elig!$C647,Elig_MatchAll_Ct&lt;22,$BC647=(Elig_MatchAll_Ct-1),AN647=0),K647,0)</f>
        <v>0</v>
      </c>
      <c r="BQ647" s="199">
        <f>IF(AND(Input_Product=Elig!$C647,Elig_MatchAll_Ct&lt;22,$BC647=(Elig_MatchAll_Ct-1),AP647=0),L647,0)</f>
        <v>0</v>
      </c>
      <c r="BR647" s="199">
        <f>IF(AND(Input_Product=Elig!$C647,Elig_MatchAll_Ct&lt;22,$BC647=(Elig_MatchAll_Ct-1),AO647=0),M647,0)</f>
        <v>0</v>
      </c>
      <c r="BS647" s="199">
        <f>IF(AND(Input_Product=Elig!$C647,Elig_MatchAll_Ct&lt;22,$BC647=(Elig_MatchAll_Ct-1),AQ647=0),N647,0)</f>
        <v>0</v>
      </c>
      <c r="BT647" s="199">
        <f>IF(AND(Input_Product=Elig!$C647,Elig_MatchAll_Ct&lt;22,$BC647=(Elig_MatchAll_Ct-1),AR647=0),O647,0)</f>
        <v>0</v>
      </c>
      <c r="BU647" s="199">
        <f>IF(AND(Input_Product=Elig!$C647,Elig_MatchAll_Ct&lt;22,$BC647=(Elig_MatchAll_Ct-1),AS647=0),P647,0)</f>
        <v>0</v>
      </c>
      <c r="BV647" s="200">
        <f>IF(AND(Input_Product=Elig!$C647,Elig_MatchAll_Ct&lt;22,$BC647=(Elig_MatchAll_Ct-1),AT647=0),Q647,0)</f>
        <v>0</v>
      </c>
      <c r="BW647" s="201">
        <f>IF(AND(Input_Product=Elig!$C647,Elig_MatchAll_Ct&lt;22,$BC647=(Elig_MatchAll_Ct-1),AU647=0),R647,0)</f>
        <v>0</v>
      </c>
      <c r="BX647" s="202">
        <f>IF(AND(Input_Product=Elig!$C647,Elig_MatchAll_Ct&lt;22,$BC647=(Elig_MatchAll_Ct-1),AU647=0),S647,0)</f>
        <v>0</v>
      </c>
      <c r="BY647" s="201">
        <f>IF(AND(Input_Product=Elig!$C647,Elig_MatchAll_Ct&lt;22,$BC647=(Elig_MatchAll_Ct-1),AV647=0),T647,0)</f>
        <v>0</v>
      </c>
      <c r="BZ647" s="202">
        <f>IF(AND(Input_Product=Elig!$C647,Elig_MatchAll_Ct&lt;22,$BC647=(Elig_MatchAll_Ct-1),AV647=0),U647,0)</f>
        <v>0</v>
      </c>
      <c r="CA647" s="201">
        <f>IF(AND(Input_Product=Elig!$C647,Elig_MatchAll_Ct&lt;22,$BC647=(Elig_MatchAll_Ct-1),AW647=0),V647,0)</f>
        <v>0</v>
      </c>
      <c r="CB647" s="202">
        <f>IF(AND(Input_Product=Elig!$C647,Elig_MatchAll_Ct&lt;22,$BC647=(Elig_MatchAll_Ct-1),AW647=0),W647,0)</f>
        <v>0</v>
      </c>
      <c r="CC647" s="201">
        <f>IF(AND(Input_Product=Elig!$C647,Elig_MatchAll_Ct&lt;22,$BC647=(Elig_MatchAll_Ct-1),AX647=0),X647,0)</f>
        <v>0</v>
      </c>
      <c r="CD647" s="202">
        <f>IF(AND(Input_Product=Elig!$C647,Elig_MatchAll_Ct&lt;22,$BC647=(Elig_MatchAll_Ct-1),AX647=0),Y647,0)</f>
        <v>0</v>
      </c>
      <c r="CE647" s="201">
        <f>IF(AND(Input_LTV&lt;=AE647,Input_Product=Elig!$C647,Elig_MatchAll_Ct&lt;22,$BC647=(Elig_MatchAll_Ct-1),AY647=0),Z647,0)</f>
        <v>0</v>
      </c>
      <c r="CF647" s="202">
        <f>IF(AND(Input_LTV&lt;=AE647,Input_Product=Elig!$C647,Elig_MatchAll_Ct&lt;22,$BC647=(Elig_MatchAll_Ct-1),AY647=0),AA647,0)</f>
        <v>0</v>
      </c>
      <c r="CG647" s="201">
        <f>IF(AND(Input_Product=Elig!$C647,Elig_MatchAll_Ct&lt;22,$BC647=(Elig_MatchAll_Ct-1),AZ647=0),AB647,0)</f>
        <v>0</v>
      </c>
      <c r="CH647" s="202">
        <f>IF(AND(Input_Product=Elig!$C647,Elig_MatchAll_Ct&lt;22,$BC647=(Elig_MatchAll_Ct-1),AZ647=0),AC647,0)</f>
        <v>0</v>
      </c>
      <c r="CI647" s="201">
        <f>IF(AND(Input_Product=Elig!$C647,Elig_MatchAll_Ct&lt;22,$BC647=(Elig_MatchAll_Ct-1),BA647=0),AD647,0)</f>
        <v>0</v>
      </c>
      <c r="CJ647" s="202">
        <f>IF(AND(Input_Product=Elig!$C647,Elig_MatchAll_Ct&lt;22,$BC647=(Elig_MatchAll_Ct-1),BA647=0),AE647,0)</f>
        <v>0</v>
      </c>
    </row>
    <row r="648" spans="2:88" ht="10.15" customHeight="1" x14ac:dyDescent="0.25">
      <c r="B648" s="2027" t="s">
        <v>1278</v>
      </c>
      <c r="C648" s="2028" t="str">
        <f t="shared" si="279"/>
        <v>Second OO</v>
      </c>
      <c r="D648" s="2027" t="s">
        <v>1302</v>
      </c>
      <c r="E648" s="2027" t="s">
        <v>98</v>
      </c>
      <c r="F648" s="2027" t="s">
        <v>328</v>
      </c>
      <c r="G648" s="2110" t="s">
        <v>468</v>
      </c>
      <c r="H648" s="2029" t="s">
        <v>136</v>
      </c>
      <c r="I648" s="2027" t="s">
        <v>1332</v>
      </c>
      <c r="J648" s="2027" t="s">
        <v>1311</v>
      </c>
      <c r="K648" s="2029" t="s">
        <v>1790</v>
      </c>
      <c r="L648" s="2027" t="s">
        <v>430</v>
      </c>
      <c r="M648" s="2027" t="s">
        <v>2677</v>
      </c>
      <c r="N648" s="2029" t="s">
        <v>82</v>
      </c>
      <c r="O648" s="2027" t="s">
        <v>310</v>
      </c>
      <c r="P648" s="2027" t="s">
        <v>291</v>
      </c>
      <c r="Q648" s="2027" t="s">
        <v>294</v>
      </c>
      <c r="R648" s="2027">
        <v>200000</v>
      </c>
      <c r="S648" s="2027">
        <v>350000</v>
      </c>
      <c r="T648" s="2027">
        <v>0</v>
      </c>
      <c r="U648" s="2027">
        <f t="shared" si="285"/>
        <v>350000</v>
      </c>
      <c r="V648" s="2027">
        <v>0</v>
      </c>
      <c r="W648" s="2027">
        <v>50</v>
      </c>
      <c r="X648" s="2027">
        <v>0</v>
      </c>
      <c r="Y648" s="2027">
        <v>999</v>
      </c>
      <c r="Z648" s="2030">
        <v>680</v>
      </c>
      <c r="AA648" s="2030">
        <v>699</v>
      </c>
      <c r="AB648" s="2030">
        <v>0</v>
      </c>
      <c r="AC648" s="2030">
        <v>999999</v>
      </c>
      <c r="AD648" s="2027">
        <v>0</v>
      </c>
      <c r="AE648" s="2105">
        <v>80</v>
      </c>
      <c r="AF648" s="170">
        <v>1</v>
      </c>
      <c r="AG648" s="171">
        <v>0</v>
      </c>
      <c r="AH648" s="171">
        <v>1</v>
      </c>
      <c r="AI648" s="171">
        <v>1</v>
      </c>
      <c r="AJ648" s="171">
        <v>0</v>
      </c>
      <c r="AK648" s="171">
        <v>1</v>
      </c>
      <c r="AL648" s="171">
        <v>1</v>
      </c>
      <c r="AM648" s="171">
        <v>1</v>
      </c>
      <c r="AN648" s="171">
        <v>1</v>
      </c>
      <c r="AO648" s="171">
        <v>1</v>
      </c>
      <c r="AP648" s="171">
        <v>1</v>
      </c>
      <c r="AQ648" s="171">
        <v>1</v>
      </c>
      <c r="AR648" s="171">
        <v>1</v>
      </c>
      <c r="AS648" s="171">
        <v>1</v>
      </c>
      <c r="AT648" s="171">
        <v>1</v>
      </c>
      <c r="AU648" s="171">
        <f t="shared" si="270"/>
        <v>1</v>
      </c>
      <c r="AV648" s="171">
        <f t="shared" si="271"/>
        <v>1</v>
      </c>
      <c r="AW648" s="171">
        <f t="shared" si="272"/>
        <v>1</v>
      </c>
      <c r="AX648" s="171">
        <f t="shared" si="284"/>
        <v>1</v>
      </c>
      <c r="AY648" s="171">
        <f t="shared" si="273"/>
        <v>0</v>
      </c>
      <c r="AZ648" s="171">
        <f t="shared" si="274"/>
        <v>1</v>
      </c>
      <c r="BA648" s="172">
        <f t="shared" si="275"/>
        <v>1</v>
      </c>
      <c r="BB648" s="175">
        <f t="shared" si="286"/>
        <v>19</v>
      </c>
      <c r="BC648" s="176">
        <f t="shared" si="287"/>
        <v>18</v>
      </c>
      <c r="BD648" s="176">
        <f t="shared" si="288"/>
        <v>18</v>
      </c>
      <c r="BE648" s="240" t="str">
        <f t="shared" si="289"/>
        <v/>
      </c>
      <c r="BF648" s="234"/>
      <c r="BG648" s="234"/>
      <c r="BH648" s="199">
        <f>IF(AND(Input_Product=Elig!$C648,Elig_MatchAll_Ct&lt;22,$BC648=(Elig_MatchAll_Ct-1),AF648=0),C648,0)</f>
        <v>0</v>
      </c>
      <c r="BI648" s="199">
        <f>IF(AND(Input_Product=Elig!$C648,Elig_MatchAll_Ct&lt;22,$BC648=(Elig_MatchAll_Ct-1),AG648=0),D648,0)</f>
        <v>0</v>
      </c>
      <c r="BJ648" s="199">
        <f>IF(AND(Input_Product=Elig!$C648,Elig_MatchAll_Ct&lt;22,$BC648=(Elig_MatchAll_Ct-1),AH648=0),E648,0)</f>
        <v>0</v>
      </c>
      <c r="BK648" s="199">
        <f>IF(AND(Input_Product=Elig!$C648,Elig_MatchAll_Ct&lt;22,$BC648=(Elig_MatchAll_Ct-1),AI648=0),F648,0)</f>
        <v>0</v>
      </c>
      <c r="BL648" s="199">
        <f>IF(AND(Input_Product=Elig!$C648,Elig_MatchAll_Ct&lt;22,$BC648=(Elig_MatchAll_Ct-1),AJ648=0),G648,0)</f>
        <v>0</v>
      </c>
      <c r="BM648" s="199">
        <f>IF(AND(Input_Product=Elig!$C648,Elig_MatchAll_Ct&lt;22,$BC648=(Elig_MatchAll_Ct-1),AK648=0),H648,0)</f>
        <v>0</v>
      </c>
      <c r="BN648" s="199">
        <f>IF(AND(Input_Product=Elig!$C648,Elig_MatchAll_Ct&lt;22,$BC648=(Elig_MatchAll_Ct-1),AL648=0),I648,0)</f>
        <v>0</v>
      </c>
      <c r="BO648" s="199">
        <f>IF(AND(Input_Product=Elig!$C648,Elig_MatchAll_Ct&lt;22,$BC648=(Elig_MatchAll_Ct-1),AM648=0),J648,0)</f>
        <v>0</v>
      </c>
      <c r="BP648" s="199">
        <f>IF(AND(Input_Product=Elig!$C648,Elig_MatchAll_Ct&lt;22,$BC648=(Elig_MatchAll_Ct-1),AN648=0),K648,0)</f>
        <v>0</v>
      </c>
      <c r="BQ648" s="199">
        <f>IF(AND(Input_Product=Elig!$C648,Elig_MatchAll_Ct&lt;22,$BC648=(Elig_MatchAll_Ct-1),AP648=0),L648,0)</f>
        <v>0</v>
      </c>
      <c r="BR648" s="199">
        <f>IF(AND(Input_Product=Elig!$C648,Elig_MatchAll_Ct&lt;22,$BC648=(Elig_MatchAll_Ct-1),AO648=0),M648,0)</f>
        <v>0</v>
      </c>
      <c r="BS648" s="199">
        <f>IF(AND(Input_Product=Elig!$C648,Elig_MatchAll_Ct&lt;22,$BC648=(Elig_MatchAll_Ct-1),AQ648=0),N648,0)</f>
        <v>0</v>
      </c>
      <c r="BT648" s="199">
        <f>IF(AND(Input_Product=Elig!$C648,Elig_MatchAll_Ct&lt;22,$BC648=(Elig_MatchAll_Ct-1),AR648=0),O648,0)</f>
        <v>0</v>
      </c>
      <c r="BU648" s="199">
        <f>IF(AND(Input_Product=Elig!$C648,Elig_MatchAll_Ct&lt;22,$BC648=(Elig_MatchAll_Ct-1),AS648=0),P648,0)</f>
        <v>0</v>
      </c>
      <c r="BV648" s="200">
        <f>IF(AND(Input_Product=Elig!$C648,Elig_MatchAll_Ct&lt;22,$BC648=(Elig_MatchAll_Ct-1),AT648=0),Q648,0)</f>
        <v>0</v>
      </c>
      <c r="BW648" s="201">
        <f>IF(AND(Input_Product=Elig!$C648,Elig_MatchAll_Ct&lt;22,$BC648=(Elig_MatchAll_Ct-1),AU648=0),R648,0)</f>
        <v>0</v>
      </c>
      <c r="BX648" s="202">
        <f>IF(AND(Input_Product=Elig!$C648,Elig_MatchAll_Ct&lt;22,$BC648=(Elig_MatchAll_Ct-1),AU648=0),S648,0)</f>
        <v>0</v>
      </c>
      <c r="BY648" s="201">
        <f>IF(AND(Input_Product=Elig!$C648,Elig_MatchAll_Ct&lt;22,$BC648=(Elig_MatchAll_Ct-1),AV648=0),T648,0)</f>
        <v>0</v>
      </c>
      <c r="BZ648" s="202">
        <f>IF(AND(Input_Product=Elig!$C648,Elig_MatchAll_Ct&lt;22,$BC648=(Elig_MatchAll_Ct-1),AV648=0),U648,0)</f>
        <v>0</v>
      </c>
      <c r="CA648" s="201">
        <f>IF(AND(Input_Product=Elig!$C648,Elig_MatchAll_Ct&lt;22,$BC648=(Elig_MatchAll_Ct-1),AW648=0),V648,0)</f>
        <v>0</v>
      </c>
      <c r="CB648" s="202">
        <f>IF(AND(Input_Product=Elig!$C648,Elig_MatchAll_Ct&lt;22,$BC648=(Elig_MatchAll_Ct-1),AW648=0),W648,0)</f>
        <v>0</v>
      </c>
      <c r="CC648" s="201">
        <f>IF(AND(Input_Product=Elig!$C648,Elig_MatchAll_Ct&lt;22,$BC648=(Elig_MatchAll_Ct-1),AX648=0),X648,0)</f>
        <v>0</v>
      </c>
      <c r="CD648" s="202">
        <f>IF(AND(Input_Product=Elig!$C648,Elig_MatchAll_Ct&lt;22,$BC648=(Elig_MatchAll_Ct-1),AX648=0),Y648,0)</f>
        <v>0</v>
      </c>
      <c r="CE648" s="201">
        <f>IF(AND(Input_LTV&lt;=AE648,Input_Product=Elig!$C648,Elig_MatchAll_Ct&lt;22,$BC648=(Elig_MatchAll_Ct-1),AY648=0),Z648,0)</f>
        <v>0</v>
      </c>
      <c r="CF648" s="202">
        <f>IF(AND(Input_LTV&lt;=AE648,Input_Product=Elig!$C648,Elig_MatchAll_Ct&lt;22,$BC648=(Elig_MatchAll_Ct-1),AY648=0),AA648,0)</f>
        <v>0</v>
      </c>
      <c r="CG648" s="201">
        <f>IF(AND(Input_Product=Elig!$C648,Elig_MatchAll_Ct&lt;22,$BC648=(Elig_MatchAll_Ct-1),AZ648=0),AB648,0)</f>
        <v>0</v>
      </c>
      <c r="CH648" s="202">
        <f>IF(AND(Input_Product=Elig!$C648,Elig_MatchAll_Ct&lt;22,$BC648=(Elig_MatchAll_Ct-1),AZ648=0),AC648,0)</f>
        <v>0</v>
      </c>
      <c r="CI648" s="201">
        <f>IF(AND(Input_Product=Elig!$C648,Elig_MatchAll_Ct&lt;22,$BC648=(Elig_MatchAll_Ct-1),BA648=0),AD648,0)</f>
        <v>0</v>
      </c>
      <c r="CJ648" s="202">
        <f>IF(AND(Input_Product=Elig!$C648,Elig_MatchAll_Ct&lt;22,$BC648=(Elig_MatchAll_Ct-1),BA648=0),AE648,0)</f>
        <v>0</v>
      </c>
    </row>
    <row r="649" spans="2:88" ht="10.15" customHeight="1" x14ac:dyDescent="0.25">
      <c r="B649" s="2027" t="s">
        <v>1279</v>
      </c>
      <c r="C649" s="2032" t="str">
        <f t="shared" si="279"/>
        <v>Second OO</v>
      </c>
      <c r="D649" s="2031" t="s">
        <v>1302</v>
      </c>
      <c r="E649" s="2031" t="s">
        <v>98</v>
      </c>
      <c r="F649" s="2031" t="s">
        <v>328</v>
      </c>
      <c r="G649" s="2111" t="s">
        <v>468</v>
      </c>
      <c r="H649" s="2033" t="s">
        <v>136</v>
      </c>
      <c r="I649" s="2031" t="s">
        <v>1332</v>
      </c>
      <c r="J649" s="2031" t="s">
        <v>1311</v>
      </c>
      <c r="K649" s="2033" t="s">
        <v>1790</v>
      </c>
      <c r="L649" s="2031" t="s">
        <v>430</v>
      </c>
      <c r="M649" s="2031" t="s">
        <v>2677</v>
      </c>
      <c r="N649" s="2033" t="s">
        <v>82</v>
      </c>
      <c r="O649" s="2031" t="s">
        <v>310</v>
      </c>
      <c r="P649" s="2031" t="s">
        <v>291</v>
      </c>
      <c r="Q649" s="2031" t="s">
        <v>294</v>
      </c>
      <c r="R649" s="2031">
        <v>200000</v>
      </c>
      <c r="S649" s="2031">
        <v>350000</v>
      </c>
      <c r="T649" s="2031">
        <v>0</v>
      </c>
      <c r="U649" s="2031">
        <f t="shared" si="285"/>
        <v>350000</v>
      </c>
      <c r="V649" s="2031">
        <v>0</v>
      </c>
      <c r="W649" s="2031">
        <v>50</v>
      </c>
      <c r="X649" s="2031">
        <v>0</v>
      </c>
      <c r="Y649" s="2031">
        <v>999</v>
      </c>
      <c r="Z649" s="2034">
        <v>660</v>
      </c>
      <c r="AA649" s="2034">
        <v>679</v>
      </c>
      <c r="AB649" s="2034">
        <v>0</v>
      </c>
      <c r="AC649" s="2034">
        <v>999999</v>
      </c>
      <c r="AD649" s="2031">
        <v>0</v>
      </c>
      <c r="AE649" s="2107">
        <v>75</v>
      </c>
      <c r="AF649" s="170">
        <v>1</v>
      </c>
      <c r="AG649" s="171">
        <v>0</v>
      </c>
      <c r="AH649" s="171">
        <v>1</v>
      </c>
      <c r="AI649" s="171">
        <v>1</v>
      </c>
      <c r="AJ649" s="171">
        <v>0</v>
      </c>
      <c r="AK649" s="171">
        <v>1</v>
      </c>
      <c r="AL649" s="171">
        <v>1</v>
      </c>
      <c r="AM649" s="171">
        <v>1</v>
      </c>
      <c r="AN649" s="171">
        <v>1</v>
      </c>
      <c r="AO649" s="171">
        <v>1</v>
      </c>
      <c r="AP649" s="171">
        <v>1</v>
      </c>
      <c r="AQ649" s="171">
        <v>1</v>
      </c>
      <c r="AR649" s="171">
        <v>1</v>
      </c>
      <c r="AS649" s="171">
        <v>1</v>
      </c>
      <c r="AT649" s="171">
        <v>1</v>
      </c>
      <c r="AU649" s="171">
        <f t="shared" si="270"/>
        <v>1</v>
      </c>
      <c r="AV649" s="171">
        <f t="shared" si="271"/>
        <v>1</v>
      </c>
      <c r="AW649" s="171">
        <f t="shared" si="272"/>
        <v>1</v>
      </c>
      <c r="AX649" s="171">
        <f t="shared" si="284"/>
        <v>1</v>
      </c>
      <c r="AY649" s="171">
        <f t="shared" si="273"/>
        <v>0</v>
      </c>
      <c r="AZ649" s="171">
        <f t="shared" si="274"/>
        <v>1</v>
      </c>
      <c r="BA649" s="172">
        <f t="shared" si="275"/>
        <v>1</v>
      </c>
      <c r="BB649" s="175">
        <f t="shared" si="286"/>
        <v>19</v>
      </c>
      <c r="BC649" s="176">
        <f t="shared" si="287"/>
        <v>18</v>
      </c>
      <c r="BD649" s="176">
        <f t="shared" si="288"/>
        <v>18</v>
      </c>
      <c r="BE649" s="240" t="str">
        <f t="shared" si="289"/>
        <v/>
      </c>
      <c r="BF649" s="234"/>
      <c r="BG649" s="234"/>
      <c r="BH649" s="214">
        <f>IF(AND(Input_Product=Elig!$C649,Elig_MatchAll_Ct&lt;22,$BC649=(Elig_MatchAll_Ct-1),AF649=0),C649,0)</f>
        <v>0</v>
      </c>
      <c r="BI649" s="214">
        <f>IF(AND(Input_Product=Elig!$C649,Elig_MatchAll_Ct&lt;22,$BC649=(Elig_MatchAll_Ct-1),AG649=0),D649,0)</f>
        <v>0</v>
      </c>
      <c r="BJ649" s="214">
        <f>IF(AND(Input_Product=Elig!$C649,Elig_MatchAll_Ct&lt;22,$BC649=(Elig_MatchAll_Ct-1),AH649=0),E649,0)</f>
        <v>0</v>
      </c>
      <c r="BK649" s="214">
        <f>IF(AND(Input_Product=Elig!$C649,Elig_MatchAll_Ct&lt;22,$BC649=(Elig_MatchAll_Ct-1),AI649=0),F649,0)</f>
        <v>0</v>
      </c>
      <c r="BL649" s="214">
        <f>IF(AND(Input_Product=Elig!$C649,Elig_MatchAll_Ct&lt;22,$BC649=(Elig_MatchAll_Ct-1),AJ649=0),G649,0)</f>
        <v>0</v>
      </c>
      <c r="BM649" s="214">
        <f>IF(AND(Input_Product=Elig!$C649,Elig_MatchAll_Ct&lt;22,$BC649=(Elig_MatchAll_Ct-1),AK649=0),H649,0)</f>
        <v>0</v>
      </c>
      <c r="BN649" s="214">
        <f>IF(AND(Input_Product=Elig!$C649,Elig_MatchAll_Ct&lt;22,$BC649=(Elig_MatchAll_Ct-1),AL649=0),I649,0)</f>
        <v>0</v>
      </c>
      <c r="BO649" s="214">
        <f>IF(AND(Input_Product=Elig!$C649,Elig_MatchAll_Ct&lt;22,$BC649=(Elig_MatchAll_Ct-1),AM649=0),J649,0)</f>
        <v>0</v>
      </c>
      <c r="BP649" s="214">
        <f>IF(AND(Input_Product=Elig!$C649,Elig_MatchAll_Ct&lt;22,$BC649=(Elig_MatchAll_Ct-1),AN649=0),K649,0)</f>
        <v>0</v>
      </c>
      <c r="BQ649" s="214">
        <f>IF(AND(Input_Product=Elig!$C649,Elig_MatchAll_Ct&lt;22,$BC649=(Elig_MatchAll_Ct-1),AP649=0),L649,0)</f>
        <v>0</v>
      </c>
      <c r="BR649" s="214">
        <f>IF(AND(Input_Product=Elig!$C649,Elig_MatchAll_Ct&lt;22,$BC649=(Elig_MatchAll_Ct-1),AO649=0),M649,0)</f>
        <v>0</v>
      </c>
      <c r="BS649" s="214">
        <f>IF(AND(Input_Product=Elig!$C649,Elig_MatchAll_Ct&lt;22,$BC649=(Elig_MatchAll_Ct-1),AQ649=0),N649,0)</f>
        <v>0</v>
      </c>
      <c r="BT649" s="214">
        <f>IF(AND(Input_Product=Elig!$C649,Elig_MatchAll_Ct&lt;22,$BC649=(Elig_MatchAll_Ct-1),AR649=0),O649,0)</f>
        <v>0</v>
      </c>
      <c r="BU649" s="214">
        <f>IF(AND(Input_Product=Elig!$C649,Elig_MatchAll_Ct&lt;22,$BC649=(Elig_MatchAll_Ct-1),AS649=0),P649,0)</f>
        <v>0</v>
      </c>
      <c r="BV649" s="215">
        <f>IF(AND(Input_Product=Elig!$C649,Elig_MatchAll_Ct&lt;22,$BC649=(Elig_MatchAll_Ct-1),AT649=0),Q649,0)</f>
        <v>0</v>
      </c>
      <c r="BW649" s="311">
        <f>IF(AND(Input_Product=Elig!$C649,Elig_MatchAll_Ct&lt;22,$BC649=(Elig_MatchAll_Ct-1),AU649=0),R649,0)</f>
        <v>0</v>
      </c>
      <c r="BX649" s="312">
        <f>IF(AND(Input_Product=Elig!$C649,Elig_MatchAll_Ct&lt;22,$BC649=(Elig_MatchAll_Ct-1),AU649=0),S649,0)</f>
        <v>0</v>
      </c>
      <c r="BY649" s="311">
        <f>IF(AND(Input_Product=Elig!$C649,Elig_MatchAll_Ct&lt;22,$BC649=(Elig_MatchAll_Ct-1),AV649=0),T649,0)</f>
        <v>0</v>
      </c>
      <c r="BZ649" s="312">
        <f>IF(AND(Input_Product=Elig!$C649,Elig_MatchAll_Ct&lt;22,$BC649=(Elig_MatchAll_Ct-1),AV649=0),U649,0)</f>
        <v>0</v>
      </c>
      <c r="CA649" s="311">
        <f>IF(AND(Input_Product=Elig!$C649,Elig_MatchAll_Ct&lt;22,$BC649=(Elig_MatchAll_Ct-1),AW649=0),V649,0)</f>
        <v>0</v>
      </c>
      <c r="CB649" s="312">
        <f>IF(AND(Input_Product=Elig!$C649,Elig_MatchAll_Ct&lt;22,$BC649=(Elig_MatchAll_Ct-1),AW649=0),W649,0)</f>
        <v>0</v>
      </c>
      <c r="CC649" s="311">
        <f>IF(AND(Input_Product=Elig!$C649,Elig_MatchAll_Ct&lt;22,$BC649=(Elig_MatchAll_Ct-1),AX649=0),X649,0)</f>
        <v>0</v>
      </c>
      <c r="CD649" s="312">
        <f>IF(AND(Input_Product=Elig!$C649,Elig_MatchAll_Ct&lt;22,$BC649=(Elig_MatchAll_Ct-1),AX649=0),Y649,0)</f>
        <v>0</v>
      </c>
      <c r="CE649" s="311">
        <f>IF(AND(Input_LTV&lt;=AE649,Input_Product=Elig!$C649,Elig_MatchAll_Ct&lt;22,$BC649=(Elig_MatchAll_Ct-1),AY649=0),Z649,0)</f>
        <v>0</v>
      </c>
      <c r="CF649" s="312">
        <f>IF(AND(Input_LTV&lt;=AE649,Input_Product=Elig!$C649,Elig_MatchAll_Ct&lt;22,$BC649=(Elig_MatchAll_Ct-1),AY649=0),AA649,0)</f>
        <v>0</v>
      </c>
      <c r="CG649" s="311">
        <f>IF(AND(Input_Product=Elig!$C649,Elig_MatchAll_Ct&lt;22,$BC649=(Elig_MatchAll_Ct-1),AZ649=0),AB649,0)</f>
        <v>0</v>
      </c>
      <c r="CH649" s="312">
        <f>IF(AND(Input_Product=Elig!$C649,Elig_MatchAll_Ct&lt;22,$BC649=(Elig_MatchAll_Ct-1),AZ649=0),AC649,0)</f>
        <v>0</v>
      </c>
      <c r="CI649" s="311">
        <f>IF(AND(Input_Product=Elig!$C649,Elig_MatchAll_Ct&lt;22,$BC649=(Elig_MatchAll_Ct-1),BA649=0),AD649,0)</f>
        <v>0</v>
      </c>
      <c r="CJ649" s="312">
        <f>IF(AND(Input_Product=Elig!$C649,Elig_MatchAll_Ct&lt;22,$BC649=(Elig_MatchAll_Ct-1),BA649=0),AE649,0)</f>
        <v>0</v>
      </c>
    </row>
    <row r="650" spans="2:88" ht="10.15" customHeight="1" x14ac:dyDescent="0.25">
      <c r="B650" s="2027" t="s">
        <v>1303</v>
      </c>
      <c r="C650" s="2024" t="str">
        <f t="shared" si="279"/>
        <v>Second OO</v>
      </c>
      <c r="D650" s="2025" t="s">
        <v>1561</v>
      </c>
      <c r="E650" s="2025" t="s">
        <v>98</v>
      </c>
      <c r="F650" s="2025" t="s">
        <v>328</v>
      </c>
      <c r="G650" s="2103" t="s">
        <v>472</v>
      </c>
      <c r="H650" s="2025" t="s">
        <v>136</v>
      </c>
      <c r="I650" s="2023" t="s">
        <v>1332</v>
      </c>
      <c r="J650" s="2023" t="s">
        <v>1311</v>
      </c>
      <c r="K650" s="2025" t="s">
        <v>1790</v>
      </c>
      <c r="L650" s="2023" t="s">
        <v>430</v>
      </c>
      <c r="M650" s="2023" t="s">
        <v>2677</v>
      </c>
      <c r="N650" s="2025" t="s">
        <v>82</v>
      </c>
      <c r="O650" s="2023" t="s">
        <v>310</v>
      </c>
      <c r="P650" s="2023" t="s">
        <v>291</v>
      </c>
      <c r="Q650" s="2023" t="s">
        <v>294</v>
      </c>
      <c r="R650" s="2023">
        <v>50000</v>
      </c>
      <c r="S650" s="2023">
        <v>350000</v>
      </c>
      <c r="T650" s="2023">
        <v>0</v>
      </c>
      <c r="U650" s="2023">
        <f t="shared" si="280"/>
        <v>350000</v>
      </c>
      <c r="V650" s="2023">
        <v>0</v>
      </c>
      <c r="W650" s="2023">
        <v>50</v>
      </c>
      <c r="X650" s="2023">
        <v>0</v>
      </c>
      <c r="Y650" s="2023">
        <v>999</v>
      </c>
      <c r="Z650" s="2026">
        <v>720</v>
      </c>
      <c r="AA650" s="2026">
        <v>999</v>
      </c>
      <c r="AB650" s="2026">
        <v>0</v>
      </c>
      <c r="AC650" s="2026">
        <v>999999</v>
      </c>
      <c r="AD650" s="2023">
        <v>0</v>
      </c>
      <c r="AE650" s="1482">
        <v>85</v>
      </c>
      <c r="AF650" s="170">
        <v>1</v>
      </c>
      <c r="AG650" s="171">
        <v>1</v>
      </c>
      <c r="AH650" s="171">
        <v>1</v>
      </c>
      <c r="AI650" s="171">
        <v>1</v>
      </c>
      <c r="AJ650" s="171">
        <v>0</v>
      </c>
      <c r="AK650" s="171">
        <v>1</v>
      </c>
      <c r="AL650" s="171">
        <v>1</v>
      </c>
      <c r="AM650" s="171">
        <v>1</v>
      </c>
      <c r="AN650" s="171">
        <v>1</v>
      </c>
      <c r="AO650" s="171">
        <v>1</v>
      </c>
      <c r="AP650" s="171">
        <v>1</v>
      </c>
      <c r="AQ650" s="171">
        <v>1</v>
      </c>
      <c r="AR650" s="171">
        <v>1</v>
      </c>
      <c r="AS650" s="171">
        <v>1</v>
      </c>
      <c r="AT650" s="171">
        <v>1</v>
      </c>
      <c r="AU650" s="171">
        <f t="shared" si="270"/>
        <v>1</v>
      </c>
      <c r="AV650" s="171">
        <f t="shared" si="271"/>
        <v>1</v>
      </c>
      <c r="AW650" s="171">
        <f t="shared" si="272"/>
        <v>1</v>
      </c>
      <c r="AX650" s="171">
        <f t="shared" si="284"/>
        <v>1</v>
      </c>
      <c r="AY650" s="171">
        <f t="shared" si="273"/>
        <v>1</v>
      </c>
      <c r="AZ650" s="171">
        <f t="shared" si="274"/>
        <v>1</v>
      </c>
      <c r="BA650" s="172">
        <f t="shared" si="275"/>
        <v>1</v>
      </c>
      <c r="BB650" s="175">
        <f t="shared" si="281"/>
        <v>21</v>
      </c>
      <c r="BC650" s="176">
        <f t="shared" si="282"/>
        <v>20</v>
      </c>
      <c r="BD650" s="176">
        <f t="shared" si="283"/>
        <v>20</v>
      </c>
      <c r="BE650" s="240" t="str">
        <f t="shared" si="289"/>
        <v/>
      </c>
      <c r="BF650" s="220"/>
      <c r="BG650" s="220"/>
      <c r="BH650" s="216">
        <f>IF(AND(Input_Product=Elig!$C650,Elig_MatchAll_Ct&lt;22,$BC650=(Elig_MatchAll_Ct-1),AF650=0),C650,0)</f>
        <v>0</v>
      </c>
      <c r="BI650" s="216">
        <f>IF(AND(Input_Product=Elig!$C650,Elig_MatchAll_Ct&lt;22,$BC650=(Elig_MatchAll_Ct-1),AG650=0),D650,0)</f>
        <v>0</v>
      </c>
      <c r="BJ650" s="216">
        <f>IF(AND(Input_Product=Elig!$C650,Elig_MatchAll_Ct&lt;22,$BC650=(Elig_MatchAll_Ct-1),AH650=0),E650,0)</f>
        <v>0</v>
      </c>
      <c r="BK650" s="216">
        <f>IF(AND(Input_Product=Elig!$C650,Elig_MatchAll_Ct&lt;22,$BC650=(Elig_MatchAll_Ct-1),AI650=0),F650,0)</f>
        <v>0</v>
      </c>
      <c r="BL650" s="216">
        <f>IF(AND(Input_Product=Elig!$C650,Elig_MatchAll_Ct&lt;22,$BC650=(Elig_MatchAll_Ct-1),AJ650=0),G650,0)</f>
        <v>0</v>
      </c>
      <c r="BM650" s="216">
        <f>IF(AND(Input_Product=Elig!$C650,Elig_MatchAll_Ct&lt;22,$BC650=(Elig_MatchAll_Ct-1),AK650=0),H650,0)</f>
        <v>0</v>
      </c>
      <c r="BN650" s="216">
        <f>IF(AND(Input_Product=Elig!$C650,Elig_MatchAll_Ct&lt;22,$BC650=(Elig_MatchAll_Ct-1),AL650=0),I650,0)</f>
        <v>0</v>
      </c>
      <c r="BO650" s="216">
        <f>IF(AND(Input_Product=Elig!$C650,Elig_MatchAll_Ct&lt;22,$BC650=(Elig_MatchAll_Ct-1),AM650=0),J650,0)</f>
        <v>0</v>
      </c>
      <c r="BP650" s="216">
        <f>IF(AND(Input_Product=Elig!$C650,Elig_MatchAll_Ct&lt;22,$BC650=(Elig_MatchAll_Ct-1),AN650=0),K650,0)</f>
        <v>0</v>
      </c>
      <c r="BQ650" s="216">
        <f>IF(AND(Input_Product=Elig!$C650,Elig_MatchAll_Ct&lt;22,$BC650=(Elig_MatchAll_Ct-1),AP650=0),L650,0)</f>
        <v>0</v>
      </c>
      <c r="BR650" s="216">
        <f>IF(AND(Input_Product=Elig!$C650,Elig_MatchAll_Ct&lt;22,$BC650=(Elig_MatchAll_Ct-1),AO650=0),M650,0)</f>
        <v>0</v>
      </c>
      <c r="BS650" s="216">
        <f>IF(AND(Input_Product=Elig!$C650,Elig_MatchAll_Ct&lt;22,$BC650=(Elig_MatchAll_Ct-1),AQ650=0),N650,0)</f>
        <v>0</v>
      </c>
      <c r="BT650" s="216">
        <f>IF(AND(Input_Product=Elig!$C650,Elig_MatchAll_Ct&lt;22,$BC650=(Elig_MatchAll_Ct-1),AR650=0),O650,0)</f>
        <v>0</v>
      </c>
      <c r="BU650" s="216">
        <f>IF(AND(Input_Product=Elig!$C650,Elig_MatchAll_Ct&lt;22,$BC650=(Elig_MatchAll_Ct-1),AS650=0),P650,0)</f>
        <v>0</v>
      </c>
      <c r="BV650" s="217">
        <f>IF(AND(Input_Product=Elig!$C650,Elig_MatchAll_Ct&lt;22,$BC650=(Elig_MatchAll_Ct-1),AT650=0),Q650,0)</f>
        <v>0</v>
      </c>
      <c r="BW650" s="313">
        <f>IF(AND(Input_Product=Elig!$C650,Elig_MatchAll_Ct&lt;22,$BC650=(Elig_MatchAll_Ct-1),AU650=0),R650,0)</f>
        <v>0</v>
      </c>
      <c r="BX650" s="314">
        <f>IF(AND(Input_Product=Elig!$C650,Elig_MatchAll_Ct&lt;22,$BC650=(Elig_MatchAll_Ct-1),AU650=0),S650,0)</f>
        <v>0</v>
      </c>
      <c r="BY650" s="313">
        <f>IF(AND(Input_Product=Elig!$C650,Elig_MatchAll_Ct&lt;22,$BC650=(Elig_MatchAll_Ct-1),AV650=0),T650,0)</f>
        <v>0</v>
      </c>
      <c r="BZ650" s="314">
        <f>IF(AND(Input_Product=Elig!$C650,Elig_MatchAll_Ct&lt;22,$BC650=(Elig_MatchAll_Ct-1),AV650=0),U650,0)</f>
        <v>0</v>
      </c>
      <c r="CA650" s="313">
        <f>IF(AND(Input_Product=Elig!$C650,Elig_MatchAll_Ct&lt;22,$BC650=(Elig_MatchAll_Ct-1),AW650=0),V650,0)</f>
        <v>0</v>
      </c>
      <c r="CB650" s="314">
        <f>IF(AND(Input_Product=Elig!$C650,Elig_MatchAll_Ct&lt;22,$BC650=(Elig_MatchAll_Ct-1),AW650=0),W650,0)</f>
        <v>0</v>
      </c>
      <c r="CC650" s="313">
        <f>IF(AND(Input_Product=Elig!$C650,Elig_MatchAll_Ct&lt;22,$BC650=(Elig_MatchAll_Ct-1),AX650=0),X650,0)</f>
        <v>0</v>
      </c>
      <c r="CD650" s="314">
        <f>IF(AND(Input_Product=Elig!$C650,Elig_MatchAll_Ct&lt;22,$BC650=(Elig_MatchAll_Ct-1),AX650=0),Y650,0)</f>
        <v>0</v>
      </c>
      <c r="CE650" s="313">
        <f>IF(AND(Input_LTV&lt;=AE650,Input_Product=Elig!$C650,Elig_MatchAll_Ct&lt;22,$BC650=(Elig_MatchAll_Ct-1),AY650=0),Z650,0)</f>
        <v>0</v>
      </c>
      <c r="CF650" s="314">
        <f>IF(AND(Input_LTV&lt;=AE650,Input_Product=Elig!$C650,Elig_MatchAll_Ct&lt;22,$BC650=(Elig_MatchAll_Ct-1),AY650=0),AA650,0)</f>
        <v>0</v>
      </c>
      <c r="CG650" s="313">
        <f>IF(AND(Input_Product=Elig!$C650,Elig_MatchAll_Ct&lt;22,$BC650=(Elig_MatchAll_Ct-1),AZ650=0),AB650,0)</f>
        <v>0</v>
      </c>
      <c r="CH650" s="314">
        <f>IF(AND(Input_Product=Elig!$C650,Elig_MatchAll_Ct&lt;22,$BC650=(Elig_MatchAll_Ct-1),AZ650=0),AC650,0)</f>
        <v>0</v>
      </c>
      <c r="CI650" s="313">
        <f>IF(AND(Input_Product=Elig!$C650,Elig_MatchAll_Ct&lt;22,$BC650=(Elig_MatchAll_Ct-1),BA650=0),AD650,0)</f>
        <v>0</v>
      </c>
      <c r="CJ650" s="314">
        <f>IF(AND(Input_Product=Elig!$C650,Elig_MatchAll_Ct&lt;22,$BC650=(Elig_MatchAll_Ct-1),BA650=0),AE650,0)</f>
        <v>0</v>
      </c>
    </row>
    <row r="651" spans="2:88" ht="10.15" customHeight="1" x14ac:dyDescent="0.25">
      <c r="B651" s="2027" t="s">
        <v>1304</v>
      </c>
      <c r="C651" s="2028" t="str">
        <f t="shared" si="279"/>
        <v>Second OO</v>
      </c>
      <c r="D651" s="2027" t="s">
        <v>1561</v>
      </c>
      <c r="E651" s="2027" t="s">
        <v>98</v>
      </c>
      <c r="F651" s="2027" t="s">
        <v>328</v>
      </c>
      <c r="G651" s="2110" t="s">
        <v>472</v>
      </c>
      <c r="H651" s="2029" t="s">
        <v>136</v>
      </c>
      <c r="I651" s="2027" t="s">
        <v>1332</v>
      </c>
      <c r="J651" s="2027" t="s">
        <v>1311</v>
      </c>
      <c r="K651" s="2029" t="s">
        <v>1790</v>
      </c>
      <c r="L651" s="2027" t="s">
        <v>430</v>
      </c>
      <c r="M651" s="2027" t="s">
        <v>2677</v>
      </c>
      <c r="N651" s="2029" t="s">
        <v>82</v>
      </c>
      <c r="O651" s="2027" t="s">
        <v>310</v>
      </c>
      <c r="P651" s="2027" t="s">
        <v>291</v>
      </c>
      <c r="Q651" s="2027" t="s">
        <v>294</v>
      </c>
      <c r="R651" s="2027">
        <v>50000</v>
      </c>
      <c r="S651" s="2027">
        <v>350000</v>
      </c>
      <c r="T651" s="2027">
        <v>0</v>
      </c>
      <c r="U651" s="2027">
        <f t="shared" si="280"/>
        <v>350000</v>
      </c>
      <c r="V651" s="2027">
        <v>0</v>
      </c>
      <c r="W651" s="2027">
        <v>50</v>
      </c>
      <c r="X651" s="2027">
        <v>0</v>
      </c>
      <c r="Y651" s="2027">
        <v>999</v>
      </c>
      <c r="Z651" s="2030">
        <v>700</v>
      </c>
      <c r="AA651" s="2030">
        <v>719</v>
      </c>
      <c r="AB651" s="2030">
        <v>0</v>
      </c>
      <c r="AC651" s="2030">
        <v>999999</v>
      </c>
      <c r="AD651" s="2027">
        <v>0</v>
      </c>
      <c r="AE651" s="1483">
        <v>80</v>
      </c>
      <c r="AF651" s="170">
        <v>1</v>
      </c>
      <c r="AG651" s="171">
        <v>1</v>
      </c>
      <c r="AH651" s="171">
        <v>1</v>
      </c>
      <c r="AI651" s="171">
        <v>1</v>
      </c>
      <c r="AJ651" s="171">
        <v>0</v>
      </c>
      <c r="AK651" s="171">
        <v>1</v>
      </c>
      <c r="AL651" s="171">
        <v>1</v>
      </c>
      <c r="AM651" s="171">
        <v>1</v>
      </c>
      <c r="AN651" s="171">
        <v>1</v>
      </c>
      <c r="AO651" s="171">
        <v>1</v>
      </c>
      <c r="AP651" s="171">
        <v>1</v>
      </c>
      <c r="AQ651" s="171">
        <v>1</v>
      </c>
      <c r="AR651" s="171">
        <v>1</v>
      </c>
      <c r="AS651" s="171">
        <v>1</v>
      </c>
      <c r="AT651" s="171">
        <v>1</v>
      </c>
      <c r="AU651" s="171">
        <f t="shared" si="270"/>
        <v>1</v>
      </c>
      <c r="AV651" s="171">
        <f t="shared" si="271"/>
        <v>1</v>
      </c>
      <c r="AW651" s="171">
        <f t="shared" si="272"/>
        <v>1</v>
      </c>
      <c r="AX651" s="171">
        <f t="shared" si="284"/>
        <v>1</v>
      </c>
      <c r="AY651" s="171">
        <f t="shared" si="273"/>
        <v>0</v>
      </c>
      <c r="AZ651" s="171">
        <f t="shared" si="274"/>
        <v>1</v>
      </c>
      <c r="BA651" s="172">
        <f t="shared" si="275"/>
        <v>1</v>
      </c>
      <c r="BB651" s="175">
        <f t="shared" si="281"/>
        <v>20</v>
      </c>
      <c r="BC651" s="176">
        <f t="shared" si="282"/>
        <v>19</v>
      </c>
      <c r="BD651" s="176">
        <f t="shared" si="283"/>
        <v>19</v>
      </c>
      <c r="BE651" s="240" t="str">
        <f t="shared" si="289"/>
        <v/>
      </c>
      <c r="BF651" s="234"/>
      <c r="BG651" s="234"/>
      <c r="BH651" s="199">
        <f>IF(AND(Input_Product=Elig!$C651,Elig_MatchAll_Ct&lt;22,$BC651=(Elig_MatchAll_Ct-1),AF651=0),C651,0)</f>
        <v>0</v>
      </c>
      <c r="BI651" s="199">
        <f>IF(AND(Input_Product=Elig!$C651,Elig_MatchAll_Ct&lt;22,$BC651=(Elig_MatchAll_Ct-1),AG651=0),D651,0)</f>
        <v>0</v>
      </c>
      <c r="BJ651" s="199">
        <f>IF(AND(Input_Product=Elig!$C651,Elig_MatchAll_Ct&lt;22,$BC651=(Elig_MatchAll_Ct-1),AH651=0),E651,0)</f>
        <v>0</v>
      </c>
      <c r="BK651" s="199">
        <f>IF(AND(Input_Product=Elig!$C651,Elig_MatchAll_Ct&lt;22,$BC651=(Elig_MatchAll_Ct-1),AI651=0),F651,0)</f>
        <v>0</v>
      </c>
      <c r="BL651" s="199">
        <f>IF(AND(Input_Product=Elig!$C651,Elig_MatchAll_Ct&lt;22,$BC651=(Elig_MatchAll_Ct-1),AJ651=0),G651,0)</f>
        <v>0</v>
      </c>
      <c r="BM651" s="199">
        <f>IF(AND(Input_Product=Elig!$C651,Elig_MatchAll_Ct&lt;22,$BC651=(Elig_MatchAll_Ct-1),AK651=0),H651,0)</f>
        <v>0</v>
      </c>
      <c r="BN651" s="199">
        <f>IF(AND(Input_Product=Elig!$C651,Elig_MatchAll_Ct&lt;22,$BC651=(Elig_MatchAll_Ct-1),AL651=0),I651,0)</f>
        <v>0</v>
      </c>
      <c r="BO651" s="199">
        <f>IF(AND(Input_Product=Elig!$C651,Elig_MatchAll_Ct&lt;22,$BC651=(Elig_MatchAll_Ct-1),AM651=0),J651,0)</f>
        <v>0</v>
      </c>
      <c r="BP651" s="199">
        <f>IF(AND(Input_Product=Elig!$C651,Elig_MatchAll_Ct&lt;22,$BC651=(Elig_MatchAll_Ct-1),AN651=0),K651,0)</f>
        <v>0</v>
      </c>
      <c r="BQ651" s="199">
        <f>IF(AND(Input_Product=Elig!$C651,Elig_MatchAll_Ct&lt;22,$BC651=(Elig_MatchAll_Ct-1),AP651=0),L651,0)</f>
        <v>0</v>
      </c>
      <c r="BR651" s="199">
        <f>IF(AND(Input_Product=Elig!$C651,Elig_MatchAll_Ct&lt;22,$BC651=(Elig_MatchAll_Ct-1),AO651=0),M651,0)</f>
        <v>0</v>
      </c>
      <c r="BS651" s="199">
        <f>IF(AND(Input_Product=Elig!$C651,Elig_MatchAll_Ct&lt;22,$BC651=(Elig_MatchAll_Ct-1),AQ651=0),N651,0)</f>
        <v>0</v>
      </c>
      <c r="BT651" s="199">
        <f>IF(AND(Input_Product=Elig!$C651,Elig_MatchAll_Ct&lt;22,$BC651=(Elig_MatchAll_Ct-1),AR651=0),O651,0)</f>
        <v>0</v>
      </c>
      <c r="BU651" s="199">
        <f>IF(AND(Input_Product=Elig!$C651,Elig_MatchAll_Ct&lt;22,$BC651=(Elig_MatchAll_Ct-1),AS651=0),P651,0)</f>
        <v>0</v>
      </c>
      <c r="BV651" s="200">
        <f>IF(AND(Input_Product=Elig!$C651,Elig_MatchAll_Ct&lt;22,$BC651=(Elig_MatchAll_Ct-1),AT651=0),Q651,0)</f>
        <v>0</v>
      </c>
      <c r="BW651" s="201">
        <f>IF(AND(Input_Product=Elig!$C651,Elig_MatchAll_Ct&lt;22,$BC651=(Elig_MatchAll_Ct-1),AU651=0),R651,0)</f>
        <v>0</v>
      </c>
      <c r="BX651" s="202">
        <f>IF(AND(Input_Product=Elig!$C651,Elig_MatchAll_Ct&lt;22,$BC651=(Elig_MatchAll_Ct-1),AU651=0),S651,0)</f>
        <v>0</v>
      </c>
      <c r="BY651" s="201">
        <f>IF(AND(Input_Product=Elig!$C651,Elig_MatchAll_Ct&lt;22,$BC651=(Elig_MatchAll_Ct-1),AV651=0),T651,0)</f>
        <v>0</v>
      </c>
      <c r="BZ651" s="202">
        <f>IF(AND(Input_Product=Elig!$C651,Elig_MatchAll_Ct&lt;22,$BC651=(Elig_MatchAll_Ct-1),AV651=0),U651,0)</f>
        <v>0</v>
      </c>
      <c r="CA651" s="201">
        <f>IF(AND(Input_Product=Elig!$C651,Elig_MatchAll_Ct&lt;22,$BC651=(Elig_MatchAll_Ct-1),AW651=0),V651,0)</f>
        <v>0</v>
      </c>
      <c r="CB651" s="202">
        <f>IF(AND(Input_Product=Elig!$C651,Elig_MatchAll_Ct&lt;22,$BC651=(Elig_MatchAll_Ct-1),AW651=0),W651,0)</f>
        <v>0</v>
      </c>
      <c r="CC651" s="201">
        <f>IF(AND(Input_Product=Elig!$C651,Elig_MatchAll_Ct&lt;22,$BC651=(Elig_MatchAll_Ct-1),AX651=0),X651,0)</f>
        <v>0</v>
      </c>
      <c r="CD651" s="202">
        <f>IF(AND(Input_Product=Elig!$C651,Elig_MatchAll_Ct&lt;22,$BC651=(Elig_MatchAll_Ct-1),AX651=0),Y651,0)</f>
        <v>0</v>
      </c>
      <c r="CE651" s="201">
        <f>IF(AND(Input_LTV&lt;=AE651,Input_Product=Elig!$C651,Elig_MatchAll_Ct&lt;22,$BC651=(Elig_MatchAll_Ct-1),AY651=0),Z651,0)</f>
        <v>0</v>
      </c>
      <c r="CF651" s="202">
        <f>IF(AND(Input_LTV&lt;=AE651,Input_Product=Elig!$C651,Elig_MatchAll_Ct&lt;22,$BC651=(Elig_MatchAll_Ct-1),AY651=0),AA651,0)</f>
        <v>0</v>
      </c>
      <c r="CG651" s="201">
        <f>IF(AND(Input_Product=Elig!$C651,Elig_MatchAll_Ct&lt;22,$BC651=(Elig_MatchAll_Ct-1),AZ651=0),AB651,0)</f>
        <v>0</v>
      </c>
      <c r="CH651" s="202">
        <f>IF(AND(Input_Product=Elig!$C651,Elig_MatchAll_Ct&lt;22,$BC651=(Elig_MatchAll_Ct-1),AZ651=0),AC651,0)</f>
        <v>0</v>
      </c>
      <c r="CI651" s="201">
        <f>IF(AND(Input_Product=Elig!$C651,Elig_MatchAll_Ct&lt;22,$BC651=(Elig_MatchAll_Ct-1),BA651=0),AD651,0)</f>
        <v>0</v>
      </c>
      <c r="CJ651" s="202">
        <f>IF(AND(Input_Product=Elig!$C651,Elig_MatchAll_Ct&lt;22,$BC651=(Elig_MatchAll_Ct-1),BA651=0),AE651,0)</f>
        <v>0</v>
      </c>
    </row>
    <row r="652" spans="2:88" ht="10.15" customHeight="1" x14ac:dyDescent="0.25">
      <c r="B652" s="2027" t="s">
        <v>1305</v>
      </c>
      <c r="C652" s="2028" t="str">
        <f t="shared" si="279"/>
        <v>Second OO</v>
      </c>
      <c r="D652" s="2027" t="s">
        <v>1561</v>
      </c>
      <c r="E652" s="2027" t="s">
        <v>98</v>
      </c>
      <c r="F652" s="2027" t="s">
        <v>328</v>
      </c>
      <c r="G652" s="2110" t="s">
        <v>472</v>
      </c>
      <c r="H652" s="2029" t="s">
        <v>136</v>
      </c>
      <c r="I652" s="2027" t="s">
        <v>1332</v>
      </c>
      <c r="J652" s="2027" t="s">
        <v>1311</v>
      </c>
      <c r="K652" s="2029" t="s">
        <v>1790</v>
      </c>
      <c r="L652" s="2027" t="s">
        <v>430</v>
      </c>
      <c r="M652" s="2027" t="s">
        <v>2677</v>
      </c>
      <c r="N652" s="2029" t="s">
        <v>82</v>
      </c>
      <c r="O652" s="2027" t="s">
        <v>310</v>
      </c>
      <c r="P652" s="2027" t="s">
        <v>291</v>
      </c>
      <c r="Q652" s="2027" t="s">
        <v>294</v>
      </c>
      <c r="R652" s="2027">
        <v>50000</v>
      </c>
      <c r="S652" s="2027">
        <v>350000</v>
      </c>
      <c r="T652" s="2027">
        <v>0</v>
      </c>
      <c r="U652" s="2027">
        <f t="shared" si="280"/>
        <v>350000</v>
      </c>
      <c r="V652" s="2027">
        <v>0</v>
      </c>
      <c r="W652" s="2027">
        <v>50</v>
      </c>
      <c r="X652" s="2027">
        <v>0</v>
      </c>
      <c r="Y652" s="2027">
        <v>999</v>
      </c>
      <c r="Z652" s="2030">
        <v>680</v>
      </c>
      <c r="AA652" s="2030">
        <v>699</v>
      </c>
      <c r="AB652" s="2030">
        <v>0</v>
      </c>
      <c r="AC652" s="2030">
        <v>999999</v>
      </c>
      <c r="AD652" s="2027">
        <v>0</v>
      </c>
      <c r="AE652" s="1483">
        <v>75</v>
      </c>
      <c r="AF652" s="170">
        <v>1</v>
      </c>
      <c r="AG652" s="171">
        <v>1</v>
      </c>
      <c r="AH652" s="171">
        <v>1</v>
      </c>
      <c r="AI652" s="171">
        <v>1</v>
      </c>
      <c r="AJ652" s="171">
        <v>0</v>
      </c>
      <c r="AK652" s="171">
        <v>1</v>
      </c>
      <c r="AL652" s="171">
        <v>1</v>
      </c>
      <c r="AM652" s="171">
        <v>1</v>
      </c>
      <c r="AN652" s="171">
        <v>1</v>
      </c>
      <c r="AO652" s="171">
        <v>1</v>
      </c>
      <c r="AP652" s="171">
        <v>1</v>
      </c>
      <c r="AQ652" s="171">
        <v>1</v>
      </c>
      <c r="AR652" s="171">
        <v>1</v>
      </c>
      <c r="AS652" s="171">
        <v>1</v>
      </c>
      <c r="AT652" s="171">
        <v>1</v>
      </c>
      <c r="AU652" s="171">
        <f t="shared" si="270"/>
        <v>1</v>
      </c>
      <c r="AV652" s="171">
        <f t="shared" si="271"/>
        <v>1</v>
      </c>
      <c r="AW652" s="171">
        <f t="shared" si="272"/>
        <v>1</v>
      </c>
      <c r="AX652" s="171">
        <f t="shared" si="284"/>
        <v>1</v>
      </c>
      <c r="AY652" s="171">
        <f t="shared" si="273"/>
        <v>0</v>
      </c>
      <c r="AZ652" s="171">
        <f t="shared" si="274"/>
        <v>1</v>
      </c>
      <c r="BA652" s="172">
        <f t="shared" si="275"/>
        <v>1</v>
      </c>
      <c r="BB652" s="175">
        <f t="shared" si="281"/>
        <v>20</v>
      </c>
      <c r="BC652" s="176">
        <f t="shared" si="282"/>
        <v>19</v>
      </c>
      <c r="BD652" s="176">
        <f t="shared" si="283"/>
        <v>19</v>
      </c>
      <c r="BE652" s="240" t="str">
        <f t="shared" si="289"/>
        <v/>
      </c>
      <c r="BF652" s="234"/>
      <c r="BG652" s="234"/>
      <c r="BH652" s="199">
        <f>IF(AND(Input_Product=Elig!$C652,Elig_MatchAll_Ct&lt;22,$BC652=(Elig_MatchAll_Ct-1),AF652=0),C652,0)</f>
        <v>0</v>
      </c>
      <c r="BI652" s="199">
        <f>IF(AND(Input_Product=Elig!$C652,Elig_MatchAll_Ct&lt;22,$BC652=(Elig_MatchAll_Ct-1),AG652=0),D652,0)</f>
        <v>0</v>
      </c>
      <c r="BJ652" s="199">
        <f>IF(AND(Input_Product=Elig!$C652,Elig_MatchAll_Ct&lt;22,$BC652=(Elig_MatchAll_Ct-1),AH652=0),E652,0)</f>
        <v>0</v>
      </c>
      <c r="BK652" s="199">
        <f>IF(AND(Input_Product=Elig!$C652,Elig_MatchAll_Ct&lt;22,$BC652=(Elig_MatchAll_Ct-1),AI652=0),F652,0)</f>
        <v>0</v>
      </c>
      <c r="BL652" s="199">
        <f>IF(AND(Input_Product=Elig!$C652,Elig_MatchAll_Ct&lt;22,$BC652=(Elig_MatchAll_Ct-1),AJ652=0),G652,0)</f>
        <v>0</v>
      </c>
      <c r="BM652" s="199">
        <f>IF(AND(Input_Product=Elig!$C652,Elig_MatchAll_Ct&lt;22,$BC652=(Elig_MatchAll_Ct-1),AK652=0),H652,0)</f>
        <v>0</v>
      </c>
      <c r="BN652" s="199">
        <f>IF(AND(Input_Product=Elig!$C652,Elig_MatchAll_Ct&lt;22,$BC652=(Elig_MatchAll_Ct-1),AL652=0),I652,0)</f>
        <v>0</v>
      </c>
      <c r="BO652" s="199">
        <f>IF(AND(Input_Product=Elig!$C652,Elig_MatchAll_Ct&lt;22,$BC652=(Elig_MatchAll_Ct-1),AM652=0),J652,0)</f>
        <v>0</v>
      </c>
      <c r="BP652" s="199">
        <f>IF(AND(Input_Product=Elig!$C652,Elig_MatchAll_Ct&lt;22,$BC652=(Elig_MatchAll_Ct-1),AN652=0),K652,0)</f>
        <v>0</v>
      </c>
      <c r="BQ652" s="199">
        <f>IF(AND(Input_Product=Elig!$C652,Elig_MatchAll_Ct&lt;22,$BC652=(Elig_MatchAll_Ct-1),AP652=0),L652,0)</f>
        <v>0</v>
      </c>
      <c r="BR652" s="199">
        <f>IF(AND(Input_Product=Elig!$C652,Elig_MatchAll_Ct&lt;22,$BC652=(Elig_MatchAll_Ct-1),AO652=0),M652,0)</f>
        <v>0</v>
      </c>
      <c r="BS652" s="199">
        <f>IF(AND(Input_Product=Elig!$C652,Elig_MatchAll_Ct&lt;22,$BC652=(Elig_MatchAll_Ct-1),AQ652=0),N652,0)</f>
        <v>0</v>
      </c>
      <c r="BT652" s="199">
        <f>IF(AND(Input_Product=Elig!$C652,Elig_MatchAll_Ct&lt;22,$BC652=(Elig_MatchAll_Ct-1),AR652=0),O652,0)</f>
        <v>0</v>
      </c>
      <c r="BU652" s="199">
        <f>IF(AND(Input_Product=Elig!$C652,Elig_MatchAll_Ct&lt;22,$BC652=(Elig_MatchAll_Ct-1),AS652=0),P652,0)</f>
        <v>0</v>
      </c>
      <c r="BV652" s="200">
        <f>IF(AND(Input_Product=Elig!$C652,Elig_MatchAll_Ct&lt;22,$BC652=(Elig_MatchAll_Ct-1),AT652=0),Q652,0)</f>
        <v>0</v>
      </c>
      <c r="BW652" s="201">
        <f>IF(AND(Input_Product=Elig!$C652,Elig_MatchAll_Ct&lt;22,$BC652=(Elig_MatchAll_Ct-1),AU652=0),R652,0)</f>
        <v>0</v>
      </c>
      <c r="BX652" s="202">
        <f>IF(AND(Input_Product=Elig!$C652,Elig_MatchAll_Ct&lt;22,$BC652=(Elig_MatchAll_Ct-1),AU652=0),S652,0)</f>
        <v>0</v>
      </c>
      <c r="BY652" s="201">
        <f>IF(AND(Input_Product=Elig!$C652,Elig_MatchAll_Ct&lt;22,$BC652=(Elig_MatchAll_Ct-1),AV652=0),T652,0)</f>
        <v>0</v>
      </c>
      <c r="BZ652" s="202">
        <f>IF(AND(Input_Product=Elig!$C652,Elig_MatchAll_Ct&lt;22,$BC652=(Elig_MatchAll_Ct-1),AV652=0),U652,0)</f>
        <v>0</v>
      </c>
      <c r="CA652" s="201">
        <f>IF(AND(Input_Product=Elig!$C652,Elig_MatchAll_Ct&lt;22,$BC652=(Elig_MatchAll_Ct-1),AW652=0),V652,0)</f>
        <v>0</v>
      </c>
      <c r="CB652" s="202">
        <f>IF(AND(Input_Product=Elig!$C652,Elig_MatchAll_Ct&lt;22,$BC652=(Elig_MatchAll_Ct-1),AW652=0),W652,0)</f>
        <v>0</v>
      </c>
      <c r="CC652" s="201">
        <f>IF(AND(Input_Product=Elig!$C652,Elig_MatchAll_Ct&lt;22,$BC652=(Elig_MatchAll_Ct-1),AX652=0),X652,0)</f>
        <v>0</v>
      </c>
      <c r="CD652" s="202">
        <f>IF(AND(Input_Product=Elig!$C652,Elig_MatchAll_Ct&lt;22,$BC652=(Elig_MatchAll_Ct-1),AX652=0),Y652,0)</f>
        <v>0</v>
      </c>
      <c r="CE652" s="201">
        <f>IF(AND(Input_LTV&lt;=AE652,Input_Product=Elig!$C652,Elig_MatchAll_Ct&lt;22,$BC652=(Elig_MatchAll_Ct-1),AY652=0),Z652,0)</f>
        <v>0</v>
      </c>
      <c r="CF652" s="202">
        <f>IF(AND(Input_LTV&lt;=AE652,Input_Product=Elig!$C652,Elig_MatchAll_Ct&lt;22,$BC652=(Elig_MatchAll_Ct-1),AY652=0),AA652,0)</f>
        <v>0</v>
      </c>
      <c r="CG652" s="201">
        <f>IF(AND(Input_Product=Elig!$C652,Elig_MatchAll_Ct&lt;22,$BC652=(Elig_MatchAll_Ct-1),AZ652=0),AB652,0)</f>
        <v>0</v>
      </c>
      <c r="CH652" s="202">
        <f>IF(AND(Input_Product=Elig!$C652,Elig_MatchAll_Ct&lt;22,$BC652=(Elig_MatchAll_Ct-1),AZ652=0),AC652,0)</f>
        <v>0</v>
      </c>
      <c r="CI652" s="201">
        <f>IF(AND(Input_Product=Elig!$C652,Elig_MatchAll_Ct&lt;22,$BC652=(Elig_MatchAll_Ct-1),BA652=0),AD652,0)</f>
        <v>0</v>
      </c>
      <c r="CJ652" s="202">
        <f>IF(AND(Input_Product=Elig!$C652,Elig_MatchAll_Ct&lt;22,$BC652=(Elig_MatchAll_Ct-1),BA652=0),AE652,0)</f>
        <v>0</v>
      </c>
    </row>
    <row r="653" spans="2:88" ht="10.15" customHeight="1" x14ac:dyDescent="0.25">
      <c r="B653" s="2027" t="s">
        <v>1306</v>
      </c>
      <c r="C653" s="2032" t="str">
        <f t="shared" si="279"/>
        <v>Second OO</v>
      </c>
      <c r="D653" s="2031" t="s">
        <v>1561</v>
      </c>
      <c r="E653" s="2031" t="s">
        <v>98</v>
      </c>
      <c r="F653" s="2031" t="s">
        <v>328</v>
      </c>
      <c r="G653" s="2111" t="s">
        <v>472</v>
      </c>
      <c r="H653" s="2033" t="s">
        <v>136</v>
      </c>
      <c r="I653" s="2031" t="s">
        <v>1332</v>
      </c>
      <c r="J653" s="2031" t="s">
        <v>1311</v>
      </c>
      <c r="K653" s="2033" t="s">
        <v>1790</v>
      </c>
      <c r="L653" s="2031" t="s">
        <v>430</v>
      </c>
      <c r="M653" s="2031" t="s">
        <v>2677</v>
      </c>
      <c r="N653" s="2033" t="s">
        <v>82</v>
      </c>
      <c r="O653" s="2031" t="s">
        <v>310</v>
      </c>
      <c r="P653" s="2031" t="s">
        <v>291</v>
      </c>
      <c r="Q653" s="2031" t="s">
        <v>294</v>
      </c>
      <c r="R653" s="2031">
        <v>50000</v>
      </c>
      <c r="S653" s="2031">
        <v>350000</v>
      </c>
      <c r="T653" s="2031">
        <v>0</v>
      </c>
      <c r="U653" s="2031">
        <f t="shared" si="280"/>
        <v>350000</v>
      </c>
      <c r="V653" s="2031">
        <v>0</v>
      </c>
      <c r="W653" s="2031">
        <v>50</v>
      </c>
      <c r="X653" s="2031">
        <v>0</v>
      </c>
      <c r="Y653" s="2031">
        <v>999</v>
      </c>
      <c r="Z653" s="2034">
        <v>660</v>
      </c>
      <c r="AA653" s="2034">
        <v>679</v>
      </c>
      <c r="AB653" s="2034">
        <v>0</v>
      </c>
      <c r="AC653" s="2034">
        <v>999999</v>
      </c>
      <c r="AD653" s="2031">
        <v>0</v>
      </c>
      <c r="AE653" s="1484">
        <v>70</v>
      </c>
      <c r="AF653" s="170">
        <v>1</v>
      </c>
      <c r="AG653" s="171">
        <v>1</v>
      </c>
      <c r="AH653" s="171">
        <v>1</v>
      </c>
      <c r="AI653" s="171">
        <v>1</v>
      </c>
      <c r="AJ653" s="171">
        <v>0</v>
      </c>
      <c r="AK653" s="171">
        <v>1</v>
      </c>
      <c r="AL653" s="171">
        <v>1</v>
      </c>
      <c r="AM653" s="171">
        <v>1</v>
      </c>
      <c r="AN653" s="171">
        <v>1</v>
      </c>
      <c r="AO653" s="171">
        <v>1</v>
      </c>
      <c r="AP653" s="171">
        <v>1</v>
      </c>
      <c r="AQ653" s="171">
        <v>1</v>
      </c>
      <c r="AR653" s="171">
        <v>1</v>
      </c>
      <c r="AS653" s="171">
        <v>1</v>
      </c>
      <c r="AT653" s="171">
        <v>1</v>
      </c>
      <c r="AU653" s="171">
        <f t="shared" si="270"/>
        <v>1</v>
      </c>
      <c r="AV653" s="171">
        <f t="shared" si="271"/>
        <v>1</v>
      </c>
      <c r="AW653" s="171">
        <f t="shared" si="272"/>
        <v>1</v>
      </c>
      <c r="AX653" s="171">
        <f t="shared" si="284"/>
        <v>1</v>
      </c>
      <c r="AY653" s="171">
        <f t="shared" si="273"/>
        <v>0</v>
      </c>
      <c r="AZ653" s="171">
        <f t="shared" si="274"/>
        <v>1</v>
      </c>
      <c r="BA653" s="172">
        <f t="shared" si="275"/>
        <v>1</v>
      </c>
      <c r="BB653" s="175">
        <f t="shared" si="281"/>
        <v>20</v>
      </c>
      <c r="BC653" s="176">
        <f t="shared" si="282"/>
        <v>19</v>
      </c>
      <c r="BD653" s="176">
        <f t="shared" si="283"/>
        <v>19</v>
      </c>
      <c r="BE653" s="240" t="str">
        <f t="shared" si="289"/>
        <v/>
      </c>
      <c r="BF653" s="234"/>
      <c r="BG653" s="234"/>
      <c r="BH653" s="214">
        <f>IF(AND(Input_Product=Elig!$C653,Elig_MatchAll_Ct&lt;22,$BC653=(Elig_MatchAll_Ct-1),AF653=0),C653,0)</f>
        <v>0</v>
      </c>
      <c r="BI653" s="214">
        <f>IF(AND(Input_Product=Elig!$C653,Elig_MatchAll_Ct&lt;22,$BC653=(Elig_MatchAll_Ct-1),AG653=0),D653,0)</f>
        <v>0</v>
      </c>
      <c r="BJ653" s="214">
        <f>IF(AND(Input_Product=Elig!$C653,Elig_MatchAll_Ct&lt;22,$BC653=(Elig_MatchAll_Ct-1),AH653=0),E653,0)</f>
        <v>0</v>
      </c>
      <c r="BK653" s="214">
        <f>IF(AND(Input_Product=Elig!$C653,Elig_MatchAll_Ct&lt;22,$BC653=(Elig_MatchAll_Ct-1),AI653=0),F653,0)</f>
        <v>0</v>
      </c>
      <c r="BL653" s="214">
        <f>IF(AND(Input_Product=Elig!$C653,Elig_MatchAll_Ct&lt;22,$BC653=(Elig_MatchAll_Ct-1),AJ653=0),G653,0)</f>
        <v>0</v>
      </c>
      <c r="BM653" s="214">
        <f>IF(AND(Input_Product=Elig!$C653,Elig_MatchAll_Ct&lt;22,$BC653=(Elig_MatchAll_Ct-1),AK653=0),H653,0)</f>
        <v>0</v>
      </c>
      <c r="BN653" s="214">
        <f>IF(AND(Input_Product=Elig!$C653,Elig_MatchAll_Ct&lt;22,$BC653=(Elig_MatchAll_Ct-1),AL653=0),I653,0)</f>
        <v>0</v>
      </c>
      <c r="BO653" s="214">
        <f>IF(AND(Input_Product=Elig!$C653,Elig_MatchAll_Ct&lt;22,$BC653=(Elig_MatchAll_Ct-1),AM653=0),J653,0)</f>
        <v>0</v>
      </c>
      <c r="BP653" s="214">
        <f>IF(AND(Input_Product=Elig!$C653,Elig_MatchAll_Ct&lt;22,$BC653=(Elig_MatchAll_Ct-1),AN653=0),K653,0)</f>
        <v>0</v>
      </c>
      <c r="BQ653" s="214">
        <f>IF(AND(Input_Product=Elig!$C653,Elig_MatchAll_Ct&lt;22,$BC653=(Elig_MatchAll_Ct-1),AP653=0),L653,0)</f>
        <v>0</v>
      </c>
      <c r="BR653" s="214">
        <f>IF(AND(Input_Product=Elig!$C653,Elig_MatchAll_Ct&lt;22,$BC653=(Elig_MatchAll_Ct-1),AO653=0),M653,0)</f>
        <v>0</v>
      </c>
      <c r="BS653" s="214">
        <f>IF(AND(Input_Product=Elig!$C653,Elig_MatchAll_Ct&lt;22,$BC653=(Elig_MatchAll_Ct-1),AQ653=0),N653,0)</f>
        <v>0</v>
      </c>
      <c r="BT653" s="214">
        <f>IF(AND(Input_Product=Elig!$C653,Elig_MatchAll_Ct&lt;22,$BC653=(Elig_MatchAll_Ct-1),AR653=0),O653,0)</f>
        <v>0</v>
      </c>
      <c r="BU653" s="214">
        <f>IF(AND(Input_Product=Elig!$C653,Elig_MatchAll_Ct&lt;22,$BC653=(Elig_MatchAll_Ct-1),AS653=0),P653,0)</f>
        <v>0</v>
      </c>
      <c r="BV653" s="215">
        <f>IF(AND(Input_Product=Elig!$C653,Elig_MatchAll_Ct&lt;22,$BC653=(Elig_MatchAll_Ct-1),AT653=0),Q653,0)</f>
        <v>0</v>
      </c>
      <c r="BW653" s="311">
        <f>IF(AND(Input_Product=Elig!$C653,Elig_MatchAll_Ct&lt;22,$BC653=(Elig_MatchAll_Ct-1),AU653=0),R653,0)</f>
        <v>0</v>
      </c>
      <c r="BX653" s="312">
        <f>IF(AND(Input_Product=Elig!$C653,Elig_MatchAll_Ct&lt;22,$BC653=(Elig_MatchAll_Ct-1),AU653=0),S653,0)</f>
        <v>0</v>
      </c>
      <c r="BY653" s="311">
        <f>IF(AND(Input_Product=Elig!$C653,Elig_MatchAll_Ct&lt;22,$BC653=(Elig_MatchAll_Ct-1),AV653=0),T653,0)</f>
        <v>0</v>
      </c>
      <c r="BZ653" s="312">
        <f>IF(AND(Input_Product=Elig!$C653,Elig_MatchAll_Ct&lt;22,$BC653=(Elig_MatchAll_Ct-1),AV653=0),U653,0)</f>
        <v>0</v>
      </c>
      <c r="CA653" s="311">
        <f>IF(AND(Input_Product=Elig!$C653,Elig_MatchAll_Ct&lt;22,$BC653=(Elig_MatchAll_Ct-1),AW653=0),V653,0)</f>
        <v>0</v>
      </c>
      <c r="CB653" s="312">
        <f>IF(AND(Input_Product=Elig!$C653,Elig_MatchAll_Ct&lt;22,$BC653=(Elig_MatchAll_Ct-1),AW653=0),W653,0)</f>
        <v>0</v>
      </c>
      <c r="CC653" s="311">
        <f>IF(AND(Input_Product=Elig!$C653,Elig_MatchAll_Ct&lt;22,$BC653=(Elig_MatchAll_Ct-1),AX653=0),X653,0)</f>
        <v>0</v>
      </c>
      <c r="CD653" s="312">
        <f>IF(AND(Input_Product=Elig!$C653,Elig_MatchAll_Ct&lt;22,$BC653=(Elig_MatchAll_Ct-1),AX653=0),Y653,0)</f>
        <v>0</v>
      </c>
      <c r="CE653" s="311">
        <f>IF(AND(Input_LTV&lt;=AE653,Input_Product=Elig!$C653,Elig_MatchAll_Ct&lt;22,$BC653=(Elig_MatchAll_Ct-1),AY653=0),Z653,0)</f>
        <v>0</v>
      </c>
      <c r="CF653" s="312">
        <f>IF(AND(Input_LTV&lt;=AE653,Input_Product=Elig!$C653,Elig_MatchAll_Ct&lt;22,$BC653=(Elig_MatchAll_Ct-1),AY653=0),AA653,0)</f>
        <v>0</v>
      </c>
      <c r="CG653" s="311">
        <f>IF(AND(Input_Product=Elig!$C653,Elig_MatchAll_Ct&lt;22,$BC653=(Elig_MatchAll_Ct-1),AZ653=0),AB653,0)</f>
        <v>0</v>
      </c>
      <c r="CH653" s="312">
        <f>IF(AND(Input_Product=Elig!$C653,Elig_MatchAll_Ct&lt;22,$BC653=(Elig_MatchAll_Ct-1),AZ653=0),AC653,0)</f>
        <v>0</v>
      </c>
      <c r="CI653" s="311">
        <f>IF(AND(Input_Product=Elig!$C653,Elig_MatchAll_Ct&lt;22,$BC653=(Elig_MatchAll_Ct-1),BA653=0),AD653,0)</f>
        <v>0</v>
      </c>
      <c r="CJ653" s="312">
        <f>IF(AND(Input_Product=Elig!$C653,Elig_MatchAll_Ct&lt;22,$BC653=(Elig_MatchAll_Ct-1),BA653=0),AE653,0)</f>
        <v>0</v>
      </c>
    </row>
    <row r="654" spans="2:88" ht="10.15" customHeight="1" x14ac:dyDescent="0.25">
      <c r="B654" s="2027" t="s">
        <v>1307</v>
      </c>
      <c r="C654" s="2024" t="str">
        <f t="shared" si="279"/>
        <v>Second OO</v>
      </c>
      <c r="D654" s="2025" t="s">
        <v>1302</v>
      </c>
      <c r="E654" s="2025" t="s">
        <v>98</v>
      </c>
      <c r="F654" s="2025" t="s">
        <v>328</v>
      </c>
      <c r="G654" s="2103" t="s">
        <v>472</v>
      </c>
      <c r="H654" s="2025" t="s">
        <v>136</v>
      </c>
      <c r="I654" s="2023" t="s">
        <v>1332</v>
      </c>
      <c r="J654" s="2023" t="s">
        <v>1311</v>
      </c>
      <c r="K654" s="2025" t="s">
        <v>1790</v>
      </c>
      <c r="L654" s="2023" t="s">
        <v>430</v>
      </c>
      <c r="M654" s="2023" t="s">
        <v>2677</v>
      </c>
      <c r="N654" s="2025" t="s">
        <v>82</v>
      </c>
      <c r="O654" s="2023" t="s">
        <v>310</v>
      </c>
      <c r="P654" s="2023" t="s">
        <v>291</v>
      </c>
      <c r="Q654" s="2023" t="s">
        <v>294</v>
      </c>
      <c r="R654" s="2023">
        <v>200000</v>
      </c>
      <c r="S654" s="2023">
        <v>350000</v>
      </c>
      <c r="T654" s="2023">
        <v>0</v>
      </c>
      <c r="U654" s="2023">
        <f t="shared" si="280"/>
        <v>350000</v>
      </c>
      <c r="V654" s="2023">
        <v>0</v>
      </c>
      <c r="W654" s="2023">
        <v>50</v>
      </c>
      <c r="X654" s="2023">
        <v>0</v>
      </c>
      <c r="Y654" s="2023">
        <v>999</v>
      </c>
      <c r="Z654" s="2026">
        <v>720</v>
      </c>
      <c r="AA654" s="2026">
        <v>999</v>
      </c>
      <c r="AB654" s="2026">
        <v>0</v>
      </c>
      <c r="AC654" s="2026">
        <v>999999</v>
      </c>
      <c r="AD654" s="2023">
        <v>0</v>
      </c>
      <c r="AE654" s="1482">
        <v>85</v>
      </c>
      <c r="AF654" s="170">
        <v>1</v>
      </c>
      <c r="AG654" s="171">
        <v>0</v>
      </c>
      <c r="AH654" s="171">
        <v>1</v>
      </c>
      <c r="AI654" s="171">
        <v>1</v>
      </c>
      <c r="AJ654" s="171">
        <v>0</v>
      </c>
      <c r="AK654" s="171">
        <v>1</v>
      </c>
      <c r="AL654" s="171">
        <v>1</v>
      </c>
      <c r="AM654" s="171">
        <v>1</v>
      </c>
      <c r="AN654" s="171">
        <v>1</v>
      </c>
      <c r="AO654" s="171">
        <v>1</v>
      </c>
      <c r="AP654" s="171">
        <v>1</v>
      </c>
      <c r="AQ654" s="171">
        <v>1</v>
      </c>
      <c r="AR654" s="171">
        <v>1</v>
      </c>
      <c r="AS654" s="171">
        <v>1</v>
      </c>
      <c r="AT654" s="171">
        <v>1</v>
      </c>
      <c r="AU654" s="171">
        <f t="shared" si="270"/>
        <v>1</v>
      </c>
      <c r="AV654" s="171">
        <f t="shared" si="271"/>
        <v>1</v>
      </c>
      <c r="AW654" s="171">
        <f t="shared" si="272"/>
        <v>1</v>
      </c>
      <c r="AX654" s="171">
        <f t="shared" si="284"/>
        <v>1</v>
      </c>
      <c r="AY654" s="171">
        <f t="shared" si="273"/>
        <v>1</v>
      </c>
      <c r="AZ654" s="171">
        <f t="shared" si="274"/>
        <v>1</v>
      </c>
      <c r="BA654" s="172">
        <f t="shared" si="275"/>
        <v>1</v>
      </c>
      <c r="BB654" s="175">
        <f t="shared" si="281"/>
        <v>20</v>
      </c>
      <c r="BC654" s="176">
        <f t="shared" si="282"/>
        <v>19</v>
      </c>
      <c r="BD654" s="176">
        <f t="shared" si="283"/>
        <v>19</v>
      </c>
      <c r="BE654" s="240" t="str">
        <f t="shared" si="289"/>
        <v/>
      </c>
      <c r="BF654" s="220"/>
      <c r="BG654" s="220"/>
      <c r="BH654" s="216">
        <f>IF(AND(Input_Product=Elig!$C654,Elig_MatchAll_Ct&lt;22,$BC654=(Elig_MatchAll_Ct-1),AF654=0),C654,0)</f>
        <v>0</v>
      </c>
      <c r="BI654" s="216">
        <f>IF(AND(Input_Product=Elig!$C654,Elig_MatchAll_Ct&lt;22,$BC654=(Elig_MatchAll_Ct-1),AG654=0),D654,0)</f>
        <v>0</v>
      </c>
      <c r="BJ654" s="216">
        <f>IF(AND(Input_Product=Elig!$C654,Elig_MatchAll_Ct&lt;22,$BC654=(Elig_MatchAll_Ct-1),AH654=0),E654,0)</f>
        <v>0</v>
      </c>
      <c r="BK654" s="216">
        <f>IF(AND(Input_Product=Elig!$C654,Elig_MatchAll_Ct&lt;22,$BC654=(Elig_MatchAll_Ct-1),AI654=0),F654,0)</f>
        <v>0</v>
      </c>
      <c r="BL654" s="216">
        <f>IF(AND(Input_Product=Elig!$C654,Elig_MatchAll_Ct&lt;22,$BC654=(Elig_MatchAll_Ct-1),AJ654=0),G654,0)</f>
        <v>0</v>
      </c>
      <c r="BM654" s="216">
        <f>IF(AND(Input_Product=Elig!$C654,Elig_MatchAll_Ct&lt;22,$BC654=(Elig_MatchAll_Ct-1),AK654=0),H654,0)</f>
        <v>0</v>
      </c>
      <c r="BN654" s="216">
        <f>IF(AND(Input_Product=Elig!$C654,Elig_MatchAll_Ct&lt;22,$BC654=(Elig_MatchAll_Ct-1),AL654=0),I654,0)</f>
        <v>0</v>
      </c>
      <c r="BO654" s="216">
        <f>IF(AND(Input_Product=Elig!$C654,Elig_MatchAll_Ct&lt;22,$BC654=(Elig_MatchAll_Ct-1),AM654=0),J654,0)</f>
        <v>0</v>
      </c>
      <c r="BP654" s="216">
        <f>IF(AND(Input_Product=Elig!$C654,Elig_MatchAll_Ct&lt;22,$BC654=(Elig_MatchAll_Ct-1),AN654=0),K654,0)</f>
        <v>0</v>
      </c>
      <c r="BQ654" s="216">
        <f>IF(AND(Input_Product=Elig!$C654,Elig_MatchAll_Ct&lt;22,$BC654=(Elig_MatchAll_Ct-1),AP654=0),L654,0)</f>
        <v>0</v>
      </c>
      <c r="BR654" s="216">
        <f>IF(AND(Input_Product=Elig!$C654,Elig_MatchAll_Ct&lt;22,$BC654=(Elig_MatchAll_Ct-1),AO654=0),M654,0)</f>
        <v>0</v>
      </c>
      <c r="BS654" s="216">
        <f>IF(AND(Input_Product=Elig!$C654,Elig_MatchAll_Ct&lt;22,$BC654=(Elig_MatchAll_Ct-1),AQ654=0),N654,0)</f>
        <v>0</v>
      </c>
      <c r="BT654" s="216">
        <f>IF(AND(Input_Product=Elig!$C654,Elig_MatchAll_Ct&lt;22,$BC654=(Elig_MatchAll_Ct-1),AR654=0),O654,0)</f>
        <v>0</v>
      </c>
      <c r="BU654" s="216">
        <f>IF(AND(Input_Product=Elig!$C654,Elig_MatchAll_Ct&lt;22,$BC654=(Elig_MatchAll_Ct-1),AS654=0),P654,0)</f>
        <v>0</v>
      </c>
      <c r="BV654" s="217">
        <f>IF(AND(Input_Product=Elig!$C654,Elig_MatchAll_Ct&lt;22,$BC654=(Elig_MatchAll_Ct-1),AT654=0),Q654,0)</f>
        <v>0</v>
      </c>
      <c r="BW654" s="313">
        <f>IF(AND(Input_Product=Elig!$C654,Elig_MatchAll_Ct&lt;22,$BC654=(Elig_MatchAll_Ct-1),AU654=0),R654,0)</f>
        <v>0</v>
      </c>
      <c r="BX654" s="314">
        <f>IF(AND(Input_Product=Elig!$C654,Elig_MatchAll_Ct&lt;22,$BC654=(Elig_MatchAll_Ct-1),AU654=0),S654,0)</f>
        <v>0</v>
      </c>
      <c r="BY654" s="313">
        <f>IF(AND(Input_Product=Elig!$C654,Elig_MatchAll_Ct&lt;22,$BC654=(Elig_MatchAll_Ct-1),AV654=0),T654,0)</f>
        <v>0</v>
      </c>
      <c r="BZ654" s="314">
        <f>IF(AND(Input_Product=Elig!$C654,Elig_MatchAll_Ct&lt;22,$BC654=(Elig_MatchAll_Ct-1),AV654=0),U654,0)</f>
        <v>0</v>
      </c>
      <c r="CA654" s="313">
        <f>IF(AND(Input_Product=Elig!$C654,Elig_MatchAll_Ct&lt;22,$BC654=(Elig_MatchAll_Ct-1),AW654=0),V654,0)</f>
        <v>0</v>
      </c>
      <c r="CB654" s="314">
        <f>IF(AND(Input_Product=Elig!$C654,Elig_MatchAll_Ct&lt;22,$BC654=(Elig_MatchAll_Ct-1),AW654=0),W654,0)</f>
        <v>0</v>
      </c>
      <c r="CC654" s="313">
        <f>IF(AND(Input_Product=Elig!$C654,Elig_MatchAll_Ct&lt;22,$BC654=(Elig_MatchAll_Ct-1),AX654=0),X654,0)</f>
        <v>0</v>
      </c>
      <c r="CD654" s="314">
        <f>IF(AND(Input_Product=Elig!$C654,Elig_MatchAll_Ct&lt;22,$BC654=(Elig_MatchAll_Ct-1),AX654=0),Y654,0)</f>
        <v>0</v>
      </c>
      <c r="CE654" s="313">
        <f>IF(AND(Input_LTV&lt;=AE654,Input_Product=Elig!$C654,Elig_MatchAll_Ct&lt;22,$BC654=(Elig_MatchAll_Ct-1),AY654=0),Z654,0)</f>
        <v>0</v>
      </c>
      <c r="CF654" s="314">
        <f>IF(AND(Input_LTV&lt;=AE654,Input_Product=Elig!$C654,Elig_MatchAll_Ct&lt;22,$BC654=(Elig_MatchAll_Ct-1),AY654=0),AA654,0)</f>
        <v>0</v>
      </c>
      <c r="CG654" s="313">
        <f>IF(AND(Input_Product=Elig!$C654,Elig_MatchAll_Ct&lt;22,$BC654=(Elig_MatchAll_Ct-1),AZ654=0),AB654,0)</f>
        <v>0</v>
      </c>
      <c r="CH654" s="314">
        <f>IF(AND(Input_Product=Elig!$C654,Elig_MatchAll_Ct&lt;22,$BC654=(Elig_MatchAll_Ct-1),AZ654=0),AC654,0)</f>
        <v>0</v>
      </c>
      <c r="CI654" s="313">
        <f>IF(AND(Input_Product=Elig!$C654,Elig_MatchAll_Ct&lt;22,$BC654=(Elig_MatchAll_Ct-1),BA654=0),AD654,0)</f>
        <v>0</v>
      </c>
      <c r="CJ654" s="314">
        <f>IF(AND(Input_Product=Elig!$C654,Elig_MatchAll_Ct&lt;22,$BC654=(Elig_MatchAll_Ct-1),BA654=0),AE654,0)</f>
        <v>0</v>
      </c>
    </row>
    <row r="655" spans="2:88" ht="10.15" customHeight="1" x14ac:dyDescent="0.25">
      <c r="B655" s="2027" t="s">
        <v>1308</v>
      </c>
      <c r="C655" s="2028" t="str">
        <f t="shared" si="279"/>
        <v>Second OO</v>
      </c>
      <c r="D655" s="2027" t="s">
        <v>1302</v>
      </c>
      <c r="E655" s="2027" t="s">
        <v>98</v>
      </c>
      <c r="F655" s="2027" t="s">
        <v>328</v>
      </c>
      <c r="G655" s="2110" t="s">
        <v>472</v>
      </c>
      <c r="H655" s="2029" t="s">
        <v>136</v>
      </c>
      <c r="I655" s="2027" t="s">
        <v>1332</v>
      </c>
      <c r="J655" s="2027" t="s">
        <v>1311</v>
      </c>
      <c r="K655" s="2029" t="s">
        <v>1790</v>
      </c>
      <c r="L655" s="2027" t="s">
        <v>430</v>
      </c>
      <c r="M655" s="2027" t="s">
        <v>2677</v>
      </c>
      <c r="N655" s="2029" t="s">
        <v>82</v>
      </c>
      <c r="O655" s="2027" t="s">
        <v>310</v>
      </c>
      <c r="P655" s="2027" t="s">
        <v>291</v>
      </c>
      <c r="Q655" s="2027" t="s">
        <v>294</v>
      </c>
      <c r="R655" s="2027">
        <v>200000</v>
      </c>
      <c r="S655" s="2027">
        <v>350000</v>
      </c>
      <c r="T655" s="2027">
        <v>0</v>
      </c>
      <c r="U655" s="2027">
        <f t="shared" si="280"/>
        <v>350000</v>
      </c>
      <c r="V655" s="2027">
        <v>0</v>
      </c>
      <c r="W655" s="2027">
        <v>50</v>
      </c>
      <c r="X655" s="2027">
        <v>0</v>
      </c>
      <c r="Y655" s="2027">
        <v>999</v>
      </c>
      <c r="Z655" s="2030">
        <v>700</v>
      </c>
      <c r="AA655" s="2030">
        <v>719</v>
      </c>
      <c r="AB655" s="2030">
        <v>0</v>
      </c>
      <c r="AC655" s="2030">
        <v>999999</v>
      </c>
      <c r="AD655" s="2027">
        <v>0</v>
      </c>
      <c r="AE655" s="1483">
        <v>80</v>
      </c>
      <c r="AF655" s="170">
        <v>1</v>
      </c>
      <c r="AG655" s="171">
        <v>0</v>
      </c>
      <c r="AH655" s="171">
        <v>1</v>
      </c>
      <c r="AI655" s="171">
        <v>1</v>
      </c>
      <c r="AJ655" s="171">
        <v>0</v>
      </c>
      <c r="AK655" s="171">
        <v>1</v>
      </c>
      <c r="AL655" s="171">
        <v>1</v>
      </c>
      <c r="AM655" s="171">
        <v>1</v>
      </c>
      <c r="AN655" s="171">
        <v>1</v>
      </c>
      <c r="AO655" s="171">
        <v>1</v>
      </c>
      <c r="AP655" s="171">
        <v>1</v>
      </c>
      <c r="AQ655" s="171">
        <v>1</v>
      </c>
      <c r="AR655" s="171">
        <v>1</v>
      </c>
      <c r="AS655" s="171">
        <v>1</v>
      </c>
      <c r="AT655" s="171">
        <v>1</v>
      </c>
      <c r="AU655" s="171">
        <f t="shared" si="270"/>
        <v>1</v>
      </c>
      <c r="AV655" s="171">
        <f t="shared" si="271"/>
        <v>1</v>
      </c>
      <c r="AW655" s="171">
        <f t="shared" si="272"/>
        <v>1</v>
      </c>
      <c r="AX655" s="171">
        <f t="shared" si="284"/>
        <v>1</v>
      </c>
      <c r="AY655" s="171">
        <f t="shared" si="273"/>
        <v>0</v>
      </c>
      <c r="AZ655" s="171">
        <f t="shared" si="274"/>
        <v>1</v>
      </c>
      <c r="BA655" s="172">
        <f t="shared" si="275"/>
        <v>1</v>
      </c>
      <c r="BB655" s="175">
        <f t="shared" si="281"/>
        <v>19</v>
      </c>
      <c r="BC655" s="176">
        <f t="shared" si="282"/>
        <v>18</v>
      </c>
      <c r="BD655" s="176">
        <f t="shared" si="283"/>
        <v>18</v>
      </c>
      <c r="BE655" s="240" t="str">
        <f t="shared" si="289"/>
        <v/>
      </c>
      <c r="BF655" s="234"/>
      <c r="BG655" s="234"/>
      <c r="BH655" s="199">
        <f>IF(AND(Input_Product=Elig!$C655,Elig_MatchAll_Ct&lt;22,$BC655=(Elig_MatchAll_Ct-1),AF655=0),C655,0)</f>
        <v>0</v>
      </c>
      <c r="BI655" s="199">
        <f>IF(AND(Input_Product=Elig!$C655,Elig_MatchAll_Ct&lt;22,$BC655=(Elig_MatchAll_Ct-1),AG655=0),D655,0)</f>
        <v>0</v>
      </c>
      <c r="BJ655" s="199">
        <f>IF(AND(Input_Product=Elig!$C655,Elig_MatchAll_Ct&lt;22,$BC655=(Elig_MatchAll_Ct-1),AH655=0),E655,0)</f>
        <v>0</v>
      </c>
      <c r="BK655" s="199">
        <f>IF(AND(Input_Product=Elig!$C655,Elig_MatchAll_Ct&lt;22,$BC655=(Elig_MatchAll_Ct-1),AI655=0),F655,0)</f>
        <v>0</v>
      </c>
      <c r="BL655" s="199">
        <f>IF(AND(Input_Product=Elig!$C655,Elig_MatchAll_Ct&lt;22,$BC655=(Elig_MatchAll_Ct-1),AJ655=0),G655,0)</f>
        <v>0</v>
      </c>
      <c r="BM655" s="199">
        <f>IF(AND(Input_Product=Elig!$C655,Elig_MatchAll_Ct&lt;22,$BC655=(Elig_MatchAll_Ct-1),AK655=0),H655,0)</f>
        <v>0</v>
      </c>
      <c r="BN655" s="199">
        <f>IF(AND(Input_Product=Elig!$C655,Elig_MatchAll_Ct&lt;22,$BC655=(Elig_MatchAll_Ct-1),AL655=0),I655,0)</f>
        <v>0</v>
      </c>
      <c r="BO655" s="199">
        <f>IF(AND(Input_Product=Elig!$C655,Elig_MatchAll_Ct&lt;22,$BC655=(Elig_MatchAll_Ct-1),AM655=0),J655,0)</f>
        <v>0</v>
      </c>
      <c r="BP655" s="199">
        <f>IF(AND(Input_Product=Elig!$C655,Elig_MatchAll_Ct&lt;22,$BC655=(Elig_MatchAll_Ct-1),AN655=0),K655,0)</f>
        <v>0</v>
      </c>
      <c r="BQ655" s="199">
        <f>IF(AND(Input_Product=Elig!$C655,Elig_MatchAll_Ct&lt;22,$BC655=(Elig_MatchAll_Ct-1),AP655=0),L655,0)</f>
        <v>0</v>
      </c>
      <c r="BR655" s="199">
        <f>IF(AND(Input_Product=Elig!$C655,Elig_MatchAll_Ct&lt;22,$BC655=(Elig_MatchAll_Ct-1),AO655=0),M655,0)</f>
        <v>0</v>
      </c>
      <c r="BS655" s="199">
        <f>IF(AND(Input_Product=Elig!$C655,Elig_MatchAll_Ct&lt;22,$BC655=(Elig_MatchAll_Ct-1),AQ655=0),N655,0)</f>
        <v>0</v>
      </c>
      <c r="BT655" s="199">
        <f>IF(AND(Input_Product=Elig!$C655,Elig_MatchAll_Ct&lt;22,$BC655=(Elig_MatchAll_Ct-1),AR655=0),O655,0)</f>
        <v>0</v>
      </c>
      <c r="BU655" s="199">
        <f>IF(AND(Input_Product=Elig!$C655,Elig_MatchAll_Ct&lt;22,$BC655=(Elig_MatchAll_Ct-1),AS655=0),P655,0)</f>
        <v>0</v>
      </c>
      <c r="BV655" s="200">
        <f>IF(AND(Input_Product=Elig!$C655,Elig_MatchAll_Ct&lt;22,$BC655=(Elig_MatchAll_Ct-1),AT655=0),Q655,0)</f>
        <v>0</v>
      </c>
      <c r="BW655" s="201">
        <f>IF(AND(Input_Product=Elig!$C655,Elig_MatchAll_Ct&lt;22,$BC655=(Elig_MatchAll_Ct-1),AU655=0),R655,0)</f>
        <v>0</v>
      </c>
      <c r="BX655" s="202">
        <f>IF(AND(Input_Product=Elig!$C655,Elig_MatchAll_Ct&lt;22,$BC655=(Elig_MatchAll_Ct-1),AU655=0),S655,0)</f>
        <v>0</v>
      </c>
      <c r="BY655" s="201">
        <f>IF(AND(Input_Product=Elig!$C655,Elig_MatchAll_Ct&lt;22,$BC655=(Elig_MatchAll_Ct-1),AV655=0),T655,0)</f>
        <v>0</v>
      </c>
      <c r="BZ655" s="202">
        <f>IF(AND(Input_Product=Elig!$C655,Elig_MatchAll_Ct&lt;22,$BC655=(Elig_MatchAll_Ct-1),AV655=0),U655,0)</f>
        <v>0</v>
      </c>
      <c r="CA655" s="201">
        <f>IF(AND(Input_Product=Elig!$C655,Elig_MatchAll_Ct&lt;22,$BC655=(Elig_MatchAll_Ct-1),AW655=0),V655,0)</f>
        <v>0</v>
      </c>
      <c r="CB655" s="202">
        <f>IF(AND(Input_Product=Elig!$C655,Elig_MatchAll_Ct&lt;22,$BC655=(Elig_MatchAll_Ct-1),AW655=0),W655,0)</f>
        <v>0</v>
      </c>
      <c r="CC655" s="201">
        <f>IF(AND(Input_Product=Elig!$C655,Elig_MatchAll_Ct&lt;22,$BC655=(Elig_MatchAll_Ct-1),AX655=0),X655,0)</f>
        <v>0</v>
      </c>
      <c r="CD655" s="202">
        <f>IF(AND(Input_Product=Elig!$C655,Elig_MatchAll_Ct&lt;22,$BC655=(Elig_MatchAll_Ct-1),AX655=0),Y655,0)</f>
        <v>0</v>
      </c>
      <c r="CE655" s="201">
        <f>IF(AND(Input_LTV&lt;=AE655,Input_Product=Elig!$C655,Elig_MatchAll_Ct&lt;22,$BC655=(Elig_MatchAll_Ct-1),AY655=0),Z655,0)</f>
        <v>0</v>
      </c>
      <c r="CF655" s="202">
        <f>IF(AND(Input_LTV&lt;=AE655,Input_Product=Elig!$C655,Elig_MatchAll_Ct&lt;22,$BC655=(Elig_MatchAll_Ct-1),AY655=0),AA655,0)</f>
        <v>0</v>
      </c>
      <c r="CG655" s="201">
        <f>IF(AND(Input_Product=Elig!$C655,Elig_MatchAll_Ct&lt;22,$BC655=(Elig_MatchAll_Ct-1),AZ655=0),AB655,0)</f>
        <v>0</v>
      </c>
      <c r="CH655" s="202">
        <f>IF(AND(Input_Product=Elig!$C655,Elig_MatchAll_Ct&lt;22,$BC655=(Elig_MatchAll_Ct-1),AZ655=0),AC655,0)</f>
        <v>0</v>
      </c>
      <c r="CI655" s="201">
        <f>IF(AND(Input_Product=Elig!$C655,Elig_MatchAll_Ct&lt;22,$BC655=(Elig_MatchAll_Ct-1),BA655=0),AD655,0)</f>
        <v>0</v>
      </c>
      <c r="CJ655" s="202">
        <f>IF(AND(Input_Product=Elig!$C655,Elig_MatchAll_Ct&lt;22,$BC655=(Elig_MatchAll_Ct-1),BA655=0),AE655,0)</f>
        <v>0</v>
      </c>
    </row>
    <row r="656" spans="2:88" ht="10.15" customHeight="1" x14ac:dyDescent="0.25">
      <c r="B656" s="2027" t="s">
        <v>1309</v>
      </c>
      <c r="C656" s="2028" t="str">
        <f t="shared" si="279"/>
        <v>Second OO</v>
      </c>
      <c r="D656" s="2027" t="s">
        <v>1302</v>
      </c>
      <c r="E656" s="2027" t="s">
        <v>98</v>
      </c>
      <c r="F656" s="2027" t="s">
        <v>328</v>
      </c>
      <c r="G656" s="2110" t="s">
        <v>472</v>
      </c>
      <c r="H656" s="2029" t="s">
        <v>136</v>
      </c>
      <c r="I656" s="2027" t="s">
        <v>1332</v>
      </c>
      <c r="J656" s="2027" t="s">
        <v>1311</v>
      </c>
      <c r="K656" s="2029" t="s">
        <v>1790</v>
      </c>
      <c r="L656" s="2027" t="s">
        <v>430</v>
      </c>
      <c r="M656" s="2027" t="s">
        <v>2677</v>
      </c>
      <c r="N656" s="2029" t="s">
        <v>82</v>
      </c>
      <c r="O656" s="2027" t="s">
        <v>310</v>
      </c>
      <c r="P656" s="2027" t="s">
        <v>291</v>
      </c>
      <c r="Q656" s="2027" t="s">
        <v>294</v>
      </c>
      <c r="R656" s="2027">
        <v>200000</v>
      </c>
      <c r="S656" s="2027">
        <v>350000</v>
      </c>
      <c r="T656" s="2027">
        <v>0</v>
      </c>
      <c r="U656" s="2027">
        <f t="shared" si="280"/>
        <v>350000</v>
      </c>
      <c r="V656" s="2027">
        <v>0</v>
      </c>
      <c r="W656" s="2027">
        <v>50</v>
      </c>
      <c r="X656" s="2027">
        <v>0</v>
      </c>
      <c r="Y656" s="2027">
        <v>999</v>
      </c>
      <c r="Z656" s="2030">
        <v>680</v>
      </c>
      <c r="AA656" s="2030">
        <v>699</v>
      </c>
      <c r="AB656" s="2030">
        <v>0</v>
      </c>
      <c r="AC656" s="2030">
        <v>999999</v>
      </c>
      <c r="AD656" s="2027">
        <v>0</v>
      </c>
      <c r="AE656" s="1483">
        <v>75</v>
      </c>
      <c r="AF656" s="170">
        <v>1</v>
      </c>
      <c r="AG656" s="171">
        <v>0</v>
      </c>
      <c r="AH656" s="171">
        <v>1</v>
      </c>
      <c r="AI656" s="171">
        <v>1</v>
      </c>
      <c r="AJ656" s="171">
        <v>0</v>
      </c>
      <c r="AK656" s="171">
        <v>1</v>
      </c>
      <c r="AL656" s="171">
        <v>1</v>
      </c>
      <c r="AM656" s="171">
        <v>1</v>
      </c>
      <c r="AN656" s="171">
        <v>1</v>
      </c>
      <c r="AO656" s="171">
        <v>1</v>
      </c>
      <c r="AP656" s="171">
        <v>1</v>
      </c>
      <c r="AQ656" s="171">
        <v>1</v>
      </c>
      <c r="AR656" s="171">
        <v>1</v>
      </c>
      <c r="AS656" s="171">
        <v>1</v>
      </c>
      <c r="AT656" s="171">
        <v>1</v>
      </c>
      <c r="AU656" s="171">
        <f t="shared" si="270"/>
        <v>1</v>
      </c>
      <c r="AV656" s="171">
        <f t="shared" si="271"/>
        <v>1</v>
      </c>
      <c r="AW656" s="171">
        <f t="shared" si="272"/>
        <v>1</v>
      </c>
      <c r="AX656" s="171">
        <f t="shared" si="284"/>
        <v>1</v>
      </c>
      <c r="AY656" s="171">
        <f t="shared" si="273"/>
        <v>0</v>
      </c>
      <c r="AZ656" s="171">
        <f t="shared" si="274"/>
        <v>1</v>
      </c>
      <c r="BA656" s="172">
        <f t="shared" si="275"/>
        <v>1</v>
      </c>
      <c r="BB656" s="175">
        <f t="shared" si="281"/>
        <v>19</v>
      </c>
      <c r="BC656" s="176">
        <f t="shared" si="282"/>
        <v>18</v>
      </c>
      <c r="BD656" s="176">
        <f t="shared" si="283"/>
        <v>18</v>
      </c>
      <c r="BE656" s="240" t="str">
        <f t="shared" si="289"/>
        <v/>
      </c>
      <c r="BF656" s="234"/>
      <c r="BG656" s="234"/>
      <c r="BH656" s="199">
        <f>IF(AND(Input_Product=Elig!$C656,Elig_MatchAll_Ct&lt;22,$BC656=(Elig_MatchAll_Ct-1),AF656=0),C656,0)</f>
        <v>0</v>
      </c>
      <c r="BI656" s="199">
        <f>IF(AND(Input_Product=Elig!$C656,Elig_MatchAll_Ct&lt;22,$BC656=(Elig_MatchAll_Ct-1),AG656=0),D656,0)</f>
        <v>0</v>
      </c>
      <c r="BJ656" s="199">
        <f>IF(AND(Input_Product=Elig!$C656,Elig_MatchAll_Ct&lt;22,$BC656=(Elig_MatchAll_Ct-1),AH656=0),E656,0)</f>
        <v>0</v>
      </c>
      <c r="BK656" s="199">
        <f>IF(AND(Input_Product=Elig!$C656,Elig_MatchAll_Ct&lt;22,$BC656=(Elig_MatchAll_Ct-1),AI656=0),F656,0)</f>
        <v>0</v>
      </c>
      <c r="BL656" s="199">
        <f>IF(AND(Input_Product=Elig!$C656,Elig_MatchAll_Ct&lt;22,$BC656=(Elig_MatchAll_Ct-1),AJ656=0),G656,0)</f>
        <v>0</v>
      </c>
      <c r="BM656" s="199">
        <f>IF(AND(Input_Product=Elig!$C656,Elig_MatchAll_Ct&lt;22,$BC656=(Elig_MatchAll_Ct-1),AK656=0),H656,0)</f>
        <v>0</v>
      </c>
      <c r="BN656" s="199">
        <f>IF(AND(Input_Product=Elig!$C656,Elig_MatchAll_Ct&lt;22,$BC656=(Elig_MatchAll_Ct-1),AL656=0),I656,0)</f>
        <v>0</v>
      </c>
      <c r="BO656" s="199">
        <f>IF(AND(Input_Product=Elig!$C656,Elig_MatchAll_Ct&lt;22,$BC656=(Elig_MatchAll_Ct-1),AM656=0),J656,0)</f>
        <v>0</v>
      </c>
      <c r="BP656" s="199">
        <f>IF(AND(Input_Product=Elig!$C656,Elig_MatchAll_Ct&lt;22,$BC656=(Elig_MatchAll_Ct-1),AN656=0),K656,0)</f>
        <v>0</v>
      </c>
      <c r="BQ656" s="199">
        <f>IF(AND(Input_Product=Elig!$C656,Elig_MatchAll_Ct&lt;22,$BC656=(Elig_MatchAll_Ct-1),AP656=0),L656,0)</f>
        <v>0</v>
      </c>
      <c r="BR656" s="199">
        <f>IF(AND(Input_Product=Elig!$C656,Elig_MatchAll_Ct&lt;22,$BC656=(Elig_MatchAll_Ct-1),AO656=0),M656,0)</f>
        <v>0</v>
      </c>
      <c r="BS656" s="199">
        <f>IF(AND(Input_Product=Elig!$C656,Elig_MatchAll_Ct&lt;22,$BC656=(Elig_MatchAll_Ct-1),AQ656=0),N656,0)</f>
        <v>0</v>
      </c>
      <c r="BT656" s="199">
        <f>IF(AND(Input_Product=Elig!$C656,Elig_MatchAll_Ct&lt;22,$BC656=(Elig_MatchAll_Ct-1),AR656=0),O656,0)</f>
        <v>0</v>
      </c>
      <c r="BU656" s="199">
        <f>IF(AND(Input_Product=Elig!$C656,Elig_MatchAll_Ct&lt;22,$BC656=(Elig_MatchAll_Ct-1),AS656=0),P656,0)</f>
        <v>0</v>
      </c>
      <c r="BV656" s="200">
        <f>IF(AND(Input_Product=Elig!$C656,Elig_MatchAll_Ct&lt;22,$BC656=(Elig_MatchAll_Ct-1),AT656=0),Q656,0)</f>
        <v>0</v>
      </c>
      <c r="BW656" s="201">
        <f>IF(AND(Input_Product=Elig!$C656,Elig_MatchAll_Ct&lt;22,$BC656=(Elig_MatchAll_Ct-1),AU656=0),R656,0)</f>
        <v>0</v>
      </c>
      <c r="BX656" s="202">
        <f>IF(AND(Input_Product=Elig!$C656,Elig_MatchAll_Ct&lt;22,$BC656=(Elig_MatchAll_Ct-1),AU656=0),S656,0)</f>
        <v>0</v>
      </c>
      <c r="BY656" s="201">
        <f>IF(AND(Input_Product=Elig!$C656,Elig_MatchAll_Ct&lt;22,$BC656=(Elig_MatchAll_Ct-1),AV656=0),T656,0)</f>
        <v>0</v>
      </c>
      <c r="BZ656" s="202">
        <f>IF(AND(Input_Product=Elig!$C656,Elig_MatchAll_Ct&lt;22,$BC656=(Elig_MatchAll_Ct-1),AV656=0),U656,0)</f>
        <v>0</v>
      </c>
      <c r="CA656" s="201">
        <f>IF(AND(Input_Product=Elig!$C656,Elig_MatchAll_Ct&lt;22,$BC656=(Elig_MatchAll_Ct-1),AW656=0),V656,0)</f>
        <v>0</v>
      </c>
      <c r="CB656" s="202">
        <f>IF(AND(Input_Product=Elig!$C656,Elig_MatchAll_Ct&lt;22,$BC656=(Elig_MatchAll_Ct-1),AW656=0),W656,0)</f>
        <v>0</v>
      </c>
      <c r="CC656" s="201">
        <f>IF(AND(Input_Product=Elig!$C656,Elig_MatchAll_Ct&lt;22,$BC656=(Elig_MatchAll_Ct-1),AX656=0),X656,0)</f>
        <v>0</v>
      </c>
      <c r="CD656" s="202">
        <f>IF(AND(Input_Product=Elig!$C656,Elig_MatchAll_Ct&lt;22,$BC656=(Elig_MatchAll_Ct-1),AX656=0),Y656,0)</f>
        <v>0</v>
      </c>
      <c r="CE656" s="201">
        <f>IF(AND(Input_LTV&lt;=AE656,Input_Product=Elig!$C656,Elig_MatchAll_Ct&lt;22,$BC656=(Elig_MatchAll_Ct-1),AY656=0),Z656,0)</f>
        <v>0</v>
      </c>
      <c r="CF656" s="202">
        <f>IF(AND(Input_LTV&lt;=AE656,Input_Product=Elig!$C656,Elig_MatchAll_Ct&lt;22,$BC656=(Elig_MatchAll_Ct-1),AY656=0),AA656,0)</f>
        <v>0</v>
      </c>
      <c r="CG656" s="201">
        <f>IF(AND(Input_Product=Elig!$C656,Elig_MatchAll_Ct&lt;22,$BC656=(Elig_MatchAll_Ct-1),AZ656=0),AB656,0)</f>
        <v>0</v>
      </c>
      <c r="CH656" s="202">
        <f>IF(AND(Input_Product=Elig!$C656,Elig_MatchAll_Ct&lt;22,$BC656=(Elig_MatchAll_Ct-1),AZ656=0),AC656,0)</f>
        <v>0</v>
      </c>
      <c r="CI656" s="201">
        <f>IF(AND(Input_Product=Elig!$C656,Elig_MatchAll_Ct&lt;22,$BC656=(Elig_MatchAll_Ct-1),BA656=0),AD656,0)</f>
        <v>0</v>
      </c>
      <c r="CJ656" s="202">
        <f>IF(AND(Input_Product=Elig!$C656,Elig_MatchAll_Ct&lt;22,$BC656=(Elig_MatchAll_Ct-1),BA656=0),AE656,0)</f>
        <v>0</v>
      </c>
    </row>
    <row r="657" spans="2:88" ht="10.15" customHeight="1" x14ac:dyDescent="0.25">
      <c r="B657" s="2027" t="s">
        <v>1310</v>
      </c>
      <c r="C657" s="2032" t="str">
        <f t="shared" si="279"/>
        <v>Second OO</v>
      </c>
      <c r="D657" s="2031" t="s">
        <v>1302</v>
      </c>
      <c r="E657" s="2031" t="s">
        <v>98</v>
      </c>
      <c r="F657" s="2031" t="s">
        <v>328</v>
      </c>
      <c r="G657" s="2111" t="s">
        <v>472</v>
      </c>
      <c r="H657" s="2033" t="s">
        <v>136</v>
      </c>
      <c r="I657" s="2031" t="s">
        <v>1332</v>
      </c>
      <c r="J657" s="2031" t="s">
        <v>1311</v>
      </c>
      <c r="K657" s="2033" t="s">
        <v>1790</v>
      </c>
      <c r="L657" s="2031" t="s">
        <v>430</v>
      </c>
      <c r="M657" s="2031" t="s">
        <v>2677</v>
      </c>
      <c r="N657" s="2033" t="s">
        <v>82</v>
      </c>
      <c r="O657" s="2031" t="s">
        <v>310</v>
      </c>
      <c r="P657" s="2031" t="s">
        <v>291</v>
      </c>
      <c r="Q657" s="2031" t="s">
        <v>294</v>
      </c>
      <c r="R657" s="2031">
        <v>200000</v>
      </c>
      <c r="S657" s="2031">
        <v>350000</v>
      </c>
      <c r="T657" s="2031">
        <v>0</v>
      </c>
      <c r="U657" s="2031">
        <f t="shared" si="280"/>
        <v>350000</v>
      </c>
      <c r="V657" s="2031">
        <v>0</v>
      </c>
      <c r="W657" s="2031">
        <v>50</v>
      </c>
      <c r="X657" s="2031">
        <v>0</v>
      </c>
      <c r="Y657" s="2031">
        <v>999</v>
      </c>
      <c r="Z657" s="2034">
        <v>660</v>
      </c>
      <c r="AA657" s="2034">
        <v>679</v>
      </c>
      <c r="AB657" s="2034">
        <v>0</v>
      </c>
      <c r="AC657" s="2034">
        <v>999999</v>
      </c>
      <c r="AD657" s="2031">
        <v>0</v>
      </c>
      <c r="AE657" s="1484">
        <v>70</v>
      </c>
      <c r="AF657" s="170">
        <v>1</v>
      </c>
      <c r="AG657" s="171">
        <v>0</v>
      </c>
      <c r="AH657" s="171">
        <v>1</v>
      </c>
      <c r="AI657" s="171">
        <v>1</v>
      </c>
      <c r="AJ657" s="171">
        <v>0</v>
      </c>
      <c r="AK657" s="171">
        <v>1</v>
      </c>
      <c r="AL657" s="171">
        <v>1</v>
      </c>
      <c r="AM657" s="171">
        <v>1</v>
      </c>
      <c r="AN657" s="171">
        <v>1</v>
      </c>
      <c r="AO657" s="171">
        <v>1</v>
      </c>
      <c r="AP657" s="171">
        <v>1</v>
      </c>
      <c r="AQ657" s="171">
        <v>1</v>
      </c>
      <c r="AR657" s="171">
        <v>1</v>
      </c>
      <c r="AS657" s="171">
        <v>1</v>
      </c>
      <c r="AT657" s="171">
        <v>1</v>
      </c>
      <c r="AU657" s="171">
        <f t="shared" si="270"/>
        <v>1</v>
      </c>
      <c r="AV657" s="171">
        <f t="shared" si="271"/>
        <v>1</v>
      </c>
      <c r="AW657" s="171">
        <f t="shared" si="272"/>
        <v>1</v>
      </c>
      <c r="AX657" s="171">
        <f t="shared" si="284"/>
        <v>1</v>
      </c>
      <c r="AY657" s="171">
        <f t="shared" si="273"/>
        <v>0</v>
      </c>
      <c r="AZ657" s="171">
        <f t="shared" si="274"/>
        <v>1</v>
      </c>
      <c r="BA657" s="172">
        <f t="shared" si="275"/>
        <v>1</v>
      </c>
      <c r="BB657" s="175">
        <f t="shared" si="281"/>
        <v>19</v>
      </c>
      <c r="BC657" s="176">
        <f t="shared" si="282"/>
        <v>18</v>
      </c>
      <c r="BD657" s="176">
        <f t="shared" si="283"/>
        <v>18</v>
      </c>
      <c r="BE657" s="240" t="str">
        <f t="shared" si="289"/>
        <v/>
      </c>
      <c r="BF657" s="234"/>
      <c r="BG657" s="234"/>
      <c r="BH657" s="214">
        <f>IF(AND(Input_Product=Elig!$C657,Elig_MatchAll_Ct&lt;22,$BC657=(Elig_MatchAll_Ct-1),AF657=0),C657,0)</f>
        <v>0</v>
      </c>
      <c r="BI657" s="214">
        <f>IF(AND(Input_Product=Elig!$C657,Elig_MatchAll_Ct&lt;22,$BC657=(Elig_MatchAll_Ct-1),AG657=0),D657,0)</f>
        <v>0</v>
      </c>
      <c r="BJ657" s="214">
        <f>IF(AND(Input_Product=Elig!$C657,Elig_MatchAll_Ct&lt;22,$BC657=(Elig_MatchAll_Ct-1),AH657=0),E657,0)</f>
        <v>0</v>
      </c>
      <c r="BK657" s="214">
        <f>IF(AND(Input_Product=Elig!$C657,Elig_MatchAll_Ct&lt;22,$BC657=(Elig_MatchAll_Ct-1),AI657=0),F657,0)</f>
        <v>0</v>
      </c>
      <c r="BL657" s="214">
        <f>IF(AND(Input_Product=Elig!$C657,Elig_MatchAll_Ct&lt;22,$BC657=(Elig_MatchAll_Ct-1),AJ657=0),G657,0)</f>
        <v>0</v>
      </c>
      <c r="BM657" s="214">
        <f>IF(AND(Input_Product=Elig!$C657,Elig_MatchAll_Ct&lt;22,$BC657=(Elig_MatchAll_Ct-1),AK657=0),H657,0)</f>
        <v>0</v>
      </c>
      <c r="BN657" s="214">
        <f>IF(AND(Input_Product=Elig!$C657,Elig_MatchAll_Ct&lt;22,$BC657=(Elig_MatchAll_Ct-1),AL657=0),I657,0)</f>
        <v>0</v>
      </c>
      <c r="BO657" s="214">
        <f>IF(AND(Input_Product=Elig!$C657,Elig_MatchAll_Ct&lt;22,$BC657=(Elig_MatchAll_Ct-1),AM657=0),J657,0)</f>
        <v>0</v>
      </c>
      <c r="BP657" s="214">
        <f>IF(AND(Input_Product=Elig!$C657,Elig_MatchAll_Ct&lt;22,$BC657=(Elig_MatchAll_Ct-1),AN657=0),K657,0)</f>
        <v>0</v>
      </c>
      <c r="BQ657" s="214">
        <f>IF(AND(Input_Product=Elig!$C657,Elig_MatchAll_Ct&lt;22,$BC657=(Elig_MatchAll_Ct-1),AP657=0),L657,0)</f>
        <v>0</v>
      </c>
      <c r="BR657" s="214">
        <f>IF(AND(Input_Product=Elig!$C657,Elig_MatchAll_Ct&lt;22,$BC657=(Elig_MatchAll_Ct-1),AO657=0),M657,0)</f>
        <v>0</v>
      </c>
      <c r="BS657" s="214">
        <f>IF(AND(Input_Product=Elig!$C657,Elig_MatchAll_Ct&lt;22,$BC657=(Elig_MatchAll_Ct-1),AQ657=0),N657,0)</f>
        <v>0</v>
      </c>
      <c r="BT657" s="214">
        <f>IF(AND(Input_Product=Elig!$C657,Elig_MatchAll_Ct&lt;22,$BC657=(Elig_MatchAll_Ct-1),AR657=0),O657,0)</f>
        <v>0</v>
      </c>
      <c r="BU657" s="214">
        <f>IF(AND(Input_Product=Elig!$C657,Elig_MatchAll_Ct&lt;22,$BC657=(Elig_MatchAll_Ct-1),AS657=0),P657,0)</f>
        <v>0</v>
      </c>
      <c r="BV657" s="215">
        <f>IF(AND(Input_Product=Elig!$C657,Elig_MatchAll_Ct&lt;22,$BC657=(Elig_MatchAll_Ct-1),AT657=0),Q657,0)</f>
        <v>0</v>
      </c>
      <c r="BW657" s="311">
        <f>IF(AND(Input_Product=Elig!$C657,Elig_MatchAll_Ct&lt;22,$BC657=(Elig_MatchAll_Ct-1),AU657=0),R657,0)</f>
        <v>0</v>
      </c>
      <c r="BX657" s="312">
        <f>IF(AND(Input_Product=Elig!$C657,Elig_MatchAll_Ct&lt;22,$BC657=(Elig_MatchAll_Ct-1),AU657=0),S657,0)</f>
        <v>0</v>
      </c>
      <c r="BY657" s="311">
        <f>IF(AND(Input_Product=Elig!$C657,Elig_MatchAll_Ct&lt;22,$BC657=(Elig_MatchAll_Ct-1),AV657=0),T657,0)</f>
        <v>0</v>
      </c>
      <c r="BZ657" s="312">
        <f>IF(AND(Input_Product=Elig!$C657,Elig_MatchAll_Ct&lt;22,$BC657=(Elig_MatchAll_Ct-1),AV657=0),U657,0)</f>
        <v>0</v>
      </c>
      <c r="CA657" s="311">
        <f>IF(AND(Input_Product=Elig!$C657,Elig_MatchAll_Ct&lt;22,$BC657=(Elig_MatchAll_Ct-1),AW657=0),V657,0)</f>
        <v>0</v>
      </c>
      <c r="CB657" s="312">
        <f>IF(AND(Input_Product=Elig!$C657,Elig_MatchAll_Ct&lt;22,$BC657=(Elig_MatchAll_Ct-1),AW657=0),W657,0)</f>
        <v>0</v>
      </c>
      <c r="CC657" s="311">
        <f>IF(AND(Input_Product=Elig!$C657,Elig_MatchAll_Ct&lt;22,$BC657=(Elig_MatchAll_Ct-1),AX657=0),X657,0)</f>
        <v>0</v>
      </c>
      <c r="CD657" s="312">
        <f>IF(AND(Input_Product=Elig!$C657,Elig_MatchAll_Ct&lt;22,$BC657=(Elig_MatchAll_Ct-1),AX657=0),Y657,0)</f>
        <v>0</v>
      </c>
      <c r="CE657" s="311">
        <f>IF(AND(Input_LTV&lt;=AE657,Input_Product=Elig!$C657,Elig_MatchAll_Ct&lt;22,$BC657=(Elig_MatchAll_Ct-1),AY657=0),Z657,0)</f>
        <v>0</v>
      </c>
      <c r="CF657" s="312">
        <f>IF(AND(Input_LTV&lt;=AE657,Input_Product=Elig!$C657,Elig_MatchAll_Ct&lt;22,$BC657=(Elig_MatchAll_Ct-1),AY657=0),AA657,0)</f>
        <v>0</v>
      </c>
      <c r="CG657" s="311">
        <f>IF(AND(Input_Product=Elig!$C657,Elig_MatchAll_Ct&lt;22,$BC657=(Elig_MatchAll_Ct-1),AZ657=0),AB657,0)</f>
        <v>0</v>
      </c>
      <c r="CH657" s="312">
        <f>IF(AND(Input_Product=Elig!$C657,Elig_MatchAll_Ct&lt;22,$BC657=(Elig_MatchAll_Ct-1),AZ657=0),AC657,0)</f>
        <v>0</v>
      </c>
      <c r="CI657" s="311">
        <f>IF(AND(Input_Product=Elig!$C657,Elig_MatchAll_Ct&lt;22,$BC657=(Elig_MatchAll_Ct-1),BA657=0),AD657,0)</f>
        <v>0</v>
      </c>
      <c r="CJ657" s="312">
        <f>IF(AND(Input_Product=Elig!$C657,Elig_MatchAll_Ct&lt;22,$BC657=(Elig_MatchAll_Ct-1),BA657=0),AE657,0)</f>
        <v>0</v>
      </c>
    </row>
    <row r="658" spans="2:88" ht="10.15" customHeight="1" x14ac:dyDescent="0.25">
      <c r="B658" s="2027" t="s">
        <v>1571</v>
      </c>
      <c r="C658" s="2024" t="str">
        <f t="shared" si="279"/>
        <v>Second OO</v>
      </c>
      <c r="D658" s="2025" t="s">
        <v>1561</v>
      </c>
      <c r="E658" s="2025" t="s">
        <v>98</v>
      </c>
      <c r="F658" s="2025" t="s">
        <v>328</v>
      </c>
      <c r="G658" s="2025" t="s">
        <v>179</v>
      </c>
      <c r="H658" s="2025" t="s">
        <v>136</v>
      </c>
      <c r="I658" s="2023" t="s">
        <v>1332</v>
      </c>
      <c r="J658" s="2023" t="s">
        <v>1311</v>
      </c>
      <c r="K658" s="2025" t="s">
        <v>1790</v>
      </c>
      <c r="L658" s="2023" t="s">
        <v>430</v>
      </c>
      <c r="M658" s="2023" t="s">
        <v>2677</v>
      </c>
      <c r="N658" s="2025" t="s">
        <v>82</v>
      </c>
      <c r="O658" s="2023" t="s">
        <v>310</v>
      </c>
      <c r="P658" s="2023" t="s">
        <v>291</v>
      </c>
      <c r="Q658" s="2023" t="s">
        <v>294</v>
      </c>
      <c r="R658" s="2023">
        <v>50000</v>
      </c>
      <c r="S658" s="2023">
        <v>350000</v>
      </c>
      <c r="T658" s="2023">
        <v>0</v>
      </c>
      <c r="U658" s="2023">
        <f t="shared" si="280"/>
        <v>350000</v>
      </c>
      <c r="V658" s="2023">
        <v>0</v>
      </c>
      <c r="W658" s="2023">
        <v>50</v>
      </c>
      <c r="X658" s="2023">
        <v>0</v>
      </c>
      <c r="Y658" s="2023">
        <v>999</v>
      </c>
      <c r="Z658" s="2026">
        <v>720</v>
      </c>
      <c r="AA658" s="2026">
        <v>999</v>
      </c>
      <c r="AB658" s="2026">
        <v>0</v>
      </c>
      <c r="AC658" s="2026">
        <v>999999</v>
      </c>
      <c r="AD658" s="2023">
        <v>0</v>
      </c>
      <c r="AE658" s="1482">
        <v>80</v>
      </c>
      <c r="AF658" s="170">
        <v>1</v>
      </c>
      <c r="AG658" s="171">
        <v>1</v>
      </c>
      <c r="AH658" s="171">
        <v>1</v>
      </c>
      <c r="AI658" s="171">
        <v>1</v>
      </c>
      <c r="AJ658" s="171">
        <v>0</v>
      </c>
      <c r="AK658" s="171">
        <v>1</v>
      </c>
      <c r="AL658" s="171">
        <v>1</v>
      </c>
      <c r="AM658" s="171">
        <v>1</v>
      </c>
      <c r="AN658" s="171">
        <v>1</v>
      </c>
      <c r="AO658" s="171">
        <v>1</v>
      </c>
      <c r="AP658" s="171">
        <v>1</v>
      </c>
      <c r="AQ658" s="171">
        <v>1</v>
      </c>
      <c r="AR658" s="171">
        <v>1</v>
      </c>
      <c r="AS658" s="171">
        <v>1</v>
      </c>
      <c r="AT658" s="171">
        <v>1</v>
      </c>
      <c r="AU658" s="171">
        <f t="shared" si="270"/>
        <v>1</v>
      </c>
      <c r="AV658" s="171">
        <f t="shared" si="271"/>
        <v>1</v>
      </c>
      <c r="AW658" s="171">
        <f t="shared" si="272"/>
        <v>1</v>
      </c>
      <c r="AX658" s="171">
        <f t="shared" si="284"/>
        <v>1</v>
      </c>
      <c r="AY658" s="171">
        <f t="shared" si="273"/>
        <v>1</v>
      </c>
      <c r="AZ658" s="171">
        <f t="shared" si="274"/>
        <v>1</v>
      </c>
      <c r="BA658" s="172">
        <f t="shared" si="275"/>
        <v>1</v>
      </c>
      <c r="BB658" s="175">
        <f t="shared" si="281"/>
        <v>21</v>
      </c>
      <c r="BC658" s="176">
        <f t="shared" si="282"/>
        <v>20</v>
      </c>
      <c r="BD658" s="176">
        <f t="shared" si="283"/>
        <v>20</v>
      </c>
      <c r="BE658" s="240" t="str">
        <f t="shared" si="289"/>
        <v/>
      </c>
      <c r="BF658" s="234"/>
      <c r="BG658" s="234"/>
      <c r="BH658" s="1907">
        <f>IF(AND(Input_Product=Elig!$C658,Elig_MatchAll_Ct&lt;22,$BC658=(Elig_MatchAll_Ct-1),AF658=0),C658,0)</f>
        <v>0</v>
      </c>
      <c r="BI658" s="1907">
        <f>IF(AND(Input_Product=Elig!$C658,Elig_MatchAll_Ct&lt;22,$BC658=(Elig_MatchAll_Ct-1),AG658=0),D658,0)</f>
        <v>0</v>
      </c>
      <c r="BJ658" s="1907">
        <f>IF(AND(Input_Product=Elig!$C658,Elig_MatchAll_Ct&lt;22,$BC658=(Elig_MatchAll_Ct-1),AH658=0),E658,0)</f>
        <v>0</v>
      </c>
      <c r="BK658" s="1907">
        <f>IF(AND(Input_Product=Elig!$C658,Elig_MatchAll_Ct&lt;22,$BC658=(Elig_MatchAll_Ct-1),AI658=0),F658,0)</f>
        <v>0</v>
      </c>
      <c r="BL658" s="1907">
        <f>IF(AND(Input_Product=Elig!$C658,Elig_MatchAll_Ct&lt;22,$BC658=(Elig_MatchAll_Ct-1),AJ658=0),G658,0)</f>
        <v>0</v>
      </c>
      <c r="BM658" s="1907">
        <f>IF(AND(Input_Product=Elig!$C658,Elig_MatchAll_Ct&lt;22,$BC658=(Elig_MatchAll_Ct-1),AK658=0),H658,0)</f>
        <v>0</v>
      </c>
      <c r="BN658" s="1907">
        <f>IF(AND(Input_Product=Elig!$C658,Elig_MatchAll_Ct&lt;22,$BC658=(Elig_MatchAll_Ct-1),AL658=0),I658,0)</f>
        <v>0</v>
      </c>
      <c r="BO658" s="1907">
        <f>IF(AND(Input_Product=Elig!$C658,Elig_MatchAll_Ct&lt;22,$BC658=(Elig_MatchAll_Ct-1),AM658=0),J658,0)</f>
        <v>0</v>
      </c>
      <c r="BP658" s="1907">
        <f>IF(AND(Input_Product=Elig!$C658,Elig_MatchAll_Ct&lt;22,$BC658=(Elig_MatchAll_Ct-1),AN658=0),K658,0)</f>
        <v>0</v>
      </c>
      <c r="BQ658" s="1907">
        <f>IF(AND(Input_Product=Elig!$C658,Elig_MatchAll_Ct&lt;22,$BC658=(Elig_MatchAll_Ct-1),AP658=0),L658,0)</f>
        <v>0</v>
      </c>
      <c r="BR658" s="1907">
        <f>IF(AND(Input_Product=Elig!$C658,Elig_MatchAll_Ct&lt;22,$BC658=(Elig_MatchAll_Ct-1),AO658=0),M658,0)</f>
        <v>0</v>
      </c>
      <c r="BS658" s="1907">
        <f>IF(AND(Input_Product=Elig!$C658,Elig_MatchAll_Ct&lt;22,$BC658=(Elig_MatchAll_Ct-1),AQ658=0),N658,0)</f>
        <v>0</v>
      </c>
      <c r="BT658" s="1907">
        <f>IF(AND(Input_Product=Elig!$C658,Elig_MatchAll_Ct&lt;22,$BC658=(Elig_MatchAll_Ct-1),AR658=0),O658,0)</f>
        <v>0</v>
      </c>
      <c r="BU658" s="1907">
        <f>IF(AND(Input_Product=Elig!$C658,Elig_MatchAll_Ct&lt;22,$BC658=(Elig_MatchAll_Ct-1),AS658=0),P658,0)</f>
        <v>0</v>
      </c>
      <c r="BV658" s="1908">
        <f>IF(AND(Input_Product=Elig!$C658,Elig_MatchAll_Ct&lt;22,$BC658=(Elig_MatchAll_Ct-1),AT658=0),Q658,0)</f>
        <v>0</v>
      </c>
      <c r="BW658" s="1909">
        <f>IF(AND(Input_Product=Elig!$C658,Elig_MatchAll_Ct&lt;22,$BC658=(Elig_MatchAll_Ct-1),AU658=0),R658,0)</f>
        <v>0</v>
      </c>
      <c r="BX658" s="1910">
        <f>IF(AND(Input_Product=Elig!$C658,Elig_MatchAll_Ct&lt;22,$BC658=(Elig_MatchAll_Ct-1),AU658=0),S658,0)</f>
        <v>0</v>
      </c>
      <c r="BY658" s="1909">
        <f>IF(AND(Input_Product=Elig!$C658,Elig_MatchAll_Ct&lt;22,$BC658=(Elig_MatchAll_Ct-1),AV658=0),T658,0)</f>
        <v>0</v>
      </c>
      <c r="BZ658" s="1910">
        <f>IF(AND(Input_Product=Elig!$C658,Elig_MatchAll_Ct&lt;22,$BC658=(Elig_MatchAll_Ct-1),AV658=0),U658,0)</f>
        <v>0</v>
      </c>
      <c r="CA658" s="1909">
        <f>IF(AND(Input_Product=Elig!$C658,Elig_MatchAll_Ct&lt;22,$BC658=(Elig_MatchAll_Ct-1),AW658=0),V658,0)</f>
        <v>0</v>
      </c>
      <c r="CB658" s="1910">
        <f>IF(AND(Input_Product=Elig!$C658,Elig_MatchAll_Ct&lt;22,$BC658=(Elig_MatchAll_Ct-1),AW658=0),W658,0)</f>
        <v>0</v>
      </c>
      <c r="CC658" s="1909">
        <f>IF(AND(Input_Product=Elig!$C658,Elig_MatchAll_Ct&lt;22,$BC658=(Elig_MatchAll_Ct-1),AX658=0),X658,0)</f>
        <v>0</v>
      </c>
      <c r="CD658" s="1910">
        <f>IF(AND(Input_Product=Elig!$C658,Elig_MatchAll_Ct&lt;22,$BC658=(Elig_MatchAll_Ct-1),AX658=0),Y658,0)</f>
        <v>0</v>
      </c>
      <c r="CE658" s="1909">
        <f>IF(AND(Input_LTV&lt;=AE658,Input_Product=Elig!$C658,Elig_MatchAll_Ct&lt;22,$BC658=(Elig_MatchAll_Ct-1),AY658=0),Z658,0)</f>
        <v>0</v>
      </c>
      <c r="CF658" s="1910">
        <f>IF(AND(Input_LTV&lt;=AE658,Input_Product=Elig!$C658,Elig_MatchAll_Ct&lt;22,$BC658=(Elig_MatchAll_Ct-1),AY658=0),AA658,0)</f>
        <v>0</v>
      </c>
      <c r="CG658" s="1909">
        <f>IF(AND(Input_Product=Elig!$C658,Elig_MatchAll_Ct&lt;22,$BC658=(Elig_MatchAll_Ct-1),AZ658=0),AB658,0)</f>
        <v>0</v>
      </c>
      <c r="CH658" s="1910">
        <f>IF(AND(Input_Product=Elig!$C658,Elig_MatchAll_Ct&lt;22,$BC658=(Elig_MatchAll_Ct-1),AZ658=0),AC658,0)</f>
        <v>0</v>
      </c>
      <c r="CI658" s="1909">
        <f>IF(AND(Input_Product=Elig!$C658,Elig_MatchAll_Ct&lt;22,$BC658=(Elig_MatchAll_Ct-1),BA658=0),AD658,0)</f>
        <v>0</v>
      </c>
      <c r="CJ658" s="1910">
        <f>IF(AND(Input_Product=Elig!$C658,Elig_MatchAll_Ct&lt;22,$BC658=(Elig_MatchAll_Ct-1),BA658=0),AE658,0)</f>
        <v>0</v>
      </c>
    </row>
    <row r="659" spans="2:88" ht="10.15" customHeight="1" x14ac:dyDescent="0.25">
      <c r="B659" s="2027" t="s">
        <v>1572</v>
      </c>
      <c r="C659" s="2028" t="str">
        <f t="shared" si="279"/>
        <v>Second OO</v>
      </c>
      <c r="D659" s="2027" t="s">
        <v>1561</v>
      </c>
      <c r="E659" s="2027" t="s">
        <v>98</v>
      </c>
      <c r="F659" s="2027" t="s">
        <v>328</v>
      </c>
      <c r="G659" s="2029" t="s">
        <v>179</v>
      </c>
      <c r="H659" s="2029" t="s">
        <v>136</v>
      </c>
      <c r="I659" s="2027" t="s">
        <v>1332</v>
      </c>
      <c r="J659" s="2027" t="s">
        <v>1311</v>
      </c>
      <c r="K659" s="2029" t="s">
        <v>1790</v>
      </c>
      <c r="L659" s="2027" t="s">
        <v>430</v>
      </c>
      <c r="M659" s="2027" t="s">
        <v>2677</v>
      </c>
      <c r="N659" s="2029" t="s">
        <v>82</v>
      </c>
      <c r="O659" s="2027" t="s">
        <v>310</v>
      </c>
      <c r="P659" s="2027" t="s">
        <v>291</v>
      </c>
      <c r="Q659" s="2027" t="s">
        <v>294</v>
      </c>
      <c r="R659" s="2027">
        <v>50000</v>
      </c>
      <c r="S659" s="2027">
        <v>350000</v>
      </c>
      <c r="T659" s="2027">
        <v>0</v>
      </c>
      <c r="U659" s="2027">
        <f t="shared" si="280"/>
        <v>350000</v>
      </c>
      <c r="V659" s="2027">
        <v>0</v>
      </c>
      <c r="W659" s="2027">
        <v>50</v>
      </c>
      <c r="X659" s="2027">
        <v>0</v>
      </c>
      <c r="Y659" s="2027">
        <v>999</v>
      </c>
      <c r="Z659" s="2030">
        <v>700</v>
      </c>
      <c r="AA659" s="2030">
        <v>719</v>
      </c>
      <c r="AB659" s="2030">
        <v>0</v>
      </c>
      <c r="AC659" s="2030">
        <v>999999</v>
      </c>
      <c r="AD659" s="2027">
        <v>0</v>
      </c>
      <c r="AE659" s="1483">
        <v>75</v>
      </c>
      <c r="AF659" s="170">
        <v>1</v>
      </c>
      <c r="AG659" s="171">
        <v>1</v>
      </c>
      <c r="AH659" s="171">
        <v>1</v>
      </c>
      <c r="AI659" s="171">
        <v>1</v>
      </c>
      <c r="AJ659" s="171">
        <v>0</v>
      </c>
      <c r="AK659" s="171">
        <v>1</v>
      </c>
      <c r="AL659" s="171">
        <v>1</v>
      </c>
      <c r="AM659" s="171">
        <v>1</v>
      </c>
      <c r="AN659" s="171">
        <v>1</v>
      </c>
      <c r="AO659" s="171">
        <v>1</v>
      </c>
      <c r="AP659" s="171">
        <v>1</v>
      </c>
      <c r="AQ659" s="171">
        <v>1</v>
      </c>
      <c r="AR659" s="171">
        <v>1</v>
      </c>
      <c r="AS659" s="171">
        <v>1</v>
      </c>
      <c r="AT659" s="171">
        <v>1</v>
      </c>
      <c r="AU659" s="171">
        <f t="shared" si="270"/>
        <v>1</v>
      </c>
      <c r="AV659" s="171">
        <f t="shared" si="271"/>
        <v>1</v>
      </c>
      <c r="AW659" s="171">
        <f t="shared" si="272"/>
        <v>1</v>
      </c>
      <c r="AX659" s="171">
        <f t="shared" si="284"/>
        <v>1</v>
      </c>
      <c r="AY659" s="171">
        <f t="shared" si="273"/>
        <v>0</v>
      </c>
      <c r="AZ659" s="171">
        <f t="shared" si="274"/>
        <v>1</v>
      </c>
      <c r="BA659" s="172">
        <f t="shared" si="275"/>
        <v>1</v>
      </c>
      <c r="BB659" s="175">
        <f t="shared" si="281"/>
        <v>20</v>
      </c>
      <c r="BC659" s="176">
        <f t="shared" si="282"/>
        <v>19</v>
      </c>
      <c r="BD659" s="176">
        <f t="shared" si="283"/>
        <v>19</v>
      </c>
      <c r="BE659" s="240" t="str">
        <f t="shared" si="289"/>
        <v/>
      </c>
      <c r="BF659" s="234"/>
      <c r="BG659" s="234"/>
      <c r="BH659" s="1907">
        <f>IF(AND(Input_Product=Elig!$C659,Elig_MatchAll_Ct&lt;22,$BC659=(Elig_MatchAll_Ct-1),AF659=0),C659,0)</f>
        <v>0</v>
      </c>
      <c r="BI659" s="1907">
        <f>IF(AND(Input_Product=Elig!$C659,Elig_MatchAll_Ct&lt;22,$BC659=(Elig_MatchAll_Ct-1),AG659=0),D659,0)</f>
        <v>0</v>
      </c>
      <c r="BJ659" s="1907">
        <f>IF(AND(Input_Product=Elig!$C659,Elig_MatchAll_Ct&lt;22,$BC659=(Elig_MatchAll_Ct-1),AH659=0),E659,0)</f>
        <v>0</v>
      </c>
      <c r="BK659" s="1907">
        <f>IF(AND(Input_Product=Elig!$C659,Elig_MatchAll_Ct&lt;22,$BC659=(Elig_MatchAll_Ct-1),AI659=0),F659,0)</f>
        <v>0</v>
      </c>
      <c r="BL659" s="1907">
        <f>IF(AND(Input_Product=Elig!$C659,Elig_MatchAll_Ct&lt;22,$BC659=(Elig_MatchAll_Ct-1),AJ659=0),G659,0)</f>
        <v>0</v>
      </c>
      <c r="BM659" s="1907">
        <f>IF(AND(Input_Product=Elig!$C659,Elig_MatchAll_Ct&lt;22,$BC659=(Elig_MatchAll_Ct-1),AK659=0),H659,0)</f>
        <v>0</v>
      </c>
      <c r="BN659" s="1907">
        <f>IF(AND(Input_Product=Elig!$C659,Elig_MatchAll_Ct&lt;22,$BC659=(Elig_MatchAll_Ct-1),AL659=0),I659,0)</f>
        <v>0</v>
      </c>
      <c r="BO659" s="1907">
        <f>IF(AND(Input_Product=Elig!$C659,Elig_MatchAll_Ct&lt;22,$BC659=(Elig_MatchAll_Ct-1),AM659=0),J659,0)</f>
        <v>0</v>
      </c>
      <c r="BP659" s="1907">
        <f>IF(AND(Input_Product=Elig!$C659,Elig_MatchAll_Ct&lt;22,$BC659=(Elig_MatchAll_Ct-1),AN659=0),K659,0)</f>
        <v>0</v>
      </c>
      <c r="BQ659" s="1907">
        <f>IF(AND(Input_Product=Elig!$C659,Elig_MatchAll_Ct&lt;22,$BC659=(Elig_MatchAll_Ct-1),AP659=0),L659,0)</f>
        <v>0</v>
      </c>
      <c r="BR659" s="1907">
        <f>IF(AND(Input_Product=Elig!$C659,Elig_MatchAll_Ct&lt;22,$BC659=(Elig_MatchAll_Ct-1),AO659=0),M659,0)</f>
        <v>0</v>
      </c>
      <c r="BS659" s="1907">
        <f>IF(AND(Input_Product=Elig!$C659,Elig_MatchAll_Ct&lt;22,$BC659=(Elig_MatchAll_Ct-1),AQ659=0),N659,0)</f>
        <v>0</v>
      </c>
      <c r="BT659" s="1907">
        <f>IF(AND(Input_Product=Elig!$C659,Elig_MatchAll_Ct&lt;22,$BC659=(Elig_MatchAll_Ct-1),AR659=0),O659,0)</f>
        <v>0</v>
      </c>
      <c r="BU659" s="1907">
        <f>IF(AND(Input_Product=Elig!$C659,Elig_MatchAll_Ct&lt;22,$BC659=(Elig_MatchAll_Ct-1),AS659=0),P659,0)</f>
        <v>0</v>
      </c>
      <c r="BV659" s="1908">
        <f>IF(AND(Input_Product=Elig!$C659,Elig_MatchAll_Ct&lt;22,$BC659=(Elig_MatchAll_Ct-1),AT659=0),Q659,0)</f>
        <v>0</v>
      </c>
      <c r="BW659" s="1909">
        <f>IF(AND(Input_Product=Elig!$C659,Elig_MatchAll_Ct&lt;22,$BC659=(Elig_MatchAll_Ct-1),AU659=0),R659,0)</f>
        <v>0</v>
      </c>
      <c r="BX659" s="1910">
        <f>IF(AND(Input_Product=Elig!$C659,Elig_MatchAll_Ct&lt;22,$BC659=(Elig_MatchAll_Ct-1),AU659=0),S659,0)</f>
        <v>0</v>
      </c>
      <c r="BY659" s="1909">
        <f>IF(AND(Input_Product=Elig!$C659,Elig_MatchAll_Ct&lt;22,$BC659=(Elig_MatchAll_Ct-1),AV659=0),T659,0)</f>
        <v>0</v>
      </c>
      <c r="BZ659" s="1910">
        <f>IF(AND(Input_Product=Elig!$C659,Elig_MatchAll_Ct&lt;22,$BC659=(Elig_MatchAll_Ct-1),AV659=0),U659,0)</f>
        <v>0</v>
      </c>
      <c r="CA659" s="1909">
        <f>IF(AND(Input_Product=Elig!$C659,Elig_MatchAll_Ct&lt;22,$BC659=(Elig_MatchAll_Ct-1),AW659=0),V659,0)</f>
        <v>0</v>
      </c>
      <c r="CB659" s="1910">
        <f>IF(AND(Input_Product=Elig!$C659,Elig_MatchAll_Ct&lt;22,$BC659=(Elig_MatchAll_Ct-1),AW659=0),W659,0)</f>
        <v>0</v>
      </c>
      <c r="CC659" s="1909">
        <f>IF(AND(Input_Product=Elig!$C659,Elig_MatchAll_Ct&lt;22,$BC659=(Elig_MatchAll_Ct-1),AX659=0),X659,0)</f>
        <v>0</v>
      </c>
      <c r="CD659" s="1910">
        <f>IF(AND(Input_Product=Elig!$C659,Elig_MatchAll_Ct&lt;22,$BC659=(Elig_MatchAll_Ct-1),AX659=0),Y659,0)</f>
        <v>0</v>
      </c>
      <c r="CE659" s="1909">
        <f>IF(AND(Input_LTV&lt;=AE659,Input_Product=Elig!$C659,Elig_MatchAll_Ct&lt;22,$BC659=(Elig_MatchAll_Ct-1),AY659=0),Z659,0)</f>
        <v>0</v>
      </c>
      <c r="CF659" s="1910">
        <f>IF(AND(Input_LTV&lt;=AE659,Input_Product=Elig!$C659,Elig_MatchAll_Ct&lt;22,$BC659=(Elig_MatchAll_Ct-1),AY659=0),AA659,0)</f>
        <v>0</v>
      </c>
      <c r="CG659" s="1909">
        <f>IF(AND(Input_Product=Elig!$C659,Elig_MatchAll_Ct&lt;22,$BC659=(Elig_MatchAll_Ct-1),AZ659=0),AB659,0)</f>
        <v>0</v>
      </c>
      <c r="CH659" s="1910">
        <f>IF(AND(Input_Product=Elig!$C659,Elig_MatchAll_Ct&lt;22,$BC659=(Elig_MatchAll_Ct-1),AZ659=0),AC659,0)</f>
        <v>0</v>
      </c>
      <c r="CI659" s="1909">
        <f>IF(AND(Input_Product=Elig!$C659,Elig_MatchAll_Ct&lt;22,$BC659=(Elig_MatchAll_Ct-1),BA659=0),AD659,0)</f>
        <v>0</v>
      </c>
      <c r="CJ659" s="1910">
        <f>IF(AND(Input_Product=Elig!$C659,Elig_MatchAll_Ct&lt;22,$BC659=(Elig_MatchAll_Ct-1),BA659=0),AE659,0)</f>
        <v>0</v>
      </c>
    </row>
    <row r="660" spans="2:88" ht="10.15" customHeight="1" x14ac:dyDescent="0.25">
      <c r="B660" s="2027" t="s">
        <v>1573</v>
      </c>
      <c r="C660" s="2028" t="str">
        <f t="shared" si="279"/>
        <v>Second OO</v>
      </c>
      <c r="D660" s="2027" t="s">
        <v>1561</v>
      </c>
      <c r="E660" s="2027" t="s">
        <v>98</v>
      </c>
      <c r="F660" s="2027" t="s">
        <v>328</v>
      </c>
      <c r="G660" s="2029" t="s">
        <v>179</v>
      </c>
      <c r="H660" s="2029" t="s">
        <v>136</v>
      </c>
      <c r="I660" s="2027" t="s">
        <v>1332</v>
      </c>
      <c r="J660" s="2027" t="s">
        <v>1311</v>
      </c>
      <c r="K660" s="2029" t="s">
        <v>1790</v>
      </c>
      <c r="L660" s="2027" t="s">
        <v>430</v>
      </c>
      <c r="M660" s="2027" t="s">
        <v>2677</v>
      </c>
      <c r="N660" s="2029" t="s">
        <v>82</v>
      </c>
      <c r="O660" s="2027" t="s">
        <v>310</v>
      </c>
      <c r="P660" s="2027" t="s">
        <v>291</v>
      </c>
      <c r="Q660" s="2027" t="s">
        <v>294</v>
      </c>
      <c r="R660" s="2027">
        <v>50000</v>
      </c>
      <c r="S660" s="2027">
        <v>350000</v>
      </c>
      <c r="T660" s="2027">
        <v>0</v>
      </c>
      <c r="U660" s="2027">
        <f t="shared" si="280"/>
        <v>350000</v>
      </c>
      <c r="V660" s="2027">
        <v>0</v>
      </c>
      <c r="W660" s="2027">
        <v>50</v>
      </c>
      <c r="X660" s="2027">
        <v>0</v>
      </c>
      <c r="Y660" s="2027">
        <v>999</v>
      </c>
      <c r="Z660" s="2030">
        <v>680</v>
      </c>
      <c r="AA660" s="2030">
        <v>699</v>
      </c>
      <c r="AB660" s="2030">
        <v>0</v>
      </c>
      <c r="AC660" s="2030">
        <v>999999</v>
      </c>
      <c r="AD660" s="2027">
        <v>0</v>
      </c>
      <c r="AE660" s="1483">
        <v>70</v>
      </c>
      <c r="AF660" s="170">
        <v>1</v>
      </c>
      <c r="AG660" s="171">
        <v>1</v>
      </c>
      <c r="AH660" s="171">
        <v>1</v>
      </c>
      <c r="AI660" s="171">
        <v>1</v>
      </c>
      <c r="AJ660" s="171">
        <v>0</v>
      </c>
      <c r="AK660" s="171">
        <v>1</v>
      </c>
      <c r="AL660" s="171">
        <v>1</v>
      </c>
      <c r="AM660" s="171">
        <v>1</v>
      </c>
      <c r="AN660" s="171">
        <v>1</v>
      </c>
      <c r="AO660" s="171">
        <v>1</v>
      </c>
      <c r="AP660" s="171">
        <v>1</v>
      </c>
      <c r="AQ660" s="171">
        <v>1</v>
      </c>
      <c r="AR660" s="171">
        <v>1</v>
      </c>
      <c r="AS660" s="171">
        <v>1</v>
      </c>
      <c r="AT660" s="171">
        <v>1</v>
      </c>
      <c r="AU660" s="171">
        <f t="shared" si="270"/>
        <v>1</v>
      </c>
      <c r="AV660" s="171">
        <f t="shared" si="271"/>
        <v>1</v>
      </c>
      <c r="AW660" s="171">
        <f t="shared" si="272"/>
        <v>1</v>
      </c>
      <c r="AX660" s="171">
        <f t="shared" si="284"/>
        <v>1</v>
      </c>
      <c r="AY660" s="171">
        <f t="shared" si="273"/>
        <v>0</v>
      </c>
      <c r="AZ660" s="171">
        <f t="shared" si="274"/>
        <v>1</v>
      </c>
      <c r="BA660" s="172">
        <f t="shared" si="275"/>
        <v>1</v>
      </c>
      <c r="BB660" s="175">
        <f t="shared" si="281"/>
        <v>20</v>
      </c>
      <c r="BC660" s="176">
        <f t="shared" si="282"/>
        <v>19</v>
      </c>
      <c r="BD660" s="176">
        <f t="shared" si="283"/>
        <v>19</v>
      </c>
      <c r="BE660" s="240" t="str">
        <f t="shared" si="289"/>
        <v/>
      </c>
      <c r="BF660" s="234"/>
      <c r="BG660" s="234"/>
      <c r="BH660" s="1907">
        <f>IF(AND(Input_Product=Elig!$C660,Elig_MatchAll_Ct&lt;22,$BC660=(Elig_MatchAll_Ct-1),AF660=0),C660,0)</f>
        <v>0</v>
      </c>
      <c r="BI660" s="1907">
        <f>IF(AND(Input_Product=Elig!$C660,Elig_MatchAll_Ct&lt;22,$BC660=(Elig_MatchAll_Ct-1),AG660=0),D660,0)</f>
        <v>0</v>
      </c>
      <c r="BJ660" s="1907">
        <f>IF(AND(Input_Product=Elig!$C660,Elig_MatchAll_Ct&lt;22,$BC660=(Elig_MatchAll_Ct-1),AH660=0),E660,0)</f>
        <v>0</v>
      </c>
      <c r="BK660" s="1907">
        <f>IF(AND(Input_Product=Elig!$C660,Elig_MatchAll_Ct&lt;22,$BC660=(Elig_MatchAll_Ct-1),AI660=0),F660,0)</f>
        <v>0</v>
      </c>
      <c r="BL660" s="1907">
        <f>IF(AND(Input_Product=Elig!$C660,Elig_MatchAll_Ct&lt;22,$BC660=(Elig_MatchAll_Ct-1),AJ660=0),G660,0)</f>
        <v>0</v>
      </c>
      <c r="BM660" s="1907">
        <f>IF(AND(Input_Product=Elig!$C660,Elig_MatchAll_Ct&lt;22,$BC660=(Elig_MatchAll_Ct-1),AK660=0),H660,0)</f>
        <v>0</v>
      </c>
      <c r="BN660" s="1907">
        <f>IF(AND(Input_Product=Elig!$C660,Elig_MatchAll_Ct&lt;22,$BC660=(Elig_MatchAll_Ct-1),AL660=0),I660,0)</f>
        <v>0</v>
      </c>
      <c r="BO660" s="1907">
        <f>IF(AND(Input_Product=Elig!$C660,Elig_MatchAll_Ct&lt;22,$BC660=(Elig_MatchAll_Ct-1),AM660=0),J660,0)</f>
        <v>0</v>
      </c>
      <c r="BP660" s="1907">
        <f>IF(AND(Input_Product=Elig!$C660,Elig_MatchAll_Ct&lt;22,$BC660=(Elig_MatchAll_Ct-1),AN660=0),K660,0)</f>
        <v>0</v>
      </c>
      <c r="BQ660" s="1907">
        <f>IF(AND(Input_Product=Elig!$C660,Elig_MatchAll_Ct&lt;22,$BC660=(Elig_MatchAll_Ct-1),AP660=0),L660,0)</f>
        <v>0</v>
      </c>
      <c r="BR660" s="1907">
        <f>IF(AND(Input_Product=Elig!$C660,Elig_MatchAll_Ct&lt;22,$BC660=(Elig_MatchAll_Ct-1),AO660=0),M660,0)</f>
        <v>0</v>
      </c>
      <c r="BS660" s="1907">
        <f>IF(AND(Input_Product=Elig!$C660,Elig_MatchAll_Ct&lt;22,$BC660=(Elig_MatchAll_Ct-1),AQ660=0),N660,0)</f>
        <v>0</v>
      </c>
      <c r="BT660" s="1907">
        <f>IF(AND(Input_Product=Elig!$C660,Elig_MatchAll_Ct&lt;22,$BC660=(Elig_MatchAll_Ct-1),AR660=0),O660,0)</f>
        <v>0</v>
      </c>
      <c r="BU660" s="1907">
        <f>IF(AND(Input_Product=Elig!$C660,Elig_MatchAll_Ct&lt;22,$BC660=(Elig_MatchAll_Ct-1),AS660=0),P660,0)</f>
        <v>0</v>
      </c>
      <c r="BV660" s="1908">
        <f>IF(AND(Input_Product=Elig!$C660,Elig_MatchAll_Ct&lt;22,$BC660=(Elig_MatchAll_Ct-1),AT660=0),Q660,0)</f>
        <v>0</v>
      </c>
      <c r="BW660" s="1909">
        <f>IF(AND(Input_Product=Elig!$C660,Elig_MatchAll_Ct&lt;22,$BC660=(Elig_MatchAll_Ct-1),AU660=0),R660,0)</f>
        <v>0</v>
      </c>
      <c r="BX660" s="1910">
        <f>IF(AND(Input_Product=Elig!$C660,Elig_MatchAll_Ct&lt;22,$BC660=(Elig_MatchAll_Ct-1),AU660=0),S660,0)</f>
        <v>0</v>
      </c>
      <c r="BY660" s="1909">
        <f>IF(AND(Input_Product=Elig!$C660,Elig_MatchAll_Ct&lt;22,$BC660=(Elig_MatchAll_Ct-1),AV660=0),T660,0)</f>
        <v>0</v>
      </c>
      <c r="BZ660" s="1910">
        <f>IF(AND(Input_Product=Elig!$C660,Elig_MatchAll_Ct&lt;22,$BC660=(Elig_MatchAll_Ct-1),AV660=0),U660,0)</f>
        <v>0</v>
      </c>
      <c r="CA660" s="1909">
        <f>IF(AND(Input_Product=Elig!$C660,Elig_MatchAll_Ct&lt;22,$BC660=(Elig_MatchAll_Ct-1),AW660=0),V660,0)</f>
        <v>0</v>
      </c>
      <c r="CB660" s="1910">
        <f>IF(AND(Input_Product=Elig!$C660,Elig_MatchAll_Ct&lt;22,$BC660=(Elig_MatchAll_Ct-1),AW660=0),W660,0)</f>
        <v>0</v>
      </c>
      <c r="CC660" s="1909">
        <f>IF(AND(Input_Product=Elig!$C660,Elig_MatchAll_Ct&lt;22,$BC660=(Elig_MatchAll_Ct-1),AX660=0),X660,0)</f>
        <v>0</v>
      </c>
      <c r="CD660" s="1910">
        <f>IF(AND(Input_Product=Elig!$C660,Elig_MatchAll_Ct&lt;22,$BC660=(Elig_MatchAll_Ct-1),AX660=0),Y660,0)</f>
        <v>0</v>
      </c>
      <c r="CE660" s="1909">
        <f>IF(AND(Input_LTV&lt;=AE660,Input_Product=Elig!$C660,Elig_MatchAll_Ct&lt;22,$BC660=(Elig_MatchAll_Ct-1),AY660=0),Z660,0)</f>
        <v>0</v>
      </c>
      <c r="CF660" s="1910">
        <f>IF(AND(Input_LTV&lt;=AE660,Input_Product=Elig!$C660,Elig_MatchAll_Ct&lt;22,$BC660=(Elig_MatchAll_Ct-1),AY660=0),AA660,0)</f>
        <v>0</v>
      </c>
      <c r="CG660" s="1909">
        <f>IF(AND(Input_Product=Elig!$C660,Elig_MatchAll_Ct&lt;22,$BC660=(Elig_MatchAll_Ct-1),AZ660=0),AB660,0)</f>
        <v>0</v>
      </c>
      <c r="CH660" s="1910">
        <f>IF(AND(Input_Product=Elig!$C660,Elig_MatchAll_Ct&lt;22,$BC660=(Elig_MatchAll_Ct-1),AZ660=0),AC660,0)</f>
        <v>0</v>
      </c>
      <c r="CI660" s="1909">
        <f>IF(AND(Input_Product=Elig!$C660,Elig_MatchAll_Ct&lt;22,$BC660=(Elig_MatchAll_Ct-1),BA660=0),AD660,0)</f>
        <v>0</v>
      </c>
      <c r="CJ660" s="1910">
        <f>IF(AND(Input_Product=Elig!$C660,Elig_MatchAll_Ct&lt;22,$BC660=(Elig_MatchAll_Ct-1),BA660=0),AE660,0)</f>
        <v>0</v>
      </c>
    </row>
    <row r="661" spans="2:88" ht="10.15" customHeight="1" x14ac:dyDescent="0.25">
      <c r="B661" s="2027" t="s">
        <v>1574</v>
      </c>
      <c r="C661" s="2032" t="str">
        <f t="shared" si="279"/>
        <v>Second OO</v>
      </c>
      <c r="D661" s="2031" t="s">
        <v>1561</v>
      </c>
      <c r="E661" s="2031" t="s">
        <v>98</v>
      </c>
      <c r="F661" s="2031" t="s">
        <v>328</v>
      </c>
      <c r="G661" s="2033" t="s">
        <v>179</v>
      </c>
      <c r="H661" s="2033" t="s">
        <v>136</v>
      </c>
      <c r="I661" s="2031" t="s">
        <v>1332</v>
      </c>
      <c r="J661" s="2031" t="s">
        <v>1311</v>
      </c>
      <c r="K661" s="2033" t="s">
        <v>1790</v>
      </c>
      <c r="L661" s="2031" t="s">
        <v>430</v>
      </c>
      <c r="M661" s="2031" t="s">
        <v>2677</v>
      </c>
      <c r="N661" s="2033" t="s">
        <v>82</v>
      </c>
      <c r="O661" s="2031" t="s">
        <v>310</v>
      </c>
      <c r="P661" s="2031" t="s">
        <v>291</v>
      </c>
      <c r="Q661" s="2031" t="s">
        <v>294</v>
      </c>
      <c r="R661" s="2031">
        <v>50000</v>
      </c>
      <c r="S661" s="2031">
        <v>350000</v>
      </c>
      <c r="T661" s="2031">
        <v>0</v>
      </c>
      <c r="U661" s="2031">
        <f t="shared" si="280"/>
        <v>350000</v>
      </c>
      <c r="V661" s="2031">
        <v>0</v>
      </c>
      <c r="W661" s="2031">
        <v>50</v>
      </c>
      <c r="X661" s="2031">
        <v>0</v>
      </c>
      <c r="Y661" s="2031">
        <v>999</v>
      </c>
      <c r="Z661" s="2034">
        <v>660</v>
      </c>
      <c r="AA661" s="2034">
        <v>679</v>
      </c>
      <c r="AB661" s="2034">
        <v>0</v>
      </c>
      <c r="AC661" s="2034">
        <v>999999</v>
      </c>
      <c r="AD661" s="2031">
        <v>0</v>
      </c>
      <c r="AE661" s="1484">
        <v>65</v>
      </c>
      <c r="AF661" s="170">
        <v>1</v>
      </c>
      <c r="AG661" s="171">
        <v>1</v>
      </c>
      <c r="AH661" s="171">
        <v>1</v>
      </c>
      <c r="AI661" s="171">
        <v>1</v>
      </c>
      <c r="AJ661" s="171">
        <v>0</v>
      </c>
      <c r="AK661" s="171">
        <v>1</v>
      </c>
      <c r="AL661" s="171">
        <v>1</v>
      </c>
      <c r="AM661" s="171">
        <v>1</v>
      </c>
      <c r="AN661" s="171">
        <v>1</v>
      </c>
      <c r="AO661" s="171">
        <v>1</v>
      </c>
      <c r="AP661" s="171">
        <v>1</v>
      </c>
      <c r="AQ661" s="171">
        <v>1</v>
      </c>
      <c r="AR661" s="171">
        <v>1</v>
      </c>
      <c r="AS661" s="171">
        <v>1</v>
      </c>
      <c r="AT661" s="171">
        <v>1</v>
      </c>
      <c r="AU661" s="171">
        <f t="shared" si="270"/>
        <v>1</v>
      </c>
      <c r="AV661" s="171">
        <f t="shared" si="271"/>
        <v>1</v>
      </c>
      <c r="AW661" s="171">
        <f t="shared" si="272"/>
        <v>1</v>
      </c>
      <c r="AX661" s="171">
        <f t="shared" si="284"/>
        <v>1</v>
      </c>
      <c r="AY661" s="171">
        <f t="shared" si="273"/>
        <v>0</v>
      </c>
      <c r="AZ661" s="171">
        <f t="shared" si="274"/>
        <v>1</v>
      </c>
      <c r="BA661" s="172">
        <f t="shared" si="275"/>
        <v>1</v>
      </c>
      <c r="BB661" s="175">
        <f t="shared" si="281"/>
        <v>20</v>
      </c>
      <c r="BC661" s="176">
        <f t="shared" si="282"/>
        <v>19</v>
      </c>
      <c r="BD661" s="176">
        <f t="shared" si="283"/>
        <v>19</v>
      </c>
      <c r="BE661" s="240" t="str">
        <f t="shared" si="289"/>
        <v/>
      </c>
      <c r="BF661" s="234"/>
      <c r="BG661" s="234"/>
      <c r="BH661" s="1907">
        <f>IF(AND(Input_Product=Elig!$C661,Elig_MatchAll_Ct&lt;22,$BC661=(Elig_MatchAll_Ct-1),AF661=0),C661,0)</f>
        <v>0</v>
      </c>
      <c r="BI661" s="1907">
        <f>IF(AND(Input_Product=Elig!$C661,Elig_MatchAll_Ct&lt;22,$BC661=(Elig_MatchAll_Ct-1),AG661=0),D661,0)</f>
        <v>0</v>
      </c>
      <c r="BJ661" s="1907">
        <f>IF(AND(Input_Product=Elig!$C661,Elig_MatchAll_Ct&lt;22,$BC661=(Elig_MatchAll_Ct-1),AH661=0),E661,0)</f>
        <v>0</v>
      </c>
      <c r="BK661" s="1907">
        <f>IF(AND(Input_Product=Elig!$C661,Elig_MatchAll_Ct&lt;22,$BC661=(Elig_MatchAll_Ct-1),AI661=0),F661,0)</f>
        <v>0</v>
      </c>
      <c r="BL661" s="1907">
        <f>IF(AND(Input_Product=Elig!$C661,Elig_MatchAll_Ct&lt;22,$BC661=(Elig_MatchAll_Ct-1),AJ661=0),G661,0)</f>
        <v>0</v>
      </c>
      <c r="BM661" s="1907">
        <f>IF(AND(Input_Product=Elig!$C661,Elig_MatchAll_Ct&lt;22,$BC661=(Elig_MatchAll_Ct-1),AK661=0),H661,0)</f>
        <v>0</v>
      </c>
      <c r="BN661" s="1907">
        <f>IF(AND(Input_Product=Elig!$C661,Elig_MatchAll_Ct&lt;22,$BC661=(Elig_MatchAll_Ct-1),AL661=0),I661,0)</f>
        <v>0</v>
      </c>
      <c r="BO661" s="1907">
        <f>IF(AND(Input_Product=Elig!$C661,Elig_MatchAll_Ct&lt;22,$BC661=(Elig_MatchAll_Ct-1),AM661=0),J661,0)</f>
        <v>0</v>
      </c>
      <c r="BP661" s="1907">
        <f>IF(AND(Input_Product=Elig!$C661,Elig_MatchAll_Ct&lt;22,$BC661=(Elig_MatchAll_Ct-1),AN661=0),K661,0)</f>
        <v>0</v>
      </c>
      <c r="BQ661" s="1907">
        <f>IF(AND(Input_Product=Elig!$C661,Elig_MatchAll_Ct&lt;22,$BC661=(Elig_MatchAll_Ct-1),AP661=0),L661,0)</f>
        <v>0</v>
      </c>
      <c r="BR661" s="1907">
        <f>IF(AND(Input_Product=Elig!$C661,Elig_MatchAll_Ct&lt;22,$BC661=(Elig_MatchAll_Ct-1),AO661=0),M661,0)</f>
        <v>0</v>
      </c>
      <c r="BS661" s="1907">
        <f>IF(AND(Input_Product=Elig!$C661,Elig_MatchAll_Ct&lt;22,$BC661=(Elig_MatchAll_Ct-1),AQ661=0),N661,0)</f>
        <v>0</v>
      </c>
      <c r="BT661" s="1907">
        <f>IF(AND(Input_Product=Elig!$C661,Elig_MatchAll_Ct&lt;22,$BC661=(Elig_MatchAll_Ct-1),AR661=0),O661,0)</f>
        <v>0</v>
      </c>
      <c r="BU661" s="1907">
        <f>IF(AND(Input_Product=Elig!$C661,Elig_MatchAll_Ct&lt;22,$BC661=(Elig_MatchAll_Ct-1),AS661=0),P661,0)</f>
        <v>0</v>
      </c>
      <c r="BV661" s="1908">
        <f>IF(AND(Input_Product=Elig!$C661,Elig_MatchAll_Ct&lt;22,$BC661=(Elig_MatchAll_Ct-1),AT661=0),Q661,0)</f>
        <v>0</v>
      </c>
      <c r="BW661" s="1909">
        <f>IF(AND(Input_Product=Elig!$C661,Elig_MatchAll_Ct&lt;22,$BC661=(Elig_MatchAll_Ct-1),AU661=0),R661,0)</f>
        <v>0</v>
      </c>
      <c r="BX661" s="1910">
        <f>IF(AND(Input_Product=Elig!$C661,Elig_MatchAll_Ct&lt;22,$BC661=(Elig_MatchAll_Ct-1),AU661=0),S661,0)</f>
        <v>0</v>
      </c>
      <c r="BY661" s="1909">
        <f>IF(AND(Input_Product=Elig!$C661,Elig_MatchAll_Ct&lt;22,$BC661=(Elig_MatchAll_Ct-1),AV661=0),T661,0)</f>
        <v>0</v>
      </c>
      <c r="BZ661" s="1910">
        <f>IF(AND(Input_Product=Elig!$C661,Elig_MatchAll_Ct&lt;22,$BC661=(Elig_MatchAll_Ct-1),AV661=0),U661,0)</f>
        <v>0</v>
      </c>
      <c r="CA661" s="1909">
        <f>IF(AND(Input_Product=Elig!$C661,Elig_MatchAll_Ct&lt;22,$BC661=(Elig_MatchAll_Ct-1),AW661=0),V661,0)</f>
        <v>0</v>
      </c>
      <c r="CB661" s="1910">
        <f>IF(AND(Input_Product=Elig!$C661,Elig_MatchAll_Ct&lt;22,$BC661=(Elig_MatchAll_Ct-1),AW661=0),W661,0)</f>
        <v>0</v>
      </c>
      <c r="CC661" s="1909">
        <f>IF(AND(Input_Product=Elig!$C661,Elig_MatchAll_Ct&lt;22,$BC661=(Elig_MatchAll_Ct-1),AX661=0),X661,0)</f>
        <v>0</v>
      </c>
      <c r="CD661" s="1910">
        <f>IF(AND(Input_Product=Elig!$C661,Elig_MatchAll_Ct&lt;22,$BC661=(Elig_MatchAll_Ct-1),AX661=0),Y661,0)</f>
        <v>0</v>
      </c>
      <c r="CE661" s="1909">
        <f>IF(AND(Input_LTV&lt;=AE661,Input_Product=Elig!$C661,Elig_MatchAll_Ct&lt;22,$BC661=(Elig_MatchAll_Ct-1),AY661=0),Z661,0)</f>
        <v>0</v>
      </c>
      <c r="CF661" s="1910">
        <f>IF(AND(Input_LTV&lt;=AE661,Input_Product=Elig!$C661,Elig_MatchAll_Ct&lt;22,$BC661=(Elig_MatchAll_Ct-1),AY661=0),AA661,0)</f>
        <v>0</v>
      </c>
      <c r="CG661" s="1909">
        <f>IF(AND(Input_Product=Elig!$C661,Elig_MatchAll_Ct&lt;22,$BC661=(Elig_MatchAll_Ct-1),AZ661=0),AB661,0)</f>
        <v>0</v>
      </c>
      <c r="CH661" s="1910">
        <f>IF(AND(Input_Product=Elig!$C661,Elig_MatchAll_Ct&lt;22,$BC661=(Elig_MatchAll_Ct-1),AZ661=0),AC661,0)</f>
        <v>0</v>
      </c>
      <c r="CI661" s="1909">
        <f>IF(AND(Input_Product=Elig!$C661,Elig_MatchAll_Ct&lt;22,$BC661=(Elig_MatchAll_Ct-1),BA661=0),AD661,0)</f>
        <v>0</v>
      </c>
      <c r="CJ661" s="1910">
        <f>IF(AND(Input_Product=Elig!$C661,Elig_MatchAll_Ct&lt;22,$BC661=(Elig_MatchAll_Ct-1),BA661=0),AE661,0)</f>
        <v>0</v>
      </c>
    </row>
    <row r="662" spans="2:88" ht="10.15" customHeight="1" x14ac:dyDescent="0.25">
      <c r="B662" s="2027" t="s">
        <v>1575</v>
      </c>
      <c r="C662" s="2024" t="str">
        <f t="shared" si="279"/>
        <v>Second OO</v>
      </c>
      <c r="D662" s="2025" t="s">
        <v>1302</v>
      </c>
      <c r="E662" s="2025" t="s">
        <v>98</v>
      </c>
      <c r="F662" s="2025" t="s">
        <v>328</v>
      </c>
      <c r="G662" s="2025" t="s">
        <v>179</v>
      </c>
      <c r="H662" s="2025" t="s">
        <v>136</v>
      </c>
      <c r="I662" s="2023" t="s">
        <v>1332</v>
      </c>
      <c r="J662" s="2023" t="s">
        <v>1311</v>
      </c>
      <c r="K662" s="2025" t="s">
        <v>1790</v>
      </c>
      <c r="L662" s="2023" t="s">
        <v>430</v>
      </c>
      <c r="M662" s="2023" t="s">
        <v>2677</v>
      </c>
      <c r="N662" s="2025" t="s">
        <v>82</v>
      </c>
      <c r="O662" s="2023" t="s">
        <v>310</v>
      </c>
      <c r="P662" s="2023" t="s">
        <v>291</v>
      </c>
      <c r="Q662" s="2023" t="s">
        <v>294</v>
      </c>
      <c r="R662" s="2023">
        <v>200000</v>
      </c>
      <c r="S662" s="2023">
        <v>350000</v>
      </c>
      <c r="T662" s="2023">
        <v>0</v>
      </c>
      <c r="U662" s="2023">
        <f t="shared" si="280"/>
        <v>350000</v>
      </c>
      <c r="V662" s="2023">
        <v>0</v>
      </c>
      <c r="W662" s="2023">
        <v>50</v>
      </c>
      <c r="X662" s="2023">
        <v>0</v>
      </c>
      <c r="Y662" s="2023">
        <v>999</v>
      </c>
      <c r="Z662" s="2026">
        <v>720</v>
      </c>
      <c r="AA662" s="2026">
        <v>999</v>
      </c>
      <c r="AB662" s="2026">
        <v>0</v>
      </c>
      <c r="AC662" s="2026">
        <v>999999</v>
      </c>
      <c r="AD662" s="2023">
        <v>0</v>
      </c>
      <c r="AE662" s="1482">
        <v>80</v>
      </c>
      <c r="AF662" s="170">
        <v>1</v>
      </c>
      <c r="AG662" s="171">
        <v>0</v>
      </c>
      <c r="AH662" s="171">
        <v>1</v>
      </c>
      <c r="AI662" s="171">
        <v>1</v>
      </c>
      <c r="AJ662" s="171">
        <v>0</v>
      </c>
      <c r="AK662" s="171">
        <v>1</v>
      </c>
      <c r="AL662" s="171">
        <v>1</v>
      </c>
      <c r="AM662" s="171">
        <v>1</v>
      </c>
      <c r="AN662" s="171">
        <v>1</v>
      </c>
      <c r="AO662" s="171">
        <v>1</v>
      </c>
      <c r="AP662" s="171">
        <v>1</v>
      </c>
      <c r="AQ662" s="171">
        <v>1</v>
      </c>
      <c r="AR662" s="171">
        <v>1</v>
      </c>
      <c r="AS662" s="171">
        <v>1</v>
      </c>
      <c r="AT662" s="171">
        <v>1</v>
      </c>
      <c r="AU662" s="171">
        <f t="shared" si="270"/>
        <v>1</v>
      </c>
      <c r="AV662" s="171">
        <f t="shared" si="271"/>
        <v>1</v>
      </c>
      <c r="AW662" s="171">
        <f t="shared" si="272"/>
        <v>1</v>
      </c>
      <c r="AX662" s="171">
        <f t="shared" si="284"/>
        <v>1</v>
      </c>
      <c r="AY662" s="171">
        <f t="shared" si="273"/>
        <v>1</v>
      </c>
      <c r="AZ662" s="171">
        <f t="shared" si="274"/>
        <v>1</v>
      </c>
      <c r="BA662" s="172">
        <f t="shared" si="275"/>
        <v>1</v>
      </c>
      <c r="BB662" s="175">
        <f t="shared" si="281"/>
        <v>20</v>
      </c>
      <c r="BC662" s="176">
        <f t="shared" si="282"/>
        <v>19</v>
      </c>
      <c r="BD662" s="176">
        <f t="shared" si="283"/>
        <v>19</v>
      </c>
      <c r="BE662" s="240" t="str">
        <f t="shared" si="289"/>
        <v/>
      </c>
      <c r="BF662" s="234"/>
      <c r="BG662" s="234"/>
      <c r="BH662" s="1907">
        <f>IF(AND(Input_Product=Elig!$C662,Elig_MatchAll_Ct&lt;22,$BC662=(Elig_MatchAll_Ct-1),AF662=0),C662,0)</f>
        <v>0</v>
      </c>
      <c r="BI662" s="1907">
        <f>IF(AND(Input_Product=Elig!$C662,Elig_MatchAll_Ct&lt;22,$BC662=(Elig_MatchAll_Ct-1),AG662=0),D662,0)</f>
        <v>0</v>
      </c>
      <c r="BJ662" s="1907">
        <f>IF(AND(Input_Product=Elig!$C662,Elig_MatchAll_Ct&lt;22,$BC662=(Elig_MatchAll_Ct-1),AH662=0),E662,0)</f>
        <v>0</v>
      </c>
      <c r="BK662" s="1907">
        <f>IF(AND(Input_Product=Elig!$C662,Elig_MatchAll_Ct&lt;22,$BC662=(Elig_MatchAll_Ct-1),AI662=0),F662,0)</f>
        <v>0</v>
      </c>
      <c r="BL662" s="1907">
        <f>IF(AND(Input_Product=Elig!$C662,Elig_MatchAll_Ct&lt;22,$BC662=(Elig_MatchAll_Ct-1),AJ662=0),G662,0)</f>
        <v>0</v>
      </c>
      <c r="BM662" s="1907">
        <f>IF(AND(Input_Product=Elig!$C662,Elig_MatchAll_Ct&lt;22,$BC662=(Elig_MatchAll_Ct-1),AK662=0),H662,0)</f>
        <v>0</v>
      </c>
      <c r="BN662" s="1907">
        <f>IF(AND(Input_Product=Elig!$C662,Elig_MatchAll_Ct&lt;22,$BC662=(Elig_MatchAll_Ct-1),AL662=0),I662,0)</f>
        <v>0</v>
      </c>
      <c r="BO662" s="1907">
        <f>IF(AND(Input_Product=Elig!$C662,Elig_MatchAll_Ct&lt;22,$BC662=(Elig_MatchAll_Ct-1),AM662=0),J662,0)</f>
        <v>0</v>
      </c>
      <c r="BP662" s="1907">
        <f>IF(AND(Input_Product=Elig!$C662,Elig_MatchAll_Ct&lt;22,$BC662=(Elig_MatchAll_Ct-1),AN662=0),K662,0)</f>
        <v>0</v>
      </c>
      <c r="BQ662" s="1907">
        <f>IF(AND(Input_Product=Elig!$C662,Elig_MatchAll_Ct&lt;22,$BC662=(Elig_MatchAll_Ct-1),AP662=0),L662,0)</f>
        <v>0</v>
      </c>
      <c r="BR662" s="1907">
        <f>IF(AND(Input_Product=Elig!$C662,Elig_MatchAll_Ct&lt;22,$BC662=(Elig_MatchAll_Ct-1),AO662=0),M662,0)</f>
        <v>0</v>
      </c>
      <c r="BS662" s="1907">
        <f>IF(AND(Input_Product=Elig!$C662,Elig_MatchAll_Ct&lt;22,$BC662=(Elig_MatchAll_Ct-1),AQ662=0),N662,0)</f>
        <v>0</v>
      </c>
      <c r="BT662" s="1907">
        <f>IF(AND(Input_Product=Elig!$C662,Elig_MatchAll_Ct&lt;22,$BC662=(Elig_MatchAll_Ct-1),AR662=0),O662,0)</f>
        <v>0</v>
      </c>
      <c r="BU662" s="1907">
        <f>IF(AND(Input_Product=Elig!$C662,Elig_MatchAll_Ct&lt;22,$BC662=(Elig_MatchAll_Ct-1),AS662=0),P662,0)</f>
        <v>0</v>
      </c>
      <c r="BV662" s="1908">
        <f>IF(AND(Input_Product=Elig!$C662,Elig_MatchAll_Ct&lt;22,$BC662=(Elig_MatchAll_Ct-1),AT662=0),Q662,0)</f>
        <v>0</v>
      </c>
      <c r="BW662" s="1909">
        <f>IF(AND(Input_Product=Elig!$C662,Elig_MatchAll_Ct&lt;22,$BC662=(Elig_MatchAll_Ct-1),AU662=0),R662,0)</f>
        <v>0</v>
      </c>
      <c r="BX662" s="1910">
        <f>IF(AND(Input_Product=Elig!$C662,Elig_MatchAll_Ct&lt;22,$BC662=(Elig_MatchAll_Ct-1),AU662=0),S662,0)</f>
        <v>0</v>
      </c>
      <c r="BY662" s="1909">
        <f>IF(AND(Input_Product=Elig!$C662,Elig_MatchAll_Ct&lt;22,$BC662=(Elig_MatchAll_Ct-1),AV662=0),T662,0)</f>
        <v>0</v>
      </c>
      <c r="BZ662" s="1910">
        <f>IF(AND(Input_Product=Elig!$C662,Elig_MatchAll_Ct&lt;22,$BC662=(Elig_MatchAll_Ct-1),AV662=0),U662,0)</f>
        <v>0</v>
      </c>
      <c r="CA662" s="1909">
        <f>IF(AND(Input_Product=Elig!$C662,Elig_MatchAll_Ct&lt;22,$BC662=(Elig_MatchAll_Ct-1),AW662=0),V662,0)</f>
        <v>0</v>
      </c>
      <c r="CB662" s="1910">
        <f>IF(AND(Input_Product=Elig!$C662,Elig_MatchAll_Ct&lt;22,$BC662=(Elig_MatchAll_Ct-1),AW662=0),W662,0)</f>
        <v>0</v>
      </c>
      <c r="CC662" s="1909">
        <f>IF(AND(Input_Product=Elig!$C662,Elig_MatchAll_Ct&lt;22,$BC662=(Elig_MatchAll_Ct-1),AX662=0),X662,0)</f>
        <v>0</v>
      </c>
      <c r="CD662" s="1910">
        <f>IF(AND(Input_Product=Elig!$C662,Elig_MatchAll_Ct&lt;22,$BC662=(Elig_MatchAll_Ct-1),AX662=0),Y662,0)</f>
        <v>0</v>
      </c>
      <c r="CE662" s="1909">
        <f>IF(AND(Input_LTV&lt;=AE662,Input_Product=Elig!$C662,Elig_MatchAll_Ct&lt;22,$BC662=(Elig_MatchAll_Ct-1),AY662=0),Z662,0)</f>
        <v>0</v>
      </c>
      <c r="CF662" s="1910">
        <f>IF(AND(Input_LTV&lt;=AE662,Input_Product=Elig!$C662,Elig_MatchAll_Ct&lt;22,$BC662=(Elig_MatchAll_Ct-1),AY662=0),AA662,0)</f>
        <v>0</v>
      </c>
      <c r="CG662" s="1909">
        <f>IF(AND(Input_Product=Elig!$C662,Elig_MatchAll_Ct&lt;22,$BC662=(Elig_MatchAll_Ct-1),AZ662=0),AB662,0)</f>
        <v>0</v>
      </c>
      <c r="CH662" s="1910">
        <f>IF(AND(Input_Product=Elig!$C662,Elig_MatchAll_Ct&lt;22,$BC662=(Elig_MatchAll_Ct-1),AZ662=0),AC662,0)</f>
        <v>0</v>
      </c>
      <c r="CI662" s="1909">
        <f>IF(AND(Input_Product=Elig!$C662,Elig_MatchAll_Ct&lt;22,$BC662=(Elig_MatchAll_Ct-1),BA662=0),AD662,0)</f>
        <v>0</v>
      </c>
      <c r="CJ662" s="1910">
        <f>IF(AND(Input_Product=Elig!$C662,Elig_MatchAll_Ct&lt;22,$BC662=(Elig_MatchAll_Ct-1),BA662=0),AE662,0)</f>
        <v>0</v>
      </c>
    </row>
    <row r="663" spans="2:88" ht="10.15" customHeight="1" x14ac:dyDescent="0.25">
      <c r="B663" s="2027" t="s">
        <v>1576</v>
      </c>
      <c r="C663" s="2028" t="str">
        <f t="shared" si="279"/>
        <v>Second OO</v>
      </c>
      <c r="D663" s="2027" t="s">
        <v>1302</v>
      </c>
      <c r="E663" s="2027" t="s">
        <v>98</v>
      </c>
      <c r="F663" s="2027" t="s">
        <v>328</v>
      </c>
      <c r="G663" s="2029" t="s">
        <v>179</v>
      </c>
      <c r="H663" s="2029" t="s">
        <v>136</v>
      </c>
      <c r="I663" s="2027" t="s">
        <v>1332</v>
      </c>
      <c r="J663" s="2027" t="s">
        <v>1311</v>
      </c>
      <c r="K663" s="2029" t="s">
        <v>1790</v>
      </c>
      <c r="L663" s="2027" t="s">
        <v>430</v>
      </c>
      <c r="M663" s="2027" t="s">
        <v>2677</v>
      </c>
      <c r="N663" s="2029" t="s">
        <v>82</v>
      </c>
      <c r="O663" s="2027" t="s">
        <v>310</v>
      </c>
      <c r="P663" s="2027" t="s">
        <v>291</v>
      </c>
      <c r="Q663" s="2027" t="s">
        <v>294</v>
      </c>
      <c r="R663" s="2027">
        <v>200000</v>
      </c>
      <c r="S663" s="2027">
        <v>350000</v>
      </c>
      <c r="T663" s="2027">
        <v>0</v>
      </c>
      <c r="U663" s="2027">
        <f t="shared" si="280"/>
        <v>350000</v>
      </c>
      <c r="V663" s="2027">
        <v>0</v>
      </c>
      <c r="W663" s="2027">
        <v>50</v>
      </c>
      <c r="X663" s="2027">
        <v>0</v>
      </c>
      <c r="Y663" s="2027">
        <v>999</v>
      </c>
      <c r="Z663" s="2030">
        <v>700</v>
      </c>
      <c r="AA663" s="2030">
        <v>719</v>
      </c>
      <c r="AB663" s="2030">
        <v>0</v>
      </c>
      <c r="AC663" s="2030">
        <v>999999</v>
      </c>
      <c r="AD663" s="2027">
        <v>0</v>
      </c>
      <c r="AE663" s="1483">
        <v>75</v>
      </c>
      <c r="AF663" s="170">
        <v>1</v>
      </c>
      <c r="AG663" s="171">
        <v>0</v>
      </c>
      <c r="AH663" s="171">
        <v>1</v>
      </c>
      <c r="AI663" s="171">
        <v>1</v>
      </c>
      <c r="AJ663" s="171">
        <v>0</v>
      </c>
      <c r="AK663" s="171">
        <v>1</v>
      </c>
      <c r="AL663" s="171">
        <v>1</v>
      </c>
      <c r="AM663" s="171">
        <v>1</v>
      </c>
      <c r="AN663" s="171">
        <v>1</v>
      </c>
      <c r="AO663" s="171">
        <v>1</v>
      </c>
      <c r="AP663" s="171">
        <v>1</v>
      </c>
      <c r="AQ663" s="171">
        <v>1</v>
      </c>
      <c r="AR663" s="171">
        <v>1</v>
      </c>
      <c r="AS663" s="171">
        <v>1</v>
      </c>
      <c r="AT663" s="171">
        <v>1</v>
      </c>
      <c r="AU663" s="171">
        <f t="shared" si="270"/>
        <v>1</v>
      </c>
      <c r="AV663" s="171">
        <f t="shared" si="271"/>
        <v>1</v>
      </c>
      <c r="AW663" s="171">
        <f t="shared" si="272"/>
        <v>1</v>
      </c>
      <c r="AX663" s="171">
        <f t="shared" si="284"/>
        <v>1</v>
      </c>
      <c r="AY663" s="171">
        <f t="shared" si="273"/>
        <v>0</v>
      </c>
      <c r="AZ663" s="171">
        <f t="shared" si="274"/>
        <v>1</v>
      </c>
      <c r="BA663" s="172">
        <f t="shared" si="275"/>
        <v>1</v>
      </c>
      <c r="BB663" s="175">
        <f t="shared" si="281"/>
        <v>19</v>
      </c>
      <c r="BC663" s="176">
        <f t="shared" si="282"/>
        <v>18</v>
      </c>
      <c r="BD663" s="176">
        <f t="shared" si="283"/>
        <v>18</v>
      </c>
      <c r="BE663" s="240" t="str">
        <f t="shared" si="289"/>
        <v/>
      </c>
      <c r="BF663" s="234"/>
      <c r="BG663" s="234"/>
      <c r="BH663" s="1907">
        <f>IF(AND(Input_Product=Elig!$C663,Elig_MatchAll_Ct&lt;22,$BC663=(Elig_MatchAll_Ct-1),AF663=0),C663,0)</f>
        <v>0</v>
      </c>
      <c r="BI663" s="1907">
        <f>IF(AND(Input_Product=Elig!$C663,Elig_MatchAll_Ct&lt;22,$BC663=(Elig_MatchAll_Ct-1),AG663=0),D663,0)</f>
        <v>0</v>
      </c>
      <c r="BJ663" s="1907">
        <f>IF(AND(Input_Product=Elig!$C663,Elig_MatchAll_Ct&lt;22,$BC663=(Elig_MatchAll_Ct-1),AH663=0),E663,0)</f>
        <v>0</v>
      </c>
      <c r="BK663" s="1907">
        <f>IF(AND(Input_Product=Elig!$C663,Elig_MatchAll_Ct&lt;22,$BC663=(Elig_MatchAll_Ct-1),AI663=0),F663,0)</f>
        <v>0</v>
      </c>
      <c r="BL663" s="1907">
        <f>IF(AND(Input_Product=Elig!$C663,Elig_MatchAll_Ct&lt;22,$BC663=(Elig_MatchAll_Ct-1),AJ663=0),G663,0)</f>
        <v>0</v>
      </c>
      <c r="BM663" s="1907">
        <f>IF(AND(Input_Product=Elig!$C663,Elig_MatchAll_Ct&lt;22,$BC663=(Elig_MatchAll_Ct-1),AK663=0),H663,0)</f>
        <v>0</v>
      </c>
      <c r="BN663" s="1907">
        <f>IF(AND(Input_Product=Elig!$C663,Elig_MatchAll_Ct&lt;22,$BC663=(Elig_MatchAll_Ct-1),AL663=0),I663,0)</f>
        <v>0</v>
      </c>
      <c r="BO663" s="1907">
        <f>IF(AND(Input_Product=Elig!$C663,Elig_MatchAll_Ct&lt;22,$BC663=(Elig_MatchAll_Ct-1),AM663=0),J663,0)</f>
        <v>0</v>
      </c>
      <c r="BP663" s="1907">
        <f>IF(AND(Input_Product=Elig!$C663,Elig_MatchAll_Ct&lt;22,$BC663=(Elig_MatchAll_Ct-1),AN663=0),K663,0)</f>
        <v>0</v>
      </c>
      <c r="BQ663" s="1907">
        <f>IF(AND(Input_Product=Elig!$C663,Elig_MatchAll_Ct&lt;22,$BC663=(Elig_MatchAll_Ct-1),AP663=0),L663,0)</f>
        <v>0</v>
      </c>
      <c r="BR663" s="1907">
        <f>IF(AND(Input_Product=Elig!$C663,Elig_MatchAll_Ct&lt;22,$BC663=(Elig_MatchAll_Ct-1),AO663=0),M663,0)</f>
        <v>0</v>
      </c>
      <c r="BS663" s="1907">
        <f>IF(AND(Input_Product=Elig!$C663,Elig_MatchAll_Ct&lt;22,$BC663=(Elig_MatchAll_Ct-1),AQ663=0),N663,0)</f>
        <v>0</v>
      </c>
      <c r="BT663" s="1907">
        <f>IF(AND(Input_Product=Elig!$C663,Elig_MatchAll_Ct&lt;22,$BC663=(Elig_MatchAll_Ct-1),AR663=0),O663,0)</f>
        <v>0</v>
      </c>
      <c r="BU663" s="1907">
        <f>IF(AND(Input_Product=Elig!$C663,Elig_MatchAll_Ct&lt;22,$BC663=(Elig_MatchAll_Ct-1),AS663=0),P663,0)</f>
        <v>0</v>
      </c>
      <c r="BV663" s="1908">
        <f>IF(AND(Input_Product=Elig!$C663,Elig_MatchAll_Ct&lt;22,$BC663=(Elig_MatchAll_Ct-1),AT663=0),Q663,0)</f>
        <v>0</v>
      </c>
      <c r="BW663" s="1909">
        <f>IF(AND(Input_Product=Elig!$C663,Elig_MatchAll_Ct&lt;22,$BC663=(Elig_MatchAll_Ct-1),AU663=0),R663,0)</f>
        <v>0</v>
      </c>
      <c r="BX663" s="1910">
        <f>IF(AND(Input_Product=Elig!$C663,Elig_MatchAll_Ct&lt;22,$BC663=(Elig_MatchAll_Ct-1),AU663=0),S663,0)</f>
        <v>0</v>
      </c>
      <c r="BY663" s="1909">
        <f>IF(AND(Input_Product=Elig!$C663,Elig_MatchAll_Ct&lt;22,$BC663=(Elig_MatchAll_Ct-1),AV663=0),T663,0)</f>
        <v>0</v>
      </c>
      <c r="BZ663" s="1910">
        <f>IF(AND(Input_Product=Elig!$C663,Elig_MatchAll_Ct&lt;22,$BC663=(Elig_MatchAll_Ct-1),AV663=0),U663,0)</f>
        <v>0</v>
      </c>
      <c r="CA663" s="1909">
        <f>IF(AND(Input_Product=Elig!$C663,Elig_MatchAll_Ct&lt;22,$BC663=(Elig_MatchAll_Ct-1),AW663=0),V663,0)</f>
        <v>0</v>
      </c>
      <c r="CB663" s="1910">
        <f>IF(AND(Input_Product=Elig!$C663,Elig_MatchAll_Ct&lt;22,$BC663=(Elig_MatchAll_Ct-1),AW663=0),W663,0)</f>
        <v>0</v>
      </c>
      <c r="CC663" s="1909">
        <f>IF(AND(Input_Product=Elig!$C663,Elig_MatchAll_Ct&lt;22,$BC663=(Elig_MatchAll_Ct-1),AX663=0),X663,0)</f>
        <v>0</v>
      </c>
      <c r="CD663" s="1910">
        <f>IF(AND(Input_Product=Elig!$C663,Elig_MatchAll_Ct&lt;22,$BC663=(Elig_MatchAll_Ct-1),AX663=0),Y663,0)</f>
        <v>0</v>
      </c>
      <c r="CE663" s="1909">
        <f>IF(AND(Input_LTV&lt;=AE663,Input_Product=Elig!$C663,Elig_MatchAll_Ct&lt;22,$BC663=(Elig_MatchAll_Ct-1),AY663=0),Z663,0)</f>
        <v>0</v>
      </c>
      <c r="CF663" s="1910">
        <f>IF(AND(Input_LTV&lt;=AE663,Input_Product=Elig!$C663,Elig_MatchAll_Ct&lt;22,$BC663=(Elig_MatchAll_Ct-1),AY663=0),AA663,0)</f>
        <v>0</v>
      </c>
      <c r="CG663" s="1909">
        <f>IF(AND(Input_Product=Elig!$C663,Elig_MatchAll_Ct&lt;22,$BC663=(Elig_MatchAll_Ct-1),AZ663=0),AB663,0)</f>
        <v>0</v>
      </c>
      <c r="CH663" s="1910">
        <f>IF(AND(Input_Product=Elig!$C663,Elig_MatchAll_Ct&lt;22,$BC663=(Elig_MatchAll_Ct-1),AZ663=0),AC663,0)</f>
        <v>0</v>
      </c>
      <c r="CI663" s="1909">
        <f>IF(AND(Input_Product=Elig!$C663,Elig_MatchAll_Ct&lt;22,$BC663=(Elig_MatchAll_Ct-1),BA663=0),AD663,0)</f>
        <v>0</v>
      </c>
      <c r="CJ663" s="1910">
        <f>IF(AND(Input_Product=Elig!$C663,Elig_MatchAll_Ct&lt;22,$BC663=(Elig_MatchAll_Ct-1),BA663=0),AE663,0)</f>
        <v>0</v>
      </c>
    </row>
    <row r="664" spans="2:88" ht="10.15" customHeight="1" x14ac:dyDescent="0.25">
      <c r="B664" s="2027" t="s">
        <v>1577</v>
      </c>
      <c r="C664" s="2028" t="str">
        <f t="shared" si="279"/>
        <v>Second OO</v>
      </c>
      <c r="D664" s="2027" t="s">
        <v>1302</v>
      </c>
      <c r="E664" s="2027" t="s">
        <v>98</v>
      </c>
      <c r="F664" s="2027" t="s">
        <v>328</v>
      </c>
      <c r="G664" s="2029" t="s">
        <v>179</v>
      </c>
      <c r="H664" s="2029" t="s">
        <v>136</v>
      </c>
      <c r="I664" s="2027" t="s">
        <v>1332</v>
      </c>
      <c r="J664" s="2027" t="s">
        <v>1311</v>
      </c>
      <c r="K664" s="2029" t="s">
        <v>1790</v>
      </c>
      <c r="L664" s="2027" t="s">
        <v>430</v>
      </c>
      <c r="M664" s="2027" t="s">
        <v>2677</v>
      </c>
      <c r="N664" s="2029" t="s">
        <v>82</v>
      </c>
      <c r="O664" s="2027" t="s">
        <v>310</v>
      </c>
      <c r="P664" s="2027" t="s">
        <v>291</v>
      </c>
      <c r="Q664" s="2027" t="s">
        <v>294</v>
      </c>
      <c r="R664" s="2027">
        <v>200000</v>
      </c>
      <c r="S664" s="2027">
        <v>350000</v>
      </c>
      <c r="T664" s="2027">
        <v>0</v>
      </c>
      <c r="U664" s="2027">
        <f t="shared" si="280"/>
        <v>350000</v>
      </c>
      <c r="V664" s="2027">
        <v>0</v>
      </c>
      <c r="W664" s="2027">
        <v>50</v>
      </c>
      <c r="X664" s="2027">
        <v>0</v>
      </c>
      <c r="Y664" s="2027">
        <v>999</v>
      </c>
      <c r="Z664" s="2030">
        <v>680</v>
      </c>
      <c r="AA664" s="2030">
        <v>699</v>
      </c>
      <c r="AB664" s="2030">
        <v>0</v>
      </c>
      <c r="AC664" s="2030">
        <v>999999</v>
      </c>
      <c r="AD664" s="2027">
        <v>0</v>
      </c>
      <c r="AE664" s="1483">
        <v>70</v>
      </c>
      <c r="AF664" s="170">
        <v>1</v>
      </c>
      <c r="AG664" s="171">
        <v>0</v>
      </c>
      <c r="AH664" s="171">
        <v>1</v>
      </c>
      <c r="AI664" s="171">
        <v>1</v>
      </c>
      <c r="AJ664" s="171">
        <v>0</v>
      </c>
      <c r="AK664" s="171">
        <v>1</v>
      </c>
      <c r="AL664" s="171">
        <v>1</v>
      </c>
      <c r="AM664" s="171">
        <v>1</v>
      </c>
      <c r="AN664" s="171">
        <v>1</v>
      </c>
      <c r="AO664" s="171">
        <v>1</v>
      </c>
      <c r="AP664" s="171">
        <v>1</v>
      </c>
      <c r="AQ664" s="171">
        <v>1</v>
      </c>
      <c r="AR664" s="171">
        <v>1</v>
      </c>
      <c r="AS664" s="171">
        <v>1</v>
      </c>
      <c r="AT664" s="171">
        <v>1</v>
      </c>
      <c r="AU664" s="171">
        <f t="shared" si="270"/>
        <v>1</v>
      </c>
      <c r="AV664" s="171">
        <f t="shared" si="271"/>
        <v>1</v>
      </c>
      <c r="AW664" s="171">
        <f t="shared" si="272"/>
        <v>1</v>
      </c>
      <c r="AX664" s="171">
        <f t="shared" si="284"/>
        <v>1</v>
      </c>
      <c r="AY664" s="171">
        <f t="shared" si="273"/>
        <v>0</v>
      </c>
      <c r="AZ664" s="171">
        <f t="shared" si="274"/>
        <v>1</v>
      </c>
      <c r="BA664" s="172">
        <f t="shared" si="275"/>
        <v>1</v>
      </c>
      <c r="BB664" s="175">
        <f t="shared" si="281"/>
        <v>19</v>
      </c>
      <c r="BC664" s="176">
        <f t="shared" si="282"/>
        <v>18</v>
      </c>
      <c r="BD664" s="176">
        <f t="shared" si="283"/>
        <v>18</v>
      </c>
      <c r="BE664" s="240" t="str">
        <f t="shared" si="289"/>
        <v/>
      </c>
      <c r="BF664" s="234"/>
      <c r="BG664" s="234"/>
      <c r="BH664" s="1907">
        <f>IF(AND(Input_Product=Elig!$C664,Elig_MatchAll_Ct&lt;22,$BC664=(Elig_MatchAll_Ct-1),AF664=0),C664,0)</f>
        <v>0</v>
      </c>
      <c r="BI664" s="1907">
        <f>IF(AND(Input_Product=Elig!$C664,Elig_MatchAll_Ct&lt;22,$BC664=(Elig_MatchAll_Ct-1),AG664=0),D664,0)</f>
        <v>0</v>
      </c>
      <c r="BJ664" s="1907">
        <f>IF(AND(Input_Product=Elig!$C664,Elig_MatchAll_Ct&lt;22,$BC664=(Elig_MatchAll_Ct-1),AH664=0),E664,0)</f>
        <v>0</v>
      </c>
      <c r="BK664" s="1907">
        <f>IF(AND(Input_Product=Elig!$C664,Elig_MatchAll_Ct&lt;22,$BC664=(Elig_MatchAll_Ct-1),AI664=0),F664,0)</f>
        <v>0</v>
      </c>
      <c r="BL664" s="1907">
        <f>IF(AND(Input_Product=Elig!$C664,Elig_MatchAll_Ct&lt;22,$BC664=(Elig_MatchAll_Ct-1),AJ664=0),G664,0)</f>
        <v>0</v>
      </c>
      <c r="BM664" s="1907">
        <f>IF(AND(Input_Product=Elig!$C664,Elig_MatchAll_Ct&lt;22,$BC664=(Elig_MatchAll_Ct-1),AK664=0),H664,0)</f>
        <v>0</v>
      </c>
      <c r="BN664" s="1907">
        <f>IF(AND(Input_Product=Elig!$C664,Elig_MatchAll_Ct&lt;22,$BC664=(Elig_MatchAll_Ct-1),AL664=0),I664,0)</f>
        <v>0</v>
      </c>
      <c r="BO664" s="1907">
        <f>IF(AND(Input_Product=Elig!$C664,Elig_MatchAll_Ct&lt;22,$BC664=(Elig_MatchAll_Ct-1),AM664=0),J664,0)</f>
        <v>0</v>
      </c>
      <c r="BP664" s="1907">
        <f>IF(AND(Input_Product=Elig!$C664,Elig_MatchAll_Ct&lt;22,$BC664=(Elig_MatchAll_Ct-1),AN664=0),K664,0)</f>
        <v>0</v>
      </c>
      <c r="BQ664" s="1907">
        <f>IF(AND(Input_Product=Elig!$C664,Elig_MatchAll_Ct&lt;22,$BC664=(Elig_MatchAll_Ct-1),AP664=0),L664,0)</f>
        <v>0</v>
      </c>
      <c r="BR664" s="1907">
        <f>IF(AND(Input_Product=Elig!$C664,Elig_MatchAll_Ct&lt;22,$BC664=(Elig_MatchAll_Ct-1),AO664=0),M664,0)</f>
        <v>0</v>
      </c>
      <c r="BS664" s="1907">
        <f>IF(AND(Input_Product=Elig!$C664,Elig_MatchAll_Ct&lt;22,$BC664=(Elig_MatchAll_Ct-1),AQ664=0),N664,0)</f>
        <v>0</v>
      </c>
      <c r="BT664" s="1907">
        <f>IF(AND(Input_Product=Elig!$C664,Elig_MatchAll_Ct&lt;22,$BC664=(Elig_MatchAll_Ct-1),AR664=0),O664,0)</f>
        <v>0</v>
      </c>
      <c r="BU664" s="1907">
        <f>IF(AND(Input_Product=Elig!$C664,Elig_MatchAll_Ct&lt;22,$BC664=(Elig_MatchAll_Ct-1),AS664=0),P664,0)</f>
        <v>0</v>
      </c>
      <c r="BV664" s="1908">
        <f>IF(AND(Input_Product=Elig!$C664,Elig_MatchAll_Ct&lt;22,$BC664=(Elig_MatchAll_Ct-1),AT664=0),Q664,0)</f>
        <v>0</v>
      </c>
      <c r="BW664" s="1909">
        <f>IF(AND(Input_Product=Elig!$C664,Elig_MatchAll_Ct&lt;22,$BC664=(Elig_MatchAll_Ct-1),AU664=0),R664,0)</f>
        <v>0</v>
      </c>
      <c r="BX664" s="1910">
        <f>IF(AND(Input_Product=Elig!$C664,Elig_MatchAll_Ct&lt;22,$BC664=(Elig_MatchAll_Ct-1),AU664=0),S664,0)</f>
        <v>0</v>
      </c>
      <c r="BY664" s="1909">
        <f>IF(AND(Input_Product=Elig!$C664,Elig_MatchAll_Ct&lt;22,$BC664=(Elig_MatchAll_Ct-1),AV664=0),T664,0)</f>
        <v>0</v>
      </c>
      <c r="BZ664" s="1910">
        <f>IF(AND(Input_Product=Elig!$C664,Elig_MatchAll_Ct&lt;22,$BC664=(Elig_MatchAll_Ct-1),AV664=0),U664,0)</f>
        <v>0</v>
      </c>
      <c r="CA664" s="1909">
        <f>IF(AND(Input_Product=Elig!$C664,Elig_MatchAll_Ct&lt;22,$BC664=(Elig_MatchAll_Ct-1),AW664=0),V664,0)</f>
        <v>0</v>
      </c>
      <c r="CB664" s="1910">
        <f>IF(AND(Input_Product=Elig!$C664,Elig_MatchAll_Ct&lt;22,$BC664=(Elig_MatchAll_Ct-1),AW664=0),W664,0)</f>
        <v>0</v>
      </c>
      <c r="CC664" s="1909">
        <f>IF(AND(Input_Product=Elig!$C664,Elig_MatchAll_Ct&lt;22,$BC664=(Elig_MatchAll_Ct-1),AX664=0),X664,0)</f>
        <v>0</v>
      </c>
      <c r="CD664" s="1910">
        <f>IF(AND(Input_Product=Elig!$C664,Elig_MatchAll_Ct&lt;22,$BC664=(Elig_MatchAll_Ct-1),AX664=0),Y664,0)</f>
        <v>0</v>
      </c>
      <c r="CE664" s="1909">
        <f>IF(AND(Input_LTV&lt;=AE664,Input_Product=Elig!$C664,Elig_MatchAll_Ct&lt;22,$BC664=(Elig_MatchAll_Ct-1),AY664=0),Z664,0)</f>
        <v>0</v>
      </c>
      <c r="CF664" s="1910">
        <f>IF(AND(Input_LTV&lt;=AE664,Input_Product=Elig!$C664,Elig_MatchAll_Ct&lt;22,$BC664=(Elig_MatchAll_Ct-1),AY664=0),AA664,0)</f>
        <v>0</v>
      </c>
      <c r="CG664" s="1909">
        <f>IF(AND(Input_Product=Elig!$C664,Elig_MatchAll_Ct&lt;22,$BC664=(Elig_MatchAll_Ct-1),AZ664=0),AB664,0)</f>
        <v>0</v>
      </c>
      <c r="CH664" s="1910">
        <f>IF(AND(Input_Product=Elig!$C664,Elig_MatchAll_Ct&lt;22,$BC664=(Elig_MatchAll_Ct-1),AZ664=0),AC664,0)</f>
        <v>0</v>
      </c>
      <c r="CI664" s="1909">
        <f>IF(AND(Input_Product=Elig!$C664,Elig_MatchAll_Ct&lt;22,$BC664=(Elig_MatchAll_Ct-1),BA664=0),AD664,0)</f>
        <v>0</v>
      </c>
      <c r="CJ664" s="1910">
        <f>IF(AND(Input_Product=Elig!$C664,Elig_MatchAll_Ct&lt;22,$BC664=(Elig_MatchAll_Ct-1),BA664=0),AE664,0)</f>
        <v>0</v>
      </c>
    </row>
    <row r="665" spans="2:88" ht="10.15" customHeight="1" x14ac:dyDescent="0.25">
      <c r="B665" s="2027" t="s">
        <v>1578</v>
      </c>
      <c r="C665" s="2032" t="str">
        <f t="shared" si="279"/>
        <v>Second OO</v>
      </c>
      <c r="D665" s="2031" t="s">
        <v>1302</v>
      </c>
      <c r="E665" s="2031" t="s">
        <v>98</v>
      </c>
      <c r="F665" s="2031" t="s">
        <v>328</v>
      </c>
      <c r="G665" s="2033" t="s">
        <v>179</v>
      </c>
      <c r="H665" s="2033" t="s">
        <v>136</v>
      </c>
      <c r="I665" s="2031" t="s">
        <v>1332</v>
      </c>
      <c r="J665" s="2031" t="s">
        <v>1311</v>
      </c>
      <c r="K665" s="2033" t="s">
        <v>1790</v>
      </c>
      <c r="L665" s="2031" t="s">
        <v>430</v>
      </c>
      <c r="M665" s="2031" t="s">
        <v>2677</v>
      </c>
      <c r="N665" s="2033" t="s">
        <v>82</v>
      </c>
      <c r="O665" s="2031" t="s">
        <v>310</v>
      </c>
      <c r="P665" s="2031" t="s">
        <v>291</v>
      </c>
      <c r="Q665" s="2031" t="s">
        <v>294</v>
      </c>
      <c r="R665" s="2031">
        <v>200000</v>
      </c>
      <c r="S665" s="2031">
        <v>350000</v>
      </c>
      <c r="T665" s="2031">
        <v>0</v>
      </c>
      <c r="U665" s="2031">
        <f t="shared" si="280"/>
        <v>350000</v>
      </c>
      <c r="V665" s="2031">
        <v>0</v>
      </c>
      <c r="W665" s="2031">
        <v>50</v>
      </c>
      <c r="X665" s="2031">
        <v>0</v>
      </c>
      <c r="Y665" s="2031">
        <v>999</v>
      </c>
      <c r="Z665" s="2034">
        <v>660</v>
      </c>
      <c r="AA665" s="2034">
        <v>679</v>
      </c>
      <c r="AB665" s="2034">
        <v>0</v>
      </c>
      <c r="AC665" s="2034">
        <v>999999</v>
      </c>
      <c r="AD665" s="2031">
        <v>0</v>
      </c>
      <c r="AE665" s="1484">
        <v>65</v>
      </c>
      <c r="AF665" s="170">
        <v>1</v>
      </c>
      <c r="AG665" s="171">
        <v>0</v>
      </c>
      <c r="AH665" s="171">
        <v>1</v>
      </c>
      <c r="AI665" s="171">
        <v>1</v>
      </c>
      <c r="AJ665" s="171">
        <v>0</v>
      </c>
      <c r="AK665" s="171">
        <v>1</v>
      </c>
      <c r="AL665" s="171">
        <v>1</v>
      </c>
      <c r="AM665" s="171">
        <v>1</v>
      </c>
      <c r="AN665" s="171">
        <v>1</v>
      </c>
      <c r="AO665" s="171">
        <v>1</v>
      </c>
      <c r="AP665" s="171">
        <v>1</v>
      </c>
      <c r="AQ665" s="171">
        <v>1</v>
      </c>
      <c r="AR665" s="171">
        <v>1</v>
      </c>
      <c r="AS665" s="171">
        <v>1</v>
      </c>
      <c r="AT665" s="171">
        <v>1</v>
      </c>
      <c r="AU665" s="171">
        <f t="shared" si="270"/>
        <v>1</v>
      </c>
      <c r="AV665" s="171">
        <f t="shared" si="271"/>
        <v>1</v>
      </c>
      <c r="AW665" s="171">
        <f t="shared" si="272"/>
        <v>1</v>
      </c>
      <c r="AX665" s="171">
        <f t="shared" si="284"/>
        <v>1</v>
      </c>
      <c r="AY665" s="171">
        <f t="shared" si="273"/>
        <v>0</v>
      </c>
      <c r="AZ665" s="171">
        <f t="shared" si="274"/>
        <v>1</v>
      </c>
      <c r="BA665" s="172">
        <f t="shared" si="275"/>
        <v>1</v>
      </c>
      <c r="BB665" s="175">
        <f t="shared" si="281"/>
        <v>19</v>
      </c>
      <c r="BC665" s="176">
        <f t="shared" si="282"/>
        <v>18</v>
      </c>
      <c r="BD665" s="176">
        <f t="shared" si="283"/>
        <v>18</v>
      </c>
      <c r="BE665" s="240" t="str">
        <f t="shared" si="289"/>
        <v/>
      </c>
      <c r="BF665" s="234"/>
      <c r="BG665" s="234"/>
      <c r="BH665" s="1907">
        <f>IF(AND(Input_Product=Elig!$C665,Elig_MatchAll_Ct&lt;22,$BC665=(Elig_MatchAll_Ct-1),AF665=0),C665,0)</f>
        <v>0</v>
      </c>
      <c r="BI665" s="1907">
        <f>IF(AND(Input_Product=Elig!$C665,Elig_MatchAll_Ct&lt;22,$BC665=(Elig_MatchAll_Ct-1),AG665=0),D665,0)</f>
        <v>0</v>
      </c>
      <c r="BJ665" s="1907">
        <f>IF(AND(Input_Product=Elig!$C665,Elig_MatchAll_Ct&lt;22,$BC665=(Elig_MatchAll_Ct-1),AH665=0),E665,0)</f>
        <v>0</v>
      </c>
      <c r="BK665" s="1907">
        <f>IF(AND(Input_Product=Elig!$C665,Elig_MatchAll_Ct&lt;22,$BC665=(Elig_MatchAll_Ct-1),AI665=0),F665,0)</f>
        <v>0</v>
      </c>
      <c r="BL665" s="1907">
        <f>IF(AND(Input_Product=Elig!$C665,Elig_MatchAll_Ct&lt;22,$BC665=(Elig_MatchAll_Ct-1),AJ665=0),G665,0)</f>
        <v>0</v>
      </c>
      <c r="BM665" s="1907">
        <f>IF(AND(Input_Product=Elig!$C665,Elig_MatchAll_Ct&lt;22,$BC665=(Elig_MatchAll_Ct-1),AK665=0),H665,0)</f>
        <v>0</v>
      </c>
      <c r="BN665" s="1907">
        <f>IF(AND(Input_Product=Elig!$C665,Elig_MatchAll_Ct&lt;22,$BC665=(Elig_MatchAll_Ct-1),AL665=0),I665,0)</f>
        <v>0</v>
      </c>
      <c r="BO665" s="1907">
        <f>IF(AND(Input_Product=Elig!$C665,Elig_MatchAll_Ct&lt;22,$BC665=(Elig_MatchAll_Ct-1),AM665=0),J665,0)</f>
        <v>0</v>
      </c>
      <c r="BP665" s="1907">
        <f>IF(AND(Input_Product=Elig!$C665,Elig_MatchAll_Ct&lt;22,$BC665=(Elig_MatchAll_Ct-1),AN665=0),K665,0)</f>
        <v>0</v>
      </c>
      <c r="BQ665" s="1907">
        <f>IF(AND(Input_Product=Elig!$C665,Elig_MatchAll_Ct&lt;22,$BC665=(Elig_MatchAll_Ct-1),AP665=0),L665,0)</f>
        <v>0</v>
      </c>
      <c r="BR665" s="1907">
        <f>IF(AND(Input_Product=Elig!$C665,Elig_MatchAll_Ct&lt;22,$BC665=(Elig_MatchAll_Ct-1),AO665=0),M665,0)</f>
        <v>0</v>
      </c>
      <c r="BS665" s="1907">
        <f>IF(AND(Input_Product=Elig!$C665,Elig_MatchAll_Ct&lt;22,$BC665=(Elig_MatchAll_Ct-1),AQ665=0),N665,0)</f>
        <v>0</v>
      </c>
      <c r="BT665" s="1907">
        <f>IF(AND(Input_Product=Elig!$C665,Elig_MatchAll_Ct&lt;22,$BC665=(Elig_MatchAll_Ct-1),AR665=0),O665,0)</f>
        <v>0</v>
      </c>
      <c r="BU665" s="1907">
        <f>IF(AND(Input_Product=Elig!$C665,Elig_MatchAll_Ct&lt;22,$BC665=(Elig_MatchAll_Ct-1),AS665=0),P665,0)</f>
        <v>0</v>
      </c>
      <c r="BV665" s="1908">
        <f>IF(AND(Input_Product=Elig!$C665,Elig_MatchAll_Ct&lt;22,$BC665=(Elig_MatchAll_Ct-1),AT665=0),Q665,0)</f>
        <v>0</v>
      </c>
      <c r="BW665" s="1909">
        <f>IF(AND(Input_Product=Elig!$C665,Elig_MatchAll_Ct&lt;22,$BC665=(Elig_MatchAll_Ct-1),AU665=0),R665,0)</f>
        <v>0</v>
      </c>
      <c r="BX665" s="1910">
        <f>IF(AND(Input_Product=Elig!$C665,Elig_MatchAll_Ct&lt;22,$BC665=(Elig_MatchAll_Ct-1),AU665=0),S665,0)</f>
        <v>0</v>
      </c>
      <c r="BY665" s="1909">
        <f>IF(AND(Input_Product=Elig!$C665,Elig_MatchAll_Ct&lt;22,$BC665=(Elig_MatchAll_Ct-1),AV665=0),T665,0)</f>
        <v>0</v>
      </c>
      <c r="BZ665" s="1910">
        <f>IF(AND(Input_Product=Elig!$C665,Elig_MatchAll_Ct&lt;22,$BC665=(Elig_MatchAll_Ct-1),AV665=0),U665,0)</f>
        <v>0</v>
      </c>
      <c r="CA665" s="1909">
        <f>IF(AND(Input_Product=Elig!$C665,Elig_MatchAll_Ct&lt;22,$BC665=(Elig_MatchAll_Ct-1),AW665=0),V665,0)</f>
        <v>0</v>
      </c>
      <c r="CB665" s="1910">
        <f>IF(AND(Input_Product=Elig!$C665,Elig_MatchAll_Ct&lt;22,$BC665=(Elig_MatchAll_Ct-1),AW665=0),W665,0)</f>
        <v>0</v>
      </c>
      <c r="CC665" s="1909">
        <f>IF(AND(Input_Product=Elig!$C665,Elig_MatchAll_Ct&lt;22,$BC665=(Elig_MatchAll_Ct-1),AX665=0),X665,0)</f>
        <v>0</v>
      </c>
      <c r="CD665" s="1910">
        <f>IF(AND(Input_Product=Elig!$C665,Elig_MatchAll_Ct&lt;22,$BC665=(Elig_MatchAll_Ct-1),AX665=0),Y665,0)</f>
        <v>0</v>
      </c>
      <c r="CE665" s="1909">
        <f>IF(AND(Input_LTV&lt;=AE665,Input_Product=Elig!$C665,Elig_MatchAll_Ct&lt;22,$BC665=(Elig_MatchAll_Ct-1),AY665=0),Z665,0)</f>
        <v>0</v>
      </c>
      <c r="CF665" s="1910">
        <f>IF(AND(Input_LTV&lt;=AE665,Input_Product=Elig!$C665,Elig_MatchAll_Ct&lt;22,$BC665=(Elig_MatchAll_Ct-1),AY665=0),AA665,0)</f>
        <v>0</v>
      </c>
      <c r="CG665" s="1909">
        <f>IF(AND(Input_Product=Elig!$C665,Elig_MatchAll_Ct&lt;22,$BC665=(Elig_MatchAll_Ct-1),AZ665=0),AB665,0)</f>
        <v>0</v>
      </c>
      <c r="CH665" s="1910">
        <f>IF(AND(Input_Product=Elig!$C665,Elig_MatchAll_Ct&lt;22,$BC665=(Elig_MatchAll_Ct-1),AZ665=0),AC665,0)</f>
        <v>0</v>
      </c>
      <c r="CI665" s="1909">
        <f>IF(AND(Input_Product=Elig!$C665,Elig_MatchAll_Ct&lt;22,$BC665=(Elig_MatchAll_Ct-1),BA665=0),AD665,0)</f>
        <v>0</v>
      </c>
      <c r="CJ665" s="1910">
        <f>IF(AND(Input_Product=Elig!$C665,Elig_MatchAll_Ct&lt;22,$BC665=(Elig_MatchAll_Ct-1),BA665=0),AE665,0)</f>
        <v>0</v>
      </c>
    </row>
    <row r="666" spans="2:88" ht="10.15" customHeight="1" x14ac:dyDescent="0.25">
      <c r="B666" s="2027" t="s">
        <v>1579</v>
      </c>
      <c r="C666" s="2024" t="str">
        <f t="shared" si="279"/>
        <v>Second OO</v>
      </c>
      <c r="D666" s="2025" t="s">
        <v>1561</v>
      </c>
      <c r="E666" s="2025" t="s">
        <v>98</v>
      </c>
      <c r="F666" s="2025" t="s">
        <v>329</v>
      </c>
      <c r="G666" s="2025" t="s">
        <v>303</v>
      </c>
      <c r="H666" s="2025" t="s">
        <v>136</v>
      </c>
      <c r="I666" s="2023" t="s">
        <v>1332</v>
      </c>
      <c r="J666" s="2023" t="s">
        <v>1311</v>
      </c>
      <c r="K666" s="2025" t="s">
        <v>1790</v>
      </c>
      <c r="L666" s="2023" t="s">
        <v>430</v>
      </c>
      <c r="M666" s="2023" t="s">
        <v>2677</v>
      </c>
      <c r="N666" s="2025" t="s">
        <v>82</v>
      </c>
      <c r="O666" s="2023" t="s">
        <v>310</v>
      </c>
      <c r="P666" s="2023" t="s">
        <v>291</v>
      </c>
      <c r="Q666" s="2023" t="s">
        <v>294</v>
      </c>
      <c r="R666" s="2023">
        <v>50000</v>
      </c>
      <c r="S666" s="2023">
        <v>350000</v>
      </c>
      <c r="T666" s="2023">
        <v>0</v>
      </c>
      <c r="U666" s="2023">
        <f t="shared" si="280"/>
        <v>350000</v>
      </c>
      <c r="V666" s="2023">
        <v>0</v>
      </c>
      <c r="W666" s="2023">
        <v>50</v>
      </c>
      <c r="X666" s="2023">
        <v>0</v>
      </c>
      <c r="Y666" s="2023">
        <v>999</v>
      </c>
      <c r="Z666" s="2026">
        <v>720</v>
      </c>
      <c r="AA666" s="2026">
        <v>999</v>
      </c>
      <c r="AB666" s="2026">
        <v>0</v>
      </c>
      <c r="AC666" s="2026">
        <v>999999</v>
      </c>
      <c r="AD666" s="2023">
        <v>0</v>
      </c>
      <c r="AE666" s="1482">
        <v>80</v>
      </c>
      <c r="AF666" s="170">
        <v>1</v>
      </c>
      <c r="AG666" s="171">
        <v>1</v>
      </c>
      <c r="AH666" s="171">
        <v>1</v>
      </c>
      <c r="AI666" s="171">
        <v>0</v>
      </c>
      <c r="AJ666" s="171">
        <v>1</v>
      </c>
      <c r="AK666" s="171">
        <v>1</v>
      </c>
      <c r="AL666" s="171">
        <v>1</v>
      </c>
      <c r="AM666" s="171">
        <v>1</v>
      </c>
      <c r="AN666" s="171">
        <v>1</v>
      </c>
      <c r="AO666" s="171">
        <v>1</v>
      </c>
      <c r="AP666" s="171">
        <v>1</v>
      </c>
      <c r="AQ666" s="171">
        <v>1</v>
      </c>
      <c r="AR666" s="171">
        <v>1</v>
      </c>
      <c r="AS666" s="171">
        <v>1</v>
      </c>
      <c r="AT666" s="171">
        <v>1</v>
      </c>
      <c r="AU666" s="171">
        <f t="shared" si="270"/>
        <v>1</v>
      </c>
      <c r="AV666" s="171">
        <f t="shared" si="271"/>
        <v>1</v>
      </c>
      <c r="AW666" s="171">
        <f t="shared" si="272"/>
        <v>1</v>
      </c>
      <c r="AX666" s="171">
        <f t="shared" si="284"/>
        <v>1</v>
      </c>
      <c r="AY666" s="171">
        <f t="shared" si="273"/>
        <v>1</v>
      </c>
      <c r="AZ666" s="171">
        <f t="shared" si="274"/>
        <v>1</v>
      </c>
      <c r="BA666" s="172">
        <f t="shared" si="275"/>
        <v>1</v>
      </c>
      <c r="BB666" s="175">
        <f t="shared" si="281"/>
        <v>21</v>
      </c>
      <c r="BC666" s="176">
        <f t="shared" si="282"/>
        <v>20</v>
      </c>
      <c r="BD666" s="176">
        <f t="shared" si="283"/>
        <v>20</v>
      </c>
      <c r="BE666" s="240" t="str">
        <f t="shared" si="289"/>
        <v/>
      </c>
      <c r="BF666" s="220"/>
      <c r="BG666" s="220"/>
      <c r="BH666" s="216">
        <f>IF(AND(Input_Product=Elig!$C666,Elig_MatchAll_Ct&lt;22,$BC666=(Elig_MatchAll_Ct-1),AF666=0),C666,0)</f>
        <v>0</v>
      </c>
      <c r="BI666" s="216">
        <f>IF(AND(Input_Product=Elig!$C666,Elig_MatchAll_Ct&lt;22,$BC666=(Elig_MatchAll_Ct-1),AG666=0),D666,0)</f>
        <v>0</v>
      </c>
      <c r="BJ666" s="216">
        <f>IF(AND(Input_Product=Elig!$C666,Elig_MatchAll_Ct&lt;22,$BC666=(Elig_MatchAll_Ct-1),AH666=0),E666,0)</f>
        <v>0</v>
      </c>
      <c r="BK666" s="216">
        <f>IF(AND(Input_Product=Elig!$C666,Elig_MatchAll_Ct&lt;22,$BC666=(Elig_MatchAll_Ct-1),AI666=0),F666,0)</f>
        <v>0</v>
      </c>
      <c r="BL666" s="216">
        <f>IF(AND(Input_Product=Elig!$C666,Elig_MatchAll_Ct&lt;22,$BC666=(Elig_MatchAll_Ct-1),AJ666=0),G666,0)</f>
        <v>0</v>
      </c>
      <c r="BM666" s="216">
        <f>IF(AND(Input_Product=Elig!$C666,Elig_MatchAll_Ct&lt;22,$BC666=(Elig_MatchAll_Ct-1),AK666=0),H666,0)</f>
        <v>0</v>
      </c>
      <c r="BN666" s="216">
        <f>IF(AND(Input_Product=Elig!$C666,Elig_MatchAll_Ct&lt;22,$BC666=(Elig_MatchAll_Ct-1),AL666=0),I666,0)</f>
        <v>0</v>
      </c>
      <c r="BO666" s="216">
        <f>IF(AND(Input_Product=Elig!$C666,Elig_MatchAll_Ct&lt;22,$BC666=(Elig_MatchAll_Ct-1),AM666=0),J666,0)</f>
        <v>0</v>
      </c>
      <c r="BP666" s="216">
        <f>IF(AND(Input_Product=Elig!$C666,Elig_MatchAll_Ct&lt;22,$BC666=(Elig_MatchAll_Ct-1),AN666=0),K666,0)</f>
        <v>0</v>
      </c>
      <c r="BQ666" s="216">
        <f>IF(AND(Input_Product=Elig!$C666,Elig_MatchAll_Ct&lt;22,$BC666=(Elig_MatchAll_Ct-1),AP666=0),L666,0)</f>
        <v>0</v>
      </c>
      <c r="BR666" s="216">
        <f>IF(AND(Input_Product=Elig!$C666,Elig_MatchAll_Ct&lt;22,$BC666=(Elig_MatchAll_Ct-1),AO666=0),M666,0)</f>
        <v>0</v>
      </c>
      <c r="BS666" s="216">
        <f>IF(AND(Input_Product=Elig!$C666,Elig_MatchAll_Ct&lt;22,$BC666=(Elig_MatchAll_Ct-1),AQ666=0),N666,0)</f>
        <v>0</v>
      </c>
      <c r="BT666" s="216">
        <f>IF(AND(Input_Product=Elig!$C666,Elig_MatchAll_Ct&lt;22,$BC666=(Elig_MatchAll_Ct-1),AR666=0),O666,0)</f>
        <v>0</v>
      </c>
      <c r="BU666" s="216">
        <f>IF(AND(Input_Product=Elig!$C666,Elig_MatchAll_Ct&lt;22,$BC666=(Elig_MatchAll_Ct-1),AS666=0),P666,0)</f>
        <v>0</v>
      </c>
      <c r="BV666" s="217">
        <f>IF(AND(Input_Product=Elig!$C666,Elig_MatchAll_Ct&lt;22,$BC666=(Elig_MatchAll_Ct-1),AT666=0),Q666,0)</f>
        <v>0</v>
      </c>
      <c r="BW666" s="313">
        <f>IF(AND(Input_Product=Elig!$C666,Elig_MatchAll_Ct&lt;22,$BC666=(Elig_MatchAll_Ct-1),AU666=0),R666,0)</f>
        <v>0</v>
      </c>
      <c r="BX666" s="314">
        <f>IF(AND(Input_Product=Elig!$C666,Elig_MatchAll_Ct&lt;22,$BC666=(Elig_MatchAll_Ct-1),AU666=0),S666,0)</f>
        <v>0</v>
      </c>
      <c r="BY666" s="313">
        <f>IF(AND(Input_Product=Elig!$C666,Elig_MatchAll_Ct&lt;22,$BC666=(Elig_MatchAll_Ct-1),AV666=0),T666,0)</f>
        <v>0</v>
      </c>
      <c r="BZ666" s="314">
        <f>IF(AND(Input_Product=Elig!$C666,Elig_MatchAll_Ct&lt;22,$BC666=(Elig_MatchAll_Ct-1),AV666=0),U666,0)</f>
        <v>0</v>
      </c>
      <c r="CA666" s="313">
        <f>IF(AND(Input_Product=Elig!$C666,Elig_MatchAll_Ct&lt;22,$BC666=(Elig_MatchAll_Ct-1),AW666=0),V666,0)</f>
        <v>0</v>
      </c>
      <c r="CB666" s="314">
        <f>IF(AND(Input_Product=Elig!$C666,Elig_MatchAll_Ct&lt;22,$BC666=(Elig_MatchAll_Ct-1),AW666=0),W666,0)</f>
        <v>0</v>
      </c>
      <c r="CC666" s="313">
        <f>IF(AND(Input_Product=Elig!$C666,Elig_MatchAll_Ct&lt;22,$BC666=(Elig_MatchAll_Ct-1),AX666=0),X666,0)</f>
        <v>0</v>
      </c>
      <c r="CD666" s="314">
        <f>IF(AND(Input_Product=Elig!$C666,Elig_MatchAll_Ct&lt;22,$BC666=(Elig_MatchAll_Ct-1),AX666=0),Y666,0)</f>
        <v>0</v>
      </c>
      <c r="CE666" s="313">
        <f>IF(AND(Input_LTV&lt;=AE666,Input_Product=Elig!$C666,Elig_MatchAll_Ct&lt;22,$BC666=(Elig_MatchAll_Ct-1),AY666=0),Z666,0)</f>
        <v>0</v>
      </c>
      <c r="CF666" s="314">
        <f>IF(AND(Input_LTV&lt;=AE666,Input_Product=Elig!$C666,Elig_MatchAll_Ct&lt;22,$BC666=(Elig_MatchAll_Ct-1),AY666=0),AA666,0)</f>
        <v>0</v>
      </c>
      <c r="CG666" s="313">
        <f>IF(AND(Input_Product=Elig!$C666,Elig_MatchAll_Ct&lt;22,$BC666=(Elig_MatchAll_Ct-1),AZ666=0),AB666,0)</f>
        <v>0</v>
      </c>
      <c r="CH666" s="314">
        <f>IF(AND(Input_Product=Elig!$C666,Elig_MatchAll_Ct&lt;22,$BC666=(Elig_MatchAll_Ct-1),AZ666=0),AC666,0)</f>
        <v>0</v>
      </c>
      <c r="CI666" s="313">
        <f>IF(AND(Input_Product=Elig!$C666,Elig_MatchAll_Ct&lt;22,$BC666=(Elig_MatchAll_Ct-1),BA666=0),AD666,0)</f>
        <v>0</v>
      </c>
      <c r="CJ666" s="314">
        <f>IF(AND(Input_Product=Elig!$C666,Elig_MatchAll_Ct&lt;22,$BC666=(Elig_MatchAll_Ct-1),BA666=0),AE666,0)</f>
        <v>0</v>
      </c>
    </row>
    <row r="667" spans="2:88" ht="10.15" customHeight="1" x14ac:dyDescent="0.25">
      <c r="B667" s="2027" t="s">
        <v>1580</v>
      </c>
      <c r="C667" s="2028" t="str">
        <f t="shared" si="279"/>
        <v>Second OO</v>
      </c>
      <c r="D667" s="2027" t="s">
        <v>1561</v>
      </c>
      <c r="E667" s="2027" t="s">
        <v>98</v>
      </c>
      <c r="F667" s="2027" t="s">
        <v>329</v>
      </c>
      <c r="G667" s="2029" t="s">
        <v>303</v>
      </c>
      <c r="H667" s="2029" t="s">
        <v>136</v>
      </c>
      <c r="I667" s="2027" t="s">
        <v>1332</v>
      </c>
      <c r="J667" s="2027" t="s">
        <v>1311</v>
      </c>
      <c r="K667" s="2029" t="s">
        <v>1790</v>
      </c>
      <c r="L667" s="2027" t="s">
        <v>430</v>
      </c>
      <c r="M667" s="2027" t="s">
        <v>2677</v>
      </c>
      <c r="N667" s="2029" t="s">
        <v>82</v>
      </c>
      <c r="O667" s="2027" t="s">
        <v>310</v>
      </c>
      <c r="P667" s="2027" t="s">
        <v>291</v>
      </c>
      <c r="Q667" s="2027" t="s">
        <v>294</v>
      </c>
      <c r="R667" s="2027">
        <v>50000</v>
      </c>
      <c r="S667" s="2027">
        <v>350000</v>
      </c>
      <c r="T667" s="2027">
        <v>0</v>
      </c>
      <c r="U667" s="2027">
        <f t="shared" si="280"/>
        <v>350000</v>
      </c>
      <c r="V667" s="2027">
        <v>0</v>
      </c>
      <c r="W667" s="2027">
        <v>50</v>
      </c>
      <c r="X667" s="2027">
        <v>0</v>
      </c>
      <c r="Y667" s="2027">
        <v>999</v>
      </c>
      <c r="Z667" s="2030">
        <v>700</v>
      </c>
      <c r="AA667" s="2030">
        <v>719</v>
      </c>
      <c r="AB667" s="2030">
        <v>0</v>
      </c>
      <c r="AC667" s="2030">
        <v>999999</v>
      </c>
      <c r="AD667" s="2027">
        <v>0</v>
      </c>
      <c r="AE667" s="1483">
        <v>80</v>
      </c>
      <c r="AF667" s="170">
        <v>1</v>
      </c>
      <c r="AG667" s="171">
        <v>1</v>
      </c>
      <c r="AH667" s="171">
        <v>1</v>
      </c>
      <c r="AI667" s="171">
        <v>0</v>
      </c>
      <c r="AJ667" s="171">
        <v>1</v>
      </c>
      <c r="AK667" s="171">
        <v>1</v>
      </c>
      <c r="AL667" s="171">
        <v>1</v>
      </c>
      <c r="AM667" s="171">
        <v>1</v>
      </c>
      <c r="AN667" s="171">
        <v>1</v>
      </c>
      <c r="AO667" s="171">
        <v>1</v>
      </c>
      <c r="AP667" s="171">
        <v>1</v>
      </c>
      <c r="AQ667" s="171">
        <v>1</v>
      </c>
      <c r="AR667" s="171">
        <v>1</v>
      </c>
      <c r="AS667" s="171">
        <v>1</v>
      </c>
      <c r="AT667" s="171">
        <v>1</v>
      </c>
      <c r="AU667" s="171">
        <f t="shared" si="270"/>
        <v>1</v>
      </c>
      <c r="AV667" s="171">
        <f t="shared" si="271"/>
        <v>1</v>
      </c>
      <c r="AW667" s="171">
        <f t="shared" si="272"/>
        <v>1</v>
      </c>
      <c r="AX667" s="171">
        <f t="shared" si="284"/>
        <v>1</v>
      </c>
      <c r="AY667" s="171">
        <f t="shared" si="273"/>
        <v>0</v>
      </c>
      <c r="AZ667" s="171">
        <f t="shared" si="274"/>
        <v>1</v>
      </c>
      <c r="BA667" s="172">
        <f t="shared" si="275"/>
        <v>1</v>
      </c>
      <c r="BB667" s="175">
        <f t="shared" si="281"/>
        <v>20</v>
      </c>
      <c r="BC667" s="176">
        <f t="shared" si="282"/>
        <v>19</v>
      </c>
      <c r="BD667" s="176">
        <f t="shared" si="283"/>
        <v>19</v>
      </c>
      <c r="BE667" s="240" t="str">
        <f t="shared" si="289"/>
        <v/>
      </c>
      <c r="BF667" s="234"/>
      <c r="BG667" s="234"/>
      <c r="BH667" s="199">
        <f>IF(AND(Input_Product=Elig!$C667,Elig_MatchAll_Ct&lt;22,$BC667=(Elig_MatchAll_Ct-1),AF667=0),C667,0)</f>
        <v>0</v>
      </c>
      <c r="BI667" s="199">
        <f>IF(AND(Input_Product=Elig!$C667,Elig_MatchAll_Ct&lt;22,$BC667=(Elig_MatchAll_Ct-1),AG667=0),D667,0)</f>
        <v>0</v>
      </c>
      <c r="BJ667" s="199">
        <f>IF(AND(Input_Product=Elig!$C667,Elig_MatchAll_Ct&lt;22,$BC667=(Elig_MatchAll_Ct-1),AH667=0),E667,0)</f>
        <v>0</v>
      </c>
      <c r="BK667" s="199">
        <f>IF(AND(Input_Product=Elig!$C667,Elig_MatchAll_Ct&lt;22,$BC667=(Elig_MatchAll_Ct-1),AI667=0),F667,0)</f>
        <v>0</v>
      </c>
      <c r="BL667" s="199">
        <f>IF(AND(Input_Product=Elig!$C667,Elig_MatchAll_Ct&lt;22,$BC667=(Elig_MatchAll_Ct-1),AJ667=0),G667,0)</f>
        <v>0</v>
      </c>
      <c r="BM667" s="199">
        <f>IF(AND(Input_Product=Elig!$C667,Elig_MatchAll_Ct&lt;22,$BC667=(Elig_MatchAll_Ct-1),AK667=0),H667,0)</f>
        <v>0</v>
      </c>
      <c r="BN667" s="199">
        <f>IF(AND(Input_Product=Elig!$C667,Elig_MatchAll_Ct&lt;22,$BC667=(Elig_MatchAll_Ct-1),AL667=0),I667,0)</f>
        <v>0</v>
      </c>
      <c r="BO667" s="199">
        <f>IF(AND(Input_Product=Elig!$C667,Elig_MatchAll_Ct&lt;22,$BC667=(Elig_MatchAll_Ct-1),AM667=0),J667,0)</f>
        <v>0</v>
      </c>
      <c r="BP667" s="199">
        <f>IF(AND(Input_Product=Elig!$C667,Elig_MatchAll_Ct&lt;22,$BC667=(Elig_MatchAll_Ct-1),AN667=0),K667,0)</f>
        <v>0</v>
      </c>
      <c r="BQ667" s="199">
        <f>IF(AND(Input_Product=Elig!$C667,Elig_MatchAll_Ct&lt;22,$BC667=(Elig_MatchAll_Ct-1),AP667=0),L667,0)</f>
        <v>0</v>
      </c>
      <c r="BR667" s="199">
        <f>IF(AND(Input_Product=Elig!$C667,Elig_MatchAll_Ct&lt;22,$BC667=(Elig_MatchAll_Ct-1),AO667=0),M667,0)</f>
        <v>0</v>
      </c>
      <c r="BS667" s="199">
        <f>IF(AND(Input_Product=Elig!$C667,Elig_MatchAll_Ct&lt;22,$BC667=(Elig_MatchAll_Ct-1),AQ667=0),N667,0)</f>
        <v>0</v>
      </c>
      <c r="BT667" s="199">
        <f>IF(AND(Input_Product=Elig!$C667,Elig_MatchAll_Ct&lt;22,$BC667=(Elig_MatchAll_Ct-1),AR667=0),O667,0)</f>
        <v>0</v>
      </c>
      <c r="BU667" s="199">
        <f>IF(AND(Input_Product=Elig!$C667,Elig_MatchAll_Ct&lt;22,$BC667=(Elig_MatchAll_Ct-1),AS667=0),P667,0)</f>
        <v>0</v>
      </c>
      <c r="BV667" s="200">
        <f>IF(AND(Input_Product=Elig!$C667,Elig_MatchAll_Ct&lt;22,$BC667=(Elig_MatchAll_Ct-1),AT667=0),Q667,0)</f>
        <v>0</v>
      </c>
      <c r="BW667" s="201">
        <f>IF(AND(Input_Product=Elig!$C667,Elig_MatchAll_Ct&lt;22,$BC667=(Elig_MatchAll_Ct-1),AU667=0),R667,0)</f>
        <v>0</v>
      </c>
      <c r="BX667" s="202">
        <f>IF(AND(Input_Product=Elig!$C667,Elig_MatchAll_Ct&lt;22,$BC667=(Elig_MatchAll_Ct-1),AU667=0),S667,0)</f>
        <v>0</v>
      </c>
      <c r="BY667" s="201">
        <f>IF(AND(Input_Product=Elig!$C667,Elig_MatchAll_Ct&lt;22,$BC667=(Elig_MatchAll_Ct-1),AV667=0),T667,0)</f>
        <v>0</v>
      </c>
      <c r="BZ667" s="202">
        <f>IF(AND(Input_Product=Elig!$C667,Elig_MatchAll_Ct&lt;22,$BC667=(Elig_MatchAll_Ct-1),AV667=0),U667,0)</f>
        <v>0</v>
      </c>
      <c r="CA667" s="201">
        <f>IF(AND(Input_Product=Elig!$C667,Elig_MatchAll_Ct&lt;22,$BC667=(Elig_MatchAll_Ct-1),AW667=0),V667,0)</f>
        <v>0</v>
      </c>
      <c r="CB667" s="202">
        <f>IF(AND(Input_Product=Elig!$C667,Elig_MatchAll_Ct&lt;22,$BC667=(Elig_MatchAll_Ct-1),AW667=0),W667,0)</f>
        <v>0</v>
      </c>
      <c r="CC667" s="201">
        <f>IF(AND(Input_Product=Elig!$C667,Elig_MatchAll_Ct&lt;22,$BC667=(Elig_MatchAll_Ct-1),AX667=0),X667,0)</f>
        <v>0</v>
      </c>
      <c r="CD667" s="202">
        <f>IF(AND(Input_Product=Elig!$C667,Elig_MatchAll_Ct&lt;22,$BC667=(Elig_MatchAll_Ct-1),AX667=0),Y667,0)</f>
        <v>0</v>
      </c>
      <c r="CE667" s="201">
        <f>IF(AND(Input_LTV&lt;=AE667,Input_Product=Elig!$C667,Elig_MatchAll_Ct&lt;22,$BC667=(Elig_MatchAll_Ct-1),AY667=0),Z667,0)</f>
        <v>0</v>
      </c>
      <c r="CF667" s="202">
        <f>IF(AND(Input_LTV&lt;=AE667,Input_Product=Elig!$C667,Elig_MatchAll_Ct&lt;22,$BC667=(Elig_MatchAll_Ct-1),AY667=0),AA667,0)</f>
        <v>0</v>
      </c>
      <c r="CG667" s="201">
        <f>IF(AND(Input_Product=Elig!$C667,Elig_MatchAll_Ct&lt;22,$BC667=(Elig_MatchAll_Ct-1),AZ667=0),AB667,0)</f>
        <v>0</v>
      </c>
      <c r="CH667" s="202">
        <f>IF(AND(Input_Product=Elig!$C667,Elig_MatchAll_Ct&lt;22,$BC667=(Elig_MatchAll_Ct-1),AZ667=0),AC667,0)</f>
        <v>0</v>
      </c>
      <c r="CI667" s="201">
        <f>IF(AND(Input_Product=Elig!$C667,Elig_MatchAll_Ct&lt;22,$BC667=(Elig_MatchAll_Ct-1),BA667=0),AD667,0)</f>
        <v>0</v>
      </c>
      <c r="CJ667" s="202">
        <f>IF(AND(Input_Product=Elig!$C667,Elig_MatchAll_Ct&lt;22,$BC667=(Elig_MatchAll_Ct-1),BA667=0),AE667,0)</f>
        <v>0</v>
      </c>
    </row>
    <row r="668" spans="2:88" ht="10.15" customHeight="1" x14ac:dyDescent="0.25">
      <c r="B668" s="2027" t="s">
        <v>1581</v>
      </c>
      <c r="C668" s="2028" t="str">
        <f t="shared" si="279"/>
        <v>Second OO</v>
      </c>
      <c r="D668" s="2027" t="s">
        <v>1561</v>
      </c>
      <c r="E668" s="2027" t="s">
        <v>98</v>
      </c>
      <c r="F668" s="2027" t="s">
        <v>329</v>
      </c>
      <c r="G668" s="2029" t="s">
        <v>303</v>
      </c>
      <c r="H668" s="2029" t="s">
        <v>136</v>
      </c>
      <c r="I668" s="2027" t="s">
        <v>1332</v>
      </c>
      <c r="J668" s="2027" t="s">
        <v>1311</v>
      </c>
      <c r="K668" s="2029" t="s">
        <v>1790</v>
      </c>
      <c r="L668" s="2027" t="s">
        <v>430</v>
      </c>
      <c r="M668" s="2027" t="s">
        <v>2677</v>
      </c>
      <c r="N668" s="2029" t="s">
        <v>82</v>
      </c>
      <c r="O668" s="2027" t="s">
        <v>310</v>
      </c>
      <c r="P668" s="2027" t="s">
        <v>291</v>
      </c>
      <c r="Q668" s="2027" t="s">
        <v>294</v>
      </c>
      <c r="R668" s="2027">
        <v>50000</v>
      </c>
      <c r="S668" s="2027">
        <v>350000</v>
      </c>
      <c r="T668" s="2027">
        <v>0</v>
      </c>
      <c r="U668" s="2027">
        <f t="shared" si="280"/>
        <v>350000</v>
      </c>
      <c r="V668" s="2027">
        <v>0</v>
      </c>
      <c r="W668" s="2027">
        <v>50</v>
      </c>
      <c r="X668" s="2027">
        <v>0</v>
      </c>
      <c r="Y668" s="2027">
        <v>999</v>
      </c>
      <c r="Z668" s="2030">
        <v>680</v>
      </c>
      <c r="AA668" s="2030">
        <v>699</v>
      </c>
      <c r="AB668" s="2030">
        <v>0</v>
      </c>
      <c r="AC668" s="2030">
        <v>999999</v>
      </c>
      <c r="AD668" s="2027">
        <v>0</v>
      </c>
      <c r="AE668" s="1483">
        <v>75</v>
      </c>
      <c r="AF668" s="170">
        <v>1</v>
      </c>
      <c r="AG668" s="171">
        <v>1</v>
      </c>
      <c r="AH668" s="171">
        <v>1</v>
      </c>
      <c r="AI668" s="171">
        <v>0</v>
      </c>
      <c r="AJ668" s="171">
        <v>1</v>
      </c>
      <c r="AK668" s="171">
        <v>1</v>
      </c>
      <c r="AL668" s="171">
        <v>1</v>
      </c>
      <c r="AM668" s="171">
        <v>1</v>
      </c>
      <c r="AN668" s="171">
        <v>1</v>
      </c>
      <c r="AO668" s="171">
        <v>1</v>
      </c>
      <c r="AP668" s="171">
        <v>1</v>
      </c>
      <c r="AQ668" s="171">
        <v>1</v>
      </c>
      <c r="AR668" s="171">
        <v>1</v>
      </c>
      <c r="AS668" s="171">
        <v>1</v>
      </c>
      <c r="AT668" s="171">
        <v>1</v>
      </c>
      <c r="AU668" s="171">
        <f t="shared" si="270"/>
        <v>1</v>
      </c>
      <c r="AV668" s="171">
        <f t="shared" si="271"/>
        <v>1</v>
      </c>
      <c r="AW668" s="171">
        <f t="shared" si="272"/>
        <v>1</v>
      </c>
      <c r="AX668" s="171">
        <f t="shared" si="284"/>
        <v>1</v>
      </c>
      <c r="AY668" s="171">
        <f t="shared" si="273"/>
        <v>0</v>
      </c>
      <c r="AZ668" s="171">
        <f t="shared" si="274"/>
        <v>1</v>
      </c>
      <c r="BA668" s="172">
        <f t="shared" si="275"/>
        <v>1</v>
      </c>
      <c r="BB668" s="175">
        <f t="shared" si="281"/>
        <v>20</v>
      </c>
      <c r="BC668" s="176">
        <f t="shared" si="282"/>
        <v>19</v>
      </c>
      <c r="BD668" s="176">
        <f t="shared" si="283"/>
        <v>19</v>
      </c>
      <c r="BE668" s="240" t="str">
        <f t="shared" si="289"/>
        <v/>
      </c>
      <c r="BF668" s="234"/>
      <c r="BG668" s="234"/>
      <c r="BH668" s="199">
        <f>IF(AND(Input_Product=Elig!$C668,Elig_MatchAll_Ct&lt;22,$BC668=(Elig_MatchAll_Ct-1),AF668=0),C668,0)</f>
        <v>0</v>
      </c>
      <c r="BI668" s="199">
        <f>IF(AND(Input_Product=Elig!$C668,Elig_MatchAll_Ct&lt;22,$BC668=(Elig_MatchAll_Ct-1),AG668=0),D668,0)</f>
        <v>0</v>
      </c>
      <c r="BJ668" s="199">
        <f>IF(AND(Input_Product=Elig!$C668,Elig_MatchAll_Ct&lt;22,$BC668=(Elig_MatchAll_Ct-1),AH668=0),E668,0)</f>
        <v>0</v>
      </c>
      <c r="BK668" s="199">
        <f>IF(AND(Input_Product=Elig!$C668,Elig_MatchAll_Ct&lt;22,$BC668=(Elig_MatchAll_Ct-1),AI668=0),F668,0)</f>
        <v>0</v>
      </c>
      <c r="BL668" s="199">
        <f>IF(AND(Input_Product=Elig!$C668,Elig_MatchAll_Ct&lt;22,$BC668=(Elig_MatchAll_Ct-1),AJ668=0),G668,0)</f>
        <v>0</v>
      </c>
      <c r="BM668" s="199">
        <f>IF(AND(Input_Product=Elig!$C668,Elig_MatchAll_Ct&lt;22,$BC668=(Elig_MatchAll_Ct-1),AK668=0),H668,0)</f>
        <v>0</v>
      </c>
      <c r="BN668" s="199">
        <f>IF(AND(Input_Product=Elig!$C668,Elig_MatchAll_Ct&lt;22,$BC668=(Elig_MatchAll_Ct-1),AL668=0),I668,0)</f>
        <v>0</v>
      </c>
      <c r="BO668" s="199">
        <f>IF(AND(Input_Product=Elig!$C668,Elig_MatchAll_Ct&lt;22,$BC668=(Elig_MatchAll_Ct-1),AM668=0),J668,0)</f>
        <v>0</v>
      </c>
      <c r="BP668" s="199">
        <f>IF(AND(Input_Product=Elig!$C668,Elig_MatchAll_Ct&lt;22,$BC668=(Elig_MatchAll_Ct-1),AN668=0),K668,0)</f>
        <v>0</v>
      </c>
      <c r="BQ668" s="199">
        <f>IF(AND(Input_Product=Elig!$C668,Elig_MatchAll_Ct&lt;22,$BC668=(Elig_MatchAll_Ct-1),AP668=0),L668,0)</f>
        <v>0</v>
      </c>
      <c r="BR668" s="199">
        <f>IF(AND(Input_Product=Elig!$C668,Elig_MatchAll_Ct&lt;22,$BC668=(Elig_MatchAll_Ct-1),AO668=0),M668,0)</f>
        <v>0</v>
      </c>
      <c r="BS668" s="199">
        <f>IF(AND(Input_Product=Elig!$C668,Elig_MatchAll_Ct&lt;22,$BC668=(Elig_MatchAll_Ct-1),AQ668=0),N668,0)</f>
        <v>0</v>
      </c>
      <c r="BT668" s="199">
        <f>IF(AND(Input_Product=Elig!$C668,Elig_MatchAll_Ct&lt;22,$BC668=(Elig_MatchAll_Ct-1),AR668=0),O668,0)</f>
        <v>0</v>
      </c>
      <c r="BU668" s="199">
        <f>IF(AND(Input_Product=Elig!$C668,Elig_MatchAll_Ct&lt;22,$BC668=(Elig_MatchAll_Ct-1),AS668=0),P668,0)</f>
        <v>0</v>
      </c>
      <c r="BV668" s="200">
        <f>IF(AND(Input_Product=Elig!$C668,Elig_MatchAll_Ct&lt;22,$BC668=(Elig_MatchAll_Ct-1),AT668=0),Q668,0)</f>
        <v>0</v>
      </c>
      <c r="BW668" s="201">
        <f>IF(AND(Input_Product=Elig!$C668,Elig_MatchAll_Ct&lt;22,$BC668=(Elig_MatchAll_Ct-1),AU668=0),R668,0)</f>
        <v>0</v>
      </c>
      <c r="BX668" s="202">
        <f>IF(AND(Input_Product=Elig!$C668,Elig_MatchAll_Ct&lt;22,$BC668=(Elig_MatchAll_Ct-1),AU668=0),S668,0)</f>
        <v>0</v>
      </c>
      <c r="BY668" s="201">
        <f>IF(AND(Input_Product=Elig!$C668,Elig_MatchAll_Ct&lt;22,$BC668=(Elig_MatchAll_Ct-1),AV668=0),T668,0)</f>
        <v>0</v>
      </c>
      <c r="BZ668" s="202">
        <f>IF(AND(Input_Product=Elig!$C668,Elig_MatchAll_Ct&lt;22,$BC668=(Elig_MatchAll_Ct-1),AV668=0),U668,0)</f>
        <v>0</v>
      </c>
      <c r="CA668" s="201">
        <f>IF(AND(Input_Product=Elig!$C668,Elig_MatchAll_Ct&lt;22,$BC668=(Elig_MatchAll_Ct-1),AW668=0),V668,0)</f>
        <v>0</v>
      </c>
      <c r="CB668" s="202">
        <f>IF(AND(Input_Product=Elig!$C668,Elig_MatchAll_Ct&lt;22,$BC668=(Elig_MatchAll_Ct-1),AW668=0),W668,0)</f>
        <v>0</v>
      </c>
      <c r="CC668" s="201">
        <f>IF(AND(Input_Product=Elig!$C668,Elig_MatchAll_Ct&lt;22,$BC668=(Elig_MatchAll_Ct-1),AX668=0),X668,0)</f>
        <v>0</v>
      </c>
      <c r="CD668" s="202">
        <f>IF(AND(Input_Product=Elig!$C668,Elig_MatchAll_Ct&lt;22,$BC668=(Elig_MatchAll_Ct-1),AX668=0),Y668,0)</f>
        <v>0</v>
      </c>
      <c r="CE668" s="201">
        <f>IF(AND(Input_LTV&lt;=AE668,Input_Product=Elig!$C668,Elig_MatchAll_Ct&lt;22,$BC668=(Elig_MatchAll_Ct-1),AY668=0),Z668,0)</f>
        <v>0</v>
      </c>
      <c r="CF668" s="202">
        <f>IF(AND(Input_LTV&lt;=AE668,Input_Product=Elig!$C668,Elig_MatchAll_Ct&lt;22,$BC668=(Elig_MatchAll_Ct-1),AY668=0),AA668,0)</f>
        <v>0</v>
      </c>
      <c r="CG668" s="201">
        <f>IF(AND(Input_Product=Elig!$C668,Elig_MatchAll_Ct&lt;22,$BC668=(Elig_MatchAll_Ct-1),AZ668=0),AB668,0)</f>
        <v>0</v>
      </c>
      <c r="CH668" s="202">
        <f>IF(AND(Input_Product=Elig!$C668,Elig_MatchAll_Ct&lt;22,$BC668=(Elig_MatchAll_Ct-1),AZ668=0),AC668,0)</f>
        <v>0</v>
      </c>
      <c r="CI668" s="201">
        <f>IF(AND(Input_Product=Elig!$C668,Elig_MatchAll_Ct&lt;22,$BC668=(Elig_MatchAll_Ct-1),BA668=0),AD668,0)</f>
        <v>0</v>
      </c>
      <c r="CJ668" s="202">
        <f>IF(AND(Input_Product=Elig!$C668,Elig_MatchAll_Ct&lt;22,$BC668=(Elig_MatchAll_Ct-1),BA668=0),AE668,0)</f>
        <v>0</v>
      </c>
    </row>
    <row r="669" spans="2:88" ht="10.15" customHeight="1" x14ac:dyDescent="0.25">
      <c r="B669" s="2027" t="s">
        <v>1582</v>
      </c>
      <c r="C669" s="2032" t="str">
        <f t="shared" si="279"/>
        <v>Second OO</v>
      </c>
      <c r="D669" s="2031" t="s">
        <v>1561</v>
      </c>
      <c r="E669" s="2031" t="s">
        <v>98</v>
      </c>
      <c r="F669" s="2031" t="s">
        <v>329</v>
      </c>
      <c r="G669" s="2033" t="s">
        <v>303</v>
      </c>
      <c r="H669" s="2033" t="s">
        <v>136</v>
      </c>
      <c r="I669" s="2031" t="s">
        <v>1332</v>
      </c>
      <c r="J669" s="2031" t="s">
        <v>1311</v>
      </c>
      <c r="K669" s="2033" t="s">
        <v>1790</v>
      </c>
      <c r="L669" s="2031" t="s">
        <v>430</v>
      </c>
      <c r="M669" s="2031" t="s">
        <v>2677</v>
      </c>
      <c r="N669" s="2033" t="s">
        <v>82</v>
      </c>
      <c r="O669" s="2031" t="s">
        <v>310</v>
      </c>
      <c r="P669" s="2031" t="s">
        <v>291</v>
      </c>
      <c r="Q669" s="2031" t="s">
        <v>294</v>
      </c>
      <c r="R669" s="2031">
        <v>50000</v>
      </c>
      <c r="S669" s="2031">
        <v>350000</v>
      </c>
      <c r="T669" s="2031">
        <v>0</v>
      </c>
      <c r="U669" s="2031">
        <f t="shared" si="280"/>
        <v>350000</v>
      </c>
      <c r="V669" s="2031">
        <v>0</v>
      </c>
      <c r="W669" s="2031">
        <v>50</v>
      </c>
      <c r="X669" s="2031">
        <v>0</v>
      </c>
      <c r="Y669" s="2031">
        <v>999</v>
      </c>
      <c r="Z669" s="2034">
        <v>660</v>
      </c>
      <c r="AA669" s="2034">
        <v>679</v>
      </c>
      <c r="AB669" s="2034">
        <v>0</v>
      </c>
      <c r="AC669" s="2034">
        <v>999999</v>
      </c>
      <c r="AD669" s="2031">
        <v>0</v>
      </c>
      <c r="AE669" s="1484">
        <v>70</v>
      </c>
      <c r="AF669" s="170">
        <v>1</v>
      </c>
      <c r="AG669" s="171">
        <v>1</v>
      </c>
      <c r="AH669" s="171">
        <v>1</v>
      </c>
      <c r="AI669" s="171">
        <v>0</v>
      </c>
      <c r="AJ669" s="171">
        <v>1</v>
      </c>
      <c r="AK669" s="171">
        <v>1</v>
      </c>
      <c r="AL669" s="171">
        <v>1</v>
      </c>
      <c r="AM669" s="171">
        <v>1</v>
      </c>
      <c r="AN669" s="171">
        <v>1</v>
      </c>
      <c r="AO669" s="171">
        <v>1</v>
      </c>
      <c r="AP669" s="171">
        <v>1</v>
      </c>
      <c r="AQ669" s="171">
        <v>1</v>
      </c>
      <c r="AR669" s="171">
        <v>1</v>
      </c>
      <c r="AS669" s="171">
        <v>1</v>
      </c>
      <c r="AT669" s="171">
        <v>1</v>
      </c>
      <c r="AU669" s="171">
        <f t="shared" si="270"/>
        <v>1</v>
      </c>
      <c r="AV669" s="171">
        <f t="shared" si="271"/>
        <v>1</v>
      </c>
      <c r="AW669" s="171">
        <f t="shared" si="272"/>
        <v>1</v>
      </c>
      <c r="AX669" s="171">
        <f t="shared" si="284"/>
        <v>1</v>
      </c>
      <c r="AY669" s="171">
        <f t="shared" si="273"/>
        <v>0</v>
      </c>
      <c r="AZ669" s="171">
        <f t="shared" si="274"/>
        <v>1</v>
      </c>
      <c r="BA669" s="172">
        <f t="shared" si="275"/>
        <v>1</v>
      </c>
      <c r="BB669" s="175">
        <f t="shared" si="281"/>
        <v>20</v>
      </c>
      <c r="BC669" s="176">
        <f t="shared" si="282"/>
        <v>19</v>
      </c>
      <c r="BD669" s="176">
        <f t="shared" si="283"/>
        <v>19</v>
      </c>
      <c r="BE669" s="240" t="str">
        <f t="shared" si="289"/>
        <v/>
      </c>
      <c r="BF669" s="234"/>
      <c r="BG669" s="234"/>
      <c r="BH669" s="214">
        <f>IF(AND(Input_Product=Elig!$C669,Elig_MatchAll_Ct&lt;22,$BC669=(Elig_MatchAll_Ct-1),AF669=0),C669,0)</f>
        <v>0</v>
      </c>
      <c r="BI669" s="214">
        <f>IF(AND(Input_Product=Elig!$C669,Elig_MatchAll_Ct&lt;22,$BC669=(Elig_MatchAll_Ct-1),AG669=0),D669,0)</f>
        <v>0</v>
      </c>
      <c r="BJ669" s="214">
        <f>IF(AND(Input_Product=Elig!$C669,Elig_MatchAll_Ct&lt;22,$BC669=(Elig_MatchAll_Ct-1),AH669=0),E669,0)</f>
        <v>0</v>
      </c>
      <c r="BK669" s="214">
        <f>IF(AND(Input_Product=Elig!$C669,Elig_MatchAll_Ct&lt;22,$BC669=(Elig_MatchAll_Ct-1),AI669=0),F669,0)</f>
        <v>0</v>
      </c>
      <c r="BL669" s="214">
        <f>IF(AND(Input_Product=Elig!$C669,Elig_MatchAll_Ct&lt;22,$BC669=(Elig_MatchAll_Ct-1),AJ669=0),G669,0)</f>
        <v>0</v>
      </c>
      <c r="BM669" s="214">
        <f>IF(AND(Input_Product=Elig!$C669,Elig_MatchAll_Ct&lt;22,$BC669=(Elig_MatchAll_Ct-1),AK669=0),H669,0)</f>
        <v>0</v>
      </c>
      <c r="BN669" s="214">
        <f>IF(AND(Input_Product=Elig!$C669,Elig_MatchAll_Ct&lt;22,$BC669=(Elig_MatchAll_Ct-1),AL669=0),I669,0)</f>
        <v>0</v>
      </c>
      <c r="BO669" s="214">
        <f>IF(AND(Input_Product=Elig!$C669,Elig_MatchAll_Ct&lt;22,$BC669=(Elig_MatchAll_Ct-1),AM669=0),J669,0)</f>
        <v>0</v>
      </c>
      <c r="BP669" s="214">
        <f>IF(AND(Input_Product=Elig!$C669,Elig_MatchAll_Ct&lt;22,$BC669=(Elig_MatchAll_Ct-1),AN669=0),K669,0)</f>
        <v>0</v>
      </c>
      <c r="BQ669" s="214">
        <f>IF(AND(Input_Product=Elig!$C669,Elig_MatchAll_Ct&lt;22,$BC669=(Elig_MatchAll_Ct-1),AP669=0),L669,0)</f>
        <v>0</v>
      </c>
      <c r="BR669" s="214">
        <f>IF(AND(Input_Product=Elig!$C669,Elig_MatchAll_Ct&lt;22,$BC669=(Elig_MatchAll_Ct-1),AO669=0),M669,0)</f>
        <v>0</v>
      </c>
      <c r="BS669" s="214">
        <f>IF(AND(Input_Product=Elig!$C669,Elig_MatchAll_Ct&lt;22,$BC669=(Elig_MatchAll_Ct-1),AQ669=0),N669,0)</f>
        <v>0</v>
      </c>
      <c r="BT669" s="214">
        <f>IF(AND(Input_Product=Elig!$C669,Elig_MatchAll_Ct&lt;22,$BC669=(Elig_MatchAll_Ct-1),AR669=0),O669,0)</f>
        <v>0</v>
      </c>
      <c r="BU669" s="214">
        <f>IF(AND(Input_Product=Elig!$C669,Elig_MatchAll_Ct&lt;22,$BC669=(Elig_MatchAll_Ct-1),AS669=0),P669,0)</f>
        <v>0</v>
      </c>
      <c r="BV669" s="215">
        <f>IF(AND(Input_Product=Elig!$C669,Elig_MatchAll_Ct&lt;22,$BC669=(Elig_MatchAll_Ct-1),AT669=0),Q669,0)</f>
        <v>0</v>
      </c>
      <c r="BW669" s="311">
        <f>IF(AND(Input_Product=Elig!$C669,Elig_MatchAll_Ct&lt;22,$BC669=(Elig_MatchAll_Ct-1),AU669=0),R669,0)</f>
        <v>0</v>
      </c>
      <c r="BX669" s="312">
        <f>IF(AND(Input_Product=Elig!$C669,Elig_MatchAll_Ct&lt;22,$BC669=(Elig_MatchAll_Ct-1),AU669=0),S669,0)</f>
        <v>0</v>
      </c>
      <c r="BY669" s="311">
        <f>IF(AND(Input_Product=Elig!$C669,Elig_MatchAll_Ct&lt;22,$BC669=(Elig_MatchAll_Ct-1),AV669=0),T669,0)</f>
        <v>0</v>
      </c>
      <c r="BZ669" s="312">
        <f>IF(AND(Input_Product=Elig!$C669,Elig_MatchAll_Ct&lt;22,$BC669=(Elig_MatchAll_Ct-1),AV669=0),U669,0)</f>
        <v>0</v>
      </c>
      <c r="CA669" s="311">
        <f>IF(AND(Input_Product=Elig!$C669,Elig_MatchAll_Ct&lt;22,$BC669=(Elig_MatchAll_Ct-1),AW669=0),V669,0)</f>
        <v>0</v>
      </c>
      <c r="CB669" s="312">
        <f>IF(AND(Input_Product=Elig!$C669,Elig_MatchAll_Ct&lt;22,$BC669=(Elig_MatchAll_Ct-1),AW669=0),W669,0)</f>
        <v>0</v>
      </c>
      <c r="CC669" s="311">
        <f>IF(AND(Input_Product=Elig!$C669,Elig_MatchAll_Ct&lt;22,$BC669=(Elig_MatchAll_Ct-1),AX669=0),X669,0)</f>
        <v>0</v>
      </c>
      <c r="CD669" s="312">
        <f>IF(AND(Input_Product=Elig!$C669,Elig_MatchAll_Ct&lt;22,$BC669=(Elig_MatchAll_Ct-1),AX669=0),Y669,0)</f>
        <v>0</v>
      </c>
      <c r="CE669" s="311">
        <f>IF(AND(Input_LTV&lt;=AE669,Input_Product=Elig!$C669,Elig_MatchAll_Ct&lt;22,$BC669=(Elig_MatchAll_Ct-1),AY669=0),Z669,0)</f>
        <v>0</v>
      </c>
      <c r="CF669" s="312">
        <f>IF(AND(Input_LTV&lt;=AE669,Input_Product=Elig!$C669,Elig_MatchAll_Ct&lt;22,$BC669=(Elig_MatchAll_Ct-1),AY669=0),AA669,0)</f>
        <v>0</v>
      </c>
      <c r="CG669" s="311">
        <f>IF(AND(Input_Product=Elig!$C669,Elig_MatchAll_Ct&lt;22,$BC669=(Elig_MatchAll_Ct-1),AZ669=0),AB669,0)</f>
        <v>0</v>
      </c>
      <c r="CH669" s="312">
        <f>IF(AND(Input_Product=Elig!$C669,Elig_MatchAll_Ct&lt;22,$BC669=(Elig_MatchAll_Ct-1),AZ669=0),AC669,0)</f>
        <v>0</v>
      </c>
      <c r="CI669" s="311">
        <f>IF(AND(Input_Product=Elig!$C669,Elig_MatchAll_Ct&lt;22,$BC669=(Elig_MatchAll_Ct-1),BA669=0),AD669,0)</f>
        <v>0</v>
      </c>
      <c r="CJ669" s="312">
        <f>IF(AND(Input_Product=Elig!$C669,Elig_MatchAll_Ct&lt;22,$BC669=(Elig_MatchAll_Ct-1),BA669=0),AE669,0)</f>
        <v>0</v>
      </c>
    </row>
    <row r="670" spans="2:88" ht="10.15" customHeight="1" x14ac:dyDescent="0.25">
      <c r="B670" s="2027" t="s">
        <v>1583</v>
      </c>
      <c r="C670" s="2024" t="str">
        <f t="shared" si="279"/>
        <v>Second OO</v>
      </c>
      <c r="D670" s="2025" t="s">
        <v>1302</v>
      </c>
      <c r="E670" s="2025" t="s">
        <v>98</v>
      </c>
      <c r="F670" s="2025" t="s">
        <v>329</v>
      </c>
      <c r="G670" s="2025" t="s">
        <v>303</v>
      </c>
      <c r="H670" s="2025" t="s">
        <v>136</v>
      </c>
      <c r="I670" s="2023" t="s">
        <v>1332</v>
      </c>
      <c r="J670" s="2023" t="s">
        <v>1311</v>
      </c>
      <c r="K670" s="2025" t="s">
        <v>1790</v>
      </c>
      <c r="L670" s="2023" t="s">
        <v>430</v>
      </c>
      <c r="M670" s="2023" t="s">
        <v>2677</v>
      </c>
      <c r="N670" s="2025" t="s">
        <v>82</v>
      </c>
      <c r="O670" s="2023" t="s">
        <v>310</v>
      </c>
      <c r="P670" s="2023" t="s">
        <v>291</v>
      </c>
      <c r="Q670" s="2023" t="s">
        <v>294</v>
      </c>
      <c r="R670" s="2023">
        <v>200000</v>
      </c>
      <c r="S670" s="2023">
        <v>350000</v>
      </c>
      <c r="T670" s="2023">
        <v>0</v>
      </c>
      <c r="U670" s="2023">
        <f t="shared" si="280"/>
        <v>350000</v>
      </c>
      <c r="V670" s="2023">
        <v>0</v>
      </c>
      <c r="W670" s="2023">
        <v>50</v>
      </c>
      <c r="X670" s="2023">
        <v>0</v>
      </c>
      <c r="Y670" s="2023">
        <v>999</v>
      </c>
      <c r="Z670" s="2026">
        <v>720</v>
      </c>
      <c r="AA670" s="2026">
        <v>999</v>
      </c>
      <c r="AB670" s="2026">
        <v>0</v>
      </c>
      <c r="AC670" s="2026">
        <v>999999</v>
      </c>
      <c r="AD670" s="2023">
        <v>0</v>
      </c>
      <c r="AE670" s="1482">
        <v>80</v>
      </c>
      <c r="AF670" s="170">
        <v>1</v>
      </c>
      <c r="AG670" s="171">
        <v>0</v>
      </c>
      <c r="AH670" s="171">
        <v>1</v>
      </c>
      <c r="AI670" s="171">
        <v>0</v>
      </c>
      <c r="AJ670" s="171">
        <v>1</v>
      </c>
      <c r="AK670" s="171">
        <v>1</v>
      </c>
      <c r="AL670" s="171">
        <v>1</v>
      </c>
      <c r="AM670" s="171">
        <v>1</v>
      </c>
      <c r="AN670" s="171">
        <v>1</v>
      </c>
      <c r="AO670" s="171">
        <v>1</v>
      </c>
      <c r="AP670" s="171">
        <v>1</v>
      </c>
      <c r="AQ670" s="171">
        <v>1</v>
      </c>
      <c r="AR670" s="171">
        <v>1</v>
      </c>
      <c r="AS670" s="171">
        <v>1</v>
      </c>
      <c r="AT670" s="171">
        <v>1</v>
      </c>
      <c r="AU670" s="171">
        <f t="shared" si="270"/>
        <v>1</v>
      </c>
      <c r="AV670" s="171">
        <f t="shared" si="271"/>
        <v>1</v>
      </c>
      <c r="AW670" s="171">
        <f t="shared" si="272"/>
        <v>1</v>
      </c>
      <c r="AX670" s="171">
        <f t="shared" si="284"/>
        <v>1</v>
      </c>
      <c r="AY670" s="171">
        <f t="shared" si="273"/>
        <v>1</v>
      </c>
      <c r="AZ670" s="171">
        <f t="shared" si="274"/>
        <v>1</v>
      </c>
      <c r="BA670" s="172">
        <f t="shared" si="275"/>
        <v>1</v>
      </c>
      <c r="BB670" s="175">
        <f t="shared" si="281"/>
        <v>20</v>
      </c>
      <c r="BC670" s="176">
        <f t="shared" si="282"/>
        <v>19</v>
      </c>
      <c r="BD670" s="176">
        <f t="shared" si="283"/>
        <v>19</v>
      </c>
      <c r="BE670" s="240" t="str">
        <f t="shared" si="289"/>
        <v/>
      </c>
      <c r="BF670" s="220"/>
      <c r="BG670" s="220"/>
      <c r="BH670" s="216">
        <f>IF(AND(Input_Product=Elig!$C670,Elig_MatchAll_Ct&lt;22,$BC670=(Elig_MatchAll_Ct-1),AF670=0),C670,0)</f>
        <v>0</v>
      </c>
      <c r="BI670" s="216">
        <f>IF(AND(Input_Product=Elig!$C670,Elig_MatchAll_Ct&lt;22,$BC670=(Elig_MatchAll_Ct-1),AG670=0),D670,0)</f>
        <v>0</v>
      </c>
      <c r="BJ670" s="216">
        <f>IF(AND(Input_Product=Elig!$C670,Elig_MatchAll_Ct&lt;22,$BC670=(Elig_MatchAll_Ct-1),AH670=0),E670,0)</f>
        <v>0</v>
      </c>
      <c r="BK670" s="216">
        <f>IF(AND(Input_Product=Elig!$C670,Elig_MatchAll_Ct&lt;22,$BC670=(Elig_MatchAll_Ct-1),AI670=0),F670,0)</f>
        <v>0</v>
      </c>
      <c r="BL670" s="216">
        <f>IF(AND(Input_Product=Elig!$C670,Elig_MatchAll_Ct&lt;22,$BC670=(Elig_MatchAll_Ct-1),AJ670=0),G670,0)</f>
        <v>0</v>
      </c>
      <c r="BM670" s="216">
        <f>IF(AND(Input_Product=Elig!$C670,Elig_MatchAll_Ct&lt;22,$BC670=(Elig_MatchAll_Ct-1),AK670=0),H670,0)</f>
        <v>0</v>
      </c>
      <c r="BN670" s="216">
        <f>IF(AND(Input_Product=Elig!$C670,Elig_MatchAll_Ct&lt;22,$BC670=(Elig_MatchAll_Ct-1),AL670=0),I670,0)</f>
        <v>0</v>
      </c>
      <c r="BO670" s="216">
        <f>IF(AND(Input_Product=Elig!$C670,Elig_MatchAll_Ct&lt;22,$BC670=(Elig_MatchAll_Ct-1),AM670=0),J670,0)</f>
        <v>0</v>
      </c>
      <c r="BP670" s="216">
        <f>IF(AND(Input_Product=Elig!$C670,Elig_MatchAll_Ct&lt;22,$BC670=(Elig_MatchAll_Ct-1),AN670=0),K670,0)</f>
        <v>0</v>
      </c>
      <c r="BQ670" s="216">
        <f>IF(AND(Input_Product=Elig!$C670,Elig_MatchAll_Ct&lt;22,$BC670=(Elig_MatchAll_Ct-1),AP670=0),L670,0)</f>
        <v>0</v>
      </c>
      <c r="BR670" s="216">
        <f>IF(AND(Input_Product=Elig!$C670,Elig_MatchAll_Ct&lt;22,$BC670=(Elig_MatchAll_Ct-1),AO670=0),M670,0)</f>
        <v>0</v>
      </c>
      <c r="BS670" s="216">
        <f>IF(AND(Input_Product=Elig!$C670,Elig_MatchAll_Ct&lt;22,$BC670=(Elig_MatchAll_Ct-1),AQ670=0),N670,0)</f>
        <v>0</v>
      </c>
      <c r="BT670" s="216">
        <f>IF(AND(Input_Product=Elig!$C670,Elig_MatchAll_Ct&lt;22,$BC670=(Elig_MatchAll_Ct-1),AR670=0),O670,0)</f>
        <v>0</v>
      </c>
      <c r="BU670" s="216">
        <f>IF(AND(Input_Product=Elig!$C670,Elig_MatchAll_Ct&lt;22,$BC670=(Elig_MatchAll_Ct-1),AS670=0),P670,0)</f>
        <v>0</v>
      </c>
      <c r="BV670" s="217">
        <f>IF(AND(Input_Product=Elig!$C670,Elig_MatchAll_Ct&lt;22,$BC670=(Elig_MatchAll_Ct-1),AT670=0),Q670,0)</f>
        <v>0</v>
      </c>
      <c r="BW670" s="313">
        <f>IF(AND(Input_Product=Elig!$C670,Elig_MatchAll_Ct&lt;22,$BC670=(Elig_MatchAll_Ct-1),AU670=0),R670,0)</f>
        <v>0</v>
      </c>
      <c r="BX670" s="314">
        <f>IF(AND(Input_Product=Elig!$C670,Elig_MatchAll_Ct&lt;22,$BC670=(Elig_MatchAll_Ct-1),AU670=0),S670,0)</f>
        <v>0</v>
      </c>
      <c r="BY670" s="313">
        <f>IF(AND(Input_Product=Elig!$C670,Elig_MatchAll_Ct&lt;22,$BC670=(Elig_MatchAll_Ct-1),AV670=0),T670,0)</f>
        <v>0</v>
      </c>
      <c r="BZ670" s="314">
        <f>IF(AND(Input_Product=Elig!$C670,Elig_MatchAll_Ct&lt;22,$BC670=(Elig_MatchAll_Ct-1),AV670=0),U670,0)</f>
        <v>0</v>
      </c>
      <c r="CA670" s="313">
        <f>IF(AND(Input_Product=Elig!$C670,Elig_MatchAll_Ct&lt;22,$BC670=(Elig_MatchAll_Ct-1),AW670=0),V670,0)</f>
        <v>0</v>
      </c>
      <c r="CB670" s="314">
        <f>IF(AND(Input_Product=Elig!$C670,Elig_MatchAll_Ct&lt;22,$BC670=(Elig_MatchAll_Ct-1),AW670=0),W670,0)</f>
        <v>0</v>
      </c>
      <c r="CC670" s="313">
        <f>IF(AND(Input_Product=Elig!$C670,Elig_MatchAll_Ct&lt;22,$BC670=(Elig_MatchAll_Ct-1),AX670=0),X670,0)</f>
        <v>0</v>
      </c>
      <c r="CD670" s="314">
        <f>IF(AND(Input_Product=Elig!$C670,Elig_MatchAll_Ct&lt;22,$BC670=(Elig_MatchAll_Ct-1),AX670=0),Y670,0)</f>
        <v>0</v>
      </c>
      <c r="CE670" s="313">
        <f>IF(AND(Input_LTV&lt;=AE670,Input_Product=Elig!$C670,Elig_MatchAll_Ct&lt;22,$BC670=(Elig_MatchAll_Ct-1),AY670=0),Z670,0)</f>
        <v>0</v>
      </c>
      <c r="CF670" s="314">
        <f>IF(AND(Input_LTV&lt;=AE670,Input_Product=Elig!$C670,Elig_MatchAll_Ct&lt;22,$BC670=(Elig_MatchAll_Ct-1),AY670=0),AA670,0)</f>
        <v>0</v>
      </c>
      <c r="CG670" s="313">
        <f>IF(AND(Input_Product=Elig!$C670,Elig_MatchAll_Ct&lt;22,$BC670=(Elig_MatchAll_Ct-1),AZ670=0),AB670,0)</f>
        <v>0</v>
      </c>
      <c r="CH670" s="314">
        <f>IF(AND(Input_Product=Elig!$C670,Elig_MatchAll_Ct&lt;22,$BC670=(Elig_MatchAll_Ct-1),AZ670=0),AC670,0)</f>
        <v>0</v>
      </c>
      <c r="CI670" s="313">
        <f>IF(AND(Input_Product=Elig!$C670,Elig_MatchAll_Ct&lt;22,$BC670=(Elig_MatchAll_Ct-1),BA670=0),AD670,0)</f>
        <v>0</v>
      </c>
      <c r="CJ670" s="314">
        <f>IF(AND(Input_Product=Elig!$C670,Elig_MatchAll_Ct&lt;22,$BC670=(Elig_MatchAll_Ct-1),BA670=0),AE670,0)</f>
        <v>0</v>
      </c>
    </row>
    <row r="671" spans="2:88" ht="10.15" customHeight="1" x14ac:dyDescent="0.25">
      <c r="B671" s="2027" t="s">
        <v>1584</v>
      </c>
      <c r="C671" s="2028" t="str">
        <f t="shared" si="279"/>
        <v>Second OO</v>
      </c>
      <c r="D671" s="2027" t="s">
        <v>1302</v>
      </c>
      <c r="E671" s="2027" t="s">
        <v>98</v>
      </c>
      <c r="F671" s="2027" t="s">
        <v>329</v>
      </c>
      <c r="G671" s="2029" t="s">
        <v>303</v>
      </c>
      <c r="H671" s="2029" t="s">
        <v>136</v>
      </c>
      <c r="I671" s="2027" t="s">
        <v>1332</v>
      </c>
      <c r="J671" s="2027" t="s">
        <v>1311</v>
      </c>
      <c r="K671" s="2029" t="s">
        <v>1790</v>
      </c>
      <c r="L671" s="2027" t="s">
        <v>430</v>
      </c>
      <c r="M671" s="2027" t="s">
        <v>2677</v>
      </c>
      <c r="N671" s="2029" t="s">
        <v>82</v>
      </c>
      <c r="O671" s="2027" t="s">
        <v>310</v>
      </c>
      <c r="P671" s="2027" t="s">
        <v>291</v>
      </c>
      <c r="Q671" s="2027" t="s">
        <v>294</v>
      </c>
      <c r="R671" s="2027">
        <v>200000</v>
      </c>
      <c r="S671" s="2027">
        <v>350000</v>
      </c>
      <c r="T671" s="2027">
        <v>0</v>
      </c>
      <c r="U671" s="2027">
        <f t="shared" si="280"/>
        <v>350000</v>
      </c>
      <c r="V671" s="2027">
        <v>0</v>
      </c>
      <c r="W671" s="2027">
        <v>50</v>
      </c>
      <c r="X671" s="2027">
        <v>0</v>
      </c>
      <c r="Y671" s="2027">
        <v>999</v>
      </c>
      <c r="Z671" s="2030">
        <v>700</v>
      </c>
      <c r="AA671" s="2030">
        <v>719</v>
      </c>
      <c r="AB671" s="2030">
        <v>0</v>
      </c>
      <c r="AC671" s="2030">
        <v>999999</v>
      </c>
      <c r="AD671" s="2027">
        <v>0</v>
      </c>
      <c r="AE671" s="1483">
        <v>80</v>
      </c>
      <c r="AF671" s="170">
        <v>1</v>
      </c>
      <c r="AG671" s="171">
        <v>0</v>
      </c>
      <c r="AH671" s="171">
        <v>1</v>
      </c>
      <c r="AI671" s="171">
        <v>0</v>
      </c>
      <c r="AJ671" s="171">
        <v>1</v>
      </c>
      <c r="AK671" s="171">
        <v>1</v>
      </c>
      <c r="AL671" s="171">
        <v>1</v>
      </c>
      <c r="AM671" s="171">
        <v>1</v>
      </c>
      <c r="AN671" s="171">
        <v>1</v>
      </c>
      <c r="AO671" s="171">
        <v>1</v>
      </c>
      <c r="AP671" s="171">
        <v>1</v>
      </c>
      <c r="AQ671" s="171">
        <v>1</v>
      </c>
      <c r="AR671" s="171">
        <v>1</v>
      </c>
      <c r="AS671" s="171">
        <v>1</v>
      </c>
      <c r="AT671" s="171">
        <v>1</v>
      </c>
      <c r="AU671" s="171">
        <f t="shared" si="270"/>
        <v>1</v>
      </c>
      <c r="AV671" s="171">
        <f t="shared" si="271"/>
        <v>1</v>
      </c>
      <c r="AW671" s="171">
        <f t="shared" si="272"/>
        <v>1</v>
      </c>
      <c r="AX671" s="171">
        <f t="shared" si="284"/>
        <v>1</v>
      </c>
      <c r="AY671" s="171">
        <f t="shared" si="273"/>
        <v>0</v>
      </c>
      <c r="AZ671" s="171">
        <f t="shared" si="274"/>
        <v>1</v>
      </c>
      <c r="BA671" s="172">
        <f t="shared" si="275"/>
        <v>1</v>
      </c>
      <c r="BB671" s="175">
        <f t="shared" si="281"/>
        <v>19</v>
      </c>
      <c r="BC671" s="176">
        <f t="shared" si="282"/>
        <v>18</v>
      </c>
      <c r="BD671" s="176">
        <f t="shared" si="283"/>
        <v>18</v>
      </c>
      <c r="BE671" s="240" t="str">
        <f t="shared" si="289"/>
        <v/>
      </c>
      <c r="BF671" s="234"/>
      <c r="BG671" s="234"/>
      <c r="BH671" s="199">
        <f>IF(AND(Input_Product=Elig!$C671,Elig_MatchAll_Ct&lt;22,$BC671=(Elig_MatchAll_Ct-1),AF671=0),C671,0)</f>
        <v>0</v>
      </c>
      <c r="BI671" s="199">
        <f>IF(AND(Input_Product=Elig!$C671,Elig_MatchAll_Ct&lt;22,$BC671=(Elig_MatchAll_Ct-1),AG671=0),D671,0)</f>
        <v>0</v>
      </c>
      <c r="BJ671" s="199">
        <f>IF(AND(Input_Product=Elig!$C671,Elig_MatchAll_Ct&lt;22,$BC671=(Elig_MatchAll_Ct-1),AH671=0),E671,0)</f>
        <v>0</v>
      </c>
      <c r="BK671" s="199">
        <f>IF(AND(Input_Product=Elig!$C671,Elig_MatchAll_Ct&lt;22,$BC671=(Elig_MatchAll_Ct-1),AI671=0),F671,0)</f>
        <v>0</v>
      </c>
      <c r="BL671" s="199">
        <f>IF(AND(Input_Product=Elig!$C671,Elig_MatchAll_Ct&lt;22,$BC671=(Elig_MatchAll_Ct-1),AJ671=0),G671,0)</f>
        <v>0</v>
      </c>
      <c r="BM671" s="199">
        <f>IF(AND(Input_Product=Elig!$C671,Elig_MatchAll_Ct&lt;22,$BC671=(Elig_MatchAll_Ct-1),AK671=0),H671,0)</f>
        <v>0</v>
      </c>
      <c r="BN671" s="199">
        <f>IF(AND(Input_Product=Elig!$C671,Elig_MatchAll_Ct&lt;22,$BC671=(Elig_MatchAll_Ct-1),AL671=0),I671,0)</f>
        <v>0</v>
      </c>
      <c r="BO671" s="199">
        <f>IF(AND(Input_Product=Elig!$C671,Elig_MatchAll_Ct&lt;22,$BC671=(Elig_MatchAll_Ct-1),AM671=0),J671,0)</f>
        <v>0</v>
      </c>
      <c r="BP671" s="199">
        <f>IF(AND(Input_Product=Elig!$C671,Elig_MatchAll_Ct&lt;22,$BC671=(Elig_MatchAll_Ct-1),AN671=0),K671,0)</f>
        <v>0</v>
      </c>
      <c r="BQ671" s="199">
        <f>IF(AND(Input_Product=Elig!$C671,Elig_MatchAll_Ct&lt;22,$BC671=(Elig_MatchAll_Ct-1),AP671=0),L671,0)</f>
        <v>0</v>
      </c>
      <c r="BR671" s="199">
        <f>IF(AND(Input_Product=Elig!$C671,Elig_MatchAll_Ct&lt;22,$BC671=(Elig_MatchAll_Ct-1),AO671=0),M671,0)</f>
        <v>0</v>
      </c>
      <c r="BS671" s="199">
        <f>IF(AND(Input_Product=Elig!$C671,Elig_MatchAll_Ct&lt;22,$BC671=(Elig_MatchAll_Ct-1),AQ671=0),N671,0)</f>
        <v>0</v>
      </c>
      <c r="BT671" s="199">
        <f>IF(AND(Input_Product=Elig!$C671,Elig_MatchAll_Ct&lt;22,$BC671=(Elig_MatchAll_Ct-1),AR671=0),O671,0)</f>
        <v>0</v>
      </c>
      <c r="BU671" s="199">
        <f>IF(AND(Input_Product=Elig!$C671,Elig_MatchAll_Ct&lt;22,$BC671=(Elig_MatchAll_Ct-1),AS671=0),P671,0)</f>
        <v>0</v>
      </c>
      <c r="BV671" s="200">
        <f>IF(AND(Input_Product=Elig!$C671,Elig_MatchAll_Ct&lt;22,$BC671=(Elig_MatchAll_Ct-1),AT671=0),Q671,0)</f>
        <v>0</v>
      </c>
      <c r="BW671" s="201">
        <f>IF(AND(Input_Product=Elig!$C671,Elig_MatchAll_Ct&lt;22,$BC671=(Elig_MatchAll_Ct-1),AU671=0),R671,0)</f>
        <v>0</v>
      </c>
      <c r="BX671" s="202">
        <f>IF(AND(Input_Product=Elig!$C671,Elig_MatchAll_Ct&lt;22,$BC671=(Elig_MatchAll_Ct-1),AU671=0),S671,0)</f>
        <v>0</v>
      </c>
      <c r="BY671" s="201">
        <f>IF(AND(Input_Product=Elig!$C671,Elig_MatchAll_Ct&lt;22,$BC671=(Elig_MatchAll_Ct-1),AV671=0),T671,0)</f>
        <v>0</v>
      </c>
      <c r="BZ671" s="202">
        <f>IF(AND(Input_Product=Elig!$C671,Elig_MatchAll_Ct&lt;22,$BC671=(Elig_MatchAll_Ct-1),AV671=0),U671,0)</f>
        <v>0</v>
      </c>
      <c r="CA671" s="201">
        <f>IF(AND(Input_Product=Elig!$C671,Elig_MatchAll_Ct&lt;22,$BC671=(Elig_MatchAll_Ct-1),AW671=0),V671,0)</f>
        <v>0</v>
      </c>
      <c r="CB671" s="202">
        <f>IF(AND(Input_Product=Elig!$C671,Elig_MatchAll_Ct&lt;22,$BC671=(Elig_MatchAll_Ct-1),AW671=0),W671,0)</f>
        <v>0</v>
      </c>
      <c r="CC671" s="201">
        <f>IF(AND(Input_Product=Elig!$C671,Elig_MatchAll_Ct&lt;22,$BC671=(Elig_MatchAll_Ct-1),AX671=0),X671,0)</f>
        <v>0</v>
      </c>
      <c r="CD671" s="202">
        <f>IF(AND(Input_Product=Elig!$C671,Elig_MatchAll_Ct&lt;22,$BC671=(Elig_MatchAll_Ct-1),AX671=0),Y671,0)</f>
        <v>0</v>
      </c>
      <c r="CE671" s="201">
        <f>IF(AND(Input_LTV&lt;=AE671,Input_Product=Elig!$C671,Elig_MatchAll_Ct&lt;22,$BC671=(Elig_MatchAll_Ct-1),AY671=0),Z671,0)</f>
        <v>0</v>
      </c>
      <c r="CF671" s="202">
        <f>IF(AND(Input_LTV&lt;=AE671,Input_Product=Elig!$C671,Elig_MatchAll_Ct&lt;22,$BC671=(Elig_MatchAll_Ct-1),AY671=0),AA671,0)</f>
        <v>0</v>
      </c>
      <c r="CG671" s="201">
        <f>IF(AND(Input_Product=Elig!$C671,Elig_MatchAll_Ct&lt;22,$BC671=(Elig_MatchAll_Ct-1),AZ671=0),AB671,0)</f>
        <v>0</v>
      </c>
      <c r="CH671" s="202">
        <f>IF(AND(Input_Product=Elig!$C671,Elig_MatchAll_Ct&lt;22,$BC671=(Elig_MatchAll_Ct-1),AZ671=0),AC671,0)</f>
        <v>0</v>
      </c>
      <c r="CI671" s="201">
        <f>IF(AND(Input_Product=Elig!$C671,Elig_MatchAll_Ct&lt;22,$BC671=(Elig_MatchAll_Ct-1),BA671=0),AD671,0)</f>
        <v>0</v>
      </c>
      <c r="CJ671" s="202">
        <f>IF(AND(Input_Product=Elig!$C671,Elig_MatchAll_Ct&lt;22,$BC671=(Elig_MatchAll_Ct-1),BA671=0),AE671,0)</f>
        <v>0</v>
      </c>
    </row>
    <row r="672" spans="2:88" ht="10.15" customHeight="1" x14ac:dyDescent="0.25">
      <c r="B672" s="2027" t="s">
        <v>1585</v>
      </c>
      <c r="C672" s="2028" t="str">
        <f t="shared" si="279"/>
        <v>Second OO</v>
      </c>
      <c r="D672" s="2027" t="s">
        <v>1302</v>
      </c>
      <c r="E672" s="2027" t="s">
        <v>98</v>
      </c>
      <c r="F672" s="2027" t="s">
        <v>329</v>
      </c>
      <c r="G672" s="2029" t="s">
        <v>303</v>
      </c>
      <c r="H672" s="2029" t="s">
        <v>136</v>
      </c>
      <c r="I672" s="2027" t="s">
        <v>1332</v>
      </c>
      <c r="J672" s="2027" t="s">
        <v>1311</v>
      </c>
      <c r="K672" s="2029" t="s">
        <v>1790</v>
      </c>
      <c r="L672" s="2027" t="s">
        <v>430</v>
      </c>
      <c r="M672" s="2027" t="s">
        <v>2677</v>
      </c>
      <c r="N672" s="2029" t="s">
        <v>82</v>
      </c>
      <c r="O672" s="2027" t="s">
        <v>310</v>
      </c>
      <c r="P672" s="2027" t="s">
        <v>291</v>
      </c>
      <c r="Q672" s="2027" t="s">
        <v>294</v>
      </c>
      <c r="R672" s="2027">
        <v>200000</v>
      </c>
      <c r="S672" s="2027">
        <v>350000</v>
      </c>
      <c r="T672" s="2027">
        <v>0</v>
      </c>
      <c r="U672" s="2027">
        <f t="shared" si="280"/>
        <v>350000</v>
      </c>
      <c r="V672" s="2027">
        <v>0</v>
      </c>
      <c r="W672" s="2027">
        <v>50</v>
      </c>
      <c r="X672" s="2027">
        <v>0</v>
      </c>
      <c r="Y672" s="2027">
        <v>999</v>
      </c>
      <c r="Z672" s="2030">
        <v>680</v>
      </c>
      <c r="AA672" s="2030">
        <v>699</v>
      </c>
      <c r="AB672" s="2030">
        <v>0</v>
      </c>
      <c r="AC672" s="2030">
        <v>999999</v>
      </c>
      <c r="AD672" s="2027">
        <v>0</v>
      </c>
      <c r="AE672" s="1483">
        <v>75</v>
      </c>
      <c r="AF672" s="170">
        <v>1</v>
      </c>
      <c r="AG672" s="171">
        <v>0</v>
      </c>
      <c r="AH672" s="171">
        <v>1</v>
      </c>
      <c r="AI672" s="171">
        <v>0</v>
      </c>
      <c r="AJ672" s="171">
        <v>1</v>
      </c>
      <c r="AK672" s="171">
        <v>1</v>
      </c>
      <c r="AL672" s="171">
        <v>1</v>
      </c>
      <c r="AM672" s="171">
        <v>1</v>
      </c>
      <c r="AN672" s="171">
        <v>1</v>
      </c>
      <c r="AO672" s="171">
        <v>1</v>
      </c>
      <c r="AP672" s="171">
        <v>1</v>
      </c>
      <c r="AQ672" s="171">
        <v>1</v>
      </c>
      <c r="AR672" s="171">
        <v>1</v>
      </c>
      <c r="AS672" s="171">
        <v>1</v>
      </c>
      <c r="AT672" s="171">
        <v>1</v>
      </c>
      <c r="AU672" s="171">
        <f t="shared" si="270"/>
        <v>1</v>
      </c>
      <c r="AV672" s="171">
        <f t="shared" si="271"/>
        <v>1</v>
      </c>
      <c r="AW672" s="171">
        <f t="shared" si="272"/>
        <v>1</v>
      </c>
      <c r="AX672" s="171">
        <f t="shared" si="284"/>
        <v>1</v>
      </c>
      <c r="AY672" s="171">
        <f t="shared" si="273"/>
        <v>0</v>
      </c>
      <c r="AZ672" s="171">
        <f t="shared" si="274"/>
        <v>1</v>
      </c>
      <c r="BA672" s="172">
        <f t="shared" si="275"/>
        <v>1</v>
      </c>
      <c r="BB672" s="175">
        <f t="shared" si="281"/>
        <v>19</v>
      </c>
      <c r="BC672" s="176">
        <f t="shared" si="282"/>
        <v>18</v>
      </c>
      <c r="BD672" s="176">
        <f t="shared" si="283"/>
        <v>18</v>
      </c>
      <c r="BE672" s="240" t="str">
        <f t="shared" si="289"/>
        <v/>
      </c>
      <c r="BF672" s="234"/>
      <c r="BG672" s="234"/>
      <c r="BH672" s="199">
        <f>IF(AND(Input_Product=Elig!$C672,Elig_MatchAll_Ct&lt;22,$BC672=(Elig_MatchAll_Ct-1),AF672=0),C672,0)</f>
        <v>0</v>
      </c>
      <c r="BI672" s="199">
        <f>IF(AND(Input_Product=Elig!$C672,Elig_MatchAll_Ct&lt;22,$BC672=(Elig_MatchAll_Ct-1),AG672=0),D672,0)</f>
        <v>0</v>
      </c>
      <c r="BJ672" s="199">
        <f>IF(AND(Input_Product=Elig!$C672,Elig_MatchAll_Ct&lt;22,$BC672=(Elig_MatchAll_Ct-1),AH672=0),E672,0)</f>
        <v>0</v>
      </c>
      <c r="BK672" s="199">
        <f>IF(AND(Input_Product=Elig!$C672,Elig_MatchAll_Ct&lt;22,$BC672=(Elig_MatchAll_Ct-1),AI672=0),F672,0)</f>
        <v>0</v>
      </c>
      <c r="BL672" s="199">
        <f>IF(AND(Input_Product=Elig!$C672,Elig_MatchAll_Ct&lt;22,$BC672=(Elig_MatchAll_Ct-1),AJ672=0),G672,0)</f>
        <v>0</v>
      </c>
      <c r="BM672" s="199">
        <f>IF(AND(Input_Product=Elig!$C672,Elig_MatchAll_Ct&lt;22,$BC672=(Elig_MatchAll_Ct-1),AK672=0),H672,0)</f>
        <v>0</v>
      </c>
      <c r="BN672" s="199">
        <f>IF(AND(Input_Product=Elig!$C672,Elig_MatchAll_Ct&lt;22,$BC672=(Elig_MatchAll_Ct-1),AL672=0),I672,0)</f>
        <v>0</v>
      </c>
      <c r="BO672" s="199">
        <f>IF(AND(Input_Product=Elig!$C672,Elig_MatchAll_Ct&lt;22,$BC672=(Elig_MatchAll_Ct-1),AM672=0),J672,0)</f>
        <v>0</v>
      </c>
      <c r="BP672" s="199">
        <f>IF(AND(Input_Product=Elig!$C672,Elig_MatchAll_Ct&lt;22,$BC672=(Elig_MatchAll_Ct-1),AN672=0),K672,0)</f>
        <v>0</v>
      </c>
      <c r="BQ672" s="199">
        <f>IF(AND(Input_Product=Elig!$C672,Elig_MatchAll_Ct&lt;22,$BC672=(Elig_MatchAll_Ct-1),AP672=0),L672,0)</f>
        <v>0</v>
      </c>
      <c r="BR672" s="199">
        <f>IF(AND(Input_Product=Elig!$C672,Elig_MatchAll_Ct&lt;22,$BC672=(Elig_MatchAll_Ct-1),AO672=0),M672,0)</f>
        <v>0</v>
      </c>
      <c r="BS672" s="199">
        <f>IF(AND(Input_Product=Elig!$C672,Elig_MatchAll_Ct&lt;22,$BC672=(Elig_MatchAll_Ct-1),AQ672=0),N672,0)</f>
        <v>0</v>
      </c>
      <c r="BT672" s="199">
        <f>IF(AND(Input_Product=Elig!$C672,Elig_MatchAll_Ct&lt;22,$BC672=(Elig_MatchAll_Ct-1),AR672=0),O672,0)</f>
        <v>0</v>
      </c>
      <c r="BU672" s="199">
        <f>IF(AND(Input_Product=Elig!$C672,Elig_MatchAll_Ct&lt;22,$BC672=(Elig_MatchAll_Ct-1),AS672=0),P672,0)</f>
        <v>0</v>
      </c>
      <c r="BV672" s="200">
        <f>IF(AND(Input_Product=Elig!$C672,Elig_MatchAll_Ct&lt;22,$BC672=(Elig_MatchAll_Ct-1),AT672=0),Q672,0)</f>
        <v>0</v>
      </c>
      <c r="BW672" s="201">
        <f>IF(AND(Input_Product=Elig!$C672,Elig_MatchAll_Ct&lt;22,$BC672=(Elig_MatchAll_Ct-1),AU672=0),R672,0)</f>
        <v>0</v>
      </c>
      <c r="BX672" s="202">
        <f>IF(AND(Input_Product=Elig!$C672,Elig_MatchAll_Ct&lt;22,$BC672=(Elig_MatchAll_Ct-1),AU672=0),S672,0)</f>
        <v>0</v>
      </c>
      <c r="BY672" s="201">
        <f>IF(AND(Input_Product=Elig!$C672,Elig_MatchAll_Ct&lt;22,$BC672=(Elig_MatchAll_Ct-1),AV672=0),T672,0)</f>
        <v>0</v>
      </c>
      <c r="BZ672" s="202">
        <f>IF(AND(Input_Product=Elig!$C672,Elig_MatchAll_Ct&lt;22,$BC672=(Elig_MatchAll_Ct-1),AV672=0),U672,0)</f>
        <v>0</v>
      </c>
      <c r="CA672" s="201">
        <f>IF(AND(Input_Product=Elig!$C672,Elig_MatchAll_Ct&lt;22,$BC672=(Elig_MatchAll_Ct-1),AW672=0),V672,0)</f>
        <v>0</v>
      </c>
      <c r="CB672" s="202">
        <f>IF(AND(Input_Product=Elig!$C672,Elig_MatchAll_Ct&lt;22,$BC672=(Elig_MatchAll_Ct-1),AW672=0),W672,0)</f>
        <v>0</v>
      </c>
      <c r="CC672" s="201">
        <f>IF(AND(Input_Product=Elig!$C672,Elig_MatchAll_Ct&lt;22,$BC672=(Elig_MatchAll_Ct-1),AX672=0),X672,0)</f>
        <v>0</v>
      </c>
      <c r="CD672" s="202">
        <f>IF(AND(Input_Product=Elig!$C672,Elig_MatchAll_Ct&lt;22,$BC672=(Elig_MatchAll_Ct-1),AX672=0),Y672,0)</f>
        <v>0</v>
      </c>
      <c r="CE672" s="201">
        <f>IF(AND(Input_LTV&lt;=AE672,Input_Product=Elig!$C672,Elig_MatchAll_Ct&lt;22,$BC672=(Elig_MatchAll_Ct-1),AY672=0),Z672,0)</f>
        <v>0</v>
      </c>
      <c r="CF672" s="202">
        <f>IF(AND(Input_LTV&lt;=AE672,Input_Product=Elig!$C672,Elig_MatchAll_Ct&lt;22,$BC672=(Elig_MatchAll_Ct-1),AY672=0),AA672,0)</f>
        <v>0</v>
      </c>
      <c r="CG672" s="201">
        <f>IF(AND(Input_Product=Elig!$C672,Elig_MatchAll_Ct&lt;22,$BC672=(Elig_MatchAll_Ct-1),AZ672=0),AB672,0)</f>
        <v>0</v>
      </c>
      <c r="CH672" s="202">
        <f>IF(AND(Input_Product=Elig!$C672,Elig_MatchAll_Ct&lt;22,$BC672=(Elig_MatchAll_Ct-1),AZ672=0),AC672,0)</f>
        <v>0</v>
      </c>
      <c r="CI672" s="201">
        <f>IF(AND(Input_Product=Elig!$C672,Elig_MatchAll_Ct&lt;22,$BC672=(Elig_MatchAll_Ct-1),BA672=0),AD672,0)</f>
        <v>0</v>
      </c>
      <c r="CJ672" s="202">
        <f>IF(AND(Input_Product=Elig!$C672,Elig_MatchAll_Ct&lt;22,$BC672=(Elig_MatchAll_Ct-1),BA672=0),AE672,0)</f>
        <v>0</v>
      </c>
    </row>
    <row r="673" spans="2:88" ht="10.15" customHeight="1" x14ac:dyDescent="0.25">
      <c r="B673" s="2027" t="s">
        <v>1586</v>
      </c>
      <c r="C673" s="2032" t="str">
        <f t="shared" si="279"/>
        <v>Second OO</v>
      </c>
      <c r="D673" s="2031" t="s">
        <v>1302</v>
      </c>
      <c r="E673" s="2031" t="s">
        <v>98</v>
      </c>
      <c r="F673" s="2031" t="s">
        <v>329</v>
      </c>
      <c r="G673" s="2033" t="s">
        <v>303</v>
      </c>
      <c r="H673" s="2033" t="s">
        <v>136</v>
      </c>
      <c r="I673" s="2031" t="s">
        <v>1332</v>
      </c>
      <c r="J673" s="2031" t="s">
        <v>1311</v>
      </c>
      <c r="K673" s="2033" t="s">
        <v>1790</v>
      </c>
      <c r="L673" s="2031" t="s">
        <v>430</v>
      </c>
      <c r="M673" s="2031" t="s">
        <v>2677</v>
      </c>
      <c r="N673" s="2033" t="s">
        <v>82</v>
      </c>
      <c r="O673" s="2031" t="s">
        <v>310</v>
      </c>
      <c r="P673" s="2031" t="s">
        <v>291</v>
      </c>
      <c r="Q673" s="2031" t="s">
        <v>294</v>
      </c>
      <c r="R673" s="2031">
        <v>200000</v>
      </c>
      <c r="S673" s="2031">
        <v>350000</v>
      </c>
      <c r="T673" s="2031">
        <v>0</v>
      </c>
      <c r="U673" s="2031">
        <f t="shared" si="280"/>
        <v>350000</v>
      </c>
      <c r="V673" s="2031">
        <v>0</v>
      </c>
      <c r="W673" s="2031">
        <v>50</v>
      </c>
      <c r="X673" s="2031">
        <v>0</v>
      </c>
      <c r="Y673" s="2031">
        <v>999</v>
      </c>
      <c r="Z673" s="2034">
        <v>660</v>
      </c>
      <c r="AA673" s="2034">
        <v>679</v>
      </c>
      <c r="AB673" s="2034">
        <v>0</v>
      </c>
      <c r="AC673" s="2034">
        <v>999999</v>
      </c>
      <c r="AD673" s="2031">
        <v>0</v>
      </c>
      <c r="AE673" s="1484">
        <v>70</v>
      </c>
      <c r="AF673" s="170">
        <v>1</v>
      </c>
      <c r="AG673" s="171">
        <v>0</v>
      </c>
      <c r="AH673" s="171">
        <v>1</v>
      </c>
      <c r="AI673" s="171">
        <v>0</v>
      </c>
      <c r="AJ673" s="171">
        <v>1</v>
      </c>
      <c r="AK673" s="171">
        <v>1</v>
      </c>
      <c r="AL673" s="171">
        <v>1</v>
      </c>
      <c r="AM673" s="171">
        <v>1</v>
      </c>
      <c r="AN673" s="171">
        <v>1</v>
      </c>
      <c r="AO673" s="171">
        <v>1</v>
      </c>
      <c r="AP673" s="171">
        <v>1</v>
      </c>
      <c r="AQ673" s="171">
        <v>1</v>
      </c>
      <c r="AR673" s="171">
        <v>1</v>
      </c>
      <c r="AS673" s="171">
        <v>1</v>
      </c>
      <c r="AT673" s="171">
        <v>1</v>
      </c>
      <c r="AU673" s="171">
        <f t="shared" si="270"/>
        <v>1</v>
      </c>
      <c r="AV673" s="171">
        <f t="shared" si="271"/>
        <v>1</v>
      </c>
      <c r="AW673" s="171">
        <f t="shared" si="272"/>
        <v>1</v>
      </c>
      <c r="AX673" s="171">
        <f t="shared" si="284"/>
        <v>1</v>
      </c>
      <c r="AY673" s="171">
        <f t="shared" si="273"/>
        <v>0</v>
      </c>
      <c r="AZ673" s="171">
        <f t="shared" si="274"/>
        <v>1</v>
      </c>
      <c r="BA673" s="172">
        <f t="shared" si="275"/>
        <v>1</v>
      </c>
      <c r="BB673" s="175">
        <f t="shared" si="281"/>
        <v>19</v>
      </c>
      <c r="BC673" s="176">
        <f t="shared" si="282"/>
        <v>18</v>
      </c>
      <c r="BD673" s="176">
        <f t="shared" si="283"/>
        <v>18</v>
      </c>
      <c r="BE673" s="240" t="str">
        <f t="shared" si="289"/>
        <v/>
      </c>
      <c r="BF673" s="234"/>
      <c r="BG673" s="234"/>
      <c r="BH673" s="214">
        <f>IF(AND(Input_Product=Elig!$C673,Elig_MatchAll_Ct&lt;22,$BC673=(Elig_MatchAll_Ct-1),AF673=0),C673,0)</f>
        <v>0</v>
      </c>
      <c r="BI673" s="214">
        <f>IF(AND(Input_Product=Elig!$C673,Elig_MatchAll_Ct&lt;22,$BC673=(Elig_MatchAll_Ct-1),AG673=0),D673,0)</f>
        <v>0</v>
      </c>
      <c r="BJ673" s="214">
        <f>IF(AND(Input_Product=Elig!$C673,Elig_MatchAll_Ct&lt;22,$BC673=(Elig_MatchAll_Ct-1),AH673=0),E673,0)</f>
        <v>0</v>
      </c>
      <c r="BK673" s="214">
        <f>IF(AND(Input_Product=Elig!$C673,Elig_MatchAll_Ct&lt;22,$BC673=(Elig_MatchAll_Ct-1),AI673=0),F673,0)</f>
        <v>0</v>
      </c>
      <c r="BL673" s="214">
        <f>IF(AND(Input_Product=Elig!$C673,Elig_MatchAll_Ct&lt;22,$BC673=(Elig_MatchAll_Ct-1),AJ673=0),G673,0)</f>
        <v>0</v>
      </c>
      <c r="BM673" s="214">
        <f>IF(AND(Input_Product=Elig!$C673,Elig_MatchAll_Ct&lt;22,$BC673=(Elig_MatchAll_Ct-1),AK673=0),H673,0)</f>
        <v>0</v>
      </c>
      <c r="BN673" s="214">
        <f>IF(AND(Input_Product=Elig!$C673,Elig_MatchAll_Ct&lt;22,$BC673=(Elig_MatchAll_Ct-1),AL673=0),I673,0)</f>
        <v>0</v>
      </c>
      <c r="BO673" s="214">
        <f>IF(AND(Input_Product=Elig!$C673,Elig_MatchAll_Ct&lt;22,$BC673=(Elig_MatchAll_Ct-1),AM673=0),J673,0)</f>
        <v>0</v>
      </c>
      <c r="BP673" s="214">
        <f>IF(AND(Input_Product=Elig!$C673,Elig_MatchAll_Ct&lt;22,$BC673=(Elig_MatchAll_Ct-1),AN673=0),K673,0)</f>
        <v>0</v>
      </c>
      <c r="BQ673" s="214">
        <f>IF(AND(Input_Product=Elig!$C673,Elig_MatchAll_Ct&lt;22,$BC673=(Elig_MatchAll_Ct-1),AP673=0),L673,0)</f>
        <v>0</v>
      </c>
      <c r="BR673" s="214">
        <f>IF(AND(Input_Product=Elig!$C673,Elig_MatchAll_Ct&lt;22,$BC673=(Elig_MatchAll_Ct-1),AO673=0),M673,0)</f>
        <v>0</v>
      </c>
      <c r="BS673" s="214">
        <f>IF(AND(Input_Product=Elig!$C673,Elig_MatchAll_Ct&lt;22,$BC673=(Elig_MatchAll_Ct-1),AQ673=0),N673,0)</f>
        <v>0</v>
      </c>
      <c r="BT673" s="214">
        <f>IF(AND(Input_Product=Elig!$C673,Elig_MatchAll_Ct&lt;22,$BC673=(Elig_MatchAll_Ct-1),AR673=0),O673,0)</f>
        <v>0</v>
      </c>
      <c r="BU673" s="214">
        <f>IF(AND(Input_Product=Elig!$C673,Elig_MatchAll_Ct&lt;22,$BC673=(Elig_MatchAll_Ct-1),AS673=0),P673,0)</f>
        <v>0</v>
      </c>
      <c r="BV673" s="215">
        <f>IF(AND(Input_Product=Elig!$C673,Elig_MatchAll_Ct&lt;22,$BC673=(Elig_MatchAll_Ct-1),AT673=0),Q673,0)</f>
        <v>0</v>
      </c>
      <c r="BW673" s="311">
        <f>IF(AND(Input_Product=Elig!$C673,Elig_MatchAll_Ct&lt;22,$BC673=(Elig_MatchAll_Ct-1),AU673=0),R673,0)</f>
        <v>0</v>
      </c>
      <c r="BX673" s="312">
        <f>IF(AND(Input_Product=Elig!$C673,Elig_MatchAll_Ct&lt;22,$BC673=(Elig_MatchAll_Ct-1),AU673=0),S673,0)</f>
        <v>0</v>
      </c>
      <c r="BY673" s="311">
        <f>IF(AND(Input_Product=Elig!$C673,Elig_MatchAll_Ct&lt;22,$BC673=(Elig_MatchAll_Ct-1),AV673=0),T673,0)</f>
        <v>0</v>
      </c>
      <c r="BZ673" s="312">
        <f>IF(AND(Input_Product=Elig!$C673,Elig_MatchAll_Ct&lt;22,$BC673=(Elig_MatchAll_Ct-1),AV673=0),U673,0)</f>
        <v>0</v>
      </c>
      <c r="CA673" s="311">
        <f>IF(AND(Input_Product=Elig!$C673,Elig_MatchAll_Ct&lt;22,$BC673=(Elig_MatchAll_Ct-1),AW673=0),V673,0)</f>
        <v>0</v>
      </c>
      <c r="CB673" s="312">
        <f>IF(AND(Input_Product=Elig!$C673,Elig_MatchAll_Ct&lt;22,$BC673=(Elig_MatchAll_Ct-1),AW673=0),W673,0)</f>
        <v>0</v>
      </c>
      <c r="CC673" s="311">
        <f>IF(AND(Input_Product=Elig!$C673,Elig_MatchAll_Ct&lt;22,$BC673=(Elig_MatchAll_Ct-1),AX673=0),X673,0)</f>
        <v>0</v>
      </c>
      <c r="CD673" s="312">
        <f>IF(AND(Input_Product=Elig!$C673,Elig_MatchAll_Ct&lt;22,$BC673=(Elig_MatchAll_Ct-1),AX673=0),Y673,0)</f>
        <v>0</v>
      </c>
      <c r="CE673" s="311">
        <f>IF(AND(Input_LTV&lt;=AE673,Input_Product=Elig!$C673,Elig_MatchAll_Ct&lt;22,$BC673=(Elig_MatchAll_Ct-1),AY673=0),Z673,0)</f>
        <v>0</v>
      </c>
      <c r="CF673" s="312">
        <f>IF(AND(Input_LTV&lt;=AE673,Input_Product=Elig!$C673,Elig_MatchAll_Ct&lt;22,$BC673=(Elig_MatchAll_Ct-1),AY673=0),AA673,0)</f>
        <v>0</v>
      </c>
      <c r="CG673" s="311">
        <f>IF(AND(Input_Product=Elig!$C673,Elig_MatchAll_Ct&lt;22,$BC673=(Elig_MatchAll_Ct-1),AZ673=0),AB673,0)</f>
        <v>0</v>
      </c>
      <c r="CH673" s="312">
        <f>IF(AND(Input_Product=Elig!$C673,Elig_MatchAll_Ct&lt;22,$BC673=(Elig_MatchAll_Ct-1),AZ673=0),AC673,0)</f>
        <v>0</v>
      </c>
      <c r="CI673" s="311">
        <f>IF(AND(Input_Product=Elig!$C673,Elig_MatchAll_Ct&lt;22,$BC673=(Elig_MatchAll_Ct-1),BA673=0),AD673,0)</f>
        <v>0</v>
      </c>
      <c r="CJ673" s="312">
        <f>IF(AND(Input_Product=Elig!$C673,Elig_MatchAll_Ct&lt;22,$BC673=(Elig_MatchAll_Ct-1),BA673=0),AE673,0)</f>
        <v>0</v>
      </c>
    </row>
    <row r="674" spans="2:88" ht="10.15" customHeight="1" x14ac:dyDescent="0.25">
      <c r="B674" s="2027" t="s">
        <v>1587</v>
      </c>
      <c r="C674" s="2024" t="str">
        <f t="shared" si="279"/>
        <v>Second OO</v>
      </c>
      <c r="D674" s="2025" t="s">
        <v>1561</v>
      </c>
      <c r="E674" s="2025" t="s">
        <v>98</v>
      </c>
      <c r="F674" s="2025" t="s">
        <v>329</v>
      </c>
      <c r="G674" s="2103" t="s">
        <v>175</v>
      </c>
      <c r="H674" s="2025" t="s">
        <v>446</v>
      </c>
      <c r="I674" s="2023" t="s">
        <v>1332</v>
      </c>
      <c r="J674" s="2023" t="s">
        <v>1311</v>
      </c>
      <c r="K674" s="2025" t="s">
        <v>1790</v>
      </c>
      <c r="L674" s="2023" t="s">
        <v>430</v>
      </c>
      <c r="M674" s="2023" t="s">
        <v>2677</v>
      </c>
      <c r="N674" s="2025" t="s">
        <v>82</v>
      </c>
      <c r="O674" s="2023" t="s">
        <v>310</v>
      </c>
      <c r="P674" s="2023" t="s">
        <v>291</v>
      </c>
      <c r="Q674" s="2023" t="s">
        <v>294</v>
      </c>
      <c r="R674" s="2023">
        <v>50000</v>
      </c>
      <c r="S674" s="2023">
        <v>350000</v>
      </c>
      <c r="T674" s="2023">
        <v>0</v>
      </c>
      <c r="U674" s="2023">
        <f t="shared" si="280"/>
        <v>350000</v>
      </c>
      <c r="V674" s="2023">
        <v>0</v>
      </c>
      <c r="W674" s="2023">
        <v>50</v>
      </c>
      <c r="X674" s="2023">
        <v>0</v>
      </c>
      <c r="Y674" s="2023">
        <v>999</v>
      </c>
      <c r="Z674" s="2026">
        <v>720</v>
      </c>
      <c r="AA674" s="2026">
        <v>999</v>
      </c>
      <c r="AB674" s="2026">
        <v>0</v>
      </c>
      <c r="AC674" s="2026">
        <v>999999</v>
      </c>
      <c r="AD674" s="2023">
        <v>0</v>
      </c>
      <c r="AE674" s="2104">
        <v>80</v>
      </c>
      <c r="AF674" s="170">
        <v>1</v>
      </c>
      <c r="AG674" s="171">
        <v>1</v>
      </c>
      <c r="AH674" s="171">
        <v>1</v>
      </c>
      <c r="AI674" s="171">
        <v>0</v>
      </c>
      <c r="AJ674" s="171">
        <v>0</v>
      </c>
      <c r="AK674" s="171">
        <v>0</v>
      </c>
      <c r="AL674" s="171">
        <v>1</v>
      </c>
      <c r="AM674" s="171">
        <v>1</v>
      </c>
      <c r="AN674" s="171">
        <v>1</v>
      </c>
      <c r="AO674" s="171">
        <v>1</v>
      </c>
      <c r="AP674" s="171">
        <v>1</v>
      </c>
      <c r="AQ674" s="171">
        <v>1</v>
      </c>
      <c r="AR674" s="171">
        <v>1</v>
      </c>
      <c r="AS674" s="171">
        <v>1</v>
      </c>
      <c r="AT674" s="171">
        <v>1</v>
      </c>
      <c r="AU674" s="171">
        <f t="shared" si="270"/>
        <v>1</v>
      </c>
      <c r="AV674" s="171">
        <f t="shared" si="271"/>
        <v>1</v>
      </c>
      <c r="AW674" s="171">
        <f t="shared" si="272"/>
        <v>1</v>
      </c>
      <c r="AX674" s="171">
        <f t="shared" si="284"/>
        <v>1</v>
      </c>
      <c r="AY674" s="171">
        <f t="shared" si="273"/>
        <v>1</v>
      </c>
      <c r="AZ674" s="171">
        <f t="shared" si="274"/>
        <v>1</v>
      </c>
      <c r="BA674" s="172">
        <f t="shared" si="275"/>
        <v>1</v>
      </c>
      <c r="BB674" s="175">
        <f t="shared" si="281"/>
        <v>19</v>
      </c>
      <c r="BC674" s="176">
        <f t="shared" si="282"/>
        <v>18</v>
      </c>
      <c r="BD674" s="176">
        <f t="shared" si="283"/>
        <v>18</v>
      </c>
      <c r="BE674" s="240" t="str">
        <f t="shared" si="289"/>
        <v/>
      </c>
      <c r="BF674" s="220"/>
      <c r="BG674" s="220"/>
      <c r="BH674" s="216">
        <f>IF(AND(Input_Product=Elig!$C674,Elig_MatchAll_Ct&lt;22,$BC674=(Elig_MatchAll_Ct-1),AF674=0),C674,0)</f>
        <v>0</v>
      </c>
      <c r="BI674" s="216">
        <f>IF(AND(Input_Product=Elig!$C674,Elig_MatchAll_Ct&lt;22,$BC674=(Elig_MatchAll_Ct-1),AG674=0),D674,0)</f>
        <v>0</v>
      </c>
      <c r="BJ674" s="216">
        <f>IF(AND(Input_Product=Elig!$C674,Elig_MatchAll_Ct&lt;22,$BC674=(Elig_MatchAll_Ct-1),AH674=0),E674,0)</f>
        <v>0</v>
      </c>
      <c r="BK674" s="216">
        <f>IF(AND(Input_Product=Elig!$C674,Elig_MatchAll_Ct&lt;22,$BC674=(Elig_MatchAll_Ct-1),AI674=0),F674,0)</f>
        <v>0</v>
      </c>
      <c r="BL674" s="216">
        <f>IF(AND(Input_Product=Elig!$C674,Elig_MatchAll_Ct&lt;22,$BC674=(Elig_MatchAll_Ct-1),AJ674=0),G674,0)</f>
        <v>0</v>
      </c>
      <c r="BM674" s="216">
        <f>IF(AND(Input_Product=Elig!$C674,Elig_MatchAll_Ct&lt;22,$BC674=(Elig_MatchAll_Ct-1),AK674=0),H674,0)</f>
        <v>0</v>
      </c>
      <c r="BN674" s="216">
        <f>IF(AND(Input_Product=Elig!$C674,Elig_MatchAll_Ct&lt;22,$BC674=(Elig_MatchAll_Ct-1),AL674=0),I674,0)</f>
        <v>0</v>
      </c>
      <c r="BO674" s="216">
        <f>IF(AND(Input_Product=Elig!$C674,Elig_MatchAll_Ct&lt;22,$BC674=(Elig_MatchAll_Ct-1),AM674=0),J674,0)</f>
        <v>0</v>
      </c>
      <c r="BP674" s="216">
        <f>IF(AND(Input_Product=Elig!$C674,Elig_MatchAll_Ct&lt;22,$BC674=(Elig_MatchAll_Ct-1),AN674=0),K674,0)</f>
        <v>0</v>
      </c>
      <c r="BQ674" s="216">
        <f>IF(AND(Input_Product=Elig!$C674,Elig_MatchAll_Ct&lt;22,$BC674=(Elig_MatchAll_Ct-1),AP674=0),L674,0)</f>
        <v>0</v>
      </c>
      <c r="BR674" s="216">
        <f>IF(AND(Input_Product=Elig!$C674,Elig_MatchAll_Ct&lt;22,$BC674=(Elig_MatchAll_Ct-1),AO674=0),M674,0)</f>
        <v>0</v>
      </c>
      <c r="BS674" s="216">
        <f>IF(AND(Input_Product=Elig!$C674,Elig_MatchAll_Ct&lt;22,$BC674=(Elig_MatchAll_Ct-1),AQ674=0),N674,0)</f>
        <v>0</v>
      </c>
      <c r="BT674" s="216">
        <f>IF(AND(Input_Product=Elig!$C674,Elig_MatchAll_Ct&lt;22,$BC674=(Elig_MatchAll_Ct-1),AR674=0),O674,0)</f>
        <v>0</v>
      </c>
      <c r="BU674" s="216">
        <f>IF(AND(Input_Product=Elig!$C674,Elig_MatchAll_Ct&lt;22,$BC674=(Elig_MatchAll_Ct-1),AS674=0),P674,0)</f>
        <v>0</v>
      </c>
      <c r="BV674" s="217">
        <f>IF(AND(Input_Product=Elig!$C674,Elig_MatchAll_Ct&lt;22,$BC674=(Elig_MatchAll_Ct-1),AT674=0),Q674,0)</f>
        <v>0</v>
      </c>
      <c r="BW674" s="313">
        <f>IF(AND(Input_Product=Elig!$C674,Elig_MatchAll_Ct&lt;22,$BC674=(Elig_MatchAll_Ct-1),AU674=0),R674,0)</f>
        <v>0</v>
      </c>
      <c r="BX674" s="314">
        <f>IF(AND(Input_Product=Elig!$C674,Elig_MatchAll_Ct&lt;22,$BC674=(Elig_MatchAll_Ct-1),AU674=0),S674,0)</f>
        <v>0</v>
      </c>
      <c r="BY674" s="313">
        <f>IF(AND(Input_Product=Elig!$C674,Elig_MatchAll_Ct&lt;22,$BC674=(Elig_MatchAll_Ct-1),AV674=0),T674,0)</f>
        <v>0</v>
      </c>
      <c r="BZ674" s="314">
        <f>IF(AND(Input_Product=Elig!$C674,Elig_MatchAll_Ct&lt;22,$BC674=(Elig_MatchAll_Ct-1),AV674=0),U674,0)</f>
        <v>0</v>
      </c>
      <c r="CA674" s="313">
        <f>IF(AND(Input_Product=Elig!$C674,Elig_MatchAll_Ct&lt;22,$BC674=(Elig_MatchAll_Ct-1),AW674=0),V674,0)</f>
        <v>0</v>
      </c>
      <c r="CB674" s="314">
        <f>IF(AND(Input_Product=Elig!$C674,Elig_MatchAll_Ct&lt;22,$BC674=(Elig_MatchAll_Ct-1),AW674=0),W674,0)</f>
        <v>0</v>
      </c>
      <c r="CC674" s="313">
        <f>IF(AND(Input_Product=Elig!$C674,Elig_MatchAll_Ct&lt;22,$BC674=(Elig_MatchAll_Ct-1),AX674=0),X674,0)</f>
        <v>0</v>
      </c>
      <c r="CD674" s="314">
        <f>IF(AND(Input_Product=Elig!$C674,Elig_MatchAll_Ct&lt;22,$BC674=(Elig_MatchAll_Ct-1),AX674=0),Y674,0)</f>
        <v>0</v>
      </c>
      <c r="CE674" s="313">
        <f>IF(AND(Input_LTV&lt;=AE674,Input_Product=Elig!$C674,Elig_MatchAll_Ct&lt;22,$BC674=(Elig_MatchAll_Ct-1),AY674=0),Z674,0)</f>
        <v>0</v>
      </c>
      <c r="CF674" s="314">
        <f>IF(AND(Input_LTV&lt;=AE674,Input_Product=Elig!$C674,Elig_MatchAll_Ct&lt;22,$BC674=(Elig_MatchAll_Ct-1),AY674=0),AA674,0)</f>
        <v>0</v>
      </c>
      <c r="CG674" s="313">
        <f>IF(AND(Input_Product=Elig!$C674,Elig_MatchAll_Ct&lt;22,$BC674=(Elig_MatchAll_Ct-1),AZ674=0),AB674,0)</f>
        <v>0</v>
      </c>
      <c r="CH674" s="314">
        <f>IF(AND(Input_Product=Elig!$C674,Elig_MatchAll_Ct&lt;22,$BC674=(Elig_MatchAll_Ct-1),AZ674=0),AC674,0)</f>
        <v>0</v>
      </c>
      <c r="CI674" s="313">
        <f>IF(AND(Input_Product=Elig!$C674,Elig_MatchAll_Ct&lt;22,$BC674=(Elig_MatchAll_Ct-1),BA674=0),AD674,0)</f>
        <v>0</v>
      </c>
      <c r="CJ674" s="314">
        <f>IF(AND(Input_Product=Elig!$C674,Elig_MatchAll_Ct&lt;22,$BC674=(Elig_MatchAll_Ct-1),BA674=0),AE674,0)</f>
        <v>0</v>
      </c>
    </row>
    <row r="675" spans="2:88" ht="10.15" customHeight="1" x14ac:dyDescent="0.25">
      <c r="B675" s="2027" t="s">
        <v>1588</v>
      </c>
      <c r="C675" s="2028" t="str">
        <f t="shared" si="279"/>
        <v>Second OO</v>
      </c>
      <c r="D675" s="2027" t="s">
        <v>1561</v>
      </c>
      <c r="E675" s="2027" t="s">
        <v>98</v>
      </c>
      <c r="F675" s="2027" t="s">
        <v>329</v>
      </c>
      <c r="G675" s="2110" t="s">
        <v>175</v>
      </c>
      <c r="H675" s="2029" t="s">
        <v>446</v>
      </c>
      <c r="I675" s="2027" t="s">
        <v>1332</v>
      </c>
      <c r="J675" s="2027" t="s">
        <v>1311</v>
      </c>
      <c r="K675" s="2029" t="s">
        <v>1790</v>
      </c>
      <c r="L675" s="2027" t="s">
        <v>430</v>
      </c>
      <c r="M675" s="2027" t="s">
        <v>2677</v>
      </c>
      <c r="N675" s="2029" t="s">
        <v>82</v>
      </c>
      <c r="O675" s="2027" t="s">
        <v>310</v>
      </c>
      <c r="P675" s="2027" t="s">
        <v>291</v>
      </c>
      <c r="Q675" s="2027" t="s">
        <v>294</v>
      </c>
      <c r="R675" s="2027">
        <v>50000</v>
      </c>
      <c r="S675" s="2027">
        <v>350000</v>
      </c>
      <c r="T675" s="2027">
        <v>0</v>
      </c>
      <c r="U675" s="2027">
        <f t="shared" si="280"/>
        <v>350000</v>
      </c>
      <c r="V675" s="2027">
        <v>0</v>
      </c>
      <c r="W675" s="2027">
        <v>50</v>
      </c>
      <c r="X675" s="2027">
        <v>0</v>
      </c>
      <c r="Y675" s="2027">
        <v>999</v>
      </c>
      <c r="Z675" s="2030">
        <v>700</v>
      </c>
      <c r="AA675" s="2030">
        <v>719</v>
      </c>
      <c r="AB675" s="2030">
        <v>0</v>
      </c>
      <c r="AC675" s="2030">
        <v>999999</v>
      </c>
      <c r="AD675" s="2027">
        <v>0</v>
      </c>
      <c r="AE675" s="2105">
        <v>75</v>
      </c>
      <c r="AF675" s="170">
        <v>1</v>
      </c>
      <c r="AG675" s="171">
        <v>1</v>
      </c>
      <c r="AH675" s="171">
        <v>1</v>
      </c>
      <c r="AI675" s="171">
        <v>0</v>
      </c>
      <c r="AJ675" s="171">
        <v>0</v>
      </c>
      <c r="AK675" s="171">
        <v>0</v>
      </c>
      <c r="AL675" s="171">
        <v>1</v>
      </c>
      <c r="AM675" s="171">
        <v>1</v>
      </c>
      <c r="AN675" s="171">
        <v>1</v>
      </c>
      <c r="AO675" s="171">
        <v>1</v>
      </c>
      <c r="AP675" s="171">
        <v>1</v>
      </c>
      <c r="AQ675" s="171">
        <v>1</v>
      </c>
      <c r="AR675" s="171">
        <v>1</v>
      </c>
      <c r="AS675" s="171">
        <v>1</v>
      </c>
      <c r="AT675" s="171">
        <v>1</v>
      </c>
      <c r="AU675" s="171">
        <f t="shared" si="270"/>
        <v>1</v>
      </c>
      <c r="AV675" s="171">
        <f t="shared" si="271"/>
        <v>1</v>
      </c>
      <c r="AW675" s="171">
        <f t="shared" si="272"/>
        <v>1</v>
      </c>
      <c r="AX675" s="171">
        <f t="shared" si="284"/>
        <v>1</v>
      </c>
      <c r="AY675" s="171">
        <f t="shared" si="273"/>
        <v>0</v>
      </c>
      <c r="AZ675" s="171">
        <f t="shared" si="274"/>
        <v>1</v>
      </c>
      <c r="BA675" s="172">
        <f t="shared" si="275"/>
        <v>1</v>
      </c>
      <c r="BB675" s="175">
        <f t="shared" si="281"/>
        <v>18</v>
      </c>
      <c r="BC675" s="176">
        <f t="shared" si="282"/>
        <v>17</v>
      </c>
      <c r="BD675" s="176">
        <f t="shared" si="283"/>
        <v>17</v>
      </c>
      <c r="BE675" s="240" t="str">
        <f t="shared" si="289"/>
        <v/>
      </c>
      <c r="BF675" s="234"/>
      <c r="BG675" s="234"/>
      <c r="BH675" s="199">
        <f>IF(AND(Input_Product=Elig!$C675,Elig_MatchAll_Ct&lt;22,$BC675=(Elig_MatchAll_Ct-1),AF675=0),C675,0)</f>
        <v>0</v>
      </c>
      <c r="BI675" s="199">
        <f>IF(AND(Input_Product=Elig!$C675,Elig_MatchAll_Ct&lt;22,$BC675=(Elig_MatchAll_Ct-1),AG675=0),D675,0)</f>
        <v>0</v>
      </c>
      <c r="BJ675" s="199">
        <f>IF(AND(Input_Product=Elig!$C675,Elig_MatchAll_Ct&lt;22,$BC675=(Elig_MatchAll_Ct-1),AH675=0),E675,0)</f>
        <v>0</v>
      </c>
      <c r="BK675" s="199">
        <f>IF(AND(Input_Product=Elig!$C675,Elig_MatchAll_Ct&lt;22,$BC675=(Elig_MatchAll_Ct-1),AI675=0),F675,0)</f>
        <v>0</v>
      </c>
      <c r="BL675" s="199">
        <f>IF(AND(Input_Product=Elig!$C675,Elig_MatchAll_Ct&lt;22,$BC675=(Elig_MatchAll_Ct-1),AJ675=0),G675,0)</f>
        <v>0</v>
      </c>
      <c r="BM675" s="199">
        <f>IF(AND(Input_Product=Elig!$C675,Elig_MatchAll_Ct&lt;22,$BC675=(Elig_MatchAll_Ct-1),AK675=0),H675,0)</f>
        <v>0</v>
      </c>
      <c r="BN675" s="199">
        <f>IF(AND(Input_Product=Elig!$C675,Elig_MatchAll_Ct&lt;22,$BC675=(Elig_MatchAll_Ct-1),AL675=0),I675,0)</f>
        <v>0</v>
      </c>
      <c r="BO675" s="199">
        <f>IF(AND(Input_Product=Elig!$C675,Elig_MatchAll_Ct&lt;22,$BC675=(Elig_MatchAll_Ct-1),AM675=0),J675,0)</f>
        <v>0</v>
      </c>
      <c r="BP675" s="199">
        <f>IF(AND(Input_Product=Elig!$C675,Elig_MatchAll_Ct&lt;22,$BC675=(Elig_MatchAll_Ct-1),AN675=0),K675,0)</f>
        <v>0</v>
      </c>
      <c r="BQ675" s="199">
        <f>IF(AND(Input_Product=Elig!$C675,Elig_MatchAll_Ct&lt;22,$BC675=(Elig_MatchAll_Ct-1),AP675=0),L675,0)</f>
        <v>0</v>
      </c>
      <c r="BR675" s="199">
        <f>IF(AND(Input_Product=Elig!$C675,Elig_MatchAll_Ct&lt;22,$BC675=(Elig_MatchAll_Ct-1),AO675=0),M675,0)</f>
        <v>0</v>
      </c>
      <c r="BS675" s="199">
        <f>IF(AND(Input_Product=Elig!$C675,Elig_MatchAll_Ct&lt;22,$BC675=(Elig_MatchAll_Ct-1),AQ675=0),N675,0)</f>
        <v>0</v>
      </c>
      <c r="BT675" s="199">
        <f>IF(AND(Input_Product=Elig!$C675,Elig_MatchAll_Ct&lt;22,$BC675=(Elig_MatchAll_Ct-1),AR675=0),O675,0)</f>
        <v>0</v>
      </c>
      <c r="BU675" s="199">
        <f>IF(AND(Input_Product=Elig!$C675,Elig_MatchAll_Ct&lt;22,$BC675=(Elig_MatchAll_Ct-1),AS675=0),P675,0)</f>
        <v>0</v>
      </c>
      <c r="BV675" s="200">
        <f>IF(AND(Input_Product=Elig!$C675,Elig_MatchAll_Ct&lt;22,$BC675=(Elig_MatchAll_Ct-1),AT675=0),Q675,0)</f>
        <v>0</v>
      </c>
      <c r="BW675" s="201">
        <f>IF(AND(Input_Product=Elig!$C675,Elig_MatchAll_Ct&lt;22,$BC675=(Elig_MatchAll_Ct-1),AU675=0),R675,0)</f>
        <v>0</v>
      </c>
      <c r="BX675" s="202">
        <f>IF(AND(Input_Product=Elig!$C675,Elig_MatchAll_Ct&lt;22,$BC675=(Elig_MatchAll_Ct-1),AU675=0),S675,0)</f>
        <v>0</v>
      </c>
      <c r="BY675" s="201">
        <f>IF(AND(Input_Product=Elig!$C675,Elig_MatchAll_Ct&lt;22,$BC675=(Elig_MatchAll_Ct-1),AV675=0),T675,0)</f>
        <v>0</v>
      </c>
      <c r="BZ675" s="202">
        <f>IF(AND(Input_Product=Elig!$C675,Elig_MatchAll_Ct&lt;22,$BC675=(Elig_MatchAll_Ct-1),AV675=0),U675,0)</f>
        <v>0</v>
      </c>
      <c r="CA675" s="201">
        <f>IF(AND(Input_Product=Elig!$C675,Elig_MatchAll_Ct&lt;22,$BC675=(Elig_MatchAll_Ct-1),AW675=0),V675,0)</f>
        <v>0</v>
      </c>
      <c r="CB675" s="202">
        <f>IF(AND(Input_Product=Elig!$C675,Elig_MatchAll_Ct&lt;22,$BC675=(Elig_MatchAll_Ct-1),AW675=0),W675,0)</f>
        <v>0</v>
      </c>
      <c r="CC675" s="201">
        <f>IF(AND(Input_Product=Elig!$C675,Elig_MatchAll_Ct&lt;22,$BC675=(Elig_MatchAll_Ct-1),AX675=0),X675,0)</f>
        <v>0</v>
      </c>
      <c r="CD675" s="202">
        <f>IF(AND(Input_Product=Elig!$C675,Elig_MatchAll_Ct&lt;22,$BC675=(Elig_MatchAll_Ct-1),AX675=0),Y675,0)</f>
        <v>0</v>
      </c>
      <c r="CE675" s="201">
        <f>IF(AND(Input_LTV&lt;=AE675,Input_Product=Elig!$C675,Elig_MatchAll_Ct&lt;22,$BC675=(Elig_MatchAll_Ct-1),AY675=0),Z675,0)</f>
        <v>0</v>
      </c>
      <c r="CF675" s="202">
        <f>IF(AND(Input_LTV&lt;=AE675,Input_Product=Elig!$C675,Elig_MatchAll_Ct&lt;22,$BC675=(Elig_MatchAll_Ct-1),AY675=0),AA675,0)</f>
        <v>0</v>
      </c>
      <c r="CG675" s="201">
        <f>IF(AND(Input_Product=Elig!$C675,Elig_MatchAll_Ct&lt;22,$BC675=(Elig_MatchAll_Ct-1),AZ675=0),AB675,0)</f>
        <v>0</v>
      </c>
      <c r="CH675" s="202">
        <f>IF(AND(Input_Product=Elig!$C675,Elig_MatchAll_Ct&lt;22,$BC675=(Elig_MatchAll_Ct-1),AZ675=0),AC675,0)</f>
        <v>0</v>
      </c>
      <c r="CI675" s="201">
        <f>IF(AND(Input_Product=Elig!$C675,Elig_MatchAll_Ct&lt;22,$BC675=(Elig_MatchAll_Ct-1),BA675=0),AD675,0)</f>
        <v>0</v>
      </c>
      <c r="CJ675" s="202">
        <f>IF(AND(Input_Product=Elig!$C675,Elig_MatchAll_Ct&lt;22,$BC675=(Elig_MatchAll_Ct-1),BA675=0),AE675,0)</f>
        <v>0</v>
      </c>
    </row>
    <row r="676" spans="2:88" ht="10.15" customHeight="1" x14ac:dyDescent="0.25">
      <c r="B676" s="2027" t="s">
        <v>1589</v>
      </c>
      <c r="C676" s="2028" t="str">
        <f t="shared" si="279"/>
        <v>Second OO</v>
      </c>
      <c r="D676" s="2027" t="s">
        <v>1561</v>
      </c>
      <c r="E676" s="2027" t="s">
        <v>98</v>
      </c>
      <c r="F676" s="2027" t="s">
        <v>329</v>
      </c>
      <c r="G676" s="2110" t="s">
        <v>175</v>
      </c>
      <c r="H676" s="2029" t="s">
        <v>446</v>
      </c>
      <c r="I676" s="2027" t="s">
        <v>1332</v>
      </c>
      <c r="J676" s="2027" t="s">
        <v>1311</v>
      </c>
      <c r="K676" s="2029" t="s">
        <v>1790</v>
      </c>
      <c r="L676" s="2027" t="s">
        <v>430</v>
      </c>
      <c r="M676" s="2027" t="s">
        <v>2677</v>
      </c>
      <c r="N676" s="2029" t="s">
        <v>82</v>
      </c>
      <c r="O676" s="2027" t="s">
        <v>310</v>
      </c>
      <c r="P676" s="2027" t="s">
        <v>291</v>
      </c>
      <c r="Q676" s="2027" t="s">
        <v>294</v>
      </c>
      <c r="R676" s="2027">
        <v>50000</v>
      </c>
      <c r="S676" s="2027">
        <v>350000</v>
      </c>
      <c r="T676" s="2027">
        <v>0</v>
      </c>
      <c r="U676" s="2027">
        <f t="shared" si="280"/>
        <v>350000</v>
      </c>
      <c r="V676" s="2027">
        <v>0</v>
      </c>
      <c r="W676" s="2027">
        <v>50</v>
      </c>
      <c r="X676" s="2027">
        <v>0</v>
      </c>
      <c r="Y676" s="2027">
        <v>999</v>
      </c>
      <c r="Z676" s="2030">
        <v>680</v>
      </c>
      <c r="AA676" s="2030">
        <v>699</v>
      </c>
      <c r="AB676" s="2030">
        <v>0</v>
      </c>
      <c r="AC676" s="2030">
        <v>999999</v>
      </c>
      <c r="AD676" s="2027">
        <v>0</v>
      </c>
      <c r="AE676" s="2105">
        <v>70</v>
      </c>
      <c r="AF676" s="170">
        <v>1</v>
      </c>
      <c r="AG676" s="171">
        <v>1</v>
      </c>
      <c r="AH676" s="171">
        <v>1</v>
      </c>
      <c r="AI676" s="171">
        <v>0</v>
      </c>
      <c r="AJ676" s="171">
        <v>0</v>
      </c>
      <c r="AK676" s="171">
        <v>0</v>
      </c>
      <c r="AL676" s="171">
        <v>1</v>
      </c>
      <c r="AM676" s="171">
        <v>1</v>
      </c>
      <c r="AN676" s="171">
        <v>1</v>
      </c>
      <c r="AO676" s="171">
        <v>1</v>
      </c>
      <c r="AP676" s="171">
        <v>1</v>
      </c>
      <c r="AQ676" s="171">
        <v>1</v>
      </c>
      <c r="AR676" s="171">
        <v>1</v>
      </c>
      <c r="AS676" s="171">
        <v>1</v>
      </c>
      <c r="AT676" s="171">
        <v>1</v>
      </c>
      <c r="AU676" s="171">
        <f t="shared" si="270"/>
        <v>1</v>
      </c>
      <c r="AV676" s="171">
        <f t="shared" si="271"/>
        <v>1</v>
      </c>
      <c r="AW676" s="171">
        <f t="shared" si="272"/>
        <v>1</v>
      </c>
      <c r="AX676" s="171">
        <f t="shared" si="284"/>
        <v>1</v>
      </c>
      <c r="AY676" s="171">
        <f t="shared" si="273"/>
        <v>0</v>
      </c>
      <c r="AZ676" s="171">
        <f t="shared" si="274"/>
        <v>1</v>
      </c>
      <c r="BA676" s="172">
        <f t="shared" si="275"/>
        <v>1</v>
      </c>
      <c r="BB676" s="175">
        <f t="shared" si="281"/>
        <v>18</v>
      </c>
      <c r="BC676" s="176">
        <f t="shared" si="282"/>
        <v>17</v>
      </c>
      <c r="BD676" s="176">
        <f t="shared" si="283"/>
        <v>17</v>
      </c>
      <c r="BE676" s="240" t="str">
        <f t="shared" si="289"/>
        <v/>
      </c>
      <c r="BF676" s="234"/>
      <c r="BG676" s="234"/>
      <c r="BH676" s="199">
        <f>IF(AND(Input_Product=Elig!$C676,Elig_MatchAll_Ct&lt;22,$BC676=(Elig_MatchAll_Ct-1),AF676=0),C676,0)</f>
        <v>0</v>
      </c>
      <c r="BI676" s="199">
        <f>IF(AND(Input_Product=Elig!$C676,Elig_MatchAll_Ct&lt;22,$BC676=(Elig_MatchAll_Ct-1),AG676=0),D676,0)</f>
        <v>0</v>
      </c>
      <c r="BJ676" s="199">
        <f>IF(AND(Input_Product=Elig!$C676,Elig_MatchAll_Ct&lt;22,$BC676=(Elig_MatchAll_Ct-1),AH676=0),E676,0)</f>
        <v>0</v>
      </c>
      <c r="BK676" s="199">
        <f>IF(AND(Input_Product=Elig!$C676,Elig_MatchAll_Ct&lt;22,$BC676=(Elig_MatchAll_Ct-1),AI676=0),F676,0)</f>
        <v>0</v>
      </c>
      <c r="BL676" s="199">
        <f>IF(AND(Input_Product=Elig!$C676,Elig_MatchAll_Ct&lt;22,$BC676=(Elig_MatchAll_Ct-1),AJ676=0),G676,0)</f>
        <v>0</v>
      </c>
      <c r="BM676" s="199">
        <f>IF(AND(Input_Product=Elig!$C676,Elig_MatchAll_Ct&lt;22,$BC676=(Elig_MatchAll_Ct-1),AK676=0),H676,0)</f>
        <v>0</v>
      </c>
      <c r="BN676" s="199">
        <f>IF(AND(Input_Product=Elig!$C676,Elig_MatchAll_Ct&lt;22,$BC676=(Elig_MatchAll_Ct-1),AL676=0),I676,0)</f>
        <v>0</v>
      </c>
      <c r="BO676" s="199">
        <f>IF(AND(Input_Product=Elig!$C676,Elig_MatchAll_Ct&lt;22,$BC676=(Elig_MatchAll_Ct-1),AM676=0),J676,0)</f>
        <v>0</v>
      </c>
      <c r="BP676" s="199">
        <f>IF(AND(Input_Product=Elig!$C676,Elig_MatchAll_Ct&lt;22,$BC676=(Elig_MatchAll_Ct-1),AN676=0),K676,0)</f>
        <v>0</v>
      </c>
      <c r="BQ676" s="199">
        <f>IF(AND(Input_Product=Elig!$C676,Elig_MatchAll_Ct&lt;22,$BC676=(Elig_MatchAll_Ct-1),AP676=0),L676,0)</f>
        <v>0</v>
      </c>
      <c r="BR676" s="199">
        <f>IF(AND(Input_Product=Elig!$C676,Elig_MatchAll_Ct&lt;22,$BC676=(Elig_MatchAll_Ct-1),AO676=0),M676,0)</f>
        <v>0</v>
      </c>
      <c r="BS676" s="199">
        <f>IF(AND(Input_Product=Elig!$C676,Elig_MatchAll_Ct&lt;22,$BC676=(Elig_MatchAll_Ct-1),AQ676=0),N676,0)</f>
        <v>0</v>
      </c>
      <c r="BT676" s="199">
        <f>IF(AND(Input_Product=Elig!$C676,Elig_MatchAll_Ct&lt;22,$BC676=(Elig_MatchAll_Ct-1),AR676=0),O676,0)</f>
        <v>0</v>
      </c>
      <c r="BU676" s="199">
        <f>IF(AND(Input_Product=Elig!$C676,Elig_MatchAll_Ct&lt;22,$BC676=(Elig_MatchAll_Ct-1),AS676=0),P676,0)</f>
        <v>0</v>
      </c>
      <c r="BV676" s="200">
        <f>IF(AND(Input_Product=Elig!$C676,Elig_MatchAll_Ct&lt;22,$BC676=(Elig_MatchAll_Ct-1),AT676=0),Q676,0)</f>
        <v>0</v>
      </c>
      <c r="BW676" s="201">
        <f>IF(AND(Input_Product=Elig!$C676,Elig_MatchAll_Ct&lt;22,$BC676=(Elig_MatchAll_Ct-1),AU676=0),R676,0)</f>
        <v>0</v>
      </c>
      <c r="BX676" s="202">
        <f>IF(AND(Input_Product=Elig!$C676,Elig_MatchAll_Ct&lt;22,$BC676=(Elig_MatchAll_Ct-1),AU676=0),S676,0)</f>
        <v>0</v>
      </c>
      <c r="BY676" s="201">
        <f>IF(AND(Input_Product=Elig!$C676,Elig_MatchAll_Ct&lt;22,$BC676=(Elig_MatchAll_Ct-1),AV676=0),T676,0)</f>
        <v>0</v>
      </c>
      <c r="BZ676" s="202">
        <f>IF(AND(Input_Product=Elig!$C676,Elig_MatchAll_Ct&lt;22,$BC676=(Elig_MatchAll_Ct-1),AV676=0),U676,0)</f>
        <v>0</v>
      </c>
      <c r="CA676" s="201">
        <f>IF(AND(Input_Product=Elig!$C676,Elig_MatchAll_Ct&lt;22,$BC676=(Elig_MatchAll_Ct-1),AW676=0),V676,0)</f>
        <v>0</v>
      </c>
      <c r="CB676" s="202">
        <f>IF(AND(Input_Product=Elig!$C676,Elig_MatchAll_Ct&lt;22,$BC676=(Elig_MatchAll_Ct-1),AW676=0),W676,0)</f>
        <v>0</v>
      </c>
      <c r="CC676" s="201">
        <f>IF(AND(Input_Product=Elig!$C676,Elig_MatchAll_Ct&lt;22,$BC676=(Elig_MatchAll_Ct-1),AX676=0),X676,0)</f>
        <v>0</v>
      </c>
      <c r="CD676" s="202">
        <f>IF(AND(Input_Product=Elig!$C676,Elig_MatchAll_Ct&lt;22,$BC676=(Elig_MatchAll_Ct-1),AX676=0),Y676,0)</f>
        <v>0</v>
      </c>
      <c r="CE676" s="201">
        <f>IF(AND(Input_LTV&lt;=AE676,Input_Product=Elig!$C676,Elig_MatchAll_Ct&lt;22,$BC676=(Elig_MatchAll_Ct-1),AY676=0),Z676,0)</f>
        <v>0</v>
      </c>
      <c r="CF676" s="202">
        <f>IF(AND(Input_LTV&lt;=AE676,Input_Product=Elig!$C676,Elig_MatchAll_Ct&lt;22,$BC676=(Elig_MatchAll_Ct-1),AY676=0),AA676,0)</f>
        <v>0</v>
      </c>
      <c r="CG676" s="201">
        <f>IF(AND(Input_Product=Elig!$C676,Elig_MatchAll_Ct&lt;22,$BC676=(Elig_MatchAll_Ct-1),AZ676=0),AB676,0)</f>
        <v>0</v>
      </c>
      <c r="CH676" s="202">
        <f>IF(AND(Input_Product=Elig!$C676,Elig_MatchAll_Ct&lt;22,$BC676=(Elig_MatchAll_Ct-1),AZ676=0),AC676,0)</f>
        <v>0</v>
      </c>
      <c r="CI676" s="201">
        <f>IF(AND(Input_Product=Elig!$C676,Elig_MatchAll_Ct&lt;22,$BC676=(Elig_MatchAll_Ct-1),BA676=0),AD676,0)</f>
        <v>0</v>
      </c>
      <c r="CJ676" s="202">
        <f>IF(AND(Input_Product=Elig!$C676,Elig_MatchAll_Ct&lt;22,$BC676=(Elig_MatchAll_Ct-1),BA676=0),AE676,0)</f>
        <v>0</v>
      </c>
    </row>
    <row r="677" spans="2:88" ht="10.15" customHeight="1" x14ac:dyDescent="0.25">
      <c r="B677" s="2027" t="s">
        <v>1590</v>
      </c>
      <c r="C677" s="2032" t="str">
        <f t="shared" si="279"/>
        <v>Second OO</v>
      </c>
      <c r="D677" s="2031" t="s">
        <v>1561</v>
      </c>
      <c r="E677" s="2031" t="s">
        <v>98</v>
      </c>
      <c r="F677" s="2031" t="s">
        <v>329</v>
      </c>
      <c r="G677" s="2111" t="s">
        <v>175</v>
      </c>
      <c r="H677" s="2033" t="s">
        <v>446</v>
      </c>
      <c r="I677" s="2031" t="s">
        <v>1332</v>
      </c>
      <c r="J677" s="2031" t="s">
        <v>1311</v>
      </c>
      <c r="K677" s="2033" t="s">
        <v>1790</v>
      </c>
      <c r="L677" s="2031" t="s">
        <v>430</v>
      </c>
      <c r="M677" s="2031" t="s">
        <v>2677</v>
      </c>
      <c r="N677" s="2033" t="s">
        <v>82</v>
      </c>
      <c r="O677" s="2031" t="s">
        <v>310</v>
      </c>
      <c r="P677" s="2031" t="s">
        <v>291</v>
      </c>
      <c r="Q677" s="2031" t="s">
        <v>294</v>
      </c>
      <c r="R677" s="2031">
        <v>50000</v>
      </c>
      <c r="S677" s="2031">
        <v>350000</v>
      </c>
      <c r="T677" s="2031">
        <v>0</v>
      </c>
      <c r="U677" s="2031">
        <f t="shared" si="280"/>
        <v>350000</v>
      </c>
      <c r="V677" s="2031">
        <v>0</v>
      </c>
      <c r="W677" s="2031">
        <v>50</v>
      </c>
      <c r="X677" s="2031">
        <v>0</v>
      </c>
      <c r="Y677" s="2031">
        <v>999</v>
      </c>
      <c r="Z677" s="2034">
        <v>660</v>
      </c>
      <c r="AA677" s="2034">
        <v>679</v>
      </c>
      <c r="AB677" s="2034">
        <v>0</v>
      </c>
      <c r="AC677" s="2034">
        <v>999999</v>
      </c>
      <c r="AD677" s="2031">
        <v>0</v>
      </c>
      <c r="AE677" s="1484">
        <v>60</v>
      </c>
      <c r="AF677" s="170">
        <v>1</v>
      </c>
      <c r="AG677" s="171">
        <v>1</v>
      </c>
      <c r="AH677" s="171">
        <v>1</v>
      </c>
      <c r="AI677" s="171">
        <v>0</v>
      </c>
      <c r="AJ677" s="171">
        <v>0</v>
      </c>
      <c r="AK677" s="171">
        <v>0</v>
      </c>
      <c r="AL677" s="171">
        <v>1</v>
      </c>
      <c r="AM677" s="171">
        <v>1</v>
      </c>
      <c r="AN677" s="171">
        <v>1</v>
      </c>
      <c r="AO677" s="171">
        <v>1</v>
      </c>
      <c r="AP677" s="171">
        <v>1</v>
      </c>
      <c r="AQ677" s="171">
        <v>1</v>
      </c>
      <c r="AR677" s="171">
        <v>1</v>
      </c>
      <c r="AS677" s="171">
        <v>1</v>
      </c>
      <c r="AT677" s="171">
        <v>1</v>
      </c>
      <c r="AU677" s="171">
        <f t="shared" si="270"/>
        <v>1</v>
      </c>
      <c r="AV677" s="171">
        <f t="shared" si="271"/>
        <v>1</v>
      </c>
      <c r="AW677" s="171">
        <f t="shared" si="272"/>
        <v>1</v>
      </c>
      <c r="AX677" s="171">
        <f t="shared" si="284"/>
        <v>1</v>
      </c>
      <c r="AY677" s="171">
        <f t="shared" si="273"/>
        <v>0</v>
      </c>
      <c r="AZ677" s="171">
        <f t="shared" si="274"/>
        <v>1</v>
      </c>
      <c r="BA677" s="172">
        <f t="shared" si="275"/>
        <v>0</v>
      </c>
      <c r="BB677" s="175">
        <f t="shared" si="281"/>
        <v>17</v>
      </c>
      <c r="BC677" s="176">
        <f t="shared" si="282"/>
        <v>17</v>
      </c>
      <c r="BD677" s="176">
        <f t="shared" si="283"/>
        <v>16</v>
      </c>
      <c r="BE677" s="240" t="str">
        <f t="shared" si="289"/>
        <v/>
      </c>
      <c r="BF677" s="234"/>
      <c r="BG677" s="234"/>
      <c r="BH677" s="214">
        <f>IF(AND(Input_Product=Elig!$C677,Elig_MatchAll_Ct&lt;22,$BC677=(Elig_MatchAll_Ct-1),AF677=0),C677,0)</f>
        <v>0</v>
      </c>
      <c r="BI677" s="214">
        <f>IF(AND(Input_Product=Elig!$C677,Elig_MatchAll_Ct&lt;22,$BC677=(Elig_MatchAll_Ct-1),AG677=0),D677,0)</f>
        <v>0</v>
      </c>
      <c r="BJ677" s="214">
        <f>IF(AND(Input_Product=Elig!$C677,Elig_MatchAll_Ct&lt;22,$BC677=(Elig_MatchAll_Ct-1),AH677=0),E677,0)</f>
        <v>0</v>
      </c>
      <c r="BK677" s="214">
        <f>IF(AND(Input_Product=Elig!$C677,Elig_MatchAll_Ct&lt;22,$BC677=(Elig_MatchAll_Ct-1),AI677=0),F677,0)</f>
        <v>0</v>
      </c>
      <c r="BL677" s="214">
        <f>IF(AND(Input_Product=Elig!$C677,Elig_MatchAll_Ct&lt;22,$BC677=(Elig_MatchAll_Ct-1),AJ677=0),G677,0)</f>
        <v>0</v>
      </c>
      <c r="BM677" s="214">
        <f>IF(AND(Input_Product=Elig!$C677,Elig_MatchAll_Ct&lt;22,$BC677=(Elig_MatchAll_Ct-1),AK677=0),H677,0)</f>
        <v>0</v>
      </c>
      <c r="BN677" s="214">
        <f>IF(AND(Input_Product=Elig!$C677,Elig_MatchAll_Ct&lt;22,$BC677=(Elig_MatchAll_Ct-1),AL677=0),I677,0)</f>
        <v>0</v>
      </c>
      <c r="BO677" s="214">
        <f>IF(AND(Input_Product=Elig!$C677,Elig_MatchAll_Ct&lt;22,$BC677=(Elig_MatchAll_Ct-1),AM677=0),J677,0)</f>
        <v>0</v>
      </c>
      <c r="BP677" s="214">
        <f>IF(AND(Input_Product=Elig!$C677,Elig_MatchAll_Ct&lt;22,$BC677=(Elig_MatchAll_Ct-1),AN677=0),K677,0)</f>
        <v>0</v>
      </c>
      <c r="BQ677" s="214">
        <f>IF(AND(Input_Product=Elig!$C677,Elig_MatchAll_Ct&lt;22,$BC677=(Elig_MatchAll_Ct-1),AP677=0),L677,0)</f>
        <v>0</v>
      </c>
      <c r="BR677" s="214">
        <f>IF(AND(Input_Product=Elig!$C677,Elig_MatchAll_Ct&lt;22,$BC677=(Elig_MatchAll_Ct-1),AO677=0),M677,0)</f>
        <v>0</v>
      </c>
      <c r="BS677" s="214">
        <f>IF(AND(Input_Product=Elig!$C677,Elig_MatchAll_Ct&lt;22,$BC677=(Elig_MatchAll_Ct-1),AQ677=0),N677,0)</f>
        <v>0</v>
      </c>
      <c r="BT677" s="214">
        <f>IF(AND(Input_Product=Elig!$C677,Elig_MatchAll_Ct&lt;22,$BC677=(Elig_MatchAll_Ct-1),AR677=0),O677,0)</f>
        <v>0</v>
      </c>
      <c r="BU677" s="214">
        <f>IF(AND(Input_Product=Elig!$C677,Elig_MatchAll_Ct&lt;22,$BC677=(Elig_MatchAll_Ct-1),AS677=0),P677,0)</f>
        <v>0</v>
      </c>
      <c r="BV677" s="215">
        <f>IF(AND(Input_Product=Elig!$C677,Elig_MatchAll_Ct&lt;22,$BC677=(Elig_MatchAll_Ct-1),AT677=0),Q677,0)</f>
        <v>0</v>
      </c>
      <c r="BW677" s="311">
        <f>IF(AND(Input_Product=Elig!$C677,Elig_MatchAll_Ct&lt;22,$BC677=(Elig_MatchAll_Ct-1),AU677=0),R677,0)</f>
        <v>0</v>
      </c>
      <c r="BX677" s="312">
        <f>IF(AND(Input_Product=Elig!$C677,Elig_MatchAll_Ct&lt;22,$BC677=(Elig_MatchAll_Ct-1),AU677=0),S677,0)</f>
        <v>0</v>
      </c>
      <c r="BY677" s="311">
        <f>IF(AND(Input_Product=Elig!$C677,Elig_MatchAll_Ct&lt;22,$BC677=(Elig_MatchAll_Ct-1),AV677=0),T677,0)</f>
        <v>0</v>
      </c>
      <c r="BZ677" s="312">
        <f>IF(AND(Input_Product=Elig!$C677,Elig_MatchAll_Ct&lt;22,$BC677=(Elig_MatchAll_Ct-1),AV677=0),U677,0)</f>
        <v>0</v>
      </c>
      <c r="CA677" s="311">
        <f>IF(AND(Input_Product=Elig!$C677,Elig_MatchAll_Ct&lt;22,$BC677=(Elig_MatchAll_Ct-1),AW677=0),V677,0)</f>
        <v>0</v>
      </c>
      <c r="CB677" s="312">
        <f>IF(AND(Input_Product=Elig!$C677,Elig_MatchAll_Ct&lt;22,$BC677=(Elig_MatchAll_Ct-1),AW677=0),W677,0)</f>
        <v>0</v>
      </c>
      <c r="CC677" s="311">
        <f>IF(AND(Input_Product=Elig!$C677,Elig_MatchAll_Ct&lt;22,$BC677=(Elig_MatchAll_Ct-1),AX677=0),X677,0)</f>
        <v>0</v>
      </c>
      <c r="CD677" s="312">
        <f>IF(AND(Input_Product=Elig!$C677,Elig_MatchAll_Ct&lt;22,$BC677=(Elig_MatchAll_Ct-1),AX677=0),Y677,0)</f>
        <v>0</v>
      </c>
      <c r="CE677" s="311">
        <f>IF(AND(Input_LTV&lt;=AE677,Input_Product=Elig!$C677,Elig_MatchAll_Ct&lt;22,$BC677=(Elig_MatchAll_Ct-1),AY677=0),Z677,0)</f>
        <v>0</v>
      </c>
      <c r="CF677" s="312">
        <f>IF(AND(Input_LTV&lt;=AE677,Input_Product=Elig!$C677,Elig_MatchAll_Ct&lt;22,$BC677=(Elig_MatchAll_Ct-1),AY677=0),AA677,0)</f>
        <v>0</v>
      </c>
      <c r="CG677" s="311">
        <f>IF(AND(Input_Product=Elig!$C677,Elig_MatchAll_Ct&lt;22,$BC677=(Elig_MatchAll_Ct-1),AZ677=0),AB677,0)</f>
        <v>0</v>
      </c>
      <c r="CH677" s="312">
        <f>IF(AND(Input_Product=Elig!$C677,Elig_MatchAll_Ct&lt;22,$BC677=(Elig_MatchAll_Ct-1),AZ677=0),AC677,0)</f>
        <v>0</v>
      </c>
      <c r="CI677" s="311">
        <f>IF(AND(Input_Product=Elig!$C677,Elig_MatchAll_Ct&lt;22,$BC677=(Elig_MatchAll_Ct-1),BA677=0),AD677,0)</f>
        <v>0</v>
      </c>
      <c r="CJ677" s="312">
        <f>IF(AND(Input_Product=Elig!$C677,Elig_MatchAll_Ct&lt;22,$BC677=(Elig_MatchAll_Ct-1),BA677=0),AE677,0)</f>
        <v>0</v>
      </c>
    </row>
    <row r="678" spans="2:88" ht="10.15" customHeight="1" x14ac:dyDescent="0.25">
      <c r="B678" s="2027" t="s">
        <v>1591</v>
      </c>
      <c r="C678" s="2024" t="str">
        <f t="shared" si="279"/>
        <v>Second OO</v>
      </c>
      <c r="D678" s="2025" t="s">
        <v>1302</v>
      </c>
      <c r="E678" s="2025" t="s">
        <v>98</v>
      </c>
      <c r="F678" s="2025" t="s">
        <v>329</v>
      </c>
      <c r="G678" s="2103" t="s">
        <v>175</v>
      </c>
      <c r="H678" s="2025" t="s">
        <v>446</v>
      </c>
      <c r="I678" s="2023" t="s">
        <v>1332</v>
      </c>
      <c r="J678" s="2023" t="s">
        <v>1311</v>
      </c>
      <c r="K678" s="2025" t="s">
        <v>1790</v>
      </c>
      <c r="L678" s="2023" t="s">
        <v>430</v>
      </c>
      <c r="M678" s="2023" t="s">
        <v>2677</v>
      </c>
      <c r="N678" s="2025" t="s">
        <v>82</v>
      </c>
      <c r="O678" s="2023" t="s">
        <v>310</v>
      </c>
      <c r="P678" s="2023" t="s">
        <v>291</v>
      </c>
      <c r="Q678" s="2023" t="s">
        <v>294</v>
      </c>
      <c r="R678" s="2023">
        <v>200000</v>
      </c>
      <c r="S678" s="2023">
        <v>350000</v>
      </c>
      <c r="T678" s="2023">
        <v>0</v>
      </c>
      <c r="U678" s="2023">
        <f t="shared" si="280"/>
        <v>350000</v>
      </c>
      <c r="V678" s="2023">
        <v>0</v>
      </c>
      <c r="W678" s="2023">
        <v>50</v>
      </c>
      <c r="X678" s="2023">
        <v>0</v>
      </c>
      <c r="Y678" s="2023">
        <v>999</v>
      </c>
      <c r="Z678" s="2026">
        <v>720</v>
      </c>
      <c r="AA678" s="2026">
        <v>999</v>
      </c>
      <c r="AB678" s="2026">
        <v>0</v>
      </c>
      <c r="AC678" s="2026">
        <v>999999</v>
      </c>
      <c r="AD678" s="2023">
        <v>0</v>
      </c>
      <c r="AE678" s="2104">
        <v>80</v>
      </c>
      <c r="AF678" s="170">
        <v>1</v>
      </c>
      <c r="AG678" s="171">
        <v>0</v>
      </c>
      <c r="AH678" s="171">
        <v>1</v>
      </c>
      <c r="AI678" s="171">
        <v>0</v>
      </c>
      <c r="AJ678" s="171">
        <v>0</v>
      </c>
      <c r="AK678" s="171">
        <v>0</v>
      </c>
      <c r="AL678" s="171">
        <v>1</v>
      </c>
      <c r="AM678" s="171">
        <v>1</v>
      </c>
      <c r="AN678" s="171">
        <v>1</v>
      </c>
      <c r="AO678" s="171">
        <v>1</v>
      </c>
      <c r="AP678" s="171">
        <v>1</v>
      </c>
      <c r="AQ678" s="171">
        <v>1</v>
      </c>
      <c r="AR678" s="171">
        <v>1</v>
      </c>
      <c r="AS678" s="171">
        <v>1</v>
      </c>
      <c r="AT678" s="171">
        <v>1</v>
      </c>
      <c r="AU678" s="171">
        <f t="shared" si="270"/>
        <v>1</v>
      </c>
      <c r="AV678" s="171">
        <f t="shared" si="271"/>
        <v>1</v>
      </c>
      <c r="AW678" s="171">
        <f t="shared" si="272"/>
        <v>1</v>
      </c>
      <c r="AX678" s="171">
        <f t="shared" si="284"/>
        <v>1</v>
      </c>
      <c r="AY678" s="171">
        <f t="shared" si="273"/>
        <v>1</v>
      </c>
      <c r="AZ678" s="171">
        <f t="shared" si="274"/>
        <v>1</v>
      </c>
      <c r="BA678" s="172">
        <f t="shared" si="275"/>
        <v>1</v>
      </c>
      <c r="BB678" s="175">
        <f t="shared" si="281"/>
        <v>18</v>
      </c>
      <c r="BC678" s="176">
        <f t="shared" si="282"/>
        <v>17</v>
      </c>
      <c r="BD678" s="176">
        <f t="shared" si="283"/>
        <v>17</v>
      </c>
      <c r="BE678" s="240" t="str">
        <f t="shared" si="289"/>
        <v/>
      </c>
      <c r="BF678" s="220"/>
      <c r="BG678" s="220"/>
      <c r="BH678" s="216">
        <f>IF(AND(Input_Product=Elig!$C678,Elig_MatchAll_Ct&lt;22,$BC678=(Elig_MatchAll_Ct-1),AF678=0),C678,0)</f>
        <v>0</v>
      </c>
      <c r="BI678" s="216">
        <f>IF(AND(Input_Product=Elig!$C678,Elig_MatchAll_Ct&lt;22,$BC678=(Elig_MatchAll_Ct-1),AG678=0),D678,0)</f>
        <v>0</v>
      </c>
      <c r="BJ678" s="216">
        <f>IF(AND(Input_Product=Elig!$C678,Elig_MatchAll_Ct&lt;22,$BC678=(Elig_MatchAll_Ct-1),AH678=0),E678,0)</f>
        <v>0</v>
      </c>
      <c r="BK678" s="216">
        <f>IF(AND(Input_Product=Elig!$C678,Elig_MatchAll_Ct&lt;22,$BC678=(Elig_MatchAll_Ct-1),AI678=0),F678,0)</f>
        <v>0</v>
      </c>
      <c r="BL678" s="216">
        <f>IF(AND(Input_Product=Elig!$C678,Elig_MatchAll_Ct&lt;22,$BC678=(Elig_MatchAll_Ct-1),AJ678=0),G678,0)</f>
        <v>0</v>
      </c>
      <c r="BM678" s="216">
        <f>IF(AND(Input_Product=Elig!$C678,Elig_MatchAll_Ct&lt;22,$BC678=(Elig_MatchAll_Ct-1),AK678=0),H678,0)</f>
        <v>0</v>
      </c>
      <c r="BN678" s="216">
        <f>IF(AND(Input_Product=Elig!$C678,Elig_MatchAll_Ct&lt;22,$BC678=(Elig_MatchAll_Ct-1),AL678=0),I678,0)</f>
        <v>0</v>
      </c>
      <c r="BO678" s="216">
        <f>IF(AND(Input_Product=Elig!$C678,Elig_MatchAll_Ct&lt;22,$BC678=(Elig_MatchAll_Ct-1),AM678=0),J678,0)</f>
        <v>0</v>
      </c>
      <c r="BP678" s="216">
        <f>IF(AND(Input_Product=Elig!$C678,Elig_MatchAll_Ct&lt;22,$BC678=(Elig_MatchAll_Ct-1),AN678=0),K678,0)</f>
        <v>0</v>
      </c>
      <c r="BQ678" s="216">
        <f>IF(AND(Input_Product=Elig!$C678,Elig_MatchAll_Ct&lt;22,$BC678=(Elig_MatchAll_Ct-1),AP678=0),L678,0)</f>
        <v>0</v>
      </c>
      <c r="BR678" s="216">
        <f>IF(AND(Input_Product=Elig!$C678,Elig_MatchAll_Ct&lt;22,$BC678=(Elig_MatchAll_Ct-1),AO678=0),M678,0)</f>
        <v>0</v>
      </c>
      <c r="BS678" s="216">
        <f>IF(AND(Input_Product=Elig!$C678,Elig_MatchAll_Ct&lt;22,$BC678=(Elig_MatchAll_Ct-1),AQ678=0),N678,0)</f>
        <v>0</v>
      </c>
      <c r="BT678" s="216">
        <f>IF(AND(Input_Product=Elig!$C678,Elig_MatchAll_Ct&lt;22,$BC678=(Elig_MatchAll_Ct-1),AR678=0),O678,0)</f>
        <v>0</v>
      </c>
      <c r="BU678" s="216">
        <f>IF(AND(Input_Product=Elig!$C678,Elig_MatchAll_Ct&lt;22,$BC678=(Elig_MatchAll_Ct-1),AS678=0),P678,0)</f>
        <v>0</v>
      </c>
      <c r="BV678" s="217">
        <f>IF(AND(Input_Product=Elig!$C678,Elig_MatchAll_Ct&lt;22,$BC678=(Elig_MatchAll_Ct-1),AT678=0),Q678,0)</f>
        <v>0</v>
      </c>
      <c r="BW678" s="313">
        <f>IF(AND(Input_Product=Elig!$C678,Elig_MatchAll_Ct&lt;22,$BC678=(Elig_MatchAll_Ct-1),AU678=0),R678,0)</f>
        <v>0</v>
      </c>
      <c r="BX678" s="314">
        <f>IF(AND(Input_Product=Elig!$C678,Elig_MatchAll_Ct&lt;22,$BC678=(Elig_MatchAll_Ct-1),AU678=0),S678,0)</f>
        <v>0</v>
      </c>
      <c r="BY678" s="313">
        <f>IF(AND(Input_Product=Elig!$C678,Elig_MatchAll_Ct&lt;22,$BC678=(Elig_MatchAll_Ct-1),AV678=0),T678,0)</f>
        <v>0</v>
      </c>
      <c r="BZ678" s="314">
        <f>IF(AND(Input_Product=Elig!$C678,Elig_MatchAll_Ct&lt;22,$BC678=(Elig_MatchAll_Ct-1),AV678=0),U678,0)</f>
        <v>0</v>
      </c>
      <c r="CA678" s="313">
        <f>IF(AND(Input_Product=Elig!$C678,Elig_MatchAll_Ct&lt;22,$BC678=(Elig_MatchAll_Ct-1),AW678=0),V678,0)</f>
        <v>0</v>
      </c>
      <c r="CB678" s="314">
        <f>IF(AND(Input_Product=Elig!$C678,Elig_MatchAll_Ct&lt;22,$BC678=(Elig_MatchAll_Ct-1),AW678=0),W678,0)</f>
        <v>0</v>
      </c>
      <c r="CC678" s="313">
        <f>IF(AND(Input_Product=Elig!$C678,Elig_MatchAll_Ct&lt;22,$BC678=(Elig_MatchAll_Ct-1),AX678=0),X678,0)</f>
        <v>0</v>
      </c>
      <c r="CD678" s="314">
        <f>IF(AND(Input_Product=Elig!$C678,Elig_MatchAll_Ct&lt;22,$BC678=(Elig_MatchAll_Ct-1),AX678=0),Y678,0)</f>
        <v>0</v>
      </c>
      <c r="CE678" s="313">
        <f>IF(AND(Input_LTV&lt;=AE678,Input_Product=Elig!$C678,Elig_MatchAll_Ct&lt;22,$BC678=(Elig_MatchAll_Ct-1),AY678=0),Z678,0)</f>
        <v>0</v>
      </c>
      <c r="CF678" s="314">
        <f>IF(AND(Input_LTV&lt;=AE678,Input_Product=Elig!$C678,Elig_MatchAll_Ct&lt;22,$BC678=(Elig_MatchAll_Ct-1),AY678=0),AA678,0)</f>
        <v>0</v>
      </c>
      <c r="CG678" s="313">
        <f>IF(AND(Input_Product=Elig!$C678,Elig_MatchAll_Ct&lt;22,$BC678=(Elig_MatchAll_Ct-1),AZ678=0),AB678,0)</f>
        <v>0</v>
      </c>
      <c r="CH678" s="314">
        <f>IF(AND(Input_Product=Elig!$C678,Elig_MatchAll_Ct&lt;22,$BC678=(Elig_MatchAll_Ct-1),AZ678=0),AC678,0)</f>
        <v>0</v>
      </c>
      <c r="CI678" s="313">
        <f>IF(AND(Input_Product=Elig!$C678,Elig_MatchAll_Ct&lt;22,$BC678=(Elig_MatchAll_Ct-1),BA678=0),AD678,0)</f>
        <v>0</v>
      </c>
      <c r="CJ678" s="314">
        <f>IF(AND(Input_Product=Elig!$C678,Elig_MatchAll_Ct&lt;22,$BC678=(Elig_MatchAll_Ct-1),BA678=0),AE678,0)</f>
        <v>0</v>
      </c>
    </row>
    <row r="679" spans="2:88" ht="10.15" customHeight="1" x14ac:dyDescent="0.25">
      <c r="B679" s="2027" t="s">
        <v>1592</v>
      </c>
      <c r="C679" s="2028" t="str">
        <f t="shared" si="279"/>
        <v>Second OO</v>
      </c>
      <c r="D679" s="2027" t="s">
        <v>1302</v>
      </c>
      <c r="E679" s="2027" t="s">
        <v>98</v>
      </c>
      <c r="F679" s="2027" t="s">
        <v>329</v>
      </c>
      <c r="G679" s="2110" t="s">
        <v>175</v>
      </c>
      <c r="H679" s="2029" t="s">
        <v>446</v>
      </c>
      <c r="I679" s="2027" t="s">
        <v>1332</v>
      </c>
      <c r="J679" s="2027" t="s">
        <v>1311</v>
      </c>
      <c r="K679" s="2029" t="s">
        <v>1790</v>
      </c>
      <c r="L679" s="2027" t="s">
        <v>430</v>
      </c>
      <c r="M679" s="2027" t="s">
        <v>2677</v>
      </c>
      <c r="N679" s="2029" t="s">
        <v>82</v>
      </c>
      <c r="O679" s="2027" t="s">
        <v>310</v>
      </c>
      <c r="P679" s="2027" t="s">
        <v>291</v>
      </c>
      <c r="Q679" s="2027" t="s">
        <v>294</v>
      </c>
      <c r="R679" s="2027">
        <v>200000</v>
      </c>
      <c r="S679" s="2027">
        <v>350000</v>
      </c>
      <c r="T679" s="2027">
        <v>0</v>
      </c>
      <c r="U679" s="2027">
        <f t="shared" si="280"/>
        <v>350000</v>
      </c>
      <c r="V679" s="2027">
        <v>0</v>
      </c>
      <c r="W679" s="2027">
        <v>50</v>
      </c>
      <c r="X679" s="2027">
        <v>0</v>
      </c>
      <c r="Y679" s="2027">
        <v>999</v>
      </c>
      <c r="Z679" s="2030">
        <v>700</v>
      </c>
      <c r="AA679" s="2030">
        <v>719</v>
      </c>
      <c r="AB679" s="2030">
        <v>0</v>
      </c>
      <c r="AC679" s="2030">
        <v>999999</v>
      </c>
      <c r="AD679" s="2027">
        <v>0</v>
      </c>
      <c r="AE679" s="2105">
        <v>75</v>
      </c>
      <c r="AF679" s="170">
        <v>1</v>
      </c>
      <c r="AG679" s="171">
        <v>0</v>
      </c>
      <c r="AH679" s="171">
        <v>1</v>
      </c>
      <c r="AI679" s="171">
        <v>0</v>
      </c>
      <c r="AJ679" s="171">
        <v>0</v>
      </c>
      <c r="AK679" s="171">
        <v>0</v>
      </c>
      <c r="AL679" s="171">
        <v>1</v>
      </c>
      <c r="AM679" s="171">
        <v>1</v>
      </c>
      <c r="AN679" s="171">
        <v>1</v>
      </c>
      <c r="AO679" s="171">
        <v>1</v>
      </c>
      <c r="AP679" s="171">
        <v>1</v>
      </c>
      <c r="AQ679" s="171">
        <v>1</v>
      </c>
      <c r="AR679" s="171">
        <v>1</v>
      </c>
      <c r="AS679" s="171">
        <v>1</v>
      </c>
      <c r="AT679" s="171">
        <v>1</v>
      </c>
      <c r="AU679" s="171">
        <f t="shared" si="270"/>
        <v>1</v>
      </c>
      <c r="AV679" s="171">
        <f t="shared" si="271"/>
        <v>1</v>
      </c>
      <c r="AW679" s="171">
        <f t="shared" si="272"/>
        <v>1</v>
      </c>
      <c r="AX679" s="171">
        <f t="shared" si="284"/>
        <v>1</v>
      </c>
      <c r="AY679" s="171">
        <f t="shared" si="273"/>
        <v>0</v>
      </c>
      <c r="AZ679" s="171">
        <f t="shared" si="274"/>
        <v>1</v>
      </c>
      <c r="BA679" s="172">
        <f t="shared" si="275"/>
        <v>1</v>
      </c>
      <c r="BB679" s="175">
        <f t="shared" si="281"/>
        <v>17</v>
      </c>
      <c r="BC679" s="176">
        <f t="shared" si="282"/>
        <v>16</v>
      </c>
      <c r="BD679" s="176">
        <f t="shared" si="283"/>
        <v>16</v>
      </c>
      <c r="BE679" s="240" t="str">
        <f t="shared" si="289"/>
        <v/>
      </c>
      <c r="BF679" s="234"/>
      <c r="BG679" s="234"/>
      <c r="BH679" s="199">
        <f>IF(AND(Input_Product=Elig!$C679,Elig_MatchAll_Ct&lt;22,$BC679=(Elig_MatchAll_Ct-1),AF679=0),C679,0)</f>
        <v>0</v>
      </c>
      <c r="BI679" s="199">
        <f>IF(AND(Input_Product=Elig!$C679,Elig_MatchAll_Ct&lt;22,$BC679=(Elig_MatchAll_Ct-1),AG679=0),D679,0)</f>
        <v>0</v>
      </c>
      <c r="BJ679" s="199">
        <f>IF(AND(Input_Product=Elig!$C679,Elig_MatchAll_Ct&lt;22,$BC679=(Elig_MatchAll_Ct-1),AH679=0),E679,0)</f>
        <v>0</v>
      </c>
      <c r="BK679" s="199">
        <f>IF(AND(Input_Product=Elig!$C679,Elig_MatchAll_Ct&lt;22,$BC679=(Elig_MatchAll_Ct-1),AI679=0),F679,0)</f>
        <v>0</v>
      </c>
      <c r="BL679" s="199">
        <f>IF(AND(Input_Product=Elig!$C679,Elig_MatchAll_Ct&lt;22,$BC679=(Elig_MatchAll_Ct-1),AJ679=0),G679,0)</f>
        <v>0</v>
      </c>
      <c r="BM679" s="199">
        <f>IF(AND(Input_Product=Elig!$C679,Elig_MatchAll_Ct&lt;22,$BC679=(Elig_MatchAll_Ct-1),AK679=0),H679,0)</f>
        <v>0</v>
      </c>
      <c r="BN679" s="199">
        <f>IF(AND(Input_Product=Elig!$C679,Elig_MatchAll_Ct&lt;22,$BC679=(Elig_MatchAll_Ct-1),AL679=0),I679,0)</f>
        <v>0</v>
      </c>
      <c r="BO679" s="199">
        <f>IF(AND(Input_Product=Elig!$C679,Elig_MatchAll_Ct&lt;22,$BC679=(Elig_MatchAll_Ct-1),AM679=0),J679,0)</f>
        <v>0</v>
      </c>
      <c r="BP679" s="199">
        <f>IF(AND(Input_Product=Elig!$C679,Elig_MatchAll_Ct&lt;22,$BC679=(Elig_MatchAll_Ct-1),AN679=0),K679,0)</f>
        <v>0</v>
      </c>
      <c r="BQ679" s="199">
        <f>IF(AND(Input_Product=Elig!$C679,Elig_MatchAll_Ct&lt;22,$BC679=(Elig_MatchAll_Ct-1),AP679=0),L679,0)</f>
        <v>0</v>
      </c>
      <c r="BR679" s="199">
        <f>IF(AND(Input_Product=Elig!$C679,Elig_MatchAll_Ct&lt;22,$BC679=(Elig_MatchAll_Ct-1),AO679=0),M679,0)</f>
        <v>0</v>
      </c>
      <c r="BS679" s="199">
        <f>IF(AND(Input_Product=Elig!$C679,Elig_MatchAll_Ct&lt;22,$BC679=(Elig_MatchAll_Ct-1),AQ679=0),N679,0)</f>
        <v>0</v>
      </c>
      <c r="BT679" s="199">
        <f>IF(AND(Input_Product=Elig!$C679,Elig_MatchAll_Ct&lt;22,$BC679=(Elig_MatchAll_Ct-1),AR679=0),O679,0)</f>
        <v>0</v>
      </c>
      <c r="BU679" s="199">
        <f>IF(AND(Input_Product=Elig!$C679,Elig_MatchAll_Ct&lt;22,$BC679=(Elig_MatchAll_Ct-1),AS679=0),P679,0)</f>
        <v>0</v>
      </c>
      <c r="BV679" s="200">
        <f>IF(AND(Input_Product=Elig!$C679,Elig_MatchAll_Ct&lt;22,$BC679=(Elig_MatchAll_Ct-1),AT679=0),Q679,0)</f>
        <v>0</v>
      </c>
      <c r="BW679" s="201">
        <f>IF(AND(Input_Product=Elig!$C679,Elig_MatchAll_Ct&lt;22,$BC679=(Elig_MatchAll_Ct-1),AU679=0),R679,0)</f>
        <v>0</v>
      </c>
      <c r="BX679" s="202">
        <f>IF(AND(Input_Product=Elig!$C679,Elig_MatchAll_Ct&lt;22,$BC679=(Elig_MatchAll_Ct-1),AU679=0),S679,0)</f>
        <v>0</v>
      </c>
      <c r="BY679" s="201">
        <f>IF(AND(Input_Product=Elig!$C679,Elig_MatchAll_Ct&lt;22,$BC679=(Elig_MatchAll_Ct-1),AV679=0),T679,0)</f>
        <v>0</v>
      </c>
      <c r="BZ679" s="202">
        <f>IF(AND(Input_Product=Elig!$C679,Elig_MatchAll_Ct&lt;22,$BC679=(Elig_MatchAll_Ct-1),AV679=0),U679,0)</f>
        <v>0</v>
      </c>
      <c r="CA679" s="201">
        <f>IF(AND(Input_Product=Elig!$C679,Elig_MatchAll_Ct&lt;22,$BC679=(Elig_MatchAll_Ct-1),AW679=0),V679,0)</f>
        <v>0</v>
      </c>
      <c r="CB679" s="202">
        <f>IF(AND(Input_Product=Elig!$C679,Elig_MatchAll_Ct&lt;22,$BC679=(Elig_MatchAll_Ct-1),AW679=0),W679,0)</f>
        <v>0</v>
      </c>
      <c r="CC679" s="201">
        <f>IF(AND(Input_Product=Elig!$C679,Elig_MatchAll_Ct&lt;22,$BC679=(Elig_MatchAll_Ct-1),AX679=0),X679,0)</f>
        <v>0</v>
      </c>
      <c r="CD679" s="202">
        <f>IF(AND(Input_Product=Elig!$C679,Elig_MatchAll_Ct&lt;22,$BC679=(Elig_MatchAll_Ct-1),AX679=0),Y679,0)</f>
        <v>0</v>
      </c>
      <c r="CE679" s="201">
        <f>IF(AND(Input_LTV&lt;=AE679,Input_Product=Elig!$C679,Elig_MatchAll_Ct&lt;22,$BC679=(Elig_MatchAll_Ct-1),AY679=0),Z679,0)</f>
        <v>0</v>
      </c>
      <c r="CF679" s="202">
        <f>IF(AND(Input_LTV&lt;=AE679,Input_Product=Elig!$C679,Elig_MatchAll_Ct&lt;22,$BC679=(Elig_MatchAll_Ct-1),AY679=0),AA679,0)</f>
        <v>0</v>
      </c>
      <c r="CG679" s="201">
        <f>IF(AND(Input_Product=Elig!$C679,Elig_MatchAll_Ct&lt;22,$BC679=(Elig_MatchAll_Ct-1),AZ679=0),AB679,0)</f>
        <v>0</v>
      </c>
      <c r="CH679" s="202">
        <f>IF(AND(Input_Product=Elig!$C679,Elig_MatchAll_Ct&lt;22,$BC679=(Elig_MatchAll_Ct-1),AZ679=0),AC679,0)</f>
        <v>0</v>
      </c>
      <c r="CI679" s="201">
        <f>IF(AND(Input_Product=Elig!$C679,Elig_MatchAll_Ct&lt;22,$BC679=(Elig_MatchAll_Ct-1),BA679=0),AD679,0)</f>
        <v>0</v>
      </c>
      <c r="CJ679" s="202">
        <f>IF(AND(Input_Product=Elig!$C679,Elig_MatchAll_Ct&lt;22,$BC679=(Elig_MatchAll_Ct-1),BA679=0),AE679,0)</f>
        <v>0</v>
      </c>
    </row>
    <row r="680" spans="2:88" ht="10.15" customHeight="1" x14ac:dyDescent="0.25">
      <c r="B680" s="2027" t="s">
        <v>1593</v>
      </c>
      <c r="C680" s="2028" t="str">
        <f t="shared" si="279"/>
        <v>Second OO</v>
      </c>
      <c r="D680" s="2027" t="s">
        <v>1302</v>
      </c>
      <c r="E680" s="2027" t="s">
        <v>98</v>
      </c>
      <c r="F680" s="2027" t="s">
        <v>329</v>
      </c>
      <c r="G680" s="2110" t="s">
        <v>175</v>
      </c>
      <c r="H680" s="2029" t="s">
        <v>446</v>
      </c>
      <c r="I680" s="2027" t="s">
        <v>1332</v>
      </c>
      <c r="J680" s="2027" t="s">
        <v>1311</v>
      </c>
      <c r="K680" s="2029" t="s">
        <v>1790</v>
      </c>
      <c r="L680" s="2027" t="s">
        <v>430</v>
      </c>
      <c r="M680" s="2027" t="s">
        <v>2677</v>
      </c>
      <c r="N680" s="2029" t="s">
        <v>82</v>
      </c>
      <c r="O680" s="2027" t="s">
        <v>310</v>
      </c>
      <c r="P680" s="2027" t="s">
        <v>291</v>
      </c>
      <c r="Q680" s="2027" t="s">
        <v>294</v>
      </c>
      <c r="R680" s="2027">
        <v>200000</v>
      </c>
      <c r="S680" s="2027">
        <v>350000</v>
      </c>
      <c r="T680" s="2027">
        <v>0</v>
      </c>
      <c r="U680" s="2027">
        <f t="shared" si="280"/>
        <v>350000</v>
      </c>
      <c r="V680" s="2027">
        <v>0</v>
      </c>
      <c r="W680" s="2027">
        <v>50</v>
      </c>
      <c r="X680" s="2027">
        <v>0</v>
      </c>
      <c r="Y680" s="2027">
        <v>999</v>
      </c>
      <c r="Z680" s="2030">
        <v>680</v>
      </c>
      <c r="AA680" s="2030">
        <v>699</v>
      </c>
      <c r="AB680" s="2030">
        <v>0</v>
      </c>
      <c r="AC680" s="2030">
        <v>999999</v>
      </c>
      <c r="AD680" s="2027">
        <v>0</v>
      </c>
      <c r="AE680" s="2105">
        <v>70</v>
      </c>
      <c r="AF680" s="170">
        <v>1</v>
      </c>
      <c r="AG680" s="171">
        <v>0</v>
      </c>
      <c r="AH680" s="171">
        <v>1</v>
      </c>
      <c r="AI680" s="171">
        <v>0</v>
      </c>
      <c r="AJ680" s="171">
        <v>0</v>
      </c>
      <c r="AK680" s="171">
        <v>0</v>
      </c>
      <c r="AL680" s="171">
        <v>1</v>
      </c>
      <c r="AM680" s="171">
        <v>1</v>
      </c>
      <c r="AN680" s="171">
        <v>1</v>
      </c>
      <c r="AO680" s="171">
        <v>1</v>
      </c>
      <c r="AP680" s="171">
        <v>1</v>
      </c>
      <c r="AQ680" s="171">
        <v>1</v>
      </c>
      <c r="AR680" s="171">
        <v>1</v>
      </c>
      <c r="AS680" s="171">
        <v>1</v>
      </c>
      <c r="AT680" s="171">
        <v>1</v>
      </c>
      <c r="AU680" s="171">
        <f t="shared" si="270"/>
        <v>1</v>
      </c>
      <c r="AV680" s="171">
        <f t="shared" si="271"/>
        <v>1</v>
      </c>
      <c r="AW680" s="171">
        <f t="shared" si="272"/>
        <v>1</v>
      </c>
      <c r="AX680" s="171">
        <f t="shared" si="284"/>
        <v>1</v>
      </c>
      <c r="AY680" s="171">
        <f t="shared" si="273"/>
        <v>0</v>
      </c>
      <c r="AZ680" s="171">
        <f t="shared" si="274"/>
        <v>1</v>
      </c>
      <c r="BA680" s="172">
        <f t="shared" si="275"/>
        <v>1</v>
      </c>
      <c r="BB680" s="175">
        <f t="shared" si="281"/>
        <v>17</v>
      </c>
      <c r="BC680" s="176">
        <f t="shared" si="282"/>
        <v>16</v>
      </c>
      <c r="BD680" s="176">
        <f t="shared" si="283"/>
        <v>16</v>
      </c>
      <c r="BE680" s="240" t="str">
        <f t="shared" si="289"/>
        <v/>
      </c>
      <c r="BF680" s="234"/>
      <c r="BG680" s="234"/>
      <c r="BH680" s="199">
        <f>IF(AND(Input_Product=Elig!$C680,Elig_MatchAll_Ct&lt;22,$BC680=(Elig_MatchAll_Ct-1),AF680=0),C680,0)</f>
        <v>0</v>
      </c>
      <c r="BI680" s="199">
        <f>IF(AND(Input_Product=Elig!$C680,Elig_MatchAll_Ct&lt;22,$BC680=(Elig_MatchAll_Ct-1),AG680=0),D680,0)</f>
        <v>0</v>
      </c>
      <c r="BJ680" s="199">
        <f>IF(AND(Input_Product=Elig!$C680,Elig_MatchAll_Ct&lt;22,$BC680=(Elig_MatchAll_Ct-1),AH680=0),E680,0)</f>
        <v>0</v>
      </c>
      <c r="BK680" s="199">
        <f>IF(AND(Input_Product=Elig!$C680,Elig_MatchAll_Ct&lt;22,$BC680=(Elig_MatchAll_Ct-1),AI680=0),F680,0)</f>
        <v>0</v>
      </c>
      <c r="BL680" s="199">
        <f>IF(AND(Input_Product=Elig!$C680,Elig_MatchAll_Ct&lt;22,$BC680=(Elig_MatchAll_Ct-1),AJ680=0),G680,0)</f>
        <v>0</v>
      </c>
      <c r="BM680" s="199">
        <f>IF(AND(Input_Product=Elig!$C680,Elig_MatchAll_Ct&lt;22,$BC680=(Elig_MatchAll_Ct-1),AK680=0),H680,0)</f>
        <v>0</v>
      </c>
      <c r="BN680" s="199">
        <f>IF(AND(Input_Product=Elig!$C680,Elig_MatchAll_Ct&lt;22,$BC680=(Elig_MatchAll_Ct-1),AL680=0),I680,0)</f>
        <v>0</v>
      </c>
      <c r="BO680" s="199">
        <f>IF(AND(Input_Product=Elig!$C680,Elig_MatchAll_Ct&lt;22,$BC680=(Elig_MatchAll_Ct-1),AM680=0),J680,0)</f>
        <v>0</v>
      </c>
      <c r="BP680" s="199">
        <f>IF(AND(Input_Product=Elig!$C680,Elig_MatchAll_Ct&lt;22,$BC680=(Elig_MatchAll_Ct-1),AN680=0),K680,0)</f>
        <v>0</v>
      </c>
      <c r="BQ680" s="199">
        <f>IF(AND(Input_Product=Elig!$C680,Elig_MatchAll_Ct&lt;22,$BC680=(Elig_MatchAll_Ct-1),AP680=0),L680,0)</f>
        <v>0</v>
      </c>
      <c r="BR680" s="199">
        <f>IF(AND(Input_Product=Elig!$C680,Elig_MatchAll_Ct&lt;22,$BC680=(Elig_MatchAll_Ct-1),AO680=0),M680,0)</f>
        <v>0</v>
      </c>
      <c r="BS680" s="199">
        <f>IF(AND(Input_Product=Elig!$C680,Elig_MatchAll_Ct&lt;22,$BC680=(Elig_MatchAll_Ct-1),AQ680=0),N680,0)</f>
        <v>0</v>
      </c>
      <c r="BT680" s="199">
        <f>IF(AND(Input_Product=Elig!$C680,Elig_MatchAll_Ct&lt;22,$BC680=(Elig_MatchAll_Ct-1),AR680=0),O680,0)</f>
        <v>0</v>
      </c>
      <c r="BU680" s="199">
        <f>IF(AND(Input_Product=Elig!$C680,Elig_MatchAll_Ct&lt;22,$BC680=(Elig_MatchAll_Ct-1),AS680=0),P680,0)</f>
        <v>0</v>
      </c>
      <c r="BV680" s="200">
        <f>IF(AND(Input_Product=Elig!$C680,Elig_MatchAll_Ct&lt;22,$BC680=(Elig_MatchAll_Ct-1),AT680=0),Q680,0)</f>
        <v>0</v>
      </c>
      <c r="BW680" s="201">
        <f>IF(AND(Input_Product=Elig!$C680,Elig_MatchAll_Ct&lt;22,$BC680=(Elig_MatchAll_Ct-1),AU680=0),R680,0)</f>
        <v>0</v>
      </c>
      <c r="BX680" s="202">
        <f>IF(AND(Input_Product=Elig!$C680,Elig_MatchAll_Ct&lt;22,$BC680=(Elig_MatchAll_Ct-1),AU680=0),S680,0)</f>
        <v>0</v>
      </c>
      <c r="BY680" s="201">
        <f>IF(AND(Input_Product=Elig!$C680,Elig_MatchAll_Ct&lt;22,$BC680=(Elig_MatchAll_Ct-1),AV680=0),T680,0)</f>
        <v>0</v>
      </c>
      <c r="BZ680" s="202">
        <f>IF(AND(Input_Product=Elig!$C680,Elig_MatchAll_Ct&lt;22,$BC680=(Elig_MatchAll_Ct-1),AV680=0),U680,0)</f>
        <v>0</v>
      </c>
      <c r="CA680" s="201">
        <f>IF(AND(Input_Product=Elig!$C680,Elig_MatchAll_Ct&lt;22,$BC680=(Elig_MatchAll_Ct-1),AW680=0),V680,0)</f>
        <v>0</v>
      </c>
      <c r="CB680" s="202">
        <f>IF(AND(Input_Product=Elig!$C680,Elig_MatchAll_Ct&lt;22,$BC680=(Elig_MatchAll_Ct-1),AW680=0),W680,0)</f>
        <v>0</v>
      </c>
      <c r="CC680" s="201">
        <f>IF(AND(Input_Product=Elig!$C680,Elig_MatchAll_Ct&lt;22,$BC680=(Elig_MatchAll_Ct-1),AX680=0),X680,0)</f>
        <v>0</v>
      </c>
      <c r="CD680" s="202">
        <f>IF(AND(Input_Product=Elig!$C680,Elig_MatchAll_Ct&lt;22,$BC680=(Elig_MatchAll_Ct-1),AX680=0),Y680,0)</f>
        <v>0</v>
      </c>
      <c r="CE680" s="201">
        <f>IF(AND(Input_LTV&lt;=AE680,Input_Product=Elig!$C680,Elig_MatchAll_Ct&lt;22,$BC680=(Elig_MatchAll_Ct-1),AY680=0),Z680,0)</f>
        <v>0</v>
      </c>
      <c r="CF680" s="202">
        <f>IF(AND(Input_LTV&lt;=AE680,Input_Product=Elig!$C680,Elig_MatchAll_Ct&lt;22,$BC680=(Elig_MatchAll_Ct-1),AY680=0),AA680,0)</f>
        <v>0</v>
      </c>
      <c r="CG680" s="201">
        <f>IF(AND(Input_Product=Elig!$C680,Elig_MatchAll_Ct&lt;22,$BC680=(Elig_MatchAll_Ct-1),AZ680=0),AB680,0)</f>
        <v>0</v>
      </c>
      <c r="CH680" s="202">
        <f>IF(AND(Input_Product=Elig!$C680,Elig_MatchAll_Ct&lt;22,$BC680=(Elig_MatchAll_Ct-1),AZ680=0),AC680,0)</f>
        <v>0</v>
      </c>
      <c r="CI680" s="201">
        <f>IF(AND(Input_Product=Elig!$C680,Elig_MatchAll_Ct&lt;22,$BC680=(Elig_MatchAll_Ct-1),BA680=0),AD680,0)</f>
        <v>0</v>
      </c>
      <c r="CJ680" s="202">
        <f>IF(AND(Input_Product=Elig!$C680,Elig_MatchAll_Ct&lt;22,$BC680=(Elig_MatchAll_Ct-1),BA680=0),AE680,0)</f>
        <v>0</v>
      </c>
    </row>
    <row r="681" spans="2:88" ht="10.15" customHeight="1" x14ac:dyDescent="0.25">
      <c r="B681" s="2027" t="s">
        <v>1594</v>
      </c>
      <c r="C681" s="2032" t="str">
        <f t="shared" si="279"/>
        <v>Second OO</v>
      </c>
      <c r="D681" s="2031" t="s">
        <v>1302</v>
      </c>
      <c r="E681" s="2031" t="s">
        <v>98</v>
      </c>
      <c r="F681" s="2031" t="s">
        <v>329</v>
      </c>
      <c r="G681" s="2111" t="s">
        <v>175</v>
      </c>
      <c r="H681" s="2033" t="s">
        <v>446</v>
      </c>
      <c r="I681" s="2031" t="s">
        <v>1332</v>
      </c>
      <c r="J681" s="2031" t="s">
        <v>1311</v>
      </c>
      <c r="K681" s="2033" t="s">
        <v>1790</v>
      </c>
      <c r="L681" s="2031" t="s">
        <v>430</v>
      </c>
      <c r="M681" s="2031" t="s">
        <v>2677</v>
      </c>
      <c r="N681" s="2033" t="s">
        <v>82</v>
      </c>
      <c r="O681" s="2031" t="s">
        <v>310</v>
      </c>
      <c r="P681" s="2031" t="s">
        <v>291</v>
      </c>
      <c r="Q681" s="2031" t="s">
        <v>294</v>
      </c>
      <c r="R681" s="2031">
        <v>200000</v>
      </c>
      <c r="S681" s="2031">
        <v>350000</v>
      </c>
      <c r="T681" s="2031">
        <v>0</v>
      </c>
      <c r="U681" s="2031">
        <f t="shared" si="280"/>
        <v>350000</v>
      </c>
      <c r="V681" s="2031">
        <v>0</v>
      </c>
      <c r="W681" s="2031">
        <v>50</v>
      </c>
      <c r="X681" s="2031">
        <v>0</v>
      </c>
      <c r="Y681" s="2031">
        <v>999</v>
      </c>
      <c r="Z681" s="2034">
        <v>660</v>
      </c>
      <c r="AA681" s="2034">
        <v>679</v>
      </c>
      <c r="AB681" s="2034">
        <v>0</v>
      </c>
      <c r="AC681" s="2034">
        <v>999999</v>
      </c>
      <c r="AD681" s="2031">
        <v>0</v>
      </c>
      <c r="AE681" s="1484">
        <v>60</v>
      </c>
      <c r="AF681" s="170">
        <v>1</v>
      </c>
      <c r="AG681" s="171">
        <v>0</v>
      </c>
      <c r="AH681" s="171">
        <v>1</v>
      </c>
      <c r="AI681" s="171">
        <v>0</v>
      </c>
      <c r="AJ681" s="171">
        <v>0</v>
      </c>
      <c r="AK681" s="171">
        <v>0</v>
      </c>
      <c r="AL681" s="171">
        <v>1</v>
      </c>
      <c r="AM681" s="171">
        <v>1</v>
      </c>
      <c r="AN681" s="171">
        <v>1</v>
      </c>
      <c r="AO681" s="171">
        <v>1</v>
      </c>
      <c r="AP681" s="171">
        <v>1</v>
      </c>
      <c r="AQ681" s="171">
        <v>1</v>
      </c>
      <c r="AR681" s="171">
        <v>1</v>
      </c>
      <c r="AS681" s="171">
        <v>1</v>
      </c>
      <c r="AT681" s="171">
        <v>1</v>
      </c>
      <c r="AU681" s="171">
        <f t="shared" si="270"/>
        <v>1</v>
      </c>
      <c r="AV681" s="171">
        <f t="shared" si="271"/>
        <v>1</v>
      </c>
      <c r="AW681" s="171">
        <f t="shared" si="272"/>
        <v>1</v>
      </c>
      <c r="AX681" s="171">
        <f t="shared" si="284"/>
        <v>1</v>
      </c>
      <c r="AY681" s="171">
        <f t="shared" si="273"/>
        <v>0</v>
      </c>
      <c r="AZ681" s="171">
        <f t="shared" si="274"/>
        <v>1</v>
      </c>
      <c r="BA681" s="172">
        <f t="shared" si="275"/>
        <v>0</v>
      </c>
      <c r="BB681" s="175">
        <f t="shared" si="281"/>
        <v>16</v>
      </c>
      <c r="BC681" s="176">
        <f t="shared" si="282"/>
        <v>16</v>
      </c>
      <c r="BD681" s="176">
        <f t="shared" si="283"/>
        <v>15</v>
      </c>
      <c r="BE681" s="240" t="str">
        <f t="shared" si="289"/>
        <v/>
      </c>
      <c r="BF681" s="234"/>
      <c r="BG681" s="234"/>
      <c r="BH681" s="214">
        <f>IF(AND(Input_Product=Elig!$C681,Elig_MatchAll_Ct&lt;22,$BC681=(Elig_MatchAll_Ct-1),AF681=0),C681,0)</f>
        <v>0</v>
      </c>
      <c r="BI681" s="214">
        <f>IF(AND(Input_Product=Elig!$C681,Elig_MatchAll_Ct&lt;22,$BC681=(Elig_MatchAll_Ct-1),AG681=0),D681,0)</f>
        <v>0</v>
      </c>
      <c r="BJ681" s="214">
        <f>IF(AND(Input_Product=Elig!$C681,Elig_MatchAll_Ct&lt;22,$BC681=(Elig_MatchAll_Ct-1),AH681=0),E681,0)</f>
        <v>0</v>
      </c>
      <c r="BK681" s="214">
        <f>IF(AND(Input_Product=Elig!$C681,Elig_MatchAll_Ct&lt;22,$BC681=(Elig_MatchAll_Ct-1),AI681=0),F681,0)</f>
        <v>0</v>
      </c>
      <c r="BL681" s="214">
        <f>IF(AND(Input_Product=Elig!$C681,Elig_MatchAll_Ct&lt;22,$BC681=(Elig_MatchAll_Ct-1),AJ681=0),G681,0)</f>
        <v>0</v>
      </c>
      <c r="BM681" s="214">
        <f>IF(AND(Input_Product=Elig!$C681,Elig_MatchAll_Ct&lt;22,$BC681=(Elig_MatchAll_Ct-1),AK681=0),H681,0)</f>
        <v>0</v>
      </c>
      <c r="BN681" s="214">
        <f>IF(AND(Input_Product=Elig!$C681,Elig_MatchAll_Ct&lt;22,$BC681=(Elig_MatchAll_Ct-1),AL681=0),I681,0)</f>
        <v>0</v>
      </c>
      <c r="BO681" s="214">
        <f>IF(AND(Input_Product=Elig!$C681,Elig_MatchAll_Ct&lt;22,$BC681=(Elig_MatchAll_Ct-1),AM681=0),J681,0)</f>
        <v>0</v>
      </c>
      <c r="BP681" s="214">
        <f>IF(AND(Input_Product=Elig!$C681,Elig_MatchAll_Ct&lt;22,$BC681=(Elig_MatchAll_Ct-1),AN681=0),K681,0)</f>
        <v>0</v>
      </c>
      <c r="BQ681" s="214">
        <f>IF(AND(Input_Product=Elig!$C681,Elig_MatchAll_Ct&lt;22,$BC681=(Elig_MatchAll_Ct-1),AP681=0),L681,0)</f>
        <v>0</v>
      </c>
      <c r="BR681" s="214">
        <f>IF(AND(Input_Product=Elig!$C681,Elig_MatchAll_Ct&lt;22,$BC681=(Elig_MatchAll_Ct-1),AO681=0),M681,0)</f>
        <v>0</v>
      </c>
      <c r="BS681" s="214">
        <f>IF(AND(Input_Product=Elig!$C681,Elig_MatchAll_Ct&lt;22,$BC681=(Elig_MatchAll_Ct-1),AQ681=0),N681,0)</f>
        <v>0</v>
      </c>
      <c r="BT681" s="214">
        <f>IF(AND(Input_Product=Elig!$C681,Elig_MatchAll_Ct&lt;22,$BC681=(Elig_MatchAll_Ct-1),AR681=0),O681,0)</f>
        <v>0</v>
      </c>
      <c r="BU681" s="214">
        <f>IF(AND(Input_Product=Elig!$C681,Elig_MatchAll_Ct&lt;22,$BC681=(Elig_MatchAll_Ct-1),AS681=0),P681,0)</f>
        <v>0</v>
      </c>
      <c r="BV681" s="215">
        <f>IF(AND(Input_Product=Elig!$C681,Elig_MatchAll_Ct&lt;22,$BC681=(Elig_MatchAll_Ct-1),AT681=0),Q681,0)</f>
        <v>0</v>
      </c>
      <c r="BW681" s="311">
        <f>IF(AND(Input_Product=Elig!$C681,Elig_MatchAll_Ct&lt;22,$BC681=(Elig_MatchAll_Ct-1),AU681=0),R681,0)</f>
        <v>0</v>
      </c>
      <c r="BX681" s="312">
        <f>IF(AND(Input_Product=Elig!$C681,Elig_MatchAll_Ct&lt;22,$BC681=(Elig_MatchAll_Ct-1),AU681=0),S681,0)</f>
        <v>0</v>
      </c>
      <c r="BY681" s="311">
        <f>IF(AND(Input_Product=Elig!$C681,Elig_MatchAll_Ct&lt;22,$BC681=(Elig_MatchAll_Ct-1),AV681=0),T681,0)</f>
        <v>0</v>
      </c>
      <c r="BZ681" s="312">
        <f>IF(AND(Input_Product=Elig!$C681,Elig_MatchAll_Ct&lt;22,$BC681=(Elig_MatchAll_Ct-1),AV681=0),U681,0)</f>
        <v>0</v>
      </c>
      <c r="CA681" s="311">
        <f>IF(AND(Input_Product=Elig!$C681,Elig_MatchAll_Ct&lt;22,$BC681=(Elig_MatchAll_Ct-1),AW681=0),V681,0)</f>
        <v>0</v>
      </c>
      <c r="CB681" s="312">
        <f>IF(AND(Input_Product=Elig!$C681,Elig_MatchAll_Ct&lt;22,$BC681=(Elig_MatchAll_Ct-1),AW681=0),W681,0)</f>
        <v>0</v>
      </c>
      <c r="CC681" s="311">
        <f>IF(AND(Input_Product=Elig!$C681,Elig_MatchAll_Ct&lt;22,$BC681=(Elig_MatchAll_Ct-1),AX681=0),X681,0)</f>
        <v>0</v>
      </c>
      <c r="CD681" s="312">
        <f>IF(AND(Input_Product=Elig!$C681,Elig_MatchAll_Ct&lt;22,$BC681=(Elig_MatchAll_Ct-1),AX681=0),Y681,0)</f>
        <v>0</v>
      </c>
      <c r="CE681" s="311">
        <f>IF(AND(Input_LTV&lt;=AE681,Input_Product=Elig!$C681,Elig_MatchAll_Ct&lt;22,$BC681=(Elig_MatchAll_Ct-1),AY681=0),Z681,0)</f>
        <v>0</v>
      </c>
      <c r="CF681" s="312">
        <f>IF(AND(Input_LTV&lt;=AE681,Input_Product=Elig!$C681,Elig_MatchAll_Ct&lt;22,$BC681=(Elig_MatchAll_Ct-1),AY681=0),AA681,0)</f>
        <v>0</v>
      </c>
      <c r="CG681" s="311">
        <f>IF(AND(Input_Product=Elig!$C681,Elig_MatchAll_Ct&lt;22,$BC681=(Elig_MatchAll_Ct-1),AZ681=0),AB681,0)</f>
        <v>0</v>
      </c>
      <c r="CH681" s="312">
        <f>IF(AND(Input_Product=Elig!$C681,Elig_MatchAll_Ct&lt;22,$BC681=(Elig_MatchAll_Ct-1),AZ681=0),AC681,0)</f>
        <v>0</v>
      </c>
      <c r="CI681" s="311">
        <f>IF(AND(Input_Product=Elig!$C681,Elig_MatchAll_Ct&lt;22,$BC681=(Elig_MatchAll_Ct-1),BA681=0),AD681,0)</f>
        <v>0</v>
      </c>
      <c r="CJ681" s="312">
        <f>IF(AND(Input_Product=Elig!$C681,Elig_MatchAll_Ct&lt;22,$BC681=(Elig_MatchAll_Ct-1),BA681=0),AE681,0)</f>
        <v>0</v>
      </c>
    </row>
    <row r="682" spans="2:88" ht="10.15" customHeight="1" x14ac:dyDescent="0.25">
      <c r="B682" s="2027" t="s">
        <v>1595</v>
      </c>
      <c r="C682" s="2024" t="str">
        <f t="shared" si="279"/>
        <v>Second OO</v>
      </c>
      <c r="D682" s="2025" t="s">
        <v>1561</v>
      </c>
      <c r="E682" s="2025" t="s">
        <v>98</v>
      </c>
      <c r="F682" s="2025" t="s">
        <v>329</v>
      </c>
      <c r="G682" s="2103" t="s">
        <v>468</v>
      </c>
      <c r="H682" s="2025" t="s">
        <v>136</v>
      </c>
      <c r="I682" s="2023" t="s">
        <v>1332</v>
      </c>
      <c r="J682" s="2023" t="s">
        <v>1311</v>
      </c>
      <c r="K682" s="2025" t="s">
        <v>1790</v>
      </c>
      <c r="L682" s="2023" t="s">
        <v>430</v>
      </c>
      <c r="M682" s="2023" t="s">
        <v>2677</v>
      </c>
      <c r="N682" s="2025" t="s">
        <v>82</v>
      </c>
      <c r="O682" s="2023" t="s">
        <v>310</v>
      </c>
      <c r="P682" s="2023" t="s">
        <v>291</v>
      </c>
      <c r="Q682" s="2023" t="s">
        <v>294</v>
      </c>
      <c r="R682" s="2023">
        <v>50000</v>
      </c>
      <c r="S682" s="2023">
        <v>350000</v>
      </c>
      <c r="T682" s="2023">
        <v>0</v>
      </c>
      <c r="U682" s="2023">
        <f t="shared" ref="U682:U689" si="290">S682</f>
        <v>350000</v>
      </c>
      <c r="V682" s="2023">
        <v>0</v>
      </c>
      <c r="W682" s="2023">
        <v>50</v>
      </c>
      <c r="X682" s="2023">
        <v>0</v>
      </c>
      <c r="Y682" s="2023">
        <v>999</v>
      </c>
      <c r="Z682" s="2026">
        <v>720</v>
      </c>
      <c r="AA682" s="2026">
        <v>999</v>
      </c>
      <c r="AB682" s="2026">
        <v>0</v>
      </c>
      <c r="AC682" s="2026">
        <v>999999</v>
      </c>
      <c r="AD682" s="2023">
        <v>0</v>
      </c>
      <c r="AE682" s="2104">
        <v>80</v>
      </c>
      <c r="AF682" s="170">
        <v>1</v>
      </c>
      <c r="AG682" s="171">
        <v>1</v>
      </c>
      <c r="AH682" s="171">
        <v>1</v>
      </c>
      <c r="AI682" s="171">
        <v>0</v>
      </c>
      <c r="AJ682" s="171">
        <v>0</v>
      </c>
      <c r="AK682" s="171">
        <v>1</v>
      </c>
      <c r="AL682" s="171">
        <v>1</v>
      </c>
      <c r="AM682" s="171">
        <v>1</v>
      </c>
      <c r="AN682" s="171">
        <v>1</v>
      </c>
      <c r="AO682" s="171">
        <v>1</v>
      </c>
      <c r="AP682" s="171">
        <v>1</v>
      </c>
      <c r="AQ682" s="171">
        <v>1</v>
      </c>
      <c r="AR682" s="171">
        <v>1</v>
      </c>
      <c r="AS682" s="171">
        <v>1</v>
      </c>
      <c r="AT682" s="171">
        <v>1</v>
      </c>
      <c r="AU682" s="171">
        <f t="shared" si="270"/>
        <v>1</v>
      </c>
      <c r="AV682" s="171">
        <f t="shared" si="271"/>
        <v>1</v>
      </c>
      <c r="AW682" s="171">
        <f t="shared" si="272"/>
        <v>1</v>
      </c>
      <c r="AX682" s="171">
        <f t="shared" si="284"/>
        <v>1</v>
      </c>
      <c r="AY682" s="171">
        <f t="shared" si="273"/>
        <v>1</v>
      </c>
      <c r="AZ682" s="171">
        <f t="shared" si="274"/>
        <v>1</v>
      </c>
      <c r="BA682" s="172">
        <f t="shared" si="275"/>
        <v>1</v>
      </c>
      <c r="BB682" s="175">
        <f t="shared" ref="BB682:BB689" si="291">SUM(AF682:BA682)</f>
        <v>20</v>
      </c>
      <c r="BC682" s="176">
        <f t="shared" ref="BC682:BC689" si="292">SUM(AF682:AZ682)</f>
        <v>19</v>
      </c>
      <c r="BD682" s="176">
        <f t="shared" ref="BD682:BD689" si="293">SUM(AG682:BA682)</f>
        <v>19</v>
      </c>
      <c r="BE682" s="240" t="str">
        <f t="shared" si="289"/>
        <v/>
      </c>
      <c r="BF682" s="220"/>
      <c r="BG682" s="220"/>
      <c r="BH682" s="216">
        <f>IF(AND(Input_Product=Elig!$C682,Elig_MatchAll_Ct&lt;22,$BC682=(Elig_MatchAll_Ct-1),AF682=0),C682,0)</f>
        <v>0</v>
      </c>
      <c r="BI682" s="216">
        <f>IF(AND(Input_Product=Elig!$C682,Elig_MatchAll_Ct&lt;22,$BC682=(Elig_MatchAll_Ct-1),AG682=0),D682,0)</f>
        <v>0</v>
      </c>
      <c r="BJ682" s="216">
        <f>IF(AND(Input_Product=Elig!$C682,Elig_MatchAll_Ct&lt;22,$BC682=(Elig_MatchAll_Ct-1),AH682=0),E682,0)</f>
        <v>0</v>
      </c>
      <c r="BK682" s="216">
        <f>IF(AND(Input_Product=Elig!$C682,Elig_MatchAll_Ct&lt;22,$BC682=(Elig_MatchAll_Ct-1),AI682=0),F682,0)</f>
        <v>0</v>
      </c>
      <c r="BL682" s="216">
        <f>IF(AND(Input_Product=Elig!$C682,Elig_MatchAll_Ct&lt;22,$BC682=(Elig_MatchAll_Ct-1),AJ682=0),G682,0)</f>
        <v>0</v>
      </c>
      <c r="BM682" s="216">
        <f>IF(AND(Input_Product=Elig!$C682,Elig_MatchAll_Ct&lt;22,$BC682=(Elig_MatchAll_Ct-1),AK682=0),H682,0)</f>
        <v>0</v>
      </c>
      <c r="BN682" s="216">
        <f>IF(AND(Input_Product=Elig!$C682,Elig_MatchAll_Ct&lt;22,$BC682=(Elig_MatchAll_Ct-1),AL682=0),I682,0)</f>
        <v>0</v>
      </c>
      <c r="BO682" s="216">
        <f>IF(AND(Input_Product=Elig!$C682,Elig_MatchAll_Ct&lt;22,$BC682=(Elig_MatchAll_Ct-1),AM682=0),J682,0)</f>
        <v>0</v>
      </c>
      <c r="BP682" s="216">
        <f>IF(AND(Input_Product=Elig!$C682,Elig_MatchAll_Ct&lt;22,$BC682=(Elig_MatchAll_Ct-1),AN682=0),K682,0)</f>
        <v>0</v>
      </c>
      <c r="BQ682" s="216">
        <f>IF(AND(Input_Product=Elig!$C682,Elig_MatchAll_Ct&lt;22,$BC682=(Elig_MatchAll_Ct-1),AP682=0),L682,0)</f>
        <v>0</v>
      </c>
      <c r="BR682" s="216">
        <f>IF(AND(Input_Product=Elig!$C682,Elig_MatchAll_Ct&lt;22,$BC682=(Elig_MatchAll_Ct-1),AO682=0),M682,0)</f>
        <v>0</v>
      </c>
      <c r="BS682" s="216">
        <f>IF(AND(Input_Product=Elig!$C682,Elig_MatchAll_Ct&lt;22,$BC682=(Elig_MatchAll_Ct-1),AQ682=0),N682,0)</f>
        <v>0</v>
      </c>
      <c r="BT682" s="216">
        <f>IF(AND(Input_Product=Elig!$C682,Elig_MatchAll_Ct&lt;22,$BC682=(Elig_MatchAll_Ct-1),AR682=0),O682,0)</f>
        <v>0</v>
      </c>
      <c r="BU682" s="216">
        <f>IF(AND(Input_Product=Elig!$C682,Elig_MatchAll_Ct&lt;22,$BC682=(Elig_MatchAll_Ct-1),AS682=0),P682,0)</f>
        <v>0</v>
      </c>
      <c r="BV682" s="217">
        <f>IF(AND(Input_Product=Elig!$C682,Elig_MatchAll_Ct&lt;22,$BC682=(Elig_MatchAll_Ct-1),AT682=0),Q682,0)</f>
        <v>0</v>
      </c>
      <c r="BW682" s="313">
        <f>IF(AND(Input_Product=Elig!$C682,Elig_MatchAll_Ct&lt;22,$BC682=(Elig_MatchAll_Ct-1),AU682=0),R682,0)</f>
        <v>0</v>
      </c>
      <c r="BX682" s="314">
        <f>IF(AND(Input_Product=Elig!$C682,Elig_MatchAll_Ct&lt;22,$BC682=(Elig_MatchAll_Ct-1),AU682=0),S682,0)</f>
        <v>0</v>
      </c>
      <c r="BY682" s="313">
        <f>IF(AND(Input_Product=Elig!$C682,Elig_MatchAll_Ct&lt;22,$BC682=(Elig_MatchAll_Ct-1),AV682=0),T682,0)</f>
        <v>0</v>
      </c>
      <c r="BZ682" s="314">
        <f>IF(AND(Input_Product=Elig!$C682,Elig_MatchAll_Ct&lt;22,$BC682=(Elig_MatchAll_Ct-1),AV682=0),U682,0)</f>
        <v>0</v>
      </c>
      <c r="CA682" s="313">
        <f>IF(AND(Input_Product=Elig!$C682,Elig_MatchAll_Ct&lt;22,$BC682=(Elig_MatchAll_Ct-1),AW682=0),V682,0)</f>
        <v>0</v>
      </c>
      <c r="CB682" s="314">
        <f>IF(AND(Input_Product=Elig!$C682,Elig_MatchAll_Ct&lt;22,$BC682=(Elig_MatchAll_Ct-1),AW682=0),W682,0)</f>
        <v>0</v>
      </c>
      <c r="CC682" s="313">
        <f>IF(AND(Input_Product=Elig!$C682,Elig_MatchAll_Ct&lt;22,$BC682=(Elig_MatchAll_Ct-1),AX682=0),X682,0)</f>
        <v>0</v>
      </c>
      <c r="CD682" s="314">
        <f>IF(AND(Input_Product=Elig!$C682,Elig_MatchAll_Ct&lt;22,$BC682=(Elig_MatchAll_Ct-1),AX682=0),Y682,0)</f>
        <v>0</v>
      </c>
      <c r="CE682" s="313">
        <f>IF(AND(Input_LTV&lt;=AE682,Input_Product=Elig!$C682,Elig_MatchAll_Ct&lt;22,$BC682=(Elig_MatchAll_Ct-1),AY682=0),Z682,0)</f>
        <v>0</v>
      </c>
      <c r="CF682" s="314">
        <f>IF(AND(Input_LTV&lt;=AE682,Input_Product=Elig!$C682,Elig_MatchAll_Ct&lt;22,$BC682=(Elig_MatchAll_Ct-1),AY682=0),AA682,0)</f>
        <v>0</v>
      </c>
      <c r="CG682" s="313">
        <f>IF(AND(Input_Product=Elig!$C682,Elig_MatchAll_Ct&lt;22,$BC682=(Elig_MatchAll_Ct-1),AZ682=0),AB682,0)</f>
        <v>0</v>
      </c>
      <c r="CH682" s="314">
        <f>IF(AND(Input_Product=Elig!$C682,Elig_MatchAll_Ct&lt;22,$BC682=(Elig_MatchAll_Ct-1),AZ682=0),AC682,0)</f>
        <v>0</v>
      </c>
      <c r="CI682" s="313">
        <f>IF(AND(Input_Product=Elig!$C682,Elig_MatchAll_Ct&lt;22,$BC682=(Elig_MatchAll_Ct-1),BA682=0),AD682,0)</f>
        <v>0</v>
      </c>
      <c r="CJ682" s="314">
        <f>IF(AND(Input_Product=Elig!$C682,Elig_MatchAll_Ct&lt;22,$BC682=(Elig_MatchAll_Ct-1),BA682=0),AE682,0)</f>
        <v>0</v>
      </c>
    </row>
    <row r="683" spans="2:88" ht="10.15" customHeight="1" x14ac:dyDescent="0.25">
      <c r="B683" s="2027" t="s">
        <v>1596</v>
      </c>
      <c r="C683" s="2028" t="str">
        <f t="shared" si="279"/>
        <v>Second OO</v>
      </c>
      <c r="D683" s="2027" t="s">
        <v>1561</v>
      </c>
      <c r="E683" s="2027" t="s">
        <v>98</v>
      </c>
      <c r="F683" s="2027" t="s">
        <v>329</v>
      </c>
      <c r="G683" s="2110" t="s">
        <v>468</v>
      </c>
      <c r="H683" s="2029" t="s">
        <v>136</v>
      </c>
      <c r="I683" s="2027" t="s">
        <v>1332</v>
      </c>
      <c r="J683" s="2027" t="s">
        <v>1311</v>
      </c>
      <c r="K683" s="2029" t="s">
        <v>1790</v>
      </c>
      <c r="L683" s="2027" t="s">
        <v>430</v>
      </c>
      <c r="M683" s="2027" t="s">
        <v>2677</v>
      </c>
      <c r="N683" s="2029" t="s">
        <v>82</v>
      </c>
      <c r="O683" s="2027" t="s">
        <v>310</v>
      </c>
      <c r="P683" s="2027" t="s">
        <v>291</v>
      </c>
      <c r="Q683" s="2027" t="s">
        <v>294</v>
      </c>
      <c r="R683" s="2027">
        <v>50000</v>
      </c>
      <c r="S683" s="2027">
        <v>350000</v>
      </c>
      <c r="T683" s="2027">
        <v>0</v>
      </c>
      <c r="U683" s="2027">
        <f t="shared" si="290"/>
        <v>350000</v>
      </c>
      <c r="V683" s="2027">
        <v>0</v>
      </c>
      <c r="W683" s="2027">
        <v>50</v>
      </c>
      <c r="X683" s="2027">
        <v>0</v>
      </c>
      <c r="Y683" s="2027">
        <v>999</v>
      </c>
      <c r="Z683" s="2030">
        <v>700</v>
      </c>
      <c r="AA683" s="2030">
        <v>719</v>
      </c>
      <c r="AB683" s="2030">
        <v>0</v>
      </c>
      <c r="AC683" s="2030">
        <v>999999</v>
      </c>
      <c r="AD683" s="2027">
        <v>0</v>
      </c>
      <c r="AE683" s="2105">
        <v>75</v>
      </c>
      <c r="AF683" s="170">
        <v>1</v>
      </c>
      <c r="AG683" s="171">
        <v>1</v>
      </c>
      <c r="AH683" s="171">
        <v>1</v>
      </c>
      <c r="AI683" s="171">
        <v>0</v>
      </c>
      <c r="AJ683" s="171">
        <v>0</v>
      </c>
      <c r="AK683" s="171">
        <v>1</v>
      </c>
      <c r="AL683" s="171">
        <v>1</v>
      </c>
      <c r="AM683" s="171">
        <v>1</v>
      </c>
      <c r="AN683" s="171">
        <v>1</v>
      </c>
      <c r="AO683" s="171">
        <v>1</v>
      </c>
      <c r="AP683" s="171">
        <v>1</v>
      </c>
      <c r="AQ683" s="171">
        <v>1</v>
      </c>
      <c r="AR683" s="171">
        <v>1</v>
      </c>
      <c r="AS683" s="171">
        <v>1</v>
      </c>
      <c r="AT683" s="171">
        <v>1</v>
      </c>
      <c r="AU683" s="171">
        <f t="shared" si="270"/>
        <v>1</v>
      </c>
      <c r="AV683" s="171">
        <f t="shared" si="271"/>
        <v>1</v>
      </c>
      <c r="AW683" s="171">
        <f t="shared" si="272"/>
        <v>1</v>
      </c>
      <c r="AX683" s="171">
        <f t="shared" si="284"/>
        <v>1</v>
      </c>
      <c r="AY683" s="171">
        <f t="shared" si="273"/>
        <v>0</v>
      </c>
      <c r="AZ683" s="171">
        <f t="shared" si="274"/>
        <v>1</v>
      </c>
      <c r="BA683" s="172">
        <f t="shared" si="275"/>
        <v>1</v>
      </c>
      <c r="BB683" s="175">
        <f t="shared" si="291"/>
        <v>19</v>
      </c>
      <c r="BC683" s="176">
        <f t="shared" si="292"/>
        <v>18</v>
      </c>
      <c r="BD683" s="176">
        <f t="shared" si="293"/>
        <v>18</v>
      </c>
      <c r="BE683" s="240" t="str">
        <f t="shared" si="289"/>
        <v/>
      </c>
      <c r="BF683" s="234"/>
      <c r="BG683" s="234"/>
      <c r="BH683" s="199">
        <f>IF(AND(Input_Product=Elig!$C683,Elig_MatchAll_Ct&lt;22,$BC683=(Elig_MatchAll_Ct-1),AF683=0),C683,0)</f>
        <v>0</v>
      </c>
      <c r="BI683" s="199">
        <f>IF(AND(Input_Product=Elig!$C683,Elig_MatchAll_Ct&lt;22,$BC683=(Elig_MatchAll_Ct-1),AG683=0),D683,0)</f>
        <v>0</v>
      </c>
      <c r="BJ683" s="199">
        <f>IF(AND(Input_Product=Elig!$C683,Elig_MatchAll_Ct&lt;22,$BC683=(Elig_MatchAll_Ct-1),AH683=0),E683,0)</f>
        <v>0</v>
      </c>
      <c r="BK683" s="199">
        <f>IF(AND(Input_Product=Elig!$C683,Elig_MatchAll_Ct&lt;22,$BC683=(Elig_MatchAll_Ct-1),AI683=0),F683,0)</f>
        <v>0</v>
      </c>
      <c r="BL683" s="199">
        <f>IF(AND(Input_Product=Elig!$C683,Elig_MatchAll_Ct&lt;22,$BC683=(Elig_MatchAll_Ct-1),AJ683=0),G683,0)</f>
        <v>0</v>
      </c>
      <c r="BM683" s="199">
        <f>IF(AND(Input_Product=Elig!$C683,Elig_MatchAll_Ct&lt;22,$BC683=(Elig_MatchAll_Ct-1),AK683=0),H683,0)</f>
        <v>0</v>
      </c>
      <c r="BN683" s="199">
        <f>IF(AND(Input_Product=Elig!$C683,Elig_MatchAll_Ct&lt;22,$BC683=(Elig_MatchAll_Ct-1),AL683=0),I683,0)</f>
        <v>0</v>
      </c>
      <c r="BO683" s="199">
        <f>IF(AND(Input_Product=Elig!$C683,Elig_MatchAll_Ct&lt;22,$BC683=(Elig_MatchAll_Ct-1),AM683=0),J683,0)</f>
        <v>0</v>
      </c>
      <c r="BP683" s="199">
        <f>IF(AND(Input_Product=Elig!$C683,Elig_MatchAll_Ct&lt;22,$BC683=(Elig_MatchAll_Ct-1),AN683=0),K683,0)</f>
        <v>0</v>
      </c>
      <c r="BQ683" s="199">
        <f>IF(AND(Input_Product=Elig!$C683,Elig_MatchAll_Ct&lt;22,$BC683=(Elig_MatchAll_Ct-1),AP683=0),L683,0)</f>
        <v>0</v>
      </c>
      <c r="BR683" s="199">
        <f>IF(AND(Input_Product=Elig!$C683,Elig_MatchAll_Ct&lt;22,$BC683=(Elig_MatchAll_Ct-1),AO683=0),M683,0)</f>
        <v>0</v>
      </c>
      <c r="BS683" s="199">
        <f>IF(AND(Input_Product=Elig!$C683,Elig_MatchAll_Ct&lt;22,$BC683=(Elig_MatchAll_Ct-1),AQ683=0),N683,0)</f>
        <v>0</v>
      </c>
      <c r="BT683" s="199">
        <f>IF(AND(Input_Product=Elig!$C683,Elig_MatchAll_Ct&lt;22,$BC683=(Elig_MatchAll_Ct-1),AR683=0),O683,0)</f>
        <v>0</v>
      </c>
      <c r="BU683" s="199">
        <f>IF(AND(Input_Product=Elig!$C683,Elig_MatchAll_Ct&lt;22,$BC683=(Elig_MatchAll_Ct-1),AS683=0),P683,0)</f>
        <v>0</v>
      </c>
      <c r="BV683" s="200">
        <f>IF(AND(Input_Product=Elig!$C683,Elig_MatchAll_Ct&lt;22,$BC683=(Elig_MatchAll_Ct-1),AT683=0),Q683,0)</f>
        <v>0</v>
      </c>
      <c r="BW683" s="201">
        <f>IF(AND(Input_Product=Elig!$C683,Elig_MatchAll_Ct&lt;22,$BC683=(Elig_MatchAll_Ct-1),AU683=0),R683,0)</f>
        <v>0</v>
      </c>
      <c r="BX683" s="202">
        <f>IF(AND(Input_Product=Elig!$C683,Elig_MatchAll_Ct&lt;22,$BC683=(Elig_MatchAll_Ct-1),AU683=0),S683,0)</f>
        <v>0</v>
      </c>
      <c r="BY683" s="201">
        <f>IF(AND(Input_Product=Elig!$C683,Elig_MatchAll_Ct&lt;22,$BC683=(Elig_MatchAll_Ct-1),AV683=0),T683,0)</f>
        <v>0</v>
      </c>
      <c r="BZ683" s="202">
        <f>IF(AND(Input_Product=Elig!$C683,Elig_MatchAll_Ct&lt;22,$BC683=(Elig_MatchAll_Ct-1),AV683=0),U683,0)</f>
        <v>0</v>
      </c>
      <c r="CA683" s="201">
        <f>IF(AND(Input_Product=Elig!$C683,Elig_MatchAll_Ct&lt;22,$BC683=(Elig_MatchAll_Ct-1),AW683=0),V683,0)</f>
        <v>0</v>
      </c>
      <c r="CB683" s="202">
        <f>IF(AND(Input_Product=Elig!$C683,Elig_MatchAll_Ct&lt;22,$BC683=(Elig_MatchAll_Ct-1),AW683=0),W683,0)</f>
        <v>0</v>
      </c>
      <c r="CC683" s="201">
        <f>IF(AND(Input_Product=Elig!$C683,Elig_MatchAll_Ct&lt;22,$BC683=(Elig_MatchAll_Ct-1),AX683=0),X683,0)</f>
        <v>0</v>
      </c>
      <c r="CD683" s="202">
        <f>IF(AND(Input_Product=Elig!$C683,Elig_MatchAll_Ct&lt;22,$BC683=(Elig_MatchAll_Ct-1),AX683=0),Y683,0)</f>
        <v>0</v>
      </c>
      <c r="CE683" s="201">
        <f>IF(AND(Input_LTV&lt;=AE683,Input_Product=Elig!$C683,Elig_MatchAll_Ct&lt;22,$BC683=(Elig_MatchAll_Ct-1),AY683=0),Z683,0)</f>
        <v>0</v>
      </c>
      <c r="CF683" s="202">
        <f>IF(AND(Input_LTV&lt;=AE683,Input_Product=Elig!$C683,Elig_MatchAll_Ct&lt;22,$BC683=(Elig_MatchAll_Ct-1),AY683=0),AA683,0)</f>
        <v>0</v>
      </c>
      <c r="CG683" s="201">
        <f>IF(AND(Input_Product=Elig!$C683,Elig_MatchAll_Ct&lt;22,$BC683=(Elig_MatchAll_Ct-1),AZ683=0),AB683,0)</f>
        <v>0</v>
      </c>
      <c r="CH683" s="202">
        <f>IF(AND(Input_Product=Elig!$C683,Elig_MatchAll_Ct&lt;22,$BC683=(Elig_MatchAll_Ct-1),AZ683=0),AC683,0)</f>
        <v>0</v>
      </c>
      <c r="CI683" s="201">
        <f>IF(AND(Input_Product=Elig!$C683,Elig_MatchAll_Ct&lt;22,$BC683=(Elig_MatchAll_Ct-1),BA683=0),AD683,0)</f>
        <v>0</v>
      </c>
      <c r="CJ683" s="202">
        <f>IF(AND(Input_Product=Elig!$C683,Elig_MatchAll_Ct&lt;22,$BC683=(Elig_MatchAll_Ct-1),BA683=0),AE683,0)</f>
        <v>0</v>
      </c>
    </row>
    <row r="684" spans="2:88" ht="10.15" customHeight="1" x14ac:dyDescent="0.25">
      <c r="B684" s="2027" t="s">
        <v>1597</v>
      </c>
      <c r="C684" s="2028" t="str">
        <f t="shared" si="279"/>
        <v>Second OO</v>
      </c>
      <c r="D684" s="2027" t="s">
        <v>1561</v>
      </c>
      <c r="E684" s="2027" t="s">
        <v>98</v>
      </c>
      <c r="F684" s="2027" t="s">
        <v>329</v>
      </c>
      <c r="G684" s="2110" t="s">
        <v>468</v>
      </c>
      <c r="H684" s="2029" t="s">
        <v>136</v>
      </c>
      <c r="I684" s="2027" t="s">
        <v>1332</v>
      </c>
      <c r="J684" s="2027" t="s">
        <v>1311</v>
      </c>
      <c r="K684" s="2029" t="s">
        <v>1790</v>
      </c>
      <c r="L684" s="2027" t="s">
        <v>430</v>
      </c>
      <c r="M684" s="2027" t="s">
        <v>2677</v>
      </c>
      <c r="N684" s="2029" t="s">
        <v>82</v>
      </c>
      <c r="O684" s="2027" t="s">
        <v>310</v>
      </c>
      <c r="P684" s="2027" t="s">
        <v>291</v>
      </c>
      <c r="Q684" s="2027" t="s">
        <v>294</v>
      </c>
      <c r="R684" s="2027">
        <v>50000</v>
      </c>
      <c r="S684" s="2027">
        <v>350000</v>
      </c>
      <c r="T684" s="2027">
        <v>0</v>
      </c>
      <c r="U684" s="2027">
        <f t="shared" si="290"/>
        <v>350000</v>
      </c>
      <c r="V684" s="2027">
        <v>0</v>
      </c>
      <c r="W684" s="2027">
        <v>50</v>
      </c>
      <c r="X684" s="2027">
        <v>0</v>
      </c>
      <c r="Y684" s="2027">
        <v>999</v>
      </c>
      <c r="Z684" s="2030">
        <v>680</v>
      </c>
      <c r="AA684" s="2030">
        <v>699</v>
      </c>
      <c r="AB684" s="2030">
        <v>0</v>
      </c>
      <c r="AC684" s="2030">
        <v>999999</v>
      </c>
      <c r="AD684" s="2027">
        <v>0</v>
      </c>
      <c r="AE684" s="2105">
        <v>70</v>
      </c>
      <c r="AF684" s="170">
        <v>1</v>
      </c>
      <c r="AG684" s="171">
        <v>1</v>
      </c>
      <c r="AH684" s="171">
        <v>1</v>
      </c>
      <c r="AI684" s="171">
        <v>0</v>
      </c>
      <c r="AJ684" s="171">
        <v>0</v>
      </c>
      <c r="AK684" s="171">
        <v>1</v>
      </c>
      <c r="AL684" s="171">
        <v>1</v>
      </c>
      <c r="AM684" s="171">
        <v>1</v>
      </c>
      <c r="AN684" s="171">
        <v>1</v>
      </c>
      <c r="AO684" s="171">
        <v>1</v>
      </c>
      <c r="AP684" s="171">
        <v>1</v>
      </c>
      <c r="AQ684" s="171">
        <v>1</v>
      </c>
      <c r="AR684" s="171">
        <v>1</v>
      </c>
      <c r="AS684" s="171">
        <v>1</v>
      </c>
      <c r="AT684" s="171">
        <v>1</v>
      </c>
      <c r="AU684" s="171">
        <f t="shared" si="270"/>
        <v>1</v>
      </c>
      <c r="AV684" s="171">
        <f t="shared" si="271"/>
        <v>1</v>
      </c>
      <c r="AW684" s="171">
        <f t="shared" si="272"/>
        <v>1</v>
      </c>
      <c r="AX684" s="171">
        <f t="shared" si="284"/>
        <v>1</v>
      </c>
      <c r="AY684" s="171">
        <f t="shared" si="273"/>
        <v>0</v>
      </c>
      <c r="AZ684" s="171">
        <f t="shared" si="274"/>
        <v>1</v>
      </c>
      <c r="BA684" s="172">
        <f t="shared" si="275"/>
        <v>1</v>
      </c>
      <c r="BB684" s="175">
        <f t="shared" si="291"/>
        <v>19</v>
      </c>
      <c r="BC684" s="176">
        <f t="shared" si="292"/>
        <v>18</v>
      </c>
      <c r="BD684" s="176">
        <f t="shared" si="293"/>
        <v>18</v>
      </c>
      <c r="BE684" s="240" t="str">
        <f t="shared" si="289"/>
        <v/>
      </c>
      <c r="BF684" s="234"/>
      <c r="BG684" s="234"/>
      <c r="BH684" s="199">
        <f>IF(AND(Input_Product=Elig!$C684,Elig_MatchAll_Ct&lt;22,$BC684=(Elig_MatchAll_Ct-1),AF684=0),C684,0)</f>
        <v>0</v>
      </c>
      <c r="BI684" s="199">
        <f>IF(AND(Input_Product=Elig!$C684,Elig_MatchAll_Ct&lt;22,$BC684=(Elig_MatchAll_Ct-1),AG684=0),D684,0)</f>
        <v>0</v>
      </c>
      <c r="BJ684" s="199">
        <f>IF(AND(Input_Product=Elig!$C684,Elig_MatchAll_Ct&lt;22,$BC684=(Elig_MatchAll_Ct-1),AH684=0),E684,0)</f>
        <v>0</v>
      </c>
      <c r="BK684" s="199">
        <f>IF(AND(Input_Product=Elig!$C684,Elig_MatchAll_Ct&lt;22,$BC684=(Elig_MatchAll_Ct-1),AI684=0),F684,0)</f>
        <v>0</v>
      </c>
      <c r="BL684" s="199">
        <f>IF(AND(Input_Product=Elig!$C684,Elig_MatchAll_Ct&lt;22,$BC684=(Elig_MatchAll_Ct-1),AJ684=0),G684,0)</f>
        <v>0</v>
      </c>
      <c r="BM684" s="199">
        <f>IF(AND(Input_Product=Elig!$C684,Elig_MatchAll_Ct&lt;22,$BC684=(Elig_MatchAll_Ct-1),AK684=0),H684,0)</f>
        <v>0</v>
      </c>
      <c r="BN684" s="199">
        <f>IF(AND(Input_Product=Elig!$C684,Elig_MatchAll_Ct&lt;22,$BC684=(Elig_MatchAll_Ct-1),AL684=0),I684,0)</f>
        <v>0</v>
      </c>
      <c r="BO684" s="199">
        <f>IF(AND(Input_Product=Elig!$C684,Elig_MatchAll_Ct&lt;22,$BC684=(Elig_MatchAll_Ct-1),AM684=0),J684,0)</f>
        <v>0</v>
      </c>
      <c r="BP684" s="199">
        <f>IF(AND(Input_Product=Elig!$C684,Elig_MatchAll_Ct&lt;22,$BC684=(Elig_MatchAll_Ct-1),AN684=0),K684,0)</f>
        <v>0</v>
      </c>
      <c r="BQ684" s="199">
        <f>IF(AND(Input_Product=Elig!$C684,Elig_MatchAll_Ct&lt;22,$BC684=(Elig_MatchAll_Ct-1),AP684=0),L684,0)</f>
        <v>0</v>
      </c>
      <c r="BR684" s="199">
        <f>IF(AND(Input_Product=Elig!$C684,Elig_MatchAll_Ct&lt;22,$BC684=(Elig_MatchAll_Ct-1),AO684=0),M684,0)</f>
        <v>0</v>
      </c>
      <c r="BS684" s="199">
        <f>IF(AND(Input_Product=Elig!$C684,Elig_MatchAll_Ct&lt;22,$BC684=(Elig_MatchAll_Ct-1),AQ684=0),N684,0)</f>
        <v>0</v>
      </c>
      <c r="BT684" s="199">
        <f>IF(AND(Input_Product=Elig!$C684,Elig_MatchAll_Ct&lt;22,$BC684=(Elig_MatchAll_Ct-1),AR684=0),O684,0)</f>
        <v>0</v>
      </c>
      <c r="BU684" s="199">
        <f>IF(AND(Input_Product=Elig!$C684,Elig_MatchAll_Ct&lt;22,$BC684=(Elig_MatchAll_Ct-1),AS684=0),P684,0)</f>
        <v>0</v>
      </c>
      <c r="BV684" s="200">
        <f>IF(AND(Input_Product=Elig!$C684,Elig_MatchAll_Ct&lt;22,$BC684=(Elig_MatchAll_Ct-1),AT684=0),Q684,0)</f>
        <v>0</v>
      </c>
      <c r="BW684" s="201">
        <f>IF(AND(Input_Product=Elig!$C684,Elig_MatchAll_Ct&lt;22,$BC684=(Elig_MatchAll_Ct-1),AU684=0),R684,0)</f>
        <v>0</v>
      </c>
      <c r="BX684" s="202">
        <f>IF(AND(Input_Product=Elig!$C684,Elig_MatchAll_Ct&lt;22,$BC684=(Elig_MatchAll_Ct-1),AU684=0),S684,0)</f>
        <v>0</v>
      </c>
      <c r="BY684" s="201">
        <f>IF(AND(Input_Product=Elig!$C684,Elig_MatchAll_Ct&lt;22,$BC684=(Elig_MatchAll_Ct-1),AV684=0),T684,0)</f>
        <v>0</v>
      </c>
      <c r="BZ684" s="202">
        <f>IF(AND(Input_Product=Elig!$C684,Elig_MatchAll_Ct&lt;22,$BC684=(Elig_MatchAll_Ct-1),AV684=0),U684,0)</f>
        <v>0</v>
      </c>
      <c r="CA684" s="201">
        <f>IF(AND(Input_Product=Elig!$C684,Elig_MatchAll_Ct&lt;22,$BC684=(Elig_MatchAll_Ct-1),AW684=0),V684,0)</f>
        <v>0</v>
      </c>
      <c r="CB684" s="202">
        <f>IF(AND(Input_Product=Elig!$C684,Elig_MatchAll_Ct&lt;22,$BC684=(Elig_MatchAll_Ct-1),AW684=0),W684,0)</f>
        <v>0</v>
      </c>
      <c r="CC684" s="201">
        <f>IF(AND(Input_Product=Elig!$C684,Elig_MatchAll_Ct&lt;22,$BC684=(Elig_MatchAll_Ct-1),AX684=0),X684,0)</f>
        <v>0</v>
      </c>
      <c r="CD684" s="202">
        <f>IF(AND(Input_Product=Elig!$C684,Elig_MatchAll_Ct&lt;22,$BC684=(Elig_MatchAll_Ct-1),AX684=0),Y684,0)</f>
        <v>0</v>
      </c>
      <c r="CE684" s="201">
        <f>IF(AND(Input_LTV&lt;=AE684,Input_Product=Elig!$C684,Elig_MatchAll_Ct&lt;22,$BC684=(Elig_MatchAll_Ct-1),AY684=0),Z684,0)</f>
        <v>0</v>
      </c>
      <c r="CF684" s="202">
        <f>IF(AND(Input_LTV&lt;=AE684,Input_Product=Elig!$C684,Elig_MatchAll_Ct&lt;22,$BC684=(Elig_MatchAll_Ct-1),AY684=0),AA684,0)</f>
        <v>0</v>
      </c>
      <c r="CG684" s="201">
        <f>IF(AND(Input_Product=Elig!$C684,Elig_MatchAll_Ct&lt;22,$BC684=(Elig_MatchAll_Ct-1),AZ684=0),AB684,0)</f>
        <v>0</v>
      </c>
      <c r="CH684" s="202">
        <f>IF(AND(Input_Product=Elig!$C684,Elig_MatchAll_Ct&lt;22,$BC684=(Elig_MatchAll_Ct-1),AZ684=0),AC684,0)</f>
        <v>0</v>
      </c>
      <c r="CI684" s="201">
        <f>IF(AND(Input_Product=Elig!$C684,Elig_MatchAll_Ct&lt;22,$BC684=(Elig_MatchAll_Ct-1),BA684=0),AD684,0)</f>
        <v>0</v>
      </c>
      <c r="CJ684" s="202">
        <f>IF(AND(Input_Product=Elig!$C684,Elig_MatchAll_Ct&lt;22,$BC684=(Elig_MatchAll_Ct-1),BA684=0),AE684,0)</f>
        <v>0</v>
      </c>
    </row>
    <row r="685" spans="2:88" ht="10.15" customHeight="1" x14ac:dyDescent="0.25">
      <c r="B685" s="2027" t="s">
        <v>1598</v>
      </c>
      <c r="C685" s="2032" t="str">
        <f t="shared" si="279"/>
        <v>Second OO</v>
      </c>
      <c r="D685" s="2031" t="s">
        <v>1561</v>
      </c>
      <c r="E685" s="2031" t="s">
        <v>98</v>
      </c>
      <c r="F685" s="2031" t="s">
        <v>329</v>
      </c>
      <c r="G685" s="2111" t="s">
        <v>468</v>
      </c>
      <c r="H685" s="2033" t="s">
        <v>136</v>
      </c>
      <c r="I685" s="2031" t="s">
        <v>1332</v>
      </c>
      <c r="J685" s="2031" t="s">
        <v>1311</v>
      </c>
      <c r="K685" s="2033" t="s">
        <v>1790</v>
      </c>
      <c r="L685" s="2031" t="s">
        <v>430</v>
      </c>
      <c r="M685" s="2031" t="s">
        <v>2677</v>
      </c>
      <c r="N685" s="2033" t="s">
        <v>82</v>
      </c>
      <c r="O685" s="2031" t="s">
        <v>310</v>
      </c>
      <c r="P685" s="2031" t="s">
        <v>291</v>
      </c>
      <c r="Q685" s="2031" t="s">
        <v>294</v>
      </c>
      <c r="R685" s="2031">
        <v>50000</v>
      </c>
      <c r="S685" s="2031">
        <v>350000</v>
      </c>
      <c r="T685" s="2031">
        <v>0</v>
      </c>
      <c r="U685" s="2031">
        <f t="shared" si="290"/>
        <v>350000</v>
      </c>
      <c r="V685" s="2031">
        <v>0</v>
      </c>
      <c r="W685" s="2031">
        <v>50</v>
      </c>
      <c r="X685" s="2031">
        <v>0</v>
      </c>
      <c r="Y685" s="2031">
        <v>999</v>
      </c>
      <c r="Z685" s="2034">
        <v>660</v>
      </c>
      <c r="AA685" s="2034">
        <v>679</v>
      </c>
      <c r="AB685" s="2034">
        <v>0</v>
      </c>
      <c r="AC685" s="2034">
        <v>999999</v>
      </c>
      <c r="AD685" s="2031">
        <v>0</v>
      </c>
      <c r="AE685" s="1484">
        <v>60</v>
      </c>
      <c r="AF685" s="170">
        <v>1</v>
      </c>
      <c r="AG685" s="171">
        <v>1</v>
      </c>
      <c r="AH685" s="171">
        <v>1</v>
      </c>
      <c r="AI685" s="171">
        <v>0</v>
      </c>
      <c r="AJ685" s="171">
        <v>0</v>
      </c>
      <c r="AK685" s="171">
        <v>1</v>
      </c>
      <c r="AL685" s="171">
        <v>1</v>
      </c>
      <c r="AM685" s="171">
        <v>1</v>
      </c>
      <c r="AN685" s="171">
        <v>1</v>
      </c>
      <c r="AO685" s="171">
        <v>1</v>
      </c>
      <c r="AP685" s="171">
        <v>1</v>
      </c>
      <c r="AQ685" s="171">
        <v>1</v>
      </c>
      <c r="AR685" s="171">
        <v>1</v>
      </c>
      <c r="AS685" s="171">
        <v>1</v>
      </c>
      <c r="AT685" s="171">
        <v>1</v>
      </c>
      <c r="AU685" s="171">
        <f t="shared" si="270"/>
        <v>1</v>
      </c>
      <c r="AV685" s="171">
        <f t="shared" si="271"/>
        <v>1</v>
      </c>
      <c r="AW685" s="171">
        <f t="shared" si="272"/>
        <v>1</v>
      </c>
      <c r="AX685" s="171">
        <f t="shared" si="284"/>
        <v>1</v>
      </c>
      <c r="AY685" s="171">
        <f t="shared" si="273"/>
        <v>0</v>
      </c>
      <c r="AZ685" s="171">
        <f t="shared" si="274"/>
        <v>1</v>
      </c>
      <c r="BA685" s="172">
        <f t="shared" si="275"/>
        <v>0</v>
      </c>
      <c r="BB685" s="175">
        <f t="shared" si="291"/>
        <v>18</v>
      </c>
      <c r="BC685" s="176">
        <f t="shared" si="292"/>
        <v>18</v>
      </c>
      <c r="BD685" s="176">
        <f t="shared" si="293"/>
        <v>17</v>
      </c>
      <c r="BE685" s="240" t="str">
        <f t="shared" si="289"/>
        <v/>
      </c>
      <c r="BF685" s="234"/>
      <c r="BG685" s="234"/>
      <c r="BH685" s="214">
        <f>IF(AND(Input_Product=Elig!$C685,Elig_MatchAll_Ct&lt;22,$BC685=(Elig_MatchAll_Ct-1),AF685=0),C685,0)</f>
        <v>0</v>
      </c>
      <c r="BI685" s="214">
        <f>IF(AND(Input_Product=Elig!$C685,Elig_MatchAll_Ct&lt;22,$BC685=(Elig_MatchAll_Ct-1),AG685=0),D685,0)</f>
        <v>0</v>
      </c>
      <c r="BJ685" s="214">
        <f>IF(AND(Input_Product=Elig!$C685,Elig_MatchAll_Ct&lt;22,$BC685=(Elig_MatchAll_Ct-1),AH685=0),E685,0)</f>
        <v>0</v>
      </c>
      <c r="BK685" s="214">
        <f>IF(AND(Input_Product=Elig!$C685,Elig_MatchAll_Ct&lt;22,$BC685=(Elig_MatchAll_Ct-1),AI685=0),F685,0)</f>
        <v>0</v>
      </c>
      <c r="BL685" s="214">
        <f>IF(AND(Input_Product=Elig!$C685,Elig_MatchAll_Ct&lt;22,$BC685=(Elig_MatchAll_Ct-1),AJ685=0),G685,0)</f>
        <v>0</v>
      </c>
      <c r="BM685" s="214">
        <f>IF(AND(Input_Product=Elig!$C685,Elig_MatchAll_Ct&lt;22,$BC685=(Elig_MatchAll_Ct-1),AK685=0),H685,0)</f>
        <v>0</v>
      </c>
      <c r="BN685" s="214">
        <f>IF(AND(Input_Product=Elig!$C685,Elig_MatchAll_Ct&lt;22,$BC685=(Elig_MatchAll_Ct-1),AL685=0),I685,0)</f>
        <v>0</v>
      </c>
      <c r="BO685" s="214">
        <f>IF(AND(Input_Product=Elig!$C685,Elig_MatchAll_Ct&lt;22,$BC685=(Elig_MatchAll_Ct-1),AM685=0),J685,0)</f>
        <v>0</v>
      </c>
      <c r="BP685" s="214">
        <f>IF(AND(Input_Product=Elig!$C685,Elig_MatchAll_Ct&lt;22,$BC685=(Elig_MatchAll_Ct-1),AN685=0),K685,0)</f>
        <v>0</v>
      </c>
      <c r="BQ685" s="214">
        <f>IF(AND(Input_Product=Elig!$C685,Elig_MatchAll_Ct&lt;22,$BC685=(Elig_MatchAll_Ct-1),AP685=0),L685,0)</f>
        <v>0</v>
      </c>
      <c r="BR685" s="214">
        <f>IF(AND(Input_Product=Elig!$C685,Elig_MatchAll_Ct&lt;22,$BC685=(Elig_MatchAll_Ct-1),AO685=0),M685,0)</f>
        <v>0</v>
      </c>
      <c r="BS685" s="214">
        <f>IF(AND(Input_Product=Elig!$C685,Elig_MatchAll_Ct&lt;22,$BC685=(Elig_MatchAll_Ct-1),AQ685=0),N685,0)</f>
        <v>0</v>
      </c>
      <c r="BT685" s="214">
        <f>IF(AND(Input_Product=Elig!$C685,Elig_MatchAll_Ct&lt;22,$BC685=(Elig_MatchAll_Ct-1),AR685=0),O685,0)</f>
        <v>0</v>
      </c>
      <c r="BU685" s="214">
        <f>IF(AND(Input_Product=Elig!$C685,Elig_MatchAll_Ct&lt;22,$BC685=(Elig_MatchAll_Ct-1),AS685=0),P685,0)</f>
        <v>0</v>
      </c>
      <c r="BV685" s="215">
        <f>IF(AND(Input_Product=Elig!$C685,Elig_MatchAll_Ct&lt;22,$BC685=(Elig_MatchAll_Ct-1),AT685=0),Q685,0)</f>
        <v>0</v>
      </c>
      <c r="BW685" s="311">
        <f>IF(AND(Input_Product=Elig!$C685,Elig_MatchAll_Ct&lt;22,$BC685=(Elig_MatchAll_Ct-1),AU685=0),R685,0)</f>
        <v>0</v>
      </c>
      <c r="BX685" s="312">
        <f>IF(AND(Input_Product=Elig!$C685,Elig_MatchAll_Ct&lt;22,$BC685=(Elig_MatchAll_Ct-1),AU685=0),S685,0)</f>
        <v>0</v>
      </c>
      <c r="BY685" s="311">
        <f>IF(AND(Input_Product=Elig!$C685,Elig_MatchAll_Ct&lt;22,$BC685=(Elig_MatchAll_Ct-1),AV685=0),T685,0)</f>
        <v>0</v>
      </c>
      <c r="BZ685" s="312">
        <f>IF(AND(Input_Product=Elig!$C685,Elig_MatchAll_Ct&lt;22,$BC685=(Elig_MatchAll_Ct-1),AV685=0),U685,0)</f>
        <v>0</v>
      </c>
      <c r="CA685" s="311">
        <f>IF(AND(Input_Product=Elig!$C685,Elig_MatchAll_Ct&lt;22,$BC685=(Elig_MatchAll_Ct-1),AW685=0),V685,0)</f>
        <v>0</v>
      </c>
      <c r="CB685" s="312">
        <f>IF(AND(Input_Product=Elig!$C685,Elig_MatchAll_Ct&lt;22,$BC685=(Elig_MatchAll_Ct-1),AW685=0),W685,0)</f>
        <v>0</v>
      </c>
      <c r="CC685" s="311">
        <f>IF(AND(Input_Product=Elig!$C685,Elig_MatchAll_Ct&lt;22,$BC685=(Elig_MatchAll_Ct-1),AX685=0),X685,0)</f>
        <v>0</v>
      </c>
      <c r="CD685" s="312">
        <f>IF(AND(Input_Product=Elig!$C685,Elig_MatchAll_Ct&lt;22,$BC685=(Elig_MatchAll_Ct-1),AX685=0),Y685,0)</f>
        <v>0</v>
      </c>
      <c r="CE685" s="311">
        <f>IF(AND(Input_LTV&lt;=AE685,Input_Product=Elig!$C685,Elig_MatchAll_Ct&lt;22,$BC685=(Elig_MatchAll_Ct-1),AY685=0),Z685,0)</f>
        <v>0</v>
      </c>
      <c r="CF685" s="312">
        <f>IF(AND(Input_LTV&lt;=AE685,Input_Product=Elig!$C685,Elig_MatchAll_Ct&lt;22,$BC685=(Elig_MatchAll_Ct-1),AY685=0),AA685,0)</f>
        <v>0</v>
      </c>
      <c r="CG685" s="311">
        <f>IF(AND(Input_Product=Elig!$C685,Elig_MatchAll_Ct&lt;22,$BC685=(Elig_MatchAll_Ct-1),AZ685=0),AB685,0)</f>
        <v>0</v>
      </c>
      <c r="CH685" s="312">
        <f>IF(AND(Input_Product=Elig!$C685,Elig_MatchAll_Ct&lt;22,$BC685=(Elig_MatchAll_Ct-1),AZ685=0),AC685,0)</f>
        <v>0</v>
      </c>
      <c r="CI685" s="311">
        <f>IF(AND(Input_Product=Elig!$C685,Elig_MatchAll_Ct&lt;22,$BC685=(Elig_MatchAll_Ct-1),BA685=0),AD685,0)</f>
        <v>0</v>
      </c>
      <c r="CJ685" s="312">
        <f>IF(AND(Input_Product=Elig!$C685,Elig_MatchAll_Ct&lt;22,$BC685=(Elig_MatchAll_Ct-1),BA685=0),AE685,0)</f>
        <v>0</v>
      </c>
    </row>
    <row r="686" spans="2:88" ht="10.15" customHeight="1" x14ac:dyDescent="0.25">
      <c r="B686" s="2027" t="s">
        <v>1599</v>
      </c>
      <c r="C686" s="2024" t="str">
        <f t="shared" si="279"/>
        <v>Second OO</v>
      </c>
      <c r="D686" s="2025" t="s">
        <v>1302</v>
      </c>
      <c r="E686" s="2025" t="s">
        <v>98</v>
      </c>
      <c r="F686" s="2025" t="s">
        <v>329</v>
      </c>
      <c r="G686" s="2103" t="s">
        <v>468</v>
      </c>
      <c r="H686" s="2025" t="s">
        <v>136</v>
      </c>
      <c r="I686" s="2023" t="s">
        <v>1332</v>
      </c>
      <c r="J686" s="2023" t="s">
        <v>1311</v>
      </c>
      <c r="K686" s="2025" t="s">
        <v>1790</v>
      </c>
      <c r="L686" s="2023" t="s">
        <v>430</v>
      </c>
      <c r="M686" s="2023" t="s">
        <v>2677</v>
      </c>
      <c r="N686" s="2025" t="s">
        <v>82</v>
      </c>
      <c r="O686" s="2023" t="s">
        <v>310</v>
      </c>
      <c r="P686" s="2023" t="s">
        <v>291</v>
      </c>
      <c r="Q686" s="2023" t="s">
        <v>294</v>
      </c>
      <c r="R686" s="2023">
        <v>200000</v>
      </c>
      <c r="S686" s="2023">
        <v>350000</v>
      </c>
      <c r="T686" s="2023">
        <v>0</v>
      </c>
      <c r="U686" s="2023">
        <f t="shared" si="290"/>
        <v>350000</v>
      </c>
      <c r="V686" s="2023">
        <v>0</v>
      </c>
      <c r="W686" s="2023">
        <v>50</v>
      </c>
      <c r="X686" s="2023">
        <v>0</v>
      </c>
      <c r="Y686" s="2023">
        <v>999</v>
      </c>
      <c r="Z686" s="2026">
        <v>720</v>
      </c>
      <c r="AA686" s="2026">
        <v>999</v>
      </c>
      <c r="AB686" s="2026">
        <v>0</v>
      </c>
      <c r="AC686" s="2026">
        <v>999999</v>
      </c>
      <c r="AD686" s="2023">
        <v>0</v>
      </c>
      <c r="AE686" s="2104">
        <v>80</v>
      </c>
      <c r="AF686" s="170">
        <v>1</v>
      </c>
      <c r="AG686" s="171">
        <v>0</v>
      </c>
      <c r="AH686" s="171">
        <v>1</v>
      </c>
      <c r="AI686" s="171">
        <v>0</v>
      </c>
      <c r="AJ686" s="171">
        <v>0</v>
      </c>
      <c r="AK686" s="171">
        <v>1</v>
      </c>
      <c r="AL686" s="171">
        <v>1</v>
      </c>
      <c r="AM686" s="171">
        <v>1</v>
      </c>
      <c r="AN686" s="171">
        <v>1</v>
      </c>
      <c r="AO686" s="171">
        <v>1</v>
      </c>
      <c r="AP686" s="171">
        <v>1</v>
      </c>
      <c r="AQ686" s="171">
        <v>1</v>
      </c>
      <c r="AR686" s="171">
        <v>1</v>
      </c>
      <c r="AS686" s="171">
        <v>1</v>
      </c>
      <c r="AT686" s="171">
        <v>1</v>
      </c>
      <c r="AU686" s="171">
        <f t="shared" si="270"/>
        <v>1</v>
      </c>
      <c r="AV686" s="171">
        <f t="shared" si="271"/>
        <v>1</v>
      </c>
      <c r="AW686" s="171">
        <f t="shared" si="272"/>
        <v>1</v>
      </c>
      <c r="AX686" s="171">
        <f t="shared" si="284"/>
        <v>1</v>
      </c>
      <c r="AY686" s="171">
        <f t="shared" si="273"/>
        <v>1</v>
      </c>
      <c r="AZ686" s="171">
        <f t="shared" si="274"/>
        <v>1</v>
      </c>
      <c r="BA686" s="172">
        <f t="shared" si="275"/>
        <v>1</v>
      </c>
      <c r="BB686" s="175">
        <f t="shared" si="291"/>
        <v>19</v>
      </c>
      <c r="BC686" s="176">
        <f t="shared" si="292"/>
        <v>18</v>
      </c>
      <c r="BD686" s="176">
        <f t="shared" si="293"/>
        <v>18</v>
      </c>
      <c r="BE686" s="240" t="str">
        <f t="shared" si="289"/>
        <v/>
      </c>
      <c r="BF686" s="220"/>
      <c r="BG686" s="220"/>
      <c r="BH686" s="216">
        <f>IF(AND(Input_Product=Elig!$C686,Elig_MatchAll_Ct&lt;22,$BC686=(Elig_MatchAll_Ct-1),AF686=0),C686,0)</f>
        <v>0</v>
      </c>
      <c r="BI686" s="216">
        <f>IF(AND(Input_Product=Elig!$C686,Elig_MatchAll_Ct&lt;22,$BC686=(Elig_MatchAll_Ct-1),AG686=0),D686,0)</f>
        <v>0</v>
      </c>
      <c r="BJ686" s="216">
        <f>IF(AND(Input_Product=Elig!$C686,Elig_MatchAll_Ct&lt;22,$BC686=(Elig_MatchAll_Ct-1),AH686=0),E686,0)</f>
        <v>0</v>
      </c>
      <c r="BK686" s="216">
        <f>IF(AND(Input_Product=Elig!$C686,Elig_MatchAll_Ct&lt;22,$BC686=(Elig_MatchAll_Ct-1),AI686=0),F686,0)</f>
        <v>0</v>
      </c>
      <c r="BL686" s="216">
        <f>IF(AND(Input_Product=Elig!$C686,Elig_MatchAll_Ct&lt;22,$BC686=(Elig_MatchAll_Ct-1),AJ686=0),G686,0)</f>
        <v>0</v>
      </c>
      <c r="BM686" s="216">
        <f>IF(AND(Input_Product=Elig!$C686,Elig_MatchAll_Ct&lt;22,$BC686=(Elig_MatchAll_Ct-1),AK686=0),H686,0)</f>
        <v>0</v>
      </c>
      <c r="BN686" s="216">
        <f>IF(AND(Input_Product=Elig!$C686,Elig_MatchAll_Ct&lt;22,$BC686=(Elig_MatchAll_Ct-1),AL686=0),I686,0)</f>
        <v>0</v>
      </c>
      <c r="BO686" s="216">
        <f>IF(AND(Input_Product=Elig!$C686,Elig_MatchAll_Ct&lt;22,$BC686=(Elig_MatchAll_Ct-1),AM686=0),J686,0)</f>
        <v>0</v>
      </c>
      <c r="BP686" s="216">
        <f>IF(AND(Input_Product=Elig!$C686,Elig_MatchAll_Ct&lt;22,$BC686=(Elig_MatchAll_Ct-1),AN686=0),K686,0)</f>
        <v>0</v>
      </c>
      <c r="BQ686" s="216">
        <f>IF(AND(Input_Product=Elig!$C686,Elig_MatchAll_Ct&lt;22,$BC686=(Elig_MatchAll_Ct-1),AP686=0),L686,0)</f>
        <v>0</v>
      </c>
      <c r="BR686" s="216">
        <f>IF(AND(Input_Product=Elig!$C686,Elig_MatchAll_Ct&lt;22,$BC686=(Elig_MatchAll_Ct-1),AO686=0),M686,0)</f>
        <v>0</v>
      </c>
      <c r="BS686" s="216">
        <f>IF(AND(Input_Product=Elig!$C686,Elig_MatchAll_Ct&lt;22,$BC686=(Elig_MatchAll_Ct-1),AQ686=0),N686,0)</f>
        <v>0</v>
      </c>
      <c r="BT686" s="216">
        <f>IF(AND(Input_Product=Elig!$C686,Elig_MatchAll_Ct&lt;22,$BC686=(Elig_MatchAll_Ct-1),AR686=0),O686,0)</f>
        <v>0</v>
      </c>
      <c r="BU686" s="216">
        <f>IF(AND(Input_Product=Elig!$C686,Elig_MatchAll_Ct&lt;22,$BC686=(Elig_MatchAll_Ct-1),AS686=0),P686,0)</f>
        <v>0</v>
      </c>
      <c r="BV686" s="217">
        <f>IF(AND(Input_Product=Elig!$C686,Elig_MatchAll_Ct&lt;22,$BC686=(Elig_MatchAll_Ct-1),AT686=0),Q686,0)</f>
        <v>0</v>
      </c>
      <c r="BW686" s="313">
        <f>IF(AND(Input_Product=Elig!$C686,Elig_MatchAll_Ct&lt;22,$BC686=(Elig_MatchAll_Ct-1),AU686=0),R686,0)</f>
        <v>0</v>
      </c>
      <c r="BX686" s="314">
        <f>IF(AND(Input_Product=Elig!$C686,Elig_MatchAll_Ct&lt;22,$BC686=(Elig_MatchAll_Ct-1),AU686=0),S686,0)</f>
        <v>0</v>
      </c>
      <c r="BY686" s="313">
        <f>IF(AND(Input_Product=Elig!$C686,Elig_MatchAll_Ct&lt;22,$BC686=(Elig_MatchAll_Ct-1),AV686=0),T686,0)</f>
        <v>0</v>
      </c>
      <c r="BZ686" s="314">
        <f>IF(AND(Input_Product=Elig!$C686,Elig_MatchAll_Ct&lt;22,$BC686=(Elig_MatchAll_Ct-1),AV686=0),U686,0)</f>
        <v>0</v>
      </c>
      <c r="CA686" s="313">
        <f>IF(AND(Input_Product=Elig!$C686,Elig_MatchAll_Ct&lt;22,$BC686=(Elig_MatchAll_Ct-1),AW686=0),V686,0)</f>
        <v>0</v>
      </c>
      <c r="CB686" s="314">
        <f>IF(AND(Input_Product=Elig!$C686,Elig_MatchAll_Ct&lt;22,$BC686=(Elig_MatchAll_Ct-1),AW686=0),W686,0)</f>
        <v>0</v>
      </c>
      <c r="CC686" s="313">
        <f>IF(AND(Input_Product=Elig!$C686,Elig_MatchAll_Ct&lt;22,$BC686=(Elig_MatchAll_Ct-1),AX686=0),X686,0)</f>
        <v>0</v>
      </c>
      <c r="CD686" s="314">
        <f>IF(AND(Input_Product=Elig!$C686,Elig_MatchAll_Ct&lt;22,$BC686=(Elig_MatchAll_Ct-1),AX686=0),Y686,0)</f>
        <v>0</v>
      </c>
      <c r="CE686" s="313">
        <f>IF(AND(Input_LTV&lt;=AE686,Input_Product=Elig!$C686,Elig_MatchAll_Ct&lt;22,$BC686=(Elig_MatchAll_Ct-1),AY686=0),Z686,0)</f>
        <v>0</v>
      </c>
      <c r="CF686" s="314">
        <f>IF(AND(Input_LTV&lt;=AE686,Input_Product=Elig!$C686,Elig_MatchAll_Ct&lt;22,$BC686=(Elig_MatchAll_Ct-1),AY686=0),AA686,0)</f>
        <v>0</v>
      </c>
      <c r="CG686" s="313">
        <f>IF(AND(Input_Product=Elig!$C686,Elig_MatchAll_Ct&lt;22,$BC686=(Elig_MatchAll_Ct-1),AZ686=0),AB686,0)</f>
        <v>0</v>
      </c>
      <c r="CH686" s="314">
        <f>IF(AND(Input_Product=Elig!$C686,Elig_MatchAll_Ct&lt;22,$BC686=(Elig_MatchAll_Ct-1),AZ686=0),AC686,0)</f>
        <v>0</v>
      </c>
      <c r="CI686" s="313">
        <f>IF(AND(Input_Product=Elig!$C686,Elig_MatchAll_Ct&lt;22,$BC686=(Elig_MatchAll_Ct-1),BA686=0),AD686,0)</f>
        <v>0</v>
      </c>
      <c r="CJ686" s="314">
        <f>IF(AND(Input_Product=Elig!$C686,Elig_MatchAll_Ct&lt;22,$BC686=(Elig_MatchAll_Ct-1),BA686=0),AE686,0)</f>
        <v>0</v>
      </c>
    </row>
    <row r="687" spans="2:88" ht="10.15" customHeight="1" x14ac:dyDescent="0.25">
      <c r="B687" s="2027" t="s">
        <v>1600</v>
      </c>
      <c r="C687" s="2028" t="str">
        <f t="shared" si="279"/>
        <v>Second OO</v>
      </c>
      <c r="D687" s="2027" t="s">
        <v>1302</v>
      </c>
      <c r="E687" s="2027" t="s">
        <v>98</v>
      </c>
      <c r="F687" s="2027" t="s">
        <v>329</v>
      </c>
      <c r="G687" s="2110" t="s">
        <v>468</v>
      </c>
      <c r="H687" s="2029" t="s">
        <v>136</v>
      </c>
      <c r="I687" s="2027" t="s">
        <v>1332</v>
      </c>
      <c r="J687" s="2027" t="s">
        <v>1311</v>
      </c>
      <c r="K687" s="2029" t="s">
        <v>1790</v>
      </c>
      <c r="L687" s="2027" t="s">
        <v>430</v>
      </c>
      <c r="M687" s="2027" t="s">
        <v>2677</v>
      </c>
      <c r="N687" s="2029" t="s">
        <v>82</v>
      </c>
      <c r="O687" s="2027" t="s">
        <v>310</v>
      </c>
      <c r="P687" s="2027" t="s">
        <v>291</v>
      </c>
      <c r="Q687" s="2027" t="s">
        <v>294</v>
      </c>
      <c r="R687" s="2027">
        <v>200000</v>
      </c>
      <c r="S687" s="2027">
        <v>350000</v>
      </c>
      <c r="T687" s="2027">
        <v>0</v>
      </c>
      <c r="U687" s="2027">
        <f t="shared" si="290"/>
        <v>350000</v>
      </c>
      <c r="V687" s="2027">
        <v>0</v>
      </c>
      <c r="W687" s="2027">
        <v>50</v>
      </c>
      <c r="X687" s="2027">
        <v>0</v>
      </c>
      <c r="Y687" s="2027">
        <v>999</v>
      </c>
      <c r="Z687" s="2030">
        <v>700</v>
      </c>
      <c r="AA687" s="2030">
        <v>719</v>
      </c>
      <c r="AB687" s="2030">
        <v>0</v>
      </c>
      <c r="AC687" s="2030">
        <v>999999</v>
      </c>
      <c r="AD687" s="2027">
        <v>0</v>
      </c>
      <c r="AE687" s="2105">
        <v>75</v>
      </c>
      <c r="AF687" s="170">
        <v>1</v>
      </c>
      <c r="AG687" s="171">
        <v>0</v>
      </c>
      <c r="AH687" s="171">
        <v>1</v>
      </c>
      <c r="AI687" s="171">
        <v>0</v>
      </c>
      <c r="AJ687" s="171">
        <v>0</v>
      </c>
      <c r="AK687" s="171">
        <v>1</v>
      </c>
      <c r="AL687" s="171">
        <v>1</v>
      </c>
      <c r="AM687" s="171">
        <v>1</v>
      </c>
      <c r="AN687" s="171">
        <v>1</v>
      </c>
      <c r="AO687" s="171">
        <v>1</v>
      </c>
      <c r="AP687" s="171">
        <v>1</v>
      </c>
      <c r="AQ687" s="171">
        <v>1</v>
      </c>
      <c r="AR687" s="171">
        <v>1</v>
      </c>
      <c r="AS687" s="171">
        <v>1</v>
      </c>
      <c r="AT687" s="171">
        <v>1</v>
      </c>
      <c r="AU687" s="171">
        <f t="shared" si="270"/>
        <v>1</v>
      </c>
      <c r="AV687" s="171">
        <f t="shared" si="271"/>
        <v>1</v>
      </c>
      <c r="AW687" s="171">
        <f t="shared" si="272"/>
        <v>1</v>
      </c>
      <c r="AX687" s="171">
        <f t="shared" si="284"/>
        <v>1</v>
      </c>
      <c r="AY687" s="171">
        <f t="shared" si="273"/>
        <v>0</v>
      </c>
      <c r="AZ687" s="171">
        <f t="shared" si="274"/>
        <v>1</v>
      </c>
      <c r="BA687" s="172">
        <f t="shared" si="275"/>
        <v>1</v>
      </c>
      <c r="BB687" s="175">
        <f t="shared" si="291"/>
        <v>18</v>
      </c>
      <c r="BC687" s="176">
        <f t="shared" si="292"/>
        <v>17</v>
      </c>
      <c r="BD687" s="176">
        <f t="shared" si="293"/>
        <v>17</v>
      </c>
      <c r="BE687" s="240" t="str">
        <f t="shared" si="289"/>
        <v/>
      </c>
      <c r="BF687" s="234"/>
      <c r="BG687" s="234"/>
      <c r="BH687" s="199">
        <f>IF(AND(Input_Product=Elig!$C687,Elig_MatchAll_Ct&lt;22,$BC687=(Elig_MatchAll_Ct-1),AF687=0),C687,0)</f>
        <v>0</v>
      </c>
      <c r="BI687" s="199">
        <f>IF(AND(Input_Product=Elig!$C687,Elig_MatchAll_Ct&lt;22,$BC687=(Elig_MatchAll_Ct-1),AG687=0),D687,0)</f>
        <v>0</v>
      </c>
      <c r="BJ687" s="199">
        <f>IF(AND(Input_Product=Elig!$C687,Elig_MatchAll_Ct&lt;22,$BC687=(Elig_MatchAll_Ct-1),AH687=0),E687,0)</f>
        <v>0</v>
      </c>
      <c r="BK687" s="199">
        <f>IF(AND(Input_Product=Elig!$C687,Elig_MatchAll_Ct&lt;22,$BC687=(Elig_MatchAll_Ct-1),AI687=0),F687,0)</f>
        <v>0</v>
      </c>
      <c r="BL687" s="199">
        <f>IF(AND(Input_Product=Elig!$C687,Elig_MatchAll_Ct&lt;22,$BC687=(Elig_MatchAll_Ct-1),AJ687=0),G687,0)</f>
        <v>0</v>
      </c>
      <c r="BM687" s="199">
        <f>IF(AND(Input_Product=Elig!$C687,Elig_MatchAll_Ct&lt;22,$BC687=(Elig_MatchAll_Ct-1),AK687=0),H687,0)</f>
        <v>0</v>
      </c>
      <c r="BN687" s="199">
        <f>IF(AND(Input_Product=Elig!$C687,Elig_MatchAll_Ct&lt;22,$BC687=(Elig_MatchAll_Ct-1),AL687=0),I687,0)</f>
        <v>0</v>
      </c>
      <c r="BO687" s="199">
        <f>IF(AND(Input_Product=Elig!$C687,Elig_MatchAll_Ct&lt;22,$BC687=(Elig_MatchAll_Ct-1),AM687=0),J687,0)</f>
        <v>0</v>
      </c>
      <c r="BP687" s="199">
        <f>IF(AND(Input_Product=Elig!$C687,Elig_MatchAll_Ct&lt;22,$BC687=(Elig_MatchAll_Ct-1),AN687=0),K687,0)</f>
        <v>0</v>
      </c>
      <c r="BQ687" s="199">
        <f>IF(AND(Input_Product=Elig!$C687,Elig_MatchAll_Ct&lt;22,$BC687=(Elig_MatchAll_Ct-1),AP687=0),L687,0)</f>
        <v>0</v>
      </c>
      <c r="BR687" s="199">
        <f>IF(AND(Input_Product=Elig!$C687,Elig_MatchAll_Ct&lt;22,$BC687=(Elig_MatchAll_Ct-1),AO687=0),M687,0)</f>
        <v>0</v>
      </c>
      <c r="BS687" s="199">
        <f>IF(AND(Input_Product=Elig!$C687,Elig_MatchAll_Ct&lt;22,$BC687=(Elig_MatchAll_Ct-1),AQ687=0),N687,0)</f>
        <v>0</v>
      </c>
      <c r="BT687" s="199">
        <f>IF(AND(Input_Product=Elig!$C687,Elig_MatchAll_Ct&lt;22,$BC687=(Elig_MatchAll_Ct-1),AR687=0),O687,0)</f>
        <v>0</v>
      </c>
      <c r="BU687" s="199">
        <f>IF(AND(Input_Product=Elig!$C687,Elig_MatchAll_Ct&lt;22,$BC687=(Elig_MatchAll_Ct-1),AS687=0),P687,0)</f>
        <v>0</v>
      </c>
      <c r="BV687" s="200">
        <f>IF(AND(Input_Product=Elig!$C687,Elig_MatchAll_Ct&lt;22,$BC687=(Elig_MatchAll_Ct-1),AT687=0),Q687,0)</f>
        <v>0</v>
      </c>
      <c r="BW687" s="201">
        <f>IF(AND(Input_Product=Elig!$C687,Elig_MatchAll_Ct&lt;22,$BC687=(Elig_MatchAll_Ct-1),AU687=0),R687,0)</f>
        <v>0</v>
      </c>
      <c r="BX687" s="202">
        <f>IF(AND(Input_Product=Elig!$C687,Elig_MatchAll_Ct&lt;22,$BC687=(Elig_MatchAll_Ct-1),AU687=0),S687,0)</f>
        <v>0</v>
      </c>
      <c r="BY687" s="201">
        <f>IF(AND(Input_Product=Elig!$C687,Elig_MatchAll_Ct&lt;22,$BC687=(Elig_MatchAll_Ct-1),AV687=0),T687,0)</f>
        <v>0</v>
      </c>
      <c r="BZ687" s="202">
        <f>IF(AND(Input_Product=Elig!$C687,Elig_MatchAll_Ct&lt;22,$BC687=(Elig_MatchAll_Ct-1),AV687=0),U687,0)</f>
        <v>0</v>
      </c>
      <c r="CA687" s="201">
        <f>IF(AND(Input_Product=Elig!$C687,Elig_MatchAll_Ct&lt;22,$BC687=(Elig_MatchAll_Ct-1),AW687=0),V687,0)</f>
        <v>0</v>
      </c>
      <c r="CB687" s="202">
        <f>IF(AND(Input_Product=Elig!$C687,Elig_MatchAll_Ct&lt;22,$BC687=(Elig_MatchAll_Ct-1),AW687=0),W687,0)</f>
        <v>0</v>
      </c>
      <c r="CC687" s="201">
        <f>IF(AND(Input_Product=Elig!$C687,Elig_MatchAll_Ct&lt;22,$BC687=(Elig_MatchAll_Ct-1),AX687=0),X687,0)</f>
        <v>0</v>
      </c>
      <c r="CD687" s="202">
        <f>IF(AND(Input_Product=Elig!$C687,Elig_MatchAll_Ct&lt;22,$BC687=(Elig_MatchAll_Ct-1),AX687=0),Y687,0)</f>
        <v>0</v>
      </c>
      <c r="CE687" s="201">
        <f>IF(AND(Input_LTV&lt;=AE687,Input_Product=Elig!$C687,Elig_MatchAll_Ct&lt;22,$BC687=(Elig_MatchAll_Ct-1),AY687=0),Z687,0)</f>
        <v>0</v>
      </c>
      <c r="CF687" s="202">
        <f>IF(AND(Input_LTV&lt;=AE687,Input_Product=Elig!$C687,Elig_MatchAll_Ct&lt;22,$BC687=(Elig_MatchAll_Ct-1),AY687=0),AA687,0)</f>
        <v>0</v>
      </c>
      <c r="CG687" s="201">
        <f>IF(AND(Input_Product=Elig!$C687,Elig_MatchAll_Ct&lt;22,$BC687=(Elig_MatchAll_Ct-1),AZ687=0),AB687,0)</f>
        <v>0</v>
      </c>
      <c r="CH687" s="202">
        <f>IF(AND(Input_Product=Elig!$C687,Elig_MatchAll_Ct&lt;22,$BC687=(Elig_MatchAll_Ct-1),AZ687=0),AC687,0)</f>
        <v>0</v>
      </c>
      <c r="CI687" s="201">
        <f>IF(AND(Input_Product=Elig!$C687,Elig_MatchAll_Ct&lt;22,$BC687=(Elig_MatchAll_Ct-1),BA687=0),AD687,0)</f>
        <v>0</v>
      </c>
      <c r="CJ687" s="202">
        <f>IF(AND(Input_Product=Elig!$C687,Elig_MatchAll_Ct&lt;22,$BC687=(Elig_MatchAll_Ct-1),BA687=0),AE687,0)</f>
        <v>0</v>
      </c>
    </row>
    <row r="688" spans="2:88" ht="10.15" customHeight="1" x14ac:dyDescent="0.25">
      <c r="B688" s="2027" t="s">
        <v>1601</v>
      </c>
      <c r="C688" s="2028" t="str">
        <f t="shared" si="279"/>
        <v>Second OO</v>
      </c>
      <c r="D688" s="2027" t="s">
        <v>1302</v>
      </c>
      <c r="E688" s="2027" t="s">
        <v>98</v>
      </c>
      <c r="F688" s="2027" t="s">
        <v>329</v>
      </c>
      <c r="G688" s="2110" t="s">
        <v>468</v>
      </c>
      <c r="H688" s="2029" t="s">
        <v>136</v>
      </c>
      <c r="I688" s="2027" t="s">
        <v>1332</v>
      </c>
      <c r="J688" s="2027" t="s">
        <v>1311</v>
      </c>
      <c r="K688" s="2029" t="s">
        <v>1790</v>
      </c>
      <c r="L688" s="2027" t="s">
        <v>430</v>
      </c>
      <c r="M688" s="2027" t="s">
        <v>2677</v>
      </c>
      <c r="N688" s="2029" t="s">
        <v>82</v>
      </c>
      <c r="O688" s="2027" t="s">
        <v>310</v>
      </c>
      <c r="P688" s="2027" t="s">
        <v>291</v>
      </c>
      <c r="Q688" s="2027" t="s">
        <v>294</v>
      </c>
      <c r="R688" s="2027">
        <v>200000</v>
      </c>
      <c r="S688" s="2027">
        <v>350000</v>
      </c>
      <c r="T688" s="2027">
        <v>0</v>
      </c>
      <c r="U688" s="2027">
        <f t="shared" si="290"/>
        <v>350000</v>
      </c>
      <c r="V688" s="2027">
        <v>0</v>
      </c>
      <c r="W688" s="2027">
        <v>50</v>
      </c>
      <c r="X688" s="2027">
        <v>0</v>
      </c>
      <c r="Y688" s="2027">
        <v>999</v>
      </c>
      <c r="Z688" s="2030">
        <v>680</v>
      </c>
      <c r="AA688" s="2030">
        <v>699</v>
      </c>
      <c r="AB688" s="2030">
        <v>0</v>
      </c>
      <c r="AC688" s="2030">
        <v>999999</v>
      </c>
      <c r="AD688" s="2027">
        <v>0</v>
      </c>
      <c r="AE688" s="2105">
        <v>70</v>
      </c>
      <c r="AF688" s="170">
        <v>1</v>
      </c>
      <c r="AG688" s="171">
        <v>0</v>
      </c>
      <c r="AH688" s="171">
        <v>1</v>
      </c>
      <c r="AI688" s="171">
        <v>0</v>
      </c>
      <c r="AJ688" s="171">
        <v>0</v>
      </c>
      <c r="AK688" s="171">
        <v>1</v>
      </c>
      <c r="AL688" s="171">
        <v>1</v>
      </c>
      <c r="AM688" s="171">
        <v>1</v>
      </c>
      <c r="AN688" s="171">
        <v>1</v>
      </c>
      <c r="AO688" s="171">
        <v>1</v>
      </c>
      <c r="AP688" s="171">
        <v>1</v>
      </c>
      <c r="AQ688" s="171">
        <v>1</v>
      </c>
      <c r="AR688" s="171">
        <v>1</v>
      </c>
      <c r="AS688" s="171">
        <v>1</v>
      </c>
      <c r="AT688" s="171">
        <v>1</v>
      </c>
      <c r="AU688" s="171">
        <f t="shared" si="270"/>
        <v>1</v>
      </c>
      <c r="AV688" s="171">
        <f t="shared" si="271"/>
        <v>1</v>
      </c>
      <c r="AW688" s="171">
        <f t="shared" si="272"/>
        <v>1</v>
      </c>
      <c r="AX688" s="171">
        <f t="shared" si="284"/>
        <v>1</v>
      </c>
      <c r="AY688" s="171">
        <f t="shared" si="273"/>
        <v>0</v>
      </c>
      <c r="AZ688" s="171">
        <f t="shared" si="274"/>
        <v>1</v>
      </c>
      <c r="BA688" s="172">
        <f t="shared" si="275"/>
        <v>1</v>
      </c>
      <c r="BB688" s="175">
        <f t="shared" si="291"/>
        <v>18</v>
      </c>
      <c r="BC688" s="176">
        <f t="shared" si="292"/>
        <v>17</v>
      </c>
      <c r="BD688" s="176">
        <f t="shared" si="293"/>
        <v>17</v>
      </c>
      <c r="BE688" s="240" t="str">
        <f t="shared" si="289"/>
        <v/>
      </c>
      <c r="BF688" s="234"/>
      <c r="BG688" s="234"/>
      <c r="BH688" s="199">
        <f>IF(AND(Input_Product=Elig!$C688,Elig_MatchAll_Ct&lt;22,$BC688=(Elig_MatchAll_Ct-1),AF688=0),C688,0)</f>
        <v>0</v>
      </c>
      <c r="BI688" s="199">
        <f>IF(AND(Input_Product=Elig!$C688,Elig_MatchAll_Ct&lt;22,$BC688=(Elig_MatchAll_Ct-1),AG688=0),D688,0)</f>
        <v>0</v>
      </c>
      <c r="BJ688" s="199">
        <f>IF(AND(Input_Product=Elig!$C688,Elig_MatchAll_Ct&lt;22,$BC688=(Elig_MatchAll_Ct-1),AH688=0),E688,0)</f>
        <v>0</v>
      </c>
      <c r="BK688" s="199">
        <f>IF(AND(Input_Product=Elig!$C688,Elig_MatchAll_Ct&lt;22,$BC688=(Elig_MatchAll_Ct-1),AI688=0),F688,0)</f>
        <v>0</v>
      </c>
      <c r="BL688" s="199">
        <f>IF(AND(Input_Product=Elig!$C688,Elig_MatchAll_Ct&lt;22,$BC688=(Elig_MatchAll_Ct-1),AJ688=0),G688,0)</f>
        <v>0</v>
      </c>
      <c r="BM688" s="199">
        <f>IF(AND(Input_Product=Elig!$C688,Elig_MatchAll_Ct&lt;22,$BC688=(Elig_MatchAll_Ct-1),AK688=0),H688,0)</f>
        <v>0</v>
      </c>
      <c r="BN688" s="199">
        <f>IF(AND(Input_Product=Elig!$C688,Elig_MatchAll_Ct&lt;22,$BC688=(Elig_MatchAll_Ct-1),AL688=0),I688,0)</f>
        <v>0</v>
      </c>
      <c r="BO688" s="199">
        <f>IF(AND(Input_Product=Elig!$C688,Elig_MatchAll_Ct&lt;22,$BC688=(Elig_MatchAll_Ct-1),AM688=0),J688,0)</f>
        <v>0</v>
      </c>
      <c r="BP688" s="199">
        <f>IF(AND(Input_Product=Elig!$C688,Elig_MatchAll_Ct&lt;22,$BC688=(Elig_MatchAll_Ct-1),AN688=0),K688,0)</f>
        <v>0</v>
      </c>
      <c r="BQ688" s="199">
        <f>IF(AND(Input_Product=Elig!$C688,Elig_MatchAll_Ct&lt;22,$BC688=(Elig_MatchAll_Ct-1),AP688=0),L688,0)</f>
        <v>0</v>
      </c>
      <c r="BR688" s="199">
        <f>IF(AND(Input_Product=Elig!$C688,Elig_MatchAll_Ct&lt;22,$BC688=(Elig_MatchAll_Ct-1),AO688=0),M688,0)</f>
        <v>0</v>
      </c>
      <c r="BS688" s="199">
        <f>IF(AND(Input_Product=Elig!$C688,Elig_MatchAll_Ct&lt;22,$BC688=(Elig_MatchAll_Ct-1),AQ688=0),N688,0)</f>
        <v>0</v>
      </c>
      <c r="BT688" s="199">
        <f>IF(AND(Input_Product=Elig!$C688,Elig_MatchAll_Ct&lt;22,$BC688=(Elig_MatchAll_Ct-1),AR688=0),O688,0)</f>
        <v>0</v>
      </c>
      <c r="BU688" s="199">
        <f>IF(AND(Input_Product=Elig!$C688,Elig_MatchAll_Ct&lt;22,$BC688=(Elig_MatchAll_Ct-1),AS688=0),P688,0)</f>
        <v>0</v>
      </c>
      <c r="BV688" s="200">
        <f>IF(AND(Input_Product=Elig!$C688,Elig_MatchAll_Ct&lt;22,$BC688=(Elig_MatchAll_Ct-1),AT688=0),Q688,0)</f>
        <v>0</v>
      </c>
      <c r="BW688" s="201">
        <f>IF(AND(Input_Product=Elig!$C688,Elig_MatchAll_Ct&lt;22,$BC688=(Elig_MatchAll_Ct-1),AU688=0),R688,0)</f>
        <v>0</v>
      </c>
      <c r="BX688" s="202">
        <f>IF(AND(Input_Product=Elig!$C688,Elig_MatchAll_Ct&lt;22,$BC688=(Elig_MatchAll_Ct-1),AU688=0),S688,0)</f>
        <v>0</v>
      </c>
      <c r="BY688" s="201">
        <f>IF(AND(Input_Product=Elig!$C688,Elig_MatchAll_Ct&lt;22,$BC688=(Elig_MatchAll_Ct-1),AV688=0),T688,0)</f>
        <v>0</v>
      </c>
      <c r="BZ688" s="202">
        <f>IF(AND(Input_Product=Elig!$C688,Elig_MatchAll_Ct&lt;22,$BC688=(Elig_MatchAll_Ct-1),AV688=0),U688,0)</f>
        <v>0</v>
      </c>
      <c r="CA688" s="201">
        <f>IF(AND(Input_Product=Elig!$C688,Elig_MatchAll_Ct&lt;22,$BC688=(Elig_MatchAll_Ct-1),AW688=0),V688,0)</f>
        <v>0</v>
      </c>
      <c r="CB688" s="202">
        <f>IF(AND(Input_Product=Elig!$C688,Elig_MatchAll_Ct&lt;22,$BC688=(Elig_MatchAll_Ct-1),AW688=0),W688,0)</f>
        <v>0</v>
      </c>
      <c r="CC688" s="201">
        <f>IF(AND(Input_Product=Elig!$C688,Elig_MatchAll_Ct&lt;22,$BC688=(Elig_MatchAll_Ct-1),AX688=0),X688,0)</f>
        <v>0</v>
      </c>
      <c r="CD688" s="202">
        <f>IF(AND(Input_Product=Elig!$C688,Elig_MatchAll_Ct&lt;22,$BC688=(Elig_MatchAll_Ct-1),AX688=0),Y688,0)</f>
        <v>0</v>
      </c>
      <c r="CE688" s="201">
        <f>IF(AND(Input_LTV&lt;=AE688,Input_Product=Elig!$C688,Elig_MatchAll_Ct&lt;22,$BC688=(Elig_MatchAll_Ct-1),AY688=0),Z688,0)</f>
        <v>0</v>
      </c>
      <c r="CF688" s="202">
        <f>IF(AND(Input_LTV&lt;=AE688,Input_Product=Elig!$C688,Elig_MatchAll_Ct&lt;22,$BC688=(Elig_MatchAll_Ct-1),AY688=0),AA688,0)</f>
        <v>0</v>
      </c>
      <c r="CG688" s="201">
        <f>IF(AND(Input_Product=Elig!$C688,Elig_MatchAll_Ct&lt;22,$BC688=(Elig_MatchAll_Ct-1),AZ688=0),AB688,0)</f>
        <v>0</v>
      </c>
      <c r="CH688" s="202">
        <f>IF(AND(Input_Product=Elig!$C688,Elig_MatchAll_Ct&lt;22,$BC688=(Elig_MatchAll_Ct-1),AZ688=0),AC688,0)</f>
        <v>0</v>
      </c>
      <c r="CI688" s="201">
        <f>IF(AND(Input_Product=Elig!$C688,Elig_MatchAll_Ct&lt;22,$BC688=(Elig_MatchAll_Ct-1),BA688=0),AD688,0)</f>
        <v>0</v>
      </c>
      <c r="CJ688" s="202">
        <f>IF(AND(Input_Product=Elig!$C688,Elig_MatchAll_Ct&lt;22,$BC688=(Elig_MatchAll_Ct-1),BA688=0),AE688,0)</f>
        <v>0</v>
      </c>
    </row>
    <row r="689" spans="2:88" ht="10.15" customHeight="1" x14ac:dyDescent="0.25">
      <c r="B689" s="2027" t="s">
        <v>1602</v>
      </c>
      <c r="C689" s="2032" t="str">
        <f t="shared" si="279"/>
        <v>Second OO</v>
      </c>
      <c r="D689" s="2031" t="s">
        <v>1302</v>
      </c>
      <c r="E689" s="2031" t="s">
        <v>98</v>
      </c>
      <c r="F689" s="2031" t="s">
        <v>329</v>
      </c>
      <c r="G689" s="2111" t="s">
        <v>468</v>
      </c>
      <c r="H689" s="2033" t="s">
        <v>136</v>
      </c>
      <c r="I689" s="2031" t="s">
        <v>1332</v>
      </c>
      <c r="J689" s="2031" t="s">
        <v>1311</v>
      </c>
      <c r="K689" s="2033" t="s">
        <v>1790</v>
      </c>
      <c r="L689" s="2031" t="s">
        <v>430</v>
      </c>
      <c r="M689" s="2031" t="s">
        <v>2677</v>
      </c>
      <c r="N689" s="2033" t="s">
        <v>82</v>
      </c>
      <c r="O689" s="2031" t="s">
        <v>310</v>
      </c>
      <c r="P689" s="2031" t="s">
        <v>291</v>
      </c>
      <c r="Q689" s="2031" t="s">
        <v>294</v>
      </c>
      <c r="R689" s="2031">
        <v>200000</v>
      </c>
      <c r="S689" s="2031">
        <v>350000</v>
      </c>
      <c r="T689" s="2031">
        <v>0</v>
      </c>
      <c r="U689" s="2031">
        <f t="shared" si="290"/>
        <v>350000</v>
      </c>
      <c r="V689" s="2031">
        <v>0</v>
      </c>
      <c r="W689" s="2031">
        <v>50</v>
      </c>
      <c r="X689" s="2031">
        <v>0</v>
      </c>
      <c r="Y689" s="2031">
        <v>999</v>
      </c>
      <c r="Z689" s="2034">
        <v>660</v>
      </c>
      <c r="AA689" s="2034">
        <v>679</v>
      </c>
      <c r="AB689" s="2034">
        <v>0</v>
      </c>
      <c r="AC689" s="2034">
        <v>999999</v>
      </c>
      <c r="AD689" s="2031">
        <v>0</v>
      </c>
      <c r="AE689" s="1484">
        <v>60</v>
      </c>
      <c r="AF689" s="170">
        <v>1</v>
      </c>
      <c r="AG689" s="171">
        <v>0</v>
      </c>
      <c r="AH689" s="171">
        <v>1</v>
      </c>
      <c r="AI689" s="171">
        <v>0</v>
      </c>
      <c r="AJ689" s="171">
        <v>0</v>
      </c>
      <c r="AK689" s="171">
        <v>1</v>
      </c>
      <c r="AL689" s="171">
        <v>1</v>
      </c>
      <c r="AM689" s="171">
        <v>1</v>
      </c>
      <c r="AN689" s="171">
        <v>1</v>
      </c>
      <c r="AO689" s="171">
        <v>1</v>
      </c>
      <c r="AP689" s="171">
        <v>1</v>
      </c>
      <c r="AQ689" s="171">
        <v>1</v>
      </c>
      <c r="AR689" s="171">
        <v>1</v>
      </c>
      <c r="AS689" s="171">
        <v>1</v>
      </c>
      <c r="AT689" s="171">
        <v>1</v>
      </c>
      <c r="AU689" s="171">
        <f t="shared" si="270"/>
        <v>1</v>
      </c>
      <c r="AV689" s="171">
        <f t="shared" si="271"/>
        <v>1</v>
      </c>
      <c r="AW689" s="171">
        <f t="shared" si="272"/>
        <v>1</v>
      </c>
      <c r="AX689" s="171">
        <f t="shared" si="284"/>
        <v>1</v>
      </c>
      <c r="AY689" s="171">
        <f t="shared" si="273"/>
        <v>0</v>
      </c>
      <c r="AZ689" s="171">
        <f t="shared" si="274"/>
        <v>1</v>
      </c>
      <c r="BA689" s="172">
        <f t="shared" si="275"/>
        <v>0</v>
      </c>
      <c r="BB689" s="175">
        <f t="shared" si="291"/>
        <v>17</v>
      </c>
      <c r="BC689" s="176">
        <f t="shared" si="292"/>
        <v>17</v>
      </c>
      <c r="BD689" s="176">
        <f t="shared" si="293"/>
        <v>16</v>
      </c>
      <c r="BE689" s="240" t="str">
        <f t="shared" si="289"/>
        <v/>
      </c>
      <c r="BF689" s="234"/>
      <c r="BG689" s="234"/>
      <c r="BH689" s="214">
        <f>IF(AND(Input_Product=Elig!$C689,Elig_MatchAll_Ct&lt;22,$BC689=(Elig_MatchAll_Ct-1),AF689=0),C689,0)</f>
        <v>0</v>
      </c>
      <c r="BI689" s="214">
        <f>IF(AND(Input_Product=Elig!$C689,Elig_MatchAll_Ct&lt;22,$BC689=(Elig_MatchAll_Ct-1),AG689=0),D689,0)</f>
        <v>0</v>
      </c>
      <c r="BJ689" s="214">
        <f>IF(AND(Input_Product=Elig!$C689,Elig_MatchAll_Ct&lt;22,$BC689=(Elig_MatchAll_Ct-1),AH689=0),E689,0)</f>
        <v>0</v>
      </c>
      <c r="BK689" s="214">
        <f>IF(AND(Input_Product=Elig!$C689,Elig_MatchAll_Ct&lt;22,$BC689=(Elig_MatchAll_Ct-1),AI689=0),F689,0)</f>
        <v>0</v>
      </c>
      <c r="BL689" s="214">
        <f>IF(AND(Input_Product=Elig!$C689,Elig_MatchAll_Ct&lt;22,$BC689=(Elig_MatchAll_Ct-1),AJ689=0),G689,0)</f>
        <v>0</v>
      </c>
      <c r="BM689" s="214">
        <f>IF(AND(Input_Product=Elig!$C689,Elig_MatchAll_Ct&lt;22,$BC689=(Elig_MatchAll_Ct-1),AK689=0),H689,0)</f>
        <v>0</v>
      </c>
      <c r="BN689" s="214">
        <f>IF(AND(Input_Product=Elig!$C689,Elig_MatchAll_Ct&lt;22,$BC689=(Elig_MatchAll_Ct-1),AL689=0),I689,0)</f>
        <v>0</v>
      </c>
      <c r="BO689" s="214">
        <f>IF(AND(Input_Product=Elig!$C689,Elig_MatchAll_Ct&lt;22,$BC689=(Elig_MatchAll_Ct-1),AM689=0),J689,0)</f>
        <v>0</v>
      </c>
      <c r="BP689" s="214">
        <f>IF(AND(Input_Product=Elig!$C689,Elig_MatchAll_Ct&lt;22,$BC689=(Elig_MatchAll_Ct-1),AN689=0),K689,0)</f>
        <v>0</v>
      </c>
      <c r="BQ689" s="214">
        <f>IF(AND(Input_Product=Elig!$C689,Elig_MatchAll_Ct&lt;22,$BC689=(Elig_MatchAll_Ct-1),AP689=0),L689,0)</f>
        <v>0</v>
      </c>
      <c r="BR689" s="214">
        <f>IF(AND(Input_Product=Elig!$C689,Elig_MatchAll_Ct&lt;22,$BC689=(Elig_MatchAll_Ct-1),AO689=0),M689,0)</f>
        <v>0</v>
      </c>
      <c r="BS689" s="214">
        <f>IF(AND(Input_Product=Elig!$C689,Elig_MatchAll_Ct&lt;22,$BC689=(Elig_MatchAll_Ct-1),AQ689=0),N689,0)</f>
        <v>0</v>
      </c>
      <c r="BT689" s="214">
        <f>IF(AND(Input_Product=Elig!$C689,Elig_MatchAll_Ct&lt;22,$BC689=(Elig_MatchAll_Ct-1),AR689=0),O689,0)</f>
        <v>0</v>
      </c>
      <c r="BU689" s="214">
        <f>IF(AND(Input_Product=Elig!$C689,Elig_MatchAll_Ct&lt;22,$BC689=(Elig_MatchAll_Ct-1),AS689=0),P689,0)</f>
        <v>0</v>
      </c>
      <c r="BV689" s="215">
        <f>IF(AND(Input_Product=Elig!$C689,Elig_MatchAll_Ct&lt;22,$BC689=(Elig_MatchAll_Ct-1),AT689=0),Q689,0)</f>
        <v>0</v>
      </c>
      <c r="BW689" s="311">
        <f>IF(AND(Input_Product=Elig!$C689,Elig_MatchAll_Ct&lt;22,$BC689=(Elig_MatchAll_Ct-1),AU689=0),R689,0)</f>
        <v>0</v>
      </c>
      <c r="BX689" s="312">
        <f>IF(AND(Input_Product=Elig!$C689,Elig_MatchAll_Ct&lt;22,$BC689=(Elig_MatchAll_Ct-1),AU689=0),S689,0)</f>
        <v>0</v>
      </c>
      <c r="BY689" s="311">
        <f>IF(AND(Input_Product=Elig!$C689,Elig_MatchAll_Ct&lt;22,$BC689=(Elig_MatchAll_Ct-1),AV689=0),T689,0)</f>
        <v>0</v>
      </c>
      <c r="BZ689" s="312">
        <f>IF(AND(Input_Product=Elig!$C689,Elig_MatchAll_Ct&lt;22,$BC689=(Elig_MatchAll_Ct-1),AV689=0),U689,0)</f>
        <v>0</v>
      </c>
      <c r="CA689" s="311">
        <f>IF(AND(Input_Product=Elig!$C689,Elig_MatchAll_Ct&lt;22,$BC689=(Elig_MatchAll_Ct-1),AW689=0),V689,0)</f>
        <v>0</v>
      </c>
      <c r="CB689" s="312">
        <f>IF(AND(Input_Product=Elig!$C689,Elig_MatchAll_Ct&lt;22,$BC689=(Elig_MatchAll_Ct-1),AW689=0),W689,0)</f>
        <v>0</v>
      </c>
      <c r="CC689" s="311">
        <f>IF(AND(Input_Product=Elig!$C689,Elig_MatchAll_Ct&lt;22,$BC689=(Elig_MatchAll_Ct-1),AX689=0),X689,0)</f>
        <v>0</v>
      </c>
      <c r="CD689" s="312">
        <f>IF(AND(Input_Product=Elig!$C689,Elig_MatchAll_Ct&lt;22,$BC689=(Elig_MatchAll_Ct-1),AX689=0),Y689,0)</f>
        <v>0</v>
      </c>
      <c r="CE689" s="311">
        <f>IF(AND(Input_LTV&lt;=AE689,Input_Product=Elig!$C689,Elig_MatchAll_Ct&lt;22,$BC689=(Elig_MatchAll_Ct-1),AY689=0),Z689,0)</f>
        <v>0</v>
      </c>
      <c r="CF689" s="312">
        <f>IF(AND(Input_LTV&lt;=AE689,Input_Product=Elig!$C689,Elig_MatchAll_Ct&lt;22,$BC689=(Elig_MatchAll_Ct-1),AY689=0),AA689,0)</f>
        <v>0</v>
      </c>
      <c r="CG689" s="311">
        <f>IF(AND(Input_Product=Elig!$C689,Elig_MatchAll_Ct&lt;22,$BC689=(Elig_MatchAll_Ct-1),AZ689=0),AB689,0)</f>
        <v>0</v>
      </c>
      <c r="CH689" s="312">
        <f>IF(AND(Input_Product=Elig!$C689,Elig_MatchAll_Ct&lt;22,$BC689=(Elig_MatchAll_Ct-1),AZ689=0),AC689,0)</f>
        <v>0</v>
      </c>
      <c r="CI689" s="311">
        <f>IF(AND(Input_Product=Elig!$C689,Elig_MatchAll_Ct&lt;22,$BC689=(Elig_MatchAll_Ct-1),BA689=0),AD689,0)</f>
        <v>0</v>
      </c>
      <c r="CJ689" s="312">
        <f>IF(AND(Input_Product=Elig!$C689,Elig_MatchAll_Ct&lt;22,$BC689=(Elig_MatchAll_Ct-1),BA689=0),AE689,0)</f>
        <v>0</v>
      </c>
    </row>
    <row r="690" spans="2:88" ht="10.15" customHeight="1" x14ac:dyDescent="0.25">
      <c r="B690" s="2027" t="s">
        <v>1603</v>
      </c>
      <c r="C690" s="2024" t="str">
        <f t="shared" si="279"/>
        <v>Second OO</v>
      </c>
      <c r="D690" s="2025" t="s">
        <v>1561</v>
      </c>
      <c r="E690" s="2025" t="s">
        <v>98</v>
      </c>
      <c r="F690" s="2025" t="s">
        <v>329</v>
      </c>
      <c r="G690" s="2103" t="s">
        <v>472</v>
      </c>
      <c r="H690" s="2025" t="s">
        <v>136</v>
      </c>
      <c r="I690" s="2023" t="s">
        <v>1332</v>
      </c>
      <c r="J690" s="2023" t="s">
        <v>1311</v>
      </c>
      <c r="K690" s="2025" t="s">
        <v>1790</v>
      </c>
      <c r="L690" s="2023" t="s">
        <v>430</v>
      </c>
      <c r="M690" s="2023" t="s">
        <v>2677</v>
      </c>
      <c r="N690" s="2025" t="s">
        <v>82</v>
      </c>
      <c r="O690" s="2023" t="s">
        <v>310</v>
      </c>
      <c r="P690" s="2023" t="s">
        <v>291</v>
      </c>
      <c r="Q690" s="2023" t="s">
        <v>294</v>
      </c>
      <c r="R690" s="2023">
        <v>50000</v>
      </c>
      <c r="S690" s="2023">
        <v>350000</v>
      </c>
      <c r="T690" s="2023">
        <v>0</v>
      </c>
      <c r="U690" s="2023">
        <f t="shared" si="280"/>
        <v>350000</v>
      </c>
      <c r="V690" s="2023">
        <v>0</v>
      </c>
      <c r="W690" s="2023">
        <v>50</v>
      </c>
      <c r="X690" s="2023">
        <v>0</v>
      </c>
      <c r="Y690" s="2023">
        <v>999</v>
      </c>
      <c r="Z690" s="2026">
        <v>720</v>
      </c>
      <c r="AA690" s="2026">
        <v>999</v>
      </c>
      <c r="AB690" s="2026">
        <v>0</v>
      </c>
      <c r="AC690" s="2026">
        <v>999999</v>
      </c>
      <c r="AD690" s="2023">
        <v>0</v>
      </c>
      <c r="AE690" s="1482">
        <v>75</v>
      </c>
      <c r="AF690" s="170">
        <v>1</v>
      </c>
      <c r="AG690" s="171">
        <v>1</v>
      </c>
      <c r="AH690" s="171">
        <v>1</v>
      </c>
      <c r="AI690" s="171">
        <v>0</v>
      </c>
      <c r="AJ690" s="171">
        <v>0</v>
      </c>
      <c r="AK690" s="171">
        <v>1</v>
      </c>
      <c r="AL690" s="171">
        <v>1</v>
      </c>
      <c r="AM690" s="171">
        <v>1</v>
      </c>
      <c r="AN690" s="171">
        <v>1</v>
      </c>
      <c r="AO690" s="171">
        <v>1</v>
      </c>
      <c r="AP690" s="171">
        <v>1</v>
      </c>
      <c r="AQ690" s="171">
        <v>1</v>
      </c>
      <c r="AR690" s="171">
        <v>1</v>
      </c>
      <c r="AS690" s="171">
        <v>1</v>
      </c>
      <c r="AT690" s="171">
        <v>1</v>
      </c>
      <c r="AU690" s="171">
        <f t="shared" si="270"/>
        <v>1</v>
      </c>
      <c r="AV690" s="171">
        <f t="shared" si="271"/>
        <v>1</v>
      </c>
      <c r="AW690" s="171">
        <f t="shared" si="272"/>
        <v>1</v>
      </c>
      <c r="AX690" s="171">
        <f t="shared" si="284"/>
        <v>1</v>
      </c>
      <c r="AY690" s="171">
        <f t="shared" si="273"/>
        <v>1</v>
      </c>
      <c r="AZ690" s="171">
        <f t="shared" si="274"/>
        <v>1</v>
      </c>
      <c r="BA690" s="172">
        <f t="shared" si="275"/>
        <v>1</v>
      </c>
      <c r="BB690" s="175">
        <f t="shared" si="281"/>
        <v>20</v>
      </c>
      <c r="BC690" s="176">
        <f t="shared" si="282"/>
        <v>19</v>
      </c>
      <c r="BD690" s="176">
        <f t="shared" si="283"/>
        <v>19</v>
      </c>
      <c r="BE690" s="240" t="str">
        <f t="shared" si="289"/>
        <v/>
      </c>
      <c r="BF690" s="220"/>
      <c r="BG690" s="220"/>
      <c r="BH690" s="216">
        <f>IF(AND(Input_Product=Elig!$C690,Elig_MatchAll_Ct&lt;22,$BC690=(Elig_MatchAll_Ct-1),AF690=0),C690,0)</f>
        <v>0</v>
      </c>
      <c r="BI690" s="216">
        <f>IF(AND(Input_Product=Elig!$C690,Elig_MatchAll_Ct&lt;22,$BC690=(Elig_MatchAll_Ct-1),AG690=0),D690,0)</f>
        <v>0</v>
      </c>
      <c r="BJ690" s="216">
        <f>IF(AND(Input_Product=Elig!$C690,Elig_MatchAll_Ct&lt;22,$BC690=(Elig_MatchAll_Ct-1),AH690=0),E690,0)</f>
        <v>0</v>
      </c>
      <c r="BK690" s="216">
        <f>IF(AND(Input_Product=Elig!$C690,Elig_MatchAll_Ct&lt;22,$BC690=(Elig_MatchAll_Ct-1),AI690=0),F690,0)</f>
        <v>0</v>
      </c>
      <c r="BL690" s="216">
        <f>IF(AND(Input_Product=Elig!$C690,Elig_MatchAll_Ct&lt;22,$BC690=(Elig_MatchAll_Ct-1),AJ690=0),G690,0)</f>
        <v>0</v>
      </c>
      <c r="BM690" s="216">
        <f>IF(AND(Input_Product=Elig!$C690,Elig_MatchAll_Ct&lt;22,$BC690=(Elig_MatchAll_Ct-1),AK690=0),H690,0)</f>
        <v>0</v>
      </c>
      <c r="BN690" s="216">
        <f>IF(AND(Input_Product=Elig!$C690,Elig_MatchAll_Ct&lt;22,$BC690=(Elig_MatchAll_Ct-1),AL690=0),I690,0)</f>
        <v>0</v>
      </c>
      <c r="BO690" s="216">
        <f>IF(AND(Input_Product=Elig!$C690,Elig_MatchAll_Ct&lt;22,$BC690=(Elig_MatchAll_Ct-1),AM690=0),J690,0)</f>
        <v>0</v>
      </c>
      <c r="BP690" s="216">
        <f>IF(AND(Input_Product=Elig!$C690,Elig_MatchAll_Ct&lt;22,$BC690=(Elig_MatchAll_Ct-1),AN690=0),K690,0)</f>
        <v>0</v>
      </c>
      <c r="BQ690" s="216">
        <f>IF(AND(Input_Product=Elig!$C690,Elig_MatchAll_Ct&lt;22,$BC690=(Elig_MatchAll_Ct-1),AP690=0),L690,0)</f>
        <v>0</v>
      </c>
      <c r="BR690" s="216">
        <f>IF(AND(Input_Product=Elig!$C690,Elig_MatchAll_Ct&lt;22,$BC690=(Elig_MatchAll_Ct-1),AO690=0),M690,0)</f>
        <v>0</v>
      </c>
      <c r="BS690" s="216">
        <f>IF(AND(Input_Product=Elig!$C690,Elig_MatchAll_Ct&lt;22,$BC690=(Elig_MatchAll_Ct-1),AQ690=0),N690,0)</f>
        <v>0</v>
      </c>
      <c r="BT690" s="216">
        <f>IF(AND(Input_Product=Elig!$C690,Elig_MatchAll_Ct&lt;22,$BC690=(Elig_MatchAll_Ct-1),AR690=0),O690,0)</f>
        <v>0</v>
      </c>
      <c r="BU690" s="216">
        <f>IF(AND(Input_Product=Elig!$C690,Elig_MatchAll_Ct&lt;22,$BC690=(Elig_MatchAll_Ct-1),AS690=0),P690,0)</f>
        <v>0</v>
      </c>
      <c r="BV690" s="217">
        <f>IF(AND(Input_Product=Elig!$C690,Elig_MatchAll_Ct&lt;22,$BC690=(Elig_MatchAll_Ct-1),AT690=0),Q690,0)</f>
        <v>0</v>
      </c>
      <c r="BW690" s="313">
        <f>IF(AND(Input_Product=Elig!$C690,Elig_MatchAll_Ct&lt;22,$BC690=(Elig_MatchAll_Ct-1),AU690=0),R690,0)</f>
        <v>0</v>
      </c>
      <c r="BX690" s="314">
        <f>IF(AND(Input_Product=Elig!$C690,Elig_MatchAll_Ct&lt;22,$BC690=(Elig_MatchAll_Ct-1),AU690=0),S690,0)</f>
        <v>0</v>
      </c>
      <c r="BY690" s="313">
        <f>IF(AND(Input_Product=Elig!$C690,Elig_MatchAll_Ct&lt;22,$BC690=(Elig_MatchAll_Ct-1),AV690=0),T690,0)</f>
        <v>0</v>
      </c>
      <c r="BZ690" s="314">
        <f>IF(AND(Input_Product=Elig!$C690,Elig_MatchAll_Ct&lt;22,$BC690=(Elig_MatchAll_Ct-1),AV690=0),U690,0)</f>
        <v>0</v>
      </c>
      <c r="CA690" s="313">
        <f>IF(AND(Input_Product=Elig!$C690,Elig_MatchAll_Ct&lt;22,$BC690=(Elig_MatchAll_Ct-1),AW690=0),V690,0)</f>
        <v>0</v>
      </c>
      <c r="CB690" s="314">
        <f>IF(AND(Input_Product=Elig!$C690,Elig_MatchAll_Ct&lt;22,$BC690=(Elig_MatchAll_Ct-1),AW690=0),W690,0)</f>
        <v>0</v>
      </c>
      <c r="CC690" s="313">
        <f>IF(AND(Input_Product=Elig!$C690,Elig_MatchAll_Ct&lt;22,$BC690=(Elig_MatchAll_Ct-1),AX690=0),X690,0)</f>
        <v>0</v>
      </c>
      <c r="CD690" s="314">
        <f>IF(AND(Input_Product=Elig!$C690,Elig_MatchAll_Ct&lt;22,$BC690=(Elig_MatchAll_Ct-1),AX690=0),Y690,0)</f>
        <v>0</v>
      </c>
      <c r="CE690" s="313">
        <f>IF(AND(Input_LTV&lt;=AE690,Input_Product=Elig!$C690,Elig_MatchAll_Ct&lt;22,$BC690=(Elig_MatchAll_Ct-1),AY690=0),Z690,0)</f>
        <v>0</v>
      </c>
      <c r="CF690" s="314">
        <f>IF(AND(Input_LTV&lt;=AE690,Input_Product=Elig!$C690,Elig_MatchAll_Ct&lt;22,$BC690=(Elig_MatchAll_Ct-1),AY690=0),AA690,0)</f>
        <v>0</v>
      </c>
      <c r="CG690" s="313">
        <f>IF(AND(Input_Product=Elig!$C690,Elig_MatchAll_Ct&lt;22,$BC690=(Elig_MatchAll_Ct-1),AZ690=0),AB690,0)</f>
        <v>0</v>
      </c>
      <c r="CH690" s="314">
        <f>IF(AND(Input_Product=Elig!$C690,Elig_MatchAll_Ct&lt;22,$BC690=(Elig_MatchAll_Ct-1),AZ690=0),AC690,0)</f>
        <v>0</v>
      </c>
      <c r="CI690" s="313">
        <f>IF(AND(Input_Product=Elig!$C690,Elig_MatchAll_Ct&lt;22,$BC690=(Elig_MatchAll_Ct-1),BA690=0),AD690,0)</f>
        <v>0</v>
      </c>
      <c r="CJ690" s="314">
        <f>IF(AND(Input_Product=Elig!$C690,Elig_MatchAll_Ct&lt;22,$BC690=(Elig_MatchAll_Ct-1),BA690=0),AE690,0)</f>
        <v>0</v>
      </c>
    </row>
    <row r="691" spans="2:88" ht="10.15" customHeight="1" x14ac:dyDescent="0.25">
      <c r="B691" s="2027" t="s">
        <v>1604</v>
      </c>
      <c r="C691" s="2028" t="str">
        <f t="shared" si="279"/>
        <v>Second OO</v>
      </c>
      <c r="D691" s="2027" t="s">
        <v>1561</v>
      </c>
      <c r="E691" s="2027" t="s">
        <v>98</v>
      </c>
      <c r="F691" s="2027" t="s">
        <v>329</v>
      </c>
      <c r="G691" s="2110" t="s">
        <v>472</v>
      </c>
      <c r="H691" s="2029" t="s">
        <v>136</v>
      </c>
      <c r="I691" s="2027" t="s">
        <v>1332</v>
      </c>
      <c r="J691" s="2027" t="s">
        <v>1311</v>
      </c>
      <c r="K691" s="2029" t="s">
        <v>1790</v>
      </c>
      <c r="L691" s="2027" t="s">
        <v>430</v>
      </c>
      <c r="M691" s="2027" t="s">
        <v>2677</v>
      </c>
      <c r="N691" s="2029" t="s">
        <v>82</v>
      </c>
      <c r="O691" s="2027" t="s">
        <v>310</v>
      </c>
      <c r="P691" s="2027" t="s">
        <v>291</v>
      </c>
      <c r="Q691" s="2027" t="s">
        <v>294</v>
      </c>
      <c r="R691" s="2027">
        <v>50000</v>
      </c>
      <c r="S691" s="2027">
        <v>350000</v>
      </c>
      <c r="T691" s="2027">
        <v>0</v>
      </c>
      <c r="U691" s="2027">
        <f t="shared" si="280"/>
        <v>350000</v>
      </c>
      <c r="V691" s="2027">
        <v>0</v>
      </c>
      <c r="W691" s="2027">
        <v>50</v>
      </c>
      <c r="X691" s="2027">
        <v>0</v>
      </c>
      <c r="Y691" s="2027">
        <v>999</v>
      </c>
      <c r="Z691" s="2030">
        <v>700</v>
      </c>
      <c r="AA691" s="2030">
        <v>719</v>
      </c>
      <c r="AB691" s="2030">
        <v>0</v>
      </c>
      <c r="AC691" s="2030">
        <v>999999</v>
      </c>
      <c r="AD691" s="2027">
        <v>0</v>
      </c>
      <c r="AE691" s="1483">
        <v>70</v>
      </c>
      <c r="AF691" s="170">
        <v>1</v>
      </c>
      <c r="AG691" s="171">
        <v>1</v>
      </c>
      <c r="AH691" s="171">
        <v>1</v>
      </c>
      <c r="AI691" s="171">
        <v>0</v>
      </c>
      <c r="AJ691" s="171">
        <v>0</v>
      </c>
      <c r="AK691" s="171">
        <v>1</v>
      </c>
      <c r="AL691" s="171">
        <v>1</v>
      </c>
      <c r="AM691" s="171">
        <v>1</v>
      </c>
      <c r="AN691" s="171">
        <v>1</v>
      </c>
      <c r="AO691" s="171">
        <v>1</v>
      </c>
      <c r="AP691" s="171">
        <v>1</v>
      </c>
      <c r="AQ691" s="171">
        <v>1</v>
      </c>
      <c r="AR691" s="171">
        <v>1</v>
      </c>
      <c r="AS691" s="171">
        <v>1</v>
      </c>
      <c r="AT691" s="171">
        <v>1</v>
      </c>
      <c r="AU691" s="171">
        <f t="shared" si="270"/>
        <v>1</v>
      </c>
      <c r="AV691" s="171">
        <f t="shared" si="271"/>
        <v>1</v>
      </c>
      <c r="AW691" s="171">
        <f t="shared" si="272"/>
        <v>1</v>
      </c>
      <c r="AX691" s="171">
        <f t="shared" si="284"/>
        <v>1</v>
      </c>
      <c r="AY691" s="171">
        <f t="shared" si="273"/>
        <v>0</v>
      </c>
      <c r="AZ691" s="171">
        <f t="shared" si="274"/>
        <v>1</v>
      </c>
      <c r="BA691" s="172">
        <f t="shared" si="275"/>
        <v>1</v>
      </c>
      <c r="BB691" s="175">
        <f t="shared" si="281"/>
        <v>19</v>
      </c>
      <c r="BC691" s="176">
        <f t="shared" si="282"/>
        <v>18</v>
      </c>
      <c r="BD691" s="176">
        <f t="shared" si="283"/>
        <v>18</v>
      </c>
      <c r="BE691" s="240" t="str">
        <f t="shared" si="289"/>
        <v/>
      </c>
      <c r="BF691" s="234"/>
      <c r="BG691" s="234"/>
      <c r="BH691" s="199">
        <f>IF(AND(Input_Product=Elig!$C691,Elig_MatchAll_Ct&lt;22,$BC691=(Elig_MatchAll_Ct-1),AF691=0),C691,0)</f>
        <v>0</v>
      </c>
      <c r="BI691" s="199">
        <f>IF(AND(Input_Product=Elig!$C691,Elig_MatchAll_Ct&lt;22,$BC691=(Elig_MatchAll_Ct-1),AG691=0),D691,0)</f>
        <v>0</v>
      </c>
      <c r="BJ691" s="199">
        <f>IF(AND(Input_Product=Elig!$C691,Elig_MatchAll_Ct&lt;22,$BC691=(Elig_MatchAll_Ct-1),AH691=0),E691,0)</f>
        <v>0</v>
      </c>
      <c r="BK691" s="199">
        <f>IF(AND(Input_Product=Elig!$C691,Elig_MatchAll_Ct&lt;22,$BC691=(Elig_MatchAll_Ct-1),AI691=0),F691,0)</f>
        <v>0</v>
      </c>
      <c r="BL691" s="199">
        <f>IF(AND(Input_Product=Elig!$C691,Elig_MatchAll_Ct&lt;22,$BC691=(Elig_MatchAll_Ct-1),AJ691=0),G691,0)</f>
        <v>0</v>
      </c>
      <c r="BM691" s="199">
        <f>IF(AND(Input_Product=Elig!$C691,Elig_MatchAll_Ct&lt;22,$BC691=(Elig_MatchAll_Ct-1),AK691=0),H691,0)</f>
        <v>0</v>
      </c>
      <c r="BN691" s="199">
        <f>IF(AND(Input_Product=Elig!$C691,Elig_MatchAll_Ct&lt;22,$BC691=(Elig_MatchAll_Ct-1),AL691=0),I691,0)</f>
        <v>0</v>
      </c>
      <c r="BO691" s="199">
        <f>IF(AND(Input_Product=Elig!$C691,Elig_MatchAll_Ct&lt;22,$BC691=(Elig_MatchAll_Ct-1),AM691=0),J691,0)</f>
        <v>0</v>
      </c>
      <c r="BP691" s="199">
        <f>IF(AND(Input_Product=Elig!$C691,Elig_MatchAll_Ct&lt;22,$BC691=(Elig_MatchAll_Ct-1),AN691=0),K691,0)</f>
        <v>0</v>
      </c>
      <c r="BQ691" s="199">
        <f>IF(AND(Input_Product=Elig!$C691,Elig_MatchAll_Ct&lt;22,$BC691=(Elig_MatchAll_Ct-1),AP691=0),L691,0)</f>
        <v>0</v>
      </c>
      <c r="BR691" s="199">
        <f>IF(AND(Input_Product=Elig!$C691,Elig_MatchAll_Ct&lt;22,$BC691=(Elig_MatchAll_Ct-1),AO691=0),M691,0)</f>
        <v>0</v>
      </c>
      <c r="BS691" s="199">
        <f>IF(AND(Input_Product=Elig!$C691,Elig_MatchAll_Ct&lt;22,$BC691=(Elig_MatchAll_Ct-1),AQ691=0),N691,0)</f>
        <v>0</v>
      </c>
      <c r="BT691" s="199">
        <f>IF(AND(Input_Product=Elig!$C691,Elig_MatchAll_Ct&lt;22,$BC691=(Elig_MatchAll_Ct-1),AR691=0),O691,0)</f>
        <v>0</v>
      </c>
      <c r="BU691" s="199">
        <f>IF(AND(Input_Product=Elig!$C691,Elig_MatchAll_Ct&lt;22,$BC691=(Elig_MatchAll_Ct-1),AS691=0),P691,0)</f>
        <v>0</v>
      </c>
      <c r="BV691" s="200">
        <f>IF(AND(Input_Product=Elig!$C691,Elig_MatchAll_Ct&lt;22,$BC691=(Elig_MatchAll_Ct-1),AT691=0),Q691,0)</f>
        <v>0</v>
      </c>
      <c r="BW691" s="201">
        <f>IF(AND(Input_Product=Elig!$C691,Elig_MatchAll_Ct&lt;22,$BC691=(Elig_MatchAll_Ct-1),AU691=0),R691,0)</f>
        <v>0</v>
      </c>
      <c r="BX691" s="202">
        <f>IF(AND(Input_Product=Elig!$C691,Elig_MatchAll_Ct&lt;22,$BC691=(Elig_MatchAll_Ct-1),AU691=0),S691,0)</f>
        <v>0</v>
      </c>
      <c r="BY691" s="201">
        <f>IF(AND(Input_Product=Elig!$C691,Elig_MatchAll_Ct&lt;22,$BC691=(Elig_MatchAll_Ct-1),AV691=0),T691,0)</f>
        <v>0</v>
      </c>
      <c r="BZ691" s="202">
        <f>IF(AND(Input_Product=Elig!$C691,Elig_MatchAll_Ct&lt;22,$BC691=(Elig_MatchAll_Ct-1),AV691=0),U691,0)</f>
        <v>0</v>
      </c>
      <c r="CA691" s="201">
        <f>IF(AND(Input_Product=Elig!$C691,Elig_MatchAll_Ct&lt;22,$BC691=(Elig_MatchAll_Ct-1),AW691=0),V691,0)</f>
        <v>0</v>
      </c>
      <c r="CB691" s="202">
        <f>IF(AND(Input_Product=Elig!$C691,Elig_MatchAll_Ct&lt;22,$BC691=(Elig_MatchAll_Ct-1),AW691=0),W691,0)</f>
        <v>0</v>
      </c>
      <c r="CC691" s="201">
        <f>IF(AND(Input_Product=Elig!$C691,Elig_MatchAll_Ct&lt;22,$BC691=(Elig_MatchAll_Ct-1),AX691=0),X691,0)</f>
        <v>0</v>
      </c>
      <c r="CD691" s="202">
        <f>IF(AND(Input_Product=Elig!$C691,Elig_MatchAll_Ct&lt;22,$BC691=(Elig_MatchAll_Ct-1),AX691=0),Y691,0)</f>
        <v>0</v>
      </c>
      <c r="CE691" s="201">
        <f>IF(AND(Input_LTV&lt;=AE691,Input_Product=Elig!$C691,Elig_MatchAll_Ct&lt;22,$BC691=(Elig_MatchAll_Ct-1),AY691=0),Z691,0)</f>
        <v>0</v>
      </c>
      <c r="CF691" s="202">
        <f>IF(AND(Input_LTV&lt;=AE691,Input_Product=Elig!$C691,Elig_MatchAll_Ct&lt;22,$BC691=(Elig_MatchAll_Ct-1),AY691=0),AA691,0)</f>
        <v>0</v>
      </c>
      <c r="CG691" s="201">
        <f>IF(AND(Input_Product=Elig!$C691,Elig_MatchAll_Ct&lt;22,$BC691=(Elig_MatchAll_Ct-1),AZ691=0),AB691,0)</f>
        <v>0</v>
      </c>
      <c r="CH691" s="202">
        <f>IF(AND(Input_Product=Elig!$C691,Elig_MatchAll_Ct&lt;22,$BC691=(Elig_MatchAll_Ct-1),AZ691=0),AC691,0)</f>
        <v>0</v>
      </c>
      <c r="CI691" s="201">
        <f>IF(AND(Input_Product=Elig!$C691,Elig_MatchAll_Ct&lt;22,$BC691=(Elig_MatchAll_Ct-1),BA691=0),AD691,0)</f>
        <v>0</v>
      </c>
      <c r="CJ691" s="202">
        <f>IF(AND(Input_Product=Elig!$C691,Elig_MatchAll_Ct&lt;22,$BC691=(Elig_MatchAll_Ct-1),BA691=0),AE691,0)</f>
        <v>0</v>
      </c>
    </row>
    <row r="692" spans="2:88" ht="10.15" customHeight="1" x14ac:dyDescent="0.25">
      <c r="B692" s="2027" t="s">
        <v>1605</v>
      </c>
      <c r="C692" s="2028" t="str">
        <f t="shared" si="279"/>
        <v>Second OO</v>
      </c>
      <c r="D692" s="2027" t="s">
        <v>1561</v>
      </c>
      <c r="E692" s="2027" t="s">
        <v>98</v>
      </c>
      <c r="F692" s="2027" t="s">
        <v>329</v>
      </c>
      <c r="G692" s="2110" t="s">
        <v>472</v>
      </c>
      <c r="H692" s="2029" t="s">
        <v>136</v>
      </c>
      <c r="I692" s="2027" t="s">
        <v>1332</v>
      </c>
      <c r="J692" s="2027" t="s">
        <v>1311</v>
      </c>
      <c r="K692" s="2029" t="s">
        <v>1790</v>
      </c>
      <c r="L692" s="2027" t="s">
        <v>430</v>
      </c>
      <c r="M692" s="2027" t="s">
        <v>2677</v>
      </c>
      <c r="N692" s="2029" t="s">
        <v>82</v>
      </c>
      <c r="O692" s="2027" t="s">
        <v>310</v>
      </c>
      <c r="P692" s="2027" t="s">
        <v>291</v>
      </c>
      <c r="Q692" s="2027" t="s">
        <v>294</v>
      </c>
      <c r="R692" s="2027">
        <v>50000</v>
      </c>
      <c r="S692" s="2027">
        <v>350000</v>
      </c>
      <c r="T692" s="2027">
        <v>0</v>
      </c>
      <c r="U692" s="2027">
        <f t="shared" si="280"/>
        <v>350000</v>
      </c>
      <c r="V692" s="2027">
        <v>0</v>
      </c>
      <c r="W692" s="2027">
        <v>50</v>
      </c>
      <c r="X692" s="2027">
        <v>0</v>
      </c>
      <c r="Y692" s="2027">
        <v>999</v>
      </c>
      <c r="Z692" s="2030">
        <v>680</v>
      </c>
      <c r="AA692" s="2030">
        <v>699</v>
      </c>
      <c r="AB692" s="2030">
        <v>0</v>
      </c>
      <c r="AC692" s="2030">
        <v>999999</v>
      </c>
      <c r="AD692" s="2027">
        <v>0</v>
      </c>
      <c r="AE692" s="1483">
        <v>65</v>
      </c>
      <c r="AF692" s="170">
        <v>1</v>
      </c>
      <c r="AG692" s="171">
        <v>1</v>
      </c>
      <c r="AH692" s="171">
        <v>1</v>
      </c>
      <c r="AI692" s="171">
        <v>0</v>
      </c>
      <c r="AJ692" s="171">
        <v>0</v>
      </c>
      <c r="AK692" s="171">
        <v>1</v>
      </c>
      <c r="AL692" s="171">
        <v>1</v>
      </c>
      <c r="AM692" s="171">
        <v>1</v>
      </c>
      <c r="AN692" s="171">
        <v>1</v>
      </c>
      <c r="AO692" s="171">
        <v>1</v>
      </c>
      <c r="AP692" s="171">
        <v>1</v>
      </c>
      <c r="AQ692" s="171">
        <v>1</v>
      </c>
      <c r="AR692" s="171">
        <v>1</v>
      </c>
      <c r="AS692" s="171">
        <v>1</v>
      </c>
      <c r="AT692" s="171">
        <v>1</v>
      </c>
      <c r="AU692" s="171">
        <f t="shared" si="270"/>
        <v>1</v>
      </c>
      <c r="AV692" s="171">
        <f t="shared" si="271"/>
        <v>1</v>
      </c>
      <c r="AW692" s="171">
        <f t="shared" si="272"/>
        <v>1</v>
      </c>
      <c r="AX692" s="171">
        <f t="shared" si="284"/>
        <v>1</v>
      </c>
      <c r="AY692" s="171">
        <f t="shared" si="273"/>
        <v>0</v>
      </c>
      <c r="AZ692" s="171">
        <f t="shared" si="274"/>
        <v>1</v>
      </c>
      <c r="BA692" s="172">
        <f t="shared" si="275"/>
        <v>1</v>
      </c>
      <c r="BB692" s="175">
        <f t="shared" si="281"/>
        <v>19</v>
      </c>
      <c r="BC692" s="176">
        <f t="shared" si="282"/>
        <v>18</v>
      </c>
      <c r="BD692" s="176">
        <f t="shared" si="283"/>
        <v>18</v>
      </c>
      <c r="BE692" s="240" t="str">
        <f t="shared" si="289"/>
        <v/>
      </c>
      <c r="BF692" s="234"/>
      <c r="BG692" s="234"/>
      <c r="BH692" s="199">
        <f>IF(AND(Input_Product=Elig!$C692,Elig_MatchAll_Ct&lt;22,$BC692=(Elig_MatchAll_Ct-1),AF692=0),C692,0)</f>
        <v>0</v>
      </c>
      <c r="BI692" s="199">
        <f>IF(AND(Input_Product=Elig!$C692,Elig_MatchAll_Ct&lt;22,$BC692=(Elig_MatchAll_Ct-1),AG692=0),D692,0)</f>
        <v>0</v>
      </c>
      <c r="BJ692" s="199">
        <f>IF(AND(Input_Product=Elig!$C692,Elig_MatchAll_Ct&lt;22,$BC692=(Elig_MatchAll_Ct-1),AH692=0),E692,0)</f>
        <v>0</v>
      </c>
      <c r="BK692" s="199">
        <f>IF(AND(Input_Product=Elig!$C692,Elig_MatchAll_Ct&lt;22,$BC692=(Elig_MatchAll_Ct-1),AI692=0),F692,0)</f>
        <v>0</v>
      </c>
      <c r="BL692" s="199">
        <f>IF(AND(Input_Product=Elig!$C692,Elig_MatchAll_Ct&lt;22,$BC692=(Elig_MatchAll_Ct-1),AJ692=0),G692,0)</f>
        <v>0</v>
      </c>
      <c r="BM692" s="199">
        <f>IF(AND(Input_Product=Elig!$C692,Elig_MatchAll_Ct&lt;22,$BC692=(Elig_MatchAll_Ct-1),AK692=0),H692,0)</f>
        <v>0</v>
      </c>
      <c r="BN692" s="199">
        <f>IF(AND(Input_Product=Elig!$C692,Elig_MatchAll_Ct&lt;22,$BC692=(Elig_MatchAll_Ct-1),AL692=0),I692,0)</f>
        <v>0</v>
      </c>
      <c r="BO692" s="199">
        <f>IF(AND(Input_Product=Elig!$C692,Elig_MatchAll_Ct&lt;22,$BC692=(Elig_MatchAll_Ct-1),AM692=0),J692,0)</f>
        <v>0</v>
      </c>
      <c r="BP692" s="199">
        <f>IF(AND(Input_Product=Elig!$C692,Elig_MatchAll_Ct&lt;22,$BC692=(Elig_MatchAll_Ct-1),AN692=0),K692,0)</f>
        <v>0</v>
      </c>
      <c r="BQ692" s="199">
        <f>IF(AND(Input_Product=Elig!$C692,Elig_MatchAll_Ct&lt;22,$BC692=(Elig_MatchAll_Ct-1),AP692=0),L692,0)</f>
        <v>0</v>
      </c>
      <c r="BR692" s="199">
        <f>IF(AND(Input_Product=Elig!$C692,Elig_MatchAll_Ct&lt;22,$BC692=(Elig_MatchAll_Ct-1),AO692=0),M692,0)</f>
        <v>0</v>
      </c>
      <c r="BS692" s="199">
        <f>IF(AND(Input_Product=Elig!$C692,Elig_MatchAll_Ct&lt;22,$BC692=(Elig_MatchAll_Ct-1),AQ692=0),N692,0)</f>
        <v>0</v>
      </c>
      <c r="BT692" s="199">
        <f>IF(AND(Input_Product=Elig!$C692,Elig_MatchAll_Ct&lt;22,$BC692=(Elig_MatchAll_Ct-1),AR692=0),O692,0)</f>
        <v>0</v>
      </c>
      <c r="BU692" s="199">
        <f>IF(AND(Input_Product=Elig!$C692,Elig_MatchAll_Ct&lt;22,$BC692=(Elig_MatchAll_Ct-1),AS692=0),P692,0)</f>
        <v>0</v>
      </c>
      <c r="BV692" s="200">
        <f>IF(AND(Input_Product=Elig!$C692,Elig_MatchAll_Ct&lt;22,$BC692=(Elig_MatchAll_Ct-1),AT692=0),Q692,0)</f>
        <v>0</v>
      </c>
      <c r="BW692" s="201">
        <f>IF(AND(Input_Product=Elig!$C692,Elig_MatchAll_Ct&lt;22,$BC692=(Elig_MatchAll_Ct-1),AU692=0),R692,0)</f>
        <v>0</v>
      </c>
      <c r="BX692" s="202">
        <f>IF(AND(Input_Product=Elig!$C692,Elig_MatchAll_Ct&lt;22,$BC692=(Elig_MatchAll_Ct-1),AU692=0),S692,0)</f>
        <v>0</v>
      </c>
      <c r="BY692" s="201">
        <f>IF(AND(Input_Product=Elig!$C692,Elig_MatchAll_Ct&lt;22,$BC692=(Elig_MatchAll_Ct-1),AV692=0),T692,0)</f>
        <v>0</v>
      </c>
      <c r="BZ692" s="202">
        <f>IF(AND(Input_Product=Elig!$C692,Elig_MatchAll_Ct&lt;22,$BC692=(Elig_MatchAll_Ct-1),AV692=0),U692,0)</f>
        <v>0</v>
      </c>
      <c r="CA692" s="201">
        <f>IF(AND(Input_Product=Elig!$C692,Elig_MatchAll_Ct&lt;22,$BC692=(Elig_MatchAll_Ct-1),AW692=0),V692,0)</f>
        <v>0</v>
      </c>
      <c r="CB692" s="202">
        <f>IF(AND(Input_Product=Elig!$C692,Elig_MatchAll_Ct&lt;22,$BC692=(Elig_MatchAll_Ct-1),AW692=0),W692,0)</f>
        <v>0</v>
      </c>
      <c r="CC692" s="201">
        <f>IF(AND(Input_Product=Elig!$C692,Elig_MatchAll_Ct&lt;22,$BC692=(Elig_MatchAll_Ct-1),AX692=0),X692,0)</f>
        <v>0</v>
      </c>
      <c r="CD692" s="202">
        <f>IF(AND(Input_Product=Elig!$C692,Elig_MatchAll_Ct&lt;22,$BC692=(Elig_MatchAll_Ct-1),AX692=0),Y692,0)</f>
        <v>0</v>
      </c>
      <c r="CE692" s="201">
        <f>IF(AND(Input_LTV&lt;=AE692,Input_Product=Elig!$C692,Elig_MatchAll_Ct&lt;22,$BC692=(Elig_MatchAll_Ct-1),AY692=0),Z692,0)</f>
        <v>0</v>
      </c>
      <c r="CF692" s="202">
        <f>IF(AND(Input_LTV&lt;=AE692,Input_Product=Elig!$C692,Elig_MatchAll_Ct&lt;22,$BC692=(Elig_MatchAll_Ct-1),AY692=0),AA692,0)</f>
        <v>0</v>
      </c>
      <c r="CG692" s="201">
        <f>IF(AND(Input_Product=Elig!$C692,Elig_MatchAll_Ct&lt;22,$BC692=(Elig_MatchAll_Ct-1),AZ692=0),AB692,0)</f>
        <v>0</v>
      </c>
      <c r="CH692" s="202">
        <f>IF(AND(Input_Product=Elig!$C692,Elig_MatchAll_Ct&lt;22,$BC692=(Elig_MatchAll_Ct-1),AZ692=0),AC692,0)</f>
        <v>0</v>
      </c>
      <c r="CI692" s="201">
        <f>IF(AND(Input_Product=Elig!$C692,Elig_MatchAll_Ct&lt;22,$BC692=(Elig_MatchAll_Ct-1),BA692=0),AD692,0)</f>
        <v>0</v>
      </c>
      <c r="CJ692" s="202">
        <f>IF(AND(Input_Product=Elig!$C692,Elig_MatchAll_Ct&lt;22,$BC692=(Elig_MatchAll_Ct-1),BA692=0),AE692,0)</f>
        <v>0</v>
      </c>
    </row>
    <row r="693" spans="2:88" ht="10.15" customHeight="1" x14ac:dyDescent="0.25">
      <c r="B693" s="2027" t="s">
        <v>1606</v>
      </c>
      <c r="C693" s="2032" t="str">
        <f t="shared" si="279"/>
        <v>Second OO</v>
      </c>
      <c r="D693" s="2031" t="s">
        <v>1561</v>
      </c>
      <c r="E693" s="2031" t="s">
        <v>98</v>
      </c>
      <c r="F693" s="2031" t="s">
        <v>329</v>
      </c>
      <c r="G693" s="2111" t="s">
        <v>472</v>
      </c>
      <c r="H693" s="2033" t="s">
        <v>136</v>
      </c>
      <c r="I693" s="2031" t="s">
        <v>1332</v>
      </c>
      <c r="J693" s="2031" t="s">
        <v>1311</v>
      </c>
      <c r="K693" s="2033" t="s">
        <v>1790</v>
      </c>
      <c r="L693" s="2031" t="s">
        <v>430</v>
      </c>
      <c r="M693" s="2031" t="s">
        <v>2677</v>
      </c>
      <c r="N693" s="2033" t="s">
        <v>82</v>
      </c>
      <c r="O693" s="2031" t="s">
        <v>310</v>
      </c>
      <c r="P693" s="2031" t="s">
        <v>291</v>
      </c>
      <c r="Q693" s="2031" t="s">
        <v>294</v>
      </c>
      <c r="R693" s="2031">
        <v>50000</v>
      </c>
      <c r="S693" s="2031">
        <v>350000</v>
      </c>
      <c r="T693" s="2031">
        <v>0</v>
      </c>
      <c r="U693" s="2031">
        <f t="shared" si="280"/>
        <v>350000</v>
      </c>
      <c r="V693" s="2031">
        <v>0</v>
      </c>
      <c r="W693" s="2031">
        <v>50</v>
      </c>
      <c r="X693" s="2031">
        <v>0</v>
      </c>
      <c r="Y693" s="2031">
        <v>999</v>
      </c>
      <c r="Z693" s="2034">
        <v>660</v>
      </c>
      <c r="AA693" s="2034">
        <v>679</v>
      </c>
      <c r="AB693" s="2034">
        <v>0</v>
      </c>
      <c r="AC693" s="2034">
        <v>999999</v>
      </c>
      <c r="AD693" s="2031">
        <v>0</v>
      </c>
      <c r="AE693" s="1484">
        <v>60</v>
      </c>
      <c r="AF693" s="170">
        <v>1</v>
      </c>
      <c r="AG693" s="171">
        <v>1</v>
      </c>
      <c r="AH693" s="171">
        <v>1</v>
      </c>
      <c r="AI693" s="171">
        <v>0</v>
      </c>
      <c r="AJ693" s="171">
        <v>0</v>
      </c>
      <c r="AK693" s="171">
        <v>1</v>
      </c>
      <c r="AL693" s="171">
        <v>1</v>
      </c>
      <c r="AM693" s="171">
        <v>1</v>
      </c>
      <c r="AN693" s="171">
        <v>1</v>
      </c>
      <c r="AO693" s="171">
        <v>1</v>
      </c>
      <c r="AP693" s="171">
        <v>1</v>
      </c>
      <c r="AQ693" s="171">
        <v>1</v>
      </c>
      <c r="AR693" s="171">
        <v>1</v>
      </c>
      <c r="AS693" s="171">
        <v>1</v>
      </c>
      <c r="AT693" s="171">
        <v>1</v>
      </c>
      <c r="AU693" s="171">
        <f t="shared" si="270"/>
        <v>1</v>
      </c>
      <c r="AV693" s="171">
        <f t="shared" si="271"/>
        <v>1</v>
      </c>
      <c r="AW693" s="171">
        <f t="shared" si="272"/>
        <v>1</v>
      </c>
      <c r="AX693" s="171">
        <f t="shared" si="284"/>
        <v>1</v>
      </c>
      <c r="AY693" s="171">
        <f t="shared" si="273"/>
        <v>0</v>
      </c>
      <c r="AZ693" s="171">
        <f t="shared" si="274"/>
        <v>1</v>
      </c>
      <c r="BA693" s="172">
        <f t="shared" si="275"/>
        <v>0</v>
      </c>
      <c r="BB693" s="175">
        <f t="shared" si="281"/>
        <v>18</v>
      </c>
      <c r="BC693" s="176">
        <f t="shared" si="282"/>
        <v>18</v>
      </c>
      <c r="BD693" s="176">
        <f t="shared" si="283"/>
        <v>17</v>
      </c>
      <c r="BE693" s="240" t="str">
        <f t="shared" si="289"/>
        <v/>
      </c>
      <c r="BF693" s="234"/>
      <c r="BG693" s="234"/>
      <c r="BH693" s="214">
        <f>IF(AND(Input_Product=Elig!$C693,Elig_MatchAll_Ct&lt;22,$BC693=(Elig_MatchAll_Ct-1),AF693=0),C693,0)</f>
        <v>0</v>
      </c>
      <c r="BI693" s="214">
        <f>IF(AND(Input_Product=Elig!$C693,Elig_MatchAll_Ct&lt;22,$BC693=(Elig_MatchAll_Ct-1),AG693=0),D693,0)</f>
        <v>0</v>
      </c>
      <c r="BJ693" s="214">
        <f>IF(AND(Input_Product=Elig!$C693,Elig_MatchAll_Ct&lt;22,$BC693=(Elig_MatchAll_Ct-1),AH693=0),E693,0)</f>
        <v>0</v>
      </c>
      <c r="BK693" s="214">
        <f>IF(AND(Input_Product=Elig!$C693,Elig_MatchAll_Ct&lt;22,$BC693=(Elig_MatchAll_Ct-1),AI693=0),F693,0)</f>
        <v>0</v>
      </c>
      <c r="BL693" s="214">
        <f>IF(AND(Input_Product=Elig!$C693,Elig_MatchAll_Ct&lt;22,$BC693=(Elig_MatchAll_Ct-1),AJ693=0),G693,0)</f>
        <v>0</v>
      </c>
      <c r="BM693" s="214">
        <f>IF(AND(Input_Product=Elig!$C693,Elig_MatchAll_Ct&lt;22,$BC693=(Elig_MatchAll_Ct-1),AK693=0),H693,0)</f>
        <v>0</v>
      </c>
      <c r="BN693" s="214">
        <f>IF(AND(Input_Product=Elig!$C693,Elig_MatchAll_Ct&lt;22,$BC693=(Elig_MatchAll_Ct-1),AL693=0),I693,0)</f>
        <v>0</v>
      </c>
      <c r="BO693" s="214">
        <f>IF(AND(Input_Product=Elig!$C693,Elig_MatchAll_Ct&lt;22,$BC693=(Elig_MatchAll_Ct-1),AM693=0),J693,0)</f>
        <v>0</v>
      </c>
      <c r="BP693" s="214">
        <f>IF(AND(Input_Product=Elig!$C693,Elig_MatchAll_Ct&lt;22,$BC693=(Elig_MatchAll_Ct-1),AN693=0),K693,0)</f>
        <v>0</v>
      </c>
      <c r="BQ693" s="214">
        <f>IF(AND(Input_Product=Elig!$C693,Elig_MatchAll_Ct&lt;22,$BC693=(Elig_MatchAll_Ct-1),AP693=0),L693,0)</f>
        <v>0</v>
      </c>
      <c r="BR693" s="214">
        <f>IF(AND(Input_Product=Elig!$C693,Elig_MatchAll_Ct&lt;22,$BC693=(Elig_MatchAll_Ct-1),AO693=0),M693,0)</f>
        <v>0</v>
      </c>
      <c r="BS693" s="214">
        <f>IF(AND(Input_Product=Elig!$C693,Elig_MatchAll_Ct&lt;22,$BC693=(Elig_MatchAll_Ct-1),AQ693=0),N693,0)</f>
        <v>0</v>
      </c>
      <c r="BT693" s="214">
        <f>IF(AND(Input_Product=Elig!$C693,Elig_MatchAll_Ct&lt;22,$BC693=(Elig_MatchAll_Ct-1),AR693=0),O693,0)</f>
        <v>0</v>
      </c>
      <c r="BU693" s="214">
        <f>IF(AND(Input_Product=Elig!$C693,Elig_MatchAll_Ct&lt;22,$BC693=(Elig_MatchAll_Ct-1),AS693=0),P693,0)</f>
        <v>0</v>
      </c>
      <c r="BV693" s="215">
        <f>IF(AND(Input_Product=Elig!$C693,Elig_MatchAll_Ct&lt;22,$BC693=(Elig_MatchAll_Ct-1),AT693=0),Q693,0)</f>
        <v>0</v>
      </c>
      <c r="BW693" s="311">
        <f>IF(AND(Input_Product=Elig!$C693,Elig_MatchAll_Ct&lt;22,$BC693=(Elig_MatchAll_Ct-1),AU693=0),R693,0)</f>
        <v>0</v>
      </c>
      <c r="BX693" s="312">
        <f>IF(AND(Input_Product=Elig!$C693,Elig_MatchAll_Ct&lt;22,$BC693=(Elig_MatchAll_Ct-1),AU693=0),S693,0)</f>
        <v>0</v>
      </c>
      <c r="BY693" s="311">
        <f>IF(AND(Input_Product=Elig!$C693,Elig_MatchAll_Ct&lt;22,$BC693=(Elig_MatchAll_Ct-1),AV693=0),T693,0)</f>
        <v>0</v>
      </c>
      <c r="BZ693" s="312">
        <f>IF(AND(Input_Product=Elig!$C693,Elig_MatchAll_Ct&lt;22,$BC693=(Elig_MatchAll_Ct-1),AV693=0),U693,0)</f>
        <v>0</v>
      </c>
      <c r="CA693" s="311">
        <f>IF(AND(Input_Product=Elig!$C693,Elig_MatchAll_Ct&lt;22,$BC693=(Elig_MatchAll_Ct-1),AW693=0),V693,0)</f>
        <v>0</v>
      </c>
      <c r="CB693" s="312">
        <f>IF(AND(Input_Product=Elig!$C693,Elig_MatchAll_Ct&lt;22,$BC693=(Elig_MatchAll_Ct-1),AW693=0),W693,0)</f>
        <v>0</v>
      </c>
      <c r="CC693" s="311">
        <f>IF(AND(Input_Product=Elig!$C693,Elig_MatchAll_Ct&lt;22,$BC693=(Elig_MatchAll_Ct-1),AX693=0),X693,0)</f>
        <v>0</v>
      </c>
      <c r="CD693" s="312">
        <f>IF(AND(Input_Product=Elig!$C693,Elig_MatchAll_Ct&lt;22,$BC693=(Elig_MatchAll_Ct-1),AX693=0),Y693,0)</f>
        <v>0</v>
      </c>
      <c r="CE693" s="311">
        <f>IF(AND(Input_LTV&lt;=AE693,Input_Product=Elig!$C693,Elig_MatchAll_Ct&lt;22,$BC693=(Elig_MatchAll_Ct-1),AY693=0),Z693,0)</f>
        <v>0</v>
      </c>
      <c r="CF693" s="312">
        <f>IF(AND(Input_LTV&lt;=AE693,Input_Product=Elig!$C693,Elig_MatchAll_Ct&lt;22,$BC693=(Elig_MatchAll_Ct-1),AY693=0),AA693,0)</f>
        <v>0</v>
      </c>
      <c r="CG693" s="311">
        <f>IF(AND(Input_Product=Elig!$C693,Elig_MatchAll_Ct&lt;22,$BC693=(Elig_MatchAll_Ct-1),AZ693=0),AB693,0)</f>
        <v>0</v>
      </c>
      <c r="CH693" s="312">
        <f>IF(AND(Input_Product=Elig!$C693,Elig_MatchAll_Ct&lt;22,$BC693=(Elig_MatchAll_Ct-1),AZ693=0),AC693,0)</f>
        <v>0</v>
      </c>
      <c r="CI693" s="311">
        <f>IF(AND(Input_Product=Elig!$C693,Elig_MatchAll_Ct&lt;22,$BC693=(Elig_MatchAll_Ct-1),BA693=0),AD693,0)</f>
        <v>0</v>
      </c>
      <c r="CJ693" s="312">
        <f>IF(AND(Input_Product=Elig!$C693,Elig_MatchAll_Ct&lt;22,$BC693=(Elig_MatchAll_Ct-1),BA693=0),AE693,0)</f>
        <v>0</v>
      </c>
    </row>
    <row r="694" spans="2:88" ht="10.15" customHeight="1" x14ac:dyDescent="0.25">
      <c r="B694" s="2027" t="s">
        <v>1607</v>
      </c>
      <c r="C694" s="2024" t="str">
        <f t="shared" si="279"/>
        <v>Second OO</v>
      </c>
      <c r="D694" s="2025" t="s">
        <v>1302</v>
      </c>
      <c r="E694" s="2025" t="s">
        <v>98</v>
      </c>
      <c r="F694" s="2025" t="s">
        <v>329</v>
      </c>
      <c r="G694" s="2103" t="s">
        <v>472</v>
      </c>
      <c r="H694" s="2025" t="s">
        <v>136</v>
      </c>
      <c r="I694" s="2023" t="s">
        <v>1332</v>
      </c>
      <c r="J694" s="2023" t="s">
        <v>1311</v>
      </c>
      <c r="K694" s="2025" t="s">
        <v>1790</v>
      </c>
      <c r="L694" s="2023" t="s">
        <v>430</v>
      </c>
      <c r="M694" s="2023" t="s">
        <v>2677</v>
      </c>
      <c r="N694" s="2025" t="s">
        <v>82</v>
      </c>
      <c r="O694" s="2023" t="s">
        <v>310</v>
      </c>
      <c r="P694" s="2023" t="s">
        <v>291</v>
      </c>
      <c r="Q694" s="2023" t="s">
        <v>294</v>
      </c>
      <c r="R694" s="2023">
        <v>200000</v>
      </c>
      <c r="S694" s="2023">
        <v>350000</v>
      </c>
      <c r="T694" s="2023">
        <v>0</v>
      </c>
      <c r="U694" s="2023">
        <f t="shared" si="280"/>
        <v>350000</v>
      </c>
      <c r="V694" s="2023">
        <v>0</v>
      </c>
      <c r="W694" s="2023">
        <v>50</v>
      </c>
      <c r="X694" s="2023">
        <v>0</v>
      </c>
      <c r="Y694" s="2023">
        <v>999</v>
      </c>
      <c r="Z694" s="2026">
        <v>720</v>
      </c>
      <c r="AA694" s="2026">
        <v>999</v>
      </c>
      <c r="AB694" s="2026">
        <v>0</v>
      </c>
      <c r="AC694" s="2026">
        <v>999999</v>
      </c>
      <c r="AD694" s="2023">
        <v>0</v>
      </c>
      <c r="AE694" s="1482">
        <v>75</v>
      </c>
      <c r="AF694" s="170">
        <v>1</v>
      </c>
      <c r="AG694" s="171">
        <v>0</v>
      </c>
      <c r="AH694" s="171">
        <v>1</v>
      </c>
      <c r="AI694" s="171">
        <v>0</v>
      </c>
      <c r="AJ694" s="171">
        <v>0</v>
      </c>
      <c r="AK694" s="171">
        <v>1</v>
      </c>
      <c r="AL694" s="171">
        <v>1</v>
      </c>
      <c r="AM694" s="171">
        <v>1</v>
      </c>
      <c r="AN694" s="171">
        <v>1</v>
      </c>
      <c r="AO694" s="171">
        <v>1</v>
      </c>
      <c r="AP694" s="171">
        <v>1</v>
      </c>
      <c r="AQ694" s="171">
        <v>1</v>
      </c>
      <c r="AR694" s="171">
        <v>1</v>
      </c>
      <c r="AS694" s="171">
        <v>1</v>
      </c>
      <c r="AT694" s="171">
        <v>1</v>
      </c>
      <c r="AU694" s="171">
        <f t="shared" si="270"/>
        <v>1</v>
      </c>
      <c r="AV694" s="171">
        <f t="shared" si="271"/>
        <v>1</v>
      </c>
      <c r="AW694" s="171">
        <f t="shared" si="272"/>
        <v>1</v>
      </c>
      <c r="AX694" s="171">
        <f t="shared" si="284"/>
        <v>1</v>
      </c>
      <c r="AY694" s="171">
        <f t="shared" si="273"/>
        <v>1</v>
      </c>
      <c r="AZ694" s="171">
        <f t="shared" si="274"/>
        <v>1</v>
      </c>
      <c r="BA694" s="172">
        <f t="shared" si="275"/>
        <v>1</v>
      </c>
      <c r="BB694" s="175">
        <f t="shared" si="281"/>
        <v>19</v>
      </c>
      <c r="BC694" s="176">
        <f t="shared" si="282"/>
        <v>18</v>
      </c>
      <c r="BD694" s="176">
        <f t="shared" si="283"/>
        <v>18</v>
      </c>
      <c r="BE694" s="240" t="str">
        <f t="shared" si="289"/>
        <v/>
      </c>
      <c r="BF694" s="220"/>
      <c r="BG694" s="220"/>
      <c r="BH694" s="216">
        <f>IF(AND(Input_Product=Elig!$C694,Elig_MatchAll_Ct&lt;22,$BC694=(Elig_MatchAll_Ct-1),AF694=0),C694,0)</f>
        <v>0</v>
      </c>
      <c r="BI694" s="216">
        <f>IF(AND(Input_Product=Elig!$C694,Elig_MatchAll_Ct&lt;22,$BC694=(Elig_MatchAll_Ct-1),AG694=0),D694,0)</f>
        <v>0</v>
      </c>
      <c r="BJ694" s="216">
        <f>IF(AND(Input_Product=Elig!$C694,Elig_MatchAll_Ct&lt;22,$BC694=(Elig_MatchAll_Ct-1),AH694=0),E694,0)</f>
        <v>0</v>
      </c>
      <c r="BK694" s="216">
        <f>IF(AND(Input_Product=Elig!$C694,Elig_MatchAll_Ct&lt;22,$BC694=(Elig_MatchAll_Ct-1),AI694=0),F694,0)</f>
        <v>0</v>
      </c>
      <c r="BL694" s="216">
        <f>IF(AND(Input_Product=Elig!$C694,Elig_MatchAll_Ct&lt;22,$BC694=(Elig_MatchAll_Ct-1),AJ694=0),G694,0)</f>
        <v>0</v>
      </c>
      <c r="BM694" s="216">
        <f>IF(AND(Input_Product=Elig!$C694,Elig_MatchAll_Ct&lt;22,$BC694=(Elig_MatchAll_Ct-1),AK694=0),H694,0)</f>
        <v>0</v>
      </c>
      <c r="BN694" s="216">
        <f>IF(AND(Input_Product=Elig!$C694,Elig_MatchAll_Ct&lt;22,$BC694=(Elig_MatchAll_Ct-1),AL694=0),I694,0)</f>
        <v>0</v>
      </c>
      <c r="BO694" s="216">
        <f>IF(AND(Input_Product=Elig!$C694,Elig_MatchAll_Ct&lt;22,$BC694=(Elig_MatchAll_Ct-1),AM694=0),J694,0)</f>
        <v>0</v>
      </c>
      <c r="BP694" s="216">
        <f>IF(AND(Input_Product=Elig!$C694,Elig_MatchAll_Ct&lt;22,$BC694=(Elig_MatchAll_Ct-1),AN694=0),K694,0)</f>
        <v>0</v>
      </c>
      <c r="BQ694" s="216">
        <f>IF(AND(Input_Product=Elig!$C694,Elig_MatchAll_Ct&lt;22,$BC694=(Elig_MatchAll_Ct-1),AP694=0),L694,0)</f>
        <v>0</v>
      </c>
      <c r="BR694" s="216">
        <f>IF(AND(Input_Product=Elig!$C694,Elig_MatchAll_Ct&lt;22,$BC694=(Elig_MatchAll_Ct-1),AO694=0),M694,0)</f>
        <v>0</v>
      </c>
      <c r="BS694" s="216">
        <f>IF(AND(Input_Product=Elig!$C694,Elig_MatchAll_Ct&lt;22,$BC694=(Elig_MatchAll_Ct-1),AQ694=0),N694,0)</f>
        <v>0</v>
      </c>
      <c r="BT694" s="216">
        <f>IF(AND(Input_Product=Elig!$C694,Elig_MatchAll_Ct&lt;22,$BC694=(Elig_MatchAll_Ct-1),AR694=0),O694,0)</f>
        <v>0</v>
      </c>
      <c r="BU694" s="216">
        <f>IF(AND(Input_Product=Elig!$C694,Elig_MatchAll_Ct&lt;22,$BC694=(Elig_MatchAll_Ct-1),AS694=0),P694,0)</f>
        <v>0</v>
      </c>
      <c r="BV694" s="217">
        <f>IF(AND(Input_Product=Elig!$C694,Elig_MatchAll_Ct&lt;22,$BC694=(Elig_MatchAll_Ct-1),AT694=0),Q694,0)</f>
        <v>0</v>
      </c>
      <c r="BW694" s="313">
        <f>IF(AND(Input_Product=Elig!$C694,Elig_MatchAll_Ct&lt;22,$BC694=(Elig_MatchAll_Ct-1),AU694=0),R694,0)</f>
        <v>0</v>
      </c>
      <c r="BX694" s="314">
        <f>IF(AND(Input_Product=Elig!$C694,Elig_MatchAll_Ct&lt;22,$BC694=(Elig_MatchAll_Ct-1),AU694=0),S694,0)</f>
        <v>0</v>
      </c>
      <c r="BY694" s="313">
        <f>IF(AND(Input_Product=Elig!$C694,Elig_MatchAll_Ct&lt;22,$BC694=(Elig_MatchAll_Ct-1),AV694=0),T694,0)</f>
        <v>0</v>
      </c>
      <c r="BZ694" s="314">
        <f>IF(AND(Input_Product=Elig!$C694,Elig_MatchAll_Ct&lt;22,$BC694=(Elig_MatchAll_Ct-1),AV694=0),U694,0)</f>
        <v>0</v>
      </c>
      <c r="CA694" s="313">
        <f>IF(AND(Input_Product=Elig!$C694,Elig_MatchAll_Ct&lt;22,$BC694=(Elig_MatchAll_Ct-1),AW694=0),V694,0)</f>
        <v>0</v>
      </c>
      <c r="CB694" s="314">
        <f>IF(AND(Input_Product=Elig!$C694,Elig_MatchAll_Ct&lt;22,$BC694=(Elig_MatchAll_Ct-1),AW694=0),W694,0)</f>
        <v>0</v>
      </c>
      <c r="CC694" s="313">
        <f>IF(AND(Input_Product=Elig!$C694,Elig_MatchAll_Ct&lt;22,$BC694=(Elig_MatchAll_Ct-1),AX694=0),X694,0)</f>
        <v>0</v>
      </c>
      <c r="CD694" s="314">
        <f>IF(AND(Input_Product=Elig!$C694,Elig_MatchAll_Ct&lt;22,$BC694=(Elig_MatchAll_Ct-1),AX694=0),Y694,0)</f>
        <v>0</v>
      </c>
      <c r="CE694" s="313">
        <f>IF(AND(Input_LTV&lt;=AE694,Input_Product=Elig!$C694,Elig_MatchAll_Ct&lt;22,$BC694=(Elig_MatchAll_Ct-1),AY694=0),Z694,0)</f>
        <v>0</v>
      </c>
      <c r="CF694" s="314">
        <f>IF(AND(Input_LTV&lt;=AE694,Input_Product=Elig!$C694,Elig_MatchAll_Ct&lt;22,$BC694=(Elig_MatchAll_Ct-1),AY694=0),AA694,0)</f>
        <v>0</v>
      </c>
      <c r="CG694" s="313">
        <f>IF(AND(Input_Product=Elig!$C694,Elig_MatchAll_Ct&lt;22,$BC694=(Elig_MatchAll_Ct-1),AZ694=0),AB694,0)</f>
        <v>0</v>
      </c>
      <c r="CH694" s="314">
        <f>IF(AND(Input_Product=Elig!$C694,Elig_MatchAll_Ct&lt;22,$BC694=(Elig_MatchAll_Ct-1),AZ694=0),AC694,0)</f>
        <v>0</v>
      </c>
      <c r="CI694" s="313">
        <f>IF(AND(Input_Product=Elig!$C694,Elig_MatchAll_Ct&lt;22,$BC694=(Elig_MatchAll_Ct-1),BA694=0),AD694,0)</f>
        <v>0</v>
      </c>
      <c r="CJ694" s="314">
        <f>IF(AND(Input_Product=Elig!$C694,Elig_MatchAll_Ct&lt;22,$BC694=(Elig_MatchAll_Ct-1),BA694=0),AE694,0)</f>
        <v>0</v>
      </c>
    </row>
    <row r="695" spans="2:88" ht="10.15" customHeight="1" x14ac:dyDescent="0.25">
      <c r="B695" s="2027" t="s">
        <v>1608</v>
      </c>
      <c r="C695" s="2028" t="str">
        <f t="shared" si="279"/>
        <v>Second OO</v>
      </c>
      <c r="D695" s="2027" t="s">
        <v>1302</v>
      </c>
      <c r="E695" s="2027" t="s">
        <v>98</v>
      </c>
      <c r="F695" s="2027" t="s">
        <v>329</v>
      </c>
      <c r="G695" s="2110" t="s">
        <v>472</v>
      </c>
      <c r="H695" s="2029" t="s">
        <v>136</v>
      </c>
      <c r="I695" s="2027" t="s">
        <v>1332</v>
      </c>
      <c r="J695" s="2027" t="s">
        <v>1311</v>
      </c>
      <c r="K695" s="2029" t="s">
        <v>1790</v>
      </c>
      <c r="L695" s="2027" t="s">
        <v>430</v>
      </c>
      <c r="M695" s="2027" t="s">
        <v>2677</v>
      </c>
      <c r="N695" s="2029" t="s">
        <v>82</v>
      </c>
      <c r="O695" s="2027" t="s">
        <v>310</v>
      </c>
      <c r="P695" s="2027" t="s">
        <v>291</v>
      </c>
      <c r="Q695" s="2027" t="s">
        <v>294</v>
      </c>
      <c r="R695" s="2027">
        <v>200000</v>
      </c>
      <c r="S695" s="2027">
        <v>350000</v>
      </c>
      <c r="T695" s="2027">
        <v>0</v>
      </c>
      <c r="U695" s="2027">
        <f t="shared" si="280"/>
        <v>350000</v>
      </c>
      <c r="V695" s="2027">
        <v>0</v>
      </c>
      <c r="W695" s="2027">
        <v>50</v>
      </c>
      <c r="X695" s="2027">
        <v>0</v>
      </c>
      <c r="Y695" s="2027">
        <v>999</v>
      </c>
      <c r="Z695" s="2030">
        <v>700</v>
      </c>
      <c r="AA695" s="2030">
        <v>719</v>
      </c>
      <c r="AB695" s="2030">
        <v>0</v>
      </c>
      <c r="AC695" s="2030">
        <v>999999</v>
      </c>
      <c r="AD695" s="2027">
        <v>0</v>
      </c>
      <c r="AE695" s="1483">
        <v>70</v>
      </c>
      <c r="AF695" s="170">
        <v>1</v>
      </c>
      <c r="AG695" s="171">
        <v>0</v>
      </c>
      <c r="AH695" s="171">
        <v>1</v>
      </c>
      <c r="AI695" s="171">
        <v>0</v>
      </c>
      <c r="AJ695" s="171">
        <v>0</v>
      </c>
      <c r="AK695" s="171">
        <v>1</v>
      </c>
      <c r="AL695" s="171">
        <v>1</v>
      </c>
      <c r="AM695" s="171">
        <v>1</v>
      </c>
      <c r="AN695" s="171">
        <v>1</v>
      </c>
      <c r="AO695" s="171">
        <v>1</v>
      </c>
      <c r="AP695" s="171">
        <v>1</v>
      </c>
      <c r="AQ695" s="171">
        <v>1</v>
      </c>
      <c r="AR695" s="171">
        <v>1</v>
      </c>
      <c r="AS695" s="171">
        <v>1</v>
      </c>
      <c r="AT695" s="171">
        <v>1</v>
      </c>
      <c r="AU695" s="171">
        <f t="shared" si="270"/>
        <v>1</v>
      </c>
      <c r="AV695" s="171">
        <f t="shared" si="271"/>
        <v>1</v>
      </c>
      <c r="AW695" s="171">
        <f t="shared" si="272"/>
        <v>1</v>
      </c>
      <c r="AX695" s="171">
        <f t="shared" si="284"/>
        <v>1</v>
      </c>
      <c r="AY695" s="171">
        <f t="shared" si="273"/>
        <v>0</v>
      </c>
      <c r="AZ695" s="171">
        <f t="shared" si="274"/>
        <v>1</v>
      </c>
      <c r="BA695" s="172">
        <f t="shared" si="275"/>
        <v>1</v>
      </c>
      <c r="BB695" s="175">
        <f t="shared" si="281"/>
        <v>18</v>
      </c>
      <c r="BC695" s="176">
        <f t="shared" si="282"/>
        <v>17</v>
      </c>
      <c r="BD695" s="176">
        <f t="shared" si="283"/>
        <v>17</v>
      </c>
      <c r="BE695" s="240" t="str">
        <f t="shared" si="289"/>
        <v/>
      </c>
      <c r="BF695" s="234"/>
      <c r="BG695" s="234"/>
      <c r="BH695" s="199">
        <f>IF(AND(Input_Product=Elig!$C695,Elig_MatchAll_Ct&lt;22,$BC695=(Elig_MatchAll_Ct-1),AF695=0),C695,0)</f>
        <v>0</v>
      </c>
      <c r="BI695" s="199">
        <f>IF(AND(Input_Product=Elig!$C695,Elig_MatchAll_Ct&lt;22,$BC695=(Elig_MatchAll_Ct-1),AG695=0),D695,0)</f>
        <v>0</v>
      </c>
      <c r="BJ695" s="199">
        <f>IF(AND(Input_Product=Elig!$C695,Elig_MatchAll_Ct&lt;22,$BC695=(Elig_MatchAll_Ct-1),AH695=0),E695,0)</f>
        <v>0</v>
      </c>
      <c r="BK695" s="199">
        <f>IF(AND(Input_Product=Elig!$C695,Elig_MatchAll_Ct&lt;22,$BC695=(Elig_MatchAll_Ct-1),AI695=0),F695,0)</f>
        <v>0</v>
      </c>
      <c r="BL695" s="199">
        <f>IF(AND(Input_Product=Elig!$C695,Elig_MatchAll_Ct&lt;22,$BC695=(Elig_MatchAll_Ct-1),AJ695=0),G695,0)</f>
        <v>0</v>
      </c>
      <c r="BM695" s="199">
        <f>IF(AND(Input_Product=Elig!$C695,Elig_MatchAll_Ct&lt;22,$BC695=(Elig_MatchAll_Ct-1),AK695=0),H695,0)</f>
        <v>0</v>
      </c>
      <c r="BN695" s="199">
        <f>IF(AND(Input_Product=Elig!$C695,Elig_MatchAll_Ct&lt;22,$BC695=(Elig_MatchAll_Ct-1),AL695=0),I695,0)</f>
        <v>0</v>
      </c>
      <c r="BO695" s="199">
        <f>IF(AND(Input_Product=Elig!$C695,Elig_MatchAll_Ct&lt;22,$BC695=(Elig_MatchAll_Ct-1),AM695=0),J695,0)</f>
        <v>0</v>
      </c>
      <c r="BP695" s="199">
        <f>IF(AND(Input_Product=Elig!$C695,Elig_MatchAll_Ct&lt;22,$BC695=(Elig_MatchAll_Ct-1),AN695=0),K695,0)</f>
        <v>0</v>
      </c>
      <c r="BQ695" s="199">
        <f>IF(AND(Input_Product=Elig!$C695,Elig_MatchAll_Ct&lt;22,$BC695=(Elig_MatchAll_Ct-1),AP695=0),L695,0)</f>
        <v>0</v>
      </c>
      <c r="BR695" s="199">
        <f>IF(AND(Input_Product=Elig!$C695,Elig_MatchAll_Ct&lt;22,$BC695=(Elig_MatchAll_Ct-1),AO695=0),M695,0)</f>
        <v>0</v>
      </c>
      <c r="BS695" s="199">
        <f>IF(AND(Input_Product=Elig!$C695,Elig_MatchAll_Ct&lt;22,$BC695=(Elig_MatchAll_Ct-1),AQ695=0),N695,0)</f>
        <v>0</v>
      </c>
      <c r="BT695" s="199">
        <f>IF(AND(Input_Product=Elig!$C695,Elig_MatchAll_Ct&lt;22,$BC695=(Elig_MatchAll_Ct-1),AR695=0),O695,0)</f>
        <v>0</v>
      </c>
      <c r="BU695" s="199">
        <f>IF(AND(Input_Product=Elig!$C695,Elig_MatchAll_Ct&lt;22,$BC695=(Elig_MatchAll_Ct-1),AS695=0),P695,0)</f>
        <v>0</v>
      </c>
      <c r="BV695" s="200">
        <f>IF(AND(Input_Product=Elig!$C695,Elig_MatchAll_Ct&lt;22,$BC695=(Elig_MatchAll_Ct-1),AT695=0),Q695,0)</f>
        <v>0</v>
      </c>
      <c r="BW695" s="201">
        <f>IF(AND(Input_Product=Elig!$C695,Elig_MatchAll_Ct&lt;22,$BC695=(Elig_MatchAll_Ct-1),AU695=0),R695,0)</f>
        <v>0</v>
      </c>
      <c r="BX695" s="202">
        <f>IF(AND(Input_Product=Elig!$C695,Elig_MatchAll_Ct&lt;22,$BC695=(Elig_MatchAll_Ct-1),AU695=0),S695,0)</f>
        <v>0</v>
      </c>
      <c r="BY695" s="201">
        <f>IF(AND(Input_Product=Elig!$C695,Elig_MatchAll_Ct&lt;22,$BC695=(Elig_MatchAll_Ct-1),AV695=0),T695,0)</f>
        <v>0</v>
      </c>
      <c r="BZ695" s="202">
        <f>IF(AND(Input_Product=Elig!$C695,Elig_MatchAll_Ct&lt;22,$BC695=(Elig_MatchAll_Ct-1),AV695=0),U695,0)</f>
        <v>0</v>
      </c>
      <c r="CA695" s="201">
        <f>IF(AND(Input_Product=Elig!$C695,Elig_MatchAll_Ct&lt;22,$BC695=(Elig_MatchAll_Ct-1),AW695=0),V695,0)</f>
        <v>0</v>
      </c>
      <c r="CB695" s="202">
        <f>IF(AND(Input_Product=Elig!$C695,Elig_MatchAll_Ct&lt;22,$BC695=(Elig_MatchAll_Ct-1),AW695=0),W695,0)</f>
        <v>0</v>
      </c>
      <c r="CC695" s="201">
        <f>IF(AND(Input_Product=Elig!$C695,Elig_MatchAll_Ct&lt;22,$BC695=(Elig_MatchAll_Ct-1),AX695=0),X695,0)</f>
        <v>0</v>
      </c>
      <c r="CD695" s="202">
        <f>IF(AND(Input_Product=Elig!$C695,Elig_MatchAll_Ct&lt;22,$BC695=(Elig_MatchAll_Ct-1),AX695=0),Y695,0)</f>
        <v>0</v>
      </c>
      <c r="CE695" s="201">
        <f>IF(AND(Input_LTV&lt;=AE695,Input_Product=Elig!$C695,Elig_MatchAll_Ct&lt;22,$BC695=(Elig_MatchAll_Ct-1),AY695=0),Z695,0)</f>
        <v>0</v>
      </c>
      <c r="CF695" s="202">
        <f>IF(AND(Input_LTV&lt;=AE695,Input_Product=Elig!$C695,Elig_MatchAll_Ct&lt;22,$BC695=(Elig_MatchAll_Ct-1),AY695=0),AA695,0)</f>
        <v>0</v>
      </c>
      <c r="CG695" s="201">
        <f>IF(AND(Input_Product=Elig!$C695,Elig_MatchAll_Ct&lt;22,$BC695=(Elig_MatchAll_Ct-1),AZ695=0),AB695,0)</f>
        <v>0</v>
      </c>
      <c r="CH695" s="202">
        <f>IF(AND(Input_Product=Elig!$C695,Elig_MatchAll_Ct&lt;22,$BC695=(Elig_MatchAll_Ct-1),AZ695=0),AC695,0)</f>
        <v>0</v>
      </c>
      <c r="CI695" s="201">
        <f>IF(AND(Input_Product=Elig!$C695,Elig_MatchAll_Ct&lt;22,$BC695=(Elig_MatchAll_Ct-1),BA695=0),AD695,0)</f>
        <v>0</v>
      </c>
      <c r="CJ695" s="202">
        <f>IF(AND(Input_Product=Elig!$C695,Elig_MatchAll_Ct&lt;22,$BC695=(Elig_MatchAll_Ct-1),BA695=0),AE695,0)</f>
        <v>0</v>
      </c>
    </row>
    <row r="696" spans="2:88" ht="10.15" customHeight="1" x14ac:dyDescent="0.25">
      <c r="B696" s="2027" t="s">
        <v>1609</v>
      </c>
      <c r="C696" s="2028" t="str">
        <f t="shared" si="279"/>
        <v>Second OO</v>
      </c>
      <c r="D696" s="2027" t="s">
        <v>1302</v>
      </c>
      <c r="E696" s="2027" t="s">
        <v>98</v>
      </c>
      <c r="F696" s="2027" t="s">
        <v>329</v>
      </c>
      <c r="G696" s="2110" t="s">
        <v>472</v>
      </c>
      <c r="H696" s="2029" t="s">
        <v>136</v>
      </c>
      <c r="I696" s="2027" t="s">
        <v>1332</v>
      </c>
      <c r="J696" s="2027" t="s">
        <v>1311</v>
      </c>
      <c r="K696" s="2029" t="s">
        <v>1790</v>
      </c>
      <c r="L696" s="2027" t="s">
        <v>430</v>
      </c>
      <c r="M696" s="2027" t="s">
        <v>2677</v>
      </c>
      <c r="N696" s="2029" t="s">
        <v>82</v>
      </c>
      <c r="O696" s="2027" t="s">
        <v>310</v>
      </c>
      <c r="P696" s="2027" t="s">
        <v>291</v>
      </c>
      <c r="Q696" s="2027" t="s">
        <v>294</v>
      </c>
      <c r="R696" s="2027">
        <v>200000</v>
      </c>
      <c r="S696" s="2027">
        <v>350000</v>
      </c>
      <c r="T696" s="2027">
        <v>0</v>
      </c>
      <c r="U696" s="2027">
        <f t="shared" si="280"/>
        <v>350000</v>
      </c>
      <c r="V696" s="2027">
        <v>0</v>
      </c>
      <c r="W696" s="2027">
        <v>50</v>
      </c>
      <c r="X696" s="2027">
        <v>0</v>
      </c>
      <c r="Y696" s="2027">
        <v>999</v>
      </c>
      <c r="Z696" s="2030">
        <v>680</v>
      </c>
      <c r="AA696" s="2030">
        <v>699</v>
      </c>
      <c r="AB696" s="2030">
        <v>0</v>
      </c>
      <c r="AC696" s="2030">
        <v>999999</v>
      </c>
      <c r="AD696" s="2027">
        <v>0</v>
      </c>
      <c r="AE696" s="1483">
        <v>65</v>
      </c>
      <c r="AF696" s="170">
        <v>1</v>
      </c>
      <c r="AG696" s="171">
        <v>0</v>
      </c>
      <c r="AH696" s="171">
        <v>1</v>
      </c>
      <c r="AI696" s="171">
        <v>0</v>
      </c>
      <c r="AJ696" s="171">
        <v>0</v>
      </c>
      <c r="AK696" s="171">
        <v>1</v>
      </c>
      <c r="AL696" s="171">
        <v>1</v>
      </c>
      <c r="AM696" s="171">
        <v>1</v>
      </c>
      <c r="AN696" s="171">
        <v>1</v>
      </c>
      <c r="AO696" s="171">
        <v>1</v>
      </c>
      <c r="AP696" s="171">
        <v>1</v>
      </c>
      <c r="AQ696" s="171">
        <v>1</v>
      </c>
      <c r="AR696" s="171">
        <v>1</v>
      </c>
      <c r="AS696" s="171">
        <v>1</v>
      </c>
      <c r="AT696" s="171">
        <v>1</v>
      </c>
      <c r="AU696" s="171">
        <f t="shared" si="270"/>
        <v>1</v>
      </c>
      <c r="AV696" s="171">
        <f t="shared" si="271"/>
        <v>1</v>
      </c>
      <c r="AW696" s="171">
        <f t="shared" si="272"/>
        <v>1</v>
      </c>
      <c r="AX696" s="171">
        <f t="shared" si="284"/>
        <v>1</v>
      </c>
      <c r="AY696" s="171">
        <f t="shared" si="273"/>
        <v>0</v>
      </c>
      <c r="AZ696" s="171">
        <f t="shared" si="274"/>
        <v>1</v>
      </c>
      <c r="BA696" s="172">
        <f t="shared" si="275"/>
        <v>1</v>
      </c>
      <c r="BB696" s="175">
        <f t="shared" si="281"/>
        <v>18</v>
      </c>
      <c r="BC696" s="176">
        <f t="shared" si="282"/>
        <v>17</v>
      </c>
      <c r="BD696" s="176">
        <f t="shared" si="283"/>
        <v>17</v>
      </c>
      <c r="BE696" s="240" t="str">
        <f t="shared" si="289"/>
        <v/>
      </c>
      <c r="BF696" s="234"/>
      <c r="BG696" s="234"/>
      <c r="BH696" s="199">
        <f>IF(AND(Input_Product=Elig!$C696,Elig_MatchAll_Ct&lt;22,$BC696=(Elig_MatchAll_Ct-1),AF696=0),C696,0)</f>
        <v>0</v>
      </c>
      <c r="BI696" s="199">
        <f>IF(AND(Input_Product=Elig!$C696,Elig_MatchAll_Ct&lt;22,$BC696=(Elig_MatchAll_Ct-1),AG696=0),D696,0)</f>
        <v>0</v>
      </c>
      <c r="BJ696" s="199">
        <f>IF(AND(Input_Product=Elig!$C696,Elig_MatchAll_Ct&lt;22,$BC696=(Elig_MatchAll_Ct-1),AH696=0),E696,0)</f>
        <v>0</v>
      </c>
      <c r="BK696" s="199">
        <f>IF(AND(Input_Product=Elig!$C696,Elig_MatchAll_Ct&lt;22,$BC696=(Elig_MatchAll_Ct-1),AI696=0),F696,0)</f>
        <v>0</v>
      </c>
      <c r="BL696" s="199">
        <f>IF(AND(Input_Product=Elig!$C696,Elig_MatchAll_Ct&lt;22,$BC696=(Elig_MatchAll_Ct-1),AJ696=0),G696,0)</f>
        <v>0</v>
      </c>
      <c r="BM696" s="199">
        <f>IF(AND(Input_Product=Elig!$C696,Elig_MatchAll_Ct&lt;22,$BC696=(Elig_MatchAll_Ct-1),AK696=0),H696,0)</f>
        <v>0</v>
      </c>
      <c r="BN696" s="199">
        <f>IF(AND(Input_Product=Elig!$C696,Elig_MatchAll_Ct&lt;22,$BC696=(Elig_MatchAll_Ct-1),AL696=0),I696,0)</f>
        <v>0</v>
      </c>
      <c r="BO696" s="199">
        <f>IF(AND(Input_Product=Elig!$C696,Elig_MatchAll_Ct&lt;22,$BC696=(Elig_MatchAll_Ct-1),AM696=0),J696,0)</f>
        <v>0</v>
      </c>
      <c r="BP696" s="199">
        <f>IF(AND(Input_Product=Elig!$C696,Elig_MatchAll_Ct&lt;22,$BC696=(Elig_MatchAll_Ct-1),AN696=0),K696,0)</f>
        <v>0</v>
      </c>
      <c r="BQ696" s="199">
        <f>IF(AND(Input_Product=Elig!$C696,Elig_MatchAll_Ct&lt;22,$BC696=(Elig_MatchAll_Ct-1),AP696=0),L696,0)</f>
        <v>0</v>
      </c>
      <c r="BR696" s="199">
        <f>IF(AND(Input_Product=Elig!$C696,Elig_MatchAll_Ct&lt;22,$BC696=(Elig_MatchAll_Ct-1),AO696=0),M696,0)</f>
        <v>0</v>
      </c>
      <c r="BS696" s="199">
        <f>IF(AND(Input_Product=Elig!$C696,Elig_MatchAll_Ct&lt;22,$BC696=(Elig_MatchAll_Ct-1),AQ696=0),N696,0)</f>
        <v>0</v>
      </c>
      <c r="BT696" s="199">
        <f>IF(AND(Input_Product=Elig!$C696,Elig_MatchAll_Ct&lt;22,$BC696=(Elig_MatchAll_Ct-1),AR696=0),O696,0)</f>
        <v>0</v>
      </c>
      <c r="BU696" s="199">
        <f>IF(AND(Input_Product=Elig!$C696,Elig_MatchAll_Ct&lt;22,$BC696=(Elig_MatchAll_Ct-1),AS696=0),P696,0)</f>
        <v>0</v>
      </c>
      <c r="BV696" s="200">
        <f>IF(AND(Input_Product=Elig!$C696,Elig_MatchAll_Ct&lt;22,$BC696=(Elig_MatchAll_Ct-1),AT696=0),Q696,0)</f>
        <v>0</v>
      </c>
      <c r="BW696" s="201">
        <f>IF(AND(Input_Product=Elig!$C696,Elig_MatchAll_Ct&lt;22,$BC696=(Elig_MatchAll_Ct-1),AU696=0),R696,0)</f>
        <v>0</v>
      </c>
      <c r="BX696" s="202">
        <f>IF(AND(Input_Product=Elig!$C696,Elig_MatchAll_Ct&lt;22,$BC696=(Elig_MatchAll_Ct-1),AU696=0),S696,0)</f>
        <v>0</v>
      </c>
      <c r="BY696" s="201">
        <f>IF(AND(Input_Product=Elig!$C696,Elig_MatchAll_Ct&lt;22,$BC696=(Elig_MatchAll_Ct-1),AV696=0),T696,0)</f>
        <v>0</v>
      </c>
      <c r="BZ696" s="202">
        <f>IF(AND(Input_Product=Elig!$C696,Elig_MatchAll_Ct&lt;22,$BC696=(Elig_MatchAll_Ct-1),AV696=0),U696,0)</f>
        <v>0</v>
      </c>
      <c r="CA696" s="201">
        <f>IF(AND(Input_Product=Elig!$C696,Elig_MatchAll_Ct&lt;22,$BC696=(Elig_MatchAll_Ct-1),AW696=0),V696,0)</f>
        <v>0</v>
      </c>
      <c r="CB696" s="202">
        <f>IF(AND(Input_Product=Elig!$C696,Elig_MatchAll_Ct&lt;22,$BC696=(Elig_MatchAll_Ct-1),AW696=0),W696,0)</f>
        <v>0</v>
      </c>
      <c r="CC696" s="201">
        <f>IF(AND(Input_Product=Elig!$C696,Elig_MatchAll_Ct&lt;22,$BC696=(Elig_MatchAll_Ct-1),AX696=0),X696,0)</f>
        <v>0</v>
      </c>
      <c r="CD696" s="202">
        <f>IF(AND(Input_Product=Elig!$C696,Elig_MatchAll_Ct&lt;22,$BC696=(Elig_MatchAll_Ct-1),AX696=0),Y696,0)</f>
        <v>0</v>
      </c>
      <c r="CE696" s="201">
        <f>IF(AND(Input_LTV&lt;=AE696,Input_Product=Elig!$C696,Elig_MatchAll_Ct&lt;22,$BC696=(Elig_MatchAll_Ct-1),AY696=0),Z696,0)</f>
        <v>0</v>
      </c>
      <c r="CF696" s="202">
        <f>IF(AND(Input_LTV&lt;=AE696,Input_Product=Elig!$C696,Elig_MatchAll_Ct&lt;22,$BC696=(Elig_MatchAll_Ct-1),AY696=0),AA696,0)</f>
        <v>0</v>
      </c>
      <c r="CG696" s="201">
        <f>IF(AND(Input_Product=Elig!$C696,Elig_MatchAll_Ct&lt;22,$BC696=(Elig_MatchAll_Ct-1),AZ696=0),AB696,0)</f>
        <v>0</v>
      </c>
      <c r="CH696" s="202">
        <f>IF(AND(Input_Product=Elig!$C696,Elig_MatchAll_Ct&lt;22,$BC696=(Elig_MatchAll_Ct-1),AZ696=0),AC696,0)</f>
        <v>0</v>
      </c>
      <c r="CI696" s="201">
        <f>IF(AND(Input_Product=Elig!$C696,Elig_MatchAll_Ct&lt;22,$BC696=(Elig_MatchAll_Ct-1),BA696=0),AD696,0)</f>
        <v>0</v>
      </c>
      <c r="CJ696" s="202">
        <f>IF(AND(Input_Product=Elig!$C696,Elig_MatchAll_Ct&lt;22,$BC696=(Elig_MatchAll_Ct-1),BA696=0),AE696,0)</f>
        <v>0</v>
      </c>
    </row>
    <row r="697" spans="2:88" ht="10.15" customHeight="1" x14ac:dyDescent="0.25">
      <c r="B697" s="2027" t="s">
        <v>1610</v>
      </c>
      <c r="C697" s="2032" t="str">
        <f t="shared" si="279"/>
        <v>Second OO</v>
      </c>
      <c r="D697" s="2031" t="s">
        <v>1302</v>
      </c>
      <c r="E697" s="2031" t="s">
        <v>98</v>
      </c>
      <c r="F697" s="2031" t="s">
        <v>329</v>
      </c>
      <c r="G697" s="2111" t="s">
        <v>472</v>
      </c>
      <c r="H697" s="2033" t="s">
        <v>136</v>
      </c>
      <c r="I697" s="2031" t="s">
        <v>1332</v>
      </c>
      <c r="J697" s="2031" t="s">
        <v>1311</v>
      </c>
      <c r="K697" s="2033" t="s">
        <v>1790</v>
      </c>
      <c r="L697" s="2031" t="s">
        <v>430</v>
      </c>
      <c r="M697" s="2031" t="s">
        <v>2677</v>
      </c>
      <c r="N697" s="2033" t="s">
        <v>82</v>
      </c>
      <c r="O697" s="2031" t="s">
        <v>310</v>
      </c>
      <c r="P697" s="2031" t="s">
        <v>291</v>
      </c>
      <c r="Q697" s="2031" t="s">
        <v>294</v>
      </c>
      <c r="R697" s="2031">
        <v>200000</v>
      </c>
      <c r="S697" s="2031">
        <v>350000</v>
      </c>
      <c r="T697" s="2031">
        <v>0</v>
      </c>
      <c r="U697" s="2031">
        <f t="shared" si="280"/>
        <v>350000</v>
      </c>
      <c r="V697" s="2031">
        <v>0</v>
      </c>
      <c r="W697" s="2031">
        <v>50</v>
      </c>
      <c r="X697" s="2031">
        <v>0</v>
      </c>
      <c r="Y697" s="2031">
        <v>999</v>
      </c>
      <c r="Z697" s="2034">
        <v>660</v>
      </c>
      <c r="AA697" s="2034">
        <v>679</v>
      </c>
      <c r="AB697" s="2034">
        <v>0</v>
      </c>
      <c r="AC697" s="2034">
        <v>999999</v>
      </c>
      <c r="AD697" s="2031">
        <v>0</v>
      </c>
      <c r="AE697" s="1484">
        <v>60</v>
      </c>
      <c r="AF697" s="170">
        <v>1</v>
      </c>
      <c r="AG697" s="171">
        <v>0</v>
      </c>
      <c r="AH697" s="171">
        <v>1</v>
      </c>
      <c r="AI697" s="171">
        <v>0</v>
      </c>
      <c r="AJ697" s="171">
        <v>0</v>
      </c>
      <c r="AK697" s="171">
        <v>1</v>
      </c>
      <c r="AL697" s="171">
        <v>1</v>
      </c>
      <c r="AM697" s="171">
        <v>1</v>
      </c>
      <c r="AN697" s="171">
        <v>1</v>
      </c>
      <c r="AO697" s="171">
        <v>1</v>
      </c>
      <c r="AP697" s="171">
        <v>1</v>
      </c>
      <c r="AQ697" s="171">
        <v>1</v>
      </c>
      <c r="AR697" s="171">
        <v>1</v>
      </c>
      <c r="AS697" s="171">
        <v>1</v>
      </c>
      <c r="AT697" s="171">
        <v>1</v>
      </c>
      <c r="AU697" s="171">
        <f t="shared" si="270"/>
        <v>1</v>
      </c>
      <c r="AV697" s="171">
        <f t="shared" si="271"/>
        <v>1</v>
      </c>
      <c r="AW697" s="171">
        <f t="shared" si="272"/>
        <v>1</v>
      </c>
      <c r="AX697" s="171">
        <f t="shared" si="284"/>
        <v>1</v>
      </c>
      <c r="AY697" s="171">
        <f t="shared" si="273"/>
        <v>0</v>
      </c>
      <c r="AZ697" s="171">
        <f t="shared" si="274"/>
        <v>1</v>
      </c>
      <c r="BA697" s="172">
        <f t="shared" si="275"/>
        <v>0</v>
      </c>
      <c r="BB697" s="175">
        <f t="shared" si="281"/>
        <v>17</v>
      </c>
      <c r="BC697" s="176">
        <f t="shared" si="282"/>
        <v>17</v>
      </c>
      <c r="BD697" s="176">
        <f t="shared" si="283"/>
        <v>16</v>
      </c>
      <c r="BE697" s="240" t="str">
        <f t="shared" si="289"/>
        <v/>
      </c>
      <c r="BF697" s="234"/>
      <c r="BG697" s="234"/>
      <c r="BH697" s="214">
        <f>IF(AND(Input_Product=Elig!$C697,Elig_MatchAll_Ct&lt;22,$BC697=(Elig_MatchAll_Ct-1),AF697=0),C697,0)</f>
        <v>0</v>
      </c>
      <c r="BI697" s="214">
        <f>IF(AND(Input_Product=Elig!$C697,Elig_MatchAll_Ct&lt;22,$BC697=(Elig_MatchAll_Ct-1),AG697=0),D697,0)</f>
        <v>0</v>
      </c>
      <c r="BJ697" s="214">
        <f>IF(AND(Input_Product=Elig!$C697,Elig_MatchAll_Ct&lt;22,$BC697=(Elig_MatchAll_Ct-1),AH697=0),E697,0)</f>
        <v>0</v>
      </c>
      <c r="BK697" s="214">
        <f>IF(AND(Input_Product=Elig!$C697,Elig_MatchAll_Ct&lt;22,$BC697=(Elig_MatchAll_Ct-1),AI697=0),F697,0)</f>
        <v>0</v>
      </c>
      <c r="BL697" s="214">
        <f>IF(AND(Input_Product=Elig!$C697,Elig_MatchAll_Ct&lt;22,$BC697=(Elig_MatchAll_Ct-1),AJ697=0),G697,0)</f>
        <v>0</v>
      </c>
      <c r="BM697" s="214">
        <f>IF(AND(Input_Product=Elig!$C697,Elig_MatchAll_Ct&lt;22,$BC697=(Elig_MatchAll_Ct-1),AK697=0),H697,0)</f>
        <v>0</v>
      </c>
      <c r="BN697" s="214">
        <f>IF(AND(Input_Product=Elig!$C697,Elig_MatchAll_Ct&lt;22,$BC697=(Elig_MatchAll_Ct-1),AL697=0),I697,0)</f>
        <v>0</v>
      </c>
      <c r="BO697" s="214">
        <f>IF(AND(Input_Product=Elig!$C697,Elig_MatchAll_Ct&lt;22,$BC697=(Elig_MatchAll_Ct-1),AM697=0),J697,0)</f>
        <v>0</v>
      </c>
      <c r="BP697" s="214">
        <f>IF(AND(Input_Product=Elig!$C697,Elig_MatchAll_Ct&lt;22,$BC697=(Elig_MatchAll_Ct-1),AN697=0),K697,0)</f>
        <v>0</v>
      </c>
      <c r="BQ697" s="214">
        <f>IF(AND(Input_Product=Elig!$C697,Elig_MatchAll_Ct&lt;22,$BC697=(Elig_MatchAll_Ct-1),AP697=0),L697,0)</f>
        <v>0</v>
      </c>
      <c r="BR697" s="214">
        <f>IF(AND(Input_Product=Elig!$C697,Elig_MatchAll_Ct&lt;22,$BC697=(Elig_MatchAll_Ct-1),AO697=0),M697,0)</f>
        <v>0</v>
      </c>
      <c r="BS697" s="214">
        <f>IF(AND(Input_Product=Elig!$C697,Elig_MatchAll_Ct&lt;22,$BC697=(Elig_MatchAll_Ct-1),AQ697=0),N697,0)</f>
        <v>0</v>
      </c>
      <c r="BT697" s="214">
        <f>IF(AND(Input_Product=Elig!$C697,Elig_MatchAll_Ct&lt;22,$BC697=(Elig_MatchAll_Ct-1),AR697=0),O697,0)</f>
        <v>0</v>
      </c>
      <c r="BU697" s="214">
        <f>IF(AND(Input_Product=Elig!$C697,Elig_MatchAll_Ct&lt;22,$BC697=(Elig_MatchAll_Ct-1),AS697=0),P697,0)</f>
        <v>0</v>
      </c>
      <c r="BV697" s="215">
        <f>IF(AND(Input_Product=Elig!$C697,Elig_MatchAll_Ct&lt;22,$BC697=(Elig_MatchAll_Ct-1),AT697=0),Q697,0)</f>
        <v>0</v>
      </c>
      <c r="BW697" s="311">
        <f>IF(AND(Input_Product=Elig!$C697,Elig_MatchAll_Ct&lt;22,$BC697=(Elig_MatchAll_Ct-1),AU697=0),R697,0)</f>
        <v>0</v>
      </c>
      <c r="BX697" s="312">
        <f>IF(AND(Input_Product=Elig!$C697,Elig_MatchAll_Ct&lt;22,$BC697=(Elig_MatchAll_Ct-1),AU697=0),S697,0)</f>
        <v>0</v>
      </c>
      <c r="BY697" s="311">
        <f>IF(AND(Input_Product=Elig!$C697,Elig_MatchAll_Ct&lt;22,$BC697=(Elig_MatchAll_Ct-1),AV697=0),T697,0)</f>
        <v>0</v>
      </c>
      <c r="BZ697" s="312">
        <f>IF(AND(Input_Product=Elig!$C697,Elig_MatchAll_Ct&lt;22,$BC697=(Elig_MatchAll_Ct-1),AV697=0),U697,0)</f>
        <v>0</v>
      </c>
      <c r="CA697" s="311">
        <f>IF(AND(Input_Product=Elig!$C697,Elig_MatchAll_Ct&lt;22,$BC697=(Elig_MatchAll_Ct-1),AW697=0),V697,0)</f>
        <v>0</v>
      </c>
      <c r="CB697" s="312">
        <f>IF(AND(Input_Product=Elig!$C697,Elig_MatchAll_Ct&lt;22,$BC697=(Elig_MatchAll_Ct-1),AW697=0),W697,0)</f>
        <v>0</v>
      </c>
      <c r="CC697" s="311">
        <f>IF(AND(Input_Product=Elig!$C697,Elig_MatchAll_Ct&lt;22,$BC697=(Elig_MatchAll_Ct-1),AX697=0),X697,0)</f>
        <v>0</v>
      </c>
      <c r="CD697" s="312">
        <f>IF(AND(Input_Product=Elig!$C697,Elig_MatchAll_Ct&lt;22,$BC697=(Elig_MatchAll_Ct-1),AX697=0),Y697,0)</f>
        <v>0</v>
      </c>
      <c r="CE697" s="311">
        <f>IF(AND(Input_LTV&lt;=AE697,Input_Product=Elig!$C697,Elig_MatchAll_Ct&lt;22,$BC697=(Elig_MatchAll_Ct-1),AY697=0),Z697,0)</f>
        <v>0</v>
      </c>
      <c r="CF697" s="312">
        <f>IF(AND(Input_LTV&lt;=AE697,Input_Product=Elig!$C697,Elig_MatchAll_Ct&lt;22,$BC697=(Elig_MatchAll_Ct-1),AY697=0),AA697,0)</f>
        <v>0</v>
      </c>
      <c r="CG697" s="311">
        <f>IF(AND(Input_Product=Elig!$C697,Elig_MatchAll_Ct&lt;22,$BC697=(Elig_MatchAll_Ct-1),AZ697=0),AB697,0)</f>
        <v>0</v>
      </c>
      <c r="CH697" s="312">
        <f>IF(AND(Input_Product=Elig!$C697,Elig_MatchAll_Ct&lt;22,$BC697=(Elig_MatchAll_Ct-1),AZ697=0),AC697,0)</f>
        <v>0</v>
      </c>
      <c r="CI697" s="311">
        <f>IF(AND(Input_Product=Elig!$C697,Elig_MatchAll_Ct&lt;22,$BC697=(Elig_MatchAll_Ct-1),BA697=0),AD697,0)</f>
        <v>0</v>
      </c>
      <c r="CJ697" s="312">
        <f>IF(AND(Input_Product=Elig!$C697,Elig_MatchAll_Ct&lt;22,$BC697=(Elig_MatchAll_Ct-1),BA697=0),AE697,0)</f>
        <v>0</v>
      </c>
    </row>
    <row r="698" spans="2:88" ht="10.15" customHeight="1" x14ac:dyDescent="0.25">
      <c r="B698" s="2027" t="s">
        <v>1649</v>
      </c>
      <c r="C698" s="2024" t="str">
        <f t="shared" si="279"/>
        <v>Second OO</v>
      </c>
      <c r="D698" s="2025" t="s">
        <v>1561</v>
      </c>
      <c r="E698" s="2025" t="s">
        <v>98</v>
      </c>
      <c r="F698" s="2025" t="s">
        <v>329</v>
      </c>
      <c r="G698" s="2025" t="s">
        <v>179</v>
      </c>
      <c r="H698" s="2025" t="s">
        <v>136</v>
      </c>
      <c r="I698" s="2023" t="s">
        <v>1332</v>
      </c>
      <c r="J698" s="2023" t="s">
        <v>1311</v>
      </c>
      <c r="K698" s="2025" t="s">
        <v>1790</v>
      </c>
      <c r="L698" s="2023" t="s">
        <v>430</v>
      </c>
      <c r="M698" s="2023" t="s">
        <v>2677</v>
      </c>
      <c r="N698" s="2025" t="s">
        <v>82</v>
      </c>
      <c r="O698" s="2023" t="s">
        <v>310</v>
      </c>
      <c r="P698" s="2023" t="s">
        <v>291</v>
      </c>
      <c r="Q698" s="2023" t="s">
        <v>294</v>
      </c>
      <c r="R698" s="2023">
        <v>50000</v>
      </c>
      <c r="S698" s="2023">
        <v>350000</v>
      </c>
      <c r="T698" s="2023">
        <v>0</v>
      </c>
      <c r="U698" s="2023">
        <f t="shared" si="280"/>
        <v>350000</v>
      </c>
      <c r="V698" s="2023">
        <v>0</v>
      </c>
      <c r="W698" s="2023">
        <v>50</v>
      </c>
      <c r="X698" s="2023">
        <v>0</v>
      </c>
      <c r="Y698" s="2023">
        <v>999</v>
      </c>
      <c r="Z698" s="2026">
        <v>720</v>
      </c>
      <c r="AA698" s="2026">
        <v>999</v>
      </c>
      <c r="AB698" s="2026">
        <v>0</v>
      </c>
      <c r="AC698" s="2026">
        <v>999999</v>
      </c>
      <c r="AD698" s="2023">
        <v>0</v>
      </c>
      <c r="AE698" s="1482">
        <v>70</v>
      </c>
      <c r="AF698" s="170">
        <v>1</v>
      </c>
      <c r="AG698" s="171">
        <v>1</v>
      </c>
      <c r="AH698" s="171">
        <v>1</v>
      </c>
      <c r="AI698" s="171">
        <v>0</v>
      </c>
      <c r="AJ698" s="171">
        <v>0</v>
      </c>
      <c r="AK698" s="171">
        <v>1</v>
      </c>
      <c r="AL698" s="171">
        <v>1</v>
      </c>
      <c r="AM698" s="171">
        <v>1</v>
      </c>
      <c r="AN698" s="171">
        <v>1</v>
      </c>
      <c r="AO698" s="171">
        <v>1</v>
      </c>
      <c r="AP698" s="171">
        <v>1</v>
      </c>
      <c r="AQ698" s="171">
        <v>1</v>
      </c>
      <c r="AR698" s="171">
        <v>1</v>
      </c>
      <c r="AS698" s="171">
        <v>1</v>
      </c>
      <c r="AT698" s="171">
        <v>1</v>
      </c>
      <c r="AU698" s="171">
        <f t="shared" si="270"/>
        <v>1</v>
      </c>
      <c r="AV698" s="171">
        <f t="shared" si="271"/>
        <v>1</v>
      </c>
      <c r="AW698" s="171">
        <f t="shared" si="272"/>
        <v>1</v>
      </c>
      <c r="AX698" s="171">
        <f t="shared" si="284"/>
        <v>1</v>
      </c>
      <c r="AY698" s="171">
        <f t="shared" si="273"/>
        <v>1</v>
      </c>
      <c r="AZ698" s="171">
        <f t="shared" si="274"/>
        <v>1</v>
      </c>
      <c r="BA698" s="172">
        <f t="shared" si="275"/>
        <v>1</v>
      </c>
      <c r="BB698" s="175">
        <f t="shared" si="281"/>
        <v>20</v>
      </c>
      <c r="BC698" s="176">
        <f t="shared" si="282"/>
        <v>19</v>
      </c>
      <c r="BD698" s="176">
        <f t="shared" si="283"/>
        <v>19</v>
      </c>
      <c r="BE698" s="240" t="str">
        <f t="shared" si="289"/>
        <v/>
      </c>
      <c r="BF698" s="220"/>
      <c r="BG698" s="220"/>
      <c r="BH698" s="216">
        <f>IF(AND(Input_Product=Elig!$C698,Elig_MatchAll_Ct&lt;22,$BC698=(Elig_MatchAll_Ct-1),AF698=0),C698,0)</f>
        <v>0</v>
      </c>
      <c r="BI698" s="216">
        <f>IF(AND(Input_Product=Elig!$C698,Elig_MatchAll_Ct&lt;22,$BC698=(Elig_MatchAll_Ct-1),AG698=0),D698,0)</f>
        <v>0</v>
      </c>
      <c r="BJ698" s="216">
        <f>IF(AND(Input_Product=Elig!$C698,Elig_MatchAll_Ct&lt;22,$BC698=(Elig_MatchAll_Ct-1),AH698=0),E698,0)</f>
        <v>0</v>
      </c>
      <c r="BK698" s="216">
        <f>IF(AND(Input_Product=Elig!$C698,Elig_MatchAll_Ct&lt;22,$BC698=(Elig_MatchAll_Ct-1),AI698=0),F698,0)</f>
        <v>0</v>
      </c>
      <c r="BL698" s="216">
        <f>IF(AND(Input_Product=Elig!$C698,Elig_MatchAll_Ct&lt;22,$BC698=(Elig_MatchAll_Ct-1),AJ698=0),G698,0)</f>
        <v>0</v>
      </c>
      <c r="BM698" s="216">
        <f>IF(AND(Input_Product=Elig!$C698,Elig_MatchAll_Ct&lt;22,$BC698=(Elig_MatchAll_Ct-1),AK698=0),H698,0)</f>
        <v>0</v>
      </c>
      <c r="BN698" s="216">
        <f>IF(AND(Input_Product=Elig!$C698,Elig_MatchAll_Ct&lt;22,$BC698=(Elig_MatchAll_Ct-1),AL698=0),I698,0)</f>
        <v>0</v>
      </c>
      <c r="BO698" s="216">
        <f>IF(AND(Input_Product=Elig!$C698,Elig_MatchAll_Ct&lt;22,$BC698=(Elig_MatchAll_Ct-1),AM698=0),J698,0)</f>
        <v>0</v>
      </c>
      <c r="BP698" s="216">
        <f>IF(AND(Input_Product=Elig!$C698,Elig_MatchAll_Ct&lt;22,$BC698=(Elig_MatchAll_Ct-1),AN698=0),K698,0)</f>
        <v>0</v>
      </c>
      <c r="BQ698" s="216">
        <f>IF(AND(Input_Product=Elig!$C698,Elig_MatchAll_Ct&lt;22,$BC698=(Elig_MatchAll_Ct-1),AP698=0),L698,0)</f>
        <v>0</v>
      </c>
      <c r="BR698" s="216">
        <f>IF(AND(Input_Product=Elig!$C698,Elig_MatchAll_Ct&lt;22,$BC698=(Elig_MatchAll_Ct-1),AO698=0),M698,0)</f>
        <v>0</v>
      </c>
      <c r="BS698" s="216">
        <f>IF(AND(Input_Product=Elig!$C698,Elig_MatchAll_Ct&lt;22,$BC698=(Elig_MatchAll_Ct-1),AQ698=0),N698,0)</f>
        <v>0</v>
      </c>
      <c r="BT698" s="216">
        <f>IF(AND(Input_Product=Elig!$C698,Elig_MatchAll_Ct&lt;22,$BC698=(Elig_MatchAll_Ct-1),AR698=0),O698,0)</f>
        <v>0</v>
      </c>
      <c r="BU698" s="216">
        <f>IF(AND(Input_Product=Elig!$C698,Elig_MatchAll_Ct&lt;22,$BC698=(Elig_MatchAll_Ct-1),AS698=0),P698,0)</f>
        <v>0</v>
      </c>
      <c r="BV698" s="217">
        <f>IF(AND(Input_Product=Elig!$C698,Elig_MatchAll_Ct&lt;22,$BC698=(Elig_MatchAll_Ct-1),AT698=0),Q698,0)</f>
        <v>0</v>
      </c>
      <c r="BW698" s="313">
        <f>IF(AND(Input_Product=Elig!$C698,Elig_MatchAll_Ct&lt;22,$BC698=(Elig_MatchAll_Ct-1),AU698=0),R698,0)</f>
        <v>0</v>
      </c>
      <c r="BX698" s="314">
        <f>IF(AND(Input_Product=Elig!$C698,Elig_MatchAll_Ct&lt;22,$BC698=(Elig_MatchAll_Ct-1),AU698=0),S698,0)</f>
        <v>0</v>
      </c>
      <c r="BY698" s="313">
        <f>IF(AND(Input_Product=Elig!$C698,Elig_MatchAll_Ct&lt;22,$BC698=(Elig_MatchAll_Ct-1),AV698=0),T698,0)</f>
        <v>0</v>
      </c>
      <c r="BZ698" s="314">
        <f>IF(AND(Input_Product=Elig!$C698,Elig_MatchAll_Ct&lt;22,$BC698=(Elig_MatchAll_Ct-1),AV698=0),U698,0)</f>
        <v>0</v>
      </c>
      <c r="CA698" s="313">
        <f>IF(AND(Input_Product=Elig!$C698,Elig_MatchAll_Ct&lt;22,$BC698=(Elig_MatchAll_Ct-1),AW698=0),V698,0)</f>
        <v>0</v>
      </c>
      <c r="CB698" s="314">
        <f>IF(AND(Input_Product=Elig!$C698,Elig_MatchAll_Ct&lt;22,$BC698=(Elig_MatchAll_Ct-1),AW698=0),W698,0)</f>
        <v>0</v>
      </c>
      <c r="CC698" s="313">
        <f>IF(AND(Input_Product=Elig!$C698,Elig_MatchAll_Ct&lt;22,$BC698=(Elig_MatchAll_Ct-1),AX698=0),X698,0)</f>
        <v>0</v>
      </c>
      <c r="CD698" s="314">
        <f>IF(AND(Input_Product=Elig!$C698,Elig_MatchAll_Ct&lt;22,$BC698=(Elig_MatchAll_Ct-1),AX698=0),Y698,0)</f>
        <v>0</v>
      </c>
      <c r="CE698" s="313">
        <f>IF(AND(Input_LTV&lt;=AE698,Input_Product=Elig!$C698,Elig_MatchAll_Ct&lt;22,$BC698=(Elig_MatchAll_Ct-1),AY698=0),Z698,0)</f>
        <v>0</v>
      </c>
      <c r="CF698" s="314">
        <f>IF(AND(Input_LTV&lt;=AE698,Input_Product=Elig!$C698,Elig_MatchAll_Ct&lt;22,$BC698=(Elig_MatchAll_Ct-1),AY698=0),AA698,0)</f>
        <v>0</v>
      </c>
      <c r="CG698" s="313">
        <f>IF(AND(Input_Product=Elig!$C698,Elig_MatchAll_Ct&lt;22,$BC698=(Elig_MatchAll_Ct-1),AZ698=0),AB698,0)</f>
        <v>0</v>
      </c>
      <c r="CH698" s="314">
        <f>IF(AND(Input_Product=Elig!$C698,Elig_MatchAll_Ct&lt;22,$BC698=(Elig_MatchAll_Ct-1),AZ698=0),AC698,0)</f>
        <v>0</v>
      </c>
      <c r="CI698" s="313">
        <f>IF(AND(Input_Product=Elig!$C698,Elig_MatchAll_Ct&lt;22,$BC698=(Elig_MatchAll_Ct-1),BA698=0),AD698,0)</f>
        <v>0</v>
      </c>
      <c r="CJ698" s="314">
        <f>IF(AND(Input_Product=Elig!$C698,Elig_MatchAll_Ct&lt;22,$BC698=(Elig_MatchAll_Ct-1),BA698=0),AE698,0)</f>
        <v>0</v>
      </c>
    </row>
    <row r="699" spans="2:88" ht="10.15" customHeight="1" x14ac:dyDescent="0.25">
      <c r="B699" s="2027" t="s">
        <v>1650</v>
      </c>
      <c r="C699" s="2028" t="str">
        <f t="shared" si="279"/>
        <v>Second OO</v>
      </c>
      <c r="D699" s="2027" t="s">
        <v>1561</v>
      </c>
      <c r="E699" s="2027" t="s">
        <v>98</v>
      </c>
      <c r="F699" s="2027" t="s">
        <v>329</v>
      </c>
      <c r="G699" s="2029" t="s">
        <v>179</v>
      </c>
      <c r="H699" s="2029" t="s">
        <v>136</v>
      </c>
      <c r="I699" s="2027" t="s">
        <v>1332</v>
      </c>
      <c r="J699" s="2027" t="s">
        <v>1311</v>
      </c>
      <c r="K699" s="2029" t="s">
        <v>1790</v>
      </c>
      <c r="L699" s="2027" t="s">
        <v>430</v>
      </c>
      <c r="M699" s="2027" t="s">
        <v>2677</v>
      </c>
      <c r="N699" s="2029" t="s">
        <v>82</v>
      </c>
      <c r="O699" s="2027" t="s">
        <v>310</v>
      </c>
      <c r="P699" s="2027" t="s">
        <v>291</v>
      </c>
      <c r="Q699" s="2027" t="s">
        <v>294</v>
      </c>
      <c r="R699" s="2027">
        <v>50000</v>
      </c>
      <c r="S699" s="2027">
        <v>350000</v>
      </c>
      <c r="T699" s="2027">
        <v>0</v>
      </c>
      <c r="U699" s="2027">
        <f t="shared" si="280"/>
        <v>350000</v>
      </c>
      <c r="V699" s="2027">
        <v>0</v>
      </c>
      <c r="W699" s="2027">
        <v>50</v>
      </c>
      <c r="X699" s="2027">
        <v>0</v>
      </c>
      <c r="Y699" s="2027">
        <v>999</v>
      </c>
      <c r="Z699" s="2030">
        <v>700</v>
      </c>
      <c r="AA699" s="2030">
        <v>719</v>
      </c>
      <c r="AB699" s="2030">
        <v>0</v>
      </c>
      <c r="AC699" s="2030">
        <v>999999</v>
      </c>
      <c r="AD699" s="2027">
        <v>0</v>
      </c>
      <c r="AE699" s="1483">
        <v>65</v>
      </c>
      <c r="AF699" s="170">
        <v>1</v>
      </c>
      <c r="AG699" s="171">
        <v>1</v>
      </c>
      <c r="AH699" s="171">
        <v>1</v>
      </c>
      <c r="AI699" s="171">
        <v>0</v>
      </c>
      <c r="AJ699" s="171">
        <v>0</v>
      </c>
      <c r="AK699" s="171">
        <v>1</v>
      </c>
      <c r="AL699" s="171">
        <v>1</v>
      </c>
      <c r="AM699" s="171">
        <v>1</v>
      </c>
      <c r="AN699" s="171">
        <v>1</v>
      </c>
      <c r="AO699" s="171">
        <v>1</v>
      </c>
      <c r="AP699" s="171">
        <v>1</v>
      </c>
      <c r="AQ699" s="171">
        <v>1</v>
      </c>
      <c r="AR699" s="171">
        <v>1</v>
      </c>
      <c r="AS699" s="171">
        <v>1</v>
      </c>
      <c r="AT699" s="171">
        <v>1</v>
      </c>
      <c r="AU699" s="171">
        <f t="shared" si="270"/>
        <v>1</v>
      </c>
      <c r="AV699" s="171">
        <f t="shared" si="271"/>
        <v>1</v>
      </c>
      <c r="AW699" s="171">
        <f t="shared" si="272"/>
        <v>1</v>
      </c>
      <c r="AX699" s="171">
        <f t="shared" si="284"/>
        <v>1</v>
      </c>
      <c r="AY699" s="171">
        <f t="shared" si="273"/>
        <v>0</v>
      </c>
      <c r="AZ699" s="171">
        <f t="shared" si="274"/>
        <v>1</v>
      </c>
      <c r="BA699" s="172">
        <f t="shared" si="275"/>
        <v>1</v>
      </c>
      <c r="BB699" s="175">
        <f t="shared" si="281"/>
        <v>19</v>
      </c>
      <c r="BC699" s="176">
        <f t="shared" si="282"/>
        <v>18</v>
      </c>
      <c r="BD699" s="176">
        <f t="shared" si="283"/>
        <v>18</v>
      </c>
      <c r="BE699" s="240" t="str">
        <f t="shared" si="289"/>
        <v/>
      </c>
      <c r="BF699" s="234"/>
      <c r="BG699" s="234"/>
      <c r="BH699" s="199">
        <f>IF(AND(Input_Product=Elig!$C699,Elig_MatchAll_Ct&lt;22,$BC699=(Elig_MatchAll_Ct-1),AF699=0),C699,0)</f>
        <v>0</v>
      </c>
      <c r="BI699" s="199">
        <f>IF(AND(Input_Product=Elig!$C699,Elig_MatchAll_Ct&lt;22,$BC699=(Elig_MatchAll_Ct-1),AG699=0),D699,0)</f>
        <v>0</v>
      </c>
      <c r="BJ699" s="199">
        <f>IF(AND(Input_Product=Elig!$C699,Elig_MatchAll_Ct&lt;22,$BC699=(Elig_MatchAll_Ct-1),AH699=0),E699,0)</f>
        <v>0</v>
      </c>
      <c r="BK699" s="199">
        <f>IF(AND(Input_Product=Elig!$C699,Elig_MatchAll_Ct&lt;22,$BC699=(Elig_MatchAll_Ct-1),AI699=0),F699,0)</f>
        <v>0</v>
      </c>
      <c r="BL699" s="199">
        <f>IF(AND(Input_Product=Elig!$C699,Elig_MatchAll_Ct&lt;22,$BC699=(Elig_MatchAll_Ct-1),AJ699=0),G699,0)</f>
        <v>0</v>
      </c>
      <c r="BM699" s="199">
        <f>IF(AND(Input_Product=Elig!$C699,Elig_MatchAll_Ct&lt;22,$BC699=(Elig_MatchAll_Ct-1),AK699=0),H699,0)</f>
        <v>0</v>
      </c>
      <c r="BN699" s="199">
        <f>IF(AND(Input_Product=Elig!$C699,Elig_MatchAll_Ct&lt;22,$BC699=(Elig_MatchAll_Ct-1),AL699=0),I699,0)</f>
        <v>0</v>
      </c>
      <c r="BO699" s="199">
        <f>IF(AND(Input_Product=Elig!$C699,Elig_MatchAll_Ct&lt;22,$BC699=(Elig_MatchAll_Ct-1),AM699=0),J699,0)</f>
        <v>0</v>
      </c>
      <c r="BP699" s="199">
        <f>IF(AND(Input_Product=Elig!$C699,Elig_MatchAll_Ct&lt;22,$BC699=(Elig_MatchAll_Ct-1),AN699=0),K699,0)</f>
        <v>0</v>
      </c>
      <c r="BQ699" s="199">
        <f>IF(AND(Input_Product=Elig!$C699,Elig_MatchAll_Ct&lt;22,$BC699=(Elig_MatchAll_Ct-1),AP699=0),L699,0)</f>
        <v>0</v>
      </c>
      <c r="BR699" s="199">
        <f>IF(AND(Input_Product=Elig!$C699,Elig_MatchAll_Ct&lt;22,$BC699=(Elig_MatchAll_Ct-1),AO699=0),M699,0)</f>
        <v>0</v>
      </c>
      <c r="BS699" s="199">
        <f>IF(AND(Input_Product=Elig!$C699,Elig_MatchAll_Ct&lt;22,$BC699=(Elig_MatchAll_Ct-1),AQ699=0),N699,0)</f>
        <v>0</v>
      </c>
      <c r="BT699" s="199">
        <f>IF(AND(Input_Product=Elig!$C699,Elig_MatchAll_Ct&lt;22,$BC699=(Elig_MatchAll_Ct-1),AR699=0),O699,0)</f>
        <v>0</v>
      </c>
      <c r="BU699" s="199">
        <f>IF(AND(Input_Product=Elig!$C699,Elig_MatchAll_Ct&lt;22,$BC699=(Elig_MatchAll_Ct-1),AS699=0),P699,0)</f>
        <v>0</v>
      </c>
      <c r="BV699" s="200">
        <f>IF(AND(Input_Product=Elig!$C699,Elig_MatchAll_Ct&lt;22,$BC699=(Elig_MatchAll_Ct-1),AT699=0),Q699,0)</f>
        <v>0</v>
      </c>
      <c r="BW699" s="201">
        <f>IF(AND(Input_Product=Elig!$C699,Elig_MatchAll_Ct&lt;22,$BC699=(Elig_MatchAll_Ct-1),AU699=0),R699,0)</f>
        <v>0</v>
      </c>
      <c r="BX699" s="202">
        <f>IF(AND(Input_Product=Elig!$C699,Elig_MatchAll_Ct&lt;22,$BC699=(Elig_MatchAll_Ct-1),AU699=0),S699,0)</f>
        <v>0</v>
      </c>
      <c r="BY699" s="201">
        <f>IF(AND(Input_Product=Elig!$C699,Elig_MatchAll_Ct&lt;22,$BC699=(Elig_MatchAll_Ct-1),AV699=0),T699,0)</f>
        <v>0</v>
      </c>
      <c r="BZ699" s="202">
        <f>IF(AND(Input_Product=Elig!$C699,Elig_MatchAll_Ct&lt;22,$BC699=(Elig_MatchAll_Ct-1),AV699=0),U699,0)</f>
        <v>0</v>
      </c>
      <c r="CA699" s="201">
        <f>IF(AND(Input_Product=Elig!$C699,Elig_MatchAll_Ct&lt;22,$BC699=(Elig_MatchAll_Ct-1),AW699=0),V699,0)</f>
        <v>0</v>
      </c>
      <c r="CB699" s="202">
        <f>IF(AND(Input_Product=Elig!$C699,Elig_MatchAll_Ct&lt;22,$BC699=(Elig_MatchAll_Ct-1),AW699=0),W699,0)</f>
        <v>0</v>
      </c>
      <c r="CC699" s="201">
        <f>IF(AND(Input_Product=Elig!$C699,Elig_MatchAll_Ct&lt;22,$BC699=(Elig_MatchAll_Ct-1),AX699=0),X699,0)</f>
        <v>0</v>
      </c>
      <c r="CD699" s="202">
        <f>IF(AND(Input_Product=Elig!$C699,Elig_MatchAll_Ct&lt;22,$BC699=(Elig_MatchAll_Ct-1),AX699=0),Y699,0)</f>
        <v>0</v>
      </c>
      <c r="CE699" s="201">
        <f>IF(AND(Input_LTV&lt;=AE699,Input_Product=Elig!$C699,Elig_MatchAll_Ct&lt;22,$BC699=(Elig_MatchAll_Ct-1),AY699=0),Z699,0)</f>
        <v>0</v>
      </c>
      <c r="CF699" s="202">
        <f>IF(AND(Input_LTV&lt;=AE699,Input_Product=Elig!$C699,Elig_MatchAll_Ct&lt;22,$BC699=(Elig_MatchAll_Ct-1),AY699=0),AA699,0)</f>
        <v>0</v>
      </c>
      <c r="CG699" s="201">
        <f>IF(AND(Input_Product=Elig!$C699,Elig_MatchAll_Ct&lt;22,$BC699=(Elig_MatchAll_Ct-1),AZ699=0),AB699,0)</f>
        <v>0</v>
      </c>
      <c r="CH699" s="202">
        <f>IF(AND(Input_Product=Elig!$C699,Elig_MatchAll_Ct&lt;22,$BC699=(Elig_MatchAll_Ct-1),AZ699=0),AC699,0)</f>
        <v>0</v>
      </c>
      <c r="CI699" s="201">
        <f>IF(AND(Input_Product=Elig!$C699,Elig_MatchAll_Ct&lt;22,$BC699=(Elig_MatchAll_Ct-1),BA699=0),AD699,0)</f>
        <v>0</v>
      </c>
      <c r="CJ699" s="202">
        <f>IF(AND(Input_Product=Elig!$C699,Elig_MatchAll_Ct&lt;22,$BC699=(Elig_MatchAll_Ct-1),BA699=0),AE699,0)</f>
        <v>0</v>
      </c>
    </row>
    <row r="700" spans="2:88" ht="10.15" customHeight="1" x14ac:dyDescent="0.25">
      <c r="B700" s="2027" t="s">
        <v>1651</v>
      </c>
      <c r="C700" s="2028" t="str">
        <f t="shared" si="279"/>
        <v>Second OO</v>
      </c>
      <c r="D700" s="2027" t="s">
        <v>1561</v>
      </c>
      <c r="E700" s="2027" t="s">
        <v>98</v>
      </c>
      <c r="F700" s="2027" t="s">
        <v>329</v>
      </c>
      <c r="G700" s="2029" t="s">
        <v>179</v>
      </c>
      <c r="H700" s="2029" t="s">
        <v>136</v>
      </c>
      <c r="I700" s="2027" t="s">
        <v>1332</v>
      </c>
      <c r="J700" s="2027" t="s">
        <v>1311</v>
      </c>
      <c r="K700" s="2029" t="s">
        <v>1790</v>
      </c>
      <c r="L700" s="2027" t="s">
        <v>430</v>
      </c>
      <c r="M700" s="2027" t="s">
        <v>2677</v>
      </c>
      <c r="N700" s="2029" t="s">
        <v>82</v>
      </c>
      <c r="O700" s="2027" t="s">
        <v>310</v>
      </c>
      <c r="P700" s="2027" t="s">
        <v>291</v>
      </c>
      <c r="Q700" s="2027" t="s">
        <v>294</v>
      </c>
      <c r="R700" s="2027">
        <v>50000</v>
      </c>
      <c r="S700" s="2027">
        <v>350000</v>
      </c>
      <c r="T700" s="2027">
        <v>0</v>
      </c>
      <c r="U700" s="2027">
        <f t="shared" si="280"/>
        <v>350000</v>
      </c>
      <c r="V700" s="2027">
        <v>0</v>
      </c>
      <c r="W700" s="2027">
        <v>50</v>
      </c>
      <c r="X700" s="2027">
        <v>0</v>
      </c>
      <c r="Y700" s="2027">
        <v>999</v>
      </c>
      <c r="Z700" s="2030">
        <v>680</v>
      </c>
      <c r="AA700" s="2030">
        <v>699</v>
      </c>
      <c r="AB700" s="2030">
        <v>0</v>
      </c>
      <c r="AC700" s="2030">
        <v>999999</v>
      </c>
      <c r="AD700" s="2027">
        <v>0</v>
      </c>
      <c r="AE700" s="1483">
        <v>60</v>
      </c>
      <c r="AF700" s="170">
        <v>1</v>
      </c>
      <c r="AG700" s="171">
        <v>1</v>
      </c>
      <c r="AH700" s="171">
        <v>1</v>
      </c>
      <c r="AI700" s="171">
        <v>0</v>
      </c>
      <c r="AJ700" s="171">
        <v>0</v>
      </c>
      <c r="AK700" s="171">
        <v>1</v>
      </c>
      <c r="AL700" s="171">
        <v>1</v>
      </c>
      <c r="AM700" s="171">
        <v>1</v>
      </c>
      <c r="AN700" s="171">
        <v>1</v>
      </c>
      <c r="AO700" s="171">
        <v>1</v>
      </c>
      <c r="AP700" s="171">
        <v>1</v>
      </c>
      <c r="AQ700" s="171">
        <v>1</v>
      </c>
      <c r="AR700" s="171">
        <v>1</v>
      </c>
      <c r="AS700" s="171">
        <v>1</v>
      </c>
      <c r="AT700" s="171">
        <v>1</v>
      </c>
      <c r="AU700" s="171">
        <f t="shared" si="270"/>
        <v>1</v>
      </c>
      <c r="AV700" s="171">
        <f t="shared" si="271"/>
        <v>1</v>
      </c>
      <c r="AW700" s="171">
        <f t="shared" si="272"/>
        <v>1</v>
      </c>
      <c r="AX700" s="171">
        <f t="shared" si="284"/>
        <v>1</v>
      </c>
      <c r="AY700" s="171">
        <f t="shared" si="273"/>
        <v>0</v>
      </c>
      <c r="AZ700" s="171">
        <f t="shared" si="274"/>
        <v>1</v>
      </c>
      <c r="BA700" s="172">
        <f t="shared" si="275"/>
        <v>0</v>
      </c>
      <c r="BB700" s="175">
        <f t="shared" si="281"/>
        <v>18</v>
      </c>
      <c r="BC700" s="176">
        <f t="shared" si="282"/>
        <v>18</v>
      </c>
      <c r="BD700" s="176">
        <f t="shared" si="283"/>
        <v>17</v>
      </c>
      <c r="BE700" s="240" t="str">
        <f t="shared" si="289"/>
        <v/>
      </c>
      <c r="BF700" s="234"/>
      <c r="BG700" s="234"/>
      <c r="BH700" s="199">
        <f>IF(AND(Input_Product=Elig!$C700,Elig_MatchAll_Ct&lt;22,$BC700=(Elig_MatchAll_Ct-1),AF700=0),C700,0)</f>
        <v>0</v>
      </c>
      <c r="BI700" s="199">
        <f>IF(AND(Input_Product=Elig!$C700,Elig_MatchAll_Ct&lt;22,$BC700=(Elig_MatchAll_Ct-1),AG700=0),D700,0)</f>
        <v>0</v>
      </c>
      <c r="BJ700" s="199">
        <f>IF(AND(Input_Product=Elig!$C700,Elig_MatchAll_Ct&lt;22,$BC700=(Elig_MatchAll_Ct-1),AH700=0),E700,0)</f>
        <v>0</v>
      </c>
      <c r="BK700" s="199">
        <f>IF(AND(Input_Product=Elig!$C700,Elig_MatchAll_Ct&lt;22,$BC700=(Elig_MatchAll_Ct-1),AI700=0),F700,0)</f>
        <v>0</v>
      </c>
      <c r="BL700" s="199">
        <f>IF(AND(Input_Product=Elig!$C700,Elig_MatchAll_Ct&lt;22,$BC700=(Elig_MatchAll_Ct-1),AJ700=0),G700,0)</f>
        <v>0</v>
      </c>
      <c r="BM700" s="199">
        <f>IF(AND(Input_Product=Elig!$C700,Elig_MatchAll_Ct&lt;22,$BC700=(Elig_MatchAll_Ct-1),AK700=0),H700,0)</f>
        <v>0</v>
      </c>
      <c r="BN700" s="199">
        <f>IF(AND(Input_Product=Elig!$C700,Elig_MatchAll_Ct&lt;22,$BC700=(Elig_MatchAll_Ct-1),AL700=0),I700,0)</f>
        <v>0</v>
      </c>
      <c r="BO700" s="199">
        <f>IF(AND(Input_Product=Elig!$C700,Elig_MatchAll_Ct&lt;22,$BC700=(Elig_MatchAll_Ct-1),AM700=0),J700,0)</f>
        <v>0</v>
      </c>
      <c r="BP700" s="199">
        <f>IF(AND(Input_Product=Elig!$C700,Elig_MatchAll_Ct&lt;22,$BC700=(Elig_MatchAll_Ct-1),AN700=0),K700,0)</f>
        <v>0</v>
      </c>
      <c r="BQ700" s="199">
        <f>IF(AND(Input_Product=Elig!$C700,Elig_MatchAll_Ct&lt;22,$BC700=(Elig_MatchAll_Ct-1),AP700=0),L700,0)</f>
        <v>0</v>
      </c>
      <c r="BR700" s="199">
        <f>IF(AND(Input_Product=Elig!$C700,Elig_MatchAll_Ct&lt;22,$BC700=(Elig_MatchAll_Ct-1),AO700=0),M700,0)</f>
        <v>0</v>
      </c>
      <c r="BS700" s="199">
        <f>IF(AND(Input_Product=Elig!$C700,Elig_MatchAll_Ct&lt;22,$BC700=(Elig_MatchAll_Ct-1),AQ700=0),N700,0)</f>
        <v>0</v>
      </c>
      <c r="BT700" s="199">
        <f>IF(AND(Input_Product=Elig!$C700,Elig_MatchAll_Ct&lt;22,$BC700=(Elig_MatchAll_Ct-1),AR700=0),O700,0)</f>
        <v>0</v>
      </c>
      <c r="BU700" s="199">
        <f>IF(AND(Input_Product=Elig!$C700,Elig_MatchAll_Ct&lt;22,$BC700=(Elig_MatchAll_Ct-1),AS700=0),P700,0)</f>
        <v>0</v>
      </c>
      <c r="BV700" s="200">
        <f>IF(AND(Input_Product=Elig!$C700,Elig_MatchAll_Ct&lt;22,$BC700=(Elig_MatchAll_Ct-1),AT700=0),Q700,0)</f>
        <v>0</v>
      </c>
      <c r="BW700" s="201">
        <f>IF(AND(Input_Product=Elig!$C700,Elig_MatchAll_Ct&lt;22,$BC700=(Elig_MatchAll_Ct-1),AU700=0),R700,0)</f>
        <v>0</v>
      </c>
      <c r="BX700" s="202">
        <f>IF(AND(Input_Product=Elig!$C700,Elig_MatchAll_Ct&lt;22,$BC700=(Elig_MatchAll_Ct-1),AU700=0),S700,0)</f>
        <v>0</v>
      </c>
      <c r="BY700" s="201">
        <f>IF(AND(Input_Product=Elig!$C700,Elig_MatchAll_Ct&lt;22,$BC700=(Elig_MatchAll_Ct-1),AV700=0),T700,0)</f>
        <v>0</v>
      </c>
      <c r="BZ700" s="202">
        <f>IF(AND(Input_Product=Elig!$C700,Elig_MatchAll_Ct&lt;22,$BC700=(Elig_MatchAll_Ct-1),AV700=0),U700,0)</f>
        <v>0</v>
      </c>
      <c r="CA700" s="201">
        <f>IF(AND(Input_Product=Elig!$C700,Elig_MatchAll_Ct&lt;22,$BC700=(Elig_MatchAll_Ct-1),AW700=0),V700,0)</f>
        <v>0</v>
      </c>
      <c r="CB700" s="202">
        <f>IF(AND(Input_Product=Elig!$C700,Elig_MatchAll_Ct&lt;22,$BC700=(Elig_MatchAll_Ct-1),AW700=0),W700,0)</f>
        <v>0</v>
      </c>
      <c r="CC700" s="201">
        <f>IF(AND(Input_Product=Elig!$C700,Elig_MatchAll_Ct&lt;22,$BC700=(Elig_MatchAll_Ct-1),AX700=0),X700,0)</f>
        <v>0</v>
      </c>
      <c r="CD700" s="202">
        <f>IF(AND(Input_Product=Elig!$C700,Elig_MatchAll_Ct&lt;22,$BC700=(Elig_MatchAll_Ct-1),AX700=0),Y700,0)</f>
        <v>0</v>
      </c>
      <c r="CE700" s="201">
        <f>IF(AND(Input_LTV&lt;=AE700,Input_Product=Elig!$C700,Elig_MatchAll_Ct&lt;22,$BC700=(Elig_MatchAll_Ct-1),AY700=0),Z700,0)</f>
        <v>0</v>
      </c>
      <c r="CF700" s="202">
        <f>IF(AND(Input_LTV&lt;=AE700,Input_Product=Elig!$C700,Elig_MatchAll_Ct&lt;22,$BC700=(Elig_MatchAll_Ct-1),AY700=0),AA700,0)</f>
        <v>0</v>
      </c>
      <c r="CG700" s="201">
        <f>IF(AND(Input_Product=Elig!$C700,Elig_MatchAll_Ct&lt;22,$BC700=(Elig_MatchAll_Ct-1),AZ700=0),AB700,0)</f>
        <v>0</v>
      </c>
      <c r="CH700" s="202">
        <f>IF(AND(Input_Product=Elig!$C700,Elig_MatchAll_Ct&lt;22,$BC700=(Elig_MatchAll_Ct-1),AZ700=0),AC700,0)</f>
        <v>0</v>
      </c>
      <c r="CI700" s="201">
        <f>IF(AND(Input_Product=Elig!$C700,Elig_MatchAll_Ct&lt;22,$BC700=(Elig_MatchAll_Ct-1),BA700=0),AD700,0)</f>
        <v>0</v>
      </c>
      <c r="CJ700" s="202">
        <f>IF(AND(Input_Product=Elig!$C700,Elig_MatchAll_Ct&lt;22,$BC700=(Elig_MatchAll_Ct-1),BA700=0),AE700,0)</f>
        <v>0</v>
      </c>
    </row>
    <row r="701" spans="2:88" ht="10.15" customHeight="1" x14ac:dyDescent="0.25">
      <c r="B701" s="2027" t="s">
        <v>1652</v>
      </c>
      <c r="C701" s="2032" t="str">
        <f t="shared" si="279"/>
        <v>Second OO</v>
      </c>
      <c r="D701" s="2031" t="s">
        <v>1561</v>
      </c>
      <c r="E701" s="2031" t="s">
        <v>98</v>
      </c>
      <c r="F701" s="2031" t="s">
        <v>329</v>
      </c>
      <c r="G701" s="2033" t="s">
        <v>179</v>
      </c>
      <c r="H701" s="2033" t="s">
        <v>136</v>
      </c>
      <c r="I701" s="2031" t="s">
        <v>1332</v>
      </c>
      <c r="J701" s="2031" t="s">
        <v>1311</v>
      </c>
      <c r="K701" s="2033" t="s">
        <v>1790</v>
      </c>
      <c r="L701" s="2031" t="s">
        <v>430</v>
      </c>
      <c r="M701" s="2031" t="s">
        <v>2677</v>
      </c>
      <c r="N701" s="2033" t="s">
        <v>82</v>
      </c>
      <c r="O701" s="2031" t="s">
        <v>310</v>
      </c>
      <c r="P701" s="2031" t="s">
        <v>291</v>
      </c>
      <c r="Q701" s="2031" t="s">
        <v>294</v>
      </c>
      <c r="R701" s="2031">
        <v>50000</v>
      </c>
      <c r="S701" s="2031">
        <v>350000</v>
      </c>
      <c r="T701" s="2031">
        <v>0</v>
      </c>
      <c r="U701" s="2031">
        <f t="shared" si="280"/>
        <v>350000</v>
      </c>
      <c r="V701" s="2031">
        <v>0</v>
      </c>
      <c r="W701" s="2031">
        <v>50</v>
      </c>
      <c r="X701" s="2031">
        <v>0</v>
      </c>
      <c r="Y701" s="2031">
        <v>999</v>
      </c>
      <c r="Z701" s="2034">
        <v>660</v>
      </c>
      <c r="AA701" s="2034">
        <v>679</v>
      </c>
      <c r="AB701" s="2034">
        <v>0</v>
      </c>
      <c r="AC701" s="2034">
        <v>999999</v>
      </c>
      <c r="AD701" s="2031">
        <v>0</v>
      </c>
      <c r="AE701" s="1484">
        <v>55</v>
      </c>
      <c r="AF701" s="170">
        <v>1</v>
      </c>
      <c r="AG701" s="171">
        <v>1</v>
      </c>
      <c r="AH701" s="171">
        <v>1</v>
      </c>
      <c r="AI701" s="171">
        <v>0</v>
      </c>
      <c r="AJ701" s="171">
        <v>0</v>
      </c>
      <c r="AK701" s="171">
        <v>1</v>
      </c>
      <c r="AL701" s="171">
        <v>1</v>
      </c>
      <c r="AM701" s="171">
        <v>1</v>
      </c>
      <c r="AN701" s="171">
        <v>1</v>
      </c>
      <c r="AO701" s="171">
        <v>1</v>
      </c>
      <c r="AP701" s="171">
        <v>1</v>
      </c>
      <c r="AQ701" s="171">
        <v>1</v>
      </c>
      <c r="AR701" s="171">
        <v>1</v>
      </c>
      <c r="AS701" s="171">
        <v>1</v>
      </c>
      <c r="AT701" s="171">
        <v>1</v>
      </c>
      <c r="AU701" s="171">
        <f t="shared" si="270"/>
        <v>1</v>
      </c>
      <c r="AV701" s="171">
        <f t="shared" si="271"/>
        <v>1</v>
      </c>
      <c r="AW701" s="171">
        <f t="shared" si="272"/>
        <v>1</v>
      </c>
      <c r="AX701" s="171">
        <f t="shared" si="284"/>
        <v>1</v>
      </c>
      <c r="AY701" s="171">
        <f t="shared" si="273"/>
        <v>0</v>
      </c>
      <c r="AZ701" s="171">
        <f t="shared" si="274"/>
        <v>1</v>
      </c>
      <c r="BA701" s="172">
        <f t="shared" si="275"/>
        <v>0</v>
      </c>
      <c r="BB701" s="175">
        <f t="shared" si="281"/>
        <v>18</v>
      </c>
      <c r="BC701" s="176">
        <f t="shared" si="282"/>
        <v>18</v>
      </c>
      <c r="BD701" s="176">
        <f t="shared" si="283"/>
        <v>17</v>
      </c>
      <c r="BE701" s="240" t="str">
        <f t="shared" si="289"/>
        <v/>
      </c>
      <c r="BF701" s="234"/>
      <c r="BG701" s="234"/>
      <c r="BH701" s="214">
        <f>IF(AND(Input_Product=Elig!$C701,Elig_MatchAll_Ct&lt;22,$BC701=(Elig_MatchAll_Ct-1),AF701=0),C701,0)</f>
        <v>0</v>
      </c>
      <c r="BI701" s="214">
        <f>IF(AND(Input_Product=Elig!$C701,Elig_MatchAll_Ct&lt;22,$BC701=(Elig_MatchAll_Ct-1),AG701=0),D701,0)</f>
        <v>0</v>
      </c>
      <c r="BJ701" s="214">
        <f>IF(AND(Input_Product=Elig!$C701,Elig_MatchAll_Ct&lt;22,$BC701=(Elig_MatchAll_Ct-1),AH701=0),E701,0)</f>
        <v>0</v>
      </c>
      <c r="BK701" s="214">
        <f>IF(AND(Input_Product=Elig!$C701,Elig_MatchAll_Ct&lt;22,$BC701=(Elig_MatchAll_Ct-1),AI701=0),F701,0)</f>
        <v>0</v>
      </c>
      <c r="BL701" s="214">
        <f>IF(AND(Input_Product=Elig!$C701,Elig_MatchAll_Ct&lt;22,$BC701=(Elig_MatchAll_Ct-1),AJ701=0),G701,0)</f>
        <v>0</v>
      </c>
      <c r="BM701" s="214">
        <f>IF(AND(Input_Product=Elig!$C701,Elig_MatchAll_Ct&lt;22,$BC701=(Elig_MatchAll_Ct-1),AK701=0),H701,0)</f>
        <v>0</v>
      </c>
      <c r="BN701" s="214">
        <f>IF(AND(Input_Product=Elig!$C701,Elig_MatchAll_Ct&lt;22,$BC701=(Elig_MatchAll_Ct-1),AL701=0),I701,0)</f>
        <v>0</v>
      </c>
      <c r="BO701" s="214">
        <f>IF(AND(Input_Product=Elig!$C701,Elig_MatchAll_Ct&lt;22,$BC701=(Elig_MatchAll_Ct-1),AM701=0),J701,0)</f>
        <v>0</v>
      </c>
      <c r="BP701" s="214">
        <f>IF(AND(Input_Product=Elig!$C701,Elig_MatchAll_Ct&lt;22,$BC701=(Elig_MatchAll_Ct-1),AN701=0),K701,0)</f>
        <v>0</v>
      </c>
      <c r="BQ701" s="214">
        <f>IF(AND(Input_Product=Elig!$C701,Elig_MatchAll_Ct&lt;22,$BC701=(Elig_MatchAll_Ct-1),AP701=0),L701,0)</f>
        <v>0</v>
      </c>
      <c r="BR701" s="214">
        <f>IF(AND(Input_Product=Elig!$C701,Elig_MatchAll_Ct&lt;22,$BC701=(Elig_MatchAll_Ct-1),AO701=0),M701,0)</f>
        <v>0</v>
      </c>
      <c r="BS701" s="214">
        <f>IF(AND(Input_Product=Elig!$C701,Elig_MatchAll_Ct&lt;22,$BC701=(Elig_MatchAll_Ct-1),AQ701=0),N701,0)</f>
        <v>0</v>
      </c>
      <c r="BT701" s="214">
        <f>IF(AND(Input_Product=Elig!$C701,Elig_MatchAll_Ct&lt;22,$BC701=(Elig_MatchAll_Ct-1),AR701=0),O701,0)</f>
        <v>0</v>
      </c>
      <c r="BU701" s="214">
        <f>IF(AND(Input_Product=Elig!$C701,Elig_MatchAll_Ct&lt;22,$BC701=(Elig_MatchAll_Ct-1),AS701=0),P701,0)</f>
        <v>0</v>
      </c>
      <c r="BV701" s="215">
        <f>IF(AND(Input_Product=Elig!$C701,Elig_MatchAll_Ct&lt;22,$BC701=(Elig_MatchAll_Ct-1),AT701=0),Q701,0)</f>
        <v>0</v>
      </c>
      <c r="BW701" s="311">
        <f>IF(AND(Input_Product=Elig!$C701,Elig_MatchAll_Ct&lt;22,$BC701=(Elig_MatchAll_Ct-1),AU701=0),R701,0)</f>
        <v>0</v>
      </c>
      <c r="BX701" s="312">
        <f>IF(AND(Input_Product=Elig!$C701,Elig_MatchAll_Ct&lt;22,$BC701=(Elig_MatchAll_Ct-1),AU701=0),S701,0)</f>
        <v>0</v>
      </c>
      <c r="BY701" s="311">
        <f>IF(AND(Input_Product=Elig!$C701,Elig_MatchAll_Ct&lt;22,$BC701=(Elig_MatchAll_Ct-1),AV701=0),T701,0)</f>
        <v>0</v>
      </c>
      <c r="BZ701" s="312">
        <f>IF(AND(Input_Product=Elig!$C701,Elig_MatchAll_Ct&lt;22,$BC701=(Elig_MatchAll_Ct-1),AV701=0),U701,0)</f>
        <v>0</v>
      </c>
      <c r="CA701" s="311">
        <f>IF(AND(Input_Product=Elig!$C701,Elig_MatchAll_Ct&lt;22,$BC701=(Elig_MatchAll_Ct-1),AW701=0),V701,0)</f>
        <v>0</v>
      </c>
      <c r="CB701" s="312">
        <f>IF(AND(Input_Product=Elig!$C701,Elig_MatchAll_Ct&lt;22,$BC701=(Elig_MatchAll_Ct-1),AW701=0),W701,0)</f>
        <v>0</v>
      </c>
      <c r="CC701" s="311">
        <f>IF(AND(Input_Product=Elig!$C701,Elig_MatchAll_Ct&lt;22,$BC701=(Elig_MatchAll_Ct-1),AX701=0),X701,0)</f>
        <v>0</v>
      </c>
      <c r="CD701" s="312">
        <f>IF(AND(Input_Product=Elig!$C701,Elig_MatchAll_Ct&lt;22,$BC701=(Elig_MatchAll_Ct-1),AX701=0),Y701,0)</f>
        <v>0</v>
      </c>
      <c r="CE701" s="311">
        <f>IF(AND(Input_LTV&lt;=AE701,Input_Product=Elig!$C701,Elig_MatchAll_Ct&lt;22,$BC701=(Elig_MatchAll_Ct-1),AY701=0),Z701,0)</f>
        <v>0</v>
      </c>
      <c r="CF701" s="312">
        <f>IF(AND(Input_LTV&lt;=AE701,Input_Product=Elig!$C701,Elig_MatchAll_Ct&lt;22,$BC701=(Elig_MatchAll_Ct-1),AY701=0),AA701,0)</f>
        <v>0</v>
      </c>
      <c r="CG701" s="311">
        <f>IF(AND(Input_Product=Elig!$C701,Elig_MatchAll_Ct&lt;22,$BC701=(Elig_MatchAll_Ct-1),AZ701=0),AB701,0)</f>
        <v>0</v>
      </c>
      <c r="CH701" s="312">
        <f>IF(AND(Input_Product=Elig!$C701,Elig_MatchAll_Ct&lt;22,$BC701=(Elig_MatchAll_Ct-1),AZ701=0),AC701,0)</f>
        <v>0</v>
      </c>
      <c r="CI701" s="311">
        <f>IF(AND(Input_Product=Elig!$C701,Elig_MatchAll_Ct&lt;22,$BC701=(Elig_MatchAll_Ct-1),BA701=0),AD701,0)</f>
        <v>0</v>
      </c>
      <c r="CJ701" s="312">
        <f>IF(AND(Input_Product=Elig!$C701,Elig_MatchAll_Ct&lt;22,$BC701=(Elig_MatchAll_Ct-1),BA701=0),AE701,0)</f>
        <v>0</v>
      </c>
    </row>
    <row r="702" spans="2:88" ht="10.15" customHeight="1" x14ac:dyDescent="0.25">
      <c r="B702" s="2027" t="s">
        <v>1653</v>
      </c>
      <c r="C702" s="2024" t="str">
        <f t="shared" si="279"/>
        <v>Second OO</v>
      </c>
      <c r="D702" s="2025" t="s">
        <v>1302</v>
      </c>
      <c r="E702" s="2025" t="s">
        <v>98</v>
      </c>
      <c r="F702" s="2025" t="s">
        <v>329</v>
      </c>
      <c r="G702" s="2025" t="s">
        <v>179</v>
      </c>
      <c r="H702" s="2025" t="s">
        <v>136</v>
      </c>
      <c r="I702" s="2023" t="s">
        <v>1332</v>
      </c>
      <c r="J702" s="2023" t="s">
        <v>1311</v>
      </c>
      <c r="K702" s="2025" t="s">
        <v>1790</v>
      </c>
      <c r="L702" s="2023" t="s">
        <v>430</v>
      </c>
      <c r="M702" s="2023" t="s">
        <v>2677</v>
      </c>
      <c r="N702" s="2025" t="s">
        <v>82</v>
      </c>
      <c r="O702" s="2023" t="s">
        <v>310</v>
      </c>
      <c r="P702" s="2023" t="s">
        <v>291</v>
      </c>
      <c r="Q702" s="2023" t="s">
        <v>294</v>
      </c>
      <c r="R702" s="2023">
        <v>200000</v>
      </c>
      <c r="S702" s="2023">
        <v>350000</v>
      </c>
      <c r="T702" s="2023">
        <v>0</v>
      </c>
      <c r="U702" s="2023">
        <f t="shared" si="280"/>
        <v>350000</v>
      </c>
      <c r="V702" s="2023">
        <v>0</v>
      </c>
      <c r="W702" s="2023">
        <v>50</v>
      </c>
      <c r="X702" s="2023">
        <v>0</v>
      </c>
      <c r="Y702" s="2023">
        <v>999</v>
      </c>
      <c r="Z702" s="2026">
        <v>720</v>
      </c>
      <c r="AA702" s="2026">
        <v>999</v>
      </c>
      <c r="AB702" s="2026">
        <v>0</v>
      </c>
      <c r="AC702" s="2026">
        <v>999999</v>
      </c>
      <c r="AD702" s="2023">
        <v>0</v>
      </c>
      <c r="AE702" s="1482">
        <v>70</v>
      </c>
      <c r="AF702" s="170">
        <v>1</v>
      </c>
      <c r="AG702" s="171">
        <v>0</v>
      </c>
      <c r="AH702" s="171">
        <v>1</v>
      </c>
      <c r="AI702" s="171">
        <v>0</v>
      </c>
      <c r="AJ702" s="171">
        <v>0</v>
      </c>
      <c r="AK702" s="171">
        <v>1</v>
      </c>
      <c r="AL702" s="171">
        <v>1</v>
      </c>
      <c r="AM702" s="171">
        <v>1</v>
      </c>
      <c r="AN702" s="171">
        <v>1</v>
      </c>
      <c r="AO702" s="171">
        <v>1</v>
      </c>
      <c r="AP702" s="171">
        <v>1</v>
      </c>
      <c r="AQ702" s="171">
        <v>1</v>
      </c>
      <c r="AR702" s="171">
        <v>1</v>
      </c>
      <c r="AS702" s="171">
        <v>1</v>
      </c>
      <c r="AT702" s="171">
        <v>1</v>
      </c>
      <c r="AU702" s="171">
        <f t="shared" si="270"/>
        <v>1</v>
      </c>
      <c r="AV702" s="171">
        <f t="shared" si="271"/>
        <v>1</v>
      </c>
      <c r="AW702" s="171">
        <f t="shared" si="272"/>
        <v>1</v>
      </c>
      <c r="AX702" s="171">
        <f t="shared" si="284"/>
        <v>1</v>
      </c>
      <c r="AY702" s="171">
        <f t="shared" si="273"/>
        <v>1</v>
      </c>
      <c r="AZ702" s="171">
        <f t="shared" si="274"/>
        <v>1</v>
      </c>
      <c r="BA702" s="172">
        <f t="shared" si="275"/>
        <v>1</v>
      </c>
      <c r="BB702" s="175">
        <f t="shared" si="281"/>
        <v>19</v>
      </c>
      <c r="BC702" s="176">
        <f t="shared" si="282"/>
        <v>18</v>
      </c>
      <c r="BD702" s="176">
        <f t="shared" si="283"/>
        <v>18</v>
      </c>
      <c r="BE702" s="240" t="str">
        <f t="shared" si="289"/>
        <v/>
      </c>
      <c r="BF702" s="220"/>
      <c r="BG702" s="220"/>
      <c r="BH702" s="216">
        <f>IF(AND(Input_Product=Elig!$C702,Elig_MatchAll_Ct&lt;22,$BC702=(Elig_MatchAll_Ct-1),AF702=0),C702,0)</f>
        <v>0</v>
      </c>
      <c r="BI702" s="216">
        <f>IF(AND(Input_Product=Elig!$C702,Elig_MatchAll_Ct&lt;22,$BC702=(Elig_MatchAll_Ct-1),AG702=0),D702,0)</f>
        <v>0</v>
      </c>
      <c r="BJ702" s="216">
        <f>IF(AND(Input_Product=Elig!$C702,Elig_MatchAll_Ct&lt;22,$BC702=(Elig_MatchAll_Ct-1),AH702=0),E702,0)</f>
        <v>0</v>
      </c>
      <c r="BK702" s="216">
        <f>IF(AND(Input_Product=Elig!$C702,Elig_MatchAll_Ct&lt;22,$BC702=(Elig_MatchAll_Ct-1),AI702=0),F702,0)</f>
        <v>0</v>
      </c>
      <c r="BL702" s="216">
        <f>IF(AND(Input_Product=Elig!$C702,Elig_MatchAll_Ct&lt;22,$BC702=(Elig_MatchAll_Ct-1),AJ702=0),G702,0)</f>
        <v>0</v>
      </c>
      <c r="BM702" s="216">
        <f>IF(AND(Input_Product=Elig!$C702,Elig_MatchAll_Ct&lt;22,$BC702=(Elig_MatchAll_Ct-1),AK702=0),H702,0)</f>
        <v>0</v>
      </c>
      <c r="BN702" s="216">
        <f>IF(AND(Input_Product=Elig!$C702,Elig_MatchAll_Ct&lt;22,$BC702=(Elig_MatchAll_Ct-1),AL702=0),I702,0)</f>
        <v>0</v>
      </c>
      <c r="BO702" s="216">
        <f>IF(AND(Input_Product=Elig!$C702,Elig_MatchAll_Ct&lt;22,$BC702=(Elig_MatchAll_Ct-1),AM702=0),J702,0)</f>
        <v>0</v>
      </c>
      <c r="BP702" s="216">
        <f>IF(AND(Input_Product=Elig!$C702,Elig_MatchAll_Ct&lt;22,$BC702=(Elig_MatchAll_Ct-1),AN702=0),K702,0)</f>
        <v>0</v>
      </c>
      <c r="BQ702" s="216">
        <f>IF(AND(Input_Product=Elig!$C702,Elig_MatchAll_Ct&lt;22,$BC702=(Elig_MatchAll_Ct-1),AP702=0),L702,0)</f>
        <v>0</v>
      </c>
      <c r="BR702" s="216">
        <f>IF(AND(Input_Product=Elig!$C702,Elig_MatchAll_Ct&lt;22,$BC702=(Elig_MatchAll_Ct-1),AO702=0),M702,0)</f>
        <v>0</v>
      </c>
      <c r="BS702" s="216">
        <f>IF(AND(Input_Product=Elig!$C702,Elig_MatchAll_Ct&lt;22,$BC702=(Elig_MatchAll_Ct-1),AQ702=0),N702,0)</f>
        <v>0</v>
      </c>
      <c r="BT702" s="216">
        <f>IF(AND(Input_Product=Elig!$C702,Elig_MatchAll_Ct&lt;22,$BC702=(Elig_MatchAll_Ct-1),AR702=0),O702,0)</f>
        <v>0</v>
      </c>
      <c r="BU702" s="216">
        <f>IF(AND(Input_Product=Elig!$C702,Elig_MatchAll_Ct&lt;22,$BC702=(Elig_MatchAll_Ct-1),AS702=0),P702,0)</f>
        <v>0</v>
      </c>
      <c r="BV702" s="217">
        <f>IF(AND(Input_Product=Elig!$C702,Elig_MatchAll_Ct&lt;22,$BC702=(Elig_MatchAll_Ct-1),AT702=0),Q702,0)</f>
        <v>0</v>
      </c>
      <c r="BW702" s="313">
        <f>IF(AND(Input_Product=Elig!$C702,Elig_MatchAll_Ct&lt;22,$BC702=(Elig_MatchAll_Ct-1),AU702=0),R702,0)</f>
        <v>0</v>
      </c>
      <c r="BX702" s="314">
        <f>IF(AND(Input_Product=Elig!$C702,Elig_MatchAll_Ct&lt;22,$BC702=(Elig_MatchAll_Ct-1),AU702=0),S702,0)</f>
        <v>0</v>
      </c>
      <c r="BY702" s="313">
        <f>IF(AND(Input_Product=Elig!$C702,Elig_MatchAll_Ct&lt;22,$BC702=(Elig_MatchAll_Ct-1),AV702=0),T702,0)</f>
        <v>0</v>
      </c>
      <c r="BZ702" s="314">
        <f>IF(AND(Input_Product=Elig!$C702,Elig_MatchAll_Ct&lt;22,$BC702=(Elig_MatchAll_Ct-1),AV702=0),U702,0)</f>
        <v>0</v>
      </c>
      <c r="CA702" s="313">
        <f>IF(AND(Input_Product=Elig!$C702,Elig_MatchAll_Ct&lt;22,$BC702=(Elig_MatchAll_Ct-1),AW702=0),V702,0)</f>
        <v>0</v>
      </c>
      <c r="CB702" s="314">
        <f>IF(AND(Input_Product=Elig!$C702,Elig_MatchAll_Ct&lt;22,$BC702=(Elig_MatchAll_Ct-1),AW702=0),W702,0)</f>
        <v>0</v>
      </c>
      <c r="CC702" s="313">
        <f>IF(AND(Input_Product=Elig!$C702,Elig_MatchAll_Ct&lt;22,$BC702=(Elig_MatchAll_Ct-1),AX702=0),X702,0)</f>
        <v>0</v>
      </c>
      <c r="CD702" s="314">
        <f>IF(AND(Input_Product=Elig!$C702,Elig_MatchAll_Ct&lt;22,$BC702=(Elig_MatchAll_Ct-1),AX702=0),Y702,0)</f>
        <v>0</v>
      </c>
      <c r="CE702" s="313">
        <f>IF(AND(Input_LTV&lt;=AE702,Input_Product=Elig!$C702,Elig_MatchAll_Ct&lt;22,$BC702=(Elig_MatchAll_Ct-1),AY702=0),Z702,0)</f>
        <v>0</v>
      </c>
      <c r="CF702" s="314">
        <f>IF(AND(Input_LTV&lt;=AE702,Input_Product=Elig!$C702,Elig_MatchAll_Ct&lt;22,$BC702=(Elig_MatchAll_Ct-1),AY702=0),AA702,0)</f>
        <v>0</v>
      </c>
      <c r="CG702" s="313">
        <f>IF(AND(Input_Product=Elig!$C702,Elig_MatchAll_Ct&lt;22,$BC702=(Elig_MatchAll_Ct-1),AZ702=0),AB702,0)</f>
        <v>0</v>
      </c>
      <c r="CH702" s="314">
        <f>IF(AND(Input_Product=Elig!$C702,Elig_MatchAll_Ct&lt;22,$BC702=(Elig_MatchAll_Ct-1),AZ702=0),AC702,0)</f>
        <v>0</v>
      </c>
      <c r="CI702" s="313">
        <f>IF(AND(Input_Product=Elig!$C702,Elig_MatchAll_Ct&lt;22,$BC702=(Elig_MatchAll_Ct-1),BA702=0),AD702,0)</f>
        <v>0</v>
      </c>
      <c r="CJ702" s="314">
        <f>IF(AND(Input_Product=Elig!$C702,Elig_MatchAll_Ct&lt;22,$BC702=(Elig_MatchAll_Ct-1),BA702=0),AE702,0)</f>
        <v>0</v>
      </c>
    </row>
    <row r="703" spans="2:88" ht="10.15" customHeight="1" x14ac:dyDescent="0.25">
      <c r="B703" s="2027" t="s">
        <v>1654</v>
      </c>
      <c r="C703" s="2028" t="str">
        <f t="shared" si="279"/>
        <v>Second OO</v>
      </c>
      <c r="D703" s="2027" t="s">
        <v>1302</v>
      </c>
      <c r="E703" s="2027" t="s">
        <v>98</v>
      </c>
      <c r="F703" s="2027" t="s">
        <v>329</v>
      </c>
      <c r="G703" s="2029" t="s">
        <v>179</v>
      </c>
      <c r="H703" s="2029" t="s">
        <v>136</v>
      </c>
      <c r="I703" s="2027" t="s">
        <v>1332</v>
      </c>
      <c r="J703" s="2027" t="s">
        <v>1311</v>
      </c>
      <c r="K703" s="2029" t="s">
        <v>1790</v>
      </c>
      <c r="L703" s="2027" t="s">
        <v>430</v>
      </c>
      <c r="M703" s="2027" t="s">
        <v>2677</v>
      </c>
      <c r="N703" s="2029" t="s">
        <v>82</v>
      </c>
      <c r="O703" s="2027" t="s">
        <v>310</v>
      </c>
      <c r="P703" s="2027" t="s">
        <v>291</v>
      </c>
      <c r="Q703" s="2027" t="s">
        <v>294</v>
      </c>
      <c r="R703" s="2027">
        <v>200000</v>
      </c>
      <c r="S703" s="2027">
        <v>350000</v>
      </c>
      <c r="T703" s="2027">
        <v>0</v>
      </c>
      <c r="U703" s="2027">
        <f t="shared" si="280"/>
        <v>350000</v>
      </c>
      <c r="V703" s="2027">
        <v>0</v>
      </c>
      <c r="W703" s="2027">
        <v>50</v>
      </c>
      <c r="X703" s="2027">
        <v>0</v>
      </c>
      <c r="Y703" s="2027">
        <v>999</v>
      </c>
      <c r="Z703" s="2030">
        <v>700</v>
      </c>
      <c r="AA703" s="2030">
        <v>719</v>
      </c>
      <c r="AB703" s="2030">
        <v>0</v>
      </c>
      <c r="AC703" s="2030">
        <v>999999</v>
      </c>
      <c r="AD703" s="2027">
        <v>0</v>
      </c>
      <c r="AE703" s="1483">
        <v>65</v>
      </c>
      <c r="AF703" s="170">
        <v>1</v>
      </c>
      <c r="AG703" s="171">
        <v>0</v>
      </c>
      <c r="AH703" s="171">
        <v>1</v>
      </c>
      <c r="AI703" s="171">
        <v>0</v>
      </c>
      <c r="AJ703" s="171">
        <v>0</v>
      </c>
      <c r="AK703" s="171">
        <v>1</v>
      </c>
      <c r="AL703" s="171">
        <v>1</v>
      </c>
      <c r="AM703" s="171">
        <v>1</v>
      </c>
      <c r="AN703" s="171">
        <v>1</v>
      </c>
      <c r="AO703" s="171">
        <v>1</v>
      </c>
      <c r="AP703" s="171">
        <v>1</v>
      </c>
      <c r="AQ703" s="171">
        <v>1</v>
      </c>
      <c r="AR703" s="171">
        <v>1</v>
      </c>
      <c r="AS703" s="171">
        <v>1</v>
      </c>
      <c r="AT703" s="171">
        <v>1</v>
      </c>
      <c r="AU703" s="171">
        <f t="shared" si="270"/>
        <v>1</v>
      </c>
      <c r="AV703" s="171">
        <f t="shared" si="271"/>
        <v>1</v>
      </c>
      <c r="AW703" s="171">
        <f t="shared" si="272"/>
        <v>1</v>
      </c>
      <c r="AX703" s="171">
        <f t="shared" si="284"/>
        <v>1</v>
      </c>
      <c r="AY703" s="171">
        <f t="shared" si="273"/>
        <v>0</v>
      </c>
      <c r="AZ703" s="171">
        <f t="shared" si="274"/>
        <v>1</v>
      </c>
      <c r="BA703" s="172">
        <f t="shared" si="275"/>
        <v>1</v>
      </c>
      <c r="BB703" s="175">
        <f t="shared" si="281"/>
        <v>18</v>
      </c>
      <c r="BC703" s="176">
        <f t="shared" si="282"/>
        <v>17</v>
      </c>
      <c r="BD703" s="176">
        <f t="shared" si="283"/>
        <v>17</v>
      </c>
      <c r="BE703" s="240" t="str">
        <f t="shared" si="289"/>
        <v/>
      </c>
      <c r="BF703" s="234"/>
      <c r="BG703" s="234"/>
      <c r="BH703" s="199">
        <f>IF(AND(Input_Product=Elig!$C703,Elig_MatchAll_Ct&lt;22,$BC703=(Elig_MatchAll_Ct-1),AF703=0),C703,0)</f>
        <v>0</v>
      </c>
      <c r="BI703" s="199">
        <f>IF(AND(Input_Product=Elig!$C703,Elig_MatchAll_Ct&lt;22,$BC703=(Elig_MatchAll_Ct-1),AG703=0),D703,0)</f>
        <v>0</v>
      </c>
      <c r="BJ703" s="199">
        <f>IF(AND(Input_Product=Elig!$C703,Elig_MatchAll_Ct&lt;22,$BC703=(Elig_MatchAll_Ct-1),AH703=0),E703,0)</f>
        <v>0</v>
      </c>
      <c r="BK703" s="199">
        <f>IF(AND(Input_Product=Elig!$C703,Elig_MatchAll_Ct&lt;22,$BC703=(Elig_MatchAll_Ct-1),AI703=0),F703,0)</f>
        <v>0</v>
      </c>
      <c r="BL703" s="199">
        <f>IF(AND(Input_Product=Elig!$C703,Elig_MatchAll_Ct&lt;22,$BC703=(Elig_MatchAll_Ct-1),AJ703=0),G703,0)</f>
        <v>0</v>
      </c>
      <c r="BM703" s="199">
        <f>IF(AND(Input_Product=Elig!$C703,Elig_MatchAll_Ct&lt;22,$BC703=(Elig_MatchAll_Ct-1),AK703=0),H703,0)</f>
        <v>0</v>
      </c>
      <c r="BN703" s="199">
        <f>IF(AND(Input_Product=Elig!$C703,Elig_MatchAll_Ct&lt;22,$BC703=(Elig_MatchAll_Ct-1),AL703=0),I703,0)</f>
        <v>0</v>
      </c>
      <c r="BO703" s="199">
        <f>IF(AND(Input_Product=Elig!$C703,Elig_MatchAll_Ct&lt;22,$BC703=(Elig_MatchAll_Ct-1),AM703=0),J703,0)</f>
        <v>0</v>
      </c>
      <c r="BP703" s="199">
        <f>IF(AND(Input_Product=Elig!$C703,Elig_MatchAll_Ct&lt;22,$BC703=(Elig_MatchAll_Ct-1),AN703=0),K703,0)</f>
        <v>0</v>
      </c>
      <c r="BQ703" s="199">
        <f>IF(AND(Input_Product=Elig!$C703,Elig_MatchAll_Ct&lt;22,$BC703=(Elig_MatchAll_Ct-1),AP703=0),L703,0)</f>
        <v>0</v>
      </c>
      <c r="BR703" s="199">
        <f>IF(AND(Input_Product=Elig!$C703,Elig_MatchAll_Ct&lt;22,$BC703=(Elig_MatchAll_Ct-1),AO703=0),M703,0)</f>
        <v>0</v>
      </c>
      <c r="BS703" s="199">
        <f>IF(AND(Input_Product=Elig!$C703,Elig_MatchAll_Ct&lt;22,$BC703=(Elig_MatchAll_Ct-1),AQ703=0),N703,0)</f>
        <v>0</v>
      </c>
      <c r="BT703" s="199">
        <f>IF(AND(Input_Product=Elig!$C703,Elig_MatchAll_Ct&lt;22,$BC703=(Elig_MatchAll_Ct-1),AR703=0),O703,0)</f>
        <v>0</v>
      </c>
      <c r="BU703" s="199">
        <f>IF(AND(Input_Product=Elig!$C703,Elig_MatchAll_Ct&lt;22,$BC703=(Elig_MatchAll_Ct-1),AS703=0),P703,0)</f>
        <v>0</v>
      </c>
      <c r="BV703" s="200">
        <f>IF(AND(Input_Product=Elig!$C703,Elig_MatchAll_Ct&lt;22,$BC703=(Elig_MatchAll_Ct-1),AT703=0),Q703,0)</f>
        <v>0</v>
      </c>
      <c r="BW703" s="201">
        <f>IF(AND(Input_Product=Elig!$C703,Elig_MatchAll_Ct&lt;22,$BC703=(Elig_MatchAll_Ct-1),AU703=0),R703,0)</f>
        <v>0</v>
      </c>
      <c r="BX703" s="202">
        <f>IF(AND(Input_Product=Elig!$C703,Elig_MatchAll_Ct&lt;22,$BC703=(Elig_MatchAll_Ct-1),AU703=0),S703,0)</f>
        <v>0</v>
      </c>
      <c r="BY703" s="201">
        <f>IF(AND(Input_Product=Elig!$C703,Elig_MatchAll_Ct&lt;22,$BC703=(Elig_MatchAll_Ct-1),AV703=0),T703,0)</f>
        <v>0</v>
      </c>
      <c r="BZ703" s="202">
        <f>IF(AND(Input_Product=Elig!$C703,Elig_MatchAll_Ct&lt;22,$BC703=(Elig_MatchAll_Ct-1),AV703=0),U703,0)</f>
        <v>0</v>
      </c>
      <c r="CA703" s="201">
        <f>IF(AND(Input_Product=Elig!$C703,Elig_MatchAll_Ct&lt;22,$BC703=(Elig_MatchAll_Ct-1),AW703=0),V703,0)</f>
        <v>0</v>
      </c>
      <c r="CB703" s="202">
        <f>IF(AND(Input_Product=Elig!$C703,Elig_MatchAll_Ct&lt;22,$BC703=(Elig_MatchAll_Ct-1),AW703=0),W703,0)</f>
        <v>0</v>
      </c>
      <c r="CC703" s="201">
        <f>IF(AND(Input_Product=Elig!$C703,Elig_MatchAll_Ct&lt;22,$BC703=(Elig_MatchAll_Ct-1),AX703=0),X703,0)</f>
        <v>0</v>
      </c>
      <c r="CD703" s="202">
        <f>IF(AND(Input_Product=Elig!$C703,Elig_MatchAll_Ct&lt;22,$BC703=(Elig_MatchAll_Ct-1),AX703=0),Y703,0)</f>
        <v>0</v>
      </c>
      <c r="CE703" s="201">
        <f>IF(AND(Input_LTV&lt;=AE703,Input_Product=Elig!$C703,Elig_MatchAll_Ct&lt;22,$BC703=(Elig_MatchAll_Ct-1),AY703=0),Z703,0)</f>
        <v>0</v>
      </c>
      <c r="CF703" s="202">
        <f>IF(AND(Input_LTV&lt;=AE703,Input_Product=Elig!$C703,Elig_MatchAll_Ct&lt;22,$BC703=(Elig_MatchAll_Ct-1),AY703=0),AA703,0)</f>
        <v>0</v>
      </c>
      <c r="CG703" s="201">
        <f>IF(AND(Input_Product=Elig!$C703,Elig_MatchAll_Ct&lt;22,$BC703=(Elig_MatchAll_Ct-1),AZ703=0),AB703,0)</f>
        <v>0</v>
      </c>
      <c r="CH703" s="202">
        <f>IF(AND(Input_Product=Elig!$C703,Elig_MatchAll_Ct&lt;22,$BC703=(Elig_MatchAll_Ct-1),AZ703=0),AC703,0)</f>
        <v>0</v>
      </c>
      <c r="CI703" s="201">
        <f>IF(AND(Input_Product=Elig!$C703,Elig_MatchAll_Ct&lt;22,$BC703=(Elig_MatchAll_Ct-1),BA703=0),AD703,0)</f>
        <v>0</v>
      </c>
      <c r="CJ703" s="202">
        <f>IF(AND(Input_Product=Elig!$C703,Elig_MatchAll_Ct&lt;22,$BC703=(Elig_MatchAll_Ct-1),BA703=0),AE703,0)</f>
        <v>0</v>
      </c>
    </row>
    <row r="704" spans="2:88" ht="10.15" customHeight="1" x14ac:dyDescent="0.25">
      <c r="B704" s="2027" t="s">
        <v>1655</v>
      </c>
      <c r="C704" s="2028" t="str">
        <f t="shared" si="279"/>
        <v>Second OO</v>
      </c>
      <c r="D704" s="2027" t="s">
        <v>1302</v>
      </c>
      <c r="E704" s="2027" t="s">
        <v>98</v>
      </c>
      <c r="F704" s="2027" t="s">
        <v>329</v>
      </c>
      <c r="G704" s="2029" t="s">
        <v>179</v>
      </c>
      <c r="H704" s="2029" t="s">
        <v>136</v>
      </c>
      <c r="I704" s="2027" t="s">
        <v>1332</v>
      </c>
      <c r="J704" s="2027" t="s">
        <v>1311</v>
      </c>
      <c r="K704" s="2029" t="s">
        <v>1790</v>
      </c>
      <c r="L704" s="2027" t="s">
        <v>430</v>
      </c>
      <c r="M704" s="2027" t="s">
        <v>2677</v>
      </c>
      <c r="N704" s="2029" t="s">
        <v>82</v>
      </c>
      <c r="O704" s="2027" t="s">
        <v>310</v>
      </c>
      <c r="P704" s="2027" t="s">
        <v>291</v>
      </c>
      <c r="Q704" s="2027" t="s">
        <v>294</v>
      </c>
      <c r="R704" s="2027">
        <v>200000</v>
      </c>
      <c r="S704" s="2027">
        <v>350000</v>
      </c>
      <c r="T704" s="2027">
        <v>0</v>
      </c>
      <c r="U704" s="2027">
        <f t="shared" si="280"/>
        <v>350000</v>
      </c>
      <c r="V704" s="2027">
        <v>0</v>
      </c>
      <c r="W704" s="2027">
        <v>50</v>
      </c>
      <c r="X704" s="2027">
        <v>0</v>
      </c>
      <c r="Y704" s="2027">
        <v>999</v>
      </c>
      <c r="Z704" s="2030">
        <v>680</v>
      </c>
      <c r="AA704" s="2030">
        <v>699</v>
      </c>
      <c r="AB704" s="2030">
        <v>0</v>
      </c>
      <c r="AC704" s="2030">
        <v>999999</v>
      </c>
      <c r="AD704" s="2027">
        <v>0</v>
      </c>
      <c r="AE704" s="1483">
        <v>60</v>
      </c>
      <c r="AF704" s="170">
        <v>1</v>
      </c>
      <c r="AG704" s="171">
        <v>0</v>
      </c>
      <c r="AH704" s="171">
        <v>1</v>
      </c>
      <c r="AI704" s="171">
        <v>0</v>
      </c>
      <c r="AJ704" s="171">
        <v>0</v>
      </c>
      <c r="AK704" s="171">
        <v>1</v>
      </c>
      <c r="AL704" s="171">
        <v>1</v>
      </c>
      <c r="AM704" s="171">
        <v>1</v>
      </c>
      <c r="AN704" s="171">
        <v>1</v>
      </c>
      <c r="AO704" s="171">
        <v>1</v>
      </c>
      <c r="AP704" s="171">
        <v>1</v>
      </c>
      <c r="AQ704" s="171">
        <v>1</v>
      </c>
      <c r="AR704" s="171">
        <v>1</v>
      </c>
      <c r="AS704" s="171">
        <v>1</v>
      </c>
      <c r="AT704" s="171">
        <v>1</v>
      </c>
      <c r="AU704" s="171">
        <f t="shared" ref="AU704:AU783" si="294">IF(AND(Input_LoanAmt&gt;=Elig_LoanAmt_Min,Input_LoanAmt&lt;=Elig_LoanAmt_Max),1,0)</f>
        <v>1</v>
      </c>
      <c r="AV704" s="171">
        <f t="shared" ref="AV704:AV783" si="295">IF(AND(Input_CashoutAmt&gt;=Elig_CashoutAmt_Min,Input_CashoutAmt&lt;=Elig_CashoutAmt_Max),1,0)</f>
        <v>1</v>
      </c>
      <c r="AW704" s="171">
        <f t="shared" ref="AW704:AW783" si="296">IF(AND(Input_DTI&gt;=Elig_DTI_Min,Input_DTI&lt;=Elig_DTI_Max),1,0)</f>
        <v>1</v>
      </c>
      <c r="AX704" s="171">
        <f t="shared" si="284"/>
        <v>1</v>
      </c>
      <c r="AY704" s="171">
        <f t="shared" ref="AY704:AY783" si="297">IF(AND(Input_CreditScore&gt;=Elig_CreditScore_Min,Input_CreditScore&lt;=Elig_CreditScore_Max),1,0)</f>
        <v>0</v>
      </c>
      <c r="AZ704" s="171">
        <f t="shared" ref="AZ704:AZ783" si="298">IF(AND(Input_ReservesMonths&gt;=Elig_Reserves_Min,Input_ReservesMonths&lt;=Elig_Reserves_Max),1,0)</f>
        <v>1</v>
      </c>
      <c r="BA704" s="172">
        <f t="shared" ref="BA704:BA783" si="299">IF(AND(Input_LTV&gt;=Elig_LTV_Min,Input_LTV&lt;=Elig_LTV_Max),1,0)</f>
        <v>0</v>
      </c>
      <c r="BB704" s="175">
        <f t="shared" si="281"/>
        <v>17</v>
      </c>
      <c r="BC704" s="176">
        <f t="shared" si="282"/>
        <v>17</v>
      </c>
      <c r="BD704" s="176">
        <f t="shared" si="283"/>
        <v>16</v>
      </c>
      <c r="BE704" s="240" t="str">
        <f t="shared" si="289"/>
        <v/>
      </c>
      <c r="BF704" s="234"/>
      <c r="BG704" s="234"/>
      <c r="BH704" s="199">
        <f>IF(AND(Input_Product=Elig!$C704,Elig_MatchAll_Ct&lt;22,$BC704=(Elig_MatchAll_Ct-1),AF704=0),C704,0)</f>
        <v>0</v>
      </c>
      <c r="BI704" s="199">
        <f>IF(AND(Input_Product=Elig!$C704,Elig_MatchAll_Ct&lt;22,$BC704=(Elig_MatchAll_Ct-1),AG704=0),D704,0)</f>
        <v>0</v>
      </c>
      <c r="BJ704" s="199">
        <f>IF(AND(Input_Product=Elig!$C704,Elig_MatchAll_Ct&lt;22,$BC704=(Elig_MatchAll_Ct-1),AH704=0),E704,0)</f>
        <v>0</v>
      </c>
      <c r="BK704" s="199">
        <f>IF(AND(Input_Product=Elig!$C704,Elig_MatchAll_Ct&lt;22,$BC704=(Elig_MatchAll_Ct-1),AI704=0),F704,0)</f>
        <v>0</v>
      </c>
      <c r="BL704" s="199">
        <f>IF(AND(Input_Product=Elig!$C704,Elig_MatchAll_Ct&lt;22,$BC704=(Elig_MatchAll_Ct-1),AJ704=0),G704,0)</f>
        <v>0</v>
      </c>
      <c r="BM704" s="199">
        <f>IF(AND(Input_Product=Elig!$C704,Elig_MatchAll_Ct&lt;22,$BC704=(Elig_MatchAll_Ct-1),AK704=0),H704,0)</f>
        <v>0</v>
      </c>
      <c r="BN704" s="199">
        <f>IF(AND(Input_Product=Elig!$C704,Elig_MatchAll_Ct&lt;22,$BC704=(Elig_MatchAll_Ct-1),AL704=0),I704,0)</f>
        <v>0</v>
      </c>
      <c r="BO704" s="199">
        <f>IF(AND(Input_Product=Elig!$C704,Elig_MatchAll_Ct&lt;22,$BC704=(Elig_MatchAll_Ct-1),AM704=0),J704,0)</f>
        <v>0</v>
      </c>
      <c r="BP704" s="199">
        <f>IF(AND(Input_Product=Elig!$C704,Elig_MatchAll_Ct&lt;22,$BC704=(Elig_MatchAll_Ct-1),AN704=0),K704,0)</f>
        <v>0</v>
      </c>
      <c r="BQ704" s="199">
        <f>IF(AND(Input_Product=Elig!$C704,Elig_MatchAll_Ct&lt;22,$BC704=(Elig_MatchAll_Ct-1),AP704=0),L704,0)</f>
        <v>0</v>
      </c>
      <c r="BR704" s="199">
        <f>IF(AND(Input_Product=Elig!$C704,Elig_MatchAll_Ct&lt;22,$BC704=(Elig_MatchAll_Ct-1),AO704=0),M704,0)</f>
        <v>0</v>
      </c>
      <c r="BS704" s="199">
        <f>IF(AND(Input_Product=Elig!$C704,Elig_MatchAll_Ct&lt;22,$BC704=(Elig_MatchAll_Ct-1),AQ704=0),N704,0)</f>
        <v>0</v>
      </c>
      <c r="BT704" s="199">
        <f>IF(AND(Input_Product=Elig!$C704,Elig_MatchAll_Ct&lt;22,$BC704=(Elig_MatchAll_Ct-1),AR704=0),O704,0)</f>
        <v>0</v>
      </c>
      <c r="BU704" s="199">
        <f>IF(AND(Input_Product=Elig!$C704,Elig_MatchAll_Ct&lt;22,$BC704=(Elig_MatchAll_Ct-1),AS704=0),P704,0)</f>
        <v>0</v>
      </c>
      <c r="BV704" s="200">
        <f>IF(AND(Input_Product=Elig!$C704,Elig_MatchAll_Ct&lt;22,$BC704=(Elig_MatchAll_Ct-1),AT704=0),Q704,0)</f>
        <v>0</v>
      </c>
      <c r="BW704" s="201">
        <f>IF(AND(Input_Product=Elig!$C704,Elig_MatchAll_Ct&lt;22,$BC704=(Elig_MatchAll_Ct-1),AU704=0),R704,0)</f>
        <v>0</v>
      </c>
      <c r="BX704" s="202">
        <f>IF(AND(Input_Product=Elig!$C704,Elig_MatchAll_Ct&lt;22,$BC704=(Elig_MatchAll_Ct-1),AU704=0),S704,0)</f>
        <v>0</v>
      </c>
      <c r="BY704" s="201">
        <f>IF(AND(Input_Product=Elig!$C704,Elig_MatchAll_Ct&lt;22,$BC704=(Elig_MatchAll_Ct-1),AV704=0),T704,0)</f>
        <v>0</v>
      </c>
      <c r="BZ704" s="202">
        <f>IF(AND(Input_Product=Elig!$C704,Elig_MatchAll_Ct&lt;22,$BC704=(Elig_MatchAll_Ct-1),AV704=0),U704,0)</f>
        <v>0</v>
      </c>
      <c r="CA704" s="201">
        <f>IF(AND(Input_Product=Elig!$C704,Elig_MatchAll_Ct&lt;22,$BC704=(Elig_MatchAll_Ct-1),AW704=0),V704,0)</f>
        <v>0</v>
      </c>
      <c r="CB704" s="202">
        <f>IF(AND(Input_Product=Elig!$C704,Elig_MatchAll_Ct&lt;22,$BC704=(Elig_MatchAll_Ct-1),AW704=0),W704,0)</f>
        <v>0</v>
      </c>
      <c r="CC704" s="201">
        <f>IF(AND(Input_Product=Elig!$C704,Elig_MatchAll_Ct&lt;22,$BC704=(Elig_MatchAll_Ct-1),AX704=0),X704,0)</f>
        <v>0</v>
      </c>
      <c r="CD704" s="202">
        <f>IF(AND(Input_Product=Elig!$C704,Elig_MatchAll_Ct&lt;22,$BC704=(Elig_MatchAll_Ct-1),AX704=0),Y704,0)</f>
        <v>0</v>
      </c>
      <c r="CE704" s="201">
        <f>IF(AND(Input_LTV&lt;=AE704,Input_Product=Elig!$C704,Elig_MatchAll_Ct&lt;22,$BC704=(Elig_MatchAll_Ct-1),AY704=0),Z704,0)</f>
        <v>0</v>
      </c>
      <c r="CF704" s="202">
        <f>IF(AND(Input_LTV&lt;=AE704,Input_Product=Elig!$C704,Elig_MatchAll_Ct&lt;22,$BC704=(Elig_MatchAll_Ct-1),AY704=0),AA704,0)</f>
        <v>0</v>
      </c>
      <c r="CG704" s="201">
        <f>IF(AND(Input_Product=Elig!$C704,Elig_MatchAll_Ct&lt;22,$BC704=(Elig_MatchAll_Ct-1),AZ704=0),AB704,0)</f>
        <v>0</v>
      </c>
      <c r="CH704" s="202">
        <f>IF(AND(Input_Product=Elig!$C704,Elig_MatchAll_Ct&lt;22,$BC704=(Elig_MatchAll_Ct-1),AZ704=0),AC704,0)</f>
        <v>0</v>
      </c>
      <c r="CI704" s="201">
        <f>IF(AND(Input_Product=Elig!$C704,Elig_MatchAll_Ct&lt;22,$BC704=(Elig_MatchAll_Ct-1),BA704=0),AD704,0)</f>
        <v>0</v>
      </c>
      <c r="CJ704" s="202">
        <f>IF(AND(Input_Product=Elig!$C704,Elig_MatchAll_Ct&lt;22,$BC704=(Elig_MatchAll_Ct-1),BA704=0),AE704,0)</f>
        <v>0</v>
      </c>
    </row>
    <row r="705" spans="2:88" ht="10.15" customHeight="1" x14ac:dyDescent="0.25">
      <c r="B705" s="2027" t="s">
        <v>1656</v>
      </c>
      <c r="C705" s="2032" t="str">
        <f t="shared" si="279"/>
        <v>Second OO</v>
      </c>
      <c r="D705" s="2031" t="s">
        <v>1302</v>
      </c>
      <c r="E705" s="2031" t="s">
        <v>98</v>
      </c>
      <c r="F705" s="2031" t="s">
        <v>329</v>
      </c>
      <c r="G705" s="2033" t="s">
        <v>179</v>
      </c>
      <c r="H705" s="2033" t="s">
        <v>136</v>
      </c>
      <c r="I705" s="2031" t="s">
        <v>1332</v>
      </c>
      <c r="J705" s="2031" t="s">
        <v>1311</v>
      </c>
      <c r="K705" s="2033" t="s">
        <v>1790</v>
      </c>
      <c r="L705" s="2031" t="s">
        <v>430</v>
      </c>
      <c r="M705" s="2031" t="s">
        <v>2677</v>
      </c>
      <c r="N705" s="2033" t="s">
        <v>82</v>
      </c>
      <c r="O705" s="2031" t="s">
        <v>310</v>
      </c>
      <c r="P705" s="2031" t="s">
        <v>291</v>
      </c>
      <c r="Q705" s="2031" t="s">
        <v>294</v>
      </c>
      <c r="R705" s="2031">
        <v>200000</v>
      </c>
      <c r="S705" s="2031">
        <v>350000</v>
      </c>
      <c r="T705" s="2031">
        <v>0</v>
      </c>
      <c r="U705" s="2031">
        <f t="shared" si="280"/>
        <v>350000</v>
      </c>
      <c r="V705" s="2031">
        <v>0</v>
      </c>
      <c r="W705" s="2031">
        <v>50</v>
      </c>
      <c r="X705" s="2031">
        <v>0</v>
      </c>
      <c r="Y705" s="2031">
        <v>999</v>
      </c>
      <c r="Z705" s="2034">
        <v>660</v>
      </c>
      <c r="AA705" s="2034">
        <v>679</v>
      </c>
      <c r="AB705" s="2034">
        <v>0</v>
      </c>
      <c r="AC705" s="2034">
        <v>999999</v>
      </c>
      <c r="AD705" s="2031">
        <v>0</v>
      </c>
      <c r="AE705" s="1484">
        <v>55</v>
      </c>
      <c r="AF705" s="170">
        <v>1</v>
      </c>
      <c r="AG705" s="171">
        <v>0</v>
      </c>
      <c r="AH705" s="171">
        <v>1</v>
      </c>
      <c r="AI705" s="171">
        <v>0</v>
      </c>
      <c r="AJ705" s="171">
        <v>0</v>
      </c>
      <c r="AK705" s="171">
        <v>1</v>
      </c>
      <c r="AL705" s="171">
        <v>1</v>
      </c>
      <c r="AM705" s="171">
        <v>1</v>
      </c>
      <c r="AN705" s="171">
        <v>1</v>
      </c>
      <c r="AO705" s="171">
        <v>1</v>
      </c>
      <c r="AP705" s="171">
        <v>1</v>
      </c>
      <c r="AQ705" s="171">
        <v>1</v>
      </c>
      <c r="AR705" s="171">
        <v>1</v>
      </c>
      <c r="AS705" s="171">
        <v>1</v>
      </c>
      <c r="AT705" s="171">
        <v>1</v>
      </c>
      <c r="AU705" s="171">
        <f t="shared" si="294"/>
        <v>1</v>
      </c>
      <c r="AV705" s="171">
        <f t="shared" si="295"/>
        <v>1</v>
      </c>
      <c r="AW705" s="171">
        <f t="shared" si="296"/>
        <v>1</v>
      </c>
      <c r="AX705" s="171">
        <f t="shared" si="284"/>
        <v>1</v>
      </c>
      <c r="AY705" s="171">
        <f t="shared" si="297"/>
        <v>0</v>
      </c>
      <c r="AZ705" s="171">
        <f t="shared" si="298"/>
        <v>1</v>
      </c>
      <c r="BA705" s="172">
        <f t="shared" si="299"/>
        <v>0</v>
      </c>
      <c r="BB705" s="175">
        <f t="shared" si="281"/>
        <v>17</v>
      </c>
      <c r="BC705" s="176">
        <f t="shared" si="282"/>
        <v>17</v>
      </c>
      <c r="BD705" s="176">
        <f t="shared" si="283"/>
        <v>16</v>
      </c>
      <c r="BE705" s="240" t="str">
        <f t="shared" si="289"/>
        <v/>
      </c>
      <c r="BF705" s="234"/>
      <c r="BG705" s="234"/>
      <c r="BH705" s="214">
        <f>IF(AND(Input_Product=Elig!$C705,Elig_MatchAll_Ct&lt;22,$BC705=(Elig_MatchAll_Ct-1),AF705=0),C705,0)</f>
        <v>0</v>
      </c>
      <c r="BI705" s="214">
        <f>IF(AND(Input_Product=Elig!$C705,Elig_MatchAll_Ct&lt;22,$BC705=(Elig_MatchAll_Ct-1),AG705=0),D705,0)</f>
        <v>0</v>
      </c>
      <c r="BJ705" s="214">
        <f>IF(AND(Input_Product=Elig!$C705,Elig_MatchAll_Ct&lt;22,$BC705=(Elig_MatchAll_Ct-1),AH705=0),E705,0)</f>
        <v>0</v>
      </c>
      <c r="BK705" s="214">
        <f>IF(AND(Input_Product=Elig!$C705,Elig_MatchAll_Ct&lt;22,$BC705=(Elig_MatchAll_Ct-1),AI705=0),F705,0)</f>
        <v>0</v>
      </c>
      <c r="BL705" s="214">
        <f>IF(AND(Input_Product=Elig!$C705,Elig_MatchAll_Ct&lt;22,$BC705=(Elig_MatchAll_Ct-1),AJ705=0),G705,0)</f>
        <v>0</v>
      </c>
      <c r="BM705" s="214">
        <f>IF(AND(Input_Product=Elig!$C705,Elig_MatchAll_Ct&lt;22,$BC705=(Elig_MatchAll_Ct-1),AK705=0),H705,0)</f>
        <v>0</v>
      </c>
      <c r="BN705" s="214">
        <f>IF(AND(Input_Product=Elig!$C705,Elig_MatchAll_Ct&lt;22,$BC705=(Elig_MatchAll_Ct-1),AL705=0),I705,0)</f>
        <v>0</v>
      </c>
      <c r="BO705" s="214">
        <f>IF(AND(Input_Product=Elig!$C705,Elig_MatchAll_Ct&lt;22,$BC705=(Elig_MatchAll_Ct-1),AM705=0),J705,0)</f>
        <v>0</v>
      </c>
      <c r="BP705" s="214">
        <f>IF(AND(Input_Product=Elig!$C705,Elig_MatchAll_Ct&lt;22,$BC705=(Elig_MatchAll_Ct-1),AN705=0),K705,0)</f>
        <v>0</v>
      </c>
      <c r="BQ705" s="214">
        <f>IF(AND(Input_Product=Elig!$C705,Elig_MatchAll_Ct&lt;22,$BC705=(Elig_MatchAll_Ct-1),AP705=0),L705,0)</f>
        <v>0</v>
      </c>
      <c r="BR705" s="214">
        <f>IF(AND(Input_Product=Elig!$C705,Elig_MatchAll_Ct&lt;22,$BC705=(Elig_MatchAll_Ct-1),AO705=0),M705,0)</f>
        <v>0</v>
      </c>
      <c r="BS705" s="214">
        <f>IF(AND(Input_Product=Elig!$C705,Elig_MatchAll_Ct&lt;22,$BC705=(Elig_MatchAll_Ct-1),AQ705=0),N705,0)</f>
        <v>0</v>
      </c>
      <c r="BT705" s="214">
        <f>IF(AND(Input_Product=Elig!$C705,Elig_MatchAll_Ct&lt;22,$BC705=(Elig_MatchAll_Ct-1),AR705=0),O705,0)</f>
        <v>0</v>
      </c>
      <c r="BU705" s="214">
        <f>IF(AND(Input_Product=Elig!$C705,Elig_MatchAll_Ct&lt;22,$BC705=(Elig_MatchAll_Ct-1),AS705=0),P705,0)</f>
        <v>0</v>
      </c>
      <c r="BV705" s="215">
        <f>IF(AND(Input_Product=Elig!$C705,Elig_MatchAll_Ct&lt;22,$BC705=(Elig_MatchAll_Ct-1),AT705=0),Q705,0)</f>
        <v>0</v>
      </c>
      <c r="BW705" s="311">
        <f>IF(AND(Input_Product=Elig!$C705,Elig_MatchAll_Ct&lt;22,$BC705=(Elig_MatchAll_Ct-1),AU705=0),R705,0)</f>
        <v>0</v>
      </c>
      <c r="BX705" s="312">
        <f>IF(AND(Input_Product=Elig!$C705,Elig_MatchAll_Ct&lt;22,$BC705=(Elig_MatchAll_Ct-1),AU705=0),S705,0)</f>
        <v>0</v>
      </c>
      <c r="BY705" s="311">
        <f>IF(AND(Input_Product=Elig!$C705,Elig_MatchAll_Ct&lt;22,$BC705=(Elig_MatchAll_Ct-1),AV705=0),T705,0)</f>
        <v>0</v>
      </c>
      <c r="BZ705" s="312">
        <f>IF(AND(Input_Product=Elig!$C705,Elig_MatchAll_Ct&lt;22,$BC705=(Elig_MatchAll_Ct-1),AV705=0),U705,0)</f>
        <v>0</v>
      </c>
      <c r="CA705" s="311">
        <f>IF(AND(Input_Product=Elig!$C705,Elig_MatchAll_Ct&lt;22,$BC705=(Elig_MatchAll_Ct-1),AW705=0),V705,0)</f>
        <v>0</v>
      </c>
      <c r="CB705" s="312">
        <f>IF(AND(Input_Product=Elig!$C705,Elig_MatchAll_Ct&lt;22,$BC705=(Elig_MatchAll_Ct-1),AW705=0),W705,0)</f>
        <v>0</v>
      </c>
      <c r="CC705" s="311">
        <f>IF(AND(Input_Product=Elig!$C705,Elig_MatchAll_Ct&lt;22,$BC705=(Elig_MatchAll_Ct-1),AX705=0),X705,0)</f>
        <v>0</v>
      </c>
      <c r="CD705" s="312">
        <f>IF(AND(Input_Product=Elig!$C705,Elig_MatchAll_Ct&lt;22,$BC705=(Elig_MatchAll_Ct-1),AX705=0),Y705,0)</f>
        <v>0</v>
      </c>
      <c r="CE705" s="311">
        <f>IF(AND(Input_LTV&lt;=AE705,Input_Product=Elig!$C705,Elig_MatchAll_Ct&lt;22,$BC705=(Elig_MatchAll_Ct-1),AY705=0),Z705,0)</f>
        <v>0</v>
      </c>
      <c r="CF705" s="312">
        <f>IF(AND(Input_LTV&lt;=AE705,Input_Product=Elig!$C705,Elig_MatchAll_Ct&lt;22,$BC705=(Elig_MatchAll_Ct-1),AY705=0),AA705,0)</f>
        <v>0</v>
      </c>
      <c r="CG705" s="311">
        <f>IF(AND(Input_Product=Elig!$C705,Elig_MatchAll_Ct&lt;22,$BC705=(Elig_MatchAll_Ct-1),AZ705=0),AB705,0)</f>
        <v>0</v>
      </c>
      <c r="CH705" s="312">
        <f>IF(AND(Input_Product=Elig!$C705,Elig_MatchAll_Ct&lt;22,$BC705=(Elig_MatchAll_Ct-1),AZ705=0),AC705,0)</f>
        <v>0</v>
      </c>
      <c r="CI705" s="311">
        <f>IF(AND(Input_Product=Elig!$C705,Elig_MatchAll_Ct&lt;22,$BC705=(Elig_MatchAll_Ct-1),BA705=0),AD705,0)</f>
        <v>0</v>
      </c>
      <c r="CJ705" s="312">
        <f>IF(AND(Input_Product=Elig!$C705,Elig_MatchAll_Ct&lt;22,$BC705=(Elig_MatchAll_Ct-1),BA705=0),AE705,0)</f>
        <v>0</v>
      </c>
    </row>
    <row r="706" spans="2:88" ht="10.15" customHeight="1" x14ac:dyDescent="0.25">
      <c r="B706" s="2027" t="s">
        <v>1768</v>
      </c>
      <c r="C706" s="2024" t="str">
        <f t="shared" si="279"/>
        <v>Second OO</v>
      </c>
      <c r="D706" s="2025" t="s">
        <v>1569</v>
      </c>
      <c r="E706" s="2025" t="s">
        <v>98</v>
      </c>
      <c r="F706" s="2025" t="s">
        <v>328</v>
      </c>
      <c r="G706" s="2025" t="s">
        <v>303</v>
      </c>
      <c r="H706" s="2025" t="s">
        <v>136</v>
      </c>
      <c r="I706" s="2025" t="s">
        <v>1332</v>
      </c>
      <c r="J706" s="2023" t="s">
        <v>1311</v>
      </c>
      <c r="K706" s="2025" t="s">
        <v>1790</v>
      </c>
      <c r="L706" s="2023" t="s">
        <v>430</v>
      </c>
      <c r="M706" s="2023" t="s">
        <v>2677</v>
      </c>
      <c r="N706" s="2025" t="s">
        <v>82</v>
      </c>
      <c r="O706" s="2023" t="s">
        <v>310</v>
      </c>
      <c r="P706" s="2023" t="s">
        <v>291</v>
      </c>
      <c r="Q706" s="2023" t="s">
        <v>294</v>
      </c>
      <c r="R706" s="2023">
        <v>350000.01</v>
      </c>
      <c r="S706" s="323">
        <v>500000</v>
      </c>
      <c r="T706" s="2023">
        <v>0</v>
      </c>
      <c r="U706" s="2023">
        <f t="shared" ref="U706:U785" si="300">S706</f>
        <v>500000</v>
      </c>
      <c r="V706" s="2023">
        <v>0</v>
      </c>
      <c r="W706" s="2023">
        <v>50</v>
      </c>
      <c r="X706" s="2023">
        <v>0</v>
      </c>
      <c r="Y706" s="2023">
        <v>999</v>
      </c>
      <c r="Z706" s="2026">
        <v>720</v>
      </c>
      <c r="AA706" s="2026">
        <v>999</v>
      </c>
      <c r="AB706" s="2026">
        <v>0</v>
      </c>
      <c r="AC706" s="2026">
        <v>999999</v>
      </c>
      <c r="AD706" s="2023">
        <v>0</v>
      </c>
      <c r="AE706" s="2104">
        <v>90</v>
      </c>
      <c r="AF706" s="170">
        <v>1</v>
      </c>
      <c r="AG706" s="171">
        <v>1</v>
      </c>
      <c r="AH706" s="171">
        <v>1</v>
      </c>
      <c r="AI706" s="171">
        <v>1</v>
      </c>
      <c r="AJ706" s="171">
        <v>1</v>
      </c>
      <c r="AK706" s="171">
        <v>1</v>
      </c>
      <c r="AL706" s="171">
        <v>1</v>
      </c>
      <c r="AM706" s="171">
        <v>1</v>
      </c>
      <c r="AN706" s="171">
        <v>1</v>
      </c>
      <c r="AO706" s="171">
        <v>1</v>
      </c>
      <c r="AP706" s="171">
        <v>1</v>
      </c>
      <c r="AQ706" s="171">
        <v>1</v>
      </c>
      <c r="AR706" s="171">
        <v>1</v>
      </c>
      <c r="AS706" s="171">
        <v>1</v>
      </c>
      <c r="AT706" s="171">
        <v>1</v>
      </c>
      <c r="AU706" s="171">
        <f t="shared" si="294"/>
        <v>0</v>
      </c>
      <c r="AV706" s="171">
        <f t="shared" si="295"/>
        <v>1</v>
      </c>
      <c r="AW706" s="171">
        <f t="shared" si="296"/>
        <v>1</v>
      </c>
      <c r="AX706" s="171">
        <f t="shared" si="284"/>
        <v>1</v>
      </c>
      <c r="AY706" s="171">
        <f t="shared" si="297"/>
        <v>1</v>
      </c>
      <c r="AZ706" s="171">
        <f t="shared" si="298"/>
        <v>1</v>
      </c>
      <c r="BA706" s="172">
        <f t="shared" si="299"/>
        <v>1</v>
      </c>
      <c r="BB706" s="175">
        <f t="shared" si="281"/>
        <v>21</v>
      </c>
      <c r="BC706" s="176">
        <f t="shared" si="282"/>
        <v>20</v>
      </c>
      <c r="BD706" s="176">
        <f t="shared" si="283"/>
        <v>20</v>
      </c>
      <c r="BE706" s="240" t="str">
        <f t="shared" si="289"/>
        <v/>
      </c>
      <c r="BF706" s="220"/>
      <c r="BG706" s="220"/>
      <c r="BH706" s="216">
        <f>IF(AND(Input_Product=Elig!$C706,Elig_MatchAll_Ct&lt;22,$BC706=(Elig_MatchAll_Ct-1),AF706=0),C706,0)</f>
        <v>0</v>
      </c>
      <c r="BI706" s="216">
        <f>IF(AND(Input_Product=Elig!$C706,Elig_MatchAll_Ct&lt;22,$BC706=(Elig_MatchAll_Ct-1),AG706=0),D706,0)</f>
        <v>0</v>
      </c>
      <c r="BJ706" s="216">
        <f>IF(AND(Input_Product=Elig!$C706,Elig_MatchAll_Ct&lt;22,$BC706=(Elig_MatchAll_Ct-1),AH706=0),E706,0)</f>
        <v>0</v>
      </c>
      <c r="BK706" s="216">
        <f>IF(AND(Input_Product=Elig!$C706,Elig_MatchAll_Ct&lt;22,$BC706=(Elig_MatchAll_Ct-1),AI706=0),F706,0)</f>
        <v>0</v>
      </c>
      <c r="BL706" s="216">
        <f>IF(AND(Input_Product=Elig!$C706,Elig_MatchAll_Ct&lt;22,$BC706=(Elig_MatchAll_Ct-1),AJ706=0),G706,0)</f>
        <v>0</v>
      </c>
      <c r="BM706" s="216">
        <f>IF(AND(Input_Product=Elig!$C706,Elig_MatchAll_Ct&lt;22,$BC706=(Elig_MatchAll_Ct-1),AK706=0),H706,0)</f>
        <v>0</v>
      </c>
      <c r="BN706" s="216">
        <f>IF(AND(Input_Product=Elig!$C706,Elig_MatchAll_Ct&lt;22,$BC706=(Elig_MatchAll_Ct-1),AL706=0),I706,0)</f>
        <v>0</v>
      </c>
      <c r="BO706" s="216">
        <f>IF(AND(Input_Product=Elig!$C706,Elig_MatchAll_Ct&lt;22,$BC706=(Elig_MatchAll_Ct-1),AM706=0),J706,0)</f>
        <v>0</v>
      </c>
      <c r="BP706" s="216">
        <f>IF(AND(Input_Product=Elig!$C706,Elig_MatchAll_Ct&lt;22,$BC706=(Elig_MatchAll_Ct-1),AN706=0),K706,0)</f>
        <v>0</v>
      </c>
      <c r="BQ706" s="216">
        <f>IF(AND(Input_Product=Elig!$C706,Elig_MatchAll_Ct&lt;22,$BC706=(Elig_MatchAll_Ct-1),AP706=0),L706,0)</f>
        <v>0</v>
      </c>
      <c r="BR706" s="216">
        <f>IF(AND(Input_Product=Elig!$C706,Elig_MatchAll_Ct&lt;22,$BC706=(Elig_MatchAll_Ct-1),AO706=0),M706,0)</f>
        <v>0</v>
      </c>
      <c r="BS706" s="216">
        <f>IF(AND(Input_Product=Elig!$C706,Elig_MatchAll_Ct&lt;22,$BC706=(Elig_MatchAll_Ct-1),AQ706=0),N706,0)</f>
        <v>0</v>
      </c>
      <c r="BT706" s="216">
        <f>IF(AND(Input_Product=Elig!$C706,Elig_MatchAll_Ct&lt;22,$BC706=(Elig_MatchAll_Ct-1),AR706=0),O706,0)</f>
        <v>0</v>
      </c>
      <c r="BU706" s="216">
        <f>IF(AND(Input_Product=Elig!$C706,Elig_MatchAll_Ct&lt;22,$BC706=(Elig_MatchAll_Ct-1),AS706=0),P706,0)</f>
        <v>0</v>
      </c>
      <c r="BV706" s="217">
        <f>IF(AND(Input_Product=Elig!$C706,Elig_MatchAll_Ct&lt;22,$BC706=(Elig_MatchAll_Ct-1),AT706=0),Q706,0)</f>
        <v>0</v>
      </c>
      <c r="BW706" s="313">
        <f>IF(AND(Input_Product=Elig!$C706,Elig_MatchAll_Ct&lt;22,$BC706=(Elig_MatchAll_Ct-1),AU706=0),R706,0)</f>
        <v>0</v>
      </c>
      <c r="BX706" s="314">
        <f>IF(AND(Input_Product=Elig!$C706,Elig_MatchAll_Ct&lt;22,$BC706=(Elig_MatchAll_Ct-1),AU706=0),S706,0)</f>
        <v>0</v>
      </c>
      <c r="BY706" s="313">
        <f>IF(AND(Input_Product=Elig!$C706,Elig_MatchAll_Ct&lt;22,$BC706=(Elig_MatchAll_Ct-1),AV706=0),T706,0)</f>
        <v>0</v>
      </c>
      <c r="BZ706" s="314">
        <f>IF(AND(Input_Product=Elig!$C706,Elig_MatchAll_Ct&lt;22,$BC706=(Elig_MatchAll_Ct-1),AV706=0),U706,0)</f>
        <v>0</v>
      </c>
      <c r="CA706" s="313">
        <f>IF(AND(Input_Product=Elig!$C706,Elig_MatchAll_Ct&lt;22,$BC706=(Elig_MatchAll_Ct-1),AW706=0),V706,0)</f>
        <v>0</v>
      </c>
      <c r="CB706" s="314">
        <f>IF(AND(Input_Product=Elig!$C706,Elig_MatchAll_Ct&lt;22,$BC706=(Elig_MatchAll_Ct-1),AW706=0),W706,0)</f>
        <v>0</v>
      </c>
      <c r="CC706" s="313">
        <f>IF(AND(Input_Product=Elig!$C706,Elig_MatchAll_Ct&lt;22,$BC706=(Elig_MatchAll_Ct-1),AX706=0),X706,0)</f>
        <v>0</v>
      </c>
      <c r="CD706" s="314">
        <f>IF(AND(Input_Product=Elig!$C706,Elig_MatchAll_Ct&lt;22,$BC706=(Elig_MatchAll_Ct-1),AX706=0),Y706,0)</f>
        <v>0</v>
      </c>
      <c r="CE706" s="313">
        <f>IF(AND(Input_LTV&lt;=AE706,Input_Product=Elig!$C706,Elig_MatchAll_Ct&lt;22,$BC706=(Elig_MatchAll_Ct-1),AY706=0),Z706,0)</f>
        <v>0</v>
      </c>
      <c r="CF706" s="314">
        <f>IF(AND(Input_LTV&lt;=AE706,Input_Product=Elig!$C706,Elig_MatchAll_Ct&lt;22,$BC706=(Elig_MatchAll_Ct-1),AY706=0),AA706,0)</f>
        <v>0</v>
      </c>
      <c r="CG706" s="313">
        <f>IF(AND(Input_Product=Elig!$C706,Elig_MatchAll_Ct&lt;22,$BC706=(Elig_MatchAll_Ct-1),AZ706=0),AB706,0)</f>
        <v>0</v>
      </c>
      <c r="CH706" s="314">
        <f>IF(AND(Input_Product=Elig!$C706,Elig_MatchAll_Ct&lt;22,$BC706=(Elig_MatchAll_Ct-1),AZ706=0),AC706,0)</f>
        <v>0</v>
      </c>
      <c r="CI706" s="313">
        <f>IF(AND(Input_Product=Elig!$C706,Elig_MatchAll_Ct&lt;22,$BC706=(Elig_MatchAll_Ct-1),BA706=0),AD706,0)</f>
        <v>0</v>
      </c>
      <c r="CJ706" s="314">
        <f>IF(AND(Input_Product=Elig!$C706,Elig_MatchAll_Ct&lt;22,$BC706=(Elig_MatchAll_Ct-1),BA706=0),AE706,0)</f>
        <v>0</v>
      </c>
    </row>
    <row r="707" spans="2:88" ht="10.15" customHeight="1" x14ac:dyDescent="0.25">
      <c r="B707" s="2027" t="s">
        <v>1769</v>
      </c>
      <c r="C707" s="2028" t="str">
        <f t="shared" si="279"/>
        <v>Second OO</v>
      </c>
      <c r="D707" s="2027" t="s">
        <v>1569</v>
      </c>
      <c r="E707" s="2027" t="s">
        <v>98</v>
      </c>
      <c r="F707" s="2027" t="s">
        <v>328</v>
      </c>
      <c r="G707" s="2029" t="s">
        <v>303</v>
      </c>
      <c r="H707" s="2029" t="s">
        <v>136</v>
      </c>
      <c r="I707" s="2027" t="s">
        <v>1332</v>
      </c>
      <c r="J707" s="2027" t="s">
        <v>1311</v>
      </c>
      <c r="K707" s="2029" t="s">
        <v>1790</v>
      </c>
      <c r="L707" s="2027" t="s">
        <v>430</v>
      </c>
      <c r="M707" s="2027" t="s">
        <v>2677</v>
      </c>
      <c r="N707" s="2029" t="s">
        <v>82</v>
      </c>
      <c r="O707" s="2027" t="s">
        <v>310</v>
      </c>
      <c r="P707" s="2027" t="s">
        <v>291</v>
      </c>
      <c r="Q707" s="2027" t="s">
        <v>294</v>
      </c>
      <c r="R707" s="2027">
        <v>350000.01</v>
      </c>
      <c r="S707" s="300">
        <v>500000</v>
      </c>
      <c r="T707" s="2027">
        <v>0</v>
      </c>
      <c r="U707" s="2027">
        <f t="shared" si="300"/>
        <v>500000</v>
      </c>
      <c r="V707" s="2027">
        <v>0</v>
      </c>
      <c r="W707" s="2027">
        <v>50</v>
      </c>
      <c r="X707" s="2027">
        <v>0</v>
      </c>
      <c r="Y707" s="2027">
        <v>999</v>
      </c>
      <c r="Z707" s="2030">
        <v>700</v>
      </c>
      <c r="AA707" s="2030">
        <v>719</v>
      </c>
      <c r="AB707" s="2030">
        <v>0</v>
      </c>
      <c r="AC707" s="2030">
        <v>999999</v>
      </c>
      <c r="AD707" s="2027">
        <v>0</v>
      </c>
      <c r="AE707" s="1483">
        <v>85</v>
      </c>
      <c r="AF707" s="170">
        <v>1</v>
      </c>
      <c r="AG707" s="171">
        <v>1</v>
      </c>
      <c r="AH707" s="171">
        <v>1</v>
      </c>
      <c r="AI707" s="171">
        <v>1</v>
      </c>
      <c r="AJ707" s="171">
        <v>1</v>
      </c>
      <c r="AK707" s="171">
        <v>1</v>
      </c>
      <c r="AL707" s="171">
        <v>1</v>
      </c>
      <c r="AM707" s="171">
        <v>1</v>
      </c>
      <c r="AN707" s="171">
        <v>1</v>
      </c>
      <c r="AO707" s="171">
        <v>1</v>
      </c>
      <c r="AP707" s="171">
        <v>1</v>
      </c>
      <c r="AQ707" s="171">
        <v>1</v>
      </c>
      <c r="AR707" s="171">
        <v>1</v>
      </c>
      <c r="AS707" s="171">
        <v>1</v>
      </c>
      <c r="AT707" s="171">
        <v>1</v>
      </c>
      <c r="AU707" s="171">
        <f t="shared" si="294"/>
        <v>0</v>
      </c>
      <c r="AV707" s="171">
        <f t="shared" si="295"/>
        <v>1</v>
      </c>
      <c r="AW707" s="171">
        <f t="shared" si="296"/>
        <v>1</v>
      </c>
      <c r="AX707" s="171">
        <f t="shared" si="284"/>
        <v>1</v>
      </c>
      <c r="AY707" s="171">
        <f t="shared" si="297"/>
        <v>0</v>
      </c>
      <c r="AZ707" s="171">
        <f t="shared" si="298"/>
        <v>1</v>
      </c>
      <c r="BA707" s="172">
        <f t="shared" si="299"/>
        <v>1</v>
      </c>
      <c r="BB707" s="175">
        <f t="shared" ref="BB707:BB786" si="301">SUM(AF707:BA707)</f>
        <v>20</v>
      </c>
      <c r="BC707" s="176">
        <f t="shared" ref="BC707:BC786" si="302">SUM(AF707:AZ707)</f>
        <v>19</v>
      </c>
      <c r="BD707" s="176">
        <f t="shared" ref="BD707:BD786" si="303">SUM(AG707:BA707)</f>
        <v>19</v>
      </c>
      <c r="BE707" s="240" t="str">
        <f t="shared" si="289"/>
        <v/>
      </c>
      <c r="BF707" s="234"/>
      <c r="BG707" s="234"/>
      <c r="BH707" s="199">
        <f>IF(AND(Input_Product=Elig!$C707,Elig_MatchAll_Ct&lt;22,$BC707=(Elig_MatchAll_Ct-1),AF707=0),C707,0)</f>
        <v>0</v>
      </c>
      <c r="BI707" s="199">
        <f>IF(AND(Input_Product=Elig!$C707,Elig_MatchAll_Ct&lt;22,$BC707=(Elig_MatchAll_Ct-1),AG707=0),D707,0)</f>
        <v>0</v>
      </c>
      <c r="BJ707" s="199">
        <f>IF(AND(Input_Product=Elig!$C707,Elig_MatchAll_Ct&lt;22,$BC707=(Elig_MatchAll_Ct-1),AH707=0),E707,0)</f>
        <v>0</v>
      </c>
      <c r="BK707" s="199">
        <f>IF(AND(Input_Product=Elig!$C707,Elig_MatchAll_Ct&lt;22,$BC707=(Elig_MatchAll_Ct-1),AI707=0),F707,0)</f>
        <v>0</v>
      </c>
      <c r="BL707" s="199">
        <f>IF(AND(Input_Product=Elig!$C707,Elig_MatchAll_Ct&lt;22,$BC707=(Elig_MatchAll_Ct-1),AJ707=0),G707,0)</f>
        <v>0</v>
      </c>
      <c r="BM707" s="199">
        <f>IF(AND(Input_Product=Elig!$C707,Elig_MatchAll_Ct&lt;22,$BC707=(Elig_MatchAll_Ct-1),AK707=0),H707,0)</f>
        <v>0</v>
      </c>
      <c r="BN707" s="199">
        <f>IF(AND(Input_Product=Elig!$C707,Elig_MatchAll_Ct&lt;22,$BC707=(Elig_MatchAll_Ct-1),AL707=0),I707,0)</f>
        <v>0</v>
      </c>
      <c r="BO707" s="199">
        <f>IF(AND(Input_Product=Elig!$C707,Elig_MatchAll_Ct&lt;22,$BC707=(Elig_MatchAll_Ct-1),AM707=0),J707,0)</f>
        <v>0</v>
      </c>
      <c r="BP707" s="199">
        <f>IF(AND(Input_Product=Elig!$C707,Elig_MatchAll_Ct&lt;22,$BC707=(Elig_MatchAll_Ct-1),AN707=0),K707,0)</f>
        <v>0</v>
      </c>
      <c r="BQ707" s="199">
        <f>IF(AND(Input_Product=Elig!$C707,Elig_MatchAll_Ct&lt;22,$BC707=(Elig_MatchAll_Ct-1),AP707=0),L707,0)</f>
        <v>0</v>
      </c>
      <c r="BR707" s="199">
        <f>IF(AND(Input_Product=Elig!$C707,Elig_MatchAll_Ct&lt;22,$BC707=(Elig_MatchAll_Ct-1),AO707=0),M707,0)</f>
        <v>0</v>
      </c>
      <c r="BS707" s="199">
        <f>IF(AND(Input_Product=Elig!$C707,Elig_MatchAll_Ct&lt;22,$BC707=(Elig_MatchAll_Ct-1),AQ707=0),N707,0)</f>
        <v>0</v>
      </c>
      <c r="BT707" s="199">
        <f>IF(AND(Input_Product=Elig!$C707,Elig_MatchAll_Ct&lt;22,$BC707=(Elig_MatchAll_Ct-1),AR707=0),O707,0)</f>
        <v>0</v>
      </c>
      <c r="BU707" s="199">
        <f>IF(AND(Input_Product=Elig!$C707,Elig_MatchAll_Ct&lt;22,$BC707=(Elig_MatchAll_Ct-1),AS707=0),P707,0)</f>
        <v>0</v>
      </c>
      <c r="BV707" s="200">
        <f>IF(AND(Input_Product=Elig!$C707,Elig_MatchAll_Ct&lt;22,$BC707=(Elig_MatchAll_Ct-1),AT707=0),Q707,0)</f>
        <v>0</v>
      </c>
      <c r="BW707" s="201">
        <f>IF(AND(Input_Product=Elig!$C707,Elig_MatchAll_Ct&lt;22,$BC707=(Elig_MatchAll_Ct-1),AU707=0),R707,0)</f>
        <v>0</v>
      </c>
      <c r="BX707" s="202">
        <f>IF(AND(Input_Product=Elig!$C707,Elig_MatchAll_Ct&lt;22,$BC707=(Elig_MatchAll_Ct-1),AU707=0),S707,0)</f>
        <v>0</v>
      </c>
      <c r="BY707" s="201">
        <f>IF(AND(Input_Product=Elig!$C707,Elig_MatchAll_Ct&lt;22,$BC707=(Elig_MatchAll_Ct-1),AV707=0),T707,0)</f>
        <v>0</v>
      </c>
      <c r="BZ707" s="202">
        <f>IF(AND(Input_Product=Elig!$C707,Elig_MatchAll_Ct&lt;22,$BC707=(Elig_MatchAll_Ct-1),AV707=0),U707,0)</f>
        <v>0</v>
      </c>
      <c r="CA707" s="201">
        <f>IF(AND(Input_Product=Elig!$C707,Elig_MatchAll_Ct&lt;22,$BC707=(Elig_MatchAll_Ct-1),AW707=0),V707,0)</f>
        <v>0</v>
      </c>
      <c r="CB707" s="202">
        <f>IF(AND(Input_Product=Elig!$C707,Elig_MatchAll_Ct&lt;22,$BC707=(Elig_MatchAll_Ct-1),AW707=0),W707,0)</f>
        <v>0</v>
      </c>
      <c r="CC707" s="201">
        <f>IF(AND(Input_Product=Elig!$C707,Elig_MatchAll_Ct&lt;22,$BC707=(Elig_MatchAll_Ct-1),AX707=0),X707,0)</f>
        <v>0</v>
      </c>
      <c r="CD707" s="202">
        <f>IF(AND(Input_Product=Elig!$C707,Elig_MatchAll_Ct&lt;22,$BC707=(Elig_MatchAll_Ct-1),AX707=0),Y707,0)</f>
        <v>0</v>
      </c>
      <c r="CE707" s="201">
        <f>IF(AND(Input_LTV&lt;=AE707,Input_Product=Elig!$C707,Elig_MatchAll_Ct&lt;22,$BC707=(Elig_MatchAll_Ct-1),AY707=0),Z707,0)</f>
        <v>0</v>
      </c>
      <c r="CF707" s="202">
        <f>IF(AND(Input_LTV&lt;=AE707,Input_Product=Elig!$C707,Elig_MatchAll_Ct&lt;22,$BC707=(Elig_MatchAll_Ct-1),AY707=0),AA707,0)</f>
        <v>0</v>
      </c>
      <c r="CG707" s="201">
        <f>IF(AND(Input_Product=Elig!$C707,Elig_MatchAll_Ct&lt;22,$BC707=(Elig_MatchAll_Ct-1),AZ707=0),AB707,0)</f>
        <v>0</v>
      </c>
      <c r="CH707" s="202">
        <f>IF(AND(Input_Product=Elig!$C707,Elig_MatchAll_Ct&lt;22,$BC707=(Elig_MatchAll_Ct-1),AZ707=0),AC707,0)</f>
        <v>0</v>
      </c>
      <c r="CI707" s="201">
        <f>IF(AND(Input_Product=Elig!$C707,Elig_MatchAll_Ct&lt;22,$BC707=(Elig_MatchAll_Ct-1),BA707=0),AD707,0)</f>
        <v>0</v>
      </c>
      <c r="CJ707" s="202">
        <f>IF(AND(Input_Product=Elig!$C707,Elig_MatchAll_Ct&lt;22,$BC707=(Elig_MatchAll_Ct-1),BA707=0),AE707,0)</f>
        <v>0</v>
      </c>
    </row>
    <row r="708" spans="2:88" ht="10.15" customHeight="1" x14ac:dyDescent="0.25">
      <c r="B708" s="2027" t="s">
        <v>1770</v>
      </c>
      <c r="C708" s="2028" t="str">
        <f t="shared" si="279"/>
        <v>Second OO</v>
      </c>
      <c r="D708" s="2027" t="s">
        <v>1569</v>
      </c>
      <c r="E708" s="2027" t="s">
        <v>98</v>
      </c>
      <c r="F708" s="2027" t="s">
        <v>328</v>
      </c>
      <c r="G708" s="2029" t="s">
        <v>303</v>
      </c>
      <c r="H708" s="2029" t="s">
        <v>136</v>
      </c>
      <c r="I708" s="2027" t="s">
        <v>1332</v>
      </c>
      <c r="J708" s="2027" t="s">
        <v>1311</v>
      </c>
      <c r="K708" s="2029" t="s">
        <v>1790</v>
      </c>
      <c r="L708" s="2027" t="s">
        <v>430</v>
      </c>
      <c r="M708" s="2027" t="s">
        <v>2677</v>
      </c>
      <c r="N708" s="2029" t="s">
        <v>82</v>
      </c>
      <c r="O708" s="2027" t="s">
        <v>310</v>
      </c>
      <c r="P708" s="2027" t="s">
        <v>291</v>
      </c>
      <c r="Q708" s="2027" t="s">
        <v>294</v>
      </c>
      <c r="R708" s="2027">
        <v>350000.01</v>
      </c>
      <c r="S708" s="300">
        <v>500000</v>
      </c>
      <c r="T708" s="2027">
        <v>0</v>
      </c>
      <c r="U708" s="2027">
        <f t="shared" si="300"/>
        <v>500000</v>
      </c>
      <c r="V708" s="2027">
        <v>0</v>
      </c>
      <c r="W708" s="2027">
        <v>50</v>
      </c>
      <c r="X708" s="2027">
        <v>0</v>
      </c>
      <c r="Y708" s="2027">
        <v>999</v>
      </c>
      <c r="Z708" s="2030">
        <v>680</v>
      </c>
      <c r="AA708" s="2030">
        <v>699</v>
      </c>
      <c r="AB708" s="2030">
        <v>0</v>
      </c>
      <c r="AC708" s="2030">
        <v>999999</v>
      </c>
      <c r="AD708" s="2027">
        <v>0</v>
      </c>
      <c r="AE708" s="1483">
        <v>80</v>
      </c>
      <c r="AF708" s="170">
        <v>1</v>
      </c>
      <c r="AG708" s="171">
        <v>1</v>
      </c>
      <c r="AH708" s="171">
        <v>1</v>
      </c>
      <c r="AI708" s="171">
        <v>1</v>
      </c>
      <c r="AJ708" s="171">
        <v>1</v>
      </c>
      <c r="AK708" s="171">
        <v>1</v>
      </c>
      <c r="AL708" s="171">
        <v>1</v>
      </c>
      <c r="AM708" s="171">
        <v>1</v>
      </c>
      <c r="AN708" s="171">
        <v>1</v>
      </c>
      <c r="AO708" s="171">
        <v>1</v>
      </c>
      <c r="AP708" s="171">
        <v>1</v>
      </c>
      <c r="AQ708" s="171">
        <v>1</v>
      </c>
      <c r="AR708" s="171">
        <v>1</v>
      </c>
      <c r="AS708" s="171">
        <v>1</v>
      </c>
      <c r="AT708" s="171">
        <v>1</v>
      </c>
      <c r="AU708" s="171">
        <f t="shared" si="294"/>
        <v>0</v>
      </c>
      <c r="AV708" s="171">
        <f t="shared" si="295"/>
        <v>1</v>
      </c>
      <c r="AW708" s="171">
        <f t="shared" si="296"/>
        <v>1</v>
      </c>
      <c r="AX708" s="171">
        <f t="shared" si="284"/>
        <v>1</v>
      </c>
      <c r="AY708" s="171">
        <f t="shared" si="297"/>
        <v>0</v>
      </c>
      <c r="AZ708" s="171">
        <f t="shared" si="298"/>
        <v>1</v>
      </c>
      <c r="BA708" s="172">
        <f t="shared" si="299"/>
        <v>1</v>
      </c>
      <c r="BB708" s="175">
        <f t="shared" si="301"/>
        <v>20</v>
      </c>
      <c r="BC708" s="176">
        <f t="shared" si="302"/>
        <v>19</v>
      </c>
      <c r="BD708" s="176">
        <f t="shared" si="303"/>
        <v>19</v>
      </c>
      <c r="BE708" s="240" t="str">
        <f t="shared" si="289"/>
        <v/>
      </c>
      <c r="BF708" s="234"/>
      <c r="BG708" s="234"/>
      <c r="BH708" s="199">
        <f>IF(AND(Input_Product=Elig!$C708,Elig_MatchAll_Ct&lt;22,$BC708=(Elig_MatchAll_Ct-1),AF708=0),C708,0)</f>
        <v>0</v>
      </c>
      <c r="BI708" s="199">
        <f>IF(AND(Input_Product=Elig!$C708,Elig_MatchAll_Ct&lt;22,$BC708=(Elig_MatchAll_Ct-1),AG708=0),D708,0)</f>
        <v>0</v>
      </c>
      <c r="BJ708" s="199">
        <f>IF(AND(Input_Product=Elig!$C708,Elig_MatchAll_Ct&lt;22,$BC708=(Elig_MatchAll_Ct-1),AH708=0),E708,0)</f>
        <v>0</v>
      </c>
      <c r="BK708" s="199">
        <f>IF(AND(Input_Product=Elig!$C708,Elig_MatchAll_Ct&lt;22,$BC708=(Elig_MatchAll_Ct-1),AI708=0),F708,0)</f>
        <v>0</v>
      </c>
      <c r="BL708" s="199">
        <f>IF(AND(Input_Product=Elig!$C708,Elig_MatchAll_Ct&lt;22,$BC708=(Elig_MatchAll_Ct-1),AJ708=0),G708,0)</f>
        <v>0</v>
      </c>
      <c r="BM708" s="199">
        <f>IF(AND(Input_Product=Elig!$C708,Elig_MatchAll_Ct&lt;22,$BC708=(Elig_MatchAll_Ct-1),AK708=0),H708,0)</f>
        <v>0</v>
      </c>
      <c r="BN708" s="199">
        <f>IF(AND(Input_Product=Elig!$C708,Elig_MatchAll_Ct&lt;22,$BC708=(Elig_MatchAll_Ct-1),AL708=0),I708,0)</f>
        <v>0</v>
      </c>
      <c r="BO708" s="199">
        <f>IF(AND(Input_Product=Elig!$C708,Elig_MatchAll_Ct&lt;22,$BC708=(Elig_MatchAll_Ct-1),AM708=0),J708,0)</f>
        <v>0</v>
      </c>
      <c r="BP708" s="199">
        <f>IF(AND(Input_Product=Elig!$C708,Elig_MatchAll_Ct&lt;22,$BC708=(Elig_MatchAll_Ct-1),AN708=0),K708,0)</f>
        <v>0</v>
      </c>
      <c r="BQ708" s="199">
        <f>IF(AND(Input_Product=Elig!$C708,Elig_MatchAll_Ct&lt;22,$BC708=(Elig_MatchAll_Ct-1),AP708=0),L708,0)</f>
        <v>0</v>
      </c>
      <c r="BR708" s="199">
        <f>IF(AND(Input_Product=Elig!$C708,Elig_MatchAll_Ct&lt;22,$BC708=(Elig_MatchAll_Ct-1),AO708=0),M708,0)</f>
        <v>0</v>
      </c>
      <c r="BS708" s="199">
        <f>IF(AND(Input_Product=Elig!$C708,Elig_MatchAll_Ct&lt;22,$BC708=(Elig_MatchAll_Ct-1),AQ708=0),N708,0)</f>
        <v>0</v>
      </c>
      <c r="BT708" s="199">
        <f>IF(AND(Input_Product=Elig!$C708,Elig_MatchAll_Ct&lt;22,$BC708=(Elig_MatchAll_Ct-1),AR708=0),O708,0)</f>
        <v>0</v>
      </c>
      <c r="BU708" s="199">
        <f>IF(AND(Input_Product=Elig!$C708,Elig_MatchAll_Ct&lt;22,$BC708=(Elig_MatchAll_Ct-1),AS708=0),P708,0)</f>
        <v>0</v>
      </c>
      <c r="BV708" s="200">
        <f>IF(AND(Input_Product=Elig!$C708,Elig_MatchAll_Ct&lt;22,$BC708=(Elig_MatchAll_Ct-1),AT708=0),Q708,0)</f>
        <v>0</v>
      </c>
      <c r="BW708" s="201">
        <f>IF(AND(Input_Product=Elig!$C708,Elig_MatchAll_Ct&lt;22,$BC708=(Elig_MatchAll_Ct-1),AU708=0),R708,0)</f>
        <v>0</v>
      </c>
      <c r="BX708" s="202">
        <f>IF(AND(Input_Product=Elig!$C708,Elig_MatchAll_Ct&lt;22,$BC708=(Elig_MatchAll_Ct-1),AU708=0),S708,0)</f>
        <v>0</v>
      </c>
      <c r="BY708" s="201">
        <f>IF(AND(Input_Product=Elig!$C708,Elig_MatchAll_Ct&lt;22,$BC708=(Elig_MatchAll_Ct-1),AV708=0),T708,0)</f>
        <v>0</v>
      </c>
      <c r="BZ708" s="202">
        <f>IF(AND(Input_Product=Elig!$C708,Elig_MatchAll_Ct&lt;22,$BC708=(Elig_MatchAll_Ct-1),AV708=0),U708,0)</f>
        <v>0</v>
      </c>
      <c r="CA708" s="201">
        <f>IF(AND(Input_Product=Elig!$C708,Elig_MatchAll_Ct&lt;22,$BC708=(Elig_MatchAll_Ct-1),AW708=0),V708,0)</f>
        <v>0</v>
      </c>
      <c r="CB708" s="202">
        <f>IF(AND(Input_Product=Elig!$C708,Elig_MatchAll_Ct&lt;22,$BC708=(Elig_MatchAll_Ct-1),AW708=0),W708,0)</f>
        <v>0</v>
      </c>
      <c r="CC708" s="201">
        <f>IF(AND(Input_Product=Elig!$C708,Elig_MatchAll_Ct&lt;22,$BC708=(Elig_MatchAll_Ct-1),AX708=0),X708,0)</f>
        <v>0</v>
      </c>
      <c r="CD708" s="202">
        <f>IF(AND(Input_Product=Elig!$C708,Elig_MatchAll_Ct&lt;22,$BC708=(Elig_MatchAll_Ct-1),AX708=0),Y708,0)</f>
        <v>0</v>
      </c>
      <c r="CE708" s="201">
        <f>IF(AND(Input_LTV&lt;=AE708,Input_Product=Elig!$C708,Elig_MatchAll_Ct&lt;22,$BC708=(Elig_MatchAll_Ct-1),AY708=0),Z708,0)</f>
        <v>0</v>
      </c>
      <c r="CF708" s="202">
        <f>IF(AND(Input_LTV&lt;=AE708,Input_Product=Elig!$C708,Elig_MatchAll_Ct&lt;22,$BC708=(Elig_MatchAll_Ct-1),AY708=0),AA708,0)</f>
        <v>0</v>
      </c>
      <c r="CG708" s="201">
        <f>IF(AND(Input_Product=Elig!$C708,Elig_MatchAll_Ct&lt;22,$BC708=(Elig_MatchAll_Ct-1),AZ708=0),AB708,0)</f>
        <v>0</v>
      </c>
      <c r="CH708" s="202">
        <f>IF(AND(Input_Product=Elig!$C708,Elig_MatchAll_Ct&lt;22,$BC708=(Elig_MatchAll_Ct-1),AZ708=0),AC708,0)</f>
        <v>0</v>
      </c>
      <c r="CI708" s="201">
        <f>IF(AND(Input_Product=Elig!$C708,Elig_MatchAll_Ct&lt;22,$BC708=(Elig_MatchAll_Ct-1),BA708=0),AD708,0)</f>
        <v>0</v>
      </c>
      <c r="CJ708" s="202">
        <f>IF(AND(Input_Product=Elig!$C708,Elig_MatchAll_Ct&lt;22,$BC708=(Elig_MatchAll_Ct-1),BA708=0),AE708,0)</f>
        <v>0</v>
      </c>
    </row>
    <row r="709" spans="2:88" ht="10.15" customHeight="1" x14ac:dyDescent="0.25">
      <c r="B709" s="2027" t="s">
        <v>1771</v>
      </c>
      <c r="C709" s="2032" t="str">
        <f t="shared" si="279"/>
        <v>Second OO</v>
      </c>
      <c r="D709" s="2031" t="s">
        <v>1569</v>
      </c>
      <c r="E709" s="2031" t="s">
        <v>98</v>
      </c>
      <c r="F709" s="2031" t="s">
        <v>328</v>
      </c>
      <c r="G709" s="2033" t="s">
        <v>303</v>
      </c>
      <c r="H709" s="2033" t="s">
        <v>136</v>
      </c>
      <c r="I709" s="2031" t="s">
        <v>1332</v>
      </c>
      <c r="J709" s="2031" t="s">
        <v>1311</v>
      </c>
      <c r="K709" s="2033" t="s">
        <v>1790</v>
      </c>
      <c r="L709" s="2031" t="s">
        <v>430</v>
      </c>
      <c r="M709" s="2031" t="s">
        <v>2677</v>
      </c>
      <c r="N709" s="2033" t="s">
        <v>82</v>
      </c>
      <c r="O709" s="2031" t="s">
        <v>310</v>
      </c>
      <c r="P709" s="2031" t="s">
        <v>291</v>
      </c>
      <c r="Q709" s="2031" t="s">
        <v>294</v>
      </c>
      <c r="R709" s="2031">
        <v>350000.01</v>
      </c>
      <c r="S709" s="324">
        <v>500000</v>
      </c>
      <c r="T709" s="2031">
        <v>0</v>
      </c>
      <c r="U709" s="2031">
        <f t="shared" si="300"/>
        <v>500000</v>
      </c>
      <c r="V709" s="2031">
        <v>0</v>
      </c>
      <c r="W709" s="2031">
        <v>50</v>
      </c>
      <c r="X709" s="2031">
        <v>0</v>
      </c>
      <c r="Y709" s="2031">
        <v>999</v>
      </c>
      <c r="Z709" s="2034">
        <v>660</v>
      </c>
      <c r="AA709" s="2034">
        <v>679</v>
      </c>
      <c r="AB709" s="2034">
        <v>0</v>
      </c>
      <c r="AC709" s="2034">
        <v>999999</v>
      </c>
      <c r="AD709" s="2031">
        <v>0</v>
      </c>
      <c r="AE709" s="1484">
        <v>75</v>
      </c>
      <c r="AF709" s="170">
        <v>1</v>
      </c>
      <c r="AG709" s="171">
        <v>1</v>
      </c>
      <c r="AH709" s="171">
        <v>1</v>
      </c>
      <c r="AI709" s="171">
        <v>1</v>
      </c>
      <c r="AJ709" s="171">
        <v>1</v>
      </c>
      <c r="AK709" s="171">
        <v>1</v>
      </c>
      <c r="AL709" s="171">
        <v>1</v>
      </c>
      <c r="AM709" s="171">
        <v>1</v>
      </c>
      <c r="AN709" s="171">
        <v>1</v>
      </c>
      <c r="AO709" s="171">
        <v>1</v>
      </c>
      <c r="AP709" s="171">
        <v>1</v>
      </c>
      <c r="AQ709" s="171">
        <v>1</v>
      </c>
      <c r="AR709" s="171">
        <v>1</v>
      </c>
      <c r="AS709" s="171">
        <v>1</v>
      </c>
      <c r="AT709" s="171">
        <v>1</v>
      </c>
      <c r="AU709" s="171">
        <f t="shared" si="294"/>
        <v>0</v>
      </c>
      <c r="AV709" s="171">
        <f t="shared" si="295"/>
        <v>1</v>
      </c>
      <c r="AW709" s="171">
        <f t="shared" si="296"/>
        <v>1</v>
      </c>
      <c r="AX709" s="171">
        <f t="shared" si="284"/>
        <v>1</v>
      </c>
      <c r="AY709" s="171">
        <f t="shared" si="297"/>
        <v>0</v>
      </c>
      <c r="AZ709" s="171">
        <f t="shared" si="298"/>
        <v>1</v>
      </c>
      <c r="BA709" s="172">
        <f t="shared" si="299"/>
        <v>1</v>
      </c>
      <c r="BB709" s="175">
        <f t="shared" si="301"/>
        <v>20</v>
      </c>
      <c r="BC709" s="176">
        <f t="shared" si="302"/>
        <v>19</v>
      </c>
      <c r="BD709" s="176">
        <f t="shared" si="303"/>
        <v>19</v>
      </c>
      <c r="BE709" s="240" t="str">
        <f t="shared" si="289"/>
        <v/>
      </c>
      <c r="BF709" s="234"/>
      <c r="BG709" s="234"/>
      <c r="BH709" s="214">
        <f>IF(AND(Input_Product=Elig!$C709,Elig_MatchAll_Ct&lt;22,$BC709=(Elig_MatchAll_Ct-1),AF709=0),C709,0)</f>
        <v>0</v>
      </c>
      <c r="BI709" s="214">
        <f>IF(AND(Input_Product=Elig!$C709,Elig_MatchAll_Ct&lt;22,$BC709=(Elig_MatchAll_Ct-1),AG709=0),D709,0)</f>
        <v>0</v>
      </c>
      <c r="BJ709" s="214">
        <f>IF(AND(Input_Product=Elig!$C709,Elig_MatchAll_Ct&lt;22,$BC709=(Elig_MatchAll_Ct-1),AH709=0),E709,0)</f>
        <v>0</v>
      </c>
      <c r="BK709" s="214">
        <f>IF(AND(Input_Product=Elig!$C709,Elig_MatchAll_Ct&lt;22,$BC709=(Elig_MatchAll_Ct-1),AI709=0),F709,0)</f>
        <v>0</v>
      </c>
      <c r="BL709" s="214">
        <f>IF(AND(Input_Product=Elig!$C709,Elig_MatchAll_Ct&lt;22,$BC709=(Elig_MatchAll_Ct-1),AJ709=0),G709,0)</f>
        <v>0</v>
      </c>
      <c r="BM709" s="214">
        <f>IF(AND(Input_Product=Elig!$C709,Elig_MatchAll_Ct&lt;22,$BC709=(Elig_MatchAll_Ct-1),AK709=0),H709,0)</f>
        <v>0</v>
      </c>
      <c r="BN709" s="214">
        <f>IF(AND(Input_Product=Elig!$C709,Elig_MatchAll_Ct&lt;22,$BC709=(Elig_MatchAll_Ct-1),AL709=0),I709,0)</f>
        <v>0</v>
      </c>
      <c r="BO709" s="214">
        <f>IF(AND(Input_Product=Elig!$C709,Elig_MatchAll_Ct&lt;22,$BC709=(Elig_MatchAll_Ct-1),AM709=0),J709,0)</f>
        <v>0</v>
      </c>
      <c r="BP709" s="214">
        <f>IF(AND(Input_Product=Elig!$C709,Elig_MatchAll_Ct&lt;22,$BC709=(Elig_MatchAll_Ct-1),AN709=0),K709,0)</f>
        <v>0</v>
      </c>
      <c r="BQ709" s="214">
        <f>IF(AND(Input_Product=Elig!$C709,Elig_MatchAll_Ct&lt;22,$BC709=(Elig_MatchAll_Ct-1),AP709=0),L709,0)</f>
        <v>0</v>
      </c>
      <c r="BR709" s="214">
        <f>IF(AND(Input_Product=Elig!$C709,Elig_MatchAll_Ct&lt;22,$BC709=(Elig_MatchAll_Ct-1),AO709=0),M709,0)</f>
        <v>0</v>
      </c>
      <c r="BS709" s="214">
        <f>IF(AND(Input_Product=Elig!$C709,Elig_MatchAll_Ct&lt;22,$BC709=(Elig_MatchAll_Ct-1),AQ709=0),N709,0)</f>
        <v>0</v>
      </c>
      <c r="BT709" s="214">
        <f>IF(AND(Input_Product=Elig!$C709,Elig_MatchAll_Ct&lt;22,$BC709=(Elig_MatchAll_Ct-1),AR709=0),O709,0)</f>
        <v>0</v>
      </c>
      <c r="BU709" s="214">
        <f>IF(AND(Input_Product=Elig!$C709,Elig_MatchAll_Ct&lt;22,$BC709=(Elig_MatchAll_Ct-1),AS709=0),P709,0)</f>
        <v>0</v>
      </c>
      <c r="BV709" s="215">
        <f>IF(AND(Input_Product=Elig!$C709,Elig_MatchAll_Ct&lt;22,$BC709=(Elig_MatchAll_Ct-1),AT709=0),Q709,0)</f>
        <v>0</v>
      </c>
      <c r="BW709" s="311">
        <f>IF(AND(Input_Product=Elig!$C709,Elig_MatchAll_Ct&lt;22,$BC709=(Elig_MatchAll_Ct-1),AU709=0),R709,0)</f>
        <v>0</v>
      </c>
      <c r="BX709" s="312">
        <f>IF(AND(Input_Product=Elig!$C709,Elig_MatchAll_Ct&lt;22,$BC709=(Elig_MatchAll_Ct-1),AU709=0),S709,0)</f>
        <v>0</v>
      </c>
      <c r="BY709" s="311">
        <f>IF(AND(Input_Product=Elig!$C709,Elig_MatchAll_Ct&lt;22,$BC709=(Elig_MatchAll_Ct-1),AV709=0),T709,0)</f>
        <v>0</v>
      </c>
      <c r="BZ709" s="312">
        <f>IF(AND(Input_Product=Elig!$C709,Elig_MatchAll_Ct&lt;22,$BC709=(Elig_MatchAll_Ct-1),AV709=0),U709,0)</f>
        <v>0</v>
      </c>
      <c r="CA709" s="311">
        <f>IF(AND(Input_Product=Elig!$C709,Elig_MatchAll_Ct&lt;22,$BC709=(Elig_MatchAll_Ct-1),AW709=0),V709,0)</f>
        <v>0</v>
      </c>
      <c r="CB709" s="312">
        <f>IF(AND(Input_Product=Elig!$C709,Elig_MatchAll_Ct&lt;22,$BC709=(Elig_MatchAll_Ct-1),AW709=0),W709,0)</f>
        <v>0</v>
      </c>
      <c r="CC709" s="311">
        <f>IF(AND(Input_Product=Elig!$C709,Elig_MatchAll_Ct&lt;22,$BC709=(Elig_MatchAll_Ct-1),AX709=0),X709,0)</f>
        <v>0</v>
      </c>
      <c r="CD709" s="312">
        <f>IF(AND(Input_Product=Elig!$C709,Elig_MatchAll_Ct&lt;22,$BC709=(Elig_MatchAll_Ct-1),AX709=0),Y709,0)</f>
        <v>0</v>
      </c>
      <c r="CE709" s="311">
        <f>IF(AND(Input_LTV&lt;=AE709,Input_Product=Elig!$C709,Elig_MatchAll_Ct&lt;22,$BC709=(Elig_MatchAll_Ct-1),AY709=0),Z709,0)</f>
        <v>0</v>
      </c>
      <c r="CF709" s="312">
        <f>IF(AND(Input_LTV&lt;=AE709,Input_Product=Elig!$C709,Elig_MatchAll_Ct&lt;22,$BC709=(Elig_MatchAll_Ct-1),AY709=0),AA709,0)</f>
        <v>0</v>
      </c>
      <c r="CG709" s="311">
        <f>IF(AND(Input_Product=Elig!$C709,Elig_MatchAll_Ct&lt;22,$BC709=(Elig_MatchAll_Ct-1),AZ709=0),AB709,0)</f>
        <v>0</v>
      </c>
      <c r="CH709" s="312">
        <f>IF(AND(Input_Product=Elig!$C709,Elig_MatchAll_Ct&lt;22,$BC709=(Elig_MatchAll_Ct-1),AZ709=0),AC709,0)</f>
        <v>0</v>
      </c>
      <c r="CI709" s="311">
        <f>IF(AND(Input_Product=Elig!$C709,Elig_MatchAll_Ct&lt;22,$BC709=(Elig_MatchAll_Ct-1),BA709=0),AD709,0)</f>
        <v>0</v>
      </c>
      <c r="CJ709" s="312">
        <f>IF(AND(Input_Product=Elig!$C709,Elig_MatchAll_Ct&lt;22,$BC709=(Elig_MatchAll_Ct-1),BA709=0),AE709,0)</f>
        <v>0</v>
      </c>
    </row>
    <row r="710" spans="2:88" ht="10.15" customHeight="1" x14ac:dyDescent="0.25">
      <c r="B710" s="2027" t="s">
        <v>1772</v>
      </c>
      <c r="C710" s="2024" t="str">
        <f t="shared" si="279"/>
        <v>Second OO</v>
      </c>
      <c r="D710" s="2025" t="s">
        <v>1569</v>
      </c>
      <c r="E710" s="2025" t="s">
        <v>98</v>
      </c>
      <c r="F710" s="2025" t="s">
        <v>328</v>
      </c>
      <c r="G710" s="2103" t="s">
        <v>175</v>
      </c>
      <c r="H710" s="2025" t="s">
        <v>446</v>
      </c>
      <c r="I710" s="2023" t="s">
        <v>1332</v>
      </c>
      <c r="J710" s="2023" t="s">
        <v>1311</v>
      </c>
      <c r="K710" s="2025" t="s">
        <v>1790</v>
      </c>
      <c r="L710" s="2023" t="s">
        <v>430</v>
      </c>
      <c r="M710" s="2023" t="s">
        <v>2677</v>
      </c>
      <c r="N710" s="2025" t="s">
        <v>82</v>
      </c>
      <c r="O710" s="2023" t="s">
        <v>310</v>
      </c>
      <c r="P710" s="2023" t="s">
        <v>291</v>
      </c>
      <c r="Q710" s="2023" t="s">
        <v>294</v>
      </c>
      <c r="R710" s="2023">
        <v>350000.01</v>
      </c>
      <c r="S710" s="323">
        <v>500000</v>
      </c>
      <c r="T710" s="2023">
        <v>0</v>
      </c>
      <c r="U710" s="2023">
        <f t="shared" si="300"/>
        <v>500000</v>
      </c>
      <c r="V710" s="2023">
        <v>0</v>
      </c>
      <c r="W710" s="2023">
        <v>50</v>
      </c>
      <c r="X710" s="2023">
        <v>0</v>
      </c>
      <c r="Y710" s="2023">
        <v>999</v>
      </c>
      <c r="Z710" s="2026">
        <v>720</v>
      </c>
      <c r="AA710" s="2026">
        <v>999</v>
      </c>
      <c r="AB710" s="2026">
        <v>0</v>
      </c>
      <c r="AC710" s="2026">
        <v>999999</v>
      </c>
      <c r="AD710" s="2023">
        <v>0</v>
      </c>
      <c r="AE710" s="2104">
        <v>85</v>
      </c>
      <c r="AF710" s="170">
        <v>1</v>
      </c>
      <c r="AG710" s="171">
        <v>1</v>
      </c>
      <c r="AH710" s="171">
        <v>1</v>
      </c>
      <c r="AI710" s="171">
        <v>1</v>
      </c>
      <c r="AJ710" s="171">
        <v>0</v>
      </c>
      <c r="AK710" s="171">
        <v>0</v>
      </c>
      <c r="AL710" s="171">
        <v>1</v>
      </c>
      <c r="AM710" s="171">
        <v>1</v>
      </c>
      <c r="AN710" s="171">
        <v>1</v>
      </c>
      <c r="AO710" s="171">
        <v>1</v>
      </c>
      <c r="AP710" s="171">
        <v>1</v>
      </c>
      <c r="AQ710" s="171">
        <v>1</v>
      </c>
      <c r="AR710" s="171">
        <v>1</v>
      </c>
      <c r="AS710" s="171">
        <v>1</v>
      </c>
      <c r="AT710" s="171">
        <v>1</v>
      </c>
      <c r="AU710" s="171">
        <f t="shared" si="294"/>
        <v>0</v>
      </c>
      <c r="AV710" s="171">
        <f t="shared" si="295"/>
        <v>1</v>
      </c>
      <c r="AW710" s="171">
        <f t="shared" si="296"/>
        <v>1</v>
      </c>
      <c r="AX710" s="171">
        <f t="shared" si="284"/>
        <v>1</v>
      </c>
      <c r="AY710" s="171">
        <f t="shared" si="297"/>
        <v>1</v>
      </c>
      <c r="AZ710" s="171">
        <f t="shared" si="298"/>
        <v>1</v>
      </c>
      <c r="BA710" s="172">
        <f t="shared" si="299"/>
        <v>1</v>
      </c>
      <c r="BB710" s="175">
        <f t="shared" si="301"/>
        <v>19</v>
      </c>
      <c r="BC710" s="176">
        <f t="shared" si="302"/>
        <v>18</v>
      </c>
      <c r="BD710" s="176">
        <f t="shared" si="303"/>
        <v>18</v>
      </c>
      <c r="BE710" s="240" t="str">
        <f t="shared" si="289"/>
        <v/>
      </c>
      <c r="BF710" s="220"/>
      <c r="BG710" s="220"/>
      <c r="BH710" s="216">
        <f>IF(AND(Input_Product=Elig!$C710,Elig_MatchAll_Ct&lt;22,$BC710=(Elig_MatchAll_Ct-1),AF710=0),C710,0)</f>
        <v>0</v>
      </c>
      <c r="BI710" s="216">
        <f>IF(AND(Input_Product=Elig!$C710,Elig_MatchAll_Ct&lt;22,$BC710=(Elig_MatchAll_Ct-1),AG710=0),D710,0)</f>
        <v>0</v>
      </c>
      <c r="BJ710" s="216">
        <f>IF(AND(Input_Product=Elig!$C710,Elig_MatchAll_Ct&lt;22,$BC710=(Elig_MatchAll_Ct-1),AH710=0),E710,0)</f>
        <v>0</v>
      </c>
      <c r="BK710" s="216">
        <f>IF(AND(Input_Product=Elig!$C710,Elig_MatchAll_Ct&lt;22,$BC710=(Elig_MatchAll_Ct-1),AI710=0),F710,0)</f>
        <v>0</v>
      </c>
      <c r="BL710" s="216">
        <f>IF(AND(Input_Product=Elig!$C710,Elig_MatchAll_Ct&lt;22,$BC710=(Elig_MatchAll_Ct-1),AJ710=0),G710,0)</f>
        <v>0</v>
      </c>
      <c r="BM710" s="216">
        <f>IF(AND(Input_Product=Elig!$C710,Elig_MatchAll_Ct&lt;22,$BC710=(Elig_MatchAll_Ct-1),AK710=0),H710,0)</f>
        <v>0</v>
      </c>
      <c r="BN710" s="216">
        <f>IF(AND(Input_Product=Elig!$C710,Elig_MatchAll_Ct&lt;22,$BC710=(Elig_MatchAll_Ct-1),AL710=0),I710,0)</f>
        <v>0</v>
      </c>
      <c r="BO710" s="216">
        <f>IF(AND(Input_Product=Elig!$C710,Elig_MatchAll_Ct&lt;22,$BC710=(Elig_MatchAll_Ct-1),AM710=0),J710,0)</f>
        <v>0</v>
      </c>
      <c r="BP710" s="216">
        <f>IF(AND(Input_Product=Elig!$C710,Elig_MatchAll_Ct&lt;22,$BC710=(Elig_MatchAll_Ct-1),AN710=0),K710,0)</f>
        <v>0</v>
      </c>
      <c r="BQ710" s="216">
        <f>IF(AND(Input_Product=Elig!$C710,Elig_MatchAll_Ct&lt;22,$BC710=(Elig_MatchAll_Ct-1),AP710=0),L710,0)</f>
        <v>0</v>
      </c>
      <c r="BR710" s="216">
        <f>IF(AND(Input_Product=Elig!$C710,Elig_MatchAll_Ct&lt;22,$BC710=(Elig_MatchAll_Ct-1),AO710=0),M710,0)</f>
        <v>0</v>
      </c>
      <c r="BS710" s="216">
        <f>IF(AND(Input_Product=Elig!$C710,Elig_MatchAll_Ct&lt;22,$BC710=(Elig_MatchAll_Ct-1),AQ710=0),N710,0)</f>
        <v>0</v>
      </c>
      <c r="BT710" s="216">
        <f>IF(AND(Input_Product=Elig!$C710,Elig_MatchAll_Ct&lt;22,$BC710=(Elig_MatchAll_Ct-1),AR710=0),O710,0)</f>
        <v>0</v>
      </c>
      <c r="BU710" s="216">
        <f>IF(AND(Input_Product=Elig!$C710,Elig_MatchAll_Ct&lt;22,$BC710=(Elig_MatchAll_Ct-1),AS710=0),P710,0)</f>
        <v>0</v>
      </c>
      <c r="BV710" s="217">
        <f>IF(AND(Input_Product=Elig!$C710,Elig_MatchAll_Ct&lt;22,$BC710=(Elig_MatchAll_Ct-1),AT710=0),Q710,0)</f>
        <v>0</v>
      </c>
      <c r="BW710" s="313">
        <f>IF(AND(Input_Product=Elig!$C710,Elig_MatchAll_Ct&lt;22,$BC710=(Elig_MatchAll_Ct-1),AU710=0),R710,0)</f>
        <v>0</v>
      </c>
      <c r="BX710" s="314">
        <f>IF(AND(Input_Product=Elig!$C710,Elig_MatchAll_Ct&lt;22,$BC710=(Elig_MatchAll_Ct-1),AU710=0),S710,0)</f>
        <v>0</v>
      </c>
      <c r="BY710" s="313">
        <f>IF(AND(Input_Product=Elig!$C710,Elig_MatchAll_Ct&lt;22,$BC710=(Elig_MatchAll_Ct-1),AV710=0),T710,0)</f>
        <v>0</v>
      </c>
      <c r="BZ710" s="314">
        <f>IF(AND(Input_Product=Elig!$C710,Elig_MatchAll_Ct&lt;22,$BC710=(Elig_MatchAll_Ct-1),AV710=0),U710,0)</f>
        <v>0</v>
      </c>
      <c r="CA710" s="313">
        <f>IF(AND(Input_Product=Elig!$C710,Elig_MatchAll_Ct&lt;22,$BC710=(Elig_MatchAll_Ct-1),AW710=0),V710,0)</f>
        <v>0</v>
      </c>
      <c r="CB710" s="314">
        <f>IF(AND(Input_Product=Elig!$C710,Elig_MatchAll_Ct&lt;22,$BC710=(Elig_MatchAll_Ct-1),AW710=0),W710,0)</f>
        <v>0</v>
      </c>
      <c r="CC710" s="313">
        <f>IF(AND(Input_Product=Elig!$C710,Elig_MatchAll_Ct&lt;22,$BC710=(Elig_MatchAll_Ct-1),AX710=0),X710,0)</f>
        <v>0</v>
      </c>
      <c r="CD710" s="314">
        <f>IF(AND(Input_Product=Elig!$C710,Elig_MatchAll_Ct&lt;22,$BC710=(Elig_MatchAll_Ct-1),AX710=0),Y710,0)</f>
        <v>0</v>
      </c>
      <c r="CE710" s="313">
        <f>IF(AND(Input_LTV&lt;=AE710,Input_Product=Elig!$C710,Elig_MatchAll_Ct&lt;22,$BC710=(Elig_MatchAll_Ct-1),AY710=0),Z710,0)</f>
        <v>0</v>
      </c>
      <c r="CF710" s="314">
        <f>IF(AND(Input_LTV&lt;=AE710,Input_Product=Elig!$C710,Elig_MatchAll_Ct&lt;22,$BC710=(Elig_MatchAll_Ct-1),AY710=0),AA710,0)</f>
        <v>0</v>
      </c>
      <c r="CG710" s="313">
        <f>IF(AND(Input_Product=Elig!$C710,Elig_MatchAll_Ct&lt;22,$BC710=(Elig_MatchAll_Ct-1),AZ710=0),AB710,0)</f>
        <v>0</v>
      </c>
      <c r="CH710" s="314">
        <f>IF(AND(Input_Product=Elig!$C710,Elig_MatchAll_Ct&lt;22,$BC710=(Elig_MatchAll_Ct-1),AZ710=0),AC710,0)</f>
        <v>0</v>
      </c>
      <c r="CI710" s="313">
        <f>IF(AND(Input_Product=Elig!$C710,Elig_MatchAll_Ct&lt;22,$BC710=(Elig_MatchAll_Ct-1),BA710=0),AD710,0)</f>
        <v>0</v>
      </c>
      <c r="CJ710" s="314">
        <f>IF(AND(Input_Product=Elig!$C710,Elig_MatchAll_Ct&lt;22,$BC710=(Elig_MatchAll_Ct-1),BA710=0),AE710,0)</f>
        <v>0</v>
      </c>
    </row>
    <row r="711" spans="2:88" ht="10.15" customHeight="1" x14ac:dyDescent="0.25">
      <c r="B711" s="2027" t="s">
        <v>1773</v>
      </c>
      <c r="C711" s="2028" t="str">
        <f t="shared" si="279"/>
        <v>Second OO</v>
      </c>
      <c r="D711" s="2027" t="s">
        <v>1569</v>
      </c>
      <c r="E711" s="2027" t="s">
        <v>98</v>
      </c>
      <c r="F711" s="2027" t="s">
        <v>328</v>
      </c>
      <c r="G711" s="2110" t="s">
        <v>175</v>
      </c>
      <c r="H711" s="2029" t="s">
        <v>446</v>
      </c>
      <c r="I711" s="2027" t="s">
        <v>1332</v>
      </c>
      <c r="J711" s="2027" t="s">
        <v>1311</v>
      </c>
      <c r="K711" s="2029" t="s">
        <v>1790</v>
      </c>
      <c r="L711" s="2027" t="s">
        <v>430</v>
      </c>
      <c r="M711" s="2027" t="s">
        <v>2677</v>
      </c>
      <c r="N711" s="2029" t="s">
        <v>82</v>
      </c>
      <c r="O711" s="2027" t="s">
        <v>310</v>
      </c>
      <c r="P711" s="2027" t="s">
        <v>291</v>
      </c>
      <c r="Q711" s="2027" t="s">
        <v>294</v>
      </c>
      <c r="R711" s="2027">
        <v>350000.01</v>
      </c>
      <c r="S711" s="300">
        <v>500000</v>
      </c>
      <c r="T711" s="2027">
        <v>0</v>
      </c>
      <c r="U711" s="2027">
        <f t="shared" si="300"/>
        <v>500000</v>
      </c>
      <c r="V711" s="2027">
        <v>0</v>
      </c>
      <c r="W711" s="2027">
        <v>50</v>
      </c>
      <c r="X711" s="2027">
        <v>0</v>
      </c>
      <c r="Y711" s="2027">
        <v>999</v>
      </c>
      <c r="Z711" s="2030">
        <v>700</v>
      </c>
      <c r="AA711" s="2030">
        <v>719</v>
      </c>
      <c r="AB711" s="2030">
        <v>0</v>
      </c>
      <c r="AC711" s="2030">
        <v>999999</v>
      </c>
      <c r="AD711" s="2027">
        <v>0</v>
      </c>
      <c r="AE711" s="2105">
        <v>80</v>
      </c>
      <c r="AF711" s="170">
        <v>1</v>
      </c>
      <c r="AG711" s="171">
        <v>1</v>
      </c>
      <c r="AH711" s="171">
        <v>1</v>
      </c>
      <c r="AI711" s="171">
        <v>1</v>
      </c>
      <c r="AJ711" s="171">
        <v>0</v>
      </c>
      <c r="AK711" s="171">
        <v>0</v>
      </c>
      <c r="AL711" s="171">
        <v>1</v>
      </c>
      <c r="AM711" s="171">
        <v>1</v>
      </c>
      <c r="AN711" s="171">
        <v>1</v>
      </c>
      <c r="AO711" s="171">
        <v>1</v>
      </c>
      <c r="AP711" s="171">
        <v>1</v>
      </c>
      <c r="AQ711" s="171">
        <v>1</v>
      </c>
      <c r="AR711" s="171">
        <v>1</v>
      </c>
      <c r="AS711" s="171">
        <v>1</v>
      </c>
      <c r="AT711" s="171">
        <v>1</v>
      </c>
      <c r="AU711" s="171">
        <f t="shared" si="294"/>
        <v>0</v>
      </c>
      <c r="AV711" s="171">
        <f t="shared" si="295"/>
        <v>1</v>
      </c>
      <c r="AW711" s="171">
        <f t="shared" si="296"/>
        <v>1</v>
      </c>
      <c r="AX711" s="171">
        <f t="shared" si="284"/>
        <v>1</v>
      </c>
      <c r="AY711" s="171">
        <f t="shared" si="297"/>
        <v>0</v>
      </c>
      <c r="AZ711" s="171">
        <f t="shared" si="298"/>
        <v>1</v>
      </c>
      <c r="BA711" s="172">
        <f t="shared" si="299"/>
        <v>1</v>
      </c>
      <c r="BB711" s="175">
        <f t="shared" si="301"/>
        <v>18</v>
      </c>
      <c r="BC711" s="176">
        <f t="shared" si="302"/>
        <v>17</v>
      </c>
      <c r="BD711" s="176">
        <f t="shared" si="303"/>
        <v>17</v>
      </c>
      <c r="BE711" s="240" t="str">
        <f t="shared" ref="BE711:BE774" si="304">IF(BD711=21,C711,"")</f>
        <v/>
      </c>
      <c r="BF711" s="234"/>
      <c r="BG711" s="234"/>
      <c r="BH711" s="199">
        <f>IF(AND(Input_Product=Elig!$C711,Elig_MatchAll_Ct&lt;22,$BC711=(Elig_MatchAll_Ct-1),AF711=0),C711,0)</f>
        <v>0</v>
      </c>
      <c r="BI711" s="199">
        <f>IF(AND(Input_Product=Elig!$C711,Elig_MatchAll_Ct&lt;22,$BC711=(Elig_MatchAll_Ct-1),AG711=0),D711,0)</f>
        <v>0</v>
      </c>
      <c r="BJ711" s="199">
        <f>IF(AND(Input_Product=Elig!$C711,Elig_MatchAll_Ct&lt;22,$BC711=(Elig_MatchAll_Ct-1),AH711=0),E711,0)</f>
        <v>0</v>
      </c>
      <c r="BK711" s="199">
        <f>IF(AND(Input_Product=Elig!$C711,Elig_MatchAll_Ct&lt;22,$BC711=(Elig_MatchAll_Ct-1),AI711=0),F711,0)</f>
        <v>0</v>
      </c>
      <c r="BL711" s="199">
        <f>IF(AND(Input_Product=Elig!$C711,Elig_MatchAll_Ct&lt;22,$BC711=(Elig_MatchAll_Ct-1),AJ711=0),G711,0)</f>
        <v>0</v>
      </c>
      <c r="BM711" s="199">
        <f>IF(AND(Input_Product=Elig!$C711,Elig_MatchAll_Ct&lt;22,$BC711=(Elig_MatchAll_Ct-1),AK711=0),H711,0)</f>
        <v>0</v>
      </c>
      <c r="BN711" s="199">
        <f>IF(AND(Input_Product=Elig!$C711,Elig_MatchAll_Ct&lt;22,$BC711=(Elig_MatchAll_Ct-1),AL711=0),I711,0)</f>
        <v>0</v>
      </c>
      <c r="BO711" s="199">
        <f>IF(AND(Input_Product=Elig!$C711,Elig_MatchAll_Ct&lt;22,$BC711=(Elig_MatchAll_Ct-1),AM711=0),J711,0)</f>
        <v>0</v>
      </c>
      <c r="BP711" s="199">
        <f>IF(AND(Input_Product=Elig!$C711,Elig_MatchAll_Ct&lt;22,$BC711=(Elig_MatchAll_Ct-1),AN711=0),K711,0)</f>
        <v>0</v>
      </c>
      <c r="BQ711" s="199">
        <f>IF(AND(Input_Product=Elig!$C711,Elig_MatchAll_Ct&lt;22,$BC711=(Elig_MatchAll_Ct-1),AP711=0),L711,0)</f>
        <v>0</v>
      </c>
      <c r="BR711" s="199">
        <f>IF(AND(Input_Product=Elig!$C711,Elig_MatchAll_Ct&lt;22,$BC711=(Elig_MatchAll_Ct-1),AO711=0),M711,0)</f>
        <v>0</v>
      </c>
      <c r="BS711" s="199">
        <f>IF(AND(Input_Product=Elig!$C711,Elig_MatchAll_Ct&lt;22,$BC711=(Elig_MatchAll_Ct-1),AQ711=0),N711,0)</f>
        <v>0</v>
      </c>
      <c r="BT711" s="199">
        <f>IF(AND(Input_Product=Elig!$C711,Elig_MatchAll_Ct&lt;22,$BC711=(Elig_MatchAll_Ct-1),AR711=0),O711,0)</f>
        <v>0</v>
      </c>
      <c r="BU711" s="199">
        <f>IF(AND(Input_Product=Elig!$C711,Elig_MatchAll_Ct&lt;22,$BC711=(Elig_MatchAll_Ct-1),AS711=0),P711,0)</f>
        <v>0</v>
      </c>
      <c r="BV711" s="200">
        <f>IF(AND(Input_Product=Elig!$C711,Elig_MatchAll_Ct&lt;22,$BC711=(Elig_MatchAll_Ct-1),AT711=0),Q711,0)</f>
        <v>0</v>
      </c>
      <c r="BW711" s="201">
        <f>IF(AND(Input_Product=Elig!$C711,Elig_MatchAll_Ct&lt;22,$BC711=(Elig_MatchAll_Ct-1),AU711=0),R711,0)</f>
        <v>0</v>
      </c>
      <c r="BX711" s="202">
        <f>IF(AND(Input_Product=Elig!$C711,Elig_MatchAll_Ct&lt;22,$BC711=(Elig_MatchAll_Ct-1),AU711=0),S711,0)</f>
        <v>0</v>
      </c>
      <c r="BY711" s="201">
        <f>IF(AND(Input_Product=Elig!$C711,Elig_MatchAll_Ct&lt;22,$BC711=(Elig_MatchAll_Ct-1),AV711=0),T711,0)</f>
        <v>0</v>
      </c>
      <c r="BZ711" s="202">
        <f>IF(AND(Input_Product=Elig!$C711,Elig_MatchAll_Ct&lt;22,$BC711=(Elig_MatchAll_Ct-1),AV711=0),U711,0)</f>
        <v>0</v>
      </c>
      <c r="CA711" s="201">
        <f>IF(AND(Input_Product=Elig!$C711,Elig_MatchAll_Ct&lt;22,$BC711=(Elig_MatchAll_Ct-1),AW711=0),V711,0)</f>
        <v>0</v>
      </c>
      <c r="CB711" s="202">
        <f>IF(AND(Input_Product=Elig!$C711,Elig_MatchAll_Ct&lt;22,$BC711=(Elig_MatchAll_Ct-1),AW711=0),W711,0)</f>
        <v>0</v>
      </c>
      <c r="CC711" s="201">
        <f>IF(AND(Input_Product=Elig!$C711,Elig_MatchAll_Ct&lt;22,$BC711=(Elig_MatchAll_Ct-1),AX711=0),X711,0)</f>
        <v>0</v>
      </c>
      <c r="CD711" s="202">
        <f>IF(AND(Input_Product=Elig!$C711,Elig_MatchAll_Ct&lt;22,$BC711=(Elig_MatchAll_Ct-1),AX711=0),Y711,0)</f>
        <v>0</v>
      </c>
      <c r="CE711" s="201">
        <f>IF(AND(Input_LTV&lt;=AE711,Input_Product=Elig!$C711,Elig_MatchAll_Ct&lt;22,$BC711=(Elig_MatchAll_Ct-1),AY711=0),Z711,0)</f>
        <v>0</v>
      </c>
      <c r="CF711" s="202">
        <f>IF(AND(Input_LTV&lt;=AE711,Input_Product=Elig!$C711,Elig_MatchAll_Ct&lt;22,$BC711=(Elig_MatchAll_Ct-1),AY711=0),AA711,0)</f>
        <v>0</v>
      </c>
      <c r="CG711" s="201">
        <f>IF(AND(Input_Product=Elig!$C711,Elig_MatchAll_Ct&lt;22,$BC711=(Elig_MatchAll_Ct-1),AZ711=0),AB711,0)</f>
        <v>0</v>
      </c>
      <c r="CH711" s="202">
        <f>IF(AND(Input_Product=Elig!$C711,Elig_MatchAll_Ct&lt;22,$BC711=(Elig_MatchAll_Ct-1),AZ711=0),AC711,0)</f>
        <v>0</v>
      </c>
      <c r="CI711" s="201">
        <f>IF(AND(Input_Product=Elig!$C711,Elig_MatchAll_Ct&lt;22,$BC711=(Elig_MatchAll_Ct-1),BA711=0),AD711,0)</f>
        <v>0</v>
      </c>
      <c r="CJ711" s="202">
        <f>IF(AND(Input_Product=Elig!$C711,Elig_MatchAll_Ct&lt;22,$BC711=(Elig_MatchAll_Ct-1),BA711=0),AE711,0)</f>
        <v>0</v>
      </c>
    </row>
    <row r="712" spans="2:88" ht="10.15" customHeight="1" x14ac:dyDescent="0.25">
      <c r="B712" s="2027" t="s">
        <v>1774</v>
      </c>
      <c r="C712" s="2028" t="str">
        <f t="shared" si="279"/>
        <v>Second OO</v>
      </c>
      <c r="D712" s="2027" t="s">
        <v>1569</v>
      </c>
      <c r="E712" s="2027" t="s">
        <v>98</v>
      </c>
      <c r="F712" s="2027" t="s">
        <v>328</v>
      </c>
      <c r="G712" s="2110" t="s">
        <v>175</v>
      </c>
      <c r="H712" s="2029" t="s">
        <v>446</v>
      </c>
      <c r="I712" s="2027" t="s">
        <v>1332</v>
      </c>
      <c r="J712" s="2027" t="s">
        <v>1311</v>
      </c>
      <c r="K712" s="2029" t="s">
        <v>1790</v>
      </c>
      <c r="L712" s="2027" t="s">
        <v>430</v>
      </c>
      <c r="M712" s="2027" t="s">
        <v>2677</v>
      </c>
      <c r="N712" s="2029" t="s">
        <v>82</v>
      </c>
      <c r="O712" s="2027" t="s">
        <v>310</v>
      </c>
      <c r="P712" s="2027" t="s">
        <v>291</v>
      </c>
      <c r="Q712" s="2027" t="s">
        <v>294</v>
      </c>
      <c r="R712" s="2027">
        <v>350000.01</v>
      </c>
      <c r="S712" s="300">
        <v>500000</v>
      </c>
      <c r="T712" s="2027">
        <v>0</v>
      </c>
      <c r="U712" s="2027">
        <f t="shared" si="300"/>
        <v>500000</v>
      </c>
      <c r="V712" s="2027">
        <v>0</v>
      </c>
      <c r="W712" s="2027">
        <v>50</v>
      </c>
      <c r="X712" s="2027">
        <v>0</v>
      </c>
      <c r="Y712" s="2027">
        <v>999</v>
      </c>
      <c r="Z712" s="2030">
        <v>680</v>
      </c>
      <c r="AA712" s="2030">
        <v>699</v>
      </c>
      <c r="AB712" s="2030">
        <v>0</v>
      </c>
      <c r="AC712" s="2030">
        <v>999999</v>
      </c>
      <c r="AD712" s="2027">
        <v>0</v>
      </c>
      <c r="AE712" s="2105">
        <v>75</v>
      </c>
      <c r="AF712" s="170">
        <v>1</v>
      </c>
      <c r="AG712" s="171">
        <v>1</v>
      </c>
      <c r="AH712" s="171">
        <v>1</v>
      </c>
      <c r="AI712" s="171">
        <v>1</v>
      </c>
      <c r="AJ712" s="171">
        <v>0</v>
      </c>
      <c r="AK712" s="171">
        <v>0</v>
      </c>
      <c r="AL712" s="171">
        <v>1</v>
      </c>
      <c r="AM712" s="171">
        <v>1</v>
      </c>
      <c r="AN712" s="171">
        <v>1</v>
      </c>
      <c r="AO712" s="171">
        <v>1</v>
      </c>
      <c r="AP712" s="171">
        <v>1</v>
      </c>
      <c r="AQ712" s="171">
        <v>1</v>
      </c>
      <c r="AR712" s="171">
        <v>1</v>
      </c>
      <c r="AS712" s="171">
        <v>1</v>
      </c>
      <c r="AT712" s="171">
        <v>1</v>
      </c>
      <c r="AU712" s="171">
        <f t="shared" si="294"/>
        <v>0</v>
      </c>
      <c r="AV712" s="171">
        <f t="shared" si="295"/>
        <v>1</v>
      </c>
      <c r="AW712" s="171">
        <f t="shared" si="296"/>
        <v>1</v>
      </c>
      <c r="AX712" s="171">
        <f t="shared" ref="AX712:AX791" si="305">IF(AND(Input_DSCR&gt;=Elig_DSCR_Min,Input_DSCR&lt;=Elig_DSCR_Max),1,0)</f>
        <v>1</v>
      </c>
      <c r="AY712" s="171">
        <f t="shared" si="297"/>
        <v>0</v>
      </c>
      <c r="AZ712" s="171">
        <f t="shared" si="298"/>
        <v>1</v>
      </c>
      <c r="BA712" s="172">
        <f t="shared" si="299"/>
        <v>1</v>
      </c>
      <c r="BB712" s="175">
        <f t="shared" si="301"/>
        <v>18</v>
      </c>
      <c r="BC712" s="176">
        <f t="shared" si="302"/>
        <v>17</v>
      </c>
      <c r="BD712" s="176">
        <f t="shared" si="303"/>
        <v>17</v>
      </c>
      <c r="BE712" s="240" t="str">
        <f t="shared" si="304"/>
        <v/>
      </c>
      <c r="BF712" s="234"/>
      <c r="BG712" s="234"/>
      <c r="BH712" s="199">
        <f>IF(AND(Input_Product=Elig!$C712,Elig_MatchAll_Ct&lt;22,$BC712=(Elig_MatchAll_Ct-1),AF712=0),C712,0)</f>
        <v>0</v>
      </c>
      <c r="BI712" s="199">
        <f>IF(AND(Input_Product=Elig!$C712,Elig_MatchAll_Ct&lt;22,$BC712=(Elig_MatchAll_Ct-1),AG712=0),D712,0)</f>
        <v>0</v>
      </c>
      <c r="BJ712" s="199">
        <f>IF(AND(Input_Product=Elig!$C712,Elig_MatchAll_Ct&lt;22,$BC712=(Elig_MatchAll_Ct-1),AH712=0),E712,0)</f>
        <v>0</v>
      </c>
      <c r="BK712" s="199">
        <f>IF(AND(Input_Product=Elig!$C712,Elig_MatchAll_Ct&lt;22,$BC712=(Elig_MatchAll_Ct-1),AI712=0),F712,0)</f>
        <v>0</v>
      </c>
      <c r="BL712" s="199">
        <f>IF(AND(Input_Product=Elig!$C712,Elig_MatchAll_Ct&lt;22,$BC712=(Elig_MatchAll_Ct-1),AJ712=0),G712,0)</f>
        <v>0</v>
      </c>
      <c r="BM712" s="199">
        <f>IF(AND(Input_Product=Elig!$C712,Elig_MatchAll_Ct&lt;22,$BC712=(Elig_MatchAll_Ct-1),AK712=0),H712,0)</f>
        <v>0</v>
      </c>
      <c r="BN712" s="199">
        <f>IF(AND(Input_Product=Elig!$C712,Elig_MatchAll_Ct&lt;22,$BC712=(Elig_MatchAll_Ct-1),AL712=0),I712,0)</f>
        <v>0</v>
      </c>
      <c r="BO712" s="199">
        <f>IF(AND(Input_Product=Elig!$C712,Elig_MatchAll_Ct&lt;22,$BC712=(Elig_MatchAll_Ct-1),AM712=0),J712,0)</f>
        <v>0</v>
      </c>
      <c r="BP712" s="199">
        <f>IF(AND(Input_Product=Elig!$C712,Elig_MatchAll_Ct&lt;22,$BC712=(Elig_MatchAll_Ct-1),AN712=0),K712,0)</f>
        <v>0</v>
      </c>
      <c r="BQ712" s="199">
        <f>IF(AND(Input_Product=Elig!$C712,Elig_MatchAll_Ct&lt;22,$BC712=(Elig_MatchAll_Ct-1),AP712=0),L712,0)</f>
        <v>0</v>
      </c>
      <c r="BR712" s="199">
        <f>IF(AND(Input_Product=Elig!$C712,Elig_MatchAll_Ct&lt;22,$BC712=(Elig_MatchAll_Ct-1),AO712=0),M712,0)</f>
        <v>0</v>
      </c>
      <c r="BS712" s="199">
        <f>IF(AND(Input_Product=Elig!$C712,Elig_MatchAll_Ct&lt;22,$BC712=(Elig_MatchAll_Ct-1),AQ712=0),N712,0)</f>
        <v>0</v>
      </c>
      <c r="BT712" s="199">
        <f>IF(AND(Input_Product=Elig!$C712,Elig_MatchAll_Ct&lt;22,$BC712=(Elig_MatchAll_Ct-1),AR712=0),O712,0)</f>
        <v>0</v>
      </c>
      <c r="BU712" s="199">
        <f>IF(AND(Input_Product=Elig!$C712,Elig_MatchAll_Ct&lt;22,$BC712=(Elig_MatchAll_Ct-1),AS712=0),P712,0)</f>
        <v>0</v>
      </c>
      <c r="BV712" s="200">
        <f>IF(AND(Input_Product=Elig!$C712,Elig_MatchAll_Ct&lt;22,$BC712=(Elig_MatchAll_Ct-1),AT712=0),Q712,0)</f>
        <v>0</v>
      </c>
      <c r="BW712" s="201">
        <f>IF(AND(Input_Product=Elig!$C712,Elig_MatchAll_Ct&lt;22,$BC712=(Elig_MatchAll_Ct-1),AU712=0),R712,0)</f>
        <v>0</v>
      </c>
      <c r="BX712" s="202">
        <f>IF(AND(Input_Product=Elig!$C712,Elig_MatchAll_Ct&lt;22,$BC712=(Elig_MatchAll_Ct-1),AU712=0),S712,0)</f>
        <v>0</v>
      </c>
      <c r="BY712" s="201">
        <f>IF(AND(Input_Product=Elig!$C712,Elig_MatchAll_Ct&lt;22,$BC712=(Elig_MatchAll_Ct-1),AV712=0),T712,0)</f>
        <v>0</v>
      </c>
      <c r="BZ712" s="202">
        <f>IF(AND(Input_Product=Elig!$C712,Elig_MatchAll_Ct&lt;22,$BC712=(Elig_MatchAll_Ct-1),AV712=0),U712,0)</f>
        <v>0</v>
      </c>
      <c r="CA712" s="201">
        <f>IF(AND(Input_Product=Elig!$C712,Elig_MatchAll_Ct&lt;22,$BC712=(Elig_MatchAll_Ct-1),AW712=0),V712,0)</f>
        <v>0</v>
      </c>
      <c r="CB712" s="202">
        <f>IF(AND(Input_Product=Elig!$C712,Elig_MatchAll_Ct&lt;22,$BC712=(Elig_MatchAll_Ct-1),AW712=0),W712,0)</f>
        <v>0</v>
      </c>
      <c r="CC712" s="201">
        <f>IF(AND(Input_Product=Elig!$C712,Elig_MatchAll_Ct&lt;22,$BC712=(Elig_MatchAll_Ct-1),AX712=0),X712,0)</f>
        <v>0</v>
      </c>
      <c r="CD712" s="202">
        <f>IF(AND(Input_Product=Elig!$C712,Elig_MatchAll_Ct&lt;22,$BC712=(Elig_MatchAll_Ct-1),AX712=0),Y712,0)</f>
        <v>0</v>
      </c>
      <c r="CE712" s="201">
        <f>IF(AND(Input_LTV&lt;=AE712,Input_Product=Elig!$C712,Elig_MatchAll_Ct&lt;22,$BC712=(Elig_MatchAll_Ct-1),AY712=0),Z712,0)</f>
        <v>0</v>
      </c>
      <c r="CF712" s="202">
        <f>IF(AND(Input_LTV&lt;=AE712,Input_Product=Elig!$C712,Elig_MatchAll_Ct&lt;22,$BC712=(Elig_MatchAll_Ct-1),AY712=0),AA712,0)</f>
        <v>0</v>
      </c>
      <c r="CG712" s="201">
        <f>IF(AND(Input_Product=Elig!$C712,Elig_MatchAll_Ct&lt;22,$BC712=(Elig_MatchAll_Ct-1),AZ712=0),AB712,0)</f>
        <v>0</v>
      </c>
      <c r="CH712" s="202">
        <f>IF(AND(Input_Product=Elig!$C712,Elig_MatchAll_Ct&lt;22,$BC712=(Elig_MatchAll_Ct-1),AZ712=0),AC712,0)</f>
        <v>0</v>
      </c>
      <c r="CI712" s="201">
        <f>IF(AND(Input_Product=Elig!$C712,Elig_MatchAll_Ct&lt;22,$BC712=(Elig_MatchAll_Ct-1),BA712=0),AD712,0)</f>
        <v>0</v>
      </c>
      <c r="CJ712" s="202">
        <f>IF(AND(Input_Product=Elig!$C712,Elig_MatchAll_Ct&lt;22,$BC712=(Elig_MatchAll_Ct-1),BA712=0),AE712,0)</f>
        <v>0</v>
      </c>
    </row>
    <row r="713" spans="2:88" ht="10.15" customHeight="1" x14ac:dyDescent="0.25">
      <c r="B713" s="2027" t="s">
        <v>1775</v>
      </c>
      <c r="C713" s="2032" t="str">
        <f t="shared" si="279"/>
        <v>Second OO</v>
      </c>
      <c r="D713" s="2031" t="s">
        <v>1569</v>
      </c>
      <c r="E713" s="2031" t="s">
        <v>98</v>
      </c>
      <c r="F713" s="2031" t="s">
        <v>328</v>
      </c>
      <c r="G713" s="2111" t="s">
        <v>175</v>
      </c>
      <c r="H713" s="2033" t="s">
        <v>446</v>
      </c>
      <c r="I713" s="2031" t="s">
        <v>1332</v>
      </c>
      <c r="J713" s="2031" t="s">
        <v>1311</v>
      </c>
      <c r="K713" s="2033" t="s">
        <v>1790</v>
      </c>
      <c r="L713" s="2031" t="s">
        <v>430</v>
      </c>
      <c r="M713" s="2031" t="s">
        <v>2677</v>
      </c>
      <c r="N713" s="2033" t="s">
        <v>82</v>
      </c>
      <c r="O713" s="2031" t="s">
        <v>310</v>
      </c>
      <c r="P713" s="2031" t="s">
        <v>291</v>
      </c>
      <c r="Q713" s="2031" t="s">
        <v>294</v>
      </c>
      <c r="R713" s="2031">
        <v>350000.01</v>
      </c>
      <c r="S713" s="324">
        <v>500000</v>
      </c>
      <c r="T713" s="2031">
        <v>0</v>
      </c>
      <c r="U713" s="2031">
        <f t="shared" si="300"/>
        <v>500000</v>
      </c>
      <c r="V713" s="2031">
        <v>0</v>
      </c>
      <c r="W713" s="2031">
        <v>50</v>
      </c>
      <c r="X713" s="2031">
        <v>0</v>
      </c>
      <c r="Y713" s="2031">
        <v>999</v>
      </c>
      <c r="Z713" s="2034">
        <v>660</v>
      </c>
      <c r="AA713" s="2034">
        <v>679</v>
      </c>
      <c r="AB713" s="2034">
        <v>0</v>
      </c>
      <c r="AC713" s="2034">
        <v>999999</v>
      </c>
      <c r="AD713" s="2031">
        <v>0</v>
      </c>
      <c r="AE713" s="1484">
        <v>65</v>
      </c>
      <c r="AF713" s="170">
        <v>1</v>
      </c>
      <c r="AG713" s="171">
        <v>1</v>
      </c>
      <c r="AH713" s="171">
        <v>1</v>
      </c>
      <c r="AI713" s="171">
        <v>1</v>
      </c>
      <c r="AJ713" s="171">
        <v>0</v>
      </c>
      <c r="AK713" s="171">
        <v>0</v>
      </c>
      <c r="AL713" s="171">
        <v>1</v>
      </c>
      <c r="AM713" s="171">
        <v>1</v>
      </c>
      <c r="AN713" s="171">
        <v>1</v>
      </c>
      <c r="AO713" s="171">
        <v>1</v>
      </c>
      <c r="AP713" s="171">
        <v>1</v>
      </c>
      <c r="AQ713" s="171">
        <v>1</v>
      </c>
      <c r="AR713" s="171">
        <v>1</v>
      </c>
      <c r="AS713" s="171">
        <v>1</v>
      </c>
      <c r="AT713" s="171">
        <v>1</v>
      </c>
      <c r="AU713" s="171">
        <f t="shared" si="294"/>
        <v>0</v>
      </c>
      <c r="AV713" s="171">
        <f t="shared" si="295"/>
        <v>1</v>
      </c>
      <c r="AW713" s="171">
        <f t="shared" si="296"/>
        <v>1</v>
      </c>
      <c r="AX713" s="171">
        <f t="shared" si="305"/>
        <v>1</v>
      </c>
      <c r="AY713" s="171">
        <f t="shared" si="297"/>
        <v>0</v>
      </c>
      <c r="AZ713" s="171">
        <f t="shared" si="298"/>
        <v>1</v>
      </c>
      <c r="BA713" s="172">
        <f t="shared" si="299"/>
        <v>1</v>
      </c>
      <c r="BB713" s="175">
        <f t="shared" si="301"/>
        <v>18</v>
      </c>
      <c r="BC713" s="176">
        <f t="shared" si="302"/>
        <v>17</v>
      </c>
      <c r="BD713" s="176">
        <f t="shared" si="303"/>
        <v>17</v>
      </c>
      <c r="BE713" s="240" t="str">
        <f t="shared" si="304"/>
        <v/>
      </c>
      <c r="BF713" s="234"/>
      <c r="BG713" s="234"/>
      <c r="BH713" s="214">
        <f>IF(AND(Input_Product=Elig!$C713,Elig_MatchAll_Ct&lt;22,$BC713=(Elig_MatchAll_Ct-1),AF713=0),C713,0)</f>
        <v>0</v>
      </c>
      <c r="BI713" s="214">
        <f>IF(AND(Input_Product=Elig!$C713,Elig_MatchAll_Ct&lt;22,$BC713=(Elig_MatchAll_Ct-1),AG713=0),D713,0)</f>
        <v>0</v>
      </c>
      <c r="BJ713" s="214">
        <f>IF(AND(Input_Product=Elig!$C713,Elig_MatchAll_Ct&lt;22,$BC713=(Elig_MatchAll_Ct-1),AH713=0),E713,0)</f>
        <v>0</v>
      </c>
      <c r="BK713" s="214">
        <f>IF(AND(Input_Product=Elig!$C713,Elig_MatchAll_Ct&lt;22,$BC713=(Elig_MatchAll_Ct-1),AI713=0),F713,0)</f>
        <v>0</v>
      </c>
      <c r="BL713" s="214">
        <f>IF(AND(Input_Product=Elig!$C713,Elig_MatchAll_Ct&lt;22,$BC713=(Elig_MatchAll_Ct-1),AJ713=0),G713,0)</f>
        <v>0</v>
      </c>
      <c r="BM713" s="214">
        <f>IF(AND(Input_Product=Elig!$C713,Elig_MatchAll_Ct&lt;22,$BC713=(Elig_MatchAll_Ct-1),AK713=0),H713,0)</f>
        <v>0</v>
      </c>
      <c r="BN713" s="214">
        <f>IF(AND(Input_Product=Elig!$C713,Elig_MatchAll_Ct&lt;22,$BC713=(Elig_MatchAll_Ct-1),AL713=0),I713,0)</f>
        <v>0</v>
      </c>
      <c r="BO713" s="214">
        <f>IF(AND(Input_Product=Elig!$C713,Elig_MatchAll_Ct&lt;22,$BC713=(Elig_MatchAll_Ct-1),AM713=0),J713,0)</f>
        <v>0</v>
      </c>
      <c r="BP713" s="214">
        <f>IF(AND(Input_Product=Elig!$C713,Elig_MatchAll_Ct&lt;22,$BC713=(Elig_MatchAll_Ct-1),AN713=0),K713,0)</f>
        <v>0</v>
      </c>
      <c r="BQ713" s="214">
        <f>IF(AND(Input_Product=Elig!$C713,Elig_MatchAll_Ct&lt;22,$BC713=(Elig_MatchAll_Ct-1),AP713=0),L713,0)</f>
        <v>0</v>
      </c>
      <c r="BR713" s="214">
        <f>IF(AND(Input_Product=Elig!$C713,Elig_MatchAll_Ct&lt;22,$BC713=(Elig_MatchAll_Ct-1),AO713=0),M713,0)</f>
        <v>0</v>
      </c>
      <c r="BS713" s="214">
        <f>IF(AND(Input_Product=Elig!$C713,Elig_MatchAll_Ct&lt;22,$BC713=(Elig_MatchAll_Ct-1),AQ713=0),N713,0)</f>
        <v>0</v>
      </c>
      <c r="BT713" s="214">
        <f>IF(AND(Input_Product=Elig!$C713,Elig_MatchAll_Ct&lt;22,$BC713=(Elig_MatchAll_Ct-1),AR713=0),O713,0)</f>
        <v>0</v>
      </c>
      <c r="BU713" s="214">
        <f>IF(AND(Input_Product=Elig!$C713,Elig_MatchAll_Ct&lt;22,$BC713=(Elig_MatchAll_Ct-1),AS713=0),P713,0)</f>
        <v>0</v>
      </c>
      <c r="BV713" s="215">
        <f>IF(AND(Input_Product=Elig!$C713,Elig_MatchAll_Ct&lt;22,$BC713=(Elig_MatchAll_Ct-1),AT713=0),Q713,0)</f>
        <v>0</v>
      </c>
      <c r="BW713" s="311">
        <f>IF(AND(Input_Product=Elig!$C713,Elig_MatchAll_Ct&lt;22,$BC713=(Elig_MatchAll_Ct-1),AU713=0),R713,0)</f>
        <v>0</v>
      </c>
      <c r="BX713" s="312">
        <f>IF(AND(Input_Product=Elig!$C713,Elig_MatchAll_Ct&lt;22,$BC713=(Elig_MatchAll_Ct-1),AU713=0),S713,0)</f>
        <v>0</v>
      </c>
      <c r="BY713" s="311">
        <f>IF(AND(Input_Product=Elig!$C713,Elig_MatchAll_Ct&lt;22,$BC713=(Elig_MatchAll_Ct-1),AV713=0),T713,0)</f>
        <v>0</v>
      </c>
      <c r="BZ713" s="312">
        <f>IF(AND(Input_Product=Elig!$C713,Elig_MatchAll_Ct&lt;22,$BC713=(Elig_MatchAll_Ct-1),AV713=0),U713,0)</f>
        <v>0</v>
      </c>
      <c r="CA713" s="311">
        <f>IF(AND(Input_Product=Elig!$C713,Elig_MatchAll_Ct&lt;22,$BC713=(Elig_MatchAll_Ct-1),AW713=0),V713,0)</f>
        <v>0</v>
      </c>
      <c r="CB713" s="312">
        <f>IF(AND(Input_Product=Elig!$C713,Elig_MatchAll_Ct&lt;22,$BC713=(Elig_MatchAll_Ct-1),AW713=0),W713,0)</f>
        <v>0</v>
      </c>
      <c r="CC713" s="311">
        <f>IF(AND(Input_Product=Elig!$C713,Elig_MatchAll_Ct&lt;22,$BC713=(Elig_MatchAll_Ct-1),AX713=0),X713,0)</f>
        <v>0</v>
      </c>
      <c r="CD713" s="312">
        <f>IF(AND(Input_Product=Elig!$C713,Elig_MatchAll_Ct&lt;22,$BC713=(Elig_MatchAll_Ct-1),AX713=0),Y713,0)</f>
        <v>0</v>
      </c>
      <c r="CE713" s="311">
        <f>IF(AND(Input_LTV&lt;=AE713,Input_Product=Elig!$C713,Elig_MatchAll_Ct&lt;22,$BC713=(Elig_MatchAll_Ct-1),AY713=0),Z713,0)</f>
        <v>0</v>
      </c>
      <c r="CF713" s="312">
        <f>IF(AND(Input_LTV&lt;=AE713,Input_Product=Elig!$C713,Elig_MatchAll_Ct&lt;22,$BC713=(Elig_MatchAll_Ct-1),AY713=0),AA713,0)</f>
        <v>0</v>
      </c>
      <c r="CG713" s="311">
        <f>IF(AND(Input_Product=Elig!$C713,Elig_MatchAll_Ct&lt;22,$BC713=(Elig_MatchAll_Ct-1),AZ713=0),AB713,0)</f>
        <v>0</v>
      </c>
      <c r="CH713" s="312">
        <f>IF(AND(Input_Product=Elig!$C713,Elig_MatchAll_Ct&lt;22,$BC713=(Elig_MatchAll_Ct-1),AZ713=0),AC713,0)</f>
        <v>0</v>
      </c>
      <c r="CI713" s="311">
        <f>IF(AND(Input_Product=Elig!$C713,Elig_MatchAll_Ct&lt;22,$BC713=(Elig_MatchAll_Ct-1),BA713=0),AD713,0)</f>
        <v>0</v>
      </c>
      <c r="CJ713" s="312">
        <f>IF(AND(Input_Product=Elig!$C713,Elig_MatchAll_Ct&lt;22,$BC713=(Elig_MatchAll_Ct-1),BA713=0),AE713,0)</f>
        <v>0</v>
      </c>
    </row>
    <row r="714" spans="2:88" ht="10.15" customHeight="1" x14ac:dyDescent="0.25">
      <c r="B714" s="2027" t="s">
        <v>1776</v>
      </c>
      <c r="C714" s="2024" t="str">
        <f t="shared" si="279"/>
        <v>Second OO</v>
      </c>
      <c r="D714" s="2025" t="s">
        <v>1569</v>
      </c>
      <c r="E714" s="2025" t="s">
        <v>98</v>
      </c>
      <c r="F714" s="2025" t="s">
        <v>328</v>
      </c>
      <c r="G714" s="2103" t="s">
        <v>468</v>
      </c>
      <c r="H714" s="2025" t="s">
        <v>136</v>
      </c>
      <c r="I714" s="2023" t="s">
        <v>1332</v>
      </c>
      <c r="J714" s="2023" t="s">
        <v>1311</v>
      </c>
      <c r="K714" s="2025" t="s">
        <v>1790</v>
      </c>
      <c r="L714" s="2023" t="s">
        <v>430</v>
      </c>
      <c r="M714" s="2023" t="s">
        <v>2677</v>
      </c>
      <c r="N714" s="2025" t="s">
        <v>82</v>
      </c>
      <c r="O714" s="2023" t="s">
        <v>310</v>
      </c>
      <c r="P714" s="2023" t="s">
        <v>291</v>
      </c>
      <c r="Q714" s="2023" t="s">
        <v>294</v>
      </c>
      <c r="R714" s="2023">
        <v>350000.01</v>
      </c>
      <c r="S714" s="323">
        <v>500000</v>
      </c>
      <c r="T714" s="2023">
        <v>0</v>
      </c>
      <c r="U714" s="2023">
        <f t="shared" ref="U714:U717" si="306">S714</f>
        <v>500000</v>
      </c>
      <c r="V714" s="2023">
        <v>0</v>
      </c>
      <c r="W714" s="2023">
        <v>50</v>
      </c>
      <c r="X714" s="2023">
        <v>0</v>
      </c>
      <c r="Y714" s="2023">
        <v>999</v>
      </c>
      <c r="Z714" s="2026">
        <v>720</v>
      </c>
      <c r="AA714" s="2026">
        <v>999</v>
      </c>
      <c r="AB714" s="2026">
        <v>0</v>
      </c>
      <c r="AC714" s="2026">
        <v>999999</v>
      </c>
      <c r="AD714" s="2023">
        <v>0</v>
      </c>
      <c r="AE714" s="2104">
        <v>85</v>
      </c>
      <c r="AF714" s="170">
        <v>1</v>
      </c>
      <c r="AG714" s="171">
        <v>1</v>
      </c>
      <c r="AH714" s="171">
        <v>1</v>
      </c>
      <c r="AI714" s="171">
        <v>1</v>
      </c>
      <c r="AJ714" s="171">
        <v>0</v>
      </c>
      <c r="AK714" s="171">
        <v>1</v>
      </c>
      <c r="AL714" s="171">
        <v>1</v>
      </c>
      <c r="AM714" s="171">
        <v>1</v>
      </c>
      <c r="AN714" s="171">
        <v>1</v>
      </c>
      <c r="AO714" s="171">
        <v>1</v>
      </c>
      <c r="AP714" s="171">
        <v>1</v>
      </c>
      <c r="AQ714" s="171">
        <v>1</v>
      </c>
      <c r="AR714" s="171">
        <v>1</v>
      </c>
      <c r="AS714" s="171">
        <v>1</v>
      </c>
      <c r="AT714" s="171">
        <v>1</v>
      </c>
      <c r="AU714" s="171">
        <f t="shared" si="294"/>
        <v>0</v>
      </c>
      <c r="AV714" s="171">
        <f t="shared" si="295"/>
        <v>1</v>
      </c>
      <c r="AW714" s="171">
        <f t="shared" si="296"/>
        <v>1</v>
      </c>
      <c r="AX714" s="171">
        <f t="shared" si="305"/>
        <v>1</v>
      </c>
      <c r="AY714" s="171">
        <f t="shared" si="297"/>
        <v>1</v>
      </c>
      <c r="AZ714" s="171">
        <f t="shared" si="298"/>
        <v>1</v>
      </c>
      <c r="BA714" s="172">
        <f t="shared" si="299"/>
        <v>1</v>
      </c>
      <c r="BB714" s="175">
        <f t="shared" ref="BB714:BB717" si="307">SUM(AF714:BA714)</f>
        <v>20</v>
      </c>
      <c r="BC714" s="176">
        <f t="shared" ref="BC714:BC717" si="308">SUM(AF714:AZ714)</f>
        <v>19</v>
      </c>
      <c r="BD714" s="176">
        <f t="shared" ref="BD714:BD717" si="309">SUM(AG714:BA714)</f>
        <v>19</v>
      </c>
      <c r="BE714" s="240" t="str">
        <f t="shared" si="304"/>
        <v/>
      </c>
      <c r="BF714" s="220"/>
      <c r="BG714" s="220"/>
      <c r="BH714" s="216">
        <f>IF(AND(Input_Product=Elig!$C714,Elig_MatchAll_Ct&lt;22,$BC714=(Elig_MatchAll_Ct-1),AF714=0),C714,0)</f>
        <v>0</v>
      </c>
      <c r="BI714" s="216">
        <f>IF(AND(Input_Product=Elig!$C714,Elig_MatchAll_Ct&lt;22,$BC714=(Elig_MatchAll_Ct-1),AG714=0),D714,0)</f>
        <v>0</v>
      </c>
      <c r="BJ714" s="216">
        <f>IF(AND(Input_Product=Elig!$C714,Elig_MatchAll_Ct&lt;22,$BC714=(Elig_MatchAll_Ct-1),AH714=0),E714,0)</f>
        <v>0</v>
      </c>
      <c r="BK714" s="216">
        <f>IF(AND(Input_Product=Elig!$C714,Elig_MatchAll_Ct&lt;22,$BC714=(Elig_MatchAll_Ct-1),AI714=0),F714,0)</f>
        <v>0</v>
      </c>
      <c r="BL714" s="216">
        <f>IF(AND(Input_Product=Elig!$C714,Elig_MatchAll_Ct&lt;22,$BC714=(Elig_MatchAll_Ct-1),AJ714=0),G714,0)</f>
        <v>0</v>
      </c>
      <c r="BM714" s="216">
        <f>IF(AND(Input_Product=Elig!$C714,Elig_MatchAll_Ct&lt;22,$BC714=(Elig_MatchAll_Ct-1),AK714=0),H714,0)</f>
        <v>0</v>
      </c>
      <c r="BN714" s="216">
        <f>IF(AND(Input_Product=Elig!$C714,Elig_MatchAll_Ct&lt;22,$BC714=(Elig_MatchAll_Ct-1),AL714=0),I714,0)</f>
        <v>0</v>
      </c>
      <c r="BO714" s="216">
        <f>IF(AND(Input_Product=Elig!$C714,Elig_MatchAll_Ct&lt;22,$BC714=(Elig_MatchAll_Ct-1),AM714=0),J714,0)</f>
        <v>0</v>
      </c>
      <c r="BP714" s="216">
        <f>IF(AND(Input_Product=Elig!$C714,Elig_MatchAll_Ct&lt;22,$BC714=(Elig_MatchAll_Ct-1),AN714=0),K714,0)</f>
        <v>0</v>
      </c>
      <c r="BQ714" s="216">
        <f>IF(AND(Input_Product=Elig!$C714,Elig_MatchAll_Ct&lt;22,$BC714=(Elig_MatchAll_Ct-1),AP714=0),L714,0)</f>
        <v>0</v>
      </c>
      <c r="BR714" s="216">
        <f>IF(AND(Input_Product=Elig!$C714,Elig_MatchAll_Ct&lt;22,$BC714=(Elig_MatchAll_Ct-1),AO714=0),M714,0)</f>
        <v>0</v>
      </c>
      <c r="BS714" s="216">
        <f>IF(AND(Input_Product=Elig!$C714,Elig_MatchAll_Ct&lt;22,$BC714=(Elig_MatchAll_Ct-1),AQ714=0),N714,0)</f>
        <v>0</v>
      </c>
      <c r="BT714" s="216">
        <f>IF(AND(Input_Product=Elig!$C714,Elig_MatchAll_Ct&lt;22,$BC714=(Elig_MatchAll_Ct-1),AR714=0),O714,0)</f>
        <v>0</v>
      </c>
      <c r="BU714" s="216">
        <f>IF(AND(Input_Product=Elig!$C714,Elig_MatchAll_Ct&lt;22,$BC714=(Elig_MatchAll_Ct-1),AS714=0),P714,0)</f>
        <v>0</v>
      </c>
      <c r="BV714" s="217">
        <f>IF(AND(Input_Product=Elig!$C714,Elig_MatchAll_Ct&lt;22,$BC714=(Elig_MatchAll_Ct-1),AT714=0),Q714,0)</f>
        <v>0</v>
      </c>
      <c r="BW714" s="313">
        <f>IF(AND(Input_Product=Elig!$C714,Elig_MatchAll_Ct&lt;22,$BC714=(Elig_MatchAll_Ct-1),AU714=0),R714,0)</f>
        <v>0</v>
      </c>
      <c r="BX714" s="314">
        <f>IF(AND(Input_Product=Elig!$C714,Elig_MatchAll_Ct&lt;22,$BC714=(Elig_MatchAll_Ct-1),AU714=0),S714,0)</f>
        <v>0</v>
      </c>
      <c r="BY714" s="313">
        <f>IF(AND(Input_Product=Elig!$C714,Elig_MatchAll_Ct&lt;22,$BC714=(Elig_MatchAll_Ct-1),AV714=0),T714,0)</f>
        <v>0</v>
      </c>
      <c r="BZ714" s="314">
        <f>IF(AND(Input_Product=Elig!$C714,Elig_MatchAll_Ct&lt;22,$BC714=(Elig_MatchAll_Ct-1),AV714=0),U714,0)</f>
        <v>0</v>
      </c>
      <c r="CA714" s="313">
        <f>IF(AND(Input_Product=Elig!$C714,Elig_MatchAll_Ct&lt;22,$BC714=(Elig_MatchAll_Ct-1),AW714=0),V714,0)</f>
        <v>0</v>
      </c>
      <c r="CB714" s="314">
        <f>IF(AND(Input_Product=Elig!$C714,Elig_MatchAll_Ct&lt;22,$BC714=(Elig_MatchAll_Ct-1),AW714=0),W714,0)</f>
        <v>0</v>
      </c>
      <c r="CC714" s="313">
        <f>IF(AND(Input_Product=Elig!$C714,Elig_MatchAll_Ct&lt;22,$BC714=(Elig_MatchAll_Ct-1),AX714=0),X714,0)</f>
        <v>0</v>
      </c>
      <c r="CD714" s="314">
        <f>IF(AND(Input_Product=Elig!$C714,Elig_MatchAll_Ct&lt;22,$BC714=(Elig_MatchAll_Ct-1),AX714=0),Y714,0)</f>
        <v>0</v>
      </c>
      <c r="CE714" s="313">
        <f>IF(AND(Input_LTV&lt;=AE714,Input_Product=Elig!$C714,Elig_MatchAll_Ct&lt;22,$BC714=(Elig_MatchAll_Ct-1),AY714=0),Z714,0)</f>
        <v>0</v>
      </c>
      <c r="CF714" s="314">
        <f>IF(AND(Input_LTV&lt;=AE714,Input_Product=Elig!$C714,Elig_MatchAll_Ct&lt;22,$BC714=(Elig_MatchAll_Ct-1),AY714=0),AA714,0)</f>
        <v>0</v>
      </c>
      <c r="CG714" s="313">
        <f>IF(AND(Input_Product=Elig!$C714,Elig_MatchAll_Ct&lt;22,$BC714=(Elig_MatchAll_Ct-1),AZ714=0),AB714,0)</f>
        <v>0</v>
      </c>
      <c r="CH714" s="314">
        <f>IF(AND(Input_Product=Elig!$C714,Elig_MatchAll_Ct&lt;22,$BC714=(Elig_MatchAll_Ct-1),AZ714=0),AC714,0)</f>
        <v>0</v>
      </c>
      <c r="CI714" s="313">
        <f>IF(AND(Input_Product=Elig!$C714,Elig_MatchAll_Ct&lt;22,$BC714=(Elig_MatchAll_Ct-1),BA714=0),AD714,0)</f>
        <v>0</v>
      </c>
      <c r="CJ714" s="314">
        <f>IF(AND(Input_Product=Elig!$C714,Elig_MatchAll_Ct&lt;22,$BC714=(Elig_MatchAll_Ct-1),BA714=0),AE714,0)</f>
        <v>0</v>
      </c>
    </row>
    <row r="715" spans="2:88" ht="10.15" customHeight="1" x14ac:dyDescent="0.25">
      <c r="B715" s="2027" t="s">
        <v>1777</v>
      </c>
      <c r="C715" s="2028" t="str">
        <f t="shared" si="279"/>
        <v>Second OO</v>
      </c>
      <c r="D715" s="2027" t="s">
        <v>1569</v>
      </c>
      <c r="E715" s="2027" t="s">
        <v>98</v>
      </c>
      <c r="F715" s="2027" t="s">
        <v>328</v>
      </c>
      <c r="G715" s="2110" t="s">
        <v>468</v>
      </c>
      <c r="H715" s="2029" t="s">
        <v>136</v>
      </c>
      <c r="I715" s="2027" t="s">
        <v>1332</v>
      </c>
      <c r="J715" s="2027" t="s">
        <v>1311</v>
      </c>
      <c r="K715" s="2029" t="s">
        <v>1790</v>
      </c>
      <c r="L715" s="2027" t="s">
        <v>430</v>
      </c>
      <c r="M715" s="2027" t="s">
        <v>2677</v>
      </c>
      <c r="N715" s="2029" t="s">
        <v>82</v>
      </c>
      <c r="O715" s="2027" t="s">
        <v>310</v>
      </c>
      <c r="P715" s="2027" t="s">
        <v>291</v>
      </c>
      <c r="Q715" s="2027" t="s">
        <v>294</v>
      </c>
      <c r="R715" s="2027">
        <v>350000.01</v>
      </c>
      <c r="S715" s="300">
        <v>500000</v>
      </c>
      <c r="T715" s="2027">
        <v>0</v>
      </c>
      <c r="U715" s="2027">
        <f t="shared" si="306"/>
        <v>500000</v>
      </c>
      <c r="V715" s="2027">
        <v>0</v>
      </c>
      <c r="W715" s="2027">
        <v>50</v>
      </c>
      <c r="X715" s="2027">
        <v>0</v>
      </c>
      <c r="Y715" s="2027">
        <v>999</v>
      </c>
      <c r="Z715" s="2030">
        <v>700</v>
      </c>
      <c r="AA715" s="2030">
        <v>719</v>
      </c>
      <c r="AB715" s="2030">
        <v>0</v>
      </c>
      <c r="AC715" s="2030">
        <v>999999</v>
      </c>
      <c r="AD715" s="2027">
        <v>0</v>
      </c>
      <c r="AE715" s="2105">
        <v>80</v>
      </c>
      <c r="AF715" s="170">
        <v>1</v>
      </c>
      <c r="AG715" s="171">
        <v>1</v>
      </c>
      <c r="AH715" s="171">
        <v>1</v>
      </c>
      <c r="AI715" s="171">
        <v>1</v>
      </c>
      <c r="AJ715" s="171">
        <v>0</v>
      </c>
      <c r="AK715" s="171">
        <v>1</v>
      </c>
      <c r="AL715" s="171">
        <v>1</v>
      </c>
      <c r="AM715" s="171">
        <v>1</v>
      </c>
      <c r="AN715" s="171">
        <v>1</v>
      </c>
      <c r="AO715" s="171">
        <v>1</v>
      </c>
      <c r="AP715" s="171">
        <v>1</v>
      </c>
      <c r="AQ715" s="171">
        <v>1</v>
      </c>
      <c r="AR715" s="171">
        <v>1</v>
      </c>
      <c r="AS715" s="171">
        <v>1</v>
      </c>
      <c r="AT715" s="171">
        <v>1</v>
      </c>
      <c r="AU715" s="171">
        <f t="shared" si="294"/>
        <v>0</v>
      </c>
      <c r="AV715" s="171">
        <f t="shared" si="295"/>
        <v>1</v>
      </c>
      <c r="AW715" s="171">
        <f t="shared" si="296"/>
        <v>1</v>
      </c>
      <c r="AX715" s="171">
        <f t="shared" si="305"/>
        <v>1</v>
      </c>
      <c r="AY715" s="171">
        <f t="shared" si="297"/>
        <v>0</v>
      </c>
      <c r="AZ715" s="171">
        <f t="shared" si="298"/>
        <v>1</v>
      </c>
      <c r="BA715" s="172">
        <f t="shared" si="299"/>
        <v>1</v>
      </c>
      <c r="BB715" s="175">
        <f t="shared" si="307"/>
        <v>19</v>
      </c>
      <c r="BC715" s="176">
        <f t="shared" si="308"/>
        <v>18</v>
      </c>
      <c r="BD715" s="176">
        <f t="shared" si="309"/>
        <v>18</v>
      </c>
      <c r="BE715" s="240" t="str">
        <f t="shared" si="304"/>
        <v/>
      </c>
      <c r="BF715" s="234"/>
      <c r="BG715" s="234"/>
      <c r="BH715" s="199">
        <f>IF(AND(Input_Product=Elig!$C715,Elig_MatchAll_Ct&lt;22,$BC715=(Elig_MatchAll_Ct-1),AF715=0),C715,0)</f>
        <v>0</v>
      </c>
      <c r="BI715" s="199">
        <f>IF(AND(Input_Product=Elig!$C715,Elig_MatchAll_Ct&lt;22,$BC715=(Elig_MatchAll_Ct-1),AG715=0),D715,0)</f>
        <v>0</v>
      </c>
      <c r="BJ715" s="199">
        <f>IF(AND(Input_Product=Elig!$C715,Elig_MatchAll_Ct&lt;22,$BC715=(Elig_MatchAll_Ct-1),AH715=0),E715,0)</f>
        <v>0</v>
      </c>
      <c r="BK715" s="199">
        <f>IF(AND(Input_Product=Elig!$C715,Elig_MatchAll_Ct&lt;22,$BC715=(Elig_MatchAll_Ct-1),AI715=0),F715,0)</f>
        <v>0</v>
      </c>
      <c r="BL715" s="199">
        <f>IF(AND(Input_Product=Elig!$C715,Elig_MatchAll_Ct&lt;22,$BC715=(Elig_MatchAll_Ct-1),AJ715=0),G715,0)</f>
        <v>0</v>
      </c>
      <c r="BM715" s="199">
        <f>IF(AND(Input_Product=Elig!$C715,Elig_MatchAll_Ct&lt;22,$BC715=(Elig_MatchAll_Ct-1),AK715=0),H715,0)</f>
        <v>0</v>
      </c>
      <c r="BN715" s="199">
        <f>IF(AND(Input_Product=Elig!$C715,Elig_MatchAll_Ct&lt;22,$BC715=(Elig_MatchAll_Ct-1),AL715=0),I715,0)</f>
        <v>0</v>
      </c>
      <c r="BO715" s="199">
        <f>IF(AND(Input_Product=Elig!$C715,Elig_MatchAll_Ct&lt;22,$BC715=(Elig_MatchAll_Ct-1),AM715=0),J715,0)</f>
        <v>0</v>
      </c>
      <c r="BP715" s="199">
        <f>IF(AND(Input_Product=Elig!$C715,Elig_MatchAll_Ct&lt;22,$BC715=(Elig_MatchAll_Ct-1),AN715=0),K715,0)</f>
        <v>0</v>
      </c>
      <c r="BQ715" s="199">
        <f>IF(AND(Input_Product=Elig!$C715,Elig_MatchAll_Ct&lt;22,$BC715=(Elig_MatchAll_Ct-1),AP715=0),L715,0)</f>
        <v>0</v>
      </c>
      <c r="BR715" s="199">
        <f>IF(AND(Input_Product=Elig!$C715,Elig_MatchAll_Ct&lt;22,$BC715=(Elig_MatchAll_Ct-1),AO715=0),M715,0)</f>
        <v>0</v>
      </c>
      <c r="BS715" s="199">
        <f>IF(AND(Input_Product=Elig!$C715,Elig_MatchAll_Ct&lt;22,$BC715=(Elig_MatchAll_Ct-1),AQ715=0),N715,0)</f>
        <v>0</v>
      </c>
      <c r="BT715" s="199">
        <f>IF(AND(Input_Product=Elig!$C715,Elig_MatchAll_Ct&lt;22,$BC715=(Elig_MatchAll_Ct-1),AR715=0),O715,0)</f>
        <v>0</v>
      </c>
      <c r="BU715" s="199">
        <f>IF(AND(Input_Product=Elig!$C715,Elig_MatchAll_Ct&lt;22,$BC715=(Elig_MatchAll_Ct-1),AS715=0),P715,0)</f>
        <v>0</v>
      </c>
      <c r="BV715" s="200">
        <f>IF(AND(Input_Product=Elig!$C715,Elig_MatchAll_Ct&lt;22,$BC715=(Elig_MatchAll_Ct-1),AT715=0),Q715,0)</f>
        <v>0</v>
      </c>
      <c r="BW715" s="201">
        <f>IF(AND(Input_Product=Elig!$C715,Elig_MatchAll_Ct&lt;22,$BC715=(Elig_MatchAll_Ct-1),AU715=0),R715,0)</f>
        <v>0</v>
      </c>
      <c r="BX715" s="202">
        <f>IF(AND(Input_Product=Elig!$C715,Elig_MatchAll_Ct&lt;22,$BC715=(Elig_MatchAll_Ct-1),AU715=0),S715,0)</f>
        <v>0</v>
      </c>
      <c r="BY715" s="201">
        <f>IF(AND(Input_Product=Elig!$C715,Elig_MatchAll_Ct&lt;22,$BC715=(Elig_MatchAll_Ct-1),AV715=0),T715,0)</f>
        <v>0</v>
      </c>
      <c r="BZ715" s="202">
        <f>IF(AND(Input_Product=Elig!$C715,Elig_MatchAll_Ct&lt;22,$BC715=(Elig_MatchAll_Ct-1),AV715=0),U715,0)</f>
        <v>0</v>
      </c>
      <c r="CA715" s="201">
        <f>IF(AND(Input_Product=Elig!$C715,Elig_MatchAll_Ct&lt;22,$BC715=(Elig_MatchAll_Ct-1),AW715=0),V715,0)</f>
        <v>0</v>
      </c>
      <c r="CB715" s="202">
        <f>IF(AND(Input_Product=Elig!$C715,Elig_MatchAll_Ct&lt;22,$BC715=(Elig_MatchAll_Ct-1),AW715=0),W715,0)</f>
        <v>0</v>
      </c>
      <c r="CC715" s="201">
        <f>IF(AND(Input_Product=Elig!$C715,Elig_MatchAll_Ct&lt;22,$BC715=(Elig_MatchAll_Ct-1),AX715=0),X715,0)</f>
        <v>0</v>
      </c>
      <c r="CD715" s="202">
        <f>IF(AND(Input_Product=Elig!$C715,Elig_MatchAll_Ct&lt;22,$BC715=(Elig_MatchAll_Ct-1),AX715=0),Y715,0)</f>
        <v>0</v>
      </c>
      <c r="CE715" s="201">
        <f>IF(AND(Input_LTV&lt;=AE715,Input_Product=Elig!$C715,Elig_MatchAll_Ct&lt;22,$BC715=(Elig_MatchAll_Ct-1),AY715=0),Z715,0)</f>
        <v>0</v>
      </c>
      <c r="CF715" s="202">
        <f>IF(AND(Input_LTV&lt;=AE715,Input_Product=Elig!$C715,Elig_MatchAll_Ct&lt;22,$BC715=(Elig_MatchAll_Ct-1),AY715=0),AA715,0)</f>
        <v>0</v>
      </c>
      <c r="CG715" s="201">
        <f>IF(AND(Input_Product=Elig!$C715,Elig_MatchAll_Ct&lt;22,$BC715=(Elig_MatchAll_Ct-1),AZ715=0),AB715,0)</f>
        <v>0</v>
      </c>
      <c r="CH715" s="202">
        <f>IF(AND(Input_Product=Elig!$C715,Elig_MatchAll_Ct&lt;22,$BC715=(Elig_MatchAll_Ct-1),AZ715=0),AC715,0)</f>
        <v>0</v>
      </c>
      <c r="CI715" s="201">
        <f>IF(AND(Input_Product=Elig!$C715,Elig_MatchAll_Ct&lt;22,$BC715=(Elig_MatchAll_Ct-1),BA715=0),AD715,0)</f>
        <v>0</v>
      </c>
      <c r="CJ715" s="202">
        <f>IF(AND(Input_Product=Elig!$C715,Elig_MatchAll_Ct&lt;22,$BC715=(Elig_MatchAll_Ct-1),BA715=0),AE715,0)</f>
        <v>0</v>
      </c>
    </row>
    <row r="716" spans="2:88" ht="10.15" customHeight="1" x14ac:dyDescent="0.25">
      <c r="B716" s="2027" t="s">
        <v>1778</v>
      </c>
      <c r="C716" s="2028" t="str">
        <f t="shared" si="279"/>
        <v>Second OO</v>
      </c>
      <c r="D716" s="2027" t="s">
        <v>1569</v>
      </c>
      <c r="E716" s="2027" t="s">
        <v>98</v>
      </c>
      <c r="F716" s="2027" t="s">
        <v>328</v>
      </c>
      <c r="G716" s="2110" t="s">
        <v>468</v>
      </c>
      <c r="H716" s="2029" t="s">
        <v>136</v>
      </c>
      <c r="I716" s="2027" t="s">
        <v>1332</v>
      </c>
      <c r="J716" s="2027" t="s">
        <v>1311</v>
      </c>
      <c r="K716" s="2029" t="s">
        <v>1790</v>
      </c>
      <c r="L716" s="2027" t="s">
        <v>430</v>
      </c>
      <c r="M716" s="2027" t="s">
        <v>2677</v>
      </c>
      <c r="N716" s="2029" t="s">
        <v>82</v>
      </c>
      <c r="O716" s="2027" t="s">
        <v>310</v>
      </c>
      <c r="P716" s="2027" t="s">
        <v>291</v>
      </c>
      <c r="Q716" s="2027" t="s">
        <v>294</v>
      </c>
      <c r="R716" s="2027">
        <v>350000.01</v>
      </c>
      <c r="S716" s="300">
        <v>500000</v>
      </c>
      <c r="T716" s="2027">
        <v>0</v>
      </c>
      <c r="U716" s="2027">
        <f t="shared" si="306"/>
        <v>500000</v>
      </c>
      <c r="V716" s="2027">
        <v>0</v>
      </c>
      <c r="W716" s="2027">
        <v>50</v>
      </c>
      <c r="X716" s="2027">
        <v>0</v>
      </c>
      <c r="Y716" s="2027">
        <v>999</v>
      </c>
      <c r="Z716" s="2030">
        <v>680</v>
      </c>
      <c r="AA716" s="2030">
        <v>699</v>
      </c>
      <c r="AB716" s="2030">
        <v>0</v>
      </c>
      <c r="AC716" s="2030">
        <v>999999</v>
      </c>
      <c r="AD716" s="2027">
        <v>0</v>
      </c>
      <c r="AE716" s="2105">
        <v>75</v>
      </c>
      <c r="AF716" s="170">
        <v>1</v>
      </c>
      <c r="AG716" s="171">
        <v>1</v>
      </c>
      <c r="AH716" s="171">
        <v>1</v>
      </c>
      <c r="AI716" s="171">
        <v>1</v>
      </c>
      <c r="AJ716" s="171">
        <v>0</v>
      </c>
      <c r="AK716" s="171">
        <v>1</v>
      </c>
      <c r="AL716" s="171">
        <v>1</v>
      </c>
      <c r="AM716" s="171">
        <v>1</v>
      </c>
      <c r="AN716" s="171">
        <v>1</v>
      </c>
      <c r="AO716" s="171">
        <v>1</v>
      </c>
      <c r="AP716" s="171">
        <v>1</v>
      </c>
      <c r="AQ716" s="171">
        <v>1</v>
      </c>
      <c r="AR716" s="171">
        <v>1</v>
      </c>
      <c r="AS716" s="171">
        <v>1</v>
      </c>
      <c r="AT716" s="171">
        <v>1</v>
      </c>
      <c r="AU716" s="171">
        <f t="shared" si="294"/>
        <v>0</v>
      </c>
      <c r="AV716" s="171">
        <f t="shared" si="295"/>
        <v>1</v>
      </c>
      <c r="AW716" s="171">
        <f t="shared" si="296"/>
        <v>1</v>
      </c>
      <c r="AX716" s="171">
        <f t="shared" si="305"/>
        <v>1</v>
      </c>
      <c r="AY716" s="171">
        <f t="shared" si="297"/>
        <v>0</v>
      </c>
      <c r="AZ716" s="171">
        <f t="shared" si="298"/>
        <v>1</v>
      </c>
      <c r="BA716" s="172">
        <f t="shared" si="299"/>
        <v>1</v>
      </c>
      <c r="BB716" s="175">
        <f t="shared" si="307"/>
        <v>19</v>
      </c>
      <c r="BC716" s="176">
        <f t="shared" si="308"/>
        <v>18</v>
      </c>
      <c r="BD716" s="176">
        <f t="shared" si="309"/>
        <v>18</v>
      </c>
      <c r="BE716" s="240" t="str">
        <f t="shared" si="304"/>
        <v/>
      </c>
      <c r="BF716" s="234"/>
      <c r="BG716" s="234"/>
      <c r="BH716" s="199">
        <f>IF(AND(Input_Product=Elig!$C716,Elig_MatchAll_Ct&lt;22,$BC716=(Elig_MatchAll_Ct-1),AF716=0),C716,0)</f>
        <v>0</v>
      </c>
      <c r="BI716" s="199">
        <f>IF(AND(Input_Product=Elig!$C716,Elig_MatchAll_Ct&lt;22,$BC716=(Elig_MatchAll_Ct-1),AG716=0),D716,0)</f>
        <v>0</v>
      </c>
      <c r="BJ716" s="199">
        <f>IF(AND(Input_Product=Elig!$C716,Elig_MatchAll_Ct&lt;22,$BC716=(Elig_MatchAll_Ct-1),AH716=0),E716,0)</f>
        <v>0</v>
      </c>
      <c r="BK716" s="199">
        <f>IF(AND(Input_Product=Elig!$C716,Elig_MatchAll_Ct&lt;22,$BC716=(Elig_MatchAll_Ct-1),AI716=0),F716,0)</f>
        <v>0</v>
      </c>
      <c r="BL716" s="199">
        <f>IF(AND(Input_Product=Elig!$C716,Elig_MatchAll_Ct&lt;22,$BC716=(Elig_MatchAll_Ct-1),AJ716=0),G716,0)</f>
        <v>0</v>
      </c>
      <c r="BM716" s="199">
        <f>IF(AND(Input_Product=Elig!$C716,Elig_MatchAll_Ct&lt;22,$BC716=(Elig_MatchAll_Ct-1),AK716=0),H716,0)</f>
        <v>0</v>
      </c>
      <c r="BN716" s="199">
        <f>IF(AND(Input_Product=Elig!$C716,Elig_MatchAll_Ct&lt;22,$BC716=(Elig_MatchAll_Ct-1),AL716=0),I716,0)</f>
        <v>0</v>
      </c>
      <c r="BO716" s="199">
        <f>IF(AND(Input_Product=Elig!$C716,Elig_MatchAll_Ct&lt;22,$BC716=(Elig_MatchAll_Ct-1),AM716=0),J716,0)</f>
        <v>0</v>
      </c>
      <c r="BP716" s="199">
        <f>IF(AND(Input_Product=Elig!$C716,Elig_MatchAll_Ct&lt;22,$BC716=(Elig_MatchAll_Ct-1),AN716=0),K716,0)</f>
        <v>0</v>
      </c>
      <c r="BQ716" s="199">
        <f>IF(AND(Input_Product=Elig!$C716,Elig_MatchAll_Ct&lt;22,$BC716=(Elig_MatchAll_Ct-1),AP716=0),L716,0)</f>
        <v>0</v>
      </c>
      <c r="BR716" s="199">
        <f>IF(AND(Input_Product=Elig!$C716,Elig_MatchAll_Ct&lt;22,$BC716=(Elig_MatchAll_Ct-1),AO716=0),M716,0)</f>
        <v>0</v>
      </c>
      <c r="BS716" s="199">
        <f>IF(AND(Input_Product=Elig!$C716,Elig_MatchAll_Ct&lt;22,$BC716=(Elig_MatchAll_Ct-1),AQ716=0),N716,0)</f>
        <v>0</v>
      </c>
      <c r="BT716" s="199">
        <f>IF(AND(Input_Product=Elig!$C716,Elig_MatchAll_Ct&lt;22,$BC716=(Elig_MatchAll_Ct-1),AR716=0),O716,0)</f>
        <v>0</v>
      </c>
      <c r="BU716" s="199">
        <f>IF(AND(Input_Product=Elig!$C716,Elig_MatchAll_Ct&lt;22,$BC716=(Elig_MatchAll_Ct-1),AS716=0),P716,0)</f>
        <v>0</v>
      </c>
      <c r="BV716" s="200">
        <f>IF(AND(Input_Product=Elig!$C716,Elig_MatchAll_Ct&lt;22,$BC716=(Elig_MatchAll_Ct-1),AT716=0),Q716,0)</f>
        <v>0</v>
      </c>
      <c r="BW716" s="201">
        <f>IF(AND(Input_Product=Elig!$C716,Elig_MatchAll_Ct&lt;22,$BC716=(Elig_MatchAll_Ct-1),AU716=0),R716,0)</f>
        <v>0</v>
      </c>
      <c r="BX716" s="202">
        <f>IF(AND(Input_Product=Elig!$C716,Elig_MatchAll_Ct&lt;22,$BC716=(Elig_MatchAll_Ct-1),AU716=0),S716,0)</f>
        <v>0</v>
      </c>
      <c r="BY716" s="201">
        <f>IF(AND(Input_Product=Elig!$C716,Elig_MatchAll_Ct&lt;22,$BC716=(Elig_MatchAll_Ct-1),AV716=0),T716,0)</f>
        <v>0</v>
      </c>
      <c r="BZ716" s="202">
        <f>IF(AND(Input_Product=Elig!$C716,Elig_MatchAll_Ct&lt;22,$BC716=(Elig_MatchAll_Ct-1),AV716=0),U716,0)</f>
        <v>0</v>
      </c>
      <c r="CA716" s="201">
        <f>IF(AND(Input_Product=Elig!$C716,Elig_MatchAll_Ct&lt;22,$BC716=(Elig_MatchAll_Ct-1),AW716=0),V716,0)</f>
        <v>0</v>
      </c>
      <c r="CB716" s="202">
        <f>IF(AND(Input_Product=Elig!$C716,Elig_MatchAll_Ct&lt;22,$BC716=(Elig_MatchAll_Ct-1),AW716=0),W716,0)</f>
        <v>0</v>
      </c>
      <c r="CC716" s="201">
        <f>IF(AND(Input_Product=Elig!$C716,Elig_MatchAll_Ct&lt;22,$BC716=(Elig_MatchAll_Ct-1),AX716=0),X716,0)</f>
        <v>0</v>
      </c>
      <c r="CD716" s="202">
        <f>IF(AND(Input_Product=Elig!$C716,Elig_MatchAll_Ct&lt;22,$BC716=(Elig_MatchAll_Ct-1),AX716=0),Y716,0)</f>
        <v>0</v>
      </c>
      <c r="CE716" s="201">
        <f>IF(AND(Input_LTV&lt;=AE716,Input_Product=Elig!$C716,Elig_MatchAll_Ct&lt;22,$BC716=(Elig_MatchAll_Ct-1),AY716=0),Z716,0)</f>
        <v>0</v>
      </c>
      <c r="CF716" s="202">
        <f>IF(AND(Input_LTV&lt;=AE716,Input_Product=Elig!$C716,Elig_MatchAll_Ct&lt;22,$BC716=(Elig_MatchAll_Ct-1),AY716=0),AA716,0)</f>
        <v>0</v>
      </c>
      <c r="CG716" s="201">
        <f>IF(AND(Input_Product=Elig!$C716,Elig_MatchAll_Ct&lt;22,$BC716=(Elig_MatchAll_Ct-1),AZ716=0),AB716,0)</f>
        <v>0</v>
      </c>
      <c r="CH716" s="202">
        <f>IF(AND(Input_Product=Elig!$C716,Elig_MatchAll_Ct&lt;22,$BC716=(Elig_MatchAll_Ct-1),AZ716=0),AC716,0)</f>
        <v>0</v>
      </c>
      <c r="CI716" s="201">
        <f>IF(AND(Input_Product=Elig!$C716,Elig_MatchAll_Ct&lt;22,$BC716=(Elig_MatchAll_Ct-1),BA716=0),AD716,0)</f>
        <v>0</v>
      </c>
      <c r="CJ716" s="202">
        <f>IF(AND(Input_Product=Elig!$C716,Elig_MatchAll_Ct&lt;22,$BC716=(Elig_MatchAll_Ct-1),BA716=0),AE716,0)</f>
        <v>0</v>
      </c>
    </row>
    <row r="717" spans="2:88" ht="10.15" customHeight="1" x14ac:dyDescent="0.25">
      <c r="B717" s="2027" t="s">
        <v>1779</v>
      </c>
      <c r="C717" s="2032" t="str">
        <f t="shared" si="279"/>
        <v>Second OO</v>
      </c>
      <c r="D717" s="2031" t="s">
        <v>1569</v>
      </c>
      <c r="E717" s="2031" t="s">
        <v>98</v>
      </c>
      <c r="F717" s="2031" t="s">
        <v>328</v>
      </c>
      <c r="G717" s="2111" t="s">
        <v>468</v>
      </c>
      <c r="H717" s="2033" t="s">
        <v>136</v>
      </c>
      <c r="I717" s="2031" t="s">
        <v>1332</v>
      </c>
      <c r="J717" s="2031" t="s">
        <v>1311</v>
      </c>
      <c r="K717" s="2033" t="s">
        <v>1790</v>
      </c>
      <c r="L717" s="2031" t="s">
        <v>430</v>
      </c>
      <c r="M717" s="2031" t="s">
        <v>2677</v>
      </c>
      <c r="N717" s="2033" t="s">
        <v>82</v>
      </c>
      <c r="O717" s="2031" t="s">
        <v>310</v>
      </c>
      <c r="P717" s="2031" t="s">
        <v>291</v>
      </c>
      <c r="Q717" s="2031" t="s">
        <v>294</v>
      </c>
      <c r="R717" s="2031">
        <v>350000.01</v>
      </c>
      <c r="S717" s="324">
        <v>500000</v>
      </c>
      <c r="T717" s="2031">
        <v>0</v>
      </c>
      <c r="U717" s="2031">
        <f t="shared" si="306"/>
        <v>500000</v>
      </c>
      <c r="V717" s="2031">
        <v>0</v>
      </c>
      <c r="W717" s="2031">
        <v>50</v>
      </c>
      <c r="X717" s="2031">
        <v>0</v>
      </c>
      <c r="Y717" s="2031">
        <v>999</v>
      </c>
      <c r="Z717" s="2034">
        <v>660</v>
      </c>
      <c r="AA717" s="2034">
        <v>679</v>
      </c>
      <c r="AB717" s="2034">
        <v>0</v>
      </c>
      <c r="AC717" s="2034">
        <v>999999</v>
      </c>
      <c r="AD717" s="2031">
        <v>0</v>
      </c>
      <c r="AE717" s="1484">
        <v>65</v>
      </c>
      <c r="AF717" s="170">
        <v>1</v>
      </c>
      <c r="AG717" s="171">
        <v>1</v>
      </c>
      <c r="AH717" s="171">
        <v>1</v>
      </c>
      <c r="AI717" s="171">
        <v>1</v>
      </c>
      <c r="AJ717" s="171">
        <v>0</v>
      </c>
      <c r="AK717" s="171">
        <v>1</v>
      </c>
      <c r="AL717" s="171">
        <v>1</v>
      </c>
      <c r="AM717" s="171">
        <v>1</v>
      </c>
      <c r="AN717" s="171">
        <v>1</v>
      </c>
      <c r="AO717" s="171">
        <v>1</v>
      </c>
      <c r="AP717" s="171">
        <v>1</v>
      </c>
      <c r="AQ717" s="171">
        <v>1</v>
      </c>
      <c r="AR717" s="171">
        <v>1</v>
      </c>
      <c r="AS717" s="171">
        <v>1</v>
      </c>
      <c r="AT717" s="171">
        <v>1</v>
      </c>
      <c r="AU717" s="171">
        <f t="shared" si="294"/>
        <v>0</v>
      </c>
      <c r="AV717" s="171">
        <f t="shared" si="295"/>
        <v>1</v>
      </c>
      <c r="AW717" s="171">
        <f t="shared" si="296"/>
        <v>1</v>
      </c>
      <c r="AX717" s="171">
        <f t="shared" si="305"/>
        <v>1</v>
      </c>
      <c r="AY717" s="171">
        <f t="shared" si="297"/>
        <v>0</v>
      </c>
      <c r="AZ717" s="171">
        <f t="shared" si="298"/>
        <v>1</v>
      </c>
      <c r="BA717" s="172">
        <f t="shared" si="299"/>
        <v>1</v>
      </c>
      <c r="BB717" s="175">
        <f t="shared" si="307"/>
        <v>19</v>
      </c>
      <c r="BC717" s="176">
        <f t="shared" si="308"/>
        <v>18</v>
      </c>
      <c r="BD717" s="176">
        <f t="shared" si="309"/>
        <v>18</v>
      </c>
      <c r="BE717" s="240" t="str">
        <f t="shared" si="304"/>
        <v/>
      </c>
      <c r="BF717" s="234"/>
      <c r="BG717" s="234"/>
      <c r="BH717" s="214">
        <f>IF(AND(Input_Product=Elig!$C717,Elig_MatchAll_Ct&lt;22,$BC717=(Elig_MatchAll_Ct-1),AF717=0),C717,0)</f>
        <v>0</v>
      </c>
      <c r="BI717" s="214">
        <f>IF(AND(Input_Product=Elig!$C717,Elig_MatchAll_Ct&lt;22,$BC717=(Elig_MatchAll_Ct-1),AG717=0),D717,0)</f>
        <v>0</v>
      </c>
      <c r="BJ717" s="214">
        <f>IF(AND(Input_Product=Elig!$C717,Elig_MatchAll_Ct&lt;22,$BC717=(Elig_MatchAll_Ct-1),AH717=0),E717,0)</f>
        <v>0</v>
      </c>
      <c r="BK717" s="214">
        <f>IF(AND(Input_Product=Elig!$C717,Elig_MatchAll_Ct&lt;22,$BC717=(Elig_MatchAll_Ct-1),AI717=0),F717,0)</f>
        <v>0</v>
      </c>
      <c r="BL717" s="214">
        <f>IF(AND(Input_Product=Elig!$C717,Elig_MatchAll_Ct&lt;22,$BC717=(Elig_MatchAll_Ct-1),AJ717=0),G717,0)</f>
        <v>0</v>
      </c>
      <c r="BM717" s="214">
        <f>IF(AND(Input_Product=Elig!$C717,Elig_MatchAll_Ct&lt;22,$BC717=(Elig_MatchAll_Ct-1),AK717=0),H717,0)</f>
        <v>0</v>
      </c>
      <c r="BN717" s="214">
        <f>IF(AND(Input_Product=Elig!$C717,Elig_MatchAll_Ct&lt;22,$BC717=(Elig_MatchAll_Ct-1),AL717=0),I717,0)</f>
        <v>0</v>
      </c>
      <c r="BO717" s="214">
        <f>IF(AND(Input_Product=Elig!$C717,Elig_MatchAll_Ct&lt;22,$BC717=(Elig_MatchAll_Ct-1),AM717=0),J717,0)</f>
        <v>0</v>
      </c>
      <c r="BP717" s="214">
        <f>IF(AND(Input_Product=Elig!$C717,Elig_MatchAll_Ct&lt;22,$BC717=(Elig_MatchAll_Ct-1),AN717=0),K717,0)</f>
        <v>0</v>
      </c>
      <c r="BQ717" s="214">
        <f>IF(AND(Input_Product=Elig!$C717,Elig_MatchAll_Ct&lt;22,$BC717=(Elig_MatchAll_Ct-1),AP717=0),L717,0)</f>
        <v>0</v>
      </c>
      <c r="BR717" s="214">
        <f>IF(AND(Input_Product=Elig!$C717,Elig_MatchAll_Ct&lt;22,$BC717=(Elig_MatchAll_Ct-1),AO717=0),M717,0)</f>
        <v>0</v>
      </c>
      <c r="BS717" s="214">
        <f>IF(AND(Input_Product=Elig!$C717,Elig_MatchAll_Ct&lt;22,$BC717=(Elig_MatchAll_Ct-1),AQ717=0),N717,0)</f>
        <v>0</v>
      </c>
      <c r="BT717" s="214">
        <f>IF(AND(Input_Product=Elig!$C717,Elig_MatchAll_Ct&lt;22,$BC717=(Elig_MatchAll_Ct-1),AR717=0),O717,0)</f>
        <v>0</v>
      </c>
      <c r="BU717" s="214">
        <f>IF(AND(Input_Product=Elig!$C717,Elig_MatchAll_Ct&lt;22,$BC717=(Elig_MatchAll_Ct-1),AS717=0),P717,0)</f>
        <v>0</v>
      </c>
      <c r="BV717" s="215">
        <f>IF(AND(Input_Product=Elig!$C717,Elig_MatchAll_Ct&lt;22,$BC717=(Elig_MatchAll_Ct-1),AT717=0),Q717,0)</f>
        <v>0</v>
      </c>
      <c r="BW717" s="311">
        <f>IF(AND(Input_Product=Elig!$C717,Elig_MatchAll_Ct&lt;22,$BC717=(Elig_MatchAll_Ct-1),AU717=0),R717,0)</f>
        <v>0</v>
      </c>
      <c r="BX717" s="312">
        <f>IF(AND(Input_Product=Elig!$C717,Elig_MatchAll_Ct&lt;22,$BC717=(Elig_MatchAll_Ct-1),AU717=0),S717,0)</f>
        <v>0</v>
      </c>
      <c r="BY717" s="311">
        <f>IF(AND(Input_Product=Elig!$C717,Elig_MatchAll_Ct&lt;22,$BC717=(Elig_MatchAll_Ct-1),AV717=0),T717,0)</f>
        <v>0</v>
      </c>
      <c r="BZ717" s="312">
        <f>IF(AND(Input_Product=Elig!$C717,Elig_MatchAll_Ct&lt;22,$BC717=(Elig_MatchAll_Ct-1),AV717=0),U717,0)</f>
        <v>0</v>
      </c>
      <c r="CA717" s="311">
        <f>IF(AND(Input_Product=Elig!$C717,Elig_MatchAll_Ct&lt;22,$BC717=(Elig_MatchAll_Ct-1),AW717=0),V717,0)</f>
        <v>0</v>
      </c>
      <c r="CB717" s="312">
        <f>IF(AND(Input_Product=Elig!$C717,Elig_MatchAll_Ct&lt;22,$BC717=(Elig_MatchAll_Ct-1),AW717=0),W717,0)</f>
        <v>0</v>
      </c>
      <c r="CC717" s="311">
        <f>IF(AND(Input_Product=Elig!$C717,Elig_MatchAll_Ct&lt;22,$BC717=(Elig_MatchAll_Ct-1),AX717=0),X717,0)</f>
        <v>0</v>
      </c>
      <c r="CD717" s="312">
        <f>IF(AND(Input_Product=Elig!$C717,Elig_MatchAll_Ct&lt;22,$BC717=(Elig_MatchAll_Ct-1),AX717=0),Y717,0)</f>
        <v>0</v>
      </c>
      <c r="CE717" s="311">
        <f>IF(AND(Input_LTV&lt;=AE717,Input_Product=Elig!$C717,Elig_MatchAll_Ct&lt;22,$BC717=(Elig_MatchAll_Ct-1),AY717=0),Z717,0)</f>
        <v>0</v>
      </c>
      <c r="CF717" s="312">
        <f>IF(AND(Input_LTV&lt;=AE717,Input_Product=Elig!$C717,Elig_MatchAll_Ct&lt;22,$BC717=(Elig_MatchAll_Ct-1),AY717=0),AA717,0)</f>
        <v>0</v>
      </c>
      <c r="CG717" s="311">
        <f>IF(AND(Input_Product=Elig!$C717,Elig_MatchAll_Ct&lt;22,$BC717=(Elig_MatchAll_Ct-1),AZ717=0),AB717,0)</f>
        <v>0</v>
      </c>
      <c r="CH717" s="312">
        <f>IF(AND(Input_Product=Elig!$C717,Elig_MatchAll_Ct&lt;22,$BC717=(Elig_MatchAll_Ct-1),AZ717=0),AC717,0)</f>
        <v>0</v>
      </c>
      <c r="CI717" s="311">
        <f>IF(AND(Input_Product=Elig!$C717,Elig_MatchAll_Ct&lt;22,$BC717=(Elig_MatchAll_Ct-1),BA717=0),AD717,0)</f>
        <v>0</v>
      </c>
      <c r="CJ717" s="312">
        <f>IF(AND(Input_Product=Elig!$C717,Elig_MatchAll_Ct&lt;22,$BC717=(Elig_MatchAll_Ct-1),BA717=0),AE717,0)</f>
        <v>0</v>
      </c>
    </row>
    <row r="718" spans="2:88" ht="10.15" customHeight="1" x14ac:dyDescent="0.25">
      <c r="B718" s="2027" t="s">
        <v>1780</v>
      </c>
      <c r="C718" s="2024" t="str">
        <f t="shared" si="279"/>
        <v>Second OO</v>
      </c>
      <c r="D718" s="2025" t="s">
        <v>1569</v>
      </c>
      <c r="E718" s="2025" t="s">
        <v>98</v>
      </c>
      <c r="F718" s="2025" t="s">
        <v>328</v>
      </c>
      <c r="G718" s="2103" t="s">
        <v>472</v>
      </c>
      <c r="H718" s="2025" t="s">
        <v>136</v>
      </c>
      <c r="I718" s="2023" t="s">
        <v>1332</v>
      </c>
      <c r="J718" s="2023" t="s">
        <v>1311</v>
      </c>
      <c r="K718" s="2025" t="s">
        <v>1790</v>
      </c>
      <c r="L718" s="2023" t="s">
        <v>430</v>
      </c>
      <c r="M718" s="2023" t="s">
        <v>2677</v>
      </c>
      <c r="N718" s="2025" t="s">
        <v>82</v>
      </c>
      <c r="O718" s="2023" t="s">
        <v>310</v>
      </c>
      <c r="P718" s="2023" t="s">
        <v>291</v>
      </c>
      <c r="Q718" s="2023" t="s">
        <v>294</v>
      </c>
      <c r="R718" s="2023">
        <v>350000.01</v>
      </c>
      <c r="S718" s="323">
        <v>500000</v>
      </c>
      <c r="T718" s="2023">
        <v>0</v>
      </c>
      <c r="U718" s="2023">
        <f t="shared" si="300"/>
        <v>500000</v>
      </c>
      <c r="V718" s="2023">
        <v>0</v>
      </c>
      <c r="W718" s="2023">
        <v>50</v>
      </c>
      <c r="X718" s="2023">
        <v>0</v>
      </c>
      <c r="Y718" s="2023">
        <v>999</v>
      </c>
      <c r="Z718" s="2026">
        <v>720</v>
      </c>
      <c r="AA718" s="2026">
        <v>999</v>
      </c>
      <c r="AB718" s="2026">
        <v>0</v>
      </c>
      <c r="AC718" s="2026">
        <v>999999</v>
      </c>
      <c r="AD718" s="2023">
        <v>0</v>
      </c>
      <c r="AE718" s="1482">
        <v>80</v>
      </c>
      <c r="AF718" s="170">
        <v>1</v>
      </c>
      <c r="AG718" s="171">
        <v>1</v>
      </c>
      <c r="AH718" s="171">
        <v>1</v>
      </c>
      <c r="AI718" s="171">
        <v>1</v>
      </c>
      <c r="AJ718" s="171">
        <v>0</v>
      </c>
      <c r="AK718" s="171">
        <v>1</v>
      </c>
      <c r="AL718" s="171">
        <v>1</v>
      </c>
      <c r="AM718" s="171">
        <v>1</v>
      </c>
      <c r="AN718" s="171">
        <v>1</v>
      </c>
      <c r="AO718" s="171">
        <v>1</v>
      </c>
      <c r="AP718" s="171">
        <v>1</v>
      </c>
      <c r="AQ718" s="171">
        <v>1</v>
      </c>
      <c r="AR718" s="171">
        <v>1</v>
      </c>
      <c r="AS718" s="171">
        <v>1</v>
      </c>
      <c r="AT718" s="171">
        <v>1</v>
      </c>
      <c r="AU718" s="171">
        <f t="shared" si="294"/>
        <v>0</v>
      </c>
      <c r="AV718" s="171">
        <f t="shared" si="295"/>
        <v>1</v>
      </c>
      <c r="AW718" s="171">
        <f t="shared" si="296"/>
        <v>1</v>
      </c>
      <c r="AX718" s="171">
        <f t="shared" si="305"/>
        <v>1</v>
      </c>
      <c r="AY718" s="171">
        <f t="shared" si="297"/>
        <v>1</v>
      </c>
      <c r="AZ718" s="171">
        <f t="shared" si="298"/>
        <v>1</v>
      </c>
      <c r="BA718" s="172">
        <f t="shared" si="299"/>
        <v>1</v>
      </c>
      <c r="BB718" s="175">
        <f t="shared" si="301"/>
        <v>20</v>
      </c>
      <c r="BC718" s="176">
        <f t="shared" si="302"/>
        <v>19</v>
      </c>
      <c r="BD718" s="176">
        <f t="shared" si="303"/>
        <v>19</v>
      </c>
      <c r="BE718" s="240" t="str">
        <f t="shared" si="304"/>
        <v/>
      </c>
      <c r="BF718" s="220"/>
      <c r="BG718" s="220"/>
      <c r="BH718" s="216">
        <f>IF(AND(Input_Product=Elig!$C718,Elig_MatchAll_Ct&lt;22,$BC718=(Elig_MatchAll_Ct-1),AF718=0),C718,0)</f>
        <v>0</v>
      </c>
      <c r="BI718" s="216">
        <f>IF(AND(Input_Product=Elig!$C718,Elig_MatchAll_Ct&lt;22,$BC718=(Elig_MatchAll_Ct-1),AG718=0),D718,0)</f>
        <v>0</v>
      </c>
      <c r="BJ718" s="216">
        <f>IF(AND(Input_Product=Elig!$C718,Elig_MatchAll_Ct&lt;22,$BC718=(Elig_MatchAll_Ct-1),AH718=0),E718,0)</f>
        <v>0</v>
      </c>
      <c r="BK718" s="216">
        <f>IF(AND(Input_Product=Elig!$C718,Elig_MatchAll_Ct&lt;22,$BC718=(Elig_MatchAll_Ct-1),AI718=0),F718,0)</f>
        <v>0</v>
      </c>
      <c r="BL718" s="216">
        <f>IF(AND(Input_Product=Elig!$C718,Elig_MatchAll_Ct&lt;22,$BC718=(Elig_MatchAll_Ct-1),AJ718=0),G718,0)</f>
        <v>0</v>
      </c>
      <c r="BM718" s="216">
        <f>IF(AND(Input_Product=Elig!$C718,Elig_MatchAll_Ct&lt;22,$BC718=(Elig_MatchAll_Ct-1),AK718=0),H718,0)</f>
        <v>0</v>
      </c>
      <c r="BN718" s="216">
        <f>IF(AND(Input_Product=Elig!$C718,Elig_MatchAll_Ct&lt;22,$BC718=(Elig_MatchAll_Ct-1),AL718=0),I718,0)</f>
        <v>0</v>
      </c>
      <c r="BO718" s="216">
        <f>IF(AND(Input_Product=Elig!$C718,Elig_MatchAll_Ct&lt;22,$BC718=(Elig_MatchAll_Ct-1),AM718=0),J718,0)</f>
        <v>0</v>
      </c>
      <c r="BP718" s="216">
        <f>IF(AND(Input_Product=Elig!$C718,Elig_MatchAll_Ct&lt;22,$BC718=(Elig_MatchAll_Ct-1),AN718=0),K718,0)</f>
        <v>0</v>
      </c>
      <c r="BQ718" s="216">
        <f>IF(AND(Input_Product=Elig!$C718,Elig_MatchAll_Ct&lt;22,$BC718=(Elig_MatchAll_Ct-1),AP718=0),L718,0)</f>
        <v>0</v>
      </c>
      <c r="BR718" s="216">
        <f>IF(AND(Input_Product=Elig!$C718,Elig_MatchAll_Ct&lt;22,$BC718=(Elig_MatchAll_Ct-1),AO718=0),M718,0)</f>
        <v>0</v>
      </c>
      <c r="BS718" s="216">
        <f>IF(AND(Input_Product=Elig!$C718,Elig_MatchAll_Ct&lt;22,$BC718=(Elig_MatchAll_Ct-1),AQ718=0),N718,0)</f>
        <v>0</v>
      </c>
      <c r="BT718" s="216">
        <f>IF(AND(Input_Product=Elig!$C718,Elig_MatchAll_Ct&lt;22,$BC718=(Elig_MatchAll_Ct-1),AR718=0),O718,0)</f>
        <v>0</v>
      </c>
      <c r="BU718" s="216">
        <f>IF(AND(Input_Product=Elig!$C718,Elig_MatchAll_Ct&lt;22,$BC718=(Elig_MatchAll_Ct-1),AS718=0),P718,0)</f>
        <v>0</v>
      </c>
      <c r="BV718" s="217">
        <f>IF(AND(Input_Product=Elig!$C718,Elig_MatchAll_Ct&lt;22,$BC718=(Elig_MatchAll_Ct-1),AT718=0),Q718,0)</f>
        <v>0</v>
      </c>
      <c r="BW718" s="313">
        <f>IF(AND(Input_Product=Elig!$C718,Elig_MatchAll_Ct&lt;22,$BC718=(Elig_MatchAll_Ct-1),AU718=0),R718,0)</f>
        <v>0</v>
      </c>
      <c r="BX718" s="314">
        <f>IF(AND(Input_Product=Elig!$C718,Elig_MatchAll_Ct&lt;22,$BC718=(Elig_MatchAll_Ct-1),AU718=0),S718,0)</f>
        <v>0</v>
      </c>
      <c r="BY718" s="313">
        <f>IF(AND(Input_Product=Elig!$C718,Elig_MatchAll_Ct&lt;22,$BC718=(Elig_MatchAll_Ct-1),AV718=0),T718,0)</f>
        <v>0</v>
      </c>
      <c r="BZ718" s="314">
        <f>IF(AND(Input_Product=Elig!$C718,Elig_MatchAll_Ct&lt;22,$BC718=(Elig_MatchAll_Ct-1),AV718=0),U718,0)</f>
        <v>0</v>
      </c>
      <c r="CA718" s="313">
        <f>IF(AND(Input_Product=Elig!$C718,Elig_MatchAll_Ct&lt;22,$BC718=(Elig_MatchAll_Ct-1),AW718=0),V718,0)</f>
        <v>0</v>
      </c>
      <c r="CB718" s="314">
        <f>IF(AND(Input_Product=Elig!$C718,Elig_MatchAll_Ct&lt;22,$BC718=(Elig_MatchAll_Ct-1),AW718=0),W718,0)</f>
        <v>0</v>
      </c>
      <c r="CC718" s="313">
        <f>IF(AND(Input_Product=Elig!$C718,Elig_MatchAll_Ct&lt;22,$BC718=(Elig_MatchAll_Ct-1),AX718=0),X718,0)</f>
        <v>0</v>
      </c>
      <c r="CD718" s="314">
        <f>IF(AND(Input_Product=Elig!$C718,Elig_MatchAll_Ct&lt;22,$BC718=(Elig_MatchAll_Ct-1),AX718=0),Y718,0)</f>
        <v>0</v>
      </c>
      <c r="CE718" s="313">
        <f>IF(AND(Input_LTV&lt;=AE718,Input_Product=Elig!$C718,Elig_MatchAll_Ct&lt;22,$BC718=(Elig_MatchAll_Ct-1),AY718=0),Z718,0)</f>
        <v>0</v>
      </c>
      <c r="CF718" s="314">
        <f>IF(AND(Input_LTV&lt;=AE718,Input_Product=Elig!$C718,Elig_MatchAll_Ct&lt;22,$BC718=(Elig_MatchAll_Ct-1),AY718=0),AA718,0)</f>
        <v>0</v>
      </c>
      <c r="CG718" s="313">
        <f>IF(AND(Input_Product=Elig!$C718,Elig_MatchAll_Ct&lt;22,$BC718=(Elig_MatchAll_Ct-1),AZ718=0),AB718,0)</f>
        <v>0</v>
      </c>
      <c r="CH718" s="314">
        <f>IF(AND(Input_Product=Elig!$C718,Elig_MatchAll_Ct&lt;22,$BC718=(Elig_MatchAll_Ct-1),AZ718=0),AC718,0)</f>
        <v>0</v>
      </c>
      <c r="CI718" s="313">
        <f>IF(AND(Input_Product=Elig!$C718,Elig_MatchAll_Ct&lt;22,$BC718=(Elig_MatchAll_Ct-1),BA718=0),AD718,0)</f>
        <v>0</v>
      </c>
      <c r="CJ718" s="314">
        <f>IF(AND(Input_Product=Elig!$C718,Elig_MatchAll_Ct&lt;22,$BC718=(Elig_MatchAll_Ct-1),BA718=0),AE718,0)</f>
        <v>0</v>
      </c>
    </row>
    <row r="719" spans="2:88" ht="10.15" customHeight="1" x14ac:dyDescent="0.25">
      <c r="B719" s="2027" t="s">
        <v>1781</v>
      </c>
      <c r="C719" s="2028" t="str">
        <f t="shared" si="279"/>
        <v>Second OO</v>
      </c>
      <c r="D719" s="2027" t="s">
        <v>1569</v>
      </c>
      <c r="E719" s="2027" t="s">
        <v>98</v>
      </c>
      <c r="F719" s="2027" t="s">
        <v>328</v>
      </c>
      <c r="G719" s="2110" t="s">
        <v>472</v>
      </c>
      <c r="H719" s="2029" t="s">
        <v>136</v>
      </c>
      <c r="I719" s="2027" t="s">
        <v>1332</v>
      </c>
      <c r="J719" s="2027" t="s">
        <v>1311</v>
      </c>
      <c r="K719" s="2029" t="s">
        <v>1790</v>
      </c>
      <c r="L719" s="2027" t="s">
        <v>430</v>
      </c>
      <c r="M719" s="2027" t="s">
        <v>2677</v>
      </c>
      <c r="N719" s="2029" t="s">
        <v>82</v>
      </c>
      <c r="O719" s="2027" t="s">
        <v>310</v>
      </c>
      <c r="P719" s="2027" t="s">
        <v>291</v>
      </c>
      <c r="Q719" s="2027" t="s">
        <v>294</v>
      </c>
      <c r="R719" s="2027">
        <v>350000.01</v>
      </c>
      <c r="S719" s="300">
        <v>500000</v>
      </c>
      <c r="T719" s="2027">
        <v>0</v>
      </c>
      <c r="U719" s="2027">
        <f t="shared" si="300"/>
        <v>500000</v>
      </c>
      <c r="V719" s="2027">
        <v>0</v>
      </c>
      <c r="W719" s="2027">
        <v>50</v>
      </c>
      <c r="X719" s="2027">
        <v>0</v>
      </c>
      <c r="Y719" s="2027">
        <v>999</v>
      </c>
      <c r="Z719" s="2030">
        <v>700</v>
      </c>
      <c r="AA719" s="2030">
        <v>719</v>
      </c>
      <c r="AB719" s="2030">
        <v>0</v>
      </c>
      <c r="AC719" s="2030">
        <v>999999</v>
      </c>
      <c r="AD719" s="2027">
        <v>0</v>
      </c>
      <c r="AE719" s="1483">
        <v>75</v>
      </c>
      <c r="AF719" s="170">
        <v>1</v>
      </c>
      <c r="AG719" s="171">
        <v>1</v>
      </c>
      <c r="AH719" s="171">
        <v>1</v>
      </c>
      <c r="AI719" s="171">
        <v>1</v>
      </c>
      <c r="AJ719" s="171">
        <v>0</v>
      </c>
      <c r="AK719" s="171">
        <v>1</v>
      </c>
      <c r="AL719" s="171">
        <v>1</v>
      </c>
      <c r="AM719" s="171">
        <v>1</v>
      </c>
      <c r="AN719" s="171">
        <v>1</v>
      </c>
      <c r="AO719" s="171">
        <v>1</v>
      </c>
      <c r="AP719" s="171">
        <v>1</v>
      </c>
      <c r="AQ719" s="171">
        <v>1</v>
      </c>
      <c r="AR719" s="171">
        <v>1</v>
      </c>
      <c r="AS719" s="171">
        <v>1</v>
      </c>
      <c r="AT719" s="171">
        <v>1</v>
      </c>
      <c r="AU719" s="171">
        <f t="shared" si="294"/>
        <v>0</v>
      </c>
      <c r="AV719" s="171">
        <f t="shared" si="295"/>
        <v>1</v>
      </c>
      <c r="AW719" s="171">
        <f t="shared" si="296"/>
        <v>1</v>
      </c>
      <c r="AX719" s="171">
        <f t="shared" si="305"/>
        <v>1</v>
      </c>
      <c r="AY719" s="171">
        <f t="shared" si="297"/>
        <v>0</v>
      </c>
      <c r="AZ719" s="171">
        <f t="shared" si="298"/>
        <v>1</v>
      </c>
      <c r="BA719" s="172">
        <f t="shared" si="299"/>
        <v>1</v>
      </c>
      <c r="BB719" s="175">
        <f t="shared" si="301"/>
        <v>19</v>
      </c>
      <c r="BC719" s="176">
        <f t="shared" si="302"/>
        <v>18</v>
      </c>
      <c r="BD719" s="176">
        <f t="shared" si="303"/>
        <v>18</v>
      </c>
      <c r="BE719" s="240" t="str">
        <f t="shared" si="304"/>
        <v/>
      </c>
      <c r="BF719" s="234"/>
      <c r="BG719" s="234"/>
      <c r="BH719" s="199">
        <f>IF(AND(Input_Product=Elig!$C719,Elig_MatchAll_Ct&lt;22,$BC719=(Elig_MatchAll_Ct-1),AF719=0),C719,0)</f>
        <v>0</v>
      </c>
      <c r="BI719" s="199">
        <f>IF(AND(Input_Product=Elig!$C719,Elig_MatchAll_Ct&lt;22,$BC719=(Elig_MatchAll_Ct-1),AG719=0),D719,0)</f>
        <v>0</v>
      </c>
      <c r="BJ719" s="199">
        <f>IF(AND(Input_Product=Elig!$C719,Elig_MatchAll_Ct&lt;22,$BC719=(Elig_MatchAll_Ct-1),AH719=0),E719,0)</f>
        <v>0</v>
      </c>
      <c r="BK719" s="199">
        <f>IF(AND(Input_Product=Elig!$C719,Elig_MatchAll_Ct&lt;22,$BC719=(Elig_MatchAll_Ct-1),AI719=0),F719,0)</f>
        <v>0</v>
      </c>
      <c r="BL719" s="199">
        <f>IF(AND(Input_Product=Elig!$C719,Elig_MatchAll_Ct&lt;22,$BC719=(Elig_MatchAll_Ct-1),AJ719=0),G719,0)</f>
        <v>0</v>
      </c>
      <c r="BM719" s="199">
        <f>IF(AND(Input_Product=Elig!$C719,Elig_MatchAll_Ct&lt;22,$BC719=(Elig_MatchAll_Ct-1),AK719=0),H719,0)</f>
        <v>0</v>
      </c>
      <c r="BN719" s="199">
        <f>IF(AND(Input_Product=Elig!$C719,Elig_MatchAll_Ct&lt;22,$BC719=(Elig_MatchAll_Ct-1),AL719=0),I719,0)</f>
        <v>0</v>
      </c>
      <c r="BO719" s="199">
        <f>IF(AND(Input_Product=Elig!$C719,Elig_MatchAll_Ct&lt;22,$BC719=(Elig_MatchAll_Ct-1),AM719=0),J719,0)</f>
        <v>0</v>
      </c>
      <c r="BP719" s="199">
        <f>IF(AND(Input_Product=Elig!$C719,Elig_MatchAll_Ct&lt;22,$BC719=(Elig_MatchAll_Ct-1),AN719=0),K719,0)</f>
        <v>0</v>
      </c>
      <c r="BQ719" s="199">
        <f>IF(AND(Input_Product=Elig!$C719,Elig_MatchAll_Ct&lt;22,$BC719=(Elig_MatchAll_Ct-1),AP719=0),L719,0)</f>
        <v>0</v>
      </c>
      <c r="BR719" s="199">
        <f>IF(AND(Input_Product=Elig!$C719,Elig_MatchAll_Ct&lt;22,$BC719=(Elig_MatchAll_Ct-1),AO719=0),M719,0)</f>
        <v>0</v>
      </c>
      <c r="BS719" s="199">
        <f>IF(AND(Input_Product=Elig!$C719,Elig_MatchAll_Ct&lt;22,$BC719=(Elig_MatchAll_Ct-1),AQ719=0),N719,0)</f>
        <v>0</v>
      </c>
      <c r="BT719" s="199">
        <f>IF(AND(Input_Product=Elig!$C719,Elig_MatchAll_Ct&lt;22,$BC719=(Elig_MatchAll_Ct-1),AR719=0),O719,0)</f>
        <v>0</v>
      </c>
      <c r="BU719" s="199">
        <f>IF(AND(Input_Product=Elig!$C719,Elig_MatchAll_Ct&lt;22,$BC719=(Elig_MatchAll_Ct-1),AS719=0),P719,0)</f>
        <v>0</v>
      </c>
      <c r="BV719" s="200">
        <f>IF(AND(Input_Product=Elig!$C719,Elig_MatchAll_Ct&lt;22,$BC719=(Elig_MatchAll_Ct-1),AT719=0),Q719,0)</f>
        <v>0</v>
      </c>
      <c r="BW719" s="201">
        <f>IF(AND(Input_Product=Elig!$C719,Elig_MatchAll_Ct&lt;22,$BC719=(Elig_MatchAll_Ct-1),AU719=0),R719,0)</f>
        <v>0</v>
      </c>
      <c r="BX719" s="202">
        <f>IF(AND(Input_Product=Elig!$C719,Elig_MatchAll_Ct&lt;22,$BC719=(Elig_MatchAll_Ct-1),AU719=0),S719,0)</f>
        <v>0</v>
      </c>
      <c r="BY719" s="201">
        <f>IF(AND(Input_Product=Elig!$C719,Elig_MatchAll_Ct&lt;22,$BC719=(Elig_MatchAll_Ct-1),AV719=0),T719,0)</f>
        <v>0</v>
      </c>
      <c r="BZ719" s="202">
        <f>IF(AND(Input_Product=Elig!$C719,Elig_MatchAll_Ct&lt;22,$BC719=(Elig_MatchAll_Ct-1),AV719=0),U719,0)</f>
        <v>0</v>
      </c>
      <c r="CA719" s="201">
        <f>IF(AND(Input_Product=Elig!$C719,Elig_MatchAll_Ct&lt;22,$BC719=(Elig_MatchAll_Ct-1),AW719=0),V719,0)</f>
        <v>0</v>
      </c>
      <c r="CB719" s="202">
        <f>IF(AND(Input_Product=Elig!$C719,Elig_MatchAll_Ct&lt;22,$BC719=(Elig_MatchAll_Ct-1),AW719=0),W719,0)</f>
        <v>0</v>
      </c>
      <c r="CC719" s="201">
        <f>IF(AND(Input_Product=Elig!$C719,Elig_MatchAll_Ct&lt;22,$BC719=(Elig_MatchAll_Ct-1),AX719=0),X719,0)</f>
        <v>0</v>
      </c>
      <c r="CD719" s="202">
        <f>IF(AND(Input_Product=Elig!$C719,Elig_MatchAll_Ct&lt;22,$BC719=(Elig_MatchAll_Ct-1),AX719=0),Y719,0)</f>
        <v>0</v>
      </c>
      <c r="CE719" s="201">
        <f>IF(AND(Input_LTV&lt;=AE719,Input_Product=Elig!$C719,Elig_MatchAll_Ct&lt;22,$BC719=(Elig_MatchAll_Ct-1),AY719=0),Z719,0)</f>
        <v>0</v>
      </c>
      <c r="CF719" s="202">
        <f>IF(AND(Input_LTV&lt;=AE719,Input_Product=Elig!$C719,Elig_MatchAll_Ct&lt;22,$BC719=(Elig_MatchAll_Ct-1),AY719=0),AA719,0)</f>
        <v>0</v>
      </c>
      <c r="CG719" s="201">
        <f>IF(AND(Input_Product=Elig!$C719,Elig_MatchAll_Ct&lt;22,$BC719=(Elig_MatchAll_Ct-1),AZ719=0),AB719,0)</f>
        <v>0</v>
      </c>
      <c r="CH719" s="202">
        <f>IF(AND(Input_Product=Elig!$C719,Elig_MatchAll_Ct&lt;22,$BC719=(Elig_MatchAll_Ct-1),AZ719=0),AC719,0)</f>
        <v>0</v>
      </c>
      <c r="CI719" s="201">
        <f>IF(AND(Input_Product=Elig!$C719,Elig_MatchAll_Ct&lt;22,$BC719=(Elig_MatchAll_Ct-1),BA719=0),AD719,0)</f>
        <v>0</v>
      </c>
      <c r="CJ719" s="202">
        <f>IF(AND(Input_Product=Elig!$C719,Elig_MatchAll_Ct&lt;22,$BC719=(Elig_MatchAll_Ct-1),BA719=0),AE719,0)</f>
        <v>0</v>
      </c>
    </row>
    <row r="720" spans="2:88" ht="10.15" customHeight="1" x14ac:dyDescent="0.25">
      <c r="B720" s="2027" t="s">
        <v>1782</v>
      </c>
      <c r="C720" s="2028" t="str">
        <f t="shared" si="279"/>
        <v>Second OO</v>
      </c>
      <c r="D720" s="2027" t="s">
        <v>1569</v>
      </c>
      <c r="E720" s="2027" t="s">
        <v>98</v>
      </c>
      <c r="F720" s="2027" t="s">
        <v>328</v>
      </c>
      <c r="G720" s="2110" t="s">
        <v>472</v>
      </c>
      <c r="H720" s="2029" t="s">
        <v>136</v>
      </c>
      <c r="I720" s="2027" t="s">
        <v>1332</v>
      </c>
      <c r="J720" s="2027" t="s">
        <v>1311</v>
      </c>
      <c r="K720" s="2029" t="s">
        <v>1790</v>
      </c>
      <c r="L720" s="2027" t="s">
        <v>430</v>
      </c>
      <c r="M720" s="2027" t="s">
        <v>2677</v>
      </c>
      <c r="N720" s="2029" t="s">
        <v>82</v>
      </c>
      <c r="O720" s="2027" t="s">
        <v>310</v>
      </c>
      <c r="P720" s="2027" t="s">
        <v>291</v>
      </c>
      <c r="Q720" s="2027" t="s">
        <v>294</v>
      </c>
      <c r="R720" s="2027">
        <v>350000.01</v>
      </c>
      <c r="S720" s="300">
        <v>500000</v>
      </c>
      <c r="T720" s="2027">
        <v>0</v>
      </c>
      <c r="U720" s="2027">
        <f t="shared" si="300"/>
        <v>500000</v>
      </c>
      <c r="V720" s="2027">
        <v>0</v>
      </c>
      <c r="W720" s="2027">
        <v>50</v>
      </c>
      <c r="X720" s="2027">
        <v>0</v>
      </c>
      <c r="Y720" s="2027">
        <v>999</v>
      </c>
      <c r="Z720" s="2030">
        <v>680</v>
      </c>
      <c r="AA720" s="2030">
        <v>699</v>
      </c>
      <c r="AB720" s="2030">
        <v>0</v>
      </c>
      <c r="AC720" s="2030">
        <v>999999</v>
      </c>
      <c r="AD720" s="2027">
        <v>0</v>
      </c>
      <c r="AE720" s="1483">
        <v>70</v>
      </c>
      <c r="AF720" s="170">
        <v>1</v>
      </c>
      <c r="AG720" s="171">
        <v>1</v>
      </c>
      <c r="AH720" s="171">
        <v>1</v>
      </c>
      <c r="AI720" s="171">
        <v>1</v>
      </c>
      <c r="AJ720" s="171">
        <v>0</v>
      </c>
      <c r="AK720" s="171">
        <v>1</v>
      </c>
      <c r="AL720" s="171">
        <v>1</v>
      </c>
      <c r="AM720" s="171">
        <v>1</v>
      </c>
      <c r="AN720" s="171">
        <v>1</v>
      </c>
      <c r="AO720" s="171">
        <v>1</v>
      </c>
      <c r="AP720" s="171">
        <v>1</v>
      </c>
      <c r="AQ720" s="171">
        <v>1</v>
      </c>
      <c r="AR720" s="171">
        <v>1</v>
      </c>
      <c r="AS720" s="171">
        <v>1</v>
      </c>
      <c r="AT720" s="171">
        <v>1</v>
      </c>
      <c r="AU720" s="171">
        <f t="shared" si="294"/>
        <v>0</v>
      </c>
      <c r="AV720" s="171">
        <f t="shared" si="295"/>
        <v>1</v>
      </c>
      <c r="AW720" s="171">
        <f t="shared" si="296"/>
        <v>1</v>
      </c>
      <c r="AX720" s="171">
        <f t="shared" si="305"/>
        <v>1</v>
      </c>
      <c r="AY720" s="171">
        <f t="shared" si="297"/>
        <v>0</v>
      </c>
      <c r="AZ720" s="171">
        <f t="shared" si="298"/>
        <v>1</v>
      </c>
      <c r="BA720" s="172">
        <f t="shared" si="299"/>
        <v>1</v>
      </c>
      <c r="BB720" s="175">
        <f t="shared" si="301"/>
        <v>19</v>
      </c>
      <c r="BC720" s="176">
        <f t="shared" si="302"/>
        <v>18</v>
      </c>
      <c r="BD720" s="176">
        <f t="shared" si="303"/>
        <v>18</v>
      </c>
      <c r="BE720" s="240" t="str">
        <f t="shared" si="304"/>
        <v/>
      </c>
      <c r="BF720" s="234"/>
      <c r="BG720" s="234"/>
      <c r="BH720" s="199">
        <f>IF(AND(Input_Product=Elig!$C720,Elig_MatchAll_Ct&lt;22,$BC720=(Elig_MatchAll_Ct-1),AF720=0),C720,0)</f>
        <v>0</v>
      </c>
      <c r="BI720" s="199">
        <f>IF(AND(Input_Product=Elig!$C720,Elig_MatchAll_Ct&lt;22,$BC720=(Elig_MatchAll_Ct-1),AG720=0),D720,0)</f>
        <v>0</v>
      </c>
      <c r="BJ720" s="199">
        <f>IF(AND(Input_Product=Elig!$C720,Elig_MatchAll_Ct&lt;22,$BC720=(Elig_MatchAll_Ct-1),AH720=0),E720,0)</f>
        <v>0</v>
      </c>
      <c r="BK720" s="199">
        <f>IF(AND(Input_Product=Elig!$C720,Elig_MatchAll_Ct&lt;22,$BC720=(Elig_MatchAll_Ct-1),AI720=0),F720,0)</f>
        <v>0</v>
      </c>
      <c r="BL720" s="199">
        <f>IF(AND(Input_Product=Elig!$C720,Elig_MatchAll_Ct&lt;22,$BC720=(Elig_MatchAll_Ct-1),AJ720=0),G720,0)</f>
        <v>0</v>
      </c>
      <c r="BM720" s="199">
        <f>IF(AND(Input_Product=Elig!$C720,Elig_MatchAll_Ct&lt;22,$BC720=(Elig_MatchAll_Ct-1),AK720=0),H720,0)</f>
        <v>0</v>
      </c>
      <c r="BN720" s="199">
        <f>IF(AND(Input_Product=Elig!$C720,Elig_MatchAll_Ct&lt;22,$BC720=(Elig_MatchAll_Ct-1),AL720=0),I720,0)</f>
        <v>0</v>
      </c>
      <c r="BO720" s="199">
        <f>IF(AND(Input_Product=Elig!$C720,Elig_MatchAll_Ct&lt;22,$BC720=(Elig_MatchAll_Ct-1),AM720=0),J720,0)</f>
        <v>0</v>
      </c>
      <c r="BP720" s="199">
        <f>IF(AND(Input_Product=Elig!$C720,Elig_MatchAll_Ct&lt;22,$BC720=(Elig_MatchAll_Ct-1),AN720=0),K720,0)</f>
        <v>0</v>
      </c>
      <c r="BQ720" s="199">
        <f>IF(AND(Input_Product=Elig!$C720,Elig_MatchAll_Ct&lt;22,$BC720=(Elig_MatchAll_Ct-1),AP720=0),L720,0)</f>
        <v>0</v>
      </c>
      <c r="BR720" s="199">
        <f>IF(AND(Input_Product=Elig!$C720,Elig_MatchAll_Ct&lt;22,$BC720=(Elig_MatchAll_Ct-1),AO720=0),M720,0)</f>
        <v>0</v>
      </c>
      <c r="BS720" s="199">
        <f>IF(AND(Input_Product=Elig!$C720,Elig_MatchAll_Ct&lt;22,$BC720=(Elig_MatchAll_Ct-1),AQ720=0),N720,0)</f>
        <v>0</v>
      </c>
      <c r="BT720" s="199">
        <f>IF(AND(Input_Product=Elig!$C720,Elig_MatchAll_Ct&lt;22,$BC720=(Elig_MatchAll_Ct-1),AR720=0),O720,0)</f>
        <v>0</v>
      </c>
      <c r="BU720" s="199">
        <f>IF(AND(Input_Product=Elig!$C720,Elig_MatchAll_Ct&lt;22,$BC720=(Elig_MatchAll_Ct-1),AS720=0),P720,0)</f>
        <v>0</v>
      </c>
      <c r="BV720" s="200">
        <f>IF(AND(Input_Product=Elig!$C720,Elig_MatchAll_Ct&lt;22,$BC720=(Elig_MatchAll_Ct-1),AT720=0),Q720,0)</f>
        <v>0</v>
      </c>
      <c r="BW720" s="201">
        <f>IF(AND(Input_Product=Elig!$C720,Elig_MatchAll_Ct&lt;22,$BC720=(Elig_MatchAll_Ct-1),AU720=0),R720,0)</f>
        <v>0</v>
      </c>
      <c r="BX720" s="202">
        <f>IF(AND(Input_Product=Elig!$C720,Elig_MatchAll_Ct&lt;22,$BC720=(Elig_MatchAll_Ct-1),AU720=0),S720,0)</f>
        <v>0</v>
      </c>
      <c r="BY720" s="201">
        <f>IF(AND(Input_Product=Elig!$C720,Elig_MatchAll_Ct&lt;22,$BC720=(Elig_MatchAll_Ct-1),AV720=0),T720,0)</f>
        <v>0</v>
      </c>
      <c r="BZ720" s="202">
        <f>IF(AND(Input_Product=Elig!$C720,Elig_MatchAll_Ct&lt;22,$BC720=(Elig_MatchAll_Ct-1),AV720=0),U720,0)</f>
        <v>0</v>
      </c>
      <c r="CA720" s="201">
        <f>IF(AND(Input_Product=Elig!$C720,Elig_MatchAll_Ct&lt;22,$BC720=(Elig_MatchAll_Ct-1),AW720=0),V720,0)</f>
        <v>0</v>
      </c>
      <c r="CB720" s="202">
        <f>IF(AND(Input_Product=Elig!$C720,Elig_MatchAll_Ct&lt;22,$BC720=(Elig_MatchAll_Ct-1),AW720=0),W720,0)</f>
        <v>0</v>
      </c>
      <c r="CC720" s="201">
        <f>IF(AND(Input_Product=Elig!$C720,Elig_MatchAll_Ct&lt;22,$BC720=(Elig_MatchAll_Ct-1),AX720=0),X720,0)</f>
        <v>0</v>
      </c>
      <c r="CD720" s="202">
        <f>IF(AND(Input_Product=Elig!$C720,Elig_MatchAll_Ct&lt;22,$BC720=(Elig_MatchAll_Ct-1),AX720=0),Y720,0)</f>
        <v>0</v>
      </c>
      <c r="CE720" s="201">
        <f>IF(AND(Input_LTV&lt;=AE720,Input_Product=Elig!$C720,Elig_MatchAll_Ct&lt;22,$BC720=(Elig_MatchAll_Ct-1),AY720=0),Z720,0)</f>
        <v>0</v>
      </c>
      <c r="CF720" s="202">
        <f>IF(AND(Input_LTV&lt;=AE720,Input_Product=Elig!$C720,Elig_MatchAll_Ct&lt;22,$BC720=(Elig_MatchAll_Ct-1),AY720=0),AA720,0)</f>
        <v>0</v>
      </c>
      <c r="CG720" s="201">
        <f>IF(AND(Input_Product=Elig!$C720,Elig_MatchAll_Ct&lt;22,$BC720=(Elig_MatchAll_Ct-1),AZ720=0),AB720,0)</f>
        <v>0</v>
      </c>
      <c r="CH720" s="202">
        <f>IF(AND(Input_Product=Elig!$C720,Elig_MatchAll_Ct&lt;22,$BC720=(Elig_MatchAll_Ct-1),AZ720=0),AC720,0)</f>
        <v>0</v>
      </c>
      <c r="CI720" s="201">
        <f>IF(AND(Input_Product=Elig!$C720,Elig_MatchAll_Ct&lt;22,$BC720=(Elig_MatchAll_Ct-1),BA720=0),AD720,0)</f>
        <v>0</v>
      </c>
      <c r="CJ720" s="202">
        <f>IF(AND(Input_Product=Elig!$C720,Elig_MatchAll_Ct&lt;22,$BC720=(Elig_MatchAll_Ct-1),BA720=0),AE720,0)</f>
        <v>0</v>
      </c>
    </row>
    <row r="721" spans="2:88" ht="10.15" customHeight="1" x14ac:dyDescent="0.25">
      <c r="B721" s="2027" t="s">
        <v>1783</v>
      </c>
      <c r="C721" s="2032" t="str">
        <f t="shared" si="279"/>
        <v>Second OO</v>
      </c>
      <c r="D721" s="2031" t="s">
        <v>1569</v>
      </c>
      <c r="E721" s="2031" t="s">
        <v>98</v>
      </c>
      <c r="F721" s="2031" t="s">
        <v>328</v>
      </c>
      <c r="G721" s="2111" t="s">
        <v>472</v>
      </c>
      <c r="H721" s="2033" t="s">
        <v>136</v>
      </c>
      <c r="I721" s="2031" t="s">
        <v>1332</v>
      </c>
      <c r="J721" s="2031" t="s">
        <v>1311</v>
      </c>
      <c r="K721" s="2033" t="s">
        <v>1790</v>
      </c>
      <c r="L721" s="2031" t="s">
        <v>430</v>
      </c>
      <c r="M721" s="2031" t="s">
        <v>2677</v>
      </c>
      <c r="N721" s="2033" t="s">
        <v>82</v>
      </c>
      <c r="O721" s="2031" t="s">
        <v>310</v>
      </c>
      <c r="P721" s="2031" t="s">
        <v>291</v>
      </c>
      <c r="Q721" s="2031" t="s">
        <v>294</v>
      </c>
      <c r="R721" s="2031">
        <v>350000.01</v>
      </c>
      <c r="S721" s="324">
        <v>500000</v>
      </c>
      <c r="T721" s="2031">
        <v>0</v>
      </c>
      <c r="U721" s="2031">
        <f t="shared" si="300"/>
        <v>500000</v>
      </c>
      <c r="V721" s="2031">
        <v>0</v>
      </c>
      <c r="W721" s="2031">
        <v>50</v>
      </c>
      <c r="X721" s="2031">
        <v>0</v>
      </c>
      <c r="Y721" s="2031">
        <v>999</v>
      </c>
      <c r="Z721" s="2034">
        <v>660</v>
      </c>
      <c r="AA721" s="2034">
        <v>679</v>
      </c>
      <c r="AB721" s="2034">
        <v>0</v>
      </c>
      <c r="AC721" s="2034">
        <v>999999</v>
      </c>
      <c r="AD721" s="2031">
        <v>0</v>
      </c>
      <c r="AE721" s="1484">
        <v>65</v>
      </c>
      <c r="AF721" s="170">
        <v>1</v>
      </c>
      <c r="AG721" s="171">
        <v>1</v>
      </c>
      <c r="AH721" s="171">
        <v>1</v>
      </c>
      <c r="AI721" s="171">
        <v>1</v>
      </c>
      <c r="AJ721" s="171">
        <v>0</v>
      </c>
      <c r="AK721" s="171">
        <v>1</v>
      </c>
      <c r="AL721" s="171">
        <v>1</v>
      </c>
      <c r="AM721" s="171">
        <v>1</v>
      </c>
      <c r="AN721" s="171">
        <v>1</v>
      </c>
      <c r="AO721" s="171">
        <v>1</v>
      </c>
      <c r="AP721" s="171">
        <v>1</v>
      </c>
      <c r="AQ721" s="171">
        <v>1</v>
      </c>
      <c r="AR721" s="171">
        <v>1</v>
      </c>
      <c r="AS721" s="171">
        <v>1</v>
      </c>
      <c r="AT721" s="171">
        <v>1</v>
      </c>
      <c r="AU721" s="171">
        <f t="shared" si="294"/>
        <v>0</v>
      </c>
      <c r="AV721" s="171">
        <f t="shared" si="295"/>
        <v>1</v>
      </c>
      <c r="AW721" s="171">
        <f t="shared" si="296"/>
        <v>1</v>
      </c>
      <c r="AX721" s="171">
        <f t="shared" si="305"/>
        <v>1</v>
      </c>
      <c r="AY721" s="171">
        <f t="shared" si="297"/>
        <v>0</v>
      </c>
      <c r="AZ721" s="171">
        <f t="shared" si="298"/>
        <v>1</v>
      </c>
      <c r="BA721" s="172">
        <f t="shared" si="299"/>
        <v>1</v>
      </c>
      <c r="BB721" s="175">
        <f t="shared" si="301"/>
        <v>19</v>
      </c>
      <c r="BC721" s="176">
        <f t="shared" si="302"/>
        <v>18</v>
      </c>
      <c r="BD721" s="176">
        <f t="shared" si="303"/>
        <v>18</v>
      </c>
      <c r="BE721" s="240" t="str">
        <f t="shared" si="304"/>
        <v/>
      </c>
      <c r="BF721" s="234"/>
      <c r="BG721" s="234"/>
      <c r="BH721" s="214">
        <f>IF(AND(Input_Product=Elig!$C721,Elig_MatchAll_Ct&lt;22,$BC721=(Elig_MatchAll_Ct-1),AF721=0),C721,0)</f>
        <v>0</v>
      </c>
      <c r="BI721" s="214">
        <f>IF(AND(Input_Product=Elig!$C721,Elig_MatchAll_Ct&lt;22,$BC721=(Elig_MatchAll_Ct-1),AG721=0),D721,0)</f>
        <v>0</v>
      </c>
      <c r="BJ721" s="214">
        <f>IF(AND(Input_Product=Elig!$C721,Elig_MatchAll_Ct&lt;22,$BC721=(Elig_MatchAll_Ct-1),AH721=0),E721,0)</f>
        <v>0</v>
      </c>
      <c r="BK721" s="214">
        <f>IF(AND(Input_Product=Elig!$C721,Elig_MatchAll_Ct&lt;22,$BC721=(Elig_MatchAll_Ct-1),AI721=0),F721,0)</f>
        <v>0</v>
      </c>
      <c r="BL721" s="214">
        <f>IF(AND(Input_Product=Elig!$C721,Elig_MatchAll_Ct&lt;22,$BC721=(Elig_MatchAll_Ct-1),AJ721=0),G721,0)</f>
        <v>0</v>
      </c>
      <c r="BM721" s="214">
        <f>IF(AND(Input_Product=Elig!$C721,Elig_MatchAll_Ct&lt;22,$BC721=(Elig_MatchAll_Ct-1),AK721=0),H721,0)</f>
        <v>0</v>
      </c>
      <c r="BN721" s="214">
        <f>IF(AND(Input_Product=Elig!$C721,Elig_MatchAll_Ct&lt;22,$BC721=(Elig_MatchAll_Ct-1),AL721=0),I721,0)</f>
        <v>0</v>
      </c>
      <c r="BO721" s="214">
        <f>IF(AND(Input_Product=Elig!$C721,Elig_MatchAll_Ct&lt;22,$BC721=(Elig_MatchAll_Ct-1),AM721=0),J721,0)</f>
        <v>0</v>
      </c>
      <c r="BP721" s="214">
        <f>IF(AND(Input_Product=Elig!$C721,Elig_MatchAll_Ct&lt;22,$BC721=(Elig_MatchAll_Ct-1),AN721=0),K721,0)</f>
        <v>0</v>
      </c>
      <c r="BQ721" s="214">
        <f>IF(AND(Input_Product=Elig!$C721,Elig_MatchAll_Ct&lt;22,$BC721=(Elig_MatchAll_Ct-1),AP721=0),L721,0)</f>
        <v>0</v>
      </c>
      <c r="BR721" s="214">
        <f>IF(AND(Input_Product=Elig!$C721,Elig_MatchAll_Ct&lt;22,$BC721=(Elig_MatchAll_Ct-1),AO721=0),M721,0)</f>
        <v>0</v>
      </c>
      <c r="BS721" s="214">
        <f>IF(AND(Input_Product=Elig!$C721,Elig_MatchAll_Ct&lt;22,$BC721=(Elig_MatchAll_Ct-1),AQ721=0),N721,0)</f>
        <v>0</v>
      </c>
      <c r="BT721" s="214">
        <f>IF(AND(Input_Product=Elig!$C721,Elig_MatchAll_Ct&lt;22,$BC721=(Elig_MatchAll_Ct-1),AR721=0),O721,0)</f>
        <v>0</v>
      </c>
      <c r="BU721" s="214">
        <f>IF(AND(Input_Product=Elig!$C721,Elig_MatchAll_Ct&lt;22,$BC721=(Elig_MatchAll_Ct-1),AS721=0),P721,0)</f>
        <v>0</v>
      </c>
      <c r="BV721" s="215">
        <f>IF(AND(Input_Product=Elig!$C721,Elig_MatchAll_Ct&lt;22,$BC721=(Elig_MatchAll_Ct-1),AT721=0),Q721,0)</f>
        <v>0</v>
      </c>
      <c r="BW721" s="311">
        <f>IF(AND(Input_Product=Elig!$C721,Elig_MatchAll_Ct&lt;22,$BC721=(Elig_MatchAll_Ct-1),AU721=0),R721,0)</f>
        <v>0</v>
      </c>
      <c r="BX721" s="312">
        <f>IF(AND(Input_Product=Elig!$C721,Elig_MatchAll_Ct&lt;22,$BC721=(Elig_MatchAll_Ct-1),AU721=0),S721,0)</f>
        <v>0</v>
      </c>
      <c r="BY721" s="311">
        <f>IF(AND(Input_Product=Elig!$C721,Elig_MatchAll_Ct&lt;22,$BC721=(Elig_MatchAll_Ct-1),AV721=0),T721,0)</f>
        <v>0</v>
      </c>
      <c r="BZ721" s="312">
        <f>IF(AND(Input_Product=Elig!$C721,Elig_MatchAll_Ct&lt;22,$BC721=(Elig_MatchAll_Ct-1),AV721=0),U721,0)</f>
        <v>0</v>
      </c>
      <c r="CA721" s="311">
        <f>IF(AND(Input_Product=Elig!$C721,Elig_MatchAll_Ct&lt;22,$BC721=(Elig_MatchAll_Ct-1),AW721=0),V721,0)</f>
        <v>0</v>
      </c>
      <c r="CB721" s="312">
        <f>IF(AND(Input_Product=Elig!$C721,Elig_MatchAll_Ct&lt;22,$BC721=(Elig_MatchAll_Ct-1),AW721=0),W721,0)</f>
        <v>0</v>
      </c>
      <c r="CC721" s="311">
        <f>IF(AND(Input_Product=Elig!$C721,Elig_MatchAll_Ct&lt;22,$BC721=(Elig_MatchAll_Ct-1),AX721=0),X721,0)</f>
        <v>0</v>
      </c>
      <c r="CD721" s="312">
        <f>IF(AND(Input_Product=Elig!$C721,Elig_MatchAll_Ct&lt;22,$BC721=(Elig_MatchAll_Ct-1),AX721=0),Y721,0)</f>
        <v>0</v>
      </c>
      <c r="CE721" s="311">
        <f>IF(AND(Input_LTV&lt;=AE721,Input_Product=Elig!$C721,Elig_MatchAll_Ct&lt;22,$BC721=(Elig_MatchAll_Ct-1),AY721=0),Z721,0)</f>
        <v>0</v>
      </c>
      <c r="CF721" s="312">
        <f>IF(AND(Input_LTV&lt;=AE721,Input_Product=Elig!$C721,Elig_MatchAll_Ct&lt;22,$BC721=(Elig_MatchAll_Ct-1),AY721=0),AA721,0)</f>
        <v>0</v>
      </c>
      <c r="CG721" s="311">
        <f>IF(AND(Input_Product=Elig!$C721,Elig_MatchAll_Ct&lt;22,$BC721=(Elig_MatchAll_Ct-1),AZ721=0),AB721,0)</f>
        <v>0</v>
      </c>
      <c r="CH721" s="312">
        <f>IF(AND(Input_Product=Elig!$C721,Elig_MatchAll_Ct&lt;22,$BC721=(Elig_MatchAll_Ct-1),AZ721=0),AC721,0)</f>
        <v>0</v>
      </c>
      <c r="CI721" s="311">
        <f>IF(AND(Input_Product=Elig!$C721,Elig_MatchAll_Ct&lt;22,$BC721=(Elig_MatchAll_Ct-1),BA721=0),AD721,0)</f>
        <v>0</v>
      </c>
      <c r="CJ721" s="312">
        <f>IF(AND(Input_Product=Elig!$C721,Elig_MatchAll_Ct&lt;22,$BC721=(Elig_MatchAll_Ct-1),BA721=0),AE721,0)</f>
        <v>0</v>
      </c>
    </row>
    <row r="722" spans="2:88" ht="10.15" customHeight="1" x14ac:dyDescent="0.25">
      <c r="B722" s="2027" t="s">
        <v>3840</v>
      </c>
      <c r="C722" s="2024" t="str">
        <f t="shared" si="279"/>
        <v>Second OO</v>
      </c>
      <c r="D722" s="2025" t="s">
        <v>1569</v>
      </c>
      <c r="E722" s="2025" t="s">
        <v>98</v>
      </c>
      <c r="F722" s="2025" t="s">
        <v>328</v>
      </c>
      <c r="G722" s="2025" t="s">
        <v>179</v>
      </c>
      <c r="H722" s="2025" t="s">
        <v>136</v>
      </c>
      <c r="I722" s="2023" t="s">
        <v>1332</v>
      </c>
      <c r="J722" s="2023" t="s">
        <v>1311</v>
      </c>
      <c r="K722" s="2025" t="s">
        <v>1790</v>
      </c>
      <c r="L722" s="2023" t="s">
        <v>430</v>
      </c>
      <c r="M722" s="2023" t="s">
        <v>2677</v>
      </c>
      <c r="N722" s="2025" t="s">
        <v>82</v>
      </c>
      <c r="O722" s="2023" t="s">
        <v>310</v>
      </c>
      <c r="P722" s="2023" t="s">
        <v>291</v>
      </c>
      <c r="Q722" s="2023" t="s">
        <v>294</v>
      </c>
      <c r="R722" s="2023">
        <v>350000.01</v>
      </c>
      <c r="S722" s="323">
        <v>500000</v>
      </c>
      <c r="T722" s="2023">
        <v>0</v>
      </c>
      <c r="U722" s="2023">
        <f t="shared" si="300"/>
        <v>500000</v>
      </c>
      <c r="V722" s="2023">
        <v>0</v>
      </c>
      <c r="W722" s="2023">
        <v>50</v>
      </c>
      <c r="X722" s="2023">
        <v>0</v>
      </c>
      <c r="Y722" s="2023">
        <v>999</v>
      </c>
      <c r="Z722" s="2026">
        <v>720</v>
      </c>
      <c r="AA722" s="2026">
        <v>999</v>
      </c>
      <c r="AB722" s="2026">
        <v>0</v>
      </c>
      <c r="AC722" s="2026">
        <v>999999</v>
      </c>
      <c r="AD722" s="2023">
        <v>0</v>
      </c>
      <c r="AE722" s="1482">
        <v>75</v>
      </c>
      <c r="AF722" s="170">
        <v>1</v>
      </c>
      <c r="AG722" s="171">
        <v>1</v>
      </c>
      <c r="AH722" s="171">
        <v>1</v>
      </c>
      <c r="AI722" s="171">
        <v>1</v>
      </c>
      <c r="AJ722" s="171">
        <v>0</v>
      </c>
      <c r="AK722" s="171">
        <v>1</v>
      </c>
      <c r="AL722" s="171">
        <v>1</v>
      </c>
      <c r="AM722" s="171">
        <v>1</v>
      </c>
      <c r="AN722" s="171">
        <v>1</v>
      </c>
      <c r="AO722" s="171">
        <v>1</v>
      </c>
      <c r="AP722" s="171">
        <v>1</v>
      </c>
      <c r="AQ722" s="171">
        <v>1</v>
      </c>
      <c r="AR722" s="171">
        <v>1</v>
      </c>
      <c r="AS722" s="171">
        <v>1</v>
      </c>
      <c r="AT722" s="171">
        <v>1</v>
      </c>
      <c r="AU722" s="171">
        <f t="shared" si="294"/>
        <v>0</v>
      </c>
      <c r="AV722" s="171">
        <f t="shared" si="295"/>
        <v>1</v>
      </c>
      <c r="AW722" s="171">
        <f t="shared" si="296"/>
        <v>1</v>
      </c>
      <c r="AX722" s="171">
        <f t="shared" si="305"/>
        <v>1</v>
      </c>
      <c r="AY722" s="171">
        <f t="shared" si="297"/>
        <v>1</v>
      </c>
      <c r="AZ722" s="171">
        <f t="shared" si="298"/>
        <v>1</v>
      </c>
      <c r="BA722" s="172">
        <f t="shared" si="299"/>
        <v>1</v>
      </c>
      <c r="BB722" s="175">
        <f t="shared" si="301"/>
        <v>20</v>
      </c>
      <c r="BC722" s="176">
        <f t="shared" si="302"/>
        <v>19</v>
      </c>
      <c r="BD722" s="176">
        <f t="shared" si="303"/>
        <v>19</v>
      </c>
      <c r="BE722" s="240" t="str">
        <f t="shared" si="304"/>
        <v/>
      </c>
      <c r="BF722" s="220"/>
      <c r="BG722" s="220"/>
      <c r="BH722" s="216">
        <f>IF(AND(Input_Product=Elig!$C722,Elig_MatchAll_Ct&lt;22,$BC722=(Elig_MatchAll_Ct-1),AF722=0),C722,0)</f>
        <v>0</v>
      </c>
      <c r="BI722" s="216">
        <f>IF(AND(Input_Product=Elig!$C722,Elig_MatchAll_Ct&lt;22,$BC722=(Elig_MatchAll_Ct-1),AG722=0),D722,0)</f>
        <v>0</v>
      </c>
      <c r="BJ722" s="216">
        <f>IF(AND(Input_Product=Elig!$C722,Elig_MatchAll_Ct&lt;22,$BC722=(Elig_MatchAll_Ct-1),AH722=0),E722,0)</f>
        <v>0</v>
      </c>
      <c r="BK722" s="216">
        <f>IF(AND(Input_Product=Elig!$C722,Elig_MatchAll_Ct&lt;22,$BC722=(Elig_MatchAll_Ct-1),AI722=0),F722,0)</f>
        <v>0</v>
      </c>
      <c r="BL722" s="216">
        <f>IF(AND(Input_Product=Elig!$C722,Elig_MatchAll_Ct&lt;22,$BC722=(Elig_MatchAll_Ct-1),AJ722=0),G722,0)</f>
        <v>0</v>
      </c>
      <c r="BM722" s="216">
        <f>IF(AND(Input_Product=Elig!$C722,Elig_MatchAll_Ct&lt;22,$BC722=(Elig_MatchAll_Ct-1),AK722=0),H722,0)</f>
        <v>0</v>
      </c>
      <c r="BN722" s="216">
        <f>IF(AND(Input_Product=Elig!$C722,Elig_MatchAll_Ct&lt;22,$BC722=(Elig_MatchAll_Ct-1),AL722=0),I722,0)</f>
        <v>0</v>
      </c>
      <c r="BO722" s="216">
        <f>IF(AND(Input_Product=Elig!$C722,Elig_MatchAll_Ct&lt;22,$BC722=(Elig_MatchAll_Ct-1),AM722=0),J722,0)</f>
        <v>0</v>
      </c>
      <c r="BP722" s="216">
        <f>IF(AND(Input_Product=Elig!$C722,Elig_MatchAll_Ct&lt;22,$BC722=(Elig_MatchAll_Ct-1),AN722=0),K722,0)</f>
        <v>0</v>
      </c>
      <c r="BQ722" s="216">
        <f>IF(AND(Input_Product=Elig!$C722,Elig_MatchAll_Ct&lt;22,$BC722=(Elig_MatchAll_Ct-1),AP722=0),L722,0)</f>
        <v>0</v>
      </c>
      <c r="BR722" s="216">
        <f>IF(AND(Input_Product=Elig!$C722,Elig_MatchAll_Ct&lt;22,$BC722=(Elig_MatchAll_Ct-1),AO722=0),M722,0)</f>
        <v>0</v>
      </c>
      <c r="BS722" s="216">
        <f>IF(AND(Input_Product=Elig!$C722,Elig_MatchAll_Ct&lt;22,$BC722=(Elig_MatchAll_Ct-1),AQ722=0),N722,0)</f>
        <v>0</v>
      </c>
      <c r="BT722" s="216">
        <f>IF(AND(Input_Product=Elig!$C722,Elig_MatchAll_Ct&lt;22,$BC722=(Elig_MatchAll_Ct-1),AR722=0),O722,0)</f>
        <v>0</v>
      </c>
      <c r="BU722" s="216">
        <f>IF(AND(Input_Product=Elig!$C722,Elig_MatchAll_Ct&lt;22,$BC722=(Elig_MatchAll_Ct-1),AS722=0),P722,0)</f>
        <v>0</v>
      </c>
      <c r="BV722" s="217">
        <f>IF(AND(Input_Product=Elig!$C722,Elig_MatchAll_Ct&lt;22,$BC722=(Elig_MatchAll_Ct-1),AT722=0),Q722,0)</f>
        <v>0</v>
      </c>
      <c r="BW722" s="313">
        <f>IF(AND(Input_Product=Elig!$C722,Elig_MatchAll_Ct&lt;22,$BC722=(Elig_MatchAll_Ct-1),AU722=0),R722,0)</f>
        <v>0</v>
      </c>
      <c r="BX722" s="314">
        <f>IF(AND(Input_Product=Elig!$C722,Elig_MatchAll_Ct&lt;22,$BC722=(Elig_MatchAll_Ct-1),AU722=0),S722,0)</f>
        <v>0</v>
      </c>
      <c r="BY722" s="313">
        <f>IF(AND(Input_Product=Elig!$C722,Elig_MatchAll_Ct&lt;22,$BC722=(Elig_MatchAll_Ct-1),AV722=0),T722,0)</f>
        <v>0</v>
      </c>
      <c r="BZ722" s="314">
        <f>IF(AND(Input_Product=Elig!$C722,Elig_MatchAll_Ct&lt;22,$BC722=(Elig_MatchAll_Ct-1),AV722=0),U722,0)</f>
        <v>0</v>
      </c>
      <c r="CA722" s="313">
        <f>IF(AND(Input_Product=Elig!$C722,Elig_MatchAll_Ct&lt;22,$BC722=(Elig_MatchAll_Ct-1),AW722=0),V722,0)</f>
        <v>0</v>
      </c>
      <c r="CB722" s="314">
        <f>IF(AND(Input_Product=Elig!$C722,Elig_MatchAll_Ct&lt;22,$BC722=(Elig_MatchAll_Ct-1),AW722=0),W722,0)</f>
        <v>0</v>
      </c>
      <c r="CC722" s="313">
        <f>IF(AND(Input_Product=Elig!$C722,Elig_MatchAll_Ct&lt;22,$BC722=(Elig_MatchAll_Ct-1),AX722=0),X722,0)</f>
        <v>0</v>
      </c>
      <c r="CD722" s="314">
        <f>IF(AND(Input_Product=Elig!$C722,Elig_MatchAll_Ct&lt;22,$BC722=(Elig_MatchAll_Ct-1),AX722=0),Y722,0)</f>
        <v>0</v>
      </c>
      <c r="CE722" s="313">
        <f>IF(AND(Input_LTV&lt;=AE722,Input_Product=Elig!$C722,Elig_MatchAll_Ct&lt;22,$BC722=(Elig_MatchAll_Ct-1),AY722=0),Z722,0)</f>
        <v>0</v>
      </c>
      <c r="CF722" s="314">
        <f>IF(AND(Input_LTV&lt;=AE722,Input_Product=Elig!$C722,Elig_MatchAll_Ct&lt;22,$BC722=(Elig_MatchAll_Ct-1),AY722=0),AA722,0)</f>
        <v>0</v>
      </c>
      <c r="CG722" s="313">
        <f>IF(AND(Input_Product=Elig!$C722,Elig_MatchAll_Ct&lt;22,$BC722=(Elig_MatchAll_Ct-1),AZ722=0),AB722,0)</f>
        <v>0</v>
      </c>
      <c r="CH722" s="314">
        <f>IF(AND(Input_Product=Elig!$C722,Elig_MatchAll_Ct&lt;22,$BC722=(Elig_MatchAll_Ct-1),AZ722=0),AC722,0)</f>
        <v>0</v>
      </c>
      <c r="CI722" s="313">
        <f>IF(AND(Input_Product=Elig!$C722,Elig_MatchAll_Ct&lt;22,$BC722=(Elig_MatchAll_Ct-1),BA722=0),AD722,0)</f>
        <v>0</v>
      </c>
      <c r="CJ722" s="314">
        <f>IF(AND(Input_Product=Elig!$C722,Elig_MatchAll_Ct&lt;22,$BC722=(Elig_MatchAll_Ct-1),BA722=0),AE722,0)</f>
        <v>0</v>
      </c>
    </row>
    <row r="723" spans="2:88" ht="10.15" customHeight="1" x14ac:dyDescent="0.25">
      <c r="B723" s="2027" t="s">
        <v>3841</v>
      </c>
      <c r="C723" s="2028" t="str">
        <f t="shared" si="279"/>
        <v>Second OO</v>
      </c>
      <c r="D723" s="2027" t="s">
        <v>1569</v>
      </c>
      <c r="E723" s="2027" t="s">
        <v>98</v>
      </c>
      <c r="F723" s="2027" t="s">
        <v>328</v>
      </c>
      <c r="G723" s="2029" t="s">
        <v>179</v>
      </c>
      <c r="H723" s="2029" t="s">
        <v>136</v>
      </c>
      <c r="I723" s="2027" t="s">
        <v>1332</v>
      </c>
      <c r="J723" s="2027" t="s">
        <v>1311</v>
      </c>
      <c r="K723" s="2029" t="s">
        <v>1790</v>
      </c>
      <c r="L723" s="2027" t="s">
        <v>430</v>
      </c>
      <c r="M723" s="2027" t="s">
        <v>2677</v>
      </c>
      <c r="N723" s="2029" t="s">
        <v>82</v>
      </c>
      <c r="O723" s="2027" t="s">
        <v>310</v>
      </c>
      <c r="P723" s="2027" t="s">
        <v>291</v>
      </c>
      <c r="Q723" s="2027" t="s">
        <v>294</v>
      </c>
      <c r="R723" s="2027">
        <v>350000.01</v>
      </c>
      <c r="S723" s="300">
        <v>500000</v>
      </c>
      <c r="T723" s="2027">
        <v>0</v>
      </c>
      <c r="U723" s="2027">
        <f t="shared" si="300"/>
        <v>500000</v>
      </c>
      <c r="V723" s="2027">
        <v>0</v>
      </c>
      <c r="W723" s="2027">
        <v>50</v>
      </c>
      <c r="X723" s="2027">
        <v>0</v>
      </c>
      <c r="Y723" s="2027">
        <v>999</v>
      </c>
      <c r="Z723" s="2030">
        <v>700</v>
      </c>
      <c r="AA723" s="2030">
        <v>719</v>
      </c>
      <c r="AB723" s="2030">
        <v>0</v>
      </c>
      <c r="AC723" s="2030">
        <v>999999</v>
      </c>
      <c r="AD723" s="2027">
        <v>0</v>
      </c>
      <c r="AE723" s="1483">
        <v>70</v>
      </c>
      <c r="AF723" s="170">
        <v>1</v>
      </c>
      <c r="AG723" s="171">
        <v>1</v>
      </c>
      <c r="AH723" s="171">
        <v>1</v>
      </c>
      <c r="AI723" s="171">
        <v>1</v>
      </c>
      <c r="AJ723" s="171">
        <v>0</v>
      </c>
      <c r="AK723" s="171">
        <v>1</v>
      </c>
      <c r="AL723" s="171">
        <v>1</v>
      </c>
      <c r="AM723" s="171">
        <v>1</v>
      </c>
      <c r="AN723" s="171">
        <v>1</v>
      </c>
      <c r="AO723" s="171">
        <v>1</v>
      </c>
      <c r="AP723" s="171">
        <v>1</v>
      </c>
      <c r="AQ723" s="171">
        <v>1</v>
      </c>
      <c r="AR723" s="171">
        <v>1</v>
      </c>
      <c r="AS723" s="171">
        <v>1</v>
      </c>
      <c r="AT723" s="171">
        <v>1</v>
      </c>
      <c r="AU723" s="171">
        <f t="shared" si="294"/>
        <v>0</v>
      </c>
      <c r="AV723" s="171">
        <f t="shared" si="295"/>
        <v>1</v>
      </c>
      <c r="AW723" s="171">
        <f t="shared" si="296"/>
        <v>1</v>
      </c>
      <c r="AX723" s="171">
        <f t="shared" si="305"/>
        <v>1</v>
      </c>
      <c r="AY723" s="171">
        <f t="shared" si="297"/>
        <v>0</v>
      </c>
      <c r="AZ723" s="171">
        <f t="shared" si="298"/>
        <v>1</v>
      </c>
      <c r="BA723" s="172">
        <f t="shared" si="299"/>
        <v>1</v>
      </c>
      <c r="BB723" s="175">
        <f t="shared" si="301"/>
        <v>19</v>
      </c>
      <c r="BC723" s="176">
        <f t="shared" si="302"/>
        <v>18</v>
      </c>
      <c r="BD723" s="176">
        <f t="shared" si="303"/>
        <v>18</v>
      </c>
      <c r="BE723" s="240" t="str">
        <f t="shared" si="304"/>
        <v/>
      </c>
      <c r="BF723" s="234"/>
      <c r="BG723" s="234"/>
      <c r="BH723" s="199">
        <f>IF(AND(Input_Product=Elig!$C723,Elig_MatchAll_Ct&lt;22,$BC723=(Elig_MatchAll_Ct-1),AF723=0),C723,0)</f>
        <v>0</v>
      </c>
      <c r="BI723" s="199">
        <f>IF(AND(Input_Product=Elig!$C723,Elig_MatchAll_Ct&lt;22,$BC723=(Elig_MatchAll_Ct-1),AG723=0),D723,0)</f>
        <v>0</v>
      </c>
      <c r="BJ723" s="199">
        <f>IF(AND(Input_Product=Elig!$C723,Elig_MatchAll_Ct&lt;22,$BC723=(Elig_MatchAll_Ct-1),AH723=0),E723,0)</f>
        <v>0</v>
      </c>
      <c r="BK723" s="199">
        <f>IF(AND(Input_Product=Elig!$C723,Elig_MatchAll_Ct&lt;22,$BC723=(Elig_MatchAll_Ct-1),AI723=0),F723,0)</f>
        <v>0</v>
      </c>
      <c r="BL723" s="199">
        <f>IF(AND(Input_Product=Elig!$C723,Elig_MatchAll_Ct&lt;22,$BC723=(Elig_MatchAll_Ct-1),AJ723=0),G723,0)</f>
        <v>0</v>
      </c>
      <c r="BM723" s="199">
        <f>IF(AND(Input_Product=Elig!$C723,Elig_MatchAll_Ct&lt;22,$BC723=(Elig_MatchAll_Ct-1),AK723=0),H723,0)</f>
        <v>0</v>
      </c>
      <c r="BN723" s="199">
        <f>IF(AND(Input_Product=Elig!$C723,Elig_MatchAll_Ct&lt;22,$BC723=(Elig_MatchAll_Ct-1),AL723=0),I723,0)</f>
        <v>0</v>
      </c>
      <c r="BO723" s="199">
        <f>IF(AND(Input_Product=Elig!$C723,Elig_MatchAll_Ct&lt;22,$BC723=(Elig_MatchAll_Ct-1),AM723=0),J723,0)</f>
        <v>0</v>
      </c>
      <c r="BP723" s="199">
        <f>IF(AND(Input_Product=Elig!$C723,Elig_MatchAll_Ct&lt;22,$BC723=(Elig_MatchAll_Ct-1),AN723=0),K723,0)</f>
        <v>0</v>
      </c>
      <c r="BQ723" s="199">
        <f>IF(AND(Input_Product=Elig!$C723,Elig_MatchAll_Ct&lt;22,$BC723=(Elig_MatchAll_Ct-1),AP723=0),L723,0)</f>
        <v>0</v>
      </c>
      <c r="BR723" s="199">
        <f>IF(AND(Input_Product=Elig!$C723,Elig_MatchAll_Ct&lt;22,$BC723=(Elig_MatchAll_Ct-1),AO723=0),M723,0)</f>
        <v>0</v>
      </c>
      <c r="BS723" s="199">
        <f>IF(AND(Input_Product=Elig!$C723,Elig_MatchAll_Ct&lt;22,$BC723=(Elig_MatchAll_Ct-1),AQ723=0),N723,0)</f>
        <v>0</v>
      </c>
      <c r="BT723" s="199">
        <f>IF(AND(Input_Product=Elig!$C723,Elig_MatchAll_Ct&lt;22,$BC723=(Elig_MatchAll_Ct-1),AR723=0),O723,0)</f>
        <v>0</v>
      </c>
      <c r="BU723" s="199">
        <f>IF(AND(Input_Product=Elig!$C723,Elig_MatchAll_Ct&lt;22,$BC723=(Elig_MatchAll_Ct-1),AS723=0),P723,0)</f>
        <v>0</v>
      </c>
      <c r="BV723" s="200">
        <f>IF(AND(Input_Product=Elig!$C723,Elig_MatchAll_Ct&lt;22,$BC723=(Elig_MatchAll_Ct-1),AT723=0),Q723,0)</f>
        <v>0</v>
      </c>
      <c r="BW723" s="201">
        <f>IF(AND(Input_Product=Elig!$C723,Elig_MatchAll_Ct&lt;22,$BC723=(Elig_MatchAll_Ct-1),AU723=0),R723,0)</f>
        <v>0</v>
      </c>
      <c r="BX723" s="202">
        <f>IF(AND(Input_Product=Elig!$C723,Elig_MatchAll_Ct&lt;22,$BC723=(Elig_MatchAll_Ct-1),AU723=0),S723,0)</f>
        <v>0</v>
      </c>
      <c r="BY723" s="201">
        <f>IF(AND(Input_Product=Elig!$C723,Elig_MatchAll_Ct&lt;22,$BC723=(Elig_MatchAll_Ct-1),AV723=0),T723,0)</f>
        <v>0</v>
      </c>
      <c r="BZ723" s="202">
        <f>IF(AND(Input_Product=Elig!$C723,Elig_MatchAll_Ct&lt;22,$BC723=(Elig_MatchAll_Ct-1),AV723=0),U723,0)</f>
        <v>0</v>
      </c>
      <c r="CA723" s="201">
        <f>IF(AND(Input_Product=Elig!$C723,Elig_MatchAll_Ct&lt;22,$BC723=(Elig_MatchAll_Ct-1),AW723=0),V723,0)</f>
        <v>0</v>
      </c>
      <c r="CB723" s="202">
        <f>IF(AND(Input_Product=Elig!$C723,Elig_MatchAll_Ct&lt;22,$BC723=(Elig_MatchAll_Ct-1),AW723=0),W723,0)</f>
        <v>0</v>
      </c>
      <c r="CC723" s="201">
        <f>IF(AND(Input_Product=Elig!$C723,Elig_MatchAll_Ct&lt;22,$BC723=(Elig_MatchAll_Ct-1),AX723=0),X723,0)</f>
        <v>0</v>
      </c>
      <c r="CD723" s="202">
        <f>IF(AND(Input_Product=Elig!$C723,Elig_MatchAll_Ct&lt;22,$BC723=(Elig_MatchAll_Ct-1),AX723=0),Y723,0)</f>
        <v>0</v>
      </c>
      <c r="CE723" s="201">
        <f>IF(AND(Input_LTV&lt;=AE723,Input_Product=Elig!$C723,Elig_MatchAll_Ct&lt;22,$BC723=(Elig_MatchAll_Ct-1),AY723=0),Z723,0)</f>
        <v>0</v>
      </c>
      <c r="CF723" s="202">
        <f>IF(AND(Input_LTV&lt;=AE723,Input_Product=Elig!$C723,Elig_MatchAll_Ct&lt;22,$BC723=(Elig_MatchAll_Ct-1),AY723=0),AA723,0)</f>
        <v>0</v>
      </c>
      <c r="CG723" s="201">
        <f>IF(AND(Input_Product=Elig!$C723,Elig_MatchAll_Ct&lt;22,$BC723=(Elig_MatchAll_Ct-1),AZ723=0),AB723,0)</f>
        <v>0</v>
      </c>
      <c r="CH723" s="202">
        <f>IF(AND(Input_Product=Elig!$C723,Elig_MatchAll_Ct&lt;22,$BC723=(Elig_MatchAll_Ct-1),AZ723=0),AC723,0)</f>
        <v>0</v>
      </c>
      <c r="CI723" s="201">
        <f>IF(AND(Input_Product=Elig!$C723,Elig_MatchAll_Ct&lt;22,$BC723=(Elig_MatchAll_Ct-1),BA723=0),AD723,0)</f>
        <v>0</v>
      </c>
      <c r="CJ723" s="202">
        <f>IF(AND(Input_Product=Elig!$C723,Elig_MatchAll_Ct&lt;22,$BC723=(Elig_MatchAll_Ct-1),BA723=0),AE723,0)</f>
        <v>0</v>
      </c>
    </row>
    <row r="724" spans="2:88" ht="10.15" customHeight="1" x14ac:dyDescent="0.25">
      <c r="B724" s="2027" t="s">
        <v>3842</v>
      </c>
      <c r="C724" s="2028" t="str">
        <f t="shared" si="279"/>
        <v>Second OO</v>
      </c>
      <c r="D724" s="2027" t="s">
        <v>1569</v>
      </c>
      <c r="E724" s="2027" t="s">
        <v>98</v>
      </c>
      <c r="F724" s="2027" t="s">
        <v>328</v>
      </c>
      <c r="G724" s="2029" t="s">
        <v>179</v>
      </c>
      <c r="H724" s="2029" t="s">
        <v>136</v>
      </c>
      <c r="I724" s="2027" t="s">
        <v>1332</v>
      </c>
      <c r="J724" s="2027" t="s">
        <v>1311</v>
      </c>
      <c r="K724" s="2029" t="s">
        <v>1790</v>
      </c>
      <c r="L724" s="2027" t="s">
        <v>430</v>
      </c>
      <c r="M724" s="2027" t="s">
        <v>2677</v>
      </c>
      <c r="N724" s="2029" t="s">
        <v>82</v>
      </c>
      <c r="O724" s="2027" t="s">
        <v>310</v>
      </c>
      <c r="P724" s="2027" t="s">
        <v>291</v>
      </c>
      <c r="Q724" s="2027" t="s">
        <v>294</v>
      </c>
      <c r="R724" s="2027">
        <v>350000.01</v>
      </c>
      <c r="S724" s="300">
        <v>500000</v>
      </c>
      <c r="T724" s="2027">
        <v>0</v>
      </c>
      <c r="U724" s="2027">
        <f t="shared" si="300"/>
        <v>500000</v>
      </c>
      <c r="V724" s="2027">
        <v>0</v>
      </c>
      <c r="W724" s="2027">
        <v>50</v>
      </c>
      <c r="X724" s="2027">
        <v>0</v>
      </c>
      <c r="Y724" s="2027">
        <v>999</v>
      </c>
      <c r="Z724" s="2030">
        <v>680</v>
      </c>
      <c r="AA724" s="2030">
        <v>699</v>
      </c>
      <c r="AB724" s="2030">
        <v>0</v>
      </c>
      <c r="AC724" s="2030">
        <v>999999</v>
      </c>
      <c r="AD724" s="2027">
        <v>0</v>
      </c>
      <c r="AE724" s="1483">
        <v>65</v>
      </c>
      <c r="AF724" s="170">
        <v>1</v>
      </c>
      <c r="AG724" s="171">
        <v>1</v>
      </c>
      <c r="AH724" s="171">
        <v>1</v>
      </c>
      <c r="AI724" s="171">
        <v>1</v>
      </c>
      <c r="AJ724" s="171">
        <v>0</v>
      </c>
      <c r="AK724" s="171">
        <v>1</v>
      </c>
      <c r="AL724" s="171">
        <v>1</v>
      </c>
      <c r="AM724" s="171">
        <v>1</v>
      </c>
      <c r="AN724" s="171">
        <v>1</v>
      </c>
      <c r="AO724" s="171">
        <v>1</v>
      </c>
      <c r="AP724" s="171">
        <v>1</v>
      </c>
      <c r="AQ724" s="171">
        <v>1</v>
      </c>
      <c r="AR724" s="171">
        <v>1</v>
      </c>
      <c r="AS724" s="171">
        <v>1</v>
      </c>
      <c r="AT724" s="171">
        <v>1</v>
      </c>
      <c r="AU724" s="171">
        <f t="shared" si="294"/>
        <v>0</v>
      </c>
      <c r="AV724" s="171">
        <f t="shared" si="295"/>
        <v>1</v>
      </c>
      <c r="AW724" s="171">
        <f t="shared" si="296"/>
        <v>1</v>
      </c>
      <c r="AX724" s="171">
        <f t="shared" si="305"/>
        <v>1</v>
      </c>
      <c r="AY724" s="171">
        <f t="shared" si="297"/>
        <v>0</v>
      </c>
      <c r="AZ724" s="171">
        <f t="shared" si="298"/>
        <v>1</v>
      </c>
      <c r="BA724" s="172">
        <f t="shared" si="299"/>
        <v>1</v>
      </c>
      <c r="BB724" s="175">
        <f t="shared" si="301"/>
        <v>19</v>
      </c>
      <c r="BC724" s="176">
        <f t="shared" si="302"/>
        <v>18</v>
      </c>
      <c r="BD724" s="176">
        <f t="shared" si="303"/>
        <v>18</v>
      </c>
      <c r="BE724" s="240" t="str">
        <f t="shared" si="304"/>
        <v/>
      </c>
      <c r="BF724" s="234"/>
      <c r="BG724" s="234"/>
      <c r="BH724" s="199">
        <f>IF(AND(Input_Product=Elig!$C724,Elig_MatchAll_Ct&lt;22,$BC724=(Elig_MatchAll_Ct-1),AF724=0),C724,0)</f>
        <v>0</v>
      </c>
      <c r="BI724" s="199">
        <f>IF(AND(Input_Product=Elig!$C724,Elig_MatchAll_Ct&lt;22,$BC724=(Elig_MatchAll_Ct-1),AG724=0),D724,0)</f>
        <v>0</v>
      </c>
      <c r="BJ724" s="199">
        <f>IF(AND(Input_Product=Elig!$C724,Elig_MatchAll_Ct&lt;22,$BC724=(Elig_MatchAll_Ct-1),AH724=0),E724,0)</f>
        <v>0</v>
      </c>
      <c r="BK724" s="199">
        <f>IF(AND(Input_Product=Elig!$C724,Elig_MatchAll_Ct&lt;22,$BC724=(Elig_MatchAll_Ct-1),AI724=0),F724,0)</f>
        <v>0</v>
      </c>
      <c r="BL724" s="199">
        <f>IF(AND(Input_Product=Elig!$C724,Elig_MatchAll_Ct&lt;22,$BC724=(Elig_MatchAll_Ct-1),AJ724=0),G724,0)</f>
        <v>0</v>
      </c>
      <c r="BM724" s="199">
        <f>IF(AND(Input_Product=Elig!$C724,Elig_MatchAll_Ct&lt;22,$BC724=(Elig_MatchAll_Ct-1),AK724=0),H724,0)</f>
        <v>0</v>
      </c>
      <c r="BN724" s="199">
        <f>IF(AND(Input_Product=Elig!$C724,Elig_MatchAll_Ct&lt;22,$BC724=(Elig_MatchAll_Ct-1),AL724=0),I724,0)</f>
        <v>0</v>
      </c>
      <c r="BO724" s="199">
        <f>IF(AND(Input_Product=Elig!$C724,Elig_MatchAll_Ct&lt;22,$BC724=(Elig_MatchAll_Ct-1),AM724=0),J724,0)</f>
        <v>0</v>
      </c>
      <c r="BP724" s="199">
        <f>IF(AND(Input_Product=Elig!$C724,Elig_MatchAll_Ct&lt;22,$BC724=(Elig_MatchAll_Ct-1),AN724=0),K724,0)</f>
        <v>0</v>
      </c>
      <c r="BQ724" s="199">
        <f>IF(AND(Input_Product=Elig!$C724,Elig_MatchAll_Ct&lt;22,$BC724=(Elig_MatchAll_Ct-1),AP724=0),L724,0)</f>
        <v>0</v>
      </c>
      <c r="BR724" s="199">
        <f>IF(AND(Input_Product=Elig!$C724,Elig_MatchAll_Ct&lt;22,$BC724=(Elig_MatchAll_Ct-1),AO724=0),M724,0)</f>
        <v>0</v>
      </c>
      <c r="BS724" s="199">
        <f>IF(AND(Input_Product=Elig!$C724,Elig_MatchAll_Ct&lt;22,$BC724=(Elig_MatchAll_Ct-1),AQ724=0),N724,0)</f>
        <v>0</v>
      </c>
      <c r="BT724" s="199">
        <f>IF(AND(Input_Product=Elig!$C724,Elig_MatchAll_Ct&lt;22,$BC724=(Elig_MatchAll_Ct-1),AR724=0),O724,0)</f>
        <v>0</v>
      </c>
      <c r="BU724" s="199">
        <f>IF(AND(Input_Product=Elig!$C724,Elig_MatchAll_Ct&lt;22,$BC724=(Elig_MatchAll_Ct-1),AS724=0),P724,0)</f>
        <v>0</v>
      </c>
      <c r="BV724" s="200">
        <f>IF(AND(Input_Product=Elig!$C724,Elig_MatchAll_Ct&lt;22,$BC724=(Elig_MatchAll_Ct-1),AT724=0),Q724,0)</f>
        <v>0</v>
      </c>
      <c r="BW724" s="201">
        <f>IF(AND(Input_Product=Elig!$C724,Elig_MatchAll_Ct&lt;22,$BC724=(Elig_MatchAll_Ct-1),AU724=0),R724,0)</f>
        <v>0</v>
      </c>
      <c r="BX724" s="202">
        <f>IF(AND(Input_Product=Elig!$C724,Elig_MatchAll_Ct&lt;22,$BC724=(Elig_MatchAll_Ct-1),AU724=0),S724,0)</f>
        <v>0</v>
      </c>
      <c r="BY724" s="201">
        <f>IF(AND(Input_Product=Elig!$C724,Elig_MatchAll_Ct&lt;22,$BC724=(Elig_MatchAll_Ct-1),AV724=0),T724,0)</f>
        <v>0</v>
      </c>
      <c r="BZ724" s="202">
        <f>IF(AND(Input_Product=Elig!$C724,Elig_MatchAll_Ct&lt;22,$BC724=(Elig_MatchAll_Ct-1),AV724=0),U724,0)</f>
        <v>0</v>
      </c>
      <c r="CA724" s="201">
        <f>IF(AND(Input_Product=Elig!$C724,Elig_MatchAll_Ct&lt;22,$BC724=(Elig_MatchAll_Ct-1),AW724=0),V724,0)</f>
        <v>0</v>
      </c>
      <c r="CB724" s="202">
        <f>IF(AND(Input_Product=Elig!$C724,Elig_MatchAll_Ct&lt;22,$BC724=(Elig_MatchAll_Ct-1),AW724=0),W724,0)</f>
        <v>0</v>
      </c>
      <c r="CC724" s="201">
        <f>IF(AND(Input_Product=Elig!$C724,Elig_MatchAll_Ct&lt;22,$BC724=(Elig_MatchAll_Ct-1),AX724=0),X724,0)</f>
        <v>0</v>
      </c>
      <c r="CD724" s="202">
        <f>IF(AND(Input_Product=Elig!$C724,Elig_MatchAll_Ct&lt;22,$BC724=(Elig_MatchAll_Ct-1),AX724=0),Y724,0)</f>
        <v>0</v>
      </c>
      <c r="CE724" s="201">
        <f>IF(AND(Input_LTV&lt;=AE724,Input_Product=Elig!$C724,Elig_MatchAll_Ct&lt;22,$BC724=(Elig_MatchAll_Ct-1),AY724=0),Z724,0)</f>
        <v>0</v>
      </c>
      <c r="CF724" s="202">
        <f>IF(AND(Input_LTV&lt;=AE724,Input_Product=Elig!$C724,Elig_MatchAll_Ct&lt;22,$BC724=(Elig_MatchAll_Ct-1),AY724=0),AA724,0)</f>
        <v>0</v>
      </c>
      <c r="CG724" s="201">
        <f>IF(AND(Input_Product=Elig!$C724,Elig_MatchAll_Ct&lt;22,$BC724=(Elig_MatchAll_Ct-1),AZ724=0),AB724,0)</f>
        <v>0</v>
      </c>
      <c r="CH724" s="202">
        <f>IF(AND(Input_Product=Elig!$C724,Elig_MatchAll_Ct&lt;22,$BC724=(Elig_MatchAll_Ct-1),AZ724=0),AC724,0)</f>
        <v>0</v>
      </c>
      <c r="CI724" s="201">
        <f>IF(AND(Input_Product=Elig!$C724,Elig_MatchAll_Ct&lt;22,$BC724=(Elig_MatchAll_Ct-1),BA724=0),AD724,0)</f>
        <v>0</v>
      </c>
      <c r="CJ724" s="202">
        <f>IF(AND(Input_Product=Elig!$C724,Elig_MatchAll_Ct&lt;22,$BC724=(Elig_MatchAll_Ct-1),BA724=0),AE724,0)</f>
        <v>0</v>
      </c>
    </row>
    <row r="725" spans="2:88" ht="10.15" customHeight="1" x14ac:dyDescent="0.25">
      <c r="B725" s="2027" t="s">
        <v>3843</v>
      </c>
      <c r="C725" s="2032" t="str">
        <f t="shared" si="279"/>
        <v>Second OO</v>
      </c>
      <c r="D725" s="2031" t="s">
        <v>1569</v>
      </c>
      <c r="E725" s="2031" t="s">
        <v>98</v>
      </c>
      <c r="F725" s="2031" t="s">
        <v>328</v>
      </c>
      <c r="G725" s="2033" t="s">
        <v>179</v>
      </c>
      <c r="H725" s="2033" t="s">
        <v>136</v>
      </c>
      <c r="I725" s="2031" t="s">
        <v>1332</v>
      </c>
      <c r="J725" s="2031" t="s">
        <v>1311</v>
      </c>
      <c r="K725" s="2033" t="s">
        <v>1790</v>
      </c>
      <c r="L725" s="2031" t="s">
        <v>430</v>
      </c>
      <c r="M725" s="2031" t="s">
        <v>2677</v>
      </c>
      <c r="N725" s="2033" t="s">
        <v>82</v>
      </c>
      <c r="O725" s="2031" t="s">
        <v>310</v>
      </c>
      <c r="P725" s="2031" t="s">
        <v>291</v>
      </c>
      <c r="Q725" s="2031" t="s">
        <v>294</v>
      </c>
      <c r="R725" s="2031">
        <v>350000.01</v>
      </c>
      <c r="S725" s="324">
        <v>500000</v>
      </c>
      <c r="T725" s="2031">
        <v>0</v>
      </c>
      <c r="U725" s="2031">
        <f t="shared" si="300"/>
        <v>500000</v>
      </c>
      <c r="V725" s="2031">
        <v>0</v>
      </c>
      <c r="W725" s="2031">
        <v>50</v>
      </c>
      <c r="X725" s="2031">
        <v>0</v>
      </c>
      <c r="Y725" s="2031">
        <v>999</v>
      </c>
      <c r="Z725" s="2034">
        <v>660</v>
      </c>
      <c r="AA725" s="2034">
        <v>679</v>
      </c>
      <c r="AB725" s="2034">
        <v>0</v>
      </c>
      <c r="AC725" s="2034">
        <v>999999</v>
      </c>
      <c r="AD725" s="2031">
        <v>0</v>
      </c>
      <c r="AE725" s="1484">
        <v>60</v>
      </c>
      <c r="AF725" s="170">
        <v>1</v>
      </c>
      <c r="AG725" s="171">
        <v>1</v>
      </c>
      <c r="AH725" s="171">
        <v>1</v>
      </c>
      <c r="AI725" s="171">
        <v>1</v>
      </c>
      <c r="AJ725" s="171">
        <v>0</v>
      </c>
      <c r="AK725" s="171">
        <v>1</v>
      </c>
      <c r="AL725" s="171">
        <v>1</v>
      </c>
      <c r="AM725" s="171">
        <v>1</v>
      </c>
      <c r="AN725" s="171">
        <v>1</v>
      </c>
      <c r="AO725" s="171">
        <v>1</v>
      </c>
      <c r="AP725" s="171">
        <v>1</v>
      </c>
      <c r="AQ725" s="171">
        <v>1</v>
      </c>
      <c r="AR725" s="171">
        <v>1</v>
      </c>
      <c r="AS725" s="171">
        <v>1</v>
      </c>
      <c r="AT725" s="171">
        <v>1</v>
      </c>
      <c r="AU725" s="171">
        <f t="shared" si="294"/>
        <v>0</v>
      </c>
      <c r="AV725" s="171">
        <f t="shared" si="295"/>
        <v>1</v>
      </c>
      <c r="AW725" s="171">
        <f t="shared" si="296"/>
        <v>1</v>
      </c>
      <c r="AX725" s="171">
        <f t="shared" si="305"/>
        <v>1</v>
      </c>
      <c r="AY725" s="171">
        <f t="shared" si="297"/>
        <v>0</v>
      </c>
      <c r="AZ725" s="171">
        <f t="shared" si="298"/>
        <v>1</v>
      </c>
      <c r="BA725" s="172">
        <f t="shared" si="299"/>
        <v>0</v>
      </c>
      <c r="BB725" s="175">
        <f t="shared" si="301"/>
        <v>18</v>
      </c>
      <c r="BC725" s="176">
        <f t="shared" si="302"/>
        <v>18</v>
      </c>
      <c r="BD725" s="176">
        <f t="shared" si="303"/>
        <v>17</v>
      </c>
      <c r="BE725" s="240" t="str">
        <f t="shared" si="304"/>
        <v/>
      </c>
      <c r="BF725" s="234"/>
      <c r="BG725" s="234"/>
      <c r="BH725" s="214">
        <f>IF(AND(Input_Product=Elig!$C725,Elig_MatchAll_Ct&lt;22,$BC725=(Elig_MatchAll_Ct-1),AF725=0),C725,0)</f>
        <v>0</v>
      </c>
      <c r="BI725" s="214">
        <f>IF(AND(Input_Product=Elig!$C725,Elig_MatchAll_Ct&lt;22,$BC725=(Elig_MatchAll_Ct-1),AG725=0),D725,0)</f>
        <v>0</v>
      </c>
      <c r="BJ725" s="214">
        <f>IF(AND(Input_Product=Elig!$C725,Elig_MatchAll_Ct&lt;22,$BC725=(Elig_MatchAll_Ct-1),AH725=0),E725,0)</f>
        <v>0</v>
      </c>
      <c r="BK725" s="214">
        <f>IF(AND(Input_Product=Elig!$C725,Elig_MatchAll_Ct&lt;22,$BC725=(Elig_MatchAll_Ct-1),AI725=0),F725,0)</f>
        <v>0</v>
      </c>
      <c r="BL725" s="214">
        <f>IF(AND(Input_Product=Elig!$C725,Elig_MatchAll_Ct&lt;22,$BC725=(Elig_MatchAll_Ct-1),AJ725=0),G725,0)</f>
        <v>0</v>
      </c>
      <c r="BM725" s="214">
        <f>IF(AND(Input_Product=Elig!$C725,Elig_MatchAll_Ct&lt;22,$BC725=(Elig_MatchAll_Ct-1),AK725=0),H725,0)</f>
        <v>0</v>
      </c>
      <c r="BN725" s="214">
        <f>IF(AND(Input_Product=Elig!$C725,Elig_MatchAll_Ct&lt;22,$BC725=(Elig_MatchAll_Ct-1),AL725=0),I725,0)</f>
        <v>0</v>
      </c>
      <c r="BO725" s="214">
        <f>IF(AND(Input_Product=Elig!$C725,Elig_MatchAll_Ct&lt;22,$BC725=(Elig_MatchAll_Ct-1),AM725=0),J725,0)</f>
        <v>0</v>
      </c>
      <c r="BP725" s="214">
        <f>IF(AND(Input_Product=Elig!$C725,Elig_MatchAll_Ct&lt;22,$BC725=(Elig_MatchAll_Ct-1),AN725=0),K725,0)</f>
        <v>0</v>
      </c>
      <c r="BQ725" s="214">
        <f>IF(AND(Input_Product=Elig!$C725,Elig_MatchAll_Ct&lt;22,$BC725=(Elig_MatchAll_Ct-1),AP725=0),L725,0)</f>
        <v>0</v>
      </c>
      <c r="BR725" s="214">
        <f>IF(AND(Input_Product=Elig!$C725,Elig_MatchAll_Ct&lt;22,$BC725=(Elig_MatchAll_Ct-1),AO725=0),M725,0)</f>
        <v>0</v>
      </c>
      <c r="BS725" s="214">
        <f>IF(AND(Input_Product=Elig!$C725,Elig_MatchAll_Ct&lt;22,$BC725=(Elig_MatchAll_Ct-1),AQ725=0),N725,0)</f>
        <v>0</v>
      </c>
      <c r="BT725" s="214">
        <f>IF(AND(Input_Product=Elig!$C725,Elig_MatchAll_Ct&lt;22,$BC725=(Elig_MatchAll_Ct-1),AR725=0),O725,0)</f>
        <v>0</v>
      </c>
      <c r="BU725" s="214">
        <f>IF(AND(Input_Product=Elig!$C725,Elig_MatchAll_Ct&lt;22,$BC725=(Elig_MatchAll_Ct-1),AS725=0),P725,0)</f>
        <v>0</v>
      </c>
      <c r="BV725" s="215">
        <f>IF(AND(Input_Product=Elig!$C725,Elig_MatchAll_Ct&lt;22,$BC725=(Elig_MatchAll_Ct-1),AT725=0),Q725,0)</f>
        <v>0</v>
      </c>
      <c r="BW725" s="311">
        <f>IF(AND(Input_Product=Elig!$C725,Elig_MatchAll_Ct&lt;22,$BC725=(Elig_MatchAll_Ct-1),AU725=0),R725,0)</f>
        <v>0</v>
      </c>
      <c r="BX725" s="312">
        <f>IF(AND(Input_Product=Elig!$C725,Elig_MatchAll_Ct&lt;22,$BC725=(Elig_MatchAll_Ct-1),AU725=0),S725,0)</f>
        <v>0</v>
      </c>
      <c r="BY725" s="311">
        <f>IF(AND(Input_Product=Elig!$C725,Elig_MatchAll_Ct&lt;22,$BC725=(Elig_MatchAll_Ct-1),AV725=0),T725,0)</f>
        <v>0</v>
      </c>
      <c r="BZ725" s="312">
        <f>IF(AND(Input_Product=Elig!$C725,Elig_MatchAll_Ct&lt;22,$BC725=(Elig_MatchAll_Ct-1),AV725=0),U725,0)</f>
        <v>0</v>
      </c>
      <c r="CA725" s="311">
        <f>IF(AND(Input_Product=Elig!$C725,Elig_MatchAll_Ct&lt;22,$BC725=(Elig_MatchAll_Ct-1),AW725=0),V725,0)</f>
        <v>0</v>
      </c>
      <c r="CB725" s="312">
        <f>IF(AND(Input_Product=Elig!$C725,Elig_MatchAll_Ct&lt;22,$BC725=(Elig_MatchAll_Ct-1),AW725=0),W725,0)</f>
        <v>0</v>
      </c>
      <c r="CC725" s="311">
        <f>IF(AND(Input_Product=Elig!$C725,Elig_MatchAll_Ct&lt;22,$BC725=(Elig_MatchAll_Ct-1),AX725=0),X725,0)</f>
        <v>0</v>
      </c>
      <c r="CD725" s="312">
        <f>IF(AND(Input_Product=Elig!$C725,Elig_MatchAll_Ct&lt;22,$BC725=(Elig_MatchAll_Ct-1),AX725=0),Y725,0)</f>
        <v>0</v>
      </c>
      <c r="CE725" s="311">
        <f>IF(AND(Input_LTV&lt;=AE725,Input_Product=Elig!$C725,Elig_MatchAll_Ct&lt;22,$BC725=(Elig_MatchAll_Ct-1),AY725=0),Z725,0)</f>
        <v>0</v>
      </c>
      <c r="CF725" s="312">
        <f>IF(AND(Input_LTV&lt;=AE725,Input_Product=Elig!$C725,Elig_MatchAll_Ct&lt;22,$BC725=(Elig_MatchAll_Ct-1),AY725=0),AA725,0)</f>
        <v>0</v>
      </c>
      <c r="CG725" s="311">
        <f>IF(AND(Input_Product=Elig!$C725,Elig_MatchAll_Ct&lt;22,$BC725=(Elig_MatchAll_Ct-1),AZ725=0),AB725,0)</f>
        <v>0</v>
      </c>
      <c r="CH725" s="312">
        <f>IF(AND(Input_Product=Elig!$C725,Elig_MatchAll_Ct&lt;22,$BC725=(Elig_MatchAll_Ct-1),AZ725=0),AC725,0)</f>
        <v>0</v>
      </c>
      <c r="CI725" s="311">
        <f>IF(AND(Input_Product=Elig!$C725,Elig_MatchAll_Ct&lt;22,$BC725=(Elig_MatchAll_Ct-1),BA725=0),AD725,0)</f>
        <v>0</v>
      </c>
      <c r="CJ725" s="312">
        <f>IF(AND(Input_Product=Elig!$C725,Elig_MatchAll_Ct&lt;22,$BC725=(Elig_MatchAll_Ct-1),BA725=0),AE725,0)</f>
        <v>0</v>
      </c>
    </row>
    <row r="726" spans="2:88" ht="10.15" customHeight="1" x14ac:dyDescent="0.25">
      <c r="B726" s="2027" t="s">
        <v>3844</v>
      </c>
      <c r="C726" s="2024" t="str">
        <f t="shared" si="279"/>
        <v>Second OO</v>
      </c>
      <c r="D726" s="2025" t="s">
        <v>1569</v>
      </c>
      <c r="E726" s="2025" t="s">
        <v>98</v>
      </c>
      <c r="F726" s="2025" t="s">
        <v>329</v>
      </c>
      <c r="G726" s="2025" t="s">
        <v>303</v>
      </c>
      <c r="H726" s="2025" t="s">
        <v>136</v>
      </c>
      <c r="I726" s="2023" t="s">
        <v>1332</v>
      </c>
      <c r="J726" s="2023" t="s">
        <v>1311</v>
      </c>
      <c r="K726" s="2025" t="s">
        <v>1790</v>
      </c>
      <c r="L726" s="2023" t="s">
        <v>430</v>
      </c>
      <c r="M726" s="2023" t="s">
        <v>2677</v>
      </c>
      <c r="N726" s="2025" t="s">
        <v>82</v>
      </c>
      <c r="O726" s="2023" t="s">
        <v>310</v>
      </c>
      <c r="P726" s="2023" t="s">
        <v>291</v>
      </c>
      <c r="Q726" s="2023" t="s">
        <v>294</v>
      </c>
      <c r="R726" s="2023">
        <v>350000.01</v>
      </c>
      <c r="S726" s="323">
        <v>500000</v>
      </c>
      <c r="T726" s="2023">
        <v>0</v>
      </c>
      <c r="U726" s="2023">
        <f t="shared" si="300"/>
        <v>500000</v>
      </c>
      <c r="V726" s="2023">
        <v>0</v>
      </c>
      <c r="W726" s="2023">
        <v>50</v>
      </c>
      <c r="X726" s="2023">
        <v>0</v>
      </c>
      <c r="Y726" s="2023">
        <v>999</v>
      </c>
      <c r="Z726" s="2026">
        <v>720</v>
      </c>
      <c r="AA726" s="2026">
        <v>999</v>
      </c>
      <c r="AB726" s="2026">
        <v>0</v>
      </c>
      <c r="AC726" s="2026">
        <v>999999</v>
      </c>
      <c r="AD726" s="2023">
        <v>0</v>
      </c>
      <c r="AE726" s="1482">
        <v>80</v>
      </c>
      <c r="AF726" s="170">
        <v>1</v>
      </c>
      <c r="AG726" s="171">
        <v>1</v>
      </c>
      <c r="AH726" s="171">
        <v>1</v>
      </c>
      <c r="AI726" s="171">
        <v>0</v>
      </c>
      <c r="AJ726" s="171">
        <v>1</v>
      </c>
      <c r="AK726" s="171">
        <v>1</v>
      </c>
      <c r="AL726" s="171">
        <v>1</v>
      </c>
      <c r="AM726" s="171">
        <v>1</v>
      </c>
      <c r="AN726" s="171">
        <v>1</v>
      </c>
      <c r="AO726" s="171">
        <v>1</v>
      </c>
      <c r="AP726" s="171">
        <v>1</v>
      </c>
      <c r="AQ726" s="171">
        <v>1</v>
      </c>
      <c r="AR726" s="171">
        <v>1</v>
      </c>
      <c r="AS726" s="171">
        <v>1</v>
      </c>
      <c r="AT726" s="171">
        <v>1</v>
      </c>
      <c r="AU726" s="171">
        <f t="shared" si="294"/>
        <v>0</v>
      </c>
      <c r="AV726" s="171">
        <f t="shared" si="295"/>
        <v>1</v>
      </c>
      <c r="AW726" s="171">
        <f t="shared" si="296"/>
        <v>1</v>
      </c>
      <c r="AX726" s="171">
        <f t="shared" si="305"/>
        <v>1</v>
      </c>
      <c r="AY726" s="171">
        <f t="shared" si="297"/>
        <v>1</v>
      </c>
      <c r="AZ726" s="171">
        <f t="shared" si="298"/>
        <v>1</v>
      </c>
      <c r="BA726" s="172">
        <f t="shared" si="299"/>
        <v>1</v>
      </c>
      <c r="BB726" s="175">
        <f t="shared" si="301"/>
        <v>20</v>
      </c>
      <c r="BC726" s="176">
        <f t="shared" si="302"/>
        <v>19</v>
      </c>
      <c r="BD726" s="176">
        <f t="shared" si="303"/>
        <v>19</v>
      </c>
      <c r="BE726" s="240" t="str">
        <f t="shared" si="304"/>
        <v/>
      </c>
      <c r="BF726" s="220"/>
      <c r="BG726" s="220"/>
      <c r="BH726" s="216">
        <f>IF(AND(Input_Product=Elig!$C726,Elig_MatchAll_Ct&lt;22,$BC726=(Elig_MatchAll_Ct-1),AF726=0),C726,0)</f>
        <v>0</v>
      </c>
      <c r="BI726" s="216">
        <f>IF(AND(Input_Product=Elig!$C726,Elig_MatchAll_Ct&lt;22,$BC726=(Elig_MatchAll_Ct-1),AG726=0),D726,0)</f>
        <v>0</v>
      </c>
      <c r="BJ726" s="216">
        <f>IF(AND(Input_Product=Elig!$C726,Elig_MatchAll_Ct&lt;22,$BC726=(Elig_MatchAll_Ct-1),AH726=0),E726,0)</f>
        <v>0</v>
      </c>
      <c r="BK726" s="216">
        <f>IF(AND(Input_Product=Elig!$C726,Elig_MatchAll_Ct&lt;22,$BC726=(Elig_MatchAll_Ct-1),AI726=0),F726,0)</f>
        <v>0</v>
      </c>
      <c r="BL726" s="216">
        <f>IF(AND(Input_Product=Elig!$C726,Elig_MatchAll_Ct&lt;22,$BC726=(Elig_MatchAll_Ct-1),AJ726=0),G726,0)</f>
        <v>0</v>
      </c>
      <c r="BM726" s="216">
        <f>IF(AND(Input_Product=Elig!$C726,Elig_MatchAll_Ct&lt;22,$BC726=(Elig_MatchAll_Ct-1),AK726=0),H726,0)</f>
        <v>0</v>
      </c>
      <c r="BN726" s="216">
        <f>IF(AND(Input_Product=Elig!$C726,Elig_MatchAll_Ct&lt;22,$BC726=(Elig_MatchAll_Ct-1),AL726=0),I726,0)</f>
        <v>0</v>
      </c>
      <c r="BO726" s="216">
        <f>IF(AND(Input_Product=Elig!$C726,Elig_MatchAll_Ct&lt;22,$BC726=(Elig_MatchAll_Ct-1),AM726=0),J726,0)</f>
        <v>0</v>
      </c>
      <c r="BP726" s="216">
        <f>IF(AND(Input_Product=Elig!$C726,Elig_MatchAll_Ct&lt;22,$BC726=(Elig_MatchAll_Ct-1),AN726=0),K726,0)</f>
        <v>0</v>
      </c>
      <c r="BQ726" s="216">
        <f>IF(AND(Input_Product=Elig!$C726,Elig_MatchAll_Ct&lt;22,$BC726=(Elig_MatchAll_Ct-1),AP726=0),L726,0)</f>
        <v>0</v>
      </c>
      <c r="BR726" s="216">
        <f>IF(AND(Input_Product=Elig!$C726,Elig_MatchAll_Ct&lt;22,$BC726=(Elig_MatchAll_Ct-1),AO726=0),M726,0)</f>
        <v>0</v>
      </c>
      <c r="BS726" s="216">
        <f>IF(AND(Input_Product=Elig!$C726,Elig_MatchAll_Ct&lt;22,$BC726=(Elig_MatchAll_Ct-1),AQ726=0),N726,0)</f>
        <v>0</v>
      </c>
      <c r="BT726" s="216">
        <f>IF(AND(Input_Product=Elig!$C726,Elig_MatchAll_Ct&lt;22,$BC726=(Elig_MatchAll_Ct-1),AR726=0),O726,0)</f>
        <v>0</v>
      </c>
      <c r="BU726" s="216">
        <f>IF(AND(Input_Product=Elig!$C726,Elig_MatchAll_Ct&lt;22,$BC726=(Elig_MatchAll_Ct-1),AS726=0),P726,0)</f>
        <v>0</v>
      </c>
      <c r="BV726" s="217">
        <f>IF(AND(Input_Product=Elig!$C726,Elig_MatchAll_Ct&lt;22,$BC726=(Elig_MatchAll_Ct-1),AT726=0),Q726,0)</f>
        <v>0</v>
      </c>
      <c r="BW726" s="313">
        <f>IF(AND(Input_Product=Elig!$C726,Elig_MatchAll_Ct&lt;22,$BC726=(Elig_MatchAll_Ct-1),AU726=0),R726,0)</f>
        <v>0</v>
      </c>
      <c r="BX726" s="314">
        <f>IF(AND(Input_Product=Elig!$C726,Elig_MatchAll_Ct&lt;22,$BC726=(Elig_MatchAll_Ct-1),AU726=0),S726,0)</f>
        <v>0</v>
      </c>
      <c r="BY726" s="313">
        <f>IF(AND(Input_Product=Elig!$C726,Elig_MatchAll_Ct&lt;22,$BC726=(Elig_MatchAll_Ct-1),AV726=0),T726,0)</f>
        <v>0</v>
      </c>
      <c r="BZ726" s="314">
        <f>IF(AND(Input_Product=Elig!$C726,Elig_MatchAll_Ct&lt;22,$BC726=(Elig_MatchAll_Ct-1),AV726=0),U726,0)</f>
        <v>0</v>
      </c>
      <c r="CA726" s="313">
        <f>IF(AND(Input_Product=Elig!$C726,Elig_MatchAll_Ct&lt;22,$BC726=(Elig_MatchAll_Ct-1),AW726=0),V726,0)</f>
        <v>0</v>
      </c>
      <c r="CB726" s="314">
        <f>IF(AND(Input_Product=Elig!$C726,Elig_MatchAll_Ct&lt;22,$BC726=(Elig_MatchAll_Ct-1),AW726=0),W726,0)</f>
        <v>0</v>
      </c>
      <c r="CC726" s="313">
        <f>IF(AND(Input_Product=Elig!$C726,Elig_MatchAll_Ct&lt;22,$BC726=(Elig_MatchAll_Ct-1),AX726=0),X726,0)</f>
        <v>0</v>
      </c>
      <c r="CD726" s="314">
        <f>IF(AND(Input_Product=Elig!$C726,Elig_MatchAll_Ct&lt;22,$BC726=(Elig_MatchAll_Ct-1),AX726=0),Y726,0)</f>
        <v>0</v>
      </c>
      <c r="CE726" s="313">
        <f>IF(AND(Input_LTV&lt;=AE726,Input_Product=Elig!$C726,Elig_MatchAll_Ct&lt;22,$BC726=(Elig_MatchAll_Ct-1),AY726=0),Z726,0)</f>
        <v>0</v>
      </c>
      <c r="CF726" s="314">
        <f>IF(AND(Input_LTV&lt;=AE726,Input_Product=Elig!$C726,Elig_MatchAll_Ct&lt;22,$BC726=(Elig_MatchAll_Ct-1),AY726=0),AA726,0)</f>
        <v>0</v>
      </c>
      <c r="CG726" s="313">
        <f>IF(AND(Input_Product=Elig!$C726,Elig_MatchAll_Ct&lt;22,$BC726=(Elig_MatchAll_Ct-1),AZ726=0),AB726,0)</f>
        <v>0</v>
      </c>
      <c r="CH726" s="314">
        <f>IF(AND(Input_Product=Elig!$C726,Elig_MatchAll_Ct&lt;22,$BC726=(Elig_MatchAll_Ct-1),AZ726=0),AC726,0)</f>
        <v>0</v>
      </c>
      <c r="CI726" s="313">
        <f>IF(AND(Input_Product=Elig!$C726,Elig_MatchAll_Ct&lt;22,$BC726=(Elig_MatchAll_Ct-1),BA726=0),AD726,0)</f>
        <v>0</v>
      </c>
      <c r="CJ726" s="314">
        <f>IF(AND(Input_Product=Elig!$C726,Elig_MatchAll_Ct&lt;22,$BC726=(Elig_MatchAll_Ct-1),BA726=0),AE726,0)</f>
        <v>0</v>
      </c>
    </row>
    <row r="727" spans="2:88" ht="10.15" customHeight="1" x14ac:dyDescent="0.25">
      <c r="B727" s="2027" t="s">
        <v>3845</v>
      </c>
      <c r="C727" s="2028" t="str">
        <f t="shared" si="279"/>
        <v>Second OO</v>
      </c>
      <c r="D727" s="2027" t="s">
        <v>1569</v>
      </c>
      <c r="E727" s="2027" t="s">
        <v>98</v>
      </c>
      <c r="F727" s="2027" t="s">
        <v>329</v>
      </c>
      <c r="G727" s="2029" t="s">
        <v>303</v>
      </c>
      <c r="H727" s="2029" t="s">
        <v>136</v>
      </c>
      <c r="I727" s="2027" t="s">
        <v>1332</v>
      </c>
      <c r="J727" s="2027" t="s">
        <v>1311</v>
      </c>
      <c r="K727" s="2029" t="s">
        <v>1790</v>
      </c>
      <c r="L727" s="2027" t="s">
        <v>430</v>
      </c>
      <c r="M727" s="2027" t="s">
        <v>2677</v>
      </c>
      <c r="N727" s="2029" t="s">
        <v>82</v>
      </c>
      <c r="O727" s="2027" t="s">
        <v>310</v>
      </c>
      <c r="P727" s="2027" t="s">
        <v>291</v>
      </c>
      <c r="Q727" s="2027" t="s">
        <v>294</v>
      </c>
      <c r="R727" s="2027">
        <v>350000.01</v>
      </c>
      <c r="S727" s="300">
        <v>500000</v>
      </c>
      <c r="T727" s="2027">
        <v>0</v>
      </c>
      <c r="U727" s="2027">
        <f t="shared" si="300"/>
        <v>500000</v>
      </c>
      <c r="V727" s="2027">
        <v>0</v>
      </c>
      <c r="W727" s="2027">
        <v>50</v>
      </c>
      <c r="X727" s="2027">
        <v>0</v>
      </c>
      <c r="Y727" s="2027">
        <v>999</v>
      </c>
      <c r="Z727" s="2030">
        <v>700</v>
      </c>
      <c r="AA727" s="2030">
        <v>719</v>
      </c>
      <c r="AB727" s="2030">
        <v>0</v>
      </c>
      <c r="AC727" s="2030">
        <v>999999</v>
      </c>
      <c r="AD727" s="2027">
        <v>0</v>
      </c>
      <c r="AE727" s="2105">
        <v>80</v>
      </c>
      <c r="AF727" s="170">
        <v>1</v>
      </c>
      <c r="AG727" s="171">
        <v>1</v>
      </c>
      <c r="AH727" s="171">
        <v>1</v>
      </c>
      <c r="AI727" s="171">
        <v>0</v>
      </c>
      <c r="AJ727" s="171">
        <v>1</v>
      </c>
      <c r="AK727" s="171">
        <v>1</v>
      </c>
      <c r="AL727" s="171">
        <v>1</v>
      </c>
      <c r="AM727" s="171">
        <v>1</v>
      </c>
      <c r="AN727" s="171">
        <v>1</v>
      </c>
      <c r="AO727" s="171">
        <v>1</v>
      </c>
      <c r="AP727" s="171">
        <v>1</v>
      </c>
      <c r="AQ727" s="171">
        <v>1</v>
      </c>
      <c r="AR727" s="171">
        <v>1</v>
      </c>
      <c r="AS727" s="171">
        <v>1</v>
      </c>
      <c r="AT727" s="171">
        <v>1</v>
      </c>
      <c r="AU727" s="171">
        <f t="shared" si="294"/>
        <v>0</v>
      </c>
      <c r="AV727" s="171">
        <f t="shared" si="295"/>
        <v>1</v>
      </c>
      <c r="AW727" s="171">
        <f t="shared" si="296"/>
        <v>1</v>
      </c>
      <c r="AX727" s="171">
        <f t="shared" si="305"/>
        <v>1</v>
      </c>
      <c r="AY727" s="171">
        <f t="shared" si="297"/>
        <v>0</v>
      </c>
      <c r="AZ727" s="171">
        <f t="shared" si="298"/>
        <v>1</v>
      </c>
      <c r="BA727" s="172">
        <f t="shared" si="299"/>
        <v>1</v>
      </c>
      <c r="BB727" s="175">
        <f t="shared" si="301"/>
        <v>19</v>
      </c>
      <c r="BC727" s="176">
        <f t="shared" si="302"/>
        <v>18</v>
      </c>
      <c r="BD727" s="176">
        <f t="shared" si="303"/>
        <v>18</v>
      </c>
      <c r="BE727" s="240" t="str">
        <f t="shared" si="304"/>
        <v/>
      </c>
      <c r="BF727" s="234"/>
      <c r="BG727" s="234"/>
      <c r="BH727" s="199">
        <f>IF(AND(Input_Product=Elig!$C727,Elig_MatchAll_Ct&lt;22,$BC727=(Elig_MatchAll_Ct-1),AF727=0),C727,0)</f>
        <v>0</v>
      </c>
      <c r="BI727" s="199">
        <f>IF(AND(Input_Product=Elig!$C727,Elig_MatchAll_Ct&lt;22,$BC727=(Elig_MatchAll_Ct-1),AG727=0),D727,0)</f>
        <v>0</v>
      </c>
      <c r="BJ727" s="199">
        <f>IF(AND(Input_Product=Elig!$C727,Elig_MatchAll_Ct&lt;22,$BC727=(Elig_MatchAll_Ct-1),AH727=0),E727,0)</f>
        <v>0</v>
      </c>
      <c r="BK727" s="199">
        <f>IF(AND(Input_Product=Elig!$C727,Elig_MatchAll_Ct&lt;22,$BC727=(Elig_MatchAll_Ct-1),AI727=0),F727,0)</f>
        <v>0</v>
      </c>
      <c r="BL727" s="199">
        <f>IF(AND(Input_Product=Elig!$C727,Elig_MatchAll_Ct&lt;22,$BC727=(Elig_MatchAll_Ct-1),AJ727=0),G727,0)</f>
        <v>0</v>
      </c>
      <c r="BM727" s="199">
        <f>IF(AND(Input_Product=Elig!$C727,Elig_MatchAll_Ct&lt;22,$BC727=(Elig_MatchAll_Ct-1),AK727=0),H727,0)</f>
        <v>0</v>
      </c>
      <c r="BN727" s="199">
        <f>IF(AND(Input_Product=Elig!$C727,Elig_MatchAll_Ct&lt;22,$BC727=(Elig_MatchAll_Ct-1),AL727=0),I727,0)</f>
        <v>0</v>
      </c>
      <c r="BO727" s="199">
        <f>IF(AND(Input_Product=Elig!$C727,Elig_MatchAll_Ct&lt;22,$BC727=(Elig_MatchAll_Ct-1),AM727=0),J727,0)</f>
        <v>0</v>
      </c>
      <c r="BP727" s="199">
        <f>IF(AND(Input_Product=Elig!$C727,Elig_MatchAll_Ct&lt;22,$BC727=(Elig_MatchAll_Ct-1),AN727=0),K727,0)</f>
        <v>0</v>
      </c>
      <c r="BQ727" s="199">
        <f>IF(AND(Input_Product=Elig!$C727,Elig_MatchAll_Ct&lt;22,$BC727=(Elig_MatchAll_Ct-1),AP727=0),L727,0)</f>
        <v>0</v>
      </c>
      <c r="BR727" s="199">
        <f>IF(AND(Input_Product=Elig!$C727,Elig_MatchAll_Ct&lt;22,$BC727=(Elig_MatchAll_Ct-1),AO727=0),M727,0)</f>
        <v>0</v>
      </c>
      <c r="BS727" s="199">
        <f>IF(AND(Input_Product=Elig!$C727,Elig_MatchAll_Ct&lt;22,$BC727=(Elig_MatchAll_Ct-1),AQ727=0),N727,0)</f>
        <v>0</v>
      </c>
      <c r="BT727" s="199">
        <f>IF(AND(Input_Product=Elig!$C727,Elig_MatchAll_Ct&lt;22,$BC727=(Elig_MatchAll_Ct-1),AR727=0),O727,0)</f>
        <v>0</v>
      </c>
      <c r="BU727" s="199">
        <f>IF(AND(Input_Product=Elig!$C727,Elig_MatchAll_Ct&lt;22,$BC727=(Elig_MatchAll_Ct-1),AS727=0),P727,0)</f>
        <v>0</v>
      </c>
      <c r="BV727" s="200">
        <f>IF(AND(Input_Product=Elig!$C727,Elig_MatchAll_Ct&lt;22,$BC727=(Elig_MatchAll_Ct-1),AT727=0),Q727,0)</f>
        <v>0</v>
      </c>
      <c r="BW727" s="201">
        <f>IF(AND(Input_Product=Elig!$C727,Elig_MatchAll_Ct&lt;22,$BC727=(Elig_MatchAll_Ct-1),AU727=0),R727,0)</f>
        <v>0</v>
      </c>
      <c r="BX727" s="202">
        <f>IF(AND(Input_Product=Elig!$C727,Elig_MatchAll_Ct&lt;22,$BC727=(Elig_MatchAll_Ct-1),AU727=0),S727,0)</f>
        <v>0</v>
      </c>
      <c r="BY727" s="201">
        <f>IF(AND(Input_Product=Elig!$C727,Elig_MatchAll_Ct&lt;22,$BC727=(Elig_MatchAll_Ct-1),AV727=0),T727,0)</f>
        <v>0</v>
      </c>
      <c r="BZ727" s="202">
        <f>IF(AND(Input_Product=Elig!$C727,Elig_MatchAll_Ct&lt;22,$BC727=(Elig_MatchAll_Ct-1),AV727=0),U727,0)</f>
        <v>0</v>
      </c>
      <c r="CA727" s="201">
        <f>IF(AND(Input_Product=Elig!$C727,Elig_MatchAll_Ct&lt;22,$BC727=(Elig_MatchAll_Ct-1),AW727=0),V727,0)</f>
        <v>0</v>
      </c>
      <c r="CB727" s="202">
        <f>IF(AND(Input_Product=Elig!$C727,Elig_MatchAll_Ct&lt;22,$BC727=(Elig_MatchAll_Ct-1),AW727=0),W727,0)</f>
        <v>0</v>
      </c>
      <c r="CC727" s="201">
        <f>IF(AND(Input_Product=Elig!$C727,Elig_MatchAll_Ct&lt;22,$BC727=(Elig_MatchAll_Ct-1),AX727=0),X727,0)</f>
        <v>0</v>
      </c>
      <c r="CD727" s="202">
        <f>IF(AND(Input_Product=Elig!$C727,Elig_MatchAll_Ct&lt;22,$BC727=(Elig_MatchAll_Ct-1),AX727=0),Y727,0)</f>
        <v>0</v>
      </c>
      <c r="CE727" s="201">
        <f>IF(AND(Input_LTV&lt;=AE727,Input_Product=Elig!$C727,Elig_MatchAll_Ct&lt;22,$BC727=(Elig_MatchAll_Ct-1),AY727=0),Z727,0)</f>
        <v>0</v>
      </c>
      <c r="CF727" s="202">
        <f>IF(AND(Input_LTV&lt;=AE727,Input_Product=Elig!$C727,Elig_MatchAll_Ct&lt;22,$BC727=(Elig_MatchAll_Ct-1),AY727=0),AA727,0)</f>
        <v>0</v>
      </c>
      <c r="CG727" s="201">
        <f>IF(AND(Input_Product=Elig!$C727,Elig_MatchAll_Ct&lt;22,$BC727=(Elig_MatchAll_Ct-1),AZ727=0),AB727,0)</f>
        <v>0</v>
      </c>
      <c r="CH727" s="202">
        <f>IF(AND(Input_Product=Elig!$C727,Elig_MatchAll_Ct&lt;22,$BC727=(Elig_MatchAll_Ct-1),AZ727=0),AC727,0)</f>
        <v>0</v>
      </c>
      <c r="CI727" s="201">
        <f>IF(AND(Input_Product=Elig!$C727,Elig_MatchAll_Ct&lt;22,$BC727=(Elig_MatchAll_Ct-1),BA727=0),AD727,0)</f>
        <v>0</v>
      </c>
      <c r="CJ727" s="202">
        <f>IF(AND(Input_Product=Elig!$C727,Elig_MatchAll_Ct&lt;22,$BC727=(Elig_MatchAll_Ct-1),BA727=0),AE727,0)</f>
        <v>0</v>
      </c>
    </row>
    <row r="728" spans="2:88" ht="10.15" customHeight="1" x14ac:dyDescent="0.25">
      <c r="B728" s="2027" t="s">
        <v>3846</v>
      </c>
      <c r="C728" s="2028" t="str">
        <f t="shared" si="279"/>
        <v>Second OO</v>
      </c>
      <c r="D728" s="2027" t="s">
        <v>1569</v>
      </c>
      <c r="E728" s="2027" t="s">
        <v>98</v>
      </c>
      <c r="F728" s="2027" t="s">
        <v>329</v>
      </c>
      <c r="G728" s="2029" t="s">
        <v>303</v>
      </c>
      <c r="H728" s="2029" t="s">
        <v>136</v>
      </c>
      <c r="I728" s="2027" t="s">
        <v>1332</v>
      </c>
      <c r="J728" s="2027" t="s">
        <v>1311</v>
      </c>
      <c r="K728" s="2029" t="s">
        <v>1790</v>
      </c>
      <c r="L728" s="2027" t="s">
        <v>430</v>
      </c>
      <c r="M728" s="2027" t="s">
        <v>2677</v>
      </c>
      <c r="N728" s="2029" t="s">
        <v>82</v>
      </c>
      <c r="O728" s="2027" t="s">
        <v>310</v>
      </c>
      <c r="P728" s="2027" t="s">
        <v>291</v>
      </c>
      <c r="Q728" s="2027" t="s">
        <v>294</v>
      </c>
      <c r="R728" s="2027">
        <v>350000.01</v>
      </c>
      <c r="S728" s="300">
        <v>500000</v>
      </c>
      <c r="T728" s="2027">
        <v>0</v>
      </c>
      <c r="U728" s="2027">
        <f t="shared" si="300"/>
        <v>500000</v>
      </c>
      <c r="V728" s="2027">
        <v>0</v>
      </c>
      <c r="W728" s="2027">
        <v>50</v>
      </c>
      <c r="X728" s="2027">
        <v>0</v>
      </c>
      <c r="Y728" s="2027">
        <v>999</v>
      </c>
      <c r="Z728" s="2030">
        <v>680</v>
      </c>
      <c r="AA728" s="2030">
        <v>699</v>
      </c>
      <c r="AB728" s="2030">
        <v>0</v>
      </c>
      <c r="AC728" s="2030">
        <v>999999</v>
      </c>
      <c r="AD728" s="2027">
        <v>0</v>
      </c>
      <c r="AE728" s="1483">
        <v>70</v>
      </c>
      <c r="AF728" s="170">
        <v>1</v>
      </c>
      <c r="AG728" s="171">
        <v>1</v>
      </c>
      <c r="AH728" s="171">
        <v>1</v>
      </c>
      <c r="AI728" s="171">
        <v>0</v>
      </c>
      <c r="AJ728" s="171">
        <v>1</v>
      </c>
      <c r="AK728" s="171">
        <v>1</v>
      </c>
      <c r="AL728" s="171">
        <v>1</v>
      </c>
      <c r="AM728" s="171">
        <v>1</v>
      </c>
      <c r="AN728" s="171">
        <v>1</v>
      </c>
      <c r="AO728" s="171">
        <v>1</v>
      </c>
      <c r="AP728" s="171">
        <v>1</v>
      </c>
      <c r="AQ728" s="171">
        <v>1</v>
      </c>
      <c r="AR728" s="171">
        <v>1</v>
      </c>
      <c r="AS728" s="171">
        <v>1</v>
      </c>
      <c r="AT728" s="171">
        <v>1</v>
      </c>
      <c r="AU728" s="171">
        <f t="shared" si="294"/>
        <v>0</v>
      </c>
      <c r="AV728" s="171">
        <f t="shared" si="295"/>
        <v>1</v>
      </c>
      <c r="AW728" s="171">
        <f t="shared" si="296"/>
        <v>1</v>
      </c>
      <c r="AX728" s="171">
        <f t="shared" si="305"/>
        <v>1</v>
      </c>
      <c r="AY728" s="171">
        <f t="shared" si="297"/>
        <v>0</v>
      </c>
      <c r="AZ728" s="171">
        <f t="shared" si="298"/>
        <v>1</v>
      </c>
      <c r="BA728" s="172">
        <f t="shared" si="299"/>
        <v>1</v>
      </c>
      <c r="BB728" s="175">
        <f t="shared" si="301"/>
        <v>19</v>
      </c>
      <c r="BC728" s="176">
        <f t="shared" si="302"/>
        <v>18</v>
      </c>
      <c r="BD728" s="176">
        <f t="shared" si="303"/>
        <v>18</v>
      </c>
      <c r="BE728" s="240" t="str">
        <f t="shared" si="304"/>
        <v/>
      </c>
      <c r="BF728" s="234"/>
      <c r="BG728" s="234"/>
      <c r="BH728" s="199">
        <f>IF(AND(Input_Product=Elig!$C728,Elig_MatchAll_Ct&lt;22,$BC728=(Elig_MatchAll_Ct-1),AF728=0),C728,0)</f>
        <v>0</v>
      </c>
      <c r="BI728" s="199">
        <f>IF(AND(Input_Product=Elig!$C728,Elig_MatchAll_Ct&lt;22,$BC728=(Elig_MatchAll_Ct-1),AG728=0),D728,0)</f>
        <v>0</v>
      </c>
      <c r="BJ728" s="199">
        <f>IF(AND(Input_Product=Elig!$C728,Elig_MatchAll_Ct&lt;22,$BC728=(Elig_MatchAll_Ct-1),AH728=0),E728,0)</f>
        <v>0</v>
      </c>
      <c r="BK728" s="199">
        <f>IF(AND(Input_Product=Elig!$C728,Elig_MatchAll_Ct&lt;22,$BC728=(Elig_MatchAll_Ct-1),AI728=0),F728,0)</f>
        <v>0</v>
      </c>
      <c r="BL728" s="199">
        <f>IF(AND(Input_Product=Elig!$C728,Elig_MatchAll_Ct&lt;22,$BC728=(Elig_MatchAll_Ct-1),AJ728=0),G728,0)</f>
        <v>0</v>
      </c>
      <c r="BM728" s="199">
        <f>IF(AND(Input_Product=Elig!$C728,Elig_MatchAll_Ct&lt;22,$BC728=(Elig_MatchAll_Ct-1),AK728=0),H728,0)</f>
        <v>0</v>
      </c>
      <c r="BN728" s="199">
        <f>IF(AND(Input_Product=Elig!$C728,Elig_MatchAll_Ct&lt;22,$BC728=(Elig_MatchAll_Ct-1),AL728=0),I728,0)</f>
        <v>0</v>
      </c>
      <c r="BO728" s="199">
        <f>IF(AND(Input_Product=Elig!$C728,Elig_MatchAll_Ct&lt;22,$BC728=(Elig_MatchAll_Ct-1),AM728=0),J728,0)</f>
        <v>0</v>
      </c>
      <c r="BP728" s="199">
        <f>IF(AND(Input_Product=Elig!$C728,Elig_MatchAll_Ct&lt;22,$BC728=(Elig_MatchAll_Ct-1),AN728=0),K728,0)</f>
        <v>0</v>
      </c>
      <c r="BQ728" s="199">
        <f>IF(AND(Input_Product=Elig!$C728,Elig_MatchAll_Ct&lt;22,$BC728=(Elig_MatchAll_Ct-1),AP728=0),L728,0)</f>
        <v>0</v>
      </c>
      <c r="BR728" s="199">
        <f>IF(AND(Input_Product=Elig!$C728,Elig_MatchAll_Ct&lt;22,$BC728=(Elig_MatchAll_Ct-1),AO728=0),M728,0)</f>
        <v>0</v>
      </c>
      <c r="BS728" s="199">
        <f>IF(AND(Input_Product=Elig!$C728,Elig_MatchAll_Ct&lt;22,$BC728=(Elig_MatchAll_Ct-1),AQ728=0),N728,0)</f>
        <v>0</v>
      </c>
      <c r="BT728" s="199">
        <f>IF(AND(Input_Product=Elig!$C728,Elig_MatchAll_Ct&lt;22,$BC728=(Elig_MatchAll_Ct-1),AR728=0),O728,0)</f>
        <v>0</v>
      </c>
      <c r="BU728" s="199">
        <f>IF(AND(Input_Product=Elig!$C728,Elig_MatchAll_Ct&lt;22,$BC728=(Elig_MatchAll_Ct-1),AS728=0),P728,0)</f>
        <v>0</v>
      </c>
      <c r="BV728" s="200">
        <f>IF(AND(Input_Product=Elig!$C728,Elig_MatchAll_Ct&lt;22,$BC728=(Elig_MatchAll_Ct-1),AT728=0),Q728,0)</f>
        <v>0</v>
      </c>
      <c r="BW728" s="201">
        <f>IF(AND(Input_Product=Elig!$C728,Elig_MatchAll_Ct&lt;22,$BC728=(Elig_MatchAll_Ct-1),AU728=0),R728,0)</f>
        <v>0</v>
      </c>
      <c r="BX728" s="202">
        <f>IF(AND(Input_Product=Elig!$C728,Elig_MatchAll_Ct&lt;22,$BC728=(Elig_MatchAll_Ct-1),AU728=0),S728,0)</f>
        <v>0</v>
      </c>
      <c r="BY728" s="201">
        <f>IF(AND(Input_Product=Elig!$C728,Elig_MatchAll_Ct&lt;22,$BC728=(Elig_MatchAll_Ct-1),AV728=0),T728,0)</f>
        <v>0</v>
      </c>
      <c r="BZ728" s="202">
        <f>IF(AND(Input_Product=Elig!$C728,Elig_MatchAll_Ct&lt;22,$BC728=(Elig_MatchAll_Ct-1),AV728=0),U728,0)</f>
        <v>0</v>
      </c>
      <c r="CA728" s="201">
        <f>IF(AND(Input_Product=Elig!$C728,Elig_MatchAll_Ct&lt;22,$BC728=(Elig_MatchAll_Ct-1),AW728=0),V728,0)</f>
        <v>0</v>
      </c>
      <c r="CB728" s="202">
        <f>IF(AND(Input_Product=Elig!$C728,Elig_MatchAll_Ct&lt;22,$BC728=(Elig_MatchAll_Ct-1),AW728=0),W728,0)</f>
        <v>0</v>
      </c>
      <c r="CC728" s="201">
        <f>IF(AND(Input_Product=Elig!$C728,Elig_MatchAll_Ct&lt;22,$BC728=(Elig_MatchAll_Ct-1),AX728=0),X728,0)</f>
        <v>0</v>
      </c>
      <c r="CD728" s="202">
        <f>IF(AND(Input_Product=Elig!$C728,Elig_MatchAll_Ct&lt;22,$BC728=(Elig_MatchAll_Ct-1),AX728=0),Y728,0)</f>
        <v>0</v>
      </c>
      <c r="CE728" s="201">
        <f>IF(AND(Input_LTV&lt;=AE728,Input_Product=Elig!$C728,Elig_MatchAll_Ct&lt;22,$BC728=(Elig_MatchAll_Ct-1),AY728=0),Z728,0)</f>
        <v>0</v>
      </c>
      <c r="CF728" s="202">
        <f>IF(AND(Input_LTV&lt;=AE728,Input_Product=Elig!$C728,Elig_MatchAll_Ct&lt;22,$BC728=(Elig_MatchAll_Ct-1),AY728=0),AA728,0)</f>
        <v>0</v>
      </c>
      <c r="CG728" s="201">
        <f>IF(AND(Input_Product=Elig!$C728,Elig_MatchAll_Ct&lt;22,$BC728=(Elig_MatchAll_Ct-1),AZ728=0),AB728,0)</f>
        <v>0</v>
      </c>
      <c r="CH728" s="202">
        <f>IF(AND(Input_Product=Elig!$C728,Elig_MatchAll_Ct&lt;22,$BC728=(Elig_MatchAll_Ct-1),AZ728=0),AC728,0)</f>
        <v>0</v>
      </c>
      <c r="CI728" s="201">
        <f>IF(AND(Input_Product=Elig!$C728,Elig_MatchAll_Ct&lt;22,$BC728=(Elig_MatchAll_Ct-1),BA728=0),AD728,0)</f>
        <v>0</v>
      </c>
      <c r="CJ728" s="202">
        <f>IF(AND(Input_Product=Elig!$C728,Elig_MatchAll_Ct&lt;22,$BC728=(Elig_MatchAll_Ct-1),BA728=0),AE728,0)</f>
        <v>0</v>
      </c>
    </row>
    <row r="729" spans="2:88" ht="10.15" customHeight="1" x14ac:dyDescent="0.25">
      <c r="B729" s="2027" t="s">
        <v>3847</v>
      </c>
      <c r="C729" s="2032" t="str">
        <f t="shared" si="279"/>
        <v>Second OO</v>
      </c>
      <c r="D729" s="2031" t="s">
        <v>1569</v>
      </c>
      <c r="E729" s="2031" t="s">
        <v>98</v>
      </c>
      <c r="F729" s="2031" t="s">
        <v>329</v>
      </c>
      <c r="G729" s="2033" t="s">
        <v>303</v>
      </c>
      <c r="H729" s="2033" t="s">
        <v>136</v>
      </c>
      <c r="I729" s="2031" t="s">
        <v>1332</v>
      </c>
      <c r="J729" s="2031" t="s">
        <v>1311</v>
      </c>
      <c r="K729" s="2033" t="s">
        <v>1790</v>
      </c>
      <c r="L729" s="2031" t="s">
        <v>430</v>
      </c>
      <c r="M729" s="2031" t="s">
        <v>2677</v>
      </c>
      <c r="N729" s="2033" t="s">
        <v>82</v>
      </c>
      <c r="O729" s="2031" t="s">
        <v>310</v>
      </c>
      <c r="P729" s="2031" t="s">
        <v>291</v>
      </c>
      <c r="Q729" s="2031" t="s">
        <v>294</v>
      </c>
      <c r="R729" s="2031">
        <v>350000.01</v>
      </c>
      <c r="S729" s="324">
        <v>500000</v>
      </c>
      <c r="T729" s="2031">
        <v>0</v>
      </c>
      <c r="U729" s="2031">
        <f t="shared" si="300"/>
        <v>500000</v>
      </c>
      <c r="V729" s="2031">
        <v>0</v>
      </c>
      <c r="W729" s="2031">
        <v>50</v>
      </c>
      <c r="X729" s="2031">
        <v>0</v>
      </c>
      <c r="Y729" s="2031">
        <v>999</v>
      </c>
      <c r="Z729" s="2034">
        <v>660</v>
      </c>
      <c r="AA729" s="2034">
        <v>679</v>
      </c>
      <c r="AB729" s="2034">
        <v>0</v>
      </c>
      <c r="AC729" s="2034">
        <v>999999</v>
      </c>
      <c r="AD729" s="2031">
        <v>0</v>
      </c>
      <c r="AE729" s="1484">
        <v>65</v>
      </c>
      <c r="AF729" s="170">
        <v>1</v>
      </c>
      <c r="AG729" s="171">
        <v>1</v>
      </c>
      <c r="AH729" s="171">
        <v>1</v>
      </c>
      <c r="AI729" s="171">
        <v>0</v>
      </c>
      <c r="AJ729" s="171">
        <v>1</v>
      </c>
      <c r="AK729" s="171">
        <v>1</v>
      </c>
      <c r="AL729" s="171">
        <v>1</v>
      </c>
      <c r="AM729" s="171">
        <v>1</v>
      </c>
      <c r="AN729" s="171">
        <v>1</v>
      </c>
      <c r="AO729" s="171">
        <v>1</v>
      </c>
      <c r="AP729" s="171">
        <v>1</v>
      </c>
      <c r="AQ729" s="171">
        <v>1</v>
      </c>
      <c r="AR729" s="171">
        <v>1</v>
      </c>
      <c r="AS729" s="171">
        <v>1</v>
      </c>
      <c r="AT729" s="171">
        <v>1</v>
      </c>
      <c r="AU729" s="171">
        <f t="shared" si="294"/>
        <v>0</v>
      </c>
      <c r="AV729" s="171">
        <f t="shared" si="295"/>
        <v>1</v>
      </c>
      <c r="AW729" s="171">
        <f t="shared" si="296"/>
        <v>1</v>
      </c>
      <c r="AX729" s="171">
        <f t="shared" si="305"/>
        <v>1</v>
      </c>
      <c r="AY729" s="171">
        <f t="shared" si="297"/>
        <v>0</v>
      </c>
      <c r="AZ729" s="171">
        <f t="shared" si="298"/>
        <v>1</v>
      </c>
      <c r="BA729" s="172">
        <f t="shared" si="299"/>
        <v>1</v>
      </c>
      <c r="BB729" s="175">
        <f t="shared" si="301"/>
        <v>19</v>
      </c>
      <c r="BC729" s="176">
        <f t="shared" si="302"/>
        <v>18</v>
      </c>
      <c r="BD729" s="176">
        <f t="shared" si="303"/>
        <v>18</v>
      </c>
      <c r="BE729" s="240" t="str">
        <f t="shared" si="304"/>
        <v/>
      </c>
      <c r="BF729" s="234"/>
      <c r="BG729" s="234"/>
      <c r="BH729" s="214">
        <f>IF(AND(Input_Product=Elig!$C729,Elig_MatchAll_Ct&lt;22,$BC729=(Elig_MatchAll_Ct-1),AF729=0),C729,0)</f>
        <v>0</v>
      </c>
      <c r="BI729" s="214">
        <f>IF(AND(Input_Product=Elig!$C729,Elig_MatchAll_Ct&lt;22,$BC729=(Elig_MatchAll_Ct-1),AG729=0),D729,0)</f>
        <v>0</v>
      </c>
      <c r="BJ729" s="214">
        <f>IF(AND(Input_Product=Elig!$C729,Elig_MatchAll_Ct&lt;22,$BC729=(Elig_MatchAll_Ct-1),AH729=0),E729,0)</f>
        <v>0</v>
      </c>
      <c r="BK729" s="214">
        <f>IF(AND(Input_Product=Elig!$C729,Elig_MatchAll_Ct&lt;22,$BC729=(Elig_MatchAll_Ct-1),AI729=0),F729,0)</f>
        <v>0</v>
      </c>
      <c r="BL729" s="214">
        <f>IF(AND(Input_Product=Elig!$C729,Elig_MatchAll_Ct&lt;22,$BC729=(Elig_MatchAll_Ct-1),AJ729=0),G729,0)</f>
        <v>0</v>
      </c>
      <c r="BM729" s="214">
        <f>IF(AND(Input_Product=Elig!$C729,Elig_MatchAll_Ct&lt;22,$BC729=(Elig_MatchAll_Ct-1),AK729=0),H729,0)</f>
        <v>0</v>
      </c>
      <c r="BN729" s="214">
        <f>IF(AND(Input_Product=Elig!$C729,Elig_MatchAll_Ct&lt;22,$BC729=(Elig_MatchAll_Ct-1),AL729=0),I729,0)</f>
        <v>0</v>
      </c>
      <c r="BO729" s="214">
        <f>IF(AND(Input_Product=Elig!$C729,Elig_MatchAll_Ct&lt;22,$BC729=(Elig_MatchAll_Ct-1),AM729=0),J729,0)</f>
        <v>0</v>
      </c>
      <c r="BP729" s="214">
        <f>IF(AND(Input_Product=Elig!$C729,Elig_MatchAll_Ct&lt;22,$BC729=(Elig_MatchAll_Ct-1),AN729=0),K729,0)</f>
        <v>0</v>
      </c>
      <c r="BQ729" s="214">
        <f>IF(AND(Input_Product=Elig!$C729,Elig_MatchAll_Ct&lt;22,$BC729=(Elig_MatchAll_Ct-1),AP729=0),L729,0)</f>
        <v>0</v>
      </c>
      <c r="BR729" s="214">
        <f>IF(AND(Input_Product=Elig!$C729,Elig_MatchAll_Ct&lt;22,$BC729=(Elig_MatchAll_Ct-1),AO729=0),M729,0)</f>
        <v>0</v>
      </c>
      <c r="BS729" s="214">
        <f>IF(AND(Input_Product=Elig!$C729,Elig_MatchAll_Ct&lt;22,$BC729=(Elig_MatchAll_Ct-1),AQ729=0),N729,0)</f>
        <v>0</v>
      </c>
      <c r="BT729" s="214">
        <f>IF(AND(Input_Product=Elig!$C729,Elig_MatchAll_Ct&lt;22,$BC729=(Elig_MatchAll_Ct-1),AR729=0),O729,0)</f>
        <v>0</v>
      </c>
      <c r="BU729" s="214">
        <f>IF(AND(Input_Product=Elig!$C729,Elig_MatchAll_Ct&lt;22,$BC729=(Elig_MatchAll_Ct-1),AS729=0),P729,0)</f>
        <v>0</v>
      </c>
      <c r="BV729" s="215">
        <f>IF(AND(Input_Product=Elig!$C729,Elig_MatchAll_Ct&lt;22,$BC729=(Elig_MatchAll_Ct-1),AT729=0),Q729,0)</f>
        <v>0</v>
      </c>
      <c r="BW729" s="311">
        <f>IF(AND(Input_Product=Elig!$C729,Elig_MatchAll_Ct&lt;22,$BC729=(Elig_MatchAll_Ct-1),AU729=0),R729,0)</f>
        <v>0</v>
      </c>
      <c r="BX729" s="312">
        <f>IF(AND(Input_Product=Elig!$C729,Elig_MatchAll_Ct&lt;22,$BC729=(Elig_MatchAll_Ct-1),AU729=0),S729,0)</f>
        <v>0</v>
      </c>
      <c r="BY729" s="311">
        <f>IF(AND(Input_Product=Elig!$C729,Elig_MatchAll_Ct&lt;22,$BC729=(Elig_MatchAll_Ct-1),AV729=0),T729,0)</f>
        <v>0</v>
      </c>
      <c r="BZ729" s="312">
        <f>IF(AND(Input_Product=Elig!$C729,Elig_MatchAll_Ct&lt;22,$BC729=(Elig_MatchAll_Ct-1),AV729=0),U729,0)</f>
        <v>0</v>
      </c>
      <c r="CA729" s="311">
        <f>IF(AND(Input_Product=Elig!$C729,Elig_MatchAll_Ct&lt;22,$BC729=(Elig_MatchAll_Ct-1),AW729=0),V729,0)</f>
        <v>0</v>
      </c>
      <c r="CB729" s="312">
        <f>IF(AND(Input_Product=Elig!$C729,Elig_MatchAll_Ct&lt;22,$BC729=(Elig_MatchAll_Ct-1),AW729=0),W729,0)</f>
        <v>0</v>
      </c>
      <c r="CC729" s="311">
        <f>IF(AND(Input_Product=Elig!$C729,Elig_MatchAll_Ct&lt;22,$BC729=(Elig_MatchAll_Ct-1),AX729=0),X729,0)</f>
        <v>0</v>
      </c>
      <c r="CD729" s="312">
        <f>IF(AND(Input_Product=Elig!$C729,Elig_MatchAll_Ct&lt;22,$BC729=(Elig_MatchAll_Ct-1),AX729=0),Y729,0)</f>
        <v>0</v>
      </c>
      <c r="CE729" s="311">
        <f>IF(AND(Input_LTV&lt;=AE729,Input_Product=Elig!$C729,Elig_MatchAll_Ct&lt;22,$BC729=(Elig_MatchAll_Ct-1),AY729=0),Z729,0)</f>
        <v>0</v>
      </c>
      <c r="CF729" s="312">
        <f>IF(AND(Input_LTV&lt;=AE729,Input_Product=Elig!$C729,Elig_MatchAll_Ct&lt;22,$BC729=(Elig_MatchAll_Ct-1),AY729=0),AA729,0)</f>
        <v>0</v>
      </c>
      <c r="CG729" s="311">
        <f>IF(AND(Input_Product=Elig!$C729,Elig_MatchAll_Ct&lt;22,$BC729=(Elig_MatchAll_Ct-1),AZ729=0),AB729,0)</f>
        <v>0</v>
      </c>
      <c r="CH729" s="312">
        <f>IF(AND(Input_Product=Elig!$C729,Elig_MatchAll_Ct&lt;22,$BC729=(Elig_MatchAll_Ct-1),AZ729=0),AC729,0)</f>
        <v>0</v>
      </c>
      <c r="CI729" s="311">
        <f>IF(AND(Input_Product=Elig!$C729,Elig_MatchAll_Ct&lt;22,$BC729=(Elig_MatchAll_Ct-1),BA729=0),AD729,0)</f>
        <v>0</v>
      </c>
      <c r="CJ729" s="312">
        <f>IF(AND(Input_Product=Elig!$C729,Elig_MatchAll_Ct&lt;22,$BC729=(Elig_MatchAll_Ct-1),BA729=0),AE729,0)</f>
        <v>0</v>
      </c>
    </row>
    <row r="730" spans="2:88" ht="10.15" customHeight="1" x14ac:dyDescent="0.25">
      <c r="B730" s="2027" t="s">
        <v>3848</v>
      </c>
      <c r="C730" s="2024" t="str">
        <f t="shared" si="279"/>
        <v>Second OO</v>
      </c>
      <c r="D730" s="2025" t="s">
        <v>1569</v>
      </c>
      <c r="E730" s="2025" t="s">
        <v>98</v>
      </c>
      <c r="F730" s="2025" t="s">
        <v>329</v>
      </c>
      <c r="G730" s="2103" t="s">
        <v>175</v>
      </c>
      <c r="H730" s="2025" t="s">
        <v>446</v>
      </c>
      <c r="I730" s="2023" t="s">
        <v>1332</v>
      </c>
      <c r="J730" s="2023" t="s">
        <v>1311</v>
      </c>
      <c r="K730" s="2025" t="s">
        <v>1790</v>
      </c>
      <c r="L730" s="2023" t="s">
        <v>430</v>
      </c>
      <c r="M730" s="2023" t="s">
        <v>2677</v>
      </c>
      <c r="N730" s="2025" t="s">
        <v>82</v>
      </c>
      <c r="O730" s="2023" t="s">
        <v>310</v>
      </c>
      <c r="P730" s="2023" t="s">
        <v>291</v>
      </c>
      <c r="Q730" s="2023" t="s">
        <v>294</v>
      </c>
      <c r="R730" s="2023">
        <v>350000.01</v>
      </c>
      <c r="S730" s="323">
        <v>500000</v>
      </c>
      <c r="T730" s="2023">
        <v>0</v>
      </c>
      <c r="U730" s="2023">
        <f t="shared" si="300"/>
        <v>500000</v>
      </c>
      <c r="V730" s="2023">
        <v>0</v>
      </c>
      <c r="W730" s="2023">
        <v>50</v>
      </c>
      <c r="X730" s="2023">
        <v>0</v>
      </c>
      <c r="Y730" s="2023">
        <v>999</v>
      </c>
      <c r="Z730" s="2026">
        <v>720</v>
      </c>
      <c r="AA730" s="2026">
        <v>999</v>
      </c>
      <c r="AB730" s="2026">
        <v>0</v>
      </c>
      <c r="AC730" s="2026">
        <v>999999</v>
      </c>
      <c r="AD730" s="2023">
        <v>0</v>
      </c>
      <c r="AE730" s="2104">
        <v>75</v>
      </c>
      <c r="AF730" s="170">
        <v>1</v>
      </c>
      <c r="AG730" s="171">
        <v>1</v>
      </c>
      <c r="AH730" s="171">
        <v>1</v>
      </c>
      <c r="AI730" s="171">
        <v>0</v>
      </c>
      <c r="AJ730" s="171">
        <v>0</v>
      </c>
      <c r="AK730" s="171">
        <v>0</v>
      </c>
      <c r="AL730" s="171">
        <v>1</v>
      </c>
      <c r="AM730" s="171">
        <v>1</v>
      </c>
      <c r="AN730" s="171">
        <v>1</v>
      </c>
      <c r="AO730" s="171">
        <v>1</v>
      </c>
      <c r="AP730" s="171">
        <v>1</v>
      </c>
      <c r="AQ730" s="171">
        <v>1</v>
      </c>
      <c r="AR730" s="171">
        <v>1</v>
      </c>
      <c r="AS730" s="171">
        <v>1</v>
      </c>
      <c r="AT730" s="171">
        <v>1</v>
      </c>
      <c r="AU730" s="171">
        <f t="shared" si="294"/>
        <v>0</v>
      </c>
      <c r="AV730" s="171">
        <f t="shared" si="295"/>
        <v>1</v>
      </c>
      <c r="AW730" s="171">
        <f t="shared" si="296"/>
        <v>1</v>
      </c>
      <c r="AX730" s="171">
        <f t="shared" si="305"/>
        <v>1</v>
      </c>
      <c r="AY730" s="171">
        <f t="shared" si="297"/>
        <v>1</v>
      </c>
      <c r="AZ730" s="171">
        <f t="shared" si="298"/>
        <v>1</v>
      </c>
      <c r="BA730" s="172">
        <f t="shared" si="299"/>
        <v>1</v>
      </c>
      <c r="BB730" s="175">
        <f t="shared" si="301"/>
        <v>18</v>
      </c>
      <c r="BC730" s="176">
        <f t="shared" si="302"/>
        <v>17</v>
      </c>
      <c r="BD730" s="176">
        <f t="shared" si="303"/>
        <v>17</v>
      </c>
      <c r="BE730" s="240" t="str">
        <f t="shared" si="304"/>
        <v/>
      </c>
      <c r="BF730" s="220"/>
      <c r="BG730" s="220"/>
      <c r="BH730" s="216">
        <f>IF(AND(Input_Product=Elig!$C730,Elig_MatchAll_Ct&lt;22,$BC730=(Elig_MatchAll_Ct-1),AF730=0),C730,0)</f>
        <v>0</v>
      </c>
      <c r="BI730" s="216">
        <f>IF(AND(Input_Product=Elig!$C730,Elig_MatchAll_Ct&lt;22,$BC730=(Elig_MatchAll_Ct-1),AG730=0),D730,0)</f>
        <v>0</v>
      </c>
      <c r="BJ730" s="216">
        <f>IF(AND(Input_Product=Elig!$C730,Elig_MatchAll_Ct&lt;22,$BC730=(Elig_MatchAll_Ct-1),AH730=0),E730,0)</f>
        <v>0</v>
      </c>
      <c r="BK730" s="216">
        <f>IF(AND(Input_Product=Elig!$C730,Elig_MatchAll_Ct&lt;22,$BC730=(Elig_MatchAll_Ct-1),AI730=0),F730,0)</f>
        <v>0</v>
      </c>
      <c r="BL730" s="216">
        <f>IF(AND(Input_Product=Elig!$C730,Elig_MatchAll_Ct&lt;22,$BC730=(Elig_MatchAll_Ct-1),AJ730=0),G730,0)</f>
        <v>0</v>
      </c>
      <c r="BM730" s="216">
        <f>IF(AND(Input_Product=Elig!$C730,Elig_MatchAll_Ct&lt;22,$BC730=(Elig_MatchAll_Ct-1),AK730=0),H730,0)</f>
        <v>0</v>
      </c>
      <c r="BN730" s="216">
        <f>IF(AND(Input_Product=Elig!$C730,Elig_MatchAll_Ct&lt;22,$BC730=(Elig_MatchAll_Ct-1),AL730=0),I730,0)</f>
        <v>0</v>
      </c>
      <c r="BO730" s="216">
        <f>IF(AND(Input_Product=Elig!$C730,Elig_MatchAll_Ct&lt;22,$BC730=(Elig_MatchAll_Ct-1),AM730=0),J730,0)</f>
        <v>0</v>
      </c>
      <c r="BP730" s="216">
        <f>IF(AND(Input_Product=Elig!$C730,Elig_MatchAll_Ct&lt;22,$BC730=(Elig_MatchAll_Ct-1),AN730=0),K730,0)</f>
        <v>0</v>
      </c>
      <c r="BQ730" s="216">
        <f>IF(AND(Input_Product=Elig!$C730,Elig_MatchAll_Ct&lt;22,$BC730=(Elig_MatchAll_Ct-1),AP730=0),L730,0)</f>
        <v>0</v>
      </c>
      <c r="BR730" s="216">
        <f>IF(AND(Input_Product=Elig!$C730,Elig_MatchAll_Ct&lt;22,$BC730=(Elig_MatchAll_Ct-1),AO730=0),M730,0)</f>
        <v>0</v>
      </c>
      <c r="BS730" s="216">
        <f>IF(AND(Input_Product=Elig!$C730,Elig_MatchAll_Ct&lt;22,$BC730=(Elig_MatchAll_Ct-1),AQ730=0),N730,0)</f>
        <v>0</v>
      </c>
      <c r="BT730" s="216">
        <f>IF(AND(Input_Product=Elig!$C730,Elig_MatchAll_Ct&lt;22,$BC730=(Elig_MatchAll_Ct-1),AR730=0),O730,0)</f>
        <v>0</v>
      </c>
      <c r="BU730" s="216">
        <f>IF(AND(Input_Product=Elig!$C730,Elig_MatchAll_Ct&lt;22,$BC730=(Elig_MatchAll_Ct-1),AS730=0),P730,0)</f>
        <v>0</v>
      </c>
      <c r="BV730" s="217">
        <f>IF(AND(Input_Product=Elig!$C730,Elig_MatchAll_Ct&lt;22,$BC730=(Elig_MatchAll_Ct-1),AT730=0),Q730,0)</f>
        <v>0</v>
      </c>
      <c r="BW730" s="313">
        <f>IF(AND(Input_Product=Elig!$C730,Elig_MatchAll_Ct&lt;22,$BC730=(Elig_MatchAll_Ct-1),AU730=0),R730,0)</f>
        <v>0</v>
      </c>
      <c r="BX730" s="314">
        <f>IF(AND(Input_Product=Elig!$C730,Elig_MatchAll_Ct&lt;22,$BC730=(Elig_MatchAll_Ct-1),AU730=0),S730,0)</f>
        <v>0</v>
      </c>
      <c r="BY730" s="313">
        <f>IF(AND(Input_Product=Elig!$C730,Elig_MatchAll_Ct&lt;22,$BC730=(Elig_MatchAll_Ct-1),AV730=0),T730,0)</f>
        <v>0</v>
      </c>
      <c r="BZ730" s="314">
        <f>IF(AND(Input_Product=Elig!$C730,Elig_MatchAll_Ct&lt;22,$BC730=(Elig_MatchAll_Ct-1),AV730=0),U730,0)</f>
        <v>0</v>
      </c>
      <c r="CA730" s="313">
        <f>IF(AND(Input_Product=Elig!$C730,Elig_MatchAll_Ct&lt;22,$BC730=(Elig_MatchAll_Ct-1),AW730=0),V730,0)</f>
        <v>0</v>
      </c>
      <c r="CB730" s="314">
        <f>IF(AND(Input_Product=Elig!$C730,Elig_MatchAll_Ct&lt;22,$BC730=(Elig_MatchAll_Ct-1),AW730=0),W730,0)</f>
        <v>0</v>
      </c>
      <c r="CC730" s="313">
        <f>IF(AND(Input_Product=Elig!$C730,Elig_MatchAll_Ct&lt;22,$BC730=(Elig_MatchAll_Ct-1),AX730=0),X730,0)</f>
        <v>0</v>
      </c>
      <c r="CD730" s="314">
        <f>IF(AND(Input_Product=Elig!$C730,Elig_MatchAll_Ct&lt;22,$BC730=(Elig_MatchAll_Ct-1),AX730=0),Y730,0)</f>
        <v>0</v>
      </c>
      <c r="CE730" s="313">
        <f>IF(AND(Input_LTV&lt;=AE730,Input_Product=Elig!$C730,Elig_MatchAll_Ct&lt;22,$BC730=(Elig_MatchAll_Ct-1),AY730=0),Z730,0)</f>
        <v>0</v>
      </c>
      <c r="CF730" s="314">
        <f>IF(AND(Input_LTV&lt;=AE730,Input_Product=Elig!$C730,Elig_MatchAll_Ct&lt;22,$BC730=(Elig_MatchAll_Ct-1),AY730=0),AA730,0)</f>
        <v>0</v>
      </c>
      <c r="CG730" s="313">
        <f>IF(AND(Input_Product=Elig!$C730,Elig_MatchAll_Ct&lt;22,$BC730=(Elig_MatchAll_Ct-1),AZ730=0),AB730,0)</f>
        <v>0</v>
      </c>
      <c r="CH730" s="314">
        <f>IF(AND(Input_Product=Elig!$C730,Elig_MatchAll_Ct&lt;22,$BC730=(Elig_MatchAll_Ct-1),AZ730=0),AC730,0)</f>
        <v>0</v>
      </c>
      <c r="CI730" s="313">
        <f>IF(AND(Input_Product=Elig!$C730,Elig_MatchAll_Ct&lt;22,$BC730=(Elig_MatchAll_Ct-1),BA730=0),AD730,0)</f>
        <v>0</v>
      </c>
      <c r="CJ730" s="314">
        <f>IF(AND(Input_Product=Elig!$C730,Elig_MatchAll_Ct&lt;22,$BC730=(Elig_MatchAll_Ct-1),BA730=0),AE730,0)</f>
        <v>0</v>
      </c>
    </row>
    <row r="731" spans="2:88" ht="10.15" customHeight="1" x14ac:dyDescent="0.25">
      <c r="B731" s="2027" t="s">
        <v>3849</v>
      </c>
      <c r="C731" s="2028" t="str">
        <f t="shared" si="279"/>
        <v>Second OO</v>
      </c>
      <c r="D731" s="2027" t="s">
        <v>1569</v>
      </c>
      <c r="E731" s="2027" t="s">
        <v>98</v>
      </c>
      <c r="F731" s="2027" t="s">
        <v>329</v>
      </c>
      <c r="G731" s="2110" t="s">
        <v>175</v>
      </c>
      <c r="H731" s="2029" t="s">
        <v>446</v>
      </c>
      <c r="I731" s="2027" t="s">
        <v>1332</v>
      </c>
      <c r="J731" s="2027" t="s">
        <v>1311</v>
      </c>
      <c r="K731" s="2029" t="s">
        <v>1790</v>
      </c>
      <c r="L731" s="2027" t="s">
        <v>430</v>
      </c>
      <c r="M731" s="2027" t="s">
        <v>2677</v>
      </c>
      <c r="N731" s="2029" t="s">
        <v>82</v>
      </c>
      <c r="O731" s="2027" t="s">
        <v>310</v>
      </c>
      <c r="P731" s="2027" t="s">
        <v>291</v>
      </c>
      <c r="Q731" s="2027" t="s">
        <v>294</v>
      </c>
      <c r="R731" s="2027">
        <v>350000.01</v>
      </c>
      <c r="S731" s="300">
        <v>500000</v>
      </c>
      <c r="T731" s="2027">
        <v>0</v>
      </c>
      <c r="U731" s="2027">
        <f t="shared" si="300"/>
        <v>500000</v>
      </c>
      <c r="V731" s="2027">
        <v>0</v>
      </c>
      <c r="W731" s="2027">
        <v>50</v>
      </c>
      <c r="X731" s="2027">
        <v>0</v>
      </c>
      <c r="Y731" s="2027">
        <v>999</v>
      </c>
      <c r="Z731" s="2030">
        <v>700</v>
      </c>
      <c r="AA731" s="2030">
        <v>719</v>
      </c>
      <c r="AB731" s="2030">
        <v>0</v>
      </c>
      <c r="AC731" s="2030">
        <v>999999</v>
      </c>
      <c r="AD731" s="2027">
        <v>0</v>
      </c>
      <c r="AE731" s="2105">
        <v>70</v>
      </c>
      <c r="AF731" s="170">
        <v>1</v>
      </c>
      <c r="AG731" s="171">
        <v>1</v>
      </c>
      <c r="AH731" s="171">
        <v>1</v>
      </c>
      <c r="AI731" s="171">
        <v>0</v>
      </c>
      <c r="AJ731" s="171">
        <v>0</v>
      </c>
      <c r="AK731" s="171">
        <v>0</v>
      </c>
      <c r="AL731" s="171">
        <v>1</v>
      </c>
      <c r="AM731" s="171">
        <v>1</v>
      </c>
      <c r="AN731" s="171">
        <v>1</v>
      </c>
      <c r="AO731" s="171">
        <v>1</v>
      </c>
      <c r="AP731" s="171">
        <v>1</v>
      </c>
      <c r="AQ731" s="171">
        <v>1</v>
      </c>
      <c r="AR731" s="171">
        <v>1</v>
      </c>
      <c r="AS731" s="171">
        <v>1</v>
      </c>
      <c r="AT731" s="171">
        <v>1</v>
      </c>
      <c r="AU731" s="171">
        <f t="shared" si="294"/>
        <v>0</v>
      </c>
      <c r="AV731" s="171">
        <f t="shared" si="295"/>
        <v>1</v>
      </c>
      <c r="AW731" s="171">
        <f t="shared" si="296"/>
        <v>1</v>
      </c>
      <c r="AX731" s="171">
        <f t="shared" si="305"/>
        <v>1</v>
      </c>
      <c r="AY731" s="171">
        <f t="shared" si="297"/>
        <v>0</v>
      </c>
      <c r="AZ731" s="171">
        <f t="shared" si="298"/>
        <v>1</v>
      </c>
      <c r="BA731" s="172">
        <f t="shared" si="299"/>
        <v>1</v>
      </c>
      <c r="BB731" s="175">
        <f t="shared" si="301"/>
        <v>17</v>
      </c>
      <c r="BC731" s="176">
        <f t="shared" si="302"/>
        <v>16</v>
      </c>
      <c r="BD731" s="176">
        <f t="shared" si="303"/>
        <v>16</v>
      </c>
      <c r="BE731" s="240" t="str">
        <f t="shared" si="304"/>
        <v/>
      </c>
      <c r="BF731" s="234"/>
      <c r="BG731" s="234"/>
      <c r="BH731" s="199">
        <f>IF(AND(Input_Product=Elig!$C731,Elig_MatchAll_Ct&lt;22,$BC731=(Elig_MatchAll_Ct-1),AF731=0),C731,0)</f>
        <v>0</v>
      </c>
      <c r="BI731" s="199">
        <f>IF(AND(Input_Product=Elig!$C731,Elig_MatchAll_Ct&lt;22,$BC731=(Elig_MatchAll_Ct-1),AG731=0),D731,0)</f>
        <v>0</v>
      </c>
      <c r="BJ731" s="199">
        <f>IF(AND(Input_Product=Elig!$C731,Elig_MatchAll_Ct&lt;22,$BC731=(Elig_MatchAll_Ct-1),AH731=0),E731,0)</f>
        <v>0</v>
      </c>
      <c r="BK731" s="199">
        <f>IF(AND(Input_Product=Elig!$C731,Elig_MatchAll_Ct&lt;22,$BC731=(Elig_MatchAll_Ct-1),AI731=0),F731,0)</f>
        <v>0</v>
      </c>
      <c r="BL731" s="199">
        <f>IF(AND(Input_Product=Elig!$C731,Elig_MatchAll_Ct&lt;22,$BC731=(Elig_MatchAll_Ct-1),AJ731=0),G731,0)</f>
        <v>0</v>
      </c>
      <c r="BM731" s="199">
        <f>IF(AND(Input_Product=Elig!$C731,Elig_MatchAll_Ct&lt;22,$BC731=(Elig_MatchAll_Ct-1),AK731=0),H731,0)</f>
        <v>0</v>
      </c>
      <c r="BN731" s="199">
        <f>IF(AND(Input_Product=Elig!$C731,Elig_MatchAll_Ct&lt;22,$BC731=(Elig_MatchAll_Ct-1),AL731=0),I731,0)</f>
        <v>0</v>
      </c>
      <c r="BO731" s="199">
        <f>IF(AND(Input_Product=Elig!$C731,Elig_MatchAll_Ct&lt;22,$BC731=(Elig_MatchAll_Ct-1),AM731=0),J731,0)</f>
        <v>0</v>
      </c>
      <c r="BP731" s="199">
        <f>IF(AND(Input_Product=Elig!$C731,Elig_MatchAll_Ct&lt;22,$BC731=(Elig_MatchAll_Ct-1),AN731=0),K731,0)</f>
        <v>0</v>
      </c>
      <c r="BQ731" s="199">
        <f>IF(AND(Input_Product=Elig!$C731,Elig_MatchAll_Ct&lt;22,$BC731=(Elig_MatchAll_Ct-1),AP731=0),L731,0)</f>
        <v>0</v>
      </c>
      <c r="BR731" s="199">
        <f>IF(AND(Input_Product=Elig!$C731,Elig_MatchAll_Ct&lt;22,$BC731=(Elig_MatchAll_Ct-1),AO731=0),M731,0)</f>
        <v>0</v>
      </c>
      <c r="BS731" s="199">
        <f>IF(AND(Input_Product=Elig!$C731,Elig_MatchAll_Ct&lt;22,$BC731=(Elig_MatchAll_Ct-1),AQ731=0),N731,0)</f>
        <v>0</v>
      </c>
      <c r="BT731" s="199">
        <f>IF(AND(Input_Product=Elig!$C731,Elig_MatchAll_Ct&lt;22,$BC731=(Elig_MatchAll_Ct-1),AR731=0),O731,0)</f>
        <v>0</v>
      </c>
      <c r="BU731" s="199">
        <f>IF(AND(Input_Product=Elig!$C731,Elig_MatchAll_Ct&lt;22,$BC731=(Elig_MatchAll_Ct-1),AS731=0),P731,0)</f>
        <v>0</v>
      </c>
      <c r="BV731" s="200">
        <f>IF(AND(Input_Product=Elig!$C731,Elig_MatchAll_Ct&lt;22,$BC731=(Elig_MatchAll_Ct-1),AT731=0),Q731,0)</f>
        <v>0</v>
      </c>
      <c r="BW731" s="201">
        <f>IF(AND(Input_Product=Elig!$C731,Elig_MatchAll_Ct&lt;22,$BC731=(Elig_MatchAll_Ct-1),AU731=0),R731,0)</f>
        <v>0</v>
      </c>
      <c r="BX731" s="202">
        <f>IF(AND(Input_Product=Elig!$C731,Elig_MatchAll_Ct&lt;22,$BC731=(Elig_MatchAll_Ct-1),AU731=0),S731,0)</f>
        <v>0</v>
      </c>
      <c r="BY731" s="201">
        <f>IF(AND(Input_Product=Elig!$C731,Elig_MatchAll_Ct&lt;22,$BC731=(Elig_MatchAll_Ct-1),AV731=0),T731,0)</f>
        <v>0</v>
      </c>
      <c r="BZ731" s="202">
        <f>IF(AND(Input_Product=Elig!$C731,Elig_MatchAll_Ct&lt;22,$BC731=(Elig_MatchAll_Ct-1),AV731=0),U731,0)</f>
        <v>0</v>
      </c>
      <c r="CA731" s="201">
        <f>IF(AND(Input_Product=Elig!$C731,Elig_MatchAll_Ct&lt;22,$BC731=(Elig_MatchAll_Ct-1),AW731=0),V731,0)</f>
        <v>0</v>
      </c>
      <c r="CB731" s="202">
        <f>IF(AND(Input_Product=Elig!$C731,Elig_MatchAll_Ct&lt;22,$BC731=(Elig_MatchAll_Ct-1),AW731=0),W731,0)</f>
        <v>0</v>
      </c>
      <c r="CC731" s="201">
        <f>IF(AND(Input_Product=Elig!$C731,Elig_MatchAll_Ct&lt;22,$BC731=(Elig_MatchAll_Ct-1),AX731=0),X731,0)</f>
        <v>0</v>
      </c>
      <c r="CD731" s="202">
        <f>IF(AND(Input_Product=Elig!$C731,Elig_MatchAll_Ct&lt;22,$BC731=(Elig_MatchAll_Ct-1),AX731=0),Y731,0)</f>
        <v>0</v>
      </c>
      <c r="CE731" s="201">
        <f>IF(AND(Input_LTV&lt;=AE731,Input_Product=Elig!$C731,Elig_MatchAll_Ct&lt;22,$BC731=(Elig_MatchAll_Ct-1),AY731=0),Z731,0)</f>
        <v>0</v>
      </c>
      <c r="CF731" s="202">
        <f>IF(AND(Input_LTV&lt;=AE731,Input_Product=Elig!$C731,Elig_MatchAll_Ct&lt;22,$BC731=(Elig_MatchAll_Ct-1),AY731=0),AA731,0)</f>
        <v>0</v>
      </c>
      <c r="CG731" s="201">
        <f>IF(AND(Input_Product=Elig!$C731,Elig_MatchAll_Ct&lt;22,$BC731=(Elig_MatchAll_Ct-1),AZ731=0),AB731,0)</f>
        <v>0</v>
      </c>
      <c r="CH731" s="202">
        <f>IF(AND(Input_Product=Elig!$C731,Elig_MatchAll_Ct&lt;22,$BC731=(Elig_MatchAll_Ct-1),AZ731=0),AC731,0)</f>
        <v>0</v>
      </c>
      <c r="CI731" s="201">
        <f>IF(AND(Input_Product=Elig!$C731,Elig_MatchAll_Ct&lt;22,$BC731=(Elig_MatchAll_Ct-1),BA731=0),AD731,0)</f>
        <v>0</v>
      </c>
      <c r="CJ731" s="202">
        <f>IF(AND(Input_Product=Elig!$C731,Elig_MatchAll_Ct&lt;22,$BC731=(Elig_MatchAll_Ct-1),BA731=0),AE731,0)</f>
        <v>0</v>
      </c>
    </row>
    <row r="732" spans="2:88" ht="10.15" customHeight="1" x14ac:dyDescent="0.25">
      <c r="B732" s="2027" t="s">
        <v>3850</v>
      </c>
      <c r="C732" s="2028" t="str">
        <f t="shared" si="279"/>
        <v>Second OO</v>
      </c>
      <c r="D732" s="2027" t="s">
        <v>1569</v>
      </c>
      <c r="E732" s="2027" t="s">
        <v>98</v>
      </c>
      <c r="F732" s="2027" t="s">
        <v>329</v>
      </c>
      <c r="G732" s="2110" t="s">
        <v>175</v>
      </c>
      <c r="H732" s="2029" t="s">
        <v>446</v>
      </c>
      <c r="I732" s="2027" t="s">
        <v>1332</v>
      </c>
      <c r="J732" s="2027" t="s">
        <v>1311</v>
      </c>
      <c r="K732" s="2029" t="s">
        <v>1790</v>
      </c>
      <c r="L732" s="2027" t="s">
        <v>430</v>
      </c>
      <c r="M732" s="2027" t="s">
        <v>2677</v>
      </c>
      <c r="N732" s="2029" t="s">
        <v>82</v>
      </c>
      <c r="O732" s="2027" t="s">
        <v>310</v>
      </c>
      <c r="P732" s="2027" t="s">
        <v>291</v>
      </c>
      <c r="Q732" s="2027" t="s">
        <v>294</v>
      </c>
      <c r="R732" s="2027">
        <v>350000.01</v>
      </c>
      <c r="S732" s="300">
        <v>500000</v>
      </c>
      <c r="T732" s="2027">
        <v>0</v>
      </c>
      <c r="U732" s="2027">
        <f t="shared" si="300"/>
        <v>500000</v>
      </c>
      <c r="V732" s="2027">
        <v>0</v>
      </c>
      <c r="W732" s="2027">
        <v>50</v>
      </c>
      <c r="X732" s="2027">
        <v>0</v>
      </c>
      <c r="Y732" s="2027">
        <v>999</v>
      </c>
      <c r="Z732" s="2030">
        <v>680</v>
      </c>
      <c r="AA732" s="2030">
        <v>699</v>
      </c>
      <c r="AB732" s="2030">
        <v>0</v>
      </c>
      <c r="AC732" s="2030">
        <v>999999</v>
      </c>
      <c r="AD732" s="2027">
        <v>0</v>
      </c>
      <c r="AE732" s="2105">
        <v>65</v>
      </c>
      <c r="AF732" s="170">
        <v>1</v>
      </c>
      <c r="AG732" s="171">
        <v>1</v>
      </c>
      <c r="AH732" s="171">
        <v>1</v>
      </c>
      <c r="AI732" s="171">
        <v>0</v>
      </c>
      <c r="AJ732" s="171">
        <v>0</v>
      </c>
      <c r="AK732" s="171">
        <v>0</v>
      </c>
      <c r="AL732" s="171">
        <v>1</v>
      </c>
      <c r="AM732" s="171">
        <v>1</v>
      </c>
      <c r="AN732" s="171">
        <v>1</v>
      </c>
      <c r="AO732" s="171">
        <v>1</v>
      </c>
      <c r="AP732" s="171">
        <v>1</v>
      </c>
      <c r="AQ732" s="171">
        <v>1</v>
      </c>
      <c r="AR732" s="171">
        <v>1</v>
      </c>
      <c r="AS732" s="171">
        <v>1</v>
      </c>
      <c r="AT732" s="171">
        <v>1</v>
      </c>
      <c r="AU732" s="171">
        <f t="shared" si="294"/>
        <v>0</v>
      </c>
      <c r="AV732" s="171">
        <f t="shared" si="295"/>
        <v>1</v>
      </c>
      <c r="AW732" s="171">
        <f t="shared" si="296"/>
        <v>1</v>
      </c>
      <c r="AX732" s="171">
        <f t="shared" si="305"/>
        <v>1</v>
      </c>
      <c r="AY732" s="171">
        <f t="shared" si="297"/>
        <v>0</v>
      </c>
      <c r="AZ732" s="171">
        <f t="shared" si="298"/>
        <v>1</v>
      </c>
      <c r="BA732" s="172">
        <f t="shared" si="299"/>
        <v>1</v>
      </c>
      <c r="BB732" s="175">
        <f t="shared" si="301"/>
        <v>17</v>
      </c>
      <c r="BC732" s="176">
        <f t="shared" si="302"/>
        <v>16</v>
      </c>
      <c r="BD732" s="176">
        <f t="shared" si="303"/>
        <v>16</v>
      </c>
      <c r="BE732" s="240" t="str">
        <f t="shared" si="304"/>
        <v/>
      </c>
      <c r="BF732" s="234"/>
      <c r="BG732" s="234"/>
      <c r="BH732" s="199">
        <f>IF(AND(Input_Product=Elig!$C732,Elig_MatchAll_Ct&lt;22,$BC732=(Elig_MatchAll_Ct-1),AF732=0),C732,0)</f>
        <v>0</v>
      </c>
      <c r="BI732" s="199">
        <f>IF(AND(Input_Product=Elig!$C732,Elig_MatchAll_Ct&lt;22,$BC732=(Elig_MatchAll_Ct-1),AG732=0),D732,0)</f>
        <v>0</v>
      </c>
      <c r="BJ732" s="199">
        <f>IF(AND(Input_Product=Elig!$C732,Elig_MatchAll_Ct&lt;22,$BC732=(Elig_MatchAll_Ct-1),AH732=0),E732,0)</f>
        <v>0</v>
      </c>
      <c r="BK732" s="199">
        <f>IF(AND(Input_Product=Elig!$C732,Elig_MatchAll_Ct&lt;22,$BC732=(Elig_MatchAll_Ct-1),AI732=0),F732,0)</f>
        <v>0</v>
      </c>
      <c r="BL732" s="199">
        <f>IF(AND(Input_Product=Elig!$C732,Elig_MatchAll_Ct&lt;22,$BC732=(Elig_MatchAll_Ct-1),AJ732=0),G732,0)</f>
        <v>0</v>
      </c>
      <c r="BM732" s="199">
        <f>IF(AND(Input_Product=Elig!$C732,Elig_MatchAll_Ct&lt;22,$BC732=(Elig_MatchAll_Ct-1),AK732=0),H732,0)</f>
        <v>0</v>
      </c>
      <c r="BN732" s="199">
        <f>IF(AND(Input_Product=Elig!$C732,Elig_MatchAll_Ct&lt;22,$BC732=(Elig_MatchAll_Ct-1),AL732=0),I732,0)</f>
        <v>0</v>
      </c>
      <c r="BO732" s="199">
        <f>IF(AND(Input_Product=Elig!$C732,Elig_MatchAll_Ct&lt;22,$BC732=(Elig_MatchAll_Ct-1),AM732=0),J732,0)</f>
        <v>0</v>
      </c>
      <c r="BP732" s="199">
        <f>IF(AND(Input_Product=Elig!$C732,Elig_MatchAll_Ct&lt;22,$BC732=(Elig_MatchAll_Ct-1),AN732=0),K732,0)</f>
        <v>0</v>
      </c>
      <c r="BQ732" s="199">
        <f>IF(AND(Input_Product=Elig!$C732,Elig_MatchAll_Ct&lt;22,$BC732=(Elig_MatchAll_Ct-1),AP732=0),L732,0)</f>
        <v>0</v>
      </c>
      <c r="BR732" s="199">
        <f>IF(AND(Input_Product=Elig!$C732,Elig_MatchAll_Ct&lt;22,$BC732=(Elig_MatchAll_Ct-1),AO732=0),M732,0)</f>
        <v>0</v>
      </c>
      <c r="BS732" s="199">
        <f>IF(AND(Input_Product=Elig!$C732,Elig_MatchAll_Ct&lt;22,$BC732=(Elig_MatchAll_Ct-1),AQ732=0),N732,0)</f>
        <v>0</v>
      </c>
      <c r="BT732" s="199">
        <f>IF(AND(Input_Product=Elig!$C732,Elig_MatchAll_Ct&lt;22,$BC732=(Elig_MatchAll_Ct-1),AR732=0),O732,0)</f>
        <v>0</v>
      </c>
      <c r="BU732" s="199">
        <f>IF(AND(Input_Product=Elig!$C732,Elig_MatchAll_Ct&lt;22,$BC732=(Elig_MatchAll_Ct-1),AS732=0),P732,0)</f>
        <v>0</v>
      </c>
      <c r="BV732" s="200">
        <f>IF(AND(Input_Product=Elig!$C732,Elig_MatchAll_Ct&lt;22,$BC732=(Elig_MatchAll_Ct-1),AT732=0),Q732,0)</f>
        <v>0</v>
      </c>
      <c r="BW732" s="201">
        <f>IF(AND(Input_Product=Elig!$C732,Elig_MatchAll_Ct&lt;22,$BC732=(Elig_MatchAll_Ct-1),AU732=0),R732,0)</f>
        <v>0</v>
      </c>
      <c r="BX732" s="202">
        <f>IF(AND(Input_Product=Elig!$C732,Elig_MatchAll_Ct&lt;22,$BC732=(Elig_MatchAll_Ct-1),AU732=0),S732,0)</f>
        <v>0</v>
      </c>
      <c r="BY732" s="201">
        <f>IF(AND(Input_Product=Elig!$C732,Elig_MatchAll_Ct&lt;22,$BC732=(Elig_MatchAll_Ct-1),AV732=0),T732,0)</f>
        <v>0</v>
      </c>
      <c r="BZ732" s="202">
        <f>IF(AND(Input_Product=Elig!$C732,Elig_MatchAll_Ct&lt;22,$BC732=(Elig_MatchAll_Ct-1),AV732=0),U732,0)</f>
        <v>0</v>
      </c>
      <c r="CA732" s="201">
        <f>IF(AND(Input_Product=Elig!$C732,Elig_MatchAll_Ct&lt;22,$BC732=(Elig_MatchAll_Ct-1),AW732=0),V732,0)</f>
        <v>0</v>
      </c>
      <c r="CB732" s="202">
        <f>IF(AND(Input_Product=Elig!$C732,Elig_MatchAll_Ct&lt;22,$BC732=(Elig_MatchAll_Ct-1),AW732=0),W732,0)</f>
        <v>0</v>
      </c>
      <c r="CC732" s="201">
        <f>IF(AND(Input_Product=Elig!$C732,Elig_MatchAll_Ct&lt;22,$BC732=(Elig_MatchAll_Ct-1),AX732=0),X732,0)</f>
        <v>0</v>
      </c>
      <c r="CD732" s="202">
        <f>IF(AND(Input_Product=Elig!$C732,Elig_MatchAll_Ct&lt;22,$BC732=(Elig_MatchAll_Ct-1),AX732=0),Y732,0)</f>
        <v>0</v>
      </c>
      <c r="CE732" s="201">
        <f>IF(AND(Input_LTV&lt;=AE732,Input_Product=Elig!$C732,Elig_MatchAll_Ct&lt;22,$BC732=(Elig_MatchAll_Ct-1),AY732=0),Z732,0)</f>
        <v>0</v>
      </c>
      <c r="CF732" s="202">
        <f>IF(AND(Input_LTV&lt;=AE732,Input_Product=Elig!$C732,Elig_MatchAll_Ct&lt;22,$BC732=(Elig_MatchAll_Ct-1),AY732=0),AA732,0)</f>
        <v>0</v>
      </c>
      <c r="CG732" s="201">
        <f>IF(AND(Input_Product=Elig!$C732,Elig_MatchAll_Ct&lt;22,$BC732=(Elig_MatchAll_Ct-1),AZ732=0),AB732,0)</f>
        <v>0</v>
      </c>
      <c r="CH732" s="202">
        <f>IF(AND(Input_Product=Elig!$C732,Elig_MatchAll_Ct&lt;22,$BC732=(Elig_MatchAll_Ct-1),AZ732=0),AC732,0)</f>
        <v>0</v>
      </c>
      <c r="CI732" s="201">
        <f>IF(AND(Input_Product=Elig!$C732,Elig_MatchAll_Ct&lt;22,$BC732=(Elig_MatchAll_Ct-1),BA732=0),AD732,0)</f>
        <v>0</v>
      </c>
      <c r="CJ732" s="202">
        <f>IF(AND(Input_Product=Elig!$C732,Elig_MatchAll_Ct&lt;22,$BC732=(Elig_MatchAll_Ct-1),BA732=0),AE732,0)</f>
        <v>0</v>
      </c>
    </row>
    <row r="733" spans="2:88" ht="10.15" customHeight="1" x14ac:dyDescent="0.25">
      <c r="B733" s="2027" t="s">
        <v>3851</v>
      </c>
      <c r="C733" s="2032" t="str">
        <f t="shared" si="279"/>
        <v>Second OO</v>
      </c>
      <c r="D733" s="2031" t="s">
        <v>1569</v>
      </c>
      <c r="E733" s="2031" t="s">
        <v>98</v>
      </c>
      <c r="F733" s="2031" t="s">
        <v>329</v>
      </c>
      <c r="G733" s="2111" t="s">
        <v>175</v>
      </c>
      <c r="H733" s="2033" t="s">
        <v>446</v>
      </c>
      <c r="I733" s="2031" t="s">
        <v>1332</v>
      </c>
      <c r="J733" s="2031" t="s">
        <v>1311</v>
      </c>
      <c r="K733" s="2033" t="s">
        <v>1790</v>
      </c>
      <c r="L733" s="2031" t="s">
        <v>430</v>
      </c>
      <c r="M733" s="2031" t="s">
        <v>2677</v>
      </c>
      <c r="N733" s="2033" t="s">
        <v>82</v>
      </c>
      <c r="O733" s="2031" t="s">
        <v>310</v>
      </c>
      <c r="P733" s="2031" t="s">
        <v>291</v>
      </c>
      <c r="Q733" s="2031" t="s">
        <v>294</v>
      </c>
      <c r="R733" s="2031">
        <v>350000.01</v>
      </c>
      <c r="S733" s="324">
        <v>500000</v>
      </c>
      <c r="T733" s="2031">
        <v>0</v>
      </c>
      <c r="U733" s="2031">
        <f t="shared" si="300"/>
        <v>500000</v>
      </c>
      <c r="V733" s="2031">
        <v>0</v>
      </c>
      <c r="W733" s="2031">
        <v>50</v>
      </c>
      <c r="X733" s="2031">
        <v>0</v>
      </c>
      <c r="Y733" s="2031">
        <v>999</v>
      </c>
      <c r="Z733" s="2034">
        <v>660</v>
      </c>
      <c r="AA733" s="2034">
        <v>679</v>
      </c>
      <c r="AB733" s="2034">
        <v>0</v>
      </c>
      <c r="AC733" s="2034">
        <v>999999</v>
      </c>
      <c r="AD733" s="2031">
        <v>0</v>
      </c>
      <c r="AE733" s="2107">
        <v>60</v>
      </c>
      <c r="AF733" s="170">
        <v>1</v>
      </c>
      <c r="AG733" s="171">
        <v>1</v>
      </c>
      <c r="AH733" s="171">
        <v>1</v>
      </c>
      <c r="AI733" s="171">
        <v>0</v>
      </c>
      <c r="AJ733" s="171">
        <v>0</v>
      </c>
      <c r="AK733" s="171">
        <v>0</v>
      </c>
      <c r="AL733" s="171">
        <v>1</v>
      </c>
      <c r="AM733" s="171">
        <v>1</v>
      </c>
      <c r="AN733" s="171">
        <v>1</v>
      </c>
      <c r="AO733" s="171">
        <v>1</v>
      </c>
      <c r="AP733" s="171">
        <v>1</v>
      </c>
      <c r="AQ733" s="171">
        <v>1</v>
      </c>
      <c r="AR733" s="171">
        <v>1</v>
      </c>
      <c r="AS733" s="171">
        <v>1</v>
      </c>
      <c r="AT733" s="171">
        <v>1</v>
      </c>
      <c r="AU733" s="171">
        <f t="shared" si="294"/>
        <v>0</v>
      </c>
      <c r="AV733" s="171">
        <f t="shared" si="295"/>
        <v>1</v>
      </c>
      <c r="AW733" s="171">
        <f t="shared" si="296"/>
        <v>1</v>
      </c>
      <c r="AX733" s="171">
        <f t="shared" si="305"/>
        <v>1</v>
      </c>
      <c r="AY733" s="171">
        <f t="shared" si="297"/>
        <v>0</v>
      </c>
      <c r="AZ733" s="171">
        <f t="shared" si="298"/>
        <v>1</v>
      </c>
      <c r="BA733" s="172">
        <f t="shared" si="299"/>
        <v>0</v>
      </c>
      <c r="BB733" s="175">
        <f t="shared" si="301"/>
        <v>16</v>
      </c>
      <c r="BC733" s="176">
        <f t="shared" si="302"/>
        <v>16</v>
      </c>
      <c r="BD733" s="176">
        <f t="shared" si="303"/>
        <v>15</v>
      </c>
      <c r="BE733" s="240" t="str">
        <f t="shared" si="304"/>
        <v/>
      </c>
      <c r="BF733" s="234"/>
      <c r="BG733" s="234"/>
      <c r="BH733" s="214">
        <f>IF(AND(Input_Product=Elig!$C733,Elig_MatchAll_Ct&lt;22,$BC733=(Elig_MatchAll_Ct-1),AF733=0),C733,0)</f>
        <v>0</v>
      </c>
      <c r="BI733" s="214">
        <f>IF(AND(Input_Product=Elig!$C733,Elig_MatchAll_Ct&lt;22,$BC733=(Elig_MatchAll_Ct-1),AG733=0),D733,0)</f>
        <v>0</v>
      </c>
      <c r="BJ733" s="214">
        <f>IF(AND(Input_Product=Elig!$C733,Elig_MatchAll_Ct&lt;22,$BC733=(Elig_MatchAll_Ct-1),AH733=0),E733,0)</f>
        <v>0</v>
      </c>
      <c r="BK733" s="214">
        <f>IF(AND(Input_Product=Elig!$C733,Elig_MatchAll_Ct&lt;22,$BC733=(Elig_MatchAll_Ct-1),AI733=0),F733,0)</f>
        <v>0</v>
      </c>
      <c r="BL733" s="214">
        <f>IF(AND(Input_Product=Elig!$C733,Elig_MatchAll_Ct&lt;22,$BC733=(Elig_MatchAll_Ct-1),AJ733=0),G733,0)</f>
        <v>0</v>
      </c>
      <c r="BM733" s="214">
        <f>IF(AND(Input_Product=Elig!$C733,Elig_MatchAll_Ct&lt;22,$BC733=(Elig_MatchAll_Ct-1),AK733=0),H733,0)</f>
        <v>0</v>
      </c>
      <c r="BN733" s="214">
        <f>IF(AND(Input_Product=Elig!$C733,Elig_MatchAll_Ct&lt;22,$BC733=(Elig_MatchAll_Ct-1),AL733=0),I733,0)</f>
        <v>0</v>
      </c>
      <c r="BO733" s="214">
        <f>IF(AND(Input_Product=Elig!$C733,Elig_MatchAll_Ct&lt;22,$BC733=(Elig_MatchAll_Ct-1),AM733=0),J733,0)</f>
        <v>0</v>
      </c>
      <c r="BP733" s="214">
        <f>IF(AND(Input_Product=Elig!$C733,Elig_MatchAll_Ct&lt;22,$BC733=(Elig_MatchAll_Ct-1),AN733=0),K733,0)</f>
        <v>0</v>
      </c>
      <c r="BQ733" s="214">
        <f>IF(AND(Input_Product=Elig!$C733,Elig_MatchAll_Ct&lt;22,$BC733=(Elig_MatchAll_Ct-1),AP733=0),L733,0)</f>
        <v>0</v>
      </c>
      <c r="BR733" s="214">
        <f>IF(AND(Input_Product=Elig!$C733,Elig_MatchAll_Ct&lt;22,$BC733=(Elig_MatchAll_Ct-1),AO733=0),M733,0)</f>
        <v>0</v>
      </c>
      <c r="BS733" s="214">
        <f>IF(AND(Input_Product=Elig!$C733,Elig_MatchAll_Ct&lt;22,$BC733=(Elig_MatchAll_Ct-1),AQ733=0),N733,0)</f>
        <v>0</v>
      </c>
      <c r="BT733" s="214">
        <f>IF(AND(Input_Product=Elig!$C733,Elig_MatchAll_Ct&lt;22,$BC733=(Elig_MatchAll_Ct-1),AR733=0),O733,0)</f>
        <v>0</v>
      </c>
      <c r="BU733" s="214">
        <f>IF(AND(Input_Product=Elig!$C733,Elig_MatchAll_Ct&lt;22,$BC733=(Elig_MatchAll_Ct-1),AS733=0),P733,0)</f>
        <v>0</v>
      </c>
      <c r="BV733" s="215">
        <f>IF(AND(Input_Product=Elig!$C733,Elig_MatchAll_Ct&lt;22,$BC733=(Elig_MatchAll_Ct-1),AT733=0),Q733,0)</f>
        <v>0</v>
      </c>
      <c r="BW733" s="311">
        <f>IF(AND(Input_Product=Elig!$C733,Elig_MatchAll_Ct&lt;22,$BC733=(Elig_MatchAll_Ct-1),AU733=0),R733,0)</f>
        <v>0</v>
      </c>
      <c r="BX733" s="312">
        <f>IF(AND(Input_Product=Elig!$C733,Elig_MatchAll_Ct&lt;22,$BC733=(Elig_MatchAll_Ct-1),AU733=0),S733,0)</f>
        <v>0</v>
      </c>
      <c r="BY733" s="311">
        <f>IF(AND(Input_Product=Elig!$C733,Elig_MatchAll_Ct&lt;22,$BC733=(Elig_MatchAll_Ct-1),AV733=0),T733,0)</f>
        <v>0</v>
      </c>
      <c r="BZ733" s="312">
        <f>IF(AND(Input_Product=Elig!$C733,Elig_MatchAll_Ct&lt;22,$BC733=(Elig_MatchAll_Ct-1),AV733=0),U733,0)</f>
        <v>0</v>
      </c>
      <c r="CA733" s="311">
        <f>IF(AND(Input_Product=Elig!$C733,Elig_MatchAll_Ct&lt;22,$BC733=(Elig_MatchAll_Ct-1),AW733=0),V733,0)</f>
        <v>0</v>
      </c>
      <c r="CB733" s="312">
        <f>IF(AND(Input_Product=Elig!$C733,Elig_MatchAll_Ct&lt;22,$BC733=(Elig_MatchAll_Ct-1),AW733=0),W733,0)</f>
        <v>0</v>
      </c>
      <c r="CC733" s="311">
        <f>IF(AND(Input_Product=Elig!$C733,Elig_MatchAll_Ct&lt;22,$BC733=(Elig_MatchAll_Ct-1),AX733=0),X733,0)</f>
        <v>0</v>
      </c>
      <c r="CD733" s="312">
        <f>IF(AND(Input_Product=Elig!$C733,Elig_MatchAll_Ct&lt;22,$BC733=(Elig_MatchAll_Ct-1),AX733=0),Y733,0)</f>
        <v>0</v>
      </c>
      <c r="CE733" s="311">
        <f>IF(AND(Input_LTV&lt;=AE733,Input_Product=Elig!$C733,Elig_MatchAll_Ct&lt;22,$BC733=(Elig_MatchAll_Ct-1),AY733=0),Z733,0)</f>
        <v>0</v>
      </c>
      <c r="CF733" s="312">
        <f>IF(AND(Input_LTV&lt;=AE733,Input_Product=Elig!$C733,Elig_MatchAll_Ct&lt;22,$BC733=(Elig_MatchAll_Ct-1),AY733=0),AA733,0)</f>
        <v>0</v>
      </c>
      <c r="CG733" s="311">
        <f>IF(AND(Input_Product=Elig!$C733,Elig_MatchAll_Ct&lt;22,$BC733=(Elig_MatchAll_Ct-1),AZ733=0),AB733,0)</f>
        <v>0</v>
      </c>
      <c r="CH733" s="312">
        <f>IF(AND(Input_Product=Elig!$C733,Elig_MatchAll_Ct&lt;22,$BC733=(Elig_MatchAll_Ct-1),AZ733=0),AC733,0)</f>
        <v>0</v>
      </c>
      <c r="CI733" s="311">
        <f>IF(AND(Input_Product=Elig!$C733,Elig_MatchAll_Ct&lt;22,$BC733=(Elig_MatchAll_Ct-1),BA733=0),AD733,0)</f>
        <v>0</v>
      </c>
      <c r="CJ733" s="312">
        <f>IF(AND(Input_Product=Elig!$C733,Elig_MatchAll_Ct&lt;22,$BC733=(Elig_MatchAll_Ct-1),BA733=0),AE733,0)</f>
        <v>0</v>
      </c>
    </row>
    <row r="734" spans="2:88" ht="10.15" customHeight="1" x14ac:dyDescent="0.25">
      <c r="B734" s="2027" t="s">
        <v>3852</v>
      </c>
      <c r="C734" s="2024" t="str">
        <f t="shared" si="279"/>
        <v>Second OO</v>
      </c>
      <c r="D734" s="2025" t="s">
        <v>1569</v>
      </c>
      <c r="E734" s="2025" t="s">
        <v>98</v>
      </c>
      <c r="F734" s="2025" t="s">
        <v>329</v>
      </c>
      <c r="G734" s="2103" t="s">
        <v>468</v>
      </c>
      <c r="H734" s="2025" t="s">
        <v>136</v>
      </c>
      <c r="I734" s="2023" t="s">
        <v>1332</v>
      </c>
      <c r="J734" s="2023" t="s">
        <v>1311</v>
      </c>
      <c r="K734" s="2025" t="s">
        <v>1790</v>
      </c>
      <c r="L734" s="2023" t="s">
        <v>430</v>
      </c>
      <c r="M734" s="2023" t="s">
        <v>2677</v>
      </c>
      <c r="N734" s="2025" t="s">
        <v>82</v>
      </c>
      <c r="O734" s="2023" t="s">
        <v>310</v>
      </c>
      <c r="P734" s="2023" t="s">
        <v>291</v>
      </c>
      <c r="Q734" s="2023" t="s">
        <v>294</v>
      </c>
      <c r="R734" s="2023">
        <v>350000.01</v>
      </c>
      <c r="S734" s="323">
        <v>500000</v>
      </c>
      <c r="T734" s="2023">
        <v>0</v>
      </c>
      <c r="U734" s="2023">
        <f t="shared" ref="U734:U737" si="310">S734</f>
        <v>500000</v>
      </c>
      <c r="V734" s="2023">
        <v>0</v>
      </c>
      <c r="W734" s="2023">
        <v>50</v>
      </c>
      <c r="X734" s="2023">
        <v>0</v>
      </c>
      <c r="Y734" s="2023">
        <v>999</v>
      </c>
      <c r="Z734" s="2026">
        <v>720</v>
      </c>
      <c r="AA734" s="2026">
        <v>999</v>
      </c>
      <c r="AB734" s="2026">
        <v>0</v>
      </c>
      <c r="AC734" s="2026">
        <v>999999</v>
      </c>
      <c r="AD734" s="2023">
        <v>0</v>
      </c>
      <c r="AE734" s="2104">
        <v>75</v>
      </c>
      <c r="AF734" s="170">
        <v>1</v>
      </c>
      <c r="AG734" s="171">
        <v>1</v>
      </c>
      <c r="AH734" s="171">
        <v>1</v>
      </c>
      <c r="AI734" s="171">
        <v>0</v>
      </c>
      <c r="AJ734" s="171">
        <v>0</v>
      </c>
      <c r="AK734" s="171">
        <v>1</v>
      </c>
      <c r="AL734" s="171">
        <v>1</v>
      </c>
      <c r="AM734" s="171">
        <v>1</v>
      </c>
      <c r="AN734" s="171">
        <v>1</v>
      </c>
      <c r="AO734" s="171">
        <v>1</v>
      </c>
      <c r="AP734" s="171">
        <v>1</v>
      </c>
      <c r="AQ734" s="171">
        <v>1</v>
      </c>
      <c r="AR734" s="171">
        <v>1</v>
      </c>
      <c r="AS734" s="171">
        <v>1</v>
      </c>
      <c r="AT734" s="171">
        <v>1</v>
      </c>
      <c r="AU734" s="171">
        <f t="shared" si="294"/>
        <v>0</v>
      </c>
      <c r="AV734" s="171">
        <f t="shared" si="295"/>
        <v>1</v>
      </c>
      <c r="AW734" s="171">
        <f t="shared" si="296"/>
        <v>1</v>
      </c>
      <c r="AX734" s="171">
        <f t="shared" si="305"/>
        <v>1</v>
      </c>
      <c r="AY734" s="171">
        <f t="shared" si="297"/>
        <v>1</v>
      </c>
      <c r="AZ734" s="171">
        <f t="shared" si="298"/>
        <v>1</v>
      </c>
      <c r="BA734" s="172">
        <f t="shared" si="299"/>
        <v>1</v>
      </c>
      <c r="BB734" s="175">
        <f t="shared" ref="BB734:BB737" si="311">SUM(AF734:BA734)</f>
        <v>19</v>
      </c>
      <c r="BC734" s="176">
        <f t="shared" ref="BC734:BC737" si="312">SUM(AF734:AZ734)</f>
        <v>18</v>
      </c>
      <c r="BD734" s="176">
        <f t="shared" ref="BD734:BD737" si="313">SUM(AG734:BA734)</f>
        <v>18</v>
      </c>
      <c r="BE734" s="240" t="str">
        <f t="shared" si="304"/>
        <v/>
      </c>
      <c r="BF734" s="220"/>
      <c r="BG734" s="220"/>
      <c r="BH734" s="216">
        <f>IF(AND(Input_Product=Elig!$C734,Elig_MatchAll_Ct&lt;22,$BC734=(Elig_MatchAll_Ct-1),AF734=0),C734,0)</f>
        <v>0</v>
      </c>
      <c r="BI734" s="216">
        <f>IF(AND(Input_Product=Elig!$C734,Elig_MatchAll_Ct&lt;22,$BC734=(Elig_MatchAll_Ct-1),AG734=0),D734,0)</f>
        <v>0</v>
      </c>
      <c r="BJ734" s="216">
        <f>IF(AND(Input_Product=Elig!$C734,Elig_MatchAll_Ct&lt;22,$BC734=(Elig_MatchAll_Ct-1),AH734=0),E734,0)</f>
        <v>0</v>
      </c>
      <c r="BK734" s="216">
        <f>IF(AND(Input_Product=Elig!$C734,Elig_MatchAll_Ct&lt;22,$BC734=(Elig_MatchAll_Ct-1),AI734=0),F734,0)</f>
        <v>0</v>
      </c>
      <c r="BL734" s="216">
        <f>IF(AND(Input_Product=Elig!$C734,Elig_MatchAll_Ct&lt;22,$BC734=(Elig_MatchAll_Ct-1),AJ734=0),G734,0)</f>
        <v>0</v>
      </c>
      <c r="BM734" s="216">
        <f>IF(AND(Input_Product=Elig!$C734,Elig_MatchAll_Ct&lt;22,$BC734=(Elig_MatchAll_Ct-1),AK734=0),H734,0)</f>
        <v>0</v>
      </c>
      <c r="BN734" s="216">
        <f>IF(AND(Input_Product=Elig!$C734,Elig_MatchAll_Ct&lt;22,$BC734=(Elig_MatchAll_Ct-1),AL734=0),I734,0)</f>
        <v>0</v>
      </c>
      <c r="BO734" s="216">
        <f>IF(AND(Input_Product=Elig!$C734,Elig_MatchAll_Ct&lt;22,$BC734=(Elig_MatchAll_Ct-1),AM734=0),J734,0)</f>
        <v>0</v>
      </c>
      <c r="BP734" s="216">
        <f>IF(AND(Input_Product=Elig!$C734,Elig_MatchAll_Ct&lt;22,$BC734=(Elig_MatchAll_Ct-1),AN734=0),K734,0)</f>
        <v>0</v>
      </c>
      <c r="BQ734" s="216">
        <f>IF(AND(Input_Product=Elig!$C734,Elig_MatchAll_Ct&lt;22,$BC734=(Elig_MatchAll_Ct-1),AP734=0),L734,0)</f>
        <v>0</v>
      </c>
      <c r="BR734" s="216">
        <f>IF(AND(Input_Product=Elig!$C734,Elig_MatchAll_Ct&lt;22,$BC734=(Elig_MatchAll_Ct-1),AO734=0),M734,0)</f>
        <v>0</v>
      </c>
      <c r="BS734" s="216">
        <f>IF(AND(Input_Product=Elig!$C734,Elig_MatchAll_Ct&lt;22,$BC734=(Elig_MatchAll_Ct-1),AQ734=0),N734,0)</f>
        <v>0</v>
      </c>
      <c r="BT734" s="216">
        <f>IF(AND(Input_Product=Elig!$C734,Elig_MatchAll_Ct&lt;22,$BC734=(Elig_MatchAll_Ct-1),AR734=0),O734,0)</f>
        <v>0</v>
      </c>
      <c r="BU734" s="216">
        <f>IF(AND(Input_Product=Elig!$C734,Elig_MatchAll_Ct&lt;22,$BC734=(Elig_MatchAll_Ct-1),AS734=0),P734,0)</f>
        <v>0</v>
      </c>
      <c r="BV734" s="217">
        <f>IF(AND(Input_Product=Elig!$C734,Elig_MatchAll_Ct&lt;22,$BC734=(Elig_MatchAll_Ct-1),AT734=0),Q734,0)</f>
        <v>0</v>
      </c>
      <c r="BW734" s="313">
        <f>IF(AND(Input_Product=Elig!$C734,Elig_MatchAll_Ct&lt;22,$BC734=(Elig_MatchAll_Ct-1),AU734=0),R734,0)</f>
        <v>0</v>
      </c>
      <c r="BX734" s="314">
        <f>IF(AND(Input_Product=Elig!$C734,Elig_MatchAll_Ct&lt;22,$BC734=(Elig_MatchAll_Ct-1),AU734=0),S734,0)</f>
        <v>0</v>
      </c>
      <c r="BY734" s="313">
        <f>IF(AND(Input_Product=Elig!$C734,Elig_MatchAll_Ct&lt;22,$BC734=(Elig_MatchAll_Ct-1),AV734=0),T734,0)</f>
        <v>0</v>
      </c>
      <c r="BZ734" s="314">
        <f>IF(AND(Input_Product=Elig!$C734,Elig_MatchAll_Ct&lt;22,$BC734=(Elig_MatchAll_Ct-1),AV734=0),U734,0)</f>
        <v>0</v>
      </c>
      <c r="CA734" s="313">
        <f>IF(AND(Input_Product=Elig!$C734,Elig_MatchAll_Ct&lt;22,$BC734=(Elig_MatchAll_Ct-1),AW734=0),V734,0)</f>
        <v>0</v>
      </c>
      <c r="CB734" s="314">
        <f>IF(AND(Input_Product=Elig!$C734,Elig_MatchAll_Ct&lt;22,$BC734=(Elig_MatchAll_Ct-1),AW734=0),W734,0)</f>
        <v>0</v>
      </c>
      <c r="CC734" s="313">
        <f>IF(AND(Input_Product=Elig!$C734,Elig_MatchAll_Ct&lt;22,$BC734=(Elig_MatchAll_Ct-1),AX734=0),X734,0)</f>
        <v>0</v>
      </c>
      <c r="CD734" s="314">
        <f>IF(AND(Input_Product=Elig!$C734,Elig_MatchAll_Ct&lt;22,$BC734=(Elig_MatchAll_Ct-1),AX734=0),Y734,0)</f>
        <v>0</v>
      </c>
      <c r="CE734" s="313">
        <f>IF(AND(Input_LTV&lt;=AE734,Input_Product=Elig!$C734,Elig_MatchAll_Ct&lt;22,$BC734=(Elig_MatchAll_Ct-1),AY734=0),Z734,0)</f>
        <v>0</v>
      </c>
      <c r="CF734" s="314">
        <f>IF(AND(Input_LTV&lt;=AE734,Input_Product=Elig!$C734,Elig_MatchAll_Ct&lt;22,$BC734=(Elig_MatchAll_Ct-1),AY734=0),AA734,0)</f>
        <v>0</v>
      </c>
      <c r="CG734" s="313">
        <f>IF(AND(Input_Product=Elig!$C734,Elig_MatchAll_Ct&lt;22,$BC734=(Elig_MatchAll_Ct-1),AZ734=0),AB734,0)</f>
        <v>0</v>
      </c>
      <c r="CH734" s="314">
        <f>IF(AND(Input_Product=Elig!$C734,Elig_MatchAll_Ct&lt;22,$BC734=(Elig_MatchAll_Ct-1),AZ734=0),AC734,0)</f>
        <v>0</v>
      </c>
      <c r="CI734" s="313">
        <f>IF(AND(Input_Product=Elig!$C734,Elig_MatchAll_Ct&lt;22,$BC734=(Elig_MatchAll_Ct-1),BA734=0),AD734,0)</f>
        <v>0</v>
      </c>
      <c r="CJ734" s="314">
        <f>IF(AND(Input_Product=Elig!$C734,Elig_MatchAll_Ct&lt;22,$BC734=(Elig_MatchAll_Ct-1),BA734=0),AE734,0)</f>
        <v>0</v>
      </c>
    </row>
    <row r="735" spans="2:88" ht="10.15" customHeight="1" x14ac:dyDescent="0.25">
      <c r="B735" s="2027" t="s">
        <v>3853</v>
      </c>
      <c r="C735" s="2028" t="str">
        <f t="shared" si="279"/>
        <v>Second OO</v>
      </c>
      <c r="D735" s="2027" t="s">
        <v>1569</v>
      </c>
      <c r="E735" s="2027" t="s">
        <v>98</v>
      </c>
      <c r="F735" s="2027" t="s">
        <v>329</v>
      </c>
      <c r="G735" s="2110" t="s">
        <v>468</v>
      </c>
      <c r="H735" s="2029" t="s">
        <v>136</v>
      </c>
      <c r="I735" s="2027" t="s">
        <v>1332</v>
      </c>
      <c r="J735" s="2027" t="s">
        <v>1311</v>
      </c>
      <c r="K735" s="2029" t="s">
        <v>1790</v>
      </c>
      <c r="L735" s="2027" t="s">
        <v>430</v>
      </c>
      <c r="M735" s="2027" t="s">
        <v>2677</v>
      </c>
      <c r="N735" s="2029" t="s">
        <v>82</v>
      </c>
      <c r="O735" s="2027" t="s">
        <v>310</v>
      </c>
      <c r="P735" s="2027" t="s">
        <v>291</v>
      </c>
      <c r="Q735" s="2027" t="s">
        <v>294</v>
      </c>
      <c r="R735" s="2027">
        <v>350000.01</v>
      </c>
      <c r="S735" s="300">
        <v>500000</v>
      </c>
      <c r="T735" s="2027">
        <v>0</v>
      </c>
      <c r="U735" s="2027">
        <f t="shared" si="310"/>
        <v>500000</v>
      </c>
      <c r="V735" s="2027">
        <v>0</v>
      </c>
      <c r="W735" s="2027">
        <v>50</v>
      </c>
      <c r="X735" s="2027">
        <v>0</v>
      </c>
      <c r="Y735" s="2027">
        <v>999</v>
      </c>
      <c r="Z735" s="2030">
        <v>700</v>
      </c>
      <c r="AA735" s="2030">
        <v>719</v>
      </c>
      <c r="AB735" s="2030">
        <v>0</v>
      </c>
      <c r="AC735" s="2030">
        <v>999999</v>
      </c>
      <c r="AD735" s="2027">
        <v>0</v>
      </c>
      <c r="AE735" s="2105">
        <v>70</v>
      </c>
      <c r="AF735" s="170">
        <v>1</v>
      </c>
      <c r="AG735" s="171">
        <v>1</v>
      </c>
      <c r="AH735" s="171">
        <v>1</v>
      </c>
      <c r="AI735" s="171">
        <v>0</v>
      </c>
      <c r="AJ735" s="171">
        <v>0</v>
      </c>
      <c r="AK735" s="171">
        <v>1</v>
      </c>
      <c r="AL735" s="171">
        <v>1</v>
      </c>
      <c r="AM735" s="171">
        <v>1</v>
      </c>
      <c r="AN735" s="171">
        <v>1</v>
      </c>
      <c r="AO735" s="171">
        <v>1</v>
      </c>
      <c r="AP735" s="171">
        <v>1</v>
      </c>
      <c r="AQ735" s="171">
        <v>1</v>
      </c>
      <c r="AR735" s="171">
        <v>1</v>
      </c>
      <c r="AS735" s="171">
        <v>1</v>
      </c>
      <c r="AT735" s="171">
        <v>1</v>
      </c>
      <c r="AU735" s="171">
        <f t="shared" si="294"/>
        <v>0</v>
      </c>
      <c r="AV735" s="171">
        <f t="shared" si="295"/>
        <v>1</v>
      </c>
      <c r="AW735" s="171">
        <f t="shared" si="296"/>
        <v>1</v>
      </c>
      <c r="AX735" s="171">
        <f t="shared" si="305"/>
        <v>1</v>
      </c>
      <c r="AY735" s="171">
        <f t="shared" si="297"/>
        <v>0</v>
      </c>
      <c r="AZ735" s="171">
        <f t="shared" si="298"/>
        <v>1</v>
      </c>
      <c r="BA735" s="172">
        <f t="shared" si="299"/>
        <v>1</v>
      </c>
      <c r="BB735" s="175">
        <f t="shared" si="311"/>
        <v>18</v>
      </c>
      <c r="BC735" s="176">
        <f t="shared" si="312"/>
        <v>17</v>
      </c>
      <c r="BD735" s="176">
        <f t="shared" si="313"/>
        <v>17</v>
      </c>
      <c r="BE735" s="240" t="str">
        <f t="shared" si="304"/>
        <v/>
      </c>
      <c r="BF735" s="234"/>
      <c r="BG735" s="234"/>
      <c r="BH735" s="199">
        <f>IF(AND(Input_Product=Elig!$C735,Elig_MatchAll_Ct&lt;22,$BC735=(Elig_MatchAll_Ct-1),AF735=0),C735,0)</f>
        <v>0</v>
      </c>
      <c r="BI735" s="199">
        <f>IF(AND(Input_Product=Elig!$C735,Elig_MatchAll_Ct&lt;22,$BC735=(Elig_MatchAll_Ct-1),AG735=0),D735,0)</f>
        <v>0</v>
      </c>
      <c r="BJ735" s="199">
        <f>IF(AND(Input_Product=Elig!$C735,Elig_MatchAll_Ct&lt;22,$BC735=(Elig_MatchAll_Ct-1),AH735=0),E735,0)</f>
        <v>0</v>
      </c>
      <c r="BK735" s="199">
        <f>IF(AND(Input_Product=Elig!$C735,Elig_MatchAll_Ct&lt;22,$BC735=(Elig_MatchAll_Ct-1),AI735=0),F735,0)</f>
        <v>0</v>
      </c>
      <c r="BL735" s="199">
        <f>IF(AND(Input_Product=Elig!$C735,Elig_MatchAll_Ct&lt;22,$BC735=(Elig_MatchAll_Ct-1),AJ735=0),G735,0)</f>
        <v>0</v>
      </c>
      <c r="BM735" s="199">
        <f>IF(AND(Input_Product=Elig!$C735,Elig_MatchAll_Ct&lt;22,$BC735=(Elig_MatchAll_Ct-1),AK735=0),H735,0)</f>
        <v>0</v>
      </c>
      <c r="BN735" s="199">
        <f>IF(AND(Input_Product=Elig!$C735,Elig_MatchAll_Ct&lt;22,$BC735=(Elig_MatchAll_Ct-1),AL735=0),I735,0)</f>
        <v>0</v>
      </c>
      <c r="BO735" s="199">
        <f>IF(AND(Input_Product=Elig!$C735,Elig_MatchAll_Ct&lt;22,$BC735=(Elig_MatchAll_Ct-1),AM735=0),J735,0)</f>
        <v>0</v>
      </c>
      <c r="BP735" s="199">
        <f>IF(AND(Input_Product=Elig!$C735,Elig_MatchAll_Ct&lt;22,$BC735=(Elig_MatchAll_Ct-1),AN735=0),K735,0)</f>
        <v>0</v>
      </c>
      <c r="BQ735" s="199">
        <f>IF(AND(Input_Product=Elig!$C735,Elig_MatchAll_Ct&lt;22,$BC735=(Elig_MatchAll_Ct-1),AP735=0),L735,0)</f>
        <v>0</v>
      </c>
      <c r="BR735" s="199">
        <f>IF(AND(Input_Product=Elig!$C735,Elig_MatchAll_Ct&lt;22,$BC735=(Elig_MatchAll_Ct-1),AO735=0),M735,0)</f>
        <v>0</v>
      </c>
      <c r="BS735" s="199">
        <f>IF(AND(Input_Product=Elig!$C735,Elig_MatchAll_Ct&lt;22,$BC735=(Elig_MatchAll_Ct-1),AQ735=0),N735,0)</f>
        <v>0</v>
      </c>
      <c r="BT735" s="199">
        <f>IF(AND(Input_Product=Elig!$C735,Elig_MatchAll_Ct&lt;22,$BC735=(Elig_MatchAll_Ct-1),AR735=0),O735,0)</f>
        <v>0</v>
      </c>
      <c r="BU735" s="199">
        <f>IF(AND(Input_Product=Elig!$C735,Elig_MatchAll_Ct&lt;22,$BC735=(Elig_MatchAll_Ct-1),AS735=0),P735,0)</f>
        <v>0</v>
      </c>
      <c r="BV735" s="200">
        <f>IF(AND(Input_Product=Elig!$C735,Elig_MatchAll_Ct&lt;22,$BC735=(Elig_MatchAll_Ct-1),AT735=0),Q735,0)</f>
        <v>0</v>
      </c>
      <c r="BW735" s="201">
        <f>IF(AND(Input_Product=Elig!$C735,Elig_MatchAll_Ct&lt;22,$BC735=(Elig_MatchAll_Ct-1),AU735=0),R735,0)</f>
        <v>0</v>
      </c>
      <c r="BX735" s="202">
        <f>IF(AND(Input_Product=Elig!$C735,Elig_MatchAll_Ct&lt;22,$BC735=(Elig_MatchAll_Ct-1),AU735=0),S735,0)</f>
        <v>0</v>
      </c>
      <c r="BY735" s="201">
        <f>IF(AND(Input_Product=Elig!$C735,Elig_MatchAll_Ct&lt;22,$BC735=(Elig_MatchAll_Ct-1),AV735=0),T735,0)</f>
        <v>0</v>
      </c>
      <c r="BZ735" s="202">
        <f>IF(AND(Input_Product=Elig!$C735,Elig_MatchAll_Ct&lt;22,$BC735=(Elig_MatchAll_Ct-1),AV735=0),U735,0)</f>
        <v>0</v>
      </c>
      <c r="CA735" s="201">
        <f>IF(AND(Input_Product=Elig!$C735,Elig_MatchAll_Ct&lt;22,$BC735=(Elig_MatchAll_Ct-1),AW735=0),V735,0)</f>
        <v>0</v>
      </c>
      <c r="CB735" s="202">
        <f>IF(AND(Input_Product=Elig!$C735,Elig_MatchAll_Ct&lt;22,$BC735=(Elig_MatchAll_Ct-1),AW735=0),W735,0)</f>
        <v>0</v>
      </c>
      <c r="CC735" s="201">
        <f>IF(AND(Input_Product=Elig!$C735,Elig_MatchAll_Ct&lt;22,$BC735=(Elig_MatchAll_Ct-1),AX735=0),X735,0)</f>
        <v>0</v>
      </c>
      <c r="CD735" s="202">
        <f>IF(AND(Input_Product=Elig!$C735,Elig_MatchAll_Ct&lt;22,$BC735=(Elig_MatchAll_Ct-1),AX735=0),Y735,0)</f>
        <v>0</v>
      </c>
      <c r="CE735" s="201">
        <f>IF(AND(Input_LTV&lt;=AE735,Input_Product=Elig!$C735,Elig_MatchAll_Ct&lt;22,$BC735=(Elig_MatchAll_Ct-1),AY735=0),Z735,0)</f>
        <v>0</v>
      </c>
      <c r="CF735" s="202">
        <f>IF(AND(Input_LTV&lt;=AE735,Input_Product=Elig!$C735,Elig_MatchAll_Ct&lt;22,$BC735=(Elig_MatchAll_Ct-1),AY735=0),AA735,0)</f>
        <v>0</v>
      </c>
      <c r="CG735" s="201">
        <f>IF(AND(Input_Product=Elig!$C735,Elig_MatchAll_Ct&lt;22,$BC735=(Elig_MatchAll_Ct-1),AZ735=0),AB735,0)</f>
        <v>0</v>
      </c>
      <c r="CH735" s="202">
        <f>IF(AND(Input_Product=Elig!$C735,Elig_MatchAll_Ct&lt;22,$BC735=(Elig_MatchAll_Ct-1),AZ735=0),AC735,0)</f>
        <v>0</v>
      </c>
      <c r="CI735" s="201">
        <f>IF(AND(Input_Product=Elig!$C735,Elig_MatchAll_Ct&lt;22,$BC735=(Elig_MatchAll_Ct-1),BA735=0),AD735,0)</f>
        <v>0</v>
      </c>
      <c r="CJ735" s="202">
        <f>IF(AND(Input_Product=Elig!$C735,Elig_MatchAll_Ct&lt;22,$BC735=(Elig_MatchAll_Ct-1),BA735=0),AE735,0)</f>
        <v>0</v>
      </c>
    </row>
    <row r="736" spans="2:88" ht="10.15" customHeight="1" x14ac:dyDescent="0.25">
      <c r="B736" s="2027" t="s">
        <v>3854</v>
      </c>
      <c r="C736" s="2028" t="str">
        <f t="shared" si="279"/>
        <v>Second OO</v>
      </c>
      <c r="D736" s="2027" t="s">
        <v>1569</v>
      </c>
      <c r="E736" s="2027" t="s">
        <v>98</v>
      </c>
      <c r="F736" s="2027" t="s">
        <v>329</v>
      </c>
      <c r="G736" s="2110" t="s">
        <v>468</v>
      </c>
      <c r="H736" s="2029" t="s">
        <v>136</v>
      </c>
      <c r="I736" s="2027" t="s">
        <v>1332</v>
      </c>
      <c r="J736" s="2027" t="s">
        <v>1311</v>
      </c>
      <c r="K736" s="2029" t="s">
        <v>1790</v>
      </c>
      <c r="L736" s="2027" t="s">
        <v>430</v>
      </c>
      <c r="M736" s="2027" t="s">
        <v>2677</v>
      </c>
      <c r="N736" s="2029" t="s">
        <v>82</v>
      </c>
      <c r="O736" s="2027" t="s">
        <v>310</v>
      </c>
      <c r="P736" s="2027" t="s">
        <v>291</v>
      </c>
      <c r="Q736" s="2027" t="s">
        <v>294</v>
      </c>
      <c r="R736" s="2027">
        <v>350000.01</v>
      </c>
      <c r="S736" s="300">
        <v>500000</v>
      </c>
      <c r="T736" s="2027">
        <v>0</v>
      </c>
      <c r="U736" s="2027">
        <f t="shared" si="310"/>
        <v>500000</v>
      </c>
      <c r="V736" s="2027">
        <v>0</v>
      </c>
      <c r="W736" s="2027">
        <v>50</v>
      </c>
      <c r="X736" s="2027">
        <v>0</v>
      </c>
      <c r="Y736" s="2027">
        <v>999</v>
      </c>
      <c r="Z736" s="2030">
        <v>680</v>
      </c>
      <c r="AA736" s="2030">
        <v>699</v>
      </c>
      <c r="AB736" s="2030">
        <v>0</v>
      </c>
      <c r="AC736" s="2030">
        <v>999999</v>
      </c>
      <c r="AD736" s="2027">
        <v>0</v>
      </c>
      <c r="AE736" s="2105">
        <v>65</v>
      </c>
      <c r="AF736" s="170">
        <v>1</v>
      </c>
      <c r="AG736" s="171">
        <v>1</v>
      </c>
      <c r="AH736" s="171">
        <v>1</v>
      </c>
      <c r="AI736" s="171">
        <v>0</v>
      </c>
      <c r="AJ736" s="171">
        <v>0</v>
      </c>
      <c r="AK736" s="171">
        <v>1</v>
      </c>
      <c r="AL736" s="171">
        <v>1</v>
      </c>
      <c r="AM736" s="171">
        <v>1</v>
      </c>
      <c r="AN736" s="171">
        <v>1</v>
      </c>
      <c r="AO736" s="171">
        <v>1</v>
      </c>
      <c r="AP736" s="171">
        <v>1</v>
      </c>
      <c r="AQ736" s="171">
        <v>1</v>
      </c>
      <c r="AR736" s="171">
        <v>1</v>
      </c>
      <c r="AS736" s="171">
        <v>1</v>
      </c>
      <c r="AT736" s="171">
        <v>1</v>
      </c>
      <c r="AU736" s="171">
        <f t="shared" si="294"/>
        <v>0</v>
      </c>
      <c r="AV736" s="171">
        <f t="shared" si="295"/>
        <v>1</v>
      </c>
      <c r="AW736" s="171">
        <f t="shared" si="296"/>
        <v>1</v>
      </c>
      <c r="AX736" s="171">
        <f t="shared" si="305"/>
        <v>1</v>
      </c>
      <c r="AY736" s="171">
        <f t="shared" si="297"/>
        <v>0</v>
      </c>
      <c r="AZ736" s="171">
        <f t="shared" si="298"/>
        <v>1</v>
      </c>
      <c r="BA736" s="172">
        <f t="shared" si="299"/>
        <v>1</v>
      </c>
      <c r="BB736" s="175">
        <f t="shared" si="311"/>
        <v>18</v>
      </c>
      <c r="BC736" s="176">
        <f t="shared" si="312"/>
        <v>17</v>
      </c>
      <c r="BD736" s="176">
        <f t="shared" si="313"/>
        <v>17</v>
      </c>
      <c r="BE736" s="240" t="str">
        <f t="shared" si="304"/>
        <v/>
      </c>
      <c r="BF736" s="234"/>
      <c r="BG736" s="234"/>
      <c r="BH736" s="199">
        <f>IF(AND(Input_Product=Elig!$C736,Elig_MatchAll_Ct&lt;22,$BC736=(Elig_MatchAll_Ct-1),AF736=0),C736,0)</f>
        <v>0</v>
      </c>
      <c r="BI736" s="199">
        <f>IF(AND(Input_Product=Elig!$C736,Elig_MatchAll_Ct&lt;22,$BC736=(Elig_MatchAll_Ct-1),AG736=0),D736,0)</f>
        <v>0</v>
      </c>
      <c r="BJ736" s="199">
        <f>IF(AND(Input_Product=Elig!$C736,Elig_MatchAll_Ct&lt;22,$BC736=(Elig_MatchAll_Ct-1),AH736=0),E736,0)</f>
        <v>0</v>
      </c>
      <c r="BK736" s="199">
        <f>IF(AND(Input_Product=Elig!$C736,Elig_MatchAll_Ct&lt;22,$BC736=(Elig_MatchAll_Ct-1),AI736=0),F736,0)</f>
        <v>0</v>
      </c>
      <c r="BL736" s="199">
        <f>IF(AND(Input_Product=Elig!$C736,Elig_MatchAll_Ct&lt;22,$BC736=(Elig_MatchAll_Ct-1),AJ736=0),G736,0)</f>
        <v>0</v>
      </c>
      <c r="BM736" s="199">
        <f>IF(AND(Input_Product=Elig!$C736,Elig_MatchAll_Ct&lt;22,$BC736=(Elig_MatchAll_Ct-1),AK736=0),H736,0)</f>
        <v>0</v>
      </c>
      <c r="BN736" s="199">
        <f>IF(AND(Input_Product=Elig!$C736,Elig_MatchAll_Ct&lt;22,$BC736=(Elig_MatchAll_Ct-1),AL736=0),I736,0)</f>
        <v>0</v>
      </c>
      <c r="BO736" s="199">
        <f>IF(AND(Input_Product=Elig!$C736,Elig_MatchAll_Ct&lt;22,$BC736=(Elig_MatchAll_Ct-1),AM736=0),J736,0)</f>
        <v>0</v>
      </c>
      <c r="BP736" s="199">
        <f>IF(AND(Input_Product=Elig!$C736,Elig_MatchAll_Ct&lt;22,$BC736=(Elig_MatchAll_Ct-1),AN736=0),K736,0)</f>
        <v>0</v>
      </c>
      <c r="BQ736" s="199">
        <f>IF(AND(Input_Product=Elig!$C736,Elig_MatchAll_Ct&lt;22,$BC736=(Elig_MatchAll_Ct-1),AP736=0),L736,0)</f>
        <v>0</v>
      </c>
      <c r="BR736" s="199">
        <f>IF(AND(Input_Product=Elig!$C736,Elig_MatchAll_Ct&lt;22,$BC736=(Elig_MatchAll_Ct-1),AO736=0),M736,0)</f>
        <v>0</v>
      </c>
      <c r="BS736" s="199">
        <f>IF(AND(Input_Product=Elig!$C736,Elig_MatchAll_Ct&lt;22,$BC736=(Elig_MatchAll_Ct-1),AQ736=0),N736,0)</f>
        <v>0</v>
      </c>
      <c r="BT736" s="199">
        <f>IF(AND(Input_Product=Elig!$C736,Elig_MatchAll_Ct&lt;22,$BC736=(Elig_MatchAll_Ct-1),AR736=0),O736,0)</f>
        <v>0</v>
      </c>
      <c r="BU736" s="199">
        <f>IF(AND(Input_Product=Elig!$C736,Elig_MatchAll_Ct&lt;22,$BC736=(Elig_MatchAll_Ct-1),AS736=0),P736,0)</f>
        <v>0</v>
      </c>
      <c r="BV736" s="200">
        <f>IF(AND(Input_Product=Elig!$C736,Elig_MatchAll_Ct&lt;22,$BC736=(Elig_MatchAll_Ct-1),AT736=0),Q736,0)</f>
        <v>0</v>
      </c>
      <c r="BW736" s="201">
        <f>IF(AND(Input_Product=Elig!$C736,Elig_MatchAll_Ct&lt;22,$BC736=(Elig_MatchAll_Ct-1),AU736=0),R736,0)</f>
        <v>0</v>
      </c>
      <c r="BX736" s="202">
        <f>IF(AND(Input_Product=Elig!$C736,Elig_MatchAll_Ct&lt;22,$BC736=(Elig_MatchAll_Ct-1),AU736=0),S736,0)</f>
        <v>0</v>
      </c>
      <c r="BY736" s="201">
        <f>IF(AND(Input_Product=Elig!$C736,Elig_MatchAll_Ct&lt;22,$BC736=(Elig_MatchAll_Ct-1),AV736=0),T736,0)</f>
        <v>0</v>
      </c>
      <c r="BZ736" s="202">
        <f>IF(AND(Input_Product=Elig!$C736,Elig_MatchAll_Ct&lt;22,$BC736=(Elig_MatchAll_Ct-1),AV736=0),U736,0)</f>
        <v>0</v>
      </c>
      <c r="CA736" s="201">
        <f>IF(AND(Input_Product=Elig!$C736,Elig_MatchAll_Ct&lt;22,$BC736=(Elig_MatchAll_Ct-1),AW736=0),V736,0)</f>
        <v>0</v>
      </c>
      <c r="CB736" s="202">
        <f>IF(AND(Input_Product=Elig!$C736,Elig_MatchAll_Ct&lt;22,$BC736=(Elig_MatchAll_Ct-1),AW736=0),W736,0)</f>
        <v>0</v>
      </c>
      <c r="CC736" s="201">
        <f>IF(AND(Input_Product=Elig!$C736,Elig_MatchAll_Ct&lt;22,$BC736=(Elig_MatchAll_Ct-1),AX736=0),X736,0)</f>
        <v>0</v>
      </c>
      <c r="CD736" s="202">
        <f>IF(AND(Input_Product=Elig!$C736,Elig_MatchAll_Ct&lt;22,$BC736=(Elig_MatchAll_Ct-1),AX736=0),Y736,0)</f>
        <v>0</v>
      </c>
      <c r="CE736" s="201">
        <f>IF(AND(Input_LTV&lt;=AE736,Input_Product=Elig!$C736,Elig_MatchAll_Ct&lt;22,$BC736=(Elig_MatchAll_Ct-1),AY736=0),Z736,0)</f>
        <v>0</v>
      </c>
      <c r="CF736" s="202">
        <f>IF(AND(Input_LTV&lt;=AE736,Input_Product=Elig!$C736,Elig_MatchAll_Ct&lt;22,$BC736=(Elig_MatchAll_Ct-1),AY736=0),AA736,0)</f>
        <v>0</v>
      </c>
      <c r="CG736" s="201">
        <f>IF(AND(Input_Product=Elig!$C736,Elig_MatchAll_Ct&lt;22,$BC736=(Elig_MatchAll_Ct-1),AZ736=0),AB736,0)</f>
        <v>0</v>
      </c>
      <c r="CH736" s="202">
        <f>IF(AND(Input_Product=Elig!$C736,Elig_MatchAll_Ct&lt;22,$BC736=(Elig_MatchAll_Ct-1),AZ736=0),AC736,0)</f>
        <v>0</v>
      </c>
      <c r="CI736" s="201">
        <f>IF(AND(Input_Product=Elig!$C736,Elig_MatchAll_Ct&lt;22,$BC736=(Elig_MatchAll_Ct-1),BA736=0),AD736,0)</f>
        <v>0</v>
      </c>
      <c r="CJ736" s="202">
        <f>IF(AND(Input_Product=Elig!$C736,Elig_MatchAll_Ct&lt;22,$BC736=(Elig_MatchAll_Ct-1),BA736=0),AE736,0)</f>
        <v>0</v>
      </c>
    </row>
    <row r="737" spans="2:88" ht="10.15" customHeight="1" x14ac:dyDescent="0.25">
      <c r="B737" s="2027" t="s">
        <v>3855</v>
      </c>
      <c r="C737" s="2032" t="str">
        <f t="shared" si="279"/>
        <v>Second OO</v>
      </c>
      <c r="D737" s="2031" t="s">
        <v>1569</v>
      </c>
      <c r="E737" s="2031" t="s">
        <v>98</v>
      </c>
      <c r="F737" s="2031" t="s">
        <v>329</v>
      </c>
      <c r="G737" s="2111" t="s">
        <v>468</v>
      </c>
      <c r="H737" s="2033" t="s">
        <v>136</v>
      </c>
      <c r="I737" s="2031" t="s">
        <v>1332</v>
      </c>
      <c r="J737" s="2031" t="s">
        <v>1311</v>
      </c>
      <c r="K737" s="2033" t="s">
        <v>1790</v>
      </c>
      <c r="L737" s="2031" t="s">
        <v>430</v>
      </c>
      <c r="M737" s="2031" t="s">
        <v>2677</v>
      </c>
      <c r="N737" s="2033" t="s">
        <v>82</v>
      </c>
      <c r="O737" s="2031" t="s">
        <v>310</v>
      </c>
      <c r="P737" s="2031" t="s">
        <v>291</v>
      </c>
      <c r="Q737" s="2031" t="s">
        <v>294</v>
      </c>
      <c r="R737" s="2031">
        <v>350000.01</v>
      </c>
      <c r="S737" s="324">
        <v>500000</v>
      </c>
      <c r="T737" s="2031">
        <v>0</v>
      </c>
      <c r="U737" s="2031">
        <f t="shared" si="310"/>
        <v>500000</v>
      </c>
      <c r="V737" s="2031">
        <v>0</v>
      </c>
      <c r="W737" s="2031">
        <v>50</v>
      </c>
      <c r="X737" s="2031">
        <v>0</v>
      </c>
      <c r="Y737" s="2031">
        <v>999</v>
      </c>
      <c r="Z737" s="2034">
        <v>660</v>
      </c>
      <c r="AA737" s="2034">
        <v>679</v>
      </c>
      <c r="AB737" s="2034">
        <v>0</v>
      </c>
      <c r="AC737" s="2034">
        <v>999999</v>
      </c>
      <c r="AD737" s="2031">
        <v>0</v>
      </c>
      <c r="AE737" s="2107">
        <v>60</v>
      </c>
      <c r="AF737" s="170">
        <v>1</v>
      </c>
      <c r="AG737" s="171">
        <v>1</v>
      </c>
      <c r="AH737" s="171">
        <v>1</v>
      </c>
      <c r="AI737" s="171">
        <v>0</v>
      </c>
      <c r="AJ737" s="171">
        <v>0</v>
      </c>
      <c r="AK737" s="171">
        <v>1</v>
      </c>
      <c r="AL737" s="171">
        <v>1</v>
      </c>
      <c r="AM737" s="171">
        <v>1</v>
      </c>
      <c r="AN737" s="171">
        <v>1</v>
      </c>
      <c r="AO737" s="171">
        <v>1</v>
      </c>
      <c r="AP737" s="171">
        <v>1</v>
      </c>
      <c r="AQ737" s="171">
        <v>1</v>
      </c>
      <c r="AR737" s="171">
        <v>1</v>
      </c>
      <c r="AS737" s="171">
        <v>1</v>
      </c>
      <c r="AT737" s="171">
        <v>1</v>
      </c>
      <c r="AU737" s="171">
        <f t="shared" si="294"/>
        <v>0</v>
      </c>
      <c r="AV737" s="171">
        <f t="shared" si="295"/>
        <v>1</v>
      </c>
      <c r="AW737" s="171">
        <f t="shared" si="296"/>
        <v>1</v>
      </c>
      <c r="AX737" s="171">
        <f t="shared" si="305"/>
        <v>1</v>
      </c>
      <c r="AY737" s="171">
        <f t="shared" si="297"/>
        <v>0</v>
      </c>
      <c r="AZ737" s="171">
        <f t="shared" si="298"/>
        <v>1</v>
      </c>
      <c r="BA737" s="172">
        <f t="shared" si="299"/>
        <v>0</v>
      </c>
      <c r="BB737" s="175">
        <f t="shared" si="311"/>
        <v>17</v>
      </c>
      <c r="BC737" s="176">
        <f t="shared" si="312"/>
        <v>17</v>
      </c>
      <c r="BD737" s="176">
        <f t="shared" si="313"/>
        <v>16</v>
      </c>
      <c r="BE737" s="240" t="str">
        <f t="shared" si="304"/>
        <v/>
      </c>
      <c r="BF737" s="234"/>
      <c r="BG737" s="234"/>
      <c r="BH737" s="214">
        <f>IF(AND(Input_Product=Elig!$C737,Elig_MatchAll_Ct&lt;22,$BC737=(Elig_MatchAll_Ct-1),AF737=0),C737,0)</f>
        <v>0</v>
      </c>
      <c r="BI737" s="214">
        <f>IF(AND(Input_Product=Elig!$C737,Elig_MatchAll_Ct&lt;22,$BC737=(Elig_MatchAll_Ct-1),AG737=0),D737,0)</f>
        <v>0</v>
      </c>
      <c r="BJ737" s="214">
        <f>IF(AND(Input_Product=Elig!$C737,Elig_MatchAll_Ct&lt;22,$BC737=(Elig_MatchAll_Ct-1),AH737=0),E737,0)</f>
        <v>0</v>
      </c>
      <c r="BK737" s="214">
        <f>IF(AND(Input_Product=Elig!$C737,Elig_MatchAll_Ct&lt;22,$BC737=(Elig_MatchAll_Ct-1),AI737=0),F737,0)</f>
        <v>0</v>
      </c>
      <c r="BL737" s="214">
        <f>IF(AND(Input_Product=Elig!$C737,Elig_MatchAll_Ct&lt;22,$BC737=(Elig_MatchAll_Ct-1),AJ737=0),G737,0)</f>
        <v>0</v>
      </c>
      <c r="BM737" s="214">
        <f>IF(AND(Input_Product=Elig!$C737,Elig_MatchAll_Ct&lt;22,$BC737=(Elig_MatchAll_Ct-1),AK737=0),H737,0)</f>
        <v>0</v>
      </c>
      <c r="BN737" s="214">
        <f>IF(AND(Input_Product=Elig!$C737,Elig_MatchAll_Ct&lt;22,$BC737=(Elig_MatchAll_Ct-1),AL737=0),I737,0)</f>
        <v>0</v>
      </c>
      <c r="BO737" s="214">
        <f>IF(AND(Input_Product=Elig!$C737,Elig_MatchAll_Ct&lt;22,$BC737=(Elig_MatchAll_Ct-1),AM737=0),J737,0)</f>
        <v>0</v>
      </c>
      <c r="BP737" s="214">
        <f>IF(AND(Input_Product=Elig!$C737,Elig_MatchAll_Ct&lt;22,$BC737=(Elig_MatchAll_Ct-1),AN737=0),K737,0)</f>
        <v>0</v>
      </c>
      <c r="BQ737" s="214">
        <f>IF(AND(Input_Product=Elig!$C737,Elig_MatchAll_Ct&lt;22,$BC737=(Elig_MatchAll_Ct-1),AP737=0),L737,0)</f>
        <v>0</v>
      </c>
      <c r="BR737" s="214">
        <f>IF(AND(Input_Product=Elig!$C737,Elig_MatchAll_Ct&lt;22,$BC737=(Elig_MatchAll_Ct-1),AO737=0),M737,0)</f>
        <v>0</v>
      </c>
      <c r="BS737" s="214">
        <f>IF(AND(Input_Product=Elig!$C737,Elig_MatchAll_Ct&lt;22,$BC737=(Elig_MatchAll_Ct-1),AQ737=0),N737,0)</f>
        <v>0</v>
      </c>
      <c r="BT737" s="214">
        <f>IF(AND(Input_Product=Elig!$C737,Elig_MatchAll_Ct&lt;22,$BC737=(Elig_MatchAll_Ct-1),AR737=0),O737,0)</f>
        <v>0</v>
      </c>
      <c r="BU737" s="214">
        <f>IF(AND(Input_Product=Elig!$C737,Elig_MatchAll_Ct&lt;22,$BC737=(Elig_MatchAll_Ct-1),AS737=0),P737,0)</f>
        <v>0</v>
      </c>
      <c r="BV737" s="215">
        <f>IF(AND(Input_Product=Elig!$C737,Elig_MatchAll_Ct&lt;22,$BC737=(Elig_MatchAll_Ct-1),AT737=0),Q737,0)</f>
        <v>0</v>
      </c>
      <c r="BW737" s="311">
        <f>IF(AND(Input_Product=Elig!$C737,Elig_MatchAll_Ct&lt;22,$BC737=(Elig_MatchAll_Ct-1),AU737=0),R737,0)</f>
        <v>0</v>
      </c>
      <c r="BX737" s="312">
        <f>IF(AND(Input_Product=Elig!$C737,Elig_MatchAll_Ct&lt;22,$BC737=(Elig_MatchAll_Ct-1),AU737=0),S737,0)</f>
        <v>0</v>
      </c>
      <c r="BY737" s="311">
        <f>IF(AND(Input_Product=Elig!$C737,Elig_MatchAll_Ct&lt;22,$BC737=(Elig_MatchAll_Ct-1),AV737=0),T737,0)</f>
        <v>0</v>
      </c>
      <c r="BZ737" s="312">
        <f>IF(AND(Input_Product=Elig!$C737,Elig_MatchAll_Ct&lt;22,$BC737=(Elig_MatchAll_Ct-1),AV737=0),U737,0)</f>
        <v>0</v>
      </c>
      <c r="CA737" s="311">
        <f>IF(AND(Input_Product=Elig!$C737,Elig_MatchAll_Ct&lt;22,$BC737=(Elig_MatchAll_Ct-1),AW737=0),V737,0)</f>
        <v>0</v>
      </c>
      <c r="CB737" s="312">
        <f>IF(AND(Input_Product=Elig!$C737,Elig_MatchAll_Ct&lt;22,$BC737=(Elig_MatchAll_Ct-1),AW737=0),W737,0)</f>
        <v>0</v>
      </c>
      <c r="CC737" s="311">
        <f>IF(AND(Input_Product=Elig!$C737,Elig_MatchAll_Ct&lt;22,$BC737=(Elig_MatchAll_Ct-1),AX737=0),X737,0)</f>
        <v>0</v>
      </c>
      <c r="CD737" s="312">
        <f>IF(AND(Input_Product=Elig!$C737,Elig_MatchAll_Ct&lt;22,$BC737=(Elig_MatchAll_Ct-1),AX737=0),Y737,0)</f>
        <v>0</v>
      </c>
      <c r="CE737" s="311">
        <f>IF(AND(Input_LTV&lt;=AE737,Input_Product=Elig!$C737,Elig_MatchAll_Ct&lt;22,$BC737=(Elig_MatchAll_Ct-1),AY737=0),Z737,0)</f>
        <v>0</v>
      </c>
      <c r="CF737" s="312">
        <f>IF(AND(Input_LTV&lt;=AE737,Input_Product=Elig!$C737,Elig_MatchAll_Ct&lt;22,$BC737=(Elig_MatchAll_Ct-1),AY737=0),AA737,0)</f>
        <v>0</v>
      </c>
      <c r="CG737" s="311">
        <f>IF(AND(Input_Product=Elig!$C737,Elig_MatchAll_Ct&lt;22,$BC737=(Elig_MatchAll_Ct-1),AZ737=0),AB737,0)</f>
        <v>0</v>
      </c>
      <c r="CH737" s="312">
        <f>IF(AND(Input_Product=Elig!$C737,Elig_MatchAll_Ct&lt;22,$BC737=(Elig_MatchAll_Ct-1),AZ737=0),AC737,0)</f>
        <v>0</v>
      </c>
      <c r="CI737" s="311">
        <f>IF(AND(Input_Product=Elig!$C737,Elig_MatchAll_Ct&lt;22,$BC737=(Elig_MatchAll_Ct-1),BA737=0),AD737,0)</f>
        <v>0</v>
      </c>
      <c r="CJ737" s="312">
        <f>IF(AND(Input_Product=Elig!$C737,Elig_MatchAll_Ct&lt;22,$BC737=(Elig_MatchAll_Ct-1),BA737=0),AE737,0)</f>
        <v>0</v>
      </c>
    </row>
    <row r="738" spans="2:88" ht="10.15" customHeight="1" x14ac:dyDescent="0.25">
      <c r="B738" s="2027" t="s">
        <v>3856</v>
      </c>
      <c r="C738" s="2024" t="str">
        <f t="shared" si="279"/>
        <v>Second OO</v>
      </c>
      <c r="D738" s="2025" t="s">
        <v>1569</v>
      </c>
      <c r="E738" s="2025" t="s">
        <v>98</v>
      </c>
      <c r="F738" s="2025" t="s">
        <v>329</v>
      </c>
      <c r="G738" s="2103" t="s">
        <v>472</v>
      </c>
      <c r="H738" s="2025" t="s">
        <v>136</v>
      </c>
      <c r="I738" s="2023" t="s">
        <v>1332</v>
      </c>
      <c r="J738" s="2023" t="s">
        <v>1311</v>
      </c>
      <c r="K738" s="2025" t="s">
        <v>1790</v>
      </c>
      <c r="L738" s="2023" t="s">
        <v>430</v>
      </c>
      <c r="M738" s="2023" t="s">
        <v>2677</v>
      </c>
      <c r="N738" s="2025" t="s">
        <v>82</v>
      </c>
      <c r="O738" s="2023" t="s">
        <v>310</v>
      </c>
      <c r="P738" s="2023" t="s">
        <v>291</v>
      </c>
      <c r="Q738" s="2023" t="s">
        <v>294</v>
      </c>
      <c r="R738" s="2023">
        <v>350000.01</v>
      </c>
      <c r="S738" s="323">
        <v>500000</v>
      </c>
      <c r="T738" s="2023">
        <v>0</v>
      </c>
      <c r="U738" s="2023">
        <f t="shared" si="300"/>
        <v>500000</v>
      </c>
      <c r="V738" s="2023">
        <v>0</v>
      </c>
      <c r="W738" s="2023">
        <v>50</v>
      </c>
      <c r="X738" s="2023">
        <v>0</v>
      </c>
      <c r="Y738" s="2023">
        <v>999</v>
      </c>
      <c r="Z738" s="2026">
        <v>720</v>
      </c>
      <c r="AA738" s="2026">
        <v>999</v>
      </c>
      <c r="AB738" s="2026">
        <v>0</v>
      </c>
      <c r="AC738" s="2026">
        <v>999999</v>
      </c>
      <c r="AD738" s="2023">
        <v>0</v>
      </c>
      <c r="AE738" s="1482">
        <v>70</v>
      </c>
      <c r="AF738" s="170">
        <v>1</v>
      </c>
      <c r="AG738" s="171">
        <v>1</v>
      </c>
      <c r="AH738" s="171">
        <v>1</v>
      </c>
      <c r="AI738" s="171">
        <v>0</v>
      </c>
      <c r="AJ738" s="171">
        <v>0</v>
      </c>
      <c r="AK738" s="171">
        <v>1</v>
      </c>
      <c r="AL738" s="171">
        <v>1</v>
      </c>
      <c r="AM738" s="171">
        <v>1</v>
      </c>
      <c r="AN738" s="171">
        <v>1</v>
      </c>
      <c r="AO738" s="171">
        <v>1</v>
      </c>
      <c r="AP738" s="171">
        <v>1</v>
      </c>
      <c r="AQ738" s="171">
        <v>1</v>
      </c>
      <c r="AR738" s="171">
        <v>1</v>
      </c>
      <c r="AS738" s="171">
        <v>1</v>
      </c>
      <c r="AT738" s="171">
        <v>1</v>
      </c>
      <c r="AU738" s="171">
        <f t="shared" si="294"/>
        <v>0</v>
      </c>
      <c r="AV738" s="171">
        <f t="shared" si="295"/>
        <v>1</v>
      </c>
      <c r="AW738" s="171">
        <f t="shared" si="296"/>
        <v>1</v>
      </c>
      <c r="AX738" s="171">
        <f t="shared" si="305"/>
        <v>1</v>
      </c>
      <c r="AY738" s="171">
        <f t="shared" si="297"/>
        <v>1</v>
      </c>
      <c r="AZ738" s="171">
        <f t="shared" si="298"/>
        <v>1</v>
      </c>
      <c r="BA738" s="172">
        <f t="shared" si="299"/>
        <v>1</v>
      </c>
      <c r="BB738" s="175">
        <f t="shared" si="301"/>
        <v>19</v>
      </c>
      <c r="BC738" s="176">
        <f t="shared" si="302"/>
        <v>18</v>
      </c>
      <c r="BD738" s="176">
        <f t="shared" si="303"/>
        <v>18</v>
      </c>
      <c r="BE738" s="240" t="str">
        <f t="shared" si="304"/>
        <v/>
      </c>
      <c r="BF738" s="220"/>
      <c r="BG738" s="220"/>
      <c r="BH738" s="216">
        <f>IF(AND(Input_Product=Elig!$C738,Elig_MatchAll_Ct&lt;22,$BC738=(Elig_MatchAll_Ct-1),AF738=0),C738,0)</f>
        <v>0</v>
      </c>
      <c r="BI738" s="216">
        <f>IF(AND(Input_Product=Elig!$C738,Elig_MatchAll_Ct&lt;22,$BC738=(Elig_MatchAll_Ct-1),AG738=0),D738,0)</f>
        <v>0</v>
      </c>
      <c r="BJ738" s="216">
        <f>IF(AND(Input_Product=Elig!$C738,Elig_MatchAll_Ct&lt;22,$BC738=(Elig_MatchAll_Ct-1),AH738=0),E738,0)</f>
        <v>0</v>
      </c>
      <c r="BK738" s="216">
        <f>IF(AND(Input_Product=Elig!$C738,Elig_MatchAll_Ct&lt;22,$BC738=(Elig_MatchAll_Ct-1),AI738=0),F738,0)</f>
        <v>0</v>
      </c>
      <c r="BL738" s="216">
        <f>IF(AND(Input_Product=Elig!$C738,Elig_MatchAll_Ct&lt;22,$BC738=(Elig_MatchAll_Ct-1),AJ738=0),G738,0)</f>
        <v>0</v>
      </c>
      <c r="BM738" s="216">
        <f>IF(AND(Input_Product=Elig!$C738,Elig_MatchAll_Ct&lt;22,$BC738=(Elig_MatchAll_Ct-1),AK738=0),H738,0)</f>
        <v>0</v>
      </c>
      <c r="BN738" s="216">
        <f>IF(AND(Input_Product=Elig!$C738,Elig_MatchAll_Ct&lt;22,$BC738=(Elig_MatchAll_Ct-1),AL738=0),I738,0)</f>
        <v>0</v>
      </c>
      <c r="BO738" s="216">
        <f>IF(AND(Input_Product=Elig!$C738,Elig_MatchAll_Ct&lt;22,$BC738=(Elig_MatchAll_Ct-1),AM738=0),J738,0)</f>
        <v>0</v>
      </c>
      <c r="BP738" s="216">
        <f>IF(AND(Input_Product=Elig!$C738,Elig_MatchAll_Ct&lt;22,$BC738=(Elig_MatchAll_Ct-1),AN738=0),K738,0)</f>
        <v>0</v>
      </c>
      <c r="BQ738" s="216">
        <f>IF(AND(Input_Product=Elig!$C738,Elig_MatchAll_Ct&lt;22,$BC738=(Elig_MatchAll_Ct-1),AP738=0),L738,0)</f>
        <v>0</v>
      </c>
      <c r="BR738" s="216">
        <f>IF(AND(Input_Product=Elig!$C738,Elig_MatchAll_Ct&lt;22,$BC738=(Elig_MatchAll_Ct-1),AO738=0),M738,0)</f>
        <v>0</v>
      </c>
      <c r="BS738" s="216">
        <f>IF(AND(Input_Product=Elig!$C738,Elig_MatchAll_Ct&lt;22,$BC738=(Elig_MatchAll_Ct-1),AQ738=0),N738,0)</f>
        <v>0</v>
      </c>
      <c r="BT738" s="216">
        <f>IF(AND(Input_Product=Elig!$C738,Elig_MatchAll_Ct&lt;22,$BC738=(Elig_MatchAll_Ct-1),AR738=0),O738,0)</f>
        <v>0</v>
      </c>
      <c r="BU738" s="216">
        <f>IF(AND(Input_Product=Elig!$C738,Elig_MatchAll_Ct&lt;22,$BC738=(Elig_MatchAll_Ct-1),AS738=0),P738,0)</f>
        <v>0</v>
      </c>
      <c r="BV738" s="217">
        <f>IF(AND(Input_Product=Elig!$C738,Elig_MatchAll_Ct&lt;22,$BC738=(Elig_MatchAll_Ct-1),AT738=0),Q738,0)</f>
        <v>0</v>
      </c>
      <c r="BW738" s="313">
        <f>IF(AND(Input_Product=Elig!$C738,Elig_MatchAll_Ct&lt;22,$BC738=(Elig_MatchAll_Ct-1),AU738=0),R738,0)</f>
        <v>0</v>
      </c>
      <c r="BX738" s="314">
        <f>IF(AND(Input_Product=Elig!$C738,Elig_MatchAll_Ct&lt;22,$BC738=(Elig_MatchAll_Ct-1),AU738=0),S738,0)</f>
        <v>0</v>
      </c>
      <c r="BY738" s="313">
        <f>IF(AND(Input_Product=Elig!$C738,Elig_MatchAll_Ct&lt;22,$BC738=(Elig_MatchAll_Ct-1),AV738=0),T738,0)</f>
        <v>0</v>
      </c>
      <c r="BZ738" s="314">
        <f>IF(AND(Input_Product=Elig!$C738,Elig_MatchAll_Ct&lt;22,$BC738=(Elig_MatchAll_Ct-1),AV738=0),U738,0)</f>
        <v>0</v>
      </c>
      <c r="CA738" s="313">
        <f>IF(AND(Input_Product=Elig!$C738,Elig_MatchAll_Ct&lt;22,$BC738=(Elig_MatchAll_Ct-1),AW738=0),V738,0)</f>
        <v>0</v>
      </c>
      <c r="CB738" s="314">
        <f>IF(AND(Input_Product=Elig!$C738,Elig_MatchAll_Ct&lt;22,$BC738=(Elig_MatchAll_Ct-1),AW738=0),W738,0)</f>
        <v>0</v>
      </c>
      <c r="CC738" s="313">
        <f>IF(AND(Input_Product=Elig!$C738,Elig_MatchAll_Ct&lt;22,$BC738=(Elig_MatchAll_Ct-1),AX738=0),X738,0)</f>
        <v>0</v>
      </c>
      <c r="CD738" s="314">
        <f>IF(AND(Input_Product=Elig!$C738,Elig_MatchAll_Ct&lt;22,$BC738=(Elig_MatchAll_Ct-1),AX738=0),Y738,0)</f>
        <v>0</v>
      </c>
      <c r="CE738" s="313">
        <f>IF(AND(Input_LTV&lt;=AE738,Input_Product=Elig!$C738,Elig_MatchAll_Ct&lt;22,$BC738=(Elig_MatchAll_Ct-1),AY738=0),Z738,0)</f>
        <v>0</v>
      </c>
      <c r="CF738" s="314">
        <f>IF(AND(Input_LTV&lt;=AE738,Input_Product=Elig!$C738,Elig_MatchAll_Ct&lt;22,$BC738=(Elig_MatchAll_Ct-1),AY738=0),AA738,0)</f>
        <v>0</v>
      </c>
      <c r="CG738" s="313">
        <f>IF(AND(Input_Product=Elig!$C738,Elig_MatchAll_Ct&lt;22,$BC738=(Elig_MatchAll_Ct-1),AZ738=0),AB738,0)</f>
        <v>0</v>
      </c>
      <c r="CH738" s="314">
        <f>IF(AND(Input_Product=Elig!$C738,Elig_MatchAll_Ct&lt;22,$BC738=(Elig_MatchAll_Ct-1),AZ738=0),AC738,0)</f>
        <v>0</v>
      </c>
      <c r="CI738" s="313">
        <f>IF(AND(Input_Product=Elig!$C738,Elig_MatchAll_Ct&lt;22,$BC738=(Elig_MatchAll_Ct-1),BA738=0),AD738,0)</f>
        <v>0</v>
      </c>
      <c r="CJ738" s="314">
        <f>IF(AND(Input_Product=Elig!$C738,Elig_MatchAll_Ct&lt;22,$BC738=(Elig_MatchAll_Ct-1),BA738=0),AE738,0)</f>
        <v>0</v>
      </c>
    </row>
    <row r="739" spans="2:88" ht="10.15" customHeight="1" x14ac:dyDescent="0.25">
      <c r="B739" s="2027" t="s">
        <v>3857</v>
      </c>
      <c r="C739" s="2028" t="str">
        <f t="shared" si="279"/>
        <v>Second OO</v>
      </c>
      <c r="D739" s="2027" t="s">
        <v>1569</v>
      </c>
      <c r="E739" s="2027" t="s">
        <v>98</v>
      </c>
      <c r="F739" s="2027" t="s">
        <v>329</v>
      </c>
      <c r="G739" s="2110" t="s">
        <v>472</v>
      </c>
      <c r="H739" s="2029" t="s">
        <v>136</v>
      </c>
      <c r="I739" s="2027" t="s">
        <v>1332</v>
      </c>
      <c r="J739" s="2027" t="s">
        <v>1311</v>
      </c>
      <c r="K739" s="2029" t="s">
        <v>1790</v>
      </c>
      <c r="L739" s="2027" t="s">
        <v>430</v>
      </c>
      <c r="M739" s="2027" t="s">
        <v>2677</v>
      </c>
      <c r="N739" s="2029" t="s">
        <v>82</v>
      </c>
      <c r="O739" s="2027" t="s">
        <v>310</v>
      </c>
      <c r="P739" s="2027" t="s">
        <v>291</v>
      </c>
      <c r="Q739" s="2027" t="s">
        <v>294</v>
      </c>
      <c r="R739" s="2027">
        <v>350000.01</v>
      </c>
      <c r="S739" s="300">
        <v>500000</v>
      </c>
      <c r="T739" s="2027">
        <v>0</v>
      </c>
      <c r="U739" s="2027">
        <f t="shared" si="300"/>
        <v>500000</v>
      </c>
      <c r="V739" s="2027">
        <v>0</v>
      </c>
      <c r="W739" s="2027">
        <v>50</v>
      </c>
      <c r="X739" s="2027">
        <v>0</v>
      </c>
      <c r="Y739" s="2027">
        <v>999</v>
      </c>
      <c r="Z739" s="2030">
        <v>700</v>
      </c>
      <c r="AA739" s="2030">
        <v>719</v>
      </c>
      <c r="AB739" s="2030">
        <v>0</v>
      </c>
      <c r="AC739" s="2030">
        <v>999999</v>
      </c>
      <c r="AD739" s="2027">
        <v>0</v>
      </c>
      <c r="AE739" s="1483">
        <v>65</v>
      </c>
      <c r="AF739" s="170">
        <v>1</v>
      </c>
      <c r="AG739" s="171">
        <v>1</v>
      </c>
      <c r="AH739" s="171">
        <v>1</v>
      </c>
      <c r="AI739" s="171">
        <v>0</v>
      </c>
      <c r="AJ739" s="171">
        <v>0</v>
      </c>
      <c r="AK739" s="171">
        <v>1</v>
      </c>
      <c r="AL739" s="171">
        <v>1</v>
      </c>
      <c r="AM739" s="171">
        <v>1</v>
      </c>
      <c r="AN739" s="171">
        <v>1</v>
      </c>
      <c r="AO739" s="171">
        <v>1</v>
      </c>
      <c r="AP739" s="171">
        <v>1</v>
      </c>
      <c r="AQ739" s="171">
        <v>1</v>
      </c>
      <c r="AR739" s="171">
        <v>1</v>
      </c>
      <c r="AS739" s="171">
        <v>1</v>
      </c>
      <c r="AT739" s="171">
        <v>1</v>
      </c>
      <c r="AU739" s="171">
        <f t="shared" si="294"/>
        <v>0</v>
      </c>
      <c r="AV739" s="171">
        <f t="shared" si="295"/>
        <v>1</v>
      </c>
      <c r="AW739" s="171">
        <f t="shared" si="296"/>
        <v>1</v>
      </c>
      <c r="AX739" s="171">
        <f t="shared" si="305"/>
        <v>1</v>
      </c>
      <c r="AY739" s="171">
        <f t="shared" si="297"/>
        <v>0</v>
      </c>
      <c r="AZ739" s="171">
        <f t="shared" si="298"/>
        <v>1</v>
      </c>
      <c r="BA739" s="172">
        <f t="shared" si="299"/>
        <v>1</v>
      </c>
      <c r="BB739" s="175">
        <f t="shared" si="301"/>
        <v>18</v>
      </c>
      <c r="BC739" s="176">
        <f t="shared" si="302"/>
        <v>17</v>
      </c>
      <c r="BD739" s="176">
        <f t="shared" si="303"/>
        <v>17</v>
      </c>
      <c r="BE739" s="240" t="str">
        <f t="shared" si="304"/>
        <v/>
      </c>
      <c r="BF739" s="234"/>
      <c r="BG739" s="234"/>
      <c r="BH739" s="199">
        <f>IF(AND(Input_Product=Elig!$C739,Elig_MatchAll_Ct&lt;22,$BC739=(Elig_MatchAll_Ct-1),AF739=0),C739,0)</f>
        <v>0</v>
      </c>
      <c r="BI739" s="199">
        <f>IF(AND(Input_Product=Elig!$C739,Elig_MatchAll_Ct&lt;22,$BC739=(Elig_MatchAll_Ct-1),AG739=0),D739,0)</f>
        <v>0</v>
      </c>
      <c r="BJ739" s="199">
        <f>IF(AND(Input_Product=Elig!$C739,Elig_MatchAll_Ct&lt;22,$BC739=(Elig_MatchAll_Ct-1),AH739=0),E739,0)</f>
        <v>0</v>
      </c>
      <c r="BK739" s="199">
        <f>IF(AND(Input_Product=Elig!$C739,Elig_MatchAll_Ct&lt;22,$BC739=(Elig_MatchAll_Ct-1),AI739=0),F739,0)</f>
        <v>0</v>
      </c>
      <c r="BL739" s="199">
        <f>IF(AND(Input_Product=Elig!$C739,Elig_MatchAll_Ct&lt;22,$BC739=(Elig_MatchAll_Ct-1),AJ739=0),G739,0)</f>
        <v>0</v>
      </c>
      <c r="BM739" s="199">
        <f>IF(AND(Input_Product=Elig!$C739,Elig_MatchAll_Ct&lt;22,$BC739=(Elig_MatchAll_Ct-1),AK739=0),H739,0)</f>
        <v>0</v>
      </c>
      <c r="BN739" s="199">
        <f>IF(AND(Input_Product=Elig!$C739,Elig_MatchAll_Ct&lt;22,$BC739=(Elig_MatchAll_Ct-1),AL739=0),I739,0)</f>
        <v>0</v>
      </c>
      <c r="BO739" s="199">
        <f>IF(AND(Input_Product=Elig!$C739,Elig_MatchAll_Ct&lt;22,$BC739=(Elig_MatchAll_Ct-1),AM739=0),J739,0)</f>
        <v>0</v>
      </c>
      <c r="BP739" s="199">
        <f>IF(AND(Input_Product=Elig!$C739,Elig_MatchAll_Ct&lt;22,$BC739=(Elig_MatchAll_Ct-1),AN739=0),K739,0)</f>
        <v>0</v>
      </c>
      <c r="BQ739" s="199">
        <f>IF(AND(Input_Product=Elig!$C739,Elig_MatchAll_Ct&lt;22,$BC739=(Elig_MatchAll_Ct-1),AP739=0),L739,0)</f>
        <v>0</v>
      </c>
      <c r="BR739" s="199">
        <f>IF(AND(Input_Product=Elig!$C739,Elig_MatchAll_Ct&lt;22,$BC739=(Elig_MatchAll_Ct-1),AO739=0),M739,0)</f>
        <v>0</v>
      </c>
      <c r="BS739" s="199">
        <f>IF(AND(Input_Product=Elig!$C739,Elig_MatchAll_Ct&lt;22,$BC739=(Elig_MatchAll_Ct-1),AQ739=0),N739,0)</f>
        <v>0</v>
      </c>
      <c r="BT739" s="199">
        <f>IF(AND(Input_Product=Elig!$C739,Elig_MatchAll_Ct&lt;22,$BC739=(Elig_MatchAll_Ct-1),AR739=0),O739,0)</f>
        <v>0</v>
      </c>
      <c r="BU739" s="199">
        <f>IF(AND(Input_Product=Elig!$C739,Elig_MatchAll_Ct&lt;22,$BC739=(Elig_MatchAll_Ct-1),AS739=0),P739,0)</f>
        <v>0</v>
      </c>
      <c r="BV739" s="200">
        <f>IF(AND(Input_Product=Elig!$C739,Elig_MatchAll_Ct&lt;22,$BC739=(Elig_MatchAll_Ct-1),AT739=0),Q739,0)</f>
        <v>0</v>
      </c>
      <c r="BW739" s="201">
        <f>IF(AND(Input_Product=Elig!$C739,Elig_MatchAll_Ct&lt;22,$BC739=(Elig_MatchAll_Ct-1),AU739=0),R739,0)</f>
        <v>0</v>
      </c>
      <c r="BX739" s="202">
        <f>IF(AND(Input_Product=Elig!$C739,Elig_MatchAll_Ct&lt;22,$BC739=(Elig_MatchAll_Ct-1),AU739=0),S739,0)</f>
        <v>0</v>
      </c>
      <c r="BY739" s="201">
        <f>IF(AND(Input_Product=Elig!$C739,Elig_MatchAll_Ct&lt;22,$BC739=(Elig_MatchAll_Ct-1),AV739=0),T739,0)</f>
        <v>0</v>
      </c>
      <c r="BZ739" s="202">
        <f>IF(AND(Input_Product=Elig!$C739,Elig_MatchAll_Ct&lt;22,$BC739=(Elig_MatchAll_Ct-1),AV739=0),U739,0)</f>
        <v>0</v>
      </c>
      <c r="CA739" s="201">
        <f>IF(AND(Input_Product=Elig!$C739,Elig_MatchAll_Ct&lt;22,$BC739=(Elig_MatchAll_Ct-1),AW739=0),V739,0)</f>
        <v>0</v>
      </c>
      <c r="CB739" s="202">
        <f>IF(AND(Input_Product=Elig!$C739,Elig_MatchAll_Ct&lt;22,$BC739=(Elig_MatchAll_Ct-1),AW739=0),W739,0)</f>
        <v>0</v>
      </c>
      <c r="CC739" s="201">
        <f>IF(AND(Input_Product=Elig!$C739,Elig_MatchAll_Ct&lt;22,$BC739=(Elig_MatchAll_Ct-1),AX739=0),X739,0)</f>
        <v>0</v>
      </c>
      <c r="CD739" s="202">
        <f>IF(AND(Input_Product=Elig!$C739,Elig_MatchAll_Ct&lt;22,$BC739=(Elig_MatchAll_Ct-1),AX739=0),Y739,0)</f>
        <v>0</v>
      </c>
      <c r="CE739" s="201">
        <f>IF(AND(Input_LTV&lt;=AE739,Input_Product=Elig!$C739,Elig_MatchAll_Ct&lt;22,$BC739=(Elig_MatchAll_Ct-1),AY739=0),Z739,0)</f>
        <v>0</v>
      </c>
      <c r="CF739" s="202">
        <f>IF(AND(Input_LTV&lt;=AE739,Input_Product=Elig!$C739,Elig_MatchAll_Ct&lt;22,$BC739=(Elig_MatchAll_Ct-1),AY739=0),AA739,0)</f>
        <v>0</v>
      </c>
      <c r="CG739" s="201">
        <f>IF(AND(Input_Product=Elig!$C739,Elig_MatchAll_Ct&lt;22,$BC739=(Elig_MatchAll_Ct-1),AZ739=0),AB739,0)</f>
        <v>0</v>
      </c>
      <c r="CH739" s="202">
        <f>IF(AND(Input_Product=Elig!$C739,Elig_MatchAll_Ct&lt;22,$BC739=(Elig_MatchAll_Ct-1),AZ739=0),AC739,0)</f>
        <v>0</v>
      </c>
      <c r="CI739" s="201">
        <f>IF(AND(Input_Product=Elig!$C739,Elig_MatchAll_Ct&lt;22,$BC739=(Elig_MatchAll_Ct-1),BA739=0),AD739,0)</f>
        <v>0</v>
      </c>
      <c r="CJ739" s="202">
        <f>IF(AND(Input_Product=Elig!$C739,Elig_MatchAll_Ct&lt;22,$BC739=(Elig_MatchAll_Ct-1),BA739=0),AE739,0)</f>
        <v>0</v>
      </c>
    </row>
    <row r="740" spans="2:88" ht="10.15" customHeight="1" x14ac:dyDescent="0.25">
      <c r="B740" s="2027" t="s">
        <v>3858</v>
      </c>
      <c r="C740" s="2028" t="str">
        <f t="shared" si="279"/>
        <v>Second OO</v>
      </c>
      <c r="D740" s="2027" t="s">
        <v>1569</v>
      </c>
      <c r="E740" s="2027" t="s">
        <v>98</v>
      </c>
      <c r="F740" s="2027" t="s">
        <v>329</v>
      </c>
      <c r="G740" s="2110" t="s">
        <v>472</v>
      </c>
      <c r="H740" s="2029" t="s">
        <v>136</v>
      </c>
      <c r="I740" s="2027" t="s">
        <v>1332</v>
      </c>
      <c r="J740" s="2027" t="s">
        <v>1311</v>
      </c>
      <c r="K740" s="2029" t="s">
        <v>1790</v>
      </c>
      <c r="L740" s="2027" t="s">
        <v>430</v>
      </c>
      <c r="M740" s="2027" t="s">
        <v>2677</v>
      </c>
      <c r="N740" s="2029" t="s">
        <v>82</v>
      </c>
      <c r="O740" s="2027" t="s">
        <v>310</v>
      </c>
      <c r="P740" s="2027" t="s">
        <v>291</v>
      </c>
      <c r="Q740" s="2027" t="s">
        <v>294</v>
      </c>
      <c r="R740" s="2027">
        <v>350000.01</v>
      </c>
      <c r="S740" s="300">
        <v>500000</v>
      </c>
      <c r="T740" s="2027">
        <v>0</v>
      </c>
      <c r="U740" s="2027">
        <f t="shared" si="300"/>
        <v>500000</v>
      </c>
      <c r="V740" s="2027">
        <v>0</v>
      </c>
      <c r="W740" s="2027">
        <v>50</v>
      </c>
      <c r="X740" s="2027">
        <v>0</v>
      </c>
      <c r="Y740" s="2027">
        <v>999</v>
      </c>
      <c r="Z740" s="2030">
        <v>680</v>
      </c>
      <c r="AA740" s="2030">
        <v>699</v>
      </c>
      <c r="AB740" s="2030">
        <v>0</v>
      </c>
      <c r="AC740" s="2030">
        <v>999999</v>
      </c>
      <c r="AD740" s="2027">
        <v>0</v>
      </c>
      <c r="AE740" s="1483">
        <v>60</v>
      </c>
      <c r="AF740" s="170">
        <v>1</v>
      </c>
      <c r="AG740" s="171">
        <v>1</v>
      </c>
      <c r="AH740" s="171">
        <v>1</v>
      </c>
      <c r="AI740" s="171">
        <v>0</v>
      </c>
      <c r="AJ740" s="171">
        <v>0</v>
      </c>
      <c r="AK740" s="171">
        <v>1</v>
      </c>
      <c r="AL740" s="171">
        <v>1</v>
      </c>
      <c r="AM740" s="171">
        <v>1</v>
      </c>
      <c r="AN740" s="171">
        <v>1</v>
      </c>
      <c r="AO740" s="171">
        <v>1</v>
      </c>
      <c r="AP740" s="171">
        <v>1</v>
      </c>
      <c r="AQ740" s="171">
        <v>1</v>
      </c>
      <c r="AR740" s="171">
        <v>1</v>
      </c>
      <c r="AS740" s="171">
        <v>1</v>
      </c>
      <c r="AT740" s="171">
        <v>1</v>
      </c>
      <c r="AU740" s="171">
        <f t="shared" si="294"/>
        <v>0</v>
      </c>
      <c r="AV740" s="171">
        <f t="shared" si="295"/>
        <v>1</v>
      </c>
      <c r="AW740" s="171">
        <f t="shared" si="296"/>
        <v>1</v>
      </c>
      <c r="AX740" s="171">
        <f t="shared" si="305"/>
        <v>1</v>
      </c>
      <c r="AY740" s="171">
        <f t="shared" si="297"/>
        <v>0</v>
      </c>
      <c r="AZ740" s="171">
        <f t="shared" si="298"/>
        <v>1</v>
      </c>
      <c r="BA740" s="172">
        <f t="shared" si="299"/>
        <v>0</v>
      </c>
      <c r="BB740" s="175">
        <f t="shared" si="301"/>
        <v>17</v>
      </c>
      <c r="BC740" s="176">
        <f t="shared" si="302"/>
        <v>17</v>
      </c>
      <c r="BD740" s="176">
        <f t="shared" si="303"/>
        <v>16</v>
      </c>
      <c r="BE740" s="240" t="str">
        <f t="shared" si="304"/>
        <v/>
      </c>
      <c r="BF740" s="234"/>
      <c r="BG740" s="234"/>
      <c r="BH740" s="199">
        <f>IF(AND(Input_Product=Elig!$C740,Elig_MatchAll_Ct&lt;22,$BC740=(Elig_MatchAll_Ct-1),AF740=0),C740,0)</f>
        <v>0</v>
      </c>
      <c r="BI740" s="199">
        <f>IF(AND(Input_Product=Elig!$C740,Elig_MatchAll_Ct&lt;22,$BC740=(Elig_MatchAll_Ct-1),AG740=0),D740,0)</f>
        <v>0</v>
      </c>
      <c r="BJ740" s="199">
        <f>IF(AND(Input_Product=Elig!$C740,Elig_MatchAll_Ct&lt;22,$BC740=(Elig_MatchAll_Ct-1),AH740=0),E740,0)</f>
        <v>0</v>
      </c>
      <c r="BK740" s="199">
        <f>IF(AND(Input_Product=Elig!$C740,Elig_MatchAll_Ct&lt;22,$BC740=(Elig_MatchAll_Ct-1),AI740=0),F740,0)</f>
        <v>0</v>
      </c>
      <c r="BL740" s="199">
        <f>IF(AND(Input_Product=Elig!$C740,Elig_MatchAll_Ct&lt;22,$BC740=(Elig_MatchAll_Ct-1),AJ740=0),G740,0)</f>
        <v>0</v>
      </c>
      <c r="BM740" s="199">
        <f>IF(AND(Input_Product=Elig!$C740,Elig_MatchAll_Ct&lt;22,$BC740=(Elig_MatchAll_Ct-1),AK740=0),H740,0)</f>
        <v>0</v>
      </c>
      <c r="BN740" s="199">
        <f>IF(AND(Input_Product=Elig!$C740,Elig_MatchAll_Ct&lt;22,$BC740=(Elig_MatchAll_Ct-1),AL740=0),I740,0)</f>
        <v>0</v>
      </c>
      <c r="BO740" s="199">
        <f>IF(AND(Input_Product=Elig!$C740,Elig_MatchAll_Ct&lt;22,$BC740=(Elig_MatchAll_Ct-1),AM740=0),J740,0)</f>
        <v>0</v>
      </c>
      <c r="BP740" s="199">
        <f>IF(AND(Input_Product=Elig!$C740,Elig_MatchAll_Ct&lt;22,$BC740=(Elig_MatchAll_Ct-1),AN740=0),K740,0)</f>
        <v>0</v>
      </c>
      <c r="BQ740" s="199">
        <f>IF(AND(Input_Product=Elig!$C740,Elig_MatchAll_Ct&lt;22,$BC740=(Elig_MatchAll_Ct-1),AP740=0),L740,0)</f>
        <v>0</v>
      </c>
      <c r="BR740" s="199">
        <f>IF(AND(Input_Product=Elig!$C740,Elig_MatchAll_Ct&lt;22,$BC740=(Elig_MatchAll_Ct-1),AO740=0),M740,0)</f>
        <v>0</v>
      </c>
      <c r="BS740" s="199">
        <f>IF(AND(Input_Product=Elig!$C740,Elig_MatchAll_Ct&lt;22,$BC740=(Elig_MatchAll_Ct-1),AQ740=0),N740,0)</f>
        <v>0</v>
      </c>
      <c r="BT740" s="199">
        <f>IF(AND(Input_Product=Elig!$C740,Elig_MatchAll_Ct&lt;22,$BC740=(Elig_MatchAll_Ct-1),AR740=0),O740,0)</f>
        <v>0</v>
      </c>
      <c r="BU740" s="199">
        <f>IF(AND(Input_Product=Elig!$C740,Elig_MatchAll_Ct&lt;22,$BC740=(Elig_MatchAll_Ct-1),AS740=0),P740,0)</f>
        <v>0</v>
      </c>
      <c r="BV740" s="200">
        <f>IF(AND(Input_Product=Elig!$C740,Elig_MatchAll_Ct&lt;22,$BC740=(Elig_MatchAll_Ct-1),AT740=0),Q740,0)</f>
        <v>0</v>
      </c>
      <c r="BW740" s="201">
        <f>IF(AND(Input_Product=Elig!$C740,Elig_MatchAll_Ct&lt;22,$BC740=(Elig_MatchAll_Ct-1),AU740=0),R740,0)</f>
        <v>0</v>
      </c>
      <c r="BX740" s="202">
        <f>IF(AND(Input_Product=Elig!$C740,Elig_MatchAll_Ct&lt;22,$BC740=(Elig_MatchAll_Ct-1),AU740=0),S740,0)</f>
        <v>0</v>
      </c>
      <c r="BY740" s="201">
        <f>IF(AND(Input_Product=Elig!$C740,Elig_MatchAll_Ct&lt;22,$BC740=(Elig_MatchAll_Ct-1),AV740=0),T740,0)</f>
        <v>0</v>
      </c>
      <c r="BZ740" s="202">
        <f>IF(AND(Input_Product=Elig!$C740,Elig_MatchAll_Ct&lt;22,$BC740=(Elig_MatchAll_Ct-1),AV740=0),U740,0)</f>
        <v>0</v>
      </c>
      <c r="CA740" s="201">
        <f>IF(AND(Input_Product=Elig!$C740,Elig_MatchAll_Ct&lt;22,$BC740=(Elig_MatchAll_Ct-1),AW740=0),V740,0)</f>
        <v>0</v>
      </c>
      <c r="CB740" s="202">
        <f>IF(AND(Input_Product=Elig!$C740,Elig_MatchAll_Ct&lt;22,$BC740=(Elig_MatchAll_Ct-1),AW740=0),W740,0)</f>
        <v>0</v>
      </c>
      <c r="CC740" s="201">
        <f>IF(AND(Input_Product=Elig!$C740,Elig_MatchAll_Ct&lt;22,$BC740=(Elig_MatchAll_Ct-1),AX740=0),X740,0)</f>
        <v>0</v>
      </c>
      <c r="CD740" s="202">
        <f>IF(AND(Input_Product=Elig!$C740,Elig_MatchAll_Ct&lt;22,$BC740=(Elig_MatchAll_Ct-1),AX740=0),Y740,0)</f>
        <v>0</v>
      </c>
      <c r="CE740" s="201">
        <f>IF(AND(Input_LTV&lt;=AE740,Input_Product=Elig!$C740,Elig_MatchAll_Ct&lt;22,$BC740=(Elig_MatchAll_Ct-1),AY740=0),Z740,0)</f>
        <v>0</v>
      </c>
      <c r="CF740" s="202">
        <f>IF(AND(Input_LTV&lt;=AE740,Input_Product=Elig!$C740,Elig_MatchAll_Ct&lt;22,$BC740=(Elig_MatchAll_Ct-1),AY740=0),AA740,0)</f>
        <v>0</v>
      </c>
      <c r="CG740" s="201">
        <f>IF(AND(Input_Product=Elig!$C740,Elig_MatchAll_Ct&lt;22,$BC740=(Elig_MatchAll_Ct-1),AZ740=0),AB740,0)</f>
        <v>0</v>
      </c>
      <c r="CH740" s="202">
        <f>IF(AND(Input_Product=Elig!$C740,Elig_MatchAll_Ct&lt;22,$BC740=(Elig_MatchAll_Ct-1),AZ740=0),AC740,0)</f>
        <v>0</v>
      </c>
      <c r="CI740" s="201">
        <f>IF(AND(Input_Product=Elig!$C740,Elig_MatchAll_Ct&lt;22,$BC740=(Elig_MatchAll_Ct-1),BA740=0),AD740,0)</f>
        <v>0</v>
      </c>
      <c r="CJ740" s="202">
        <f>IF(AND(Input_Product=Elig!$C740,Elig_MatchAll_Ct&lt;22,$BC740=(Elig_MatchAll_Ct-1),BA740=0),AE740,0)</f>
        <v>0</v>
      </c>
    </row>
    <row r="741" spans="2:88" ht="10.15" customHeight="1" x14ac:dyDescent="0.25">
      <c r="B741" s="2027" t="s">
        <v>3859</v>
      </c>
      <c r="C741" s="2032" t="str">
        <f t="shared" si="279"/>
        <v>Second OO</v>
      </c>
      <c r="D741" s="2031" t="s">
        <v>1569</v>
      </c>
      <c r="E741" s="2031" t="s">
        <v>98</v>
      </c>
      <c r="F741" s="2031" t="s">
        <v>329</v>
      </c>
      <c r="G741" s="2111" t="s">
        <v>472</v>
      </c>
      <c r="H741" s="2033" t="s">
        <v>136</v>
      </c>
      <c r="I741" s="2031" t="s">
        <v>1332</v>
      </c>
      <c r="J741" s="2031" t="s">
        <v>1311</v>
      </c>
      <c r="K741" s="2033" t="s">
        <v>1790</v>
      </c>
      <c r="L741" s="2031" t="s">
        <v>430</v>
      </c>
      <c r="M741" s="2031" t="s">
        <v>2677</v>
      </c>
      <c r="N741" s="2033" t="s">
        <v>82</v>
      </c>
      <c r="O741" s="2031" t="s">
        <v>310</v>
      </c>
      <c r="P741" s="2031" t="s">
        <v>291</v>
      </c>
      <c r="Q741" s="2031" t="s">
        <v>294</v>
      </c>
      <c r="R741" s="2031">
        <v>350000.01</v>
      </c>
      <c r="S741" s="324">
        <v>500000</v>
      </c>
      <c r="T741" s="2031">
        <v>0</v>
      </c>
      <c r="U741" s="2031">
        <f t="shared" si="300"/>
        <v>500000</v>
      </c>
      <c r="V741" s="2031">
        <v>0</v>
      </c>
      <c r="W741" s="2031">
        <v>50</v>
      </c>
      <c r="X741" s="2031">
        <v>0</v>
      </c>
      <c r="Y741" s="2031">
        <v>999</v>
      </c>
      <c r="Z741" s="2034">
        <v>660</v>
      </c>
      <c r="AA741" s="2034">
        <v>679</v>
      </c>
      <c r="AB741" s="2034">
        <v>0</v>
      </c>
      <c r="AC741" s="2034">
        <v>999999</v>
      </c>
      <c r="AD741" s="2031">
        <v>0</v>
      </c>
      <c r="AE741" s="1484">
        <v>55</v>
      </c>
      <c r="AF741" s="170">
        <v>1</v>
      </c>
      <c r="AG741" s="171">
        <v>1</v>
      </c>
      <c r="AH741" s="171">
        <v>1</v>
      </c>
      <c r="AI741" s="171">
        <v>0</v>
      </c>
      <c r="AJ741" s="171">
        <v>0</v>
      </c>
      <c r="AK741" s="171">
        <v>1</v>
      </c>
      <c r="AL741" s="171">
        <v>1</v>
      </c>
      <c r="AM741" s="171">
        <v>1</v>
      </c>
      <c r="AN741" s="171">
        <v>1</v>
      </c>
      <c r="AO741" s="171">
        <v>1</v>
      </c>
      <c r="AP741" s="171">
        <v>1</v>
      </c>
      <c r="AQ741" s="171">
        <v>1</v>
      </c>
      <c r="AR741" s="171">
        <v>1</v>
      </c>
      <c r="AS741" s="171">
        <v>1</v>
      </c>
      <c r="AT741" s="171">
        <v>1</v>
      </c>
      <c r="AU741" s="171">
        <f t="shared" si="294"/>
        <v>0</v>
      </c>
      <c r="AV741" s="171">
        <f t="shared" si="295"/>
        <v>1</v>
      </c>
      <c r="AW741" s="171">
        <f t="shared" si="296"/>
        <v>1</v>
      </c>
      <c r="AX741" s="171">
        <f t="shared" si="305"/>
        <v>1</v>
      </c>
      <c r="AY741" s="171">
        <f t="shared" si="297"/>
        <v>0</v>
      </c>
      <c r="AZ741" s="171">
        <f t="shared" si="298"/>
        <v>1</v>
      </c>
      <c r="BA741" s="172">
        <f t="shared" si="299"/>
        <v>0</v>
      </c>
      <c r="BB741" s="175">
        <f t="shared" si="301"/>
        <v>17</v>
      </c>
      <c r="BC741" s="176">
        <f t="shared" si="302"/>
        <v>17</v>
      </c>
      <c r="BD741" s="176">
        <f t="shared" si="303"/>
        <v>16</v>
      </c>
      <c r="BE741" s="240" t="str">
        <f t="shared" si="304"/>
        <v/>
      </c>
      <c r="BF741" s="234"/>
      <c r="BG741" s="234"/>
      <c r="BH741" s="214">
        <f>IF(AND(Input_Product=Elig!$C741,Elig_MatchAll_Ct&lt;22,$BC741=(Elig_MatchAll_Ct-1),AF741=0),C741,0)</f>
        <v>0</v>
      </c>
      <c r="BI741" s="214">
        <f>IF(AND(Input_Product=Elig!$C741,Elig_MatchAll_Ct&lt;22,$BC741=(Elig_MatchAll_Ct-1),AG741=0),D741,0)</f>
        <v>0</v>
      </c>
      <c r="BJ741" s="214">
        <f>IF(AND(Input_Product=Elig!$C741,Elig_MatchAll_Ct&lt;22,$BC741=(Elig_MatchAll_Ct-1),AH741=0),E741,0)</f>
        <v>0</v>
      </c>
      <c r="BK741" s="214">
        <f>IF(AND(Input_Product=Elig!$C741,Elig_MatchAll_Ct&lt;22,$BC741=(Elig_MatchAll_Ct-1),AI741=0),F741,0)</f>
        <v>0</v>
      </c>
      <c r="BL741" s="214">
        <f>IF(AND(Input_Product=Elig!$C741,Elig_MatchAll_Ct&lt;22,$BC741=(Elig_MatchAll_Ct-1),AJ741=0),G741,0)</f>
        <v>0</v>
      </c>
      <c r="BM741" s="214">
        <f>IF(AND(Input_Product=Elig!$C741,Elig_MatchAll_Ct&lt;22,$BC741=(Elig_MatchAll_Ct-1),AK741=0),H741,0)</f>
        <v>0</v>
      </c>
      <c r="BN741" s="214">
        <f>IF(AND(Input_Product=Elig!$C741,Elig_MatchAll_Ct&lt;22,$BC741=(Elig_MatchAll_Ct-1),AL741=0),I741,0)</f>
        <v>0</v>
      </c>
      <c r="BO741" s="214">
        <f>IF(AND(Input_Product=Elig!$C741,Elig_MatchAll_Ct&lt;22,$BC741=(Elig_MatchAll_Ct-1),AM741=0),J741,0)</f>
        <v>0</v>
      </c>
      <c r="BP741" s="214">
        <f>IF(AND(Input_Product=Elig!$C741,Elig_MatchAll_Ct&lt;22,$BC741=(Elig_MatchAll_Ct-1),AN741=0),K741,0)</f>
        <v>0</v>
      </c>
      <c r="BQ741" s="214">
        <f>IF(AND(Input_Product=Elig!$C741,Elig_MatchAll_Ct&lt;22,$BC741=(Elig_MatchAll_Ct-1),AP741=0),L741,0)</f>
        <v>0</v>
      </c>
      <c r="BR741" s="214">
        <f>IF(AND(Input_Product=Elig!$C741,Elig_MatchAll_Ct&lt;22,$BC741=(Elig_MatchAll_Ct-1),AO741=0),M741,0)</f>
        <v>0</v>
      </c>
      <c r="BS741" s="214">
        <f>IF(AND(Input_Product=Elig!$C741,Elig_MatchAll_Ct&lt;22,$BC741=(Elig_MatchAll_Ct-1),AQ741=0),N741,0)</f>
        <v>0</v>
      </c>
      <c r="BT741" s="214">
        <f>IF(AND(Input_Product=Elig!$C741,Elig_MatchAll_Ct&lt;22,$BC741=(Elig_MatchAll_Ct-1),AR741=0),O741,0)</f>
        <v>0</v>
      </c>
      <c r="BU741" s="214">
        <f>IF(AND(Input_Product=Elig!$C741,Elig_MatchAll_Ct&lt;22,$BC741=(Elig_MatchAll_Ct-1),AS741=0),P741,0)</f>
        <v>0</v>
      </c>
      <c r="BV741" s="215">
        <f>IF(AND(Input_Product=Elig!$C741,Elig_MatchAll_Ct&lt;22,$BC741=(Elig_MatchAll_Ct-1),AT741=0),Q741,0)</f>
        <v>0</v>
      </c>
      <c r="BW741" s="311">
        <f>IF(AND(Input_Product=Elig!$C741,Elig_MatchAll_Ct&lt;22,$BC741=(Elig_MatchAll_Ct-1),AU741=0),R741,0)</f>
        <v>0</v>
      </c>
      <c r="BX741" s="312">
        <f>IF(AND(Input_Product=Elig!$C741,Elig_MatchAll_Ct&lt;22,$BC741=(Elig_MatchAll_Ct-1),AU741=0),S741,0)</f>
        <v>0</v>
      </c>
      <c r="BY741" s="311">
        <f>IF(AND(Input_Product=Elig!$C741,Elig_MatchAll_Ct&lt;22,$BC741=(Elig_MatchAll_Ct-1),AV741=0),T741,0)</f>
        <v>0</v>
      </c>
      <c r="BZ741" s="312">
        <f>IF(AND(Input_Product=Elig!$C741,Elig_MatchAll_Ct&lt;22,$BC741=(Elig_MatchAll_Ct-1),AV741=0),U741,0)</f>
        <v>0</v>
      </c>
      <c r="CA741" s="311">
        <f>IF(AND(Input_Product=Elig!$C741,Elig_MatchAll_Ct&lt;22,$BC741=(Elig_MatchAll_Ct-1),AW741=0),V741,0)</f>
        <v>0</v>
      </c>
      <c r="CB741" s="312">
        <f>IF(AND(Input_Product=Elig!$C741,Elig_MatchAll_Ct&lt;22,$BC741=(Elig_MatchAll_Ct-1),AW741=0),W741,0)</f>
        <v>0</v>
      </c>
      <c r="CC741" s="311">
        <f>IF(AND(Input_Product=Elig!$C741,Elig_MatchAll_Ct&lt;22,$BC741=(Elig_MatchAll_Ct-1),AX741=0),X741,0)</f>
        <v>0</v>
      </c>
      <c r="CD741" s="312">
        <f>IF(AND(Input_Product=Elig!$C741,Elig_MatchAll_Ct&lt;22,$BC741=(Elig_MatchAll_Ct-1),AX741=0),Y741,0)</f>
        <v>0</v>
      </c>
      <c r="CE741" s="311">
        <f>IF(AND(Input_LTV&lt;=AE741,Input_Product=Elig!$C741,Elig_MatchAll_Ct&lt;22,$BC741=(Elig_MatchAll_Ct-1),AY741=0),Z741,0)</f>
        <v>0</v>
      </c>
      <c r="CF741" s="312">
        <f>IF(AND(Input_LTV&lt;=AE741,Input_Product=Elig!$C741,Elig_MatchAll_Ct&lt;22,$BC741=(Elig_MatchAll_Ct-1),AY741=0),AA741,0)</f>
        <v>0</v>
      </c>
      <c r="CG741" s="311">
        <f>IF(AND(Input_Product=Elig!$C741,Elig_MatchAll_Ct&lt;22,$BC741=(Elig_MatchAll_Ct-1),AZ741=0),AB741,0)</f>
        <v>0</v>
      </c>
      <c r="CH741" s="312">
        <f>IF(AND(Input_Product=Elig!$C741,Elig_MatchAll_Ct&lt;22,$BC741=(Elig_MatchAll_Ct-1),AZ741=0),AC741,0)</f>
        <v>0</v>
      </c>
      <c r="CI741" s="311">
        <f>IF(AND(Input_Product=Elig!$C741,Elig_MatchAll_Ct&lt;22,$BC741=(Elig_MatchAll_Ct-1),BA741=0),AD741,0)</f>
        <v>0</v>
      </c>
      <c r="CJ741" s="312">
        <f>IF(AND(Input_Product=Elig!$C741,Elig_MatchAll_Ct&lt;22,$BC741=(Elig_MatchAll_Ct-1),BA741=0),AE741,0)</f>
        <v>0</v>
      </c>
    </row>
    <row r="742" spans="2:88" ht="10.15" customHeight="1" x14ac:dyDescent="0.25">
      <c r="B742" s="2027" t="s">
        <v>3860</v>
      </c>
      <c r="C742" s="2024" t="str">
        <f t="shared" si="279"/>
        <v>Second OO</v>
      </c>
      <c r="D742" s="2025" t="s">
        <v>1569</v>
      </c>
      <c r="E742" s="2025" t="s">
        <v>98</v>
      </c>
      <c r="F742" s="2025" t="s">
        <v>329</v>
      </c>
      <c r="G742" s="2025" t="s">
        <v>179</v>
      </c>
      <c r="H742" s="2025" t="s">
        <v>136</v>
      </c>
      <c r="I742" s="2023" t="s">
        <v>1332</v>
      </c>
      <c r="J742" s="2023" t="s">
        <v>1311</v>
      </c>
      <c r="K742" s="2025" t="s">
        <v>1790</v>
      </c>
      <c r="L742" s="2023" t="s">
        <v>430</v>
      </c>
      <c r="M742" s="2023" t="s">
        <v>2677</v>
      </c>
      <c r="N742" s="2025" t="s">
        <v>82</v>
      </c>
      <c r="O742" s="2023" t="s">
        <v>310</v>
      </c>
      <c r="P742" s="2023" t="s">
        <v>291</v>
      </c>
      <c r="Q742" s="2023" t="s">
        <v>294</v>
      </c>
      <c r="R742" s="2023">
        <v>350000.01</v>
      </c>
      <c r="S742" s="323">
        <v>500000</v>
      </c>
      <c r="T742" s="2023">
        <v>0</v>
      </c>
      <c r="U742" s="2023">
        <f t="shared" si="300"/>
        <v>500000</v>
      </c>
      <c r="V742" s="2023">
        <v>0</v>
      </c>
      <c r="W742" s="2023">
        <v>50</v>
      </c>
      <c r="X742" s="2023">
        <v>0</v>
      </c>
      <c r="Y742" s="2023">
        <v>999</v>
      </c>
      <c r="Z742" s="2026">
        <v>720</v>
      </c>
      <c r="AA742" s="2026">
        <v>999</v>
      </c>
      <c r="AB742" s="2026">
        <v>0</v>
      </c>
      <c r="AC742" s="2026">
        <v>999999</v>
      </c>
      <c r="AD742" s="2023">
        <v>0</v>
      </c>
      <c r="AE742" s="1482">
        <v>65</v>
      </c>
      <c r="AF742" s="170">
        <v>1</v>
      </c>
      <c r="AG742" s="171">
        <v>1</v>
      </c>
      <c r="AH742" s="171">
        <v>1</v>
      </c>
      <c r="AI742" s="171">
        <v>0</v>
      </c>
      <c r="AJ742" s="171">
        <v>0</v>
      </c>
      <c r="AK742" s="171">
        <v>1</v>
      </c>
      <c r="AL742" s="171">
        <v>1</v>
      </c>
      <c r="AM742" s="171">
        <v>1</v>
      </c>
      <c r="AN742" s="171">
        <v>1</v>
      </c>
      <c r="AO742" s="171">
        <v>1</v>
      </c>
      <c r="AP742" s="171">
        <v>1</v>
      </c>
      <c r="AQ742" s="171">
        <v>1</v>
      </c>
      <c r="AR742" s="171">
        <v>1</v>
      </c>
      <c r="AS742" s="171">
        <v>1</v>
      </c>
      <c r="AT742" s="171">
        <v>1</v>
      </c>
      <c r="AU742" s="171">
        <f t="shared" si="294"/>
        <v>0</v>
      </c>
      <c r="AV742" s="171">
        <f t="shared" si="295"/>
        <v>1</v>
      </c>
      <c r="AW742" s="171">
        <f t="shared" si="296"/>
        <v>1</v>
      </c>
      <c r="AX742" s="171">
        <f t="shared" si="305"/>
        <v>1</v>
      </c>
      <c r="AY742" s="171">
        <f t="shared" si="297"/>
        <v>1</v>
      </c>
      <c r="AZ742" s="171">
        <f t="shared" si="298"/>
        <v>1</v>
      </c>
      <c r="BA742" s="172">
        <f t="shared" si="299"/>
        <v>1</v>
      </c>
      <c r="BB742" s="175">
        <f t="shared" si="301"/>
        <v>19</v>
      </c>
      <c r="BC742" s="176">
        <f t="shared" si="302"/>
        <v>18</v>
      </c>
      <c r="BD742" s="176">
        <f t="shared" si="303"/>
        <v>18</v>
      </c>
      <c r="BE742" s="240" t="str">
        <f t="shared" si="304"/>
        <v/>
      </c>
      <c r="BF742" s="220"/>
      <c r="BG742" s="220"/>
      <c r="BH742" s="216">
        <f>IF(AND(Input_Product=Elig!$C742,Elig_MatchAll_Ct&lt;22,$BC742=(Elig_MatchAll_Ct-1),AF742=0),C742,0)</f>
        <v>0</v>
      </c>
      <c r="BI742" s="216">
        <f>IF(AND(Input_Product=Elig!$C742,Elig_MatchAll_Ct&lt;22,$BC742=(Elig_MatchAll_Ct-1),AG742=0),D742,0)</f>
        <v>0</v>
      </c>
      <c r="BJ742" s="216">
        <f>IF(AND(Input_Product=Elig!$C742,Elig_MatchAll_Ct&lt;22,$BC742=(Elig_MatchAll_Ct-1),AH742=0),E742,0)</f>
        <v>0</v>
      </c>
      <c r="BK742" s="216">
        <f>IF(AND(Input_Product=Elig!$C742,Elig_MatchAll_Ct&lt;22,$BC742=(Elig_MatchAll_Ct-1),AI742=0),F742,0)</f>
        <v>0</v>
      </c>
      <c r="BL742" s="216">
        <f>IF(AND(Input_Product=Elig!$C742,Elig_MatchAll_Ct&lt;22,$BC742=(Elig_MatchAll_Ct-1),AJ742=0),G742,0)</f>
        <v>0</v>
      </c>
      <c r="BM742" s="216">
        <f>IF(AND(Input_Product=Elig!$C742,Elig_MatchAll_Ct&lt;22,$BC742=(Elig_MatchAll_Ct-1),AK742=0),H742,0)</f>
        <v>0</v>
      </c>
      <c r="BN742" s="216">
        <f>IF(AND(Input_Product=Elig!$C742,Elig_MatchAll_Ct&lt;22,$BC742=(Elig_MatchAll_Ct-1),AL742=0),I742,0)</f>
        <v>0</v>
      </c>
      <c r="BO742" s="216">
        <f>IF(AND(Input_Product=Elig!$C742,Elig_MatchAll_Ct&lt;22,$BC742=(Elig_MatchAll_Ct-1),AM742=0),J742,0)</f>
        <v>0</v>
      </c>
      <c r="BP742" s="216">
        <f>IF(AND(Input_Product=Elig!$C742,Elig_MatchAll_Ct&lt;22,$BC742=(Elig_MatchAll_Ct-1),AN742=0),K742,0)</f>
        <v>0</v>
      </c>
      <c r="BQ742" s="216">
        <f>IF(AND(Input_Product=Elig!$C742,Elig_MatchAll_Ct&lt;22,$BC742=(Elig_MatchAll_Ct-1),AP742=0),L742,0)</f>
        <v>0</v>
      </c>
      <c r="BR742" s="216">
        <f>IF(AND(Input_Product=Elig!$C742,Elig_MatchAll_Ct&lt;22,$BC742=(Elig_MatchAll_Ct-1),AO742=0),M742,0)</f>
        <v>0</v>
      </c>
      <c r="BS742" s="216">
        <f>IF(AND(Input_Product=Elig!$C742,Elig_MatchAll_Ct&lt;22,$BC742=(Elig_MatchAll_Ct-1),AQ742=0),N742,0)</f>
        <v>0</v>
      </c>
      <c r="BT742" s="216">
        <f>IF(AND(Input_Product=Elig!$C742,Elig_MatchAll_Ct&lt;22,$BC742=(Elig_MatchAll_Ct-1),AR742=0),O742,0)</f>
        <v>0</v>
      </c>
      <c r="BU742" s="216">
        <f>IF(AND(Input_Product=Elig!$C742,Elig_MatchAll_Ct&lt;22,$BC742=(Elig_MatchAll_Ct-1),AS742=0),P742,0)</f>
        <v>0</v>
      </c>
      <c r="BV742" s="217">
        <f>IF(AND(Input_Product=Elig!$C742,Elig_MatchAll_Ct&lt;22,$BC742=(Elig_MatchAll_Ct-1),AT742=0),Q742,0)</f>
        <v>0</v>
      </c>
      <c r="BW742" s="313">
        <f>IF(AND(Input_Product=Elig!$C742,Elig_MatchAll_Ct&lt;22,$BC742=(Elig_MatchAll_Ct-1),AU742=0),R742,0)</f>
        <v>0</v>
      </c>
      <c r="BX742" s="314">
        <f>IF(AND(Input_Product=Elig!$C742,Elig_MatchAll_Ct&lt;22,$BC742=(Elig_MatchAll_Ct-1),AU742=0),S742,0)</f>
        <v>0</v>
      </c>
      <c r="BY742" s="313">
        <f>IF(AND(Input_Product=Elig!$C742,Elig_MatchAll_Ct&lt;22,$BC742=(Elig_MatchAll_Ct-1),AV742=0),T742,0)</f>
        <v>0</v>
      </c>
      <c r="BZ742" s="314">
        <f>IF(AND(Input_Product=Elig!$C742,Elig_MatchAll_Ct&lt;22,$BC742=(Elig_MatchAll_Ct-1),AV742=0),U742,0)</f>
        <v>0</v>
      </c>
      <c r="CA742" s="313">
        <f>IF(AND(Input_Product=Elig!$C742,Elig_MatchAll_Ct&lt;22,$BC742=(Elig_MatchAll_Ct-1),AW742=0),V742,0)</f>
        <v>0</v>
      </c>
      <c r="CB742" s="314">
        <f>IF(AND(Input_Product=Elig!$C742,Elig_MatchAll_Ct&lt;22,$BC742=(Elig_MatchAll_Ct-1),AW742=0),W742,0)</f>
        <v>0</v>
      </c>
      <c r="CC742" s="313">
        <f>IF(AND(Input_Product=Elig!$C742,Elig_MatchAll_Ct&lt;22,$BC742=(Elig_MatchAll_Ct-1),AX742=0),X742,0)</f>
        <v>0</v>
      </c>
      <c r="CD742" s="314">
        <f>IF(AND(Input_Product=Elig!$C742,Elig_MatchAll_Ct&lt;22,$BC742=(Elig_MatchAll_Ct-1),AX742=0),Y742,0)</f>
        <v>0</v>
      </c>
      <c r="CE742" s="313">
        <f>IF(AND(Input_LTV&lt;=AE742,Input_Product=Elig!$C742,Elig_MatchAll_Ct&lt;22,$BC742=(Elig_MatchAll_Ct-1),AY742=0),Z742,0)</f>
        <v>0</v>
      </c>
      <c r="CF742" s="314">
        <f>IF(AND(Input_LTV&lt;=AE742,Input_Product=Elig!$C742,Elig_MatchAll_Ct&lt;22,$BC742=(Elig_MatchAll_Ct-1),AY742=0),AA742,0)</f>
        <v>0</v>
      </c>
      <c r="CG742" s="313">
        <f>IF(AND(Input_Product=Elig!$C742,Elig_MatchAll_Ct&lt;22,$BC742=(Elig_MatchAll_Ct-1),AZ742=0),AB742,0)</f>
        <v>0</v>
      </c>
      <c r="CH742" s="314">
        <f>IF(AND(Input_Product=Elig!$C742,Elig_MatchAll_Ct&lt;22,$BC742=(Elig_MatchAll_Ct-1),AZ742=0),AC742,0)</f>
        <v>0</v>
      </c>
      <c r="CI742" s="313">
        <f>IF(AND(Input_Product=Elig!$C742,Elig_MatchAll_Ct&lt;22,$BC742=(Elig_MatchAll_Ct-1),BA742=0),AD742,0)</f>
        <v>0</v>
      </c>
      <c r="CJ742" s="314">
        <f>IF(AND(Input_Product=Elig!$C742,Elig_MatchAll_Ct&lt;22,$BC742=(Elig_MatchAll_Ct-1),BA742=0),AE742,0)</f>
        <v>0</v>
      </c>
    </row>
    <row r="743" spans="2:88" ht="10.15" customHeight="1" x14ac:dyDescent="0.25">
      <c r="B743" s="2027" t="s">
        <v>3861</v>
      </c>
      <c r="C743" s="2028" t="str">
        <f t="shared" si="279"/>
        <v>Second OO</v>
      </c>
      <c r="D743" s="2027" t="s">
        <v>1569</v>
      </c>
      <c r="E743" s="2027" t="s">
        <v>98</v>
      </c>
      <c r="F743" s="2027" t="s">
        <v>329</v>
      </c>
      <c r="G743" s="2029" t="s">
        <v>179</v>
      </c>
      <c r="H743" s="2029" t="s">
        <v>136</v>
      </c>
      <c r="I743" s="2027" t="s">
        <v>1332</v>
      </c>
      <c r="J743" s="2027" t="s">
        <v>1311</v>
      </c>
      <c r="K743" s="2029" t="s">
        <v>1790</v>
      </c>
      <c r="L743" s="2027" t="s">
        <v>430</v>
      </c>
      <c r="M743" s="2027" t="s">
        <v>2677</v>
      </c>
      <c r="N743" s="2029" t="s">
        <v>82</v>
      </c>
      <c r="O743" s="2027" t="s">
        <v>310</v>
      </c>
      <c r="P743" s="2027" t="s">
        <v>291</v>
      </c>
      <c r="Q743" s="2027" t="s">
        <v>294</v>
      </c>
      <c r="R743" s="2027">
        <v>350000.01</v>
      </c>
      <c r="S743" s="300">
        <v>500000</v>
      </c>
      <c r="T743" s="2027">
        <v>0</v>
      </c>
      <c r="U743" s="2027">
        <f t="shared" si="300"/>
        <v>500000</v>
      </c>
      <c r="V743" s="2027">
        <v>0</v>
      </c>
      <c r="W743" s="2027">
        <v>50</v>
      </c>
      <c r="X743" s="2027">
        <v>0</v>
      </c>
      <c r="Y743" s="2027">
        <v>999</v>
      </c>
      <c r="Z743" s="2030">
        <v>700</v>
      </c>
      <c r="AA743" s="2030">
        <v>719</v>
      </c>
      <c r="AB743" s="2030">
        <v>0</v>
      </c>
      <c r="AC743" s="2030">
        <v>999999</v>
      </c>
      <c r="AD743" s="2027">
        <v>0</v>
      </c>
      <c r="AE743" s="1483">
        <v>60</v>
      </c>
      <c r="AF743" s="170">
        <v>1</v>
      </c>
      <c r="AG743" s="171">
        <v>1</v>
      </c>
      <c r="AH743" s="171">
        <v>1</v>
      </c>
      <c r="AI743" s="171">
        <v>0</v>
      </c>
      <c r="AJ743" s="171">
        <v>0</v>
      </c>
      <c r="AK743" s="171">
        <v>1</v>
      </c>
      <c r="AL743" s="171">
        <v>1</v>
      </c>
      <c r="AM743" s="171">
        <v>1</v>
      </c>
      <c r="AN743" s="171">
        <v>1</v>
      </c>
      <c r="AO743" s="171">
        <v>1</v>
      </c>
      <c r="AP743" s="171">
        <v>1</v>
      </c>
      <c r="AQ743" s="171">
        <v>1</v>
      </c>
      <c r="AR743" s="171">
        <v>1</v>
      </c>
      <c r="AS743" s="171">
        <v>1</v>
      </c>
      <c r="AT743" s="171">
        <v>1</v>
      </c>
      <c r="AU743" s="171">
        <f t="shared" si="294"/>
        <v>0</v>
      </c>
      <c r="AV743" s="171">
        <f t="shared" si="295"/>
        <v>1</v>
      </c>
      <c r="AW743" s="171">
        <f t="shared" si="296"/>
        <v>1</v>
      </c>
      <c r="AX743" s="171">
        <f t="shared" si="305"/>
        <v>1</v>
      </c>
      <c r="AY743" s="171">
        <f t="shared" si="297"/>
        <v>0</v>
      </c>
      <c r="AZ743" s="171">
        <f t="shared" si="298"/>
        <v>1</v>
      </c>
      <c r="BA743" s="172">
        <f t="shared" si="299"/>
        <v>0</v>
      </c>
      <c r="BB743" s="175">
        <f t="shared" si="301"/>
        <v>17</v>
      </c>
      <c r="BC743" s="176">
        <f t="shared" si="302"/>
        <v>17</v>
      </c>
      <c r="BD743" s="176">
        <f t="shared" si="303"/>
        <v>16</v>
      </c>
      <c r="BE743" s="240" t="str">
        <f t="shared" si="304"/>
        <v/>
      </c>
      <c r="BF743" s="234"/>
      <c r="BG743" s="234"/>
      <c r="BH743" s="199">
        <f>IF(AND(Input_Product=Elig!$C743,Elig_MatchAll_Ct&lt;22,$BC743=(Elig_MatchAll_Ct-1),AF743=0),C743,0)</f>
        <v>0</v>
      </c>
      <c r="BI743" s="199">
        <f>IF(AND(Input_Product=Elig!$C743,Elig_MatchAll_Ct&lt;22,$BC743=(Elig_MatchAll_Ct-1),AG743=0),D743,0)</f>
        <v>0</v>
      </c>
      <c r="BJ743" s="199">
        <f>IF(AND(Input_Product=Elig!$C743,Elig_MatchAll_Ct&lt;22,$BC743=(Elig_MatchAll_Ct-1),AH743=0),E743,0)</f>
        <v>0</v>
      </c>
      <c r="BK743" s="199">
        <f>IF(AND(Input_Product=Elig!$C743,Elig_MatchAll_Ct&lt;22,$BC743=(Elig_MatchAll_Ct-1),AI743=0),F743,0)</f>
        <v>0</v>
      </c>
      <c r="BL743" s="199">
        <f>IF(AND(Input_Product=Elig!$C743,Elig_MatchAll_Ct&lt;22,$BC743=(Elig_MatchAll_Ct-1),AJ743=0),G743,0)</f>
        <v>0</v>
      </c>
      <c r="BM743" s="199">
        <f>IF(AND(Input_Product=Elig!$C743,Elig_MatchAll_Ct&lt;22,$BC743=(Elig_MatchAll_Ct-1),AK743=0),H743,0)</f>
        <v>0</v>
      </c>
      <c r="BN743" s="199">
        <f>IF(AND(Input_Product=Elig!$C743,Elig_MatchAll_Ct&lt;22,$BC743=(Elig_MatchAll_Ct-1),AL743=0),I743,0)</f>
        <v>0</v>
      </c>
      <c r="BO743" s="199">
        <f>IF(AND(Input_Product=Elig!$C743,Elig_MatchAll_Ct&lt;22,$BC743=(Elig_MatchAll_Ct-1),AM743=0),J743,0)</f>
        <v>0</v>
      </c>
      <c r="BP743" s="199">
        <f>IF(AND(Input_Product=Elig!$C743,Elig_MatchAll_Ct&lt;22,$BC743=(Elig_MatchAll_Ct-1),AN743=0),K743,0)</f>
        <v>0</v>
      </c>
      <c r="BQ743" s="199">
        <f>IF(AND(Input_Product=Elig!$C743,Elig_MatchAll_Ct&lt;22,$BC743=(Elig_MatchAll_Ct-1),AP743=0),L743,0)</f>
        <v>0</v>
      </c>
      <c r="BR743" s="199">
        <f>IF(AND(Input_Product=Elig!$C743,Elig_MatchAll_Ct&lt;22,$BC743=(Elig_MatchAll_Ct-1),AO743=0),M743,0)</f>
        <v>0</v>
      </c>
      <c r="BS743" s="199">
        <f>IF(AND(Input_Product=Elig!$C743,Elig_MatchAll_Ct&lt;22,$BC743=(Elig_MatchAll_Ct-1),AQ743=0),N743,0)</f>
        <v>0</v>
      </c>
      <c r="BT743" s="199">
        <f>IF(AND(Input_Product=Elig!$C743,Elig_MatchAll_Ct&lt;22,$BC743=(Elig_MatchAll_Ct-1),AR743=0),O743,0)</f>
        <v>0</v>
      </c>
      <c r="BU743" s="199">
        <f>IF(AND(Input_Product=Elig!$C743,Elig_MatchAll_Ct&lt;22,$BC743=(Elig_MatchAll_Ct-1),AS743=0),P743,0)</f>
        <v>0</v>
      </c>
      <c r="BV743" s="200">
        <f>IF(AND(Input_Product=Elig!$C743,Elig_MatchAll_Ct&lt;22,$BC743=(Elig_MatchAll_Ct-1),AT743=0),Q743,0)</f>
        <v>0</v>
      </c>
      <c r="BW743" s="201">
        <f>IF(AND(Input_Product=Elig!$C743,Elig_MatchAll_Ct&lt;22,$BC743=(Elig_MatchAll_Ct-1),AU743=0),R743,0)</f>
        <v>0</v>
      </c>
      <c r="BX743" s="202">
        <f>IF(AND(Input_Product=Elig!$C743,Elig_MatchAll_Ct&lt;22,$BC743=(Elig_MatchAll_Ct-1),AU743=0),S743,0)</f>
        <v>0</v>
      </c>
      <c r="BY743" s="201">
        <f>IF(AND(Input_Product=Elig!$C743,Elig_MatchAll_Ct&lt;22,$BC743=(Elig_MatchAll_Ct-1),AV743=0),T743,0)</f>
        <v>0</v>
      </c>
      <c r="BZ743" s="202">
        <f>IF(AND(Input_Product=Elig!$C743,Elig_MatchAll_Ct&lt;22,$BC743=(Elig_MatchAll_Ct-1),AV743=0),U743,0)</f>
        <v>0</v>
      </c>
      <c r="CA743" s="201">
        <f>IF(AND(Input_Product=Elig!$C743,Elig_MatchAll_Ct&lt;22,$BC743=(Elig_MatchAll_Ct-1),AW743=0),V743,0)</f>
        <v>0</v>
      </c>
      <c r="CB743" s="202">
        <f>IF(AND(Input_Product=Elig!$C743,Elig_MatchAll_Ct&lt;22,$BC743=(Elig_MatchAll_Ct-1),AW743=0),W743,0)</f>
        <v>0</v>
      </c>
      <c r="CC743" s="201">
        <f>IF(AND(Input_Product=Elig!$C743,Elig_MatchAll_Ct&lt;22,$BC743=(Elig_MatchAll_Ct-1),AX743=0),X743,0)</f>
        <v>0</v>
      </c>
      <c r="CD743" s="202">
        <f>IF(AND(Input_Product=Elig!$C743,Elig_MatchAll_Ct&lt;22,$BC743=(Elig_MatchAll_Ct-1),AX743=0),Y743,0)</f>
        <v>0</v>
      </c>
      <c r="CE743" s="201">
        <f>IF(AND(Input_LTV&lt;=AE743,Input_Product=Elig!$C743,Elig_MatchAll_Ct&lt;22,$BC743=(Elig_MatchAll_Ct-1),AY743=0),Z743,0)</f>
        <v>0</v>
      </c>
      <c r="CF743" s="202">
        <f>IF(AND(Input_LTV&lt;=AE743,Input_Product=Elig!$C743,Elig_MatchAll_Ct&lt;22,$BC743=(Elig_MatchAll_Ct-1),AY743=0),AA743,0)</f>
        <v>0</v>
      </c>
      <c r="CG743" s="201">
        <f>IF(AND(Input_Product=Elig!$C743,Elig_MatchAll_Ct&lt;22,$BC743=(Elig_MatchAll_Ct-1),AZ743=0),AB743,0)</f>
        <v>0</v>
      </c>
      <c r="CH743" s="202">
        <f>IF(AND(Input_Product=Elig!$C743,Elig_MatchAll_Ct&lt;22,$BC743=(Elig_MatchAll_Ct-1),AZ743=0),AC743,0)</f>
        <v>0</v>
      </c>
      <c r="CI743" s="201">
        <f>IF(AND(Input_Product=Elig!$C743,Elig_MatchAll_Ct&lt;22,$BC743=(Elig_MatchAll_Ct-1),BA743=0),AD743,0)</f>
        <v>0</v>
      </c>
      <c r="CJ743" s="202">
        <f>IF(AND(Input_Product=Elig!$C743,Elig_MatchAll_Ct&lt;22,$BC743=(Elig_MatchAll_Ct-1),BA743=0),AE743,0)</f>
        <v>0</v>
      </c>
    </row>
    <row r="744" spans="2:88" ht="10.15" customHeight="1" x14ac:dyDescent="0.25">
      <c r="B744" s="2027" t="s">
        <v>3862</v>
      </c>
      <c r="C744" s="2028" t="str">
        <f t="shared" si="279"/>
        <v>Second OO</v>
      </c>
      <c r="D744" s="2027" t="s">
        <v>1569</v>
      </c>
      <c r="E744" s="2027" t="s">
        <v>98</v>
      </c>
      <c r="F744" s="2027" t="s">
        <v>329</v>
      </c>
      <c r="G744" s="2029" t="s">
        <v>179</v>
      </c>
      <c r="H744" s="2029" t="s">
        <v>136</v>
      </c>
      <c r="I744" s="2027" t="s">
        <v>1332</v>
      </c>
      <c r="J744" s="2027" t="s">
        <v>1311</v>
      </c>
      <c r="K744" s="2029" t="s">
        <v>1790</v>
      </c>
      <c r="L744" s="2027" t="s">
        <v>430</v>
      </c>
      <c r="M744" s="2027" t="s">
        <v>2677</v>
      </c>
      <c r="N744" s="2029" t="s">
        <v>82</v>
      </c>
      <c r="O744" s="2027" t="s">
        <v>310</v>
      </c>
      <c r="P744" s="2027" t="s">
        <v>291</v>
      </c>
      <c r="Q744" s="2027" t="s">
        <v>294</v>
      </c>
      <c r="R744" s="2027">
        <v>350000.01</v>
      </c>
      <c r="S744" s="300">
        <v>500000</v>
      </c>
      <c r="T744" s="2027">
        <v>0</v>
      </c>
      <c r="U744" s="2027">
        <f t="shared" si="300"/>
        <v>500000</v>
      </c>
      <c r="V744" s="2027">
        <v>0</v>
      </c>
      <c r="W744" s="2027">
        <v>50</v>
      </c>
      <c r="X744" s="2027">
        <v>0</v>
      </c>
      <c r="Y744" s="2027">
        <v>999</v>
      </c>
      <c r="Z744" s="2030">
        <v>680</v>
      </c>
      <c r="AA744" s="2030">
        <v>699</v>
      </c>
      <c r="AB744" s="2030">
        <v>0</v>
      </c>
      <c r="AC744" s="2030">
        <v>999999</v>
      </c>
      <c r="AD744" s="2027">
        <v>0</v>
      </c>
      <c r="AE744" s="1483">
        <v>55</v>
      </c>
      <c r="AF744" s="170">
        <v>1</v>
      </c>
      <c r="AG744" s="171">
        <v>1</v>
      </c>
      <c r="AH744" s="171">
        <v>1</v>
      </c>
      <c r="AI744" s="171">
        <v>0</v>
      </c>
      <c r="AJ744" s="171">
        <v>0</v>
      </c>
      <c r="AK744" s="171">
        <v>1</v>
      </c>
      <c r="AL744" s="171">
        <v>1</v>
      </c>
      <c r="AM744" s="171">
        <v>1</v>
      </c>
      <c r="AN744" s="171">
        <v>1</v>
      </c>
      <c r="AO744" s="171">
        <v>1</v>
      </c>
      <c r="AP744" s="171">
        <v>1</v>
      </c>
      <c r="AQ744" s="171">
        <v>1</v>
      </c>
      <c r="AR744" s="171">
        <v>1</v>
      </c>
      <c r="AS744" s="171">
        <v>1</v>
      </c>
      <c r="AT744" s="171">
        <v>1</v>
      </c>
      <c r="AU744" s="171">
        <f t="shared" si="294"/>
        <v>0</v>
      </c>
      <c r="AV744" s="171">
        <f t="shared" si="295"/>
        <v>1</v>
      </c>
      <c r="AW744" s="171">
        <f t="shared" si="296"/>
        <v>1</v>
      </c>
      <c r="AX744" s="171">
        <f t="shared" si="305"/>
        <v>1</v>
      </c>
      <c r="AY744" s="171">
        <f t="shared" si="297"/>
        <v>0</v>
      </c>
      <c r="AZ744" s="171">
        <f t="shared" si="298"/>
        <v>1</v>
      </c>
      <c r="BA744" s="172">
        <f t="shared" si="299"/>
        <v>0</v>
      </c>
      <c r="BB744" s="175">
        <f t="shared" si="301"/>
        <v>17</v>
      </c>
      <c r="BC744" s="176">
        <f t="shared" si="302"/>
        <v>17</v>
      </c>
      <c r="BD744" s="176">
        <f t="shared" si="303"/>
        <v>16</v>
      </c>
      <c r="BE744" s="240" t="str">
        <f t="shared" si="304"/>
        <v/>
      </c>
      <c r="BF744" s="234"/>
      <c r="BG744" s="234"/>
      <c r="BH744" s="199">
        <f>IF(AND(Input_Product=Elig!$C744,Elig_MatchAll_Ct&lt;22,$BC744=(Elig_MatchAll_Ct-1),AF744=0),C744,0)</f>
        <v>0</v>
      </c>
      <c r="BI744" s="199">
        <f>IF(AND(Input_Product=Elig!$C744,Elig_MatchAll_Ct&lt;22,$BC744=(Elig_MatchAll_Ct-1),AG744=0),D744,0)</f>
        <v>0</v>
      </c>
      <c r="BJ744" s="199">
        <f>IF(AND(Input_Product=Elig!$C744,Elig_MatchAll_Ct&lt;22,$BC744=(Elig_MatchAll_Ct-1),AH744=0),E744,0)</f>
        <v>0</v>
      </c>
      <c r="BK744" s="199">
        <f>IF(AND(Input_Product=Elig!$C744,Elig_MatchAll_Ct&lt;22,$BC744=(Elig_MatchAll_Ct-1),AI744=0),F744,0)</f>
        <v>0</v>
      </c>
      <c r="BL744" s="199">
        <f>IF(AND(Input_Product=Elig!$C744,Elig_MatchAll_Ct&lt;22,$BC744=(Elig_MatchAll_Ct-1),AJ744=0),G744,0)</f>
        <v>0</v>
      </c>
      <c r="BM744" s="199">
        <f>IF(AND(Input_Product=Elig!$C744,Elig_MatchAll_Ct&lt;22,$BC744=(Elig_MatchAll_Ct-1),AK744=0),H744,0)</f>
        <v>0</v>
      </c>
      <c r="BN744" s="199">
        <f>IF(AND(Input_Product=Elig!$C744,Elig_MatchAll_Ct&lt;22,$BC744=(Elig_MatchAll_Ct-1),AL744=0),I744,0)</f>
        <v>0</v>
      </c>
      <c r="BO744" s="199">
        <f>IF(AND(Input_Product=Elig!$C744,Elig_MatchAll_Ct&lt;22,$BC744=(Elig_MatchAll_Ct-1),AM744=0),J744,0)</f>
        <v>0</v>
      </c>
      <c r="BP744" s="199">
        <f>IF(AND(Input_Product=Elig!$C744,Elig_MatchAll_Ct&lt;22,$BC744=(Elig_MatchAll_Ct-1),AN744=0),K744,0)</f>
        <v>0</v>
      </c>
      <c r="BQ744" s="199">
        <f>IF(AND(Input_Product=Elig!$C744,Elig_MatchAll_Ct&lt;22,$BC744=(Elig_MatchAll_Ct-1),AP744=0),L744,0)</f>
        <v>0</v>
      </c>
      <c r="BR744" s="199">
        <f>IF(AND(Input_Product=Elig!$C744,Elig_MatchAll_Ct&lt;22,$BC744=(Elig_MatchAll_Ct-1),AO744=0),M744,0)</f>
        <v>0</v>
      </c>
      <c r="BS744" s="199">
        <f>IF(AND(Input_Product=Elig!$C744,Elig_MatchAll_Ct&lt;22,$BC744=(Elig_MatchAll_Ct-1),AQ744=0),N744,0)</f>
        <v>0</v>
      </c>
      <c r="BT744" s="199">
        <f>IF(AND(Input_Product=Elig!$C744,Elig_MatchAll_Ct&lt;22,$BC744=(Elig_MatchAll_Ct-1),AR744=0),O744,0)</f>
        <v>0</v>
      </c>
      <c r="BU744" s="199">
        <f>IF(AND(Input_Product=Elig!$C744,Elig_MatchAll_Ct&lt;22,$BC744=(Elig_MatchAll_Ct-1),AS744=0),P744,0)</f>
        <v>0</v>
      </c>
      <c r="BV744" s="200">
        <f>IF(AND(Input_Product=Elig!$C744,Elig_MatchAll_Ct&lt;22,$BC744=(Elig_MatchAll_Ct-1),AT744=0),Q744,0)</f>
        <v>0</v>
      </c>
      <c r="BW744" s="201">
        <f>IF(AND(Input_Product=Elig!$C744,Elig_MatchAll_Ct&lt;22,$BC744=(Elig_MatchAll_Ct-1),AU744=0),R744,0)</f>
        <v>0</v>
      </c>
      <c r="BX744" s="202">
        <f>IF(AND(Input_Product=Elig!$C744,Elig_MatchAll_Ct&lt;22,$BC744=(Elig_MatchAll_Ct-1),AU744=0),S744,0)</f>
        <v>0</v>
      </c>
      <c r="BY744" s="201">
        <f>IF(AND(Input_Product=Elig!$C744,Elig_MatchAll_Ct&lt;22,$BC744=(Elig_MatchAll_Ct-1),AV744=0),T744,0)</f>
        <v>0</v>
      </c>
      <c r="BZ744" s="202">
        <f>IF(AND(Input_Product=Elig!$C744,Elig_MatchAll_Ct&lt;22,$BC744=(Elig_MatchAll_Ct-1),AV744=0),U744,0)</f>
        <v>0</v>
      </c>
      <c r="CA744" s="201">
        <f>IF(AND(Input_Product=Elig!$C744,Elig_MatchAll_Ct&lt;22,$BC744=(Elig_MatchAll_Ct-1),AW744=0),V744,0)</f>
        <v>0</v>
      </c>
      <c r="CB744" s="202">
        <f>IF(AND(Input_Product=Elig!$C744,Elig_MatchAll_Ct&lt;22,$BC744=(Elig_MatchAll_Ct-1),AW744=0),W744,0)</f>
        <v>0</v>
      </c>
      <c r="CC744" s="201">
        <f>IF(AND(Input_Product=Elig!$C744,Elig_MatchAll_Ct&lt;22,$BC744=(Elig_MatchAll_Ct-1),AX744=0),X744,0)</f>
        <v>0</v>
      </c>
      <c r="CD744" s="202">
        <f>IF(AND(Input_Product=Elig!$C744,Elig_MatchAll_Ct&lt;22,$BC744=(Elig_MatchAll_Ct-1),AX744=0),Y744,0)</f>
        <v>0</v>
      </c>
      <c r="CE744" s="201">
        <f>IF(AND(Input_LTV&lt;=AE744,Input_Product=Elig!$C744,Elig_MatchAll_Ct&lt;22,$BC744=(Elig_MatchAll_Ct-1),AY744=0),Z744,0)</f>
        <v>0</v>
      </c>
      <c r="CF744" s="202">
        <f>IF(AND(Input_LTV&lt;=AE744,Input_Product=Elig!$C744,Elig_MatchAll_Ct&lt;22,$BC744=(Elig_MatchAll_Ct-1),AY744=0),AA744,0)</f>
        <v>0</v>
      </c>
      <c r="CG744" s="201">
        <f>IF(AND(Input_Product=Elig!$C744,Elig_MatchAll_Ct&lt;22,$BC744=(Elig_MatchAll_Ct-1),AZ744=0),AB744,0)</f>
        <v>0</v>
      </c>
      <c r="CH744" s="202">
        <f>IF(AND(Input_Product=Elig!$C744,Elig_MatchAll_Ct&lt;22,$BC744=(Elig_MatchAll_Ct-1),AZ744=0),AC744,0)</f>
        <v>0</v>
      </c>
      <c r="CI744" s="201">
        <f>IF(AND(Input_Product=Elig!$C744,Elig_MatchAll_Ct&lt;22,$BC744=(Elig_MatchAll_Ct-1),BA744=0),AD744,0)</f>
        <v>0</v>
      </c>
      <c r="CJ744" s="202">
        <f>IF(AND(Input_Product=Elig!$C744,Elig_MatchAll_Ct&lt;22,$BC744=(Elig_MatchAll_Ct-1),BA744=0),AE744,0)</f>
        <v>0</v>
      </c>
    </row>
    <row r="745" spans="2:88" ht="10.15" customHeight="1" x14ac:dyDescent="0.25">
      <c r="B745" s="2027" t="s">
        <v>3863</v>
      </c>
      <c r="C745" s="2032" t="str">
        <f t="shared" si="279"/>
        <v>Second OO</v>
      </c>
      <c r="D745" s="2031" t="s">
        <v>1569</v>
      </c>
      <c r="E745" s="2031" t="s">
        <v>98</v>
      </c>
      <c r="F745" s="2031" t="s">
        <v>329</v>
      </c>
      <c r="G745" s="2033" t="s">
        <v>179</v>
      </c>
      <c r="H745" s="2033" t="s">
        <v>136</v>
      </c>
      <c r="I745" s="2031" t="s">
        <v>1332</v>
      </c>
      <c r="J745" s="2031" t="s">
        <v>1311</v>
      </c>
      <c r="K745" s="2033" t="s">
        <v>1790</v>
      </c>
      <c r="L745" s="2031" t="s">
        <v>430</v>
      </c>
      <c r="M745" s="2031" t="s">
        <v>2677</v>
      </c>
      <c r="N745" s="2033" t="s">
        <v>82</v>
      </c>
      <c r="O745" s="2031" t="s">
        <v>310</v>
      </c>
      <c r="P745" s="2031" t="s">
        <v>291</v>
      </c>
      <c r="Q745" s="2031" t="s">
        <v>294</v>
      </c>
      <c r="R745" s="2031">
        <v>350000.01</v>
      </c>
      <c r="S745" s="324">
        <v>500000</v>
      </c>
      <c r="T745" s="2031">
        <v>0</v>
      </c>
      <c r="U745" s="2031">
        <f t="shared" si="300"/>
        <v>500000</v>
      </c>
      <c r="V745" s="2031">
        <v>0</v>
      </c>
      <c r="W745" s="2031">
        <v>50</v>
      </c>
      <c r="X745" s="2031">
        <v>0</v>
      </c>
      <c r="Y745" s="2031">
        <v>999</v>
      </c>
      <c r="Z745" s="2034">
        <v>660</v>
      </c>
      <c r="AA745" s="2034">
        <v>679</v>
      </c>
      <c r="AB745" s="2034">
        <v>0</v>
      </c>
      <c r="AC745" s="2034">
        <v>999999</v>
      </c>
      <c r="AD745" s="2031">
        <v>0</v>
      </c>
      <c r="AE745" s="1484">
        <v>50</v>
      </c>
      <c r="AF745" s="170">
        <v>1</v>
      </c>
      <c r="AG745" s="171">
        <v>1</v>
      </c>
      <c r="AH745" s="171">
        <v>1</v>
      </c>
      <c r="AI745" s="171">
        <v>0</v>
      </c>
      <c r="AJ745" s="171">
        <v>0</v>
      </c>
      <c r="AK745" s="171">
        <v>1</v>
      </c>
      <c r="AL745" s="171">
        <v>1</v>
      </c>
      <c r="AM745" s="171">
        <v>1</v>
      </c>
      <c r="AN745" s="171">
        <v>1</v>
      </c>
      <c r="AO745" s="171">
        <v>1</v>
      </c>
      <c r="AP745" s="171">
        <v>1</v>
      </c>
      <c r="AQ745" s="171">
        <v>1</v>
      </c>
      <c r="AR745" s="171">
        <v>1</v>
      </c>
      <c r="AS745" s="171">
        <v>1</v>
      </c>
      <c r="AT745" s="171">
        <v>1</v>
      </c>
      <c r="AU745" s="171">
        <f t="shared" si="294"/>
        <v>0</v>
      </c>
      <c r="AV745" s="171">
        <f t="shared" si="295"/>
        <v>1</v>
      </c>
      <c r="AW745" s="171">
        <f t="shared" si="296"/>
        <v>1</v>
      </c>
      <c r="AX745" s="171">
        <f t="shared" si="305"/>
        <v>1</v>
      </c>
      <c r="AY745" s="171">
        <f t="shared" si="297"/>
        <v>0</v>
      </c>
      <c r="AZ745" s="171">
        <f t="shared" si="298"/>
        <v>1</v>
      </c>
      <c r="BA745" s="172">
        <f t="shared" si="299"/>
        <v>0</v>
      </c>
      <c r="BB745" s="175">
        <f t="shared" si="301"/>
        <v>17</v>
      </c>
      <c r="BC745" s="176">
        <f t="shared" si="302"/>
        <v>17</v>
      </c>
      <c r="BD745" s="176">
        <f t="shared" si="303"/>
        <v>16</v>
      </c>
      <c r="BE745" s="240" t="str">
        <f t="shared" si="304"/>
        <v/>
      </c>
      <c r="BF745" s="234"/>
      <c r="BG745" s="234"/>
      <c r="BH745" s="214">
        <f>IF(AND(Input_Product=Elig!$C745,Elig_MatchAll_Ct&lt;22,$BC745=(Elig_MatchAll_Ct-1),AF745=0),C745,0)</f>
        <v>0</v>
      </c>
      <c r="BI745" s="214">
        <f>IF(AND(Input_Product=Elig!$C745,Elig_MatchAll_Ct&lt;22,$BC745=(Elig_MatchAll_Ct-1),AG745=0),D745,0)</f>
        <v>0</v>
      </c>
      <c r="BJ745" s="214">
        <f>IF(AND(Input_Product=Elig!$C745,Elig_MatchAll_Ct&lt;22,$BC745=(Elig_MatchAll_Ct-1),AH745=0),E745,0)</f>
        <v>0</v>
      </c>
      <c r="BK745" s="214">
        <f>IF(AND(Input_Product=Elig!$C745,Elig_MatchAll_Ct&lt;22,$BC745=(Elig_MatchAll_Ct-1),AI745=0),F745,0)</f>
        <v>0</v>
      </c>
      <c r="BL745" s="214">
        <f>IF(AND(Input_Product=Elig!$C745,Elig_MatchAll_Ct&lt;22,$BC745=(Elig_MatchAll_Ct-1),AJ745=0),G745,0)</f>
        <v>0</v>
      </c>
      <c r="BM745" s="214">
        <f>IF(AND(Input_Product=Elig!$C745,Elig_MatchAll_Ct&lt;22,$BC745=(Elig_MatchAll_Ct-1),AK745=0),H745,0)</f>
        <v>0</v>
      </c>
      <c r="BN745" s="214">
        <f>IF(AND(Input_Product=Elig!$C745,Elig_MatchAll_Ct&lt;22,$BC745=(Elig_MatchAll_Ct-1),AL745=0),I745,0)</f>
        <v>0</v>
      </c>
      <c r="BO745" s="214">
        <f>IF(AND(Input_Product=Elig!$C745,Elig_MatchAll_Ct&lt;22,$BC745=(Elig_MatchAll_Ct-1),AM745=0),J745,0)</f>
        <v>0</v>
      </c>
      <c r="BP745" s="214">
        <f>IF(AND(Input_Product=Elig!$C745,Elig_MatchAll_Ct&lt;22,$BC745=(Elig_MatchAll_Ct-1),AN745=0),K745,0)</f>
        <v>0</v>
      </c>
      <c r="BQ745" s="214">
        <f>IF(AND(Input_Product=Elig!$C745,Elig_MatchAll_Ct&lt;22,$BC745=(Elig_MatchAll_Ct-1),AP745=0),L745,0)</f>
        <v>0</v>
      </c>
      <c r="BR745" s="214">
        <f>IF(AND(Input_Product=Elig!$C745,Elig_MatchAll_Ct&lt;22,$BC745=(Elig_MatchAll_Ct-1),AO745=0),M745,0)</f>
        <v>0</v>
      </c>
      <c r="BS745" s="214">
        <f>IF(AND(Input_Product=Elig!$C745,Elig_MatchAll_Ct&lt;22,$BC745=(Elig_MatchAll_Ct-1),AQ745=0),N745,0)</f>
        <v>0</v>
      </c>
      <c r="BT745" s="214">
        <f>IF(AND(Input_Product=Elig!$C745,Elig_MatchAll_Ct&lt;22,$BC745=(Elig_MatchAll_Ct-1),AR745=0),O745,0)</f>
        <v>0</v>
      </c>
      <c r="BU745" s="214">
        <f>IF(AND(Input_Product=Elig!$C745,Elig_MatchAll_Ct&lt;22,$BC745=(Elig_MatchAll_Ct-1),AS745=0),P745,0)</f>
        <v>0</v>
      </c>
      <c r="BV745" s="215">
        <f>IF(AND(Input_Product=Elig!$C745,Elig_MatchAll_Ct&lt;22,$BC745=(Elig_MatchAll_Ct-1),AT745=0),Q745,0)</f>
        <v>0</v>
      </c>
      <c r="BW745" s="311">
        <f>IF(AND(Input_Product=Elig!$C745,Elig_MatchAll_Ct&lt;22,$BC745=(Elig_MatchAll_Ct-1),AU745=0),R745,0)</f>
        <v>0</v>
      </c>
      <c r="BX745" s="312">
        <f>IF(AND(Input_Product=Elig!$C745,Elig_MatchAll_Ct&lt;22,$BC745=(Elig_MatchAll_Ct-1),AU745=0),S745,0)</f>
        <v>0</v>
      </c>
      <c r="BY745" s="311">
        <f>IF(AND(Input_Product=Elig!$C745,Elig_MatchAll_Ct&lt;22,$BC745=(Elig_MatchAll_Ct-1),AV745=0),T745,0)</f>
        <v>0</v>
      </c>
      <c r="BZ745" s="312">
        <f>IF(AND(Input_Product=Elig!$C745,Elig_MatchAll_Ct&lt;22,$BC745=(Elig_MatchAll_Ct-1),AV745=0),U745,0)</f>
        <v>0</v>
      </c>
      <c r="CA745" s="311">
        <f>IF(AND(Input_Product=Elig!$C745,Elig_MatchAll_Ct&lt;22,$BC745=(Elig_MatchAll_Ct-1),AW745=0),V745,0)</f>
        <v>0</v>
      </c>
      <c r="CB745" s="312">
        <f>IF(AND(Input_Product=Elig!$C745,Elig_MatchAll_Ct&lt;22,$BC745=(Elig_MatchAll_Ct-1),AW745=0),W745,0)</f>
        <v>0</v>
      </c>
      <c r="CC745" s="311">
        <f>IF(AND(Input_Product=Elig!$C745,Elig_MatchAll_Ct&lt;22,$BC745=(Elig_MatchAll_Ct-1),AX745=0),X745,0)</f>
        <v>0</v>
      </c>
      <c r="CD745" s="312">
        <f>IF(AND(Input_Product=Elig!$C745,Elig_MatchAll_Ct&lt;22,$BC745=(Elig_MatchAll_Ct-1),AX745=0),Y745,0)</f>
        <v>0</v>
      </c>
      <c r="CE745" s="311">
        <f>IF(AND(Input_LTV&lt;=AE745,Input_Product=Elig!$C745,Elig_MatchAll_Ct&lt;22,$BC745=(Elig_MatchAll_Ct-1),AY745=0),Z745,0)</f>
        <v>0</v>
      </c>
      <c r="CF745" s="312">
        <f>IF(AND(Input_LTV&lt;=AE745,Input_Product=Elig!$C745,Elig_MatchAll_Ct&lt;22,$BC745=(Elig_MatchAll_Ct-1),AY745=0),AA745,0)</f>
        <v>0</v>
      </c>
      <c r="CG745" s="311">
        <f>IF(AND(Input_Product=Elig!$C745,Elig_MatchAll_Ct&lt;22,$BC745=(Elig_MatchAll_Ct-1),AZ745=0),AB745,0)</f>
        <v>0</v>
      </c>
      <c r="CH745" s="312">
        <f>IF(AND(Input_Product=Elig!$C745,Elig_MatchAll_Ct&lt;22,$BC745=(Elig_MatchAll_Ct-1),AZ745=0),AC745,0)</f>
        <v>0</v>
      </c>
      <c r="CI745" s="311">
        <f>IF(AND(Input_Product=Elig!$C745,Elig_MatchAll_Ct&lt;22,$BC745=(Elig_MatchAll_Ct-1),BA745=0),AD745,0)</f>
        <v>0</v>
      </c>
      <c r="CJ745" s="312">
        <f>IF(AND(Input_Product=Elig!$C745,Elig_MatchAll_Ct&lt;22,$BC745=(Elig_MatchAll_Ct-1),BA745=0),AE745,0)</f>
        <v>0</v>
      </c>
    </row>
    <row r="746" spans="2:88" ht="10.15" customHeight="1" x14ac:dyDescent="0.25">
      <c r="B746" s="2027" t="s">
        <v>3864</v>
      </c>
      <c r="C746" s="2024" t="str">
        <f t="shared" si="279"/>
        <v>Second OO</v>
      </c>
      <c r="D746" s="2025" t="s">
        <v>1569</v>
      </c>
      <c r="E746" s="2025" t="s">
        <v>98</v>
      </c>
      <c r="F746" s="2025" t="s">
        <v>328</v>
      </c>
      <c r="G746" s="2025" t="s">
        <v>303</v>
      </c>
      <c r="H746" s="2025" t="s">
        <v>136</v>
      </c>
      <c r="I746" s="2025" t="s">
        <v>1332</v>
      </c>
      <c r="J746" s="2023" t="s">
        <v>1311</v>
      </c>
      <c r="K746" s="2025" t="s">
        <v>1790</v>
      </c>
      <c r="L746" s="2023" t="s">
        <v>430</v>
      </c>
      <c r="M746" s="2023" t="s">
        <v>2677</v>
      </c>
      <c r="N746" s="2025" t="s">
        <v>82</v>
      </c>
      <c r="O746" s="2023" t="s">
        <v>310</v>
      </c>
      <c r="P746" s="2023" t="s">
        <v>291</v>
      </c>
      <c r="Q746" s="2023" t="s">
        <v>294</v>
      </c>
      <c r="R746" s="323">
        <v>500000.01</v>
      </c>
      <c r="S746" s="323">
        <v>750000</v>
      </c>
      <c r="T746" s="2023">
        <v>0</v>
      </c>
      <c r="U746" s="2023">
        <f t="shared" si="300"/>
        <v>750000</v>
      </c>
      <c r="V746" s="2023">
        <v>0</v>
      </c>
      <c r="W746" s="2023">
        <v>50</v>
      </c>
      <c r="X746" s="2023">
        <v>0</v>
      </c>
      <c r="Y746" s="2023">
        <v>999</v>
      </c>
      <c r="Z746" s="2026">
        <v>720</v>
      </c>
      <c r="AA746" s="2026">
        <v>999</v>
      </c>
      <c r="AB746" s="2026">
        <v>0</v>
      </c>
      <c r="AC746" s="2026">
        <v>999999</v>
      </c>
      <c r="AD746" s="2023">
        <v>0</v>
      </c>
      <c r="AE746" s="1482">
        <v>80</v>
      </c>
      <c r="AF746" s="170">
        <v>1</v>
      </c>
      <c r="AG746" s="171">
        <v>1</v>
      </c>
      <c r="AH746" s="171">
        <v>1</v>
      </c>
      <c r="AI746" s="171">
        <v>1</v>
      </c>
      <c r="AJ746" s="171">
        <v>1</v>
      </c>
      <c r="AK746" s="171">
        <v>1</v>
      </c>
      <c r="AL746" s="171">
        <v>1</v>
      </c>
      <c r="AM746" s="171">
        <v>1</v>
      </c>
      <c r="AN746" s="171">
        <v>1</v>
      </c>
      <c r="AO746" s="171">
        <v>1</v>
      </c>
      <c r="AP746" s="171">
        <v>1</v>
      </c>
      <c r="AQ746" s="171">
        <v>1</v>
      </c>
      <c r="AR746" s="171">
        <v>1</v>
      </c>
      <c r="AS746" s="171">
        <v>1</v>
      </c>
      <c r="AT746" s="171">
        <v>1</v>
      </c>
      <c r="AU746" s="171">
        <f t="shared" si="294"/>
        <v>0</v>
      </c>
      <c r="AV746" s="171">
        <f t="shared" si="295"/>
        <v>1</v>
      </c>
      <c r="AW746" s="171">
        <f t="shared" si="296"/>
        <v>1</v>
      </c>
      <c r="AX746" s="171">
        <f t="shared" si="305"/>
        <v>1</v>
      </c>
      <c r="AY746" s="171">
        <f t="shared" si="297"/>
        <v>1</v>
      </c>
      <c r="AZ746" s="171">
        <f t="shared" si="298"/>
        <v>1</v>
      </c>
      <c r="BA746" s="172">
        <f t="shared" si="299"/>
        <v>1</v>
      </c>
      <c r="BB746" s="175">
        <f t="shared" si="301"/>
        <v>21</v>
      </c>
      <c r="BC746" s="176">
        <f t="shared" si="302"/>
        <v>20</v>
      </c>
      <c r="BD746" s="176">
        <f t="shared" si="303"/>
        <v>20</v>
      </c>
      <c r="BE746" s="240" t="str">
        <f t="shared" si="304"/>
        <v/>
      </c>
      <c r="BF746" s="220"/>
      <c r="BG746" s="220"/>
      <c r="BH746" s="216">
        <f>IF(AND(Input_Product=Elig!$C746,Elig_MatchAll_Ct&lt;22,$BC746=(Elig_MatchAll_Ct-1),AF746=0),C746,0)</f>
        <v>0</v>
      </c>
      <c r="BI746" s="216">
        <f>IF(AND(Input_Product=Elig!$C746,Elig_MatchAll_Ct&lt;22,$BC746=(Elig_MatchAll_Ct-1),AG746=0),D746,0)</f>
        <v>0</v>
      </c>
      <c r="BJ746" s="216">
        <f>IF(AND(Input_Product=Elig!$C746,Elig_MatchAll_Ct&lt;22,$BC746=(Elig_MatchAll_Ct-1),AH746=0),E746,0)</f>
        <v>0</v>
      </c>
      <c r="BK746" s="216">
        <f>IF(AND(Input_Product=Elig!$C746,Elig_MatchAll_Ct&lt;22,$BC746=(Elig_MatchAll_Ct-1),AI746=0),F746,0)</f>
        <v>0</v>
      </c>
      <c r="BL746" s="216">
        <f>IF(AND(Input_Product=Elig!$C746,Elig_MatchAll_Ct&lt;22,$BC746=(Elig_MatchAll_Ct-1),AJ746=0),G746,0)</f>
        <v>0</v>
      </c>
      <c r="BM746" s="216">
        <f>IF(AND(Input_Product=Elig!$C746,Elig_MatchAll_Ct&lt;22,$BC746=(Elig_MatchAll_Ct-1),AK746=0),H746,0)</f>
        <v>0</v>
      </c>
      <c r="BN746" s="216">
        <f>IF(AND(Input_Product=Elig!$C746,Elig_MatchAll_Ct&lt;22,$BC746=(Elig_MatchAll_Ct-1),AL746=0),I746,0)</f>
        <v>0</v>
      </c>
      <c r="BO746" s="216">
        <f>IF(AND(Input_Product=Elig!$C746,Elig_MatchAll_Ct&lt;22,$BC746=(Elig_MatchAll_Ct-1),AM746=0),J746,0)</f>
        <v>0</v>
      </c>
      <c r="BP746" s="216">
        <f>IF(AND(Input_Product=Elig!$C746,Elig_MatchAll_Ct&lt;22,$BC746=(Elig_MatchAll_Ct-1),AN746=0),K746,0)</f>
        <v>0</v>
      </c>
      <c r="BQ746" s="216">
        <f>IF(AND(Input_Product=Elig!$C746,Elig_MatchAll_Ct&lt;22,$BC746=(Elig_MatchAll_Ct-1),AP746=0),L746,0)</f>
        <v>0</v>
      </c>
      <c r="BR746" s="216">
        <f>IF(AND(Input_Product=Elig!$C746,Elig_MatchAll_Ct&lt;22,$BC746=(Elig_MatchAll_Ct-1),AO746=0),M746,0)</f>
        <v>0</v>
      </c>
      <c r="BS746" s="216">
        <f>IF(AND(Input_Product=Elig!$C746,Elig_MatchAll_Ct&lt;22,$BC746=(Elig_MatchAll_Ct-1),AQ746=0),N746,0)</f>
        <v>0</v>
      </c>
      <c r="BT746" s="216">
        <f>IF(AND(Input_Product=Elig!$C746,Elig_MatchAll_Ct&lt;22,$BC746=(Elig_MatchAll_Ct-1),AR746=0),O746,0)</f>
        <v>0</v>
      </c>
      <c r="BU746" s="216">
        <f>IF(AND(Input_Product=Elig!$C746,Elig_MatchAll_Ct&lt;22,$BC746=(Elig_MatchAll_Ct-1),AS746=0),P746,0)</f>
        <v>0</v>
      </c>
      <c r="BV746" s="217">
        <f>IF(AND(Input_Product=Elig!$C746,Elig_MatchAll_Ct&lt;22,$BC746=(Elig_MatchAll_Ct-1),AT746=0),Q746,0)</f>
        <v>0</v>
      </c>
      <c r="BW746" s="313">
        <f>IF(AND(Input_Product=Elig!$C746,Elig_MatchAll_Ct&lt;22,$BC746=(Elig_MatchAll_Ct-1),AU746=0),R746,0)</f>
        <v>0</v>
      </c>
      <c r="BX746" s="314">
        <f>IF(AND(Input_Product=Elig!$C746,Elig_MatchAll_Ct&lt;22,$BC746=(Elig_MatchAll_Ct-1),AU746=0),S746,0)</f>
        <v>0</v>
      </c>
      <c r="BY746" s="313">
        <f>IF(AND(Input_Product=Elig!$C746,Elig_MatchAll_Ct&lt;22,$BC746=(Elig_MatchAll_Ct-1),AV746=0),T746,0)</f>
        <v>0</v>
      </c>
      <c r="BZ746" s="314">
        <f>IF(AND(Input_Product=Elig!$C746,Elig_MatchAll_Ct&lt;22,$BC746=(Elig_MatchAll_Ct-1),AV746=0),U746,0)</f>
        <v>0</v>
      </c>
      <c r="CA746" s="313">
        <f>IF(AND(Input_Product=Elig!$C746,Elig_MatchAll_Ct&lt;22,$BC746=(Elig_MatchAll_Ct-1),AW746=0),V746,0)</f>
        <v>0</v>
      </c>
      <c r="CB746" s="314">
        <f>IF(AND(Input_Product=Elig!$C746,Elig_MatchAll_Ct&lt;22,$BC746=(Elig_MatchAll_Ct-1),AW746=0),W746,0)</f>
        <v>0</v>
      </c>
      <c r="CC746" s="313">
        <f>IF(AND(Input_Product=Elig!$C746,Elig_MatchAll_Ct&lt;22,$BC746=(Elig_MatchAll_Ct-1),AX746=0),X746,0)</f>
        <v>0</v>
      </c>
      <c r="CD746" s="314">
        <f>IF(AND(Input_Product=Elig!$C746,Elig_MatchAll_Ct&lt;22,$BC746=(Elig_MatchAll_Ct-1),AX746=0),Y746,0)</f>
        <v>0</v>
      </c>
      <c r="CE746" s="313">
        <f>IF(AND(Input_LTV&lt;=AE746,Input_Product=Elig!$C746,Elig_MatchAll_Ct&lt;22,$BC746=(Elig_MatchAll_Ct-1),AY746=0),Z746,0)</f>
        <v>0</v>
      </c>
      <c r="CF746" s="314">
        <f>IF(AND(Input_LTV&lt;=AE746,Input_Product=Elig!$C746,Elig_MatchAll_Ct&lt;22,$BC746=(Elig_MatchAll_Ct-1),AY746=0),AA746,0)</f>
        <v>0</v>
      </c>
      <c r="CG746" s="313">
        <f>IF(AND(Input_Product=Elig!$C746,Elig_MatchAll_Ct&lt;22,$BC746=(Elig_MatchAll_Ct-1),AZ746=0),AB746,0)</f>
        <v>0</v>
      </c>
      <c r="CH746" s="314">
        <f>IF(AND(Input_Product=Elig!$C746,Elig_MatchAll_Ct&lt;22,$BC746=(Elig_MatchAll_Ct-1),AZ746=0),AC746,0)</f>
        <v>0</v>
      </c>
      <c r="CI746" s="313">
        <f>IF(AND(Input_Product=Elig!$C746,Elig_MatchAll_Ct&lt;22,$BC746=(Elig_MatchAll_Ct-1),BA746=0),AD746,0)</f>
        <v>0</v>
      </c>
      <c r="CJ746" s="314">
        <f>IF(AND(Input_Product=Elig!$C746,Elig_MatchAll_Ct&lt;22,$BC746=(Elig_MatchAll_Ct-1),BA746=0),AE746,0)</f>
        <v>0</v>
      </c>
    </row>
    <row r="747" spans="2:88" ht="10.15" customHeight="1" x14ac:dyDescent="0.25">
      <c r="B747" s="2027" t="s">
        <v>3865</v>
      </c>
      <c r="C747" s="2028" t="str">
        <f t="shared" si="279"/>
        <v>Second OO</v>
      </c>
      <c r="D747" s="2027" t="s">
        <v>1569</v>
      </c>
      <c r="E747" s="2027" t="s">
        <v>98</v>
      </c>
      <c r="F747" s="2027" t="s">
        <v>328</v>
      </c>
      <c r="G747" s="2029" t="s">
        <v>303</v>
      </c>
      <c r="H747" s="2029" t="s">
        <v>136</v>
      </c>
      <c r="I747" s="2027" t="s">
        <v>1332</v>
      </c>
      <c r="J747" s="2027" t="s">
        <v>1311</v>
      </c>
      <c r="K747" s="2029" t="s">
        <v>1790</v>
      </c>
      <c r="L747" s="2027" t="s">
        <v>430</v>
      </c>
      <c r="M747" s="2027" t="s">
        <v>2677</v>
      </c>
      <c r="N747" s="2029" t="s">
        <v>82</v>
      </c>
      <c r="O747" s="2027" t="s">
        <v>310</v>
      </c>
      <c r="P747" s="2027" t="s">
        <v>291</v>
      </c>
      <c r="Q747" s="2027" t="s">
        <v>294</v>
      </c>
      <c r="R747" s="300">
        <v>500000.01</v>
      </c>
      <c r="S747" s="300">
        <v>750000</v>
      </c>
      <c r="T747" s="2027">
        <v>0</v>
      </c>
      <c r="U747" s="2027">
        <f t="shared" si="300"/>
        <v>750000</v>
      </c>
      <c r="V747" s="2027">
        <v>0</v>
      </c>
      <c r="W747" s="2027">
        <v>50</v>
      </c>
      <c r="X747" s="2027">
        <v>0</v>
      </c>
      <c r="Y747" s="2027">
        <v>999</v>
      </c>
      <c r="Z747" s="2030">
        <v>700</v>
      </c>
      <c r="AA747" s="2030">
        <v>719</v>
      </c>
      <c r="AB747" s="2030">
        <v>0</v>
      </c>
      <c r="AC747" s="2030">
        <v>999999</v>
      </c>
      <c r="AD747" s="2027">
        <v>0</v>
      </c>
      <c r="AE747" s="1483">
        <v>80</v>
      </c>
      <c r="AF747" s="170">
        <v>1</v>
      </c>
      <c r="AG747" s="171">
        <v>1</v>
      </c>
      <c r="AH747" s="171">
        <v>1</v>
      </c>
      <c r="AI747" s="171">
        <v>1</v>
      </c>
      <c r="AJ747" s="171">
        <v>1</v>
      </c>
      <c r="AK747" s="171">
        <v>1</v>
      </c>
      <c r="AL747" s="171">
        <v>1</v>
      </c>
      <c r="AM747" s="171">
        <v>1</v>
      </c>
      <c r="AN747" s="171">
        <v>1</v>
      </c>
      <c r="AO747" s="171">
        <v>1</v>
      </c>
      <c r="AP747" s="171">
        <v>1</v>
      </c>
      <c r="AQ747" s="171">
        <v>1</v>
      </c>
      <c r="AR747" s="171">
        <v>1</v>
      </c>
      <c r="AS747" s="171">
        <v>1</v>
      </c>
      <c r="AT747" s="171">
        <v>1</v>
      </c>
      <c r="AU747" s="171">
        <f t="shared" si="294"/>
        <v>0</v>
      </c>
      <c r="AV747" s="171">
        <f t="shared" si="295"/>
        <v>1</v>
      </c>
      <c r="AW747" s="171">
        <f t="shared" si="296"/>
        <v>1</v>
      </c>
      <c r="AX747" s="171">
        <f t="shared" si="305"/>
        <v>1</v>
      </c>
      <c r="AY747" s="171">
        <f t="shared" si="297"/>
        <v>0</v>
      </c>
      <c r="AZ747" s="171">
        <f t="shared" si="298"/>
        <v>1</v>
      </c>
      <c r="BA747" s="172">
        <f t="shared" si="299"/>
        <v>1</v>
      </c>
      <c r="BB747" s="175">
        <f t="shared" si="301"/>
        <v>20</v>
      </c>
      <c r="BC747" s="176">
        <f t="shared" si="302"/>
        <v>19</v>
      </c>
      <c r="BD747" s="176">
        <f t="shared" si="303"/>
        <v>19</v>
      </c>
      <c r="BE747" s="240" t="str">
        <f t="shared" si="304"/>
        <v/>
      </c>
      <c r="BF747" s="234"/>
      <c r="BG747" s="234"/>
      <c r="BH747" s="199">
        <f>IF(AND(Input_Product=Elig!$C747,Elig_MatchAll_Ct&lt;22,$BC747=(Elig_MatchAll_Ct-1),AF747=0),C747,0)</f>
        <v>0</v>
      </c>
      <c r="BI747" s="199">
        <f>IF(AND(Input_Product=Elig!$C747,Elig_MatchAll_Ct&lt;22,$BC747=(Elig_MatchAll_Ct-1),AG747=0),D747,0)</f>
        <v>0</v>
      </c>
      <c r="BJ747" s="199">
        <f>IF(AND(Input_Product=Elig!$C747,Elig_MatchAll_Ct&lt;22,$BC747=(Elig_MatchAll_Ct-1),AH747=0),E747,0)</f>
        <v>0</v>
      </c>
      <c r="BK747" s="199">
        <f>IF(AND(Input_Product=Elig!$C747,Elig_MatchAll_Ct&lt;22,$BC747=(Elig_MatchAll_Ct-1),AI747=0),F747,0)</f>
        <v>0</v>
      </c>
      <c r="BL747" s="199">
        <f>IF(AND(Input_Product=Elig!$C747,Elig_MatchAll_Ct&lt;22,$BC747=(Elig_MatchAll_Ct-1),AJ747=0),G747,0)</f>
        <v>0</v>
      </c>
      <c r="BM747" s="199">
        <f>IF(AND(Input_Product=Elig!$C747,Elig_MatchAll_Ct&lt;22,$BC747=(Elig_MatchAll_Ct-1),AK747=0),H747,0)</f>
        <v>0</v>
      </c>
      <c r="BN747" s="199">
        <f>IF(AND(Input_Product=Elig!$C747,Elig_MatchAll_Ct&lt;22,$BC747=(Elig_MatchAll_Ct-1),AL747=0),I747,0)</f>
        <v>0</v>
      </c>
      <c r="BO747" s="199">
        <f>IF(AND(Input_Product=Elig!$C747,Elig_MatchAll_Ct&lt;22,$BC747=(Elig_MatchAll_Ct-1),AM747=0),J747,0)</f>
        <v>0</v>
      </c>
      <c r="BP747" s="199">
        <f>IF(AND(Input_Product=Elig!$C747,Elig_MatchAll_Ct&lt;22,$BC747=(Elig_MatchAll_Ct-1),AN747=0),K747,0)</f>
        <v>0</v>
      </c>
      <c r="BQ747" s="199">
        <f>IF(AND(Input_Product=Elig!$C747,Elig_MatchAll_Ct&lt;22,$BC747=(Elig_MatchAll_Ct-1),AP747=0),L747,0)</f>
        <v>0</v>
      </c>
      <c r="BR747" s="199">
        <f>IF(AND(Input_Product=Elig!$C747,Elig_MatchAll_Ct&lt;22,$BC747=(Elig_MatchAll_Ct-1),AO747=0),M747,0)</f>
        <v>0</v>
      </c>
      <c r="BS747" s="199">
        <f>IF(AND(Input_Product=Elig!$C747,Elig_MatchAll_Ct&lt;22,$BC747=(Elig_MatchAll_Ct-1),AQ747=0),N747,0)</f>
        <v>0</v>
      </c>
      <c r="BT747" s="199">
        <f>IF(AND(Input_Product=Elig!$C747,Elig_MatchAll_Ct&lt;22,$BC747=(Elig_MatchAll_Ct-1),AR747=0),O747,0)</f>
        <v>0</v>
      </c>
      <c r="BU747" s="199">
        <f>IF(AND(Input_Product=Elig!$C747,Elig_MatchAll_Ct&lt;22,$BC747=(Elig_MatchAll_Ct-1),AS747=0),P747,0)</f>
        <v>0</v>
      </c>
      <c r="BV747" s="200">
        <f>IF(AND(Input_Product=Elig!$C747,Elig_MatchAll_Ct&lt;22,$BC747=(Elig_MatchAll_Ct-1),AT747=0),Q747,0)</f>
        <v>0</v>
      </c>
      <c r="BW747" s="201">
        <f>IF(AND(Input_Product=Elig!$C747,Elig_MatchAll_Ct&lt;22,$BC747=(Elig_MatchAll_Ct-1),AU747=0),R747,0)</f>
        <v>0</v>
      </c>
      <c r="BX747" s="202">
        <f>IF(AND(Input_Product=Elig!$C747,Elig_MatchAll_Ct&lt;22,$BC747=(Elig_MatchAll_Ct-1),AU747=0),S747,0)</f>
        <v>0</v>
      </c>
      <c r="BY747" s="201">
        <f>IF(AND(Input_Product=Elig!$C747,Elig_MatchAll_Ct&lt;22,$BC747=(Elig_MatchAll_Ct-1),AV747=0),T747,0)</f>
        <v>0</v>
      </c>
      <c r="BZ747" s="202">
        <f>IF(AND(Input_Product=Elig!$C747,Elig_MatchAll_Ct&lt;22,$BC747=(Elig_MatchAll_Ct-1),AV747=0),U747,0)</f>
        <v>0</v>
      </c>
      <c r="CA747" s="201">
        <f>IF(AND(Input_Product=Elig!$C747,Elig_MatchAll_Ct&lt;22,$BC747=(Elig_MatchAll_Ct-1),AW747=0),V747,0)</f>
        <v>0</v>
      </c>
      <c r="CB747" s="202">
        <f>IF(AND(Input_Product=Elig!$C747,Elig_MatchAll_Ct&lt;22,$BC747=(Elig_MatchAll_Ct-1),AW747=0),W747,0)</f>
        <v>0</v>
      </c>
      <c r="CC747" s="201">
        <f>IF(AND(Input_Product=Elig!$C747,Elig_MatchAll_Ct&lt;22,$BC747=(Elig_MatchAll_Ct-1),AX747=0),X747,0)</f>
        <v>0</v>
      </c>
      <c r="CD747" s="202">
        <f>IF(AND(Input_Product=Elig!$C747,Elig_MatchAll_Ct&lt;22,$BC747=(Elig_MatchAll_Ct-1),AX747=0),Y747,0)</f>
        <v>0</v>
      </c>
      <c r="CE747" s="201">
        <f>IF(AND(Input_LTV&lt;=AE747,Input_Product=Elig!$C747,Elig_MatchAll_Ct&lt;22,$BC747=(Elig_MatchAll_Ct-1),AY747=0),Z747,0)</f>
        <v>0</v>
      </c>
      <c r="CF747" s="202">
        <f>IF(AND(Input_LTV&lt;=AE747,Input_Product=Elig!$C747,Elig_MatchAll_Ct&lt;22,$BC747=(Elig_MatchAll_Ct-1),AY747=0),AA747,0)</f>
        <v>0</v>
      </c>
      <c r="CG747" s="201">
        <f>IF(AND(Input_Product=Elig!$C747,Elig_MatchAll_Ct&lt;22,$BC747=(Elig_MatchAll_Ct-1),AZ747=0),AB747,0)</f>
        <v>0</v>
      </c>
      <c r="CH747" s="202">
        <f>IF(AND(Input_Product=Elig!$C747,Elig_MatchAll_Ct&lt;22,$BC747=(Elig_MatchAll_Ct-1),AZ747=0),AC747,0)</f>
        <v>0</v>
      </c>
      <c r="CI747" s="201">
        <f>IF(AND(Input_Product=Elig!$C747,Elig_MatchAll_Ct&lt;22,$BC747=(Elig_MatchAll_Ct-1),BA747=0),AD747,0)</f>
        <v>0</v>
      </c>
      <c r="CJ747" s="202">
        <f>IF(AND(Input_Product=Elig!$C747,Elig_MatchAll_Ct&lt;22,$BC747=(Elig_MatchAll_Ct-1),BA747=0),AE747,0)</f>
        <v>0</v>
      </c>
    </row>
    <row r="748" spans="2:88" ht="10.15" customHeight="1" x14ac:dyDescent="0.25">
      <c r="B748" s="2027" t="s">
        <v>3866</v>
      </c>
      <c r="C748" s="2028" t="str">
        <f t="shared" si="279"/>
        <v>Second OO</v>
      </c>
      <c r="D748" s="2027" t="s">
        <v>1569</v>
      </c>
      <c r="E748" s="2027" t="s">
        <v>98</v>
      </c>
      <c r="F748" s="2027" t="s">
        <v>328</v>
      </c>
      <c r="G748" s="2029" t="s">
        <v>303</v>
      </c>
      <c r="H748" s="2029" t="s">
        <v>136</v>
      </c>
      <c r="I748" s="2027" t="s">
        <v>1332</v>
      </c>
      <c r="J748" s="2027" t="s">
        <v>1311</v>
      </c>
      <c r="K748" s="2029" t="s">
        <v>1790</v>
      </c>
      <c r="L748" s="2027" t="s">
        <v>430</v>
      </c>
      <c r="M748" s="2027" t="s">
        <v>2677</v>
      </c>
      <c r="N748" s="2029" t="s">
        <v>82</v>
      </c>
      <c r="O748" s="2027" t="s">
        <v>310</v>
      </c>
      <c r="P748" s="2027" t="s">
        <v>291</v>
      </c>
      <c r="Q748" s="2027" t="s">
        <v>294</v>
      </c>
      <c r="R748" s="300">
        <v>500000.01</v>
      </c>
      <c r="S748" s="300">
        <v>750000</v>
      </c>
      <c r="T748" s="2027">
        <v>0</v>
      </c>
      <c r="U748" s="2027">
        <f t="shared" si="300"/>
        <v>750000</v>
      </c>
      <c r="V748" s="2027">
        <v>0</v>
      </c>
      <c r="W748" s="2027">
        <v>50</v>
      </c>
      <c r="X748" s="2027">
        <v>0</v>
      </c>
      <c r="Y748" s="2027">
        <v>999</v>
      </c>
      <c r="Z748" s="2030">
        <v>680</v>
      </c>
      <c r="AA748" s="2030">
        <v>699</v>
      </c>
      <c r="AB748" s="2030">
        <v>0</v>
      </c>
      <c r="AC748" s="2030">
        <v>999999</v>
      </c>
      <c r="AD748" s="2027">
        <v>0</v>
      </c>
      <c r="AE748" s="1483">
        <v>75</v>
      </c>
      <c r="AF748" s="170">
        <v>1</v>
      </c>
      <c r="AG748" s="171">
        <v>1</v>
      </c>
      <c r="AH748" s="171">
        <v>1</v>
      </c>
      <c r="AI748" s="171">
        <v>1</v>
      </c>
      <c r="AJ748" s="171">
        <v>1</v>
      </c>
      <c r="AK748" s="171">
        <v>1</v>
      </c>
      <c r="AL748" s="171">
        <v>1</v>
      </c>
      <c r="AM748" s="171">
        <v>1</v>
      </c>
      <c r="AN748" s="171">
        <v>1</v>
      </c>
      <c r="AO748" s="171">
        <v>1</v>
      </c>
      <c r="AP748" s="171">
        <v>1</v>
      </c>
      <c r="AQ748" s="171">
        <v>1</v>
      </c>
      <c r="AR748" s="171">
        <v>1</v>
      </c>
      <c r="AS748" s="171">
        <v>1</v>
      </c>
      <c r="AT748" s="171">
        <v>1</v>
      </c>
      <c r="AU748" s="171">
        <f t="shared" si="294"/>
        <v>0</v>
      </c>
      <c r="AV748" s="171">
        <f t="shared" si="295"/>
        <v>1</v>
      </c>
      <c r="AW748" s="171">
        <f t="shared" si="296"/>
        <v>1</v>
      </c>
      <c r="AX748" s="171">
        <f t="shared" si="305"/>
        <v>1</v>
      </c>
      <c r="AY748" s="171">
        <f t="shared" si="297"/>
        <v>0</v>
      </c>
      <c r="AZ748" s="171">
        <f t="shared" si="298"/>
        <v>1</v>
      </c>
      <c r="BA748" s="172">
        <f t="shared" si="299"/>
        <v>1</v>
      </c>
      <c r="BB748" s="175">
        <f t="shared" si="301"/>
        <v>20</v>
      </c>
      <c r="BC748" s="176">
        <f t="shared" si="302"/>
        <v>19</v>
      </c>
      <c r="BD748" s="176">
        <f t="shared" si="303"/>
        <v>19</v>
      </c>
      <c r="BE748" s="240" t="str">
        <f t="shared" si="304"/>
        <v/>
      </c>
      <c r="BF748" s="234"/>
      <c r="BG748" s="234"/>
      <c r="BH748" s="199">
        <f>IF(AND(Input_Product=Elig!$C748,Elig_MatchAll_Ct&lt;22,$BC748=(Elig_MatchAll_Ct-1),AF748=0),C748,0)</f>
        <v>0</v>
      </c>
      <c r="BI748" s="199">
        <f>IF(AND(Input_Product=Elig!$C748,Elig_MatchAll_Ct&lt;22,$BC748=(Elig_MatchAll_Ct-1),AG748=0),D748,0)</f>
        <v>0</v>
      </c>
      <c r="BJ748" s="199">
        <f>IF(AND(Input_Product=Elig!$C748,Elig_MatchAll_Ct&lt;22,$BC748=(Elig_MatchAll_Ct-1),AH748=0),E748,0)</f>
        <v>0</v>
      </c>
      <c r="BK748" s="199">
        <f>IF(AND(Input_Product=Elig!$C748,Elig_MatchAll_Ct&lt;22,$BC748=(Elig_MatchAll_Ct-1),AI748=0),F748,0)</f>
        <v>0</v>
      </c>
      <c r="BL748" s="199">
        <f>IF(AND(Input_Product=Elig!$C748,Elig_MatchAll_Ct&lt;22,$BC748=(Elig_MatchAll_Ct-1),AJ748=0),G748,0)</f>
        <v>0</v>
      </c>
      <c r="BM748" s="199">
        <f>IF(AND(Input_Product=Elig!$C748,Elig_MatchAll_Ct&lt;22,$BC748=(Elig_MatchAll_Ct-1),AK748=0),H748,0)</f>
        <v>0</v>
      </c>
      <c r="BN748" s="199">
        <f>IF(AND(Input_Product=Elig!$C748,Elig_MatchAll_Ct&lt;22,$BC748=(Elig_MatchAll_Ct-1),AL748=0),I748,0)</f>
        <v>0</v>
      </c>
      <c r="BO748" s="199">
        <f>IF(AND(Input_Product=Elig!$C748,Elig_MatchAll_Ct&lt;22,$BC748=(Elig_MatchAll_Ct-1),AM748=0),J748,0)</f>
        <v>0</v>
      </c>
      <c r="BP748" s="199">
        <f>IF(AND(Input_Product=Elig!$C748,Elig_MatchAll_Ct&lt;22,$BC748=(Elig_MatchAll_Ct-1),AN748=0),K748,0)</f>
        <v>0</v>
      </c>
      <c r="BQ748" s="199">
        <f>IF(AND(Input_Product=Elig!$C748,Elig_MatchAll_Ct&lt;22,$BC748=(Elig_MatchAll_Ct-1),AP748=0),L748,0)</f>
        <v>0</v>
      </c>
      <c r="BR748" s="199">
        <f>IF(AND(Input_Product=Elig!$C748,Elig_MatchAll_Ct&lt;22,$BC748=(Elig_MatchAll_Ct-1),AO748=0),M748,0)</f>
        <v>0</v>
      </c>
      <c r="BS748" s="199">
        <f>IF(AND(Input_Product=Elig!$C748,Elig_MatchAll_Ct&lt;22,$BC748=(Elig_MatchAll_Ct-1),AQ748=0),N748,0)</f>
        <v>0</v>
      </c>
      <c r="BT748" s="199">
        <f>IF(AND(Input_Product=Elig!$C748,Elig_MatchAll_Ct&lt;22,$BC748=(Elig_MatchAll_Ct-1),AR748=0),O748,0)</f>
        <v>0</v>
      </c>
      <c r="BU748" s="199">
        <f>IF(AND(Input_Product=Elig!$C748,Elig_MatchAll_Ct&lt;22,$BC748=(Elig_MatchAll_Ct-1),AS748=0),P748,0)</f>
        <v>0</v>
      </c>
      <c r="BV748" s="200">
        <f>IF(AND(Input_Product=Elig!$C748,Elig_MatchAll_Ct&lt;22,$BC748=(Elig_MatchAll_Ct-1),AT748=0),Q748,0)</f>
        <v>0</v>
      </c>
      <c r="BW748" s="201">
        <f>IF(AND(Input_Product=Elig!$C748,Elig_MatchAll_Ct&lt;22,$BC748=(Elig_MatchAll_Ct-1),AU748=0),R748,0)</f>
        <v>0</v>
      </c>
      <c r="BX748" s="202">
        <f>IF(AND(Input_Product=Elig!$C748,Elig_MatchAll_Ct&lt;22,$BC748=(Elig_MatchAll_Ct-1),AU748=0),S748,0)</f>
        <v>0</v>
      </c>
      <c r="BY748" s="201">
        <f>IF(AND(Input_Product=Elig!$C748,Elig_MatchAll_Ct&lt;22,$BC748=(Elig_MatchAll_Ct-1),AV748=0),T748,0)</f>
        <v>0</v>
      </c>
      <c r="BZ748" s="202">
        <f>IF(AND(Input_Product=Elig!$C748,Elig_MatchAll_Ct&lt;22,$BC748=(Elig_MatchAll_Ct-1),AV748=0),U748,0)</f>
        <v>0</v>
      </c>
      <c r="CA748" s="201">
        <f>IF(AND(Input_Product=Elig!$C748,Elig_MatchAll_Ct&lt;22,$BC748=(Elig_MatchAll_Ct-1),AW748=0),V748,0)</f>
        <v>0</v>
      </c>
      <c r="CB748" s="202">
        <f>IF(AND(Input_Product=Elig!$C748,Elig_MatchAll_Ct&lt;22,$BC748=(Elig_MatchAll_Ct-1),AW748=0),W748,0)</f>
        <v>0</v>
      </c>
      <c r="CC748" s="201">
        <f>IF(AND(Input_Product=Elig!$C748,Elig_MatchAll_Ct&lt;22,$BC748=(Elig_MatchAll_Ct-1),AX748=0),X748,0)</f>
        <v>0</v>
      </c>
      <c r="CD748" s="202">
        <f>IF(AND(Input_Product=Elig!$C748,Elig_MatchAll_Ct&lt;22,$BC748=(Elig_MatchAll_Ct-1),AX748=0),Y748,0)</f>
        <v>0</v>
      </c>
      <c r="CE748" s="201">
        <f>IF(AND(Input_LTV&lt;=AE748,Input_Product=Elig!$C748,Elig_MatchAll_Ct&lt;22,$BC748=(Elig_MatchAll_Ct-1),AY748=0),Z748,0)</f>
        <v>0</v>
      </c>
      <c r="CF748" s="202">
        <f>IF(AND(Input_LTV&lt;=AE748,Input_Product=Elig!$C748,Elig_MatchAll_Ct&lt;22,$BC748=(Elig_MatchAll_Ct-1),AY748=0),AA748,0)</f>
        <v>0</v>
      </c>
      <c r="CG748" s="201">
        <f>IF(AND(Input_Product=Elig!$C748,Elig_MatchAll_Ct&lt;22,$BC748=(Elig_MatchAll_Ct-1),AZ748=0),AB748,0)</f>
        <v>0</v>
      </c>
      <c r="CH748" s="202">
        <f>IF(AND(Input_Product=Elig!$C748,Elig_MatchAll_Ct&lt;22,$BC748=(Elig_MatchAll_Ct-1),AZ748=0),AC748,0)</f>
        <v>0</v>
      </c>
      <c r="CI748" s="201">
        <f>IF(AND(Input_Product=Elig!$C748,Elig_MatchAll_Ct&lt;22,$BC748=(Elig_MatchAll_Ct-1),BA748=0),AD748,0)</f>
        <v>0</v>
      </c>
      <c r="CJ748" s="202">
        <f>IF(AND(Input_Product=Elig!$C748,Elig_MatchAll_Ct&lt;22,$BC748=(Elig_MatchAll_Ct-1),BA748=0),AE748,0)</f>
        <v>0</v>
      </c>
    </row>
    <row r="749" spans="2:88" ht="10.15" customHeight="1" x14ac:dyDescent="0.25">
      <c r="B749" s="2027" t="s">
        <v>3867</v>
      </c>
      <c r="C749" s="2032" t="str">
        <f t="shared" si="279"/>
        <v>Second OO</v>
      </c>
      <c r="D749" s="2031" t="s">
        <v>1569</v>
      </c>
      <c r="E749" s="2031" t="s">
        <v>98</v>
      </c>
      <c r="F749" s="2031" t="s">
        <v>328</v>
      </c>
      <c r="G749" s="2033" t="s">
        <v>303</v>
      </c>
      <c r="H749" s="2033" t="s">
        <v>136</v>
      </c>
      <c r="I749" s="2031" t="s">
        <v>1332</v>
      </c>
      <c r="J749" s="2031" t="s">
        <v>1311</v>
      </c>
      <c r="K749" s="2033" t="s">
        <v>1790</v>
      </c>
      <c r="L749" s="2031" t="s">
        <v>430</v>
      </c>
      <c r="M749" s="2031" t="s">
        <v>2677</v>
      </c>
      <c r="N749" s="2033" t="s">
        <v>82</v>
      </c>
      <c r="O749" s="2031" t="s">
        <v>310</v>
      </c>
      <c r="P749" s="2031" t="s">
        <v>291</v>
      </c>
      <c r="Q749" s="2031" t="s">
        <v>294</v>
      </c>
      <c r="R749" s="324">
        <v>500000.01</v>
      </c>
      <c r="S749" s="324">
        <v>750000</v>
      </c>
      <c r="T749" s="2031">
        <v>0</v>
      </c>
      <c r="U749" s="2031">
        <f t="shared" si="300"/>
        <v>750000</v>
      </c>
      <c r="V749" s="2031">
        <v>0</v>
      </c>
      <c r="W749" s="2031">
        <v>50</v>
      </c>
      <c r="X749" s="2031">
        <v>0</v>
      </c>
      <c r="Y749" s="2031">
        <v>999</v>
      </c>
      <c r="Z749" s="2034">
        <v>660</v>
      </c>
      <c r="AA749" s="2034">
        <v>679</v>
      </c>
      <c r="AB749" s="2034">
        <v>0</v>
      </c>
      <c r="AC749" s="2034">
        <v>999999</v>
      </c>
      <c r="AD749" s="2031">
        <v>0</v>
      </c>
      <c r="AE749" s="1484">
        <v>70</v>
      </c>
      <c r="AF749" s="170">
        <v>1</v>
      </c>
      <c r="AG749" s="171">
        <v>1</v>
      </c>
      <c r="AH749" s="171">
        <v>1</v>
      </c>
      <c r="AI749" s="171">
        <v>1</v>
      </c>
      <c r="AJ749" s="171">
        <v>1</v>
      </c>
      <c r="AK749" s="171">
        <v>1</v>
      </c>
      <c r="AL749" s="171">
        <v>1</v>
      </c>
      <c r="AM749" s="171">
        <v>1</v>
      </c>
      <c r="AN749" s="171">
        <v>1</v>
      </c>
      <c r="AO749" s="171">
        <v>1</v>
      </c>
      <c r="AP749" s="171">
        <v>1</v>
      </c>
      <c r="AQ749" s="171">
        <v>1</v>
      </c>
      <c r="AR749" s="171">
        <v>1</v>
      </c>
      <c r="AS749" s="171">
        <v>1</v>
      </c>
      <c r="AT749" s="171">
        <v>1</v>
      </c>
      <c r="AU749" s="171">
        <f t="shared" si="294"/>
        <v>0</v>
      </c>
      <c r="AV749" s="171">
        <f t="shared" si="295"/>
        <v>1</v>
      </c>
      <c r="AW749" s="171">
        <f t="shared" si="296"/>
        <v>1</v>
      </c>
      <c r="AX749" s="171">
        <f t="shared" si="305"/>
        <v>1</v>
      </c>
      <c r="AY749" s="171">
        <f t="shared" si="297"/>
        <v>0</v>
      </c>
      <c r="AZ749" s="171">
        <f t="shared" si="298"/>
        <v>1</v>
      </c>
      <c r="BA749" s="172">
        <f t="shared" si="299"/>
        <v>1</v>
      </c>
      <c r="BB749" s="175">
        <f t="shared" si="301"/>
        <v>20</v>
      </c>
      <c r="BC749" s="176">
        <f t="shared" si="302"/>
        <v>19</v>
      </c>
      <c r="BD749" s="176">
        <f t="shared" si="303"/>
        <v>19</v>
      </c>
      <c r="BE749" s="240" t="str">
        <f t="shared" si="304"/>
        <v/>
      </c>
      <c r="BF749" s="234"/>
      <c r="BG749" s="234"/>
      <c r="BH749" s="214">
        <f>IF(AND(Input_Product=Elig!$C749,Elig_MatchAll_Ct&lt;22,$BC749=(Elig_MatchAll_Ct-1),AF749=0),C749,0)</f>
        <v>0</v>
      </c>
      <c r="BI749" s="214">
        <f>IF(AND(Input_Product=Elig!$C749,Elig_MatchAll_Ct&lt;22,$BC749=(Elig_MatchAll_Ct-1),AG749=0),D749,0)</f>
        <v>0</v>
      </c>
      <c r="BJ749" s="214">
        <f>IF(AND(Input_Product=Elig!$C749,Elig_MatchAll_Ct&lt;22,$BC749=(Elig_MatchAll_Ct-1),AH749=0),E749,0)</f>
        <v>0</v>
      </c>
      <c r="BK749" s="214">
        <f>IF(AND(Input_Product=Elig!$C749,Elig_MatchAll_Ct&lt;22,$BC749=(Elig_MatchAll_Ct-1),AI749=0),F749,0)</f>
        <v>0</v>
      </c>
      <c r="BL749" s="214">
        <f>IF(AND(Input_Product=Elig!$C749,Elig_MatchAll_Ct&lt;22,$BC749=(Elig_MatchAll_Ct-1),AJ749=0),G749,0)</f>
        <v>0</v>
      </c>
      <c r="BM749" s="214">
        <f>IF(AND(Input_Product=Elig!$C749,Elig_MatchAll_Ct&lt;22,$BC749=(Elig_MatchAll_Ct-1),AK749=0),H749,0)</f>
        <v>0</v>
      </c>
      <c r="BN749" s="214">
        <f>IF(AND(Input_Product=Elig!$C749,Elig_MatchAll_Ct&lt;22,$BC749=(Elig_MatchAll_Ct-1),AL749=0),I749,0)</f>
        <v>0</v>
      </c>
      <c r="BO749" s="214">
        <f>IF(AND(Input_Product=Elig!$C749,Elig_MatchAll_Ct&lt;22,$BC749=(Elig_MatchAll_Ct-1),AM749=0),J749,0)</f>
        <v>0</v>
      </c>
      <c r="BP749" s="214">
        <f>IF(AND(Input_Product=Elig!$C749,Elig_MatchAll_Ct&lt;22,$BC749=(Elig_MatchAll_Ct-1),AN749=0),K749,0)</f>
        <v>0</v>
      </c>
      <c r="BQ749" s="214">
        <f>IF(AND(Input_Product=Elig!$C749,Elig_MatchAll_Ct&lt;22,$BC749=(Elig_MatchAll_Ct-1),AP749=0),L749,0)</f>
        <v>0</v>
      </c>
      <c r="BR749" s="214">
        <f>IF(AND(Input_Product=Elig!$C749,Elig_MatchAll_Ct&lt;22,$BC749=(Elig_MatchAll_Ct-1),AO749=0),M749,0)</f>
        <v>0</v>
      </c>
      <c r="BS749" s="214">
        <f>IF(AND(Input_Product=Elig!$C749,Elig_MatchAll_Ct&lt;22,$BC749=(Elig_MatchAll_Ct-1),AQ749=0),N749,0)</f>
        <v>0</v>
      </c>
      <c r="BT749" s="214">
        <f>IF(AND(Input_Product=Elig!$C749,Elig_MatchAll_Ct&lt;22,$BC749=(Elig_MatchAll_Ct-1),AR749=0),O749,0)</f>
        <v>0</v>
      </c>
      <c r="BU749" s="214">
        <f>IF(AND(Input_Product=Elig!$C749,Elig_MatchAll_Ct&lt;22,$BC749=(Elig_MatchAll_Ct-1),AS749=0),P749,0)</f>
        <v>0</v>
      </c>
      <c r="BV749" s="215">
        <f>IF(AND(Input_Product=Elig!$C749,Elig_MatchAll_Ct&lt;22,$BC749=(Elig_MatchAll_Ct-1),AT749=0),Q749,0)</f>
        <v>0</v>
      </c>
      <c r="BW749" s="311">
        <f>IF(AND(Input_Product=Elig!$C749,Elig_MatchAll_Ct&lt;22,$BC749=(Elig_MatchAll_Ct-1),AU749=0),R749,0)</f>
        <v>0</v>
      </c>
      <c r="BX749" s="312">
        <f>IF(AND(Input_Product=Elig!$C749,Elig_MatchAll_Ct&lt;22,$BC749=(Elig_MatchAll_Ct-1),AU749=0),S749,0)</f>
        <v>0</v>
      </c>
      <c r="BY749" s="311">
        <f>IF(AND(Input_Product=Elig!$C749,Elig_MatchAll_Ct&lt;22,$BC749=(Elig_MatchAll_Ct-1),AV749=0),T749,0)</f>
        <v>0</v>
      </c>
      <c r="BZ749" s="312">
        <f>IF(AND(Input_Product=Elig!$C749,Elig_MatchAll_Ct&lt;22,$BC749=(Elig_MatchAll_Ct-1),AV749=0),U749,0)</f>
        <v>0</v>
      </c>
      <c r="CA749" s="311">
        <f>IF(AND(Input_Product=Elig!$C749,Elig_MatchAll_Ct&lt;22,$BC749=(Elig_MatchAll_Ct-1),AW749=0),V749,0)</f>
        <v>0</v>
      </c>
      <c r="CB749" s="312">
        <f>IF(AND(Input_Product=Elig!$C749,Elig_MatchAll_Ct&lt;22,$BC749=(Elig_MatchAll_Ct-1),AW749=0),W749,0)</f>
        <v>0</v>
      </c>
      <c r="CC749" s="311">
        <f>IF(AND(Input_Product=Elig!$C749,Elig_MatchAll_Ct&lt;22,$BC749=(Elig_MatchAll_Ct-1),AX749=0),X749,0)</f>
        <v>0</v>
      </c>
      <c r="CD749" s="312">
        <f>IF(AND(Input_Product=Elig!$C749,Elig_MatchAll_Ct&lt;22,$BC749=(Elig_MatchAll_Ct-1),AX749=0),Y749,0)</f>
        <v>0</v>
      </c>
      <c r="CE749" s="311">
        <f>IF(AND(Input_LTV&lt;=AE749,Input_Product=Elig!$C749,Elig_MatchAll_Ct&lt;22,$BC749=(Elig_MatchAll_Ct-1),AY749=0),Z749,0)</f>
        <v>0</v>
      </c>
      <c r="CF749" s="312">
        <f>IF(AND(Input_LTV&lt;=AE749,Input_Product=Elig!$C749,Elig_MatchAll_Ct&lt;22,$BC749=(Elig_MatchAll_Ct-1),AY749=0),AA749,0)</f>
        <v>0</v>
      </c>
      <c r="CG749" s="311">
        <f>IF(AND(Input_Product=Elig!$C749,Elig_MatchAll_Ct&lt;22,$BC749=(Elig_MatchAll_Ct-1),AZ749=0),AB749,0)</f>
        <v>0</v>
      </c>
      <c r="CH749" s="312">
        <f>IF(AND(Input_Product=Elig!$C749,Elig_MatchAll_Ct&lt;22,$BC749=(Elig_MatchAll_Ct-1),AZ749=0),AC749,0)</f>
        <v>0</v>
      </c>
      <c r="CI749" s="311">
        <f>IF(AND(Input_Product=Elig!$C749,Elig_MatchAll_Ct&lt;22,$BC749=(Elig_MatchAll_Ct-1),BA749=0),AD749,0)</f>
        <v>0</v>
      </c>
      <c r="CJ749" s="312">
        <f>IF(AND(Input_Product=Elig!$C749,Elig_MatchAll_Ct&lt;22,$BC749=(Elig_MatchAll_Ct-1),BA749=0),AE749,0)</f>
        <v>0</v>
      </c>
    </row>
    <row r="750" spans="2:88" ht="10.15" customHeight="1" x14ac:dyDescent="0.25">
      <c r="B750" s="2027" t="s">
        <v>3868</v>
      </c>
      <c r="C750" s="2024" t="str">
        <f t="shared" si="279"/>
        <v>Second OO</v>
      </c>
      <c r="D750" s="2025" t="s">
        <v>1569</v>
      </c>
      <c r="E750" s="2025" t="s">
        <v>98</v>
      </c>
      <c r="F750" s="2025" t="s">
        <v>328</v>
      </c>
      <c r="G750" s="2103" t="s">
        <v>175</v>
      </c>
      <c r="H750" s="2025" t="s">
        <v>446</v>
      </c>
      <c r="I750" s="2023" t="s">
        <v>1332</v>
      </c>
      <c r="J750" s="2023" t="s">
        <v>1311</v>
      </c>
      <c r="K750" s="2025" t="s">
        <v>1790</v>
      </c>
      <c r="L750" s="2023" t="s">
        <v>430</v>
      </c>
      <c r="M750" s="2023" t="s">
        <v>2677</v>
      </c>
      <c r="N750" s="2025" t="s">
        <v>82</v>
      </c>
      <c r="O750" s="2023" t="s">
        <v>310</v>
      </c>
      <c r="P750" s="2023" t="s">
        <v>291</v>
      </c>
      <c r="Q750" s="2023" t="s">
        <v>294</v>
      </c>
      <c r="R750" s="323">
        <v>500000.01</v>
      </c>
      <c r="S750" s="323">
        <v>750000</v>
      </c>
      <c r="T750" s="2023">
        <v>0</v>
      </c>
      <c r="U750" s="2023">
        <f t="shared" si="300"/>
        <v>750000</v>
      </c>
      <c r="V750" s="2023">
        <v>0</v>
      </c>
      <c r="W750" s="2023">
        <v>50</v>
      </c>
      <c r="X750" s="2023">
        <v>0</v>
      </c>
      <c r="Y750" s="2023">
        <v>999</v>
      </c>
      <c r="Z750" s="2026">
        <v>720</v>
      </c>
      <c r="AA750" s="2026">
        <v>999</v>
      </c>
      <c r="AB750" s="2026">
        <v>0</v>
      </c>
      <c r="AC750" s="2026">
        <v>999999</v>
      </c>
      <c r="AD750" s="2023">
        <v>0</v>
      </c>
      <c r="AE750" s="2104">
        <v>80</v>
      </c>
      <c r="AF750" s="170">
        <v>1</v>
      </c>
      <c r="AG750" s="171">
        <v>1</v>
      </c>
      <c r="AH750" s="171">
        <v>1</v>
      </c>
      <c r="AI750" s="171">
        <v>1</v>
      </c>
      <c r="AJ750" s="171">
        <v>0</v>
      </c>
      <c r="AK750" s="171">
        <v>0</v>
      </c>
      <c r="AL750" s="171">
        <v>1</v>
      </c>
      <c r="AM750" s="171">
        <v>1</v>
      </c>
      <c r="AN750" s="171">
        <v>1</v>
      </c>
      <c r="AO750" s="171">
        <v>1</v>
      </c>
      <c r="AP750" s="171">
        <v>1</v>
      </c>
      <c r="AQ750" s="171">
        <v>1</v>
      </c>
      <c r="AR750" s="171">
        <v>1</v>
      </c>
      <c r="AS750" s="171">
        <v>1</v>
      </c>
      <c r="AT750" s="171">
        <v>1</v>
      </c>
      <c r="AU750" s="171">
        <f t="shared" si="294"/>
        <v>0</v>
      </c>
      <c r="AV750" s="171">
        <f t="shared" si="295"/>
        <v>1</v>
      </c>
      <c r="AW750" s="171">
        <f t="shared" si="296"/>
        <v>1</v>
      </c>
      <c r="AX750" s="171">
        <f t="shared" si="305"/>
        <v>1</v>
      </c>
      <c r="AY750" s="171">
        <f t="shared" si="297"/>
        <v>1</v>
      </c>
      <c r="AZ750" s="171">
        <f t="shared" si="298"/>
        <v>1</v>
      </c>
      <c r="BA750" s="172">
        <f t="shared" si="299"/>
        <v>1</v>
      </c>
      <c r="BB750" s="175">
        <f t="shared" si="301"/>
        <v>19</v>
      </c>
      <c r="BC750" s="176">
        <f t="shared" si="302"/>
        <v>18</v>
      </c>
      <c r="BD750" s="176">
        <f t="shared" si="303"/>
        <v>18</v>
      </c>
      <c r="BE750" s="240" t="str">
        <f t="shared" si="304"/>
        <v/>
      </c>
      <c r="BF750" s="220"/>
      <c r="BG750" s="220"/>
      <c r="BH750" s="216">
        <f>IF(AND(Input_Product=Elig!$C750,Elig_MatchAll_Ct&lt;22,$BC750=(Elig_MatchAll_Ct-1),AF750=0),C750,0)</f>
        <v>0</v>
      </c>
      <c r="BI750" s="216">
        <f>IF(AND(Input_Product=Elig!$C750,Elig_MatchAll_Ct&lt;22,$BC750=(Elig_MatchAll_Ct-1),AG750=0),D750,0)</f>
        <v>0</v>
      </c>
      <c r="BJ750" s="216">
        <f>IF(AND(Input_Product=Elig!$C750,Elig_MatchAll_Ct&lt;22,$BC750=(Elig_MatchAll_Ct-1),AH750=0),E750,0)</f>
        <v>0</v>
      </c>
      <c r="BK750" s="216">
        <f>IF(AND(Input_Product=Elig!$C750,Elig_MatchAll_Ct&lt;22,$BC750=(Elig_MatchAll_Ct-1),AI750=0),F750,0)</f>
        <v>0</v>
      </c>
      <c r="BL750" s="216">
        <f>IF(AND(Input_Product=Elig!$C750,Elig_MatchAll_Ct&lt;22,$BC750=(Elig_MatchAll_Ct-1),AJ750=0),G750,0)</f>
        <v>0</v>
      </c>
      <c r="BM750" s="216">
        <f>IF(AND(Input_Product=Elig!$C750,Elig_MatchAll_Ct&lt;22,$BC750=(Elig_MatchAll_Ct-1),AK750=0),H750,0)</f>
        <v>0</v>
      </c>
      <c r="BN750" s="216">
        <f>IF(AND(Input_Product=Elig!$C750,Elig_MatchAll_Ct&lt;22,$BC750=(Elig_MatchAll_Ct-1),AL750=0),I750,0)</f>
        <v>0</v>
      </c>
      <c r="BO750" s="216">
        <f>IF(AND(Input_Product=Elig!$C750,Elig_MatchAll_Ct&lt;22,$BC750=(Elig_MatchAll_Ct-1),AM750=0),J750,0)</f>
        <v>0</v>
      </c>
      <c r="BP750" s="216">
        <f>IF(AND(Input_Product=Elig!$C750,Elig_MatchAll_Ct&lt;22,$BC750=(Elig_MatchAll_Ct-1),AN750=0),K750,0)</f>
        <v>0</v>
      </c>
      <c r="BQ750" s="216">
        <f>IF(AND(Input_Product=Elig!$C750,Elig_MatchAll_Ct&lt;22,$BC750=(Elig_MatchAll_Ct-1),AP750=0),L750,0)</f>
        <v>0</v>
      </c>
      <c r="BR750" s="216">
        <f>IF(AND(Input_Product=Elig!$C750,Elig_MatchAll_Ct&lt;22,$BC750=(Elig_MatchAll_Ct-1),AO750=0),M750,0)</f>
        <v>0</v>
      </c>
      <c r="BS750" s="216">
        <f>IF(AND(Input_Product=Elig!$C750,Elig_MatchAll_Ct&lt;22,$BC750=(Elig_MatchAll_Ct-1),AQ750=0),N750,0)</f>
        <v>0</v>
      </c>
      <c r="BT750" s="216">
        <f>IF(AND(Input_Product=Elig!$C750,Elig_MatchAll_Ct&lt;22,$BC750=(Elig_MatchAll_Ct-1),AR750=0),O750,0)</f>
        <v>0</v>
      </c>
      <c r="BU750" s="216">
        <f>IF(AND(Input_Product=Elig!$C750,Elig_MatchAll_Ct&lt;22,$BC750=(Elig_MatchAll_Ct-1),AS750=0),P750,0)</f>
        <v>0</v>
      </c>
      <c r="BV750" s="217">
        <f>IF(AND(Input_Product=Elig!$C750,Elig_MatchAll_Ct&lt;22,$BC750=(Elig_MatchAll_Ct-1),AT750=0),Q750,0)</f>
        <v>0</v>
      </c>
      <c r="BW750" s="313">
        <f>IF(AND(Input_Product=Elig!$C750,Elig_MatchAll_Ct&lt;22,$BC750=(Elig_MatchAll_Ct-1),AU750=0),R750,0)</f>
        <v>0</v>
      </c>
      <c r="BX750" s="314">
        <f>IF(AND(Input_Product=Elig!$C750,Elig_MatchAll_Ct&lt;22,$BC750=(Elig_MatchAll_Ct-1),AU750=0),S750,0)</f>
        <v>0</v>
      </c>
      <c r="BY750" s="313">
        <f>IF(AND(Input_Product=Elig!$C750,Elig_MatchAll_Ct&lt;22,$BC750=(Elig_MatchAll_Ct-1),AV750=0),T750,0)</f>
        <v>0</v>
      </c>
      <c r="BZ750" s="314">
        <f>IF(AND(Input_Product=Elig!$C750,Elig_MatchAll_Ct&lt;22,$BC750=(Elig_MatchAll_Ct-1),AV750=0),U750,0)</f>
        <v>0</v>
      </c>
      <c r="CA750" s="313">
        <f>IF(AND(Input_Product=Elig!$C750,Elig_MatchAll_Ct&lt;22,$BC750=(Elig_MatchAll_Ct-1),AW750=0),V750,0)</f>
        <v>0</v>
      </c>
      <c r="CB750" s="314">
        <f>IF(AND(Input_Product=Elig!$C750,Elig_MatchAll_Ct&lt;22,$BC750=(Elig_MatchAll_Ct-1),AW750=0),W750,0)</f>
        <v>0</v>
      </c>
      <c r="CC750" s="313">
        <f>IF(AND(Input_Product=Elig!$C750,Elig_MatchAll_Ct&lt;22,$BC750=(Elig_MatchAll_Ct-1),AX750=0),X750,0)</f>
        <v>0</v>
      </c>
      <c r="CD750" s="314">
        <f>IF(AND(Input_Product=Elig!$C750,Elig_MatchAll_Ct&lt;22,$BC750=(Elig_MatchAll_Ct-1),AX750=0),Y750,0)</f>
        <v>0</v>
      </c>
      <c r="CE750" s="313">
        <f>IF(AND(Input_LTV&lt;=AE750,Input_Product=Elig!$C750,Elig_MatchAll_Ct&lt;22,$BC750=(Elig_MatchAll_Ct-1),AY750=0),Z750,0)</f>
        <v>0</v>
      </c>
      <c r="CF750" s="314">
        <f>IF(AND(Input_LTV&lt;=AE750,Input_Product=Elig!$C750,Elig_MatchAll_Ct&lt;22,$BC750=(Elig_MatchAll_Ct-1),AY750=0),AA750,0)</f>
        <v>0</v>
      </c>
      <c r="CG750" s="313">
        <f>IF(AND(Input_Product=Elig!$C750,Elig_MatchAll_Ct&lt;22,$BC750=(Elig_MatchAll_Ct-1),AZ750=0),AB750,0)</f>
        <v>0</v>
      </c>
      <c r="CH750" s="314">
        <f>IF(AND(Input_Product=Elig!$C750,Elig_MatchAll_Ct&lt;22,$BC750=(Elig_MatchAll_Ct-1),AZ750=0),AC750,0)</f>
        <v>0</v>
      </c>
      <c r="CI750" s="313">
        <f>IF(AND(Input_Product=Elig!$C750,Elig_MatchAll_Ct&lt;22,$BC750=(Elig_MatchAll_Ct-1),BA750=0),AD750,0)</f>
        <v>0</v>
      </c>
      <c r="CJ750" s="314">
        <f>IF(AND(Input_Product=Elig!$C750,Elig_MatchAll_Ct&lt;22,$BC750=(Elig_MatchAll_Ct-1),BA750=0),AE750,0)</f>
        <v>0</v>
      </c>
    </row>
    <row r="751" spans="2:88" ht="10.15" customHeight="1" x14ac:dyDescent="0.25">
      <c r="B751" s="2027" t="s">
        <v>3869</v>
      </c>
      <c r="C751" s="2028" t="str">
        <f t="shared" si="279"/>
        <v>Second OO</v>
      </c>
      <c r="D751" s="2027" t="s">
        <v>1569</v>
      </c>
      <c r="E751" s="2027" t="s">
        <v>98</v>
      </c>
      <c r="F751" s="2027" t="s">
        <v>328</v>
      </c>
      <c r="G751" s="2110" t="s">
        <v>175</v>
      </c>
      <c r="H751" s="2029" t="s">
        <v>446</v>
      </c>
      <c r="I751" s="2027" t="s">
        <v>1332</v>
      </c>
      <c r="J751" s="2027" t="s">
        <v>1311</v>
      </c>
      <c r="K751" s="2029" t="s">
        <v>1790</v>
      </c>
      <c r="L751" s="2027" t="s">
        <v>430</v>
      </c>
      <c r="M751" s="2027" t="s">
        <v>2677</v>
      </c>
      <c r="N751" s="2029" t="s">
        <v>82</v>
      </c>
      <c r="O751" s="2027" t="s">
        <v>310</v>
      </c>
      <c r="P751" s="2027" t="s">
        <v>291</v>
      </c>
      <c r="Q751" s="2027" t="s">
        <v>294</v>
      </c>
      <c r="R751" s="300">
        <v>500000.01</v>
      </c>
      <c r="S751" s="300">
        <v>750000</v>
      </c>
      <c r="T751" s="2027">
        <v>0</v>
      </c>
      <c r="U751" s="2027">
        <f t="shared" si="300"/>
        <v>750000</v>
      </c>
      <c r="V751" s="2027">
        <v>0</v>
      </c>
      <c r="W751" s="2027">
        <v>50</v>
      </c>
      <c r="X751" s="2027">
        <v>0</v>
      </c>
      <c r="Y751" s="2027">
        <v>999</v>
      </c>
      <c r="Z751" s="2030">
        <v>700</v>
      </c>
      <c r="AA751" s="2030">
        <v>719</v>
      </c>
      <c r="AB751" s="2030">
        <v>0</v>
      </c>
      <c r="AC751" s="2030">
        <v>999999</v>
      </c>
      <c r="AD751" s="2027">
        <v>0</v>
      </c>
      <c r="AE751" s="2105">
        <v>75</v>
      </c>
      <c r="AF751" s="170">
        <v>1</v>
      </c>
      <c r="AG751" s="171">
        <v>1</v>
      </c>
      <c r="AH751" s="171">
        <v>1</v>
      </c>
      <c r="AI751" s="171">
        <v>1</v>
      </c>
      <c r="AJ751" s="171">
        <v>0</v>
      </c>
      <c r="AK751" s="171">
        <v>0</v>
      </c>
      <c r="AL751" s="171">
        <v>1</v>
      </c>
      <c r="AM751" s="171">
        <v>1</v>
      </c>
      <c r="AN751" s="171">
        <v>1</v>
      </c>
      <c r="AO751" s="171">
        <v>1</v>
      </c>
      <c r="AP751" s="171">
        <v>1</v>
      </c>
      <c r="AQ751" s="171">
        <v>1</v>
      </c>
      <c r="AR751" s="171">
        <v>1</v>
      </c>
      <c r="AS751" s="171">
        <v>1</v>
      </c>
      <c r="AT751" s="171">
        <v>1</v>
      </c>
      <c r="AU751" s="171">
        <f t="shared" si="294"/>
        <v>0</v>
      </c>
      <c r="AV751" s="171">
        <f t="shared" si="295"/>
        <v>1</v>
      </c>
      <c r="AW751" s="171">
        <f t="shared" si="296"/>
        <v>1</v>
      </c>
      <c r="AX751" s="171">
        <f t="shared" si="305"/>
        <v>1</v>
      </c>
      <c r="AY751" s="171">
        <f t="shared" si="297"/>
        <v>0</v>
      </c>
      <c r="AZ751" s="171">
        <f t="shared" si="298"/>
        <v>1</v>
      </c>
      <c r="BA751" s="172">
        <f t="shared" si="299"/>
        <v>1</v>
      </c>
      <c r="BB751" s="175">
        <f t="shared" si="301"/>
        <v>18</v>
      </c>
      <c r="BC751" s="176">
        <f t="shared" si="302"/>
        <v>17</v>
      </c>
      <c r="BD751" s="176">
        <f t="shared" si="303"/>
        <v>17</v>
      </c>
      <c r="BE751" s="240" t="str">
        <f t="shared" si="304"/>
        <v/>
      </c>
      <c r="BF751" s="234"/>
      <c r="BG751" s="234"/>
      <c r="BH751" s="199">
        <f>IF(AND(Input_Product=Elig!$C751,Elig_MatchAll_Ct&lt;22,$BC751=(Elig_MatchAll_Ct-1),AF751=0),C751,0)</f>
        <v>0</v>
      </c>
      <c r="BI751" s="199">
        <f>IF(AND(Input_Product=Elig!$C751,Elig_MatchAll_Ct&lt;22,$BC751=(Elig_MatchAll_Ct-1),AG751=0),D751,0)</f>
        <v>0</v>
      </c>
      <c r="BJ751" s="199">
        <f>IF(AND(Input_Product=Elig!$C751,Elig_MatchAll_Ct&lt;22,$BC751=(Elig_MatchAll_Ct-1),AH751=0),E751,0)</f>
        <v>0</v>
      </c>
      <c r="BK751" s="199">
        <f>IF(AND(Input_Product=Elig!$C751,Elig_MatchAll_Ct&lt;22,$BC751=(Elig_MatchAll_Ct-1),AI751=0),F751,0)</f>
        <v>0</v>
      </c>
      <c r="BL751" s="199">
        <f>IF(AND(Input_Product=Elig!$C751,Elig_MatchAll_Ct&lt;22,$BC751=(Elig_MatchAll_Ct-1),AJ751=0),G751,0)</f>
        <v>0</v>
      </c>
      <c r="BM751" s="199">
        <f>IF(AND(Input_Product=Elig!$C751,Elig_MatchAll_Ct&lt;22,$BC751=(Elig_MatchAll_Ct-1),AK751=0),H751,0)</f>
        <v>0</v>
      </c>
      <c r="BN751" s="199">
        <f>IF(AND(Input_Product=Elig!$C751,Elig_MatchAll_Ct&lt;22,$BC751=(Elig_MatchAll_Ct-1),AL751=0),I751,0)</f>
        <v>0</v>
      </c>
      <c r="BO751" s="199">
        <f>IF(AND(Input_Product=Elig!$C751,Elig_MatchAll_Ct&lt;22,$BC751=(Elig_MatchAll_Ct-1),AM751=0),J751,0)</f>
        <v>0</v>
      </c>
      <c r="BP751" s="199">
        <f>IF(AND(Input_Product=Elig!$C751,Elig_MatchAll_Ct&lt;22,$BC751=(Elig_MatchAll_Ct-1),AN751=0),K751,0)</f>
        <v>0</v>
      </c>
      <c r="BQ751" s="199">
        <f>IF(AND(Input_Product=Elig!$C751,Elig_MatchAll_Ct&lt;22,$BC751=(Elig_MatchAll_Ct-1),AP751=0),L751,0)</f>
        <v>0</v>
      </c>
      <c r="BR751" s="199">
        <f>IF(AND(Input_Product=Elig!$C751,Elig_MatchAll_Ct&lt;22,$BC751=(Elig_MatchAll_Ct-1),AO751=0),M751,0)</f>
        <v>0</v>
      </c>
      <c r="BS751" s="199">
        <f>IF(AND(Input_Product=Elig!$C751,Elig_MatchAll_Ct&lt;22,$BC751=(Elig_MatchAll_Ct-1),AQ751=0),N751,0)</f>
        <v>0</v>
      </c>
      <c r="BT751" s="199">
        <f>IF(AND(Input_Product=Elig!$C751,Elig_MatchAll_Ct&lt;22,$BC751=(Elig_MatchAll_Ct-1),AR751=0),O751,0)</f>
        <v>0</v>
      </c>
      <c r="BU751" s="199">
        <f>IF(AND(Input_Product=Elig!$C751,Elig_MatchAll_Ct&lt;22,$BC751=(Elig_MatchAll_Ct-1),AS751=0),P751,0)</f>
        <v>0</v>
      </c>
      <c r="BV751" s="200">
        <f>IF(AND(Input_Product=Elig!$C751,Elig_MatchAll_Ct&lt;22,$BC751=(Elig_MatchAll_Ct-1),AT751=0),Q751,0)</f>
        <v>0</v>
      </c>
      <c r="BW751" s="201">
        <f>IF(AND(Input_Product=Elig!$C751,Elig_MatchAll_Ct&lt;22,$BC751=(Elig_MatchAll_Ct-1),AU751=0),R751,0)</f>
        <v>0</v>
      </c>
      <c r="BX751" s="202">
        <f>IF(AND(Input_Product=Elig!$C751,Elig_MatchAll_Ct&lt;22,$BC751=(Elig_MatchAll_Ct-1),AU751=0),S751,0)</f>
        <v>0</v>
      </c>
      <c r="BY751" s="201">
        <f>IF(AND(Input_Product=Elig!$C751,Elig_MatchAll_Ct&lt;22,$BC751=(Elig_MatchAll_Ct-1),AV751=0),T751,0)</f>
        <v>0</v>
      </c>
      <c r="BZ751" s="202">
        <f>IF(AND(Input_Product=Elig!$C751,Elig_MatchAll_Ct&lt;22,$BC751=(Elig_MatchAll_Ct-1),AV751=0),U751,0)</f>
        <v>0</v>
      </c>
      <c r="CA751" s="201">
        <f>IF(AND(Input_Product=Elig!$C751,Elig_MatchAll_Ct&lt;22,$BC751=(Elig_MatchAll_Ct-1),AW751=0),V751,0)</f>
        <v>0</v>
      </c>
      <c r="CB751" s="202">
        <f>IF(AND(Input_Product=Elig!$C751,Elig_MatchAll_Ct&lt;22,$BC751=(Elig_MatchAll_Ct-1),AW751=0),W751,0)</f>
        <v>0</v>
      </c>
      <c r="CC751" s="201">
        <f>IF(AND(Input_Product=Elig!$C751,Elig_MatchAll_Ct&lt;22,$BC751=(Elig_MatchAll_Ct-1),AX751=0),X751,0)</f>
        <v>0</v>
      </c>
      <c r="CD751" s="202">
        <f>IF(AND(Input_Product=Elig!$C751,Elig_MatchAll_Ct&lt;22,$BC751=(Elig_MatchAll_Ct-1),AX751=0),Y751,0)</f>
        <v>0</v>
      </c>
      <c r="CE751" s="201">
        <f>IF(AND(Input_LTV&lt;=AE751,Input_Product=Elig!$C751,Elig_MatchAll_Ct&lt;22,$BC751=(Elig_MatchAll_Ct-1),AY751=0),Z751,0)</f>
        <v>0</v>
      </c>
      <c r="CF751" s="202">
        <f>IF(AND(Input_LTV&lt;=AE751,Input_Product=Elig!$C751,Elig_MatchAll_Ct&lt;22,$BC751=(Elig_MatchAll_Ct-1),AY751=0),AA751,0)</f>
        <v>0</v>
      </c>
      <c r="CG751" s="201">
        <f>IF(AND(Input_Product=Elig!$C751,Elig_MatchAll_Ct&lt;22,$BC751=(Elig_MatchAll_Ct-1),AZ751=0),AB751,0)</f>
        <v>0</v>
      </c>
      <c r="CH751" s="202">
        <f>IF(AND(Input_Product=Elig!$C751,Elig_MatchAll_Ct&lt;22,$BC751=(Elig_MatchAll_Ct-1),AZ751=0),AC751,0)</f>
        <v>0</v>
      </c>
      <c r="CI751" s="201">
        <f>IF(AND(Input_Product=Elig!$C751,Elig_MatchAll_Ct&lt;22,$BC751=(Elig_MatchAll_Ct-1),BA751=0),AD751,0)</f>
        <v>0</v>
      </c>
      <c r="CJ751" s="202">
        <f>IF(AND(Input_Product=Elig!$C751,Elig_MatchAll_Ct&lt;22,$BC751=(Elig_MatchAll_Ct-1),BA751=0),AE751,0)</f>
        <v>0</v>
      </c>
    </row>
    <row r="752" spans="2:88" ht="10.15" customHeight="1" x14ac:dyDescent="0.25">
      <c r="B752" s="2027" t="s">
        <v>3870</v>
      </c>
      <c r="C752" s="2028" t="str">
        <f t="shared" si="279"/>
        <v>Second OO</v>
      </c>
      <c r="D752" s="2027" t="s">
        <v>1569</v>
      </c>
      <c r="E752" s="2027" t="s">
        <v>98</v>
      </c>
      <c r="F752" s="2027" t="s">
        <v>328</v>
      </c>
      <c r="G752" s="2110" t="s">
        <v>175</v>
      </c>
      <c r="H752" s="2029" t="s">
        <v>446</v>
      </c>
      <c r="I752" s="2027" t="s">
        <v>1332</v>
      </c>
      <c r="J752" s="2027" t="s">
        <v>1311</v>
      </c>
      <c r="K752" s="2029" t="s">
        <v>1790</v>
      </c>
      <c r="L752" s="2027" t="s">
        <v>430</v>
      </c>
      <c r="M752" s="2027" t="s">
        <v>2677</v>
      </c>
      <c r="N752" s="2029" t="s">
        <v>82</v>
      </c>
      <c r="O752" s="2027" t="s">
        <v>310</v>
      </c>
      <c r="P752" s="2027" t="s">
        <v>291</v>
      </c>
      <c r="Q752" s="2027" t="s">
        <v>294</v>
      </c>
      <c r="R752" s="300">
        <v>500000.01</v>
      </c>
      <c r="S752" s="300">
        <v>750000</v>
      </c>
      <c r="T752" s="2027">
        <v>0</v>
      </c>
      <c r="U752" s="2027">
        <f t="shared" si="300"/>
        <v>750000</v>
      </c>
      <c r="V752" s="2027">
        <v>0</v>
      </c>
      <c r="W752" s="2027">
        <v>50</v>
      </c>
      <c r="X752" s="2027">
        <v>0</v>
      </c>
      <c r="Y752" s="2027">
        <v>999</v>
      </c>
      <c r="Z752" s="2030">
        <v>680</v>
      </c>
      <c r="AA752" s="2030">
        <v>699</v>
      </c>
      <c r="AB752" s="2030">
        <v>0</v>
      </c>
      <c r="AC752" s="2030">
        <v>999999</v>
      </c>
      <c r="AD752" s="2027">
        <v>0</v>
      </c>
      <c r="AE752" s="1483">
        <v>65</v>
      </c>
      <c r="AF752" s="170">
        <v>1</v>
      </c>
      <c r="AG752" s="171">
        <v>1</v>
      </c>
      <c r="AH752" s="171">
        <v>1</v>
      </c>
      <c r="AI752" s="171">
        <v>1</v>
      </c>
      <c r="AJ752" s="171">
        <v>0</v>
      </c>
      <c r="AK752" s="171">
        <v>0</v>
      </c>
      <c r="AL752" s="171">
        <v>1</v>
      </c>
      <c r="AM752" s="171">
        <v>1</v>
      </c>
      <c r="AN752" s="171">
        <v>1</v>
      </c>
      <c r="AO752" s="171">
        <v>1</v>
      </c>
      <c r="AP752" s="171">
        <v>1</v>
      </c>
      <c r="AQ752" s="171">
        <v>1</v>
      </c>
      <c r="AR752" s="171">
        <v>1</v>
      </c>
      <c r="AS752" s="171">
        <v>1</v>
      </c>
      <c r="AT752" s="171">
        <v>1</v>
      </c>
      <c r="AU752" s="171">
        <f t="shared" si="294"/>
        <v>0</v>
      </c>
      <c r="AV752" s="171">
        <f t="shared" si="295"/>
        <v>1</v>
      </c>
      <c r="AW752" s="171">
        <f t="shared" si="296"/>
        <v>1</v>
      </c>
      <c r="AX752" s="171">
        <f t="shared" si="305"/>
        <v>1</v>
      </c>
      <c r="AY752" s="171">
        <f t="shared" si="297"/>
        <v>0</v>
      </c>
      <c r="AZ752" s="171">
        <f t="shared" si="298"/>
        <v>1</v>
      </c>
      <c r="BA752" s="172">
        <f t="shared" si="299"/>
        <v>1</v>
      </c>
      <c r="BB752" s="175">
        <f t="shared" si="301"/>
        <v>18</v>
      </c>
      <c r="BC752" s="176">
        <f t="shared" si="302"/>
        <v>17</v>
      </c>
      <c r="BD752" s="176">
        <f t="shared" si="303"/>
        <v>17</v>
      </c>
      <c r="BE752" s="240" t="str">
        <f t="shared" si="304"/>
        <v/>
      </c>
      <c r="BF752" s="234"/>
      <c r="BG752" s="234"/>
      <c r="BH752" s="199">
        <f>IF(AND(Input_Product=Elig!$C752,Elig_MatchAll_Ct&lt;22,$BC752=(Elig_MatchAll_Ct-1),AF752=0),C752,0)</f>
        <v>0</v>
      </c>
      <c r="BI752" s="199">
        <f>IF(AND(Input_Product=Elig!$C752,Elig_MatchAll_Ct&lt;22,$BC752=(Elig_MatchAll_Ct-1),AG752=0),D752,0)</f>
        <v>0</v>
      </c>
      <c r="BJ752" s="199">
        <f>IF(AND(Input_Product=Elig!$C752,Elig_MatchAll_Ct&lt;22,$BC752=(Elig_MatchAll_Ct-1),AH752=0),E752,0)</f>
        <v>0</v>
      </c>
      <c r="BK752" s="199">
        <f>IF(AND(Input_Product=Elig!$C752,Elig_MatchAll_Ct&lt;22,$BC752=(Elig_MatchAll_Ct-1),AI752=0),F752,0)</f>
        <v>0</v>
      </c>
      <c r="BL752" s="199">
        <f>IF(AND(Input_Product=Elig!$C752,Elig_MatchAll_Ct&lt;22,$BC752=(Elig_MatchAll_Ct-1),AJ752=0),G752,0)</f>
        <v>0</v>
      </c>
      <c r="BM752" s="199">
        <f>IF(AND(Input_Product=Elig!$C752,Elig_MatchAll_Ct&lt;22,$BC752=(Elig_MatchAll_Ct-1),AK752=0),H752,0)</f>
        <v>0</v>
      </c>
      <c r="BN752" s="199">
        <f>IF(AND(Input_Product=Elig!$C752,Elig_MatchAll_Ct&lt;22,$BC752=(Elig_MatchAll_Ct-1),AL752=0),I752,0)</f>
        <v>0</v>
      </c>
      <c r="BO752" s="199">
        <f>IF(AND(Input_Product=Elig!$C752,Elig_MatchAll_Ct&lt;22,$BC752=(Elig_MatchAll_Ct-1),AM752=0),J752,0)</f>
        <v>0</v>
      </c>
      <c r="BP752" s="199">
        <f>IF(AND(Input_Product=Elig!$C752,Elig_MatchAll_Ct&lt;22,$BC752=(Elig_MatchAll_Ct-1),AN752=0),K752,0)</f>
        <v>0</v>
      </c>
      <c r="BQ752" s="199">
        <f>IF(AND(Input_Product=Elig!$C752,Elig_MatchAll_Ct&lt;22,$BC752=(Elig_MatchAll_Ct-1),AP752=0),L752,0)</f>
        <v>0</v>
      </c>
      <c r="BR752" s="199">
        <f>IF(AND(Input_Product=Elig!$C752,Elig_MatchAll_Ct&lt;22,$BC752=(Elig_MatchAll_Ct-1),AO752=0),M752,0)</f>
        <v>0</v>
      </c>
      <c r="BS752" s="199">
        <f>IF(AND(Input_Product=Elig!$C752,Elig_MatchAll_Ct&lt;22,$BC752=(Elig_MatchAll_Ct-1),AQ752=0),N752,0)</f>
        <v>0</v>
      </c>
      <c r="BT752" s="199">
        <f>IF(AND(Input_Product=Elig!$C752,Elig_MatchAll_Ct&lt;22,$BC752=(Elig_MatchAll_Ct-1),AR752=0),O752,0)</f>
        <v>0</v>
      </c>
      <c r="BU752" s="199">
        <f>IF(AND(Input_Product=Elig!$C752,Elig_MatchAll_Ct&lt;22,$BC752=(Elig_MatchAll_Ct-1),AS752=0),P752,0)</f>
        <v>0</v>
      </c>
      <c r="BV752" s="200">
        <f>IF(AND(Input_Product=Elig!$C752,Elig_MatchAll_Ct&lt;22,$BC752=(Elig_MatchAll_Ct-1),AT752=0),Q752,0)</f>
        <v>0</v>
      </c>
      <c r="BW752" s="201">
        <f>IF(AND(Input_Product=Elig!$C752,Elig_MatchAll_Ct&lt;22,$BC752=(Elig_MatchAll_Ct-1),AU752=0),R752,0)</f>
        <v>0</v>
      </c>
      <c r="BX752" s="202">
        <f>IF(AND(Input_Product=Elig!$C752,Elig_MatchAll_Ct&lt;22,$BC752=(Elig_MatchAll_Ct-1),AU752=0),S752,0)</f>
        <v>0</v>
      </c>
      <c r="BY752" s="201">
        <f>IF(AND(Input_Product=Elig!$C752,Elig_MatchAll_Ct&lt;22,$BC752=(Elig_MatchAll_Ct-1),AV752=0),T752,0)</f>
        <v>0</v>
      </c>
      <c r="BZ752" s="202">
        <f>IF(AND(Input_Product=Elig!$C752,Elig_MatchAll_Ct&lt;22,$BC752=(Elig_MatchAll_Ct-1),AV752=0),U752,0)</f>
        <v>0</v>
      </c>
      <c r="CA752" s="201">
        <f>IF(AND(Input_Product=Elig!$C752,Elig_MatchAll_Ct&lt;22,$BC752=(Elig_MatchAll_Ct-1),AW752=0),V752,0)</f>
        <v>0</v>
      </c>
      <c r="CB752" s="202">
        <f>IF(AND(Input_Product=Elig!$C752,Elig_MatchAll_Ct&lt;22,$BC752=(Elig_MatchAll_Ct-1),AW752=0),W752,0)</f>
        <v>0</v>
      </c>
      <c r="CC752" s="201">
        <f>IF(AND(Input_Product=Elig!$C752,Elig_MatchAll_Ct&lt;22,$BC752=(Elig_MatchAll_Ct-1),AX752=0),X752,0)</f>
        <v>0</v>
      </c>
      <c r="CD752" s="202">
        <f>IF(AND(Input_Product=Elig!$C752,Elig_MatchAll_Ct&lt;22,$BC752=(Elig_MatchAll_Ct-1),AX752=0),Y752,0)</f>
        <v>0</v>
      </c>
      <c r="CE752" s="201">
        <f>IF(AND(Input_LTV&lt;=AE752,Input_Product=Elig!$C752,Elig_MatchAll_Ct&lt;22,$BC752=(Elig_MatchAll_Ct-1),AY752=0),Z752,0)</f>
        <v>0</v>
      </c>
      <c r="CF752" s="202">
        <f>IF(AND(Input_LTV&lt;=AE752,Input_Product=Elig!$C752,Elig_MatchAll_Ct&lt;22,$BC752=(Elig_MatchAll_Ct-1),AY752=0),AA752,0)</f>
        <v>0</v>
      </c>
      <c r="CG752" s="201">
        <f>IF(AND(Input_Product=Elig!$C752,Elig_MatchAll_Ct&lt;22,$BC752=(Elig_MatchAll_Ct-1),AZ752=0),AB752,0)</f>
        <v>0</v>
      </c>
      <c r="CH752" s="202">
        <f>IF(AND(Input_Product=Elig!$C752,Elig_MatchAll_Ct&lt;22,$BC752=(Elig_MatchAll_Ct-1),AZ752=0),AC752,0)</f>
        <v>0</v>
      </c>
      <c r="CI752" s="201">
        <f>IF(AND(Input_Product=Elig!$C752,Elig_MatchAll_Ct&lt;22,$BC752=(Elig_MatchAll_Ct-1),BA752=0),AD752,0)</f>
        <v>0</v>
      </c>
      <c r="CJ752" s="202">
        <f>IF(AND(Input_Product=Elig!$C752,Elig_MatchAll_Ct&lt;22,$BC752=(Elig_MatchAll_Ct-1),BA752=0),AE752,0)</f>
        <v>0</v>
      </c>
    </row>
    <row r="753" spans="2:88" ht="10.15" customHeight="1" x14ac:dyDescent="0.25">
      <c r="B753" s="2027" t="s">
        <v>3871</v>
      </c>
      <c r="C753" s="2032" t="str">
        <f t="shared" si="279"/>
        <v>Second OO</v>
      </c>
      <c r="D753" s="2031" t="s">
        <v>1569</v>
      </c>
      <c r="E753" s="2031" t="s">
        <v>98</v>
      </c>
      <c r="F753" s="2031" t="s">
        <v>328</v>
      </c>
      <c r="G753" s="2111" t="s">
        <v>175</v>
      </c>
      <c r="H753" s="2033" t="s">
        <v>446</v>
      </c>
      <c r="I753" s="2031" t="s">
        <v>1332</v>
      </c>
      <c r="J753" s="2031" t="s">
        <v>1311</v>
      </c>
      <c r="K753" s="2033" t="s">
        <v>1790</v>
      </c>
      <c r="L753" s="2031" t="s">
        <v>430</v>
      </c>
      <c r="M753" s="2031" t="s">
        <v>2677</v>
      </c>
      <c r="N753" s="2033" t="s">
        <v>82</v>
      </c>
      <c r="O753" s="2031" t="s">
        <v>310</v>
      </c>
      <c r="P753" s="2031" t="s">
        <v>291</v>
      </c>
      <c r="Q753" s="2031" t="s">
        <v>294</v>
      </c>
      <c r="R753" s="324">
        <v>500000.01</v>
      </c>
      <c r="S753" s="324">
        <v>750000</v>
      </c>
      <c r="T753" s="2031">
        <v>0</v>
      </c>
      <c r="U753" s="2031">
        <f t="shared" si="300"/>
        <v>750000</v>
      </c>
      <c r="V753" s="2031">
        <v>0</v>
      </c>
      <c r="W753" s="2031">
        <v>50</v>
      </c>
      <c r="X753" s="2031">
        <v>0</v>
      </c>
      <c r="Y753" s="2031">
        <v>999</v>
      </c>
      <c r="Z753" s="2034">
        <v>660</v>
      </c>
      <c r="AA753" s="2034">
        <v>679</v>
      </c>
      <c r="AB753" s="2034">
        <v>0</v>
      </c>
      <c r="AC753" s="2034">
        <v>999999</v>
      </c>
      <c r="AD753" s="2031">
        <v>0</v>
      </c>
      <c r="AE753" s="1484">
        <v>60</v>
      </c>
      <c r="AF753" s="170">
        <v>1</v>
      </c>
      <c r="AG753" s="171">
        <v>1</v>
      </c>
      <c r="AH753" s="171">
        <v>1</v>
      </c>
      <c r="AI753" s="171">
        <v>1</v>
      </c>
      <c r="AJ753" s="171">
        <v>0</v>
      </c>
      <c r="AK753" s="171">
        <v>0</v>
      </c>
      <c r="AL753" s="171">
        <v>1</v>
      </c>
      <c r="AM753" s="171">
        <v>1</v>
      </c>
      <c r="AN753" s="171">
        <v>1</v>
      </c>
      <c r="AO753" s="171">
        <v>1</v>
      </c>
      <c r="AP753" s="171">
        <v>1</v>
      </c>
      <c r="AQ753" s="171">
        <v>1</v>
      </c>
      <c r="AR753" s="171">
        <v>1</v>
      </c>
      <c r="AS753" s="171">
        <v>1</v>
      </c>
      <c r="AT753" s="171">
        <v>1</v>
      </c>
      <c r="AU753" s="171">
        <f t="shared" si="294"/>
        <v>0</v>
      </c>
      <c r="AV753" s="171">
        <f t="shared" si="295"/>
        <v>1</v>
      </c>
      <c r="AW753" s="171">
        <f t="shared" si="296"/>
        <v>1</v>
      </c>
      <c r="AX753" s="171">
        <f t="shared" si="305"/>
        <v>1</v>
      </c>
      <c r="AY753" s="171">
        <f t="shared" si="297"/>
        <v>0</v>
      </c>
      <c r="AZ753" s="171">
        <f t="shared" si="298"/>
        <v>1</v>
      </c>
      <c r="BA753" s="172">
        <f t="shared" si="299"/>
        <v>0</v>
      </c>
      <c r="BB753" s="175">
        <f t="shared" si="301"/>
        <v>17</v>
      </c>
      <c r="BC753" s="176">
        <f t="shared" si="302"/>
        <v>17</v>
      </c>
      <c r="BD753" s="176">
        <f t="shared" si="303"/>
        <v>16</v>
      </c>
      <c r="BE753" s="240" t="str">
        <f t="shared" si="304"/>
        <v/>
      </c>
      <c r="BF753" s="234"/>
      <c r="BG753" s="234"/>
      <c r="BH753" s="214">
        <f>IF(AND(Input_Product=Elig!$C753,Elig_MatchAll_Ct&lt;22,$BC753=(Elig_MatchAll_Ct-1),AF753=0),C753,0)</f>
        <v>0</v>
      </c>
      <c r="BI753" s="214">
        <f>IF(AND(Input_Product=Elig!$C753,Elig_MatchAll_Ct&lt;22,$BC753=(Elig_MatchAll_Ct-1),AG753=0),D753,0)</f>
        <v>0</v>
      </c>
      <c r="BJ753" s="214">
        <f>IF(AND(Input_Product=Elig!$C753,Elig_MatchAll_Ct&lt;22,$BC753=(Elig_MatchAll_Ct-1),AH753=0),E753,0)</f>
        <v>0</v>
      </c>
      <c r="BK753" s="214">
        <f>IF(AND(Input_Product=Elig!$C753,Elig_MatchAll_Ct&lt;22,$BC753=(Elig_MatchAll_Ct-1),AI753=0),F753,0)</f>
        <v>0</v>
      </c>
      <c r="BL753" s="214">
        <f>IF(AND(Input_Product=Elig!$C753,Elig_MatchAll_Ct&lt;22,$BC753=(Elig_MatchAll_Ct-1),AJ753=0),G753,0)</f>
        <v>0</v>
      </c>
      <c r="BM753" s="214">
        <f>IF(AND(Input_Product=Elig!$C753,Elig_MatchAll_Ct&lt;22,$BC753=(Elig_MatchAll_Ct-1),AK753=0),H753,0)</f>
        <v>0</v>
      </c>
      <c r="BN753" s="214">
        <f>IF(AND(Input_Product=Elig!$C753,Elig_MatchAll_Ct&lt;22,$BC753=(Elig_MatchAll_Ct-1),AL753=0),I753,0)</f>
        <v>0</v>
      </c>
      <c r="BO753" s="214">
        <f>IF(AND(Input_Product=Elig!$C753,Elig_MatchAll_Ct&lt;22,$BC753=(Elig_MatchAll_Ct-1),AM753=0),J753,0)</f>
        <v>0</v>
      </c>
      <c r="BP753" s="214">
        <f>IF(AND(Input_Product=Elig!$C753,Elig_MatchAll_Ct&lt;22,$BC753=(Elig_MatchAll_Ct-1),AN753=0),K753,0)</f>
        <v>0</v>
      </c>
      <c r="BQ753" s="214">
        <f>IF(AND(Input_Product=Elig!$C753,Elig_MatchAll_Ct&lt;22,$BC753=(Elig_MatchAll_Ct-1),AP753=0),L753,0)</f>
        <v>0</v>
      </c>
      <c r="BR753" s="214">
        <f>IF(AND(Input_Product=Elig!$C753,Elig_MatchAll_Ct&lt;22,$BC753=(Elig_MatchAll_Ct-1),AO753=0),M753,0)</f>
        <v>0</v>
      </c>
      <c r="BS753" s="214">
        <f>IF(AND(Input_Product=Elig!$C753,Elig_MatchAll_Ct&lt;22,$BC753=(Elig_MatchAll_Ct-1),AQ753=0),N753,0)</f>
        <v>0</v>
      </c>
      <c r="BT753" s="214">
        <f>IF(AND(Input_Product=Elig!$C753,Elig_MatchAll_Ct&lt;22,$BC753=(Elig_MatchAll_Ct-1),AR753=0),O753,0)</f>
        <v>0</v>
      </c>
      <c r="BU753" s="214">
        <f>IF(AND(Input_Product=Elig!$C753,Elig_MatchAll_Ct&lt;22,$BC753=(Elig_MatchAll_Ct-1),AS753=0),P753,0)</f>
        <v>0</v>
      </c>
      <c r="BV753" s="215">
        <f>IF(AND(Input_Product=Elig!$C753,Elig_MatchAll_Ct&lt;22,$BC753=(Elig_MatchAll_Ct-1),AT753=0),Q753,0)</f>
        <v>0</v>
      </c>
      <c r="BW753" s="311">
        <f>IF(AND(Input_Product=Elig!$C753,Elig_MatchAll_Ct&lt;22,$BC753=(Elig_MatchAll_Ct-1),AU753=0),R753,0)</f>
        <v>0</v>
      </c>
      <c r="BX753" s="312">
        <f>IF(AND(Input_Product=Elig!$C753,Elig_MatchAll_Ct&lt;22,$BC753=(Elig_MatchAll_Ct-1),AU753=0),S753,0)</f>
        <v>0</v>
      </c>
      <c r="BY753" s="311">
        <f>IF(AND(Input_Product=Elig!$C753,Elig_MatchAll_Ct&lt;22,$BC753=(Elig_MatchAll_Ct-1),AV753=0),T753,0)</f>
        <v>0</v>
      </c>
      <c r="BZ753" s="312">
        <f>IF(AND(Input_Product=Elig!$C753,Elig_MatchAll_Ct&lt;22,$BC753=(Elig_MatchAll_Ct-1),AV753=0),U753,0)</f>
        <v>0</v>
      </c>
      <c r="CA753" s="311">
        <f>IF(AND(Input_Product=Elig!$C753,Elig_MatchAll_Ct&lt;22,$BC753=(Elig_MatchAll_Ct-1),AW753=0),V753,0)</f>
        <v>0</v>
      </c>
      <c r="CB753" s="312">
        <f>IF(AND(Input_Product=Elig!$C753,Elig_MatchAll_Ct&lt;22,$BC753=(Elig_MatchAll_Ct-1),AW753=0),W753,0)</f>
        <v>0</v>
      </c>
      <c r="CC753" s="311">
        <f>IF(AND(Input_Product=Elig!$C753,Elig_MatchAll_Ct&lt;22,$BC753=(Elig_MatchAll_Ct-1),AX753=0),X753,0)</f>
        <v>0</v>
      </c>
      <c r="CD753" s="312">
        <f>IF(AND(Input_Product=Elig!$C753,Elig_MatchAll_Ct&lt;22,$BC753=(Elig_MatchAll_Ct-1),AX753=0),Y753,0)</f>
        <v>0</v>
      </c>
      <c r="CE753" s="311">
        <f>IF(AND(Input_LTV&lt;=AE753,Input_Product=Elig!$C753,Elig_MatchAll_Ct&lt;22,$BC753=(Elig_MatchAll_Ct-1),AY753=0),Z753,0)</f>
        <v>0</v>
      </c>
      <c r="CF753" s="312">
        <f>IF(AND(Input_LTV&lt;=AE753,Input_Product=Elig!$C753,Elig_MatchAll_Ct&lt;22,$BC753=(Elig_MatchAll_Ct-1),AY753=0),AA753,0)</f>
        <v>0</v>
      </c>
      <c r="CG753" s="311">
        <f>IF(AND(Input_Product=Elig!$C753,Elig_MatchAll_Ct&lt;22,$BC753=(Elig_MatchAll_Ct-1),AZ753=0),AB753,0)</f>
        <v>0</v>
      </c>
      <c r="CH753" s="312">
        <f>IF(AND(Input_Product=Elig!$C753,Elig_MatchAll_Ct&lt;22,$BC753=(Elig_MatchAll_Ct-1),AZ753=0),AC753,0)</f>
        <v>0</v>
      </c>
      <c r="CI753" s="311">
        <f>IF(AND(Input_Product=Elig!$C753,Elig_MatchAll_Ct&lt;22,$BC753=(Elig_MatchAll_Ct-1),BA753=0),AD753,0)</f>
        <v>0</v>
      </c>
      <c r="CJ753" s="312">
        <f>IF(AND(Input_Product=Elig!$C753,Elig_MatchAll_Ct&lt;22,$BC753=(Elig_MatchAll_Ct-1),BA753=0),AE753,0)</f>
        <v>0</v>
      </c>
    </row>
    <row r="754" spans="2:88" ht="10.15" customHeight="1" x14ac:dyDescent="0.25">
      <c r="B754" s="2027" t="s">
        <v>4051</v>
      </c>
      <c r="C754" s="2024" t="str">
        <f t="shared" si="279"/>
        <v>Second OO</v>
      </c>
      <c r="D754" s="2025" t="s">
        <v>1569</v>
      </c>
      <c r="E754" s="2025" t="s">
        <v>98</v>
      </c>
      <c r="F754" s="2025" t="s">
        <v>328</v>
      </c>
      <c r="G754" s="2103" t="s">
        <v>468</v>
      </c>
      <c r="H754" s="2025" t="s">
        <v>136</v>
      </c>
      <c r="I754" s="2023" t="s">
        <v>1332</v>
      </c>
      <c r="J754" s="2023" t="s">
        <v>1311</v>
      </c>
      <c r="K754" s="2025" t="s">
        <v>1790</v>
      </c>
      <c r="L754" s="2023" t="s">
        <v>430</v>
      </c>
      <c r="M754" s="2023" t="s">
        <v>2677</v>
      </c>
      <c r="N754" s="2025" t="s">
        <v>82</v>
      </c>
      <c r="O754" s="2023" t="s">
        <v>310</v>
      </c>
      <c r="P754" s="2023" t="s">
        <v>291</v>
      </c>
      <c r="Q754" s="2023" t="s">
        <v>294</v>
      </c>
      <c r="R754" s="323">
        <v>500000.01</v>
      </c>
      <c r="S754" s="323">
        <v>750000</v>
      </c>
      <c r="T754" s="2023">
        <v>0</v>
      </c>
      <c r="U754" s="2023">
        <f t="shared" ref="U754:U757" si="314">S754</f>
        <v>750000</v>
      </c>
      <c r="V754" s="2023">
        <v>0</v>
      </c>
      <c r="W754" s="2023">
        <v>50</v>
      </c>
      <c r="X754" s="2023">
        <v>0</v>
      </c>
      <c r="Y754" s="2023">
        <v>999</v>
      </c>
      <c r="Z754" s="2026">
        <v>720</v>
      </c>
      <c r="AA754" s="2026">
        <v>999</v>
      </c>
      <c r="AB754" s="2026">
        <v>0</v>
      </c>
      <c r="AC754" s="2026">
        <v>999999</v>
      </c>
      <c r="AD754" s="2023">
        <v>0</v>
      </c>
      <c r="AE754" s="2104">
        <v>80</v>
      </c>
      <c r="AF754" s="170">
        <v>1</v>
      </c>
      <c r="AG754" s="171">
        <v>1</v>
      </c>
      <c r="AH754" s="171">
        <v>1</v>
      </c>
      <c r="AI754" s="171">
        <v>1</v>
      </c>
      <c r="AJ754" s="171">
        <v>0</v>
      </c>
      <c r="AK754" s="171">
        <v>1</v>
      </c>
      <c r="AL754" s="171">
        <v>1</v>
      </c>
      <c r="AM754" s="171">
        <v>1</v>
      </c>
      <c r="AN754" s="171">
        <v>1</v>
      </c>
      <c r="AO754" s="171">
        <v>1</v>
      </c>
      <c r="AP754" s="171">
        <v>1</v>
      </c>
      <c r="AQ754" s="171">
        <v>1</v>
      </c>
      <c r="AR754" s="171">
        <v>1</v>
      </c>
      <c r="AS754" s="171">
        <v>1</v>
      </c>
      <c r="AT754" s="171">
        <v>1</v>
      </c>
      <c r="AU754" s="171">
        <f t="shared" si="294"/>
        <v>0</v>
      </c>
      <c r="AV754" s="171">
        <f t="shared" si="295"/>
        <v>1</v>
      </c>
      <c r="AW754" s="171">
        <f t="shared" si="296"/>
        <v>1</v>
      </c>
      <c r="AX754" s="171">
        <f t="shared" si="305"/>
        <v>1</v>
      </c>
      <c r="AY754" s="171">
        <f t="shared" si="297"/>
        <v>1</v>
      </c>
      <c r="AZ754" s="171">
        <f t="shared" si="298"/>
        <v>1</v>
      </c>
      <c r="BA754" s="172">
        <f t="shared" si="299"/>
        <v>1</v>
      </c>
      <c r="BB754" s="175">
        <f t="shared" ref="BB754:BB757" si="315">SUM(AF754:BA754)</f>
        <v>20</v>
      </c>
      <c r="BC754" s="176">
        <f t="shared" ref="BC754:BC757" si="316">SUM(AF754:AZ754)</f>
        <v>19</v>
      </c>
      <c r="BD754" s="176">
        <f t="shared" ref="BD754:BD757" si="317">SUM(AG754:BA754)</f>
        <v>19</v>
      </c>
      <c r="BE754" s="240" t="str">
        <f t="shared" si="304"/>
        <v/>
      </c>
      <c r="BF754" s="220"/>
      <c r="BG754" s="220"/>
      <c r="BH754" s="216">
        <f>IF(AND(Input_Product=Elig!$C754,Elig_MatchAll_Ct&lt;22,$BC754=(Elig_MatchAll_Ct-1),AF754=0),C754,0)</f>
        <v>0</v>
      </c>
      <c r="BI754" s="216">
        <f>IF(AND(Input_Product=Elig!$C754,Elig_MatchAll_Ct&lt;22,$BC754=(Elig_MatchAll_Ct-1),AG754=0),D754,0)</f>
        <v>0</v>
      </c>
      <c r="BJ754" s="216">
        <f>IF(AND(Input_Product=Elig!$C754,Elig_MatchAll_Ct&lt;22,$BC754=(Elig_MatchAll_Ct-1),AH754=0),E754,0)</f>
        <v>0</v>
      </c>
      <c r="BK754" s="216">
        <f>IF(AND(Input_Product=Elig!$C754,Elig_MatchAll_Ct&lt;22,$BC754=(Elig_MatchAll_Ct-1),AI754=0),F754,0)</f>
        <v>0</v>
      </c>
      <c r="BL754" s="216">
        <f>IF(AND(Input_Product=Elig!$C754,Elig_MatchAll_Ct&lt;22,$BC754=(Elig_MatchAll_Ct-1),AJ754=0),G754,0)</f>
        <v>0</v>
      </c>
      <c r="BM754" s="216">
        <f>IF(AND(Input_Product=Elig!$C754,Elig_MatchAll_Ct&lt;22,$BC754=(Elig_MatchAll_Ct-1),AK754=0),H754,0)</f>
        <v>0</v>
      </c>
      <c r="BN754" s="216">
        <f>IF(AND(Input_Product=Elig!$C754,Elig_MatchAll_Ct&lt;22,$BC754=(Elig_MatchAll_Ct-1),AL754=0),I754,0)</f>
        <v>0</v>
      </c>
      <c r="BO754" s="216">
        <f>IF(AND(Input_Product=Elig!$C754,Elig_MatchAll_Ct&lt;22,$BC754=(Elig_MatchAll_Ct-1),AM754=0),J754,0)</f>
        <v>0</v>
      </c>
      <c r="BP754" s="216">
        <f>IF(AND(Input_Product=Elig!$C754,Elig_MatchAll_Ct&lt;22,$BC754=(Elig_MatchAll_Ct-1),AN754=0),K754,0)</f>
        <v>0</v>
      </c>
      <c r="BQ754" s="216">
        <f>IF(AND(Input_Product=Elig!$C754,Elig_MatchAll_Ct&lt;22,$BC754=(Elig_MatchAll_Ct-1),AP754=0),L754,0)</f>
        <v>0</v>
      </c>
      <c r="BR754" s="216">
        <f>IF(AND(Input_Product=Elig!$C754,Elig_MatchAll_Ct&lt;22,$BC754=(Elig_MatchAll_Ct-1),AO754=0),M754,0)</f>
        <v>0</v>
      </c>
      <c r="BS754" s="216">
        <f>IF(AND(Input_Product=Elig!$C754,Elig_MatchAll_Ct&lt;22,$BC754=(Elig_MatchAll_Ct-1),AQ754=0),N754,0)</f>
        <v>0</v>
      </c>
      <c r="BT754" s="216">
        <f>IF(AND(Input_Product=Elig!$C754,Elig_MatchAll_Ct&lt;22,$BC754=(Elig_MatchAll_Ct-1),AR754=0),O754,0)</f>
        <v>0</v>
      </c>
      <c r="BU754" s="216">
        <f>IF(AND(Input_Product=Elig!$C754,Elig_MatchAll_Ct&lt;22,$BC754=(Elig_MatchAll_Ct-1),AS754=0),P754,0)</f>
        <v>0</v>
      </c>
      <c r="BV754" s="217">
        <f>IF(AND(Input_Product=Elig!$C754,Elig_MatchAll_Ct&lt;22,$BC754=(Elig_MatchAll_Ct-1),AT754=0),Q754,0)</f>
        <v>0</v>
      </c>
      <c r="BW754" s="313">
        <f>IF(AND(Input_Product=Elig!$C754,Elig_MatchAll_Ct&lt;22,$BC754=(Elig_MatchAll_Ct-1),AU754=0),R754,0)</f>
        <v>0</v>
      </c>
      <c r="BX754" s="314">
        <f>IF(AND(Input_Product=Elig!$C754,Elig_MatchAll_Ct&lt;22,$BC754=(Elig_MatchAll_Ct-1),AU754=0),S754,0)</f>
        <v>0</v>
      </c>
      <c r="BY754" s="313">
        <f>IF(AND(Input_Product=Elig!$C754,Elig_MatchAll_Ct&lt;22,$BC754=(Elig_MatchAll_Ct-1),AV754=0),T754,0)</f>
        <v>0</v>
      </c>
      <c r="BZ754" s="314">
        <f>IF(AND(Input_Product=Elig!$C754,Elig_MatchAll_Ct&lt;22,$BC754=(Elig_MatchAll_Ct-1),AV754=0),U754,0)</f>
        <v>0</v>
      </c>
      <c r="CA754" s="313">
        <f>IF(AND(Input_Product=Elig!$C754,Elig_MatchAll_Ct&lt;22,$BC754=(Elig_MatchAll_Ct-1),AW754=0),V754,0)</f>
        <v>0</v>
      </c>
      <c r="CB754" s="314">
        <f>IF(AND(Input_Product=Elig!$C754,Elig_MatchAll_Ct&lt;22,$BC754=(Elig_MatchAll_Ct-1),AW754=0),W754,0)</f>
        <v>0</v>
      </c>
      <c r="CC754" s="313">
        <f>IF(AND(Input_Product=Elig!$C754,Elig_MatchAll_Ct&lt;22,$BC754=(Elig_MatchAll_Ct-1),AX754=0),X754,0)</f>
        <v>0</v>
      </c>
      <c r="CD754" s="314">
        <f>IF(AND(Input_Product=Elig!$C754,Elig_MatchAll_Ct&lt;22,$BC754=(Elig_MatchAll_Ct-1),AX754=0),Y754,0)</f>
        <v>0</v>
      </c>
      <c r="CE754" s="313">
        <f>IF(AND(Input_LTV&lt;=AE754,Input_Product=Elig!$C754,Elig_MatchAll_Ct&lt;22,$BC754=(Elig_MatchAll_Ct-1),AY754=0),Z754,0)</f>
        <v>0</v>
      </c>
      <c r="CF754" s="314">
        <f>IF(AND(Input_LTV&lt;=AE754,Input_Product=Elig!$C754,Elig_MatchAll_Ct&lt;22,$BC754=(Elig_MatchAll_Ct-1),AY754=0),AA754,0)</f>
        <v>0</v>
      </c>
      <c r="CG754" s="313">
        <f>IF(AND(Input_Product=Elig!$C754,Elig_MatchAll_Ct&lt;22,$BC754=(Elig_MatchAll_Ct-1),AZ754=0),AB754,0)</f>
        <v>0</v>
      </c>
      <c r="CH754" s="314">
        <f>IF(AND(Input_Product=Elig!$C754,Elig_MatchAll_Ct&lt;22,$BC754=(Elig_MatchAll_Ct-1),AZ754=0),AC754,0)</f>
        <v>0</v>
      </c>
      <c r="CI754" s="313">
        <f>IF(AND(Input_Product=Elig!$C754,Elig_MatchAll_Ct&lt;22,$BC754=(Elig_MatchAll_Ct-1),BA754=0),AD754,0)</f>
        <v>0</v>
      </c>
      <c r="CJ754" s="314">
        <f>IF(AND(Input_Product=Elig!$C754,Elig_MatchAll_Ct&lt;22,$BC754=(Elig_MatchAll_Ct-1),BA754=0),AE754,0)</f>
        <v>0</v>
      </c>
    </row>
    <row r="755" spans="2:88" ht="10.15" customHeight="1" x14ac:dyDescent="0.25">
      <c r="B755" s="2027" t="s">
        <v>4052</v>
      </c>
      <c r="C755" s="2028" t="str">
        <f t="shared" si="279"/>
        <v>Second OO</v>
      </c>
      <c r="D755" s="2027" t="s">
        <v>1569</v>
      </c>
      <c r="E755" s="2027" t="s">
        <v>98</v>
      </c>
      <c r="F755" s="2027" t="s">
        <v>328</v>
      </c>
      <c r="G755" s="2110" t="s">
        <v>468</v>
      </c>
      <c r="H755" s="2029" t="s">
        <v>136</v>
      </c>
      <c r="I755" s="2027" t="s">
        <v>1332</v>
      </c>
      <c r="J755" s="2027" t="s">
        <v>1311</v>
      </c>
      <c r="K755" s="2029" t="s">
        <v>1790</v>
      </c>
      <c r="L755" s="2027" t="s">
        <v>430</v>
      </c>
      <c r="M755" s="2027" t="s">
        <v>2677</v>
      </c>
      <c r="N755" s="2029" t="s">
        <v>82</v>
      </c>
      <c r="O755" s="2027" t="s">
        <v>310</v>
      </c>
      <c r="P755" s="2027" t="s">
        <v>291</v>
      </c>
      <c r="Q755" s="2027" t="s">
        <v>294</v>
      </c>
      <c r="R755" s="300">
        <v>500000.01</v>
      </c>
      <c r="S755" s="300">
        <v>750000</v>
      </c>
      <c r="T755" s="2027">
        <v>0</v>
      </c>
      <c r="U755" s="2027">
        <f t="shared" si="314"/>
        <v>750000</v>
      </c>
      <c r="V755" s="2027">
        <v>0</v>
      </c>
      <c r="W755" s="2027">
        <v>50</v>
      </c>
      <c r="X755" s="2027">
        <v>0</v>
      </c>
      <c r="Y755" s="2027">
        <v>999</v>
      </c>
      <c r="Z755" s="2030">
        <v>700</v>
      </c>
      <c r="AA755" s="2030">
        <v>719</v>
      </c>
      <c r="AB755" s="2030">
        <v>0</v>
      </c>
      <c r="AC755" s="2030">
        <v>999999</v>
      </c>
      <c r="AD755" s="2027">
        <v>0</v>
      </c>
      <c r="AE755" s="2105">
        <v>75</v>
      </c>
      <c r="AF755" s="170">
        <v>1</v>
      </c>
      <c r="AG755" s="171">
        <v>1</v>
      </c>
      <c r="AH755" s="171">
        <v>1</v>
      </c>
      <c r="AI755" s="171">
        <v>1</v>
      </c>
      <c r="AJ755" s="171">
        <v>0</v>
      </c>
      <c r="AK755" s="171">
        <v>1</v>
      </c>
      <c r="AL755" s="171">
        <v>1</v>
      </c>
      <c r="AM755" s="171">
        <v>1</v>
      </c>
      <c r="AN755" s="171">
        <v>1</v>
      </c>
      <c r="AO755" s="171">
        <v>1</v>
      </c>
      <c r="AP755" s="171">
        <v>1</v>
      </c>
      <c r="AQ755" s="171">
        <v>1</v>
      </c>
      <c r="AR755" s="171">
        <v>1</v>
      </c>
      <c r="AS755" s="171">
        <v>1</v>
      </c>
      <c r="AT755" s="171">
        <v>1</v>
      </c>
      <c r="AU755" s="171">
        <f t="shared" si="294"/>
        <v>0</v>
      </c>
      <c r="AV755" s="171">
        <f t="shared" si="295"/>
        <v>1</v>
      </c>
      <c r="AW755" s="171">
        <f t="shared" si="296"/>
        <v>1</v>
      </c>
      <c r="AX755" s="171">
        <f t="shared" si="305"/>
        <v>1</v>
      </c>
      <c r="AY755" s="171">
        <f t="shared" si="297"/>
        <v>0</v>
      </c>
      <c r="AZ755" s="171">
        <f t="shared" si="298"/>
        <v>1</v>
      </c>
      <c r="BA755" s="172">
        <f t="shared" si="299"/>
        <v>1</v>
      </c>
      <c r="BB755" s="175">
        <f t="shared" si="315"/>
        <v>19</v>
      </c>
      <c r="BC755" s="176">
        <f t="shared" si="316"/>
        <v>18</v>
      </c>
      <c r="BD755" s="176">
        <f t="shared" si="317"/>
        <v>18</v>
      </c>
      <c r="BE755" s="240" t="str">
        <f t="shared" si="304"/>
        <v/>
      </c>
      <c r="BF755" s="234"/>
      <c r="BG755" s="234"/>
      <c r="BH755" s="199">
        <f>IF(AND(Input_Product=Elig!$C755,Elig_MatchAll_Ct&lt;22,$BC755=(Elig_MatchAll_Ct-1),AF755=0),C755,0)</f>
        <v>0</v>
      </c>
      <c r="BI755" s="199">
        <f>IF(AND(Input_Product=Elig!$C755,Elig_MatchAll_Ct&lt;22,$BC755=(Elig_MatchAll_Ct-1),AG755=0),D755,0)</f>
        <v>0</v>
      </c>
      <c r="BJ755" s="199">
        <f>IF(AND(Input_Product=Elig!$C755,Elig_MatchAll_Ct&lt;22,$BC755=(Elig_MatchAll_Ct-1),AH755=0),E755,0)</f>
        <v>0</v>
      </c>
      <c r="BK755" s="199">
        <f>IF(AND(Input_Product=Elig!$C755,Elig_MatchAll_Ct&lt;22,$BC755=(Elig_MatchAll_Ct-1),AI755=0),F755,0)</f>
        <v>0</v>
      </c>
      <c r="BL755" s="199">
        <f>IF(AND(Input_Product=Elig!$C755,Elig_MatchAll_Ct&lt;22,$BC755=(Elig_MatchAll_Ct-1),AJ755=0),G755,0)</f>
        <v>0</v>
      </c>
      <c r="BM755" s="199">
        <f>IF(AND(Input_Product=Elig!$C755,Elig_MatchAll_Ct&lt;22,$BC755=(Elig_MatchAll_Ct-1),AK755=0),H755,0)</f>
        <v>0</v>
      </c>
      <c r="BN755" s="199">
        <f>IF(AND(Input_Product=Elig!$C755,Elig_MatchAll_Ct&lt;22,$BC755=(Elig_MatchAll_Ct-1),AL755=0),I755,0)</f>
        <v>0</v>
      </c>
      <c r="BO755" s="199">
        <f>IF(AND(Input_Product=Elig!$C755,Elig_MatchAll_Ct&lt;22,$BC755=(Elig_MatchAll_Ct-1),AM755=0),J755,0)</f>
        <v>0</v>
      </c>
      <c r="BP755" s="199">
        <f>IF(AND(Input_Product=Elig!$C755,Elig_MatchAll_Ct&lt;22,$BC755=(Elig_MatchAll_Ct-1),AN755=0),K755,0)</f>
        <v>0</v>
      </c>
      <c r="BQ755" s="199">
        <f>IF(AND(Input_Product=Elig!$C755,Elig_MatchAll_Ct&lt;22,$BC755=(Elig_MatchAll_Ct-1),AP755=0),L755,0)</f>
        <v>0</v>
      </c>
      <c r="BR755" s="199">
        <f>IF(AND(Input_Product=Elig!$C755,Elig_MatchAll_Ct&lt;22,$BC755=(Elig_MatchAll_Ct-1),AO755=0),M755,0)</f>
        <v>0</v>
      </c>
      <c r="BS755" s="199">
        <f>IF(AND(Input_Product=Elig!$C755,Elig_MatchAll_Ct&lt;22,$BC755=(Elig_MatchAll_Ct-1),AQ755=0),N755,0)</f>
        <v>0</v>
      </c>
      <c r="BT755" s="199">
        <f>IF(AND(Input_Product=Elig!$C755,Elig_MatchAll_Ct&lt;22,$BC755=(Elig_MatchAll_Ct-1),AR755=0),O755,0)</f>
        <v>0</v>
      </c>
      <c r="BU755" s="199">
        <f>IF(AND(Input_Product=Elig!$C755,Elig_MatchAll_Ct&lt;22,$BC755=(Elig_MatchAll_Ct-1),AS755=0),P755,0)</f>
        <v>0</v>
      </c>
      <c r="BV755" s="200">
        <f>IF(AND(Input_Product=Elig!$C755,Elig_MatchAll_Ct&lt;22,$BC755=(Elig_MatchAll_Ct-1),AT755=0),Q755,0)</f>
        <v>0</v>
      </c>
      <c r="BW755" s="201">
        <f>IF(AND(Input_Product=Elig!$C755,Elig_MatchAll_Ct&lt;22,$BC755=(Elig_MatchAll_Ct-1),AU755=0),R755,0)</f>
        <v>0</v>
      </c>
      <c r="BX755" s="202">
        <f>IF(AND(Input_Product=Elig!$C755,Elig_MatchAll_Ct&lt;22,$BC755=(Elig_MatchAll_Ct-1),AU755=0),S755,0)</f>
        <v>0</v>
      </c>
      <c r="BY755" s="201">
        <f>IF(AND(Input_Product=Elig!$C755,Elig_MatchAll_Ct&lt;22,$BC755=(Elig_MatchAll_Ct-1),AV755=0),T755,0)</f>
        <v>0</v>
      </c>
      <c r="BZ755" s="202">
        <f>IF(AND(Input_Product=Elig!$C755,Elig_MatchAll_Ct&lt;22,$BC755=(Elig_MatchAll_Ct-1),AV755=0),U755,0)</f>
        <v>0</v>
      </c>
      <c r="CA755" s="201">
        <f>IF(AND(Input_Product=Elig!$C755,Elig_MatchAll_Ct&lt;22,$BC755=(Elig_MatchAll_Ct-1),AW755=0),V755,0)</f>
        <v>0</v>
      </c>
      <c r="CB755" s="202">
        <f>IF(AND(Input_Product=Elig!$C755,Elig_MatchAll_Ct&lt;22,$BC755=(Elig_MatchAll_Ct-1),AW755=0),W755,0)</f>
        <v>0</v>
      </c>
      <c r="CC755" s="201">
        <f>IF(AND(Input_Product=Elig!$C755,Elig_MatchAll_Ct&lt;22,$BC755=(Elig_MatchAll_Ct-1),AX755=0),X755,0)</f>
        <v>0</v>
      </c>
      <c r="CD755" s="202">
        <f>IF(AND(Input_Product=Elig!$C755,Elig_MatchAll_Ct&lt;22,$BC755=(Elig_MatchAll_Ct-1),AX755=0),Y755,0)</f>
        <v>0</v>
      </c>
      <c r="CE755" s="201">
        <f>IF(AND(Input_LTV&lt;=AE755,Input_Product=Elig!$C755,Elig_MatchAll_Ct&lt;22,$BC755=(Elig_MatchAll_Ct-1),AY755=0),Z755,0)</f>
        <v>0</v>
      </c>
      <c r="CF755" s="202">
        <f>IF(AND(Input_LTV&lt;=AE755,Input_Product=Elig!$C755,Elig_MatchAll_Ct&lt;22,$BC755=(Elig_MatchAll_Ct-1),AY755=0),AA755,0)</f>
        <v>0</v>
      </c>
      <c r="CG755" s="201">
        <f>IF(AND(Input_Product=Elig!$C755,Elig_MatchAll_Ct&lt;22,$BC755=(Elig_MatchAll_Ct-1),AZ755=0),AB755,0)</f>
        <v>0</v>
      </c>
      <c r="CH755" s="202">
        <f>IF(AND(Input_Product=Elig!$C755,Elig_MatchAll_Ct&lt;22,$BC755=(Elig_MatchAll_Ct-1),AZ755=0),AC755,0)</f>
        <v>0</v>
      </c>
      <c r="CI755" s="201">
        <f>IF(AND(Input_Product=Elig!$C755,Elig_MatchAll_Ct&lt;22,$BC755=(Elig_MatchAll_Ct-1),BA755=0),AD755,0)</f>
        <v>0</v>
      </c>
      <c r="CJ755" s="202">
        <f>IF(AND(Input_Product=Elig!$C755,Elig_MatchAll_Ct&lt;22,$BC755=(Elig_MatchAll_Ct-1),BA755=0),AE755,0)</f>
        <v>0</v>
      </c>
    </row>
    <row r="756" spans="2:88" ht="10.15" customHeight="1" x14ac:dyDescent="0.25">
      <c r="B756" s="2027" t="s">
        <v>4053</v>
      </c>
      <c r="C756" s="2028" t="str">
        <f t="shared" si="279"/>
        <v>Second OO</v>
      </c>
      <c r="D756" s="2027" t="s">
        <v>1569</v>
      </c>
      <c r="E756" s="2027" t="s">
        <v>98</v>
      </c>
      <c r="F756" s="2027" t="s">
        <v>328</v>
      </c>
      <c r="G756" s="2110" t="s">
        <v>468</v>
      </c>
      <c r="H756" s="2029" t="s">
        <v>136</v>
      </c>
      <c r="I756" s="2027" t="s">
        <v>1332</v>
      </c>
      <c r="J756" s="2027" t="s">
        <v>1311</v>
      </c>
      <c r="K756" s="2029" t="s">
        <v>1790</v>
      </c>
      <c r="L756" s="2027" t="s">
        <v>430</v>
      </c>
      <c r="M756" s="2027" t="s">
        <v>2677</v>
      </c>
      <c r="N756" s="2029" t="s">
        <v>82</v>
      </c>
      <c r="O756" s="2027" t="s">
        <v>310</v>
      </c>
      <c r="P756" s="2027" t="s">
        <v>291</v>
      </c>
      <c r="Q756" s="2027" t="s">
        <v>294</v>
      </c>
      <c r="R756" s="300">
        <v>500000.01</v>
      </c>
      <c r="S756" s="300">
        <v>750000</v>
      </c>
      <c r="T756" s="2027">
        <v>0</v>
      </c>
      <c r="U756" s="2027">
        <f t="shared" si="314"/>
        <v>750000</v>
      </c>
      <c r="V756" s="2027">
        <v>0</v>
      </c>
      <c r="W756" s="2027">
        <v>50</v>
      </c>
      <c r="X756" s="2027">
        <v>0</v>
      </c>
      <c r="Y756" s="2027">
        <v>999</v>
      </c>
      <c r="Z756" s="2030">
        <v>680</v>
      </c>
      <c r="AA756" s="2030">
        <v>699</v>
      </c>
      <c r="AB756" s="2030">
        <v>0</v>
      </c>
      <c r="AC756" s="2030">
        <v>999999</v>
      </c>
      <c r="AD756" s="2027">
        <v>0</v>
      </c>
      <c r="AE756" s="1483">
        <v>65</v>
      </c>
      <c r="AF756" s="170">
        <v>1</v>
      </c>
      <c r="AG756" s="171">
        <v>1</v>
      </c>
      <c r="AH756" s="171">
        <v>1</v>
      </c>
      <c r="AI756" s="171">
        <v>1</v>
      </c>
      <c r="AJ756" s="171">
        <v>0</v>
      </c>
      <c r="AK756" s="171">
        <v>1</v>
      </c>
      <c r="AL756" s="171">
        <v>1</v>
      </c>
      <c r="AM756" s="171">
        <v>1</v>
      </c>
      <c r="AN756" s="171">
        <v>1</v>
      </c>
      <c r="AO756" s="171">
        <v>1</v>
      </c>
      <c r="AP756" s="171">
        <v>1</v>
      </c>
      <c r="AQ756" s="171">
        <v>1</v>
      </c>
      <c r="AR756" s="171">
        <v>1</v>
      </c>
      <c r="AS756" s="171">
        <v>1</v>
      </c>
      <c r="AT756" s="171">
        <v>1</v>
      </c>
      <c r="AU756" s="171">
        <f t="shared" si="294"/>
        <v>0</v>
      </c>
      <c r="AV756" s="171">
        <f t="shared" si="295"/>
        <v>1</v>
      </c>
      <c r="AW756" s="171">
        <f t="shared" si="296"/>
        <v>1</v>
      </c>
      <c r="AX756" s="171">
        <f t="shared" si="305"/>
        <v>1</v>
      </c>
      <c r="AY756" s="171">
        <f t="shared" si="297"/>
        <v>0</v>
      </c>
      <c r="AZ756" s="171">
        <f t="shared" si="298"/>
        <v>1</v>
      </c>
      <c r="BA756" s="172">
        <f t="shared" si="299"/>
        <v>1</v>
      </c>
      <c r="BB756" s="175">
        <f t="shared" si="315"/>
        <v>19</v>
      </c>
      <c r="BC756" s="176">
        <f t="shared" si="316"/>
        <v>18</v>
      </c>
      <c r="BD756" s="176">
        <f t="shared" si="317"/>
        <v>18</v>
      </c>
      <c r="BE756" s="240" t="str">
        <f t="shared" si="304"/>
        <v/>
      </c>
      <c r="BF756" s="234"/>
      <c r="BG756" s="234"/>
      <c r="BH756" s="199">
        <f>IF(AND(Input_Product=Elig!$C756,Elig_MatchAll_Ct&lt;22,$BC756=(Elig_MatchAll_Ct-1),AF756=0),C756,0)</f>
        <v>0</v>
      </c>
      <c r="BI756" s="199">
        <f>IF(AND(Input_Product=Elig!$C756,Elig_MatchAll_Ct&lt;22,$BC756=(Elig_MatchAll_Ct-1),AG756=0),D756,0)</f>
        <v>0</v>
      </c>
      <c r="BJ756" s="199">
        <f>IF(AND(Input_Product=Elig!$C756,Elig_MatchAll_Ct&lt;22,$BC756=(Elig_MatchAll_Ct-1),AH756=0),E756,0)</f>
        <v>0</v>
      </c>
      <c r="BK756" s="199">
        <f>IF(AND(Input_Product=Elig!$C756,Elig_MatchAll_Ct&lt;22,$BC756=(Elig_MatchAll_Ct-1),AI756=0),F756,0)</f>
        <v>0</v>
      </c>
      <c r="BL756" s="199">
        <f>IF(AND(Input_Product=Elig!$C756,Elig_MatchAll_Ct&lt;22,$BC756=(Elig_MatchAll_Ct-1),AJ756=0),G756,0)</f>
        <v>0</v>
      </c>
      <c r="BM756" s="199">
        <f>IF(AND(Input_Product=Elig!$C756,Elig_MatchAll_Ct&lt;22,$BC756=(Elig_MatchAll_Ct-1),AK756=0),H756,0)</f>
        <v>0</v>
      </c>
      <c r="BN756" s="199">
        <f>IF(AND(Input_Product=Elig!$C756,Elig_MatchAll_Ct&lt;22,$BC756=(Elig_MatchAll_Ct-1),AL756=0),I756,0)</f>
        <v>0</v>
      </c>
      <c r="BO756" s="199">
        <f>IF(AND(Input_Product=Elig!$C756,Elig_MatchAll_Ct&lt;22,$BC756=(Elig_MatchAll_Ct-1),AM756=0),J756,0)</f>
        <v>0</v>
      </c>
      <c r="BP756" s="199">
        <f>IF(AND(Input_Product=Elig!$C756,Elig_MatchAll_Ct&lt;22,$BC756=(Elig_MatchAll_Ct-1),AN756=0),K756,0)</f>
        <v>0</v>
      </c>
      <c r="BQ756" s="199">
        <f>IF(AND(Input_Product=Elig!$C756,Elig_MatchAll_Ct&lt;22,$BC756=(Elig_MatchAll_Ct-1),AP756=0),L756,0)</f>
        <v>0</v>
      </c>
      <c r="BR756" s="199">
        <f>IF(AND(Input_Product=Elig!$C756,Elig_MatchAll_Ct&lt;22,$BC756=(Elig_MatchAll_Ct-1),AO756=0),M756,0)</f>
        <v>0</v>
      </c>
      <c r="BS756" s="199">
        <f>IF(AND(Input_Product=Elig!$C756,Elig_MatchAll_Ct&lt;22,$BC756=(Elig_MatchAll_Ct-1),AQ756=0),N756,0)</f>
        <v>0</v>
      </c>
      <c r="BT756" s="199">
        <f>IF(AND(Input_Product=Elig!$C756,Elig_MatchAll_Ct&lt;22,$BC756=(Elig_MatchAll_Ct-1),AR756=0),O756,0)</f>
        <v>0</v>
      </c>
      <c r="BU756" s="199">
        <f>IF(AND(Input_Product=Elig!$C756,Elig_MatchAll_Ct&lt;22,$BC756=(Elig_MatchAll_Ct-1),AS756=0),P756,0)</f>
        <v>0</v>
      </c>
      <c r="BV756" s="200">
        <f>IF(AND(Input_Product=Elig!$C756,Elig_MatchAll_Ct&lt;22,$BC756=(Elig_MatchAll_Ct-1),AT756=0),Q756,0)</f>
        <v>0</v>
      </c>
      <c r="BW756" s="201">
        <f>IF(AND(Input_Product=Elig!$C756,Elig_MatchAll_Ct&lt;22,$BC756=(Elig_MatchAll_Ct-1),AU756=0),R756,0)</f>
        <v>0</v>
      </c>
      <c r="BX756" s="202">
        <f>IF(AND(Input_Product=Elig!$C756,Elig_MatchAll_Ct&lt;22,$BC756=(Elig_MatchAll_Ct-1),AU756=0),S756,0)</f>
        <v>0</v>
      </c>
      <c r="BY756" s="201">
        <f>IF(AND(Input_Product=Elig!$C756,Elig_MatchAll_Ct&lt;22,$BC756=(Elig_MatchAll_Ct-1),AV756=0),T756,0)</f>
        <v>0</v>
      </c>
      <c r="BZ756" s="202">
        <f>IF(AND(Input_Product=Elig!$C756,Elig_MatchAll_Ct&lt;22,$BC756=(Elig_MatchAll_Ct-1),AV756=0),U756,0)</f>
        <v>0</v>
      </c>
      <c r="CA756" s="201">
        <f>IF(AND(Input_Product=Elig!$C756,Elig_MatchAll_Ct&lt;22,$BC756=(Elig_MatchAll_Ct-1),AW756=0),V756,0)</f>
        <v>0</v>
      </c>
      <c r="CB756" s="202">
        <f>IF(AND(Input_Product=Elig!$C756,Elig_MatchAll_Ct&lt;22,$BC756=(Elig_MatchAll_Ct-1),AW756=0),W756,0)</f>
        <v>0</v>
      </c>
      <c r="CC756" s="201">
        <f>IF(AND(Input_Product=Elig!$C756,Elig_MatchAll_Ct&lt;22,$BC756=(Elig_MatchAll_Ct-1),AX756=0),X756,0)</f>
        <v>0</v>
      </c>
      <c r="CD756" s="202">
        <f>IF(AND(Input_Product=Elig!$C756,Elig_MatchAll_Ct&lt;22,$BC756=(Elig_MatchAll_Ct-1),AX756=0),Y756,0)</f>
        <v>0</v>
      </c>
      <c r="CE756" s="201">
        <f>IF(AND(Input_LTV&lt;=AE756,Input_Product=Elig!$C756,Elig_MatchAll_Ct&lt;22,$BC756=(Elig_MatchAll_Ct-1),AY756=0),Z756,0)</f>
        <v>0</v>
      </c>
      <c r="CF756" s="202">
        <f>IF(AND(Input_LTV&lt;=AE756,Input_Product=Elig!$C756,Elig_MatchAll_Ct&lt;22,$BC756=(Elig_MatchAll_Ct-1),AY756=0),AA756,0)</f>
        <v>0</v>
      </c>
      <c r="CG756" s="201">
        <f>IF(AND(Input_Product=Elig!$C756,Elig_MatchAll_Ct&lt;22,$BC756=(Elig_MatchAll_Ct-1),AZ756=0),AB756,0)</f>
        <v>0</v>
      </c>
      <c r="CH756" s="202">
        <f>IF(AND(Input_Product=Elig!$C756,Elig_MatchAll_Ct&lt;22,$BC756=(Elig_MatchAll_Ct-1),AZ756=0),AC756,0)</f>
        <v>0</v>
      </c>
      <c r="CI756" s="201">
        <f>IF(AND(Input_Product=Elig!$C756,Elig_MatchAll_Ct&lt;22,$BC756=(Elig_MatchAll_Ct-1),BA756=0),AD756,0)</f>
        <v>0</v>
      </c>
      <c r="CJ756" s="202">
        <f>IF(AND(Input_Product=Elig!$C756,Elig_MatchAll_Ct&lt;22,$BC756=(Elig_MatchAll_Ct-1),BA756=0),AE756,0)</f>
        <v>0</v>
      </c>
    </row>
    <row r="757" spans="2:88" ht="10.15" customHeight="1" x14ac:dyDescent="0.25">
      <c r="B757" s="2027" t="s">
        <v>4054</v>
      </c>
      <c r="C757" s="2032" t="str">
        <f t="shared" si="279"/>
        <v>Second OO</v>
      </c>
      <c r="D757" s="2031" t="s">
        <v>1569</v>
      </c>
      <c r="E757" s="2031" t="s">
        <v>98</v>
      </c>
      <c r="F757" s="2031" t="s">
        <v>328</v>
      </c>
      <c r="G757" s="2111" t="s">
        <v>468</v>
      </c>
      <c r="H757" s="2033" t="s">
        <v>136</v>
      </c>
      <c r="I757" s="2031" t="s">
        <v>1332</v>
      </c>
      <c r="J757" s="2031" t="s">
        <v>1311</v>
      </c>
      <c r="K757" s="2033" t="s">
        <v>1790</v>
      </c>
      <c r="L757" s="2031" t="s">
        <v>430</v>
      </c>
      <c r="M757" s="2031" t="s">
        <v>2677</v>
      </c>
      <c r="N757" s="2033" t="s">
        <v>82</v>
      </c>
      <c r="O757" s="2031" t="s">
        <v>310</v>
      </c>
      <c r="P757" s="2031" t="s">
        <v>291</v>
      </c>
      <c r="Q757" s="2031" t="s">
        <v>294</v>
      </c>
      <c r="R757" s="324">
        <v>500000.01</v>
      </c>
      <c r="S757" s="324">
        <v>750000</v>
      </c>
      <c r="T757" s="2031">
        <v>0</v>
      </c>
      <c r="U757" s="2031">
        <f t="shared" si="314"/>
        <v>750000</v>
      </c>
      <c r="V757" s="2031">
        <v>0</v>
      </c>
      <c r="W757" s="2031">
        <v>50</v>
      </c>
      <c r="X757" s="2031">
        <v>0</v>
      </c>
      <c r="Y757" s="2031">
        <v>999</v>
      </c>
      <c r="Z757" s="2034">
        <v>660</v>
      </c>
      <c r="AA757" s="2034">
        <v>679</v>
      </c>
      <c r="AB757" s="2034">
        <v>0</v>
      </c>
      <c r="AC757" s="2034">
        <v>999999</v>
      </c>
      <c r="AD757" s="2031">
        <v>0</v>
      </c>
      <c r="AE757" s="1484">
        <v>60</v>
      </c>
      <c r="AF757" s="170">
        <v>1</v>
      </c>
      <c r="AG757" s="171">
        <v>1</v>
      </c>
      <c r="AH757" s="171">
        <v>1</v>
      </c>
      <c r="AI757" s="171">
        <v>1</v>
      </c>
      <c r="AJ757" s="171">
        <v>0</v>
      </c>
      <c r="AK757" s="171">
        <v>1</v>
      </c>
      <c r="AL757" s="171">
        <v>1</v>
      </c>
      <c r="AM757" s="171">
        <v>1</v>
      </c>
      <c r="AN757" s="171">
        <v>1</v>
      </c>
      <c r="AO757" s="171">
        <v>1</v>
      </c>
      <c r="AP757" s="171">
        <v>1</v>
      </c>
      <c r="AQ757" s="171">
        <v>1</v>
      </c>
      <c r="AR757" s="171">
        <v>1</v>
      </c>
      <c r="AS757" s="171">
        <v>1</v>
      </c>
      <c r="AT757" s="171">
        <v>1</v>
      </c>
      <c r="AU757" s="171">
        <f t="shared" si="294"/>
        <v>0</v>
      </c>
      <c r="AV757" s="171">
        <f t="shared" si="295"/>
        <v>1</v>
      </c>
      <c r="AW757" s="171">
        <f t="shared" si="296"/>
        <v>1</v>
      </c>
      <c r="AX757" s="171">
        <f t="shared" si="305"/>
        <v>1</v>
      </c>
      <c r="AY757" s="171">
        <f t="shared" si="297"/>
        <v>0</v>
      </c>
      <c r="AZ757" s="171">
        <f t="shared" si="298"/>
        <v>1</v>
      </c>
      <c r="BA757" s="172">
        <f t="shared" si="299"/>
        <v>0</v>
      </c>
      <c r="BB757" s="175">
        <f t="shared" si="315"/>
        <v>18</v>
      </c>
      <c r="BC757" s="176">
        <f t="shared" si="316"/>
        <v>18</v>
      </c>
      <c r="BD757" s="176">
        <f t="shared" si="317"/>
        <v>17</v>
      </c>
      <c r="BE757" s="240" t="str">
        <f t="shared" si="304"/>
        <v/>
      </c>
      <c r="BF757" s="234"/>
      <c r="BG757" s="234"/>
      <c r="BH757" s="214">
        <f>IF(AND(Input_Product=Elig!$C757,Elig_MatchAll_Ct&lt;22,$BC757=(Elig_MatchAll_Ct-1),AF757=0),C757,0)</f>
        <v>0</v>
      </c>
      <c r="BI757" s="214">
        <f>IF(AND(Input_Product=Elig!$C757,Elig_MatchAll_Ct&lt;22,$BC757=(Elig_MatchAll_Ct-1),AG757=0),D757,0)</f>
        <v>0</v>
      </c>
      <c r="BJ757" s="214">
        <f>IF(AND(Input_Product=Elig!$C757,Elig_MatchAll_Ct&lt;22,$BC757=(Elig_MatchAll_Ct-1),AH757=0),E757,0)</f>
        <v>0</v>
      </c>
      <c r="BK757" s="214">
        <f>IF(AND(Input_Product=Elig!$C757,Elig_MatchAll_Ct&lt;22,$BC757=(Elig_MatchAll_Ct-1),AI757=0),F757,0)</f>
        <v>0</v>
      </c>
      <c r="BL757" s="214">
        <f>IF(AND(Input_Product=Elig!$C757,Elig_MatchAll_Ct&lt;22,$BC757=(Elig_MatchAll_Ct-1),AJ757=0),G757,0)</f>
        <v>0</v>
      </c>
      <c r="BM757" s="214">
        <f>IF(AND(Input_Product=Elig!$C757,Elig_MatchAll_Ct&lt;22,$BC757=(Elig_MatchAll_Ct-1),AK757=0),H757,0)</f>
        <v>0</v>
      </c>
      <c r="BN757" s="214">
        <f>IF(AND(Input_Product=Elig!$C757,Elig_MatchAll_Ct&lt;22,$BC757=(Elig_MatchAll_Ct-1),AL757=0),I757,0)</f>
        <v>0</v>
      </c>
      <c r="BO757" s="214">
        <f>IF(AND(Input_Product=Elig!$C757,Elig_MatchAll_Ct&lt;22,$BC757=(Elig_MatchAll_Ct-1),AM757=0),J757,0)</f>
        <v>0</v>
      </c>
      <c r="BP757" s="214">
        <f>IF(AND(Input_Product=Elig!$C757,Elig_MatchAll_Ct&lt;22,$BC757=(Elig_MatchAll_Ct-1),AN757=0),K757,0)</f>
        <v>0</v>
      </c>
      <c r="BQ757" s="214">
        <f>IF(AND(Input_Product=Elig!$C757,Elig_MatchAll_Ct&lt;22,$BC757=(Elig_MatchAll_Ct-1),AP757=0),L757,0)</f>
        <v>0</v>
      </c>
      <c r="BR757" s="214">
        <f>IF(AND(Input_Product=Elig!$C757,Elig_MatchAll_Ct&lt;22,$BC757=(Elig_MatchAll_Ct-1),AO757=0),M757,0)</f>
        <v>0</v>
      </c>
      <c r="BS757" s="214">
        <f>IF(AND(Input_Product=Elig!$C757,Elig_MatchAll_Ct&lt;22,$BC757=(Elig_MatchAll_Ct-1),AQ757=0),N757,0)</f>
        <v>0</v>
      </c>
      <c r="BT757" s="214">
        <f>IF(AND(Input_Product=Elig!$C757,Elig_MatchAll_Ct&lt;22,$BC757=(Elig_MatchAll_Ct-1),AR757=0),O757,0)</f>
        <v>0</v>
      </c>
      <c r="BU757" s="214">
        <f>IF(AND(Input_Product=Elig!$C757,Elig_MatchAll_Ct&lt;22,$BC757=(Elig_MatchAll_Ct-1),AS757=0),P757,0)</f>
        <v>0</v>
      </c>
      <c r="BV757" s="215">
        <f>IF(AND(Input_Product=Elig!$C757,Elig_MatchAll_Ct&lt;22,$BC757=(Elig_MatchAll_Ct-1),AT757=0),Q757,0)</f>
        <v>0</v>
      </c>
      <c r="BW757" s="311">
        <f>IF(AND(Input_Product=Elig!$C757,Elig_MatchAll_Ct&lt;22,$BC757=(Elig_MatchAll_Ct-1),AU757=0),R757,0)</f>
        <v>0</v>
      </c>
      <c r="BX757" s="312">
        <f>IF(AND(Input_Product=Elig!$C757,Elig_MatchAll_Ct&lt;22,$BC757=(Elig_MatchAll_Ct-1),AU757=0),S757,0)</f>
        <v>0</v>
      </c>
      <c r="BY757" s="311">
        <f>IF(AND(Input_Product=Elig!$C757,Elig_MatchAll_Ct&lt;22,$BC757=(Elig_MatchAll_Ct-1),AV757=0),T757,0)</f>
        <v>0</v>
      </c>
      <c r="BZ757" s="312">
        <f>IF(AND(Input_Product=Elig!$C757,Elig_MatchAll_Ct&lt;22,$BC757=(Elig_MatchAll_Ct-1),AV757=0),U757,0)</f>
        <v>0</v>
      </c>
      <c r="CA757" s="311">
        <f>IF(AND(Input_Product=Elig!$C757,Elig_MatchAll_Ct&lt;22,$BC757=(Elig_MatchAll_Ct-1),AW757=0),V757,0)</f>
        <v>0</v>
      </c>
      <c r="CB757" s="312">
        <f>IF(AND(Input_Product=Elig!$C757,Elig_MatchAll_Ct&lt;22,$BC757=(Elig_MatchAll_Ct-1),AW757=0),W757,0)</f>
        <v>0</v>
      </c>
      <c r="CC757" s="311">
        <f>IF(AND(Input_Product=Elig!$C757,Elig_MatchAll_Ct&lt;22,$BC757=(Elig_MatchAll_Ct-1),AX757=0),X757,0)</f>
        <v>0</v>
      </c>
      <c r="CD757" s="312">
        <f>IF(AND(Input_Product=Elig!$C757,Elig_MatchAll_Ct&lt;22,$BC757=(Elig_MatchAll_Ct-1),AX757=0),Y757,0)</f>
        <v>0</v>
      </c>
      <c r="CE757" s="311">
        <f>IF(AND(Input_LTV&lt;=AE757,Input_Product=Elig!$C757,Elig_MatchAll_Ct&lt;22,$BC757=(Elig_MatchAll_Ct-1),AY757=0),Z757,0)</f>
        <v>0</v>
      </c>
      <c r="CF757" s="312">
        <f>IF(AND(Input_LTV&lt;=AE757,Input_Product=Elig!$C757,Elig_MatchAll_Ct&lt;22,$BC757=(Elig_MatchAll_Ct-1),AY757=0),AA757,0)</f>
        <v>0</v>
      </c>
      <c r="CG757" s="311">
        <f>IF(AND(Input_Product=Elig!$C757,Elig_MatchAll_Ct&lt;22,$BC757=(Elig_MatchAll_Ct-1),AZ757=0),AB757,0)</f>
        <v>0</v>
      </c>
      <c r="CH757" s="312">
        <f>IF(AND(Input_Product=Elig!$C757,Elig_MatchAll_Ct&lt;22,$BC757=(Elig_MatchAll_Ct-1),AZ757=0),AC757,0)</f>
        <v>0</v>
      </c>
      <c r="CI757" s="311">
        <f>IF(AND(Input_Product=Elig!$C757,Elig_MatchAll_Ct&lt;22,$BC757=(Elig_MatchAll_Ct-1),BA757=0),AD757,0)</f>
        <v>0</v>
      </c>
      <c r="CJ757" s="312">
        <f>IF(AND(Input_Product=Elig!$C757,Elig_MatchAll_Ct&lt;22,$BC757=(Elig_MatchAll_Ct-1),BA757=0),AE757,0)</f>
        <v>0</v>
      </c>
    </row>
    <row r="758" spans="2:88" ht="10.15" customHeight="1" x14ac:dyDescent="0.25">
      <c r="B758" s="2027" t="s">
        <v>4055</v>
      </c>
      <c r="C758" s="2024" t="str">
        <f t="shared" si="279"/>
        <v>Second OO</v>
      </c>
      <c r="D758" s="2025" t="s">
        <v>1569</v>
      </c>
      <c r="E758" s="2025" t="s">
        <v>98</v>
      </c>
      <c r="F758" s="2025" t="s">
        <v>328</v>
      </c>
      <c r="G758" s="2103" t="s">
        <v>472</v>
      </c>
      <c r="H758" s="2025" t="s">
        <v>136</v>
      </c>
      <c r="I758" s="2023" t="s">
        <v>1332</v>
      </c>
      <c r="J758" s="2023" t="s">
        <v>1311</v>
      </c>
      <c r="K758" s="2025" t="s">
        <v>1790</v>
      </c>
      <c r="L758" s="2023" t="s">
        <v>430</v>
      </c>
      <c r="M758" s="2023" t="s">
        <v>2677</v>
      </c>
      <c r="N758" s="2025" t="s">
        <v>82</v>
      </c>
      <c r="O758" s="2023" t="s">
        <v>310</v>
      </c>
      <c r="P758" s="2023" t="s">
        <v>291</v>
      </c>
      <c r="Q758" s="2023" t="s">
        <v>294</v>
      </c>
      <c r="R758" s="323">
        <v>500000.01</v>
      </c>
      <c r="S758" s="323">
        <v>750000</v>
      </c>
      <c r="T758" s="2023">
        <v>0</v>
      </c>
      <c r="U758" s="2023">
        <f t="shared" si="300"/>
        <v>750000</v>
      </c>
      <c r="V758" s="2023">
        <v>0</v>
      </c>
      <c r="W758" s="2023">
        <v>50</v>
      </c>
      <c r="X758" s="2023">
        <v>0</v>
      </c>
      <c r="Y758" s="2023">
        <v>999</v>
      </c>
      <c r="Z758" s="2026">
        <v>720</v>
      </c>
      <c r="AA758" s="2026">
        <v>999</v>
      </c>
      <c r="AB758" s="2026">
        <v>0</v>
      </c>
      <c r="AC758" s="2026">
        <v>999999</v>
      </c>
      <c r="AD758" s="2023">
        <v>0</v>
      </c>
      <c r="AE758" s="1482">
        <v>75</v>
      </c>
      <c r="AF758" s="170">
        <v>1</v>
      </c>
      <c r="AG758" s="171">
        <v>1</v>
      </c>
      <c r="AH758" s="171">
        <v>1</v>
      </c>
      <c r="AI758" s="171">
        <v>1</v>
      </c>
      <c r="AJ758" s="171">
        <v>0</v>
      </c>
      <c r="AK758" s="171">
        <v>1</v>
      </c>
      <c r="AL758" s="171">
        <v>1</v>
      </c>
      <c r="AM758" s="171">
        <v>1</v>
      </c>
      <c r="AN758" s="171">
        <v>1</v>
      </c>
      <c r="AO758" s="171">
        <v>1</v>
      </c>
      <c r="AP758" s="171">
        <v>1</v>
      </c>
      <c r="AQ758" s="171">
        <v>1</v>
      </c>
      <c r="AR758" s="171">
        <v>1</v>
      </c>
      <c r="AS758" s="171">
        <v>1</v>
      </c>
      <c r="AT758" s="171">
        <v>1</v>
      </c>
      <c r="AU758" s="171">
        <f t="shared" si="294"/>
        <v>0</v>
      </c>
      <c r="AV758" s="171">
        <f t="shared" si="295"/>
        <v>1</v>
      </c>
      <c r="AW758" s="171">
        <f t="shared" si="296"/>
        <v>1</v>
      </c>
      <c r="AX758" s="171">
        <f t="shared" si="305"/>
        <v>1</v>
      </c>
      <c r="AY758" s="171">
        <f t="shared" si="297"/>
        <v>1</v>
      </c>
      <c r="AZ758" s="171">
        <f t="shared" si="298"/>
        <v>1</v>
      </c>
      <c r="BA758" s="172">
        <f t="shared" si="299"/>
        <v>1</v>
      </c>
      <c r="BB758" s="175">
        <f t="shared" si="301"/>
        <v>20</v>
      </c>
      <c r="BC758" s="176">
        <f t="shared" si="302"/>
        <v>19</v>
      </c>
      <c r="BD758" s="176">
        <f t="shared" si="303"/>
        <v>19</v>
      </c>
      <c r="BE758" s="240" t="str">
        <f t="shared" si="304"/>
        <v/>
      </c>
      <c r="BF758" s="220"/>
      <c r="BG758" s="220"/>
      <c r="BH758" s="216">
        <f>IF(AND(Input_Product=Elig!$C758,Elig_MatchAll_Ct&lt;22,$BC758=(Elig_MatchAll_Ct-1),AF758=0),C758,0)</f>
        <v>0</v>
      </c>
      <c r="BI758" s="216">
        <f>IF(AND(Input_Product=Elig!$C758,Elig_MatchAll_Ct&lt;22,$BC758=(Elig_MatchAll_Ct-1),AG758=0),D758,0)</f>
        <v>0</v>
      </c>
      <c r="BJ758" s="216">
        <f>IF(AND(Input_Product=Elig!$C758,Elig_MatchAll_Ct&lt;22,$BC758=(Elig_MatchAll_Ct-1),AH758=0),E758,0)</f>
        <v>0</v>
      </c>
      <c r="BK758" s="216">
        <f>IF(AND(Input_Product=Elig!$C758,Elig_MatchAll_Ct&lt;22,$BC758=(Elig_MatchAll_Ct-1),AI758=0),F758,0)</f>
        <v>0</v>
      </c>
      <c r="BL758" s="216">
        <f>IF(AND(Input_Product=Elig!$C758,Elig_MatchAll_Ct&lt;22,$BC758=(Elig_MatchAll_Ct-1),AJ758=0),G758,0)</f>
        <v>0</v>
      </c>
      <c r="BM758" s="216">
        <f>IF(AND(Input_Product=Elig!$C758,Elig_MatchAll_Ct&lt;22,$BC758=(Elig_MatchAll_Ct-1),AK758=0),H758,0)</f>
        <v>0</v>
      </c>
      <c r="BN758" s="216">
        <f>IF(AND(Input_Product=Elig!$C758,Elig_MatchAll_Ct&lt;22,$BC758=(Elig_MatchAll_Ct-1),AL758=0),I758,0)</f>
        <v>0</v>
      </c>
      <c r="BO758" s="216">
        <f>IF(AND(Input_Product=Elig!$C758,Elig_MatchAll_Ct&lt;22,$BC758=(Elig_MatchAll_Ct-1),AM758=0),J758,0)</f>
        <v>0</v>
      </c>
      <c r="BP758" s="216">
        <f>IF(AND(Input_Product=Elig!$C758,Elig_MatchAll_Ct&lt;22,$BC758=(Elig_MatchAll_Ct-1),AN758=0),K758,0)</f>
        <v>0</v>
      </c>
      <c r="BQ758" s="216">
        <f>IF(AND(Input_Product=Elig!$C758,Elig_MatchAll_Ct&lt;22,$BC758=(Elig_MatchAll_Ct-1),AP758=0),L758,0)</f>
        <v>0</v>
      </c>
      <c r="BR758" s="216">
        <f>IF(AND(Input_Product=Elig!$C758,Elig_MatchAll_Ct&lt;22,$BC758=(Elig_MatchAll_Ct-1),AO758=0),M758,0)</f>
        <v>0</v>
      </c>
      <c r="BS758" s="216">
        <f>IF(AND(Input_Product=Elig!$C758,Elig_MatchAll_Ct&lt;22,$BC758=(Elig_MatchAll_Ct-1),AQ758=0),N758,0)</f>
        <v>0</v>
      </c>
      <c r="BT758" s="216">
        <f>IF(AND(Input_Product=Elig!$C758,Elig_MatchAll_Ct&lt;22,$BC758=(Elig_MatchAll_Ct-1),AR758=0),O758,0)</f>
        <v>0</v>
      </c>
      <c r="BU758" s="216">
        <f>IF(AND(Input_Product=Elig!$C758,Elig_MatchAll_Ct&lt;22,$BC758=(Elig_MatchAll_Ct-1),AS758=0),P758,0)</f>
        <v>0</v>
      </c>
      <c r="BV758" s="217">
        <f>IF(AND(Input_Product=Elig!$C758,Elig_MatchAll_Ct&lt;22,$BC758=(Elig_MatchAll_Ct-1),AT758=0),Q758,0)</f>
        <v>0</v>
      </c>
      <c r="BW758" s="313">
        <f>IF(AND(Input_Product=Elig!$C758,Elig_MatchAll_Ct&lt;22,$BC758=(Elig_MatchAll_Ct-1),AU758=0),R758,0)</f>
        <v>0</v>
      </c>
      <c r="BX758" s="314">
        <f>IF(AND(Input_Product=Elig!$C758,Elig_MatchAll_Ct&lt;22,$BC758=(Elig_MatchAll_Ct-1),AU758=0),S758,0)</f>
        <v>0</v>
      </c>
      <c r="BY758" s="313">
        <f>IF(AND(Input_Product=Elig!$C758,Elig_MatchAll_Ct&lt;22,$BC758=(Elig_MatchAll_Ct-1),AV758=0),T758,0)</f>
        <v>0</v>
      </c>
      <c r="BZ758" s="314">
        <f>IF(AND(Input_Product=Elig!$C758,Elig_MatchAll_Ct&lt;22,$BC758=(Elig_MatchAll_Ct-1),AV758=0),U758,0)</f>
        <v>0</v>
      </c>
      <c r="CA758" s="313">
        <f>IF(AND(Input_Product=Elig!$C758,Elig_MatchAll_Ct&lt;22,$BC758=(Elig_MatchAll_Ct-1),AW758=0),V758,0)</f>
        <v>0</v>
      </c>
      <c r="CB758" s="314">
        <f>IF(AND(Input_Product=Elig!$C758,Elig_MatchAll_Ct&lt;22,$BC758=(Elig_MatchAll_Ct-1),AW758=0),W758,0)</f>
        <v>0</v>
      </c>
      <c r="CC758" s="313">
        <f>IF(AND(Input_Product=Elig!$C758,Elig_MatchAll_Ct&lt;22,$BC758=(Elig_MatchAll_Ct-1),AX758=0),X758,0)</f>
        <v>0</v>
      </c>
      <c r="CD758" s="314">
        <f>IF(AND(Input_Product=Elig!$C758,Elig_MatchAll_Ct&lt;22,$BC758=(Elig_MatchAll_Ct-1),AX758=0),Y758,0)</f>
        <v>0</v>
      </c>
      <c r="CE758" s="313">
        <f>IF(AND(Input_LTV&lt;=AE758,Input_Product=Elig!$C758,Elig_MatchAll_Ct&lt;22,$BC758=(Elig_MatchAll_Ct-1),AY758=0),Z758,0)</f>
        <v>0</v>
      </c>
      <c r="CF758" s="314">
        <f>IF(AND(Input_LTV&lt;=AE758,Input_Product=Elig!$C758,Elig_MatchAll_Ct&lt;22,$BC758=(Elig_MatchAll_Ct-1),AY758=0),AA758,0)</f>
        <v>0</v>
      </c>
      <c r="CG758" s="313">
        <f>IF(AND(Input_Product=Elig!$C758,Elig_MatchAll_Ct&lt;22,$BC758=(Elig_MatchAll_Ct-1),AZ758=0),AB758,0)</f>
        <v>0</v>
      </c>
      <c r="CH758" s="314">
        <f>IF(AND(Input_Product=Elig!$C758,Elig_MatchAll_Ct&lt;22,$BC758=(Elig_MatchAll_Ct-1),AZ758=0),AC758,0)</f>
        <v>0</v>
      </c>
      <c r="CI758" s="313">
        <f>IF(AND(Input_Product=Elig!$C758,Elig_MatchAll_Ct&lt;22,$BC758=(Elig_MatchAll_Ct-1),BA758=0),AD758,0)</f>
        <v>0</v>
      </c>
      <c r="CJ758" s="314">
        <f>IF(AND(Input_Product=Elig!$C758,Elig_MatchAll_Ct&lt;22,$BC758=(Elig_MatchAll_Ct-1),BA758=0),AE758,0)</f>
        <v>0</v>
      </c>
    </row>
    <row r="759" spans="2:88" ht="10.15" customHeight="1" x14ac:dyDescent="0.25">
      <c r="B759" s="2027" t="s">
        <v>4056</v>
      </c>
      <c r="C759" s="2028" t="str">
        <f t="shared" si="279"/>
        <v>Second OO</v>
      </c>
      <c r="D759" s="2027" t="s">
        <v>1569</v>
      </c>
      <c r="E759" s="2027" t="s">
        <v>98</v>
      </c>
      <c r="F759" s="2027" t="s">
        <v>328</v>
      </c>
      <c r="G759" s="2110" t="s">
        <v>472</v>
      </c>
      <c r="H759" s="2029" t="s">
        <v>136</v>
      </c>
      <c r="I759" s="2027" t="s">
        <v>1332</v>
      </c>
      <c r="J759" s="2027" t="s">
        <v>1311</v>
      </c>
      <c r="K759" s="2029" t="s">
        <v>1790</v>
      </c>
      <c r="L759" s="2027" t="s">
        <v>430</v>
      </c>
      <c r="M759" s="2027" t="s">
        <v>2677</v>
      </c>
      <c r="N759" s="2029" t="s">
        <v>82</v>
      </c>
      <c r="O759" s="2027" t="s">
        <v>310</v>
      </c>
      <c r="P759" s="2027" t="s">
        <v>291</v>
      </c>
      <c r="Q759" s="2027" t="s">
        <v>294</v>
      </c>
      <c r="R759" s="300">
        <v>500000.01</v>
      </c>
      <c r="S759" s="300">
        <v>750000</v>
      </c>
      <c r="T759" s="2027">
        <v>0</v>
      </c>
      <c r="U759" s="2027">
        <f t="shared" si="300"/>
        <v>750000</v>
      </c>
      <c r="V759" s="2027">
        <v>0</v>
      </c>
      <c r="W759" s="2027">
        <v>50</v>
      </c>
      <c r="X759" s="2027">
        <v>0</v>
      </c>
      <c r="Y759" s="2027">
        <v>999</v>
      </c>
      <c r="Z759" s="2030">
        <v>700</v>
      </c>
      <c r="AA759" s="2030">
        <v>719</v>
      </c>
      <c r="AB759" s="2030">
        <v>0</v>
      </c>
      <c r="AC759" s="2030">
        <v>999999</v>
      </c>
      <c r="AD759" s="2027">
        <v>0</v>
      </c>
      <c r="AE759" s="1483">
        <v>70</v>
      </c>
      <c r="AF759" s="170">
        <v>1</v>
      </c>
      <c r="AG759" s="171">
        <v>1</v>
      </c>
      <c r="AH759" s="171">
        <v>1</v>
      </c>
      <c r="AI759" s="171">
        <v>1</v>
      </c>
      <c r="AJ759" s="171">
        <v>0</v>
      </c>
      <c r="AK759" s="171">
        <v>1</v>
      </c>
      <c r="AL759" s="171">
        <v>1</v>
      </c>
      <c r="AM759" s="171">
        <v>1</v>
      </c>
      <c r="AN759" s="171">
        <v>1</v>
      </c>
      <c r="AO759" s="171">
        <v>1</v>
      </c>
      <c r="AP759" s="171">
        <v>1</v>
      </c>
      <c r="AQ759" s="171">
        <v>1</v>
      </c>
      <c r="AR759" s="171">
        <v>1</v>
      </c>
      <c r="AS759" s="171">
        <v>1</v>
      </c>
      <c r="AT759" s="171">
        <v>1</v>
      </c>
      <c r="AU759" s="171">
        <f t="shared" si="294"/>
        <v>0</v>
      </c>
      <c r="AV759" s="171">
        <f t="shared" si="295"/>
        <v>1</v>
      </c>
      <c r="AW759" s="171">
        <f t="shared" si="296"/>
        <v>1</v>
      </c>
      <c r="AX759" s="171">
        <f t="shared" si="305"/>
        <v>1</v>
      </c>
      <c r="AY759" s="171">
        <f t="shared" si="297"/>
        <v>0</v>
      </c>
      <c r="AZ759" s="171">
        <f t="shared" si="298"/>
        <v>1</v>
      </c>
      <c r="BA759" s="172">
        <f t="shared" si="299"/>
        <v>1</v>
      </c>
      <c r="BB759" s="175">
        <f t="shared" si="301"/>
        <v>19</v>
      </c>
      <c r="BC759" s="176">
        <f t="shared" si="302"/>
        <v>18</v>
      </c>
      <c r="BD759" s="176">
        <f t="shared" si="303"/>
        <v>18</v>
      </c>
      <c r="BE759" s="240" t="str">
        <f t="shared" si="304"/>
        <v/>
      </c>
      <c r="BF759" s="234"/>
      <c r="BG759" s="234"/>
      <c r="BH759" s="199">
        <f>IF(AND(Input_Product=Elig!$C759,Elig_MatchAll_Ct&lt;22,$BC759=(Elig_MatchAll_Ct-1),AF759=0),C759,0)</f>
        <v>0</v>
      </c>
      <c r="BI759" s="199">
        <f>IF(AND(Input_Product=Elig!$C759,Elig_MatchAll_Ct&lt;22,$BC759=(Elig_MatchAll_Ct-1),AG759=0),D759,0)</f>
        <v>0</v>
      </c>
      <c r="BJ759" s="199">
        <f>IF(AND(Input_Product=Elig!$C759,Elig_MatchAll_Ct&lt;22,$BC759=(Elig_MatchAll_Ct-1),AH759=0),E759,0)</f>
        <v>0</v>
      </c>
      <c r="BK759" s="199">
        <f>IF(AND(Input_Product=Elig!$C759,Elig_MatchAll_Ct&lt;22,$BC759=(Elig_MatchAll_Ct-1),AI759=0),F759,0)</f>
        <v>0</v>
      </c>
      <c r="BL759" s="199">
        <f>IF(AND(Input_Product=Elig!$C759,Elig_MatchAll_Ct&lt;22,$BC759=(Elig_MatchAll_Ct-1),AJ759=0),G759,0)</f>
        <v>0</v>
      </c>
      <c r="BM759" s="199">
        <f>IF(AND(Input_Product=Elig!$C759,Elig_MatchAll_Ct&lt;22,$BC759=(Elig_MatchAll_Ct-1),AK759=0),H759,0)</f>
        <v>0</v>
      </c>
      <c r="BN759" s="199">
        <f>IF(AND(Input_Product=Elig!$C759,Elig_MatchAll_Ct&lt;22,$BC759=(Elig_MatchAll_Ct-1),AL759=0),I759,0)</f>
        <v>0</v>
      </c>
      <c r="BO759" s="199">
        <f>IF(AND(Input_Product=Elig!$C759,Elig_MatchAll_Ct&lt;22,$BC759=(Elig_MatchAll_Ct-1),AM759=0),J759,0)</f>
        <v>0</v>
      </c>
      <c r="BP759" s="199">
        <f>IF(AND(Input_Product=Elig!$C759,Elig_MatchAll_Ct&lt;22,$BC759=(Elig_MatchAll_Ct-1),AN759=0),K759,0)</f>
        <v>0</v>
      </c>
      <c r="BQ759" s="199">
        <f>IF(AND(Input_Product=Elig!$C759,Elig_MatchAll_Ct&lt;22,$BC759=(Elig_MatchAll_Ct-1),AP759=0),L759,0)</f>
        <v>0</v>
      </c>
      <c r="BR759" s="199">
        <f>IF(AND(Input_Product=Elig!$C759,Elig_MatchAll_Ct&lt;22,$BC759=(Elig_MatchAll_Ct-1),AO759=0),M759,0)</f>
        <v>0</v>
      </c>
      <c r="BS759" s="199">
        <f>IF(AND(Input_Product=Elig!$C759,Elig_MatchAll_Ct&lt;22,$BC759=(Elig_MatchAll_Ct-1),AQ759=0),N759,0)</f>
        <v>0</v>
      </c>
      <c r="BT759" s="199">
        <f>IF(AND(Input_Product=Elig!$C759,Elig_MatchAll_Ct&lt;22,$BC759=(Elig_MatchAll_Ct-1),AR759=0),O759,0)</f>
        <v>0</v>
      </c>
      <c r="BU759" s="199">
        <f>IF(AND(Input_Product=Elig!$C759,Elig_MatchAll_Ct&lt;22,$BC759=(Elig_MatchAll_Ct-1),AS759=0),P759,0)</f>
        <v>0</v>
      </c>
      <c r="BV759" s="200">
        <f>IF(AND(Input_Product=Elig!$C759,Elig_MatchAll_Ct&lt;22,$BC759=(Elig_MatchAll_Ct-1),AT759=0),Q759,0)</f>
        <v>0</v>
      </c>
      <c r="BW759" s="201">
        <f>IF(AND(Input_Product=Elig!$C759,Elig_MatchAll_Ct&lt;22,$BC759=(Elig_MatchAll_Ct-1),AU759=0),R759,0)</f>
        <v>0</v>
      </c>
      <c r="BX759" s="202">
        <f>IF(AND(Input_Product=Elig!$C759,Elig_MatchAll_Ct&lt;22,$BC759=(Elig_MatchAll_Ct-1),AU759=0),S759,0)</f>
        <v>0</v>
      </c>
      <c r="BY759" s="201">
        <f>IF(AND(Input_Product=Elig!$C759,Elig_MatchAll_Ct&lt;22,$BC759=(Elig_MatchAll_Ct-1),AV759=0),T759,0)</f>
        <v>0</v>
      </c>
      <c r="BZ759" s="202">
        <f>IF(AND(Input_Product=Elig!$C759,Elig_MatchAll_Ct&lt;22,$BC759=(Elig_MatchAll_Ct-1),AV759=0),U759,0)</f>
        <v>0</v>
      </c>
      <c r="CA759" s="201">
        <f>IF(AND(Input_Product=Elig!$C759,Elig_MatchAll_Ct&lt;22,$BC759=(Elig_MatchAll_Ct-1),AW759=0),V759,0)</f>
        <v>0</v>
      </c>
      <c r="CB759" s="202">
        <f>IF(AND(Input_Product=Elig!$C759,Elig_MatchAll_Ct&lt;22,$BC759=(Elig_MatchAll_Ct-1),AW759=0),W759,0)</f>
        <v>0</v>
      </c>
      <c r="CC759" s="201">
        <f>IF(AND(Input_Product=Elig!$C759,Elig_MatchAll_Ct&lt;22,$BC759=(Elig_MatchAll_Ct-1),AX759=0),X759,0)</f>
        <v>0</v>
      </c>
      <c r="CD759" s="202">
        <f>IF(AND(Input_Product=Elig!$C759,Elig_MatchAll_Ct&lt;22,$BC759=(Elig_MatchAll_Ct-1),AX759=0),Y759,0)</f>
        <v>0</v>
      </c>
      <c r="CE759" s="201">
        <f>IF(AND(Input_LTV&lt;=AE759,Input_Product=Elig!$C759,Elig_MatchAll_Ct&lt;22,$BC759=(Elig_MatchAll_Ct-1),AY759=0),Z759,0)</f>
        <v>0</v>
      </c>
      <c r="CF759" s="202">
        <f>IF(AND(Input_LTV&lt;=AE759,Input_Product=Elig!$C759,Elig_MatchAll_Ct&lt;22,$BC759=(Elig_MatchAll_Ct-1),AY759=0),AA759,0)</f>
        <v>0</v>
      </c>
      <c r="CG759" s="201">
        <f>IF(AND(Input_Product=Elig!$C759,Elig_MatchAll_Ct&lt;22,$BC759=(Elig_MatchAll_Ct-1),AZ759=0),AB759,0)</f>
        <v>0</v>
      </c>
      <c r="CH759" s="202">
        <f>IF(AND(Input_Product=Elig!$C759,Elig_MatchAll_Ct&lt;22,$BC759=(Elig_MatchAll_Ct-1),AZ759=0),AC759,0)</f>
        <v>0</v>
      </c>
      <c r="CI759" s="201">
        <f>IF(AND(Input_Product=Elig!$C759,Elig_MatchAll_Ct&lt;22,$BC759=(Elig_MatchAll_Ct-1),BA759=0),AD759,0)</f>
        <v>0</v>
      </c>
      <c r="CJ759" s="202">
        <f>IF(AND(Input_Product=Elig!$C759,Elig_MatchAll_Ct&lt;22,$BC759=(Elig_MatchAll_Ct-1),BA759=0),AE759,0)</f>
        <v>0</v>
      </c>
    </row>
    <row r="760" spans="2:88" ht="10.15" customHeight="1" x14ac:dyDescent="0.25">
      <c r="B760" s="2027" t="s">
        <v>4057</v>
      </c>
      <c r="C760" s="2028" t="str">
        <f t="shared" si="279"/>
        <v>Second OO</v>
      </c>
      <c r="D760" s="2027" t="s">
        <v>1569</v>
      </c>
      <c r="E760" s="2027" t="s">
        <v>98</v>
      </c>
      <c r="F760" s="2027" t="s">
        <v>328</v>
      </c>
      <c r="G760" s="2110" t="s">
        <v>472</v>
      </c>
      <c r="H760" s="2029" t="s">
        <v>136</v>
      </c>
      <c r="I760" s="2027" t="s">
        <v>1332</v>
      </c>
      <c r="J760" s="2027" t="s">
        <v>1311</v>
      </c>
      <c r="K760" s="2029" t="s">
        <v>1790</v>
      </c>
      <c r="L760" s="2027" t="s">
        <v>430</v>
      </c>
      <c r="M760" s="2027" t="s">
        <v>2677</v>
      </c>
      <c r="N760" s="2029" t="s">
        <v>82</v>
      </c>
      <c r="O760" s="2027" t="s">
        <v>310</v>
      </c>
      <c r="P760" s="2027" t="s">
        <v>291</v>
      </c>
      <c r="Q760" s="2027" t="s">
        <v>294</v>
      </c>
      <c r="R760" s="300">
        <v>500000.01</v>
      </c>
      <c r="S760" s="300">
        <v>750000</v>
      </c>
      <c r="T760" s="2027">
        <v>0</v>
      </c>
      <c r="U760" s="2027">
        <f t="shared" si="300"/>
        <v>750000</v>
      </c>
      <c r="V760" s="2027">
        <v>0</v>
      </c>
      <c r="W760" s="2027">
        <v>50</v>
      </c>
      <c r="X760" s="2027">
        <v>0</v>
      </c>
      <c r="Y760" s="2027">
        <v>999</v>
      </c>
      <c r="Z760" s="2030">
        <v>680</v>
      </c>
      <c r="AA760" s="2030">
        <v>699</v>
      </c>
      <c r="AB760" s="2030">
        <v>0</v>
      </c>
      <c r="AC760" s="2030">
        <v>999999</v>
      </c>
      <c r="AD760" s="2027">
        <v>0</v>
      </c>
      <c r="AE760" s="1483">
        <v>65</v>
      </c>
      <c r="AF760" s="170">
        <v>1</v>
      </c>
      <c r="AG760" s="171">
        <v>1</v>
      </c>
      <c r="AH760" s="171">
        <v>1</v>
      </c>
      <c r="AI760" s="171">
        <v>1</v>
      </c>
      <c r="AJ760" s="171">
        <v>0</v>
      </c>
      <c r="AK760" s="171">
        <v>1</v>
      </c>
      <c r="AL760" s="171">
        <v>1</v>
      </c>
      <c r="AM760" s="171">
        <v>1</v>
      </c>
      <c r="AN760" s="171">
        <v>1</v>
      </c>
      <c r="AO760" s="171">
        <v>1</v>
      </c>
      <c r="AP760" s="171">
        <v>1</v>
      </c>
      <c r="AQ760" s="171">
        <v>1</v>
      </c>
      <c r="AR760" s="171">
        <v>1</v>
      </c>
      <c r="AS760" s="171">
        <v>1</v>
      </c>
      <c r="AT760" s="171">
        <v>1</v>
      </c>
      <c r="AU760" s="171">
        <f t="shared" si="294"/>
        <v>0</v>
      </c>
      <c r="AV760" s="171">
        <f t="shared" si="295"/>
        <v>1</v>
      </c>
      <c r="AW760" s="171">
        <f t="shared" si="296"/>
        <v>1</v>
      </c>
      <c r="AX760" s="171">
        <f t="shared" si="305"/>
        <v>1</v>
      </c>
      <c r="AY760" s="171">
        <f t="shared" si="297"/>
        <v>0</v>
      </c>
      <c r="AZ760" s="171">
        <f t="shared" si="298"/>
        <v>1</v>
      </c>
      <c r="BA760" s="172">
        <f t="shared" si="299"/>
        <v>1</v>
      </c>
      <c r="BB760" s="175">
        <f t="shared" si="301"/>
        <v>19</v>
      </c>
      <c r="BC760" s="176">
        <f t="shared" si="302"/>
        <v>18</v>
      </c>
      <c r="BD760" s="176">
        <f t="shared" si="303"/>
        <v>18</v>
      </c>
      <c r="BE760" s="240" t="str">
        <f t="shared" si="304"/>
        <v/>
      </c>
      <c r="BF760" s="234"/>
      <c r="BG760" s="234"/>
      <c r="BH760" s="199">
        <f>IF(AND(Input_Product=Elig!$C760,Elig_MatchAll_Ct&lt;22,$BC760=(Elig_MatchAll_Ct-1),AF760=0),C760,0)</f>
        <v>0</v>
      </c>
      <c r="BI760" s="199">
        <f>IF(AND(Input_Product=Elig!$C760,Elig_MatchAll_Ct&lt;22,$BC760=(Elig_MatchAll_Ct-1),AG760=0),D760,0)</f>
        <v>0</v>
      </c>
      <c r="BJ760" s="199">
        <f>IF(AND(Input_Product=Elig!$C760,Elig_MatchAll_Ct&lt;22,$BC760=(Elig_MatchAll_Ct-1),AH760=0),E760,0)</f>
        <v>0</v>
      </c>
      <c r="BK760" s="199">
        <f>IF(AND(Input_Product=Elig!$C760,Elig_MatchAll_Ct&lt;22,$BC760=(Elig_MatchAll_Ct-1),AI760=0),F760,0)</f>
        <v>0</v>
      </c>
      <c r="BL760" s="199">
        <f>IF(AND(Input_Product=Elig!$C760,Elig_MatchAll_Ct&lt;22,$BC760=(Elig_MatchAll_Ct-1),AJ760=0),G760,0)</f>
        <v>0</v>
      </c>
      <c r="BM760" s="199">
        <f>IF(AND(Input_Product=Elig!$C760,Elig_MatchAll_Ct&lt;22,$BC760=(Elig_MatchAll_Ct-1),AK760=0),H760,0)</f>
        <v>0</v>
      </c>
      <c r="BN760" s="199">
        <f>IF(AND(Input_Product=Elig!$C760,Elig_MatchAll_Ct&lt;22,$BC760=(Elig_MatchAll_Ct-1),AL760=0),I760,0)</f>
        <v>0</v>
      </c>
      <c r="BO760" s="199">
        <f>IF(AND(Input_Product=Elig!$C760,Elig_MatchAll_Ct&lt;22,$BC760=(Elig_MatchAll_Ct-1),AM760=0),J760,0)</f>
        <v>0</v>
      </c>
      <c r="BP760" s="199">
        <f>IF(AND(Input_Product=Elig!$C760,Elig_MatchAll_Ct&lt;22,$BC760=(Elig_MatchAll_Ct-1),AN760=0),K760,0)</f>
        <v>0</v>
      </c>
      <c r="BQ760" s="199">
        <f>IF(AND(Input_Product=Elig!$C760,Elig_MatchAll_Ct&lt;22,$BC760=(Elig_MatchAll_Ct-1),AP760=0),L760,0)</f>
        <v>0</v>
      </c>
      <c r="BR760" s="199">
        <f>IF(AND(Input_Product=Elig!$C760,Elig_MatchAll_Ct&lt;22,$BC760=(Elig_MatchAll_Ct-1),AO760=0),M760,0)</f>
        <v>0</v>
      </c>
      <c r="BS760" s="199">
        <f>IF(AND(Input_Product=Elig!$C760,Elig_MatchAll_Ct&lt;22,$BC760=(Elig_MatchAll_Ct-1),AQ760=0),N760,0)</f>
        <v>0</v>
      </c>
      <c r="BT760" s="199">
        <f>IF(AND(Input_Product=Elig!$C760,Elig_MatchAll_Ct&lt;22,$BC760=(Elig_MatchAll_Ct-1),AR760=0),O760,0)</f>
        <v>0</v>
      </c>
      <c r="BU760" s="199">
        <f>IF(AND(Input_Product=Elig!$C760,Elig_MatchAll_Ct&lt;22,$BC760=(Elig_MatchAll_Ct-1),AS760=0),P760,0)</f>
        <v>0</v>
      </c>
      <c r="BV760" s="200">
        <f>IF(AND(Input_Product=Elig!$C760,Elig_MatchAll_Ct&lt;22,$BC760=(Elig_MatchAll_Ct-1),AT760=0),Q760,0)</f>
        <v>0</v>
      </c>
      <c r="BW760" s="201">
        <f>IF(AND(Input_Product=Elig!$C760,Elig_MatchAll_Ct&lt;22,$BC760=(Elig_MatchAll_Ct-1),AU760=0),R760,0)</f>
        <v>0</v>
      </c>
      <c r="BX760" s="202">
        <f>IF(AND(Input_Product=Elig!$C760,Elig_MatchAll_Ct&lt;22,$BC760=(Elig_MatchAll_Ct-1),AU760=0),S760,0)</f>
        <v>0</v>
      </c>
      <c r="BY760" s="201">
        <f>IF(AND(Input_Product=Elig!$C760,Elig_MatchAll_Ct&lt;22,$BC760=(Elig_MatchAll_Ct-1),AV760=0),T760,0)</f>
        <v>0</v>
      </c>
      <c r="BZ760" s="202">
        <f>IF(AND(Input_Product=Elig!$C760,Elig_MatchAll_Ct&lt;22,$BC760=(Elig_MatchAll_Ct-1),AV760=0),U760,0)</f>
        <v>0</v>
      </c>
      <c r="CA760" s="201">
        <f>IF(AND(Input_Product=Elig!$C760,Elig_MatchAll_Ct&lt;22,$BC760=(Elig_MatchAll_Ct-1),AW760=0),V760,0)</f>
        <v>0</v>
      </c>
      <c r="CB760" s="202">
        <f>IF(AND(Input_Product=Elig!$C760,Elig_MatchAll_Ct&lt;22,$BC760=(Elig_MatchAll_Ct-1),AW760=0),W760,0)</f>
        <v>0</v>
      </c>
      <c r="CC760" s="201">
        <f>IF(AND(Input_Product=Elig!$C760,Elig_MatchAll_Ct&lt;22,$BC760=(Elig_MatchAll_Ct-1),AX760=0),X760,0)</f>
        <v>0</v>
      </c>
      <c r="CD760" s="202">
        <f>IF(AND(Input_Product=Elig!$C760,Elig_MatchAll_Ct&lt;22,$BC760=(Elig_MatchAll_Ct-1),AX760=0),Y760,0)</f>
        <v>0</v>
      </c>
      <c r="CE760" s="201">
        <f>IF(AND(Input_LTV&lt;=AE760,Input_Product=Elig!$C760,Elig_MatchAll_Ct&lt;22,$BC760=(Elig_MatchAll_Ct-1),AY760=0),Z760,0)</f>
        <v>0</v>
      </c>
      <c r="CF760" s="202">
        <f>IF(AND(Input_LTV&lt;=AE760,Input_Product=Elig!$C760,Elig_MatchAll_Ct&lt;22,$BC760=(Elig_MatchAll_Ct-1),AY760=0),AA760,0)</f>
        <v>0</v>
      </c>
      <c r="CG760" s="201">
        <f>IF(AND(Input_Product=Elig!$C760,Elig_MatchAll_Ct&lt;22,$BC760=(Elig_MatchAll_Ct-1),AZ760=0),AB760,0)</f>
        <v>0</v>
      </c>
      <c r="CH760" s="202">
        <f>IF(AND(Input_Product=Elig!$C760,Elig_MatchAll_Ct&lt;22,$BC760=(Elig_MatchAll_Ct-1),AZ760=0),AC760,0)</f>
        <v>0</v>
      </c>
      <c r="CI760" s="201">
        <f>IF(AND(Input_Product=Elig!$C760,Elig_MatchAll_Ct&lt;22,$BC760=(Elig_MatchAll_Ct-1),BA760=0),AD760,0)</f>
        <v>0</v>
      </c>
      <c r="CJ760" s="202">
        <f>IF(AND(Input_Product=Elig!$C760,Elig_MatchAll_Ct&lt;22,$BC760=(Elig_MatchAll_Ct-1),BA760=0),AE760,0)</f>
        <v>0</v>
      </c>
    </row>
    <row r="761" spans="2:88" ht="10.15" customHeight="1" x14ac:dyDescent="0.25">
      <c r="B761" s="2027" t="s">
        <v>4058</v>
      </c>
      <c r="C761" s="2032" t="str">
        <f t="shared" si="279"/>
        <v>Second OO</v>
      </c>
      <c r="D761" s="2031" t="s">
        <v>1569</v>
      </c>
      <c r="E761" s="2031" t="s">
        <v>98</v>
      </c>
      <c r="F761" s="2031" t="s">
        <v>328</v>
      </c>
      <c r="G761" s="2111" t="s">
        <v>472</v>
      </c>
      <c r="H761" s="2033" t="s">
        <v>136</v>
      </c>
      <c r="I761" s="2031" t="s">
        <v>1332</v>
      </c>
      <c r="J761" s="2031" t="s">
        <v>1311</v>
      </c>
      <c r="K761" s="2033" t="s">
        <v>1790</v>
      </c>
      <c r="L761" s="2031" t="s">
        <v>430</v>
      </c>
      <c r="M761" s="2031" t="s">
        <v>2677</v>
      </c>
      <c r="N761" s="2033" t="s">
        <v>82</v>
      </c>
      <c r="O761" s="2031" t="s">
        <v>310</v>
      </c>
      <c r="P761" s="2031" t="s">
        <v>291</v>
      </c>
      <c r="Q761" s="2031" t="s">
        <v>294</v>
      </c>
      <c r="R761" s="324">
        <v>500000.01</v>
      </c>
      <c r="S761" s="324">
        <v>750000</v>
      </c>
      <c r="T761" s="2031">
        <v>0</v>
      </c>
      <c r="U761" s="2031">
        <f t="shared" si="300"/>
        <v>750000</v>
      </c>
      <c r="V761" s="2031">
        <v>0</v>
      </c>
      <c r="W761" s="2031">
        <v>50</v>
      </c>
      <c r="X761" s="2031">
        <v>0</v>
      </c>
      <c r="Y761" s="2031">
        <v>999</v>
      </c>
      <c r="Z761" s="2034">
        <v>660</v>
      </c>
      <c r="AA761" s="2034">
        <v>679</v>
      </c>
      <c r="AB761" s="2034">
        <v>0</v>
      </c>
      <c r="AC761" s="2034">
        <v>999999</v>
      </c>
      <c r="AD761" s="2031">
        <v>0</v>
      </c>
      <c r="AE761" s="1484">
        <v>60</v>
      </c>
      <c r="AF761" s="170">
        <v>1</v>
      </c>
      <c r="AG761" s="171">
        <v>1</v>
      </c>
      <c r="AH761" s="171">
        <v>1</v>
      </c>
      <c r="AI761" s="171">
        <v>1</v>
      </c>
      <c r="AJ761" s="171">
        <v>0</v>
      </c>
      <c r="AK761" s="171">
        <v>1</v>
      </c>
      <c r="AL761" s="171">
        <v>1</v>
      </c>
      <c r="AM761" s="171">
        <v>1</v>
      </c>
      <c r="AN761" s="171">
        <v>1</v>
      </c>
      <c r="AO761" s="171">
        <v>1</v>
      </c>
      <c r="AP761" s="171">
        <v>1</v>
      </c>
      <c r="AQ761" s="171">
        <v>1</v>
      </c>
      <c r="AR761" s="171">
        <v>1</v>
      </c>
      <c r="AS761" s="171">
        <v>1</v>
      </c>
      <c r="AT761" s="171">
        <v>1</v>
      </c>
      <c r="AU761" s="171">
        <f t="shared" si="294"/>
        <v>0</v>
      </c>
      <c r="AV761" s="171">
        <f t="shared" si="295"/>
        <v>1</v>
      </c>
      <c r="AW761" s="171">
        <f t="shared" si="296"/>
        <v>1</v>
      </c>
      <c r="AX761" s="171">
        <f t="shared" si="305"/>
        <v>1</v>
      </c>
      <c r="AY761" s="171">
        <f t="shared" si="297"/>
        <v>0</v>
      </c>
      <c r="AZ761" s="171">
        <f t="shared" si="298"/>
        <v>1</v>
      </c>
      <c r="BA761" s="172">
        <f t="shared" si="299"/>
        <v>0</v>
      </c>
      <c r="BB761" s="175">
        <f t="shared" si="301"/>
        <v>18</v>
      </c>
      <c r="BC761" s="176">
        <f t="shared" si="302"/>
        <v>18</v>
      </c>
      <c r="BD761" s="176">
        <f t="shared" si="303"/>
        <v>17</v>
      </c>
      <c r="BE761" s="240" t="str">
        <f t="shared" si="304"/>
        <v/>
      </c>
      <c r="BF761" s="234"/>
      <c r="BG761" s="234"/>
      <c r="BH761" s="214">
        <f>IF(AND(Input_Product=Elig!$C761,Elig_MatchAll_Ct&lt;22,$BC761=(Elig_MatchAll_Ct-1),AF761=0),C761,0)</f>
        <v>0</v>
      </c>
      <c r="BI761" s="214">
        <f>IF(AND(Input_Product=Elig!$C761,Elig_MatchAll_Ct&lt;22,$BC761=(Elig_MatchAll_Ct-1),AG761=0),D761,0)</f>
        <v>0</v>
      </c>
      <c r="BJ761" s="214">
        <f>IF(AND(Input_Product=Elig!$C761,Elig_MatchAll_Ct&lt;22,$BC761=(Elig_MatchAll_Ct-1),AH761=0),E761,0)</f>
        <v>0</v>
      </c>
      <c r="BK761" s="214">
        <f>IF(AND(Input_Product=Elig!$C761,Elig_MatchAll_Ct&lt;22,$BC761=(Elig_MatchAll_Ct-1),AI761=0),F761,0)</f>
        <v>0</v>
      </c>
      <c r="BL761" s="214">
        <f>IF(AND(Input_Product=Elig!$C761,Elig_MatchAll_Ct&lt;22,$BC761=(Elig_MatchAll_Ct-1),AJ761=0),G761,0)</f>
        <v>0</v>
      </c>
      <c r="BM761" s="214">
        <f>IF(AND(Input_Product=Elig!$C761,Elig_MatchAll_Ct&lt;22,$BC761=(Elig_MatchAll_Ct-1),AK761=0),H761,0)</f>
        <v>0</v>
      </c>
      <c r="BN761" s="214">
        <f>IF(AND(Input_Product=Elig!$C761,Elig_MatchAll_Ct&lt;22,$BC761=(Elig_MatchAll_Ct-1),AL761=0),I761,0)</f>
        <v>0</v>
      </c>
      <c r="BO761" s="214">
        <f>IF(AND(Input_Product=Elig!$C761,Elig_MatchAll_Ct&lt;22,$BC761=(Elig_MatchAll_Ct-1),AM761=0),J761,0)</f>
        <v>0</v>
      </c>
      <c r="BP761" s="214">
        <f>IF(AND(Input_Product=Elig!$C761,Elig_MatchAll_Ct&lt;22,$BC761=(Elig_MatchAll_Ct-1),AN761=0),K761,0)</f>
        <v>0</v>
      </c>
      <c r="BQ761" s="214">
        <f>IF(AND(Input_Product=Elig!$C761,Elig_MatchAll_Ct&lt;22,$BC761=(Elig_MatchAll_Ct-1),AP761=0),L761,0)</f>
        <v>0</v>
      </c>
      <c r="BR761" s="214">
        <f>IF(AND(Input_Product=Elig!$C761,Elig_MatchAll_Ct&lt;22,$BC761=(Elig_MatchAll_Ct-1),AO761=0),M761,0)</f>
        <v>0</v>
      </c>
      <c r="BS761" s="214">
        <f>IF(AND(Input_Product=Elig!$C761,Elig_MatchAll_Ct&lt;22,$BC761=(Elig_MatchAll_Ct-1),AQ761=0),N761,0)</f>
        <v>0</v>
      </c>
      <c r="BT761" s="214">
        <f>IF(AND(Input_Product=Elig!$C761,Elig_MatchAll_Ct&lt;22,$BC761=(Elig_MatchAll_Ct-1),AR761=0),O761,0)</f>
        <v>0</v>
      </c>
      <c r="BU761" s="214">
        <f>IF(AND(Input_Product=Elig!$C761,Elig_MatchAll_Ct&lt;22,$BC761=(Elig_MatchAll_Ct-1),AS761=0),P761,0)</f>
        <v>0</v>
      </c>
      <c r="BV761" s="215">
        <f>IF(AND(Input_Product=Elig!$C761,Elig_MatchAll_Ct&lt;22,$BC761=(Elig_MatchAll_Ct-1),AT761=0),Q761,0)</f>
        <v>0</v>
      </c>
      <c r="BW761" s="311">
        <f>IF(AND(Input_Product=Elig!$C761,Elig_MatchAll_Ct&lt;22,$BC761=(Elig_MatchAll_Ct-1),AU761=0),R761,0)</f>
        <v>0</v>
      </c>
      <c r="BX761" s="312">
        <f>IF(AND(Input_Product=Elig!$C761,Elig_MatchAll_Ct&lt;22,$BC761=(Elig_MatchAll_Ct-1),AU761=0),S761,0)</f>
        <v>0</v>
      </c>
      <c r="BY761" s="311">
        <f>IF(AND(Input_Product=Elig!$C761,Elig_MatchAll_Ct&lt;22,$BC761=(Elig_MatchAll_Ct-1),AV761=0),T761,0)</f>
        <v>0</v>
      </c>
      <c r="BZ761" s="312">
        <f>IF(AND(Input_Product=Elig!$C761,Elig_MatchAll_Ct&lt;22,$BC761=(Elig_MatchAll_Ct-1),AV761=0),U761,0)</f>
        <v>0</v>
      </c>
      <c r="CA761" s="311">
        <f>IF(AND(Input_Product=Elig!$C761,Elig_MatchAll_Ct&lt;22,$BC761=(Elig_MatchAll_Ct-1),AW761=0),V761,0)</f>
        <v>0</v>
      </c>
      <c r="CB761" s="312">
        <f>IF(AND(Input_Product=Elig!$C761,Elig_MatchAll_Ct&lt;22,$BC761=(Elig_MatchAll_Ct-1),AW761=0),W761,0)</f>
        <v>0</v>
      </c>
      <c r="CC761" s="311">
        <f>IF(AND(Input_Product=Elig!$C761,Elig_MatchAll_Ct&lt;22,$BC761=(Elig_MatchAll_Ct-1),AX761=0),X761,0)</f>
        <v>0</v>
      </c>
      <c r="CD761" s="312">
        <f>IF(AND(Input_Product=Elig!$C761,Elig_MatchAll_Ct&lt;22,$BC761=(Elig_MatchAll_Ct-1),AX761=0),Y761,0)</f>
        <v>0</v>
      </c>
      <c r="CE761" s="311">
        <f>IF(AND(Input_LTV&lt;=AE761,Input_Product=Elig!$C761,Elig_MatchAll_Ct&lt;22,$BC761=(Elig_MatchAll_Ct-1),AY761=0),Z761,0)</f>
        <v>0</v>
      </c>
      <c r="CF761" s="312">
        <f>IF(AND(Input_LTV&lt;=AE761,Input_Product=Elig!$C761,Elig_MatchAll_Ct&lt;22,$BC761=(Elig_MatchAll_Ct-1),AY761=0),AA761,0)</f>
        <v>0</v>
      </c>
      <c r="CG761" s="311">
        <f>IF(AND(Input_Product=Elig!$C761,Elig_MatchAll_Ct&lt;22,$BC761=(Elig_MatchAll_Ct-1),AZ761=0),AB761,0)</f>
        <v>0</v>
      </c>
      <c r="CH761" s="312">
        <f>IF(AND(Input_Product=Elig!$C761,Elig_MatchAll_Ct&lt;22,$BC761=(Elig_MatchAll_Ct-1),AZ761=0),AC761,0)</f>
        <v>0</v>
      </c>
      <c r="CI761" s="311">
        <f>IF(AND(Input_Product=Elig!$C761,Elig_MatchAll_Ct&lt;22,$BC761=(Elig_MatchAll_Ct-1),BA761=0),AD761,0)</f>
        <v>0</v>
      </c>
      <c r="CJ761" s="312">
        <f>IF(AND(Input_Product=Elig!$C761,Elig_MatchAll_Ct&lt;22,$BC761=(Elig_MatchAll_Ct-1),BA761=0),AE761,0)</f>
        <v>0</v>
      </c>
    </row>
    <row r="762" spans="2:88" ht="10.15" customHeight="1" x14ac:dyDescent="0.25">
      <c r="B762" s="2027" t="s">
        <v>4059</v>
      </c>
      <c r="C762" s="2024" t="str">
        <f t="shared" si="279"/>
        <v>Second OO</v>
      </c>
      <c r="D762" s="2025" t="s">
        <v>1569</v>
      </c>
      <c r="E762" s="2025" t="s">
        <v>98</v>
      </c>
      <c r="F762" s="2025" t="s">
        <v>328</v>
      </c>
      <c r="G762" s="2025" t="s">
        <v>179</v>
      </c>
      <c r="H762" s="2025" t="s">
        <v>136</v>
      </c>
      <c r="I762" s="2023" t="s">
        <v>1332</v>
      </c>
      <c r="J762" s="2023" t="s">
        <v>1311</v>
      </c>
      <c r="K762" s="2025" t="s">
        <v>1790</v>
      </c>
      <c r="L762" s="2023" t="s">
        <v>430</v>
      </c>
      <c r="M762" s="2023" t="s">
        <v>2677</v>
      </c>
      <c r="N762" s="2025" t="s">
        <v>82</v>
      </c>
      <c r="O762" s="2023" t="s">
        <v>310</v>
      </c>
      <c r="P762" s="2023" t="s">
        <v>291</v>
      </c>
      <c r="Q762" s="2023" t="s">
        <v>294</v>
      </c>
      <c r="R762" s="323">
        <v>500000.01</v>
      </c>
      <c r="S762" s="323">
        <v>750000</v>
      </c>
      <c r="T762" s="2023">
        <v>0</v>
      </c>
      <c r="U762" s="2023">
        <f t="shared" si="300"/>
        <v>750000</v>
      </c>
      <c r="V762" s="2023">
        <v>0</v>
      </c>
      <c r="W762" s="2023">
        <v>50</v>
      </c>
      <c r="X762" s="2023">
        <v>0</v>
      </c>
      <c r="Y762" s="2023">
        <v>999</v>
      </c>
      <c r="Z762" s="2026">
        <v>720</v>
      </c>
      <c r="AA762" s="2026">
        <v>999</v>
      </c>
      <c r="AB762" s="2026">
        <v>0</v>
      </c>
      <c r="AC762" s="2026">
        <v>999999</v>
      </c>
      <c r="AD762" s="2023">
        <v>0</v>
      </c>
      <c r="AE762" s="1482">
        <v>70</v>
      </c>
      <c r="AF762" s="170">
        <v>1</v>
      </c>
      <c r="AG762" s="171">
        <v>1</v>
      </c>
      <c r="AH762" s="171">
        <v>1</v>
      </c>
      <c r="AI762" s="171">
        <v>1</v>
      </c>
      <c r="AJ762" s="171">
        <v>0</v>
      </c>
      <c r="AK762" s="171">
        <v>1</v>
      </c>
      <c r="AL762" s="171">
        <v>1</v>
      </c>
      <c r="AM762" s="171">
        <v>1</v>
      </c>
      <c r="AN762" s="171">
        <v>1</v>
      </c>
      <c r="AO762" s="171">
        <v>1</v>
      </c>
      <c r="AP762" s="171">
        <v>1</v>
      </c>
      <c r="AQ762" s="171">
        <v>1</v>
      </c>
      <c r="AR762" s="171">
        <v>1</v>
      </c>
      <c r="AS762" s="171">
        <v>1</v>
      </c>
      <c r="AT762" s="171">
        <v>1</v>
      </c>
      <c r="AU762" s="171">
        <f t="shared" si="294"/>
        <v>0</v>
      </c>
      <c r="AV762" s="171">
        <f t="shared" si="295"/>
        <v>1</v>
      </c>
      <c r="AW762" s="171">
        <f t="shared" si="296"/>
        <v>1</v>
      </c>
      <c r="AX762" s="171">
        <f t="shared" si="305"/>
        <v>1</v>
      </c>
      <c r="AY762" s="171">
        <f t="shared" si="297"/>
        <v>1</v>
      </c>
      <c r="AZ762" s="171">
        <f t="shared" si="298"/>
        <v>1</v>
      </c>
      <c r="BA762" s="172">
        <f t="shared" si="299"/>
        <v>1</v>
      </c>
      <c r="BB762" s="175">
        <f t="shared" si="301"/>
        <v>20</v>
      </c>
      <c r="BC762" s="176">
        <f t="shared" si="302"/>
        <v>19</v>
      </c>
      <c r="BD762" s="176">
        <f t="shared" si="303"/>
        <v>19</v>
      </c>
      <c r="BE762" s="240" t="str">
        <f t="shared" si="304"/>
        <v/>
      </c>
      <c r="BF762" s="220"/>
      <c r="BG762" s="220"/>
      <c r="BH762" s="216">
        <f>IF(AND(Input_Product=Elig!$C762,Elig_MatchAll_Ct&lt;22,$BC762=(Elig_MatchAll_Ct-1),AF762=0),C762,0)</f>
        <v>0</v>
      </c>
      <c r="BI762" s="216">
        <f>IF(AND(Input_Product=Elig!$C762,Elig_MatchAll_Ct&lt;22,$BC762=(Elig_MatchAll_Ct-1),AG762=0),D762,0)</f>
        <v>0</v>
      </c>
      <c r="BJ762" s="216">
        <f>IF(AND(Input_Product=Elig!$C762,Elig_MatchAll_Ct&lt;22,$BC762=(Elig_MatchAll_Ct-1),AH762=0),E762,0)</f>
        <v>0</v>
      </c>
      <c r="BK762" s="216">
        <f>IF(AND(Input_Product=Elig!$C762,Elig_MatchAll_Ct&lt;22,$BC762=(Elig_MatchAll_Ct-1),AI762=0),F762,0)</f>
        <v>0</v>
      </c>
      <c r="BL762" s="216">
        <f>IF(AND(Input_Product=Elig!$C762,Elig_MatchAll_Ct&lt;22,$BC762=(Elig_MatchAll_Ct-1),AJ762=0),G762,0)</f>
        <v>0</v>
      </c>
      <c r="BM762" s="216">
        <f>IF(AND(Input_Product=Elig!$C762,Elig_MatchAll_Ct&lt;22,$BC762=(Elig_MatchAll_Ct-1),AK762=0),H762,0)</f>
        <v>0</v>
      </c>
      <c r="BN762" s="216">
        <f>IF(AND(Input_Product=Elig!$C762,Elig_MatchAll_Ct&lt;22,$BC762=(Elig_MatchAll_Ct-1),AL762=0),I762,0)</f>
        <v>0</v>
      </c>
      <c r="BO762" s="216">
        <f>IF(AND(Input_Product=Elig!$C762,Elig_MatchAll_Ct&lt;22,$BC762=(Elig_MatchAll_Ct-1),AM762=0),J762,0)</f>
        <v>0</v>
      </c>
      <c r="BP762" s="216">
        <f>IF(AND(Input_Product=Elig!$C762,Elig_MatchAll_Ct&lt;22,$BC762=(Elig_MatchAll_Ct-1),AN762=0),K762,0)</f>
        <v>0</v>
      </c>
      <c r="BQ762" s="216">
        <f>IF(AND(Input_Product=Elig!$C762,Elig_MatchAll_Ct&lt;22,$BC762=(Elig_MatchAll_Ct-1),AP762=0),L762,0)</f>
        <v>0</v>
      </c>
      <c r="BR762" s="216">
        <f>IF(AND(Input_Product=Elig!$C762,Elig_MatchAll_Ct&lt;22,$BC762=(Elig_MatchAll_Ct-1),AO762=0),M762,0)</f>
        <v>0</v>
      </c>
      <c r="BS762" s="216">
        <f>IF(AND(Input_Product=Elig!$C762,Elig_MatchAll_Ct&lt;22,$BC762=(Elig_MatchAll_Ct-1),AQ762=0),N762,0)</f>
        <v>0</v>
      </c>
      <c r="BT762" s="216">
        <f>IF(AND(Input_Product=Elig!$C762,Elig_MatchAll_Ct&lt;22,$BC762=(Elig_MatchAll_Ct-1),AR762=0),O762,0)</f>
        <v>0</v>
      </c>
      <c r="BU762" s="216">
        <f>IF(AND(Input_Product=Elig!$C762,Elig_MatchAll_Ct&lt;22,$BC762=(Elig_MatchAll_Ct-1),AS762=0),P762,0)</f>
        <v>0</v>
      </c>
      <c r="BV762" s="217">
        <f>IF(AND(Input_Product=Elig!$C762,Elig_MatchAll_Ct&lt;22,$BC762=(Elig_MatchAll_Ct-1),AT762=0),Q762,0)</f>
        <v>0</v>
      </c>
      <c r="BW762" s="313">
        <f>IF(AND(Input_Product=Elig!$C762,Elig_MatchAll_Ct&lt;22,$BC762=(Elig_MatchAll_Ct-1),AU762=0),R762,0)</f>
        <v>0</v>
      </c>
      <c r="BX762" s="314">
        <f>IF(AND(Input_Product=Elig!$C762,Elig_MatchAll_Ct&lt;22,$BC762=(Elig_MatchAll_Ct-1),AU762=0),S762,0)</f>
        <v>0</v>
      </c>
      <c r="BY762" s="313">
        <f>IF(AND(Input_Product=Elig!$C762,Elig_MatchAll_Ct&lt;22,$BC762=(Elig_MatchAll_Ct-1),AV762=0),T762,0)</f>
        <v>0</v>
      </c>
      <c r="BZ762" s="314">
        <f>IF(AND(Input_Product=Elig!$C762,Elig_MatchAll_Ct&lt;22,$BC762=(Elig_MatchAll_Ct-1),AV762=0),U762,0)</f>
        <v>0</v>
      </c>
      <c r="CA762" s="313">
        <f>IF(AND(Input_Product=Elig!$C762,Elig_MatchAll_Ct&lt;22,$BC762=(Elig_MatchAll_Ct-1),AW762=0),V762,0)</f>
        <v>0</v>
      </c>
      <c r="CB762" s="314">
        <f>IF(AND(Input_Product=Elig!$C762,Elig_MatchAll_Ct&lt;22,$BC762=(Elig_MatchAll_Ct-1),AW762=0),W762,0)</f>
        <v>0</v>
      </c>
      <c r="CC762" s="313">
        <f>IF(AND(Input_Product=Elig!$C762,Elig_MatchAll_Ct&lt;22,$BC762=(Elig_MatchAll_Ct-1),AX762=0),X762,0)</f>
        <v>0</v>
      </c>
      <c r="CD762" s="314">
        <f>IF(AND(Input_Product=Elig!$C762,Elig_MatchAll_Ct&lt;22,$BC762=(Elig_MatchAll_Ct-1),AX762=0),Y762,0)</f>
        <v>0</v>
      </c>
      <c r="CE762" s="313">
        <f>IF(AND(Input_LTV&lt;=AE762,Input_Product=Elig!$C762,Elig_MatchAll_Ct&lt;22,$BC762=(Elig_MatchAll_Ct-1),AY762=0),Z762,0)</f>
        <v>0</v>
      </c>
      <c r="CF762" s="314">
        <f>IF(AND(Input_LTV&lt;=AE762,Input_Product=Elig!$C762,Elig_MatchAll_Ct&lt;22,$BC762=(Elig_MatchAll_Ct-1),AY762=0),AA762,0)</f>
        <v>0</v>
      </c>
      <c r="CG762" s="313">
        <f>IF(AND(Input_Product=Elig!$C762,Elig_MatchAll_Ct&lt;22,$BC762=(Elig_MatchAll_Ct-1),AZ762=0),AB762,0)</f>
        <v>0</v>
      </c>
      <c r="CH762" s="314">
        <f>IF(AND(Input_Product=Elig!$C762,Elig_MatchAll_Ct&lt;22,$BC762=(Elig_MatchAll_Ct-1),AZ762=0),AC762,0)</f>
        <v>0</v>
      </c>
      <c r="CI762" s="313">
        <f>IF(AND(Input_Product=Elig!$C762,Elig_MatchAll_Ct&lt;22,$BC762=(Elig_MatchAll_Ct-1),BA762=0),AD762,0)</f>
        <v>0</v>
      </c>
      <c r="CJ762" s="314">
        <f>IF(AND(Input_Product=Elig!$C762,Elig_MatchAll_Ct&lt;22,$BC762=(Elig_MatchAll_Ct-1),BA762=0),AE762,0)</f>
        <v>0</v>
      </c>
    </row>
    <row r="763" spans="2:88" ht="10.15" customHeight="1" x14ac:dyDescent="0.25">
      <c r="B763" s="2027" t="s">
        <v>4060</v>
      </c>
      <c r="C763" s="2028" t="str">
        <f t="shared" si="279"/>
        <v>Second OO</v>
      </c>
      <c r="D763" s="2027" t="s">
        <v>1569</v>
      </c>
      <c r="E763" s="2027" t="s">
        <v>98</v>
      </c>
      <c r="F763" s="2027" t="s">
        <v>328</v>
      </c>
      <c r="G763" s="2029" t="s">
        <v>179</v>
      </c>
      <c r="H763" s="2029" t="s">
        <v>136</v>
      </c>
      <c r="I763" s="2027" t="s">
        <v>1332</v>
      </c>
      <c r="J763" s="2027" t="s">
        <v>1311</v>
      </c>
      <c r="K763" s="2029" t="s">
        <v>1790</v>
      </c>
      <c r="L763" s="2027" t="s">
        <v>430</v>
      </c>
      <c r="M763" s="2027" t="s">
        <v>2677</v>
      </c>
      <c r="N763" s="2029" t="s">
        <v>82</v>
      </c>
      <c r="O763" s="2027" t="s">
        <v>310</v>
      </c>
      <c r="P763" s="2027" t="s">
        <v>291</v>
      </c>
      <c r="Q763" s="2027" t="s">
        <v>294</v>
      </c>
      <c r="R763" s="300">
        <v>500000.01</v>
      </c>
      <c r="S763" s="300">
        <v>750000</v>
      </c>
      <c r="T763" s="2027">
        <v>0</v>
      </c>
      <c r="U763" s="2027">
        <f t="shared" si="300"/>
        <v>750000</v>
      </c>
      <c r="V763" s="2027">
        <v>0</v>
      </c>
      <c r="W763" s="2027">
        <v>50</v>
      </c>
      <c r="X763" s="2027">
        <v>0</v>
      </c>
      <c r="Y763" s="2027">
        <v>999</v>
      </c>
      <c r="Z763" s="2030">
        <v>700</v>
      </c>
      <c r="AA763" s="2030">
        <v>719</v>
      </c>
      <c r="AB763" s="2030">
        <v>0</v>
      </c>
      <c r="AC763" s="2030">
        <v>999999</v>
      </c>
      <c r="AD763" s="2027">
        <v>0</v>
      </c>
      <c r="AE763" s="1483">
        <v>65</v>
      </c>
      <c r="AF763" s="170">
        <v>1</v>
      </c>
      <c r="AG763" s="171">
        <v>1</v>
      </c>
      <c r="AH763" s="171">
        <v>1</v>
      </c>
      <c r="AI763" s="171">
        <v>1</v>
      </c>
      <c r="AJ763" s="171">
        <v>0</v>
      </c>
      <c r="AK763" s="171">
        <v>1</v>
      </c>
      <c r="AL763" s="171">
        <v>1</v>
      </c>
      <c r="AM763" s="171">
        <v>1</v>
      </c>
      <c r="AN763" s="171">
        <v>1</v>
      </c>
      <c r="AO763" s="171">
        <v>1</v>
      </c>
      <c r="AP763" s="171">
        <v>1</v>
      </c>
      <c r="AQ763" s="171">
        <v>1</v>
      </c>
      <c r="AR763" s="171">
        <v>1</v>
      </c>
      <c r="AS763" s="171">
        <v>1</v>
      </c>
      <c r="AT763" s="171">
        <v>1</v>
      </c>
      <c r="AU763" s="171">
        <f t="shared" si="294"/>
        <v>0</v>
      </c>
      <c r="AV763" s="171">
        <f t="shared" si="295"/>
        <v>1</v>
      </c>
      <c r="AW763" s="171">
        <f t="shared" si="296"/>
        <v>1</v>
      </c>
      <c r="AX763" s="171">
        <f t="shared" si="305"/>
        <v>1</v>
      </c>
      <c r="AY763" s="171">
        <f t="shared" si="297"/>
        <v>0</v>
      </c>
      <c r="AZ763" s="171">
        <f t="shared" si="298"/>
        <v>1</v>
      </c>
      <c r="BA763" s="172">
        <f t="shared" si="299"/>
        <v>1</v>
      </c>
      <c r="BB763" s="175">
        <f t="shared" si="301"/>
        <v>19</v>
      </c>
      <c r="BC763" s="176">
        <f t="shared" si="302"/>
        <v>18</v>
      </c>
      <c r="BD763" s="176">
        <f t="shared" si="303"/>
        <v>18</v>
      </c>
      <c r="BE763" s="240" t="str">
        <f t="shared" si="304"/>
        <v/>
      </c>
      <c r="BF763" s="234"/>
      <c r="BG763" s="234"/>
      <c r="BH763" s="199">
        <f>IF(AND(Input_Product=Elig!$C763,Elig_MatchAll_Ct&lt;22,$BC763=(Elig_MatchAll_Ct-1),AF763=0),C763,0)</f>
        <v>0</v>
      </c>
      <c r="BI763" s="199">
        <f>IF(AND(Input_Product=Elig!$C763,Elig_MatchAll_Ct&lt;22,$BC763=(Elig_MatchAll_Ct-1),AG763=0),D763,0)</f>
        <v>0</v>
      </c>
      <c r="BJ763" s="199">
        <f>IF(AND(Input_Product=Elig!$C763,Elig_MatchAll_Ct&lt;22,$BC763=(Elig_MatchAll_Ct-1),AH763=0),E763,0)</f>
        <v>0</v>
      </c>
      <c r="BK763" s="199">
        <f>IF(AND(Input_Product=Elig!$C763,Elig_MatchAll_Ct&lt;22,$BC763=(Elig_MatchAll_Ct-1),AI763=0),F763,0)</f>
        <v>0</v>
      </c>
      <c r="BL763" s="199">
        <f>IF(AND(Input_Product=Elig!$C763,Elig_MatchAll_Ct&lt;22,$BC763=(Elig_MatchAll_Ct-1),AJ763=0),G763,0)</f>
        <v>0</v>
      </c>
      <c r="BM763" s="199">
        <f>IF(AND(Input_Product=Elig!$C763,Elig_MatchAll_Ct&lt;22,$BC763=(Elig_MatchAll_Ct-1),AK763=0),H763,0)</f>
        <v>0</v>
      </c>
      <c r="BN763" s="199">
        <f>IF(AND(Input_Product=Elig!$C763,Elig_MatchAll_Ct&lt;22,$BC763=(Elig_MatchAll_Ct-1),AL763=0),I763,0)</f>
        <v>0</v>
      </c>
      <c r="BO763" s="199">
        <f>IF(AND(Input_Product=Elig!$C763,Elig_MatchAll_Ct&lt;22,$BC763=(Elig_MatchAll_Ct-1),AM763=0),J763,0)</f>
        <v>0</v>
      </c>
      <c r="BP763" s="199">
        <f>IF(AND(Input_Product=Elig!$C763,Elig_MatchAll_Ct&lt;22,$BC763=(Elig_MatchAll_Ct-1),AN763=0),K763,0)</f>
        <v>0</v>
      </c>
      <c r="BQ763" s="199">
        <f>IF(AND(Input_Product=Elig!$C763,Elig_MatchAll_Ct&lt;22,$BC763=(Elig_MatchAll_Ct-1),AP763=0),L763,0)</f>
        <v>0</v>
      </c>
      <c r="BR763" s="199">
        <f>IF(AND(Input_Product=Elig!$C763,Elig_MatchAll_Ct&lt;22,$BC763=(Elig_MatchAll_Ct-1),AO763=0),M763,0)</f>
        <v>0</v>
      </c>
      <c r="BS763" s="199">
        <f>IF(AND(Input_Product=Elig!$C763,Elig_MatchAll_Ct&lt;22,$BC763=(Elig_MatchAll_Ct-1),AQ763=0),N763,0)</f>
        <v>0</v>
      </c>
      <c r="BT763" s="199">
        <f>IF(AND(Input_Product=Elig!$C763,Elig_MatchAll_Ct&lt;22,$BC763=(Elig_MatchAll_Ct-1),AR763=0),O763,0)</f>
        <v>0</v>
      </c>
      <c r="BU763" s="199">
        <f>IF(AND(Input_Product=Elig!$C763,Elig_MatchAll_Ct&lt;22,$BC763=(Elig_MatchAll_Ct-1),AS763=0),P763,0)</f>
        <v>0</v>
      </c>
      <c r="BV763" s="200">
        <f>IF(AND(Input_Product=Elig!$C763,Elig_MatchAll_Ct&lt;22,$BC763=(Elig_MatchAll_Ct-1),AT763=0),Q763,0)</f>
        <v>0</v>
      </c>
      <c r="BW763" s="201">
        <f>IF(AND(Input_Product=Elig!$C763,Elig_MatchAll_Ct&lt;22,$BC763=(Elig_MatchAll_Ct-1),AU763=0),R763,0)</f>
        <v>0</v>
      </c>
      <c r="BX763" s="202">
        <f>IF(AND(Input_Product=Elig!$C763,Elig_MatchAll_Ct&lt;22,$BC763=(Elig_MatchAll_Ct-1),AU763=0),S763,0)</f>
        <v>0</v>
      </c>
      <c r="BY763" s="201">
        <f>IF(AND(Input_Product=Elig!$C763,Elig_MatchAll_Ct&lt;22,$BC763=(Elig_MatchAll_Ct-1),AV763=0),T763,0)</f>
        <v>0</v>
      </c>
      <c r="BZ763" s="202">
        <f>IF(AND(Input_Product=Elig!$C763,Elig_MatchAll_Ct&lt;22,$BC763=(Elig_MatchAll_Ct-1),AV763=0),U763,0)</f>
        <v>0</v>
      </c>
      <c r="CA763" s="201">
        <f>IF(AND(Input_Product=Elig!$C763,Elig_MatchAll_Ct&lt;22,$BC763=(Elig_MatchAll_Ct-1),AW763=0),V763,0)</f>
        <v>0</v>
      </c>
      <c r="CB763" s="202">
        <f>IF(AND(Input_Product=Elig!$C763,Elig_MatchAll_Ct&lt;22,$BC763=(Elig_MatchAll_Ct-1),AW763=0),W763,0)</f>
        <v>0</v>
      </c>
      <c r="CC763" s="201">
        <f>IF(AND(Input_Product=Elig!$C763,Elig_MatchAll_Ct&lt;22,$BC763=(Elig_MatchAll_Ct-1),AX763=0),X763,0)</f>
        <v>0</v>
      </c>
      <c r="CD763" s="202">
        <f>IF(AND(Input_Product=Elig!$C763,Elig_MatchAll_Ct&lt;22,$BC763=(Elig_MatchAll_Ct-1),AX763=0),Y763,0)</f>
        <v>0</v>
      </c>
      <c r="CE763" s="201">
        <f>IF(AND(Input_LTV&lt;=AE763,Input_Product=Elig!$C763,Elig_MatchAll_Ct&lt;22,$BC763=(Elig_MatchAll_Ct-1),AY763=0),Z763,0)</f>
        <v>0</v>
      </c>
      <c r="CF763" s="202">
        <f>IF(AND(Input_LTV&lt;=AE763,Input_Product=Elig!$C763,Elig_MatchAll_Ct&lt;22,$BC763=(Elig_MatchAll_Ct-1),AY763=0),AA763,0)</f>
        <v>0</v>
      </c>
      <c r="CG763" s="201">
        <f>IF(AND(Input_Product=Elig!$C763,Elig_MatchAll_Ct&lt;22,$BC763=(Elig_MatchAll_Ct-1),AZ763=0),AB763,0)</f>
        <v>0</v>
      </c>
      <c r="CH763" s="202">
        <f>IF(AND(Input_Product=Elig!$C763,Elig_MatchAll_Ct&lt;22,$BC763=(Elig_MatchAll_Ct-1),AZ763=0),AC763,0)</f>
        <v>0</v>
      </c>
      <c r="CI763" s="201">
        <f>IF(AND(Input_Product=Elig!$C763,Elig_MatchAll_Ct&lt;22,$BC763=(Elig_MatchAll_Ct-1),BA763=0),AD763,0)</f>
        <v>0</v>
      </c>
      <c r="CJ763" s="202">
        <f>IF(AND(Input_Product=Elig!$C763,Elig_MatchAll_Ct&lt;22,$BC763=(Elig_MatchAll_Ct-1),BA763=0),AE763,0)</f>
        <v>0</v>
      </c>
    </row>
    <row r="764" spans="2:88" ht="10.15" customHeight="1" x14ac:dyDescent="0.25">
      <c r="B764" s="2027" t="s">
        <v>4061</v>
      </c>
      <c r="C764" s="2028" t="str">
        <f t="shared" si="279"/>
        <v>Second OO</v>
      </c>
      <c r="D764" s="2027" t="s">
        <v>1569</v>
      </c>
      <c r="E764" s="2027" t="s">
        <v>98</v>
      </c>
      <c r="F764" s="2027" t="s">
        <v>328</v>
      </c>
      <c r="G764" s="2029" t="s">
        <v>179</v>
      </c>
      <c r="H764" s="2029" t="s">
        <v>136</v>
      </c>
      <c r="I764" s="2027" t="s">
        <v>1332</v>
      </c>
      <c r="J764" s="2027" t="s">
        <v>1311</v>
      </c>
      <c r="K764" s="2029" t="s">
        <v>1790</v>
      </c>
      <c r="L764" s="2027" t="s">
        <v>430</v>
      </c>
      <c r="M764" s="2027" t="s">
        <v>2677</v>
      </c>
      <c r="N764" s="2029" t="s">
        <v>82</v>
      </c>
      <c r="O764" s="2027" t="s">
        <v>310</v>
      </c>
      <c r="P764" s="2027" t="s">
        <v>291</v>
      </c>
      <c r="Q764" s="2027" t="s">
        <v>294</v>
      </c>
      <c r="R764" s="300">
        <v>500000.01</v>
      </c>
      <c r="S764" s="300">
        <v>750000</v>
      </c>
      <c r="T764" s="2027">
        <v>0</v>
      </c>
      <c r="U764" s="2027">
        <f t="shared" si="300"/>
        <v>750000</v>
      </c>
      <c r="V764" s="2027">
        <v>0</v>
      </c>
      <c r="W764" s="2027">
        <v>50</v>
      </c>
      <c r="X764" s="2027">
        <v>0</v>
      </c>
      <c r="Y764" s="2027">
        <v>999</v>
      </c>
      <c r="Z764" s="2030">
        <v>680</v>
      </c>
      <c r="AA764" s="2030">
        <v>699</v>
      </c>
      <c r="AB764" s="2030">
        <v>0</v>
      </c>
      <c r="AC764" s="2030">
        <v>999999</v>
      </c>
      <c r="AD764" s="2027">
        <v>0</v>
      </c>
      <c r="AE764" s="1483">
        <v>60</v>
      </c>
      <c r="AF764" s="170">
        <v>1</v>
      </c>
      <c r="AG764" s="171">
        <v>1</v>
      </c>
      <c r="AH764" s="171">
        <v>1</v>
      </c>
      <c r="AI764" s="171">
        <v>1</v>
      </c>
      <c r="AJ764" s="171">
        <v>0</v>
      </c>
      <c r="AK764" s="171">
        <v>1</v>
      </c>
      <c r="AL764" s="171">
        <v>1</v>
      </c>
      <c r="AM764" s="171">
        <v>1</v>
      </c>
      <c r="AN764" s="171">
        <v>1</v>
      </c>
      <c r="AO764" s="171">
        <v>1</v>
      </c>
      <c r="AP764" s="171">
        <v>1</v>
      </c>
      <c r="AQ764" s="171">
        <v>1</v>
      </c>
      <c r="AR764" s="171">
        <v>1</v>
      </c>
      <c r="AS764" s="171">
        <v>1</v>
      </c>
      <c r="AT764" s="171">
        <v>1</v>
      </c>
      <c r="AU764" s="171">
        <f t="shared" si="294"/>
        <v>0</v>
      </c>
      <c r="AV764" s="171">
        <f t="shared" si="295"/>
        <v>1</v>
      </c>
      <c r="AW764" s="171">
        <f t="shared" si="296"/>
        <v>1</v>
      </c>
      <c r="AX764" s="171">
        <f t="shared" si="305"/>
        <v>1</v>
      </c>
      <c r="AY764" s="171">
        <f t="shared" si="297"/>
        <v>0</v>
      </c>
      <c r="AZ764" s="171">
        <f t="shared" si="298"/>
        <v>1</v>
      </c>
      <c r="BA764" s="172">
        <f t="shared" si="299"/>
        <v>0</v>
      </c>
      <c r="BB764" s="175">
        <f t="shared" si="301"/>
        <v>18</v>
      </c>
      <c r="BC764" s="176">
        <f t="shared" si="302"/>
        <v>18</v>
      </c>
      <c r="BD764" s="176">
        <f t="shared" si="303"/>
        <v>17</v>
      </c>
      <c r="BE764" s="240" t="str">
        <f t="shared" si="304"/>
        <v/>
      </c>
      <c r="BF764" s="234"/>
      <c r="BG764" s="234"/>
      <c r="BH764" s="199">
        <f>IF(AND(Input_Product=Elig!$C764,Elig_MatchAll_Ct&lt;22,$BC764=(Elig_MatchAll_Ct-1),AF764=0),C764,0)</f>
        <v>0</v>
      </c>
      <c r="BI764" s="199">
        <f>IF(AND(Input_Product=Elig!$C764,Elig_MatchAll_Ct&lt;22,$BC764=(Elig_MatchAll_Ct-1),AG764=0),D764,0)</f>
        <v>0</v>
      </c>
      <c r="BJ764" s="199">
        <f>IF(AND(Input_Product=Elig!$C764,Elig_MatchAll_Ct&lt;22,$BC764=(Elig_MatchAll_Ct-1),AH764=0),E764,0)</f>
        <v>0</v>
      </c>
      <c r="BK764" s="199">
        <f>IF(AND(Input_Product=Elig!$C764,Elig_MatchAll_Ct&lt;22,$BC764=(Elig_MatchAll_Ct-1),AI764=0),F764,0)</f>
        <v>0</v>
      </c>
      <c r="BL764" s="199">
        <f>IF(AND(Input_Product=Elig!$C764,Elig_MatchAll_Ct&lt;22,$BC764=(Elig_MatchAll_Ct-1),AJ764=0),G764,0)</f>
        <v>0</v>
      </c>
      <c r="BM764" s="199">
        <f>IF(AND(Input_Product=Elig!$C764,Elig_MatchAll_Ct&lt;22,$BC764=(Elig_MatchAll_Ct-1),AK764=0),H764,0)</f>
        <v>0</v>
      </c>
      <c r="BN764" s="199">
        <f>IF(AND(Input_Product=Elig!$C764,Elig_MatchAll_Ct&lt;22,$BC764=(Elig_MatchAll_Ct-1),AL764=0),I764,0)</f>
        <v>0</v>
      </c>
      <c r="BO764" s="199">
        <f>IF(AND(Input_Product=Elig!$C764,Elig_MatchAll_Ct&lt;22,$BC764=(Elig_MatchAll_Ct-1),AM764=0),J764,0)</f>
        <v>0</v>
      </c>
      <c r="BP764" s="199">
        <f>IF(AND(Input_Product=Elig!$C764,Elig_MatchAll_Ct&lt;22,$BC764=(Elig_MatchAll_Ct-1),AN764=0),K764,0)</f>
        <v>0</v>
      </c>
      <c r="BQ764" s="199">
        <f>IF(AND(Input_Product=Elig!$C764,Elig_MatchAll_Ct&lt;22,$BC764=(Elig_MatchAll_Ct-1),AP764=0),L764,0)</f>
        <v>0</v>
      </c>
      <c r="BR764" s="199">
        <f>IF(AND(Input_Product=Elig!$C764,Elig_MatchAll_Ct&lt;22,$BC764=(Elig_MatchAll_Ct-1),AO764=0),M764,0)</f>
        <v>0</v>
      </c>
      <c r="BS764" s="199">
        <f>IF(AND(Input_Product=Elig!$C764,Elig_MatchAll_Ct&lt;22,$BC764=(Elig_MatchAll_Ct-1),AQ764=0),N764,0)</f>
        <v>0</v>
      </c>
      <c r="BT764" s="199">
        <f>IF(AND(Input_Product=Elig!$C764,Elig_MatchAll_Ct&lt;22,$BC764=(Elig_MatchAll_Ct-1),AR764=0),O764,0)</f>
        <v>0</v>
      </c>
      <c r="BU764" s="199">
        <f>IF(AND(Input_Product=Elig!$C764,Elig_MatchAll_Ct&lt;22,$BC764=(Elig_MatchAll_Ct-1),AS764=0),P764,0)</f>
        <v>0</v>
      </c>
      <c r="BV764" s="200">
        <f>IF(AND(Input_Product=Elig!$C764,Elig_MatchAll_Ct&lt;22,$BC764=(Elig_MatchAll_Ct-1),AT764=0),Q764,0)</f>
        <v>0</v>
      </c>
      <c r="BW764" s="201">
        <f>IF(AND(Input_Product=Elig!$C764,Elig_MatchAll_Ct&lt;22,$BC764=(Elig_MatchAll_Ct-1),AU764=0),R764,0)</f>
        <v>0</v>
      </c>
      <c r="BX764" s="202">
        <f>IF(AND(Input_Product=Elig!$C764,Elig_MatchAll_Ct&lt;22,$BC764=(Elig_MatchAll_Ct-1),AU764=0),S764,0)</f>
        <v>0</v>
      </c>
      <c r="BY764" s="201">
        <f>IF(AND(Input_Product=Elig!$C764,Elig_MatchAll_Ct&lt;22,$BC764=(Elig_MatchAll_Ct-1),AV764=0),T764,0)</f>
        <v>0</v>
      </c>
      <c r="BZ764" s="202">
        <f>IF(AND(Input_Product=Elig!$C764,Elig_MatchAll_Ct&lt;22,$BC764=(Elig_MatchAll_Ct-1),AV764=0),U764,0)</f>
        <v>0</v>
      </c>
      <c r="CA764" s="201">
        <f>IF(AND(Input_Product=Elig!$C764,Elig_MatchAll_Ct&lt;22,$BC764=(Elig_MatchAll_Ct-1),AW764=0),V764,0)</f>
        <v>0</v>
      </c>
      <c r="CB764" s="202">
        <f>IF(AND(Input_Product=Elig!$C764,Elig_MatchAll_Ct&lt;22,$BC764=(Elig_MatchAll_Ct-1),AW764=0),W764,0)</f>
        <v>0</v>
      </c>
      <c r="CC764" s="201">
        <f>IF(AND(Input_Product=Elig!$C764,Elig_MatchAll_Ct&lt;22,$BC764=(Elig_MatchAll_Ct-1),AX764=0),X764,0)</f>
        <v>0</v>
      </c>
      <c r="CD764" s="202">
        <f>IF(AND(Input_Product=Elig!$C764,Elig_MatchAll_Ct&lt;22,$BC764=(Elig_MatchAll_Ct-1),AX764=0),Y764,0)</f>
        <v>0</v>
      </c>
      <c r="CE764" s="201">
        <f>IF(AND(Input_LTV&lt;=AE764,Input_Product=Elig!$C764,Elig_MatchAll_Ct&lt;22,$BC764=(Elig_MatchAll_Ct-1),AY764=0),Z764,0)</f>
        <v>0</v>
      </c>
      <c r="CF764" s="202">
        <f>IF(AND(Input_LTV&lt;=AE764,Input_Product=Elig!$C764,Elig_MatchAll_Ct&lt;22,$BC764=(Elig_MatchAll_Ct-1),AY764=0),AA764,0)</f>
        <v>0</v>
      </c>
      <c r="CG764" s="201">
        <f>IF(AND(Input_Product=Elig!$C764,Elig_MatchAll_Ct&lt;22,$BC764=(Elig_MatchAll_Ct-1),AZ764=0),AB764,0)</f>
        <v>0</v>
      </c>
      <c r="CH764" s="202">
        <f>IF(AND(Input_Product=Elig!$C764,Elig_MatchAll_Ct&lt;22,$BC764=(Elig_MatchAll_Ct-1),AZ764=0),AC764,0)</f>
        <v>0</v>
      </c>
      <c r="CI764" s="201">
        <f>IF(AND(Input_Product=Elig!$C764,Elig_MatchAll_Ct&lt;22,$BC764=(Elig_MatchAll_Ct-1),BA764=0),AD764,0)</f>
        <v>0</v>
      </c>
      <c r="CJ764" s="202">
        <f>IF(AND(Input_Product=Elig!$C764,Elig_MatchAll_Ct&lt;22,$BC764=(Elig_MatchAll_Ct-1),BA764=0),AE764,0)</f>
        <v>0</v>
      </c>
    </row>
    <row r="765" spans="2:88" ht="10.15" customHeight="1" x14ac:dyDescent="0.25">
      <c r="B765" s="2027" t="s">
        <v>4062</v>
      </c>
      <c r="C765" s="2032" t="str">
        <f t="shared" si="279"/>
        <v>Second OO</v>
      </c>
      <c r="D765" s="2031" t="s">
        <v>1569</v>
      </c>
      <c r="E765" s="2031" t="s">
        <v>98</v>
      </c>
      <c r="F765" s="2031" t="s">
        <v>328</v>
      </c>
      <c r="G765" s="2033" t="s">
        <v>179</v>
      </c>
      <c r="H765" s="2033" t="s">
        <v>136</v>
      </c>
      <c r="I765" s="2031" t="s">
        <v>1332</v>
      </c>
      <c r="J765" s="2031" t="s">
        <v>1311</v>
      </c>
      <c r="K765" s="2033" t="s">
        <v>1790</v>
      </c>
      <c r="L765" s="2031" t="s">
        <v>430</v>
      </c>
      <c r="M765" s="2031" t="s">
        <v>2677</v>
      </c>
      <c r="N765" s="2033" t="s">
        <v>82</v>
      </c>
      <c r="O765" s="2031" t="s">
        <v>310</v>
      </c>
      <c r="P765" s="2031" t="s">
        <v>291</v>
      </c>
      <c r="Q765" s="2031" t="s">
        <v>294</v>
      </c>
      <c r="R765" s="324">
        <v>500000.01</v>
      </c>
      <c r="S765" s="324">
        <v>750000</v>
      </c>
      <c r="T765" s="2031">
        <v>0</v>
      </c>
      <c r="U765" s="2031">
        <f t="shared" si="300"/>
        <v>750000</v>
      </c>
      <c r="V765" s="2031">
        <v>0</v>
      </c>
      <c r="W765" s="2031">
        <v>50</v>
      </c>
      <c r="X765" s="2031">
        <v>0</v>
      </c>
      <c r="Y765" s="2031">
        <v>999</v>
      </c>
      <c r="Z765" s="2034">
        <v>660</v>
      </c>
      <c r="AA765" s="2034">
        <v>679</v>
      </c>
      <c r="AB765" s="2034">
        <v>0</v>
      </c>
      <c r="AC765" s="2034">
        <v>999999</v>
      </c>
      <c r="AD765" s="2031">
        <v>0</v>
      </c>
      <c r="AE765" s="1484">
        <v>55</v>
      </c>
      <c r="AF765" s="170">
        <v>1</v>
      </c>
      <c r="AG765" s="171">
        <v>1</v>
      </c>
      <c r="AH765" s="171">
        <v>1</v>
      </c>
      <c r="AI765" s="171">
        <v>1</v>
      </c>
      <c r="AJ765" s="171">
        <v>0</v>
      </c>
      <c r="AK765" s="171">
        <v>1</v>
      </c>
      <c r="AL765" s="171">
        <v>1</v>
      </c>
      <c r="AM765" s="171">
        <v>1</v>
      </c>
      <c r="AN765" s="171">
        <v>1</v>
      </c>
      <c r="AO765" s="171">
        <v>1</v>
      </c>
      <c r="AP765" s="171">
        <v>1</v>
      </c>
      <c r="AQ765" s="171">
        <v>1</v>
      </c>
      <c r="AR765" s="171">
        <v>1</v>
      </c>
      <c r="AS765" s="171">
        <v>1</v>
      </c>
      <c r="AT765" s="171">
        <v>1</v>
      </c>
      <c r="AU765" s="171">
        <f t="shared" si="294"/>
        <v>0</v>
      </c>
      <c r="AV765" s="171">
        <f t="shared" si="295"/>
        <v>1</v>
      </c>
      <c r="AW765" s="171">
        <f t="shared" si="296"/>
        <v>1</v>
      </c>
      <c r="AX765" s="171">
        <f t="shared" si="305"/>
        <v>1</v>
      </c>
      <c r="AY765" s="171">
        <f t="shared" si="297"/>
        <v>0</v>
      </c>
      <c r="AZ765" s="171">
        <f t="shared" si="298"/>
        <v>1</v>
      </c>
      <c r="BA765" s="172">
        <f t="shared" si="299"/>
        <v>0</v>
      </c>
      <c r="BB765" s="175">
        <f t="shared" si="301"/>
        <v>18</v>
      </c>
      <c r="BC765" s="176">
        <f t="shared" si="302"/>
        <v>18</v>
      </c>
      <c r="BD765" s="176">
        <f t="shared" si="303"/>
        <v>17</v>
      </c>
      <c r="BE765" s="240" t="str">
        <f t="shared" si="304"/>
        <v/>
      </c>
      <c r="BF765" s="234"/>
      <c r="BG765" s="234"/>
      <c r="BH765" s="214">
        <f>IF(AND(Input_Product=Elig!$C765,Elig_MatchAll_Ct&lt;22,$BC765=(Elig_MatchAll_Ct-1),AF765=0),C765,0)</f>
        <v>0</v>
      </c>
      <c r="BI765" s="214">
        <f>IF(AND(Input_Product=Elig!$C765,Elig_MatchAll_Ct&lt;22,$BC765=(Elig_MatchAll_Ct-1),AG765=0),D765,0)</f>
        <v>0</v>
      </c>
      <c r="BJ765" s="214">
        <f>IF(AND(Input_Product=Elig!$C765,Elig_MatchAll_Ct&lt;22,$BC765=(Elig_MatchAll_Ct-1),AH765=0),E765,0)</f>
        <v>0</v>
      </c>
      <c r="BK765" s="214">
        <f>IF(AND(Input_Product=Elig!$C765,Elig_MatchAll_Ct&lt;22,$BC765=(Elig_MatchAll_Ct-1),AI765=0),F765,0)</f>
        <v>0</v>
      </c>
      <c r="BL765" s="214">
        <f>IF(AND(Input_Product=Elig!$C765,Elig_MatchAll_Ct&lt;22,$BC765=(Elig_MatchAll_Ct-1),AJ765=0),G765,0)</f>
        <v>0</v>
      </c>
      <c r="BM765" s="214">
        <f>IF(AND(Input_Product=Elig!$C765,Elig_MatchAll_Ct&lt;22,$BC765=(Elig_MatchAll_Ct-1),AK765=0),H765,0)</f>
        <v>0</v>
      </c>
      <c r="BN765" s="214">
        <f>IF(AND(Input_Product=Elig!$C765,Elig_MatchAll_Ct&lt;22,$BC765=(Elig_MatchAll_Ct-1),AL765=0),I765,0)</f>
        <v>0</v>
      </c>
      <c r="BO765" s="214">
        <f>IF(AND(Input_Product=Elig!$C765,Elig_MatchAll_Ct&lt;22,$BC765=(Elig_MatchAll_Ct-1),AM765=0),J765,0)</f>
        <v>0</v>
      </c>
      <c r="BP765" s="214">
        <f>IF(AND(Input_Product=Elig!$C765,Elig_MatchAll_Ct&lt;22,$BC765=(Elig_MatchAll_Ct-1),AN765=0),K765,0)</f>
        <v>0</v>
      </c>
      <c r="BQ765" s="214">
        <f>IF(AND(Input_Product=Elig!$C765,Elig_MatchAll_Ct&lt;22,$BC765=(Elig_MatchAll_Ct-1),AP765=0),L765,0)</f>
        <v>0</v>
      </c>
      <c r="BR765" s="214">
        <f>IF(AND(Input_Product=Elig!$C765,Elig_MatchAll_Ct&lt;22,$BC765=(Elig_MatchAll_Ct-1),AO765=0),M765,0)</f>
        <v>0</v>
      </c>
      <c r="BS765" s="214">
        <f>IF(AND(Input_Product=Elig!$C765,Elig_MatchAll_Ct&lt;22,$BC765=(Elig_MatchAll_Ct-1),AQ765=0),N765,0)</f>
        <v>0</v>
      </c>
      <c r="BT765" s="214">
        <f>IF(AND(Input_Product=Elig!$C765,Elig_MatchAll_Ct&lt;22,$BC765=(Elig_MatchAll_Ct-1),AR765=0),O765,0)</f>
        <v>0</v>
      </c>
      <c r="BU765" s="214">
        <f>IF(AND(Input_Product=Elig!$C765,Elig_MatchAll_Ct&lt;22,$BC765=(Elig_MatchAll_Ct-1),AS765=0),P765,0)</f>
        <v>0</v>
      </c>
      <c r="BV765" s="215">
        <f>IF(AND(Input_Product=Elig!$C765,Elig_MatchAll_Ct&lt;22,$BC765=(Elig_MatchAll_Ct-1),AT765=0),Q765,0)</f>
        <v>0</v>
      </c>
      <c r="BW765" s="311">
        <f>IF(AND(Input_Product=Elig!$C765,Elig_MatchAll_Ct&lt;22,$BC765=(Elig_MatchAll_Ct-1),AU765=0),R765,0)</f>
        <v>0</v>
      </c>
      <c r="BX765" s="312">
        <f>IF(AND(Input_Product=Elig!$C765,Elig_MatchAll_Ct&lt;22,$BC765=(Elig_MatchAll_Ct-1),AU765=0),S765,0)</f>
        <v>0</v>
      </c>
      <c r="BY765" s="311">
        <f>IF(AND(Input_Product=Elig!$C765,Elig_MatchAll_Ct&lt;22,$BC765=(Elig_MatchAll_Ct-1),AV765=0),T765,0)</f>
        <v>0</v>
      </c>
      <c r="BZ765" s="312">
        <f>IF(AND(Input_Product=Elig!$C765,Elig_MatchAll_Ct&lt;22,$BC765=(Elig_MatchAll_Ct-1),AV765=0),U765,0)</f>
        <v>0</v>
      </c>
      <c r="CA765" s="311">
        <f>IF(AND(Input_Product=Elig!$C765,Elig_MatchAll_Ct&lt;22,$BC765=(Elig_MatchAll_Ct-1),AW765=0),V765,0)</f>
        <v>0</v>
      </c>
      <c r="CB765" s="312">
        <f>IF(AND(Input_Product=Elig!$C765,Elig_MatchAll_Ct&lt;22,$BC765=(Elig_MatchAll_Ct-1),AW765=0),W765,0)</f>
        <v>0</v>
      </c>
      <c r="CC765" s="311">
        <f>IF(AND(Input_Product=Elig!$C765,Elig_MatchAll_Ct&lt;22,$BC765=(Elig_MatchAll_Ct-1),AX765=0),X765,0)</f>
        <v>0</v>
      </c>
      <c r="CD765" s="312">
        <f>IF(AND(Input_Product=Elig!$C765,Elig_MatchAll_Ct&lt;22,$BC765=(Elig_MatchAll_Ct-1),AX765=0),Y765,0)</f>
        <v>0</v>
      </c>
      <c r="CE765" s="311">
        <f>IF(AND(Input_LTV&lt;=AE765,Input_Product=Elig!$C765,Elig_MatchAll_Ct&lt;22,$BC765=(Elig_MatchAll_Ct-1),AY765=0),Z765,0)</f>
        <v>0</v>
      </c>
      <c r="CF765" s="312">
        <f>IF(AND(Input_LTV&lt;=AE765,Input_Product=Elig!$C765,Elig_MatchAll_Ct&lt;22,$BC765=(Elig_MatchAll_Ct-1),AY765=0),AA765,0)</f>
        <v>0</v>
      </c>
      <c r="CG765" s="311">
        <f>IF(AND(Input_Product=Elig!$C765,Elig_MatchAll_Ct&lt;22,$BC765=(Elig_MatchAll_Ct-1),AZ765=0),AB765,0)</f>
        <v>0</v>
      </c>
      <c r="CH765" s="312">
        <f>IF(AND(Input_Product=Elig!$C765,Elig_MatchAll_Ct&lt;22,$BC765=(Elig_MatchAll_Ct-1),AZ765=0),AC765,0)</f>
        <v>0</v>
      </c>
      <c r="CI765" s="311">
        <f>IF(AND(Input_Product=Elig!$C765,Elig_MatchAll_Ct&lt;22,$BC765=(Elig_MatchAll_Ct-1),BA765=0),AD765,0)</f>
        <v>0</v>
      </c>
      <c r="CJ765" s="312">
        <f>IF(AND(Input_Product=Elig!$C765,Elig_MatchAll_Ct&lt;22,$BC765=(Elig_MatchAll_Ct-1),BA765=0),AE765,0)</f>
        <v>0</v>
      </c>
    </row>
    <row r="766" spans="2:88" ht="10.15" customHeight="1" x14ac:dyDescent="0.25">
      <c r="B766" s="2027" t="s">
        <v>4063</v>
      </c>
      <c r="C766" s="2024" t="str">
        <f t="shared" si="279"/>
        <v>Second OO</v>
      </c>
      <c r="D766" s="2025" t="s">
        <v>1569</v>
      </c>
      <c r="E766" s="2025" t="s">
        <v>98</v>
      </c>
      <c r="F766" s="2025" t="s">
        <v>329</v>
      </c>
      <c r="G766" s="2025" t="s">
        <v>303</v>
      </c>
      <c r="H766" s="2025" t="s">
        <v>136</v>
      </c>
      <c r="I766" s="2023" t="s">
        <v>1332</v>
      </c>
      <c r="J766" s="2023" t="s">
        <v>1311</v>
      </c>
      <c r="K766" s="2025" t="s">
        <v>1790</v>
      </c>
      <c r="L766" s="2023" t="s">
        <v>430</v>
      </c>
      <c r="M766" s="2023" t="s">
        <v>2677</v>
      </c>
      <c r="N766" s="2025" t="s">
        <v>82</v>
      </c>
      <c r="O766" s="2023" t="s">
        <v>310</v>
      </c>
      <c r="P766" s="2023" t="s">
        <v>291</v>
      </c>
      <c r="Q766" s="2023" t="s">
        <v>294</v>
      </c>
      <c r="R766" s="323">
        <v>500000.01</v>
      </c>
      <c r="S766" s="323">
        <v>750000</v>
      </c>
      <c r="T766" s="2023">
        <v>0</v>
      </c>
      <c r="U766" s="2023">
        <f t="shared" si="300"/>
        <v>750000</v>
      </c>
      <c r="V766" s="2023">
        <v>0</v>
      </c>
      <c r="W766" s="2023">
        <v>50</v>
      </c>
      <c r="X766" s="2023">
        <v>0</v>
      </c>
      <c r="Y766" s="2023">
        <v>999</v>
      </c>
      <c r="Z766" s="2026">
        <v>720</v>
      </c>
      <c r="AA766" s="2026">
        <v>999</v>
      </c>
      <c r="AB766" s="2026">
        <v>0</v>
      </c>
      <c r="AC766" s="2026">
        <v>999999</v>
      </c>
      <c r="AD766" s="2023">
        <v>0</v>
      </c>
      <c r="AE766" s="1482">
        <v>75</v>
      </c>
      <c r="AF766" s="170">
        <v>1</v>
      </c>
      <c r="AG766" s="171">
        <v>1</v>
      </c>
      <c r="AH766" s="171">
        <v>1</v>
      </c>
      <c r="AI766" s="171">
        <v>0</v>
      </c>
      <c r="AJ766" s="171">
        <v>1</v>
      </c>
      <c r="AK766" s="171">
        <v>1</v>
      </c>
      <c r="AL766" s="171">
        <v>1</v>
      </c>
      <c r="AM766" s="171">
        <v>1</v>
      </c>
      <c r="AN766" s="171">
        <v>1</v>
      </c>
      <c r="AO766" s="171">
        <v>1</v>
      </c>
      <c r="AP766" s="171">
        <v>1</v>
      </c>
      <c r="AQ766" s="171">
        <v>1</v>
      </c>
      <c r="AR766" s="171">
        <v>1</v>
      </c>
      <c r="AS766" s="171">
        <v>1</v>
      </c>
      <c r="AT766" s="171">
        <v>1</v>
      </c>
      <c r="AU766" s="171">
        <f t="shared" si="294"/>
        <v>0</v>
      </c>
      <c r="AV766" s="171">
        <f t="shared" si="295"/>
        <v>1</v>
      </c>
      <c r="AW766" s="171">
        <f t="shared" si="296"/>
        <v>1</v>
      </c>
      <c r="AX766" s="171">
        <f t="shared" si="305"/>
        <v>1</v>
      </c>
      <c r="AY766" s="171">
        <f t="shared" si="297"/>
        <v>1</v>
      </c>
      <c r="AZ766" s="171">
        <f t="shared" si="298"/>
        <v>1</v>
      </c>
      <c r="BA766" s="172">
        <f t="shared" si="299"/>
        <v>1</v>
      </c>
      <c r="BB766" s="175">
        <f t="shared" si="301"/>
        <v>20</v>
      </c>
      <c r="BC766" s="176">
        <f t="shared" si="302"/>
        <v>19</v>
      </c>
      <c r="BD766" s="176">
        <f t="shared" si="303"/>
        <v>19</v>
      </c>
      <c r="BE766" s="240" t="str">
        <f t="shared" si="304"/>
        <v/>
      </c>
      <c r="BF766" s="220"/>
      <c r="BG766" s="220"/>
      <c r="BH766" s="216">
        <f>IF(AND(Input_Product=Elig!$C766,Elig_MatchAll_Ct&lt;22,$BC766=(Elig_MatchAll_Ct-1),AF766=0),C766,0)</f>
        <v>0</v>
      </c>
      <c r="BI766" s="216">
        <f>IF(AND(Input_Product=Elig!$C766,Elig_MatchAll_Ct&lt;22,$BC766=(Elig_MatchAll_Ct-1),AG766=0),D766,0)</f>
        <v>0</v>
      </c>
      <c r="BJ766" s="216">
        <f>IF(AND(Input_Product=Elig!$C766,Elig_MatchAll_Ct&lt;22,$BC766=(Elig_MatchAll_Ct-1),AH766=0),E766,0)</f>
        <v>0</v>
      </c>
      <c r="BK766" s="216">
        <f>IF(AND(Input_Product=Elig!$C766,Elig_MatchAll_Ct&lt;22,$BC766=(Elig_MatchAll_Ct-1),AI766=0),F766,0)</f>
        <v>0</v>
      </c>
      <c r="BL766" s="216">
        <f>IF(AND(Input_Product=Elig!$C766,Elig_MatchAll_Ct&lt;22,$BC766=(Elig_MatchAll_Ct-1),AJ766=0),G766,0)</f>
        <v>0</v>
      </c>
      <c r="BM766" s="216">
        <f>IF(AND(Input_Product=Elig!$C766,Elig_MatchAll_Ct&lt;22,$BC766=(Elig_MatchAll_Ct-1),AK766=0),H766,0)</f>
        <v>0</v>
      </c>
      <c r="BN766" s="216">
        <f>IF(AND(Input_Product=Elig!$C766,Elig_MatchAll_Ct&lt;22,$BC766=(Elig_MatchAll_Ct-1),AL766=0),I766,0)</f>
        <v>0</v>
      </c>
      <c r="BO766" s="216">
        <f>IF(AND(Input_Product=Elig!$C766,Elig_MatchAll_Ct&lt;22,$BC766=(Elig_MatchAll_Ct-1),AM766=0),J766,0)</f>
        <v>0</v>
      </c>
      <c r="BP766" s="216">
        <f>IF(AND(Input_Product=Elig!$C766,Elig_MatchAll_Ct&lt;22,$BC766=(Elig_MatchAll_Ct-1),AN766=0),K766,0)</f>
        <v>0</v>
      </c>
      <c r="BQ766" s="216">
        <f>IF(AND(Input_Product=Elig!$C766,Elig_MatchAll_Ct&lt;22,$BC766=(Elig_MatchAll_Ct-1),AP766=0),L766,0)</f>
        <v>0</v>
      </c>
      <c r="BR766" s="216">
        <f>IF(AND(Input_Product=Elig!$C766,Elig_MatchAll_Ct&lt;22,$BC766=(Elig_MatchAll_Ct-1),AO766=0),M766,0)</f>
        <v>0</v>
      </c>
      <c r="BS766" s="216">
        <f>IF(AND(Input_Product=Elig!$C766,Elig_MatchAll_Ct&lt;22,$BC766=(Elig_MatchAll_Ct-1),AQ766=0),N766,0)</f>
        <v>0</v>
      </c>
      <c r="BT766" s="216">
        <f>IF(AND(Input_Product=Elig!$C766,Elig_MatchAll_Ct&lt;22,$BC766=(Elig_MatchAll_Ct-1),AR766=0),O766,0)</f>
        <v>0</v>
      </c>
      <c r="BU766" s="216">
        <f>IF(AND(Input_Product=Elig!$C766,Elig_MatchAll_Ct&lt;22,$BC766=(Elig_MatchAll_Ct-1),AS766=0),P766,0)</f>
        <v>0</v>
      </c>
      <c r="BV766" s="217">
        <f>IF(AND(Input_Product=Elig!$C766,Elig_MatchAll_Ct&lt;22,$BC766=(Elig_MatchAll_Ct-1),AT766=0),Q766,0)</f>
        <v>0</v>
      </c>
      <c r="BW766" s="313">
        <f>IF(AND(Input_Product=Elig!$C766,Elig_MatchAll_Ct&lt;22,$BC766=(Elig_MatchAll_Ct-1),AU766=0),R766,0)</f>
        <v>0</v>
      </c>
      <c r="BX766" s="314">
        <f>IF(AND(Input_Product=Elig!$C766,Elig_MatchAll_Ct&lt;22,$BC766=(Elig_MatchAll_Ct-1),AU766=0),S766,0)</f>
        <v>0</v>
      </c>
      <c r="BY766" s="313">
        <f>IF(AND(Input_Product=Elig!$C766,Elig_MatchAll_Ct&lt;22,$BC766=(Elig_MatchAll_Ct-1),AV766=0),T766,0)</f>
        <v>0</v>
      </c>
      <c r="BZ766" s="314">
        <f>IF(AND(Input_Product=Elig!$C766,Elig_MatchAll_Ct&lt;22,$BC766=(Elig_MatchAll_Ct-1),AV766=0),U766,0)</f>
        <v>0</v>
      </c>
      <c r="CA766" s="313">
        <f>IF(AND(Input_Product=Elig!$C766,Elig_MatchAll_Ct&lt;22,$BC766=(Elig_MatchAll_Ct-1),AW766=0),V766,0)</f>
        <v>0</v>
      </c>
      <c r="CB766" s="314">
        <f>IF(AND(Input_Product=Elig!$C766,Elig_MatchAll_Ct&lt;22,$BC766=(Elig_MatchAll_Ct-1),AW766=0),W766,0)</f>
        <v>0</v>
      </c>
      <c r="CC766" s="313">
        <f>IF(AND(Input_Product=Elig!$C766,Elig_MatchAll_Ct&lt;22,$BC766=(Elig_MatchAll_Ct-1),AX766=0),X766,0)</f>
        <v>0</v>
      </c>
      <c r="CD766" s="314">
        <f>IF(AND(Input_Product=Elig!$C766,Elig_MatchAll_Ct&lt;22,$BC766=(Elig_MatchAll_Ct-1),AX766=0),Y766,0)</f>
        <v>0</v>
      </c>
      <c r="CE766" s="313">
        <f>IF(AND(Input_LTV&lt;=AE766,Input_Product=Elig!$C766,Elig_MatchAll_Ct&lt;22,$BC766=(Elig_MatchAll_Ct-1),AY766=0),Z766,0)</f>
        <v>0</v>
      </c>
      <c r="CF766" s="314">
        <f>IF(AND(Input_LTV&lt;=AE766,Input_Product=Elig!$C766,Elig_MatchAll_Ct&lt;22,$BC766=(Elig_MatchAll_Ct-1),AY766=0),AA766,0)</f>
        <v>0</v>
      </c>
      <c r="CG766" s="313">
        <f>IF(AND(Input_Product=Elig!$C766,Elig_MatchAll_Ct&lt;22,$BC766=(Elig_MatchAll_Ct-1),AZ766=0),AB766,0)</f>
        <v>0</v>
      </c>
      <c r="CH766" s="314">
        <f>IF(AND(Input_Product=Elig!$C766,Elig_MatchAll_Ct&lt;22,$BC766=(Elig_MatchAll_Ct-1),AZ766=0),AC766,0)</f>
        <v>0</v>
      </c>
      <c r="CI766" s="313">
        <f>IF(AND(Input_Product=Elig!$C766,Elig_MatchAll_Ct&lt;22,$BC766=(Elig_MatchAll_Ct-1),BA766=0),AD766,0)</f>
        <v>0</v>
      </c>
      <c r="CJ766" s="314">
        <f>IF(AND(Input_Product=Elig!$C766,Elig_MatchAll_Ct&lt;22,$BC766=(Elig_MatchAll_Ct-1),BA766=0),AE766,0)</f>
        <v>0</v>
      </c>
    </row>
    <row r="767" spans="2:88" ht="10.15" customHeight="1" x14ac:dyDescent="0.25">
      <c r="B767" s="2027" t="s">
        <v>4064</v>
      </c>
      <c r="C767" s="2028" t="str">
        <f t="shared" si="279"/>
        <v>Second OO</v>
      </c>
      <c r="D767" s="2027" t="s">
        <v>1569</v>
      </c>
      <c r="E767" s="2027" t="s">
        <v>98</v>
      </c>
      <c r="F767" s="2027" t="s">
        <v>329</v>
      </c>
      <c r="G767" s="2029" t="s">
        <v>303</v>
      </c>
      <c r="H767" s="2029" t="s">
        <v>136</v>
      </c>
      <c r="I767" s="2027" t="s">
        <v>1332</v>
      </c>
      <c r="J767" s="2027" t="s">
        <v>1311</v>
      </c>
      <c r="K767" s="2029" t="s">
        <v>1790</v>
      </c>
      <c r="L767" s="2027" t="s">
        <v>430</v>
      </c>
      <c r="M767" s="2027" t="s">
        <v>2677</v>
      </c>
      <c r="N767" s="2029" t="s">
        <v>82</v>
      </c>
      <c r="O767" s="2027" t="s">
        <v>310</v>
      </c>
      <c r="P767" s="2027" t="s">
        <v>291</v>
      </c>
      <c r="Q767" s="2027" t="s">
        <v>294</v>
      </c>
      <c r="R767" s="300">
        <v>500000.01</v>
      </c>
      <c r="S767" s="300">
        <v>750000</v>
      </c>
      <c r="T767" s="2027">
        <v>0</v>
      </c>
      <c r="U767" s="2027">
        <f t="shared" si="300"/>
        <v>750000</v>
      </c>
      <c r="V767" s="2027">
        <v>0</v>
      </c>
      <c r="W767" s="2027">
        <v>50</v>
      </c>
      <c r="X767" s="2027">
        <v>0</v>
      </c>
      <c r="Y767" s="2027">
        <v>999</v>
      </c>
      <c r="Z767" s="2030">
        <v>700</v>
      </c>
      <c r="AA767" s="2030">
        <v>719</v>
      </c>
      <c r="AB767" s="2030">
        <v>0</v>
      </c>
      <c r="AC767" s="2030">
        <v>999999</v>
      </c>
      <c r="AD767" s="2027">
        <v>0</v>
      </c>
      <c r="AE767" s="1483">
        <v>70</v>
      </c>
      <c r="AF767" s="170">
        <v>1</v>
      </c>
      <c r="AG767" s="171">
        <v>1</v>
      </c>
      <c r="AH767" s="171">
        <v>1</v>
      </c>
      <c r="AI767" s="171">
        <v>0</v>
      </c>
      <c r="AJ767" s="171">
        <v>1</v>
      </c>
      <c r="AK767" s="171">
        <v>1</v>
      </c>
      <c r="AL767" s="171">
        <v>1</v>
      </c>
      <c r="AM767" s="171">
        <v>1</v>
      </c>
      <c r="AN767" s="171">
        <v>1</v>
      </c>
      <c r="AO767" s="171">
        <v>1</v>
      </c>
      <c r="AP767" s="171">
        <v>1</v>
      </c>
      <c r="AQ767" s="171">
        <v>1</v>
      </c>
      <c r="AR767" s="171">
        <v>1</v>
      </c>
      <c r="AS767" s="171">
        <v>1</v>
      </c>
      <c r="AT767" s="171">
        <v>1</v>
      </c>
      <c r="AU767" s="171">
        <f t="shared" si="294"/>
        <v>0</v>
      </c>
      <c r="AV767" s="171">
        <f t="shared" si="295"/>
        <v>1</v>
      </c>
      <c r="AW767" s="171">
        <f t="shared" si="296"/>
        <v>1</v>
      </c>
      <c r="AX767" s="171">
        <f t="shared" si="305"/>
        <v>1</v>
      </c>
      <c r="AY767" s="171">
        <f t="shared" si="297"/>
        <v>0</v>
      </c>
      <c r="AZ767" s="171">
        <f t="shared" si="298"/>
        <v>1</v>
      </c>
      <c r="BA767" s="172">
        <f t="shared" si="299"/>
        <v>1</v>
      </c>
      <c r="BB767" s="175">
        <f t="shared" si="301"/>
        <v>19</v>
      </c>
      <c r="BC767" s="176">
        <f t="shared" si="302"/>
        <v>18</v>
      </c>
      <c r="BD767" s="176">
        <f t="shared" si="303"/>
        <v>18</v>
      </c>
      <c r="BE767" s="240" t="str">
        <f t="shared" si="304"/>
        <v/>
      </c>
      <c r="BF767" s="234"/>
      <c r="BG767" s="234"/>
      <c r="BH767" s="199">
        <f>IF(AND(Input_Product=Elig!$C767,Elig_MatchAll_Ct&lt;22,$BC767=(Elig_MatchAll_Ct-1),AF767=0),C767,0)</f>
        <v>0</v>
      </c>
      <c r="BI767" s="199">
        <f>IF(AND(Input_Product=Elig!$C767,Elig_MatchAll_Ct&lt;22,$BC767=(Elig_MatchAll_Ct-1),AG767=0),D767,0)</f>
        <v>0</v>
      </c>
      <c r="BJ767" s="199">
        <f>IF(AND(Input_Product=Elig!$C767,Elig_MatchAll_Ct&lt;22,$BC767=(Elig_MatchAll_Ct-1),AH767=0),E767,0)</f>
        <v>0</v>
      </c>
      <c r="BK767" s="199">
        <f>IF(AND(Input_Product=Elig!$C767,Elig_MatchAll_Ct&lt;22,$BC767=(Elig_MatchAll_Ct-1),AI767=0),F767,0)</f>
        <v>0</v>
      </c>
      <c r="BL767" s="199">
        <f>IF(AND(Input_Product=Elig!$C767,Elig_MatchAll_Ct&lt;22,$BC767=(Elig_MatchAll_Ct-1),AJ767=0),G767,0)</f>
        <v>0</v>
      </c>
      <c r="BM767" s="199">
        <f>IF(AND(Input_Product=Elig!$C767,Elig_MatchAll_Ct&lt;22,$BC767=(Elig_MatchAll_Ct-1),AK767=0),H767,0)</f>
        <v>0</v>
      </c>
      <c r="BN767" s="199">
        <f>IF(AND(Input_Product=Elig!$C767,Elig_MatchAll_Ct&lt;22,$BC767=(Elig_MatchAll_Ct-1),AL767=0),I767,0)</f>
        <v>0</v>
      </c>
      <c r="BO767" s="199">
        <f>IF(AND(Input_Product=Elig!$C767,Elig_MatchAll_Ct&lt;22,$BC767=(Elig_MatchAll_Ct-1),AM767=0),J767,0)</f>
        <v>0</v>
      </c>
      <c r="BP767" s="199">
        <f>IF(AND(Input_Product=Elig!$C767,Elig_MatchAll_Ct&lt;22,$BC767=(Elig_MatchAll_Ct-1),AN767=0),K767,0)</f>
        <v>0</v>
      </c>
      <c r="BQ767" s="199">
        <f>IF(AND(Input_Product=Elig!$C767,Elig_MatchAll_Ct&lt;22,$BC767=(Elig_MatchAll_Ct-1),AP767=0),L767,0)</f>
        <v>0</v>
      </c>
      <c r="BR767" s="199">
        <f>IF(AND(Input_Product=Elig!$C767,Elig_MatchAll_Ct&lt;22,$BC767=(Elig_MatchAll_Ct-1),AO767=0),M767,0)</f>
        <v>0</v>
      </c>
      <c r="BS767" s="199">
        <f>IF(AND(Input_Product=Elig!$C767,Elig_MatchAll_Ct&lt;22,$BC767=(Elig_MatchAll_Ct-1),AQ767=0),N767,0)</f>
        <v>0</v>
      </c>
      <c r="BT767" s="199">
        <f>IF(AND(Input_Product=Elig!$C767,Elig_MatchAll_Ct&lt;22,$BC767=(Elig_MatchAll_Ct-1),AR767=0),O767,0)</f>
        <v>0</v>
      </c>
      <c r="BU767" s="199">
        <f>IF(AND(Input_Product=Elig!$C767,Elig_MatchAll_Ct&lt;22,$BC767=(Elig_MatchAll_Ct-1),AS767=0),P767,0)</f>
        <v>0</v>
      </c>
      <c r="BV767" s="200">
        <f>IF(AND(Input_Product=Elig!$C767,Elig_MatchAll_Ct&lt;22,$BC767=(Elig_MatchAll_Ct-1),AT767=0),Q767,0)</f>
        <v>0</v>
      </c>
      <c r="BW767" s="201">
        <f>IF(AND(Input_Product=Elig!$C767,Elig_MatchAll_Ct&lt;22,$BC767=(Elig_MatchAll_Ct-1),AU767=0),R767,0)</f>
        <v>0</v>
      </c>
      <c r="BX767" s="202">
        <f>IF(AND(Input_Product=Elig!$C767,Elig_MatchAll_Ct&lt;22,$BC767=(Elig_MatchAll_Ct-1),AU767=0),S767,0)</f>
        <v>0</v>
      </c>
      <c r="BY767" s="201">
        <f>IF(AND(Input_Product=Elig!$C767,Elig_MatchAll_Ct&lt;22,$BC767=(Elig_MatchAll_Ct-1),AV767=0),T767,0)</f>
        <v>0</v>
      </c>
      <c r="BZ767" s="202">
        <f>IF(AND(Input_Product=Elig!$C767,Elig_MatchAll_Ct&lt;22,$BC767=(Elig_MatchAll_Ct-1),AV767=0),U767,0)</f>
        <v>0</v>
      </c>
      <c r="CA767" s="201">
        <f>IF(AND(Input_Product=Elig!$C767,Elig_MatchAll_Ct&lt;22,$BC767=(Elig_MatchAll_Ct-1),AW767=0),V767,0)</f>
        <v>0</v>
      </c>
      <c r="CB767" s="202">
        <f>IF(AND(Input_Product=Elig!$C767,Elig_MatchAll_Ct&lt;22,$BC767=(Elig_MatchAll_Ct-1),AW767=0),W767,0)</f>
        <v>0</v>
      </c>
      <c r="CC767" s="201">
        <f>IF(AND(Input_Product=Elig!$C767,Elig_MatchAll_Ct&lt;22,$BC767=(Elig_MatchAll_Ct-1),AX767=0),X767,0)</f>
        <v>0</v>
      </c>
      <c r="CD767" s="202">
        <f>IF(AND(Input_Product=Elig!$C767,Elig_MatchAll_Ct&lt;22,$BC767=(Elig_MatchAll_Ct-1),AX767=0),Y767,0)</f>
        <v>0</v>
      </c>
      <c r="CE767" s="201">
        <f>IF(AND(Input_LTV&lt;=AE767,Input_Product=Elig!$C767,Elig_MatchAll_Ct&lt;22,$BC767=(Elig_MatchAll_Ct-1),AY767=0),Z767,0)</f>
        <v>0</v>
      </c>
      <c r="CF767" s="202">
        <f>IF(AND(Input_LTV&lt;=AE767,Input_Product=Elig!$C767,Elig_MatchAll_Ct&lt;22,$BC767=(Elig_MatchAll_Ct-1),AY767=0),AA767,0)</f>
        <v>0</v>
      </c>
      <c r="CG767" s="201">
        <f>IF(AND(Input_Product=Elig!$C767,Elig_MatchAll_Ct&lt;22,$BC767=(Elig_MatchAll_Ct-1),AZ767=0),AB767,0)</f>
        <v>0</v>
      </c>
      <c r="CH767" s="202">
        <f>IF(AND(Input_Product=Elig!$C767,Elig_MatchAll_Ct&lt;22,$BC767=(Elig_MatchAll_Ct-1),AZ767=0),AC767,0)</f>
        <v>0</v>
      </c>
      <c r="CI767" s="201">
        <f>IF(AND(Input_Product=Elig!$C767,Elig_MatchAll_Ct&lt;22,$BC767=(Elig_MatchAll_Ct-1),BA767=0),AD767,0)</f>
        <v>0</v>
      </c>
      <c r="CJ767" s="202">
        <f>IF(AND(Input_Product=Elig!$C767,Elig_MatchAll_Ct&lt;22,$BC767=(Elig_MatchAll_Ct-1),BA767=0),AE767,0)</f>
        <v>0</v>
      </c>
    </row>
    <row r="768" spans="2:88" ht="10.15" customHeight="1" x14ac:dyDescent="0.25">
      <c r="B768" s="2027" t="s">
        <v>4065</v>
      </c>
      <c r="C768" s="2028" t="str">
        <f t="shared" si="279"/>
        <v>Second OO</v>
      </c>
      <c r="D768" s="2027" t="s">
        <v>1569</v>
      </c>
      <c r="E768" s="2027" t="s">
        <v>98</v>
      </c>
      <c r="F768" s="2027" t="s">
        <v>329</v>
      </c>
      <c r="G768" s="2029" t="s">
        <v>303</v>
      </c>
      <c r="H768" s="2029" t="s">
        <v>136</v>
      </c>
      <c r="I768" s="2027" t="s">
        <v>1332</v>
      </c>
      <c r="J768" s="2027" t="s">
        <v>1311</v>
      </c>
      <c r="K768" s="2029" t="s">
        <v>1790</v>
      </c>
      <c r="L768" s="2027" t="s">
        <v>430</v>
      </c>
      <c r="M768" s="2027" t="s">
        <v>2677</v>
      </c>
      <c r="N768" s="2029" t="s">
        <v>82</v>
      </c>
      <c r="O768" s="2027" t="s">
        <v>310</v>
      </c>
      <c r="P768" s="2027" t="s">
        <v>291</v>
      </c>
      <c r="Q768" s="2027" t="s">
        <v>294</v>
      </c>
      <c r="R768" s="300">
        <v>500000.01</v>
      </c>
      <c r="S768" s="300">
        <v>750000</v>
      </c>
      <c r="T768" s="2027">
        <v>0</v>
      </c>
      <c r="U768" s="2027">
        <f t="shared" si="300"/>
        <v>750000</v>
      </c>
      <c r="V768" s="2027">
        <v>0</v>
      </c>
      <c r="W768" s="2027">
        <v>50</v>
      </c>
      <c r="X768" s="2027">
        <v>0</v>
      </c>
      <c r="Y768" s="2027">
        <v>999</v>
      </c>
      <c r="Z768" s="2030">
        <v>680</v>
      </c>
      <c r="AA768" s="2030">
        <v>699</v>
      </c>
      <c r="AB768" s="2030">
        <v>0</v>
      </c>
      <c r="AC768" s="2030">
        <v>999999</v>
      </c>
      <c r="AD768" s="2027">
        <v>0</v>
      </c>
      <c r="AE768" s="1483">
        <v>65</v>
      </c>
      <c r="AF768" s="170">
        <v>1</v>
      </c>
      <c r="AG768" s="171">
        <v>1</v>
      </c>
      <c r="AH768" s="171">
        <v>1</v>
      </c>
      <c r="AI768" s="171">
        <v>0</v>
      </c>
      <c r="AJ768" s="171">
        <v>1</v>
      </c>
      <c r="AK768" s="171">
        <v>1</v>
      </c>
      <c r="AL768" s="171">
        <v>1</v>
      </c>
      <c r="AM768" s="171">
        <v>1</v>
      </c>
      <c r="AN768" s="171">
        <v>1</v>
      </c>
      <c r="AO768" s="171">
        <v>1</v>
      </c>
      <c r="AP768" s="171">
        <v>1</v>
      </c>
      <c r="AQ768" s="171">
        <v>1</v>
      </c>
      <c r="AR768" s="171">
        <v>1</v>
      </c>
      <c r="AS768" s="171">
        <v>1</v>
      </c>
      <c r="AT768" s="171">
        <v>1</v>
      </c>
      <c r="AU768" s="171">
        <f t="shared" si="294"/>
        <v>0</v>
      </c>
      <c r="AV768" s="171">
        <f t="shared" si="295"/>
        <v>1</v>
      </c>
      <c r="AW768" s="171">
        <f t="shared" si="296"/>
        <v>1</v>
      </c>
      <c r="AX768" s="171">
        <f t="shared" si="305"/>
        <v>1</v>
      </c>
      <c r="AY768" s="171">
        <f t="shared" si="297"/>
        <v>0</v>
      </c>
      <c r="AZ768" s="171">
        <f t="shared" si="298"/>
        <v>1</v>
      </c>
      <c r="BA768" s="172">
        <f t="shared" si="299"/>
        <v>1</v>
      </c>
      <c r="BB768" s="175">
        <f t="shared" si="301"/>
        <v>19</v>
      </c>
      <c r="BC768" s="176">
        <f t="shared" si="302"/>
        <v>18</v>
      </c>
      <c r="BD768" s="176">
        <f t="shared" si="303"/>
        <v>18</v>
      </c>
      <c r="BE768" s="240" t="str">
        <f t="shared" si="304"/>
        <v/>
      </c>
      <c r="BF768" s="234"/>
      <c r="BG768" s="234"/>
      <c r="BH768" s="199">
        <f>IF(AND(Input_Product=Elig!$C768,Elig_MatchAll_Ct&lt;22,$BC768=(Elig_MatchAll_Ct-1),AF768=0),C768,0)</f>
        <v>0</v>
      </c>
      <c r="BI768" s="199">
        <f>IF(AND(Input_Product=Elig!$C768,Elig_MatchAll_Ct&lt;22,$BC768=(Elig_MatchAll_Ct-1),AG768=0),D768,0)</f>
        <v>0</v>
      </c>
      <c r="BJ768" s="199">
        <f>IF(AND(Input_Product=Elig!$C768,Elig_MatchAll_Ct&lt;22,$BC768=(Elig_MatchAll_Ct-1),AH768=0),E768,0)</f>
        <v>0</v>
      </c>
      <c r="BK768" s="199">
        <f>IF(AND(Input_Product=Elig!$C768,Elig_MatchAll_Ct&lt;22,$BC768=(Elig_MatchAll_Ct-1),AI768=0),F768,0)</f>
        <v>0</v>
      </c>
      <c r="BL768" s="199">
        <f>IF(AND(Input_Product=Elig!$C768,Elig_MatchAll_Ct&lt;22,$BC768=(Elig_MatchAll_Ct-1),AJ768=0),G768,0)</f>
        <v>0</v>
      </c>
      <c r="BM768" s="199">
        <f>IF(AND(Input_Product=Elig!$C768,Elig_MatchAll_Ct&lt;22,$BC768=(Elig_MatchAll_Ct-1),AK768=0),H768,0)</f>
        <v>0</v>
      </c>
      <c r="BN768" s="199">
        <f>IF(AND(Input_Product=Elig!$C768,Elig_MatchAll_Ct&lt;22,$BC768=(Elig_MatchAll_Ct-1),AL768=0),I768,0)</f>
        <v>0</v>
      </c>
      <c r="BO768" s="199">
        <f>IF(AND(Input_Product=Elig!$C768,Elig_MatchAll_Ct&lt;22,$BC768=(Elig_MatchAll_Ct-1),AM768=0),J768,0)</f>
        <v>0</v>
      </c>
      <c r="BP768" s="199">
        <f>IF(AND(Input_Product=Elig!$C768,Elig_MatchAll_Ct&lt;22,$BC768=(Elig_MatchAll_Ct-1),AN768=0),K768,0)</f>
        <v>0</v>
      </c>
      <c r="BQ768" s="199">
        <f>IF(AND(Input_Product=Elig!$C768,Elig_MatchAll_Ct&lt;22,$BC768=(Elig_MatchAll_Ct-1),AP768=0),L768,0)</f>
        <v>0</v>
      </c>
      <c r="BR768" s="199">
        <f>IF(AND(Input_Product=Elig!$C768,Elig_MatchAll_Ct&lt;22,$BC768=(Elig_MatchAll_Ct-1),AO768=0),M768,0)</f>
        <v>0</v>
      </c>
      <c r="BS768" s="199">
        <f>IF(AND(Input_Product=Elig!$C768,Elig_MatchAll_Ct&lt;22,$BC768=(Elig_MatchAll_Ct-1),AQ768=0),N768,0)</f>
        <v>0</v>
      </c>
      <c r="BT768" s="199">
        <f>IF(AND(Input_Product=Elig!$C768,Elig_MatchAll_Ct&lt;22,$BC768=(Elig_MatchAll_Ct-1),AR768=0),O768,0)</f>
        <v>0</v>
      </c>
      <c r="BU768" s="199">
        <f>IF(AND(Input_Product=Elig!$C768,Elig_MatchAll_Ct&lt;22,$BC768=(Elig_MatchAll_Ct-1),AS768=0),P768,0)</f>
        <v>0</v>
      </c>
      <c r="BV768" s="200">
        <f>IF(AND(Input_Product=Elig!$C768,Elig_MatchAll_Ct&lt;22,$BC768=(Elig_MatchAll_Ct-1),AT768=0),Q768,0)</f>
        <v>0</v>
      </c>
      <c r="BW768" s="201">
        <f>IF(AND(Input_Product=Elig!$C768,Elig_MatchAll_Ct&lt;22,$BC768=(Elig_MatchAll_Ct-1),AU768=0),R768,0)</f>
        <v>0</v>
      </c>
      <c r="BX768" s="202">
        <f>IF(AND(Input_Product=Elig!$C768,Elig_MatchAll_Ct&lt;22,$BC768=(Elig_MatchAll_Ct-1),AU768=0),S768,0)</f>
        <v>0</v>
      </c>
      <c r="BY768" s="201">
        <f>IF(AND(Input_Product=Elig!$C768,Elig_MatchAll_Ct&lt;22,$BC768=(Elig_MatchAll_Ct-1),AV768=0),T768,0)</f>
        <v>0</v>
      </c>
      <c r="BZ768" s="202">
        <f>IF(AND(Input_Product=Elig!$C768,Elig_MatchAll_Ct&lt;22,$BC768=(Elig_MatchAll_Ct-1),AV768=0),U768,0)</f>
        <v>0</v>
      </c>
      <c r="CA768" s="201">
        <f>IF(AND(Input_Product=Elig!$C768,Elig_MatchAll_Ct&lt;22,$BC768=(Elig_MatchAll_Ct-1),AW768=0),V768,0)</f>
        <v>0</v>
      </c>
      <c r="CB768" s="202">
        <f>IF(AND(Input_Product=Elig!$C768,Elig_MatchAll_Ct&lt;22,$BC768=(Elig_MatchAll_Ct-1),AW768=0),W768,0)</f>
        <v>0</v>
      </c>
      <c r="CC768" s="201">
        <f>IF(AND(Input_Product=Elig!$C768,Elig_MatchAll_Ct&lt;22,$BC768=(Elig_MatchAll_Ct-1),AX768=0),X768,0)</f>
        <v>0</v>
      </c>
      <c r="CD768" s="202">
        <f>IF(AND(Input_Product=Elig!$C768,Elig_MatchAll_Ct&lt;22,$BC768=(Elig_MatchAll_Ct-1),AX768=0),Y768,0)</f>
        <v>0</v>
      </c>
      <c r="CE768" s="201">
        <f>IF(AND(Input_LTV&lt;=AE768,Input_Product=Elig!$C768,Elig_MatchAll_Ct&lt;22,$BC768=(Elig_MatchAll_Ct-1),AY768=0),Z768,0)</f>
        <v>0</v>
      </c>
      <c r="CF768" s="202">
        <f>IF(AND(Input_LTV&lt;=AE768,Input_Product=Elig!$C768,Elig_MatchAll_Ct&lt;22,$BC768=(Elig_MatchAll_Ct-1),AY768=0),AA768,0)</f>
        <v>0</v>
      </c>
      <c r="CG768" s="201">
        <f>IF(AND(Input_Product=Elig!$C768,Elig_MatchAll_Ct&lt;22,$BC768=(Elig_MatchAll_Ct-1),AZ768=0),AB768,0)</f>
        <v>0</v>
      </c>
      <c r="CH768" s="202">
        <f>IF(AND(Input_Product=Elig!$C768,Elig_MatchAll_Ct&lt;22,$BC768=(Elig_MatchAll_Ct-1),AZ768=0),AC768,0)</f>
        <v>0</v>
      </c>
      <c r="CI768" s="201">
        <f>IF(AND(Input_Product=Elig!$C768,Elig_MatchAll_Ct&lt;22,$BC768=(Elig_MatchAll_Ct-1),BA768=0),AD768,0)</f>
        <v>0</v>
      </c>
      <c r="CJ768" s="202">
        <f>IF(AND(Input_Product=Elig!$C768,Elig_MatchAll_Ct&lt;22,$BC768=(Elig_MatchAll_Ct-1),BA768=0),AE768,0)</f>
        <v>0</v>
      </c>
    </row>
    <row r="769" spans="2:88" ht="10.15" customHeight="1" x14ac:dyDescent="0.25">
      <c r="B769" s="2027" t="s">
        <v>4066</v>
      </c>
      <c r="C769" s="2032" t="str">
        <f t="shared" si="279"/>
        <v>Second OO</v>
      </c>
      <c r="D769" s="2031" t="s">
        <v>1569</v>
      </c>
      <c r="E769" s="2031" t="s">
        <v>98</v>
      </c>
      <c r="F769" s="2031" t="s">
        <v>329</v>
      </c>
      <c r="G769" s="2033" t="s">
        <v>303</v>
      </c>
      <c r="H769" s="2033" t="s">
        <v>136</v>
      </c>
      <c r="I769" s="2031" t="s">
        <v>1332</v>
      </c>
      <c r="J769" s="2031" t="s">
        <v>1311</v>
      </c>
      <c r="K769" s="2033" t="s">
        <v>1790</v>
      </c>
      <c r="L769" s="2031" t="s">
        <v>430</v>
      </c>
      <c r="M769" s="2031" t="s">
        <v>2677</v>
      </c>
      <c r="N769" s="2033" t="s">
        <v>82</v>
      </c>
      <c r="O769" s="2031" t="s">
        <v>310</v>
      </c>
      <c r="P769" s="2031" t="s">
        <v>291</v>
      </c>
      <c r="Q769" s="2031" t="s">
        <v>294</v>
      </c>
      <c r="R769" s="324">
        <v>500000.01</v>
      </c>
      <c r="S769" s="324">
        <v>750000</v>
      </c>
      <c r="T769" s="2031">
        <v>0</v>
      </c>
      <c r="U769" s="2031">
        <f t="shared" si="300"/>
        <v>750000</v>
      </c>
      <c r="V769" s="2031">
        <v>0</v>
      </c>
      <c r="W769" s="2031">
        <v>50</v>
      </c>
      <c r="X769" s="2031">
        <v>0</v>
      </c>
      <c r="Y769" s="2031">
        <v>999</v>
      </c>
      <c r="Z769" s="2034">
        <v>660</v>
      </c>
      <c r="AA769" s="2034">
        <v>679</v>
      </c>
      <c r="AB769" s="2034">
        <v>0</v>
      </c>
      <c r="AC769" s="2034">
        <v>999999</v>
      </c>
      <c r="AD769" s="2031">
        <v>0</v>
      </c>
      <c r="AE769" s="1484">
        <v>60</v>
      </c>
      <c r="AF769" s="170">
        <v>1</v>
      </c>
      <c r="AG769" s="171">
        <v>1</v>
      </c>
      <c r="AH769" s="171">
        <v>1</v>
      </c>
      <c r="AI769" s="171">
        <v>0</v>
      </c>
      <c r="AJ769" s="171">
        <v>1</v>
      </c>
      <c r="AK769" s="171">
        <v>1</v>
      </c>
      <c r="AL769" s="171">
        <v>1</v>
      </c>
      <c r="AM769" s="171">
        <v>1</v>
      </c>
      <c r="AN769" s="171">
        <v>1</v>
      </c>
      <c r="AO769" s="171">
        <v>1</v>
      </c>
      <c r="AP769" s="171">
        <v>1</v>
      </c>
      <c r="AQ769" s="171">
        <v>1</v>
      </c>
      <c r="AR769" s="171">
        <v>1</v>
      </c>
      <c r="AS769" s="171">
        <v>1</v>
      </c>
      <c r="AT769" s="171">
        <v>1</v>
      </c>
      <c r="AU769" s="171">
        <f t="shared" si="294"/>
        <v>0</v>
      </c>
      <c r="AV769" s="171">
        <f t="shared" si="295"/>
        <v>1</v>
      </c>
      <c r="AW769" s="171">
        <f t="shared" si="296"/>
        <v>1</v>
      </c>
      <c r="AX769" s="171">
        <f t="shared" si="305"/>
        <v>1</v>
      </c>
      <c r="AY769" s="171">
        <f t="shared" si="297"/>
        <v>0</v>
      </c>
      <c r="AZ769" s="171">
        <f t="shared" si="298"/>
        <v>1</v>
      </c>
      <c r="BA769" s="172">
        <f t="shared" si="299"/>
        <v>0</v>
      </c>
      <c r="BB769" s="175">
        <f t="shared" si="301"/>
        <v>18</v>
      </c>
      <c r="BC769" s="176">
        <f t="shared" si="302"/>
        <v>18</v>
      </c>
      <c r="BD769" s="176">
        <f t="shared" si="303"/>
        <v>17</v>
      </c>
      <c r="BE769" s="240" t="str">
        <f t="shared" si="304"/>
        <v/>
      </c>
      <c r="BF769" s="234"/>
      <c r="BG769" s="234"/>
      <c r="BH769" s="214">
        <f>IF(AND(Input_Product=Elig!$C769,Elig_MatchAll_Ct&lt;22,$BC769=(Elig_MatchAll_Ct-1),AF769=0),C769,0)</f>
        <v>0</v>
      </c>
      <c r="BI769" s="214">
        <f>IF(AND(Input_Product=Elig!$C769,Elig_MatchAll_Ct&lt;22,$BC769=(Elig_MatchAll_Ct-1),AG769=0),D769,0)</f>
        <v>0</v>
      </c>
      <c r="BJ769" s="214">
        <f>IF(AND(Input_Product=Elig!$C769,Elig_MatchAll_Ct&lt;22,$BC769=(Elig_MatchAll_Ct-1),AH769=0),E769,0)</f>
        <v>0</v>
      </c>
      <c r="BK769" s="214">
        <f>IF(AND(Input_Product=Elig!$C769,Elig_MatchAll_Ct&lt;22,$BC769=(Elig_MatchAll_Ct-1),AI769=0),F769,0)</f>
        <v>0</v>
      </c>
      <c r="BL769" s="214">
        <f>IF(AND(Input_Product=Elig!$C769,Elig_MatchAll_Ct&lt;22,$BC769=(Elig_MatchAll_Ct-1),AJ769=0),G769,0)</f>
        <v>0</v>
      </c>
      <c r="BM769" s="214">
        <f>IF(AND(Input_Product=Elig!$C769,Elig_MatchAll_Ct&lt;22,$BC769=(Elig_MatchAll_Ct-1),AK769=0),H769,0)</f>
        <v>0</v>
      </c>
      <c r="BN769" s="214">
        <f>IF(AND(Input_Product=Elig!$C769,Elig_MatchAll_Ct&lt;22,$BC769=(Elig_MatchAll_Ct-1),AL769=0),I769,0)</f>
        <v>0</v>
      </c>
      <c r="BO769" s="214">
        <f>IF(AND(Input_Product=Elig!$C769,Elig_MatchAll_Ct&lt;22,$BC769=(Elig_MatchAll_Ct-1),AM769=0),J769,0)</f>
        <v>0</v>
      </c>
      <c r="BP769" s="214">
        <f>IF(AND(Input_Product=Elig!$C769,Elig_MatchAll_Ct&lt;22,$BC769=(Elig_MatchAll_Ct-1),AN769=0),K769,0)</f>
        <v>0</v>
      </c>
      <c r="BQ769" s="214">
        <f>IF(AND(Input_Product=Elig!$C769,Elig_MatchAll_Ct&lt;22,$BC769=(Elig_MatchAll_Ct-1),AP769=0),L769,0)</f>
        <v>0</v>
      </c>
      <c r="BR769" s="214">
        <f>IF(AND(Input_Product=Elig!$C769,Elig_MatchAll_Ct&lt;22,$BC769=(Elig_MatchAll_Ct-1),AO769=0),M769,0)</f>
        <v>0</v>
      </c>
      <c r="BS769" s="214">
        <f>IF(AND(Input_Product=Elig!$C769,Elig_MatchAll_Ct&lt;22,$BC769=(Elig_MatchAll_Ct-1),AQ769=0),N769,0)</f>
        <v>0</v>
      </c>
      <c r="BT769" s="214">
        <f>IF(AND(Input_Product=Elig!$C769,Elig_MatchAll_Ct&lt;22,$BC769=(Elig_MatchAll_Ct-1),AR769=0),O769,0)</f>
        <v>0</v>
      </c>
      <c r="BU769" s="214">
        <f>IF(AND(Input_Product=Elig!$C769,Elig_MatchAll_Ct&lt;22,$BC769=(Elig_MatchAll_Ct-1),AS769=0),P769,0)</f>
        <v>0</v>
      </c>
      <c r="BV769" s="215">
        <f>IF(AND(Input_Product=Elig!$C769,Elig_MatchAll_Ct&lt;22,$BC769=(Elig_MatchAll_Ct-1),AT769=0),Q769,0)</f>
        <v>0</v>
      </c>
      <c r="BW769" s="311">
        <f>IF(AND(Input_Product=Elig!$C769,Elig_MatchAll_Ct&lt;22,$BC769=(Elig_MatchAll_Ct-1),AU769=0),R769,0)</f>
        <v>0</v>
      </c>
      <c r="BX769" s="312">
        <f>IF(AND(Input_Product=Elig!$C769,Elig_MatchAll_Ct&lt;22,$BC769=(Elig_MatchAll_Ct-1),AU769=0),S769,0)</f>
        <v>0</v>
      </c>
      <c r="BY769" s="311">
        <f>IF(AND(Input_Product=Elig!$C769,Elig_MatchAll_Ct&lt;22,$BC769=(Elig_MatchAll_Ct-1),AV769=0),T769,0)</f>
        <v>0</v>
      </c>
      <c r="BZ769" s="312">
        <f>IF(AND(Input_Product=Elig!$C769,Elig_MatchAll_Ct&lt;22,$BC769=(Elig_MatchAll_Ct-1),AV769=0),U769,0)</f>
        <v>0</v>
      </c>
      <c r="CA769" s="311">
        <f>IF(AND(Input_Product=Elig!$C769,Elig_MatchAll_Ct&lt;22,$BC769=(Elig_MatchAll_Ct-1),AW769=0),V769,0)</f>
        <v>0</v>
      </c>
      <c r="CB769" s="312">
        <f>IF(AND(Input_Product=Elig!$C769,Elig_MatchAll_Ct&lt;22,$BC769=(Elig_MatchAll_Ct-1),AW769=0),W769,0)</f>
        <v>0</v>
      </c>
      <c r="CC769" s="311">
        <f>IF(AND(Input_Product=Elig!$C769,Elig_MatchAll_Ct&lt;22,$BC769=(Elig_MatchAll_Ct-1),AX769=0),X769,0)</f>
        <v>0</v>
      </c>
      <c r="CD769" s="312">
        <f>IF(AND(Input_Product=Elig!$C769,Elig_MatchAll_Ct&lt;22,$BC769=(Elig_MatchAll_Ct-1),AX769=0),Y769,0)</f>
        <v>0</v>
      </c>
      <c r="CE769" s="311">
        <f>IF(AND(Input_LTV&lt;=AE769,Input_Product=Elig!$C769,Elig_MatchAll_Ct&lt;22,$BC769=(Elig_MatchAll_Ct-1),AY769=0),Z769,0)</f>
        <v>0</v>
      </c>
      <c r="CF769" s="312">
        <f>IF(AND(Input_LTV&lt;=AE769,Input_Product=Elig!$C769,Elig_MatchAll_Ct&lt;22,$BC769=(Elig_MatchAll_Ct-1),AY769=0),AA769,0)</f>
        <v>0</v>
      </c>
      <c r="CG769" s="311">
        <f>IF(AND(Input_Product=Elig!$C769,Elig_MatchAll_Ct&lt;22,$BC769=(Elig_MatchAll_Ct-1),AZ769=0),AB769,0)</f>
        <v>0</v>
      </c>
      <c r="CH769" s="312">
        <f>IF(AND(Input_Product=Elig!$C769,Elig_MatchAll_Ct&lt;22,$BC769=(Elig_MatchAll_Ct-1),AZ769=0),AC769,0)</f>
        <v>0</v>
      </c>
      <c r="CI769" s="311">
        <f>IF(AND(Input_Product=Elig!$C769,Elig_MatchAll_Ct&lt;22,$BC769=(Elig_MatchAll_Ct-1),BA769=0),AD769,0)</f>
        <v>0</v>
      </c>
      <c r="CJ769" s="312">
        <f>IF(AND(Input_Product=Elig!$C769,Elig_MatchAll_Ct&lt;22,$BC769=(Elig_MatchAll_Ct-1),BA769=0),AE769,0)</f>
        <v>0</v>
      </c>
    </row>
    <row r="770" spans="2:88" ht="10.15" customHeight="1" x14ac:dyDescent="0.25">
      <c r="B770" s="2027" t="s">
        <v>4067</v>
      </c>
      <c r="C770" s="2024" t="str">
        <f t="shared" si="279"/>
        <v>Second OO</v>
      </c>
      <c r="D770" s="2025" t="s">
        <v>1569</v>
      </c>
      <c r="E770" s="2025" t="s">
        <v>98</v>
      </c>
      <c r="F770" s="2025" t="s">
        <v>329</v>
      </c>
      <c r="G770" s="2103" t="s">
        <v>175</v>
      </c>
      <c r="H770" s="2025" t="s">
        <v>446</v>
      </c>
      <c r="I770" s="2023" t="s">
        <v>1332</v>
      </c>
      <c r="J770" s="2023" t="s">
        <v>1311</v>
      </c>
      <c r="K770" s="2025" t="s">
        <v>1790</v>
      </c>
      <c r="L770" s="2023" t="s">
        <v>430</v>
      </c>
      <c r="M770" s="2023" t="s">
        <v>2677</v>
      </c>
      <c r="N770" s="2025" t="s">
        <v>82</v>
      </c>
      <c r="O770" s="2023" t="s">
        <v>310</v>
      </c>
      <c r="P770" s="2023" t="s">
        <v>291</v>
      </c>
      <c r="Q770" s="2023" t="s">
        <v>294</v>
      </c>
      <c r="R770" s="323">
        <v>500000.01</v>
      </c>
      <c r="S770" s="323">
        <v>750000</v>
      </c>
      <c r="T770" s="2023">
        <v>0</v>
      </c>
      <c r="U770" s="2023">
        <f t="shared" si="300"/>
        <v>750000</v>
      </c>
      <c r="V770" s="2023">
        <v>0</v>
      </c>
      <c r="W770" s="2023">
        <v>50</v>
      </c>
      <c r="X770" s="2023">
        <v>0</v>
      </c>
      <c r="Y770" s="2023">
        <v>999</v>
      </c>
      <c r="Z770" s="2026">
        <v>720</v>
      </c>
      <c r="AA770" s="2026">
        <v>999</v>
      </c>
      <c r="AB770" s="2026">
        <v>0</v>
      </c>
      <c r="AC770" s="2026">
        <v>999999</v>
      </c>
      <c r="AD770" s="2023">
        <v>0</v>
      </c>
      <c r="AE770" s="2104">
        <v>70</v>
      </c>
      <c r="AF770" s="170">
        <v>1</v>
      </c>
      <c r="AG770" s="171">
        <v>1</v>
      </c>
      <c r="AH770" s="171">
        <v>1</v>
      </c>
      <c r="AI770" s="171">
        <v>0</v>
      </c>
      <c r="AJ770" s="171">
        <v>0</v>
      </c>
      <c r="AK770" s="171">
        <v>0</v>
      </c>
      <c r="AL770" s="171">
        <v>1</v>
      </c>
      <c r="AM770" s="171">
        <v>1</v>
      </c>
      <c r="AN770" s="171">
        <v>1</v>
      </c>
      <c r="AO770" s="171">
        <v>1</v>
      </c>
      <c r="AP770" s="171">
        <v>1</v>
      </c>
      <c r="AQ770" s="171">
        <v>1</v>
      </c>
      <c r="AR770" s="171">
        <v>1</v>
      </c>
      <c r="AS770" s="171">
        <v>1</v>
      </c>
      <c r="AT770" s="171">
        <v>1</v>
      </c>
      <c r="AU770" s="171">
        <f t="shared" si="294"/>
        <v>0</v>
      </c>
      <c r="AV770" s="171">
        <f t="shared" si="295"/>
        <v>1</v>
      </c>
      <c r="AW770" s="171">
        <f t="shared" si="296"/>
        <v>1</v>
      </c>
      <c r="AX770" s="171">
        <f t="shared" si="305"/>
        <v>1</v>
      </c>
      <c r="AY770" s="171">
        <f t="shared" si="297"/>
        <v>1</v>
      </c>
      <c r="AZ770" s="171">
        <f t="shared" si="298"/>
        <v>1</v>
      </c>
      <c r="BA770" s="172">
        <f t="shared" si="299"/>
        <v>1</v>
      </c>
      <c r="BB770" s="175">
        <f t="shared" si="301"/>
        <v>18</v>
      </c>
      <c r="BC770" s="176">
        <f t="shared" si="302"/>
        <v>17</v>
      </c>
      <c r="BD770" s="176">
        <f t="shared" si="303"/>
        <v>17</v>
      </c>
      <c r="BE770" s="240" t="str">
        <f t="shared" si="304"/>
        <v/>
      </c>
      <c r="BF770" s="220"/>
      <c r="BG770" s="220"/>
      <c r="BH770" s="216">
        <f>IF(AND(Input_Product=Elig!$C770,Elig_MatchAll_Ct&lt;22,$BC770=(Elig_MatchAll_Ct-1),AF770=0),C770,0)</f>
        <v>0</v>
      </c>
      <c r="BI770" s="216">
        <f>IF(AND(Input_Product=Elig!$C770,Elig_MatchAll_Ct&lt;22,$BC770=(Elig_MatchAll_Ct-1),AG770=0),D770,0)</f>
        <v>0</v>
      </c>
      <c r="BJ770" s="216">
        <f>IF(AND(Input_Product=Elig!$C770,Elig_MatchAll_Ct&lt;22,$BC770=(Elig_MatchAll_Ct-1),AH770=0),E770,0)</f>
        <v>0</v>
      </c>
      <c r="BK770" s="216">
        <f>IF(AND(Input_Product=Elig!$C770,Elig_MatchAll_Ct&lt;22,$BC770=(Elig_MatchAll_Ct-1),AI770=0),F770,0)</f>
        <v>0</v>
      </c>
      <c r="BL770" s="216">
        <f>IF(AND(Input_Product=Elig!$C770,Elig_MatchAll_Ct&lt;22,$BC770=(Elig_MatchAll_Ct-1),AJ770=0),G770,0)</f>
        <v>0</v>
      </c>
      <c r="BM770" s="216">
        <f>IF(AND(Input_Product=Elig!$C770,Elig_MatchAll_Ct&lt;22,$BC770=(Elig_MatchAll_Ct-1),AK770=0),H770,0)</f>
        <v>0</v>
      </c>
      <c r="BN770" s="216">
        <f>IF(AND(Input_Product=Elig!$C770,Elig_MatchAll_Ct&lt;22,$BC770=(Elig_MatchAll_Ct-1),AL770=0),I770,0)</f>
        <v>0</v>
      </c>
      <c r="BO770" s="216">
        <f>IF(AND(Input_Product=Elig!$C770,Elig_MatchAll_Ct&lt;22,$BC770=(Elig_MatchAll_Ct-1),AM770=0),J770,0)</f>
        <v>0</v>
      </c>
      <c r="BP770" s="216">
        <f>IF(AND(Input_Product=Elig!$C770,Elig_MatchAll_Ct&lt;22,$BC770=(Elig_MatchAll_Ct-1),AN770=0),K770,0)</f>
        <v>0</v>
      </c>
      <c r="BQ770" s="216">
        <f>IF(AND(Input_Product=Elig!$C770,Elig_MatchAll_Ct&lt;22,$BC770=(Elig_MatchAll_Ct-1),AP770=0),L770,0)</f>
        <v>0</v>
      </c>
      <c r="BR770" s="216">
        <f>IF(AND(Input_Product=Elig!$C770,Elig_MatchAll_Ct&lt;22,$BC770=(Elig_MatchAll_Ct-1),AO770=0),M770,0)</f>
        <v>0</v>
      </c>
      <c r="BS770" s="216">
        <f>IF(AND(Input_Product=Elig!$C770,Elig_MatchAll_Ct&lt;22,$BC770=(Elig_MatchAll_Ct-1),AQ770=0),N770,0)</f>
        <v>0</v>
      </c>
      <c r="BT770" s="216">
        <f>IF(AND(Input_Product=Elig!$C770,Elig_MatchAll_Ct&lt;22,$BC770=(Elig_MatchAll_Ct-1),AR770=0),O770,0)</f>
        <v>0</v>
      </c>
      <c r="BU770" s="216">
        <f>IF(AND(Input_Product=Elig!$C770,Elig_MatchAll_Ct&lt;22,$BC770=(Elig_MatchAll_Ct-1),AS770=0),P770,0)</f>
        <v>0</v>
      </c>
      <c r="BV770" s="217">
        <f>IF(AND(Input_Product=Elig!$C770,Elig_MatchAll_Ct&lt;22,$BC770=(Elig_MatchAll_Ct-1),AT770=0),Q770,0)</f>
        <v>0</v>
      </c>
      <c r="BW770" s="313">
        <f>IF(AND(Input_Product=Elig!$C770,Elig_MatchAll_Ct&lt;22,$BC770=(Elig_MatchAll_Ct-1),AU770=0),R770,0)</f>
        <v>0</v>
      </c>
      <c r="BX770" s="314">
        <f>IF(AND(Input_Product=Elig!$C770,Elig_MatchAll_Ct&lt;22,$BC770=(Elig_MatchAll_Ct-1),AU770=0),S770,0)</f>
        <v>0</v>
      </c>
      <c r="BY770" s="313">
        <f>IF(AND(Input_Product=Elig!$C770,Elig_MatchAll_Ct&lt;22,$BC770=(Elig_MatchAll_Ct-1),AV770=0),T770,0)</f>
        <v>0</v>
      </c>
      <c r="BZ770" s="314">
        <f>IF(AND(Input_Product=Elig!$C770,Elig_MatchAll_Ct&lt;22,$BC770=(Elig_MatchAll_Ct-1),AV770=0),U770,0)</f>
        <v>0</v>
      </c>
      <c r="CA770" s="313">
        <f>IF(AND(Input_Product=Elig!$C770,Elig_MatchAll_Ct&lt;22,$BC770=(Elig_MatchAll_Ct-1),AW770=0),V770,0)</f>
        <v>0</v>
      </c>
      <c r="CB770" s="314">
        <f>IF(AND(Input_Product=Elig!$C770,Elig_MatchAll_Ct&lt;22,$BC770=(Elig_MatchAll_Ct-1),AW770=0),W770,0)</f>
        <v>0</v>
      </c>
      <c r="CC770" s="313">
        <f>IF(AND(Input_Product=Elig!$C770,Elig_MatchAll_Ct&lt;22,$BC770=(Elig_MatchAll_Ct-1),AX770=0),X770,0)</f>
        <v>0</v>
      </c>
      <c r="CD770" s="314">
        <f>IF(AND(Input_Product=Elig!$C770,Elig_MatchAll_Ct&lt;22,$BC770=(Elig_MatchAll_Ct-1),AX770=0),Y770,0)</f>
        <v>0</v>
      </c>
      <c r="CE770" s="313">
        <f>IF(AND(Input_LTV&lt;=AE770,Input_Product=Elig!$C770,Elig_MatchAll_Ct&lt;22,$BC770=(Elig_MatchAll_Ct-1),AY770=0),Z770,0)</f>
        <v>0</v>
      </c>
      <c r="CF770" s="314">
        <f>IF(AND(Input_LTV&lt;=AE770,Input_Product=Elig!$C770,Elig_MatchAll_Ct&lt;22,$BC770=(Elig_MatchAll_Ct-1),AY770=0),AA770,0)</f>
        <v>0</v>
      </c>
      <c r="CG770" s="313">
        <f>IF(AND(Input_Product=Elig!$C770,Elig_MatchAll_Ct&lt;22,$BC770=(Elig_MatchAll_Ct-1),AZ770=0),AB770,0)</f>
        <v>0</v>
      </c>
      <c r="CH770" s="314">
        <f>IF(AND(Input_Product=Elig!$C770,Elig_MatchAll_Ct&lt;22,$BC770=(Elig_MatchAll_Ct-1),AZ770=0),AC770,0)</f>
        <v>0</v>
      </c>
      <c r="CI770" s="313">
        <f>IF(AND(Input_Product=Elig!$C770,Elig_MatchAll_Ct&lt;22,$BC770=(Elig_MatchAll_Ct-1),BA770=0),AD770,0)</f>
        <v>0</v>
      </c>
      <c r="CJ770" s="314">
        <f>IF(AND(Input_Product=Elig!$C770,Elig_MatchAll_Ct&lt;22,$BC770=(Elig_MatchAll_Ct-1),BA770=0),AE770,0)</f>
        <v>0</v>
      </c>
    </row>
    <row r="771" spans="2:88" ht="10.15" customHeight="1" x14ac:dyDescent="0.25">
      <c r="B771" s="2027" t="s">
        <v>4068</v>
      </c>
      <c r="C771" s="2028" t="str">
        <f t="shared" si="279"/>
        <v>Second OO</v>
      </c>
      <c r="D771" s="2027" t="s">
        <v>1569</v>
      </c>
      <c r="E771" s="2027" t="s">
        <v>98</v>
      </c>
      <c r="F771" s="2027" t="s">
        <v>329</v>
      </c>
      <c r="G771" s="2110" t="s">
        <v>175</v>
      </c>
      <c r="H771" s="2029" t="s">
        <v>446</v>
      </c>
      <c r="I771" s="2027" t="s">
        <v>1332</v>
      </c>
      <c r="J771" s="2027" t="s">
        <v>1311</v>
      </c>
      <c r="K771" s="2029" t="s">
        <v>1790</v>
      </c>
      <c r="L771" s="2027" t="s">
        <v>430</v>
      </c>
      <c r="M771" s="2027" t="s">
        <v>2677</v>
      </c>
      <c r="N771" s="2029" t="s">
        <v>82</v>
      </c>
      <c r="O771" s="2027" t="s">
        <v>310</v>
      </c>
      <c r="P771" s="2027" t="s">
        <v>291</v>
      </c>
      <c r="Q771" s="2027" t="s">
        <v>294</v>
      </c>
      <c r="R771" s="300">
        <v>500000.01</v>
      </c>
      <c r="S771" s="300">
        <v>750000</v>
      </c>
      <c r="T771" s="2027">
        <v>0</v>
      </c>
      <c r="U771" s="2027">
        <f t="shared" si="300"/>
        <v>750000</v>
      </c>
      <c r="V771" s="2027">
        <v>0</v>
      </c>
      <c r="W771" s="2027">
        <v>50</v>
      </c>
      <c r="X771" s="2027">
        <v>0</v>
      </c>
      <c r="Y771" s="2027">
        <v>999</v>
      </c>
      <c r="Z771" s="2030">
        <v>700</v>
      </c>
      <c r="AA771" s="2030">
        <v>719</v>
      </c>
      <c r="AB771" s="2030">
        <v>0</v>
      </c>
      <c r="AC771" s="2030">
        <v>999999</v>
      </c>
      <c r="AD771" s="2027">
        <v>0</v>
      </c>
      <c r="AE771" s="2105">
        <v>65</v>
      </c>
      <c r="AF771" s="170">
        <v>1</v>
      </c>
      <c r="AG771" s="171">
        <v>1</v>
      </c>
      <c r="AH771" s="171">
        <v>1</v>
      </c>
      <c r="AI771" s="171">
        <v>0</v>
      </c>
      <c r="AJ771" s="171">
        <v>0</v>
      </c>
      <c r="AK771" s="171">
        <v>0</v>
      </c>
      <c r="AL771" s="171">
        <v>1</v>
      </c>
      <c r="AM771" s="171">
        <v>1</v>
      </c>
      <c r="AN771" s="171">
        <v>1</v>
      </c>
      <c r="AO771" s="171">
        <v>1</v>
      </c>
      <c r="AP771" s="171">
        <v>1</v>
      </c>
      <c r="AQ771" s="171">
        <v>1</v>
      </c>
      <c r="AR771" s="171">
        <v>1</v>
      </c>
      <c r="AS771" s="171">
        <v>1</v>
      </c>
      <c r="AT771" s="171">
        <v>1</v>
      </c>
      <c r="AU771" s="171">
        <f t="shared" si="294"/>
        <v>0</v>
      </c>
      <c r="AV771" s="171">
        <f t="shared" si="295"/>
        <v>1</v>
      </c>
      <c r="AW771" s="171">
        <f t="shared" si="296"/>
        <v>1</v>
      </c>
      <c r="AX771" s="171">
        <f t="shared" si="305"/>
        <v>1</v>
      </c>
      <c r="AY771" s="171">
        <f t="shared" si="297"/>
        <v>0</v>
      </c>
      <c r="AZ771" s="171">
        <f t="shared" si="298"/>
        <v>1</v>
      </c>
      <c r="BA771" s="172">
        <f t="shared" si="299"/>
        <v>1</v>
      </c>
      <c r="BB771" s="175">
        <f t="shared" si="301"/>
        <v>17</v>
      </c>
      <c r="BC771" s="176">
        <f t="shared" si="302"/>
        <v>16</v>
      </c>
      <c r="BD771" s="176">
        <f t="shared" si="303"/>
        <v>16</v>
      </c>
      <c r="BE771" s="240" t="str">
        <f t="shared" si="304"/>
        <v/>
      </c>
      <c r="BF771" s="234"/>
      <c r="BG771" s="234"/>
      <c r="BH771" s="199">
        <f>IF(AND(Input_Product=Elig!$C771,Elig_MatchAll_Ct&lt;22,$BC771=(Elig_MatchAll_Ct-1),AF771=0),C771,0)</f>
        <v>0</v>
      </c>
      <c r="BI771" s="199">
        <f>IF(AND(Input_Product=Elig!$C771,Elig_MatchAll_Ct&lt;22,$BC771=(Elig_MatchAll_Ct-1),AG771=0),D771,0)</f>
        <v>0</v>
      </c>
      <c r="BJ771" s="199">
        <f>IF(AND(Input_Product=Elig!$C771,Elig_MatchAll_Ct&lt;22,$BC771=(Elig_MatchAll_Ct-1),AH771=0),E771,0)</f>
        <v>0</v>
      </c>
      <c r="BK771" s="199">
        <f>IF(AND(Input_Product=Elig!$C771,Elig_MatchAll_Ct&lt;22,$BC771=(Elig_MatchAll_Ct-1),AI771=0),F771,0)</f>
        <v>0</v>
      </c>
      <c r="BL771" s="199">
        <f>IF(AND(Input_Product=Elig!$C771,Elig_MatchAll_Ct&lt;22,$BC771=(Elig_MatchAll_Ct-1),AJ771=0),G771,0)</f>
        <v>0</v>
      </c>
      <c r="BM771" s="199">
        <f>IF(AND(Input_Product=Elig!$C771,Elig_MatchAll_Ct&lt;22,$BC771=(Elig_MatchAll_Ct-1),AK771=0),H771,0)</f>
        <v>0</v>
      </c>
      <c r="BN771" s="199">
        <f>IF(AND(Input_Product=Elig!$C771,Elig_MatchAll_Ct&lt;22,$BC771=(Elig_MatchAll_Ct-1),AL771=0),I771,0)</f>
        <v>0</v>
      </c>
      <c r="BO771" s="199">
        <f>IF(AND(Input_Product=Elig!$C771,Elig_MatchAll_Ct&lt;22,$BC771=(Elig_MatchAll_Ct-1),AM771=0),J771,0)</f>
        <v>0</v>
      </c>
      <c r="BP771" s="199">
        <f>IF(AND(Input_Product=Elig!$C771,Elig_MatchAll_Ct&lt;22,$BC771=(Elig_MatchAll_Ct-1),AN771=0),K771,0)</f>
        <v>0</v>
      </c>
      <c r="BQ771" s="199">
        <f>IF(AND(Input_Product=Elig!$C771,Elig_MatchAll_Ct&lt;22,$BC771=(Elig_MatchAll_Ct-1),AP771=0),L771,0)</f>
        <v>0</v>
      </c>
      <c r="BR771" s="199">
        <f>IF(AND(Input_Product=Elig!$C771,Elig_MatchAll_Ct&lt;22,$BC771=(Elig_MatchAll_Ct-1),AO771=0),M771,0)</f>
        <v>0</v>
      </c>
      <c r="BS771" s="199">
        <f>IF(AND(Input_Product=Elig!$C771,Elig_MatchAll_Ct&lt;22,$BC771=(Elig_MatchAll_Ct-1),AQ771=0),N771,0)</f>
        <v>0</v>
      </c>
      <c r="BT771" s="199">
        <f>IF(AND(Input_Product=Elig!$C771,Elig_MatchAll_Ct&lt;22,$BC771=(Elig_MatchAll_Ct-1),AR771=0),O771,0)</f>
        <v>0</v>
      </c>
      <c r="BU771" s="199">
        <f>IF(AND(Input_Product=Elig!$C771,Elig_MatchAll_Ct&lt;22,$BC771=(Elig_MatchAll_Ct-1),AS771=0),P771,0)</f>
        <v>0</v>
      </c>
      <c r="BV771" s="200">
        <f>IF(AND(Input_Product=Elig!$C771,Elig_MatchAll_Ct&lt;22,$BC771=(Elig_MatchAll_Ct-1),AT771=0),Q771,0)</f>
        <v>0</v>
      </c>
      <c r="BW771" s="201">
        <f>IF(AND(Input_Product=Elig!$C771,Elig_MatchAll_Ct&lt;22,$BC771=(Elig_MatchAll_Ct-1),AU771=0),R771,0)</f>
        <v>0</v>
      </c>
      <c r="BX771" s="202">
        <f>IF(AND(Input_Product=Elig!$C771,Elig_MatchAll_Ct&lt;22,$BC771=(Elig_MatchAll_Ct-1),AU771=0),S771,0)</f>
        <v>0</v>
      </c>
      <c r="BY771" s="201">
        <f>IF(AND(Input_Product=Elig!$C771,Elig_MatchAll_Ct&lt;22,$BC771=(Elig_MatchAll_Ct-1),AV771=0),T771,0)</f>
        <v>0</v>
      </c>
      <c r="BZ771" s="202">
        <f>IF(AND(Input_Product=Elig!$C771,Elig_MatchAll_Ct&lt;22,$BC771=(Elig_MatchAll_Ct-1),AV771=0),U771,0)</f>
        <v>0</v>
      </c>
      <c r="CA771" s="201">
        <f>IF(AND(Input_Product=Elig!$C771,Elig_MatchAll_Ct&lt;22,$BC771=(Elig_MatchAll_Ct-1),AW771=0),V771,0)</f>
        <v>0</v>
      </c>
      <c r="CB771" s="202">
        <f>IF(AND(Input_Product=Elig!$C771,Elig_MatchAll_Ct&lt;22,$BC771=(Elig_MatchAll_Ct-1),AW771=0),W771,0)</f>
        <v>0</v>
      </c>
      <c r="CC771" s="201">
        <f>IF(AND(Input_Product=Elig!$C771,Elig_MatchAll_Ct&lt;22,$BC771=(Elig_MatchAll_Ct-1),AX771=0),X771,0)</f>
        <v>0</v>
      </c>
      <c r="CD771" s="202">
        <f>IF(AND(Input_Product=Elig!$C771,Elig_MatchAll_Ct&lt;22,$BC771=(Elig_MatchAll_Ct-1),AX771=0),Y771,0)</f>
        <v>0</v>
      </c>
      <c r="CE771" s="201">
        <f>IF(AND(Input_LTV&lt;=AE771,Input_Product=Elig!$C771,Elig_MatchAll_Ct&lt;22,$BC771=(Elig_MatchAll_Ct-1),AY771=0),Z771,0)</f>
        <v>0</v>
      </c>
      <c r="CF771" s="202">
        <f>IF(AND(Input_LTV&lt;=AE771,Input_Product=Elig!$C771,Elig_MatchAll_Ct&lt;22,$BC771=(Elig_MatchAll_Ct-1),AY771=0),AA771,0)</f>
        <v>0</v>
      </c>
      <c r="CG771" s="201">
        <f>IF(AND(Input_Product=Elig!$C771,Elig_MatchAll_Ct&lt;22,$BC771=(Elig_MatchAll_Ct-1),AZ771=0),AB771,0)</f>
        <v>0</v>
      </c>
      <c r="CH771" s="202">
        <f>IF(AND(Input_Product=Elig!$C771,Elig_MatchAll_Ct&lt;22,$BC771=(Elig_MatchAll_Ct-1),AZ771=0),AC771,0)</f>
        <v>0</v>
      </c>
      <c r="CI771" s="201">
        <f>IF(AND(Input_Product=Elig!$C771,Elig_MatchAll_Ct&lt;22,$BC771=(Elig_MatchAll_Ct-1),BA771=0),AD771,0)</f>
        <v>0</v>
      </c>
      <c r="CJ771" s="202">
        <f>IF(AND(Input_Product=Elig!$C771,Elig_MatchAll_Ct&lt;22,$BC771=(Elig_MatchAll_Ct-1),BA771=0),AE771,0)</f>
        <v>0</v>
      </c>
    </row>
    <row r="772" spans="2:88" ht="10.15" customHeight="1" x14ac:dyDescent="0.25">
      <c r="B772" s="2027" t="s">
        <v>4069</v>
      </c>
      <c r="C772" s="2028" t="str">
        <f t="shared" si="279"/>
        <v>Second OO</v>
      </c>
      <c r="D772" s="2027" t="s">
        <v>1569</v>
      </c>
      <c r="E772" s="2027" t="s">
        <v>98</v>
      </c>
      <c r="F772" s="2027" t="s">
        <v>329</v>
      </c>
      <c r="G772" s="2110" t="s">
        <v>175</v>
      </c>
      <c r="H772" s="2029" t="s">
        <v>446</v>
      </c>
      <c r="I772" s="2027" t="s">
        <v>1332</v>
      </c>
      <c r="J772" s="2027" t="s">
        <v>1311</v>
      </c>
      <c r="K772" s="2029" t="s">
        <v>1790</v>
      </c>
      <c r="L772" s="2027" t="s">
        <v>430</v>
      </c>
      <c r="M772" s="2027" t="s">
        <v>2677</v>
      </c>
      <c r="N772" s="2029" t="s">
        <v>82</v>
      </c>
      <c r="O772" s="2027" t="s">
        <v>310</v>
      </c>
      <c r="P772" s="2027" t="s">
        <v>291</v>
      </c>
      <c r="Q772" s="2027" t="s">
        <v>294</v>
      </c>
      <c r="R772" s="300">
        <v>500000.01</v>
      </c>
      <c r="S772" s="300">
        <v>750000</v>
      </c>
      <c r="T772" s="2027">
        <v>0</v>
      </c>
      <c r="U772" s="2027">
        <f t="shared" si="300"/>
        <v>750000</v>
      </c>
      <c r="V772" s="2027">
        <v>0</v>
      </c>
      <c r="W772" s="2027">
        <v>50</v>
      </c>
      <c r="X772" s="2027">
        <v>0</v>
      </c>
      <c r="Y772" s="2027">
        <v>999</v>
      </c>
      <c r="Z772" s="2030">
        <v>680</v>
      </c>
      <c r="AA772" s="2030">
        <v>699</v>
      </c>
      <c r="AB772" s="2030">
        <v>0</v>
      </c>
      <c r="AC772" s="2030">
        <v>999999</v>
      </c>
      <c r="AD772" s="2027">
        <v>0</v>
      </c>
      <c r="AE772" s="1483">
        <v>55</v>
      </c>
      <c r="AF772" s="170">
        <v>1</v>
      </c>
      <c r="AG772" s="171">
        <v>1</v>
      </c>
      <c r="AH772" s="171">
        <v>1</v>
      </c>
      <c r="AI772" s="171">
        <v>0</v>
      </c>
      <c r="AJ772" s="171">
        <v>0</v>
      </c>
      <c r="AK772" s="171">
        <v>0</v>
      </c>
      <c r="AL772" s="171">
        <v>1</v>
      </c>
      <c r="AM772" s="171">
        <v>1</v>
      </c>
      <c r="AN772" s="171">
        <v>1</v>
      </c>
      <c r="AO772" s="171">
        <v>1</v>
      </c>
      <c r="AP772" s="171">
        <v>1</v>
      </c>
      <c r="AQ772" s="171">
        <v>1</v>
      </c>
      <c r="AR772" s="171">
        <v>1</v>
      </c>
      <c r="AS772" s="171">
        <v>1</v>
      </c>
      <c r="AT772" s="171">
        <v>1</v>
      </c>
      <c r="AU772" s="171">
        <f t="shared" si="294"/>
        <v>0</v>
      </c>
      <c r="AV772" s="171">
        <f t="shared" si="295"/>
        <v>1</v>
      </c>
      <c r="AW772" s="171">
        <f t="shared" si="296"/>
        <v>1</v>
      </c>
      <c r="AX772" s="171">
        <f t="shared" si="305"/>
        <v>1</v>
      </c>
      <c r="AY772" s="171">
        <f t="shared" si="297"/>
        <v>0</v>
      </c>
      <c r="AZ772" s="171">
        <f t="shared" si="298"/>
        <v>1</v>
      </c>
      <c r="BA772" s="172">
        <f t="shared" si="299"/>
        <v>0</v>
      </c>
      <c r="BB772" s="175">
        <f t="shared" si="301"/>
        <v>16</v>
      </c>
      <c r="BC772" s="176">
        <f t="shared" si="302"/>
        <v>16</v>
      </c>
      <c r="BD772" s="176">
        <f t="shared" si="303"/>
        <v>15</v>
      </c>
      <c r="BE772" s="240" t="str">
        <f t="shared" si="304"/>
        <v/>
      </c>
      <c r="BF772" s="234"/>
      <c r="BG772" s="234"/>
      <c r="BH772" s="199">
        <f>IF(AND(Input_Product=Elig!$C772,Elig_MatchAll_Ct&lt;22,$BC772=(Elig_MatchAll_Ct-1),AF772=0),C772,0)</f>
        <v>0</v>
      </c>
      <c r="BI772" s="199">
        <f>IF(AND(Input_Product=Elig!$C772,Elig_MatchAll_Ct&lt;22,$BC772=(Elig_MatchAll_Ct-1),AG772=0),D772,0)</f>
        <v>0</v>
      </c>
      <c r="BJ772" s="199">
        <f>IF(AND(Input_Product=Elig!$C772,Elig_MatchAll_Ct&lt;22,$BC772=(Elig_MatchAll_Ct-1),AH772=0),E772,0)</f>
        <v>0</v>
      </c>
      <c r="BK772" s="199">
        <f>IF(AND(Input_Product=Elig!$C772,Elig_MatchAll_Ct&lt;22,$BC772=(Elig_MatchAll_Ct-1),AI772=0),F772,0)</f>
        <v>0</v>
      </c>
      <c r="BL772" s="199">
        <f>IF(AND(Input_Product=Elig!$C772,Elig_MatchAll_Ct&lt;22,$BC772=(Elig_MatchAll_Ct-1),AJ772=0),G772,0)</f>
        <v>0</v>
      </c>
      <c r="BM772" s="199">
        <f>IF(AND(Input_Product=Elig!$C772,Elig_MatchAll_Ct&lt;22,$BC772=(Elig_MatchAll_Ct-1),AK772=0),H772,0)</f>
        <v>0</v>
      </c>
      <c r="BN772" s="199">
        <f>IF(AND(Input_Product=Elig!$C772,Elig_MatchAll_Ct&lt;22,$BC772=(Elig_MatchAll_Ct-1),AL772=0),I772,0)</f>
        <v>0</v>
      </c>
      <c r="BO772" s="199">
        <f>IF(AND(Input_Product=Elig!$C772,Elig_MatchAll_Ct&lt;22,$BC772=(Elig_MatchAll_Ct-1),AM772=0),J772,0)</f>
        <v>0</v>
      </c>
      <c r="BP772" s="199">
        <f>IF(AND(Input_Product=Elig!$C772,Elig_MatchAll_Ct&lt;22,$BC772=(Elig_MatchAll_Ct-1),AN772=0),K772,0)</f>
        <v>0</v>
      </c>
      <c r="BQ772" s="199">
        <f>IF(AND(Input_Product=Elig!$C772,Elig_MatchAll_Ct&lt;22,$BC772=(Elig_MatchAll_Ct-1),AP772=0),L772,0)</f>
        <v>0</v>
      </c>
      <c r="BR772" s="199">
        <f>IF(AND(Input_Product=Elig!$C772,Elig_MatchAll_Ct&lt;22,$BC772=(Elig_MatchAll_Ct-1),AO772=0),M772,0)</f>
        <v>0</v>
      </c>
      <c r="BS772" s="199">
        <f>IF(AND(Input_Product=Elig!$C772,Elig_MatchAll_Ct&lt;22,$BC772=(Elig_MatchAll_Ct-1),AQ772=0),N772,0)</f>
        <v>0</v>
      </c>
      <c r="BT772" s="199">
        <f>IF(AND(Input_Product=Elig!$C772,Elig_MatchAll_Ct&lt;22,$BC772=(Elig_MatchAll_Ct-1),AR772=0),O772,0)</f>
        <v>0</v>
      </c>
      <c r="BU772" s="199">
        <f>IF(AND(Input_Product=Elig!$C772,Elig_MatchAll_Ct&lt;22,$BC772=(Elig_MatchAll_Ct-1),AS772=0),P772,0)</f>
        <v>0</v>
      </c>
      <c r="BV772" s="200">
        <f>IF(AND(Input_Product=Elig!$C772,Elig_MatchAll_Ct&lt;22,$BC772=(Elig_MatchAll_Ct-1),AT772=0),Q772,0)</f>
        <v>0</v>
      </c>
      <c r="BW772" s="201">
        <f>IF(AND(Input_Product=Elig!$C772,Elig_MatchAll_Ct&lt;22,$BC772=(Elig_MatchAll_Ct-1),AU772=0),R772,0)</f>
        <v>0</v>
      </c>
      <c r="BX772" s="202">
        <f>IF(AND(Input_Product=Elig!$C772,Elig_MatchAll_Ct&lt;22,$BC772=(Elig_MatchAll_Ct-1),AU772=0),S772,0)</f>
        <v>0</v>
      </c>
      <c r="BY772" s="201">
        <f>IF(AND(Input_Product=Elig!$C772,Elig_MatchAll_Ct&lt;22,$BC772=(Elig_MatchAll_Ct-1),AV772=0),T772,0)</f>
        <v>0</v>
      </c>
      <c r="BZ772" s="202">
        <f>IF(AND(Input_Product=Elig!$C772,Elig_MatchAll_Ct&lt;22,$BC772=(Elig_MatchAll_Ct-1),AV772=0),U772,0)</f>
        <v>0</v>
      </c>
      <c r="CA772" s="201">
        <f>IF(AND(Input_Product=Elig!$C772,Elig_MatchAll_Ct&lt;22,$BC772=(Elig_MatchAll_Ct-1),AW772=0),V772,0)</f>
        <v>0</v>
      </c>
      <c r="CB772" s="202">
        <f>IF(AND(Input_Product=Elig!$C772,Elig_MatchAll_Ct&lt;22,$BC772=(Elig_MatchAll_Ct-1),AW772=0),W772,0)</f>
        <v>0</v>
      </c>
      <c r="CC772" s="201">
        <f>IF(AND(Input_Product=Elig!$C772,Elig_MatchAll_Ct&lt;22,$BC772=(Elig_MatchAll_Ct-1),AX772=0),X772,0)</f>
        <v>0</v>
      </c>
      <c r="CD772" s="202">
        <f>IF(AND(Input_Product=Elig!$C772,Elig_MatchAll_Ct&lt;22,$BC772=(Elig_MatchAll_Ct-1),AX772=0),Y772,0)</f>
        <v>0</v>
      </c>
      <c r="CE772" s="201">
        <f>IF(AND(Input_LTV&lt;=AE772,Input_Product=Elig!$C772,Elig_MatchAll_Ct&lt;22,$BC772=(Elig_MatchAll_Ct-1),AY772=0),Z772,0)</f>
        <v>0</v>
      </c>
      <c r="CF772" s="202">
        <f>IF(AND(Input_LTV&lt;=AE772,Input_Product=Elig!$C772,Elig_MatchAll_Ct&lt;22,$BC772=(Elig_MatchAll_Ct-1),AY772=0),AA772,0)</f>
        <v>0</v>
      </c>
      <c r="CG772" s="201">
        <f>IF(AND(Input_Product=Elig!$C772,Elig_MatchAll_Ct&lt;22,$BC772=(Elig_MatchAll_Ct-1),AZ772=0),AB772,0)</f>
        <v>0</v>
      </c>
      <c r="CH772" s="202">
        <f>IF(AND(Input_Product=Elig!$C772,Elig_MatchAll_Ct&lt;22,$BC772=(Elig_MatchAll_Ct-1),AZ772=0),AC772,0)</f>
        <v>0</v>
      </c>
      <c r="CI772" s="201">
        <f>IF(AND(Input_Product=Elig!$C772,Elig_MatchAll_Ct&lt;22,$BC772=(Elig_MatchAll_Ct-1),BA772=0),AD772,0)</f>
        <v>0</v>
      </c>
      <c r="CJ772" s="202">
        <f>IF(AND(Input_Product=Elig!$C772,Elig_MatchAll_Ct&lt;22,$BC772=(Elig_MatchAll_Ct-1),BA772=0),AE772,0)</f>
        <v>0</v>
      </c>
    </row>
    <row r="773" spans="2:88" ht="10.15" customHeight="1" x14ac:dyDescent="0.25">
      <c r="B773" s="2027" t="s">
        <v>4070</v>
      </c>
      <c r="C773" s="2032" t="str">
        <f t="shared" si="279"/>
        <v>Second OO</v>
      </c>
      <c r="D773" s="2031" t="s">
        <v>1569</v>
      </c>
      <c r="E773" s="2031" t="s">
        <v>98</v>
      </c>
      <c r="F773" s="2031" t="s">
        <v>329</v>
      </c>
      <c r="G773" s="2111" t="s">
        <v>175</v>
      </c>
      <c r="H773" s="2033" t="s">
        <v>446</v>
      </c>
      <c r="I773" s="2031" t="s">
        <v>1332</v>
      </c>
      <c r="J773" s="2031" t="s">
        <v>1311</v>
      </c>
      <c r="K773" s="2033" t="s">
        <v>1790</v>
      </c>
      <c r="L773" s="2031" t="s">
        <v>430</v>
      </c>
      <c r="M773" s="2031" t="s">
        <v>2677</v>
      </c>
      <c r="N773" s="2033" t="s">
        <v>82</v>
      </c>
      <c r="O773" s="2031" t="s">
        <v>310</v>
      </c>
      <c r="P773" s="2031" t="s">
        <v>291</v>
      </c>
      <c r="Q773" s="2031" t="s">
        <v>294</v>
      </c>
      <c r="R773" s="324">
        <v>500000.01</v>
      </c>
      <c r="S773" s="324">
        <v>750000</v>
      </c>
      <c r="T773" s="2031">
        <v>0</v>
      </c>
      <c r="U773" s="2031">
        <f t="shared" si="300"/>
        <v>750000</v>
      </c>
      <c r="V773" s="2031">
        <v>0</v>
      </c>
      <c r="W773" s="2031">
        <v>50</v>
      </c>
      <c r="X773" s="2031">
        <v>0</v>
      </c>
      <c r="Y773" s="2031">
        <v>999</v>
      </c>
      <c r="Z773" s="2034">
        <v>660</v>
      </c>
      <c r="AA773" s="2034">
        <v>679</v>
      </c>
      <c r="AB773" s="2034">
        <v>0</v>
      </c>
      <c r="AC773" s="2034">
        <v>999999</v>
      </c>
      <c r="AD773" s="2031">
        <v>0</v>
      </c>
      <c r="AE773" s="1484">
        <v>50</v>
      </c>
      <c r="AF773" s="170">
        <v>1</v>
      </c>
      <c r="AG773" s="171">
        <v>1</v>
      </c>
      <c r="AH773" s="171">
        <v>1</v>
      </c>
      <c r="AI773" s="171">
        <v>0</v>
      </c>
      <c r="AJ773" s="171">
        <v>0</v>
      </c>
      <c r="AK773" s="171">
        <v>0</v>
      </c>
      <c r="AL773" s="171">
        <v>1</v>
      </c>
      <c r="AM773" s="171">
        <v>1</v>
      </c>
      <c r="AN773" s="171">
        <v>1</v>
      </c>
      <c r="AO773" s="171">
        <v>1</v>
      </c>
      <c r="AP773" s="171">
        <v>1</v>
      </c>
      <c r="AQ773" s="171">
        <v>1</v>
      </c>
      <c r="AR773" s="171">
        <v>1</v>
      </c>
      <c r="AS773" s="171">
        <v>1</v>
      </c>
      <c r="AT773" s="171">
        <v>1</v>
      </c>
      <c r="AU773" s="171">
        <f t="shared" si="294"/>
        <v>0</v>
      </c>
      <c r="AV773" s="171">
        <f t="shared" si="295"/>
        <v>1</v>
      </c>
      <c r="AW773" s="171">
        <f t="shared" si="296"/>
        <v>1</v>
      </c>
      <c r="AX773" s="171">
        <f t="shared" si="305"/>
        <v>1</v>
      </c>
      <c r="AY773" s="171">
        <f t="shared" si="297"/>
        <v>0</v>
      </c>
      <c r="AZ773" s="171">
        <f t="shared" si="298"/>
        <v>1</v>
      </c>
      <c r="BA773" s="172">
        <f t="shared" si="299"/>
        <v>0</v>
      </c>
      <c r="BB773" s="175">
        <f t="shared" si="301"/>
        <v>16</v>
      </c>
      <c r="BC773" s="176">
        <f t="shared" si="302"/>
        <v>16</v>
      </c>
      <c r="BD773" s="176">
        <f t="shared" si="303"/>
        <v>15</v>
      </c>
      <c r="BE773" s="240" t="str">
        <f t="shared" si="304"/>
        <v/>
      </c>
      <c r="BF773" s="234"/>
      <c r="BG773" s="234"/>
      <c r="BH773" s="214">
        <f>IF(AND(Input_Product=Elig!$C773,Elig_MatchAll_Ct&lt;22,$BC773=(Elig_MatchAll_Ct-1),AF773=0),C773,0)</f>
        <v>0</v>
      </c>
      <c r="BI773" s="214">
        <f>IF(AND(Input_Product=Elig!$C773,Elig_MatchAll_Ct&lt;22,$BC773=(Elig_MatchAll_Ct-1),AG773=0),D773,0)</f>
        <v>0</v>
      </c>
      <c r="BJ773" s="214">
        <f>IF(AND(Input_Product=Elig!$C773,Elig_MatchAll_Ct&lt;22,$BC773=(Elig_MatchAll_Ct-1),AH773=0),E773,0)</f>
        <v>0</v>
      </c>
      <c r="BK773" s="214">
        <f>IF(AND(Input_Product=Elig!$C773,Elig_MatchAll_Ct&lt;22,$BC773=(Elig_MatchAll_Ct-1),AI773=0),F773,0)</f>
        <v>0</v>
      </c>
      <c r="BL773" s="214">
        <f>IF(AND(Input_Product=Elig!$C773,Elig_MatchAll_Ct&lt;22,$BC773=(Elig_MatchAll_Ct-1),AJ773=0),G773,0)</f>
        <v>0</v>
      </c>
      <c r="BM773" s="214">
        <f>IF(AND(Input_Product=Elig!$C773,Elig_MatchAll_Ct&lt;22,$BC773=(Elig_MatchAll_Ct-1),AK773=0),H773,0)</f>
        <v>0</v>
      </c>
      <c r="BN773" s="214">
        <f>IF(AND(Input_Product=Elig!$C773,Elig_MatchAll_Ct&lt;22,$BC773=(Elig_MatchAll_Ct-1),AL773=0),I773,0)</f>
        <v>0</v>
      </c>
      <c r="BO773" s="214">
        <f>IF(AND(Input_Product=Elig!$C773,Elig_MatchAll_Ct&lt;22,$BC773=(Elig_MatchAll_Ct-1),AM773=0),J773,0)</f>
        <v>0</v>
      </c>
      <c r="BP773" s="214">
        <f>IF(AND(Input_Product=Elig!$C773,Elig_MatchAll_Ct&lt;22,$BC773=(Elig_MatchAll_Ct-1),AN773=0),K773,0)</f>
        <v>0</v>
      </c>
      <c r="BQ773" s="214">
        <f>IF(AND(Input_Product=Elig!$C773,Elig_MatchAll_Ct&lt;22,$BC773=(Elig_MatchAll_Ct-1),AP773=0),L773,0)</f>
        <v>0</v>
      </c>
      <c r="BR773" s="214">
        <f>IF(AND(Input_Product=Elig!$C773,Elig_MatchAll_Ct&lt;22,$BC773=(Elig_MatchAll_Ct-1),AO773=0),M773,0)</f>
        <v>0</v>
      </c>
      <c r="BS773" s="214">
        <f>IF(AND(Input_Product=Elig!$C773,Elig_MatchAll_Ct&lt;22,$BC773=(Elig_MatchAll_Ct-1),AQ773=0),N773,0)</f>
        <v>0</v>
      </c>
      <c r="BT773" s="214">
        <f>IF(AND(Input_Product=Elig!$C773,Elig_MatchAll_Ct&lt;22,$BC773=(Elig_MatchAll_Ct-1),AR773=0),O773,0)</f>
        <v>0</v>
      </c>
      <c r="BU773" s="214">
        <f>IF(AND(Input_Product=Elig!$C773,Elig_MatchAll_Ct&lt;22,$BC773=(Elig_MatchAll_Ct-1),AS773=0),P773,0)</f>
        <v>0</v>
      </c>
      <c r="BV773" s="215">
        <f>IF(AND(Input_Product=Elig!$C773,Elig_MatchAll_Ct&lt;22,$BC773=(Elig_MatchAll_Ct-1),AT773=0),Q773,0)</f>
        <v>0</v>
      </c>
      <c r="BW773" s="311">
        <f>IF(AND(Input_Product=Elig!$C773,Elig_MatchAll_Ct&lt;22,$BC773=(Elig_MatchAll_Ct-1),AU773=0),R773,0)</f>
        <v>0</v>
      </c>
      <c r="BX773" s="312">
        <f>IF(AND(Input_Product=Elig!$C773,Elig_MatchAll_Ct&lt;22,$BC773=(Elig_MatchAll_Ct-1),AU773=0),S773,0)</f>
        <v>0</v>
      </c>
      <c r="BY773" s="311">
        <f>IF(AND(Input_Product=Elig!$C773,Elig_MatchAll_Ct&lt;22,$BC773=(Elig_MatchAll_Ct-1),AV773=0),T773,0)</f>
        <v>0</v>
      </c>
      <c r="BZ773" s="312">
        <f>IF(AND(Input_Product=Elig!$C773,Elig_MatchAll_Ct&lt;22,$BC773=(Elig_MatchAll_Ct-1),AV773=0),U773,0)</f>
        <v>0</v>
      </c>
      <c r="CA773" s="311">
        <f>IF(AND(Input_Product=Elig!$C773,Elig_MatchAll_Ct&lt;22,$BC773=(Elig_MatchAll_Ct-1),AW773=0),V773,0)</f>
        <v>0</v>
      </c>
      <c r="CB773" s="312">
        <f>IF(AND(Input_Product=Elig!$C773,Elig_MatchAll_Ct&lt;22,$BC773=(Elig_MatchAll_Ct-1),AW773=0),W773,0)</f>
        <v>0</v>
      </c>
      <c r="CC773" s="311">
        <f>IF(AND(Input_Product=Elig!$C773,Elig_MatchAll_Ct&lt;22,$BC773=(Elig_MatchAll_Ct-1),AX773=0),X773,0)</f>
        <v>0</v>
      </c>
      <c r="CD773" s="312">
        <f>IF(AND(Input_Product=Elig!$C773,Elig_MatchAll_Ct&lt;22,$BC773=(Elig_MatchAll_Ct-1),AX773=0),Y773,0)</f>
        <v>0</v>
      </c>
      <c r="CE773" s="311">
        <f>IF(AND(Input_LTV&lt;=AE773,Input_Product=Elig!$C773,Elig_MatchAll_Ct&lt;22,$BC773=(Elig_MatchAll_Ct-1),AY773=0),Z773,0)</f>
        <v>0</v>
      </c>
      <c r="CF773" s="312">
        <f>IF(AND(Input_LTV&lt;=AE773,Input_Product=Elig!$C773,Elig_MatchAll_Ct&lt;22,$BC773=(Elig_MatchAll_Ct-1),AY773=0),AA773,0)</f>
        <v>0</v>
      </c>
      <c r="CG773" s="311">
        <f>IF(AND(Input_Product=Elig!$C773,Elig_MatchAll_Ct&lt;22,$BC773=(Elig_MatchAll_Ct-1),AZ773=0),AB773,0)</f>
        <v>0</v>
      </c>
      <c r="CH773" s="312">
        <f>IF(AND(Input_Product=Elig!$C773,Elig_MatchAll_Ct&lt;22,$BC773=(Elig_MatchAll_Ct-1),AZ773=0),AC773,0)</f>
        <v>0</v>
      </c>
      <c r="CI773" s="311">
        <f>IF(AND(Input_Product=Elig!$C773,Elig_MatchAll_Ct&lt;22,$BC773=(Elig_MatchAll_Ct-1),BA773=0),AD773,0)</f>
        <v>0</v>
      </c>
      <c r="CJ773" s="312">
        <f>IF(AND(Input_Product=Elig!$C773,Elig_MatchAll_Ct&lt;22,$BC773=(Elig_MatchAll_Ct-1),BA773=0),AE773,0)</f>
        <v>0</v>
      </c>
    </row>
    <row r="774" spans="2:88" ht="10.15" customHeight="1" x14ac:dyDescent="0.25">
      <c r="B774" s="2027" t="s">
        <v>4071</v>
      </c>
      <c r="C774" s="2024" t="str">
        <f t="shared" si="279"/>
        <v>Second OO</v>
      </c>
      <c r="D774" s="2025" t="s">
        <v>1569</v>
      </c>
      <c r="E774" s="2025" t="s">
        <v>98</v>
      </c>
      <c r="F774" s="2025" t="s">
        <v>329</v>
      </c>
      <c r="G774" s="2103" t="s">
        <v>468</v>
      </c>
      <c r="H774" s="2025" t="s">
        <v>136</v>
      </c>
      <c r="I774" s="2023" t="s">
        <v>1332</v>
      </c>
      <c r="J774" s="2023" t="s">
        <v>1311</v>
      </c>
      <c r="K774" s="2025" t="s">
        <v>1790</v>
      </c>
      <c r="L774" s="2023" t="s">
        <v>430</v>
      </c>
      <c r="M774" s="2023" t="s">
        <v>2677</v>
      </c>
      <c r="N774" s="2025" t="s">
        <v>82</v>
      </c>
      <c r="O774" s="2023" t="s">
        <v>310</v>
      </c>
      <c r="P774" s="2023" t="s">
        <v>291</v>
      </c>
      <c r="Q774" s="2023" t="s">
        <v>294</v>
      </c>
      <c r="R774" s="323">
        <v>500000.01</v>
      </c>
      <c r="S774" s="323">
        <v>750000</v>
      </c>
      <c r="T774" s="2023">
        <v>0</v>
      </c>
      <c r="U774" s="2023">
        <f t="shared" ref="U774:U777" si="318">S774</f>
        <v>750000</v>
      </c>
      <c r="V774" s="2023">
        <v>0</v>
      </c>
      <c r="W774" s="2023">
        <v>50</v>
      </c>
      <c r="X774" s="2023">
        <v>0</v>
      </c>
      <c r="Y774" s="2023">
        <v>999</v>
      </c>
      <c r="Z774" s="2026">
        <v>720</v>
      </c>
      <c r="AA774" s="2026">
        <v>999</v>
      </c>
      <c r="AB774" s="2026">
        <v>0</v>
      </c>
      <c r="AC774" s="2026">
        <v>999999</v>
      </c>
      <c r="AD774" s="2023">
        <v>0</v>
      </c>
      <c r="AE774" s="2104">
        <v>70</v>
      </c>
      <c r="AF774" s="170">
        <v>1</v>
      </c>
      <c r="AG774" s="171">
        <v>1</v>
      </c>
      <c r="AH774" s="171">
        <v>1</v>
      </c>
      <c r="AI774" s="171">
        <v>0</v>
      </c>
      <c r="AJ774" s="171">
        <v>0</v>
      </c>
      <c r="AK774" s="171">
        <v>1</v>
      </c>
      <c r="AL774" s="171">
        <v>1</v>
      </c>
      <c r="AM774" s="171">
        <v>1</v>
      </c>
      <c r="AN774" s="171">
        <v>1</v>
      </c>
      <c r="AO774" s="171">
        <v>1</v>
      </c>
      <c r="AP774" s="171">
        <v>1</v>
      </c>
      <c r="AQ774" s="171">
        <v>1</v>
      </c>
      <c r="AR774" s="171">
        <v>1</v>
      </c>
      <c r="AS774" s="171">
        <v>1</v>
      </c>
      <c r="AT774" s="171">
        <v>1</v>
      </c>
      <c r="AU774" s="171">
        <f t="shared" si="294"/>
        <v>0</v>
      </c>
      <c r="AV774" s="171">
        <f t="shared" si="295"/>
        <v>1</v>
      </c>
      <c r="AW774" s="171">
        <f t="shared" si="296"/>
        <v>1</v>
      </c>
      <c r="AX774" s="171">
        <f t="shared" si="305"/>
        <v>1</v>
      </c>
      <c r="AY774" s="171">
        <f t="shared" si="297"/>
        <v>1</v>
      </c>
      <c r="AZ774" s="171">
        <f t="shared" si="298"/>
        <v>1</v>
      </c>
      <c r="BA774" s="172">
        <f t="shared" si="299"/>
        <v>1</v>
      </c>
      <c r="BB774" s="175">
        <f t="shared" ref="BB774:BB777" si="319">SUM(AF774:BA774)</f>
        <v>19</v>
      </c>
      <c r="BC774" s="176">
        <f t="shared" ref="BC774:BC777" si="320">SUM(AF774:AZ774)</f>
        <v>18</v>
      </c>
      <c r="BD774" s="176">
        <f t="shared" ref="BD774:BD777" si="321">SUM(AG774:BA774)</f>
        <v>18</v>
      </c>
      <c r="BE774" s="240" t="str">
        <f t="shared" si="304"/>
        <v/>
      </c>
      <c r="BF774" s="220"/>
      <c r="BG774" s="220"/>
      <c r="BH774" s="216">
        <f>IF(AND(Input_Product=Elig!$C774,Elig_MatchAll_Ct&lt;22,$BC774=(Elig_MatchAll_Ct-1),AF774=0),C774,0)</f>
        <v>0</v>
      </c>
      <c r="BI774" s="216">
        <f>IF(AND(Input_Product=Elig!$C774,Elig_MatchAll_Ct&lt;22,$BC774=(Elig_MatchAll_Ct-1),AG774=0),D774,0)</f>
        <v>0</v>
      </c>
      <c r="BJ774" s="216">
        <f>IF(AND(Input_Product=Elig!$C774,Elig_MatchAll_Ct&lt;22,$BC774=(Elig_MatchAll_Ct-1),AH774=0),E774,0)</f>
        <v>0</v>
      </c>
      <c r="BK774" s="216">
        <f>IF(AND(Input_Product=Elig!$C774,Elig_MatchAll_Ct&lt;22,$BC774=(Elig_MatchAll_Ct-1),AI774=0),F774,0)</f>
        <v>0</v>
      </c>
      <c r="BL774" s="216">
        <f>IF(AND(Input_Product=Elig!$C774,Elig_MatchAll_Ct&lt;22,$BC774=(Elig_MatchAll_Ct-1),AJ774=0),G774,0)</f>
        <v>0</v>
      </c>
      <c r="BM774" s="216">
        <f>IF(AND(Input_Product=Elig!$C774,Elig_MatchAll_Ct&lt;22,$BC774=(Elig_MatchAll_Ct-1),AK774=0),H774,0)</f>
        <v>0</v>
      </c>
      <c r="BN774" s="216">
        <f>IF(AND(Input_Product=Elig!$C774,Elig_MatchAll_Ct&lt;22,$BC774=(Elig_MatchAll_Ct-1),AL774=0),I774,0)</f>
        <v>0</v>
      </c>
      <c r="BO774" s="216">
        <f>IF(AND(Input_Product=Elig!$C774,Elig_MatchAll_Ct&lt;22,$BC774=(Elig_MatchAll_Ct-1),AM774=0),J774,0)</f>
        <v>0</v>
      </c>
      <c r="BP774" s="216">
        <f>IF(AND(Input_Product=Elig!$C774,Elig_MatchAll_Ct&lt;22,$BC774=(Elig_MatchAll_Ct-1),AN774=0),K774,0)</f>
        <v>0</v>
      </c>
      <c r="BQ774" s="216">
        <f>IF(AND(Input_Product=Elig!$C774,Elig_MatchAll_Ct&lt;22,$BC774=(Elig_MatchAll_Ct-1),AP774=0),L774,0)</f>
        <v>0</v>
      </c>
      <c r="BR774" s="216">
        <f>IF(AND(Input_Product=Elig!$C774,Elig_MatchAll_Ct&lt;22,$BC774=(Elig_MatchAll_Ct-1),AO774=0),M774,0)</f>
        <v>0</v>
      </c>
      <c r="BS774" s="216">
        <f>IF(AND(Input_Product=Elig!$C774,Elig_MatchAll_Ct&lt;22,$BC774=(Elig_MatchAll_Ct-1),AQ774=0),N774,0)</f>
        <v>0</v>
      </c>
      <c r="BT774" s="216">
        <f>IF(AND(Input_Product=Elig!$C774,Elig_MatchAll_Ct&lt;22,$BC774=(Elig_MatchAll_Ct-1),AR774=0),O774,0)</f>
        <v>0</v>
      </c>
      <c r="BU774" s="216">
        <f>IF(AND(Input_Product=Elig!$C774,Elig_MatchAll_Ct&lt;22,$BC774=(Elig_MatchAll_Ct-1),AS774=0),P774,0)</f>
        <v>0</v>
      </c>
      <c r="BV774" s="217">
        <f>IF(AND(Input_Product=Elig!$C774,Elig_MatchAll_Ct&lt;22,$BC774=(Elig_MatchAll_Ct-1),AT774=0),Q774,0)</f>
        <v>0</v>
      </c>
      <c r="BW774" s="313">
        <f>IF(AND(Input_Product=Elig!$C774,Elig_MatchAll_Ct&lt;22,$BC774=(Elig_MatchAll_Ct-1),AU774=0),R774,0)</f>
        <v>0</v>
      </c>
      <c r="BX774" s="314">
        <f>IF(AND(Input_Product=Elig!$C774,Elig_MatchAll_Ct&lt;22,$BC774=(Elig_MatchAll_Ct-1),AU774=0),S774,0)</f>
        <v>0</v>
      </c>
      <c r="BY774" s="313">
        <f>IF(AND(Input_Product=Elig!$C774,Elig_MatchAll_Ct&lt;22,$BC774=(Elig_MatchAll_Ct-1),AV774=0),T774,0)</f>
        <v>0</v>
      </c>
      <c r="BZ774" s="314">
        <f>IF(AND(Input_Product=Elig!$C774,Elig_MatchAll_Ct&lt;22,$BC774=(Elig_MatchAll_Ct-1),AV774=0),U774,0)</f>
        <v>0</v>
      </c>
      <c r="CA774" s="313">
        <f>IF(AND(Input_Product=Elig!$C774,Elig_MatchAll_Ct&lt;22,$BC774=(Elig_MatchAll_Ct-1),AW774=0),V774,0)</f>
        <v>0</v>
      </c>
      <c r="CB774" s="314">
        <f>IF(AND(Input_Product=Elig!$C774,Elig_MatchAll_Ct&lt;22,$BC774=(Elig_MatchAll_Ct-1),AW774=0),W774,0)</f>
        <v>0</v>
      </c>
      <c r="CC774" s="313">
        <f>IF(AND(Input_Product=Elig!$C774,Elig_MatchAll_Ct&lt;22,$BC774=(Elig_MatchAll_Ct-1),AX774=0),X774,0)</f>
        <v>0</v>
      </c>
      <c r="CD774" s="314">
        <f>IF(AND(Input_Product=Elig!$C774,Elig_MatchAll_Ct&lt;22,$BC774=(Elig_MatchAll_Ct-1),AX774=0),Y774,0)</f>
        <v>0</v>
      </c>
      <c r="CE774" s="313">
        <f>IF(AND(Input_LTV&lt;=AE774,Input_Product=Elig!$C774,Elig_MatchAll_Ct&lt;22,$BC774=(Elig_MatchAll_Ct-1),AY774=0),Z774,0)</f>
        <v>0</v>
      </c>
      <c r="CF774" s="314">
        <f>IF(AND(Input_LTV&lt;=AE774,Input_Product=Elig!$C774,Elig_MatchAll_Ct&lt;22,$BC774=(Elig_MatchAll_Ct-1),AY774=0),AA774,0)</f>
        <v>0</v>
      </c>
      <c r="CG774" s="313">
        <f>IF(AND(Input_Product=Elig!$C774,Elig_MatchAll_Ct&lt;22,$BC774=(Elig_MatchAll_Ct-1),AZ774=0),AB774,0)</f>
        <v>0</v>
      </c>
      <c r="CH774" s="314">
        <f>IF(AND(Input_Product=Elig!$C774,Elig_MatchAll_Ct&lt;22,$BC774=(Elig_MatchAll_Ct-1),AZ774=0),AC774,0)</f>
        <v>0</v>
      </c>
      <c r="CI774" s="313">
        <f>IF(AND(Input_Product=Elig!$C774,Elig_MatchAll_Ct&lt;22,$BC774=(Elig_MatchAll_Ct-1),BA774=0),AD774,0)</f>
        <v>0</v>
      </c>
      <c r="CJ774" s="314">
        <f>IF(AND(Input_Product=Elig!$C774,Elig_MatchAll_Ct&lt;22,$BC774=(Elig_MatchAll_Ct-1),BA774=0),AE774,0)</f>
        <v>0</v>
      </c>
    </row>
    <row r="775" spans="2:88" ht="10.15" customHeight="1" x14ac:dyDescent="0.25">
      <c r="B775" s="2027" t="s">
        <v>4072</v>
      </c>
      <c r="C775" s="2028" t="str">
        <f t="shared" si="279"/>
        <v>Second OO</v>
      </c>
      <c r="D775" s="2027" t="s">
        <v>1569</v>
      </c>
      <c r="E775" s="2027" t="s">
        <v>98</v>
      </c>
      <c r="F775" s="2027" t="s">
        <v>329</v>
      </c>
      <c r="G775" s="2110" t="s">
        <v>468</v>
      </c>
      <c r="H775" s="2029" t="s">
        <v>136</v>
      </c>
      <c r="I775" s="2027" t="s">
        <v>1332</v>
      </c>
      <c r="J775" s="2027" t="s">
        <v>1311</v>
      </c>
      <c r="K775" s="2029" t="s">
        <v>1790</v>
      </c>
      <c r="L775" s="2027" t="s">
        <v>430</v>
      </c>
      <c r="M775" s="2027" t="s">
        <v>2677</v>
      </c>
      <c r="N775" s="2029" t="s">
        <v>82</v>
      </c>
      <c r="O775" s="2027" t="s">
        <v>310</v>
      </c>
      <c r="P775" s="2027" t="s">
        <v>291</v>
      </c>
      <c r="Q775" s="2027" t="s">
        <v>294</v>
      </c>
      <c r="R775" s="300">
        <v>500000.01</v>
      </c>
      <c r="S775" s="300">
        <v>750000</v>
      </c>
      <c r="T775" s="2027">
        <v>0</v>
      </c>
      <c r="U775" s="2027">
        <f t="shared" si="318"/>
        <v>750000</v>
      </c>
      <c r="V775" s="2027">
        <v>0</v>
      </c>
      <c r="W775" s="2027">
        <v>50</v>
      </c>
      <c r="X775" s="2027">
        <v>0</v>
      </c>
      <c r="Y775" s="2027">
        <v>999</v>
      </c>
      <c r="Z775" s="2030">
        <v>700</v>
      </c>
      <c r="AA775" s="2030">
        <v>719</v>
      </c>
      <c r="AB775" s="2030">
        <v>0</v>
      </c>
      <c r="AC775" s="2030">
        <v>999999</v>
      </c>
      <c r="AD775" s="2027">
        <v>0</v>
      </c>
      <c r="AE775" s="2105">
        <v>65</v>
      </c>
      <c r="AF775" s="170">
        <v>1</v>
      </c>
      <c r="AG775" s="171">
        <v>1</v>
      </c>
      <c r="AH775" s="171">
        <v>1</v>
      </c>
      <c r="AI775" s="171">
        <v>0</v>
      </c>
      <c r="AJ775" s="171">
        <v>0</v>
      </c>
      <c r="AK775" s="171">
        <v>1</v>
      </c>
      <c r="AL775" s="171">
        <v>1</v>
      </c>
      <c r="AM775" s="171">
        <v>1</v>
      </c>
      <c r="AN775" s="171">
        <v>1</v>
      </c>
      <c r="AO775" s="171">
        <v>1</v>
      </c>
      <c r="AP775" s="171">
        <v>1</v>
      </c>
      <c r="AQ775" s="171">
        <v>1</v>
      </c>
      <c r="AR775" s="171">
        <v>1</v>
      </c>
      <c r="AS775" s="171">
        <v>1</v>
      </c>
      <c r="AT775" s="171">
        <v>1</v>
      </c>
      <c r="AU775" s="171">
        <f t="shared" si="294"/>
        <v>0</v>
      </c>
      <c r="AV775" s="171">
        <f t="shared" si="295"/>
        <v>1</v>
      </c>
      <c r="AW775" s="171">
        <f t="shared" si="296"/>
        <v>1</v>
      </c>
      <c r="AX775" s="171">
        <f t="shared" si="305"/>
        <v>1</v>
      </c>
      <c r="AY775" s="171">
        <f t="shared" si="297"/>
        <v>0</v>
      </c>
      <c r="AZ775" s="171">
        <f t="shared" si="298"/>
        <v>1</v>
      </c>
      <c r="BA775" s="172">
        <f t="shared" si="299"/>
        <v>1</v>
      </c>
      <c r="BB775" s="175">
        <f t="shared" si="319"/>
        <v>18</v>
      </c>
      <c r="BC775" s="176">
        <f t="shared" si="320"/>
        <v>17</v>
      </c>
      <c r="BD775" s="176">
        <f t="shared" si="321"/>
        <v>17</v>
      </c>
      <c r="BE775" s="240" t="str">
        <f t="shared" ref="BE775:BE838" si="322">IF(BD775=21,C775,"")</f>
        <v/>
      </c>
      <c r="BF775" s="234"/>
      <c r="BG775" s="234"/>
      <c r="BH775" s="199">
        <f>IF(AND(Input_Product=Elig!$C775,Elig_MatchAll_Ct&lt;22,$BC775=(Elig_MatchAll_Ct-1),AF775=0),C775,0)</f>
        <v>0</v>
      </c>
      <c r="BI775" s="199">
        <f>IF(AND(Input_Product=Elig!$C775,Elig_MatchAll_Ct&lt;22,$BC775=(Elig_MatchAll_Ct-1),AG775=0),D775,0)</f>
        <v>0</v>
      </c>
      <c r="BJ775" s="199">
        <f>IF(AND(Input_Product=Elig!$C775,Elig_MatchAll_Ct&lt;22,$BC775=(Elig_MatchAll_Ct-1),AH775=0),E775,0)</f>
        <v>0</v>
      </c>
      <c r="BK775" s="199">
        <f>IF(AND(Input_Product=Elig!$C775,Elig_MatchAll_Ct&lt;22,$BC775=(Elig_MatchAll_Ct-1),AI775=0),F775,0)</f>
        <v>0</v>
      </c>
      <c r="BL775" s="199">
        <f>IF(AND(Input_Product=Elig!$C775,Elig_MatchAll_Ct&lt;22,$BC775=(Elig_MatchAll_Ct-1),AJ775=0),G775,0)</f>
        <v>0</v>
      </c>
      <c r="BM775" s="199">
        <f>IF(AND(Input_Product=Elig!$C775,Elig_MatchAll_Ct&lt;22,$BC775=(Elig_MatchAll_Ct-1),AK775=0),H775,0)</f>
        <v>0</v>
      </c>
      <c r="BN775" s="199">
        <f>IF(AND(Input_Product=Elig!$C775,Elig_MatchAll_Ct&lt;22,$BC775=(Elig_MatchAll_Ct-1),AL775=0),I775,0)</f>
        <v>0</v>
      </c>
      <c r="BO775" s="199">
        <f>IF(AND(Input_Product=Elig!$C775,Elig_MatchAll_Ct&lt;22,$BC775=(Elig_MatchAll_Ct-1),AM775=0),J775,0)</f>
        <v>0</v>
      </c>
      <c r="BP775" s="199">
        <f>IF(AND(Input_Product=Elig!$C775,Elig_MatchAll_Ct&lt;22,$BC775=(Elig_MatchAll_Ct-1),AN775=0),K775,0)</f>
        <v>0</v>
      </c>
      <c r="BQ775" s="199">
        <f>IF(AND(Input_Product=Elig!$C775,Elig_MatchAll_Ct&lt;22,$BC775=(Elig_MatchAll_Ct-1),AP775=0),L775,0)</f>
        <v>0</v>
      </c>
      <c r="BR775" s="199">
        <f>IF(AND(Input_Product=Elig!$C775,Elig_MatchAll_Ct&lt;22,$BC775=(Elig_MatchAll_Ct-1),AO775=0),M775,0)</f>
        <v>0</v>
      </c>
      <c r="BS775" s="199">
        <f>IF(AND(Input_Product=Elig!$C775,Elig_MatchAll_Ct&lt;22,$BC775=(Elig_MatchAll_Ct-1),AQ775=0),N775,0)</f>
        <v>0</v>
      </c>
      <c r="BT775" s="199">
        <f>IF(AND(Input_Product=Elig!$C775,Elig_MatchAll_Ct&lt;22,$BC775=(Elig_MatchAll_Ct-1),AR775=0),O775,0)</f>
        <v>0</v>
      </c>
      <c r="BU775" s="199">
        <f>IF(AND(Input_Product=Elig!$C775,Elig_MatchAll_Ct&lt;22,$BC775=(Elig_MatchAll_Ct-1),AS775=0),P775,0)</f>
        <v>0</v>
      </c>
      <c r="BV775" s="200">
        <f>IF(AND(Input_Product=Elig!$C775,Elig_MatchAll_Ct&lt;22,$BC775=(Elig_MatchAll_Ct-1),AT775=0),Q775,0)</f>
        <v>0</v>
      </c>
      <c r="BW775" s="201">
        <f>IF(AND(Input_Product=Elig!$C775,Elig_MatchAll_Ct&lt;22,$BC775=(Elig_MatchAll_Ct-1),AU775=0),R775,0)</f>
        <v>0</v>
      </c>
      <c r="BX775" s="202">
        <f>IF(AND(Input_Product=Elig!$C775,Elig_MatchAll_Ct&lt;22,$BC775=(Elig_MatchAll_Ct-1),AU775=0),S775,0)</f>
        <v>0</v>
      </c>
      <c r="BY775" s="201">
        <f>IF(AND(Input_Product=Elig!$C775,Elig_MatchAll_Ct&lt;22,$BC775=(Elig_MatchAll_Ct-1),AV775=0),T775,0)</f>
        <v>0</v>
      </c>
      <c r="BZ775" s="202">
        <f>IF(AND(Input_Product=Elig!$C775,Elig_MatchAll_Ct&lt;22,$BC775=(Elig_MatchAll_Ct-1),AV775=0),U775,0)</f>
        <v>0</v>
      </c>
      <c r="CA775" s="201">
        <f>IF(AND(Input_Product=Elig!$C775,Elig_MatchAll_Ct&lt;22,$BC775=(Elig_MatchAll_Ct-1),AW775=0),V775,0)</f>
        <v>0</v>
      </c>
      <c r="CB775" s="202">
        <f>IF(AND(Input_Product=Elig!$C775,Elig_MatchAll_Ct&lt;22,$BC775=(Elig_MatchAll_Ct-1),AW775=0),W775,0)</f>
        <v>0</v>
      </c>
      <c r="CC775" s="201">
        <f>IF(AND(Input_Product=Elig!$C775,Elig_MatchAll_Ct&lt;22,$BC775=(Elig_MatchAll_Ct-1),AX775=0),X775,0)</f>
        <v>0</v>
      </c>
      <c r="CD775" s="202">
        <f>IF(AND(Input_Product=Elig!$C775,Elig_MatchAll_Ct&lt;22,$BC775=(Elig_MatchAll_Ct-1),AX775=0),Y775,0)</f>
        <v>0</v>
      </c>
      <c r="CE775" s="201">
        <f>IF(AND(Input_LTV&lt;=AE775,Input_Product=Elig!$C775,Elig_MatchAll_Ct&lt;22,$BC775=(Elig_MatchAll_Ct-1),AY775=0),Z775,0)</f>
        <v>0</v>
      </c>
      <c r="CF775" s="202">
        <f>IF(AND(Input_LTV&lt;=AE775,Input_Product=Elig!$C775,Elig_MatchAll_Ct&lt;22,$BC775=(Elig_MatchAll_Ct-1),AY775=0),AA775,0)</f>
        <v>0</v>
      </c>
      <c r="CG775" s="201">
        <f>IF(AND(Input_Product=Elig!$C775,Elig_MatchAll_Ct&lt;22,$BC775=(Elig_MatchAll_Ct-1),AZ775=0),AB775,0)</f>
        <v>0</v>
      </c>
      <c r="CH775" s="202">
        <f>IF(AND(Input_Product=Elig!$C775,Elig_MatchAll_Ct&lt;22,$BC775=(Elig_MatchAll_Ct-1),AZ775=0),AC775,0)</f>
        <v>0</v>
      </c>
      <c r="CI775" s="201">
        <f>IF(AND(Input_Product=Elig!$C775,Elig_MatchAll_Ct&lt;22,$BC775=(Elig_MatchAll_Ct-1),BA775=0),AD775,0)</f>
        <v>0</v>
      </c>
      <c r="CJ775" s="202">
        <f>IF(AND(Input_Product=Elig!$C775,Elig_MatchAll_Ct&lt;22,$BC775=(Elig_MatchAll_Ct-1),BA775=0),AE775,0)</f>
        <v>0</v>
      </c>
    </row>
    <row r="776" spans="2:88" ht="10.15" customHeight="1" x14ac:dyDescent="0.25">
      <c r="B776" s="2027" t="s">
        <v>4073</v>
      </c>
      <c r="C776" s="2028" t="str">
        <f t="shared" si="279"/>
        <v>Second OO</v>
      </c>
      <c r="D776" s="2027" t="s">
        <v>1569</v>
      </c>
      <c r="E776" s="2027" t="s">
        <v>98</v>
      </c>
      <c r="F776" s="2027" t="s">
        <v>329</v>
      </c>
      <c r="G776" s="2110" t="s">
        <v>468</v>
      </c>
      <c r="H776" s="2029" t="s">
        <v>136</v>
      </c>
      <c r="I776" s="2027" t="s">
        <v>1332</v>
      </c>
      <c r="J776" s="2027" t="s">
        <v>1311</v>
      </c>
      <c r="K776" s="2029" t="s">
        <v>1790</v>
      </c>
      <c r="L776" s="2027" t="s">
        <v>430</v>
      </c>
      <c r="M776" s="2027" t="s">
        <v>2677</v>
      </c>
      <c r="N776" s="2029" t="s">
        <v>82</v>
      </c>
      <c r="O776" s="2027" t="s">
        <v>310</v>
      </c>
      <c r="P776" s="2027" t="s">
        <v>291</v>
      </c>
      <c r="Q776" s="2027" t="s">
        <v>294</v>
      </c>
      <c r="R776" s="300">
        <v>500000.01</v>
      </c>
      <c r="S776" s="300">
        <v>750000</v>
      </c>
      <c r="T776" s="2027">
        <v>0</v>
      </c>
      <c r="U776" s="2027">
        <f t="shared" si="318"/>
        <v>750000</v>
      </c>
      <c r="V776" s="2027">
        <v>0</v>
      </c>
      <c r="W776" s="2027">
        <v>50</v>
      </c>
      <c r="X776" s="2027">
        <v>0</v>
      </c>
      <c r="Y776" s="2027">
        <v>999</v>
      </c>
      <c r="Z776" s="2030">
        <v>680</v>
      </c>
      <c r="AA776" s="2030">
        <v>699</v>
      </c>
      <c r="AB776" s="2030">
        <v>0</v>
      </c>
      <c r="AC776" s="2030">
        <v>999999</v>
      </c>
      <c r="AD776" s="2027">
        <v>0</v>
      </c>
      <c r="AE776" s="1483">
        <v>55</v>
      </c>
      <c r="AF776" s="170">
        <v>1</v>
      </c>
      <c r="AG776" s="171">
        <v>1</v>
      </c>
      <c r="AH776" s="171">
        <v>1</v>
      </c>
      <c r="AI776" s="171">
        <v>0</v>
      </c>
      <c r="AJ776" s="171">
        <v>0</v>
      </c>
      <c r="AK776" s="171">
        <v>1</v>
      </c>
      <c r="AL776" s="171">
        <v>1</v>
      </c>
      <c r="AM776" s="171">
        <v>1</v>
      </c>
      <c r="AN776" s="171">
        <v>1</v>
      </c>
      <c r="AO776" s="171">
        <v>1</v>
      </c>
      <c r="AP776" s="171">
        <v>1</v>
      </c>
      <c r="AQ776" s="171">
        <v>1</v>
      </c>
      <c r="AR776" s="171">
        <v>1</v>
      </c>
      <c r="AS776" s="171">
        <v>1</v>
      </c>
      <c r="AT776" s="171">
        <v>1</v>
      </c>
      <c r="AU776" s="171">
        <f t="shared" si="294"/>
        <v>0</v>
      </c>
      <c r="AV776" s="171">
        <f t="shared" si="295"/>
        <v>1</v>
      </c>
      <c r="AW776" s="171">
        <f t="shared" si="296"/>
        <v>1</v>
      </c>
      <c r="AX776" s="171">
        <f t="shared" si="305"/>
        <v>1</v>
      </c>
      <c r="AY776" s="171">
        <f t="shared" si="297"/>
        <v>0</v>
      </c>
      <c r="AZ776" s="171">
        <f t="shared" si="298"/>
        <v>1</v>
      </c>
      <c r="BA776" s="172">
        <f t="shared" si="299"/>
        <v>0</v>
      </c>
      <c r="BB776" s="175">
        <f t="shared" si="319"/>
        <v>17</v>
      </c>
      <c r="BC776" s="176">
        <f t="shared" si="320"/>
        <v>17</v>
      </c>
      <c r="BD776" s="176">
        <f t="shared" si="321"/>
        <v>16</v>
      </c>
      <c r="BE776" s="240" t="str">
        <f t="shared" si="322"/>
        <v/>
      </c>
      <c r="BF776" s="234"/>
      <c r="BG776" s="234"/>
      <c r="BH776" s="199">
        <f>IF(AND(Input_Product=Elig!$C776,Elig_MatchAll_Ct&lt;22,$BC776=(Elig_MatchAll_Ct-1),AF776=0),C776,0)</f>
        <v>0</v>
      </c>
      <c r="BI776" s="199">
        <f>IF(AND(Input_Product=Elig!$C776,Elig_MatchAll_Ct&lt;22,$BC776=(Elig_MatchAll_Ct-1),AG776=0),D776,0)</f>
        <v>0</v>
      </c>
      <c r="BJ776" s="199">
        <f>IF(AND(Input_Product=Elig!$C776,Elig_MatchAll_Ct&lt;22,$BC776=(Elig_MatchAll_Ct-1),AH776=0),E776,0)</f>
        <v>0</v>
      </c>
      <c r="BK776" s="199">
        <f>IF(AND(Input_Product=Elig!$C776,Elig_MatchAll_Ct&lt;22,$BC776=(Elig_MatchAll_Ct-1),AI776=0),F776,0)</f>
        <v>0</v>
      </c>
      <c r="BL776" s="199">
        <f>IF(AND(Input_Product=Elig!$C776,Elig_MatchAll_Ct&lt;22,$BC776=(Elig_MatchAll_Ct-1),AJ776=0),G776,0)</f>
        <v>0</v>
      </c>
      <c r="BM776" s="199">
        <f>IF(AND(Input_Product=Elig!$C776,Elig_MatchAll_Ct&lt;22,$BC776=(Elig_MatchAll_Ct-1),AK776=0),H776,0)</f>
        <v>0</v>
      </c>
      <c r="BN776" s="199">
        <f>IF(AND(Input_Product=Elig!$C776,Elig_MatchAll_Ct&lt;22,$BC776=(Elig_MatchAll_Ct-1),AL776=0),I776,0)</f>
        <v>0</v>
      </c>
      <c r="BO776" s="199">
        <f>IF(AND(Input_Product=Elig!$C776,Elig_MatchAll_Ct&lt;22,$BC776=(Elig_MatchAll_Ct-1),AM776=0),J776,0)</f>
        <v>0</v>
      </c>
      <c r="BP776" s="199">
        <f>IF(AND(Input_Product=Elig!$C776,Elig_MatchAll_Ct&lt;22,$BC776=(Elig_MatchAll_Ct-1),AN776=0),K776,0)</f>
        <v>0</v>
      </c>
      <c r="BQ776" s="199">
        <f>IF(AND(Input_Product=Elig!$C776,Elig_MatchAll_Ct&lt;22,$BC776=(Elig_MatchAll_Ct-1),AP776=0),L776,0)</f>
        <v>0</v>
      </c>
      <c r="BR776" s="199">
        <f>IF(AND(Input_Product=Elig!$C776,Elig_MatchAll_Ct&lt;22,$BC776=(Elig_MatchAll_Ct-1),AO776=0),M776,0)</f>
        <v>0</v>
      </c>
      <c r="BS776" s="199">
        <f>IF(AND(Input_Product=Elig!$C776,Elig_MatchAll_Ct&lt;22,$BC776=(Elig_MatchAll_Ct-1),AQ776=0),N776,0)</f>
        <v>0</v>
      </c>
      <c r="BT776" s="199">
        <f>IF(AND(Input_Product=Elig!$C776,Elig_MatchAll_Ct&lt;22,$BC776=(Elig_MatchAll_Ct-1),AR776=0),O776,0)</f>
        <v>0</v>
      </c>
      <c r="BU776" s="199">
        <f>IF(AND(Input_Product=Elig!$C776,Elig_MatchAll_Ct&lt;22,$BC776=(Elig_MatchAll_Ct-1),AS776=0),P776,0)</f>
        <v>0</v>
      </c>
      <c r="BV776" s="200">
        <f>IF(AND(Input_Product=Elig!$C776,Elig_MatchAll_Ct&lt;22,$BC776=(Elig_MatchAll_Ct-1),AT776=0),Q776,0)</f>
        <v>0</v>
      </c>
      <c r="BW776" s="201">
        <f>IF(AND(Input_Product=Elig!$C776,Elig_MatchAll_Ct&lt;22,$BC776=(Elig_MatchAll_Ct-1),AU776=0),R776,0)</f>
        <v>0</v>
      </c>
      <c r="BX776" s="202">
        <f>IF(AND(Input_Product=Elig!$C776,Elig_MatchAll_Ct&lt;22,$BC776=(Elig_MatchAll_Ct-1),AU776=0),S776,0)</f>
        <v>0</v>
      </c>
      <c r="BY776" s="201">
        <f>IF(AND(Input_Product=Elig!$C776,Elig_MatchAll_Ct&lt;22,$BC776=(Elig_MatchAll_Ct-1),AV776=0),T776,0)</f>
        <v>0</v>
      </c>
      <c r="BZ776" s="202">
        <f>IF(AND(Input_Product=Elig!$C776,Elig_MatchAll_Ct&lt;22,$BC776=(Elig_MatchAll_Ct-1),AV776=0),U776,0)</f>
        <v>0</v>
      </c>
      <c r="CA776" s="201">
        <f>IF(AND(Input_Product=Elig!$C776,Elig_MatchAll_Ct&lt;22,$BC776=(Elig_MatchAll_Ct-1),AW776=0),V776,0)</f>
        <v>0</v>
      </c>
      <c r="CB776" s="202">
        <f>IF(AND(Input_Product=Elig!$C776,Elig_MatchAll_Ct&lt;22,$BC776=(Elig_MatchAll_Ct-1),AW776=0),W776,0)</f>
        <v>0</v>
      </c>
      <c r="CC776" s="201">
        <f>IF(AND(Input_Product=Elig!$C776,Elig_MatchAll_Ct&lt;22,$BC776=(Elig_MatchAll_Ct-1),AX776=0),X776,0)</f>
        <v>0</v>
      </c>
      <c r="CD776" s="202">
        <f>IF(AND(Input_Product=Elig!$C776,Elig_MatchAll_Ct&lt;22,$BC776=(Elig_MatchAll_Ct-1),AX776=0),Y776,0)</f>
        <v>0</v>
      </c>
      <c r="CE776" s="201">
        <f>IF(AND(Input_LTV&lt;=AE776,Input_Product=Elig!$C776,Elig_MatchAll_Ct&lt;22,$BC776=(Elig_MatchAll_Ct-1),AY776=0),Z776,0)</f>
        <v>0</v>
      </c>
      <c r="CF776" s="202">
        <f>IF(AND(Input_LTV&lt;=AE776,Input_Product=Elig!$C776,Elig_MatchAll_Ct&lt;22,$BC776=(Elig_MatchAll_Ct-1),AY776=0),AA776,0)</f>
        <v>0</v>
      </c>
      <c r="CG776" s="201">
        <f>IF(AND(Input_Product=Elig!$C776,Elig_MatchAll_Ct&lt;22,$BC776=(Elig_MatchAll_Ct-1),AZ776=0),AB776,0)</f>
        <v>0</v>
      </c>
      <c r="CH776" s="202">
        <f>IF(AND(Input_Product=Elig!$C776,Elig_MatchAll_Ct&lt;22,$BC776=(Elig_MatchAll_Ct-1),AZ776=0),AC776,0)</f>
        <v>0</v>
      </c>
      <c r="CI776" s="201">
        <f>IF(AND(Input_Product=Elig!$C776,Elig_MatchAll_Ct&lt;22,$BC776=(Elig_MatchAll_Ct-1),BA776=0),AD776,0)</f>
        <v>0</v>
      </c>
      <c r="CJ776" s="202">
        <f>IF(AND(Input_Product=Elig!$C776,Elig_MatchAll_Ct&lt;22,$BC776=(Elig_MatchAll_Ct-1),BA776=0),AE776,0)</f>
        <v>0</v>
      </c>
    </row>
    <row r="777" spans="2:88" ht="10.15" customHeight="1" x14ac:dyDescent="0.25">
      <c r="B777" s="2027" t="s">
        <v>4074</v>
      </c>
      <c r="C777" s="2032" t="str">
        <f t="shared" si="279"/>
        <v>Second OO</v>
      </c>
      <c r="D777" s="2031" t="s">
        <v>1569</v>
      </c>
      <c r="E777" s="2031" t="s">
        <v>98</v>
      </c>
      <c r="F777" s="2031" t="s">
        <v>329</v>
      </c>
      <c r="G777" s="2111" t="s">
        <v>468</v>
      </c>
      <c r="H777" s="2033" t="s">
        <v>136</v>
      </c>
      <c r="I777" s="2031" t="s">
        <v>1332</v>
      </c>
      <c r="J777" s="2031" t="s">
        <v>1311</v>
      </c>
      <c r="K777" s="2033" t="s">
        <v>1790</v>
      </c>
      <c r="L777" s="2031" t="s">
        <v>430</v>
      </c>
      <c r="M777" s="2031" t="s">
        <v>2677</v>
      </c>
      <c r="N777" s="2033" t="s">
        <v>82</v>
      </c>
      <c r="O777" s="2031" t="s">
        <v>310</v>
      </c>
      <c r="P777" s="2031" t="s">
        <v>291</v>
      </c>
      <c r="Q777" s="2031" t="s">
        <v>294</v>
      </c>
      <c r="R777" s="324">
        <v>500000.01</v>
      </c>
      <c r="S777" s="324">
        <v>750000</v>
      </c>
      <c r="T777" s="2031">
        <v>0</v>
      </c>
      <c r="U777" s="2031">
        <f t="shared" si="318"/>
        <v>750000</v>
      </c>
      <c r="V777" s="2031">
        <v>0</v>
      </c>
      <c r="W777" s="2031">
        <v>50</v>
      </c>
      <c r="X777" s="2031">
        <v>0</v>
      </c>
      <c r="Y777" s="2031">
        <v>999</v>
      </c>
      <c r="Z777" s="2034">
        <v>660</v>
      </c>
      <c r="AA777" s="2034">
        <v>679</v>
      </c>
      <c r="AB777" s="2034">
        <v>0</v>
      </c>
      <c r="AC777" s="2034">
        <v>999999</v>
      </c>
      <c r="AD777" s="2031">
        <v>0</v>
      </c>
      <c r="AE777" s="1484">
        <v>50</v>
      </c>
      <c r="AF777" s="170">
        <v>1</v>
      </c>
      <c r="AG777" s="171">
        <v>1</v>
      </c>
      <c r="AH777" s="171">
        <v>1</v>
      </c>
      <c r="AI777" s="171">
        <v>0</v>
      </c>
      <c r="AJ777" s="171">
        <v>0</v>
      </c>
      <c r="AK777" s="171">
        <v>1</v>
      </c>
      <c r="AL777" s="171">
        <v>1</v>
      </c>
      <c r="AM777" s="171">
        <v>1</v>
      </c>
      <c r="AN777" s="171">
        <v>1</v>
      </c>
      <c r="AO777" s="171">
        <v>1</v>
      </c>
      <c r="AP777" s="171">
        <v>1</v>
      </c>
      <c r="AQ777" s="171">
        <v>1</v>
      </c>
      <c r="AR777" s="171">
        <v>1</v>
      </c>
      <c r="AS777" s="171">
        <v>1</v>
      </c>
      <c r="AT777" s="171">
        <v>1</v>
      </c>
      <c r="AU777" s="171">
        <f t="shared" si="294"/>
        <v>0</v>
      </c>
      <c r="AV777" s="171">
        <f t="shared" si="295"/>
        <v>1</v>
      </c>
      <c r="AW777" s="171">
        <f t="shared" si="296"/>
        <v>1</v>
      </c>
      <c r="AX777" s="171">
        <f t="shared" si="305"/>
        <v>1</v>
      </c>
      <c r="AY777" s="171">
        <f t="shared" si="297"/>
        <v>0</v>
      </c>
      <c r="AZ777" s="171">
        <f t="shared" si="298"/>
        <v>1</v>
      </c>
      <c r="BA777" s="172">
        <f t="shared" si="299"/>
        <v>0</v>
      </c>
      <c r="BB777" s="175">
        <f t="shared" si="319"/>
        <v>17</v>
      </c>
      <c r="BC777" s="176">
        <f t="shared" si="320"/>
        <v>17</v>
      </c>
      <c r="BD777" s="176">
        <f t="shared" si="321"/>
        <v>16</v>
      </c>
      <c r="BE777" s="240" t="str">
        <f t="shared" si="322"/>
        <v/>
      </c>
      <c r="BF777" s="234"/>
      <c r="BG777" s="234"/>
      <c r="BH777" s="214">
        <f>IF(AND(Input_Product=Elig!$C777,Elig_MatchAll_Ct&lt;22,$BC777=(Elig_MatchAll_Ct-1),AF777=0),C777,0)</f>
        <v>0</v>
      </c>
      <c r="BI777" s="214">
        <f>IF(AND(Input_Product=Elig!$C777,Elig_MatchAll_Ct&lt;22,$BC777=(Elig_MatchAll_Ct-1),AG777=0),D777,0)</f>
        <v>0</v>
      </c>
      <c r="BJ777" s="214">
        <f>IF(AND(Input_Product=Elig!$C777,Elig_MatchAll_Ct&lt;22,$BC777=(Elig_MatchAll_Ct-1),AH777=0),E777,0)</f>
        <v>0</v>
      </c>
      <c r="BK777" s="214">
        <f>IF(AND(Input_Product=Elig!$C777,Elig_MatchAll_Ct&lt;22,$BC777=(Elig_MatchAll_Ct-1),AI777=0),F777,0)</f>
        <v>0</v>
      </c>
      <c r="BL777" s="214">
        <f>IF(AND(Input_Product=Elig!$C777,Elig_MatchAll_Ct&lt;22,$BC777=(Elig_MatchAll_Ct-1),AJ777=0),G777,0)</f>
        <v>0</v>
      </c>
      <c r="BM777" s="214">
        <f>IF(AND(Input_Product=Elig!$C777,Elig_MatchAll_Ct&lt;22,$BC777=(Elig_MatchAll_Ct-1),AK777=0),H777,0)</f>
        <v>0</v>
      </c>
      <c r="BN777" s="214">
        <f>IF(AND(Input_Product=Elig!$C777,Elig_MatchAll_Ct&lt;22,$BC777=(Elig_MatchAll_Ct-1),AL777=0),I777,0)</f>
        <v>0</v>
      </c>
      <c r="BO777" s="214">
        <f>IF(AND(Input_Product=Elig!$C777,Elig_MatchAll_Ct&lt;22,$BC777=(Elig_MatchAll_Ct-1),AM777=0),J777,0)</f>
        <v>0</v>
      </c>
      <c r="BP777" s="214">
        <f>IF(AND(Input_Product=Elig!$C777,Elig_MatchAll_Ct&lt;22,$BC777=(Elig_MatchAll_Ct-1),AN777=0),K777,0)</f>
        <v>0</v>
      </c>
      <c r="BQ777" s="214">
        <f>IF(AND(Input_Product=Elig!$C777,Elig_MatchAll_Ct&lt;22,$BC777=(Elig_MatchAll_Ct-1),AP777=0),L777,0)</f>
        <v>0</v>
      </c>
      <c r="BR777" s="214">
        <f>IF(AND(Input_Product=Elig!$C777,Elig_MatchAll_Ct&lt;22,$BC777=(Elig_MatchAll_Ct-1),AO777=0),M777,0)</f>
        <v>0</v>
      </c>
      <c r="BS777" s="214">
        <f>IF(AND(Input_Product=Elig!$C777,Elig_MatchAll_Ct&lt;22,$BC777=(Elig_MatchAll_Ct-1),AQ777=0),N777,0)</f>
        <v>0</v>
      </c>
      <c r="BT777" s="214">
        <f>IF(AND(Input_Product=Elig!$C777,Elig_MatchAll_Ct&lt;22,$BC777=(Elig_MatchAll_Ct-1),AR777=0),O777,0)</f>
        <v>0</v>
      </c>
      <c r="BU777" s="214">
        <f>IF(AND(Input_Product=Elig!$C777,Elig_MatchAll_Ct&lt;22,$BC777=(Elig_MatchAll_Ct-1),AS777=0),P777,0)</f>
        <v>0</v>
      </c>
      <c r="BV777" s="215">
        <f>IF(AND(Input_Product=Elig!$C777,Elig_MatchAll_Ct&lt;22,$BC777=(Elig_MatchAll_Ct-1),AT777=0),Q777,0)</f>
        <v>0</v>
      </c>
      <c r="BW777" s="311">
        <f>IF(AND(Input_Product=Elig!$C777,Elig_MatchAll_Ct&lt;22,$BC777=(Elig_MatchAll_Ct-1),AU777=0),R777,0)</f>
        <v>0</v>
      </c>
      <c r="BX777" s="312">
        <f>IF(AND(Input_Product=Elig!$C777,Elig_MatchAll_Ct&lt;22,$BC777=(Elig_MatchAll_Ct-1),AU777=0),S777,0)</f>
        <v>0</v>
      </c>
      <c r="BY777" s="311">
        <f>IF(AND(Input_Product=Elig!$C777,Elig_MatchAll_Ct&lt;22,$BC777=(Elig_MatchAll_Ct-1),AV777=0),T777,0)</f>
        <v>0</v>
      </c>
      <c r="BZ777" s="312">
        <f>IF(AND(Input_Product=Elig!$C777,Elig_MatchAll_Ct&lt;22,$BC777=(Elig_MatchAll_Ct-1),AV777=0),U777,0)</f>
        <v>0</v>
      </c>
      <c r="CA777" s="311">
        <f>IF(AND(Input_Product=Elig!$C777,Elig_MatchAll_Ct&lt;22,$BC777=(Elig_MatchAll_Ct-1),AW777=0),V777,0)</f>
        <v>0</v>
      </c>
      <c r="CB777" s="312">
        <f>IF(AND(Input_Product=Elig!$C777,Elig_MatchAll_Ct&lt;22,$BC777=(Elig_MatchAll_Ct-1),AW777=0),W777,0)</f>
        <v>0</v>
      </c>
      <c r="CC777" s="311">
        <f>IF(AND(Input_Product=Elig!$C777,Elig_MatchAll_Ct&lt;22,$BC777=(Elig_MatchAll_Ct-1),AX777=0),X777,0)</f>
        <v>0</v>
      </c>
      <c r="CD777" s="312">
        <f>IF(AND(Input_Product=Elig!$C777,Elig_MatchAll_Ct&lt;22,$BC777=(Elig_MatchAll_Ct-1),AX777=0),Y777,0)</f>
        <v>0</v>
      </c>
      <c r="CE777" s="311">
        <f>IF(AND(Input_LTV&lt;=AE777,Input_Product=Elig!$C777,Elig_MatchAll_Ct&lt;22,$BC777=(Elig_MatchAll_Ct-1),AY777=0),Z777,0)</f>
        <v>0</v>
      </c>
      <c r="CF777" s="312">
        <f>IF(AND(Input_LTV&lt;=AE777,Input_Product=Elig!$C777,Elig_MatchAll_Ct&lt;22,$BC777=(Elig_MatchAll_Ct-1),AY777=0),AA777,0)</f>
        <v>0</v>
      </c>
      <c r="CG777" s="311">
        <f>IF(AND(Input_Product=Elig!$C777,Elig_MatchAll_Ct&lt;22,$BC777=(Elig_MatchAll_Ct-1),AZ777=0),AB777,0)</f>
        <v>0</v>
      </c>
      <c r="CH777" s="312">
        <f>IF(AND(Input_Product=Elig!$C777,Elig_MatchAll_Ct&lt;22,$BC777=(Elig_MatchAll_Ct-1),AZ777=0),AC777,0)</f>
        <v>0</v>
      </c>
      <c r="CI777" s="311">
        <f>IF(AND(Input_Product=Elig!$C777,Elig_MatchAll_Ct&lt;22,$BC777=(Elig_MatchAll_Ct-1),BA777=0),AD777,0)</f>
        <v>0</v>
      </c>
      <c r="CJ777" s="312">
        <f>IF(AND(Input_Product=Elig!$C777,Elig_MatchAll_Ct&lt;22,$BC777=(Elig_MatchAll_Ct-1),BA777=0),AE777,0)</f>
        <v>0</v>
      </c>
    </row>
    <row r="778" spans="2:88" ht="10.15" customHeight="1" x14ac:dyDescent="0.25">
      <c r="B778" s="2027" t="s">
        <v>4075</v>
      </c>
      <c r="C778" s="2024" t="str">
        <f t="shared" si="279"/>
        <v>Second OO</v>
      </c>
      <c r="D778" s="2025" t="s">
        <v>1569</v>
      </c>
      <c r="E778" s="2025" t="s">
        <v>98</v>
      </c>
      <c r="F778" s="2025" t="s">
        <v>329</v>
      </c>
      <c r="G778" s="2103" t="s">
        <v>472</v>
      </c>
      <c r="H778" s="2025" t="s">
        <v>136</v>
      </c>
      <c r="I778" s="2023" t="s">
        <v>1332</v>
      </c>
      <c r="J778" s="2023" t="s">
        <v>1311</v>
      </c>
      <c r="K778" s="2025" t="s">
        <v>1790</v>
      </c>
      <c r="L778" s="2023" t="s">
        <v>430</v>
      </c>
      <c r="M778" s="2023" t="s">
        <v>2677</v>
      </c>
      <c r="N778" s="2025" t="s">
        <v>82</v>
      </c>
      <c r="O778" s="2023" t="s">
        <v>310</v>
      </c>
      <c r="P778" s="2023" t="s">
        <v>291</v>
      </c>
      <c r="Q778" s="2023" t="s">
        <v>294</v>
      </c>
      <c r="R778" s="323">
        <v>500000.01</v>
      </c>
      <c r="S778" s="323">
        <v>750000</v>
      </c>
      <c r="T778" s="2023">
        <v>0</v>
      </c>
      <c r="U778" s="2023">
        <f t="shared" si="300"/>
        <v>750000</v>
      </c>
      <c r="V778" s="2023">
        <v>0</v>
      </c>
      <c r="W778" s="2023">
        <v>50</v>
      </c>
      <c r="X778" s="2023">
        <v>0</v>
      </c>
      <c r="Y778" s="2023">
        <v>999</v>
      </c>
      <c r="Z778" s="2026">
        <v>720</v>
      </c>
      <c r="AA778" s="2026">
        <v>999</v>
      </c>
      <c r="AB778" s="2026">
        <v>0</v>
      </c>
      <c r="AC778" s="2026">
        <v>999999</v>
      </c>
      <c r="AD778" s="2023">
        <v>0</v>
      </c>
      <c r="AE778" s="1482">
        <v>65</v>
      </c>
      <c r="AF778" s="170">
        <v>1</v>
      </c>
      <c r="AG778" s="171">
        <v>1</v>
      </c>
      <c r="AH778" s="171">
        <v>1</v>
      </c>
      <c r="AI778" s="171">
        <v>0</v>
      </c>
      <c r="AJ778" s="171">
        <v>0</v>
      </c>
      <c r="AK778" s="171">
        <v>1</v>
      </c>
      <c r="AL778" s="171">
        <v>1</v>
      </c>
      <c r="AM778" s="171">
        <v>1</v>
      </c>
      <c r="AN778" s="171">
        <v>1</v>
      </c>
      <c r="AO778" s="171">
        <v>1</v>
      </c>
      <c r="AP778" s="171">
        <v>1</v>
      </c>
      <c r="AQ778" s="171">
        <v>1</v>
      </c>
      <c r="AR778" s="171">
        <v>1</v>
      </c>
      <c r="AS778" s="171">
        <v>1</v>
      </c>
      <c r="AT778" s="171">
        <v>1</v>
      </c>
      <c r="AU778" s="171">
        <f t="shared" si="294"/>
        <v>0</v>
      </c>
      <c r="AV778" s="171">
        <f t="shared" si="295"/>
        <v>1</v>
      </c>
      <c r="AW778" s="171">
        <f t="shared" si="296"/>
        <v>1</v>
      </c>
      <c r="AX778" s="171">
        <f t="shared" si="305"/>
        <v>1</v>
      </c>
      <c r="AY778" s="171">
        <f t="shared" si="297"/>
        <v>1</v>
      </c>
      <c r="AZ778" s="171">
        <f t="shared" si="298"/>
        <v>1</v>
      </c>
      <c r="BA778" s="172">
        <f t="shared" si="299"/>
        <v>1</v>
      </c>
      <c r="BB778" s="175">
        <f t="shared" si="301"/>
        <v>19</v>
      </c>
      <c r="BC778" s="176">
        <f t="shared" si="302"/>
        <v>18</v>
      </c>
      <c r="BD778" s="176">
        <f t="shared" si="303"/>
        <v>18</v>
      </c>
      <c r="BE778" s="240" t="str">
        <f t="shared" si="322"/>
        <v/>
      </c>
      <c r="BF778" s="220"/>
      <c r="BG778" s="220"/>
      <c r="BH778" s="216">
        <f>IF(AND(Input_Product=Elig!$C778,Elig_MatchAll_Ct&lt;22,$BC778=(Elig_MatchAll_Ct-1),AF778=0),C778,0)</f>
        <v>0</v>
      </c>
      <c r="BI778" s="216">
        <f>IF(AND(Input_Product=Elig!$C778,Elig_MatchAll_Ct&lt;22,$BC778=(Elig_MatchAll_Ct-1),AG778=0),D778,0)</f>
        <v>0</v>
      </c>
      <c r="BJ778" s="216">
        <f>IF(AND(Input_Product=Elig!$C778,Elig_MatchAll_Ct&lt;22,$BC778=(Elig_MatchAll_Ct-1),AH778=0),E778,0)</f>
        <v>0</v>
      </c>
      <c r="BK778" s="216">
        <f>IF(AND(Input_Product=Elig!$C778,Elig_MatchAll_Ct&lt;22,$BC778=(Elig_MatchAll_Ct-1),AI778=0),F778,0)</f>
        <v>0</v>
      </c>
      <c r="BL778" s="216">
        <f>IF(AND(Input_Product=Elig!$C778,Elig_MatchAll_Ct&lt;22,$BC778=(Elig_MatchAll_Ct-1),AJ778=0),G778,0)</f>
        <v>0</v>
      </c>
      <c r="BM778" s="216">
        <f>IF(AND(Input_Product=Elig!$C778,Elig_MatchAll_Ct&lt;22,$BC778=(Elig_MatchAll_Ct-1),AK778=0),H778,0)</f>
        <v>0</v>
      </c>
      <c r="BN778" s="216">
        <f>IF(AND(Input_Product=Elig!$C778,Elig_MatchAll_Ct&lt;22,$BC778=(Elig_MatchAll_Ct-1),AL778=0),I778,0)</f>
        <v>0</v>
      </c>
      <c r="BO778" s="216">
        <f>IF(AND(Input_Product=Elig!$C778,Elig_MatchAll_Ct&lt;22,$BC778=(Elig_MatchAll_Ct-1),AM778=0),J778,0)</f>
        <v>0</v>
      </c>
      <c r="BP778" s="216">
        <f>IF(AND(Input_Product=Elig!$C778,Elig_MatchAll_Ct&lt;22,$BC778=(Elig_MatchAll_Ct-1),AN778=0),K778,0)</f>
        <v>0</v>
      </c>
      <c r="BQ778" s="216">
        <f>IF(AND(Input_Product=Elig!$C778,Elig_MatchAll_Ct&lt;22,$BC778=(Elig_MatchAll_Ct-1),AP778=0),L778,0)</f>
        <v>0</v>
      </c>
      <c r="BR778" s="216">
        <f>IF(AND(Input_Product=Elig!$C778,Elig_MatchAll_Ct&lt;22,$BC778=(Elig_MatchAll_Ct-1),AO778=0),M778,0)</f>
        <v>0</v>
      </c>
      <c r="BS778" s="216">
        <f>IF(AND(Input_Product=Elig!$C778,Elig_MatchAll_Ct&lt;22,$BC778=(Elig_MatchAll_Ct-1),AQ778=0),N778,0)</f>
        <v>0</v>
      </c>
      <c r="BT778" s="216">
        <f>IF(AND(Input_Product=Elig!$C778,Elig_MatchAll_Ct&lt;22,$BC778=(Elig_MatchAll_Ct-1),AR778=0),O778,0)</f>
        <v>0</v>
      </c>
      <c r="BU778" s="216">
        <f>IF(AND(Input_Product=Elig!$C778,Elig_MatchAll_Ct&lt;22,$BC778=(Elig_MatchAll_Ct-1),AS778=0),P778,0)</f>
        <v>0</v>
      </c>
      <c r="BV778" s="217">
        <f>IF(AND(Input_Product=Elig!$C778,Elig_MatchAll_Ct&lt;22,$BC778=(Elig_MatchAll_Ct-1),AT778=0),Q778,0)</f>
        <v>0</v>
      </c>
      <c r="BW778" s="313">
        <f>IF(AND(Input_Product=Elig!$C778,Elig_MatchAll_Ct&lt;22,$BC778=(Elig_MatchAll_Ct-1),AU778=0),R778,0)</f>
        <v>0</v>
      </c>
      <c r="BX778" s="314">
        <f>IF(AND(Input_Product=Elig!$C778,Elig_MatchAll_Ct&lt;22,$BC778=(Elig_MatchAll_Ct-1),AU778=0),S778,0)</f>
        <v>0</v>
      </c>
      <c r="BY778" s="313">
        <f>IF(AND(Input_Product=Elig!$C778,Elig_MatchAll_Ct&lt;22,$BC778=(Elig_MatchAll_Ct-1),AV778=0),T778,0)</f>
        <v>0</v>
      </c>
      <c r="BZ778" s="314">
        <f>IF(AND(Input_Product=Elig!$C778,Elig_MatchAll_Ct&lt;22,$BC778=(Elig_MatchAll_Ct-1),AV778=0),U778,0)</f>
        <v>0</v>
      </c>
      <c r="CA778" s="313">
        <f>IF(AND(Input_Product=Elig!$C778,Elig_MatchAll_Ct&lt;22,$BC778=(Elig_MatchAll_Ct-1),AW778=0),V778,0)</f>
        <v>0</v>
      </c>
      <c r="CB778" s="314">
        <f>IF(AND(Input_Product=Elig!$C778,Elig_MatchAll_Ct&lt;22,$BC778=(Elig_MatchAll_Ct-1),AW778=0),W778,0)</f>
        <v>0</v>
      </c>
      <c r="CC778" s="313">
        <f>IF(AND(Input_Product=Elig!$C778,Elig_MatchAll_Ct&lt;22,$BC778=(Elig_MatchAll_Ct-1),AX778=0),X778,0)</f>
        <v>0</v>
      </c>
      <c r="CD778" s="314">
        <f>IF(AND(Input_Product=Elig!$C778,Elig_MatchAll_Ct&lt;22,$BC778=(Elig_MatchAll_Ct-1),AX778=0),Y778,0)</f>
        <v>0</v>
      </c>
      <c r="CE778" s="313">
        <f>IF(AND(Input_LTV&lt;=AE778,Input_Product=Elig!$C778,Elig_MatchAll_Ct&lt;22,$BC778=(Elig_MatchAll_Ct-1),AY778=0),Z778,0)</f>
        <v>0</v>
      </c>
      <c r="CF778" s="314">
        <f>IF(AND(Input_LTV&lt;=AE778,Input_Product=Elig!$C778,Elig_MatchAll_Ct&lt;22,$BC778=(Elig_MatchAll_Ct-1),AY778=0),AA778,0)</f>
        <v>0</v>
      </c>
      <c r="CG778" s="313">
        <f>IF(AND(Input_Product=Elig!$C778,Elig_MatchAll_Ct&lt;22,$BC778=(Elig_MatchAll_Ct-1),AZ778=0),AB778,0)</f>
        <v>0</v>
      </c>
      <c r="CH778" s="314">
        <f>IF(AND(Input_Product=Elig!$C778,Elig_MatchAll_Ct&lt;22,$BC778=(Elig_MatchAll_Ct-1),AZ778=0),AC778,0)</f>
        <v>0</v>
      </c>
      <c r="CI778" s="313">
        <f>IF(AND(Input_Product=Elig!$C778,Elig_MatchAll_Ct&lt;22,$BC778=(Elig_MatchAll_Ct-1),BA778=0),AD778,0)</f>
        <v>0</v>
      </c>
      <c r="CJ778" s="314">
        <f>IF(AND(Input_Product=Elig!$C778,Elig_MatchAll_Ct&lt;22,$BC778=(Elig_MatchAll_Ct-1),BA778=0),AE778,0)</f>
        <v>0</v>
      </c>
    </row>
    <row r="779" spans="2:88" ht="10.15" customHeight="1" x14ac:dyDescent="0.25">
      <c r="B779" s="2027" t="s">
        <v>4076</v>
      </c>
      <c r="C779" s="2028" t="str">
        <f t="shared" si="279"/>
        <v>Second OO</v>
      </c>
      <c r="D779" s="2027" t="s">
        <v>1569</v>
      </c>
      <c r="E779" s="2027" t="s">
        <v>98</v>
      </c>
      <c r="F779" s="2027" t="s">
        <v>329</v>
      </c>
      <c r="G779" s="2110" t="s">
        <v>472</v>
      </c>
      <c r="H779" s="2029" t="s">
        <v>136</v>
      </c>
      <c r="I779" s="2027" t="s">
        <v>1332</v>
      </c>
      <c r="J779" s="2027" t="s">
        <v>1311</v>
      </c>
      <c r="K779" s="2029" t="s">
        <v>1790</v>
      </c>
      <c r="L779" s="2027" t="s">
        <v>430</v>
      </c>
      <c r="M779" s="2027" t="s">
        <v>2677</v>
      </c>
      <c r="N779" s="2029" t="s">
        <v>82</v>
      </c>
      <c r="O779" s="2027" t="s">
        <v>310</v>
      </c>
      <c r="P779" s="2027" t="s">
        <v>291</v>
      </c>
      <c r="Q779" s="2027" t="s">
        <v>294</v>
      </c>
      <c r="R779" s="300">
        <v>500000.01</v>
      </c>
      <c r="S779" s="300">
        <v>750000</v>
      </c>
      <c r="T779" s="2027">
        <v>0</v>
      </c>
      <c r="U779" s="2027">
        <f t="shared" si="300"/>
        <v>750000</v>
      </c>
      <c r="V779" s="2027">
        <v>0</v>
      </c>
      <c r="W779" s="2027">
        <v>50</v>
      </c>
      <c r="X779" s="2027">
        <v>0</v>
      </c>
      <c r="Y779" s="2027">
        <v>999</v>
      </c>
      <c r="Z779" s="2030">
        <v>700</v>
      </c>
      <c r="AA779" s="2030">
        <v>719</v>
      </c>
      <c r="AB779" s="2030">
        <v>0</v>
      </c>
      <c r="AC779" s="2030">
        <v>999999</v>
      </c>
      <c r="AD779" s="2027">
        <v>0</v>
      </c>
      <c r="AE779" s="1483">
        <v>60</v>
      </c>
      <c r="AF779" s="170">
        <v>1</v>
      </c>
      <c r="AG779" s="171">
        <v>1</v>
      </c>
      <c r="AH779" s="171">
        <v>1</v>
      </c>
      <c r="AI779" s="171">
        <v>0</v>
      </c>
      <c r="AJ779" s="171">
        <v>0</v>
      </c>
      <c r="AK779" s="171">
        <v>1</v>
      </c>
      <c r="AL779" s="171">
        <v>1</v>
      </c>
      <c r="AM779" s="171">
        <v>1</v>
      </c>
      <c r="AN779" s="171">
        <v>1</v>
      </c>
      <c r="AO779" s="171">
        <v>1</v>
      </c>
      <c r="AP779" s="171">
        <v>1</v>
      </c>
      <c r="AQ779" s="171">
        <v>1</v>
      </c>
      <c r="AR779" s="171">
        <v>1</v>
      </c>
      <c r="AS779" s="171">
        <v>1</v>
      </c>
      <c r="AT779" s="171">
        <v>1</v>
      </c>
      <c r="AU779" s="171">
        <f t="shared" si="294"/>
        <v>0</v>
      </c>
      <c r="AV779" s="171">
        <f t="shared" si="295"/>
        <v>1</v>
      </c>
      <c r="AW779" s="171">
        <f t="shared" si="296"/>
        <v>1</v>
      </c>
      <c r="AX779" s="171">
        <f t="shared" si="305"/>
        <v>1</v>
      </c>
      <c r="AY779" s="171">
        <f t="shared" si="297"/>
        <v>0</v>
      </c>
      <c r="AZ779" s="171">
        <f t="shared" si="298"/>
        <v>1</v>
      </c>
      <c r="BA779" s="172">
        <f t="shared" si="299"/>
        <v>0</v>
      </c>
      <c r="BB779" s="175">
        <f t="shared" si="301"/>
        <v>17</v>
      </c>
      <c r="BC779" s="176">
        <f t="shared" si="302"/>
        <v>17</v>
      </c>
      <c r="BD779" s="176">
        <f t="shared" si="303"/>
        <v>16</v>
      </c>
      <c r="BE779" s="240" t="str">
        <f t="shared" si="322"/>
        <v/>
      </c>
      <c r="BF779" s="234"/>
      <c r="BG779" s="234"/>
      <c r="BH779" s="199">
        <f>IF(AND(Input_Product=Elig!$C779,Elig_MatchAll_Ct&lt;22,$BC779=(Elig_MatchAll_Ct-1),AF779=0),C779,0)</f>
        <v>0</v>
      </c>
      <c r="BI779" s="199">
        <f>IF(AND(Input_Product=Elig!$C779,Elig_MatchAll_Ct&lt;22,$BC779=(Elig_MatchAll_Ct-1),AG779=0),D779,0)</f>
        <v>0</v>
      </c>
      <c r="BJ779" s="199">
        <f>IF(AND(Input_Product=Elig!$C779,Elig_MatchAll_Ct&lt;22,$BC779=(Elig_MatchAll_Ct-1),AH779=0),E779,0)</f>
        <v>0</v>
      </c>
      <c r="BK779" s="199">
        <f>IF(AND(Input_Product=Elig!$C779,Elig_MatchAll_Ct&lt;22,$BC779=(Elig_MatchAll_Ct-1),AI779=0),F779,0)</f>
        <v>0</v>
      </c>
      <c r="BL779" s="199">
        <f>IF(AND(Input_Product=Elig!$C779,Elig_MatchAll_Ct&lt;22,$BC779=(Elig_MatchAll_Ct-1),AJ779=0),G779,0)</f>
        <v>0</v>
      </c>
      <c r="BM779" s="199">
        <f>IF(AND(Input_Product=Elig!$C779,Elig_MatchAll_Ct&lt;22,$BC779=(Elig_MatchAll_Ct-1),AK779=0),H779,0)</f>
        <v>0</v>
      </c>
      <c r="BN779" s="199">
        <f>IF(AND(Input_Product=Elig!$C779,Elig_MatchAll_Ct&lt;22,$BC779=(Elig_MatchAll_Ct-1),AL779=0),I779,0)</f>
        <v>0</v>
      </c>
      <c r="BO779" s="199">
        <f>IF(AND(Input_Product=Elig!$C779,Elig_MatchAll_Ct&lt;22,$BC779=(Elig_MatchAll_Ct-1),AM779=0),J779,0)</f>
        <v>0</v>
      </c>
      <c r="BP779" s="199">
        <f>IF(AND(Input_Product=Elig!$C779,Elig_MatchAll_Ct&lt;22,$BC779=(Elig_MatchAll_Ct-1),AN779=0),K779,0)</f>
        <v>0</v>
      </c>
      <c r="BQ779" s="199">
        <f>IF(AND(Input_Product=Elig!$C779,Elig_MatchAll_Ct&lt;22,$BC779=(Elig_MatchAll_Ct-1),AP779=0),L779,0)</f>
        <v>0</v>
      </c>
      <c r="BR779" s="199">
        <f>IF(AND(Input_Product=Elig!$C779,Elig_MatchAll_Ct&lt;22,$BC779=(Elig_MatchAll_Ct-1),AO779=0),M779,0)</f>
        <v>0</v>
      </c>
      <c r="BS779" s="199">
        <f>IF(AND(Input_Product=Elig!$C779,Elig_MatchAll_Ct&lt;22,$BC779=(Elig_MatchAll_Ct-1),AQ779=0),N779,0)</f>
        <v>0</v>
      </c>
      <c r="BT779" s="199">
        <f>IF(AND(Input_Product=Elig!$C779,Elig_MatchAll_Ct&lt;22,$BC779=(Elig_MatchAll_Ct-1),AR779=0),O779,0)</f>
        <v>0</v>
      </c>
      <c r="BU779" s="199">
        <f>IF(AND(Input_Product=Elig!$C779,Elig_MatchAll_Ct&lt;22,$BC779=(Elig_MatchAll_Ct-1),AS779=0),P779,0)</f>
        <v>0</v>
      </c>
      <c r="BV779" s="200">
        <f>IF(AND(Input_Product=Elig!$C779,Elig_MatchAll_Ct&lt;22,$BC779=(Elig_MatchAll_Ct-1),AT779=0),Q779,0)</f>
        <v>0</v>
      </c>
      <c r="BW779" s="201">
        <f>IF(AND(Input_Product=Elig!$C779,Elig_MatchAll_Ct&lt;22,$BC779=(Elig_MatchAll_Ct-1),AU779=0),R779,0)</f>
        <v>0</v>
      </c>
      <c r="BX779" s="202">
        <f>IF(AND(Input_Product=Elig!$C779,Elig_MatchAll_Ct&lt;22,$BC779=(Elig_MatchAll_Ct-1),AU779=0),S779,0)</f>
        <v>0</v>
      </c>
      <c r="BY779" s="201">
        <f>IF(AND(Input_Product=Elig!$C779,Elig_MatchAll_Ct&lt;22,$BC779=(Elig_MatchAll_Ct-1),AV779=0),T779,0)</f>
        <v>0</v>
      </c>
      <c r="BZ779" s="202">
        <f>IF(AND(Input_Product=Elig!$C779,Elig_MatchAll_Ct&lt;22,$BC779=(Elig_MatchAll_Ct-1),AV779=0),U779,0)</f>
        <v>0</v>
      </c>
      <c r="CA779" s="201">
        <f>IF(AND(Input_Product=Elig!$C779,Elig_MatchAll_Ct&lt;22,$BC779=(Elig_MatchAll_Ct-1),AW779=0),V779,0)</f>
        <v>0</v>
      </c>
      <c r="CB779" s="202">
        <f>IF(AND(Input_Product=Elig!$C779,Elig_MatchAll_Ct&lt;22,$BC779=(Elig_MatchAll_Ct-1),AW779=0),W779,0)</f>
        <v>0</v>
      </c>
      <c r="CC779" s="201">
        <f>IF(AND(Input_Product=Elig!$C779,Elig_MatchAll_Ct&lt;22,$BC779=(Elig_MatchAll_Ct-1),AX779=0),X779,0)</f>
        <v>0</v>
      </c>
      <c r="CD779" s="202">
        <f>IF(AND(Input_Product=Elig!$C779,Elig_MatchAll_Ct&lt;22,$BC779=(Elig_MatchAll_Ct-1),AX779=0),Y779,0)</f>
        <v>0</v>
      </c>
      <c r="CE779" s="201">
        <f>IF(AND(Input_LTV&lt;=AE779,Input_Product=Elig!$C779,Elig_MatchAll_Ct&lt;22,$BC779=(Elig_MatchAll_Ct-1),AY779=0),Z779,0)</f>
        <v>0</v>
      </c>
      <c r="CF779" s="202">
        <f>IF(AND(Input_LTV&lt;=AE779,Input_Product=Elig!$C779,Elig_MatchAll_Ct&lt;22,$BC779=(Elig_MatchAll_Ct-1),AY779=0),AA779,0)</f>
        <v>0</v>
      </c>
      <c r="CG779" s="201">
        <f>IF(AND(Input_Product=Elig!$C779,Elig_MatchAll_Ct&lt;22,$BC779=(Elig_MatchAll_Ct-1),AZ779=0),AB779,0)</f>
        <v>0</v>
      </c>
      <c r="CH779" s="202">
        <f>IF(AND(Input_Product=Elig!$C779,Elig_MatchAll_Ct&lt;22,$BC779=(Elig_MatchAll_Ct-1),AZ779=0),AC779,0)</f>
        <v>0</v>
      </c>
      <c r="CI779" s="201">
        <f>IF(AND(Input_Product=Elig!$C779,Elig_MatchAll_Ct&lt;22,$BC779=(Elig_MatchAll_Ct-1),BA779=0),AD779,0)</f>
        <v>0</v>
      </c>
      <c r="CJ779" s="202">
        <f>IF(AND(Input_Product=Elig!$C779,Elig_MatchAll_Ct&lt;22,$BC779=(Elig_MatchAll_Ct-1),BA779=0),AE779,0)</f>
        <v>0</v>
      </c>
    </row>
    <row r="780" spans="2:88" ht="10.15" customHeight="1" x14ac:dyDescent="0.25">
      <c r="B780" s="2027" t="s">
        <v>4077</v>
      </c>
      <c r="C780" s="2028" t="str">
        <f t="shared" si="279"/>
        <v>Second OO</v>
      </c>
      <c r="D780" s="2027" t="s">
        <v>1569</v>
      </c>
      <c r="E780" s="2027" t="s">
        <v>98</v>
      </c>
      <c r="F780" s="2027" t="s">
        <v>329</v>
      </c>
      <c r="G780" s="2110" t="s">
        <v>472</v>
      </c>
      <c r="H780" s="2029" t="s">
        <v>136</v>
      </c>
      <c r="I780" s="2027" t="s">
        <v>1332</v>
      </c>
      <c r="J780" s="2027" t="s">
        <v>1311</v>
      </c>
      <c r="K780" s="2029" t="s">
        <v>1790</v>
      </c>
      <c r="L780" s="2027" t="s">
        <v>430</v>
      </c>
      <c r="M780" s="2027" t="s">
        <v>2677</v>
      </c>
      <c r="N780" s="2029" t="s">
        <v>82</v>
      </c>
      <c r="O780" s="2027" t="s">
        <v>310</v>
      </c>
      <c r="P780" s="2027" t="s">
        <v>291</v>
      </c>
      <c r="Q780" s="2027" t="s">
        <v>294</v>
      </c>
      <c r="R780" s="300">
        <v>500000.01</v>
      </c>
      <c r="S780" s="300">
        <v>750000</v>
      </c>
      <c r="T780" s="2027">
        <v>0</v>
      </c>
      <c r="U780" s="2027">
        <f t="shared" si="300"/>
        <v>750000</v>
      </c>
      <c r="V780" s="2027">
        <v>0</v>
      </c>
      <c r="W780" s="2027">
        <v>50</v>
      </c>
      <c r="X780" s="2027">
        <v>0</v>
      </c>
      <c r="Y780" s="2027">
        <v>999</v>
      </c>
      <c r="Z780" s="2030">
        <v>680</v>
      </c>
      <c r="AA780" s="2030">
        <v>699</v>
      </c>
      <c r="AB780" s="2030">
        <v>0</v>
      </c>
      <c r="AC780" s="2030">
        <v>999999</v>
      </c>
      <c r="AD780" s="2027">
        <v>0</v>
      </c>
      <c r="AE780" s="1483">
        <v>55</v>
      </c>
      <c r="AF780" s="170">
        <v>1</v>
      </c>
      <c r="AG780" s="171">
        <v>1</v>
      </c>
      <c r="AH780" s="171">
        <v>1</v>
      </c>
      <c r="AI780" s="171">
        <v>0</v>
      </c>
      <c r="AJ780" s="171">
        <v>0</v>
      </c>
      <c r="AK780" s="171">
        <v>1</v>
      </c>
      <c r="AL780" s="171">
        <v>1</v>
      </c>
      <c r="AM780" s="171">
        <v>1</v>
      </c>
      <c r="AN780" s="171">
        <v>1</v>
      </c>
      <c r="AO780" s="171">
        <v>1</v>
      </c>
      <c r="AP780" s="171">
        <v>1</v>
      </c>
      <c r="AQ780" s="171">
        <v>1</v>
      </c>
      <c r="AR780" s="171">
        <v>1</v>
      </c>
      <c r="AS780" s="171">
        <v>1</v>
      </c>
      <c r="AT780" s="171">
        <v>1</v>
      </c>
      <c r="AU780" s="171">
        <f t="shared" si="294"/>
        <v>0</v>
      </c>
      <c r="AV780" s="171">
        <f t="shared" si="295"/>
        <v>1</v>
      </c>
      <c r="AW780" s="171">
        <f t="shared" si="296"/>
        <v>1</v>
      </c>
      <c r="AX780" s="171">
        <f t="shared" si="305"/>
        <v>1</v>
      </c>
      <c r="AY780" s="171">
        <f t="shared" si="297"/>
        <v>0</v>
      </c>
      <c r="AZ780" s="171">
        <f t="shared" si="298"/>
        <v>1</v>
      </c>
      <c r="BA780" s="172">
        <f t="shared" si="299"/>
        <v>0</v>
      </c>
      <c r="BB780" s="175">
        <f t="shared" si="301"/>
        <v>17</v>
      </c>
      <c r="BC780" s="176">
        <f t="shared" si="302"/>
        <v>17</v>
      </c>
      <c r="BD780" s="176">
        <f t="shared" si="303"/>
        <v>16</v>
      </c>
      <c r="BE780" s="240" t="str">
        <f t="shared" si="322"/>
        <v/>
      </c>
      <c r="BF780" s="234"/>
      <c r="BG780" s="234"/>
      <c r="BH780" s="199">
        <f>IF(AND(Input_Product=Elig!$C780,Elig_MatchAll_Ct&lt;22,$BC780=(Elig_MatchAll_Ct-1),AF780=0),C780,0)</f>
        <v>0</v>
      </c>
      <c r="BI780" s="199">
        <f>IF(AND(Input_Product=Elig!$C780,Elig_MatchAll_Ct&lt;22,$BC780=(Elig_MatchAll_Ct-1),AG780=0),D780,0)</f>
        <v>0</v>
      </c>
      <c r="BJ780" s="199">
        <f>IF(AND(Input_Product=Elig!$C780,Elig_MatchAll_Ct&lt;22,$BC780=(Elig_MatchAll_Ct-1),AH780=0),E780,0)</f>
        <v>0</v>
      </c>
      <c r="BK780" s="199">
        <f>IF(AND(Input_Product=Elig!$C780,Elig_MatchAll_Ct&lt;22,$BC780=(Elig_MatchAll_Ct-1),AI780=0),F780,0)</f>
        <v>0</v>
      </c>
      <c r="BL780" s="199">
        <f>IF(AND(Input_Product=Elig!$C780,Elig_MatchAll_Ct&lt;22,$BC780=(Elig_MatchAll_Ct-1),AJ780=0),G780,0)</f>
        <v>0</v>
      </c>
      <c r="BM780" s="199">
        <f>IF(AND(Input_Product=Elig!$C780,Elig_MatchAll_Ct&lt;22,$BC780=(Elig_MatchAll_Ct-1),AK780=0),H780,0)</f>
        <v>0</v>
      </c>
      <c r="BN780" s="199">
        <f>IF(AND(Input_Product=Elig!$C780,Elig_MatchAll_Ct&lt;22,$BC780=(Elig_MatchAll_Ct-1),AL780=0),I780,0)</f>
        <v>0</v>
      </c>
      <c r="BO780" s="199">
        <f>IF(AND(Input_Product=Elig!$C780,Elig_MatchAll_Ct&lt;22,$BC780=(Elig_MatchAll_Ct-1),AM780=0),J780,0)</f>
        <v>0</v>
      </c>
      <c r="BP780" s="199">
        <f>IF(AND(Input_Product=Elig!$C780,Elig_MatchAll_Ct&lt;22,$BC780=(Elig_MatchAll_Ct-1),AN780=0),K780,0)</f>
        <v>0</v>
      </c>
      <c r="BQ780" s="199">
        <f>IF(AND(Input_Product=Elig!$C780,Elig_MatchAll_Ct&lt;22,$BC780=(Elig_MatchAll_Ct-1),AP780=0),L780,0)</f>
        <v>0</v>
      </c>
      <c r="BR780" s="199">
        <f>IF(AND(Input_Product=Elig!$C780,Elig_MatchAll_Ct&lt;22,$BC780=(Elig_MatchAll_Ct-1),AO780=0),M780,0)</f>
        <v>0</v>
      </c>
      <c r="BS780" s="199">
        <f>IF(AND(Input_Product=Elig!$C780,Elig_MatchAll_Ct&lt;22,$BC780=(Elig_MatchAll_Ct-1),AQ780=0),N780,0)</f>
        <v>0</v>
      </c>
      <c r="BT780" s="199">
        <f>IF(AND(Input_Product=Elig!$C780,Elig_MatchAll_Ct&lt;22,$BC780=(Elig_MatchAll_Ct-1),AR780=0),O780,0)</f>
        <v>0</v>
      </c>
      <c r="BU780" s="199">
        <f>IF(AND(Input_Product=Elig!$C780,Elig_MatchAll_Ct&lt;22,$BC780=(Elig_MatchAll_Ct-1),AS780=0),P780,0)</f>
        <v>0</v>
      </c>
      <c r="BV780" s="200">
        <f>IF(AND(Input_Product=Elig!$C780,Elig_MatchAll_Ct&lt;22,$BC780=(Elig_MatchAll_Ct-1),AT780=0),Q780,0)</f>
        <v>0</v>
      </c>
      <c r="BW780" s="201">
        <f>IF(AND(Input_Product=Elig!$C780,Elig_MatchAll_Ct&lt;22,$BC780=(Elig_MatchAll_Ct-1),AU780=0),R780,0)</f>
        <v>0</v>
      </c>
      <c r="BX780" s="202">
        <f>IF(AND(Input_Product=Elig!$C780,Elig_MatchAll_Ct&lt;22,$BC780=(Elig_MatchAll_Ct-1),AU780=0),S780,0)</f>
        <v>0</v>
      </c>
      <c r="BY780" s="201">
        <f>IF(AND(Input_Product=Elig!$C780,Elig_MatchAll_Ct&lt;22,$BC780=(Elig_MatchAll_Ct-1),AV780=0),T780,0)</f>
        <v>0</v>
      </c>
      <c r="BZ780" s="202">
        <f>IF(AND(Input_Product=Elig!$C780,Elig_MatchAll_Ct&lt;22,$BC780=(Elig_MatchAll_Ct-1),AV780=0),U780,0)</f>
        <v>0</v>
      </c>
      <c r="CA780" s="201">
        <f>IF(AND(Input_Product=Elig!$C780,Elig_MatchAll_Ct&lt;22,$BC780=(Elig_MatchAll_Ct-1),AW780=0),V780,0)</f>
        <v>0</v>
      </c>
      <c r="CB780" s="202">
        <f>IF(AND(Input_Product=Elig!$C780,Elig_MatchAll_Ct&lt;22,$BC780=(Elig_MatchAll_Ct-1),AW780=0),W780,0)</f>
        <v>0</v>
      </c>
      <c r="CC780" s="201">
        <f>IF(AND(Input_Product=Elig!$C780,Elig_MatchAll_Ct&lt;22,$BC780=(Elig_MatchAll_Ct-1),AX780=0),X780,0)</f>
        <v>0</v>
      </c>
      <c r="CD780" s="202">
        <f>IF(AND(Input_Product=Elig!$C780,Elig_MatchAll_Ct&lt;22,$BC780=(Elig_MatchAll_Ct-1),AX780=0),Y780,0)</f>
        <v>0</v>
      </c>
      <c r="CE780" s="201">
        <f>IF(AND(Input_LTV&lt;=AE780,Input_Product=Elig!$C780,Elig_MatchAll_Ct&lt;22,$BC780=(Elig_MatchAll_Ct-1),AY780=0),Z780,0)</f>
        <v>0</v>
      </c>
      <c r="CF780" s="202">
        <f>IF(AND(Input_LTV&lt;=AE780,Input_Product=Elig!$C780,Elig_MatchAll_Ct&lt;22,$BC780=(Elig_MatchAll_Ct-1),AY780=0),AA780,0)</f>
        <v>0</v>
      </c>
      <c r="CG780" s="201">
        <f>IF(AND(Input_Product=Elig!$C780,Elig_MatchAll_Ct&lt;22,$BC780=(Elig_MatchAll_Ct-1),AZ780=0),AB780,0)</f>
        <v>0</v>
      </c>
      <c r="CH780" s="202">
        <f>IF(AND(Input_Product=Elig!$C780,Elig_MatchAll_Ct&lt;22,$BC780=(Elig_MatchAll_Ct-1),AZ780=0),AC780,0)</f>
        <v>0</v>
      </c>
      <c r="CI780" s="201">
        <f>IF(AND(Input_Product=Elig!$C780,Elig_MatchAll_Ct&lt;22,$BC780=(Elig_MatchAll_Ct-1),BA780=0),AD780,0)</f>
        <v>0</v>
      </c>
      <c r="CJ780" s="202">
        <f>IF(AND(Input_Product=Elig!$C780,Elig_MatchAll_Ct&lt;22,$BC780=(Elig_MatchAll_Ct-1),BA780=0),AE780,0)</f>
        <v>0</v>
      </c>
    </row>
    <row r="781" spans="2:88" ht="10.15" customHeight="1" x14ac:dyDescent="0.25">
      <c r="B781" s="2027" t="s">
        <v>4078</v>
      </c>
      <c r="C781" s="2032" t="str">
        <f t="shared" si="279"/>
        <v>Second OO</v>
      </c>
      <c r="D781" s="2031" t="s">
        <v>1569</v>
      </c>
      <c r="E781" s="2031" t="s">
        <v>98</v>
      </c>
      <c r="F781" s="2031" t="s">
        <v>329</v>
      </c>
      <c r="G781" s="2111" t="s">
        <v>472</v>
      </c>
      <c r="H781" s="2033" t="s">
        <v>136</v>
      </c>
      <c r="I781" s="2031" t="s">
        <v>1332</v>
      </c>
      <c r="J781" s="2031" t="s">
        <v>1311</v>
      </c>
      <c r="K781" s="2033" t="s">
        <v>1790</v>
      </c>
      <c r="L781" s="2031" t="s">
        <v>430</v>
      </c>
      <c r="M781" s="2031" t="s">
        <v>2677</v>
      </c>
      <c r="N781" s="2033" t="s">
        <v>82</v>
      </c>
      <c r="O781" s="2031" t="s">
        <v>310</v>
      </c>
      <c r="P781" s="2031" t="s">
        <v>291</v>
      </c>
      <c r="Q781" s="2031" t="s">
        <v>294</v>
      </c>
      <c r="R781" s="324">
        <v>500000.01</v>
      </c>
      <c r="S781" s="324">
        <v>750000</v>
      </c>
      <c r="T781" s="2031">
        <v>0</v>
      </c>
      <c r="U781" s="2031">
        <f t="shared" si="300"/>
        <v>750000</v>
      </c>
      <c r="V781" s="2031">
        <v>0</v>
      </c>
      <c r="W781" s="2031">
        <v>50</v>
      </c>
      <c r="X781" s="2031">
        <v>0</v>
      </c>
      <c r="Y781" s="2031">
        <v>999</v>
      </c>
      <c r="Z781" s="2034">
        <v>660</v>
      </c>
      <c r="AA781" s="2034">
        <v>679</v>
      </c>
      <c r="AB781" s="2034">
        <v>0</v>
      </c>
      <c r="AC781" s="2034">
        <v>999999</v>
      </c>
      <c r="AD781" s="2031">
        <v>0</v>
      </c>
      <c r="AE781" s="1484">
        <v>50</v>
      </c>
      <c r="AF781" s="170">
        <v>1</v>
      </c>
      <c r="AG781" s="171">
        <v>1</v>
      </c>
      <c r="AH781" s="171">
        <v>1</v>
      </c>
      <c r="AI781" s="171">
        <v>0</v>
      </c>
      <c r="AJ781" s="171">
        <v>0</v>
      </c>
      <c r="AK781" s="171">
        <v>1</v>
      </c>
      <c r="AL781" s="171">
        <v>1</v>
      </c>
      <c r="AM781" s="171">
        <v>1</v>
      </c>
      <c r="AN781" s="171">
        <v>1</v>
      </c>
      <c r="AO781" s="171">
        <v>1</v>
      </c>
      <c r="AP781" s="171">
        <v>1</v>
      </c>
      <c r="AQ781" s="171">
        <v>1</v>
      </c>
      <c r="AR781" s="171">
        <v>1</v>
      </c>
      <c r="AS781" s="171">
        <v>1</v>
      </c>
      <c r="AT781" s="171">
        <v>1</v>
      </c>
      <c r="AU781" s="171">
        <f t="shared" si="294"/>
        <v>0</v>
      </c>
      <c r="AV781" s="171">
        <f t="shared" si="295"/>
        <v>1</v>
      </c>
      <c r="AW781" s="171">
        <f t="shared" si="296"/>
        <v>1</v>
      </c>
      <c r="AX781" s="171">
        <f t="shared" si="305"/>
        <v>1</v>
      </c>
      <c r="AY781" s="171">
        <f t="shared" si="297"/>
        <v>0</v>
      </c>
      <c r="AZ781" s="171">
        <f t="shared" si="298"/>
        <v>1</v>
      </c>
      <c r="BA781" s="172">
        <f t="shared" si="299"/>
        <v>0</v>
      </c>
      <c r="BB781" s="175">
        <f t="shared" si="301"/>
        <v>17</v>
      </c>
      <c r="BC781" s="176">
        <f t="shared" si="302"/>
        <v>17</v>
      </c>
      <c r="BD781" s="176">
        <f t="shared" si="303"/>
        <v>16</v>
      </c>
      <c r="BE781" s="240" t="str">
        <f t="shared" si="322"/>
        <v/>
      </c>
      <c r="BF781" s="234"/>
      <c r="BG781" s="234"/>
      <c r="BH781" s="214">
        <f>IF(AND(Input_Product=Elig!$C781,Elig_MatchAll_Ct&lt;22,$BC781=(Elig_MatchAll_Ct-1),AF781=0),C781,0)</f>
        <v>0</v>
      </c>
      <c r="BI781" s="214">
        <f>IF(AND(Input_Product=Elig!$C781,Elig_MatchAll_Ct&lt;22,$BC781=(Elig_MatchAll_Ct-1),AG781=0),D781,0)</f>
        <v>0</v>
      </c>
      <c r="BJ781" s="214">
        <f>IF(AND(Input_Product=Elig!$C781,Elig_MatchAll_Ct&lt;22,$BC781=(Elig_MatchAll_Ct-1),AH781=0),E781,0)</f>
        <v>0</v>
      </c>
      <c r="BK781" s="214">
        <f>IF(AND(Input_Product=Elig!$C781,Elig_MatchAll_Ct&lt;22,$BC781=(Elig_MatchAll_Ct-1),AI781=0),F781,0)</f>
        <v>0</v>
      </c>
      <c r="BL781" s="214">
        <f>IF(AND(Input_Product=Elig!$C781,Elig_MatchAll_Ct&lt;22,$BC781=(Elig_MatchAll_Ct-1),AJ781=0),G781,0)</f>
        <v>0</v>
      </c>
      <c r="BM781" s="214">
        <f>IF(AND(Input_Product=Elig!$C781,Elig_MatchAll_Ct&lt;22,$BC781=(Elig_MatchAll_Ct-1),AK781=0),H781,0)</f>
        <v>0</v>
      </c>
      <c r="BN781" s="214">
        <f>IF(AND(Input_Product=Elig!$C781,Elig_MatchAll_Ct&lt;22,$BC781=(Elig_MatchAll_Ct-1),AL781=0),I781,0)</f>
        <v>0</v>
      </c>
      <c r="BO781" s="214">
        <f>IF(AND(Input_Product=Elig!$C781,Elig_MatchAll_Ct&lt;22,$BC781=(Elig_MatchAll_Ct-1),AM781=0),J781,0)</f>
        <v>0</v>
      </c>
      <c r="BP781" s="214">
        <f>IF(AND(Input_Product=Elig!$C781,Elig_MatchAll_Ct&lt;22,$BC781=(Elig_MatchAll_Ct-1),AN781=0),K781,0)</f>
        <v>0</v>
      </c>
      <c r="BQ781" s="214">
        <f>IF(AND(Input_Product=Elig!$C781,Elig_MatchAll_Ct&lt;22,$BC781=(Elig_MatchAll_Ct-1),AP781=0),L781,0)</f>
        <v>0</v>
      </c>
      <c r="BR781" s="214">
        <f>IF(AND(Input_Product=Elig!$C781,Elig_MatchAll_Ct&lt;22,$BC781=(Elig_MatchAll_Ct-1),AO781=0),M781,0)</f>
        <v>0</v>
      </c>
      <c r="BS781" s="214">
        <f>IF(AND(Input_Product=Elig!$C781,Elig_MatchAll_Ct&lt;22,$BC781=(Elig_MatchAll_Ct-1),AQ781=0),N781,0)</f>
        <v>0</v>
      </c>
      <c r="BT781" s="214">
        <f>IF(AND(Input_Product=Elig!$C781,Elig_MatchAll_Ct&lt;22,$BC781=(Elig_MatchAll_Ct-1),AR781=0),O781,0)</f>
        <v>0</v>
      </c>
      <c r="BU781" s="214">
        <f>IF(AND(Input_Product=Elig!$C781,Elig_MatchAll_Ct&lt;22,$BC781=(Elig_MatchAll_Ct-1),AS781=0),P781,0)</f>
        <v>0</v>
      </c>
      <c r="BV781" s="215">
        <f>IF(AND(Input_Product=Elig!$C781,Elig_MatchAll_Ct&lt;22,$BC781=(Elig_MatchAll_Ct-1),AT781=0),Q781,0)</f>
        <v>0</v>
      </c>
      <c r="BW781" s="311">
        <f>IF(AND(Input_Product=Elig!$C781,Elig_MatchAll_Ct&lt;22,$BC781=(Elig_MatchAll_Ct-1),AU781=0),R781,0)</f>
        <v>0</v>
      </c>
      <c r="BX781" s="312">
        <f>IF(AND(Input_Product=Elig!$C781,Elig_MatchAll_Ct&lt;22,$BC781=(Elig_MatchAll_Ct-1),AU781=0),S781,0)</f>
        <v>0</v>
      </c>
      <c r="BY781" s="311">
        <f>IF(AND(Input_Product=Elig!$C781,Elig_MatchAll_Ct&lt;22,$BC781=(Elig_MatchAll_Ct-1),AV781=0),T781,0)</f>
        <v>0</v>
      </c>
      <c r="BZ781" s="312">
        <f>IF(AND(Input_Product=Elig!$C781,Elig_MatchAll_Ct&lt;22,$BC781=(Elig_MatchAll_Ct-1),AV781=0),U781,0)</f>
        <v>0</v>
      </c>
      <c r="CA781" s="311">
        <f>IF(AND(Input_Product=Elig!$C781,Elig_MatchAll_Ct&lt;22,$BC781=(Elig_MatchAll_Ct-1),AW781=0),V781,0)</f>
        <v>0</v>
      </c>
      <c r="CB781" s="312">
        <f>IF(AND(Input_Product=Elig!$C781,Elig_MatchAll_Ct&lt;22,$BC781=(Elig_MatchAll_Ct-1),AW781=0),W781,0)</f>
        <v>0</v>
      </c>
      <c r="CC781" s="311">
        <f>IF(AND(Input_Product=Elig!$C781,Elig_MatchAll_Ct&lt;22,$BC781=(Elig_MatchAll_Ct-1),AX781=0),X781,0)</f>
        <v>0</v>
      </c>
      <c r="CD781" s="312">
        <f>IF(AND(Input_Product=Elig!$C781,Elig_MatchAll_Ct&lt;22,$BC781=(Elig_MatchAll_Ct-1),AX781=0),Y781,0)</f>
        <v>0</v>
      </c>
      <c r="CE781" s="311">
        <f>IF(AND(Input_LTV&lt;=AE781,Input_Product=Elig!$C781,Elig_MatchAll_Ct&lt;22,$BC781=(Elig_MatchAll_Ct-1),AY781=0),Z781,0)</f>
        <v>0</v>
      </c>
      <c r="CF781" s="312">
        <f>IF(AND(Input_LTV&lt;=AE781,Input_Product=Elig!$C781,Elig_MatchAll_Ct&lt;22,$BC781=(Elig_MatchAll_Ct-1),AY781=0),AA781,0)</f>
        <v>0</v>
      </c>
      <c r="CG781" s="311">
        <f>IF(AND(Input_Product=Elig!$C781,Elig_MatchAll_Ct&lt;22,$BC781=(Elig_MatchAll_Ct-1),AZ781=0),AB781,0)</f>
        <v>0</v>
      </c>
      <c r="CH781" s="312">
        <f>IF(AND(Input_Product=Elig!$C781,Elig_MatchAll_Ct&lt;22,$BC781=(Elig_MatchAll_Ct-1),AZ781=0),AC781,0)</f>
        <v>0</v>
      </c>
      <c r="CI781" s="311">
        <f>IF(AND(Input_Product=Elig!$C781,Elig_MatchAll_Ct&lt;22,$BC781=(Elig_MatchAll_Ct-1),BA781=0),AD781,0)</f>
        <v>0</v>
      </c>
      <c r="CJ781" s="312">
        <f>IF(AND(Input_Product=Elig!$C781,Elig_MatchAll_Ct&lt;22,$BC781=(Elig_MatchAll_Ct-1),BA781=0),AE781,0)</f>
        <v>0</v>
      </c>
    </row>
    <row r="782" spans="2:88" ht="10.15" customHeight="1" x14ac:dyDescent="0.25">
      <c r="B782" s="2027" t="s">
        <v>4079</v>
      </c>
      <c r="C782" s="2024" t="str">
        <f t="shared" si="279"/>
        <v>Second OO</v>
      </c>
      <c r="D782" s="2025" t="s">
        <v>1569</v>
      </c>
      <c r="E782" s="2025" t="s">
        <v>98</v>
      </c>
      <c r="F782" s="2025" t="s">
        <v>329</v>
      </c>
      <c r="G782" s="2025" t="s">
        <v>179</v>
      </c>
      <c r="H782" s="2025" t="s">
        <v>136</v>
      </c>
      <c r="I782" s="2023" t="s">
        <v>1332</v>
      </c>
      <c r="J782" s="2023" t="s">
        <v>1311</v>
      </c>
      <c r="K782" s="2025" t="s">
        <v>1790</v>
      </c>
      <c r="L782" s="2023" t="s">
        <v>430</v>
      </c>
      <c r="M782" s="2023" t="s">
        <v>2677</v>
      </c>
      <c r="N782" s="2025" t="s">
        <v>82</v>
      </c>
      <c r="O782" s="2023" t="s">
        <v>310</v>
      </c>
      <c r="P782" s="2023" t="s">
        <v>291</v>
      </c>
      <c r="Q782" s="2023" t="s">
        <v>294</v>
      </c>
      <c r="R782" s="323">
        <v>500000.01</v>
      </c>
      <c r="S782" s="323">
        <v>750000</v>
      </c>
      <c r="T782" s="2023">
        <v>0</v>
      </c>
      <c r="U782" s="2023">
        <f t="shared" si="300"/>
        <v>750000</v>
      </c>
      <c r="V782" s="2023">
        <v>0</v>
      </c>
      <c r="W782" s="2023">
        <v>50</v>
      </c>
      <c r="X782" s="2023">
        <v>0</v>
      </c>
      <c r="Y782" s="2023">
        <v>999</v>
      </c>
      <c r="Z782" s="2026">
        <v>720</v>
      </c>
      <c r="AA782" s="2026">
        <v>999</v>
      </c>
      <c r="AB782" s="2026">
        <v>0</v>
      </c>
      <c r="AC782" s="2026">
        <v>999999</v>
      </c>
      <c r="AD782" s="2023">
        <v>0</v>
      </c>
      <c r="AE782" s="1482">
        <v>60</v>
      </c>
      <c r="AF782" s="170">
        <v>1</v>
      </c>
      <c r="AG782" s="171">
        <v>1</v>
      </c>
      <c r="AH782" s="171">
        <v>1</v>
      </c>
      <c r="AI782" s="171">
        <v>0</v>
      </c>
      <c r="AJ782" s="171">
        <v>0</v>
      </c>
      <c r="AK782" s="171">
        <v>1</v>
      </c>
      <c r="AL782" s="171">
        <v>1</v>
      </c>
      <c r="AM782" s="171">
        <v>1</v>
      </c>
      <c r="AN782" s="171">
        <v>1</v>
      </c>
      <c r="AO782" s="171">
        <v>1</v>
      </c>
      <c r="AP782" s="171">
        <v>1</v>
      </c>
      <c r="AQ782" s="171">
        <v>1</v>
      </c>
      <c r="AR782" s="171">
        <v>1</v>
      </c>
      <c r="AS782" s="171">
        <v>1</v>
      </c>
      <c r="AT782" s="171">
        <v>1</v>
      </c>
      <c r="AU782" s="171">
        <f t="shared" si="294"/>
        <v>0</v>
      </c>
      <c r="AV782" s="171">
        <f t="shared" si="295"/>
        <v>1</v>
      </c>
      <c r="AW782" s="171">
        <f t="shared" si="296"/>
        <v>1</v>
      </c>
      <c r="AX782" s="171">
        <f t="shared" si="305"/>
        <v>1</v>
      </c>
      <c r="AY782" s="171">
        <f t="shared" si="297"/>
        <v>1</v>
      </c>
      <c r="AZ782" s="171">
        <f t="shared" si="298"/>
        <v>1</v>
      </c>
      <c r="BA782" s="172">
        <f t="shared" si="299"/>
        <v>0</v>
      </c>
      <c r="BB782" s="175">
        <f t="shared" si="301"/>
        <v>18</v>
      </c>
      <c r="BC782" s="176">
        <f t="shared" si="302"/>
        <v>18</v>
      </c>
      <c r="BD782" s="176">
        <f t="shared" si="303"/>
        <v>17</v>
      </c>
      <c r="BE782" s="240" t="str">
        <f t="shared" si="322"/>
        <v/>
      </c>
      <c r="BF782" s="220"/>
      <c r="BG782" s="220"/>
      <c r="BH782" s="216">
        <f>IF(AND(Input_Product=Elig!$C782,Elig_MatchAll_Ct&lt;22,$BC782=(Elig_MatchAll_Ct-1),AF782=0),C782,0)</f>
        <v>0</v>
      </c>
      <c r="BI782" s="216">
        <f>IF(AND(Input_Product=Elig!$C782,Elig_MatchAll_Ct&lt;22,$BC782=(Elig_MatchAll_Ct-1),AG782=0),D782,0)</f>
        <v>0</v>
      </c>
      <c r="BJ782" s="216">
        <f>IF(AND(Input_Product=Elig!$C782,Elig_MatchAll_Ct&lt;22,$BC782=(Elig_MatchAll_Ct-1),AH782=0),E782,0)</f>
        <v>0</v>
      </c>
      <c r="BK782" s="216">
        <f>IF(AND(Input_Product=Elig!$C782,Elig_MatchAll_Ct&lt;22,$BC782=(Elig_MatchAll_Ct-1),AI782=0),F782,0)</f>
        <v>0</v>
      </c>
      <c r="BL782" s="216">
        <f>IF(AND(Input_Product=Elig!$C782,Elig_MatchAll_Ct&lt;22,$BC782=(Elig_MatchAll_Ct-1),AJ782=0),G782,0)</f>
        <v>0</v>
      </c>
      <c r="BM782" s="216">
        <f>IF(AND(Input_Product=Elig!$C782,Elig_MatchAll_Ct&lt;22,$BC782=(Elig_MatchAll_Ct-1),AK782=0),H782,0)</f>
        <v>0</v>
      </c>
      <c r="BN782" s="216">
        <f>IF(AND(Input_Product=Elig!$C782,Elig_MatchAll_Ct&lt;22,$BC782=(Elig_MatchAll_Ct-1),AL782=0),I782,0)</f>
        <v>0</v>
      </c>
      <c r="BO782" s="216">
        <f>IF(AND(Input_Product=Elig!$C782,Elig_MatchAll_Ct&lt;22,$BC782=(Elig_MatchAll_Ct-1),AM782=0),J782,0)</f>
        <v>0</v>
      </c>
      <c r="BP782" s="216">
        <f>IF(AND(Input_Product=Elig!$C782,Elig_MatchAll_Ct&lt;22,$BC782=(Elig_MatchAll_Ct-1),AN782=0),K782,0)</f>
        <v>0</v>
      </c>
      <c r="BQ782" s="216">
        <f>IF(AND(Input_Product=Elig!$C782,Elig_MatchAll_Ct&lt;22,$BC782=(Elig_MatchAll_Ct-1),AP782=0),L782,0)</f>
        <v>0</v>
      </c>
      <c r="BR782" s="216">
        <f>IF(AND(Input_Product=Elig!$C782,Elig_MatchAll_Ct&lt;22,$BC782=(Elig_MatchAll_Ct-1),AO782=0),M782,0)</f>
        <v>0</v>
      </c>
      <c r="BS782" s="216">
        <f>IF(AND(Input_Product=Elig!$C782,Elig_MatchAll_Ct&lt;22,$BC782=(Elig_MatchAll_Ct-1),AQ782=0),N782,0)</f>
        <v>0</v>
      </c>
      <c r="BT782" s="216">
        <f>IF(AND(Input_Product=Elig!$C782,Elig_MatchAll_Ct&lt;22,$BC782=(Elig_MatchAll_Ct-1),AR782=0),O782,0)</f>
        <v>0</v>
      </c>
      <c r="BU782" s="216">
        <f>IF(AND(Input_Product=Elig!$C782,Elig_MatchAll_Ct&lt;22,$BC782=(Elig_MatchAll_Ct-1),AS782=0),P782,0)</f>
        <v>0</v>
      </c>
      <c r="BV782" s="217">
        <f>IF(AND(Input_Product=Elig!$C782,Elig_MatchAll_Ct&lt;22,$BC782=(Elig_MatchAll_Ct-1),AT782=0),Q782,0)</f>
        <v>0</v>
      </c>
      <c r="BW782" s="313">
        <f>IF(AND(Input_Product=Elig!$C782,Elig_MatchAll_Ct&lt;22,$BC782=(Elig_MatchAll_Ct-1),AU782=0),R782,0)</f>
        <v>0</v>
      </c>
      <c r="BX782" s="314">
        <f>IF(AND(Input_Product=Elig!$C782,Elig_MatchAll_Ct&lt;22,$BC782=(Elig_MatchAll_Ct-1),AU782=0),S782,0)</f>
        <v>0</v>
      </c>
      <c r="BY782" s="313">
        <f>IF(AND(Input_Product=Elig!$C782,Elig_MatchAll_Ct&lt;22,$BC782=(Elig_MatchAll_Ct-1),AV782=0),T782,0)</f>
        <v>0</v>
      </c>
      <c r="BZ782" s="314">
        <f>IF(AND(Input_Product=Elig!$C782,Elig_MatchAll_Ct&lt;22,$BC782=(Elig_MatchAll_Ct-1),AV782=0),U782,0)</f>
        <v>0</v>
      </c>
      <c r="CA782" s="313">
        <f>IF(AND(Input_Product=Elig!$C782,Elig_MatchAll_Ct&lt;22,$BC782=(Elig_MatchAll_Ct-1),AW782=0),V782,0)</f>
        <v>0</v>
      </c>
      <c r="CB782" s="314">
        <f>IF(AND(Input_Product=Elig!$C782,Elig_MatchAll_Ct&lt;22,$BC782=(Elig_MatchAll_Ct-1),AW782=0),W782,0)</f>
        <v>0</v>
      </c>
      <c r="CC782" s="313">
        <f>IF(AND(Input_Product=Elig!$C782,Elig_MatchAll_Ct&lt;22,$BC782=(Elig_MatchAll_Ct-1),AX782=0),X782,0)</f>
        <v>0</v>
      </c>
      <c r="CD782" s="314">
        <f>IF(AND(Input_Product=Elig!$C782,Elig_MatchAll_Ct&lt;22,$BC782=(Elig_MatchAll_Ct-1),AX782=0),Y782,0)</f>
        <v>0</v>
      </c>
      <c r="CE782" s="313">
        <f>IF(AND(Input_LTV&lt;=AE782,Input_Product=Elig!$C782,Elig_MatchAll_Ct&lt;22,$BC782=(Elig_MatchAll_Ct-1),AY782=0),Z782,0)</f>
        <v>0</v>
      </c>
      <c r="CF782" s="314">
        <f>IF(AND(Input_LTV&lt;=AE782,Input_Product=Elig!$C782,Elig_MatchAll_Ct&lt;22,$BC782=(Elig_MatchAll_Ct-1),AY782=0),AA782,0)</f>
        <v>0</v>
      </c>
      <c r="CG782" s="313">
        <f>IF(AND(Input_Product=Elig!$C782,Elig_MatchAll_Ct&lt;22,$BC782=(Elig_MatchAll_Ct-1),AZ782=0),AB782,0)</f>
        <v>0</v>
      </c>
      <c r="CH782" s="314">
        <f>IF(AND(Input_Product=Elig!$C782,Elig_MatchAll_Ct&lt;22,$BC782=(Elig_MatchAll_Ct-1),AZ782=0),AC782,0)</f>
        <v>0</v>
      </c>
      <c r="CI782" s="313">
        <f>IF(AND(Input_Product=Elig!$C782,Elig_MatchAll_Ct&lt;22,$BC782=(Elig_MatchAll_Ct-1),BA782=0),AD782,0)</f>
        <v>0</v>
      </c>
      <c r="CJ782" s="314">
        <f>IF(AND(Input_Product=Elig!$C782,Elig_MatchAll_Ct&lt;22,$BC782=(Elig_MatchAll_Ct-1),BA782=0),AE782,0)</f>
        <v>0</v>
      </c>
    </row>
    <row r="783" spans="2:88" ht="10.15" customHeight="1" x14ac:dyDescent="0.25">
      <c r="B783" s="2027" t="s">
        <v>4080</v>
      </c>
      <c r="C783" s="2028" t="str">
        <f t="shared" ref="C783:C785" si="323">Input_Name_Product4</f>
        <v>Second OO</v>
      </c>
      <c r="D783" s="2027" t="s">
        <v>1569</v>
      </c>
      <c r="E783" s="2027" t="s">
        <v>98</v>
      </c>
      <c r="F783" s="2027" t="s">
        <v>329</v>
      </c>
      <c r="G783" s="2029" t="s">
        <v>179</v>
      </c>
      <c r="H783" s="2029" t="s">
        <v>136</v>
      </c>
      <c r="I783" s="2027" t="s">
        <v>1332</v>
      </c>
      <c r="J783" s="2027" t="s">
        <v>1311</v>
      </c>
      <c r="K783" s="2029" t="s">
        <v>1790</v>
      </c>
      <c r="L783" s="2027" t="s">
        <v>430</v>
      </c>
      <c r="M783" s="2027" t="s">
        <v>2677</v>
      </c>
      <c r="N783" s="2029" t="s">
        <v>82</v>
      </c>
      <c r="O783" s="2027" t="s">
        <v>310</v>
      </c>
      <c r="P783" s="2027" t="s">
        <v>291</v>
      </c>
      <c r="Q783" s="2027" t="s">
        <v>294</v>
      </c>
      <c r="R783" s="300">
        <v>500000.01</v>
      </c>
      <c r="S783" s="300">
        <v>750000</v>
      </c>
      <c r="T783" s="2027">
        <v>0</v>
      </c>
      <c r="U783" s="2027">
        <f t="shared" si="300"/>
        <v>750000</v>
      </c>
      <c r="V783" s="2027">
        <v>0</v>
      </c>
      <c r="W783" s="2027">
        <v>50</v>
      </c>
      <c r="X783" s="2027">
        <v>0</v>
      </c>
      <c r="Y783" s="2027">
        <v>999</v>
      </c>
      <c r="Z783" s="2030">
        <v>700</v>
      </c>
      <c r="AA783" s="2030">
        <v>719</v>
      </c>
      <c r="AB783" s="2030">
        <v>0</v>
      </c>
      <c r="AC783" s="2030">
        <v>999999</v>
      </c>
      <c r="AD783" s="2027">
        <v>0</v>
      </c>
      <c r="AE783" s="1483">
        <v>55</v>
      </c>
      <c r="AF783" s="170">
        <v>1</v>
      </c>
      <c r="AG783" s="171">
        <v>1</v>
      </c>
      <c r="AH783" s="171">
        <v>1</v>
      </c>
      <c r="AI783" s="171">
        <v>0</v>
      </c>
      <c r="AJ783" s="171">
        <v>0</v>
      </c>
      <c r="AK783" s="171">
        <v>1</v>
      </c>
      <c r="AL783" s="171">
        <v>1</v>
      </c>
      <c r="AM783" s="171">
        <v>1</v>
      </c>
      <c r="AN783" s="171">
        <v>1</v>
      </c>
      <c r="AO783" s="171">
        <v>1</v>
      </c>
      <c r="AP783" s="171">
        <v>1</v>
      </c>
      <c r="AQ783" s="171">
        <v>1</v>
      </c>
      <c r="AR783" s="171">
        <v>1</v>
      </c>
      <c r="AS783" s="171">
        <v>1</v>
      </c>
      <c r="AT783" s="171">
        <v>1</v>
      </c>
      <c r="AU783" s="171">
        <f t="shared" si="294"/>
        <v>0</v>
      </c>
      <c r="AV783" s="171">
        <f t="shared" si="295"/>
        <v>1</v>
      </c>
      <c r="AW783" s="171">
        <f t="shared" si="296"/>
        <v>1</v>
      </c>
      <c r="AX783" s="171">
        <f t="shared" si="305"/>
        <v>1</v>
      </c>
      <c r="AY783" s="171">
        <f t="shared" si="297"/>
        <v>0</v>
      </c>
      <c r="AZ783" s="171">
        <f t="shared" si="298"/>
        <v>1</v>
      </c>
      <c r="BA783" s="172">
        <f t="shared" si="299"/>
        <v>0</v>
      </c>
      <c r="BB783" s="175">
        <f t="shared" si="301"/>
        <v>17</v>
      </c>
      <c r="BC783" s="176">
        <f t="shared" si="302"/>
        <v>17</v>
      </c>
      <c r="BD783" s="176">
        <f t="shared" si="303"/>
        <v>16</v>
      </c>
      <c r="BE783" s="240" t="str">
        <f t="shared" si="322"/>
        <v/>
      </c>
      <c r="BF783" s="234"/>
      <c r="BG783" s="234"/>
      <c r="BH783" s="199">
        <f>IF(AND(Input_Product=Elig!$C783,Elig_MatchAll_Ct&lt;22,$BC783=(Elig_MatchAll_Ct-1),AF783=0),C783,0)</f>
        <v>0</v>
      </c>
      <c r="BI783" s="199">
        <f>IF(AND(Input_Product=Elig!$C783,Elig_MatchAll_Ct&lt;22,$BC783=(Elig_MatchAll_Ct-1),AG783=0),D783,0)</f>
        <v>0</v>
      </c>
      <c r="BJ783" s="199">
        <f>IF(AND(Input_Product=Elig!$C783,Elig_MatchAll_Ct&lt;22,$BC783=(Elig_MatchAll_Ct-1),AH783=0),E783,0)</f>
        <v>0</v>
      </c>
      <c r="BK783" s="199">
        <f>IF(AND(Input_Product=Elig!$C783,Elig_MatchAll_Ct&lt;22,$BC783=(Elig_MatchAll_Ct-1),AI783=0),F783,0)</f>
        <v>0</v>
      </c>
      <c r="BL783" s="199">
        <f>IF(AND(Input_Product=Elig!$C783,Elig_MatchAll_Ct&lt;22,$BC783=(Elig_MatchAll_Ct-1),AJ783=0),G783,0)</f>
        <v>0</v>
      </c>
      <c r="BM783" s="199">
        <f>IF(AND(Input_Product=Elig!$C783,Elig_MatchAll_Ct&lt;22,$BC783=(Elig_MatchAll_Ct-1),AK783=0),H783,0)</f>
        <v>0</v>
      </c>
      <c r="BN783" s="199">
        <f>IF(AND(Input_Product=Elig!$C783,Elig_MatchAll_Ct&lt;22,$BC783=(Elig_MatchAll_Ct-1),AL783=0),I783,0)</f>
        <v>0</v>
      </c>
      <c r="BO783" s="199">
        <f>IF(AND(Input_Product=Elig!$C783,Elig_MatchAll_Ct&lt;22,$BC783=(Elig_MatchAll_Ct-1),AM783=0),J783,0)</f>
        <v>0</v>
      </c>
      <c r="BP783" s="199">
        <f>IF(AND(Input_Product=Elig!$C783,Elig_MatchAll_Ct&lt;22,$BC783=(Elig_MatchAll_Ct-1),AN783=0),K783,0)</f>
        <v>0</v>
      </c>
      <c r="BQ783" s="199">
        <f>IF(AND(Input_Product=Elig!$C783,Elig_MatchAll_Ct&lt;22,$BC783=(Elig_MatchAll_Ct-1),AP783=0),L783,0)</f>
        <v>0</v>
      </c>
      <c r="BR783" s="199">
        <f>IF(AND(Input_Product=Elig!$C783,Elig_MatchAll_Ct&lt;22,$BC783=(Elig_MatchAll_Ct-1),AO783=0),M783,0)</f>
        <v>0</v>
      </c>
      <c r="BS783" s="199">
        <f>IF(AND(Input_Product=Elig!$C783,Elig_MatchAll_Ct&lt;22,$BC783=(Elig_MatchAll_Ct-1),AQ783=0),N783,0)</f>
        <v>0</v>
      </c>
      <c r="BT783" s="199">
        <f>IF(AND(Input_Product=Elig!$C783,Elig_MatchAll_Ct&lt;22,$BC783=(Elig_MatchAll_Ct-1),AR783=0),O783,0)</f>
        <v>0</v>
      </c>
      <c r="BU783" s="199">
        <f>IF(AND(Input_Product=Elig!$C783,Elig_MatchAll_Ct&lt;22,$BC783=(Elig_MatchAll_Ct-1),AS783=0),P783,0)</f>
        <v>0</v>
      </c>
      <c r="BV783" s="200">
        <f>IF(AND(Input_Product=Elig!$C783,Elig_MatchAll_Ct&lt;22,$BC783=(Elig_MatchAll_Ct-1),AT783=0),Q783,0)</f>
        <v>0</v>
      </c>
      <c r="BW783" s="201">
        <f>IF(AND(Input_Product=Elig!$C783,Elig_MatchAll_Ct&lt;22,$BC783=(Elig_MatchAll_Ct-1),AU783=0),R783,0)</f>
        <v>0</v>
      </c>
      <c r="BX783" s="202">
        <f>IF(AND(Input_Product=Elig!$C783,Elig_MatchAll_Ct&lt;22,$BC783=(Elig_MatchAll_Ct-1),AU783=0),S783,0)</f>
        <v>0</v>
      </c>
      <c r="BY783" s="201">
        <f>IF(AND(Input_Product=Elig!$C783,Elig_MatchAll_Ct&lt;22,$BC783=(Elig_MatchAll_Ct-1),AV783=0),T783,0)</f>
        <v>0</v>
      </c>
      <c r="BZ783" s="202">
        <f>IF(AND(Input_Product=Elig!$C783,Elig_MatchAll_Ct&lt;22,$BC783=(Elig_MatchAll_Ct-1),AV783=0),U783,0)</f>
        <v>0</v>
      </c>
      <c r="CA783" s="201">
        <f>IF(AND(Input_Product=Elig!$C783,Elig_MatchAll_Ct&lt;22,$BC783=(Elig_MatchAll_Ct-1),AW783=0),V783,0)</f>
        <v>0</v>
      </c>
      <c r="CB783" s="202">
        <f>IF(AND(Input_Product=Elig!$C783,Elig_MatchAll_Ct&lt;22,$BC783=(Elig_MatchAll_Ct-1),AW783=0),W783,0)</f>
        <v>0</v>
      </c>
      <c r="CC783" s="201">
        <f>IF(AND(Input_Product=Elig!$C783,Elig_MatchAll_Ct&lt;22,$BC783=(Elig_MatchAll_Ct-1),AX783=0),X783,0)</f>
        <v>0</v>
      </c>
      <c r="CD783" s="202">
        <f>IF(AND(Input_Product=Elig!$C783,Elig_MatchAll_Ct&lt;22,$BC783=(Elig_MatchAll_Ct-1),AX783=0),Y783,0)</f>
        <v>0</v>
      </c>
      <c r="CE783" s="201">
        <f>IF(AND(Input_LTV&lt;=AE783,Input_Product=Elig!$C783,Elig_MatchAll_Ct&lt;22,$BC783=(Elig_MatchAll_Ct-1),AY783=0),Z783,0)</f>
        <v>0</v>
      </c>
      <c r="CF783" s="202">
        <f>IF(AND(Input_LTV&lt;=AE783,Input_Product=Elig!$C783,Elig_MatchAll_Ct&lt;22,$BC783=(Elig_MatchAll_Ct-1),AY783=0),AA783,0)</f>
        <v>0</v>
      </c>
      <c r="CG783" s="201">
        <f>IF(AND(Input_Product=Elig!$C783,Elig_MatchAll_Ct&lt;22,$BC783=(Elig_MatchAll_Ct-1),AZ783=0),AB783,0)</f>
        <v>0</v>
      </c>
      <c r="CH783" s="202">
        <f>IF(AND(Input_Product=Elig!$C783,Elig_MatchAll_Ct&lt;22,$BC783=(Elig_MatchAll_Ct-1),AZ783=0),AC783,0)</f>
        <v>0</v>
      </c>
      <c r="CI783" s="201">
        <f>IF(AND(Input_Product=Elig!$C783,Elig_MatchAll_Ct&lt;22,$BC783=(Elig_MatchAll_Ct-1),BA783=0),AD783,0)</f>
        <v>0</v>
      </c>
      <c r="CJ783" s="202">
        <f>IF(AND(Input_Product=Elig!$C783,Elig_MatchAll_Ct&lt;22,$BC783=(Elig_MatchAll_Ct-1),BA783=0),AE783,0)</f>
        <v>0</v>
      </c>
    </row>
    <row r="784" spans="2:88" ht="10.15" customHeight="1" x14ac:dyDescent="0.25">
      <c r="B784" s="2027" t="s">
        <v>4081</v>
      </c>
      <c r="C784" s="2028" t="str">
        <f t="shared" si="323"/>
        <v>Second OO</v>
      </c>
      <c r="D784" s="2027" t="s">
        <v>1569</v>
      </c>
      <c r="E784" s="2027" t="s">
        <v>98</v>
      </c>
      <c r="F784" s="2027" t="s">
        <v>329</v>
      </c>
      <c r="G784" s="2029" t="s">
        <v>179</v>
      </c>
      <c r="H784" s="2029" t="s">
        <v>136</v>
      </c>
      <c r="I784" s="2027" t="s">
        <v>1332</v>
      </c>
      <c r="J784" s="2027" t="s">
        <v>1311</v>
      </c>
      <c r="K784" s="2029" t="s">
        <v>1790</v>
      </c>
      <c r="L784" s="2027" t="s">
        <v>430</v>
      </c>
      <c r="M784" s="2027" t="s">
        <v>2677</v>
      </c>
      <c r="N784" s="2029" t="s">
        <v>82</v>
      </c>
      <c r="O784" s="2027" t="s">
        <v>310</v>
      </c>
      <c r="P784" s="2027" t="s">
        <v>291</v>
      </c>
      <c r="Q784" s="2027" t="s">
        <v>294</v>
      </c>
      <c r="R784" s="300">
        <v>500000.01</v>
      </c>
      <c r="S784" s="300">
        <v>750000</v>
      </c>
      <c r="T784" s="2027">
        <v>0</v>
      </c>
      <c r="U784" s="2027">
        <f t="shared" si="300"/>
        <v>750000</v>
      </c>
      <c r="V784" s="2027">
        <v>0</v>
      </c>
      <c r="W784" s="2027">
        <v>50</v>
      </c>
      <c r="X784" s="2027">
        <v>0</v>
      </c>
      <c r="Y784" s="2027">
        <v>999</v>
      </c>
      <c r="Z784" s="2030">
        <v>680</v>
      </c>
      <c r="AA784" s="2030">
        <v>699</v>
      </c>
      <c r="AB784" s="2030">
        <v>0</v>
      </c>
      <c r="AC784" s="2030">
        <v>999999</v>
      </c>
      <c r="AD784" s="2027">
        <v>0</v>
      </c>
      <c r="AE784" s="1483">
        <v>50</v>
      </c>
      <c r="AF784" s="170">
        <v>1</v>
      </c>
      <c r="AG784" s="171">
        <v>1</v>
      </c>
      <c r="AH784" s="171">
        <v>1</v>
      </c>
      <c r="AI784" s="171">
        <v>0</v>
      </c>
      <c r="AJ784" s="171">
        <v>0</v>
      </c>
      <c r="AK784" s="171">
        <v>1</v>
      </c>
      <c r="AL784" s="171">
        <v>1</v>
      </c>
      <c r="AM784" s="171">
        <v>1</v>
      </c>
      <c r="AN784" s="171">
        <v>1</v>
      </c>
      <c r="AO784" s="171">
        <v>1</v>
      </c>
      <c r="AP784" s="171">
        <v>1</v>
      </c>
      <c r="AQ784" s="171">
        <v>1</v>
      </c>
      <c r="AR784" s="171">
        <v>1</v>
      </c>
      <c r="AS784" s="171">
        <v>1</v>
      </c>
      <c r="AT784" s="171">
        <v>1</v>
      </c>
      <c r="AU784" s="171">
        <f t="shared" ref="AU784:AU875" si="324">IF(AND(Input_LoanAmt&gt;=Elig_LoanAmt_Min,Input_LoanAmt&lt;=Elig_LoanAmt_Max),1,0)</f>
        <v>0</v>
      </c>
      <c r="AV784" s="171">
        <f t="shared" ref="AV784:AV875" si="325">IF(AND(Input_CashoutAmt&gt;=Elig_CashoutAmt_Min,Input_CashoutAmt&lt;=Elig_CashoutAmt_Max),1,0)</f>
        <v>1</v>
      </c>
      <c r="AW784" s="171">
        <f t="shared" ref="AW784:AW875" si="326">IF(AND(Input_DTI&gt;=Elig_DTI_Min,Input_DTI&lt;=Elig_DTI_Max),1,0)</f>
        <v>1</v>
      </c>
      <c r="AX784" s="171">
        <f t="shared" si="305"/>
        <v>1</v>
      </c>
      <c r="AY784" s="171">
        <f t="shared" ref="AY784:AY875" si="327">IF(AND(Input_CreditScore&gt;=Elig_CreditScore_Min,Input_CreditScore&lt;=Elig_CreditScore_Max),1,0)</f>
        <v>0</v>
      </c>
      <c r="AZ784" s="171">
        <f t="shared" ref="AZ784:AZ875" si="328">IF(AND(Input_ReservesMonths&gt;=Elig_Reserves_Min,Input_ReservesMonths&lt;=Elig_Reserves_Max),1,0)</f>
        <v>1</v>
      </c>
      <c r="BA784" s="172">
        <f t="shared" ref="BA784:BA875" si="329">IF(AND(Input_LTV&gt;=Elig_LTV_Min,Input_LTV&lt;=Elig_LTV_Max),1,0)</f>
        <v>0</v>
      </c>
      <c r="BB784" s="175">
        <f t="shared" si="301"/>
        <v>17</v>
      </c>
      <c r="BC784" s="176">
        <f t="shared" si="302"/>
        <v>17</v>
      </c>
      <c r="BD784" s="176">
        <f t="shared" si="303"/>
        <v>16</v>
      </c>
      <c r="BE784" s="240" t="str">
        <f t="shared" si="322"/>
        <v/>
      </c>
      <c r="BF784" s="234"/>
      <c r="BG784" s="234"/>
      <c r="BH784" s="199">
        <f>IF(AND(Input_Product=Elig!$C784,Elig_MatchAll_Ct&lt;22,$BC784=(Elig_MatchAll_Ct-1),AF784=0),C784,0)</f>
        <v>0</v>
      </c>
      <c r="BI784" s="199">
        <f>IF(AND(Input_Product=Elig!$C784,Elig_MatchAll_Ct&lt;22,$BC784=(Elig_MatchAll_Ct-1),AG784=0),D784,0)</f>
        <v>0</v>
      </c>
      <c r="BJ784" s="199">
        <f>IF(AND(Input_Product=Elig!$C784,Elig_MatchAll_Ct&lt;22,$BC784=(Elig_MatchAll_Ct-1),AH784=0),E784,0)</f>
        <v>0</v>
      </c>
      <c r="BK784" s="199">
        <f>IF(AND(Input_Product=Elig!$C784,Elig_MatchAll_Ct&lt;22,$BC784=(Elig_MatchAll_Ct-1),AI784=0),F784,0)</f>
        <v>0</v>
      </c>
      <c r="BL784" s="199">
        <f>IF(AND(Input_Product=Elig!$C784,Elig_MatchAll_Ct&lt;22,$BC784=(Elig_MatchAll_Ct-1),AJ784=0),G784,0)</f>
        <v>0</v>
      </c>
      <c r="BM784" s="199">
        <f>IF(AND(Input_Product=Elig!$C784,Elig_MatchAll_Ct&lt;22,$BC784=(Elig_MatchAll_Ct-1),AK784=0),H784,0)</f>
        <v>0</v>
      </c>
      <c r="BN784" s="199">
        <f>IF(AND(Input_Product=Elig!$C784,Elig_MatchAll_Ct&lt;22,$BC784=(Elig_MatchAll_Ct-1),AL784=0),I784,0)</f>
        <v>0</v>
      </c>
      <c r="BO784" s="199">
        <f>IF(AND(Input_Product=Elig!$C784,Elig_MatchAll_Ct&lt;22,$BC784=(Elig_MatchAll_Ct-1),AM784=0),J784,0)</f>
        <v>0</v>
      </c>
      <c r="BP784" s="199">
        <f>IF(AND(Input_Product=Elig!$C784,Elig_MatchAll_Ct&lt;22,$BC784=(Elig_MatchAll_Ct-1),AN784=0),K784,0)</f>
        <v>0</v>
      </c>
      <c r="BQ784" s="199">
        <f>IF(AND(Input_Product=Elig!$C784,Elig_MatchAll_Ct&lt;22,$BC784=(Elig_MatchAll_Ct-1),AP784=0),L784,0)</f>
        <v>0</v>
      </c>
      <c r="BR784" s="199">
        <f>IF(AND(Input_Product=Elig!$C784,Elig_MatchAll_Ct&lt;22,$BC784=(Elig_MatchAll_Ct-1),AO784=0),M784,0)</f>
        <v>0</v>
      </c>
      <c r="BS784" s="199">
        <f>IF(AND(Input_Product=Elig!$C784,Elig_MatchAll_Ct&lt;22,$BC784=(Elig_MatchAll_Ct-1),AQ784=0),N784,0)</f>
        <v>0</v>
      </c>
      <c r="BT784" s="199">
        <f>IF(AND(Input_Product=Elig!$C784,Elig_MatchAll_Ct&lt;22,$BC784=(Elig_MatchAll_Ct-1),AR784=0),O784,0)</f>
        <v>0</v>
      </c>
      <c r="BU784" s="199">
        <f>IF(AND(Input_Product=Elig!$C784,Elig_MatchAll_Ct&lt;22,$BC784=(Elig_MatchAll_Ct-1),AS784=0),P784,0)</f>
        <v>0</v>
      </c>
      <c r="BV784" s="200">
        <f>IF(AND(Input_Product=Elig!$C784,Elig_MatchAll_Ct&lt;22,$BC784=(Elig_MatchAll_Ct-1),AT784=0),Q784,0)</f>
        <v>0</v>
      </c>
      <c r="BW784" s="201">
        <f>IF(AND(Input_Product=Elig!$C784,Elig_MatchAll_Ct&lt;22,$BC784=(Elig_MatchAll_Ct-1),AU784=0),R784,0)</f>
        <v>0</v>
      </c>
      <c r="BX784" s="202">
        <f>IF(AND(Input_Product=Elig!$C784,Elig_MatchAll_Ct&lt;22,$BC784=(Elig_MatchAll_Ct-1),AU784=0),S784,0)</f>
        <v>0</v>
      </c>
      <c r="BY784" s="201">
        <f>IF(AND(Input_Product=Elig!$C784,Elig_MatchAll_Ct&lt;22,$BC784=(Elig_MatchAll_Ct-1),AV784=0),T784,0)</f>
        <v>0</v>
      </c>
      <c r="BZ784" s="202">
        <f>IF(AND(Input_Product=Elig!$C784,Elig_MatchAll_Ct&lt;22,$BC784=(Elig_MatchAll_Ct-1),AV784=0),U784,0)</f>
        <v>0</v>
      </c>
      <c r="CA784" s="201">
        <f>IF(AND(Input_Product=Elig!$C784,Elig_MatchAll_Ct&lt;22,$BC784=(Elig_MatchAll_Ct-1),AW784=0),V784,0)</f>
        <v>0</v>
      </c>
      <c r="CB784" s="202">
        <f>IF(AND(Input_Product=Elig!$C784,Elig_MatchAll_Ct&lt;22,$BC784=(Elig_MatchAll_Ct-1),AW784=0),W784,0)</f>
        <v>0</v>
      </c>
      <c r="CC784" s="201">
        <f>IF(AND(Input_Product=Elig!$C784,Elig_MatchAll_Ct&lt;22,$BC784=(Elig_MatchAll_Ct-1),AX784=0),X784,0)</f>
        <v>0</v>
      </c>
      <c r="CD784" s="202">
        <f>IF(AND(Input_Product=Elig!$C784,Elig_MatchAll_Ct&lt;22,$BC784=(Elig_MatchAll_Ct-1),AX784=0),Y784,0)</f>
        <v>0</v>
      </c>
      <c r="CE784" s="201">
        <f>IF(AND(Input_LTV&lt;=AE784,Input_Product=Elig!$C784,Elig_MatchAll_Ct&lt;22,$BC784=(Elig_MatchAll_Ct-1),AY784=0),Z784,0)</f>
        <v>0</v>
      </c>
      <c r="CF784" s="202">
        <f>IF(AND(Input_LTV&lt;=AE784,Input_Product=Elig!$C784,Elig_MatchAll_Ct&lt;22,$BC784=(Elig_MatchAll_Ct-1),AY784=0),AA784,0)</f>
        <v>0</v>
      </c>
      <c r="CG784" s="201">
        <f>IF(AND(Input_Product=Elig!$C784,Elig_MatchAll_Ct&lt;22,$BC784=(Elig_MatchAll_Ct-1),AZ784=0),AB784,0)</f>
        <v>0</v>
      </c>
      <c r="CH784" s="202">
        <f>IF(AND(Input_Product=Elig!$C784,Elig_MatchAll_Ct&lt;22,$BC784=(Elig_MatchAll_Ct-1),AZ784=0),AC784,0)</f>
        <v>0</v>
      </c>
      <c r="CI784" s="201">
        <f>IF(AND(Input_Product=Elig!$C784,Elig_MatchAll_Ct&lt;22,$BC784=(Elig_MatchAll_Ct-1),BA784=0),AD784,0)</f>
        <v>0</v>
      </c>
      <c r="CJ784" s="202">
        <f>IF(AND(Input_Product=Elig!$C784,Elig_MatchAll_Ct&lt;22,$BC784=(Elig_MatchAll_Ct-1),BA784=0),AE784,0)</f>
        <v>0</v>
      </c>
    </row>
    <row r="785" spans="2:88" ht="10.15" customHeight="1" x14ac:dyDescent="0.25">
      <c r="B785" s="2027" t="s">
        <v>4082</v>
      </c>
      <c r="C785" s="2032" t="str">
        <f t="shared" si="323"/>
        <v>Second OO</v>
      </c>
      <c r="D785" s="2031" t="s">
        <v>1569</v>
      </c>
      <c r="E785" s="2031" t="s">
        <v>98</v>
      </c>
      <c r="F785" s="2031" t="s">
        <v>329</v>
      </c>
      <c r="G785" s="2033" t="s">
        <v>179</v>
      </c>
      <c r="H785" s="2033" t="s">
        <v>136</v>
      </c>
      <c r="I785" s="2031" t="s">
        <v>1332</v>
      </c>
      <c r="J785" s="2031" t="s">
        <v>1311</v>
      </c>
      <c r="K785" s="2033" t="s">
        <v>1790</v>
      </c>
      <c r="L785" s="2031" t="s">
        <v>430</v>
      </c>
      <c r="M785" s="2031" t="s">
        <v>2677</v>
      </c>
      <c r="N785" s="2033" t="s">
        <v>82</v>
      </c>
      <c r="O785" s="2031" t="s">
        <v>310</v>
      </c>
      <c r="P785" s="2031" t="s">
        <v>291</v>
      </c>
      <c r="Q785" s="2031" t="s">
        <v>294</v>
      </c>
      <c r="R785" s="324">
        <v>500000.01</v>
      </c>
      <c r="S785" s="324">
        <v>750000</v>
      </c>
      <c r="T785" s="2031">
        <v>0</v>
      </c>
      <c r="U785" s="2031">
        <f t="shared" si="300"/>
        <v>750000</v>
      </c>
      <c r="V785" s="2031">
        <v>0</v>
      </c>
      <c r="W785" s="2031">
        <v>50</v>
      </c>
      <c r="X785" s="2031">
        <v>0</v>
      </c>
      <c r="Y785" s="2031">
        <v>999</v>
      </c>
      <c r="Z785" s="2034">
        <v>660</v>
      </c>
      <c r="AA785" s="2034">
        <v>679</v>
      </c>
      <c r="AB785" s="2034">
        <v>0</v>
      </c>
      <c r="AC785" s="2034">
        <v>999999</v>
      </c>
      <c r="AD785" s="2031">
        <v>0</v>
      </c>
      <c r="AE785" s="1484">
        <v>45</v>
      </c>
      <c r="AF785" s="170">
        <v>1</v>
      </c>
      <c r="AG785" s="171">
        <v>1</v>
      </c>
      <c r="AH785" s="171">
        <v>1</v>
      </c>
      <c r="AI785" s="171">
        <v>0</v>
      </c>
      <c r="AJ785" s="171">
        <v>0</v>
      </c>
      <c r="AK785" s="171">
        <v>1</v>
      </c>
      <c r="AL785" s="171">
        <v>1</v>
      </c>
      <c r="AM785" s="171">
        <v>1</v>
      </c>
      <c r="AN785" s="171">
        <v>1</v>
      </c>
      <c r="AO785" s="171">
        <v>1</v>
      </c>
      <c r="AP785" s="171">
        <v>1</v>
      </c>
      <c r="AQ785" s="171">
        <v>1</v>
      </c>
      <c r="AR785" s="171">
        <v>1</v>
      </c>
      <c r="AS785" s="171">
        <v>1</v>
      </c>
      <c r="AT785" s="171">
        <v>1</v>
      </c>
      <c r="AU785" s="171">
        <f t="shared" si="324"/>
        <v>0</v>
      </c>
      <c r="AV785" s="171">
        <f t="shared" si="325"/>
        <v>1</v>
      </c>
      <c r="AW785" s="171">
        <f t="shared" si="326"/>
        <v>1</v>
      </c>
      <c r="AX785" s="171">
        <f t="shared" si="305"/>
        <v>1</v>
      </c>
      <c r="AY785" s="171">
        <f t="shared" si="327"/>
        <v>0</v>
      </c>
      <c r="AZ785" s="171">
        <f t="shared" si="328"/>
        <v>1</v>
      </c>
      <c r="BA785" s="172">
        <f t="shared" si="329"/>
        <v>0</v>
      </c>
      <c r="BB785" s="175">
        <f t="shared" si="301"/>
        <v>17</v>
      </c>
      <c r="BC785" s="176">
        <f t="shared" si="302"/>
        <v>17</v>
      </c>
      <c r="BD785" s="176">
        <f t="shared" si="303"/>
        <v>16</v>
      </c>
      <c r="BE785" s="240" t="str">
        <f t="shared" si="322"/>
        <v/>
      </c>
      <c r="BF785" s="234"/>
      <c r="BG785" s="234"/>
      <c r="BH785" s="214">
        <f>IF(AND(Input_Product=Elig!$C785,Elig_MatchAll_Ct&lt;22,$BC785=(Elig_MatchAll_Ct-1),AF785=0),C785,0)</f>
        <v>0</v>
      </c>
      <c r="BI785" s="214">
        <f>IF(AND(Input_Product=Elig!$C785,Elig_MatchAll_Ct&lt;22,$BC785=(Elig_MatchAll_Ct-1),AG785=0),D785,0)</f>
        <v>0</v>
      </c>
      <c r="BJ785" s="214">
        <f>IF(AND(Input_Product=Elig!$C785,Elig_MatchAll_Ct&lt;22,$BC785=(Elig_MatchAll_Ct-1),AH785=0),E785,0)</f>
        <v>0</v>
      </c>
      <c r="BK785" s="214">
        <f>IF(AND(Input_Product=Elig!$C785,Elig_MatchAll_Ct&lt;22,$BC785=(Elig_MatchAll_Ct-1),AI785=0),F785,0)</f>
        <v>0</v>
      </c>
      <c r="BL785" s="214">
        <f>IF(AND(Input_Product=Elig!$C785,Elig_MatchAll_Ct&lt;22,$BC785=(Elig_MatchAll_Ct-1),AJ785=0),G785,0)</f>
        <v>0</v>
      </c>
      <c r="BM785" s="214">
        <f>IF(AND(Input_Product=Elig!$C785,Elig_MatchAll_Ct&lt;22,$BC785=(Elig_MatchAll_Ct-1),AK785=0),H785,0)</f>
        <v>0</v>
      </c>
      <c r="BN785" s="214">
        <f>IF(AND(Input_Product=Elig!$C785,Elig_MatchAll_Ct&lt;22,$BC785=(Elig_MatchAll_Ct-1),AL785=0),I785,0)</f>
        <v>0</v>
      </c>
      <c r="BO785" s="214">
        <f>IF(AND(Input_Product=Elig!$C785,Elig_MatchAll_Ct&lt;22,$BC785=(Elig_MatchAll_Ct-1),AM785=0),J785,0)</f>
        <v>0</v>
      </c>
      <c r="BP785" s="214">
        <f>IF(AND(Input_Product=Elig!$C785,Elig_MatchAll_Ct&lt;22,$BC785=(Elig_MatchAll_Ct-1),AN785=0),K785,0)</f>
        <v>0</v>
      </c>
      <c r="BQ785" s="214">
        <f>IF(AND(Input_Product=Elig!$C785,Elig_MatchAll_Ct&lt;22,$BC785=(Elig_MatchAll_Ct-1),AP785=0),L785,0)</f>
        <v>0</v>
      </c>
      <c r="BR785" s="214">
        <f>IF(AND(Input_Product=Elig!$C785,Elig_MatchAll_Ct&lt;22,$BC785=(Elig_MatchAll_Ct-1),AO785=0),M785,0)</f>
        <v>0</v>
      </c>
      <c r="BS785" s="214">
        <f>IF(AND(Input_Product=Elig!$C785,Elig_MatchAll_Ct&lt;22,$BC785=(Elig_MatchAll_Ct-1),AQ785=0),N785,0)</f>
        <v>0</v>
      </c>
      <c r="BT785" s="214">
        <f>IF(AND(Input_Product=Elig!$C785,Elig_MatchAll_Ct&lt;22,$BC785=(Elig_MatchAll_Ct-1),AR785=0),O785,0)</f>
        <v>0</v>
      </c>
      <c r="BU785" s="214">
        <f>IF(AND(Input_Product=Elig!$C785,Elig_MatchAll_Ct&lt;22,$BC785=(Elig_MatchAll_Ct-1),AS785=0),P785,0)</f>
        <v>0</v>
      </c>
      <c r="BV785" s="215">
        <f>IF(AND(Input_Product=Elig!$C785,Elig_MatchAll_Ct&lt;22,$BC785=(Elig_MatchAll_Ct-1),AT785=0),Q785,0)</f>
        <v>0</v>
      </c>
      <c r="BW785" s="311">
        <f>IF(AND(Input_Product=Elig!$C785,Elig_MatchAll_Ct&lt;22,$BC785=(Elig_MatchAll_Ct-1),AU785=0),R785,0)</f>
        <v>0</v>
      </c>
      <c r="BX785" s="312">
        <f>IF(AND(Input_Product=Elig!$C785,Elig_MatchAll_Ct&lt;22,$BC785=(Elig_MatchAll_Ct-1),AU785=0),S785,0)</f>
        <v>0</v>
      </c>
      <c r="BY785" s="311">
        <f>IF(AND(Input_Product=Elig!$C785,Elig_MatchAll_Ct&lt;22,$BC785=(Elig_MatchAll_Ct-1),AV785=0),T785,0)</f>
        <v>0</v>
      </c>
      <c r="BZ785" s="312">
        <f>IF(AND(Input_Product=Elig!$C785,Elig_MatchAll_Ct&lt;22,$BC785=(Elig_MatchAll_Ct-1),AV785=0),U785,0)</f>
        <v>0</v>
      </c>
      <c r="CA785" s="311">
        <f>IF(AND(Input_Product=Elig!$C785,Elig_MatchAll_Ct&lt;22,$BC785=(Elig_MatchAll_Ct-1),AW785=0),V785,0)</f>
        <v>0</v>
      </c>
      <c r="CB785" s="312">
        <f>IF(AND(Input_Product=Elig!$C785,Elig_MatchAll_Ct&lt;22,$BC785=(Elig_MatchAll_Ct-1),AW785=0),W785,0)</f>
        <v>0</v>
      </c>
      <c r="CC785" s="311">
        <f>IF(AND(Input_Product=Elig!$C785,Elig_MatchAll_Ct&lt;22,$BC785=(Elig_MatchAll_Ct-1),AX785=0),X785,0)</f>
        <v>0</v>
      </c>
      <c r="CD785" s="312">
        <f>IF(AND(Input_Product=Elig!$C785,Elig_MatchAll_Ct&lt;22,$BC785=(Elig_MatchAll_Ct-1),AX785=0),Y785,0)</f>
        <v>0</v>
      </c>
      <c r="CE785" s="311">
        <f>IF(AND(Input_LTV&lt;=AE785,Input_Product=Elig!$C785,Elig_MatchAll_Ct&lt;22,$BC785=(Elig_MatchAll_Ct-1),AY785=0),Z785,0)</f>
        <v>0</v>
      </c>
      <c r="CF785" s="312">
        <f>IF(AND(Input_LTV&lt;=AE785,Input_Product=Elig!$C785,Elig_MatchAll_Ct&lt;22,$BC785=(Elig_MatchAll_Ct-1),AY785=0),AA785,0)</f>
        <v>0</v>
      </c>
      <c r="CG785" s="311">
        <f>IF(AND(Input_Product=Elig!$C785,Elig_MatchAll_Ct&lt;22,$BC785=(Elig_MatchAll_Ct-1),AZ785=0),AB785,0)</f>
        <v>0</v>
      </c>
      <c r="CH785" s="312">
        <f>IF(AND(Input_Product=Elig!$C785,Elig_MatchAll_Ct&lt;22,$BC785=(Elig_MatchAll_Ct-1),AZ785=0),AC785,0)</f>
        <v>0</v>
      </c>
      <c r="CI785" s="311">
        <f>IF(AND(Input_Product=Elig!$C785,Elig_MatchAll_Ct&lt;22,$BC785=(Elig_MatchAll_Ct-1),BA785=0),AD785,0)</f>
        <v>0</v>
      </c>
      <c r="CJ785" s="312">
        <f>IF(AND(Input_Product=Elig!$C785,Elig_MatchAll_Ct&lt;22,$BC785=(Elig_MatchAll_Ct-1),BA785=0),AE785,0)</f>
        <v>0</v>
      </c>
    </row>
    <row r="786" spans="2:88" ht="10.15" customHeight="1" x14ac:dyDescent="0.25">
      <c r="B786" s="2035" t="s">
        <v>3689</v>
      </c>
      <c r="C786" s="2036" t="str">
        <f t="shared" ref="C786:C857" si="330">Input_Name_Product5</f>
        <v>Second NOO</v>
      </c>
      <c r="D786" s="2037" t="s">
        <v>1561</v>
      </c>
      <c r="E786" s="2037" t="s">
        <v>98</v>
      </c>
      <c r="F786" s="2037" t="s">
        <v>330</v>
      </c>
      <c r="G786" s="2037" t="s">
        <v>303</v>
      </c>
      <c r="H786" s="2037" t="s">
        <v>136</v>
      </c>
      <c r="I786" s="2035" t="s">
        <v>1332</v>
      </c>
      <c r="J786" s="2035" t="s">
        <v>1311</v>
      </c>
      <c r="K786" s="2037" t="s">
        <v>1790</v>
      </c>
      <c r="L786" s="2035" t="s">
        <v>430</v>
      </c>
      <c r="M786" s="2035" t="s">
        <v>2677</v>
      </c>
      <c r="N786" s="2037" t="s">
        <v>82</v>
      </c>
      <c r="O786" s="2035" t="s">
        <v>310</v>
      </c>
      <c r="P786" s="2035" t="s">
        <v>291</v>
      </c>
      <c r="Q786" s="2035" t="s">
        <v>294</v>
      </c>
      <c r="R786" s="2035">
        <v>50000</v>
      </c>
      <c r="S786" s="2035">
        <v>350000</v>
      </c>
      <c r="T786" s="2035">
        <v>0</v>
      </c>
      <c r="U786" s="2035">
        <f t="shared" ref="U786:U861" si="331">S786</f>
        <v>350000</v>
      </c>
      <c r="V786" s="2035">
        <v>0</v>
      </c>
      <c r="W786" s="2035">
        <v>50</v>
      </c>
      <c r="X786" s="2035">
        <v>0</v>
      </c>
      <c r="Y786" s="2035">
        <v>999</v>
      </c>
      <c r="Z786" s="2038">
        <v>720</v>
      </c>
      <c r="AA786" s="2038">
        <v>999</v>
      </c>
      <c r="AB786" s="2038">
        <v>0</v>
      </c>
      <c r="AC786" s="2038">
        <v>999999</v>
      </c>
      <c r="AD786" s="2035">
        <v>0</v>
      </c>
      <c r="AE786" s="2035">
        <v>80</v>
      </c>
      <c r="AF786" s="170">
        <v>0</v>
      </c>
      <c r="AG786" s="171">
        <v>1</v>
      </c>
      <c r="AH786" s="171">
        <v>1</v>
      </c>
      <c r="AI786" s="171">
        <v>0</v>
      </c>
      <c r="AJ786" s="171">
        <v>1</v>
      </c>
      <c r="AK786" s="171">
        <v>1</v>
      </c>
      <c r="AL786" s="171">
        <v>1</v>
      </c>
      <c r="AM786" s="171">
        <v>1</v>
      </c>
      <c r="AN786" s="171">
        <v>1</v>
      </c>
      <c r="AO786" s="171">
        <v>1</v>
      </c>
      <c r="AP786" s="171">
        <v>1</v>
      </c>
      <c r="AQ786" s="171">
        <v>1</v>
      </c>
      <c r="AR786" s="171">
        <v>1</v>
      </c>
      <c r="AS786" s="171">
        <v>1</v>
      </c>
      <c r="AT786" s="171">
        <v>1</v>
      </c>
      <c r="AU786" s="171">
        <f t="shared" si="324"/>
        <v>1</v>
      </c>
      <c r="AV786" s="171">
        <f t="shared" si="325"/>
        <v>1</v>
      </c>
      <c r="AW786" s="171">
        <f t="shared" si="326"/>
        <v>1</v>
      </c>
      <c r="AX786" s="171">
        <f t="shared" si="305"/>
        <v>1</v>
      </c>
      <c r="AY786" s="171">
        <f t="shared" si="327"/>
        <v>1</v>
      </c>
      <c r="AZ786" s="171">
        <f t="shared" si="328"/>
        <v>1</v>
      </c>
      <c r="BA786" s="172">
        <f t="shared" si="329"/>
        <v>1</v>
      </c>
      <c r="BB786" s="175">
        <f t="shared" si="301"/>
        <v>20</v>
      </c>
      <c r="BC786" s="176">
        <f t="shared" si="302"/>
        <v>19</v>
      </c>
      <c r="BD786" s="176">
        <f t="shared" si="303"/>
        <v>20</v>
      </c>
      <c r="BE786" s="240" t="str">
        <f t="shared" si="322"/>
        <v/>
      </c>
      <c r="BF786" s="220"/>
      <c r="BG786" s="220"/>
      <c r="BH786" s="216">
        <f>IF(AND(Input_Product=Elig!$C786,Elig_MatchAll_Ct&lt;22,$BC786=(Elig_MatchAll_Ct-1),AF786=0),C786,0)</f>
        <v>0</v>
      </c>
      <c r="BI786" s="216">
        <f>IF(AND(Input_Product=Elig!$C786,Elig_MatchAll_Ct&lt;22,$BC786=(Elig_MatchAll_Ct-1),AG786=0),D786,0)</f>
        <v>0</v>
      </c>
      <c r="BJ786" s="216">
        <f>IF(AND(Input_Product=Elig!$C786,Elig_MatchAll_Ct&lt;22,$BC786=(Elig_MatchAll_Ct-1),AH786=0),E786,0)</f>
        <v>0</v>
      </c>
      <c r="BK786" s="216">
        <f>IF(AND(Input_Product=Elig!$C786,Elig_MatchAll_Ct&lt;22,$BC786=(Elig_MatchAll_Ct-1),AI786=0),F786,0)</f>
        <v>0</v>
      </c>
      <c r="BL786" s="216">
        <f>IF(AND(Input_Product=Elig!$C786,Elig_MatchAll_Ct&lt;22,$BC786=(Elig_MatchAll_Ct-1),AJ786=0),G786,0)</f>
        <v>0</v>
      </c>
      <c r="BM786" s="216">
        <f>IF(AND(Input_Product=Elig!$C786,Elig_MatchAll_Ct&lt;22,$BC786=(Elig_MatchAll_Ct-1),AK786=0),H786,0)</f>
        <v>0</v>
      </c>
      <c r="BN786" s="216">
        <f>IF(AND(Input_Product=Elig!$C786,Elig_MatchAll_Ct&lt;22,$BC786=(Elig_MatchAll_Ct-1),AL786=0),I786,0)</f>
        <v>0</v>
      </c>
      <c r="BO786" s="216">
        <f>IF(AND(Input_Product=Elig!$C786,Elig_MatchAll_Ct&lt;22,$BC786=(Elig_MatchAll_Ct-1),AM786=0),J786,0)</f>
        <v>0</v>
      </c>
      <c r="BP786" s="216">
        <f>IF(AND(Input_Product=Elig!$C786,Elig_MatchAll_Ct&lt;22,$BC786=(Elig_MatchAll_Ct-1),AN786=0),K786,0)</f>
        <v>0</v>
      </c>
      <c r="BQ786" s="216">
        <f>IF(AND(Input_Product=Elig!$C786,Elig_MatchAll_Ct&lt;22,$BC786=(Elig_MatchAll_Ct-1),AP786=0),L786,0)</f>
        <v>0</v>
      </c>
      <c r="BR786" s="216">
        <f>IF(AND(Input_Product=Elig!$C786,Elig_MatchAll_Ct&lt;22,$BC786=(Elig_MatchAll_Ct-1),AO786=0),M786,0)</f>
        <v>0</v>
      </c>
      <c r="BS786" s="216">
        <f>IF(AND(Input_Product=Elig!$C786,Elig_MatchAll_Ct&lt;22,$BC786=(Elig_MatchAll_Ct-1),AQ786=0),N786,0)</f>
        <v>0</v>
      </c>
      <c r="BT786" s="216">
        <f>IF(AND(Input_Product=Elig!$C786,Elig_MatchAll_Ct&lt;22,$BC786=(Elig_MatchAll_Ct-1),AR786=0),O786,0)</f>
        <v>0</v>
      </c>
      <c r="BU786" s="216">
        <f>IF(AND(Input_Product=Elig!$C786,Elig_MatchAll_Ct&lt;22,$BC786=(Elig_MatchAll_Ct-1),AS786=0),P786,0)</f>
        <v>0</v>
      </c>
      <c r="BV786" s="217">
        <f>IF(AND(Input_Product=Elig!$C786,Elig_MatchAll_Ct&lt;22,$BC786=(Elig_MatchAll_Ct-1),AT786=0),Q786,0)</f>
        <v>0</v>
      </c>
      <c r="BW786" s="313">
        <f>IF(AND(Input_Product=Elig!$C786,Elig_MatchAll_Ct&lt;22,$BC786=(Elig_MatchAll_Ct-1),AU786=0),R786,0)</f>
        <v>0</v>
      </c>
      <c r="BX786" s="314">
        <f>IF(AND(Input_Product=Elig!$C786,Elig_MatchAll_Ct&lt;22,$BC786=(Elig_MatchAll_Ct-1),AU786=0),S786,0)</f>
        <v>0</v>
      </c>
      <c r="BY786" s="313">
        <f>IF(AND(Input_Product=Elig!$C786,Elig_MatchAll_Ct&lt;22,$BC786=(Elig_MatchAll_Ct-1),AV786=0),T786,0)</f>
        <v>0</v>
      </c>
      <c r="BZ786" s="314">
        <f>IF(AND(Input_Product=Elig!$C786,Elig_MatchAll_Ct&lt;22,$BC786=(Elig_MatchAll_Ct-1),AV786=0),U786,0)</f>
        <v>0</v>
      </c>
      <c r="CA786" s="313">
        <f>IF(AND(Input_Product=Elig!$C786,Elig_MatchAll_Ct&lt;22,$BC786=(Elig_MatchAll_Ct-1),AW786=0),V786,0)</f>
        <v>0</v>
      </c>
      <c r="CB786" s="314">
        <f>IF(AND(Input_Product=Elig!$C786,Elig_MatchAll_Ct&lt;22,$BC786=(Elig_MatchAll_Ct-1),AW786=0),W786,0)</f>
        <v>0</v>
      </c>
      <c r="CC786" s="313">
        <f>IF(AND(Input_Product=Elig!$C786,Elig_MatchAll_Ct&lt;22,$BC786=(Elig_MatchAll_Ct-1),AX786=0),X786,0)</f>
        <v>0</v>
      </c>
      <c r="CD786" s="314">
        <f>IF(AND(Input_Product=Elig!$C786,Elig_MatchAll_Ct&lt;22,$BC786=(Elig_MatchAll_Ct-1),AX786=0),Y786,0)</f>
        <v>0</v>
      </c>
      <c r="CE786" s="313">
        <f>IF(AND(Input_LTV&lt;=AE786,Input_Product=Elig!$C786,Elig_MatchAll_Ct&lt;22,$BC786=(Elig_MatchAll_Ct-1),AY786=0),Z786,0)</f>
        <v>0</v>
      </c>
      <c r="CF786" s="314">
        <f>IF(AND(Input_LTV&lt;=AE786,Input_Product=Elig!$C786,Elig_MatchAll_Ct&lt;22,$BC786=(Elig_MatchAll_Ct-1),AY786=0),AA786,0)</f>
        <v>0</v>
      </c>
      <c r="CG786" s="313">
        <f>IF(AND(Input_Product=Elig!$C786,Elig_MatchAll_Ct&lt;22,$BC786=(Elig_MatchAll_Ct-1),AZ786=0),AB786,0)</f>
        <v>0</v>
      </c>
      <c r="CH786" s="314">
        <f>IF(AND(Input_Product=Elig!$C786,Elig_MatchAll_Ct&lt;22,$BC786=(Elig_MatchAll_Ct-1),AZ786=0),AC786,0)</f>
        <v>0</v>
      </c>
      <c r="CI786" s="313">
        <f>IF(AND(Input_Product=Elig!$C786,Elig_MatchAll_Ct&lt;22,$BC786=(Elig_MatchAll_Ct-1),BA786=0),AD786,0)</f>
        <v>0</v>
      </c>
      <c r="CJ786" s="314">
        <f>IF(AND(Input_Product=Elig!$C786,Elig_MatchAll_Ct&lt;22,$BC786=(Elig_MatchAll_Ct-1),BA786=0),AE786,0)</f>
        <v>0</v>
      </c>
    </row>
    <row r="787" spans="2:88" ht="10.15" customHeight="1" x14ac:dyDescent="0.25">
      <c r="B787" s="2035" t="s">
        <v>3690</v>
      </c>
      <c r="C787" s="2036" t="str">
        <f t="shared" si="330"/>
        <v>Second NOO</v>
      </c>
      <c r="D787" s="2035" t="s">
        <v>1561</v>
      </c>
      <c r="E787" s="2035" t="s">
        <v>98</v>
      </c>
      <c r="F787" s="2035" t="s">
        <v>330</v>
      </c>
      <c r="G787" s="2037" t="s">
        <v>303</v>
      </c>
      <c r="H787" s="2037" t="s">
        <v>136</v>
      </c>
      <c r="I787" s="2035" t="s">
        <v>1332</v>
      </c>
      <c r="J787" s="2035" t="s">
        <v>1311</v>
      </c>
      <c r="K787" s="2037" t="s">
        <v>1790</v>
      </c>
      <c r="L787" s="2035" t="s">
        <v>430</v>
      </c>
      <c r="M787" s="2035" t="s">
        <v>2677</v>
      </c>
      <c r="N787" s="2037" t="s">
        <v>82</v>
      </c>
      <c r="O787" s="2035" t="s">
        <v>310</v>
      </c>
      <c r="P787" s="2035" t="s">
        <v>291</v>
      </c>
      <c r="Q787" s="2035" t="s">
        <v>294</v>
      </c>
      <c r="R787" s="2035">
        <v>50000</v>
      </c>
      <c r="S787" s="2035">
        <v>350000</v>
      </c>
      <c r="T787" s="2035">
        <v>0</v>
      </c>
      <c r="U787" s="2035">
        <f t="shared" si="331"/>
        <v>350000</v>
      </c>
      <c r="V787" s="2035">
        <v>0</v>
      </c>
      <c r="W787" s="2035">
        <v>50</v>
      </c>
      <c r="X787" s="2035">
        <v>0</v>
      </c>
      <c r="Y787" s="2035">
        <v>999</v>
      </c>
      <c r="Z787" s="2038">
        <v>700</v>
      </c>
      <c r="AA787" s="2038">
        <v>719</v>
      </c>
      <c r="AB787" s="2038">
        <v>0</v>
      </c>
      <c r="AC787" s="2038">
        <v>999999</v>
      </c>
      <c r="AD787" s="2035">
        <v>0</v>
      </c>
      <c r="AE787" s="2035">
        <v>80</v>
      </c>
      <c r="AF787" s="170">
        <v>0</v>
      </c>
      <c r="AG787" s="171">
        <v>1</v>
      </c>
      <c r="AH787" s="171">
        <v>1</v>
      </c>
      <c r="AI787" s="171">
        <v>0</v>
      </c>
      <c r="AJ787" s="171">
        <v>1</v>
      </c>
      <c r="AK787" s="171">
        <v>1</v>
      </c>
      <c r="AL787" s="171">
        <v>1</v>
      </c>
      <c r="AM787" s="171">
        <v>1</v>
      </c>
      <c r="AN787" s="171">
        <v>1</v>
      </c>
      <c r="AO787" s="171">
        <v>1</v>
      </c>
      <c r="AP787" s="171">
        <v>1</v>
      </c>
      <c r="AQ787" s="171">
        <v>1</v>
      </c>
      <c r="AR787" s="171">
        <v>1</v>
      </c>
      <c r="AS787" s="171">
        <v>1</v>
      </c>
      <c r="AT787" s="171">
        <v>1</v>
      </c>
      <c r="AU787" s="171">
        <f t="shared" si="324"/>
        <v>1</v>
      </c>
      <c r="AV787" s="171">
        <f t="shared" si="325"/>
        <v>1</v>
      </c>
      <c r="AW787" s="171">
        <f t="shared" si="326"/>
        <v>1</v>
      </c>
      <c r="AX787" s="171">
        <f t="shared" si="305"/>
        <v>1</v>
      </c>
      <c r="AY787" s="171">
        <f t="shared" si="327"/>
        <v>0</v>
      </c>
      <c r="AZ787" s="171">
        <f t="shared" si="328"/>
        <v>1</v>
      </c>
      <c r="BA787" s="172">
        <f t="shared" si="329"/>
        <v>1</v>
      </c>
      <c r="BB787" s="175">
        <f t="shared" ref="BB787:BB877" si="332">SUM(AF787:BA787)</f>
        <v>19</v>
      </c>
      <c r="BC787" s="176">
        <f t="shared" ref="BC787:BC877" si="333">SUM(AF787:AZ787)</f>
        <v>18</v>
      </c>
      <c r="BD787" s="176">
        <f t="shared" ref="BD787:BD877" si="334">SUM(AG787:BA787)</f>
        <v>19</v>
      </c>
      <c r="BE787" s="240" t="str">
        <f t="shared" si="322"/>
        <v/>
      </c>
      <c r="BF787" s="234"/>
      <c r="BG787" s="234"/>
      <c r="BH787" s="199">
        <f>IF(AND(Input_Product=Elig!$C787,Elig_MatchAll_Ct&lt;22,$BC787=(Elig_MatchAll_Ct-1),AF787=0),C787,0)</f>
        <v>0</v>
      </c>
      <c r="BI787" s="199">
        <f>IF(AND(Input_Product=Elig!$C787,Elig_MatchAll_Ct&lt;22,$BC787=(Elig_MatchAll_Ct-1),AG787=0),D787,0)</f>
        <v>0</v>
      </c>
      <c r="BJ787" s="199">
        <f>IF(AND(Input_Product=Elig!$C787,Elig_MatchAll_Ct&lt;22,$BC787=(Elig_MatchAll_Ct-1),AH787=0),E787,0)</f>
        <v>0</v>
      </c>
      <c r="BK787" s="199">
        <f>IF(AND(Input_Product=Elig!$C787,Elig_MatchAll_Ct&lt;22,$BC787=(Elig_MatchAll_Ct-1),AI787=0),F787,0)</f>
        <v>0</v>
      </c>
      <c r="BL787" s="199">
        <f>IF(AND(Input_Product=Elig!$C787,Elig_MatchAll_Ct&lt;22,$BC787=(Elig_MatchAll_Ct-1),AJ787=0),G787,0)</f>
        <v>0</v>
      </c>
      <c r="BM787" s="199">
        <f>IF(AND(Input_Product=Elig!$C787,Elig_MatchAll_Ct&lt;22,$BC787=(Elig_MatchAll_Ct-1),AK787=0),H787,0)</f>
        <v>0</v>
      </c>
      <c r="BN787" s="199">
        <f>IF(AND(Input_Product=Elig!$C787,Elig_MatchAll_Ct&lt;22,$BC787=(Elig_MatchAll_Ct-1),AL787=0),I787,0)</f>
        <v>0</v>
      </c>
      <c r="BO787" s="199">
        <f>IF(AND(Input_Product=Elig!$C787,Elig_MatchAll_Ct&lt;22,$BC787=(Elig_MatchAll_Ct-1),AM787=0),J787,0)</f>
        <v>0</v>
      </c>
      <c r="BP787" s="199">
        <f>IF(AND(Input_Product=Elig!$C787,Elig_MatchAll_Ct&lt;22,$BC787=(Elig_MatchAll_Ct-1),AN787=0),K787,0)</f>
        <v>0</v>
      </c>
      <c r="BQ787" s="199">
        <f>IF(AND(Input_Product=Elig!$C787,Elig_MatchAll_Ct&lt;22,$BC787=(Elig_MatchAll_Ct-1),AP787=0),L787,0)</f>
        <v>0</v>
      </c>
      <c r="BR787" s="199">
        <f>IF(AND(Input_Product=Elig!$C787,Elig_MatchAll_Ct&lt;22,$BC787=(Elig_MatchAll_Ct-1),AO787=0),M787,0)</f>
        <v>0</v>
      </c>
      <c r="BS787" s="199">
        <f>IF(AND(Input_Product=Elig!$C787,Elig_MatchAll_Ct&lt;22,$BC787=(Elig_MatchAll_Ct-1),AQ787=0),N787,0)</f>
        <v>0</v>
      </c>
      <c r="BT787" s="199">
        <f>IF(AND(Input_Product=Elig!$C787,Elig_MatchAll_Ct&lt;22,$BC787=(Elig_MatchAll_Ct-1),AR787=0),O787,0)</f>
        <v>0</v>
      </c>
      <c r="BU787" s="199">
        <f>IF(AND(Input_Product=Elig!$C787,Elig_MatchAll_Ct&lt;22,$BC787=(Elig_MatchAll_Ct-1),AS787=0),P787,0)</f>
        <v>0</v>
      </c>
      <c r="BV787" s="200">
        <f>IF(AND(Input_Product=Elig!$C787,Elig_MatchAll_Ct&lt;22,$BC787=(Elig_MatchAll_Ct-1),AT787=0),Q787,0)</f>
        <v>0</v>
      </c>
      <c r="BW787" s="201">
        <f>IF(AND(Input_Product=Elig!$C787,Elig_MatchAll_Ct&lt;22,$BC787=(Elig_MatchAll_Ct-1),AU787=0),R787,0)</f>
        <v>0</v>
      </c>
      <c r="BX787" s="202">
        <f>IF(AND(Input_Product=Elig!$C787,Elig_MatchAll_Ct&lt;22,$BC787=(Elig_MatchAll_Ct-1),AU787=0),S787,0)</f>
        <v>0</v>
      </c>
      <c r="BY787" s="201">
        <f>IF(AND(Input_Product=Elig!$C787,Elig_MatchAll_Ct&lt;22,$BC787=(Elig_MatchAll_Ct-1),AV787=0),T787,0)</f>
        <v>0</v>
      </c>
      <c r="BZ787" s="202">
        <f>IF(AND(Input_Product=Elig!$C787,Elig_MatchAll_Ct&lt;22,$BC787=(Elig_MatchAll_Ct-1),AV787=0),U787,0)</f>
        <v>0</v>
      </c>
      <c r="CA787" s="201">
        <f>IF(AND(Input_Product=Elig!$C787,Elig_MatchAll_Ct&lt;22,$BC787=(Elig_MatchAll_Ct-1),AW787=0),V787,0)</f>
        <v>0</v>
      </c>
      <c r="CB787" s="202">
        <f>IF(AND(Input_Product=Elig!$C787,Elig_MatchAll_Ct&lt;22,$BC787=(Elig_MatchAll_Ct-1),AW787=0),W787,0)</f>
        <v>0</v>
      </c>
      <c r="CC787" s="201">
        <f>IF(AND(Input_Product=Elig!$C787,Elig_MatchAll_Ct&lt;22,$BC787=(Elig_MatchAll_Ct-1),AX787=0),X787,0)</f>
        <v>0</v>
      </c>
      <c r="CD787" s="202">
        <f>IF(AND(Input_Product=Elig!$C787,Elig_MatchAll_Ct&lt;22,$BC787=(Elig_MatchAll_Ct-1),AX787=0),Y787,0)</f>
        <v>0</v>
      </c>
      <c r="CE787" s="201">
        <f>IF(AND(Input_LTV&lt;=AE787,Input_Product=Elig!$C787,Elig_MatchAll_Ct&lt;22,$BC787=(Elig_MatchAll_Ct-1),AY787=0),Z787,0)</f>
        <v>0</v>
      </c>
      <c r="CF787" s="202">
        <f>IF(AND(Input_LTV&lt;=AE787,Input_Product=Elig!$C787,Elig_MatchAll_Ct&lt;22,$BC787=(Elig_MatchAll_Ct-1),AY787=0),AA787,0)</f>
        <v>0</v>
      </c>
      <c r="CG787" s="201">
        <f>IF(AND(Input_Product=Elig!$C787,Elig_MatchAll_Ct&lt;22,$BC787=(Elig_MatchAll_Ct-1),AZ787=0),AB787,0)</f>
        <v>0</v>
      </c>
      <c r="CH787" s="202">
        <f>IF(AND(Input_Product=Elig!$C787,Elig_MatchAll_Ct&lt;22,$BC787=(Elig_MatchAll_Ct-1),AZ787=0),AC787,0)</f>
        <v>0</v>
      </c>
      <c r="CI787" s="201">
        <f>IF(AND(Input_Product=Elig!$C787,Elig_MatchAll_Ct&lt;22,$BC787=(Elig_MatchAll_Ct-1),BA787=0),AD787,0)</f>
        <v>0</v>
      </c>
      <c r="CJ787" s="202">
        <f>IF(AND(Input_Product=Elig!$C787,Elig_MatchAll_Ct&lt;22,$BC787=(Elig_MatchAll_Ct-1),BA787=0),AE787,0)</f>
        <v>0</v>
      </c>
    </row>
    <row r="788" spans="2:88" ht="10.15" customHeight="1" x14ac:dyDescent="0.25">
      <c r="B788" s="2035" t="s">
        <v>3691</v>
      </c>
      <c r="C788" s="2036" t="str">
        <f t="shared" si="330"/>
        <v>Second NOO</v>
      </c>
      <c r="D788" s="2035" t="s">
        <v>1561</v>
      </c>
      <c r="E788" s="2035" t="s">
        <v>98</v>
      </c>
      <c r="F788" s="2035" t="s">
        <v>330</v>
      </c>
      <c r="G788" s="2037" t="s">
        <v>303</v>
      </c>
      <c r="H788" s="2037" t="s">
        <v>136</v>
      </c>
      <c r="I788" s="2035" t="s">
        <v>1332</v>
      </c>
      <c r="J788" s="2035" t="s">
        <v>1311</v>
      </c>
      <c r="K788" s="2037" t="s">
        <v>1790</v>
      </c>
      <c r="L788" s="2035" t="s">
        <v>430</v>
      </c>
      <c r="M788" s="2035" t="s">
        <v>2677</v>
      </c>
      <c r="N788" s="2037" t="s">
        <v>82</v>
      </c>
      <c r="O788" s="2035" t="s">
        <v>310</v>
      </c>
      <c r="P788" s="2035" t="s">
        <v>291</v>
      </c>
      <c r="Q788" s="2035" t="s">
        <v>294</v>
      </c>
      <c r="R788" s="2035">
        <v>50000</v>
      </c>
      <c r="S788" s="2035">
        <v>350000</v>
      </c>
      <c r="T788" s="2035">
        <v>0</v>
      </c>
      <c r="U788" s="2035">
        <f t="shared" si="331"/>
        <v>350000</v>
      </c>
      <c r="V788" s="2035">
        <v>0</v>
      </c>
      <c r="W788" s="2035">
        <v>50</v>
      </c>
      <c r="X788" s="2035">
        <v>0</v>
      </c>
      <c r="Y788" s="2035">
        <v>999</v>
      </c>
      <c r="Z788" s="2038">
        <v>680</v>
      </c>
      <c r="AA788" s="2038">
        <v>699</v>
      </c>
      <c r="AB788" s="2038">
        <v>0</v>
      </c>
      <c r="AC788" s="2038">
        <v>999999</v>
      </c>
      <c r="AD788" s="2035">
        <v>0</v>
      </c>
      <c r="AE788" s="2035">
        <v>75</v>
      </c>
      <c r="AF788" s="170">
        <v>0</v>
      </c>
      <c r="AG788" s="171">
        <v>1</v>
      </c>
      <c r="AH788" s="171">
        <v>1</v>
      </c>
      <c r="AI788" s="171">
        <v>0</v>
      </c>
      <c r="AJ788" s="171">
        <v>1</v>
      </c>
      <c r="AK788" s="171">
        <v>1</v>
      </c>
      <c r="AL788" s="171">
        <v>1</v>
      </c>
      <c r="AM788" s="171">
        <v>1</v>
      </c>
      <c r="AN788" s="171">
        <v>1</v>
      </c>
      <c r="AO788" s="171">
        <v>1</v>
      </c>
      <c r="AP788" s="171">
        <v>1</v>
      </c>
      <c r="AQ788" s="171">
        <v>1</v>
      </c>
      <c r="AR788" s="171">
        <v>1</v>
      </c>
      <c r="AS788" s="171">
        <v>1</v>
      </c>
      <c r="AT788" s="171">
        <v>1</v>
      </c>
      <c r="AU788" s="171">
        <f t="shared" si="324"/>
        <v>1</v>
      </c>
      <c r="AV788" s="171">
        <f t="shared" si="325"/>
        <v>1</v>
      </c>
      <c r="AW788" s="171">
        <f t="shared" si="326"/>
        <v>1</v>
      </c>
      <c r="AX788" s="171">
        <f t="shared" si="305"/>
        <v>1</v>
      </c>
      <c r="AY788" s="171">
        <f t="shared" si="327"/>
        <v>0</v>
      </c>
      <c r="AZ788" s="171">
        <f t="shared" si="328"/>
        <v>1</v>
      </c>
      <c r="BA788" s="172">
        <f t="shared" si="329"/>
        <v>1</v>
      </c>
      <c r="BB788" s="175">
        <f t="shared" si="332"/>
        <v>19</v>
      </c>
      <c r="BC788" s="176">
        <f t="shared" si="333"/>
        <v>18</v>
      </c>
      <c r="BD788" s="176">
        <f t="shared" si="334"/>
        <v>19</v>
      </c>
      <c r="BE788" s="240" t="str">
        <f t="shared" si="322"/>
        <v/>
      </c>
      <c r="BF788" s="234"/>
      <c r="BG788" s="234"/>
      <c r="BH788" s="199">
        <f>IF(AND(Input_Product=Elig!$C788,Elig_MatchAll_Ct&lt;22,$BC788=(Elig_MatchAll_Ct-1),AF788=0),C788,0)</f>
        <v>0</v>
      </c>
      <c r="BI788" s="199">
        <f>IF(AND(Input_Product=Elig!$C788,Elig_MatchAll_Ct&lt;22,$BC788=(Elig_MatchAll_Ct-1),AG788=0),D788,0)</f>
        <v>0</v>
      </c>
      <c r="BJ788" s="199">
        <f>IF(AND(Input_Product=Elig!$C788,Elig_MatchAll_Ct&lt;22,$BC788=(Elig_MatchAll_Ct-1),AH788=0),E788,0)</f>
        <v>0</v>
      </c>
      <c r="BK788" s="199">
        <f>IF(AND(Input_Product=Elig!$C788,Elig_MatchAll_Ct&lt;22,$BC788=(Elig_MatchAll_Ct-1),AI788=0),F788,0)</f>
        <v>0</v>
      </c>
      <c r="BL788" s="199">
        <f>IF(AND(Input_Product=Elig!$C788,Elig_MatchAll_Ct&lt;22,$BC788=(Elig_MatchAll_Ct-1),AJ788=0),G788,0)</f>
        <v>0</v>
      </c>
      <c r="BM788" s="199">
        <f>IF(AND(Input_Product=Elig!$C788,Elig_MatchAll_Ct&lt;22,$BC788=(Elig_MatchAll_Ct-1),AK788=0),H788,0)</f>
        <v>0</v>
      </c>
      <c r="BN788" s="199">
        <f>IF(AND(Input_Product=Elig!$C788,Elig_MatchAll_Ct&lt;22,$BC788=(Elig_MatchAll_Ct-1),AL788=0),I788,0)</f>
        <v>0</v>
      </c>
      <c r="BO788" s="199">
        <f>IF(AND(Input_Product=Elig!$C788,Elig_MatchAll_Ct&lt;22,$BC788=(Elig_MatchAll_Ct-1),AM788=0),J788,0)</f>
        <v>0</v>
      </c>
      <c r="BP788" s="199">
        <f>IF(AND(Input_Product=Elig!$C788,Elig_MatchAll_Ct&lt;22,$BC788=(Elig_MatchAll_Ct-1),AN788=0),K788,0)</f>
        <v>0</v>
      </c>
      <c r="BQ788" s="199">
        <f>IF(AND(Input_Product=Elig!$C788,Elig_MatchAll_Ct&lt;22,$BC788=(Elig_MatchAll_Ct-1),AP788=0),L788,0)</f>
        <v>0</v>
      </c>
      <c r="BR788" s="199">
        <f>IF(AND(Input_Product=Elig!$C788,Elig_MatchAll_Ct&lt;22,$BC788=(Elig_MatchAll_Ct-1),AO788=0),M788,0)</f>
        <v>0</v>
      </c>
      <c r="BS788" s="199">
        <f>IF(AND(Input_Product=Elig!$C788,Elig_MatchAll_Ct&lt;22,$BC788=(Elig_MatchAll_Ct-1),AQ788=0),N788,0)</f>
        <v>0</v>
      </c>
      <c r="BT788" s="199">
        <f>IF(AND(Input_Product=Elig!$C788,Elig_MatchAll_Ct&lt;22,$BC788=(Elig_MatchAll_Ct-1),AR788=0),O788,0)</f>
        <v>0</v>
      </c>
      <c r="BU788" s="199">
        <f>IF(AND(Input_Product=Elig!$C788,Elig_MatchAll_Ct&lt;22,$BC788=(Elig_MatchAll_Ct-1),AS788=0),P788,0)</f>
        <v>0</v>
      </c>
      <c r="BV788" s="200">
        <f>IF(AND(Input_Product=Elig!$C788,Elig_MatchAll_Ct&lt;22,$BC788=(Elig_MatchAll_Ct-1),AT788=0),Q788,0)</f>
        <v>0</v>
      </c>
      <c r="BW788" s="201">
        <f>IF(AND(Input_Product=Elig!$C788,Elig_MatchAll_Ct&lt;22,$BC788=(Elig_MatchAll_Ct-1),AU788=0),R788,0)</f>
        <v>0</v>
      </c>
      <c r="BX788" s="202">
        <f>IF(AND(Input_Product=Elig!$C788,Elig_MatchAll_Ct&lt;22,$BC788=(Elig_MatchAll_Ct-1),AU788=0),S788,0)</f>
        <v>0</v>
      </c>
      <c r="BY788" s="201">
        <f>IF(AND(Input_Product=Elig!$C788,Elig_MatchAll_Ct&lt;22,$BC788=(Elig_MatchAll_Ct-1),AV788=0),T788,0)</f>
        <v>0</v>
      </c>
      <c r="BZ788" s="202">
        <f>IF(AND(Input_Product=Elig!$C788,Elig_MatchAll_Ct&lt;22,$BC788=(Elig_MatchAll_Ct-1),AV788=0),U788,0)</f>
        <v>0</v>
      </c>
      <c r="CA788" s="201">
        <f>IF(AND(Input_Product=Elig!$C788,Elig_MatchAll_Ct&lt;22,$BC788=(Elig_MatchAll_Ct-1),AW788=0),V788,0)</f>
        <v>0</v>
      </c>
      <c r="CB788" s="202">
        <f>IF(AND(Input_Product=Elig!$C788,Elig_MatchAll_Ct&lt;22,$BC788=(Elig_MatchAll_Ct-1),AW788=0),W788,0)</f>
        <v>0</v>
      </c>
      <c r="CC788" s="201">
        <f>IF(AND(Input_Product=Elig!$C788,Elig_MatchAll_Ct&lt;22,$BC788=(Elig_MatchAll_Ct-1),AX788=0),X788,0)</f>
        <v>0</v>
      </c>
      <c r="CD788" s="202">
        <f>IF(AND(Input_Product=Elig!$C788,Elig_MatchAll_Ct&lt;22,$BC788=(Elig_MatchAll_Ct-1),AX788=0),Y788,0)</f>
        <v>0</v>
      </c>
      <c r="CE788" s="201">
        <f>IF(AND(Input_LTV&lt;=AE788,Input_Product=Elig!$C788,Elig_MatchAll_Ct&lt;22,$BC788=(Elig_MatchAll_Ct-1),AY788=0),Z788,0)</f>
        <v>0</v>
      </c>
      <c r="CF788" s="202">
        <f>IF(AND(Input_LTV&lt;=AE788,Input_Product=Elig!$C788,Elig_MatchAll_Ct&lt;22,$BC788=(Elig_MatchAll_Ct-1),AY788=0),AA788,0)</f>
        <v>0</v>
      </c>
      <c r="CG788" s="201">
        <f>IF(AND(Input_Product=Elig!$C788,Elig_MatchAll_Ct&lt;22,$BC788=(Elig_MatchAll_Ct-1),AZ788=0),AB788,0)</f>
        <v>0</v>
      </c>
      <c r="CH788" s="202">
        <f>IF(AND(Input_Product=Elig!$C788,Elig_MatchAll_Ct&lt;22,$BC788=(Elig_MatchAll_Ct-1),AZ788=0),AC788,0)</f>
        <v>0</v>
      </c>
      <c r="CI788" s="201">
        <f>IF(AND(Input_Product=Elig!$C788,Elig_MatchAll_Ct&lt;22,$BC788=(Elig_MatchAll_Ct-1),BA788=0),AD788,0)</f>
        <v>0</v>
      </c>
      <c r="CJ788" s="202">
        <f>IF(AND(Input_Product=Elig!$C788,Elig_MatchAll_Ct&lt;22,$BC788=(Elig_MatchAll_Ct-1),BA788=0),AE788,0)</f>
        <v>0</v>
      </c>
    </row>
    <row r="789" spans="2:88" ht="10.15" customHeight="1" x14ac:dyDescent="0.25">
      <c r="B789" s="2035" t="s">
        <v>3692</v>
      </c>
      <c r="C789" s="2036" t="str">
        <f t="shared" si="330"/>
        <v>Second NOO</v>
      </c>
      <c r="D789" s="2035" t="s">
        <v>1561</v>
      </c>
      <c r="E789" s="2035" t="s">
        <v>98</v>
      </c>
      <c r="F789" s="2035" t="s">
        <v>330</v>
      </c>
      <c r="G789" s="2037" t="s">
        <v>303</v>
      </c>
      <c r="H789" s="2037" t="s">
        <v>136</v>
      </c>
      <c r="I789" s="2035" t="s">
        <v>1332</v>
      </c>
      <c r="J789" s="2035" t="s">
        <v>1311</v>
      </c>
      <c r="K789" s="2037" t="s">
        <v>1790</v>
      </c>
      <c r="L789" s="2035" t="s">
        <v>430</v>
      </c>
      <c r="M789" s="2035" t="s">
        <v>2677</v>
      </c>
      <c r="N789" s="2037" t="s">
        <v>82</v>
      </c>
      <c r="O789" s="2035" t="s">
        <v>310</v>
      </c>
      <c r="P789" s="2035" t="s">
        <v>291</v>
      </c>
      <c r="Q789" s="2035" t="s">
        <v>294</v>
      </c>
      <c r="R789" s="2035">
        <v>50000</v>
      </c>
      <c r="S789" s="2035">
        <v>350000</v>
      </c>
      <c r="T789" s="2035">
        <v>0</v>
      </c>
      <c r="U789" s="2035">
        <f t="shared" si="331"/>
        <v>350000</v>
      </c>
      <c r="V789" s="2035">
        <v>0</v>
      </c>
      <c r="W789" s="2035">
        <v>50</v>
      </c>
      <c r="X789" s="2035">
        <v>0</v>
      </c>
      <c r="Y789" s="2035">
        <v>999</v>
      </c>
      <c r="Z789" s="2038">
        <v>660</v>
      </c>
      <c r="AA789" s="2038">
        <v>679</v>
      </c>
      <c r="AB789" s="2038">
        <v>0</v>
      </c>
      <c r="AC789" s="2038">
        <v>999999</v>
      </c>
      <c r="AD789" s="2035">
        <v>0</v>
      </c>
      <c r="AE789" s="2035">
        <v>70</v>
      </c>
      <c r="AF789" s="170">
        <v>0</v>
      </c>
      <c r="AG789" s="171">
        <v>1</v>
      </c>
      <c r="AH789" s="171">
        <v>1</v>
      </c>
      <c r="AI789" s="171">
        <v>0</v>
      </c>
      <c r="AJ789" s="171">
        <v>1</v>
      </c>
      <c r="AK789" s="171">
        <v>1</v>
      </c>
      <c r="AL789" s="171">
        <v>1</v>
      </c>
      <c r="AM789" s="171">
        <v>1</v>
      </c>
      <c r="AN789" s="171">
        <v>1</v>
      </c>
      <c r="AO789" s="171">
        <v>1</v>
      </c>
      <c r="AP789" s="171">
        <v>1</v>
      </c>
      <c r="AQ789" s="171">
        <v>1</v>
      </c>
      <c r="AR789" s="171">
        <v>1</v>
      </c>
      <c r="AS789" s="171">
        <v>1</v>
      </c>
      <c r="AT789" s="171">
        <v>1</v>
      </c>
      <c r="AU789" s="171">
        <f t="shared" si="324"/>
        <v>1</v>
      </c>
      <c r="AV789" s="171">
        <f t="shared" si="325"/>
        <v>1</v>
      </c>
      <c r="AW789" s="171">
        <f t="shared" si="326"/>
        <v>1</v>
      </c>
      <c r="AX789" s="171">
        <f t="shared" si="305"/>
        <v>1</v>
      </c>
      <c r="AY789" s="171">
        <f t="shared" si="327"/>
        <v>0</v>
      </c>
      <c r="AZ789" s="171">
        <f t="shared" si="328"/>
        <v>1</v>
      </c>
      <c r="BA789" s="172">
        <f t="shared" si="329"/>
        <v>1</v>
      </c>
      <c r="BB789" s="175">
        <f t="shared" si="332"/>
        <v>19</v>
      </c>
      <c r="BC789" s="176">
        <f t="shared" si="333"/>
        <v>18</v>
      </c>
      <c r="BD789" s="176">
        <f t="shared" si="334"/>
        <v>19</v>
      </c>
      <c r="BE789" s="240" t="str">
        <f t="shared" si="322"/>
        <v/>
      </c>
      <c r="BF789" s="234"/>
      <c r="BG789" s="234"/>
      <c r="BH789" s="214">
        <f>IF(AND(Input_Product=Elig!$C789,Elig_MatchAll_Ct&lt;22,$BC789=(Elig_MatchAll_Ct-1),AF789=0),C789,0)</f>
        <v>0</v>
      </c>
      <c r="BI789" s="214">
        <f>IF(AND(Input_Product=Elig!$C789,Elig_MatchAll_Ct&lt;22,$BC789=(Elig_MatchAll_Ct-1),AG789=0),D789,0)</f>
        <v>0</v>
      </c>
      <c r="BJ789" s="214">
        <f>IF(AND(Input_Product=Elig!$C789,Elig_MatchAll_Ct&lt;22,$BC789=(Elig_MatchAll_Ct-1),AH789=0),E789,0)</f>
        <v>0</v>
      </c>
      <c r="BK789" s="214">
        <f>IF(AND(Input_Product=Elig!$C789,Elig_MatchAll_Ct&lt;22,$BC789=(Elig_MatchAll_Ct-1),AI789=0),F789,0)</f>
        <v>0</v>
      </c>
      <c r="BL789" s="214">
        <f>IF(AND(Input_Product=Elig!$C789,Elig_MatchAll_Ct&lt;22,$BC789=(Elig_MatchAll_Ct-1),AJ789=0),G789,0)</f>
        <v>0</v>
      </c>
      <c r="BM789" s="214">
        <f>IF(AND(Input_Product=Elig!$C789,Elig_MatchAll_Ct&lt;22,$BC789=(Elig_MatchAll_Ct-1),AK789=0),H789,0)</f>
        <v>0</v>
      </c>
      <c r="BN789" s="214">
        <f>IF(AND(Input_Product=Elig!$C789,Elig_MatchAll_Ct&lt;22,$BC789=(Elig_MatchAll_Ct-1),AL789=0),I789,0)</f>
        <v>0</v>
      </c>
      <c r="BO789" s="214">
        <f>IF(AND(Input_Product=Elig!$C789,Elig_MatchAll_Ct&lt;22,$BC789=(Elig_MatchAll_Ct-1),AM789=0),J789,0)</f>
        <v>0</v>
      </c>
      <c r="BP789" s="214">
        <f>IF(AND(Input_Product=Elig!$C789,Elig_MatchAll_Ct&lt;22,$BC789=(Elig_MatchAll_Ct-1),AN789=0),K789,0)</f>
        <v>0</v>
      </c>
      <c r="BQ789" s="214">
        <f>IF(AND(Input_Product=Elig!$C789,Elig_MatchAll_Ct&lt;22,$BC789=(Elig_MatchAll_Ct-1),AP789=0),L789,0)</f>
        <v>0</v>
      </c>
      <c r="BR789" s="214">
        <f>IF(AND(Input_Product=Elig!$C789,Elig_MatchAll_Ct&lt;22,$BC789=(Elig_MatchAll_Ct-1),AO789=0),M789,0)</f>
        <v>0</v>
      </c>
      <c r="BS789" s="214">
        <f>IF(AND(Input_Product=Elig!$C789,Elig_MatchAll_Ct&lt;22,$BC789=(Elig_MatchAll_Ct-1),AQ789=0),N789,0)</f>
        <v>0</v>
      </c>
      <c r="BT789" s="214">
        <f>IF(AND(Input_Product=Elig!$C789,Elig_MatchAll_Ct&lt;22,$BC789=(Elig_MatchAll_Ct-1),AR789=0),O789,0)</f>
        <v>0</v>
      </c>
      <c r="BU789" s="214">
        <f>IF(AND(Input_Product=Elig!$C789,Elig_MatchAll_Ct&lt;22,$BC789=(Elig_MatchAll_Ct-1),AS789=0),P789,0)</f>
        <v>0</v>
      </c>
      <c r="BV789" s="215">
        <f>IF(AND(Input_Product=Elig!$C789,Elig_MatchAll_Ct&lt;22,$BC789=(Elig_MatchAll_Ct-1),AT789=0),Q789,0)</f>
        <v>0</v>
      </c>
      <c r="BW789" s="311">
        <f>IF(AND(Input_Product=Elig!$C789,Elig_MatchAll_Ct&lt;22,$BC789=(Elig_MatchAll_Ct-1),AU789=0),R789,0)</f>
        <v>0</v>
      </c>
      <c r="BX789" s="312">
        <f>IF(AND(Input_Product=Elig!$C789,Elig_MatchAll_Ct&lt;22,$BC789=(Elig_MatchAll_Ct-1),AU789=0),S789,0)</f>
        <v>0</v>
      </c>
      <c r="BY789" s="311">
        <f>IF(AND(Input_Product=Elig!$C789,Elig_MatchAll_Ct&lt;22,$BC789=(Elig_MatchAll_Ct-1),AV789=0),T789,0)</f>
        <v>0</v>
      </c>
      <c r="BZ789" s="312">
        <f>IF(AND(Input_Product=Elig!$C789,Elig_MatchAll_Ct&lt;22,$BC789=(Elig_MatchAll_Ct-1),AV789=0),U789,0)</f>
        <v>0</v>
      </c>
      <c r="CA789" s="311">
        <f>IF(AND(Input_Product=Elig!$C789,Elig_MatchAll_Ct&lt;22,$BC789=(Elig_MatchAll_Ct-1),AW789=0),V789,0)</f>
        <v>0</v>
      </c>
      <c r="CB789" s="312">
        <f>IF(AND(Input_Product=Elig!$C789,Elig_MatchAll_Ct&lt;22,$BC789=(Elig_MatchAll_Ct-1),AW789=0),W789,0)</f>
        <v>0</v>
      </c>
      <c r="CC789" s="311">
        <f>IF(AND(Input_Product=Elig!$C789,Elig_MatchAll_Ct&lt;22,$BC789=(Elig_MatchAll_Ct-1),AX789=0),X789,0)</f>
        <v>0</v>
      </c>
      <c r="CD789" s="312">
        <f>IF(AND(Input_Product=Elig!$C789,Elig_MatchAll_Ct&lt;22,$BC789=(Elig_MatchAll_Ct-1),AX789=0),Y789,0)</f>
        <v>0</v>
      </c>
      <c r="CE789" s="311">
        <f>IF(AND(Input_LTV&lt;=AE789,Input_Product=Elig!$C789,Elig_MatchAll_Ct&lt;22,$BC789=(Elig_MatchAll_Ct-1),AY789=0),Z789,0)</f>
        <v>0</v>
      </c>
      <c r="CF789" s="312">
        <f>IF(AND(Input_LTV&lt;=AE789,Input_Product=Elig!$C789,Elig_MatchAll_Ct&lt;22,$BC789=(Elig_MatchAll_Ct-1),AY789=0),AA789,0)</f>
        <v>0</v>
      </c>
      <c r="CG789" s="311">
        <f>IF(AND(Input_Product=Elig!$C789,Elig_MatchAll_Ct&lt;22,$BC789=(Elig_MatchAll_Ct-1),AZ789=0),AB789,0)</f>
        <v>0</v>
      </c>
      <c r="CH789" s="312">
        <f>IF(AND(Input_Product=Elig!$C789,Elig_MatchAll_Ct&lt;22,$BC789=(Elig_MatchAll_Ct-1),AZ789=0),AC789,0)</f>
        <v>0</v>
      </c>
      <c r="CI789" s="311">
        <f>IF(AND(Input_Product=Elig!$C789,Elig_MatchAll_Ct&lt;22,$BC789=(Elig_MatchAll_Ct-1),BA789=0),AD789,0)</f>
        <v>0</v>
      </c>
      <c r="CJ789" s="312">
        <f>IF(AND(Input_Product=Elig!$C789,Elig_MatchAll_Ct&lt;22,$BC789=(Elig_MatchAll_Ct-1),BA789=0),AE789,0)</f>
        <v>0</v>
      </c>
    </row>
    <row r="790" spans="2:88" ht="10.15" customHeight="1" x14ac:dyDescent="0.25">
      <c r="B790" s="2035" t="s">
        <v>3693</v>
      </c>
      <c r="C790" s="2040" t="str">
        <f t="shared" si="330"/>
        <v>Second NOO</v>
      </c>
      <c r="D790" s="2041" t="s">
        <v>1302</v>
      </c>
      <c r="E790" s="2041" t="s">
        <v>98</v>
      </c>
      <c r="F790" s="2041" t="s">
        <v>330</v>
      </c>
      <c r="G790" s="2041" t="s">
        <v>303</v>
      </c>
      <c r="H790" s="2041" t="s">
        <v>136</v>
      </c>
      <c r="I790" s="2039" t="s">
        <v>1332</v>
      </c>
      <c r="J790" s="2039" t="s">
        <v>1311</v>
      </c>
      <c r="K790" s="2041" t="s">
        <v>1790</v>
      </c>
      <c r="L790" s="2039" t="s">
        <v>430</v>
      </c>
      <c r="M790" s="2039" t="s">
        <v>2677</v>
      </c>
      <c r="N790" s="2041" t="s">
        <v>82</v>
      </c>
      <c r="O790" s="2039" t="s">
        <v>310</v>
      </c>
      <c r="P790" s="2039" t="s">
        <v>291</v>
      </c>
      <c r="Q790" s="2039" t="s">
        <v>294</v>
      </c>
      <c r="R790" s="2039">
        <v>200000</v>
      </c>
      <c r="S790" s="2039">
        <v>350000</v>
      </c>
      <c r="T790" s="2039">
        <v>0</v>
      </c>
      <c r="U790" s="2039">
        <f t="shared" si="331"/>
        <v>350000</v>
      </c>
      <c r="V790" s="2039">
        <v>0</v>
      </c>
      <c r="W790" s="2039">
        <v>50</v>
      </c>
      <c r="X790" s="2039">
        <v>0</v>
      </c>
      <c r="Y790" s="2039">
        <v>999</v>
      </c>
      <c r="Z790" s="2042">
        <v>720</v>
      </c>
      <c r="AA790" s="2042">
        <v>999</v>
      </c>
      <c r="AB790" s="2042">
        <v>0</v>
      </c>
      <c r="AC790" s="2042">
        <v>999999</v>
      </c>
      <c r="AD790" s="2039">
        <v>0</v>
      </c>
      <c r="AE790" s="2039">
        <v>80</v>
      </c>
      <c r="AF790" s="170">
        <v>0</v>
      </c>
      <c r="AG790" s="171">
        <v>0</v>
      </c>
      <c r="AH790" s="171">
        <v>1</v>
      </c>
      <c r="AI790" s="171">
        <v>0</v>
      </c>
      <c r="AJ790" s="171">
        <v>1</v>
      </c>
      <c r="AK790" s="171">
        <v>1</v>
      </c>
      <c r="AL790" s="171">
        <v>1</v>
      </c>
      <c r="AM790" s="171">
        <v>1</v>
      </c>
      <c r="AN790" s="171">
        <v>1</v>
      </c>
      <c r="AO790" s="171">
        <v>1</v>
      </c>
      <c r="AP790" s="171">
        <v>1</v>
      </c>
      <c r="AQ790" s="171">
        <v>1</v>
      </c>
      <c r="AR790" s="171">
        <v>1</v>
      </c>
      <c r="AS790" s="171">
        <v>1</v>
      </c>
      <c r="AT790" s="171">
        <v>1</v>
      </c>
      <c r="AU790" s="171">
        <f t="shared" si="324"/>
        <v>1</v>
      </c>
      <c r="AV790" s="171">
        <f t="shared" si="325"/>
        <v>1</v>
      </c>
      <c r="AW790" s="171">
        <f t="shared" si="326"/>
        <v>1</v>
      </c>
      <c r="AX790" s="171">
        <f t="shared" si="305"/>
        <v>1</v>
      </c>
      <c r="AY790" s="171">
        <f t="shared" si="327"/>
        <v>1</v>
      </c>
      <c r="AZ790" s="171">
        <f t="shared" si="328"/>
        <v>1</v>
      </c>
      <c r="BA790" s="172">
        <f t="shared" si="329"/>
        <v>1</v>
      </c>
      <c r="BB790" s="175">
        <f t="shared" si="332"/>
        <v>19</v>
      </c>
      <c r="BC790" s="176">
        <f t="shared" si="333"/>
        <v>18</v>
      </c>
      <c r="BD790" s="176">
        <f t="shared" si="334"/>
        <v>19</v>
      </c>
      <c r="BE790" s="240" t="str">
        <f t="shared" si="322"/>
        <v/>
      </c>
      <c r="BF790" s="220"/>
      <c r="BG790" s="220"/>
      <c r="BH790" s="216">
        <f>IF(AND(Input_Product=Elig!$C790,Elig_MatchAll_Ct&lt;22,$BC790=(Elig_MatchAll_Ct-1),AF790=0),C790,0)</f>
        <v>0</v>
      </c>
      <c r="BI790" s="216">
        <f>IF(AND(Input_Product=Elig!$C790,Elig_MatchAll_Ct&lt;22,$BC790=(Elig_MatchAll_Ct-1),AG790=0),D790,0)</f>
        <v>0</v>
      </c>
      <c r="BJ790" s="216">
        <f>IF(AND(Input_Product=Elig!$C790,Elig_MatchAll_Ct&lt;22,$BC790=(Elig_MatchAll_Ct-1),AH790=0),E790,0)</f>
        <v>0</v>
      </c>
      <c r="BK790" s="216">
        <f>IF(AND(Input_Product=Elig!$C790,Elig_MatchAll_Ct&lt;22,$BC790=(Elig_MatchAll_Ct-1),AI790=0),F790,0)</f>
        <v>0</v>
      </c>
      <c r="BL790" s="216">
        <f>IF(AND(Input_Product=Elig!$C790,Elig_MatchAll_Ct&lt;22,$BC790=(Elig_MatchAll_Ct-1),AJ790=0),G790,0)</f>
        <v>0</v>
      </c>
      <c r="BM790" s="216">
        <f>IF(AND(Input_Product=Elig!$C790,Elig_MatchAll_Ct&lt;22,$BC790=(Elig_MatchAll_Ct-1),AK790=0),H790,0)</f>
        <v>0</v>
      </c>
      <c r="BN790" s="216">
        <f>IF(AND(Input_Product=Elig!$C790,Elig_MatchAll_Ct&lt;22,$BC790=(Elig_MatchAll_Ct-1),AL790=0),I790,0)</f>
        <v>0</v>
      </c>
      <c r="BO790" s="216">
        <f>IF(AND(Input_Product=Elig!$C790,Elig_MatchAll_Ct&lt;22,$BC790=(Elig_MatchAll_Ct-1),AM790=0),J790,0)</f>
        <v>0</v>
      </c>
      <c r="BP790" s="216">
        <f>IF(AND(Input_Product=Elig!$C790,Elig_MatchAll_Ct&lt;22,$BC790=(Elig_MatchAll_Ct-1),AN790=0),K790,0)</f>
        <v>0</v>
      </c>
      <c r="BQ790" s="216">
        <f>IF(AND(Input_Product=Elig!$C790,Elig_MatchAll_Ct&lt;22,$BC790=(Elig_MatchAll_Ct-1),AP790=0),L790,0)</f>
        <v>0</v>
      </c>
      <c r="BR790" s="216">
        <f>IF(AND(Input_Product=Elig!$C790,Elig_MatchAll_Ct&lt;22,$BC790=(Elig_MatchAll_Ct-1),AO790=0),M790,0)</f>
        <v>0</v>
      </c>
      <c r="BS790" s="216">
        <f>IF(AND(Input_Product=Elig!$C790,Elig_MatchAll_Ct&lt;22,$BC790=(Elig_MatchAll_Ct-1),AQ790=0),N790,0)</f>
        <v>0</v>
      </c>
      <c r="BT790" s="216">
        <f>IF(AND(Input_Product=Elig!$C790,Elig_MatchAll_Ct&lt;22,$BC790=(Elig_MatchAll_Ct-1),AR790=0),O790,0)</f>
        <v>0</v>
      </c>
      <c r="BU790" s="216">
        <f>IF(AND(Input_Product=Elig!$C790,Elig_MatchAll_Ct&lt;22,$BC790=(Elig_MatchAll_Ct-1),AS790=0),P790,0)</f>
        <v>0</v>
      </c>
      <c r="BV790" s="217">
        <f>IF(AND(Input_Product=Elig!$C790,Elig_MatchAll_Ct&lt;22,$BC790=(Elig_MatchAll_Ct-1),AT790=0),Q790,0)</f>
        <v>0</v>
      </c>
      <c r="BW790" s="313">
        <f>IF(AND(Input_Product=Elig!$C790,Elig_MatchAll_Ct&lt;22,$BC790=(Elig_MatchAll_Ct-1),AU790=0),R790,0)</f>
        <v>0</v>
      </c>
      <c r="BX790" s="314">
        <f>IF(AND(Input_Product=Elig!$C790,Elig_MatchAll_Ct&lt;22,$BC790=(Elig_MatchAll_Ct-1),AU790=0),S790,0)</f>
        <v>0</v>
      </c>
      <c r="BY790" s="313">
        <f>IF(AND(Input_Product=Elig!$C790,Elig_MatchAll_Ct&lt;22,$BC790=(Elig_MatchAll_Ct-1),AV790=0),T790,0)</f>
        <v>0</v>
      </c>
      <c r="BZ790" s="314">
        <f>IF(AND(Input_Product=Elig!$C790,Elig_MatchAll_Ct&lt;22,$BC790=(Elig_MatchAll_Ct-1),AV790=0),U790,0)</f>
        <v>0</v>
      </c>
      <c r="CA790" s="313">
        <f>IF(AND(Input_Product=Elig!$C790,Elig_MatchAll_Ct&lt;22,$BC790=(Elig_MatchAll_Ct-1),AW790=0),V790,0)</f>
        <v>0</v>
      </c>
      <c r="CB790" s="314">
        <f>IF(AND(Input_Product=Elig!$C790,Elig_MatchAll_Ct&lt;22,$BC790=(Elig_MatchAll_Ct-1),AW790=0),W790,0)</f>
        <v>0</v>
      </c>
      <c r="CC790" s="313">
        <f>IF(AND(Input_Product=Elig!$C790,Elig_MatchAll_Ct&lt;22,$BC790=(Elig_MatchAll_Ct-1),AX790=0),X790,0)</f>
        <v>0</v>
      </c>
      <c r="CD790" s="314">
        <f>IF(AND(Input_Product=Elig!$C790,Elig_MatchAll_Ct&lt;22,$BC790=(Elig_MatchAll_Ct-1),AX790=0),Y790,0)</f>
        <v>0</v>
      </c>
      <c r="CE790" s="313">
        <f>IF(AND(Input_LTV&lt;=AE790,Input_Product=Elig!$C790,Elig_MatchAll_Ct&lt;22,$BC790=(Elig_MatchAll_Ct-1),AY790=0),Z790,0)</f>
        <v>0</v>
      </c>
      <c r="CF790" s="314">
        <f>IF(AND(Input_LTV&lt;=AE790,Input_Product=Elig!$C790,Elig_MatchAll_Ct&lt;22,$BC790=(Elig_MatchAll_Ct-1),AY790=0),AA790,0)</f>
        <v>0</v>
      </c>
      <c r="CG790" s="313">
        <f>IF(AND(Input_Product=Elig!$C790,Elig_MatchAll_Ct&lt;22,$BC790=(Elig_MatchAll_Ct-1),AZ790=0),AB790,0)</f>
        <v>0</v>
      </c>
      <c r="CH790" s="314">
        <f>IF(AND(Input_Product=Elig!$C790,Elig_MatchAll_Ct&lt;22,$BC790=(Elig_MatchAll_Ct-1),AZ790=0),AC790,0)</f>
        <v>0</v>
      </c>
      <c r="CI790" s="313">
        <f>IF(AND(Input_Product=Elig!$C790,Elig_MatchAll_Ct&lt;22,$BC790=(Elig_MatchAll_Ct-1),BA790=0),AD790,0)</f>
        <v>0</v>
      </c>
      <c r="CJ790" s="314">
        <f>IF(AND(Input_Product=Elig!$C790,Elig_MatchAll_Ct&lt;22,$BC790=(Elig_MatchAll_Ct-1),BA790=0),AE790,0)</f>
        <v>0</v>
      </c>
    </row>
    <row r="791" spans="2:88" ht="10.15" customHeight="1" x14ac:dyDescent="0.25">
      <c r="B791" s="2035" t="s">
        <v>3694</v>
      </c>
      <c r="C791" s="2036" t="str">
        <f t="shared" si="330"/>
        <v>Second NOO</v>
      </c>
      <c r="D791" s="2035" t="s">
        <v>1302</v>
      </c>
      <c r="E791" s="2035" t="s">
        <v>98</v>
      </c>
      <c r="F791" s="2035" t="s">
        <v>330</v>
      </c>
      <c r="G791" s="2037" t="s">
        <v>303</v>
      </c>
      <c r="H791" s="2037" t="s">
        <v>136</v>
      </c>
      <c r="I791" s="2035" t="s">
        <v>1332</v>
      </c>
      <c r="J791" s="2035" t="s">
        <v>1311</v>
      </c>
      <c r="K791" s="2037" t="s">
        <v>1790</v>
      </c>
      <c r="L791" s="2035" t="s">
        <v>430</v>
      </c>
      <c r="M791" s="2035" t="s">
        <v>2677</v>
      </c>
      <c r="N791" s="2037" t="s">
        <v>82</v>
      </c>
      <c r="O791" s="2035" t="s">
        <v>310</v>
      </c>
      <c r="P791" s="2035" t="s">
        <v>291</v>
      </c>
      <c r="Q791" s="2035" t="s">
        <v>294</v>
      </c>
      <c r="R791" s="2035">
        <v>200000</v>
      </c>
      <c r="S791" s="2035">
        <v>350000</v>
      </c>
      <c r="T791" s="2035">
        <v>0</v>
      </c>
      <c r="U791" s="2035">
        <f t="shared" si="331"/>
        <v>350000</v>
      </c>
      <c r="V791" s="2035">
        <v>0</v>
      </c>
      <c r="W791" s="2035">
        <v>50</v>
      </c>
      <c r="X791" s="2035">
        <v>0</v>
      </c>
      <c r="Y791" s="2035">
        <v>999</v>
      </c>
      <c r="Z791" s="2038">
        <v>700</v>
      </c>
      <c r="AA791" s="2038">
        <v>719</v>
      </c>
      <c r="AB791" s="2038">
        <v>0</v>
      </c>
      <c r="AC791" s="2038">
        <v>999999</v>
      </c>
      <c r="AD791" s="2035">
        <v>0</v>
      </c>
      <c r="AE791" s="2035">
        <v>80</v>
      </c>
      <c r="AF791" s="170">
        <v>0</v>
      </c>
      <c r="AG791" s="171">
        <v>0</v>
      </c>
      <c r="AH791" s="171">
        <v>1</v>
      </c>
      <c r="AI791" s="171">
        <v>0</v>
      </c>
      <c r="AJ791" s="171">
        <v>1</v>
      </c>
      <c r="AK791" s="171">
        <v>1</v>
      </c>
      <c r="AL791" s="171">
        <v>1</v>
      </c>
      <c r="AM791" s="171">
        <v>1</v>
      </c>
      <c r="AN791" s="171">
        <v>1</v>
      </c>
      <c r="AO791" s="171">
        <v>1</v>
      </c>
      <c r="AP791" s="171">
        <v>1</v>
      </c>
      <c r="AQ791" s="171">
        <v>1</v>
      </c>
      <c r="AR791" s="171">
        <v>1</v>
      </c>
      <c r="AS791" s="171">
        <v>1</v>
      </c>
      <c r="AT791" s="171">
        <v>1</v>
      </c>
      <c r="AU791" s="171">
        <f t="shared" si="324"/>
        <v>1</v>
      </c>
      <c r="AV791" s="171">
        <f t="shared" si="325"/>
        <v>1</v>
      </c>
      <c r="AW791" s="171">
        <f t="shared" si="326"/>
        <v>1</v>
      </c>
      <c r="AX791" s="171">
        <f t="shared" si="305"/>
        <v>1</v>
      </c>
      <c r="AY791" s="171">
        <f t="shared" si="327"/>
        <v>0</v>
      </c>
      <c r="AZ791" s="171">
        <f t="shared" si="328"/>
        <v>1</v>
      </c>
      <c r="BA791" s="172">
        <f t="shared" si="329"/>
        <v>1</v>
      </c>
      <c r="BB791" s="175">
        <f t="shared" si="332"/>
        <v>18</v>
      </c>
      <c r="BC791" s="176">
        <f t="shared" si="333"/>
        <v>17</v>
      </c>
      <c r="BD791" s="176">
        <f t="shared" si="334"/>
        <v>18</v>
      </c>
      <c r="BE791" s="240" t="str">
        <f t="shared" si="322"/>
        <v/>
      </c>
      <c r="BF791" s="234"/>
      <c r="BG791" s="234"/>
      <c r="BH791" s="199">
        <f>IF(AND(Input_Product=Elig!$C791,Elig_MatchAll_Ct&lt;22,$BC791=(Elig_MatchAll_Ct-1),AF791=0),C791,0)</f>
        <v>0</v>
      </c>
      <c r="BI791" s="199">
        <f>IF(AND(Input_Product=Elig!$C791,Elig_MatchAll_Ct&lt;22,$BC791=(Elig_MatchAll_Ct-1),AG791=0),D791,0)</f>
        <v>0</v>
      </c>
      <c r="BJ791" s="199">
        <f>IF(AND(Input_Product=Elig!$C791,Elig_MatchAll_Ct&lt;22,$BC791=(Elig_MatchAll_Ct-1),AH791=0),E791,0)</f>
        <v>0</v>
      </c>
      <c r="BK791" s="199">
        <f>IF(AND(Input_Product=Elig!$C791,Elig_MatchAll_Ct&lt;22,$BC791=(Elig_MatchAll_Ct-1),AI791=0),F791,0)</f>
        <v>0</v>
      </c>
      <c r="BL791" s="199">
        <f>IF(AND(Input_Product=Elig!$C791,Elig_MatchAll_Ct&lt;22,$BC791=(Elig_MatchAll_Ct-1),AJ791=0),G791,0)</f>
        <v>0</v>
      </c>
      <c r="BM791" s="199">
        <f>IF(AND(Input_Product=Elig!$C791,Elig_MatchAll_Ct&lt;22,$BC791=(Elig_MatchAll_Ct-1),AK791=0),H791,0)</f>
        <v>0</v>
      </c>
      <c r="BN791" s="199">
        <f>IF(AND(Input_Product=Elig!$C791,Elig_MatchAll_Ct&lt;22,$BC791=(Elig_MatchAll_Ct-1),AL791=0),I791,0)</f>
        <v>0</v>
      </c>
      <c r="BO791" s="199">
        <f>IF(AND(Input_Product=Elig!$C791,Elig_MatchAll_Ct&lt;22,$BC791=(Elig_MatchAll_Ct-1),AM791=0),J791,0)</f>
        <v>0</v>
      </c>
      <c r="BP791" s="199">
        <f>IF(AND(Input_Product=Elig!$C791,Elig_MatchAll_Ct&lt;22,$BC791=(Elig_MatchAll_Ct-1),AN791=0),K791,0)</f>
        <v>0</v>
      </c>
      <c r="BQ791" s="199">
        <f>IF(AND(Input_Product=Elig!$C791,Elig_MatchAll_Ct&lt;22,$BC791=(Elig_MatchAll_Ct-1),AP791=0),L791,0)</f>
        <v>0</v>
      </c>
      <c r="BR791" s="199">
        <f>IF(AND(Input_Product=Elig!$C791,Elig_MatchAll_Ct&lt;22,$BC791=(Elig_MatchAll_Ct-1),AO791=0),M791,0)</f>
        <v>0</v>
      </c>
      <c r="BS791" s="199">
        <f>IF(AND(Input_Product=Elig!$C791,Elig_MatchAll_Ct&lt;22,$BC791=(Elig_MatchAll_Ct-1),AQ791=0),N791,0)</f>
        <v>0</v>
      </c>
      <c r="BT791" s="199">
        <f>IF(AND(Input_Product=Elig!$C791,Elig_MatchAll_Ct&lt;22,$BC791=(Elig_MatchAll_Ct-1),AR791=0),O791,0)</f>
        <v>0</v>
      </c>
      <c r="BU791" s="199">
        <f>IF(AND(Input_Product=Elig!$C791,Elig_MatchAll_Ct&lt;22,$BC791=(Elig_MatchAll_Ct-1),AS791=0),P791,0)</f>
        <v>0</v>
      </c>
      <c r="BV791" s="200">
        <f>IF(AND(Input_Product=Elig!$C791,Elig_MatchAll_Ct&lt;22,$BC791=(Elig_MatchAll_Ct-1),AT791=0),Q791,0)</f>
        <v>0</v>
      </c>
      <c r="BW791" s="201">
        <f>IF(AND(Input_Product=Elig!$C791,Elig_MatchAll_Ct&lt;22,$BC791=(Elig_MatchAll_Ct-1),AU791=0),R791,0)</f>
        <v>0</v>
      </c>
      <c r="BX791" s="202">
        <f>IF(AND(Input_Product=Elig!$C791,Elig_MatchAll_Ct&lt;22,$BC791=(Elig_MatchAll_Ct-1),AU791=0),S791,0)</f>
        <v>0</v>
      </c>
      <c r="BY791" s="201">
        <f>IF(AND(Input_Product=Elig!$C791,Elig_MatchAll_Ct&lt;22,$BC791=(Elig_MatchAll_Ct-1),AV791=0),T791,0)</f>
        <v>0</v>
      </c>
      <c r="BZ791" s="202">
        <f>IF(AND(Input_Product=Elig!$C791,Elig_MatchAll_Ct&lt;22,$BC791=(Elig_MatchAll_Ct-1),AV791=0),U791,0)</f>
        <v>0</v>
      </c>
      <c r="CA791" s="201">
        <f>IF(AND(Input_Product=Elig!$C791,Elig_MatchAll_Ct&lt;22,$BC791=(Elig_MatchAll_Ct-1),AW791=0),V791,0)</f>
        <v>0</v>
      </c>
      <c r="CB791" s="202">
        <f>IF(AND(Input_Product=Elig!$C791,Elig_MatchAll_Ct&lt;22,$BC791=(Elig_MatchAll_Ct-1),AW791=0),W791,0)</f>
        <v>0</v>
      </c>
      <c r="CC791" s="201">
        <f>IF(AND(Input_Product=Elig!$C791,Elig_MatchAll_Ct&lt;22,$BC791=(Elig_MatchAll_Ct-1),AX791=0),X791,0)</f>
        <v>0</v>
      </c>
      <c r="CD791" s="202">
        <f>IF(AND(Input_Product=Elig!$C791,Elig_MatchAll_Ct&lt;22,$BC791=(Elig_MatchAll_Ct-1),AX791=0),Y791,0)</f>
        <v>0</v>
      </c>
      <c r="CE791" s="201">
        <f>IF(AND(Input_LTV&lt;=AE791,Input_Product=Elig!$C791,Elig_MatchAll_Ct&lt;22,$BC791=(Elig_MatchAll_Ct-1),AY791=0),Z791,0)</f>
        <v>0</v>
      </c>
      <c r="CF791" s="202">
        <f>IF(AND(Input_LTV&lt;=AE791,Input_Product=Elig!$C791,Elig_MatchAll_Ct&lt;22,$BC791=(Elig_MatchAll_Ct-1),AY791=0),AA791,0)</f>
        <v>0</v>
      </c>
      <c r="CG791" s="201">
        <f>IF(AND(Input_Product=Elig!$C791,Elig_MatchAll_Ct&lt;22,$BC791=(Elig_MatchAll_Ct-1),AZ791=0),AB791,0)</f>
        <v>0</v>
      </c>
      <c r="CH791" s="202">
        <f>IF(AND(Input_Product=Elig!$C791,Elig_MatchAll_Ct&lt;22,$BC791=(Elig_MatchAll_Ct-1),AZ791=0),AC791,0)</f>
        <v>0</v>
      </c>
      <c r="CI791" s="201">
        <f>IF(AND(Input_Product=Elig!$C791,Elig_MatchAll_Ct&lt;22,$BC791=(Elig_MatchAll_Ct-1),BA791=0),AD791,0)</f>
        <v>0</v>
      </c>
      <c r="CJ791" s="202">
        <f>IF(AND(Input_Product=Elig!$C791,Elig_MatchAll_Ct&lt;22,$BC791=(Elig_MatchAll_Ct-1),BA791=0),AE791,0)</f>
        <v>0</v>
      </c>
    </row>
    <row r="792" spans="2:88" ht="10.15" customHeight="1" x14ac:dyDescent="0.25">
      <c r="B792" s="2035" t="s">
        <v>3695</v>
      </c>
      <c r="C792" s="2036" t="str">
        <f t="shared" si="330"/>
        <v>Second NOO</v>
      </c>
      <c r="D792" s="2035" t="s">
        <v>1302</v>
      </c>
      <c r="E792" s="2035" t="s">
        <v>98</v>
      </c>
      <c r="F792" s="2035" t="s">
        <v>330</v>
      </c>
      <c r="G792" s="2037" t="s">
        <v>303</v>
      </c>
      <c r="H792" s="2037" t="s">
        <v>136</v>
      </c>
      <c r="I792" s="2035" t="s">
        <v>1332</v>
      </c>
      <c r="J792" s="2035" t="s">
        <v>1311</v>
      </c>
      <c r="K792" s="2037" t="s">
        <v>1790</v>
      </c>
      <c r="L792" s="2035" t="s">
        <v>430</v>
      </c>
      <c r="M792" s="2035" t="s">
        <v>2677</v>
      </c>
      <c r="N792" s="2037" t="s">
        <v>82</v>
      </c>
      <c r="O792" s="2035" t="s">
        <v>310</v>
      </c>
      <c r="P792" s="2035" t="s">
        <v>291</v>
      </c>
      <c r="Q792" s="2035" t="s">
        <v>294</v>
      </c>
      <c r="R792" s="2035">
        <v>200000</v>
      </c>
      <c r="S792" s="2035">
        <v>350000</v>
      </c>
      <c r="T792" s="2035">
        <v>0</v>
      </c>
      <c r="U792" s="2035">
        <f t="shared" si="331"/>
        <v>350000</v>
      </c>
      <c r="V792" s="2035">
        <v>0</v>
      </c>
      <c r="W792" s="2035">
        <v>50</v>
      </c>
      <c r="X792" s="2035">
        <v>0</v>
      </c>
      <c r="Y792" s="2035">
        <v>999</v>
      </c>
      <c r="Z792" s="2038">
        <v>680</v>
      </c>
      <c r="AA792" s="2038">
        <v>699</v>
      </c>
      <c r="AB792" s="2038">
        <v>0</v>
      </c>
      <c r="AC792" s="2038">
        <v>999999</v>
      </c>
      <c r="AD792" s="2035">
        <v>0</v>
      </c>
      <c r="AE792" s="2035">
        <v>75</v>
      </c>
      <c r="AF792" s="170">
        <v>0</v>
      </c>
      <c r="AG792" s="171">
        <v>0</v>
      </c>
      <c r="AH792" s="171">
        <v>1</v>
      </c>
      <c r="AI792" s="171">
        <v>0</v>
      </c>
      <c r="AJ792" s="171">
        <v>1</v>
      </c>
      <c r="AK792" s="171">
        <v>1</v>
      </c>
      <c r="AL792" s="171">
        <v>1</v>
      </c>
      <c r="AM792" s="171">
        <v>1</v>
      </c>
      <c r="AN792" s="171">
        <v>1</v>
      </c>
      <c r="AO792" s="171">
        <v>1</v>
      </c>
      <c r="AP792" s="171">
        <v>1</v>
      </c>
      <c r="AQ792" s="171">
        <v>1</v>
      </c>
      <c r="AR792" s="171">
        <v>1</v>
      </c>
      <c r="AS792" s="171">
        <v>1</v>
      </c>
      <c r="AT792" s="171">
        <v>1</v>
      </c>
      <c r="AU792" s="171">
        <f t="shared" si="324"/>
        <v>1</v>
      </c>
      <c r="AV792" s="171">
        <f t="shared" si="325"/>
        <v>1</v>
      </c>
      <c r="AW792" s="171">
        <f t="shared" si="326"/>
        <v>1</v>
      </c>
      <c r="AX792" s="171">
        <f t="shared" ref="AX792:AX878" si="335">IF(AND(Input_DSCR&gt;=Elig_DSCR_Min,Input_DSCR&lt;=Elig_DSCR_Max),1,0)</f>
        <v>1</v>
      </c>
      <c r="AY792" s="171">
        <f t="shared" si="327"/>
        <v>0</v>
      </c>
      <c r="AZ792" s="171">
        <f t="shared" si="328"/>
        <v>1</v>
      </c>
      <c r="BA792" s="172">
        <f t="shared" si="329"/>
        <v>1</v>
      </c>
      <c r="BB792" s="175">
        <f t="shared" si="332"/>
        <v>18</v>
      </c>
      <c r="BC792" s="176">
        <f t="shared" si="333"/>
        <v>17</v>
      </c>
      <c r="BD792" s="176">
        <f t="shared" si="334"/>
        <v>18</v>
      </c>
      <c r="BE792" s="240" t="str">
        <f t="shared" si="322"/>
        <v/>
      </c>
      <c r="BF792" s="234"/>
      <c r="BG792" s="234"/>
      <c r="BH792" s="199">
        <f>IF(AND(Input_Product=Elig!$C792,Elig_MatchAll_Ct&lt;22,$BC792=(Elig_MatchAll_Ct-1),AF792=0),C792,0)</f>
        <v>0</v>
      </c>
      <c r="BI792" s="199">
        <f>IF(AND(Input_Product=Elig!$C792,Elig_MatchAll_Ct&lt;22,$BC792=(Elig_MatchAll_Ct-1),AG792=0),D792,0)</f>
        <v>0</v>
      </c>
      <c r="BJ792" s="199">
        <f>IF(AND(Input_Product=Elig!$C792,Elig_MatchAll_Ct&lt;22,$BC792=(Elig_MatchAll_Ct-1),AH792=0),E792,0)</f>
        <v>0</v>
      </c>
      <c r="BK792" s="199">
        <f>IF(AND(Input_Product=Elig!$C792,Elig_MatchAll_Ct&lt;22,$BC792=(Elig_MatchAll_Ct-1),AI792=0),F792,0)</f>
        <v>0</v>
      </c>
      <c r="BL792" s="199">
        <f>IF(AND(Input_Product=Elig!$C792,Elig_MatchAll_Ct&lt;22,$BC792=(Elig_MatchAll_Ct-1),AJ792=0),G792,0)</f>
        <v>0</v>
      </c>
      <c r="BM792" s="199">
        <f>IF(AND(Input_Product=Elig!$C792,Elig_MatchAll_Ct&lt;22,$BC792=(Elig_MatchAll_Ct-1),AK792=0),H792,0)</f>
        <v>0</v>
      </c>
      <c r="BN792" s="199">
        <f>IF(AND(Input_Product=Elig!$C792,Elig_MatchAll_Ct&lt;22,$BC792=(Elig_MatchAll_Ct-1),AL792=0),I792,0)</f>
        <v>0</v>
      </c>
      <c r="BO792" s="199">
        <f>IF(AND(Input_Product=Elig!$C792,Elig_MatchAll_Ct&lt;22,$BC792=(Elig_MatchAll_Ct-1),AM792=0),J792,0)</f>
        <v>0</v>
      </c>
      <c r="BP792" s="199">
        <f>IF(AND(Input_Product=Elig!$C792,Elig_MatchAll_Ct&lt;22,$BC792=(Elig_MatchAll_Ct-1),AN792=0),K792,0)</f>
        <v>0</v>
      </c>
      <c r="BQ792" s="199">
        <f>IF(AND(Input_Product=Elig!$C792,Elig_MatchAll_Ct&lt;22,$BC792=(Elig_MatchAll_Ct-1),AP792=0),L792,0)</f>
        <v>0</v>
      </c>
      <c r="BR792" s="199">
        <f>IF(AND(Input_Product=Elig!$C792,Elig_MatchAll_Ct&lt;22,$BC792=(Elig_MatchAll_Ct-1),AO792=0),M792,0)</f>
        <v>0</v>
      </c>
      <c r="BS792" s="199">
        <f>IF(AND(Input_Product=Elig!$C792,Elig_MatchAll_Ct&lt;22,$BC792=(Elig_MatchAll_Ct-1),AQ792=0),N792,0)</f>
        <v>0</v>
      </c>
      <c r="BT792" s="199">
        <f>IF(AND(Input_Product=Elig!$C792,Elig_MatchAll_Ct&lt;22,$BC792=(Elig_MatchAll_Ct-1),AR792=0),O792,0)</f>
        <v>0</v>
      </c>
      <c r="BU792" s="199">
        <f>IF(AND(Input_Product=Elig!$C792,Elig_MatchAll_Ct&lt;22,$BC792=(Elig_MatchAll_Ct-1),AS792=0),P792,0)</f>
        <v>0</v>
      </c>
      <c r="BV792" s="200">
        <f>IF(AND(Input_Product=Elig!$C792,Elig_MatchAll_Ct&lt;22,$BC792=(Elig_MatchAll_Ct-1),AT792=0),Q792,0)</f>
        <v>0</v>
      </c>
      <c r="BW792" s="201">
        <f>IF(AND(Input_Product=Elig!$C792,Elig_MatchAll_Ct&lt;22,$BC792=(Elig_MatchAll_Ct-1),AU792=0),R792,0)</f>
        <v>0</v>
      </c>
      <c r="BX792" s="202">
        <f>IF(AND(Input_Product=Elig!$C792,Elig_MatchAll_Ct&lt;22,$BC792=(Elig_MatchAll_Ct-1),AU792=0),S792,0)</f>
        <v>0</v>
      </c>
      <c r="BY792" s="201">
        <f>IF(AND(Input_Product=Elig!$C792,Elig_MatchAll_Ct&lt;22,$BC792=(Elig_MatchAll_Ct-1),AV792=0),T792,0)</f>
        <v>0</v>
      </c>
      <c r="BZ792" s="202">
        <f>IF(AND(Input_Product=Elig!$C792,Elig_MatchAll_Ct&lt;22,$BC792=(Elig_MatchAll_Ct-1),AV792=0),U792,0)</f>
        <v>0</v>
      </c>
      <c r="CA792" s="201">
        <f>IF(AND(Input_Product=Elig!$C792,Elig_MatchAll_Ct&lt;22,$BC792=(Elig_MatchAll_Ct-1),AW792=0),V792,0)</f>
        <v>0</v>
      </c>
      <c r="CB792" s="202">
        <f>IF(AND(Input_Product=Elig!$C792,Elig_MatchAll_Ct&lt;22,$BC792=(Elig_MatchAll_Ct-1),AW792=0),W792,0)</f>
        <v>0</v>
      </c>
      <c r="CC792" s="201">
        <f>IF(AND(Input_Product=Elig!$C792,Elig_MatchAll_Ct&lt;22,$BC792=(Elig_MatchAll_Ct-1),AX792=0),X792,0)</f>
        <v>0</v>
      </c>
      <c r="CD792" s="202">
        <f>IF(AND(Input_Product=Elig!$C792,Elig_MatchAll_Ct&lt;22,$BC792=(Elig_MatchAll_Ct-1),AX792=0),Y792,0)</f>
        <v>0</v>
      </c>
      <c r="CE792" s="201">
        <f>IF(AND(Input_LTV&lt;=AE792,Input_Product=Elig!$C792,Elig_MatchAll_Ct&lt;22,$BC792=(Elig_MatchAll_Ct-1),AY792=0),Z792,0)</f>
        <v>0</v>
      </c>
      <c r="CF792" s="202">
        <f>IF(AND(Input_LTV&lt;=AE792,Input_Product=Elig!$C792,Elig_MatchAll_Ct&lt;22,$BC792=(Elig_MatchAll_Ct-1),AY792=0),AA792,0)</f>
        <v>0</v>
      </c>
      <c r="CG792" s="201">
        <f>IF(AND(Input_Product=Elig!$C792,Elig_MatchAll_Ct&lt;22,$BC792=(Elig_MatchAll_Ct-1),AZ792=0),AB792,0)</f>
        <v>0</v>
      </c>
      <c r="CH792" s="202">
        <f>IF(AND(Input_Product=Elig!$C792,Elig_MatchAll_Ct&lt;22,$BC792=(Elig_MatchAll_Ct-1),AZ792=0),AC792,0)</f>
        <v>0</v>
      </c>
      <c r="CI792" s="201">
        <f>IF(AND(Input_Product=Elig!$C792,Elig_MatchAll_Ct&lt;22,$BC792=(Elig_MatchAll_Ct-1),BA792=0),AD792,0)</f>
        <v>0</v>
      </c>
      <c r="CJ792" s="202">
        <f>IF(AND(Input_Product=Elig!$C792,Elig_MatchAll_Ct&lt;22,$BC792=(Elig_MatchAll_Ct-1),BA792=0),AE792,0)</f>
        <v>0</v>
      </c>
    </row>
    <row r="793" spans="2:88" ht="10.15" customHeight="1" x14ac:dyDescent="0.25">
      <c r="B793" s="2035" t="s">
        <v>3696</v>
      </c>
      <c r="C793" s="2036" t="str">
        <f t="shared" si="330"/>
        <v>Second NOO</v>
      </c>
      <c r="D793" s="2035" t="s">
        <v>1302</v>
      </c>
      <c r="E793" s="2035" t="s">
        <v>98</v>
      </c>
      <c r="F793" s="2035" t="s">
        <v>330</v>
      </c>
      <c r="G793" s="2037" t="s">
        <v>303</v>
      </c>
      <c r="H793" s="2037" t="s">
        <v>136</v>
      </c>
      <c r="I793" s="2035" t="s">
        <v>1332</v>
      </c>
      <c r="J793" s="2035" t="s">
        <v>1311</v>
      </c>
      <c r="K793" s="2037" t="s">
        <v>1790</v>
      </c>
      <c r="L793" s="2035" t="s">
        <v>430</v>
      </c>
      <c r="M793" s="2035" t="s">
        <v>2677</v>
      </c>
      <c r="N793" s="2037" t="s">
        <v>82</v>
      </c>
      <c r="O793" s="2035" t="s">
        <v>310</v>
      </c>
      <c r="P793" s="2035" t="s">
        <v>291</v>
      </c>
      <c r="Q793" s="2035" t="s">
        <v>294</v>
      </c>
      <c r="R793" s="2035">
        <v>200000</v>
      </c>
      <c r="S793" s="2035">
        <v>350000</v>
      </c>
      <c r="T793" s="2035">
        <v>0</v>
      </c>
      <c r="U793" s="2035">
        <f t="shared" si="331"/>
        <v>350000</v>
      </c>
      <c r="V793" s="2035">
        <v>0</v>
      </c>
      <c r="W793" s="2035">
        <v>50</v>
      </c>
      <c r="X793" s="2035">
        <v>0</v>
      </c>
      <c r="Y793" s="2035">
        <v>999</v>
      </c>
      <c r="Z793" s="2038">
        <v>660</v>
      </c>
      <c r="AA793" s="2038">
        <v>679</v>
      </c>
      <c r="AB793" s="2038">
        <v>0</v>
      </c>
      <c r="AC793" s="2038">
        <v>999999</v>
      </c>
      <c r="AD793" s="2035">
        <v>0</v>
      </c>
      <c r="AE793" s="2035">
        <v>70</v>
      </c>
      <c r="AF793" s="170">
        <v>0</v>
      </c>
      <c r="AG793" s="171">
        <v>0</v>
      </c>
      <c r="AH793" s="171">
        <v>1</v>
      </c>
      <c r="AI793" s="171">
        <v>0</v>
      </c>
      <c r="AJ793" s="171">
        <v>1</v>
      </c>
      <c r="AK793" s="171">
        <v>1</v>
      </c>
      <c r="AL793" s="171">
        <v>1</v>
      </c>
      <c r="AM793" s="171">
        <v>1</v>
      </c>
      <c r="AN793" s="171">
        <v>1</v>
      </c>
      <c r="AO793" s="171">
        <v>1</v>
      </c>
      <c r="AP793" s="171">
        <v>1</v>
      </c>
      <c r="AQ793" s="171">
        <v>1</v>
      </c>
      <c r="AR793" s="171">
        <v>1</v>
      </c>
      <c r="AS793" s="171">
        <v>1</v>
      </c>
      <c r="AT793" s="171">
        <v>1</v>
      </c>
      <c r="AU793" s="171">
        <f t="shared" si="324"/>
        <v>1</v>
      </c>
      <c r="AV793" s="171">
        <f t="shared" si="325"/>
        <v>1</v>
      </c>
      <c r="AW793" s="171">
        <f t="shared" si="326"/>
        <v>1</v>
      </c>
      <c r="AX793" s="171">
        <f t="shared" si="335"/>
        <v>1</v>
      </c>
      <c r="AY793" s="171">
        <f t="shared" si="327"/>
        <v>0</v>
      </c>
      <c r="AZ793" s="171">
        <f t="shared" si="328"/>
        <v>1</v>
      </c>
      <c r="BA793" s="172">
        <f t="shared" si="329"/>
        <v>1</v>
      </c>
      <c r="BB793" s="175">
        <f t="shared" si="332"/>
        <v>18</v>
      </c>
      <c r="BC793" s="176">
        <f t="shared" si="333"/>
        <v>17</v>
      </c>
      <c r="BD793" s="176">
        <f t="shared" si="334"/>
        <v>18</v>
      </c>
      <c r="BE793" s="240" t="str">
        <f t="shared" si="322"/>
        <v/>
      </c>
      <c r="BF793" s="234"/>
      <c r="BG793" s="234"/>
      <c r="BH793" s="214">
        <f>IF(AND(Input_Product=Elig!$C793,Elig_MatchAll_Ct&lt;22,$BC793=(Elig_MatchAll_Ct-1),AF793=0),C793,0)</f>
        <v>0</v>
      </c>
      <c r="BI793" s="214">
        <f>IF(AND(Input_Product=Elig!$C793,Elig_MatchAll_Ct&lt;22,$BC793=(Elig_MatchAll_Ct-1),AG793=0),D793,0)</f>
        <v>0</v>
      </c>
      <c r="BJ793" s="214">
        <f>IF(AND(Input_Product=Elig!$C793,Elig_MatchAll_Ct&lt;22,$BC793=(Elig_MatchAll_Ct-1),AH793=0),E793,0)</f>
        <v>0</v>
      </c>
      <c r="BK793" s="214">
        <f>IF(AND(Input_Product=Elig!$C793,Elig_MatchAll_Ct&lt;22,$BC793=(Elig_MatchAll_Ct-1),AI793=0),F793,0)</f>
        <v>0</v>
      </c>
      <c r="BL793" s="214">
        <f>IF(AND(Input_Product=Elig!$C793,Elig_MatchAll_Ct&lt;22,$BC793=(Elig_MatchAll_Ct-1),AJ793=0),G793,0)</f>
        <v>0</v>
      </c>
      <c r="BM793" s="214">
        <f>IF(AND(Input_Product=Elig!$C793,Elig_MatchAll_Ct&lt;22,$BC793=(Elig_MatchAll_Ct-1),AK793=0),H793,0)</f>
        <v>0</v>
      </c>
      <c r="BN793" s="214">
        <f>IF(AND(Input_Product=Elig!$C793,Elig_MatchAll_Ct&lt;22,$BC793=(Elig_MatchAll_Ct-1),AL793=0),I793,0)</f>
        <v>0</v>
      </c>
      <c r="BO793" s="214">
        <f>IF(AND(Input_Product=Elig!$C793,Elig_MatchAll_Ct&lt;22,$BC793=(Elig_MatchAll_Ct-1),AM793=0),J793,0)</f>
        <v>0</v>
      </c>
      <c r="BP793" s="214">
        <f>IF(AND(Input_Product=Elig!$C793,Elig_MatchAll_Ct&lt;22,$BC793=(Elig_MatchAll_Ct-1),AN793=0),K793,0)</f>
        <v>0</v>
      </c>
      <c r="BQ793" s="214">
        <f>IF(AND(Input_Product=Elig!$C793,Elig_MatchAll_Ct&lt;22,$BC793=(Elig_MatchAll_Ct-1),AP793=0),L793,0)</f>
        <v>0</v>
      </c>
      <c r="BR793" s="214">
        <f>IF(AND(Input_Product=Elig!$C793,Elig_MatchAll_Ct&lt;22,$BC793=(Elig_MatchAll_Ct-1),AO793=0),M793,0)</f>
        <v>0</v>
      </c>
      <c r="BS793" s="214">
        <f>IF(AND(Input_Product=Elig!$C793,Elig_MatchAll_Ct&lt;22,$BC793=(Elig_MatchAll_Ct-1),AQ793=0),N793,0)</f>
        <v>0</v>
      </c>
      <c r="BT793" s="214">
        <f>IF(AND(Input_Product=Elig!$C793,Elig_MatchAll_Ct&lt;22,$BC793=(Elig_MatchAll_Ct-1),AR793=0),O793,0)</f>
        <v>0</v>
      </c>
      <c r="BU793" s="214">
        <f>IF(AND(Input_Product=Elig!$C793,Elig_MatchAll_Ct&lt;22,$BC793=(Elig_MatchAll_Ct-1),AS793=0),P793,0)</f>
        <v>0</v>
      </c>
      <c r="BV793" s="215">
        <f>IF(AND(Input_Product=Elig!$C793,Elig_MatchAll_Ct&lt;22,$BC793=(Elig_MatchAll_Ct-1),AT793=0),Q793,0)</f>
        <v>0</v>
      </c>
      <c r="BW793" s="311">
        <f>IF(AND(Input_Product=Elig!$C793,Elig_MatchAll_Ct&lt;22,$BC793=(Elig_MatchAll_Ct-1),AU793=0),R793,0)</f>
        <v>0</v>
      </c>
      <c r="BX793" s="312">
        <f>IF(AND(Input_Product=Elig!$C793,Elig_MatchAll_Ct&lt;22,$BC793=(Elig_MatchAll_Ct-1),AU793=0),S793,0)</f>
        <v>0</v>
      </c>
      <c r="BY793" s="311">
        <f>IF(AND(Input_Product=Elig!$C793,Elig_MatchAll_Ct&lt;22,$BC793=(Elig_MatchAll_Ct-1),AV793=0),T793,0)</f>
        <v>0</v>
      </c>
      <c r="BZ793" s="312">
        <f>IF(AND(Input_Product=Elig!$C793,Elig_MatchAll_Ct&lt;22,$BC793=(Elig_MatchAll_Ct-1),AV793=0),U793,0)</f>
        <v>0</v>
      </c>
      <c r="CA793" s="311">
        <f>IF(AND(Input_Product=Elig!$C793,Elig_MatchAll_Ct&lt;22,$BC793=(Elig_MatchAll_Ct-1),AW793=0),V793,0)</f>
        <v>0</v>
      </c>
      <c r="CB793" s="312">
        <f>IF(AND(Input_Product=Elig!$C793,Elig_MatchAll_Ct&lt;22,$BC793=(Elig_MatchAll_Ct-1),AW793=0),W793,0)</f>
        <v>0</v>
      </c>
      <c r="CC793" s="311">
        <f>IF(AND(Input_Product=Elig!$C793,Elig_MatchAll_Ct&lt;22,$BC793=(Elig_MatchAll_Ct-1),AX793=0),X793,0)</f>
        <v>0</v>
      </c>
      <c r="CD793" s="312">
        <f>IF(AND(Input_Product=Elig!$C793,Elig_MatchAll_Ct&lt;22,$BC793=(Elig_MatchAll_Ct-1),AX793=0),Y793,0)</f>
        <v>0</v>
      </c>
      <c r="CE793" s="311">
        <f>IF(AND(Input_LTV&lt;=AE793,Input_Product=Elig!$C793,Elig_MatchAll_Ct&lt;22,$BC793=(Elig_MatchAll_Ct-1),AY793=0),Z793,0)</f>
        <v>0</v>
      </c>
      <c r="CF793" s="312">
        <f>IF(AND(Input_LTV&lt;=AE793,Input_Product=Elig!$C793,Elig_MatchAll_Ct&lt;22,$BC793=(Elig_MatchAll_Ct-1),AY793=0),AA793,0)</f>
        <v>0</v>
      </c>
      <c r="CG793" s="311">
        <f>IF(AND(Input_Product=Elig!$C793,Elig_MatchAll_Ct&lt;22,$BC793=(Elig_MatchAll_Ct-1),AZ793=0),AB793,0)</f>
        <v>0</v>
      </c>
      <c r="CH793" s="312">
        <f>IF(AND(Input_Product=Elig!$C793,Elig_MatchAll_Ct&lt;22,$BC793=(Elig_MatchAll_Ct-1),AZ793=0),AC793,0)</f>
        <v>0</v>
      </c>
      <c r="CI793" s="311">
        <f>IF(AND(Input_Product=Elig!$C793,Elig_MatchAll_Ct&lt;22,$BC793=(Elig_MatchAll_Ct-1),BA793=0),AD793,0)</f>
        <v>0</v>
      </c>
      <c r="CJ793" s="312">
        <f>IF(AND(Input_Product=Elig!$C793,Elig_MatchAll_Ct&lt;22,$BC793=(Elig_MatchAll_Ct-1),BA793=0),AE793,0)</f>
        <v>0</v>
      </c>
    </row>
    <row r="794" spans="2:88" ht="10.15" customHeight="1" x14ac:dyDescent="0.25">
      <c r="B794" s="2035" t="s">
        <v>3697</v>
      </c>
      <c r="C794" s="2040" t="str">
        <f t="shared" si="330"/>
        <v>Second NOO</v>
      </c>
      <c r="D794" s="2041" t="s">
        <v>1561</v>
      </c>
      <c r="E794" s="2041" t="s">
        <v>98</v>
      </c>
      <c r="F794" s="2041" t="s">
        <v>330</v>
      </c>
      <c r="G794" s="2103" t="s">
        <v>175</v>
      </c>
      <c r="H794" s="2041" t="s">
        <v>446</v>
      </c>
      <c r="I794" s="2039" t="s">
        <v>1332</v>
      </c>
      <c r="J794" s="2039" t="s">
        <v>1311</v>
      </c>
      <c r="K794" s="2041" t="s">
        <v>1790</v>
      </c>
      <c r="L794" s="2039" t="s">
        <v>430</v>
      </c>
      <c r="M794" s="2039" t="s">
        <v>2677</v>
      </c>
      <c r="N794" s="2041" t="s">
        <v>82</v>
      </c>
      <c r="O794" s="2039" t="s">
        <v>310</v>
      </c>
      <c r="P794" s="2039" t="s">
        <v>291</v>
      </c>
      <c r="Q794" s="2039" t="s">
        <v>294</v>
      </c>
      <c r="R794" s="2039">
        <v>50000</v>
      </c>
      <c r="S794" s="2039">
        <v>350000</v>
      </c>
      <c r="T794" s="2039">
        <v>0</v>
      </c>
      <c r="U794" s="2039">
        <f t="shared" si="331"/>
        <v>350000</v>
      </c>
      <c r="V794" s="2039">
        <v>0</v>
      </c>
      <c r="W794" s="2039">
        <v>50</v>
      </c>
      <c r="X794" s="2039">
        <v>0</v>
      </c>
      <c r="Y794" s="2039">
        <v>999</v>
      </c>
      <c r="Z794" s="2042">
        <v>720</v>
      </c>
      <c r="AA794" s="2042">
        <v>999</v>
      </c>
      <c r="AB794" s="2042">
        <v>0</v>
      </c>
      <c r="AC794" s="2042">
        <v>999999</v>
      </c>
      <c r="AD794" s="2039">
        <v>0</v>
      </c>
      <c r="AE794" s="2108">
        <v>80</v>
      </c>
      <c r="AF794" s="170">
        <v>0</v>
      </c>
      <c r="AG794" s="171">
        <v>1</v>
      </c>
      <c r="AH794" s="171">
        <v>1</v>
      </c>
      <c r="AI794" s="171">
        <v>0</v>
      </c>
      <c r="AJ794" s="171">
        <v>0</v>
      </c>
      <c r="AK794" s="171">
        <v>0</v>
      </c>
      <c r="AL794" s="171">
        <v>1</v>
      </c>
      <c r="AM794" s="171">
        <v>1</v>
      </c>
      <c r="AN794" s="171">
        <v>1</v>
      </c>
      <c r="AO794" s="171">
        <v>1</v>
      </c>
      <c r="AP794" s="171">
        <v>1</v>
      </c>
      <c r="AQ794" s="171">
        <v>1</v>
      </c>
      <c r="AR794" s="171">
        <v>1</v>
      </c>
      <c r="AS794" s="171">
        <v>1</v>
      </c>
      <c r="AT794" s="171">
        <v>1</v>
      </c>
      <c r="AU794" s="171">
        <f t="shared" si="324"/>
        <v>1</v>
      </c>
      <c r="AV794" s="171">
        <f t="shared" si="325"/>
        <v>1</v>
      </c>
      <c r="AW794" s="171">
        <f t="shared" si="326"/>
        <v>1</v>
      </c>
      <c r="AX794" s="171">
        <f t="shared" si="335"/>
        <v>1</v>
      </c>
      <c r="AY794" s="171">
        <f t="shared" si="327"/>
        <v>1</v>
      </c>
      <c r="AZ794" s="171">
        <f t="shared" si="328"/>
        <v>1</v>
      </c>
      <c r="BA794" s="172">
        <f t="shared" si="329"/>
        <v>1</v>
      </c>
      <c r="BB794" s="175">
        <f t="shared" si="332"/>
        <v>18</v>
      </c>
      <c r="BC794" s="176">
        <f t="shared" si="333"/>
        <v>17</v>
      </c>
      <c r="BD794" s="176">
        <f t="shared" si="334"/>
        <v>18</v>
      </c>
      <c r="BE794" s="240" t="str">
        <f t="shared" si="322"/>
        <v/>
      </c>
      <c r="BF794" s="220"/>
      <c r="BG794" s="220"/>
      <c r="BH794" s="216">
        <f>IF(AND(Input_Product=Elig!$C794,Elig_MatchAll_Ct&lt;22,$BC794=(Elig_MatchAll_Ct-1),AF794=0),C794,0)</f>
        <v>0</v>
      </c>
      <c r="BI794" s="216">
        <f>IF(AND(Input_Product=Elig!$C794,Elig_MatchAll_Ct&lt;22,$BC794=(Elig_MatchAll_Ct-1),AG794=0),D794,0)</f>
        <v>0</v>
      </c>
      <c r="BJ794" s="216">
        <f>IF(AND(Input_Product=Elig!$C794,Elig_MatchAll_Ct&lt;22,$BC794=(Elig_MatchAll_Ct-1),AH794=0),E794,0)</f>
        <v>0</v>
      </c>
      <c r="BK794" s="216">
        <f>IF(AND(Input_Product=Elig!$C794,Elig_MatchAll_Ct&lt;22,$BC794=(Elig_MatchAll_Ct-1),AI794=0),F794,0)</f>
        <v>0</v>
      </c>
      <c r="BL794" s="216">
        <f>IF(AND(Input_Product=Elig!$C794,Elig_MatchAll_Ct&lt;22,$BC794=(Elig_MatchAll_Ct-1),AJ794=0),G794,0)</f>
        <v>0</v>
      </c>
      <c r="BM794" s="216">
        <f>IF(AND(Input_Product=Elig!$C794,Elig_MatchAll_Ct&lt;22,$BC794=(Elig_MatchAll_Ct-1),AK794=0),H794,0)</f>
        <v>0</v>
      </c>
      <c r="BN794" s="216">
        <f>IF(AND(Input_Product=Elig!$C794,Elig_MatchAll_Ct&lt;22,$BC794=(Elig_MatchAll_Ct-1),AL794=0),I794,0)</f>
        <v>0</v>
      </c>
      <c r="BO794" s="216">
        <f>IF(AND(Input_Product=Elig!$C794,Elig_MatchAll_Ct&lt;22,$BC794=(Elig_MatchAll_Ct-1),AM794=0),J794,0)</f>
        <v>0</v>
      </c>
      <c r="BP794" s="216">
        <f>IF(AND(Input_Product=Elig!$C794,Elig_MatchAll_Ct&lt;22,$BC794=(Elig_MatchAll_Ct-1),AN794=0),K794,0)</f>
        <v>0</v>
      </c>
      <c r="BQ794" s="216">
        <f>IF(AND(Input_Product=Elig!$C794,Elig_MatchAll_Ct&lt;22,$BC794=(Elig_MatchAll_Ct-1),AP794=0),L794,0)</f>
        <v>0</v>
      </c>
      <c r="BR794" s="216">
        <f>IF(AND(Input_Product=Elig!$C794,Elig_MatchAll_Ct&lt;22,$BC794=(Elig_MatchAll_Ct-1),AO794=0),M794,0)</f>
        <v>0</v>
      </c>
      <c r="BS794" s="216">
        <f>IF(AND(Input_Product=Elig!$C794,Elig_MatchAll_Ct&lt;22,$BC794=(Elig_MatchAll_Ct-1),AQ794=0),N794,0)</f>
        <v>0</v>
      </c>
      <c r="BT794" s="216">
        <f>IF(AND(Input_Product=Elig!$C794,Elig_MatchAll_Ct&lt;22,$BC794=(Elig_MatchAll_Ct-1),AR794=0),O794,0)</f>
        <v>0</v>
      </c>
      <c r="BU794" s="216">
        <f>IF(AND(Input_Product=Elig!$C794,Elig_MatchAll_Ct&lt;22,$BC794=(Elig_MatchAll_Ct-1),AS794=0),P794,0)</f>
        <v>0</v>
      </c>
      <c r="BV794" s="217">
        <f>IF(AND(Input_Product=Elig!$C794,Elig_MatchAll_Ct&lt;22,$BC794=(Elig_MatchAll_Ct-1),AT794=0),Q794,0)</f>
        <v>0</v>
      </c>
      <c r="BW794" s="313">
        <f>IF(AND(Input_Product=Elig!$C794,Elig_MatchAll_Ct&lt;22,$BC794=(Elig_MatchAll_Ct-1),AU794=0),R794,0)</f>
        <v>0</v>
      </c>
      <c r="BX794" s="314">
        <f>IF(AND(Input_Product=Elig!$C794,Elig_MatchAll_Ct&lt;22,$BC794=(Elig_MatchAll_Ct-1),AU794=0),S794,0)</f>
        <v>0</v>
      </c>
      <c r="BY794" s="313">
        <f>IF(AND(Input_Product=Elig!$C794,Elig_MatchAll_Ct&lt;22,$BC794=(Elig_MatchAll_Ct-1),AV794=0),T794,0)</f>
        <v>0</v>
      </c>
      <c r="BZ794" s="314">
        <f>IF(AND(Input_Product=Elig!$C794,Elig_MatchAll_Ct&lt;22,$BC794=(Elig_MatchAll_Ct-1),AV794=0),U794,0)</f>
        <v>0</v>
      </c>
      <c r="CA794" s="313">
        <f>IF(AND(Input_Product=Elig!$C794,Elig_MatchAll_Ct&lt;22,$BC794=(Elig_MatchAll_Ct-1),AW794=0),V794,0)</f>
        <v>0</v>
      </c>
      <c r="CB794" s="314">
        <f>IF(AND(Input_Product=Elig!$C794,Elig_MatchAll_Ct&lt;22,$BC794=(Elig_MatchAll_Ct-1),AW794=0),W794,0)</f>
        <v>0</v>
      </c>
      <c r="CC794" s="313">
        <f>IF(AND(Input_Product=Elig!$C794,Elig_MatchAll_Ct&lt;22,$BC794=(Elig_MatchAll_Ct-1),AX794=0),X794,0)</f>
        <v>0</v>
      </c>
      <c r="CD794" s="314">
        <f>IF(AND(Input_Product=Elig!$C794,Elig_MatchAll_Ct&lt;22,$BC794=(Elig_MatchAll_Ct-1),AX794=0),Y794,0)</f>
        <v>0</v>
      </c>
      <c r="CE794" s="313">
        <f>IF(AND(Input_LTV&lt;=AE794,Input_Product=Elig!$C794,Elig_MatchAll_Ct&lt;22,$BC794=(Elig_MatchAll_Ct-1),AY794=0),Z794,0)</f>
        <v>0</v>
      </c>
      <c r="CF794" s="314">
        <f>IF(AND(Input_LTV&lt;=AE794,Input_Product=Elig!$C794,Elig_MatchAll_Ct&lt;22,$BC794=(Elig_MatchAll_Ct-1),AY794=0),AA794,0)</f>
        <v>0</v>
      </c>
      <c r="CG794" s="313">
        <f>IF(AND(Input_Product=Elig!$C794,Elig_MatchAll_Ct&lt;22,$BC794=(Elig_MatchAll_Ct-1),AZ794=0),AB794,0)</f>
        <v>0</v>
      </c>
      <c r="CH794" s="314">
        <f>IF(AND(Input_Product=Elig!$C794,Elig_MatchAll_Ct&lt;22,$BC794=(Elig_MatchAll_Ct-1),AZ794=0),AC794,0)</f>
        <v>0</v>
      </c>
      <c r="CI794" s="313">
        <f>IF(AND(Input_Product=Elig!$C794,Elig_MatchAll_Ct&lt;22,$BC794=(Elig_MatchAll_Ct-1),BA794=0),AD794,0)</f>
        <v>0</v>
      </c>
      <c r="CJ794" s="314">
        <f>IF(AND(Input_Product=Elig!$C794,Elig_MatchAll_Ct&lt;22,$BC794=(Elig_MatchAll_Ct-1),BA794=0),AE794,0)</f>
        <v>0</v>
      </c>
    </row>
    <row r="795" spans="2:88" ht="10.15" customHeight="1" x14ac:dyDescent="0.25">
      <c r="B795" s="2035" t="s">
        <v>3698</v>
      </c>
      <c r="C795" s="2036" t="str">
        <f t="shared" si="330"/>
        <v>Second NOO</v>
      </c>
      <c r="D795" s="2035" t="s">
        <v>1561</v>
      </c>
      <c r="E795" s="2035" t="s">
        <v>98</v>
      </c>
      <c r="F795" s="2035" t="s">
        <v>330</v>
      </c>
      <c r="G795" s="2110" t="s">
        <v>175</v>
      </c>
      <c r="H795" s="2037" t="s">
        <v>446</v>
      </c>
      <c r="I795" s="2035" t="s">
        <v>1332</v>
      </c>
      <c r="J795" s="2035" t="s">
        <v>1311</v>
      </c>
      <c r="K795" s="2037" t="s">
        <v>1790</v>
      </c>
      <c r="L795" s="2035" t="s">
        <v>430</v>
      </c>
      <c r="M795" s="2035" t="s">
        <v>2677</v>
      </c>
      <c r="N795" s="2037" t="s">
        <v>82</v>
      </c>
      <c r="O795" s="2035" t="s">
        <v>310</v>
      </c>
      <c r="P795" s="2035" t="s">
        <v>291</v>
      </c>
      <c r="Q795" s="2035" t="s">
        <v>294</v>
      </c>
      <c r="R795" s="2035">
        <v>50000</v>
      </c>
      <c r="S795" s="2035">
        <v>350000</v>
      </c>
      <c r="T795" s="2035">
        <v>0</v>
      </c>
      <c r="U795" s="2035">
        <f t="shared" si="331"/>
        <v>350000</v>
      </c>
      <c r="V795" s="2035">
        <v>0</v>
      </c>
      <c r="W795" s="2035">
        <v>50</v>
      </c>
      <c r="X795" s="2035">
        <v>0</v>
      </c>
      <c r="Y795" s="2035">
        <v>999</v>
      </c>
      <c r="Z795" s="2038">
        <v>700</v>
      </c>
      <c r="AA795" s="2038">
        <v>719</v>
      </c>
      <c r="AB795" s="2038">
        <v>0</v>
      </c>
      <c r="AC795" s="2038">
        <v>999999</v>
      </c>
      <c r="AD795" s="2035">
        <v>0</v>
      </c>
      <c r="AE795" s="2109">
        <v>75</v>
      </c>
      <c r="AF795" s="170">
        <v>0</v>
      </c>
      <c r="AG795" s="171">
        <v>1</v>
      </c>
      <c r="AH795" s="171">
        <v>1</v>
      </c>
      <c r="AI795" s="171">
        <v>0</v>
      </c>
      <c r="AJ795" s="171">
        <v>0</v>
      </c>
      <c r="AK795" s="171">
        <v>0</v>
      </c>
      <c r="AL795" s="171">
        <v>1</v>
      </c>
      <c r="AM795" s="171">
        <v>1</v>
      </c>
      <c r="AN795" s="171">
        <v>1</v>
      </c>
      <c r="AO795" s="171">
        <v>1</v>
      </c>
      <c r="AP795" s="171">
        <v>1</v>
      </c>
      <c r="AQ795" s="171">
        <v>1</v>
      </c>
      <c r="AR795" s="171">
        <v>1</v>
      </c>
      <c r="AS795" s="171">
        <v>1</v>
      </c>
      <c r="AT795" s="171">
        <v>1</v>
      </c>
      <c r="AU795" s="171">
        <f t="shared" si="324"/>
        <v>1</v>
      </c>
      <c r="AV795" s="171">
        <f t="shared" si="325"/>
        <v>1</v>
      </c>
      <c r="AW795" s="171">
        <f t="shared" si="326"/>
        <v>1</v>
      </c>
      <c r="AX795" s="171">
        <f t="shared" si="335"/>
        <v>1</v>
      </c>
      <c r="AY795" s="171">
        <f t="shared" si="327"/>
        <v>0</v>
      </c>
      <c r="AZ795" s="171">
        <f t="shared" si="328"/>
        <v>1</v>
      </c>
      <c r="BA795" s="172">
        <f t="shared" si="329"/>
        <v>1</v>
      </c>
      <c r="BB795" s="175">
        <f t="shared" si="332"/>
        <v>17</v>
      </c>
      <c r="BC795" s="176">
        <f t="shared" si="333"/>
        <v>16</v>
      </c>
      <c r="BD795" s="176">
        <f t="shared" si="334"/>
        <v>17</v>
      </c>
      <c r="BE795" s="240" t="str">
        <f t="shared" si="322"/>
        <v/>
      </c>
      <c r="BF795" s="234"/>
      <c r="BG795" s="234"/>
      <c r="BH795" s="199">
        <f>IF(AND(Input_Product=Elig!$C795,Elig_MatchAll_Ct&lt;22,$BC795=(Elig_MatchAll_Ct-1),AF795=0),C795,0)</f>
        <v>0</v>
      </c>
      <c r="BI795" s="199">
        <f>IF(AND(Input_Product=Elig!$C795,Elig_MatchAll_Ct&lt;22,$BC795=(Elig_MatchAll_Ct-1),AG795=0),D795,0)</f>
        <v>0</v>
      </c>
      <c r="BJ795" s="199">
        <f>IF(AND(Input_Product=Elig!$C795,Elig_MatchAll_Ct&lt;22,$BC795=(Elig_MatchAll_Ct-1),AH795=0),E795,0)</f>
        <v>0</v>
      </c>
      <c r="BK795" s="199">
        <f>IF(AND(Input_Product=Elig!$C795,Elig_MatchAll_Ct&lt;22,$BC795=(Elig_MatchAll_Ct-1),AI795=0),F795,0)</f>
        <v>0</v>
      </c>
      <c r="BL795" s="199">
        <f>IF(AND(Input_Product=Elig!$C795,Elig_MatchAll_Ct&lt;22,$BC795=(Elig_MatchAll_Ct-1),AJ795=0),G795,0)</f>
        <v>0</v>
      </c>
      <c r="BM795" s="199">
        <f>IF(AND(Input_Product=Elig!$C795,Elig_MatchAll_Ct&lt;22,$BC795=(Elig_MatchAll_Ct-1),AK795=0),H795,0)</f>
        <v>0</v>
      </c>
      <c r="BN795" s="199">
        <f>IF(AND(Input_Product=Elig!$C795,Elig_MatchAll_Ct&lt;22,$BC795=(Elig_MatchAll_Ct-1),AL795=0),I795,0)</f>
        <v>0</v>
      </c>
      <c r="BO795" s="199">
        <f>IF(AND(Input_Product=Elig!$C795,Elig_MatchAll_Ct&lt;22,$BC795=(Elig_MatchAll_Ct-1),AM795=0),J795,0)</f>
        <v>0</v>
      </c>
      <c r="BP795" s="199">
        <f>IF(AND(Input_Product=Elig!$C795,Elig_MatchAll_Ct&lt;22,$BC795=(Elig_MatchAll_Ct-1),AN795=0),K795,0)</f>
        <v>0</v>
      </c>
      <c r="BQ795" s="199">
        <f>IF(AND(Input_Product=Elig!$C795,Elig_MatchAll_Ct&lt;22,$BC795=(Elig_MatchAll_Ct-1),AP795=0),L795,0)</f>
        <v>0</v>
      </c>
      <c r="BR795" s="199">
        <f>IF(AND(Input_Product=Elig!$C795,Elig_MatchAll_Ct&lt;22,$BC795=(Elig_MatchAll_Ct-1),AO795=0),M795,0)</f>
        <v>0</v>
      </c>
      <c r="BS795" s="199">
        <f>IF(AND(Input_Product=Elig!$C795,Elig_MatchAll_Ct&lt;22,$BC795=(Elig_MatchAll_Ct-1),AQ795=0),N795,0)</f>
        <v>0</v>
      </c>
      <c r="BT795" s="199">
        <f>IF(AND(Input_Product=Elig!$C795,Elig_MatchAll_Ct&lt;22,$BC795=(Elig_MatchAll_Ct-1),AR795=0),O795,0)</f>
        <v>0</v>
      </c>
      <c r="BU795" s="199">
        <f>IF(AND(Input_Product=Elig!$C795,Elig_MatchAll_Ct&lt;22,$BC795=(Elig_MatchAll_Ct-1),AS795=0),P795,0)</f>
        <v>0</v>
      </c>
      <c r="BV795" s="200">
        <f>IF(AND(Input_Product=Elig!$C795,Elig_MatchAll_Ct&lt;22,$BC795=(Elig_MatchAll_Ct-1),AT795=0),Q795,0)</f>
        <v>0</v>
      </c>
      <c r="BW795" s="201">
        <f>IF(AND(Input_Product=Elig!$C795,Elig_MatchAll_Ct&lt;22,$BC795=(Elig_MatchAll_Ct-1),AU795=0),R795,0)</f>
        <v>0</v>
      </c>
      <c r="BX795" s="202">
        <f>IF(AND(Input_Product=Elig!$C795,Elig_MatchAll_Ct&lt;22,$BC795=(Elig_MatchAll_Ct-1),AU795=0),S795,0)</f>
        <v>0</v>
      </c>
      <c r="BY795" s="201">
        <f>IF(AND(Input_Product=Elig!$C795,Elig_MatchAll_Ct&lt;22,$BC795=(Elig_MatchAll_Ct-1),AV795=0),T795,0)</f>
        <v>0</v>
      </c>
      <c r="BZ795" s="202">
        <f>IF(AND(Input_Product=Elig!$C795,Elig_MatchAll_Ct&lt;22,$BC795=(Elig_MatchAll_Ct-1),AV795=0),U795,0)</f>
        <v>0</v>
      </c>
      <c r="CA795" s="201">
        <f>IF(AND(Input_Product=Elig!$C795,Elig_MatchAll_Ct&lt;22,$BC795=(Elig_MatchAll_Ct-1),AW795=0),V795,0)</f>
        <v>0</v>
      </c>
      <c r="CB795" s="202">
        <f>IF(AND(Input_Product=Elig!$C795,Elig_MatchAll_Ct&lt;22,$BC795=(Elig_MatchAll_Ct-1),AW795=0),W795,0)</f>
        <v>0</v>
      </c>
      <c r="CC795" s="201">
        <f>IF(AND(Input_Product=Elig!$C795,Elig_MatchAll_Ct&lt;22,$BC795=(Elig_MatchAll_Ct-1),AX795=0),X795,0)</f>
        <v>0</v>
      </c>
      <c r="CD795" s="202">
        <f>IF(AND(Input_Product=Elig!$C795,Elig_MatchAll_Ct&lt;22,$BC795=(Elig_MatchAll_Ct-1),AX795=0),Y795,0)</f>
        <v>0</v>
      </c>
      <c r="CE795" s="201">
        <f>IF(AND(Input_LTV&lt;=AE795,Input_Product=Elig!$C795,Elig_MatchAll_Ct&lt;22,$BC795=(Elig_MatchAll_Ct-1),AY795=0),Z795,0)</f>
        <v>0</v>
      </c>
      <c r="CF795" s="202">
        <f>IF(AND(Input_LTV&lt;=AE795,Input_Product=Elig!$C795,Elig_MatchAll_Ct&lt;22,$BC795=(Elig_MatchAll_Ct-1),AY795=0),AA795,0)</f>
        <v>0</v>
      </c>
      <c r="CG795" s="201">
        <f>IF(AND(Input_Product=Elig!$C795,Elig_MatchAll_Ct&lt;22,$BC795=(Elig_MatchAll_Ct-1),AZ795=0),AB795,0)</f>
        <v>0</v>
      </c>
      <c r="CH795" s="202">
        <f>IF(AND(Input_Product=Elig!$C795,Elig_MatchAll_Ct&lt;22,$BC795=(Elig_MatchAll_Ct-1),AZ795=0),AC795,0)</f>
        <v>0</v>
      </c>
      <c r="CI795" s="201">
        <f>IF(AND(Input_Product=Elig!$C795,Elig_MatchAll_Ct&lt;22,$BC795=(Elig_MatchAll_Ct-1),BA795=0),AD795,0)</f>
        <v>0</v>
      </c>
      <c r="CJ795" s="202">
        <f>IF(AND(Input_Product=Elig!$C795,Elig_MatchAll_Ct&lt;22,$BC795=(Elig_MatchAll_Ct-1),BA795=0),AE795,0)</f>
        <v>0</v>
      </c>
    </row>
    <row r="796" spans="2:88" ht="10.15" customHeight="1" x14ac:dyDescent="0.25">
      <c r="B796" s="2035" t="s">
        <v>3699</v>
      </c>
      <c r="C796" s="2036" t="str">
        <f t="shared" si="330"/>
        <v>Second NOO</v>
      </c>
      <c r="D796" s="2035" t="s">
        <v>1561</v>
      </c>
      <c r="E796" s="2035" t="s">
        <v>98</v>
      </c>
      <c r="F796" s="2035" t="s">
        <v>330</v>
      </c>
      <c r="G796" s="2110" t="s">
        <v>175</v>
      </c>
      <c r="H796" s="2037" t="s">
        <v>446</v>
      </c>
      <c r="I796" s="2035" t="s">
        <v>1332</v>
      </c>
      <c r="J796" s="2035" t="s">
        <v>1311</v>
      </c>
      <c r="K796" s="2037" t="s">
        <v>1790</v>
      </c>
      <c r="L796" s="2035" t="s">
        <v>430</v>
      </c>
      <c r="M796" s="2035" t="s">
        <v>2677</v>
      </c>
      <c r="N796" s="2037" t="s">
        <v>82</v>
      </c>
      <c r="O796" s="2035" t="s">
        <v>310</v>
      </c>
      <c r="P796" s="2035" t="s">
        <v>291</v>
      </c>
      <c r="Q796" s="2035" t="s">
        <v>294</v>
      </c>
      <c r="R796" s="2035">
        <v>50000</v>
      </c>
      <c r="S796" s="2035">
        <v>350000</v>
      </c>
      <c r="T796" s="2035">
        <v>0</v>
      </c>
      <c r="U796" s="2035">
        <f t="shared" si="331"/>
        <v>350000</v>
      </c>
      <c r="V796" s="2035">
        <v>0</v>
      </c>
      <c r="W796" s="2035">
        <v>50</v>
      </c>
      <c r="X796" s="2035">
        <v>0</v>
      </c>
      <c r="Y796" s="2035">
        <v>999</v>
      </c>
      <c r="Z796" s="2038">
        <v>680</v>
      </c>
      <c r="AA796" s="2038">
        <v>699</v>
      </c>
      <c r="AB796" s="2038">
        <v>0</v>
      </c>
      <c r="AC796" s="2038">
        <v>999999</v>
      </c>
      <c r="AD796" s="2035">
        <v>0</v>
      </c>
      <c r="AE796" s="2109">
        <v>70</v>
      </c>
      <c r="AF796" s="170">
        <v>0</v>
      </c>
      <c r="AG796" s="171">
        <v>1</v>
      </c>
      <c r="AH796" s="171">
        <v>1</v>
      </c>
      <c r="AI796" s="171">
        <v>0</v>
      </c>
      <c r="AJ796" s="171">
        <v>0</v>
      </c>
      <c r="AK796" s="171">
        <v>0</v>
      </c>
      <c r="AL796" s="171">
        <v>1</v>
      </c>
      <c r="AM796" s="171">
        <v>1</v>
      </c>
      <c r="AN796" s="171">
        <v>1</v>
      </c>
      <c r="AO796" s="171">
        <v>1</v>
      </c>
      <c r="AP796" s="171">
        <v>1</v>
      </c>
      <c r="AQ796" s="171">
        <v>1</v>
      </c>
      <c r="AR796" s="171">
        <v>1</v>
      </c>
      <c r="AS796" s="171">
        <v>1</v>
      </c>
      <c r="AT796" s="171">
        <v>1</v>
      </c>
      <c r="AU796" s="171">
        <f t="shared" si="324"/>
        <v>1</v>
      </c>
      <c r="AV796" s="171">
        <f t="shared" si="325"/>
        <v>1</v>
      </c>
      <c r="AW796" s="171">
        <f t="shared" si="326"/>
        <v>1</v>
      </c>
      <c r="AX796" s="171">
        <f t="shared" si="335"/>
        <v>1</v>
      </c>
      <c r="AY796" s="171">
        <f t="shared" si="327"/>
        <v>0</v>
      </c>
      <c r="AZ796" s="171">
        <f t="shared" si="328"/>
        <v>1</v>
      </c>
      <c r="BA796" s="172">
        <f t="shared" si="329"/>
        <v>1</v>
      </c>
      <c r="BB796" s="175">
        <f t="shared" si="332"/>
        <v>17</v>
      </c>
      <c r="BC796" s="176">
        <f t="shared" si="333"/>
        <v>16</v>
      </c>
      <c r="BD796" s="176">
        <f t="shared" si="334"/>
        <v>17</v>
      </c>
      <c r="BE796" s="240" t="str">
        <f t="shared" si="322"/>
        <v/>
      </c>
      <c r="BF796" s="234"/>
      <c r="BG796" s="234"/>
      <c r="BH796" s="199">
        <f>IF(AND(Input_Product=Elig!$C796,Elig_MatchAll_Ct&lt;22,$BC796=(Elig_MatchAll_Ct-1),AF796=0),C796,0)</f>
        <v>0</v>
      </c>
      <c r="BI796" s="199">
        <f>IF(AND(Input_Product=Elig!$C796,Elig_MatchAll_Ct&lt;22,$BC796=(Elig_MatchAll_Ct-1),AG796=0),D796,0)</f>
        <v>0</v>
      </c>
      <c r="BJ796" s="199">
        <f>IF(AND(Input_Product=Elig!$C796,Elig_MatchAll_Ct&lt;22,$BC796=(Elig_MatchAll_Ct-1),AH796=0),E796,0)</f>
        <v>0</v>
      </c>
      <c r="BK796" s="199">
        <f>IF(AND(Input_Product=Elig!$C796,Elig_MatchAll_Ct&lt;22,$BC796=(Elig_MatchAll_Ct-1),AI796=0),F796,0)</f>
        <v>0</v>
      </c>
      <c r="BL796" s="199">
        <f>IF(AND(Input_Product=Elig!$C796,Elig_MatchAll_Ct&lt;22,$BC796=(Elig_MatchAll_Ct-1),AJ796=0),G796,0)</f>
        <v>0</v>
      </c>
      <c r="BM796" s="199">
        <f>IF(AND(Input_Product=Elig!$C796,Elig_MatchAll_Ct&lt;22,$BC796=(Elig_MatchAll_Ct-1),AK796=0),H796,0)</f>
        <v>0</v>
      </c>
      <c r="BN796" s="199">
        <f>IF(AND(Input_Product=Elig!$C796,Elig_MatchAll_Ct&lt;22,$BC796=(Elig_MatchAll_Ct-1),AL796=0),I796,0)</f>
        <v>0</v>
      </c>
      <c r="BO796" s="199">
        <f>IF(AND(Input_Product=Elig!$C796,Elig_MatchAll_Ct&lt;22,$BC796=(Elig_MatchAll_Ct-1),AM796=0),J796,0)</f>
        <v>0</v>
      </c>
      <c r="BP796" s="199">
        <f>IF(AND(Input_Product=Elig!$C796,Elig_MatchAll_Ct&lt;22,$BC796=(Elig_MatchAll_Ct-1),AN796=0),K796,0)</f>
        <v>0</v>
      </c>
      <c r="BQ796" s="199">
        <f>IF(AND(Input_Product=Elig!$C796,Elig_MatchAll_Ct&lt;22,$BC796=(Elig_MatchAll_Ct-1),AP796=0),L796,0)</f>
        <v>0</v>
      </c>
      <c r="BR796" s="199">
        <f>IF(AND(Input_Product=Elig!$C796,Elig_MatchAll_Ct&lt;22,$BC796=(Elig_MatchAll_Ct-1),AO796=0),M796,0)</f>
        <v>0</v>
      </c>
      <c r="BS796" s="199">
        <f>IF(AND(Input_Product=Elig!$C796,Elig_MatchAll_Ct&lt;22,$BC796=(Elig_MatchAll_Ct-1),AQ796=0),N796,0)</f>
        <v>0</v>
      </c>
      <c r="BT796" s="199">
        <f>IF(AND(Input_Product=Elig!$C796,Elig_MatchAll_Ct&lt;22,$BC796=(Elig_MatchAll_Ct-1),AR796=0),O796,0)</f>
        <v>0</v>
      </c>
      <c r="BU796" s="199">
        <f>IF(AND(Input_Product=Elig!$C796,Elig_MatchAll_Ct&lt;22,$BC796=(Elig_MatchAll_Ct-1),AS796=0),P796,0)</f>
        <v>0</v>
      </c>
      <c r="BV796" s="200">
        <f>IF(AND(Input_Product=Elig!$C796,Elig_MatchAll_Ct&lt;22,$BC796=(Elig_MatchAll_Ct-1),AT796=0),Q796,0)</f>
        <v>0</v>
      </c>
      <c r="BW796" s="201">
        <f>IF(AND(Input_Product=Elig!$C796,Elig_MatchAll_Ct&lt;22,$BC796=(Elig_MatchAll_Ct-1),AU796=0),R796,0)</f>
        <v>0</v>
      </c>
      <c r="BX796" s="202">
        <f>IF(AND(Input_Product=Elig!$C796,Elig_MatchAll_Ct&lt;22,$BC796=(Elig_MatchAll_Ct-1),AU796=0),S796,0)</f>
        <v>0</v>
      </c>
      <c r="BY796" s="201">
        <f>IF(AND(Input_Product=Elig!$C796,Elig_MatchAll_Ct&lt;22,$BC796=(Elig_MatchAll_Ct-1),AV796=0),T796,0)</f>
        <v>0</v>
      </c>
      <c r="BZ796" s="202">
        <f>IF(AND(Input_Product=Elig!$C796,Elig_MatchAll_Ct&lt;22,$BC796=(Elig_MatchAll_Ct-1),AV796=0),U796,0)</f>
        <v>0</v>
      </c>
      <c r="CA796" s="201">
        <f>IF(AND(Input_Product=Elig!$C796,Elig_MatchAll_Ct&lt;22,$BC796=(Elig_MatchAll_Ct-1),AW796=0),V796,0)</f>
        <v>0</v>
      </c>
      <c r="CB796" s="202">
        <f>IF(AND(Input_Product=Elig!$C796,Elig_MatchAll_Ct&lt;22,$BC796=(Elig_MatchAll_Ct-1),AW796=0),W796,0)</f>
        <v>0</v>
      </c>
      <c r="CC796" s="201">
        <f>IF(AND(Input_Product=Elig!$C796,Elig_MatchAll_Ct&lt;22,$BC796=(Elig_MatchAll_Ct-1),AX796=0),X796,0)</f>
        <v>0</v>
      </c>
      <c r="CD796" s="202">
        <f>IF(AND(Input_Product=Elig!$C796,Elig_MatchAll_Ct&lt;22,$BC796=(Elig_MatchAll_Ct-1),AX796=0),Y796,0)</f>
        <v>0</v>
      </c>
      <c r="CE796" s="201">
        <f>IF(AND(Input_LTV&lt;=AE796,Input_Product=Elig!$C796,Elig_MatchAll_Ct&lt;22,$BC796=(Elig_MatchAll_Ct-1),AY796=0),Z796,0)</f>
        <v>0</v>
      </c>
      <c r="CF796" s="202">
        <f>IF(AND(Input_LTV&lt;=AE796,Input_Product=Elig!$C796,Elig_MatchAll_Ct&lt;22,$BC796=(Elig_MatchAll_Ct-1),AY796=0),AA796,0)</f>
        <v>0</v>
      </c>
      <c r="CG796" s="201">
        <f>IF(AND(Input_Product=Elig!$C796,Elig_MatchAll_Ct&lt;22,$BC796=(Elig_MatchAll_Ct-1),AZ796=0),AB796,0)</f>
        <v>0</v>
      </c>
      <c r="CH796" s="202">
        <f>IF(AND(Input_Product=Elig!$C796,Elig_MatchAll_Ct&lt;22,$BC796=(Elig_MatchAll_Ct-1),AZ796=0),AC796,0)</f>
        <v>0</v>
      </c>
      <c r="CI796" s="201">
        <f>IF(AND(Input_Product=Elig!$C796,Elig_MatchAll_Ct&lt;22,$BC796=(Elig_MatchAll_Ct-1),BA796=0),AD796,0)</f>
        <v>0</v>
      </c>
      <c r="CJ796" s="202">
        <f>IF(AND(Input_Product=Elig!$C796,Elig_MatchAll_Ct&lt;22,$BC796=(Elig_MatchAll_Ct-1),BA796=0),AE796,0)</f>
        <v>0</v>
      </c>
    </row>
    <row r="797" spans="2:88" ht="10.15" customHeight="1" x14ac:dyDescent="0.25">
      <c r="B797" s="2035" t="s">
        <v>3700</v>
      </c>
      <c r="C797" s="2036" t="str">
        <f t="shared" si="330"/>
        <v>Second NOO</v>
      </c>
      <c r="D797" s="2035" t="s">
        <v>1561</v>
      </c>
      <c r="E797" s="2035" t="s">
        <v>98</v>
      </c>
      <c r="F797" s="2035" t="s">
        <v>330</v>
      </c>
      <c r="G797" s="2111" t="s">
        <v>175</v>
      </c>
      <c r="H797" s="2037" t="s">
        <v>446</v>
      </c>
      <c r="I797" s="2035" t="s">
        <v>1332</v>
      </c>
      <c r="J797" s="2035" t="s">
        <v>1311</v>
      </c>
      <c r="K797" s="2037" t="s">
        <v>1790</v>
      </c>
      <c r="L797" s="2035" t="s">
        <v>430</v>
      </c>
      <c r="M797" s="2035" t="s">
        <v>2677</v>
      </c>
      <c r="N797" s="2037" t="s">
        <v>82</v>
      </c>
      <c r="O797" s="2035" t="s">
        <v>310</v>
      </c>
      <c r="P797" s="2035" t="s">
        <v>291</v>
      </c>
      <c r="Q797" s="2035" t="s">
        <v>294</v>
      </c>
      <c r="R797" s="2035">
        <v>50000</v>
      </c>
      <c r="S797" s="2035">
        <v>350000</v>
      </c>
      <c r="T797" s="2035">
        <v>0</v>
      </c>
      <c r="U797" s="2035">
        <f t="shared" si="331"/>
        <v>350000</v>
      </c>
      <c r="V797" s="2035">
        <v>0</v>
      </c>
      <c r="W797" s="2035">
        <v>50</v>
      </c>
      <c r="X797" s="2035">
        <v>0</v>
      </c>
      <c r="Y797" s="2035">
        <v>999</v>
      </c>
      <c r="Z797" s="2038">
        <v>660</v>
      </c>
      <c r="AA797" s="2038">
        <v>679</v>
      </c>
      <c r="AB797" s="2038">
        <v>0</v>
      </c>
      <c r="AC797" s="2038">
        <v>999999</v>
      </c>
      <c r="AD797" s="2035">
        <v>0</v>
      </c>
      <c r="AE797" s="2035">
        <v>60</v>
      </c>
      <c r="AF797" s="170">
        <v>0</v>
      </c>
      <c r="AG797" s="171">
        <v>1</v>
      </c>
      <c r="AH797" s="171">
        <v>1</v>
      </c>
      <c r="AI797" s="171">
        <v>0</v>
      </c>
      <c r="AJ797" s="171">
        <v>0</v>
      </c>
      <c r="AK797" s="171">
        <v>0</v>
      </c>
      <c r="AL797" s="171">
        <v>1</v>
      </c>
      <c r="AM797" s="171">
        <v>1</v>
      </c>
      <c r="AN797" s="171">
        <v>1</v>
      </c>
      <c r="AO797" s="171">
        <v>1</v>
      </c>
      <c r="AP797" s="171">
        <v>1</v>
      </c>
      <c r="AQ797" s="171">
        <v>1</v>
      </c>
      <c r="AR797" s="171">
        <v>1</v>
      </c>
      <c r="AS797" s="171">
        <v>1</v>
      </c>
      <c r="AT797" s="171">
        <v>1</v>
      </c>
      <c r="AU797" s="171">
        <f t="shared" si="324"/>
        <v>1</v>
      </c>
      <c r="AV797" s="171">
        <f t="shared" si="325"/>
        <v>1</v>
      </c>
      <c r="AW797" s="171">
        <f t="shared" si="326"/>
        <v>1</v>
      </c>
      <c r="AX797" s="171">
        <f t="shared" si="335"/>
        <v>1</v>
      </c>
      <c r="AY797" s="171">
        <f t="shared" si="327"/>
        <v>0</v>
      </c>
      <c r="AZ797" s="171">
        <f t="shared" si="328"/>
        <v>1</v>
      </c>
      <c r="BA797" s="172">
        <f t="shared" si="329"/>
        <v>0</v>
      </c>
      <c r="BB797" s="175">
        <f t="shared" si="332"/>
        <v>16</v>
      </c>
      <c r="BC797" s="176">
        <f t="shared" si="333"/>
        <v>16</v>
      </c>
      <c r="BD797" s="176">
        <f t="shared" si="334"/>
        <v>16</v>
      </c>
      <c r="BE797" s="240" t="str">
        <f t="shared" si="322"/>
        <v/>
      </c>
      <c r="BF797" s="234"/>
      <c r="BG797" s="234"/>
      <c r="BH797" s="214">
        <f>IF(AND(Input_Product=Elig!$C797,Elig_MatchAll_Ct&lt;22,$BC797=(Elig_MatchAll_Ct-1),AF797=0),C797,0)</f>
        <v>0</v>
      </c>
      <c r="BI797" s="214">
        <f>IF(AND(Input_Product=Elig!$C797,Elig_MatchAll_Ct&lt;22,$BC797=(Elig_MatchAll_Ct-1),AG797=0),D797,0)</f>
        <v>0</v>
      </c>
      <c r="BJ797" s="214">
        <f>IF(AND(Input_Product=Elig!$C797,Elig_MatchAll_Ct&lt;22,$BC797=(Elig_MatchAll_Ct-1),AH797=0),E797,0)</f>
        <v>0</v>
      </c>
      <c r="BK797" s="214">
        <f>IF(AND(Input_Product=Elig!$C797,Elig_MatchAll_Ct&lt;22,$BC797=(Elig_MatchAll_Ct-1),AI797=0),F797,0)</f>
        <v>0</v>
      </c>
      <c r="BL797" s="214">
        <f>IF(AND(Input_Product=Elig!$C797,Elig_MatchAll_Ct&lt;22,$BC797=(Elig_MatchAll_Ct-1),AJ797=0),G797,0)</f>
        <v>0</v>
      </c>
      <c r="BM797" s="214">
        <f>IF(AND(Input_Product=Elig!$C797,Elig_MatchAll_Ct&lt;22,$BC797=(Elig_MatchAll_Ct-1),AK797=0),H797,0)</f>
        <v>0</v>
      </c>
      <c r="BN797" s="214">
        <f>IF(AND(Input_Product=Elig!$C797,Elig_MatchAll_Ct&lt;22,$BC797=(Elig_MatchAll_Ct-1),AL797=0),I797,0)</f>
        <v>0</v>
      </c>
      <c r="BO797" s="214">
        <f>IF(AND(Input_Product=Elig!$C797,Elig_MatchAll_Ct&lt;22,$BC797=(Elig_MatchAll_Ct-1),AM797=0),J797,0)</f>
        <v>0</v>
      </c>
      <c r="BP797" s="214">
        <f>IF(AND(Input_Product=Elig!$C797,Elig_MatchAll_Ct&lt;22,$BC797=(Elig_MatchAll_Ct-1),AN797=0),K797,0)</f>
        <v>0</v>
      </c>
      <c r="BQ797" s="214">
        <f>IF(AND(Input_Product=Elig!$C797,Elig_MatchAll_Ct&lt;22,$BC797=(Elig_MatchAll_Ct-1),AP797=0),L797,0)</f>
        <v>0</v>
      </c>
      <c r="BR797" s="214">
        <f>IF(AND(Input_Product=Elig!$C797,Elig_MatchAll_Ct&lt;22,$BC797=(Elig_MatchAll_Ct-1),AO797=0),M797,0)</f>
        <v>0</v>
      </c>
      <c r="BS797" s="214">
        <f>IF(AND(Input_Product=Elig!$C797,Elig_MatchAll_Ct&lt;22,$BC797=(Elig_MatchAll_Ct-1),AQ797=0),N797,0)</f>
        <v>0</v>
      </c>
      <c r="BT797" s="214">
        <f>IF(AND(Input_Product=Elig!$C797,Elig_MatchAll_Ct&lt;22,$BC797=(Elig_MatchAll_Ct-1),AR797=0),O797,0)</f>
        <v>0</v>
      </c>
      <c r="BU797" s="214">
        <f>IF(AND(Input_Product=Elig!$C797,Elig_MatchAll_Ct&lt;22,$BC797=(Elig_MatchAll_Ct-1),AS797=0),P797,0)</f>
        <v>0</v>
      </c>
      <c r="BV797" s="215">
        <f>IF(AND(Input_Product=Elig!$C797,Elig_MatchAll_Ct&lt;22,$BC797=(Elig_MatchAll_Ct-1),AT797=0),Q797,0)</f>
        <v>0</v>
      </c>
      <c r="BW797" s="311">
        <f>IF(AND(Input_Product=Elig!$C797,Elig_MatchAll_Ct&lt;22,$BC797=(Elig_MatchAll_Ct-1),AU797=0),R797,0)</f>
        <v>0</v>
      </c>
      <c r="BX797" s="312">
        <f>IF(AND(Input_Product=Elig!$C797,Elig_MatchAll_Ct&lt;22,$BC797=(Elig_MatchAll_Ct-1),AU797=0),S797,0)</f>
        <v>0</v>
      </c>
      <c r="BY797" s="311">
        <f>IF(AND(Input_Product=Elig!$C797,Elig_MatchAll_Ct&lt;22,$BC797=(Elig_MatchAll_Ct-1),AV797=0),T797,0)</f>
        <v>0</v>
      </c>
      <c r="BZ797" s="312">
        <f>IF(AND(Input_Product=Elig!$C797,Elig_MatchAll_Ct&lt;22,$BC797=(Elig_MatchAll_Ct-1),AV797=0),U797,0)</f>
        <v>0</v>
      </c>
      <c r="CA797" s="311">
        <f>IF(AND(Input_Product=Elig!$C797,Elig_MatchAll_Ct&lt;22,$BC797=(Elig_MatchAll_Ct-1),AW797=0),V797,0)</f>
        <v>0</v>
      </c>
      <c r="CB797" s="312">
        <f>IF(AND(Input_Product=Elig!$C797,Elig_MatchAll_Ct&lt;22,$BC797=(Elig_MatchAll_Ct-1),AW797=0),W797,0)</f>
        <v>0</v>
      </c>
      <c r="CC797" s="311">
        <f>IF(AND(Input_Product=Elig!$C797,Elig_MatchAll_Ct&lt;22,$BC797=(Elig_MatchAll_Ct-1),AX797=0),X797,0)</f>
        <v>0</v>
      </c>
      <c r="CD797" s="312">
        <f>IF(AND(Input_Product=Elig!$C797,Elig_MatchAll_Ct&lt;22,$BC797=(Elig_MatchAll_Ct-1),AX797=0),Y797,0)</f>
        <v>0</v>
      </c>
      <c r="CE797" s="311">
        <f>IF(AND(Input_LTV&lt;=AE797,Input_Product=Elig!$C797,Elig_MatchAll_Ct&lt;22,$BC797=(Elig_MatchAll_Ct-1),AY797=0),Z797,0)</f>
        <v>0</v>
      </c>
      <c r="CF797" s="312">
        <f>IF(AND(Input_LTV&lt;=AE797,Input_Product=Elig!$C797,Elig_MatchAll_Ct&lt;22,$BC797=(Elig_MatchAll_Ct-1),AY797=0),AA797,0)</f>
        <v>0</v>
      </c>
      <c r="CG797" s="311">
        <f>IF(AND(Input_Product=Elig!$C797,Elig_MatchAll_Ct&lt;22,$BC797=(Elig_MatchAll_Ct-1),AZ797=0),AB797,0)</f>
        <v>0</v>
      </c>
      <c r="CH797" s="312">
        <f>IF(AND(Input_Product=Elig!$C797,Elig_MatchAll_Ct&lt;22,$BC797=(Elig_MatchAll_Ct-1),AZ797=0),AC797,0)</f>
        <v>0</v>
      </c>
      <c r="CI797" s="311">
        <f>IF(AND(Input_Product=Elig!$C797,Elig_MatchAll_Ct&lt;22,$BC797=(Elig_MatchAll_Ct-1),BA797=0),AD797,0)</f>
        <v>0</v>
      </c>
      <c r="CJ797" s="312">
        <f>IF(AND(Input_Product=Elig!$C797,Elig_MatchAll_Ct&lt;22,$BC797=(Elig_MatchAll_Ct-1),BA797=0),AE797,0)</f>
        <v>0</v>
      </c>
    </row>
    <row r="798" spans="2:88" ht="10.15" customHeight="1" x14ac:dyDescent="0.25">
      <c r="B798" s="2035" t="s">
        <v>3701</v>
      </c>
      <c r="C798" s="2040" t="str">
        <f t="shared" si="330"/>
        <v>Second NOO</v>
      </c>
      <c r="D798" s="2041" t="s">
        <v>1302</v>
      </c>
      <c r="E798" s="2041" t="s">
        <v>98</v>
      </c>
      <c r="F798" s="2041" t="s">
        <v>330</v>
      </c>
      <c r="G798" s="2103" t="s">
        <v>175</v>
      </c>
      <c r="H798" s="2041" t="s">
        <v>446</v>
      </c>
      <c r="I798" s="2039" t="s">
        <v>1332</v>
      </c>
      <c r="J798" s="2039" t="s">
        <v>1311</v>
      </c>
      <c r="K798" s="2041" t="s">
        <v>1790</v>
      </c>
      <c r="L798" s="2039" t="s">
        <v>430</v>
      </c>
      <c r="M798" s="2039" t="s">
        <v>2677</v>
      </c>
      <c r="N798" s="2041" t="s">
        <v>82</v>
      </c>
      <c r="O798" s="2039" t="s">
        <v>310</v>
      </c>
      <c r="P798" s="2039" t="s">
        <v>291</v>
      </c>
      <c r="Q798" s="2039" t="s">
        <v>294</v>
      </c>
      <c r="R798" s="2039">
        <v>200000</v>
      </c>
      <c r="S798" s="2039">
        <v>350000</v>
      </c>
      <c r="T798" s="2039">
        <v>0</v>
      </c>
      <c r="U798" s="2039">
        <f t="shared" si="331"/>
        <v>350000</v>
      </c>
      <c r="V798" s="2039">
        <v>0</v>
      </c>
      <c r="W798" s="2039">
        <v>50</v>
      </c>
      <c r="X798" s="2039">
        <v>0</v>
      </c>
      <c r="Y798" s="2039">
        <v>999</v>
      </c>
      <c r="Z798" s="2042">
        <v>720</v>
      </c>
      <c r="AA798" s="2042">
        <v>999</v>
      </c>
      <c r="AB798" s="2042">
        <v>0</v>
      </c>
      <c r="AC798" s="2042">
        <v>999999</v>
      </c>
      <c r="AD798" s="2039">
        <v>0</v>
      </c>
      <c r="AE798" s="2108">
        <v>80</v>
      </c>
      <c r="AF798" s="170">
        <v>0</v>
      </c>
      <c r="AG798" s="171">
        <v>0</v>
      </c>
      <c r="AH798" s="171">
        <v>1</v>
      </c>
      <c r="AI798" s="171">
        <v>0</v>
      </c>
      <c r="AJ798" s="171">
        <v>0</v>
      </c>
      <c r="AK798" s="171">
        <v>0</v>
      </c>
      <c r="AL798" s="171">
        <v>1</v>
      </c>
      <c r="AM798" s="171">
        <v>1</v>
      </c>
      <c r="AN798" s="171">
        <v>1</v>
      </c>
      <c r="AO798" s="171">
        <v>1</v>
      </c>
      <c r="AP798" s="171">
        <v>1</v>
      </c>
      <c r="AQ798" s="171">
        <v>1</v>
      </c>
      <c r="AR798" s="171">
        <v>1</v>
      </c>
      <c r="AS798" s="171">
        <v>1</v>
      </c>
      <c r="AT798" s="171">
        <v>1</v>
      </c>
      <c r="AU798" s="171">
        <f t="shared" si="324"/>
        <v>1</v>
      </c>
      <c r="AV798" s="171">
        <f t="shared" si="325"/>
        <v>1</v>
      </c>
      <c r="AW798" s="171">
        <f t="shared" si="326"/>
        <v>1</v>
      </c>
      <c r="AX798" s="171">
        <f t="shared" si="335"/>
        <v>1</v>
      </c>
      <c r="AY798" s="171">
        <f t="shared" si="327"/>
        <v>1</v>
      </c>
      <c r="AZ798" s="171">
        <f t="shared" si="328"/>
        <v>1</v>
      </c>
      <c r="BA798" s="172">
        <f t="shared" si="329"/>
        <v>1</v>
      </c>
      <c r="BB798" s="175">
        <f t="shared" si="332"/>
        <v>17</v>
      </c>
      <c r="BC798" s="176">
        <f t="shared" si="333"/>
        <v>16</v>
      </c>
      <c r="BD798" s="176">
        <f t="shared" si="334"/>
        <v>17</v>
      </c>
      <c r="BE798" s="240" t="str">
        <f t="shared" si="322"/>
        <v/>
      </c>
      <c r="BF798" s="220"/>
      <c r="BG798" s="220"/>
      <c r="BH798" s="216">
        <f>IF(AND(Input_Product=Elig!$C798,Elig_MatchAll_Ct&lt;22,$BC798=(Elig_MatchAll_Ct-1),AF798=0),C798,0)</f>
        <v>0</v>
      </c>
      <c r="BI798" s="216">
        <f>IF(AND(Input_Product=Elig!$C798,Elig_MatchAll_Ct&lt;22,$BC798=(Elig_MatchAll_Ct-1),AG798=0),D798,0)</f>
        <v>0</v>
      </c>
      <c r="BJ798" s="216">
        <f>IF(AND(Input_Product=Elig!$C798,Elig_MatchAll_Ct&lt;22,$BC798=(Elig_MatchAll_Ct-1),AH798=0),E798,0)</f>
        <v>0</v>
      </c>
      <c r="BK798" s="216">
        <f>IF(AND(Input_Product=Elig!$C798,Elig_MatchAll_Ct&lt;22,$BC798=(Elig_MatchAll_Ct-1),AI798=0),F798,0)</f>
        <v>0</v>
      </c>
      <c r="BL798" s="216">
        <f>IF(AND(Input_Product=Elig!$C798,Elig_MatchAll_Ct&lt;22,$BC798=(Elig_MatchAll_Ct-1),AJ798=0),G798,0)</f>
        <v>0</v>
      </c>
      <c r="BM798" s="216">
        <f>IF(AND(Input_Product=Elig!$C798,Elig_MatchAll_Ct&lt;22,$BC798=(Elig_MatchAll_Ct-1),AK798=0),H798,0)</f>
        <v>0</v>
      </c>
      <c r="BN798" s="216">
        <f>IF(AND(Input_Product=Elig!$C798,Elig_MatchAll_Ct&lt;22,$BC798=(Elig_MatchAll_Ct-1),AL798=0),I798,0)</f>
        <v>0</v>
      </c>
      <c r="BO798" s="216">
        <f>IF(AND(Input_Product=Elig!$C798,Elig_MatchAll_Ct&lt;22,$BC798=(Elig_MatchAll_Ct-1),AM798=0),J798,0)</f>
        <v>0</v>
      </c>
      <c r="BP798" s="216">
        <f>IF(AND(Input_Product=Elig!$C798,Elig_MatchAll_Ct&lt;22,$BC798=(Elig_MatchAll_Ct-1),AN798=0),K798,0)</f>
        <v>0</v>
      </c>
      <c r="BQ798" s="216">
        <f>IF(AND(Input_Product=Elig!$C798,Elig_MatchAll_Ct&lt;22,$BC798=(Elig_MatchAll_Ct-1),AP798=0),L798,0)</f>
        <v>0</v>
      </c>
      <c r="BR798" s="216">
        <f>IF(AND(Input_Product=Elig!$C798,Elig_MatchAll_Ct&lt;22,$BC798=(Elig_MatchAll_Ct-1),AO798=0),M798,0)</f>
        <v>0</v>
      </c>
      <c r="BS798" s="216">
        <f>IF(AND(Input_Product=Elig!$C798,Elig_MatchAll_Ct&lt;22,$BC798=(Elig_MatchAll_Ct-1),AQ798=0),N798,0)</f>
        <v>0</v>
      </c>
      <c r="BT798" s="216">
        <f>IF(AND(Input_Product=Elig!$C798,Elig_MatchAll_Ct&lt;22,$BC798=(Elig_MatchAll_Ct-1),AR798=0),O798,0)</f>
        <v>0</v>
      </c>
      <c r="BU798" s="216">
        <f>IF(AND(Input_Product=Elig!$C798,Elig_MatchAll_Ct&lt;22,$BC798=(Elig_MatchAll_Ct-1),AS798=0),P798,0)</f>
        <v>0</v>
      </c>
      <c r="BV798" s="217">
        <f>IF(AND(Input_Product=Elig!$C798,Elig_MatchAll_Ct&lt;22,$BC798=(Elig_MatchAll_Ct-1),AT798=0),Q798,0)</f>
        <v>0</v>
      </c>
      <c r="BW798" s="313">
        <f>IF(AND(Input_Product=Elig!$C798,Elig_MatchAll_Ct&lt;22,$BC798=(Elig_MatchAll_Ct-1),AU798=0),R798,0)</f>
        <v>0</v>
      </c>
      <c r="BX798" s="314">
        <f>IF(AND(Input_Product=Elig!$C798,Elig_MatchAll_Ct&lt;22,$BC798=(Elig_MatchAll_Ct-1),AU798=0),S798,0)</f>
        <v>0</v>
      </c>
      <c r="BY798" s="313">
        <f>IF(AND(Input_Product=Elig!$C798,Elig_MatchAll_Ct&lt;22,$BC798=(Elig_MatchAll_Ct-1),AV798=0),T798,0)</f>
        <v>0</v>
      </c>
      <c r="BZ798" s="314">
        <f>IF(AND(Input_Product=Elig!$C798,Elig_MatchAll_Ct&lt;22,$BC798=(Elig_MatchAll_Ct-1),AV798=0),U798,0)</f>
        <v>0</v>
      </c>
      <c r="CA798" s="313">
        <f>IF(AND(Input_Product=Elig!$C798,Elig_MatchAll_Ct&lt;22,$BC798=(Elig_MatchAll_Ct-1),AW798=0),V798,0)</f>
        <v>0</v>
      </c>
      <c r="CB798" s="314">
        <f>IF(AND(Input_Product=Elig!$C798,Elig_MatchAll_Ct&lt;22,$BC798=(Elig_MatchAll_Ct-1),AW798=0),W798,0)</f>
        <v>0</v>
      </c>
      <c r="CC798" s="313">
        <f>IF(AND(Input_Product=Elig!$C798,Elig_MatchAll_Ct&lt;22,$BC798=(Elig_MatchAll_Ct-1),AX798=0),X798,0)</f>
        <v>0</v>
      </c>
      <c r="CD798" s="314">
        <f>IF(AND(Input_Product=Elig!$C798,Elig_MatchAll_Ct&lt;22,$BC798=(Elig_MatchAll_Ct-1),AX798=0),Y798,0)</f>
        <v>0</v>
      </c>
      <c r="CE798" s="313">
        <f>IF(AND(Input_LTV&lt;=AE798,Input_Product=Elig!$C798,Elig_MatchAll_Ct&lt;22,$BC798=(Elig_MatchAll_Ct-1),AY798=0),Z798,0)</f>
        <v>0</v>
      </c>
      <c r="CF798" s="314">
        <f>IF(AND(Input_LTV&lt;=AE798,Input_Product=Elig!$C798,Elig_MatchAll_Ct&lt;22,$BC798=(Elig_MatchAll_Ct-1),AY798=0),AA798,0)</f>
        <v>0</v>
      </c>
      <c r="CG798" s="313">
        <f>IF(AND(Input_Product=Elig!$C798,Elig_MatchAll_Ct&lt;22,$BC798=(Elig_MatchAll_Ct-1),AZ798=0),AB798,0)</f>
        <v>0</v>
      </c>
      <c r="CH798" s="314">
        <f>IF(AND(Input_Product=Elig!$C798,Elig_MatchAll_Ct&lt;22,$BC798=(Elig_MatchAll_Ct-1),AZ798=0),AC798,0)</f>
        <v>0</v>
      </c>
      <c r="CI798" s="313">
        <f>IF(AND(Input_Product=Elig!$C798,Elig_MatchAll_Ct&lt;22,$BC798=(Elig_MatchAll_Ct-1),BA798=0),AD798,0)</f>
        <v>0</v>
      </c>
      <c r="CJ798" s="314">
        <f>IF(AND(Input_Product=Elig!$C798,Elig_MatchAll_Ct&lt;22,$BC798=(Elig_MatchAll_Ct-1),BA798=0),AE798,0)</f>
        <v>0</v>
      </c>
    </row>
    <row r="799" spans="2:88" ht="10.15" customHeight="1" x14ac:dyDescent="0.25">
      <c r="B799" s="2035" t="s">
        <v>3702</v>
      </c>
      <c r="C799" s="2036" t="str">
        <f t="shared" si="330"/>
        <v>Second NOO</v>
      </c>
      <c r="D799" s="2035" t="s">
        <v>1302</v>
      </c>
      <c r="E799" s="2035" t="s">
        <v>98</v>
      </c>
      <c r="F799" s="2035" t="s">
        <v>330</v>
      </c>
      <c r="G799" s="2110" t="s">
        <v>175</v>
      </c>
      <c r="H799" s="2037" t="s">
        <v>446</v>
      </c>
      <c r="I799" s="2035" t="s">
        <v>1332</v>
      </c>
      <c r="J799" s="2035" t="s">
        <v>1311</v>
      </c>
      <c r="K799" s="2037" t="s">
        <v>1790</v>
      </c>
      <c r="L799" s="2035" t="s">
        <v>430</v>
      </c>
      <c r="M799" s="2035" t="s">
        <v>2677</v>
      </c>
      <c r="N799" s="2037" t="s">
        <v>82</v>
      </c>
      <c r="O799" s="2035" t="s">
        <v>310</v>
      </c>
      <c r="P799" s="2035" t="s">
        <v>291</v>
      </c>
      <c r="Q799" s="2035" t="s">
        <v>294</v>
      </c>
      <c r="R799" s="2035">
        <v>200000</v>
      </c>
      <c r="S799" s="2035">
        <v>350000</v>
      </c>
      <c r="T799" s="2035">
        <v>0</v>
      </c>
      <c r="U799" s="2035">
        <f t="shared" si="331"/>
        <v>350000</v>
      </c>
      <c r="V799" s="2035">
        <v>0</v>
      </c>
      <c r="W799" s="2035">
        <v>50</v>
      </c>
      <c r="X799" s="2035">
        <v>0</v>
      </c>
      <c r="Y799" s="2035">
        <v>999</v>
      </c>
      <c r="Z799" s="2038">
        <v>700</v>
      </c>
      <c r="AA799" s="2038">
        <v>719</v>
      </c>
      <c r="AB799" s="2038">
        <v>0</v>
      </c>
      <c r="AC799" s="2038">
        <v>999999</v>
      </c>
      <c r="AD799" s="2035">
        <v>0</v>
      </c>
      <c r="AE799" s="2109">
        <v>75</v>
      </c>
      <c r="AF799" s="170">
        <v>0</v>
      </c>
      <c r="AG799" s="171">
        <v>0</v>
      </c>
      <c r="AH799" s="171">
        <v>1</v>
      </c>
      <c r="AI799" s="171">
        <v>0</v>
      </c>
      <c r="AJ799" s="171">
        <v>0</v>
      </c>
      <c r="AK799" s="171">
        <v>0</v>
      </c>
      <c r="AL799" s="171">
        <v>1</v>
      </c>
      <c r="AM799" s="171">
        <v>1</v>
      </c>
      <c r="AN799" s="171">
        <v>1</v>
      </c>
      <c r="AO799" s="171">
        <v>1</v>
      </c>
      <c r="AP799" s="171">
        <v>1</v>
      </c>
      <c r="AQ799" s="171">
        <v>1</v>
      </c>
      <c r="AR799" s="171">
        <v>1</v>
      </c>
      <c r="AS799" s="171">
        <v>1</v>
      </c>
      <c r="AT799" s="171">
        <v>1</v>
      </c>
      <c r="AU799" s="171">
        <f t="shared" si="324"/>
        <v>1</v>
      </c>
      <c r="AV799" s="171">
        <f t="shared" si="325"/>
        <v>1</v>
      </c>
      <c r="AW799" s="171">
        <f t="shared" si="326"/>
        <v>1</v>
      </c>
      <c r="AX799" s="171">
        <f t="shared" si="335"/>
        <v>1</v>
      </c>
      <c r="AY799" s="171">
        <f t="shared" si="327"/>
        <v>0</v>
      </c>
      <c r="AZ799" s="171">
        <f t="shared" si="328"/>
        <v>1</v>
      </c>
      <c r="BA799" s="172">
        <f t="shared" si="329"/>
        <v>1</v>
      </c>
      <c r="BB799" s="175">
        <f t="shared" si="332"/>
        <v>16</v>
      </c>
      <c r="BC799" s="176">
        <f t="shared" si="333"/>
        <v>15</v>
      </c>
      <c r="BD799" s="176">
        <f t="shared" si="334"/>
        <v>16</v>
      </c>
      <c r="BE799" s="240" t="str">
        <f t="shared" si="322"/>
        <v/>
      </c>
      <c r="BF799" s="234"/>
      <c r="BG799" s="234"/>
      <c r="BH799" s="199">
        <f>IF(AND(Input_Product=Elig!$C799,Elig_MatchAll_Ct&lt;22,$BC799=(Elig_MatchAll_Ct-1),AF799=0),C799,0)</f>
        <v>0</v>
      </c>
      <c r="BI799" s="199">
        <f>IF(AND(Input_Product=Elig!$C799,Elig_MatchAll_Ct&lt;22,$BC799=(Elig_MatchAll_Ct-1),AG799=0),D799,0)</f>
        <v>0</v>
      </c>
      <c r="BJ799" s="199">
        <f>IF(AND(Input_Product=Elig!$C799,Elig_MatchAll_Ct&lt;22,$BC799=(Elig_MatchAll_Ct-1),AH799=0),E799,0)</f>
        <v>0</v>
      </c>
      <c r="BK799" s="199">
        <f>IF(AND(Input_Product=Elig!$C799,Elig_MatchAll_Ct&lt;22,$BC799=(Elig_MatchAll_Ct-1),AI799=0),F799,0)</f>
        <v>0</v>
      </c>
      <c r="BL799" s="199">
        <f>IF(AND(Input_Product=Elig!$C799,Elig_MatchAll_Ct&lt;22,$BC799=(Elig_MatchAll_Ct-1),AJ799=0),G799,0)</f>
        <v>0</v>
      </c>
      <c r="BM799" s="199">
        <f>IF(AND(Input_Product=Elig!$C799,Elig_MatchAll_Ct&lt;22,$BC799=(Elig_MatchAll_Ct-1),AK799=0),H799,0)</f>
        <v>0</v>
      </c>
      <c r="BN799" s="199">
        <f>IF(AND(Input_Product=Elig!$C799,Elig_MatchAll_Ct&lt;22,$BC799=(Elig_MatchAll_Ct-1),AL799=0),I799,0)</f>
        <v>0</v>
      </c>
      <c r="BO799" s="199">
        <f>IF(AND(Input_Product=Elig!$C799,Elig_MatchAll_Ct&lt;22,$BC799=(Elig_MatchAll_Ct-1),AM799=0),J799,0)</f>
        <v>0</v>
      </c>
      <c r="BP799" s="199">
        <f>IF(AND(Input_Product=Elig!$C799,Elig_MatchAll_Ct&lt;22,$BC799=(Elig_MatchAll_Ct-1),AN799=0),K799,0)</f>
        <v>0</v>
      </c>
      <c r="BQ799" s="199">
        <f>IF(AND(Input_Product=Elig!$C799,Elig_MatchAll_Ct&lt;22,$BC799=(Elig_MatchAll_Ct-1),AP799=0),L799,0)</f>
        <v>0</v>
      </c>
      <c r="BR799" s="199">
        <f>IF(AND(Input_Product=Elig!$C799,Elig_MatchAll_Ct&lt;22,$BC799=(Elig_MatchAll_Ct-1),AO799=0),M799,0)</f>
        <v>0</v>
      </c>
      <c r="BS799" s="199">
        <f>IF(AND(Input_Product=Elig!$C799,Elig_MatchAll_Ct&lt;22,$BC799=(Elig_MatchAll_Ct-1),AQ799=0),N799,0)</f>
        <v>0</v>
      </c>
      <c r="BT799" s="199">
        <f>IF(AND(Input_Product=Elig!$C799,Elig_MatchAll_Ct&lt;22,$BC799=(Elig_MatchAll_Ct-1),AR799=0),O799,0)</f>
        <v>0</v>
      </c>
      <c r="BU799" s="199">
        <f>IF(AND(Input_Product=Elig!$C799,Elig_MatchAll_Ct&lt;22,$BC799=(Elig_MatchAll_Ct-1),AS799=0),P799,0)</f>
        <v>0</v>
      </c>
      <c r="BV799" s="200">
        <f>IF(AND(Input_Product=Elig!$C799,Elig_MatchAll_Ct&lt;22,$BC799=(Elig_MatchAll_Ct-1),AT799=0),Q799,0)</f>
        <v>0</v>
      </c>
      <c r="BW799" s="201">
        <f>IF(AND(Input_Product=Elig!$C799,Elig_MatchAll_Ct&lt;22,$BC799=(Elig_MatchAll_Ct-1),AU799=0),R799,0)</f>
        <v>0</v>
      </c>
      <c r="BX799" s="202">
        <f>IF(AND(Input_Product=Elig!$C799,Elig_MatchAll_Ct&lt;22,$BC799=(Elig_MatchAll_Ct-1),AU799=0),S799,0)</f>
        <v>0</v>
      </c>
      <c r="BY799" s="201">
        <f>IF(AND(Input_Product=Elig!$C799,Elig_MatchAll_Ct&lt;22,$BC799=(Elig_MatchAll_Ct-1),AV799=0),T799,0)</f>
        <v>0</v>
      </c>
      <c r="BZ799" s="202">
        <f>IF(AND(Input_Product=Elig!$C799,Elig_MatchAll_Ct&lt;22,$BC799=(Elig_MatchAll_Ct-1),AV799=0),U799,0)</f>
        <v>0</v>
      </c>
      <c r="CA799" s="201">
        <f>IF(AND(Input_Product=Elig!$C799,Elig_MatchAll_Ct&lt;22,$BC799=(Elig_MatchAll_Ct-1),AW799=0),V799,0)</f>
        <v>0</v>
      </c>
      <c r="CB799" s="202">
        <f>IF(AND(Input_Product=Elig!$C799,Elig_MatchAll_Ct&lt;22,$BC799=(Elig_MatchAll_Ct-1),AW799=0),W799,0)</f>
        <v>0</v>
      </c>
      <c r="CC799" s="201">
        <f>IF(AND(Input_Product=Elig!$C799,Elig_MatchAll_Ct&lt;22,$BC799=(Elig_MatchAll_Ct-1),AX799=0),X799,0)</f>
        <v>0</v>
      </c>
      <c r="CD799" s="202">
        <f>IF(AND(Input_Product=Elig!$C799,Elig_MatchAll_Ct&lt;22,$BC799=(Elig_MatchAll_Ct-1),AX799=0),Y799,0)</f>
        <v>0</v>
      </c>
      <c r="CE799" s="201">
        <f>IF(AND(Input_LTV&lt;=AE799,Input_Product=Elig!$C799,Elig_MatchAll_Ct&lt;22,$BC799=(Elig_MatchAll_Ct-1),AY799=0),Z799,0)</f>
        <v>0</v>
      </c>
      <c r="CF799" s="202">
        <f>IF(AND(Input_LTV&lt;=AE799,Input_Product=Elig!$C799,Elig_MatchAll_Ct&lt;22,$BC799=(Elig_MatchAll_Ct-1),AY799=0),AA799,0)</f>
        <v>0</v>
      </c>
      <c r="CG799" s="201">
        <f>IF(AND(Input_Product=Elig!$C799,Elig_MatchAll_Ct&lt;22,$BC799=(Elig_MatchAll_Ct-1),AZ799=0),AB799,0)</f>
        <v>0</v>
      </c>
      <c r="CH799" s="202">
        <f>IF(AND(Input_Product=Elig!$C799,Elig_MatchAll_Ct&lt;22,$BC799=(Elig_MatchAll_Ct-1),AZ799=0),AC799,0)</f>
        <v>0</v>
      </c>
      <c r="CI799" s="201">
        <f>IF(AND(Input_Product=Elig!$C799,Elig_MatchAll_Ct&lt;22,$BC799=(Elig_MatchAll_Ct-1),BA799=0),AD799,0)</f>
        <v>0</v>
      </c>
      <c r="CJ799" s="202">
        <f>IF(AND(Input_Product=Elig!$C799,Elig_MatchAll_Ct&lt;22,$BC799=(Elig_MatchAll_Ct-1),BA799=0),AE799,0)</f>
        <v>0</v>
      </c>
    </row>
    <row r="800" spans="2:88" ht="10.15" customHeight="1" x14ac:dyDescent="0.25">
      <c r="B800" s="2035" t="s">
        <v>3703</v>
      </c>
      <c r="C800" s="2036" t="str">
        <f t="shared" si="330"/>
        <v>Second NOO</v>
      </c>
      <c r="D800" s="2035" t="s">
        <v>1302</v>
      </c>
      <c r="E800" s="2035" t="s">
        <v>98</v>
      </c>
      <c r="F800" s="2035" t="s">
        <v>330</v>
      </c>
      <c r="G800" s="2110" t="s">
        <v>175</v>
      </c>
      <c r="H800" s="2037" t="s">
        <v>446</v>
      </c>
      <c r="I800" s="2035" t="s">
        <v>1332</v>
      </c>
      <c r="J800" s="2035" t="s">
        <v>1311</v>
      </c>
      <c r="K800" s="2037" t="s">
        <v>1790</v>
      </c>
      <c r="L800" s="2035" t="s">
        <v>430</v>
      </c>
      <c r="M800" s="2035" t="s">
        <v>2677</v>
      </c>
      <c r="N800" s="2037" t="s">
        <v>82</v>
      </c>
      <c r="O800" s="2035" t="s">
        <v>310</v>
      </c>
      <c r="P800" s="2035" t="s">
        <v>291</v>
      </c>
      <c r="Q800" s="2035" t="s">
        <v>294</v>
      </c>
      <c r="R800" s="2035">
        <v>200000</v>
      </c>
      <c r="S800" s="2035">
        <v>350000</v>
      </c>
      <c r="T800" s="2035">
        <v>0</v>
      </c>
      <c r="U800" s="2035">
        <f t="shared" si="331"/>
        <v>350000</v>
      </c>
      <c r="V800" s="2035">
        <v>0</v>
      </c>
      <c r="W800" s="2035">
        <v>50</v>
      </c>
      <c r="X800" s="2035">
        <v>0</v>
      </c>
      <c r="Y800" s="2035">
        <v>999</v>
      </c>
      <c r="Z800" s="2038">
        <v>680</v>
      </c>
      <c r="AA800" s="2038">
        <v>699</v>
      </c>
      <c r="AB800" s="2038">
        <v>0</v>
      </c>
      <c r="AC800" s="2038">
        <v>999999</v>
      </c>
      <c r="AD800" s="2035">
        <v>0</v>
      </c>
      <c r="AE800" s="2109">
        <v>70</v>
      </c>
      <c r="AF800" s="170">
        <v>0</v>
      </c>
      <c r="AG800" s="171">
        <v>0</v>
      </c>
      <c r="AH800" s="171">
        <v>1</v>
      </c>
      <c r="AI800" s="171">
        <v>0</v>
      </c>
      <c r="AJ800" s="171">
        <v>0</v>
      </c>
      <c r="AK800" s="171">
        <v>0</v>
      </c>
      <c r="AL800" s="171">
        <v>1</v>
      </c>
      <c r="AM800" s="171">
        <v>1</v>
      </c>
      <c r="AN800" s="171">
        <v>1</v>
      </c>
      <c r="AO800" s="171">
        <v>1</v>
      </c>
      <c r="AP800" s="171">
        <v>1</v>
      </c>
      <c r="AQ800" s="171">
        <v>1</v>
      </c>
      <c r="AR800" s="171">
        <v>1</v>
      </c>
      <c r="AS800" s="171">
        <v>1</v>
      </c>
      <c r="AT800" s="171">
        <v>1</v>
      </c>
      <c r="AU800" s="171">
        <f t="shared" si="324"/>
        <v>1</v>
      </c>
      <c r="AV800" s="171">
        <f t="shared" si="325"/>
        <v>1</v>
      </c>
      <c r="AW800" s="171">
        <f t="shared" si="326"/>
        <v>1</v>
      </c>
      <c r="AX800" s="171">
        <f t="shared" si="335"/>
        <v>1</v>
      </c>
      <c r="AY800" s="171">
        <f t="shared" si="327"/>
        <v>0</v>
      </c>
      <c r="AZ800" s="171">
        <f t="shared" si="328"/>
        <v>1</v>
      </c>
      <c r="BA800" s="172">
        <f t="shared" si="329"/>
        <v>1</v>
      </c>
      <c r="BB800" s="175">
        <f t="shared" si="332"/>
        <v>16</v>
      </c>
      <c r="BC800" s="176">
        <f t="shared" si="333"/>
        <v>15</v>
      </c>
      <c r="BD800" s="176">
        <f t="shared" si="334"/>
        <v>16</v>
      </c>
      <c r="BE800" s="240" t="str">
        <f t="shared" si="322"/>
        <v/>
      </c>
      <c r="BF800" s="234"/>
      <c r="BG800" s="234"/>
      <c r="BH800" s="199">
        <f>IF(AND(Input_Product=Elig!$C800,Elig_MatchAll_Ct&lt;22,$BC800=(Elig_MatchAll_Ct-1),AF800=0),C800,0)</f>
        <v>0</v>
      </c>
      <c r="BI800" s="199">
        <f>IF(AND(Input_Product=Elig!$C800,Elig_MatchAll_Ct&lt;22,$BC800=(Elig_MatchAll_Ct-1),AG800=0),D800,0)</f>
        <v>0</v>
      </c>
      <c r="BJ800" s="199">
        <f>IF(AND(Input_Product=Elig!$C800,Elig_MatchAll_Ct&lt;22,$BC800=(Elig_MatchAll_Ct-1),AH800=0),E800,0)</f>
        <v>0</v>
      </c>
      <c r="BK800" s="199">
        <f>IF(AND(Input_Product=Elig!$C800,Elig_MatchAll_Ct&lt;22,$BC800=(Elig_MatchAll_Ct-1),AI800=0),F800,0)</f>
        <v>0</v>
      </c>
      <c r="BL800" s="199">
        <f>IF(AND(Input_Product=Elig!$C800,Elig_MatchAll_Ct&lt;22,$BC800=(Elig_MatchAll_Ct-1),AJ800=0),G800,0)</f>
        <v>0</v>
      </c>
      <c r="BM800" s="199">
        <f>IF(AND(Input_Product=Elig!$C800,Elig_MatchAll_Ct&lt;22,$BC800=(Elig_MatchAll_Ct-1),AK800=0),H800,0)</f>
        <v>0</v>
      </c>
      <c r="BN800" s="199">
        <f>IF(AND(Input_Product=Elig!$C800,Elig_MatchAll_Ct&lt;22,$BC800=(Elig_MatchAll_Ct-1),AL800=0),I800,0)</f>
        <v>0</v>
      </c>
      <c r="BO800" s="199">
        <f>IF(AND(Input_Product=Elig!$C800,Elig_MatchAll_Ct&lt;22,$BC800=(Elig_MatchAll_Ct-1),AM800=0),J800,0)</f>
        <v>0</v>
      </c>
      <c r="BP800" s="199">
        <f>IF(AND(Input_Product=Elig!$C800,Elig_MatchAll_Ct&lt;22,$BC800=(Elig_MatchAll_Ct-1),AN800=0),K800,0)</f>
        <v>0</v>
      </c>
      <c r="BQ800" s="199">
        <f>IF(AND(Input_Product=Elig!$C800,Elig_MatchAll_Ct&lt;22,$BC800=(Elig_MatchAll_Ct-1),AP800=0),L800,0)</f>
        <v>0</v>
      </c>
      <c r="BR800" s="199">
        <f>IF(AND(Input_Product=Elig!$C800,Elig_MatchAll_Ct&lt;22,$BC800=(Elig_MatchAll_Ct-1),AO800=0),M800,0)</f>
        <v>0</v>
      </c>
      <c r="BS800" s="199">
        <f>IF(AND(Input_Product=Elig!$C800,Elig_MatchAll_Ct&lt;22,$BC800=(Elig_MatchAll_Ct-1),AQ800=0),N800,0)</f>
        <v>0</v>
      </c>
      <c r="BT800" s="199">
        <f>IF(AND(Input_Product=Elig!$C800,Elig_MatchAll_Ct&lt;22,$BC800=(Elig_MatchAll_Ct-1),AR800=0),O800,0)</f>
        <v>0</v>
      </c>
      <c r="BU800" s="199">
        <f>IF(AND(Input_Product=Elig!$C800,Elig_MatchAll_Ct&lt;22,$BC800=(Elig_MatchAll_Ct-1),AS800=0),P800,0)</f>
        <v>0</v>
      </c>
      <c r="BV800" s="200">
        <f>IF(AND(Input_Product=Elig!$C800,Elig_MatchAll_Ct&lt;22,$BC800=(Elig_MatchAll_Ct-1),AT800=0),Q800,0)</f>
        <v>0</v>
      </c>
      <c r="BW800" s="201">
        <f>IF(AND(Input_Product=Elig!$C800,Elig_MatchAll_Ct&lt;22,$BC800=(Elig_MatchAll_Ct-1),AU800=0),R800,0)</f>
        <v>0</v>
      </c>
      <c r="BX800" s="202">
        <f>IF(AND(Input_Product=Elig!$C800,Elig_MatchAll_Ct&lt;22,$BC800=(Elig_MatchAll_Ct-1),AU800=0),S800,0)</f>
        <v>0</v>
      </c>
      <c r="BY800" s="201">
        <f>IF(AND(Input_Product=Elig!$C800,Elig_MatchAll_Ct&lt;22,$BC800=(Elig_MatchAll_Ct-1),AV800=0),T800,0)</f>
        <v>0</v>
      </c>
      <c r="BZ800" s="202">
        <f>IF(AND(Input_Product=Elig!$C800,Elig_MatchAll_Ct&lt;22,$BC800=(Elig_MatchAll_Ct-1),AV800=0),U800,0)</f>
        <v>0</v>
      </c>
      <c r="CA800" s="201">
        <f>IF(AND(Input_Product=Elig!$C800,Elig_MatchAll_Ct&lt;22,$BC800=(Elig_MatchAll_Ct-1),AW800=0),V800,0)</f>
        <v>0</v>
      </c>
      <c r="CB800" s="202">
        <f>IF(AND(Input_Product=Elig!$C800,Elig_MatchAll_Ct&lt;22,$BC800=(Elig_MatchAll_Ct-1),AW800=0),W800,0)</f>
        <v>0</v>
      </c>
      <c r="CC800" s="201">
        <f>IF(AND(Input_Product=Elig!$C800,Elig_MatchAll_Ct&lt;22,$BC800=(Elig_MatchAll_Ct-1),AX800=0),X800,0)</f>
        <v>0</v>
      </c>
      <c r="CD800" s="202">
        <f>IF(AND(Input_Product=Elig!$C800,Elig_MatchAll_Ct&lt;22,$BC800=(Elig_MatchAll_Ct-1),AX800=0),Y800,0)</f>
        <v>0</v>
      </c>
      <c r="CE800" s="201">
        <f>IF(AND(Input_LTV&lt;=AE800,Input_Product=Elig!$C800,Elig_MatchAll_Ct&lt;22,$BC800=(Elig_MatchAll_Ct-1),AY800=0),Z800,0)</f>
        <v>0</v>
      </c>
      <c r="CF800" s="202">
        <f>IF(AND(Input_LTV&lt;=AE800,Input_Product=Elig!$C800,Elig_MatchAll_Ct&lt;22,$BC800=(Elig_MatchAll_Ct-1),AY800=0),AA800,0)</f>
        <v>0</v>
      </c>
      <c r="CG800" s="201">
        <f>IF(AND(Input_Product=Elig!$C800,Elig_MatchAll_Ct&lt;22,$BC800=(Elig_MatchAll_Ct-1),AZ800=0),AB800,0)</f>
        <v>0</v>
      </c>
      <c r="CH800" s="202">
        <f>IF(AND(Input_Product=Elig!$C800,Elig_MatchAll_Ct&lt;22,$BC800=(Elig_MatchAll_Ct-1),AZ800=0),AC800,0)</f>
        <v>0</v>
      </c>
      <c r="CI800" s="201">
        <f>IF(AND(Input_Product=Elig!$C800,Elig_MatchAll_Ct&lt;22,$BC800=(Elig_MatchAll_Ct-1),BA800=0),AD800,0)</f>
        <v>0</v>
      </c>
      <c r="CJ800" s="202">
        <f>IF(AND(Input_Product=Elig!$C800,Elig_MatchAll_Ct&lt;22,$BC800=(Elig_MatchAll_Ct-1),BA800=0),AE800,0)</f>
        <v>0</v>
      </c>
    </row>
    <row r="801" spans="2:88" ht="10.15" customHeight="1" x14ac:dyDescent="0.25">
      <c r="B801" s="2035" t="s">
        <v>3704</v>
      </c>
      <c r="C801" s="2036" t="str">
        <f t="shared" si="330"/>
        <v>Second NOO</v>
      </c>
      <c r="D801" s="2035" t="s">
        <v>1302</v>
      </c>
      <c r="E801" s="2035" t="s">
        <v>98</v>
      </c>
      <c r="F801" s="2035" t="s">
        <v>330</v>
      </c>
      <c r="G801" s="2111" t="s">
        <v>175</v>
      </c>
      <c r="H801" s="2037" t="s">
        <v>446</v>
      </c>
      <c r="I801" s="2035" t="s">
        <v>1332</v>
      </c>
      <c r="J801" s="2037" t="s">
        <v>1311</v>
      </c>
      <c r="K801" s="2037" t="s">
        <v>1790</v>
      </c>
      <c r="L801" s="2035" t="s">
        <v>430</v>
      </c>
      <c r="M801" s="2035" t="s">
        <v>2677</v>
      </c>
      <c r="N801" s="2037" t="s">
        <v>82</v>
      </c>
      <c r="O801" s="2035" t="s">
        <v>310</v>
      </c>
      <c r="P801" s="2035" t="s">
        <v>291</v>
      </c>
      <c r="Q801" s="2035" t="s">
        <v>294</v>
      </c>
      <c r="R801" s="2035">
        <v>200000</v>
      </c>
      <c r="S801" s="2035">
        <v>350000</v>
      </c>
      <c r="T801" s="2035">
        <v>0</v>
      </c>
      <c r="U801" s="2035">
        <f t="shared" si="331"/>
        <v>350000</v>
      </c>
      <c r="V801" s="2035">
        <v>0</v>
      </c>
      <c r="W801" s="2035">
        <v>50</v>
      </c>
      <c r="X801" s="2035">
        <v>0</v>
      </c>
      <c r="Y801" s="2035">
        <v>999</v>
      </c>
      <c r="Z801" s="2038">
        <v>660</v>
      </c>
      <c r="AA801" s="2038">
        <v>679</v>
      </c>
      <c r="AB801" s="2038">
        <v>0</v>
      </c>
      <c r="AC801" s="2038">
        <v>999999</v>
      </c>
      <c r="AD801" s="2035">
        <v>0</v>
      </c>
      <c r="AE801" s="2035">
        <v>60</v>
      </c>
      <c r="AF801" s="170">
        <v>0</v>
      </c>
      <c r="AG801" s="171">
        <v>0</v>
      </c>
      <c r="AH801" s="171">
        <v>1</v>
      </c>
      <c r="AI801" s="171">
        <v>0</v>
      </c>
      <c r="AJ801" s="171">
        <v>0</v>
      </c>
      <c r="AK801" s="171">
        <v>0</v>
      </c>
      <c r="AL801" s="171">
        <v>1</v>
      </c>
      <c r="AM801" s="171">
        <v>1</v>
      </c>
      <c r="AN801" s="171">
        <v>1</v>
      </c>
      <c r="AO801" s="171">
        <v>1</v>
      </c>
      <c r="AP801" s="171">
        <v>1</v>
      </c>
      <c r="AQ801" s="171">
        <v>1</v>
      </c>
      <c r="AR801" s="171">
        <v>1</v>
      </c>
      <c r="AS801" s="171">
        <v>1</v>
      </c>
      <c r="AT801" s="171">
        <v>1</v>
      </c>
      <c r="AU801" s="171">
        <f t="shared" si="324"/>
        <v>1</v>
      </c>
      <c r="AV801" s="171">
        <f t="shared" si="325"/>
        <v>1</v>
      </c>
      <c r="AW801" s="171">
        <f t="shared" si="326"/>
        <v>1</v>
      </c>
      <c r="AX801" s="171">
        <f t="shared" si="335"/>
        <v>1</v>
      </c>
      <c r="AY801" s="171">
        <f t="shared" si="327"/>
        <v>0</v>
      </c>
      <c r="AZ801" s="171">
        <f t="shared" si="328"/>
        <v>1</v>
      </c>
      <c r="BA801" s="172">
        <f t="shared" si="329"/>
        <v>0</v>
      </c>
      <c r="BB801" s="175">
        <f t="shared" si="332"/>
        <v>15</v>
      </c>
      <c r="BC801" s="176">
        <f t="shared" si="333"/>
        <v>15</v>
      </c>
      <c r="BD801" s="176">
        <f t="shared" si="334"/>
        <v>15</v>
      </c>
      <c r="BE801" s="240" t="str">
        <f t="shared" si="322"/>
        <v/>
      </c>
      <c r="BF801" s="234"/>
      <c r="BG801" s="234"/>
      <c r="BH801" s="214">
        <f>IF(AND(Input_Product=Elig!$C801,Elig_MatchAll_Ct&lt;22,$BC801=(Elig_MatchAll_Ct-1),AF801=0),C801,0)</f>
        <v>0</v>
      </c>
      <c r="BI801" s="214">
        <f>IF(AND(Input_Product=Elig!$C801,Elig_MatchAll_Ct&lt;22,$BC801=(Elig_MatchAll_Ct-1),AG801=0),D801,0)</f>
        <v>0</v>
      </c>
      <c r="BJ801" s="214">
        <f>IF(AND(Input_Product=Elig!$C801,Elig_MatchAll_Ct&lt;22,$BC801=(Elig_MatchAll_Ct-1),AH801=0),E801,0)</f>
        <v>0</v>
      </c>
      <c r="BK801" s="214">
        <f>IF(AND(Input_Product=Elig!$C801,Elig_MatchAll_Ct&lt;22,$BC801=(Elig_MatchAll_Ct-1),AI801=0),F801,0)</f>
        <v>0</v>
      </c>
      <c r="BL801" s="214">
        <f>IF(AND(Input_Product=Elig!$C801,Elig_MatchAll_Ct&lt;22,$BC801=(Elig_MatchAll_Ct-1),AJ801=0),G801,0)</f>
        <v>0</v>
      </c>
      <c r="BM801" s="214">
        <f>IF(AND(Input_Product=Elig!$C801,Elig_MatchAll_Ct&lt;22,$BC801=(Elig_MatchAll_Ct-1),AK801=0),H801,0)</f>
        <v>0</v>
      </c>
      <c r="BN801" s="214">
        <f>IF(AND(Input_Product=Elig!$C801,Elig_MatchAll_Ct&lt;22,$BC801=(Elig_MatchAll_Ct-1),AL801=0),I801,0)</f>
        <v>0</v>
      </c>
      <c r="BO801" s="214">
        <f>IF(AND(Input_Product=Elig!$C801,Elig_MatchAll_Ct&lt;22,$BC801=(Elig_MatchAll_Ct-1),AM801=0),J801,0)</f>
        <v>0</v>
      </c>
      <c r="BP801" s="214">
        <f>IF(AND(Input_Product=Elig!$C801,Elig_MatchAll_Ct&lt;22,$BC801=(Elig_MatchAll_Ct-1),AN801=0),K801,0)</f>
        <v>0</v>
      </c>
      <c r="BQ801" s="214">
        <f>IF(AND(Input_Product=Elig!$C801,Elig_MatchAll_Ct&lt;22,$BC801=(Elig_MatchAll_Ct-1),AP801=0),L801,0)</f>
        <v>0</v>
      </c>
      <c r="BR801" s="214">
        <f>IF(AND(Input_Product=Elig!$C801,Elig_MatchAll_Ct&lt;22,$BC801=(Elig_MatchAll_Ct-1),AO801=0),M801,0)</f>
        <v>0</v>
      </c>
      <c r="BS801" s="214">
        <f>IF(AND(Input_Product=Elig!$C801,Elig_MatchAll_Ct&lt;22,$BC801=(Elig_MatchAll_Ct-1),AQ801=0),N801,0)</f>
        <v>0</v>
      </c>
      <c r="BT801" s="214">
        <f>IF(AND(Input_Product=Elig!$C801,Elig_MatchAll_Ct&lt;22,$BC801=(Elig_MatchAll_Ct-1),AR801=0),O801,0)</f>
        <v>0</v>
      </c>
      <c r="BU801" s="214">
        <f>IF(AND(Input_Product=Elig!$C801,Elig_MatchAll_Ct&lt;22,$BC801=(Elig_MatchAll_Ct-1),AS801=0),P801,0)</f>
        <v>0</v>
      </c>
      <c r="BV801" s="215">
        <f>IF(AND(Input_Product=Elig!$C801,Elig_MatchAll_Ct&lt;22,$BC801=(Elig_MatchAll_Ct-1),AT801=0),Q801,0)</f>
        <v>0</v>
      </c>
      <c r="BW801" s="311">
        <f>IF(AND(Input_Product=Elig!$C801,Elig_MatchAll_Ct&lt;22,$BC801=(Elig_MatchAll_Ct-1),AU801=0),R801,0)</f>
        <v>0</v>
      </c>
      <c r="BX801" s="312">
        <f>IF(AND(Input_Product=Elig!$C801,Elig_MatchAll_Ct&lt;22,$BC801=(Elig_MatchAll_Ct-1),AU801=0),S801,0)</f>
        <v>0</v>
      </c>
      <c r="BY801" s="311">
        <f>IF(AND(Input_Product=Elig!$C801,Elig_MatchAll_Ct&lt;22,$BC801=(Elig_MatchAll_Ct-1),AV801=0),T801,0)</f>
        <v>0</v>
      </c>
      <c r="BZ801" s="312">
        <f>IF(AND(Input_Product=Elig!$C801,Elig_MatchAll_Ct&lt;22,$BC801=(Elig_MatchAll_Ct-1),AV801=0),U801,0)</f>
        <v>0</v>
      </c>
      <c r="CA801" s="311">
        <f>IF(AND(Input_Product=Elig!$C801,Elig_MatchAll_Ct&lt;22,$BC801=(Elig_MatchAll_Ct-1),AW801=0),V801,0)</f>
        <v>0</v>
      </c>
      <c r="CB801" s="312">
        <f>IF(AND(Input_Product=Elig!$C801,Elig_MatchAll_Ct&lt;22,$BC801=(Elig_MatchAll_Ct-1),AW801=0),W801,0)</f>
        <v>0</v>
      </c>
      <c r="CC801" s="311">
        <f>IF(AND(Input_Product=Elig!$C801,Elig_MatchAll_Ct&lt;22,$BC801=(Elig_MatchAll_Ct-1),AX801=0),X801,0)</f>
        <v>0</v>
      </c>
      <c r="CD801" s="312">
        <f>IF(AND(Input_Product=Elig!$C801,Elig_MatchAll_Ct&lt;22,$BC801=(Elig_MatchAll_Ct-1),AX801=0),Y801,0)</f>
        <v>0</v>
      </c>
      <c r="CE801" s="311">
        <f>IF(AND(Input_LTV&lt;=AE801,Input_Product=Elig!$C801,Elig_MatchAll_Ct&lt;22,$BC801=(Elig_MatchAll_Ct-1),AY801=0),Z801,0)</f>
        <v>0</v>
      </c>
      <c r="CF801" s="312">
        <f>IF(AND(Input_LTV&lt;=AE801,Input_Product=Elig!$C801,Elig_MatchAll_Ct&lt;22,$BC801=(Elig_MatchAll_Ct-1),AY801=0),AA801,0)</f>
        <v>0</v>
      </c>
      <c r="CG801" s="311">
        <f>IF(AND(Input_Product=Elig!$C801,Elig_MatchAll_Ct&lt;22,$BC801=(Elig_MatchAll_Ct-1),AZ801=0),AB801,0)</f>
        <v>0</v>
      </c>
      <c r="CH801" s="312">
        <f>IF(AND(Input_Product=Elig!$C801,Elig_MatchAll_Ct&lt;22,$BC801=(Elig_MatchAll_Ct-1),AZ801=0),AC801,0)</f>
        <v>0</v>
      </c>
      <c r="CI801" s="311">
        <f>IF(AND(Input_Product=Elig!$C801,Elig_MatchAll_Ct&lt;22,$BC801=(Elig_MatchAll_Ct-1),BA801=0),AD801,0)</f>
        <v>0</v>
      </c>
      <c r="CJ801" s="312">
        <f>IF(AND(Input_Product=Elig!$C801,Elig_MatchAll_Ct&lt;22,$BC801=(Elig_MatchAll_Ct-1),BA801=0),AE801,0)</f>
        <v>0</v>
      </c>
    </row>
    <row r="802" spans="2:88" ht="10.15" customHeight="1" x14ac:dyDescent="0.25">
      <c r="B802" s="2035" t="s">
        <v>3705</v>
      </c>
      <c r="C802" s="2040" t="str">
        <f t="shared" si="330"/>
        <v>Second NOO</v>
      </c>
      <c r="D802" s="2041" t="s">
        <v>1561</v>
      </c>
      <c r="E802" s="2041" t="s">
        <v>98</v>
      </c>
      <c r="F802" s="2041" t="s">
        <v>330</v>
      </c>
      <c r="G802" s="2103" t="s">
        <v>468</v>
      </c>
      <c r="H802" s="2041" t="s">
        <v>136</v>
      </c>
      <c r="I802" s="2039" t="s">
        <v>1332</v>
      </c>
      <c r="J802" s="2039" t="s">
        <v>1311</v>
      </c>
      <c r="K802" s="2041" t="s">
        <v>1790</v>
      </c>
      <c r="L802" s="2039" t="s">
        <v>430</v>
      </c>
      <c r="M802" s="2039" t="s">
        <v>2677</v>
      </c>
      <c r="N802" s="2041" t="s">
        <v>82</v>
      </c>
      <c r="O802" s="2039" t="s">
        <v>310</v>
      </c>
      <c r="P802" s="2039" t="s">
        <v>291</v>
      </c>
      <c r="Q802" s="2039" t="s">
        <v>294</v>
      </c>
      <c r="R802" s="2039">
        <v>50000</v>
      </c>
      <c r="S802" s="2039">
        <v>350000</v>
      </c>
      <c r="T802" s="2039">
        <v>0</v>
      </c>
      <c r="U802" s="2039">
        <f t="shared" ref="U802:U809" si="336">S802</f>
        <v>350000</v>
      </c>
      <c r="V802" s="2039">
        <v>0</v>
      </c>
      <c r="W802" s="2039">
        <v>50</v>
      </c>
      <c r="X802" s="2039">
        <v>0</v>
      </c>
      <c r="Y802" s="2039">
        <v>999</v>
      </c>
      <c r="Z802" s="2042">
        <v>720</v>
      </c>
      <c r="AA802" s="2042">
        <v>999</v>
      </c>
      <c r="AB802" s="2042">
        <v>0</v>
      </c>
      <c r="AC802" s="2042">
        <v>999999</v>
      </c>
      <c r="AD802" s="2039">
        <v>0</v>
      </c>
      <c r="AE802" s="2108">
        <v>80</v>
      </c>
      <c r="AF802" s="170">
        <v>0</v>
      </c>
      <c r="AG802" s="171">
        <v>1</v>
      </c>
      <c r="AH802" s="171">
        <v>1</v>
      </c>
      <c r="AI802" s="171">
        <v>0</v>
      </c>
      <c r="AJ802" s="171">
        <v>0</v>
      </c>
      <c r="AK802" s="171">
        <v>1</v>
      </c>
      <c r="AL802" s="171">
        <v>1</v>
      </c>
      <c r="AM802" s="171">
        <v>1</v>
      </c>
      <c r="AN802" s="171">
        <v>1</v>
      </c>
      <c r="AO802" s="171">
        <v>1</v>
      </c>
      <c r="AP802" s="171">
        <v>1</v>
      </c>
      <c r="AQ802" s="171">
        <v>1</v>
      </c>
      <c r="AR802" s="171">
        <v>1</v>
      </c>
      <c r="AS802" s="171">
        <v>1</v>
      </c>
      <c r="AT802" s="171">
        <v>1</v>
      </c>
      <c r="AU802" s="171">
        <f t="shared" si="324"/>
        <v>1</v>
      </c>
      <c r="AV802" s="171">
        <f t="shared" si="325"/>
        <v>1</v>
      </c>
      <c r="AW802" s="171">
        <f t="shared" si="326"/>
        <v>1</v>
      </c>
      <c r="AX802" s="171">
        <f t="shared" si="335"/>
        <v>1</v>
      </c>
      <c r="AY802" s="171">
        <f t="shared" si="327"/>
        <v>1</v>
      </c>
      <c r="AZ802" s="171">
        <f t="shared" si="328"/>
        <v>1</v>
      </c>
      <c r="BA802" s="172">
        <f t="shared" si="329"/>
        <v>1</v>
      </c>
      <c r="BB802" s="175">
        <f t="shared" ref="BB802:BB809" si="337">SUM(AF802:BA802)</f>
        <v>19</v>
      </c>
      <c r="BC802" s="176">
        <f t="shared" ref="BC802:BC809" si="338">SUM(AF802:AZ802)</f>
        <v>18</v>
      </c>
      <c r="BD802" s="176">
        <f t="shared" ref="BD802:BD809" si="339">SUM(AG802:BA802)</f>
        <v>19</v>
      </c>
      <c r="BE802" s="240" t="str">
        <f t="shared" si="322"/>
        <v/>
      </c>
      <c r="BF802" s="220"/>
      <c r="BG802" s="220"/>
      <c r="BH802" s="216">
        <f>IF(AND(Input_Product=Elig!$C802,Elig_MatchAll_Ct&lt;22,$BC802=(Elig_MatchAll_Ct-1),AF802=0),C802,0)</f>
        <v>0</v>
      </c>
      <c r="BI802" s="216">
        <f>IF(AND(Input_Product=Elig!$C802,Elig_MatchAll_Ct&lt;22,$BC802=(Elig_MatchAll_Ct-1),AG802=0),D802,0)</f>
        <v>0</v>
      </c>
      <c r="BJ802" s="216">
        <f>IF(AND(Input_Product=Elig!$C802,Elig_MatchAll_Ct&lt;22,$BC802=(Elig_MatchAll_Ct-1),AH802=0),E802,0)</f>
        <v>0</v>
      </c>
      <c r="BK802" s="216">
        <f>IF(AND(Input_Product=Elig!$C802,Elig_MatchAll_Ct&lt;22,$BC802=(Elig_MatchAll_Ct-1),AI802=0),F802,0)</f>
        <v>0</v>
      </c>
      <c r="BL802" s="216">
        <f>IF(AND(Input_Product=Elig!$C802,Elig_MatchAll_Ct&lt;22,$BC802=(Elig_MatchAll_Ct-1),AJ802=0),G802,0)</f>
        <v>0</v>
      </c>
      <c r="BM802" s="216">
        <f>IF(AND(Input_Product=Elig!$C802,Elig_MatchAll_Ct&lt;22,$BC802=(Elig_MatchAll_Ct-1),AK802=0),H802,0)</f>
        <v>0</v>
      </c>
      <c r="BN802" s="216">
        <f>IF(AND(Input_Product=Elig!$C802,Elig_MatchAll_Ct&lt;22,$BC802=(Elig_MatchAll_Ct-1),AL802=0),I802,0)</f>
        <v>0</v>
      </c>
      <c r="BO802" s="216">
        <f>IF(AND(Input_Product=Elig!$C802,Elig_MatchAll_Ct&lt;22,$BC802=(Elig_MatchAll_Ct-1),AM802=0),J802,0)</f>
        <v>0</v>
      </c>
      <c r="BP802" s="216">
        <f>IF(AND(Input_Product=Elig!$C802,Elig_MatchAll_Ct&lt;22,$BC802=(Elig_MatchAll_Ct-1),AN802=0),K802,0)</f>
        <v>0</v>
      </c>
      <c r="BQ802" s="216">
        <f>IF(AND(Input_Product=Elig!$C802,Elig_MatchAll_Ct&lt;22,$BC802=(Elig_MatchAll_Ct-1),AP802=0),L802,0)</f>
        <v>0</v>
      </c>
      <c r="BR802" s="216">
        <f>IF(AND(Input_Product=Elig!$C802,Elig_MatchAll_Ct&lt;22,$BC802=(Elig_MatchAll_Ct-1),AO802=0),M802,0)</f>
        <v>0</v>
      </c>
      <c r="BS802" s="216">
        <f>IF(AND(Input_Product=Elig!$C802,Elig_MatchAll_Ct&lt;22,$BC802=(Elig_MatchAll_Ct-1),AQ802=0),N802,0)</f>
        <v>0</v>
      </c>
      <c r="BT802" s="216">
        <f>IF(AND(Input_Product=Elig!$C802,Elig_MatchAll_Ct&lt;22,$BC802=(Elig_MatchAll_Ct-1),AR802=0),O802,0)</f>
        <v>0</v>
      </c>
      <c r="BU802" s="216">
        <f>IF(AND(Input_Product=Elig!$C802,Elig_MatchAll_Ct&lt;22,$BC802=(Elig_MatchAll_Ct-1),AS802=0),P802,0)</f>
        <v>0</v>
      </c>
      <c r="BV802" s="217">
        <f>IF(AND(Input_Product=Elig!$C802,Elig_MatchAll_Ct&lt;22,$BC802=(Elig_MatchAll_Ct-1),AT802=0),Q802,0)</f>
        <v>0</v>
      </c>
      <c r="BW802" s="313">
        <f>IF(AND(Input_Product=Elig!$C802,Elig_MatchAll_Ct&lt;22,$BC802=(Elig_MatchAll_Ct-1),AU802=0),R802,0)</f>
        <v>0</v>
      </c>
      <c r="BX802" s="314">
        <f>IF(AND(Input_Product=Elig!$C802,Elig_MatchAll_Ct&lt;22,$BC802=(Elig_MatchAll_Ct-1),AU802=0),S802,0)</f>
        <v>0</v>
      </c>
      <c r="BY802" s="313">
        <f>IF(AND(Input_Product=Elig!$C802,Elig_MatchAll_Ct&lt;22,$BC802=(Elig_MatchAll_Ct-1),AV802=0),T802,0)</f>
        <v>0</v>
      </c>
      <c r="BZ802" s="314">
        <f>IF(AND(Input_Product=Elig!$C802,Elig_MatchAll_Ct&lt;22,$BC802=(Elig_MatchAll_Ct-1),AV802=0),U802,0)</f>
        <v>0</v>
      </c>
      <c r="CA802" s="313">
        <f>IF(AND(Input_Product=Elig!$C802,Elig_MatchAll_Ct&lt;22,$BC802=(Elig_MatchAll_Ct-1),AW802=0),V802,0)</f>
        <v>0</v>
      </c>
      <c r="CB802" s="314">
        <f>IF(AND(Input_Product=Elig!$C802,Elig_MatchAll_Ct&lt;22,$BC802=(Elig_MatchAll_Ct-1),AW802=0),W802,0)</f>
        <v>0</v>
      </c>
      <c r="CC802" s="313">
        <f>IF(AND(Input_Product=Elig!$C802,Elig_MatchAll_Ct&lt;22,$BC802=(Elig_MatchAll_Ct-1),AX802=0),X802,0)</f>
        <v>0</v>
      </c>
      <c r="CD802" s="314">
        <f>IF(AND(Input_Product=Elig!$C802,Elig_MatchAll_Ct&lt;22,$BC802=(Elig_MatchAll_Ct-1),AX802=0),Y802,0)</f>
        <v>0</v>
      </c>
      <c r="CE802" s="313">
        <f>IF(AND(Input_LTV&lt;=AE802,Input_Product=Elig!$C802,Elig_MatchAll_Ct&lt;22,$BC802=(Elig_MatchAll_Ct-1),AY802=0),Z802,0)</f>
        <v>0</v>
      </c>
      <c r="CF802" s="314">
        <f>IF(AND(Input_LTV&lt;=AE802,Input_Product=Elig!$C802,Elig_MatchAll_Ct&lt;22,$BC802=(Elig_MatchAll_Ct-1),AY802=0),AA802,0)</f>
        <v>0</v>
      </c>
      <c r="CG802" s="313">
        <f>IF(AND(Input_Product=Elig!$C802,Elig_MatchAll_Ct&lt;22,$BC802=(Elig_MatchAll_Ct-1),AZ802=0),AB802,0)</f>
        <v>0</v>
      </c>
      <c r="CH802" s="314">
        <f>IF(AND(Input_Product=Elig!$C802,Elig_MatchAll_Ct&lt;22,$BC802=(Elig_MatchAll_Ct-1),AZ802=0),AC802,0)</f>
        <v>0</v>
      </c>
      <c r="CI802" s="313">
        <f>IF(AND(Input_Product=Elig!$C802,Elig_MatchAll_Ct&lt;22,$BC802=(Elig_MatchAll_Ct-1),BA802=0),AD802,0)</f>
        <v>0</v>
      </c>
      <c r="CJ802" s="314">
        <f>IF(AND(Input_Product=Elig!$C802,Elig_MatchAll_Ct&lt;22,$BC802=(Elig_MatchAll_Ct-1),BA802=0),AE802,0)</f>
        <v>0</v>
      </c>
    </row>
    <row r="803" spans="2:88" ht="10.15" customHeight="1" x14ac:dyDescent="0.25">
      <c r="B803" s="2035" t="s">
        <v>3706</v>
      </c>
      <c r="C803" s="2036" t="str">
        <f t="shared" si="330"/>
        <v>Second NOO</v>
      </c>
      <c r="D803" s="2035" t="s">
        <v>1561</v>
      </c>
      <c r="E803" s="2035" t="s">
        <v>98</v>
      </c>
      <c r="F803" s="2035" t="s">
        <v>330</v>
      </c>
      <c r="G803" s="2110" t="s">
        <v>468</v>
      </c>
      <c r="H803" s="2037" t="s">
        <v>136</v>
      </c>
      <c r="I803" s="2035" t="s">
        <v>1332</v>
      </c>
      <c r="J803" s="2035" t="s">
        <v>1311</v>
      </c>
      <c r="K803" s="2037" t="s">
        <v>1790</v>
      </c>
      <c r="L803" s="2035" t="s">
        <v>430</v>
      </c>
      <c r="M803" s="2035" t="s">
        <v>2677</v>
      </c>
      <c r="N803" s="2037" t="s">
        <v>82</v>
      </c>
      <c r="O803" s="2035" t="s">
        <v>310</v>
      </c>
      <c r="P803" s="2035" t="s">
        <v>291</v>
      </c>
      <c r="Q803" s="2035" t="s">
        <v>294</v>
      </c>
      <c r="R803" s="2035">
        <v>50000</v>
      </c>
      <c r="S803" s="2035">
        <v>350000</v>
      </c>
      <c r="T803" s="2035">
        <v>0</v>
      </c>
      <c r="U803" s="2035">
        <f t="shared" si="336"/>
        <v>350000</v>
      </c>
      <c r="V803" s="2035">
        <v>0</v>
      </c>
      <c r="W803" s="2035">
        <v>50</v>
      </c>
      <c r="X803" s="2035">
        <v>0</v>
      </c>
      <c r="Y803" s="2035">
        <v>999</v>
      </c>
      <c r="Z803" s="2038">
        <v>700</v>
      </c>
      <c r="AA803" s="2038">
        <v>719</v>
      </c>
      <c r="AB803" s="2038">
        <v>0</v>
      </c>
      <c r="AC803" s="2038">
        <v>999999</v>
      </c>
      <c r="AD803" s="2035">
        <v>0</v>
      </c>
      <c r="AE803" s="2109">
        <v>75</v>
      </c>
      <c r="AF803" s="170">
        <v>0</v>
      </c>
      <c r="AG803" s="171">
        <v>1</v>
      </c>
      <c r="AH803" s="171">
        <v>1</v>
      </c>
      <c r="AI803" s="171">
        <v>0</v>
      </c>
      <c r="AJ803" s="171">
        <v>0</v>
      </c>
      <c r="AK803" s="171">
        <v>1</v>
      </c>
      <c r="AL803" s="171">
        <v>1</v>
      </c>
      <c r="AM803" s="171">
        <v>1</v>
      </c>
      <c r="AN803" s="171">
        <v>1</v>
      </c>
      <c r="AO803" s="171">
        <v>1</v>
      </c>
      <c r="AP803" s="171">
        <v>1</v>
      </c>
      <c r="AQ803" s="171">
        <v>1</v>
      </c>
      <c r="AR803" s="171">
        <v>1</v>
      </c>
      <c r="AS803" s="171">
        <v>1</v>
      </c>
      <c r="AT803" s="171">
        <v>1</v>
      </c>
      <c r="AU803" s="171">
        <f t="shared" si="324"/>
        <v>1</v>
      </c>
      <c r="AV803" s="171">
        <f t="shared" si="325"/>
        <v>1</v>
      </c>
      <c r="AW803" s="171">
        <f t="shared" si="326"/>
        <v>1</v>
      </c>
      <c r="AX803" s="171">
        <f t="shared" si="335"/>
        <v>1</v>
      </c>
      <c r="AY803" s="171">
        <f t="shared" si="327"/>
        <v>0</v>
      </c>
      <c r="AZ803" s="171">
        <f t="shared" si="328"/>
        <v>1</v>
      </c>
      <c r="BA803" s="172">
        <f t="shared" si="329"/>
        <v>1</v>
      </c>
      <c r="BB803" s="175">
        <f t="shared" si="337"/>
        <v>18</v>
      </c>
      <c r="BC803" s="176">
        <f t="shared" si="338"/>
        <v>17</v>
      </c>
      <c r="BD803" s="176">
        <f t="shared" si="339"/>
        <v>18</v>
      </c>
      <c r="BE803" s="240" t="str">
        <f t="shared" si="322"/>
        <v/>
      </c>
      <c r="BF803" s="234"/>
      <c r="BG803" s="234"/>
      <c r="BH803" s="199">
        <f>IF(AND(Input_Product=Elig!$C803,Elig_MatchAll_Ct&lt;22,$BC803=(Elig_MatchAll_Ct-1),AF803=0),C803,0)</f>
        <v>0</v>
      </c>
      <c r="BI803" s="199">
        <f>IF(AND(Input_Product=Elig!$C803,Elig_MatchAll_Ct&lt;22,$BC803=(Elig_MatchAll_Ct-1),AG803=0),D803,0)</f>
        <v>0</v>
      </c>
      <c r="BJ803" s="199">
        <f>IF(AND(Input_Product=Elig!$C803,Elig_MatchAll_Ct&lt;22,$BC803=(Elig_MatchAll_Ct-1),AH803=0),E803,0)</f>
        <v>0</v>
      </c>
      <c r="BK803" s="199">
        <f>IF(AND(Input_Product=Elig!$C803,Elig_MatchAll_Ct&lt;22,$BC803=(Elig_MatchAll_Ct-1),AI803=0),F803,0)</f>
        <v>0</v>
      </c>
      <c r="BL803" s="199">
        <f>IF(AND(Input_Product=Elig!$C803,Elig_MatchAll_Ct&lt;22,$BC803=(Elig_MatchAll_Ct-1),AJ803=0),G803,0)</f>
        <v>0</v>
      </c>
      <c r="BM803" s="199">
        <f>IF(AND(Input_Product=Elig!$C803,Elig_MatchAll_Ct&lt;22,$BC803=(Elig_MatchAll_Ct-1),AK803=0),H803,0)</f>
        <v>0</v>
      </c>
      <c r="BN803" s="199">
        <f>IF(AND(Input_Product=Elig!$C803,Elig_MatchAll_Ct&lt;22,$BC803=(Elig_MatchAll_Ct-1),AL803=0),I803,0)</f>
        <v>0</v>
      </c>
      <c r="BO803" s="199">
        <f>IF(AND(Input_Product=Elig!$C803,Elig_MatchAll_Ct&lt;22,$BC803=(Elig_MatchAll_Ct-1),AM803=0),J803,0)</f>
        <v>0</v>
      </c>
      <c r="BP803" s="199">
        <f>IF(AND(Input_Product=Elig!$C803,Elig_MatchAll_Ct&lt;22,$BC803=(Elig_MatchAll_Ct-1),AN803=0),K803,0)</f>
        <v>0</v>
      </c>
      <c r="BQ803" s="199">
        <f>IF(AND(Input_Product=Elig!$C803,Elig_MatchAll_Ct&lt;22,$BC803=(Elig_MatchAll_Ct-1),AP803=0),L803,0)</f>
        <v>0</v>
      </c>
      <c r="BR803" s="199">
        <f>IF(AND(Input_Product=Elig!$C803,Elig_MatchAll_Ct&lt;22,$BC803=(Elig_MatchAll_Ct-1),AO803=0),M803,0)</f>
        <v>0</v>
      </c>
      <c r="BS803" s="199">
        <f>IF(AND(Input_Product=Elig!$C803,Elig_MatchAll_Ct&lt;22,$BC803=(Elig_MatchAll_Ct-1),AQ803=0),N803,0)</f>
        <v>0</v>
      </c>
      <c r="BT803" s="199">
        <f>IF(AND(Input_Product=Elig!$C803,Elig_MatchAll_Ct&lt;22,$BC803=(Elig_MatchAll_Ct-1),AR803=0),O803,0)</f>
        <v>0</v>
      </c>
      <c r="BU803" s="199">
        <f>IF(AND(Input_Product=Elig!$C803,Elig_MatchAll_Ct&lt;22,$BC803=(Elig_MatchAll_Ct-1),AS803=0),P803,0)</f>
        <v>0</v>
      </c>
      <c r="BV803" s="200">
        <f>IF(AND(Input_Product=Elig!$C803,Elig_MatchAll_Ct&lt;22,$BC803=(Elig_MatchAll_Ct-1),AT803=0),Q803,0)</f>
        <v>0</v>
      </c>
      <c r="BW803" s="201">
        <f>IF(AND(Input_Product=Elig!$C803,Elig_MatchAll_Ct&lt;22,$BC803=(Elig_MatchAll_Ct-1),AU803=0),R803,0)</f>
        <v>0</v>
      </c>
      <c r="BX803" s="202">
        <f>IF(AND(Input_Product=Elig!$C803,Elig_MatchAll_Ct&lt;22,$BC803=(Elig_MatchAll_Ct-1),AU803=0),S803,0)</f>
        <v>0</v>
      </c>
      <c r="BY803" s="201">
        <f>IF(AND(Input_Product=Elig!$C803,Elig_MatchAll_Ct&lt;22,$BC803=(Elig_MatchAll_Ct-1),AV803=0),T803,0)</f>
        <v>0</v>
      </c>
      <c r="BZ803" s="202">
        <f>IF(AND(Input_Product=Elig!$C803,Elig_MatchAll_Ct&lt;22,$BC803=(Elig_MatchAll_Ct-1),AV803=0),U803,0)</f>
        <v>0</v>
      </c>
      <c r="CA803" s="201">
        <f>IF(AND(Input_Product=Elig!$C803,Elig_MatchAll_Ct&lt;22,$BC803=(Elig_MatchAll_Ct-1),AW803=0),V803,0)</f>
        <v>0</v>
      </c>
      <c r="CB803" s="202">
        <f>IF(AND(Input_Product=Elig!$C803,Elig_MatchAll_Ct&lt;22,$BC803=(Elig_MatchAll_Ct-1),AW803=0),W803,0)</f>
        <v>0</v>
      </c>
      <c r="CC803" s="201">
        <f>IF(AND(Input_Product=Elig!$C803,Elig_MatchAll_Ct&lt;22,$BC803=(Elig_MatchAll_Ct-1),AX803=0),X803,0)</f>
        <v>0</v>
      </c>
      <c r="CD803" s="202">
        <f>IF(AND(Input_Product=Elig!$C803,Elig_MatchAll_Ct&lt;22,$BC803=(Elig_MatchAll_Ct-1),AX803=0),Y803,0)</f>
        <v>0</v>
      </c>
      <c r="CE803" s="201">
        <f>IF(AND(Input_LTV&lt;=AE803,Input_Product=Elig!$C803,Elig_MatchAll_Ct&lt;22,$BC803=(Elig_MatchAll_Ct-1),AY803=0),Z803,0)</f>
        <v>0</v>
      </c>
      <c r="CF803" s="202">
        <f>IF(AND(Input_LTV&lt;=AE803,Input_Product=Elig!$C803,Elig_MatchAll_Ct&lt;22,$BC803=(Elig_MatchAll_Ct-1),AY803=0),AA803,0)</f>
        <v>0</v>
      </c>
      <c r="CG803" s="201">
        <f>IF(AND(Input_Product=Elig!$C803,Elig_MatchAll_Ct&lt;22,$BC803=(Elig_MatchAll_Ct-1),AZ803=0),AB803,0)</f>
        <v>0</v>
      </c>
      <c r="CH803" s="202">
        <f>IF(AND(Input_Product=Elig!$C803,Elig_MatchAll_Ct&lt;22,$BC803=(Elig_MatchAll_Ct-1),AZ803=0),AC803,0)</f>
        <v>0</v>
      </c>
      <c r="CI803" s="201">
        <f>IF(AND(Input_Product=Elig!$C803,Elig_MatchAll_Ct&lt;22,$BC803=(Elig_MatchAll_Ct-1),BA803=0),AD803,0)</f>
        <v>0</v>
      </c>
      <c r="CJ803" s="202">
        <f>IF(AND(Input_Product=Elig!$C803,Elig_MatchAll_Ct&lt;22,$BC803=(Elig_MatchAll_Ct-1),BA803=0),AE803,0)</f>
        <v>0</v>
      </c>
    </row>
    <row r="804" spans="2:88" ht="10.15" customHeight="1" x14ac:dyDescent="0.25">
      <c r="B804" s="2035" t="s">
        <v>3707</v>
      </c>
      <c r="C804" s="2036" t="str">
        <f t="shared" si="330"/>
        <v>Second NOO</v>
      </c>
      <c r="D804" s="2035" t="s">
        <v>1561</v>
      </c>
      <c r="E804" s="2035" t="s">
        <v>98</v>
      </c>
      <c r="F804" s="2035" t="s">
        <v>330</v>
      </c>
      <c r="G804" s="2110" t="s">
        <v>468</v>
      </c>
      <c r="H804" s="2037" t="s">
        <v>136</v>
      </c>
      <c r="I804" s="2035" t="s">
        <v>1332</v>
      </c>
      <c r="J804" s="2035" t="s">
        <v>1311</v>
      </c>
      <c r="K804" s="2037" t="s">
        <v>1790</v>
      </c>
      <c r="L804" s="2035" t="s">
        <v>430</v>
      </c>
      <c r="M804" s="2035" t="s">
        <v>2677</v>
      </c>
      <c r="N804" s="2037" t="s">
        <v>82</v>
      </c>
      <c r="O804" s="2035" t="s">
        <v>310</v>
      </c>
      <c r="P804" s="2035" t="s">
        <v>291</v>
      </c>
      <c r="Q804" s="2035" t="s">
        <v>294</v>
      </c>
      <c r="R804" s="2035">
        <v>50000</v>
      </c>
      <c r="S804" s="2035">
        <v>350000</v>
      </c>
      <c r="T804" s="2035">
        <v>0</v>
      </c>
      <c r="U804" s="2035">
        <f t="shared" si="336"/>
        <v>350000</v>
      </c>
      <c r="V804" s="2035">
        <v>0</v>
      </c>
      <c r="W804" s="2035">
        <v>50</v>
      </c>
      <c r="X804" s="2035">
        <v>0</v>
      </c>
      <c r="Y804" s="2035">
        <v>999</v>
      </c>
      <c r="Z804" s="2038">
        <v>680</v>
      </c>
      <c r="AA804" s="2038">
        <v>699</v>
      </c>
      <c r="AB804" s="2038">
        <v>0</v>
      </c>
      <c r="AC804" s="2038">
        <v>999999</v>
      </c>
      <c r="AD804" s="2035">
        <v>0</v>
      </c>
      <c r="AE804" s="2109">
        <v>70</v>
      </c>
      <c r="AF804" s="170">
        <v>0</v>
      </c>
      <c r="AG804" s="171">
        <v>1</v>
      </c>
      <c r="AH804" s="171">
        <v>1</v>
      </c>
      <c r="AI804" s="171">
        <v>0</v>
      </c>
      <c r="AJ804" s="171">
        <v>0</v>
      </c>
      <c r="AK804" s="171">
        <v>1</v>
      </c>
      <c r="AL804" s="171">
        <v>1</v>
      </c>
      <c r="AM804" s="171">
        <v>1</v>
      </c>
      <c r="AN804" s="171">
        <v>1</v>
      </c>
      <c r="AO804" s="171">
        <v>1</v>
      </c>
      <c r="AP804" s="171">
        <v>1</v>
      </c>
      <c r="AQ804" s="171">
        <v>1</v>
      </c>
      <c r="AR804" s="171">
        <v>1</v>
      </c>
      <c r="AS804" s="171">
        <v>1</v>
      </c>
      <c r="AT804" s="171">
        <v>1</v>
      </c>
      <c r="AU804" s="171">
        <f t="shared" si="324"/>
        <v>1</v>
      </c>
      <c r="AV804" s="171">
        <f t="shared" si="325"/>
        <v>1</v>
      </c>
      <c r="AW804" s="171">
        <f t="shared" si="326"/>
        <v>1</v>
      </c>
      <c r="AX804" s="171">
        <f t="shared" si="335"/>
        <v>1</v>
      </c>
      <c r="AY804" s="171">
        <f t="shared" si="327"/>
        <v>0</v>
      </c>
      <c r="AZ804" s="171">
        <f t="shared" si="328"/>
        <v>1</v>
      </c>
      <c r="BA804" s="172">
        <f t="shared" si="329"/>
        <v>1</v>
      </c>
      <c r="BB804" s="175">
        <f t="shared" si="337"/>
        <v>18</v>
      </c>
      <c r="BC804" s="176">
        <f t="shared" si="338"/>
        <v>17</v>
      </c>
      <c r="BD804" s="176">
        <f t="shared" si="339"/>
        <v>18</v>
      </c>
      <c r="BE804" s="240" t="str">
        <f t="shared" si="322"/>
        <v/>
      </c>
      <c r="BF804" s="234"/>
      <c r="BG804" s="234"/>
      <c r="BH804" s="199">
        <f>IF(AND(Input_Product=Elig!$C804,Elig_MatchAll_Ct&lt;22,$BC804=(Elig_MatchAll_Ct-1),AF804=0),C804,0)</f>
        <v>0</v>
      </c>
      <c r="BI804" s="199">
        <f>IF(AND(Input_Product=Elig!$C804,Elig_MatchAll_Ct&lt;22,$BC804=(Elig_MatchAll_Ct-1),AG804=0),D804,0)</f>
        <v>0</v>
      </c>
      <c r="BJ804" s="199">
        <f>IF(AND(Input_Product=Elig!$C804,Elig_MatchAll_Ct&lt;22,$BC804=(Elig_MatchAll_Ct-1),AH804=0),E804,0)</f>
        <v>0</v>
      </c>
      <c r="BK804" s="199">
        <f>IF(AND(Input_Product=Elig!$C804,Elig_MatchAll_Ct&lt;22,$BC804=(Elig_MatchAll_Ct-1),AI804=0),F804,0)</f>
        <v>0</v>
      </c>
      <c r="BL804" s="199">
        <f>IF(AND(Input_Product=Elig!$C804,Elig_MatchAll_Ct&lt;22,$BC804=(Elig_MatchAll_Ct-1),AJ804=0),G804,0)</f>
        <v>0</v>
      </c>
      <c r="BM804" s="199">
        <f>IF(AND(Input_Product=Elig!$C804,Elig_MatchAll_Ct&lt;22,$BC804=(Elig_MatchAll_Ct-1),AK804=0),H804,0)</f>
        <v>0</v>
      </c>
      <c r="BN804" s="199">
        <f>IF(AND(Input_Product=Elig!$C804,Elig_MatchAll_Ct&lt;22,$BC804=(Elig_MatchAll_Ct-1),AL804=0),I804,0)</f>
        <v>0</v>
      </c>
      <c r="BO804" s="199">
        <f>IF(AND(Input_Product=Elig!$C804,Elig_MatchAll_Ct&lt;22,$BC804=(Elig_MatchAll_Ct-1),AM804=0),J804,0)</f>
        <v>0</v>
      </c>
      <c r="BP804" s="199">
        <f>IF(AND(Input_Product=Elig!$C804,Elig_MatchAll_Ct&lt;22,$BC804=(Elig_MatchAll_Ct-1),AN804=0),K804,0)</f>
        <v>0</v>
      </c>
      <c r="BQ804" s="199">
        <f>IF(AND(Input_Product=Elig!$C804,Elig_MatchAll_Ct&lt;22,$BC804=(Elig_MatchAll_Ct-1),AP804=0),L804,0)</f>
        <v>0</v>
      </c>
      <c r="BR804" s="199">
        <f>IF(AND(Input_Product=Elig!$C804,Elig_MatchAll_Ct&lt;22,$BC804=(Elig_MatchAll_Ct-1),AO804=0),M804,0)</f>
        <v>0</v>
      </c>
      <c r="BS804" s="199">
        <f>IF(AND(Input_Product=Elig!$C804,Elig_MatchAll_Ct&lt;22,$BC804=(Elig_MatchAll_Ct-1),AQ804=0),N804,0)</f>
        <v>0</v>
      </c>
      <c r="BT804" s="199">
        <f>IF(AND(Input_Product=Elig!$C804,Elig_MatchAll_Ct&lt;22,$BC804=(Elig_MatchAll_Ct-1),AR804=0),O804,0)</f>
        <v>0</v>
      </c>
      <c r="BU804" s="199">
        <f>IF(AND(Input_Product=Elig!$C804,Elig_MatchAll_Ct&lt;22,$BC804=(Elig_MatchAll_Ct-1),AS804=0),P804,0)</f>
        <v>0</v>
      </c>
      <c r="BV804" s="200">
        <f>IF(AND(Input_Product=Elig!$C804,Elig_MatchAll_Ct&lt;22,$BC804=(Elig_MatchAll_Ct-1),AT804=0),Q804,0)</f>
        <v>0</v>
      </c>
      <c r="BW804" s="201">
        <f>IF(AND(Input_Product=Elig!$C804,Elig_MatchAll_Ct&lt;22,$BC804=(Elig_MatchAll_Ct-1),AU804=0),R804,0)</f>
        <v>0</v>
      </c>
      <c r="BX804" s="202">
        <f>IF(AND(Input_Product=Elig!$C804,Elig_MatchAll_Ct&lt;22,$BC804=(Elig_MatchAll_Ct-1),AU804=0),S804,0)</f>
        <v>0</v>
      </c>
      <c r="BY804" s="201">
        <f>IF(AND(Input_Product=Elig!$C804,Elig_MatchAll_Ct&lt;22,$BC804=(Elig_MatchAll_Ct-1),AV804=0),T804,0)</f>
        <v>0</v>
      </c>
      <c r="BZ804" s="202">
        <f>IF(AND(Input_Product=Elig!$C804,Elig_MatchAll_Ct&lt;22,$BC804=(Elig_MatchAll_Ct-1),AV804=0),U804,0)</f>
        <v>0</v>
      </c>
      <c r="CA804" s="201">
        <f>IF(AND(Input_Product=Elig!$C804,Elig_MatchAll_Ct&lt;22,$BC804=(Elig_MatchAll_Ct-1),AW804=0),V804,0)</f>
        <v>0</v>
      </c>
      <c r="CB804" s="202">
        <f>IF(AND(Input_Product=Elig!$C804,Elig_MatchAll_Ct&lt;22,$BC804=(Elig_MatchAll_Ct-1),AW804=0),W804,0)</f>
        <v>0</v>
      </c>
      <c r="CC804" s="201">
        <f>IF(AND(Input_Product=Elig!$C804,Elig_MatchAll_Ct&lt;22,$BC804=(Elig_MatchAll_Ct-1),AX804=0),X804,0)</f>
        <v>0</v>
      </c>
      <c r="CD804" s="202">
        <f>IF(AND(Input_Product=Elig!$C804,Elig_MatchAll_Ct&lt;22,$BC804=(Elig_MatchAll_Ct-1),AX804=0),Y804,0)</f>
        <v>0</v>
      </c>
      <c r="CE804" s="201">
        <f>IF(AND(Input_LTV&lt;=AE804,Input_Product=Elig!$C804,Elig_MatchAll_Ct&lt;22,$BC804=(Elig_MatchAll_Ct-1),AY804=0),Z804,0)</f>
        <v>0</v>
      </c>
      <c r="CF804" s="202">
        <f>IF(AND(Input_LTV&lt;=AE804,Input_Product=Elig!$C804,Elig_MatchAll_Ct&lt;22,$BC804=(Elig_MatchAll_Ct-1),AY804=0),AA804,0)</f>
        <v>0</v>
      </c>
      <c r="CG804" s="201">
        <f>IF(AND(Input_Product=Elig!$C804,Elig_MatchAll_Ct&lt;22,$BC804=(Elig_MatchAll_Ct-1),AZ804=0),AB804,0)</f>
        <v>0</v>
      </c>
      <c r="CH804" s="202">
        <f>IF(AND(Input_Product=Elig!$C804,Elig_MatchAll_Ct&lt;22,$BC804=(Elig_MatchAll_Ct-1),AZ804=0),AC804,0)</f>
        <v>0</v>
      </c>
      <c r="CI804" s="201">
        <f>IF(AND(Input_Product=Elig!$C804,Elig_MatchAll_Ct&lt;22,$BC804=(Elig_MatchAll_Ct-1),BA804=0),AD804,0)</f>
        <v>0</v>
      </c>
      <c r="CJ804" s="202">
        <f>IF(AND(Input_Product=Elig!$C804,Elig_MatchAll_Ct&lt;22,$BC804=(Elig_MatchAll_Ct-1),BA804=0),AE804,0)</f>
        <v>0</v>
      </c>
    </row>
    <row r="805" spans="2:88" ht="10.15" customHeight="1" x14ac:dyDescent="0.25">
      <c r="B805" s="2035" t="s">
        <v>3708</v>
      </c>
      <c r="C805" s="2036" t="str">
        <f t="shared" si="330"/>
        <v>Second NOO</v>
      </c>
      <c r="D805" s="2035" t="s">
        <v>1561</v>
      </c>
      <c r="E805" s="2035" t="s">
        <v>98</v>
      </c>
      <c r="F805" s="2035" t="s">
        <v>330</v>
      </c>
      <c r="G805" s="2111" t="s">
        <v>468</v>
      </c>
      <c r="H805" s="2037" t="s">
        <v>136</v>
      </c>
      <c r="I805" s="2035" t="s">
        <v>1332</v>
      </c>
      <c r="J805" s="2035" t="s">
        <v>1311</v>
      </c>
      <c r="K805" s="2037" t="s">
        <v>1790</v>
      </c>
      <c r="L805" s="2035" t="s">
        <v>430</v>
      </c>
      <c r="M805" s="2035" t="s">
        <v>2677</v>
      </c>
      <c r="N805" s="2037" t="s">
        <v>82</v>
      </c>
      <c r="O805" s="2035" t="s">
        <v>310</v>
      </c>
      <c r="P805" s="2035" t="s">
        <v>291</v>
      </c>
      <c r="Q805" s="2035" t="s">
        <v>294</v>
      </c>
      <c r="R805" s="2035">
        <v>50000</v>
      </c>
      <c r="S805" s="2035">
        <v>350000</v>
      </c>
      <c r="T805" s="2035">
        <v>0</v>
      </c>
      <c r="U805" s="2035">
        <f t="shared" si="336"/>
        <v>350000</v>
      </c>
      <c r="V805" s="2035">
        <v>0</v>
      </c>
      <c r="W805" s="2035">
        <v>50</v>
      </c>
      <c r="X805" s="2035">
        <v>0</v>
      </c>
      <c r="Y805" s="2035">
        <v>999</v>
      </c>
      <c r="Z805" s="2038">
        <v>660</v>
      </c>
      <c r="AA805" s="2038">
        <v>679</v>
      </c>
      <c r="AB805" s="2038">
        <v>0</v>
      </c>
      <c r="AC805" s="2038">
        <v>999999</v>
      </c>
      <c r="AD805" s="2035">
        <v>0</v>
      </c>
      <c r="AE805" s="2035">
        <v>60</v>
      </c>
      <c r="AF805" s="170">
        <v>0</v>
      </c>
      <c r="AG805" s="171">
        <v>1</v>
      </c>
      <c r="AH805" s="171">
        <v>1</v>
      </c>
      <c r="AI805" s="171">
        <v>0</v>
      </c>
      <c r="AJ805" s="171">
        <v>0</v>
      </c>
      <c r="AK805" s="171">
        <v>1</v>
      </c>
      <c r="AL805" s="171">
        <v>1</v>
      </c>
      <c r="AM805" s="171">
        <v>1</v>
      </c>
      <c r="AN805" s="171">
        <v>1</v>
      </c>
      <c r="AO805" s="171">
        <v>1</v>
      </c>
      <c r="AP805" s="171">
        <v>1</v>
      </c>
      <c r="AQ805" s="171">
        <v>1</v>
      </c>
      <c r="AR805" s="171">
        <v>1</v>
      </c>
      <c r="AS805" s="171">
        <v>1</v>
      </c>
      <c r="AT805" s="171">
        <v>1</v>
      </c>
      <c r="AU805" s="171">
        <f t="shared" si="324"/>
        <v>1</v>
      </c>
      <c r="AV805" s="171">
        <f t="shared" si="325"/>
        <v>1</v>
      </c>
      <c r="AW805" s="171">
        <f t="shared" si="326"/>
        <v>1</v>
      </c>
      <c r="AX805" s="171">
        <f t="shared" si="335"/>
        <v>1</v>
      </c>
      <c r="AY805" s="171">
        <f t="shared" si="327"/>
        <v>0</v>
      </c>
      <c r="AZ805" s="171">
        <f t="shared" si="328"/>
        <v>1</v>
      </c>
      <c r="BA805" s="172">
        <f t="shared" si="329"/>
        <v>0</v>
      </c>
      <c r="BB805" s="175">
        <f t="shared" si="337"/>
        <v>17</v>
      </c>
      <c r="BC805" s="176">
        <f t="shared" si="338"/>
        <v>17</v>
      </c>
      <c r="BD805" s="176">
        <f t="shared" si="339"/>
        <v>17</v>
      </c>
      <c r="BE805" s="240" t="str">
        <f t="shared" si="322"/>
        <v/>
      </c>
      <c r="BF805" s="234"/>
      <c r="BG805" s="234"/>
      <c r="BH805" s="214">
        <f>IF(AND(Input_Product=Elig!$C805,Elig_MatchAll_Ct&lt;22,$BC805=(Elig_MatchAll_Ct-1),AF805=0),C805,0)</f>
        <v>0</v>
      </c>
      <c r="BI805" s="214">
        <f>IF(AND(Input_Product=Elig!$C805,Elig_MatchAll_Ct&lt;22,$BC805=(Elig_MatchAll_Ct-1),AG805=0),D805,0)</f>
        <v>0</v>
      </c>
      <c r="BJ805" s="214">
        <f>IF(AND(Input_Product=Elig!$C805,Elig_MatchAll_Ct&lt;22,$BC805=(Elig_MatchAll_Ct-1),AH805=0),E805,0)</f>
        <v>0</v>
      </c>
      <c r="BK805" s="214">
        <f>IF(AND(Input_Product=Elig!$C805,Elig_MatchAll_Ct&lt;22,$BC805=(Elig_MatchAll_Ct-1),AI805=0),F805,0)</f>
        <v>0</v>
      </c>
      <c r="BL805" s="214">
        <f>IF(AND(Input_Product=Elig!$C805,Elig_MatchAll_Ct&lt;22,$BC805=(Elig_MatchAll_Ct-1),AJ805=0),G805,0)</f>
        <v>0</v>
      </c>
      <c r="BM805" s="214">
        <f>IF(AND(Input_Product=Elig!$C805,Elig_MatchAll_Ct&lt;22,$BC805=(Elig_MatchAll_Ct-1),AK805=0),H805,0)</f>
        <v>0</v>
      </c>
      <c r="BN805" s="214">
        <f>IF(AND(Input_Product=Elig!$C805,Elig_MatchAll_Ct&lt;22,$BC805=(Elig_MatchAll_Ct-1),AL805=0),I805,0)</f>
        <v>0</v>
      </c>
      <c r="BO805" s="214">
        <f>IF(AND(Input_Product=Elig!$C805,Elig_MatchAll_Ct&lt;22,$BC805=(Elig_MatchAll_Ct-1),AM805=0),J805,0)</f>
        <v>0</v>
      </c>
      <c r="BP805" s="214">
        <f>IF(AND(Input_Product=Elig!$C805,Elig_MatchAll_Ct&lt;22,$BC805=(Elig_MatchAll_Ct-1),AN805=0),K805,0)</f>
        <v>0</v>
      </c>
      <c r="BQ805" s="214">
        <f>IF(AND(Input_Product=Elig!$C805,Elig_MatchAll_Ct&lt;22,$BC805=(Elig_MatchAll_Ct-1),AP805=0),L805,0)</f>
        <v>0</v>
      </c>
      <c r="BR805" s="214">
        <f>IF(AND(Input_Product=Elig!$C805,Elig_MatchAll_Ct&lt;22,$BC805=(Elig_MatchAll_Ct-1),AO805=0),M805,0)</f>
        <v>0</v>
      </c>
      <c r="BS805" s="214">
        <f>IF(AND(Input_Product=Elig!$C805,Elig_MatchAll_Ct&lt;22,$BC805=(Elig_MatchAll_Ct-1),AQ805=0),N805,0)</f>
        <v>0</v>
      </c>
      <c r="BT805" s="214">
        <f>IF(AND(Input_Product=Elig!$C805,Elig_MatchAll_Ct&lt;22,$BC805=(Elig_MatchAll_Ct-1),AR805=0),O805,0)</f>
        <v>0</v>
      </c>
      <c r="BU805" s="214">
        <f>IF(AND(Input_Product=Elig!$C805,Elig_MatchAll_Ct&lt;22,$BC805=(Elig_MatchAll_Ct-1),AS805=0),P805,0)</f>
        <v>0</v>
      </c>
      <c r="BV805" s="215">
        <f>IF(AND(Input_Product=Elig!$C805,Elig_MatchAll_Ct&lt;22,$BC805=(Elig_MatchAll_Ct-1),AT805=0),Q805,0)</f>
        <v>0</v>
      </c>
      <c r="BW805" s="311">
        <f>IF(AND(Input_Product=Elig!$C805,Elig_MatchAll_Ct&lt;22,$BC805=(Elig_MatchAll_Ct-1),AU805=0),R805,0)</f>
        <v>0</v>
      </c>
      <c r="BX805" s="312">
        <f>IF(AND(Input_Product=Elig!$C805,Elig_MatchAll_Ct&lt;22,$BC805=(Elig_MatchAll_Ct-1),AU805=0),S805,0)</f>
        <v>0</v>
      </c>
      <c r="BY805" s="311">
        <f>IF(AND(Input_Product=Elig!$C805,Elig_MatchAll_Ct&lt;22,$BC805=(Elig_MatchAll_Ct-1),AV805=0),T805,0)</f>
        <v>0</v>
      </c>
      <c r="BZ805" s="312">
        <f>IF(AND(Input_Product=Elig!$C805,Elig_MatchAll_Ct&lt;22,$BC805=(Elig_MatchAll_Ct-1),AV805=0),U805,0)</f>
        <v>0</v>
      </c>
      <c r="CA805" s="311">
        <f>IF(AND(Input_Product=Elig!$C805,Elig_MatchAll_Ct&lt;22,$BC805=(Elig_MatchAll_Ct-1),AW805=0),V805,0)</f>
        <v>0</v>
      </c>
      <c r="CB805" s="312">
        <f>IF(AND(Input_Product=Elig!$C805,Elig_MatchAll_Ct&lt;22,$BC805=(Elig_MatchAll_Ct-1),AW805=0),W805,0)</f>
        <v>0</v>
      </c>
      <c r="CC805" s="311">
        <f>IF(AND(Input_Product=Elig!$C805,Elig_MatchAll_Ct&lt;22,$BC805=(Elig_MatchAll_Ct-1),AX805=0),X805,0)</f>
        <v>0</v>
      </c>
      <c r="CD805" s="312">
        <f>IF(AND(Input_Product=Elig!$C805,Elig_MatchAll_Ct&lt;22,$BC805=(Elig_MatchAll_Ct-1),AX805=0),Y805,0)</f>
        <v>0</v>
      </c>
      <c r="CE805" s="311">
        <f>IF(AND(Input_LTV&lt;=AE805,Input_Product=Elig!$C805,Elig_MatchAll_Ct&lt;22,$BC805=(Elig_MatchAll_Ct-1),AY805=0),Z805,0)</f>
        <v>0</v>
      </c>
      <c r="CF805" s="312">
        <f>IF(AND(Input_LTV&lt;=AE805,Input_Product=Elig!$C805,Elig_MatchAll_Ct&lt;22,$BC805=(Elig_MatchAll_Ct-1),AY805=0),AA805,0)</f>
        <v>0</v>
      </c>
      <c r="CG805" s="311">
        <f>IF(AND(Input_Product=Elig!$C805,Elig_MatchAll_Ct&lt;22,$BC805=(Elig_MatchAll_Ct-1),AZ805=0),AB805,0)</f>
        <v>0</v>
      </c>
      <c r="CH805" s="312">
        <f>IF(AND(Input_Product=Elig!$C805,Elig_MatchAll_Ct&lt;22,$BC805=(Elig_MatchAll_Ct-1),AZ805=0),AC805,0)</f>
        <v>0</v>
      </c>
      <c r="CI805" s="311">
        <f>IF(AND(Input_Product=Elig!$C805,Elig_MatchAll_Ct&lt;22,$BC805=(Elig_MatchAll_Ct-1),BA805=0),AD805,0)</f>
        <v>0</v>
      </c>
      <c r="CJ805" s="312">
        <f>IF(AND(Input_Product=Elig!$C805,Elig_MatchAll_Ct&lt;22,$BC805=(Elig_MatchAll_Ct-1),BA805=0),AE805,0)</f>
        <v>0</v>
      </c>
    </row>
    <row r="806" spans="2:88" ht="10.15" customHeight="1" x14ac:dyDescent="0.25">
      <c r="B806" s="2035" t="s">
        <v>3709</v>
      </c>
      <c r="C806" s="2040" t="str">
        <f t="shared" si="330"/>
        <v>Second NOO</v>
      </c>
      <c r="D806" s="2041" t="s">
        <v>1302</v>
      </c>
      <c r="E806" s="2041" t="s">
        <v>98</v>
      </c>
      <c r="F806" s="2041" t="s">
        <v>330</v>
      </c>
      <c r="G806" s="2103" t="s">
        <v>468</v>
      </c>
      <c r="H806" s="2041" t="s">
        <v>136</v>
      </c>
      <c r="I806" s="2039" t="s">
        <v>1332</v>
      </c>
      <c r="J806" s="2039" t="s">
        <v>1311</v>
      </c>
      <c r="K806" s="2041" t="s">
        <v>1790</v>
      </c>
      <c r="L806" s="2039" t="s">
        <v>430</v>
      </c>
      <c r="M806" s="2039" t="s">
        <v>2677</v>
      </c>
      <c r="N806" s="2041" t="s">
        <v>82</v>
      </c>
      <c r="O806" s="2039" t="s">
        <v>310</v>
      </c>
      <c r="P806" s="2039" t="s">
        <v>291</v>
      </c>
      <c r="Q806" s="2039" t="s">
        <v>294</v>
      </c>
      <c r="R806" s="2039">
        <v>200000</v>
      </c>
      <c r="S806" s="2039">
        <v>350000</v>
      </c>
      <c r="T806" s="2039">
        <v>0</v>
      </c>
      <c r="U806" s="2039">
        <f t="shared" si="336"/>
        <v>350000</v>
      </c>
      <c r="V806" s="2039">
        <v>0</v>
      </c>
      <c r="W806" s="2039">
        <v>50</v>
      </c>
      <c r="X806" s="2039">
        <v>0</v>
      </c>
      <c r="Y806" s="2039">
        <v>999</v>
      </c>
      <c r="Z806" s="2042">
        <v>720</v>
      </c>
      <c r="AA806" s="2042">
        <v>999</v>
      </c>
      <c r="AB806" s="2042">
        <v>0</v>
      </c>
      <c r="AC806" s="2042">
        <v>999999</v>
      </c>
      <c r="AD806" s="2039">
        <v>0</v>
      </c>
      <c r="AE806" s="2108">
        <v>80</v>
      </c>
      <c r="AF806" s="170">
        <v>0</v>
      </c>
      <c r="AG806" s="171">
        <v>0</v>
      </c>
      <c r="AH806" s="171">
        <v>1</v>
      </c>
      <c r="AI806" s="171">
        <v>0</v>
      </c>
      <c r="AJ806" s="171">
        <v>0</v>
      </c>
      <c r="AK806" s="171">
        <v>1</v>
      </c>
      <c r="AL806" s="171">
        <v>1</v>
      </c>
      <c r="AM806" s="171">
        <v>1</v>
      </c>
      <c r="AN806" s="171">
        <v>1</v>
      </c>
      <c r="AO806" s="171">
        <v>1</v>
      </c>
      <c r="AP806" s="171">
        <v>1</v>
      </c>
      <c r="AQ806" s="171">
        <v>1</v>
      </c>
      <c r="AR806" s="171">
        <v>1</v>
      </c>
      <c r="AS806" s="171">
        <v>1</v>
      </c>
      <c r="AT806" s="171">
        <v>1</v>
      </c>
      <c r="AU806" s="171">
        <f t="shared" si="324"/>
        <v>1</v>
      </c>
      <c r="AV806" s="171">
        <f t="shared" si="325"/>
        <v>1</v>
      </c>
      <c r="AW806" s="171">
        <f t="shared" si="326"/>
        <v>1</v>
      </c>
      <c r="AX806" s="171">
        <f t="shared" si="335"/>
        <v>1</v>
      </c>
      <c r="AY806" s="171">
        <f t="shared" si="327"/>
        <v>1</v>
      </c>
      <c r="AZ806" s="171">
        <f t="shared" si="328"/>
        <v>1</v>
      </c>
      <c r="BA806" s="172">
        <f t="shared" si="329"/>
        <v>1</v>
      </c>
      <c r="BB806" s="175">
        <f t="shared" si="337"/>
        <v>18</v>
      </c>
      <c r="BC806" s="176">
        <f t="shared" si="338"/>
        <v>17</v>
      </c>
      <c r="BD806" s="176">
        <f t="shared" si="339"/>
        <v>18</v>
      </c>
      <c r="BE806" s="240" t="str">
        <f t="shared" si="322"/>
        <v/>
      </c>
      <c r="BF806" s="220"/>
      <c r="BG806" s="220"/>
      <c r="BH806" s="216">
        <f>IF(AND(Input_Product=Elig!$C806,Elig_MatchAll_Ct&lt;22,$BC806=(Elig_MatchAll_Ct-1),AF806=0),C806,0)</f>
        <v>0</v>
      </c>
      <c r="BI806" s="216">
        <f>IF(AND(Input_Product=Elig!$C806,Elig_MatchAll_Ct&lt;22,$BC806=(Elig_MatchAll_Ct-1),AG806=0),D806,0)</f>
        <v>0</v>
      </c>
      <c r="BJ806" s="216">
        <f>IF(AND(Input_Product=Elig!$C806,Elig_MatchAll_Ct&lt;22,$BC806=(Elig_MatchAll_Ct-1),AH806=0),E806,0)</f>
        <v>0</v>
      </c>
      <c r="BK806" s="216">
        <f>IF(AND(Input_Product=Elig!$C806,Elig_MatchAll_Ct&lt;22,$BC806=(Elig_MatchAll_Ct-1),AI806=0),F806,0)</f>
        <v>0</v>
      </c>
      <c r="BL806" s="216">
        <f>IF(AND(Input_Product=Elig!$C806,Elig_MatchAll_Ct&lt;22,$BC806=(Elig_MatchAll_Ct-1),AJ806=0),G806,0)</f>
        <v>0</v>
      </c>
      <c r="BM806" s="216">
        <f>IF(AND(Input_Product=Elig!$C806,Elig_MatchAll_Ct&lt;22,$BC806=(Elig_MatchAll_Ct-1),AK806=0),H806,0)</f>
        <v>0</v>
      </c>
      <c r="BN806" s="216">
        <f>IF(AND(Input_Product=Elig!$C806,Elig_MatchAll_Ct&lt;22,$BC806=(Elig_MatchAll_Ct-1),AL806=0),I806,0)</f>
        <v>0</v>
      </c>
      <c r="BO806" s="216">
        <f>IF(AND(Input_Product=Elig!$C806,Elig_MatchAll_Ct&lt;22,$BC806=(Elig_MatchAll_Ct-1),AM806=0),J806,0)</f>
        <v>0</v>
      </c>
      <c r="BP806" s="216">
        <f>IF(AND(Input_Product=Elig!$C806,Elig_MatchAll_Ct&lt;22,$BC806=(Elig_MatchAll_Ct-1),AN806=0),K806,0)</f>
        <v>0</v>
      </c>
      <c r="BQ806" s="216">
        <f>IF(AND(Input_Product=Elig!$C806,Elig_MatchAll_Ct&lt;22,$BC806=(Elig_MatchAll_Ct-1),AP806=0),L806,0)</f>
        <v>0</v>
      </c>
      <c r="BR806" s="216">
        <f>IF(AND(Input_Product=Elig!$C806,Elig_MatchAll_Ct&lt;22,$BC806=(Elig_MatchAll_Ct-1),AO806=0),M806,0)</f>
        <v>0</v>
      </c>
      <c r="BS806" s="216">
        <f>IF(AND(Input_Product=Elig!$C806,Elig_MatchAll_Ct&lt;22,$BC806=(Elig_MatchAll_Ct-1),AQ806=0),N806,0)</f>
        <v>0</v>
      </c>
      <c r="BT806" s="216">
        <f>IF(AND(Input_Product=Elig!$C806,Elig_MatchAll_Ct&lt;22,$BC806=(Elig_MatchAll_Ct-1),AR806=0),O806,0)</f>
        <v>0</v>
      </c>
      <c r="BU806" s="216">
        <f>IF(AND(Input_Product=Elig!$C806,Elig_MatchAll_Ct&lt;22,$BC806=(Elig_MatchAll_Ct-1),AS806=0),P806,0)</f>
        <v>0</v>
      </c>
      <c r="BV806" s="217">
        <f>IF(AND(Input_Product=Elig!$C806,Elig_MatchAll_Ct&lt;22,$BC806=(Elig_MatchAll_Ct-1),AT806=0),Q806,0)</f>
        <v>0</v>
      </c>
      <c r="BW806" s="313">
        <f>IF(AND(Input_Product=Elig!$C806,Elig_MatchAll_Ct&lt;22,$BC806=(Elig_MatchAll_Ct-1),AU806=0),R806,0)</f>
        <v>0</v>
      </c>
      <c r="BX806" s="314">
        <f>IF(AND(Input_Product=Elig!$C806,Elig_MatchAll_Ct&lt;22,$BC806=(Elig_MatchAll_Ct-1),AU806=0),S806,0)</f>
        <v>0</v>
      </c>
      <c r="BY806" s="313">
        <f>IF(AND(Input_Product=Elig!$C806,Elig_MatchAll_Ct&lt;22,$BC806=(Elig_MatchAll_Ct-1),AV806=0),T806,0)</f>
        <v>0</v>
      </c>
      <c r="BZ806" s="314">
        <f>IF(AND(Input_Product=Elig!$C806,Elig_MatchAll_Ct&lt;22,$BC806=(Elig_MatchAll_Ct-1),AV806=0),U806,0)</f>
        <v>0</v>
      </c>
      <c r="CA806" s="313">
        <f>IF(AND(Input_Product=Elig!$C806,Elig_MatchAll_Ct&lt;22,$BC806=(Elig_MatchAll_Ct-1),AW806=0),V806,0)</f>
        <v>0</v>
      </c>
      <c r="CB806" s="314">
        <f>IF(AND(Input_Product=Elig!$C806,Elig_MatchAll_Ct&lt;22,$BC806=(Elig_MatchAll_Ct-1),AW806=0),W806,0)</f>
        <v>0</v>
      </c>
      <c r="CC806" s="313">
        <f>IF(AND(Input_Product=Elig!$C806,Elig_MatchAll_Ct&lt;22,$BC806=(Elig_MatchAll_Ct-1),AX806=0),X806,0)</f>
        <v>0</v>
      </c>
      <c r="CD806" s="314">
        <f>IF(AND(Input_Product=Elig!$C806,Elig_MatchAll_Ct&lt;22,$BC806=(Elig_MatchAll_Ct-1),AX806=0),Y806,0)</f>
        <v>0</v>
      </c>
      <c r="CE806" s="313">
        <f>IF(AND(Input_LTV&lt;=AE806,Input_Product=Elig!$C806,Elig_MatchAll_Ct&lt;22,$BC806=(Elig_MatchAll_Ct-1),AY806=0),Z806,0)</f>
        <v>0</v>
      </c>
      <c r="CF806" s="314">
        <f>IF(AND(Input_LTV&lt;=AE806,Input_Product=Elig!$C806,Elig_MatchAll_Ct&lt;22,$BC806=(Elig_MatchAll_Ct-1),AY806=0),AA806,0)</f>
        <v>0</v>
      </c>
      <c r="CG806" s="313">
        <f>IF(AND(Input_Product=Elig!$C806,Elig_MatchAll_Ct&lt;22,$BC806=(Elig_MatchAll_Ct-1),AZ806=0),AB806,0)</f>
        <v>0</v>
      </c>
      <c r="CH806" s="314">
        <f>IF(AND(Input_Product=Elig!$C806,Elig_MatchAll_Ct&lt;22,$BC806=(Elig_MatchAll_Ct-1),AZ806=0),AC806,0)</f>
        <v>0</v>
      </c>
      <c r="CI806" s="313">
        <f>IF(AND(Input_Product=Elig!$C806,Elig_MatchAll_Ct&lt;22,$BC806=(Elig_MatchAll_Ct-1),BA806=0),AD806,0)</f>
        <v>0</v>
      </c>
      <c r="CJ806" s="314">
        <f>IF(AND(Input_Product=Elig!$C806,Elig_MatchAll_Ct&lt;22,$BC806=(Elig_MatchAll_Ct-1),BA806=0),AE806,0)</f>
        <v>0</v>
      </c>
    </row>
    <row r="807" spans="2:88" ht="10.15" customHeight="1" x14ac:dyDescent="0.25">
      <c r="B807" s="2035" t="s">
        <v>3710</v>
      </c>
      <c r="C807" s="2036" t="str">
        <f t="shared" si="330"/>
        <v>Second NOO</v>
      </c>
      <c r="D807" s="2035" t="s">
        <v>1302</v>
      </c>
      <c r="E807" s="2035" t="s">
        <v>98</v>
      </c>
      <c r="F807" s="2035" t="s">
        <v>330</v>
      </c>
      <c r="G807" s="2110" t="s">
        <v>468</v>
      </c>
      <c r="H807" s="2037" t="s">
        <v>136</v>
      </c>
      <c r="I807" s="2035" t="s">
        <v>1332</v>
      </c>
      <c r="J807" s="2035" t="s">
        <v>1311</v>
      </c>
      <c r="K807" s="2037" t="s">
        <v>1790</v>
      </c>
      <c r="L807" s="2035" t="s">
        <v>430</v>
      </c>
      <c r="M807" s="2035" t="s">
        <v>2677</v>
      </c>
      <c r="N807" s="2037" t="s">
        <v>82</v>
      </c>
      <c r="O807" s="2035" t="s">
        <v>310</v>
      </c>
      <c r="P807" s="2035" t="s">
        <v>291</v>
      </c>
      <c r="Q807" s="2035" t="s">
        <v>294</v>
      </c>
      <c r="R807" s="2035">
        <v>200000</v>
      </c>
      <c r="S807" s="2035">
        <v>350000</v>
      </c>
      <c r="T807" s="2035">
        <v>0</v>
      </c>
      <c r="U807" s="2035">
        <f t="shared" si="336"/>
        <v>350000</v>
      </c>
      <c r="V807" s="2035">
        <v>0</v>
      </c>
      <c r="W807" s="2035">
        <v>50</v>
      </c>
      <c r="X807" s="2035">
        <v>0</v>
      </c>
      <c r="Y807" s="2035">
        <v>999</v>
      </c>
      <c r="Z807" s="2038">
        <v>700</v>
      </c>
      <c r="AA807" s="2038">
        <v>719</v>
      </c>
      <c r="AB807" s="2038">
        <v>0</v>
      </c>
      <c r="AC807" s="2038">
        <v>999999</v>
      </c>
      <c r="AD807" s="2035">
        <v>0</v>
      </c>
      <c r="AE807" s="2109">
        <v>75</v>
      </c>
      <c r="AF807" s="170">
        <v>0</v>
      </c>
      <c r="AG807" s="171">
        <v>0</v>
      </c>
      <c r="AH807" s="171">
        <v>1</v>
      </c>
      <c r="AI807" s="171">
        <v>0</v>
      </c>
      <c r="AJ807" s="171">
        <v>0</v>
      </c>
      <c r="AK807" s="171">
        <v>1</v>
      </c>
      <c r="AL807" s="171">
        <v>1</v>
      </c>
      <c r="AM807" s="171">
        <v>1</v>
      </c>
      <c r="AN807" s="171">
        <v>1</v>
      </c>
      <c r="AO807" s="171">
        <v>1</v>
      </c>
      <c r="AP807" s="171">
        <v>1</v>
      </c>
      <c r="AQ807" s="171">
        <v>1</v>
      </c>
      <c r="AR807" s="171">
        <v>1</v>
      </c>
      <c r="AS807" s="171">
        <v>1</v>
      </c>
      <c r="AT807" s="171">
        <v>1</v>
      </c>
      <c r="AU807" s="171">
        <f t="shared" si="324"/>
        <v>1</v>
      </c>
      <c r="AV807" s="171">
        <f t="shared" si="325"/>
        <v>1</v>
      </c>
      <c r="AW807" s="171">
        <f t="shared" si="326"/>
        <v>1</v>
      </c>
      <c r="AX807" s="171">
        <f t="shared" si="335"/>
        <v>1</v>
      </c>
      <c r="AY807" s="171">
        <f t="shared" si="327"/>
        <v>0</v>
      </c>
      <c r="AZ807" s="171">
        <f t="shared" si="328"/>
        <v>1</v>
      </c>
      <c r="BA807" s="172">
        <f t="shared" si="329"/>
        <v>1</v>
      </c>
      <c r="BB807" s="175">
        <f t="shared" si="337"/>
        <v>17</v>
      </c>
      <c r="BC807" s="176">
        <f t="shared" si="338"/>
        <v>16</v>
      </c>
      <c r="BD807" s="176">
        <f t="shared" si="339"/>
        <v>17</v>
      </c>
      <c r="BE807" s="240" t="str">
        <f t="shared" si="322"/>
        <v/>
      </c>
      <c r="BF807" s="234"/>
      <c r="BG807" s="234"/>
      <c r="BH807" s="199">
        <f>IF(AND(Input_Product=Elig!$C807,Elig_MatchAll_Ct&lt;22,$BC807=(Elig_MatchAll_Ct-1),AF807=0),C807,0)</f>
        <v>0</v>
      </c>
      <c r="BI807" s="199">
        <f>IF(AND(Input_Product=Elig!$C807,Elig_MatchAll_Ct&lt;22,$BC807=(Elig_MatchAll_Ct-1),AG807=0),D807,0)</f>
        <v>0</v>
      </c>
      <c r="BJ807" s="199">
        <f>IF(AND(Input_Product=Elig!$C807,Elig_MatchAll_Ct&lt;22,$BC807=(Elig_MatchAll_Ct-1),AH807=0),E807,0)</f>
        <v>0</v>
      </c>
      <c r="BK807" s="199">
        <f>IF(AND(Input_Product=Elig!$C807,Elig_MatchAll_Ct&lt;22,$BC807=(Elig_MatchAll_Ct-1),AI807=0),F807,0)</f>
        <v>0</v>
      </c>
      <c r="BL807" s="199">
        <f>IF(AND(Input_Product=Elig!$C807,Elig_MatchAll_Ct&lt;22,$BC807=(Elig_MatchAll_Ct-1),AJ807=0),G807,0)</f>
        <v>0</v>
      </c>
      <c r="BM807" s="199">
        <f>IF(AND(Input_Product=Elig!$C807,Elig_MatchAll_Ct&lt;22,$BC807=(Elig_MatchAll_Ct-1),AK807=0),H807,0)</f>
        <v>0</v>
      </c>
      <c r="BN807" s="199">
        <f>IF(AND(Input_Product=Elig!$C807,Elig_MatchAll_Ct&lt;22,$BC807=(Elig_MatchAll_Ct-1),AL807=0),I807,0)</f>
        <v>0</v>
      </c>
      <c r="BO807" s="199">
        <f>IF(AND(Input_Product=Elig!$C807,Elig_MatchAll_Ct&lt;22,$BC807=(Elig_MatchAll_Ct-1),AM807=0),J807,0)</f>
        <v>0</v>
      </c>
      <c r="BP807" s="199">
        <f>IF(AND(Input_Product=Elig!$C807,Elig_MatchAll_Ct&lt;22,$BC807=(Elig_MatchAll_Ct-1),AN807=0),K807,0)</f>
        <v>0</v>
      </c>
      <c r="BQ807" s="199">
        <f>IF(AND(Input_Product=Elig!$C807,Elig_MatchAll_Ct&lt;22,$BC807=(Elig_MatchAll_Ct-1),AP807=0),L807,0)</f>
        <v>0</v>
      </c>
      <c r="BR807" s="199">
        <f>IF(AND(Input_Product=Elig!$C807,Elig_MatchAll_Ct&lt;22,$BC807=(Elig_MatchAll_Ct-1),AO807=0),M807,0)</f>
        <v>0</v>
      </c>
      <c r="BS807" s="199">
        <f>IF(AND(Input_Product=Elig!$C807,Elig_MatchAll_Ct&lt;22,$BC807=(Elig_MatchAll_Ct-1),AQ807=0),N807,0)</f>
        <v>0</v>
      </c>
      <c r="BT807" s="199">
        <f>IF(AND(Input_Product=Elig!$C807,Elig_MatchAll_Ct&lt;22,$BC807=(Elig_MatchAll_Ct-1),AR807=0),O807,0)</f>
        <v>0</v>
      </c>
      <c r="BU807" s="199">
        <f>IF(AND(Input_Product=Elig!$C807,Elig_MatchAll_Ct&lt;22,$BC807=(Elig_MatchAll_Ct-1),AS807=0),P807,0)</f>
        <v>0</v>
      </c>
      <c r="BV807" s="200">
        <f>IF(AND(Input_Product=Elig!$C807,Elig_MatchAll_Ct&lt;22,$BC807=(Elig_MatchAll_Ct-1),AT807=0),Q807,0)</f>
        <v>0</v>
      </c>
      <c r="BW807" s="201">
        <f>IF(AND(Input_Product=Elig!$C807,Elig_MatchAll_Ct&lt;22,$BC807=(Elig_MatchAll_Ct-1),AU807=0),R807,0)</f>
        <v>0</v>
      </c>
      <c r="BX807" s="202">
        <f>IF(AND(Input_Product=Elig!$C807,Elig_MatchAll_Ct&lt;22,$BC807=(Elig_MatchAll_Ct-1),AU807=0),S807,0)</f>
        <v>0</v>
      </c>
      <c r="BY807" s="201">
        <f>IF(AND(Input_Product=Elig!$C807,Elig_MatchAll_Ct&lt;22,$BC807=(Elig_MatchAll_Ct-1),AV807=0),T807,0)</f>
        <v>0</v>
      </c>
      <c r="BZ807" s="202">
        <f>IF(AND(Input_Product=Elig!$C807,Elig_MatchAll_Ct&lt;22,$BC807=(Elig_MatchAll_Ct-1),AV807=0),U807,0)</f>
        <v>0</v>
      </c>
      <c r="CA807" s="201">
        <f>IF(AND(Input_Product=Elig!$C807,Elig_MatchAll_Ct&lt;22,$BC807=(Elig_MatchAll_Ct-1),AW807=0),V807,0)</f>
        <v>0</v>
      </c>
      <c r="CB807" s="202">
        <f>IF(AND(Input_Product=Elig!$C807,Elig_MatchAll_Ct&lt;22,$BC807=(Elig_MatchAll_Ct-1),AW807=0),W807,0)</f>
        <v>0</v>
      </c>
      <c r="CC807" s="201">
        <f>IF(AND(Input_Product=Elig!$C807,Elig_MatchAll_Ct&lt;22,$BC807=(Elig_MatchAll_Ct-1),AX807=0),X807,0)</f>
        <v>0</v>
      </c>
      <c r="CD807" s="202">
        <f>IF(AND(Input_Product=Elig!$C807,Elig_MatchAll_Ct&lt;22,$BC807=(Elig_MatchAll_Ct-1),AX807=0),Y807,0)</f>
        <v>0</v>
      </c>
      <c r="CE807" s="201">
        <f>IF(AND(Input_LTV&lt;=AE807,Input_Product=Elig!$C807,Elig_MatchAll_Ct&lt;22,$BC807=(Elig_MatchAll_Ct-1),AY807=0),Z807,0)</f>
        <v>0</v>
      </c>
      <c r="CF807" s="202">
        <f>IF(AND(Input_LTV&lt;=AE807,Input_Product=Elig!$C807,Elig_MatchAll_Ct&lt;22,$BC807=(Elig_MatchAll_Ct-1),AY807=0),AA807,0)</f>
        <v>0</v>
      </c>
      <c r="CG807" s="201">
        <f>IF(AND(Input_Product=Elig!$C807,Elig_MatchAll_Ct&lt;22,$BC807=(Elig_MatchAll_Ct-1),AZ807=0),AB807,0)</f>
        <v>0</v>
      </c>
      <c r="CH807" s="202">
        <f>IF(AND(Input_Product=Elig!$C807,Elig_MatchAll_Ct&lt;22,$BC807=(Elig_MatchAll_Ct-1),AZ807=0),AC807,0)</f>
        <v>0</v>
      </c>
      <c r="CI807" s="201">
        <f>IF(AND(Input_Product=Elig!$C807,Elig_MatchAll_Ct&lt;22,$BC807=(Elig_MatchAll_Ct-1),BA807=0),AD807,0)</f>
        <v>0</v>
      </c>
      <c r="CJ807" s="202">
        <f>IF(AND(Input_Product=Elig!$C807,Elig_MatchAll_Ct&lt;22,$BC807=(Elig_MatchAll_Ct-1),BA807=0),AE807,0)</f>
        <v>0</v>
      </c>
    </row>
    <row r="808" spans="2:88" ht="10.15" customHeight="1" x14ac:dyDescent="0.25">
      <c r="B808" s="2035" t="s">
        <v>3711</v>
      </c>
      <c r="C808" s="2036" t="str">
        <f t="shared" si="330"/>
        <v>Second NOO</v>
      </c>
      <c r="D808" s="2035" t="s">
        <v>1302</v>
      </c>
      <c r="E808" s="2035" t="s">
        <v>98</v>
      </c>
      <c r="F808" s="2035" t="s">
        <v>330</v>
      </c>
      <c r="G808" s="2110" t="s">
        <v>468</v>
      </c>
      <c r="H808" s="2037" t="s">
        <v>136</v>
      </c>
      <c r="I808" s="2035" t="s">
        <v>1332</v>
      </c>
      <c r="J808" s="2035" t="s">
        <v>1311</v>
      </c>
      <c r="K808" s="2037" t="s">
        <v>1790</v>
      </c>
      <c r="L808" s="2035" t="s">
        <v>430</v>
      </c>
      <c r="M808" s="2035" t="s">
        <v>2677</v>
      </c>
      <c r="N808" s="2037" t="s">
        <v>82</v>
      </c>
      <c r="O808" s="2035" t="s">
        <v>310</v>
      </c>
      <c r="P808" s="2035" t="s">
        <v>291</v>
      </c>
      <c r="Q808" s="2035" t="s">
        <v>294</v>
      </c>
      <c r="R808" s="2035">
        <v>200000</v>
      </c>
      <c r="S808" s="2035">
        <v>350000</v>
      </c>
      <c r="T808" s="2035">
        <v>0</v>
      </c>
      <c r="U808" s="2035">
        <f t="shared" si="336"/>
        <v>350000</v>
      </c>
      <c r="V808" s="2035">
        <v>0</v>
      </c>
      <c r="W808" s="2035">
        <v>50</v>
      </c>
      <c r="X808" s="2035">
        <v>0</v>
      </c>
      <c r="Y808" s="2035">
        <v>999</v>
      </c>
      <c r="Z808" s="2038">
        <v>680</v>
      </c>
      <c r="AA808" s="2038">
        <v>699</v>
      </c>
      <c r="AB808" s="2038">
        <v>0</v>
      </c>
      <c r="AC808" s="2038">
        <v>999999</v>
      </c>
      <c r="AD808" s="2035">
        <v>0</v>
      </c>
      <c r="AE808" s="2109">
        <v>70</v>
      </c>
      <c r="AF808" s="170">
        <v>0</v>
      </c>
      <c r="AG808" s="171">
        <v>0</v>
      </c>
      <c r="AH808" s="171">
        <v>1</v>
      </c>
      <c r="AI808" s="171">
        <v>0</v>
      </c>
      <c r="AJ808" s="171">
        <v>0</v>
      </c>
      <c r="AK808" s="171">
        <v>1</v>
      </c>
      <c r="AL808" s="171">
        <v>1</v>
      </c>
      <c r="AM808" s="171">
        <v>1</v>
      </c>
      <c r="AN808" s="171">
        <v>1</v>
      </c>
      <c r="AO808" s="171">
        <v>1</v>
      </c>
      <c r="AP808" s="171">
        <v>1</v>
      </c>
      <c r="AQ808" s="171">
        <v>1</v>
      </c>
      <c r="AR808" s="171">
        <v>1</v>
      </c>
      <c r="AS808" s="171">
        <v>1</v>
      </c>
      <c r="AT808" s="171">
        <v>1</v>
      </c>
      <c r="AU808" s="171">
        <f t="shared" si="324"/>
        <v>1</v>
      </c>
      <c r="AV808" s="171">
        <f t="shared" si="325"/>
        <v>1</v>
      </c>
      <c r="AW808" s="171">
        <f t="shared" si="326"/>
        <v>1</v>
      </c>
      <c r="AX808" s="171">
        <f t="shared" si="335"/>
        <v>1</v>
      </c>
      <c r="AY808" s="171">
        <f t="shared" si="327"/>
        <v>0</v>
      </c>
      <c r="AZ808" s="171">
        <f t="shared" si="328"/>
        <v>1</v>
      </c>
      <c r="BA808" s="172">
        <f t="shared" si="329"/>
        <v>1</v>
      </c>
      <c r="BB808" s="175">
        <f t="shared" si="337"/>
        <v>17</v>
      </c>
      <c r="BC808" s="176">
        <f t="shared" si="338"/>
        <v>16</v>
      </c>
      <c r="BD808" s="176">
        <f t="shared" si="339"/>
        <v>17</v>
      </c>
      <c r="BE808" s="240" t="str">
        <f t="shared" si="322"/>
        <v/>
      </c>
      <c r="BF808" s="234"/>
      <c r="BG808" s="234"/>
      <c r="BH808" s="199">
        <f>IF(AND(Input_Product=Elig!$C808,Elig_MatchAll_Ct&lt;22,$BC808=(Elig_MatchAll_Ct-1),AF808=0),C808,0)</f>
        <v>0</v>
      </c>
      <c r="BI808" s="199">
        <f>IF(AND(Input_Product=Elig!$C808,Elig_MatchAll_Ct&lt;22,$BC808=(Elig_MatchAll_Ct-1),AG808=0),D808,0)</f>
        <v>0</v>
      </c>
      <c r="BJ808" s="199">
        <f>IF(AND(Input_Product=Elig!$C808,Elig_MatchAll_Ct&lt;22,$BC808=(Elig_MatchAll_Ct-1),AH808=0),E808,0)</f>
        <v>0</v>
      </c>
      <c r="BK808" s="199">
        <f>IF(AND(Input_Product=Elig!$C808,Elig_MatchAll_Ct&lt;22,$BC808=(Elig_MatchAll_Ct-1),AI808=0),F808,0)</f>
        <v>0</v>
      </c>
      <c r="BL808" s="199">
        <f>IF(AND(Input_Product=Elig!$C808,Elig_MatchAll_Ct&lt;22,$BC808=(Elig_MatchAll_Ct-1),AJ808=0),G808,0)</f>
        <v>0</v>
      </c>
      <c r="BM808" s="199">
        <f>IF(AND(Input_Product=Elig!$C808,Elig_MatchAll_Ct&lt;22,$BC808=(Elig_MatchAll_Ct-1),AK808=0),H808,0)</f>
        <v>0</v>
      </c>
      <c r="BN808" s="199">
        <f>IF(AND(Input_Product=Elig!$C808,Elig_MatchAll_Ct&lt;22,$BC808=(Elig_MatchAll_Ct-1),AL808=0),I808,0)</f>
        <v>0</v>
      </c>
      <c r="BO808" s="199">
        <f>IF(AND(Input_Product=Elig!$C808,Elig_MatchAll_Ct&lt;22,$BC808=(Elig_MatchAll_Ct-1),AM808=0),J808,0)</f>
        <v>0</v>
      </c>
      <c r="BP808" s="199">
        <f>IF(AND(Input_Product=Elig!$C808,Elig_MatchAll_Ct&lt;22,$BC808=(Elig_MatchAll_Ct-1),AN808=0),K808,0)</f>
        <v>0</v>
      </c>
      <c r="BQ808" s="199">
        <f>IF(AND(Input_Product=Elig!$C808,Elig_MatchAll_Ct&lt;22,$BC808=(Elig_MatchAll_Ct-1),AP808=0),L808,0)</f>
        <v>0</v>
      </c>
      <c r="BR808" s="199">
        <f>IF(AND(Input_Product=Elig!$C808,Elig_MatchAll_Ct&lt;22,$BC808=(Elig_MatchAll_Ct-1),AO808=0),M808,0)</f>
        <v>0</v>
      </c>
      <c r="BS808" s="199">
        <f>IF(AND(Input_Product=Elig!$C808,Elig_MatchAll_Ct&lt;22,$BC808=(Elig_MatchAll_Ct-1),AQ808=0),N808,0)</f>
        <v>0</v>
      </c>
      <c r="BT808" s="199">
        <f>IF(AND(Input_Product=Elig!$C808,Elig_MatchAll_Ct&lt;22,$BC808=(Elig_MatchAll_Ct-1),AR808=0),O808,0)</f>
        <v>0</v>
      </c>
      <c r="BU808" s="199">
        <f>IF(AND(Input_Product=Elig!$C808,Elig_MatchAll_Ct&lt;22,$BC808=(Elig_MatchAll_Ct-1),AS808=0),P808,0)</f>
        <v>0</v>
      </c>
      <c r="BV808" s="200">
        <f>IF(AND(Input_Product=Elig!$C808,Elig_MatchAll_Ct&lt;22,$BC808=(Elig_MatchAll_Ct-1),AT808=0),Q808,0)</f>
        <v>0</v>
      </c>
      <c r="BW808" s="201">
        <f>IF(AND(Input_Product=Elig!$C808,Elig_MatchAll_Ct&lt;22,$BC808=(Elig_MatchAll_Ct-1),AU808=0),R808,0)</f>
        <v>0</v>
      </c>
      <c r="BX808" s="202">
        <f>IF(AND(Input_Product=Elig!$C808,Elig_MatchAll_Ct&lt;22,$BC808=(Elig_MatchAll_Ct-1),AU808=0),S808,0)</f>
        <v>0</v>
      </c>
      <c r="BY808" s="201">
        <f>IF(AND(Input_Product=Elig!$C808,Elig_MatchAll_Ct&lt;22,$BC808=(Elig_MatchAll_Ct-1),AV808=0),T808,0)</f>
        <v>0</v>
      </c>
      <c r="BZ808" s="202">
        <f>IF(AND(Input_Product=Elig!$C808,Elig_MatchAll_Ct&lt;22,$BC808=(Elig_MatchAll_Ct-1),AV808=0),U808,0)</f>
        <v>0</v>
      </c>
      <c r="CA808" s="201">
        <f>IF(AND(Input_Product=Elig!$C808,Elig_MatchAll_Ct&lt;22,$BC808=(Elig_MatchAll_Ct-1),AW808=0),V808,0)</f>
        <v>0</v>
      </c>
      <c r="CB808" s="202">
        <f>IF(AND(Input_Product=Elig!$C808,Elig_MatchAll_Ct&lt;22,$BC808=(Elig_MatchAll_Ct-1),AW808=0),W808,0)</f>
        <v>0</v>
      </c>
      <c r="CC808" s="201">
        <f>IF(AND(Input_Product=Elig!$C808,Elig_MatchAll_Ct&lt;22,$BC808=(Elig_MatchAll_Ct-1),AX808=0),X808,0)</f>
        <v>0</v>
      </c>
      <c r="CD808" s="202">
        <f>IF(AND(Input_Product=Elig!$C808,Elig_MatchAll_Ct&lt;22,$BC808=(Elig_MatchAll_Ct-1),AX808=0),Y808,0)</f>
        <v>0</v>
      </c>
      <c r="CE808" s="201">
        <f>IF(AND(Input_LTV&lt;=AE808,Input_Product=Elig!$C808,Elig_MatchAll_Ct&lt;22,$BC808=(Elig_MatchAll_Ct-1),AY808=0),Z808,0)</f>
        <v>0</v>
      </c>
      <c r="CF808" s="202">
        <f>IF(AND(Input_LTV&lt;=AE808,Input_Product=Elig!$C808,Elig_MatchAll_Ct&lt;22,$BC808=(Elig_MatchAll_Ct-1),AY808=0),AA808,0)</f>
        <v>0</v>
      </c>
      <c r="CG808" s="201">
        <f>IF(AND(Input_Product=Elig!$C808,Elig_MatchAll_Ct&lt;22,$BC808=(Elig_MatchAll_Ct-1),AZ808=0),AB808,0)</f>
        <v>0</v>
      </c>
      <c r="CH808" s="202">
        <f>IF(AND(Input_Product=Elig!$C808,Elig_MatchAll_Ct&lt;22,$BC808=(Elig_MatchAll_Ct-1),AZ808=0),AC808,0)</f>
        <v>0</v>
      </c>
      <c r="CI808" s="201">
        <f>IF(AND(Input_Product=Elig!$C808,Elig_MatchAll_Ct&lt;22,$BC808=(Elig_MatchAll_Ct-1),BA808=0),AD808,0)</f>
        <v>0</v>
      </c>
      <c r="CJ808" s="202">
        <f>IF(AND(Input_Product=Elig!$C808,Elig_MatchAll_Ct&lt;22,$BC808=(Elig_MatchAll_Ct-1),BA808=0),AE808,0)</f>
        <v>0</v>
      </c>
    </row>
    <row r="809" spans="2:88" ht="10.15" customHeight="1" x14ac:dyDescent="0.25">
      <c r="B809" s="2035" t="s">
        <v>3712</v>
      </c>
      <c r="C809" s="2036" t="str">
        <f t="shared" si="330"/>
        <v>Second NOO</v>
      </c>
      <c r="D809" s="2035" t="s">
        <v>1302</v>
      </c>
      <c r="E809" s="2035" t="s">
        <v>98</v>
      </c>
      <c r="F809" s="2035" t="s">
        <v>330</v>
      </c>
      <c r="G809" s="2111" t="s">
        <v>468</v>
      </c>
      <c r="H809" s="2037" t="s">
        <v>136</v>
      </c>
      <c r="I809" s="2035" t="s">
        <v>1332</v>
      </c>
      <c r="J809" s="2037" t="s">
        <v>1311</v>
      </c>
      <c r="K809" s="2037" t="s">
        <v>1790</v>
      </c>
      <c r="L809" s="2035" t="s">
        <v>430</v>
      </c>
      <c r="M809" s="2035" t="s">
        <v>2677</v>
      </c>
      <c r="N809" s="2037" t="s">
        <v>82</v>
      </c>
      <c r="O809" s="2035" t="s">
        <v>310</v>
      </c>
      <c r="P809" s="2035" t="s">
        <v>291</v>
      </c>
      <c r="Q809" s="2035" t="s">
        <v>294</v>
      </c>
      <c r="R809" s="2035">
        <v>200000</v>
      </c>
      <c r="S809" s="2035">
        <v>350000</v>
      </c>
      <c r="T809" s="2035">
        <v>0</v>
      </c>
      <c r="U809" s="2035">
        <f t="shared" si="336"/>
        <v>350000</v>
      </c>
      <c r="V809" s="2035">
        <v>0</v>
      </c>
      <c r="W809" s="2035">
        <v>50</v>
      </c>
      <c r="X809" s="2035">
        <v>0</v>
      </c>
      <c r="Y809" s="2035">
        <v>999</v>
      </c>
      <c r="Z809" s="2038">
        <v>660</v>
      </c>
      <c r="AA809" s="2038">
        <v>679</v>
      </c>
      <c r="AB809" s="2038">
        <v>0</v>
      </c>
      <c r="AC809" s="2038">
        <v>999999</v>
      </c>
      <c r="AD809" s="2035">
        <v>0</v>
      </c>
      <c r="AE809" s="2035">
        <v>60</v>
      </c>
      <c r="AF809" s="170">
        <v>0</v>
      </c>
      <c r="AG809" s="171">
        <v>0</v>
      </c>
      <c r="AH809" s="171">
        <v>1</v>
      </c>
      <c r="AI809" s="171">
        <v>0</v>
      </c>
      <c r="AJ809" s="171">
        <v>0</v>
      </c>
      <c r="AK809" s="171">
        <v>1</v>
      </c>
      <c r="AL809" s="171">
        <v>1</v>
      </c>
      <c r="AM809" s="171">
        <v>1</v>
      </c>
      <c r="AN809" s="171">
        <v>1</v>
      </c>
      <c r="AO809" s="171">
        <v>1</v>
      </c>
      <c r="AP809" s="171">
        <v>1</v>
      </c>
      <c r="AQ809" s="171">
        <v>1</v>
      </c>
      <c r="AR809" s="171">
        <v>1</v>
      </c>
      <c r="AS809" s="171">
        <v>1</v>
      </c>
      <c r="AT809" s="171">
        <v>1</v>
      </c>
      <c r="AU809" s="171">
        <f t="shared" si="324"/>
        <v>1</v>
      </c>
      <c r="AV809" s="171">
        <f t="shared" si="325"/>
        <v>1</v>
      </c>
      <c r="AW809" s="171">
        <f t="shared" si="326"/>
        <v>1</v>
      </c>
      <c r="AX809" s="171">
        <f t="shared" si="335"/>
        <v>1</v>
      </c>
      <c r="AY809" s="171">
        <f t="shared" si="327"/>
        <v>0</v>
      </c>
      <c r="AZ809" s="171">
        <f t="shared" si="328"/>
        <v>1</v>
      </c>
      <c r="BA809" s="172">
        <f t="shared" si="329"/>
        <v>0</v>
      </c>
      <c r="BB809" s="175">
        <f t="shared" si="337"/>
        <v>16</v>
      </c>
      <c r="BC809" s="176">
        <f t="shared" si="338"/>
        <v>16</v>
      </c>
      <c r="BD809" s="176">
        <f t="shared" si="339"/>
        <v>16</v>
      </c>
      <c r="BE809" s="240" t="str">
        <f t="shared" si="322"/>
        <v/>
      </c>
      <c r="BF809" s="234"/>
      <c r="BG809" s="234"/>
      <c r="BH809" s="214">
        <f>IF(AND(Input_Product=Elig!$C809,Elig_MatchAll_Ct&lt;22,$BC809=(Elig_MatchAll_Ct-1),AF809=0),C809,0)</f>
        <v>0</v>
      </c>
      <c r="BI809" s="214">
        <f>IF(AND(Input_Product=Elig!$C809,Elig_MatchAll_Ct&lt;22,$BC809=(Elig_MatchAll_Ct-1),AG809=0),D809,0)</f>
        <v>0</v>
      </c>
      <c r="BJ809" s="214">
        <f>IF(AND(Input_Product=Elig!$C809,Elig_MatchAll_Ct&lt;22,$BC809=(Elig_MatchAll_Ct-1),AH809=0),E809,0)</f>
        <v>0</v>
      </c>
      <c r="BK809" s="214">
        <f>IF(AND(Input_Product=Elig!$C809,Elig_MatchAll_Ct&lt;22,$BC809=(Elig_MatchAll_Ct-1),AI809=0),F809,0)</f>
        <v>0</v>
      </c>
      <c r="BL809" s="214">
        <f>IF(AND(Input_Product=Elig!$C809,Elig_MatchAll_Ct&lt;22,$BC809=(Elig_MatchAll_Ct-1),AJ809=0),G809,0)</f>
        <v>0</v>
      </c>
      <c r="BM809" s="214">
        <f>IF(AND(Input_Product=Elig!$C809,Elig_MatchAll_Ct&lt;22,$BC809=(Elig_MatchAll_Ct-1),AK809=0),H809,0)</f>
        <v>0</v>
      </c>
      <c r="BN809" s="214">
        <f>IF(AND(Input_Product=Elig!$C809,Elig_MatchAll_Ct&lt;22,$BC809=(Elig_MatchAll_Ct-1),AL809=0),I809,0)</f>
        <v>0</v>
      </c>
      <c r="BO809" s="214">
        <f>IF(AND(Input_Product=Elig!$C809,Elig_MatchAll_Ct&lt;22,$BC809=(Elig_MatchAll_Ct-1),AM809=0),J809,0)</f>
        <v>0</v>
      </c>
      <c r="BP809" s="214">
        <f>IF(AND(Input_Product=Elig!$C809,Elig_MatchAll_Ct&lt;22,$BC809=(Elig_MatchAll_Ct-1),AN809=0),K809,0)</f>
        <v>0</v>
      </c>
      <c r="BQ809" s="214">
        <f>IF(AND(Input_Product=Elig!$C809,Elig_MatchAll_Ct&lt;22,$BC809=(Elig_MatchAll_Ct-1),AP809=0),L809,0)</f>
        <v>0</v>
      </c>
      <c r="BR809" s="214">
        <f>IF(AND(Input_Product=Elig!$C809,Elig_MatchAll_Ct&lt;22,$BC809=(Elig_MatchAll_Ct-1),AO809=0),M809,0)</f>
        <v>0</v>
      </c>
      <c r="BS809" s="214">
        <f>IF(AND(Input_Product=Elig!$C809,Elig_MatchAll_Ct&lt;22,$BC809=(Elig_MatchAll_Ct-1),AQ809=0),N809,0)</f>
        <v>0</v>
      </c>
      <c r="BT809" s="214">
        <f>IF(AND(Input_Product=Elig!$C809,Elig_MatchAll_Ct&lt;22,$BC809=(Elig_MatchAll_Ct-1),AR809=0),O809,0)</f>
        <v>0</v>
      </c>
      <c r="BU809" s="214">
        <f>IF(AND(Input_Product=Elig!$C809,Elig_MatchAll_Ct&lt;22,$BC809=(Elig_MatchAll_Ct-1),AS809=0),P809,0)</f>
        <v>0</v>
      </c>
      <c r="BV809" s="215">
        <f>IF(AND(Input_Product=Elig!$C809,Elig_MatchAll_Ct&lt;22,$BC809=(Elig_MatchAll_Ct-1),AT809=0),Q809,0)</f>
        <v>0</v>
      </c>
      <c r="BW809" s="311">
        <f>IF(AND(Input_Product=Elig!$C809,Elig_MatchAll_Ct&lt;22,$BC809=(Elig_MatchAll_Ct-1),AU809=0),R809,0)</f>
        <v>0</v>
      </c>
      <c r="BX809" s="312">
        <f>IF(AND(Input_Product=Elig!$C809,Elig_MatchAll_Ct&lt;22,$BC809=(Elig_MatchAll_Ct-1),AU809=0),S809,0)</f>
        <v>0</v>
      </c>
      <c r="BY809" s="311">
        <f>IF(AND(Input_Product=Elig!$C809,Elig_MatchAll_Ct&lt;22,$BC809=(Elig_MatchAll_Ct-1),AV809=0),T809,0)</f>
        <v>0</v>
      </c>
      <c r="BZ809" s="312">
        <f>IF(AND(Input_Product=Elig!$C809,Elig_MatchAll_Ct&lt;22,$BC809=(Elig_MatchAll_Ct-1),AV809=0),U809,0)</f>
        <v>0</v>
      </c>
      <c r="CA809" s="311">
        <f>IF(AND(Input_Product=Elig!$C809,Elig_MatchAll_Ct&lt;22,$BC809=(Elig_MatchAll_Ct-1),AW809=0),V809,0)</f>
        <v>0</v>
      </c>
      <c r="CB809" s="312">
        <f>IF(AND(Input_Product=Elig!$C809,Elig_MatchAll_Ct&lt;22,$BC809=(Elig_MatchAll_Ct-1),AW809=0),W809,0)</f>
        <v>0</v>
      </c>
      <c r="CC809" s="311">
        <f>IF(AND(Input_Product=Elig!$C809,Elig_MatchAll_Ct&lt;22,$BC809=(Elig_MatchAll_Ct-1),AX809=0),X809,0)</f>
        <v>0</v>
      </c>
      <c r="CD809" s="312">
        <f>IF(AND(Input_Product=Elig!$C809,Elig_MatchAll_Ct&lt;22,$BC809=(Elig_MatchAll_Ct-1),AX809=0),Y809,0)</f>
        <v>0</v>
      </c>
      <c r="CE809" s="311">
        <f>IF(AND(Input_LTV&lt;=AE809,Input_Product=Elig!$C809,Elig_MatchAll_Ct&lt;22,$BC809=(Elig_MatchAll_Ct-1),AY809=0),Z809,0)</f>
        <v>0</v>
      </c>
      <c r="CF809" s="312">
        <f>IF(AND(Input_LTV&lt;=AE809,Input_Product=Elig!$C809,Elig_MatchAll_Ct&lt;22,$BC809=(Elig_MatchAll_Ct-1),AY809=0),AA809,0)</f>
        <v>0</v>
      </c>
      <c r="CG809" s="311">
        <f>IF(AND(Input_Product=Elig!$C809,Elig_MatchAll_Ct&lt;22,$BC809=(Elig_MatchAll_Ct-1),AZ809=0),AB809,0)</f>
        <v>0</v>
      </c>
      <c r="CH809" s="312">
        <f>IF(AND(Input_Product=Elig!$C809,Elig_MatchAll_Ct&lt;22,$BC809=(Elig_MatchAll_Ct-1),AZ809=0),AC809,0)</f>
        <v>0</v>
      </c>
      <c r="CI809" s="311">
        <f>IF(AND(Input_Product=Elig!$C809,Elig_MatchAll_Ct&lt;22,$BC809=(Elig_MatchAll_Ct-1),BA809=0),AD809,0)</f>
        <v>0</v>
      </c>
      <c r="CJ809" s="312">
        <f>IF(AND(Input_Product=Elig!$C809,Elig_MatchAll_Ct&lt;22,$BC809=(Elig_MatchAll_Ct-1),BA809=0),AE809,0)</f>
        <v>0</v>
      </c>
    </row>
    <row r="810" spans="2:88" ht="10.15" customHeight="1" x14ac:dyDescent="0.25">
      <c r="B810" s="2035" t="s">
        <v>3713</v>
      </c>
      <c r="C810" s="2040" t="str">
        <f t="shared" si="330"/>
        <v>Second NOO</v>
      </c>
      <c r="D810" s="2041" t="s">
        <v>1561</v>
      </c>
      <c r="E810" s="2041" t="s">
        <v>98</v>
      </c>
      <c r="F810" s="2041" t="s">
        <v>330</v>
      </c>
      <c r="G810" s="2103" t="s">
        <v>472</v>
      </c>
      <c r="H810" s="2041" t="s">
        <v>136</v>
      </c>
      <c r="I810" s="2039" t="s">
        <v>1332</v>
      </c>
      <c r="J810" s="2039" t="s">
        <v>1311</v>
      </c>
      <c r="K810" s="2041" t="s">
        <v>1790</v>
      </c>
      <c r="L810" s="2039" t="s">
        <v>430</v>
      </c>
      <c r="M810" s="2039" t="s">
        <v>2677</v>
      </c>
      <c r="N810" s="2041" t="s">
        <v>82</v>
      </c>
      <c r="O810" s="2039" t="s">
        <v>310</v>
      </c>
      <c r="P810" s="2039" t="s">
        <v>291</v>
      </c>
      <c r="Q810" s="2039" t="s">
        <v>294</v>
      </c>
      <c r="R810" s="2039">
        <v>50000</v>
      </c>
      <c r="S810" s="2039">
        <v>350000</v>
      </c>
      <c r="T810" s="2039">
        <v>0</v>
      </c>
      <c r="U810" s="2039">
        <f t="shared" si="331"/>
        <v>350000</v>
      </c>
      <c r="V810" s="2039">
        <v>0</v>
      </c>
      <c r="W810" s="2039">
        <v>50</v>
      </c>
      <c r="X810" s="2039">
        <v>0</v>
      </c>
      <c r="Y810" s="2039">
        <v>999</v>
      </c>
      <c r="Z810" s="2042">
        <v>720</v>
      </c>
      <c r="AA810" s="2042">
        <v>999</v>
      </c>
      <c r="AB810" s="2042">
        <v>0</v>
      </c>
      <c r="AC810" s="2042">
        <v>999999</v>
      </c>
      <c r="AD810" s="2039">
        <v>0</v>
      </c>
      <c r="AE810" s="2039">
        <v>75</v>
      </c>
      <c r="AF810" s="170">
        <v>0</v>
      </c>
      <c r="AG810" s="171">
        <v>1</v>
      </c>
      <c r="AH810" s="171">
        <v>1</v>
      </c>
      <c r="AI810" s="171">
        <v>0</v>
      </c>
      <c r="AJ810" s="171">
        <v>0</v>
      </c>
      <c r="AK810" s="171">
        <v>1</v>
      </c>
      <c r="AL810" s="171">
        <v>1</v>
      </c>
      <c r="AM810" s="171">
        <v>1</v>
      </c>
      <c r="AN810" s="171">
        <v>1</v>
      </c>
      <c r="AO810" s="171">
        <v>1</v>
      </c>
      <c r="AP810" s="171">
        <v>1</v>
      </c>
      <c r="AQ810" s="171">
        <v>1</v>
      </c>
      <c r="AR810" s="171">
        <v>1</v>
      </c>
      <c r="AS810" s="171">
        <v>1</v>
      </c>
      <c r="AT810" s="171">
        <v>1</v>
      </c>
      <c r="AU810" s="171">
        <f t="shared" si="324"/>
        <v>1</v>
      </c>
      <c r="AV810" s="171">
        <f t="shared" si="325"/>
        <v>1</v>
      </c>
      <c r="AW810" s="171">
        <f t="shared" si="326"/>
        <v>1</v>
      </c>
      <c r="AX810" s="171">
        <f t="shared" si="335"/>
        <v>1</v>
      </c>
      <c r="AY810" s="171">
        <f t="shared" si="327"/>
        <v>1</v>
      </c>
      <c r="AZ810" s="171">
        <f t="shared" si="328"/>
        <v>1</v>
      </c>
      <c r="BA810" s="172">
        <f t="shared" si="329"/>
        <v>1</v>
      </c>
      <c r="BB810" s="175">
        <f t="shared" si="332"/>
        <v>19</v>
      </c>
      <c r="BC810" s="176">
        <f t="shared" si="333"/>
        <v>18</v>
      </c>
      <c r="BD810" s="176">
        <f t="shared" si="334"/>
        <v>19</v>
      </c>
      <c r="BE810" s="240" t="str">
        <f t="shared" si="322"/>
        <v/>
      </c>
      <c r="BF810" s="220"/>
      <c r="BG810" s="220"/>
      <c r="BH810" s="216">
        <f>IF(AND(Input_Product=Elig!$C810,Elig_MatchAll_Ct&lt;22,$BC810=(Elig_MatchAll_Ct-1),AF810=0),C810,0)</f>
        <v>0</v>
      </c>
      <c r="BI810" s="216">
        <f>IF(AND(Input_Product=Elig!$C810,Elig_MatchAll_Ct&lt;22,$BC810=(Elig_MatchAll_Ct-1),AG810=0),D810,0)</f>
        <v>0</v>
      </c>
      <c r="BJ810" s="216">
        <f>IF(AND(Input_Product=Elig!$C810,Elig_MatchAll_Ct&lt;22,$BC810=(Elig_MatchAll_Ct-1),AH810=0),E810,0)</f>
        <v>0</v>
      </c>
      <c r="BK810" s="216">
        <f>IF(AND(Input_Product=Elig!$C810,Elig_MatchAll_Ct&lt;22,$BC810=(Elig_MatchAll_Ct-1),AI810=0),F810,0)</f>
        <v>0</v>
      </c>
      <c r="BL810" s="216">
        <f>IF(AND(Input_Product=Elig!$C810,Elig_MatchAll_Ct&lt;22,$BC810=(Elig_MatchAll_Ct-1),AJ810=0),G810,0)</f>
        <v>0</v>
      </c>
      <c r="BM810" s="216">
        <f>IF(AND(Input_Product=Elig!$C810,Elig_MatchAll_Ct&lt;22,$BC810=(Elig_MatchAll_Ct-1),AK810=0),H810,0)</f>
        <v>0</v>
      </c>
      <c r="BN810" s="216">
        <f>IF(AND(Input_Product=Elig!$C810,Elig_MatchAll_Ct&lt;22,$BC810=(Elig_MatchAll_Ct-1),AL810=0),I810,0)</f>
        <v>0</v>
      </c>
      <c r="BO810" s="216">
        <f>IF(AND(Input_Product=Elig!$C810,Elig_MatchAll_Ct&lt;22,$BC810=(Elig_MatchAll_Ct-1),AM810=0),J810,0)</f>
        <v>0</v>
      </c>
      <c r="BP810" s="216">
        <f>IF(AND(Input_Product=Elig!$C810,Elig_MatchAll_Ct&lt;22,$BC810=(Elig_MatchAll_Ct-1),AN810=0),K810,0)</f>
        <v>0</v>
      </c>
      <c r="BQ810" s="216">
        <f>IF(AND(Input_Product=Elig!$C810,Elig_MatchAll_Ct&lt;22,$BC810=(Elig_MatchAll_Ct-1),AP810=0),L810,0)</f>
        <v>0</v>
      </c>
      <c r="BR810" s="216">
        <f>IF(AND(Input_Product=Elig!$C810,Elig_MatchAll_Ct&lt;22,$BC810=(Elig_MatchAll_Ct-1),AO810=0),M810,0)</f>
        <v>0</v>
      </c>
      <c r="BS810" s="216">
        <f>IF(AND(Input_Product=Elig!$C810,Elig_MatchAll_Ct&lt;22,$BC810=(Elig_MatchAll_Ct-1),AQ810=0),N810,0)</f>
        <v>0</v>
      </c>
      <c r="BT810" s="216">
        <f>IF(AND(Input_Product=Elig!$C810,Elig_MatchAll_Ct&lt;22,$BC810=(Elig_MatchAll_Ct-1),AR810=0),O810,0)</f>
        <v>0</v>
      </c>
      <c r="BU810" s="216">
        <f>IF(AND(Input_Product=Elig!$C810,Elig_MatchAll_Ct&lt;22,$BC810=(Elig_MatchAll_Ct-1),AS810=0),P810,0)</f>
        <v>0</v>
      </c>
      <c r="BV810" s="217">
        <f>IF(AND(Input_Product=Elig!$C810,Elig_MatchAll_Ct&lt;22,$BC810=(Elig_MatchAll_Ct-1),AT810=0),Q810,0)</f>
        <v>0</v>
      </c>
      <c r="BW810" s="313">
        <f>IF(AND(Input_Product=Elig!$C810,Elig_MatchAll_Ct&lt;22,$BC810=(Elig_MatchAll_Ct-1),AU810=0),R810,0)</f>
        <v>0</v>
      </c>
      <c r="BX810" s="314">
        <f>IF(AND(Input_Product=Elig!$C810,Elig_MatchAll_Ct&lt;22,$BC810=(Elig_MatchAll_Ct-1),AU810=0),S810,0)</f>
        <v>0</v>
      </c>
      <c r="BY810" s="313">
        <f>IF(AND(Input_Product=Elig!$C810,Elig_MatchAll_Ct&lt;22,$BC810=(Elig_MatchAll_Ct-1),AV810=0),T810,0)</f>
        <v>0</v>
      </c>
      <c r="BZ810" s="314">
        <f>IF(AND(Input_Product=Elig!$C810,Elig_MatchAll_Ct&lt;22,$BC810=(Elig_MatchAll_Ct-1),AV810=0),U810,0)</f>
        <v>0</v>
      </c>
      <c r="CA810" s="313">
        <f>IF(AND(Input_Product=Elig!$C810,Elig_MatchAll_Ct&lt;22,$BC810=(Elig_MatchAll_Ct-1),AW810=0),V810,0)</f>
        <v>0</v>
      </c>
      <c r="CB810" s="314">
        <f>IF(AND(Input_Product=Elig!$C810,Elig_MatchAll_Ct&lt;22,$BC810=(Elig_MatchAll_Ct-1),AW810=0),W810,0)</f>
        <v>0</v>
      </c>
      <c r="CC810" s="313">
        <f>IF(AND(Input_Product=Elig!$C810,Elig_MatchAll_Ct&lt;22,$BC810=(Elig_MatchAll_Ct-1),AX810=0),X810,0)</f>
        <v>0</v>
      </c>
      <c r="CD810" s="314">
        <f>IF(AND(Input_Product=Elig!$C810,Elig_MatchAll_Ct&lt;22,$BC810=(Elig_MatchAll_Ct-1),AX810=0),Y810,0)</f>
        <v>0</v>
      </c>
      <c r="CE810" s="313">
        <f>IF(AND(Input_LTV&lt;=AE810,Input_Product=Elig!$C810,Elig_MatchAll_Ct&lt;22,$BC810=(Elig_MatchAll_Ct-1),AY810=0),Z810,0)</f>
        <v>0</v>
      </c>
      <c r="CF810" s="314">
        <f>IF(AND(Input_LTV&lt;=AE810,Input_Product=Elig!$C810,Elig_MatchAll_Ct&lt;22,$BC810=(Elig_MatchAll_Ct-1),AY810=0),AA810,0)</f>
        <v>0</v>
      </c>
      <c r="CG810" s="313">
        <f>IF(AND(Input_Product=Elig!$C810,Elig_MatchAll_Ct&lt;22,$BC810=(Elig_MatchAll_Ct-1),AZ810=0),AB810,0)</f>
        <v>0</v>
      </c>
      <c r="CH810" s="314">
        <f>IF(AND(Input_Product=Elig!$C810,Elig_MatchAll_Ct&lt;22,$BC810=(Elig_MatchAll_Ct-1),AZ810=0),AC810,0)</f>
        <v>0</v>
      </c>
      <c r="CI810" s="313">
        <f>IF(AND(Input_Product=Elig!$C810,Elig_MatchAll_Ct&lt;22,$BC810=(Elig_MatchAll_Ct-1),BA810=0),AD810,0)</f>
        <v>0</v>
      </c>
      <c r="CJ810" s="314">
        <f>IF(AND(Input_Product=Elig!$C810,Elig_MatchAll_Ct&lt;22,$BC810=(Elig_MatchAll_Ct-1),BA810=0),AE810,0)</f>
        <v>0</v>
      </c>
    </row>
    <row r="811" spans="2:88" ht="10.15" customHeight="1" x14ac:dyDescent="0.25">
      <c r="B811" s="2035" t="s">
        <v>3714</v>
      </c>
      <c r="C811" s="2036" t="str">
        <f t="shared" si="330"/>
        <v>Second NOO</v>
      </c>
      <c r="D811" s="2035" t="s">
        <v>1561</v>
      </c>
      <c r="E811" s="2035" t="s">
        <v>98</v>
      </c>
      <c r="F811" s="2035" t="s">
        <v>330</v>
      </c>
      <c r="G811" s="2110" t="s">
        <v>472</v>
      </c>
      <c r="H811" s="2037" t="s">
        <v>136</v>
      </c>
      <c r="I811" s="2035" t="s">
        <v>1332</v>
      </c>
      <c r="J811" s="2035" t="s">
        <v>1311</v>
      </c>
      <c r="K811" s="2037" t="s">
        <v>1790</v>
      </c>
      <c r="L811" s="2035" t="s">
        <v>430</v>
      </c>
      <c r="M811" s="2035" t="s">
        <v>2677</v>
      </c>
      <c r="N811" s="2037" t="s">
        <v>82</v>
      </c>
      <c r="O811" s="2035" t="s">
        <v>310</v>
      </c>
      <c r="P811" s="2035" t="s">
        <v>291</v>
      </c>
      <c r="Q811" s="2035" t="s">
        <v>294</v>
      </c>
      <c r="R811" s="2035">
        <v>50000</v>
      </c>
      <c r="S811" s="2035">
        <v>350000</v>
      </c>
      <c r="T811" s="2035">
        <v>0</v>
      </c>
      <c r="U811" s="2035">
        <f t="shared" si="331"/>
        <v>350000</v>
      </c>
      <c r="V811" s="2035">
        <v>0</v>
      </c>
      <c r="W811" s="2035">
        <v>50</v>
      </c>
      <c r="X811" s="2035">
        <v>0</v>
      </c>
      <c r="Y811" s="2035">
        <v>999</v>
      </c>
      <c r="Z811" s="2038">
        <v>700</v>
      </c>
      <c r="AA811" s="2038">
        <v>719</v>
      </c>
      <c r="AB811" s="2038">
        <v>0</v>
      </c>
      <c r="AC811" s="2038">
        <v>999999</v>
      </c>
      <c r="AD811" s="2035">
        <v>0</v>
      </c>
      <c r="AE811" s="2035">
        <v>70</v>
      </c>
      <c r="AF811" s="170">
        <v>0</v>
      </c>
      <c r="AG811" s="171">
        <v>1</v>
      </c>
      <c r="AH811" s="171">
        <v>1</v>
      </c>
      <c r="AI811" s="171">
        <v>0</v>
      </c>
      <c r="AJ811" s="171">
        <v>0</v>
      </c>
      <c r="AK811" s="171">
        <v>1</v>
      </c>
      <c r="AL811" s="171">
        <v>1</v>
      </c>
      <c r="AM811" s="171">
        <v>1</v>
      </c>
      <c r="AN811" s="171">
        <v>1</v>
      </c>
      <c r="AO811" s="171">
        <v>1</v>
      </c>
      <c r="AP811" s="171">
        <v>1</v>
      </c>
      <c r="AQ811" s="171">
        <v>1</v>
      </c>
      <c r="AR811" s="171">
        <v>1</v>
      </c>
      <c r="AS811" s="171">
        <v>1</v>
      </c>
      <c r="AT811" s="171">
        <v>1</v>
      </c>
      <c r="AU811" s="171">
        <f t="shared" si="324"/>
        <v>1</v>
      </c>
      <c r="AV811" s="171">
        <f t="shared" si="325"/>
        <v>1</v>
      </c>
      <c r="AW811" s="171">
        <f t="shared" si="326"/>
        <v>1</v>
      </c>
      <c r="AX811" s="171">
        <f t="shared" si="335"/>
        <v>1</v>
      </c>
      <c r="AY811" s="171">
        <f t="shared" si="327"/>
        <v>0</v>
      </c>
      <c r="AZ811" s="171">
        <f t="shared" si="328"/>
        <v>1</v>
      </c>
      <c r="BA811" s="172">
        <f t="shared" si="329"/>
        <v>1</v>
      </c>
      <c r="BB811" s="175">
        <f t="shared" si="332"/>
        <v>18</v>
      </c>
      <c r="BC811" s="176">
        <f t="shared" si="333"/>
        <v>17</v>
      </c>
      <c r="BD811" s="176">
        <f t="shared" si="334"/>
        <v>18</v>
      </c>
      <c r="BE811" s="240" t="str">
        <f t="shared" si="322"/>
        <v/>
      </c>
      <c r="BF811" s="234"/>
      <c r="BG811" s="234"/>
      <c r="BH811" s="199">
        <f>IF(AND(Input_Product=Elig!$C811,Elig_MatchAll_Ct&lt;22,$BC811=(Elig_MatchAll_Ct-1),AF811=0),C811,0)</f>
        <v>0</v>
      </c>
      <c r="BI811" s="199">
        <f>IF(AND(Input_Product=Elig!$C811,Elig_MatchAll_Ct&lt;22,$BC811=(Elig_MatchAll_Ct-1),AG811=0),D811,0)</f>
        <v>0</v>
      </c>
      <c r="BJ811" s="199">
        <f>IF(AND(Input_Product=Elig!$C811,Elig_MatchAll_Ct&lt;22,$BC811=(Elig_MatchAll_Ct-1),AH811=0),E811,0)</f>
        <v>0</v>
      </c>
      <c r="BK811" s="199">
        <f>IF(AND(Input_Product=Elig!$C811,Elig_MatchAll_Ct&lt;22,$BC811=(Elig_MatchAll_Ct-1),AI811=0),F811,0)</f>
        <v>0</v>
      </c>
      <c r="BL811" s="199">
        <f>IF(AND(Input_Product=Elig!$C811,Elig_MatchAll_Ct&lt;22,$BC811=(Elig_MatchAll_Ct-1),AJ811=0),G811,0)</f>
        <v>0</v>
      </c>
      <c r="BM811" s="199">
        <f>IF(AND(Input_Product=Elig!$C811,Elig_MatchAll_Ct&lt;22,$BC811=(Elig_MatchAll_Ct-1),AK811=0),H811,0)</f>
        <v>0</v>
      </c>
      <c r="BN811" s="199">
        <f>IF(AND(Input_Product=Elig!$C811,Elig_MatchAll_Ct&lt;22,$BC811=(Elig_MatchAll_Ct-1),AL811=0),I811,0)</f>
        <v>0</v>
      </c>
      <c r="BO811" s="199">
        <f>IF(AND(Input_Product=Elig!$C811,Elig_MatchAll_Ct&lt;22,$BC811=(Elig_MatchAll_Ct-1),AM811=0),J811,0)</f>
        <v>0</v>
      </c>
      <c r="BP811" s="199">
        <f>IF(AND(Input_Product=Elig!$C811,Elig_MatchAll_Ct&lt;22,$BC811=(Elig_MatchAll_Ct-1),AN811=0),K811,0)</f>
        <v>0</v>
      </c>
      <c r="BQ811" s="199">
        <f>IF(AND(Input_Product=Elig!$C811,Elig_MatchAll_Ct&lt;22,$BC811=(Elig_MatchAll_Ct-1),AP811=0),L811,0)</f>
        <v>0</v>
      </c>
      <c r="BR811" s="199">
        <f>IF(AND(Input_Product=Elig!$C811,Elig_MatchAll_Ct&lt;22,$BC811=(Elig_MatchAll_Ct-1),AO811=0),M811,0)</f>
        <v>0</v>
      </c>
      <c r="BS811" s="199">
        <f>IF(AND(Input_Product=Elig!$C811,Elig_MatchAll_Ct&lt;22,$BC811=(Elig_MatchAll_Ct-1),AQ811=0),N811,0)</f>
        <v>0</v>
      </c>
      <c r="BT811" s="199">
        <f>IF(AND(Input_Product=Elig!$C811,Elig_MatchAll_Ct&lt;22,$BC811=(Elig_MatchAll_Ct-1),AR811=0),O811,0)</f>
        <v>0</v>
      </c>
      <c r="BU811" s="199">
        <f>IF(AND(Input_Product=Elig!$C811,Elig_MatchAll_Ct&lt;22,$BC811=(Elig_MatchAll_Ct-1),AS811=0),P811,0)</f>
        <v>0</v>
      </c>
      <c r="BV811" s="200">
        <f>IF(AND(Input_Product=Elig!$C811,Elig_MatchAll_Ct&lt;22,$BC811=(Elig_MatchAll_Ct-1),AT811=0),Q811,0)</f>
        <v>0</v>
      </c>
      <c r="BW811" s="201">
        <f>IF(AND(Input_Product=Elig!$C811,Elig_MatchAll_Ct&lt;22,$BC811=(Elig_MatchAll_Ct-1),AU811=0),R811,0)</f>
        <v>0</v>
      </c>
      <c r="BX811" s="202">
        <f>IF(AND(Input_Product=Elig!$C811,Elig_MatchAll_Ct&lt;22,$BC811=(Elig_MatchAll_Ct-1),AU811=0),S811,0)</f>
        <v>0</v>
      </c>
      <c r="BY811" s="201">
        <f>IF(AND(Input_Product=Elig!$C811,Elig_MatchAll_Ct&lt;22,$BC811=(Elig_MatchAll_Ct-1),AV811=0),T811,0)</f>
        <v>0</v>
      </c>
      <c r="BZ811" s="202">
        <f>IF(AND(Input_Product=Elig!$C811,Elig_MatchAll_Ct&lt;22,$BC811=(Elig_MatchAll_Ct-1),AV811=0),U811,0)</f>
        <v>0</v>
      </c>
      <c r="CA811" s="201">
        <f>IF(AND(Input_Product=Elig!$C811,Elig_MatchAll_Ct&lt;22,$BC811=(Elig_MatchAll_Ct-1),AW811=0),V811,0)</f>
        <v>0</v>
      </c>
      <c r="CB811" s="202">
        <f>IF(AND(Input_Product=Elig!$C811,Elig_MatchAll_Ct&lt;22,$BC811=(Elig_MatchAll_Ct-1),AW811=0),W811,0)</f>
        <v>0</v>
      </c>
      <c r="CC811" s="201">
        <f>IF(AND(Input_Product=Elig!$C811,Elig_MatchAll_Ct&lt;22,$BC811=(Elig_MatchAll_Ct-1),AX811=0),X811,0)</f>
        <v>0</v>
      </c>
      <c r="CD811" s="202">
        <f>IF(AND(Input_Product=Elig!$C811,Elig_MatchAll_Ct&lt;22,$BC811=(Elig_MatchAll_Ct-1),AX811=0),Y811,0)</f>
        <v>0</v>
      </c>
      <c r="CE811" s="201">
        <f>IF(AND(Input_LTV&lt;=AE811,Input_Product=Elig!$C811,Elig_MatchAll_Ct&lt;22,$BC811=(Elig_MatchAll_Ct-1),AY811=0),Z811,0)</f>
        <v>0</v>
      </c>
      <c r="CF811" s="202">
        <f>IF(AND(Input_LTV&lt;=AE811,Input_Product=Elig!$C811,Elig_MatchAll_Ct&lt;22,$BC811=(Elig_MatchAll_Ct-1),AY811=0),AA811,0)</f>
        <v>0</v>
      </c>
      <c r="CG811" s="201">
        <f>IF(AND(Input_Product=Elig!$C811,Elig_MatchAll_Ct&lt;22,$BC811=(Elig_MatchAll_Ct-1),AZ811=0),AB811,0)</f>
        <v>0</v>
      </c>
      <c r="CH811" s="202">
        <f>IF(AND(Input_Product=Elig!$C811,Elig_MatchAll_Ct&lt;22,$BC811=(Elig_MatchAll_Ct-1),AZ811=0),AC811,0)</f>
        <v>0</v>
      </c>
      <c r="CI811" s="201">
        <f>IF(AND(Input_Product=Elig!$C811,Elig_MatchAll_Ct&lt;22,$BC811=(Elig_MatchAll_Ct-1),BA811=0),AD811,0)</f>
        <v>0</v>
      </c>
      <c r="CJ811" s="202">
        <f>IF(AND(Input_Product=Elig!$C811,Elig_MatchAll_Ct&lt;22,$BC811=(Elig_MatchAll_Ct-1),BA811=0),AE811,0)</f>
        <v>0</v>
      </c>
    </row>
    <row r="812" spans="2:88" ht="10.15" customHeight="1" x14ac:dyDescent="0.25">
      <c r="B812" s="2035" t="s">
        <v>3715</v>
      </c>
      <c r="C812" s="2036" t="str">
        <f t="shared" si="330"/>
        <v>Second NOO</v>
      </c>
      <c r="D812" s="2035" t="s">
        <v>1561</v>
      </c>
      <c r="E812" s="2035" t="s">
        <v>98</v>
      </c>
      <c r="F812" s="2035" t="s">
        <v>330</v>
      </c>
      <c r="G812" s="2110" t="s">
        <v>472</v>
      </c>
      <c r="H812" s="2037" t="s">
        <v>136</v>
      </c>
      <c r="I812" s="2035" t="s">
        <v>1332</v>
      </c>
      <c r="J812" s="2035" t="s">
        <v>1311</v>
      </c>
      <c r="K812" s="2037" t="s">
        <v>1790</v>
      </c>
      <c r="L812" s="2035" t="s">
        <v>430</v>
      </c>
      <c r="M812" s="2035" t="s">
        <v>2677</v>
      </c>
      <c r="N812" s="2037" t="s">
        <v>82</v>
      </c>
      <c r="O812" s="2035" t="s">
        <v>310</v>
      </c>
      <c r="P812" s="2035" t="s">
        <v>291</v>
      </c>
      <c r="Q812" s="2035" t="s">
        <v>294</v>
      </c>
      <c r="R812" s="2035">
        <v>50000</v>
      </c>
      <c r="S812" s="2035">
        <v>350000</v>
      </c>
      <c r="T812" s="2035">
        <v>0</v>
      </c>
      <c r="U812" s="2035">
        <f t="shared" si="331"/>
        <v>350000</v>
      </c>
      <c r="V812" s="2035">
        <v>0</v>
      </c>
      <c r="W812" s="2035">
        <v>50</v>
      </c>
      <c r="X812" s="2035">
        <v>0</v>
      </c>
      <c r="Y812" s="2035">
        <v>999</v>
      </c>
      <c r="Z812" s="2038">
        <v>680</v>
      </c>
      <c r="AA812" s="2038">
        <v>699</v>
      </c>
      <c r="AB812" s="2038">
        <v>0</v>
      </c>
      <c r="AC812" s="2038">
        <v>999999</v>
      </c>
      <c r="AD812" s="2035">
        <v>0</v>
      </c>
      <c r="AE812" s="2035">
        <v>65</v>
      </c>
      <c r="AF812" s="170">
        <v>0</v>
      </c>
      <c r="AG812" s="171">
        <v>1</v>
      </c>
      <c r="AH812" s="171">
        <v>1</v>
      </c>
      <c r="AI812" s="171">
        <v>0</v>
      </c>
      <c r="AJ812" s="171">
        <v>0</v>
      </c>
      <c r="AK812" s="171">
        <v>1</v>
      </c>
      <c r="AL812" s="171">
        <v>1</v>
      </c>
      <c r="AM812" s="171">
        <v>1</v>
      </c>
      <c r="AN812" s="171">
        <v>1</v>
      </c>
      <c r="AO812" s="171">
        <v>1</v>
      </c>
      <c r="AP812" s="171">
        <v>1</v>
      </c>
      <c r="AQ812" s="171">
        <v>1</v>
      </c>
      <c r="AR812" s="171">
        <v>1</v>
      </c>
      <c r="AS812" s="171">
        <v>1</v>
      </c>
      <c r="AT812" s="171">
        <v>1</v>
      </c>
      <c r="AU812" s="171">
        <f t="shared" si="324"/>
        <v>1</v>
      </c>
      <c r="AV812" s="171">
        <f t="shared" si="325"/>
        <v>1</v>
      </c>
      <c r="AW812" s="171">
        <f t="shared" si="326"/>
        <v>1</v>
      </c>
      <c r="AX812" s="171">
        <f t="shared" si="335"/>
        <v>1</v>
      </c>
      <c r="AY812" s="171">
        <f t="shared" si="327"/>
        <v>0</v>
      </c>
      <c r="AZ812" s="171">
        <f t="shared" si="328"/>
        <v>1</v>
      </c>
      <c r="BA812" s="172">
        <f t="shared" si="329"/>
        <v>1</v>
      </c>
      <c r="BB812" s="175">
        <f t="shared" si="332"/>
        <v>18</v>
      </c>
      <c r="BC812" s="176">
        <f t="shared" si="333"/>
        <v>17</v>
      </c>
      <c r="BD812" s="176">
        <f t="shared" si="334"/>
        <v>18</v>
      </c>
      <c r="BE812" s="240" t="str">
        <f t="shared" si="322"/>
        <v/>
      </c>
      <c r="BF812" s="234"/>
      <c r="BG812" s="234"/>
      <c r="BH812" s="199">
        <f>IF(AND(Input_Product=Elig!$C812,Elig_MatchAll_Ct&lt;22,$BC812=(Elig_MatchAll_Ct-1),AF812=0),C812,0)</f>
        <v>0</v>
      </c>
      <c r="BI812" s="199">
        <f>IF(AND(Input_Product=Elig!$C812,Elig_MatchAll_Ct&lt;22,$BC812=(Elig_MatchAll_Ct-1),AG812=0),D812,0)</f>
        <v>0</v>
      </c>
      <c r="BJ812" s="199">
        <f>IF(AND(Input_Product=Elig!$C812,Elig_MatchAll_Ct&lt;22,$BC812=(Elig_MatchAll_Ct-1),AH812=0),E812,0)</f>
        <v>0</v>
      </c>
      <c r="BK812" s="199">
        <f>IF(AND(Input_Product=Elig!$C812,Elig_MatchAll_Ct&lt;22,$BC812=(Elig_MatchAll_Ct-1),AI812=0),F812,0)</f>
        <v>0</v>
      </c>
      <c r="BL812" s="199">
        <f>IF(AND(Input_Product=Elig!$C812,Elig_MatchAll_Ct&lt;22,$BC812=(Elig_MatchAll_Ct-1),AJ812=0),G812,0)</f>
        <v>0</v>
      </c>
      <c r="BM812" s="199">
        <f>IF(AND(Input_Product=Elig!$C812,Elig_MatchAll_Ct&lt;22,$BC812=(Elig_MatchAll_Ct-1),AK812=0),H812,0)</f>
        <v>0</v>
      </c>
      <c r="BN812" s="199">
        <f>IF(AND(Input_Product=Elig!$C812,Elig_MatchAll_Ct&lt;22,$BC812=(Elig_MatchAll_Ct-1),AL812=0),I812,0)</f>
        <v>0</v>
      </c>
      <c r="BO812" s="199">
        <f>IF(AND(Input_Product=Elig!$C812,Elig_MatchAll_Ct&lt;22,$BC812=(Elig_MatchAll_Ct-1),AM812=0),J812,0)</f>
        <v>0</v>
      </c>
      <c r="BP812" s="199">
        <f>IF(AND(Input_Product=Elig!$C812,Elig_MatchAll_Ct&lt;22,$BC812=(Elig_MatchAll_Ct-1),AN812=0),K812,0)</f>
        <v>0</v>
      </c>
      <c r="BQ812" s="199">
        <f>IF(AND(Input_Product=Elig!$C812,Elig_MatchAll_Ct&lt;22,$BC812=(Elig_MatchAll_Ct-1),AP812=0),L812,0)</f>
        <v>0</v>
      </c>
      <c r="BR812" s="199">
        <f>IF(AND(Input_Product=Elig!$C812,Elig_MatchAll_Ct&lt;22,$BC812=(Elig_MatchAll_Ct-1),AO812=0),M812,0)</f>
        <v>0</v>
      </c>
      <c r="BS812" s="199">
        <f>IF(AND(Input_Product=Elig!$C812,Elig_MatchAll_Ct&lt;22,$BC812=(Elig_MatchAll_Ct-1),AQ812=0),N812,0)</f>
        <v>0</v>
      </c>
      <c r="BT812" s="199">
        <f>IF(AND(Input_Product=Elig!$C812,Elig_MatchAll_Ct&lt;22,$BC812=(Elig_MatchAll_Ct-1),AR812=0),O812,0)</f>
        <v>0</v>
      </c>
      <c r="BU812" s="199">
        <f>IF(AND(Input_Product=Elig!$C812,Elig_MatchAll_Ct&lt;22,$BC812=(Elig_MatchAll_Ct-1),AS812=0),P812,0)</f>
        <v>0</v>
      </c>
      <c r="BV812" s="200">
        <f>IF(AND(Input_Product=Elig!$C812,Elig_MatchAll_Ct&lt;22,$BC812=(Elig_MatchAll_Ct-1),AT812=0),Q812,0)</f>
        <v>0</v>
      </c>
      <c r="BW812" s="201">
        <f>IF(AND(Input_Product=Elig!$C812,Elig_MatchAll_Ct&lt;22,$BC812=(Elig_MatchAll_Ct-1),AU812=0),R812,0)</f>
        <v>0</v>
      </c>
      <c r="BX812" s="202">
        <f>IF(AND(Input_Product=Elig!$C812,Elig_MatchAll_Ct&lt;22,$BC812=(Elig_MatchAll_Ct-1),AU812=0),S812,0)</f>
        <v>0</v>
      </c>
      <c r="BY812" s="201">
        <f>IF(AND(Input_Product=Elig!$C812,Elig_MatchAll_Ct&lt;22,$BC812=(Elig_MatchAll_Ct-1),AV812=0),T812,0)</f>
        <v>0</v>
      </c>
      <c r="BZ812" s="202">
        <f>IF(AND(Input_Product=Elig!$C812,Elig_MatchAll_Ct&lt;22,$BC812=(Elig_MatchAll_Ct-1),AV812=0),U812,0)</f>
        <v>0</v>
      </c>
      <c r="CA812" s="201">
        <f>IF(AND(Input_Product=Elig!$C812,Elig_MatchAll_Ct&lt;22,$BC812=(Elig_MatchAll_Ct-1),AW812=0),V812,0)</f>
        <v>0</v>
      </c>
      <c r="CB812" s="202">
        <f>IF(AND(Input_Product=Elig!$C812,Elig_MatchAll_Ct&lt;22,$BC812=(Elig_MatchAll_Ct-1),AW812=0),W812,0)</f>
        <v>0</v>
      </c>
      <c r="CC812" s="201">
        <f>IF(AND(Input_Product=Elig!$C812,Elig_MatchAll_Ct&lt;22,$BC812=(Elig_MatchAll_Ct-1),AX812=0),X812,0)</f>
        <v>0</v>
      </c>
      <c r="CD812" s="202">
        <f>IF(AND(Input_Product=Elig!$C812,Elig_MatchAll_Ct&lt;22,$BC812=(Elig_MatchAll_Ct-1),AX812=0),Y812,0)</f>
        <v>0</v>
      </c>
      <c r="CE812" s="201">
        <f>IF(AND(Input_LTV&lt;=AE812,Input_Product=Elig!$C812,Elig_MatchAll_Ct&lt;22,$BC812=(Elig_MatchAll_Ct-1),AY812=0),Z812,0)</f>
        <v>0</v>
      </c>
      <c r="CF812" s="202">
        <f>IF(AND(Input_LTV&lt;=AE812,Input_Product=Elig!$C812,Elig_MatchAll_Ct&lt;22,$BC812=(Elig_MatchAll_Ct-1),AY812=0),AA812,0)</f>
        <v>0</v>
      </c>
      <c r="CG812" s="201">
        <f>IF(AND(Input_Product=Elig!$C812,Elig_MatchAll_Ct&lt;22,$BC812=(Elig_MatchAll_Ct-1),AZ812=0),AB812,0)</f>
        <v>0</v>
      </c>
      <c r="CH812" s="202">
        <f>IF(AND(Input_Product=Elig!$C812,Elig_MatchAll_Ct&lt;22,$BC812=(Elig_MatchAll_Ct-1),AZ812=0),AC812,0)</f>
        <v>0</v>
      </c>
      <c r="CI812" s="201">
        <f>IF(AND(Input_Product=Elig!$C812,Elig_MatchAll_Ct&lt;22,$BC812=(Elig_MatchAll_Ct-1),BA812=0),AD812,0)</f>
        <v>0</v>
      </c>
      <c r="CJ812" s="202">
        <f>IF(AND(Input_Product=Elig!$C812,Elig_MatchAll_Ct&lt;22,$BC812=(Elig_MatchAll_Ct-1),BA812=0),AE812,0)</f>
        <v>0</v>
      </c>
    </row>
    <row r="813" spans="2:88" ht="10.15" customHeight="1" x14ac:dyDescent="0.25">
      <c r="B813" s="2035" t="s">
        <v>3716</v>
      </c>
      <c r="C813" s="2036" t="str">
        <f t="shared" si="330"/>
        <v>Second NOO</v>
      </c>
      <c r="D813" s="2035" t="s">
        <v>1561</v>
      </c>
      <c r="E813" s="2035" t="s">
        <v>98</v>
      </c>
      <c r="F813" s="2035" t="s">
        <v>330</v>
      </c>
      <c r="G813" s="2111" t="s">
        <v>472</v>
      </c>
      <c r="H813" s="2037" t="s">
        <v>136</v>
      </c>
      <c r="I813" s="2035" t="s">
        <v>1332</v>
      </c>
      <c r="J813" s="2035" t="s">
        <v>1311</v>
      </c>
      <c r="K813" s="2037" t="s">
        <v>1790</v>
      </c>
      <c r="L813" s="2035" t="s">
        <v>430</v>
      </c>
      <c r="M813" s="2035" t="s">
        <v>2677</v>
      </c>
      <c r="N813" s="2037" t="s">
        <v>82</v>
      </c>
      <c r="O813" s="2035" t="s">
        <v>310</v>
      </c>
      <c r="P813" s="2035" t="s">
        <v>291</v>
      </c>
      <c r="Q813" s="2035" t="s">
        <v>294</v>
      </c>
      <c r="R813" s="2035">
        <v>50000</v>
      </c>
      <c r="S813" s="2035">
        <v>350000</v>
      </c>
      <c r="T813" s="2035">
        <v>0</v>
      </c>
      <c r="U813" s="2035">
        <f t="shared" si="331"/>
        <v>350000</v>
      </c>
      <c r="V813" s="2035">
        <v>0</v>
      </c>
      <c r="W813" s="2035">
        <v>50</v>
      </c>
      <c r="X813" s="2035">
        <v>0</v>
      </c>
      <c r="Y813" s="2035">
        <v>999</v>
      </c>
      <c r="Z813" s="2038">
        <v>660</v>
      </c>
      <c r="AA813" s="2038">
        <v>679</v>
      </c>
      <c r="AB813" s="2038">
        <v>0</v>
      </c>
      <c r="AC813" s="2038">
        <v>999999</v>
      </c>
      <c r="AD813" s="2035">
        <v>0</v>
      </c>
      <c r="AE813" s="2035">
        <v>60</v>
      </c>
      <c r="AF813" s="170">
        <v>0</v>
      </c>
      <c r="AG813" s="171">
        <v>1</v>
      </c>
      <c r="AH813" s="171">
        <v>1</v>
      </c>
      <c r="AI813" s="171">
        <v>0</v>
      </c>
      <c r="AJ813" s="171">
        <v>0</v>
      </c>
      <c r="AK813" s="171">
        <v>1</v>
      </c>
      <c r="AL813" s="171">
        <v>1</v>
      </c>
      <c r="AM813" s="171">
        <v>1</v>
      </c>
      <c r="AN813" s="171">
        <v>1</v>
      </c>
      <c r="AO813" s="171">
        <v>1</v>
      </c>
      <c r="AP813" s="171">
        <v>1</v>
      </c>
      <c r="AQ813" s="171">
        <v>1</v>
      </c>
      <c r="AR813" s="171">
        <v>1</v>
      </c>
      <c r="AS813" s="171">
        <v>1</v>
      </c>
      <c r="AT813" s="171">
        <v>1</v>
      </c>
      <c r="AU813" s="171">
        <f t="shared" si="324"/>
        <v>1</v>
      </c>
      <c r="AV813" s="171">
        <f t="shared" si="325"/>
        <v>1</v>
      </c>
      <c r="AW813" s="171">
        <f t="shared" si="326"/>
        <v>1</v>
      </c>
      <c r="AX813" s="171">
        <f t="shared" si="335"/>
        <v>1</v>
      </c>
      <c r="AY813" s="171">
        <f t="shared" si="327"/>
        <v>0</v>
      </c>
      <c r="AZ813" s="171">
        <f t="shared" si="328"/>
        <v>1</v>
      </c>
      <c r="BA813" s="172">
        <f t="shared" si="329"/>
        <v>0</v>
      </c>
      <c r="BB813" s="175">
        <f t="shared" si="332"/>
        <v>17</v>
      </c>
      <c r="BC813" s="176">
        <f t="shared" si="333"/>
        <v>17</v>
      </c>
      <c r="BD813" s="176">
        <f t="shared" si="334"/>
        <v>17</v>
      </c>
      <c r="BE813" s="240" t="str">
        <f t="shared" si="322"/>
        <v/>
      </c>
      <c r="BF813" s="234"/>
      <c r="BG813" s="234"/>
      <c r="BH813" s="214">
        <f>IF(AND(Input_Product=Elig!$C813,Elig_MatchAll_Ct&lt;22,$BC813=(Elig_MatchAll_Ct-1),AF813=0),C813,0)</f>
        <v>0</v>
      </c>
      <c r="BI813" s="214">
        <f>IF(AND(Input_Product=Elig!$C813,Elig_MatchAll_Ct&lt;22,$BC813=(Elig_MatchAll_Ct-1),AG813=0),D813,0)</f>
        <v>0</v>
      </c>
      <c r="BJ813" s="214">
        <f>IF(AND(Input_Product=Elig!$C813,Elig_MatchAll_Ct&lt;22,$BC813=(Elig_MatchAll_Ct-1),AH813=0),E813,0)</f>
        <v>0</v>
      </c>
      <c r="BK813" s="214">
        <f>IF(AND(Input_Product=Elig!$C813,Elig_MatchAll_Ct&lt;22,$BC813=(Elig_MatchAll_Ct-1),AI813=0),F813,0)</f>
        <v>0</v>
      </c>
      <c r="BL813" s="214">
        <f>IF(AND(Input_Product=Elig!$C813,Elig_MatchAll_Ct&lt;22,$BC813=(Elig_MatchAll_Ct-1),AJ813=0),G813,0)</f>
        <v>0</v>
      </c>
      <c r="BM813" s="214">
        <f>IF(AND(Input_Product=Elig!$C813,Elig_MatchAll_Ct&lt;22,$BC813=(Elig_MatchAll_Ct-1),AK813=0),H813,0)</f>
        <v>0</v>
      </c>
      <c r="BN813" s="214">
        <f>IF(AND(Input_Product=Elig!$C813,Elig_MatchAll_Ct&lt;22,$BC813=(Elig_MatchAll_Ct-1),AL813=0),I813,0)</f>
        <v>0</v>
      </c>
      <c r="BO813" s="214">
        <f>IF(AND(Input_Product=Elig!$C813,Elig_MatchAll_Ct&lt;22,$BC813=(Elig_MatchAll_Ct-1),AM813=0),J813,0)</f>
        <v>0</v>
      </c>
      <c r="BP813" s="214">
        <f>IF(AND(Input_Product=Elig!$C813,Elig_MatchAll_Ct&lt;22,$BC813=(Elig_MatchAll_Ct-1),AN813=0),K813,0)</f>
        <v>0</v>
      </c>
      <c r="BQ813" s="214">
        <f>IF(AND(Input_Product=Elig!$C813,Elig_MatchAll_Ct&lt;22,$BC813=(Elig_MatchAll_Ct-1),AP813=0),L813,0)</f>
        <v>0</v>
      </c>
      <c r="BR813" s="214">
        <f>IF(AND(Input_Product=Elig!$C813,Elig_MatchAll_Ct&lt;22,$BC813=(Elig_MatchAll_Ct-1),AO813=0),M813,0)</f>
        <v>0</v>
      </c>
      <c r="BS813" s="214">
        <f>IF(AND(Input_Product=Elig!$C813,Elig_MatchAll_Ct&lt;22,$BC813=(Elig_MatchAll_Ct-1),AQ813=0),N813,0)</f>
        <v>0</v>
      </c>
      <c r="BT813" s="214">
        <f>IF(AND(Input_Product=Elig!$C813,Elig_MatchAll_Ct&lt;22,$BC813=(Elig_MatchAll_Ct-1),AR813=0),O813,0)</f>
        <v>0</v>
      </c>
      <c r="BU813" s="214">
        <f>IF(AND(Input_Product=Elig!$C813,Elig_MatchAll_Ct&lt;22,$BC813=(Elig_MatchAll_Ct-1),AS813=0),P813,0)</f>
        <v>0</v>
      </c>
      <c r="BV813" s="215">
        <f>IF(AND(Input_Product=Elig!$C813,Elig_MatchAll_Ct&lt;22,$BC813=(Elig_MatchAll_Ct-1),AT813=0),Q813,0)</f>
        <v>0</v>
      </c>
      <c r="BW813" s="311">
        <f>IF(AND(Input_Product=Elig!$C813,Elig_MatchAll_Ct&lt;22,$BC813=(Elig_MatchAll_Ct-1),AU813=0),R813,0)</f>
        <v>0</v>
      </c>
      <c r="BX813" s="312">
        <f>IF(AND(Input_Product=Elig!$C813,Elig_MatchAll_Ct&lt;22,$BC813=(Elig_MatchAll_Ct-1),AU813=0),S813,0)</f>
        <v>0</v>
      </c>
      <c r="BY813" s="311">
        <f>IF(AND(Input_Product=Elig!$C813,Elig_MatchAll_Ct&lt;22,$BC813=(Elig_MatchAll_Ct-1),AV813=0),T813,0)</f>
        <v>0</v>
      </c>
      <c r="BZ813" s="312">
        <f>IF(AND(Input_Product=Elig!$C813,Elig_MatchAll_Ct&lt;22,$BC813=(Elig_MatchAll_Ct-1),AV813=0),U813,0)</f>
        <v>0</v>
      </c>
      <c r="CA813" s="311">
        <f>IF(AND(Input_Product=Elig!$C813,Elig_MatchAll_Ct&lt;22,$BC813=(Elig_MatchAll_Ct-1),AW813=0),V813,0)</f>
        <v>0</v>
      </c>
      <c r="CB813" s="312">
        <f>IF(AND(Input_Product=Elig!$C813,Elig_MatchAll_Ct&lt;22,$BC813=(Elig_MatchAll_Ct-1),AW813=0),W813,0)</f>
        <v>0</v>
      </c>
      <c r="CC813" s="311">
        <f>IF(AND(Input_Product=Elig!$C813,Elig_MatchAll_Ct&lt;22,$BC813=(Elig_MatchAll_Ct-1),AX813=0),X813,0)</f>
        <v>0</v>
      </c>
      <c r="CD813" s="312">
        <f>IF(AND(Input_Product=Elig!$C813,Elig_MatchAll_Ct&lt;22,$BC813=(Elig_MatchAll_Ct-1),AX813=0),Y813,0)</f>
        <v>0</v>
      </c>
      <c r="CE813" s="311">
        <f>IF(AND(Input_LTV&lt;=AE813,Input_Product=Elig!$C813,Elig_MatchAll_Ct&lt;22,$BC813=(Elig_MatchAll_Ct-1),AY813=0),Z813,0)</f>
        <v>0</v>
      </c>
      <c r="CF813" s="312">
        <f>IF(AND(Input_LTV&lt;=AE813,Input_Product=Elig!$C813,Elig_MatchAll_Ct&lt;22,$BC813=(Elig_MatchAll_Ct-1),AY813=0),AA813,0)</f>
        <v>0</v>
      </c>
      <c r="CG813" s="311">
        <f>IF(AND(Input_Product=Elig!$C813,Elig_MatchAll_Ct&lt;22,$BC813=(Elig_MatchAll_Ct-1),AZ813=0),AB813,0)</f>
        <v>0</v>
      </c>
      <c r="CH813" s="312">
        <f>IF(AND(Input_Product=Elig!$C813,Elig_MatchAll_Ct&lt;22,$BC813=(Elig_MatchAll_Ct-1),AZ813=0),AC813,0)</f>
        <v>0</v>
      </c>
      <c r="CI813" s="311">
        <f>IF(AND(Input_Product=Elig!$C813,Elig_MatchAll_Ct&lt;22,$BC813=(Elig_MatchAll_Ct-1),BA813=0),AD813,0)</f>
        <v>0</v>
      </c>
      <c r="CJ813" s="312">
        <f>IF(AND(Input_Product=Elig!$C813,Elig_MatchAll_Ct&lt;22,$BC813=(Elig_MatchAll_Ct-1),BA813=0),AE813,0)</f>
        <v>0</v>
      </c>
    </row>
    <row r="814" spans="2:88" ht="10.15" customHeight="1" x14ac:dyDescent="0.25">
      <c r="B814" s="2035" t="s">
        <v>3717</v>
      </c>
      <c r="C814" s="2040" t="str">
        <f t="shared" si="330"/>
        <v>Second NOO</v>
      </c>
      <c r="D814" s="2041" t="s">
        <v>1302</v>
      </c>
      <c r="E814" s="2041" t="s">
        <v>98</v>
      </c>
      <c r="F814" s="2041" t="s">
        <v>330</v>
      </c>
      <c r="G814" s="2103" t="s">
        <v>472</v>
      </c>
      <c r="H814" s="2041" t="s">
        <v>136</v>
      </c>
      <c r="I814" s="2039" t="s">
        <v>1332</v>
      </c>
      <c r="J814" s="2039" t="s">
        <v>1311</v>
      </c>
      <c r="K814" s="2041" t="s">
        <v>1790</v>
      </c>
      <c r="L814" s="2039" t="s">
        <v>430</v>
      </c>
      <c r="M814" s="2039" t="s">
        <v>2677</v>
      </c>
      <c r="N814" s="2041" t="s">
        <v>82</v>
      </c>
      <c r="O814" s="2039" t="s">
        <v>310</v>
      </c>
      <c r="P814" s="2039" t="s">
        <v>291</v>
      </c>
      <c r="Q814" s="2039" t="s">
        <v>294</v>
      </c>
      <c r="R814" s="2039">
        <v>200000</v>
      </c>
      <c r="S814" s="2039">
        <v>350000</v>
      </c>
      <c r="T814" s="2039">
        <v>0</v>
      </c>
      <c r="U814" s="2039">
        <f t="shared" si="331"/>
        <v>350000</v>
      </c>
      <c r="V814" s="2039">
        <v>0</v>
      </c>
      <c r="W814" s="2039">
        <v>50</v>
      </c>
      <c r="X814" s="2039">
        <v>0</v>
      </c>
      <c r="Y814" s="2039">
        <v>999</v>
      </c>
      <c r="Z814" s="2042">
        <v>720</v>
      </c>
      <c r="AA814" s="2042">
        <v>999</v>
      </c>
      <c r="AB814" s="2042">
        <v>0</v>
      </c>
      <c r="AC814" s="2042">
        <v>999999</v>
      </c>
      <c r="AD814" s="2039">
        <v>0</v>
      </c>
      <c r="AE814" s="2039">
        <v>75</v>
      </c>
      <c r="AF814" s="170">
        <v>0</v>
      </c>
      <c r="AG814" s="171">
        <v>0</v>
      </c>
      <c r="AH814" s="171">
        <v>1</v>
      </c>
      <c r="AI814" s="171">
        <v>0</v>
      </c>
      <c r="AJ814" s="171">
        <v>0</v>
      </c>
      <c r="AK814" s="171">
        <v>1</v>
      </c>
      <c r="AL814" s="171">
        <v>1</v>
      </c>
      <c r="AM814" s="171">
        <v>1</v>
      </c>
      <c r="AN814" s="171">
        <v>1</v>
      </c>
      <c r="AO814" s="171">
        <v>1</v>
      </c>
      <c r="AP814" s="171">
        <v>1</v>
      </c>
      <c r="AQ814" s="171">
        <v>1</v>
      </c>
      <c r="AR814" s="171">
        <v>1</v>
      </c>
      <c r="AS814" s="171">
        <v>1</v>
      </c>
      <c r="AT814" s="171">
        <v>1</v>
      </c>
      <c r="AU814" s="171">
        <f t="shared" si="324"/>
        <v>1</v>
      </c>
      <c r="AV814" s="171">
        <f t="shared" si="325"/>
        <v>1</v>
      </c>
      <c r="AW814" s="171">
        <f t="shared" si="326"/>
        <v>1</v>
      </c>
      <c r="AX814" s="171">
        <f t="shared" si="335"/>
        <v>1</v>
      </c>
      <c r="AY814" s="171">
        <f t="shared" si="327"/>
        <v>1</v>
      </c>
      <c r="AZ814" s="171">
        <f t="shared" si="328"/>
        <v>1</v>
      </c>
      <c r="BA814" s="172">
        <f t="shared" si="329"/>
        <v>1</v>
      </c>
      <c r="BB814" s="175">
        <f t="shared" si="332"/>
        <v>18</v>
      </c>
      <c r="BC814" s="176">
        <f t="shared" si="333"/>
        <v>17</v>
      </c>
      <c r="BD814" s="176">
        <f t="shared" si="334"/>
        <v>18</v>
      </c>
      <c r="BE814" s="240" t="str">
        <f t="shared" si="322"/>
        <v/>
      </c>
      <c r="BF814" s="220"/>
      <c r="BG814" s="220"/>
      <c r="BH814" s="216">
        <f>IF(AND(Input_Product=Elig!$C814,Elig_MatchAll_Ct&lt;22,$BC814=(Elig_MatchAll_Ct-1),AF814=0),C814,0)</f>
        <v>0</v>
      </c>
      <c r="BI814" s="216">
        <f>IF(AND(Input_Product=Elig!$C814,Elig_MatchAll_Ct&lt;22,$BC814=(Elig_MatchAll_Ct-1),AG814=0),D814,0)</f>
        <v>0</v>
      </c>
      <c r="BJ814" s="216">
        <f>IF(AND(Input_Product=Elig!$C814,Elig_MatchAll_Ct&lt;22,$BC814=(Elig_MatchAll_Ct-1),AH814=0),E814,0)</f>
        <v>0</v>
      </c>
      <c r="BK814" s="216">
        <f>IF(AND(Input_Product=Elig!$C814,Elig_MatchAll_Ct&lt;22,$BC814=(Elig_MatchAll_Ct-1),AI814=0),F814,0)</f>
        <v>0</v>
      </c>
      <c r="BL814" s="216">
        <f>IF(AND(Input_Product=Elig!$C814,Elig_MatchAll_Ct&lt;22,$BC814=(Elig_MatchAll_Ct-1),AJ814=0),G814,0)</f>
        <v>0</v>
      </c>
      <c r="BM814" s="216">
        <f>IF(AND(Input_Product=Elig!$C814,Elig_MatchAll_Ct&lt;22,$BC814=(Elig_MatchAll_Ct-1),AK814=0),H814,0)</f>
        <v>0</v>
      </c>
      <c r="BN814" s="216">
        <f>IF(AND(Input_Product=Elig!$C814,Elig_MatchAll_Ct&lt;22,$BC814=(Elig_MatchAll_Ct-1),AL814=0),I814,0)</f>
        <v>0</v>
      </c>
      <c r="BO814" s="216">
        <f>IF(AND(Input_Product=Elig!$C814,Elig_MatchAll_Ct&lt;22,$BC814=(Elig_MatchAll_Ct-1),AM814=0),J814,0)</f>
        <v>0</v>
      </c>
      <c r="BP814" s="216">
        <f>IF(AND(Input_Product=Elig!$C814,Elig_MatchAll_Ct&lt;22,$BC814=(Elig_MatchAll_Ct-1),AN814=0),K814,0)</f>
        <v>0</v>
      </c>
      <c r="BQ814" s="216">
        <f>IF(AND(Input_Product=Elig!$C814,Elig_MatchAll_Ct&lt;22,$BC814=(Elig_MatchAll_Ct-1),AP814=0),L814,0)</f>
        <v>0</v>
      </c>
      <c r="BR814" s="216">
        <f>IF(AND(Input_Product=Elig!$C814,Elig_MatchAll_Ct&lt;22,$BC814=(Elig_MatchAll_Ct-1),AO814=0),M814,0)</f>
        <v>0</v>
      </c>
      <c r="BS814" s="216">
        <f>IF(AND(Input_Product=Elig!$C814,Elig_MatchAll_Ct&lt;22,$BC814=(Elig_MatchAll_Ct-1),AQ814=0),N814,0)</f>
        <v>0</v>
      </c>
      <c r="BT814" s="216">
        <f>IF(AND(Input_Product=Elig!$C814,Elig_MatchAll_Ct&lt;22,$BC814=(Elig_MatchAll_Ct-1),AR814=0),O814,0)</f>
        <v>0</v>
      </c>
      <c r="BU814" s="216">
        <f>IF(AND(Input_Product=Elig!$C814,Elig_MatchAll_Ct&lt;22,$BC814=(Elig_MatchAll_Ct-1),AS814=0),P814,0)</f>
        <v>0</v>
      </c>
      <c r="BV814" s="217">
        <f>IF(AND(Input_Product=Elig!$C814,Elig_MatchAll_Ct&lt;22,$BC814=(Elig_MatchAll_Ct-1),AT814=0),Q814,0)</f>
        <v>0</v>
      </c>
      <c r="BW814" s="313">
        <f>IF(AND(Input_Product=Elig!$C814,Elig_MatchAll_Ct&lt;22,$BC814=(Elig_MatchAll_Ct-1),AU814=0),R814,0)</f>
        <v>0</v>
      </c>
      <c r="BX814" s="314">
        <f>IF(AND(Input_Product=Elig!$C814,Elig_MatchAll_Ct&lt;22,$BC814=(Elig_MatchAll_Ct-1),AU814=0),S814,0)</f>
        <v>0</v>
      </c>
      <c r="BY814" s="313">
        <f>IF(AND(Input_Product=Elig!$C814,Elig_MatchAll_Ct&lt;22,$BC814=(Elig_MatchAll_Ct-1),AV814=0),T814,0)</f>
        <v>0</v>
      </c>
      <c r="BZ814" s="314">
        <f>IF(AND(Input_Product=Elig!$C814,Elig_MatchAll_Ct&lt;22,$BC814=(Elig_MatchAll_Ct-1),AV814=0),U814,0)</f>
        <v>0</v>
      </c>
      <c r="CA814" s="313">
        <f>IF(AND(Input_Product=Elig!$C814,Elig_MatchAll_Ct&lt;22,$BC814=(Elig_MatchAll_Ct-1),AW814=0),V814,0)</f>
        <v>0</v>
      </c>
      <c r="CB814" s="314">
        <f>IF(AND(Input_Product=Elig!$C814,Elig_MatchAll_Ct&lt;22,$BC814=(Elig_MatchAll_Ct-1),AW814=0),W814,0)</f>
        <v>0</v>
      </c>
      <c r="CC814" s="313">
        <f>IF(AND(Input_Product=Elig!$C814,Elig_MatchAll_Ct&lt;22,$BC814=(Elig_MatchAll_Ct-1),AX814=0),X814,0)</f>
        <v>0</v>
      </c>
      <c r="CD814" s="314">
        <f>IF(AND(Input_Product=Elig!$C814,Elig_MatchAll_Ct&lt;22,$BC814=(Elig_MatchAll_Ct-1),AX814=0),Y814,0)</f>
        <v>0</v>
      </c>
      <c r="CE814" s="313">
        <f>IF(AND(Input_LTV&lt;=AE814,Input_Product=Elig!$C814,Elig_MatchAll_Ct&lt;22,$BC814=(Elig_MatchAll_Ct-1),AY814=0),Z814,0)</f>
        <v>0</v>
      </c>
      <c r="CF814" s="314">
        <f>IF(AND(Input_LTV&lt;=AE814,Input_Product=Elig!$C814,Elig_MatchAll_Ct&lt;22,$BC814=(Elig_MatchAll_Ct-1),AY814=0),AA814,0)</f>
        <v>0</v>
      </c>
      <c r="CG814" s="313">
        <f>IF(AND(Input_Product=Elig!$C814,Elig_MatchAll_Ct&lt;22,$BC814=(Elig_MatchAll_Ct-1),AZ814=0),AB814,0)</f>
        <v>0</v>
      </c>
      <c r="CH814" s="314">
        <f>IF(AND(Input_Product=Elig!$C814,Elig_MatchAll_Ct&lt;22,$BC814=(Elig_MatchAll_Ct-1),AZ814=0),AC814,0)</f>
        <v>0</v>
      </c>
      <c r="CI814" s="313">
        <f>IF(AND(Input_Product=Elig!$C814,Elig_MatchAll_Ct&lt;22,$BC814=(Elig_MatchAll_Ct-1),BA814=0),AD814,0)</f>
        <v>0</v>
      </c>
      <c r="CJ814" s="314">
        <f>IF(AND(Input_Product=Elig!$C814,Elig_MatchAll_Ct&lt;22,$BC814=(Elig_MatchAll_Ct-1),BA814=0),AE814,0)</f>
        <v>0</v>
      </c>
    </row>
    <row r="815" spans="2:88" ht="10.15" customHeight="1" x14ac:dyDescent="0.25">
      <c r="B815" s="2035" t="s">
        <v>3718</v>
      </c>
      <c r="C815" s="2036" t="str">
        <f t="shared" si="330"/>
        <v>Second NOO</v>
      </c>
      <c r="D815" s="2035" t="s">
        <v>1302</v>
      </c>
      <c r="E815" s="2035" t="s">
        <v>98</v>
      </c>
      <c r="F815" s="2035" t="s">
        <v>330</v>
      </c>
      <c r="G815" s="2110" t="s">
        <v>472</v>
      </c>
      <c r="H815" s="2037" t="s">
        <v>136</v>
      </c>
      <c r="I815" s="2035" t="s">
        <v>1332</v>
      </c>
      <c r="J815" s="2035" t="s">
        <v>1311</v>
      </c>
      <c r="K815" s="2037" t="s">
        <v>1790</v>
      </c>
      <c r="L815" s="2035" t="s">
        <v>430</v>
      </c>
      <c r="M815" s="2035" t="s">
        <v>2677</v>
      </c>
      <c r="N815" s="2037" t="s">
        <v>82</v>
      </c>
      <c r="O815" s="2035" t="s">
        <v>310</v>
      </c>
      <c r="P815" s="2035" t="s">
        <v>291</v>
      </c>
      <c r="Q815" s="2035" t="s">
        <v>294</v>
      </c>
      <c r="R815" s="2035">
        <v>200000</v>
      </c>
      <c r="S815" s="2035">
        <v>350000</v>
      </c>
      <c r="T815" s="2035">
        <v>0</v>
      </c>
      <c r="U815" s="2035">
        <f t="shared" si="331"/>
        <v>350000</v>
      </c>
      <c r="V815" s="2035">
        <v>0</v>
      </c>
      <c r="W815" s="2035">
        <v>50</v>
      </c>
      <c r="X815" s="2035">
        <v>0</v>
      </c>
      <c r="Y815" s="2035">
        <v>999</v>
      </c>
      <c r="Z815" s="2038">
        <v>700</v>
      </c>
      <c r="AA815" s="2038">
        <v>719</v>
      </c>
      <c r="AB815" s="2038">
        <v>0</v>
      </c>
      <c r="AC815" s="2038">
        <v>999999</v>
      </c>
      <c r="AD815" s="2035">
        <v>0</v>
      </c>
      <c r="AE815" s="2035">
        <v>70</v>
      </c>
      <c r="AF815" s="170">
        <v>0</v>
      </c>
      <c r="AG815" s="171">
        <v>0</v>
      </c>
      <c r="AH815" s="171">
        <v>1</v>
      </c>
      <c r="AI815" s="171">
        <v>0</v>
      </c>
      <c r="AJ815" s="171">
        <v>0</v>
      </c>
      <c r="AK815" s="171">
        <v>1</v>
      </c>
      <c r="AL815" s="171">
        <v>1</v>
      </c>
      <c r="AM815" s="171">
        <v>1</v>
      </c>
      <c r="AN815" s="171">
        <v>1</v>
      </c>
      <c r="AO815" s="171">
        <v>1</v>
      </c>
      <c r="AP815" s="171">
        <v>1</v>
      </c>
      <c r="AQ815" s="171">
        <v>1</v>
      </c>
      <c r="AR815" s="171">
        <v>1</v>
      </c>
      <c r="AS815" s="171">
        <v>1</v>
      </c>
      <c r="AT815" s="171">
        <v>1</v>
      </c>
      <c r="AU815" s="171">
        <f t="shared" si="324"/>
        <v>1</v>
      </c>
      <c r="AV815" s="171">
        <f t="shared" si="325"/>
        <v>1</v>
      </c>
      <c r="AW815" s="171">
        <f t="shared" si="326"/>
        <v>1</v>
      </c>
      <c r="AX815" s="171">
        <f t="shared" si="335"/>
        <v>1</v>
      </c>
      <c r="AY815" s="171">
        <f t="shared" si="327"/>
        <v>0</v>
      </c>
      <c r="AZ815" s="171">
        <f t="shared" si="328"/>
        <v>1</v>
      </c>
      <c r="BA815" s="172">
        <f t="shared" si="329"/>
        <v>1</v>
      </c>
      <c r="BB815" s="175">
        <f t="shared" si="332"/>
        <v>17</v>
      </c>
      <c r="BC815" s="176">
        <f t="shared" si="333"/>
        <v>16</v>
      </c>
      <c r="BD815" s="176">
        <f t="shared" si="334"/>
        <v>17</v>
      </c>
      <c r="BE815" s="240" t="str">
        <f t="shared" si="322"/>
        <v/>
      </c>
      <c r="BF815" s="234"/>
      <c r="BG815" s="234"/>
      <c r="BH815" s="199">
        <f>IF(AND(Input_Product=Elig!$C815,Elig_MatchAll_Ct&lt;22,$BC815=(Elig_MatchAll_Ct-1),AF815=0),C815,0)</f>
        <v>0</v>
      </c>
      <c r="BI815" s="199">
        <f>IF(AND(Input_Product=Elig!$C815,Elig_MatchAll_Ct&lt;22,$BC815=(Elig_MatchAll_Ct-1),AG815=0),D815,0)</f>
        <v>0</v>
      </c>
      <c r="BJ815" s="199">
        <f>IF(AND(Input_Product=Elig!$C815,Elig_MatchAll_Ct&lt;22,$BC815=(Elig_MatchAll_Ct-1),AH815=0),E815,0)</f>
        <v>0</v>
      </c>
      <c r="BK815" s="199">
        <f>IF(AND(Input_Product=Elig!$C815,Elig_MatchAll_Ct&lt;22,$BC815=(Elig_MatchAll_Ct-1),AI815=0),F815,0)</f>
        <v>0</v>
      </c>
      <c r="BL815" s="199">
        <f>IF(AND(Input_Product=Elig!$C815,Elig_MatchAll_Ct&lt;22,$BC815=(Elig_MatchAll_Ct-1),AJ815=0),G815,0)</f>
        <v>0</v>
      </c>
      <c r="BM815" s="199">
        <f>IF(AND(Input_Product=Elig!$C815,Elig_MatchAll_Ct&lt;22,$BC815=(Elig_MatchAll_Ct-1),AK815=0),H815,0)</f>
        <v>0</v>
      </c>
      <c r="BN815" s="199">
        <f>IF(AND(Input_Product=Elig!$C815,Elig_MatchAll_Ct&lt;22,$BC815=(Elig_MatchAll_Ct-1),AL815=0),I815,0)</f>
        <v>0</v>
      </c>
      <c r="BO815" s="199">
        <f>IF(AND(Input_Product=Elig!$C815,Elig_MatchAll_Ct&lt;22,$BC815=(Elig_MatchAll_Ct-1),AM815=0),J815,0)</f>
        <v>0</v>
      </c>
      <c r="BP815" s="199">
        <f>IF(AND(Input_Product=Elig!$C815,Elig_MatchAll_Ct&lt;22,$BC815=(Elig_MatchAll_Ct-1),AN815=0),K815,0)</f>
        <v>0</v>
      </c>
      <c r="BQ815" s="199">
        <f>IF(AND(Input_Product=Elig!$C815,Elig_MatchAll_Ct&lt;22,$BC815=(Elig_MatchAll_Ct-1),AP815=0),L815,0)</f>
        <v>0</v>
      </c>
      <c r="BR815" s="199">
        <f>IF(AND(Input_Product=Elig!$C815,Elig_MatchAll_Ct&lt;22,$BC815=(Elig_MatchAll_Ct-1),AO815=0),M815,0)</f>
        <v>0</v>
      </c>
      <c r="BS815" s="199">
        <f>IF(AND(Input_Product=Elig!$C815,Elig_MatchAll_Ct&lt;22,$BC815=(Elig_MatchAll_Ct-1),AQ815=0),N815,0)</f>
        <v>0</v>
      </c>
      <c r="BT815" s="199">
        <f>IF(AND(Input_Product=Elig!$C815,Elig_MatchAll_Ct&lt;22,$BC815=(Elig_MatchAll_Ct-1),AR815=0),O815,0)</f>
        <v>0</v>
      </c>
      <c r="BU815" s="199">
        <f>IF(AND(Input_Product=Elig!$C815,Elig_MatchAll_Ct&lt;22,$BC815=(Elig_MatchAll_Ct-1),AS815=0),P815,0)</f>
        <v>0</v>
      </c>
      <c r="BV815" s="200">
        <f>IF(AND(Input_Product=Elig!$C815,Elig_MatchAll_Ct&lt;22,$BC815=(Elig_MatchAll_Ct-1),AT815=0),Q815,0)</f>
        <v>0</v>
      </c>
      <c r="BW815" s="201">
        <f>IF(AND(Input_Product=Elig!$C815,Elig_MatchAll_Ct&lt;22,$BC815=(Elig_MatchAll_Ct-1),AU815=0),R815,0)</f>
        <v>0</v>
      </c>
      <c r="BX815" s="202">
        <f>IF(AND(Input_Product=Elig!$C815,Elig_MatchAll_Ct&lt;22,$BC815=(Elig_MatchAll_Ct-1),AU815=0),S815,0)</f>
        <v>0</v>
      </c>
      <c r="BY815" s="201">
        <f>IF(AND(Input_Product=Elig!$C815,Elig_MatchAll_Ct&lt;22,$BC815=(Elig_MatchAll_Ct-1),AV815=0),T815,0)</f>
        <v>0</v>
      </c>
      <c r="BZ815" s="202">
        <f>IF(AND(Input_Product=Elig!$C815,Elig_MatchAll_Ct&lt;22,$BC815=(Elig_MatchAll_Ct-1),AV815=0),U815,0)</f>
        <v>0</v>
      </c>
      <c r="CA815" s="201">
        <f>IF(AND(Input_Product=Elig!$C815,Elig_MatchAll_Ct&lt;22,$BC815=(Elig_MatchAll_Ct-1),AW815=0),V815,0)</f>
        <v>0</v>
      </c>
      <c r="CB815" s="202">
        <f>IF(AND(Input_Product=Elig!$C815,Elig_MatchAll_Ct&lt;22,$BC815=(Elig_MatchAll_Ct-1),AW815=0),W815,0)</f>
        <v>0</v>
      </c>
      <c r="CC815" s="201">
        <f>IF(AND(Input_Product=Elig!$C815,Elig_MatchAll_Ct&lt;22,$BC815=(Elig_MatchAll_Ct-1),AX815=0),X815,0)</f>
        <v>0</v>
      </c>
      <c r="CD815" s="202">
        <f>IF(AND(Input_Product=Elig!$C815,Elig_MatchAll_Ct&lt;22,$BC815=(Elig_MatchAll_Ct-1),AX815=0),Y815,0)</f>
        <v>0</v>
      </c>
      <c r="CE815" s="201">
        <f>IF(AND(Input_LTV&lt;=AE815,Input_Product=Elig!$C815,Elig_MatchAll_Ct&lt;22,$BC815=(Elig_MatchAll_Ct-1),AY815=0),Z815,0)</f>
        <v>0</v>
      </c>
      <c r="CF815" s="202">
        <f>IF(AND(Input_LTV&lt;=AE815,Input_Product=Elig!$C815,Elig_MatchAll_Ct&lt;22,$BC815=(Elig_MatchAll_Ct-1),AY815=0),AA815,0)</f>
        <v>0</v>
      </c>
      <c r="CG815" s="201">
        <f>IF(AND(Input_Product=Elig!$C815,Elig_MatchAll_Ct&lt;22,$BC815=(Elig_MatchAll_Ct-1),AZ815=0),AB815,0)</f>
        <v>0</v>
      </c>
      <c r="CH815" s="202">
        <f>IF(AND(Input_Product=Elig!$C815,Elig_MatchAll_Ct&lt;22,$BC815=(Elig_MatchAll_Ct-1),AZ815=0),AC815,0)</f>
        <v>0</v>
      </c>
      <c r="CI815" s="201">
        <f>IF(AND(Input_Product=Elig!$C815,Elig_MatchAll_Ct&lt;22,$BC815=(Elig_MatchAll_Ct-1),BA815=0),AD815,0)</f>
        <v>0</v>
      </c>
      <c r="CJ815" s="202">
        <f>IF(AND(Input_Product=Elig!$C815,Elig_MatchAll_Ct&lt;22,$BC815=(Elig_MatchAll_Ct-1),BA815=0),AE815,0)</f>
        <v>0</v>
      </c>
    </row>
    <row r="816" spans="2:88" ht="10.15" customHeight="1" x14ac:dyDescent="0.25">
      <c r="B816" s="2035" t="s">
        <v>3719</v>
      </c>
      <c r="C816" s="2036" t="str">
        <f t="shared" si="330"/>
        <v>Second NOO</v>
      </c>
      <c r="D816" s="2035" t="s">
        <v>1302</v>
      </c>
      <c r="E816" s="2035" t="s">
        <v>98</v>
      </c>
      <c r="F816" s="2035" t="s">
        <v>330</v>
      </c>
      <c r="G816" s="2110" t="s">
        <v>472</v>
      </c>
      <c r="H816" s="2037" t="s">
        <v>136</v>
      </c>
      <c r="I816" s="2035" t="s">
        <v>1332</v>
      </c>
      <c r="J816" s="2035" t="s">
        <v>1311</v>
      </c>
      <c r="K816" s="2037" t="s">
        <v>1790</v>
      </c>
      <c r="L816" s="2035" t="s">
        <v>430</v>
      </c>
      <c r="M816" s="2035" t="s">
        <v>2677</v>
      </c>
      <c r="N816" s="2037" t="s">
        <v>82</v>
      </c>
      <c r="O816" s="2035" t="s">
        <v>310</v>
      </c>
      <c r="P816" s="2035" t="s">
        <v>291</v>
      </c>
      <c r="Q816" s="2035" t="s">
        <v>294</v>
      </c>
      <c r="R816" s="2035">
        <v>200000</v>
      </c>
      <c r="S816" s="2035">
        <v>350000</v>
      </c>
      <c r="T816" s="2035">
        <v>0</v>
      </c>
      <c r="U816" s="2035">
        <f t="shared" si="331"/>
        <v>350000</v>
      </c>
      <c r="V816" s="2035">
        <v>0</v>
      </c>
      <c r="W816" s="2035">
        <v>50</v>
      </c>
      <c r="X816" s="2035">
        <v>0</v>
      </c>
      <c r="Y816" s="2035">
        <v>999</v>
      </c>
      <c r="Z816" s="2038">
        <v>680</v>
      </c>
      <c r="AA816" s="2038">
        <v>699</v>
      </c>
      <c r="AB816" s="2038">
        <v>0</v>
      </c>
      <c r="AC816" s="2038">
        <v>999999</v>
      </c>
      <c r="AD816" s="2035">
        <v>0</v>
      </c>
      <c r="AE816" s="2035">
        <v>65</v>
      </c>
      <c r="AF816" s="170">
        <v>0</v>
      </c>
      <c r="AG816" s="171">
        <v>0</v>
      </c>
      <c r="AH816" s="171">
        <v>1</v>
      </c>
      <c r="AI816" s="171">
        <v>0</v>
      </c>
      <c r="AJ816" s="171">
        <v>0</v>
      </c>
      <c r="AK816" s="171">
        <v>1</v>
      </c>
      <c r="AL816" s="171">
        <v>1</v>
      </c>
      <c r="AM816" s="171">
        <v>1</v>
      </c>
      <c r="AN816" s="171">
        <v>1</v>
      </c>
      <c r="AO816" s="171">
        <v>1</v>
      </c>
      <c r="AP816" s="171">
        <v>1</v>
      </c>
      <c r="AQ816" s="171">
        <v>1</v>
      </c>
      <c r="AR816" s="171">
        <v>1</v>
      </c>
      <c r="AS816" s="171">
        <v>1</v>
      </c>
      <c r="AT816" s="171">
        <v>1</v>
      </c>
      <c r="AU816" s="171">
        <f t="shared" si="324"/>
        <v>1</v>
      </c>
      <c r="AV816" s="171">
        <f t="shared" si="325"/>
        <v>1</v>
      </c>
      <c r="AW816" s="171">
        <f t="shared" si="326"/>
        <v>1</v>
      </c>
      <c r="AX816" s="171">
        <f t="shared" si="335"/>
        <v>1</v>
      </c>
      <c r="AY816" s="171">
        <f t="shared" si="327"/>
        <v>0</v>
      </c>
      <c r="AZ816" s="171">
        <f t="shared" si="328"/>
        <v>1</v>
      </c>
      <c r="BA816" s="172">
        <f t="shared" si="329"/>
        <v>1</v>
      </c>
      <c r="BB816" s="175">
        <f t="shared" si="332"/>
        <v>17</v>
      </c>
      <c r="BC816" s="176">
        <f t="shared" si="333"/>
        <v>16</v>
      </c>
      <c r="BD816" s="176">
        <f t="shared" si="334"/>
        <v>17</v>
      </c>
      <c r="BE816" s="240" t="str">
        <f t="shared" si="322"/>
        <v/>
      </c>
      <c r="BF816" s="234"/>
      <c r="BG816" s="234"/>
      <c r="BH816" s="199">
        <f>IF(AND(Input_Product=Elig!$C816,Elig_MatchAll_Ct&lt;22,$BC816=(Elig_MatchAll_Ct-1),AF816=0),C816,0)</f>
        <v>0</v>
      </c>
      <c r="BI816" s="199">
        <f>IF(AND(Input_Product=Elig!$C816,Elig_MatchAll_Ct&lt;22,$BC816=(Elig_MatchAll_Ct-1),AG816=0),D816,0)</f>
        <v>0</v>
      </c>
      <c r="BJ816" s="199">
        <f>IF(AND(Input_Product=Elig!$C816,Elig_MatchAll_Ct&lt;22,$BC816=(Elig_MatchAll_Ct-1),AH816=0),E816,0)</f>
        <v>0</v>
      </c>
      <c r="BK816" s="199">
        <f>IF(AND(Input_Product=Elig!$C816,Elig_MatchAll_Ct&lt;22,$BC816=(Elig_MatchAll_Ct-1),AI816=0),F816,0)</f>
        <v>0</v>
      </c>
      <c r="BL816" s="199">
        <f>IF(AND(Input_Product=Elig!$C816,Elig_MatchAll_Ct&lt;22,$BC816=(Elig_MatchAll_Ct-1),AJ816=0),G816,0)</f>
        <v>0</v>
      </c>
      <c r="BM816" s="199">
        <f>IF(AND(Input_Product=Elig!$C816,Elig_MatchAll_Ct&lt;22,$BC816=(Elig_MatchAll_Ct-1),AK816=0),H816,0)</f>
        <v>0</v>
      </c>
      <c r="BN816" s="199">
        <f>IF(AND(Input_Product=Elig!$C816,Elig_MatchAll_Ct&lt;22,$BC816=(Elig_MatchAll_Ct-1),AL816=0),I816,0)</f>
        <v>0</v>
      </c>
      <c r="BO816" s="199">
        <f>IF(AND(Input_Product=Elig!$C816,Elig_MatchAll_Ct&lt;22,$BC816=(Elig_MatchAll_Ct-1),AM816=0),J816,0)</f>
        <v>0</v>
      </c>
      <c r="BP816" s="199">
        <f>IF(AND(Input_Product=Elig!$C816,Elig_MatchAll_Ct&lt;22,$BC816=(Elig_MatchAll_Ct-1),AN816=0),K816,0)</f>
        <v>0</v>
      </c>
      <c r="BQ816" s="199">
        <f>IF(AND(Input_Product=Elig!$C816,Elig_MatchAll_Ct&lt;22,$BC816=(Elig_MatchAll_Ct-1),AP816=0),L816,0)</f>
        <v>0</v>
      </c>
      <c r="BR816" s="199">
        <f>IF(AND(Input_Product=Elig!$C816,Elig_MatchAll_Ct&lt;22,$BC816=(Elig_MatchAll_Ct-1),AO816=0),M816,0)</f>
        <v>0</v>
      </c>
      <c r="BS816" s="199">
        <f>IF(AND(Input_Product=Elig!$C816,Elig_MatchAll_Ct&lt;22,$BC816=(Elig_MatchAll_Ct-1),AQ816=0),N816,0)</f>
        <v>0</v>
      </c>
      <c r="BT816" s="199">
        <f>IF(AND(Input_Product=Elig!$C816,Elig_MatchAll_Ct&lt;22,$BC816=(Elig_MatchAll_Ct-1),AR816=0),O816,0)</f>
        <v>0</v>
      </c>
      <c r="BU816" s="199">
        <f>IF(AND(Input_Product=Elig!$C816,Elig_MatchAll_Ct&lt;22,$BC816=(Elig_MatchAll_Ct-1),AS816=0),P816,0)</f>
        <v>0</v>
      </c>
      <c r="BV816" s="200">
        <f>IF(AND(Input_Product=Elig!$C816,Elig_MatchAll_Ct&lt;22,$BC816=(Elig_MatchAll_Ct-1),AT816=0),Q816,0)</f>
        <v>0</v>
      </c>
      <c r="BW816" s="201">
        <f>IF(AND(Input_Product=Elig!$C816,Elig_MatchAll_Ct&lt;22,$BC816=(Elig_MatchAll_Ct-1),AU816=0),R816,0)</f>
        <v>0</v>
      </c>
      <c r="BX816" s="202">
        <f>IF(AND(Input_Product=Elig!$C816,Elig_MatchAll_Ct&lt;22,$BC816=(Elig_MatchAll_Ct-1),AU816=0),S816,0)</f>
        <v>0</v>
      </c>
      <c r="BY816" s="201">
        <f>IF(AND(Input_Product=Elig!$C816,Elig_MatchAll_Ct&lt;22,$BC816=(Elig_MatchAll_Ct-1),AV816=0),T816,0)</f>
        <v>0</v>
      </c>
      <c r="BZ816" s="202">
        <f>IF(AND(Input_Product=Elig!$C816,Elig_MatchAll_Ct&lt;22,$BC816=(Elig_MatchAll_Ct-1),AV816=0),U816,0)</f>
        <v>0</v>
      </c>
      <c r="CA816" s="201">
        <f>IF(AND(Input_Product=Elig!$C816,Elig_MatchAll_Ct&lt;22,$BC816=(Elig_MatchAll_Ct-1),AW816=0),V816,0)</f>
        <v>0</v>
      </c>
      <c r="CB816" s="202">
        <f>IF(AND(Input_Product=Elig!$C816,Elig_MatchAll_Ct&lt;22,$BC816=(Elig_MatchAll_Ct-1),AW816=0),W816,0)</f>
        <v>0</v>
      </c>
      <c r="CC816" s="201">
        <f>IF(AND(Input_Product=Elig!$C816,Elig_MatchAll_Ct&lt;22,$BC816=(Elig_MatchAll_Ct-1),AX816=0),X816,0)</f>
        <v>0</v>
      </c>
      <c r="CD816" s="202">
        <f>IF(AND(Input_Product=Elig!$C816,Elig_MatchAll_Ct&lt;22,$BC816=(Elig_MatchAll_Ct-1),AX816=0),Y816,0)</f>
        <v>0</v>
      </c>
      <c r="CE816" s="201">
        <f>IF(AND(Input_LTV&lt;=AE816,Input_Product=Elig!$C816,Elig_MatchAll_Ct&lt;22,$BC816=(Elig_MatchAll_Ct-1),AY816=0),Z816,0)</f>
        <v>0</v>
      </c>
      <c r="CF816" s="202">
        <f>IF(AND(Input_LTV&lt;=AE816,Input_Product=Elig!$C816,Elig_MatchAll_Ct&lt;22,$BC816=(Elig_MatchAll_Ct-1),AY816=0),AA816,0)</f>
        <v>0</v>
      </c>
      <c r="CG816" s="201">
        <f>IF(AND(Input_Product=Elig!$C816,Elig_MatchAll_Ct&lt;22,$BC816=(Elig_MatchAll_Ct-1),AZ816=0),AB816,0)</f>
        <v>0</v>
      </c>
      <c r="CH816" s="202">
        <f>IF(AND(Input_Product=Elig!$C816,Elig_MatchAll_Ct&lt;22,$BC816=(Elig_MatchAll_Ct-1),AZ816=0),AC816,0)</f>
        <v>0</v>
      </c>
      <c r="CI816" s="201">
        <f>IF(AND(Input_Product=Elig!$C816,Elig_MatchAll_Ct&lt;22,$BC816=(Elig_MatchAll_Ct-1),BA816=0),AD816,0)</f>
        <v>0</v>
      </c>
      <c r="CJ816" s="202">
        <f>IF(AND(Input_Product=Elig!$C816,Elig_MatchAll_Ct&lt;22,$BC816=(Elig_MatchAll_Ct-1),BA816=0),AE816,0)</f>
        <v>0</v>
      </c>
    </row>
    <row r="817" spans="2:88" ht="10.15" customHeight="1" x14ac:dyDescent="0.25">
      <c r="B817" s="2035" t="s">
        <v>3720</v>
      </c>
      <c r="C817" s="2036" t="str">
        <f t="shared" si="330"/>
        <v>Second NOO</v>
      </c>
      <c r="D817" s="2035" t="s">
        <v>1302</v>
      </c>
      <c r="E817" s="2035" t="s">
        <v>98</v>
      </c>
      <c r="F817" s="2035" t="s">
        <v>330</v>
      </c>
      <c r="G817" s="2111" t="s">
        <v>472</v>
      </c>
      <c r="H817" s="2037" t="s">
        <v>136</v>
      </c>
      <c r="I817" s="2035" t="s">
        <v>1332</v>
      </c>
      <c r="J817" s="2037" t="s">
        <v>1311</v>
      </c>
      <c r="K817" s="2037" t="s">
        <v>1790</v>
      </c>
      <c r="L817" s="2035" t="s">
        <v>430</v>
      </c>
      <c r="M817" s="2035" t="s">
        <v>2677</v>
      </c>
      <c r="N817" s="2037" t="s">
        <v>82</v>
      </c>
      <c r="O817" s="2035" t="s">
        <v>310</v>
      </c>
      <c r="P817" s="2035" t="s">
        <v>291</v>
      </c>
      <c r="Q817" s="2035" t="s">
        <v>294</v>
      </c>
      <c r="R817" s="2035">
        <v>200000</v>
      </c>
      <c r="S817" s="2035">
        <v>350000</v>
      </c>
      <c r="T817" s="2035">
        <v>0</v>
      </c>
      <c r="U817" s="2035">
        <f t="shared" si="331"/>
        <v>350000</v>
      </c>
      <c r="V817" s="2035">
        <v>0</v>
      </c>
      <c r="W817" s="2035">
        <v>50</v>
      </c>
      <c r="X817" s="2035">
        <v>0</v>
      </c>
      <c r="Y817" s="2035">
        <v>999</v>
      </c>
      <c r="Z817" s="2038">
        <v>660</v>
      </c>
      <c r="AA817" s="2038">
        <v>679</v>
      </c>
      <c r="AB817" s="2038">
        <v>0</v>
      </c>
      <c r="AC817" s="2038">
        <v>999999</v>
      </c>
      <c r="AD817" s="2035">
        <v>0</v>
      </c>
      <c r="AE817" s="2035">
        <v>60</v>
      </c>
      <c r="AF817" s="170">
        <v>0</v>
      </c>
      <c r="AG817" s="171">
        <v>0</v>
      </c>
      <c r="AH817" s="171">
        <v>1</v>
      </c>
      <c r="AI817" s="171">
        <v>0</v>
      </c>
      <c r="AJ817" s="171">
        <v>0</v>
      </c>
      <c r="AK817" s="171">
        <v>1</v>
      </c>
      <c r="AL817" s="171">
        <v>1</v>
      </c>
      <c r="AM817" s="171">
        <v>1</v>
      </c>
      <c r="AN817" s="171">
        <v>1</v>
      </c>
      <c r="AO817" s="171">
        <v>1</v>
      </c>
      <c r="AP817" s="171">
        <v>1</v>
      </c>
      <c r="AQ817" s="171">
        <v>1</v>
      </c>
      <c r="AR817" s="171">
        <v>1</v>
      </c>
      <c r="AS817" s="171">
        <v>1</v>
      </c>
      <c r="AT817" s="171">
        <v>1</v>
      </c>
      <c r="AU817" s="171">
        <f t="shared" si="324"/>
        <v>1</v>
      </c>
      <c r="AV817" s="171">
        <f t="shared" si="325"/>
        <v>1</v>
      </c>
      <c r="AW817" s="171">
        <f t="shared" si="326"/>
        <v>1</v>
      </c>
      <c r="AX817" s="171">
        <f t="shared" si="335"/>
        <v>1</v>
      </c>
      <c r="AY817" s="171">
        <f t="shared" si="327"/>
        <v>0</v>
      </c>
      <c r="AZ817" s="171">
        <f t="shared" si="328"/>
        <v>1</v>
      </c>
      <c r="BA817" s="172">
        <f t="shared" si="329"/>
        <v>0</v>
      </c>
      <c r="BB817" s="175">
        <f t="shared" si="332"/>
        <v>16</v>
      </c>
      <c r="BC817" s="176">
        <f t="shared" si="333"/>
        <v>16</v>
      </c>
      <c r="BD817" s="176">
        <f t="shared" si="334"/>
        <v>16</v>
      </c>
      <c r="BE817" s="240" t="str">
        <f t="shared" si="322"/>
        <v/>
      </c>
      <c r="BF817" s="234"/>
      <c r="BG817" s="234"/>
      <c r="BH817" s="214">
        <f>IF(AND(Input_Product=Elig!$C817,Elig_MatchAll_Ct&lt;22,$BC817=(Elig_MatchAll_Ct-1),AF817=0),C817,0)</f>
        <v>0</v>
      </c>
      <c r="BI817" s="214">
        <f>IF(AND(Input_Product=Elig!$C817,Elig_MatchAll_Ct&lt;22,$BC817=(Elig_MatchAll_Ct-1),AG817=0),D817,0)</f>
        <v>0</v>
      </c>
      <c r="BJ817" s="214">
        <f>IF(AND(Input_Product=Elig!$C817,Elig_MatchAll_Ct&lt;22,$BC817=(Elig_MatchAll_Ct-1),AH817=0),E817,0)</f>
        <v>0</v>
      </c>
      <c r="BK817" s="214">
        <f>IF(AND(Input_Product=Elig!$C817,Elig_MatchAll_Ct&lt;22,$BC817=(Elig_MatchAll_Ct-1),AI817=0),F817,0)</f>
        <v>0</v>
      </c>
      <c r="BL817" s="214">
        <f>IF(AND(Input_Product=Elig!$C817,Elig_MatchAll_Ct&lt;22,$BC817=(Elig_MatchAll_Ct-1),AJ817=0),G817,0)</f>
        <v>0</v>
      </c>
      <c r="BM817" s="214">
        <f>IF(AND(Input_Product=Elig!$C817,Elig_MatchAll_Ct&lt;22,$BC817=(Elig_MatchAll_Ct-1),AK817=0),H817,0)</f>
        <v>0</v>
      </c>
      <c r="BN817" s="214">
        <f>IF(AND(Input_Product=Elig!$C817,Elig_MatchAll_Ct&lt;22,$BC817=(Elig_MatchAll_Ct-1),AL817=0),I817,0)</f>
        <v>0</v>
      </c>
      <c r="BO817" s="214">
        <f>IF(AND(Input_Product=Elig!$C817,Elig_MatchAll_Ct&lt;22,$BC817=(Elig_MatchAll_Ct-1),AM817=0),J817,0)</f>
        <v>0</v>
      </c>
      <c r="BP817" s="214">
        <f>IF(AND(Input_Product=Elig!$C817,Elig_MatchAll_Ct&lt;22,$BC817=(Elig_MatchAll_Ct-1),AN817=0),K817,0)</f>
        <v>0</v>
      </c>
      <c r="BQ817" s="214">
        <f>IF(AND(Input_Product=Elig!$C817,Elig_MatchAll_Ct&lt;22,$BC817=(Elig_MatchAll_Ct-1),AP817=0),L817,0)</f>
        <v>0</v>
      </c>
      <c r="BR817" s="214">
        <f>IF(AND(Input_Product=Elig!$C817,Elig_MatchAll_Ct&lt;22,$BC817=(Elig_MatchAll_Ct-1),AO817=0),M817,0)</f>
        <v>0</v>
      </c>
      <c r="BS817" s="214">
        <f>IF(AND(Input_Product=Elig!$C817,Elig_MatchAll_Ct&lt;22,$BC817=(Elig_MatchAll_Ct-1),AQ817=0),N817,0)</f>
        <v>0</v>
      </c>
      <c r="BT817" s="214">
        <f>IF(AND(Input_Product=Elig!$C817,Elig_MatchAll_Ct&lt;22,$BC817=(Elig_MatchAll_Ct-1),AR817=0),O817,0)</f>
        <v>0</v>
      </c>
      <c r="BU817" s="214">
        <f>IF(AND(Input_Product=Elig!$C817,Elig_MatchAll_Ct&lt;22,$BC817=(Elig_MatchAll_Ct-1),AS817=0),P817,0)</f>
        <v>0</v>
      </c>
      <c r="BV817" s="215">
        <f>IF(AND(Input_Product=Elig!$C817,Elig_MatchAll_Ct&lt;22,$BC817=(Elig_MatchAll_Ct-1),AT817=0),Q817,0)</f>
        <v>0</v>
      </c>
      <c r="BW817" s="311">
        <f>IF(AND(Input_Product=Elig!$C817,Elig_MatchAll_Ct&lt;22,$BC817=(Elig_MatchAll_Ct-1),AU817=0),R817,0)</f>
        <v>0</v>
      </c>
      <c r="BX817" s="312">
        <f>IF(AND(Input_Product=Elig!$C817,Elig_MatchAll_Ct&lt;22,$BC817=(Elig_MatchAll_Ct-1),AU817=0),S817,0)</f>
        <v>0</v>
      </c>
      <c r="BY817" s="311">
        <f>IF(AND(Input_Product=Elig!$C817,Elig_MatchAll_Ct&lt;22,$BC817=(Elig_MatchAll_Ct-1),AV817=0),T817,0)</f>
        <v>0</v>
      </c>
      <c r="BZ817" s="312">
        <f>IF(AND(Input_Product=Elig!$C817,Elig_MatchAll_Ct&lt;22,$BC817=(Elig_MatchAll_Ct-1),AV817=0),U817,0)</f>
        <v>0</v>
      </c>
      <c r="CA817" s="311">
        <f>IF(AND(Input_Product=Elig!$C817,Elig_MatchAll_Ct&lt;22,$BC817=(Elig_MatchAll_Ct-1),AW817=0),V817,0)</f>
        <v>0</v>
      </c>
      <c r="CB817" s="312">
        <f>IF(AND(Input_Product=Elig!$C817,Elig_MatchAll_Ct&lt;22,$BC817=(Elig_MatchAll_Ct-1),AW817=0),W817,0)</f>
        <v>0</v>
      </c>
      <c r="CC817" s="311">
        <f>IF(AND(Input_Product=Elig!$C817,Elig_MatchAll_Ct&lt;22,$BC817=(Elig_MatchAll_Ct-1),AX817=0),X817,0)</f>
        <v>0</v>
      </c>
      <c r="CD817" s="312">
        <f>IF(AND(Input_Product=Elig!$C817,Elig_MatchAll_Ct&lt;22,$BC817=(Elig_MatchAll_Ct-1),AX817=0),Y817,0)</f>
        <v>0</v>
      </c>
      <c r="CE817" s="311">
        <f>IF(AND(Input_LTV&lt;=AE817,Input_Product=Elig!$C817,Elig_MatchAll_Ct&lt;22,$BC817=(Elig_MatchAll_Ct-1),AY817=0),Z817,0)</f>
        <v>0</v>
      </c>
      <c r="CF817" s="312">
        <f>IF(AND(Input_LTV&lt;=AE817,Input_Product=Elig!$C817,Elig_MatchAll_Ct&lt;22,$BC817=(Elig_MatchAll_Ct-1),AY817=0),AA817,0)</f>
        <v>0</v>
      </c>
      <c r="CG817" s="311">
        <f>IF(AND(Input_Product=Elig!$C817,Elig_MatchAll_Ct&lt;22,$BC817=(Elig_MatchAll_Ct-1),AZ817=0),AB817,0)</f>
        <v>0</v>
      </c>
      <c r="CH817" s="312">
        <f>IF(AND(Input_Product=Elig!$C817,Elig_MatchAll_Ct&lt;22,$BC817=(Elig_MatchAll_Ct-1),AZ817=0),AC817,0)</f>
        <v>0</v>
      </c>
      <c r="CI817" s="311">
        <f>IF(AND(Input_Product=Elig!$C817,Elig_MatchAll_Ct&lt;22,$BC817=(Elig_MatchAll_Ct-1),BA817=0),AD817,0)</f>
        <v>0</v>
      </c>
      <c r="CJ817" s="312">
        <f>IF(AND(Input_Product=Elig!$C817,Elig_MatchAll_Ct&lt;22,$BC817=(Elig_MatchAll_Ct-1),BA817=0),AE817,0)</f>
        <v>0</v>
      </c>
    </row>
    <row r="818" spans="2:88" ht="10.15" customHeight="1" x14ac:dyDescent="0.25">
      <c r="B818" s="2035" t="s">
        <v>3721</v>
      </c>
      <c r="C818" s="2040" t="str">
        <f t="shared" si="330"/>
        <v>Second NOO</v>
      </c>
      <c r="D818" s="2041" t="s">
        <v>1561</v>
      </c>
      <c r="E818" s="2041" t="s">
        <v>98</v>
      </c>
      <c r="F818" s="2041" t="s">
        <v>330</v>
      </c>
      <c r="G818" s="2041" t="s">
        <v>179</v>
      </c>
      <c r="H818" s="2041" t="s">
        <v>136</v>
      </c>
      <c r="I818" s="2039" t="s">
        <v>1332</v>
      </c>
      <c r="J818" s="2039" t="s">
        <v>1311</v>
      </c>
      <c r="K818" s="2041" t="s">
        <v>1790</v>
      </c>
      <c r="L818" s="2039" t="s">
        <v>430</v>
      </c>
      <c r="M818" s="2039" t="s">
        <v>2677</v>
      </c>
      <c r="N818" s="2041" t="s">
        <v>82</v>
      </c>
      <c r="O818" s="2039" t="s">
        <v>310</v>
      </c>
      <c r="P818" s="2039" t="s">
        <v>291</v>
      </c>
      <c r="Q818" s="2039" t="s">
        <v>294</v>
      </c>
      <c r="R818" s="2039">
        <v>50000</v>
      </c>
      <c r="S818" s="2039">
        <v>350000</v>
      </c>
      <c r="T818" s="2039">
        <v>0</v>
      </c>
      <c r="U818" s="2039">
        <f t="shared" si="331"/>
        <v>350000</v>
      </c>
      <c r="V818" s="2039">
        <v>0</v>
      </c>
      <c r="W818" s="2039">
        <v>50</v>
      </c>
      <c r="X818" s="2039">
        <v>0</v>
      </c>
      <c r="Y818" s="2039">
        <v>999</v>
      </c>
      <c r="Z818" s="2042">
        <v>720</v>
      </c>
      <c r="AA818" s="2042">
        <v>999</v>
      </c>
      <c r="AB818" s="2042">
        <v>0</v>
      </c>
      <c r="AC818" s="2042">
        <v>999999</v>
      </c>
      <c r="AD818" s="2039">
        <v>0</v>
      </c>
      <c r="AE818" s="2039">
        <v>70</v>
      </c>
      <c r="AF818" s="170">
        <v>0</v>
      </c>
      <c r="AG818" s="171">
        <v>1</v>
      </c>
      <c r="AH818" s="171">
        <v>1</v>
      </c>
      <c r="AI818" s="171">
        <v>0</v>
      </c>
      <c r="AJ818" s="171">
        <v>0</v>
      </c>
      <c r="AK818" s="171">
        <v>1</v>
      </c>
      <c r="AL818" s="171">
        <v>1</v>
      </c>
      <c r="AM818" s="171">
        <v>1</v>
      </c>
      <c r="AN818" s="171">
        <v>1</v>
      </c>
      <c r="AO818" s="171">
        <v>1</v>
      </c>
      <c r="AP818" s="171">
        <v>1</v>
      </c>
      <c r="AQ818" s="171">
        <v>1</v>
      </c>
      <c r="AR818" s="171">
        <v>1</v>
      </c>
      <c r="AS818" s="171">
        <v>1</v>
      </c>
      <c r="AT818" s="171">
        <v>1</v>
      </c>
      <c r="AU818" s="171">
        <f t="shared" si="324"/>
        <v>1</v>
      </c>
      <c r="AV818" s="171">
        <f t="shared" si="325"/>
        <v>1</v>
      </c>
      <c r="AW818" s="171">
        <f t="shared" si="326"/>
        <v>1</v>
      </c>
      <c r="AX818" s="171">
        <f t="shared" si="335"/>
        <v>1</v>
      </c>
      <c r="AY818" s="171">
        <f t="shared" si="327"/>
        <v>1</v>
      </c>
      <c r="AZ818" s="171">
        <f t="shared" si="328"/>
        <v>1</v>
      </c>
      <c r="BA818" s="172">
        <f t="shared" si="329"/>
        <v>1</v>
      </c>
      <c r="BB818" s="175">
        <f t="shared" si="332"/>
        <v>19</v>
      </c>
      <c r="BC818" s="176">
        <f t="shared" si="333"/>
        <v>18</v>
      </c>
      <c r="BD818" s="176">
        <f t="shared" si="334"/>
        <v>19</v>
      </c>
      <c r="BE818" s="240" t="str">
        <f t="shared" si="322"/>
        <v/>
      </c>
      <c r="BF818" s="220"/>
      <c r="BG818" s="220"/>
      <c r="BH818" s="216">
        <f>IF(AND(Input_Product=Elig!$C818,Elig_MatchAll_Ct&lt;22,$BC818=(Elig_MatchAll_Ct-1),AF818=0),C818,0)</f>
        <v>0</v>
      </c>
      <c r="BI818" s="216">
        <f>IF(AND(Input_Product=Elig!$C818,Elig_MatchAll_Ct&lt;22,$BC818=(Elig_MatchAll_Ct-1),AG818=0),D818,0)</f>
        <v>0</v>
      </c>
      <c r="BJ818" s="216">
        <f>IF(AND(Input_Product=Elig!$C818,Elig_MatchAll_Ct&lt;22,$BC818=(Elig_MatchAll_Ct-1),AH818=0),E818,0)</f>
        <v>0</v>
      </c>
      <c r="BK818" s="216">
        <f>IF(AND(Input_Product=Elig!$C818,Elig_MatchAll_Ct&lt;22,$BC818=(Elig_MatchAll_Ct-1),AI818=0),F818,0)</f>
        <v>0</v>
      </c>
      <c r="BL818" s="216">
        <f>IF(AND(Input_Product=Elig!$C818,Elig_MatchAll_Ct&lt;22,$BC818=(Elig_MatchAll_Ct-1),AJ818=0),G818,0)</f>
        <v>0</v>
      </c>
      <c r="BM818" s="216">
        <f>IF(AND(Input_Product=Elig!$C818,Elig_MatchAll_Ct&lt;22,$BC818=(Elig_MatchAll_Ct-1),AK818=0),H818,0)</f>
        <v>0</v>
      </c>
      <c r="BN818" s="216">
        <f>IF(AND(Input_Product=Elig!$C818,Elig_MatchAll_Ct&lt;22,$BC818=(Elig_MatchAll_Ct-1),AL818=0),I818,0)</f>
        <v>0</v>
      </c>
      <c r="BO818" s="216">
        <f>IF(AND(Input_Product=Elig!$C818,Elig_MatchAll_Ct&lt;22,$BC818=(Elig_MatchAll_Ct-1),AM818=0),J818,0)</f>
        <v>0</v>
      </c>
      <c r="BP818" s="216">
        <f>IF(AND(Input_Product=Elig!$C818,Elig_MatchAll_Ct&lt;22,$BC818=(Elig_MatchAll_Ct-1),AN818=0),K818,0)</f>
        <v>0</v>
      </c>
      <c r="BQ818" s="216">
        <f>IF(AND(Input_Product=Elig!$C818,Elig_MatchAll_Ct&lt;22,$BC818=(Elig_MatchAll_Ct-1),AP818=0),L818,0)</f>
        <v>0</v>
      </c>
      <c r="BR818" s="216">
        <f>IF(AND(Input_Product=Elig!$C818,Elig_MatchAll_Ct&lt;22,$BC818=(Elig_MatchAll_Ct-1),AO818=0),M818,0)</f>
        <v>0</v>
      </c>
      <c r="BS818" s="216">
        <f>IF(AND(Input_Product=Elig!$C818,Elig_MatchAll_Ct&lt;22,$BC818=(Elig_MatchAll_Ct-1),AQ818=0),N818,0)</f>
        <v>0</v>
      </c>
      <c r="BT818" s="216">
        <f>IF(AND(Input_Product=Elig!$C818,Elig_MatchAll_Ct&lt;22,$BC818=(Elig_MatchAll_Ct-1),AR818=0),O818,0)</f>
        <v>0</v>
      </c>
      <c r="BU818" s="216">
        <f>IF(AND(Input_Product=Elig!$C818,Elig_MatchAll_Ct&lt;22,$BC818=(Elig_MatchAll_Ct-1),AS818=0),P818,0)</f>
        <v>0</v>
      </c>
      <c r="BV818" s="217">
        <f>IF(AND(Input_Product=Elig!$C818,Elig_MatchAll_Ct&lt;22,$BC818=(Elig_MatchAll_Ct-1),AT818=0),Q818,0)</f>
        <v>0</v>
      </c>
      <c r="BW818" s="313">
        <f>IF(AND(Input_Product=Elig!$C818,Elig_MatchAll_Ct&lt;22,$BC818=(Elig_MatchAll_Ct-1),AU818=0),R818,0)</f>
        <v>0</v>
      </c>
      <c r="BX818" s="314">
        <f>IF(AND(Input_Product=Elig!$C818,Elig_MatchAll_Ct&lt;22,$BC818=(Elig_MatchAll_Ct-1),AU818=0),S818,0)</f>
        <v>0</v>
      </c>
      <c r="BY818" s="313">
        <f>IF(AND(Input_Product=Elig!$C818,Elig_MatchAll_Ct&lt;22,$BC818=(Elig_MatchAll_Ct-1),AV818=0),T818,0)</f>
        <v>0</v>
      </c>
      <c r="BZ818" s="314">
        <f>IF(AND(Input_Product=Elig!$C818,Elig_MatchAll_Ct&lt;22,$BC818=(Elig_MatchAll_Ct-1),AV818=0),U818,0)</f>
        <v>0</v>
      </c>
      <c r="CA818" s="313">
        <f>IF(AND(Input_Product=Elig!$C818,Elig_MatchAll_Ct&lt;22,$BC818=(Elig_MatchAll_Ct-1),AW818=0),V818,0)</f>
        <v>0</v>
      </c>
      <c r="CB818" s="314">
        <f>IF(AND(Input_Product=Elig!$C818,Elig_MatchAll_Ct&lt;22,$BC818=(Elig_MatchAll_Ct-1),AW818=0),W818,0)</f>
        <v>0</v>
      </c>
      <c r="CC818" s="313">
        <f>IF(AND(Input_Product=Elig!$C818,Elig_MatchAll_Ct&lt;22,$BC818=(Elig_MatchAll_Ct-1),AX818=0),X818,0)</f>
        <v>0</v>
      </c>
      <c r="CD818" s="314">
        <f>IF(AND(Input_Product=Elig!$C818,Elig_MatchAll_Ct&lt;22,$BC818=(Elig_MatchAll_Ct-1),AX818=0),Y818,0)</f>
        <v>0</v>
      </c>
      <c r="CE818" s="313">
        <f>IF(AND(Input_LTV&lt;=AE818,Input_Product=Elig!$C818,Elig_MatchAll_Ct&lt;22,$BC818=(Elig_MatchAll_Ct-1),AY818=0),Z818,0)</f>
        <v>0</v>
      </c>
      <c r="CF818" s="314">
        <f>IF(AND(Input_LTV&lt;=AE818,Input_Product=Elig!$C818,Elig_MatchAll_Ct&lt;22,$BC818=(Elig_MatchAll_Ct-1),AY818=0),AA818,0)</f>
        <v>0</v>
      </c>
      <c r="CG818" s="313">
        <f>IF(AND(Input_Product=Elig!$C818,Elig_MatchAll_Ct&lt;22,$BC818=(Elig_MatchAll_Ct-1),AZ818=0),AB818,0)</f>
        <v>0</v>
      </c>
      <c r="CH818" s="314">
        <f>IF(AND(Input_Product=Elig!$C818,Elig_MatchAll_Ct&lt;22,$BC818=(Elig_MatchAll_Ct-1),AZ818=0),AC818,0)</f>
        <v>0</v>
      </c>
      <c r="CI818" s="313">
        <f>IF(AND(Input_Product=Elig!$C818,Elig_MatchAll_Ct&lt;22,$BC818=(Elig_MatchAll_Ct-1),BA818=0),AD818,0)</f>
        <v>0</v>
      </c>
      <c r="CJ818" s="314">
        <f>IF(AND(Input_Product=Elig!$C818,Elig_MatchAll_Ct&lt;22,$BC818=(Elig_MatchAll_Ct-1),BA818=0),AE818,0)</f>
        <v>0</v>
      </c>
    </row>
    <row r="819" spans="2:88" ht="10.15" customHeight="1" x14ac:dyDescent="0.25">
      <c r="B819" s="2035" t="s">
        <v>3722</v>
      </c>
      <c r="C819" s="2036" t="str">
        <f t="shared" si="330"/>
        <v>Second NOO</v>
      </c>
      <c r="D819" s="2035" t="s">
        <v>1561</v>
      </c>
      <c r="E819" s="2035" t="s">
        <v>98</v>
      </c>
      <c r="F819" s="2035" t="s">
        <v>330</v>
      </c>
      <c r="G819" s="2037" t="s">
        <v>179</v>
      </c>
      <c r="H819" s="2037" t="s">
        <v>136</v>
      </c>
      <c r="I819" s="2035" t="s">
        <v>1332</v>
      </c>
      <c r="J819" s="2035" t="s">
        <v>1311</v>
      </c>
      <c r="K819" s="2037" t="s">
        <v>1790</v>
      </c>
      <c r="L819" s="2035" t="s">
        <v>430</v>
      </c>
      <c r="M819" s="2035" t="s">
        <v>2677</v>
      </c>
      <c r="N819" s="2037" t="s">
        <v>82</v>
      </c>
      <c r="O819" s="2035" t="s">
        <v>310</v>
      </c>
      <c r="P819" s="2035" t="s">
        <v>291</v>
      </c>
      <c r="Q819" s="2035" t="s">
        <v>294</v>
      </c>
      <c r="R819" s="2035">
        <v>50000</v>
      </c>
      <c r="S819" s="2035">
        <v>350000</v>
      </c>
      <c r="T819" s="2035">
        <v>0</v>
      </c>
      <c r="U819" s="2035">
        <f t="shared" si="331"/>
        <v>350000</v>
      </c>
      <c r="V819" s="2035">
        <v>0</v>
      </c>
      <c r="W819" s="2035">
        <v>50</v>
      </c>
      <c r="X819" s="2035">
        <v>0</v>
      </c>
      <c r="Y819" s="2035">
        <v>999</v>
      </c>
      <c r="Z819" s="2038">
        <v>700</v>
      </c>
      <c r="AA819" s="2038">
        <v>719</v>
      </c>
      <c r="AB819" s="2038">
        <v>0</v>
      </c>
      <c r="AC819" s="2038">
        <v>999999</v>
      </c>
      <c r="AD819" s="2035">
        <v>0</v>
      </c>
      <c r="AE819" s="2035">
        <v>65</v>
      </c>
      <c r="AF819" s="170">
        <v>0</v>
      </c>
      <c r="AG819" s="171">
        <v>1</v>
      </c>
      <c r="AH819" s="171">
        <v>1</v>
      </c>
      <c r="AI819" s="171">
        <v>0</v>
      </c>
      <c r="AJ819" s="171">
        <v>0</v>
      </c>
      <c r="AK819" s="171">
        <v>1</v>
      </c>
      <c r="AL819" s="171">
        <v>1</v>
      </c>
      <c r="AM819" s="171">
        <v>1</v>
      </c>
      <c r="AN819" s="171">
        <v>1</v>
      </c>
      <c r="AO819" s="171">
        <v>1</v>
      </c>
      <c r="AP819" s="171">
        <v>1</v>
      </c>
      <c r="AQ819" s="171">
        <v>1</v>
      </c>
      <c r="AR819" s="171">
        <v>1</v>
      </c>
      <c r="AS819" s="171">
        <v>1</v>
      </c>
      <c r="AT819" s="171">
        <v>1</v>
      </c>
      <c r="AU819" s="171">
        <f t="shared" si="324"/>
        <v>1</v>
      </c>
      <c r="AV819" s="171">
        <f t="shared" si="325"/>
        <v>1</v>
      </c>
      <c r="AW819" s="171">
        <f t="shared" si="326"/>
        <v>1</v>
      </c>
      <c r="AX819" s="171">
        <f t="shared" si="335"/>
        <v>1</v>
      </c>
      <c r="AY819" s="171">
        <f t="shared" si="327"/>
        <v>0</v>
      </c>
      <c r="AZ819" s="171">
        <f t="shared" si="328"/>
        <v>1</v>
      </c>
      <c r="BA819" s="172">
        <f t="shared" si="329"/>
        <v>1</v>
      </c>
      <c r="BB819" s="175">
        <f t="shared" si="332"/>
        <v>18</v>
      </c>
      <c r="BC819" s="176">
        <f t="shared" si="333"/>
        <v>17</v>
      </c>
      <c r="BD819" s="176">
        <f t="shared" si="334"/>
        <v>18</v>
      </c>
      <c r="BE819" s="240" t="str">
        <f t="shared" si="322"/>
        <v/>
      </c>
      <c r="BF819" s="234"/>
      <c r="BG819" s="234"/>
      <c r="BH819" s="199">
        <f>IF(AND(Input_Product=Elig!$C819,Elig_MatchAll_Ct&lt;22,$BC819=(Elig_MatchAll_Ct-1),AF819=0),C819,0)</f>
        <v>0</v>
      </c>
      <c r="BI819" s="199">
        <f>IF(AND(Input_Product=Elig!$C819,Elig_MatchAll_Ct&lt;22,$BC819=(Elig_MatchAll_Ct-1),AG819=0),D819,0)</f>
        <v>0</v>
      </c>
      <c r="BJ819" s="199">
        <f>IF(AND(Input_Product=Elig!$C819,Elig_MatchAll_Ct&lt;22,$BC819=(Elig_MatchAll_Ct-1),AH819=0),E819,0)</f>
        <v>0</v>
      </c>
      <c r="BK819" s="199">
        <f>IF(AND(Input_Product=Elig!$C819,Elig_MatchAll_Ct&lt;22,$BC819=(Elig_MatchAll_Ct-1),AI819=0),F819,0)</f>
        <v>0</v>
      </c>
      <c r="BL819" s="199">
        <f>IF(AND(Input_Product=Elig!$C819,Elig_MatchAll_Ct&lt;22,$BC819=(Elig_MatchAll_Ct-1),AJ819=0),G819,0)</f>
        <v>0</v>
      </c>
      <c r="BM819" s="199">
        <f>IF(AND(Input_Product=Elig!$C819,Elig_MatchAll_Ct&lt;22,$BC819=(Elig_MatchAll_Ct-1),AK819=0),H819,0)</f>
        <v>0</v>
      </c>
      <c r="BN819" s="199">
        <f>IF(AND(Input_Product=Elig!$C819,Elig_MatchAll_Ct&lt;22,$BC819=(Elig_MatchAll_Ct-1),AL819=0),I819,0)</f>
        <v>0</v>
      </c>
      <c r="BO819" s="199">
        <f>IF(AND(Input_Product=Elig!$C819,Elig_MatchAll_Ct&lt;22,$BC819=(Elig_MatchAll_Ct-1),AM819=0),J819,0)</f>
        <v>0</v>
      </c>
      <c r="BP819" s="199">
        <f>IF(AND(Input_Product=Elig!$C819,Elig_MatchAll_Ct&lt;22,$BC819=(Elig_MatchAll_Ct-1),AN819=0),K819,0)</f>
        <v>0</v>
      </c>
      <c r="BQ819" s="199">
        <f>IF(AND(Input_Product=Elig!$C819,Elig_MatchAll_Ct&lt;22,$BC819=(Elig_MatchAll_Ct-1),AP819=0),L819,0)</f>
        <v>0</v>
      </c>
      <c r="BR819" s="199">
        <f>IF(AND(Input_Product=Elig!$C819,Elig_MatchAll_Ct&lt;22,$BC819=(Elig_MatchAll_Ct-1),AO819=0),M819,0)</f>
        <v>0</v>
      </c>
      <c r="BS819" s="199">
        <f>IF(AND(Input_Product=Elig!$C819,Elig_MatchAll_Ct&lt;22,$BC819=(Elig_MatchAll_Ct-1),AQ819=0),N819,0)</f>
        <v>0</v>
      </c>
      <c r="BT819" s="199">
        <f>IF(AND(Input_Product=Elig!$C819,Elig_MatchAll_Ct&lt;22,$BC819=(Elig_MatchAll_Ct-1),AR819=0),O819,0)</f>
        <v>0</v>
      </c>
      <c r="BU819" s="199">
        <f>IF(AND(Input_Product=Elig!$C819,Elig_MatchAll_Ct&lt;22,$BC819=(Elig_MatchAll_Ct-1),AS819=0),P819,0)</f>
        <v>0</v>
      </c>
      <c r="BV819" s="200">
        <f>IF(AND(Input_Product=Elig!$C819,Elig_MatchAll_Ct&lt;22,$BC819=(Elig_MatchAll_Ct-1),AT819=0),Q819,0)</f>
        <v>0</v>
      </c>
      <c r="BW819" s="201">
        <f>IF(AND(Input_Product=Elig!$C819,Elig_MatchAll_Ct&lt;22,$BC819=(Elig_MatchAll_Ct-1),AU819=0),R819,0)</f>
        <v>0</v>
      </c>
      <c r="BX819" s="202">
        <f>IF(AND(Input_Product=Elig!$C819,Elig_MatchAll_Ct&lt;22,$BC819=(Elig_MatchAll_Ct-1),AU819=0),S819,0)</f>
        <v>0</v>
      </c>
      <c r="BY819" s="201">
        <f>IF(AND(Input_Product=Elig!$C819,Elig_MatchAll_Ct&lt;22,$BC819=(Elig_MatchAll_Ct-1),AV819=0),T819,0)</f>
        <v>0</v>
      </c>
      <c r="BZ819" s="202">
        <f>IF(AND(Input_Product=Elig!$C819,Elig_MatchAll_Ct&lt;22,$BC819=(Elig_MatchAll_Ct-1),AV819=0),U819,0)</f>
        <v>0</v>
      </c>
      <c r="CA819" s="201">
        <f>IF(AND(Input_Product=Elig!$C819,Elig_MatchAll_Ct&lt;22,$BC819=(Elig_MatchAll_Ct-1),AW819=0),V819,0)</f>
        <v>0</v>
      </c>
      <c r="CB819" s="202">
        <f>IF(AND(Input_Product=Elig!$C819,Elig_MatchAll_Ct&lt;22,$BC819=(Elig_MatchAll_Ct-1),AW819=0),W819,0)</f>
        <v>0</v>
      </c>
      <c r="CC819" s="201">
        <f>IF(AND(Input_Product=Elig!$C819,Elig_MatchAll_Ct&lt;22,$BC819=(Elig_MatchAll_Ct-1),AX819=0),X819,0)</f>
        <v>0</v>
      </c>
      <c r="CD819" s="202">
        <f>IF(AND(Input_Product=Elig!$C819,Elig_MatchAll_Ct&lt;22,$BC819=(Elig_MatchAll_Ct-1),AX819=0),Y819,0)</f>
        <v>0</v>
      </c>
      <c r="CE819" s="201">
        <f>IF(AND(Input_LTV&lt;=AE819,Input_Product=Elig!$C819,Elig_MatchAll_Ct&lt;22,$BC819=(Elig_MatchAll_Ct-1),AY819=0),Z819,0)</f>
        <v>0</v>
      </c>
      <c r="CF819" s="202">
        <f>IF(AND(Input_LTV&lt;=AE819,Input_Product=Elig!$C819,Elig_MatchAll_Ct&lt;22,$BC819=(Elig_MatchAll_Ct-1),AY819=0),AA819,0)</f>
        <v>0</v>
      </c>
      <c r="CG819" s="201">
        <f>IF(AND(Input_Product=Elig!$C819,Elig_MatchAll_Ct&lt;22,$BC819=(Elig_MatchAll_Ct-1),AZ819=0),AB819,0)</f>
        <v>0</v>
      </c>
      <c r="CH819" s="202">
        <f>IF(AND(Input_Product=Elig!$C819,Elig_MatchAll_Ct&lt;22,$BC819=(Elig_MatchAll_Ct-1),AZ819=0),AC819,0)</f>
        <v>0</v>
      </c>
      <c r="CI819" s="201">
        <f>IF(AND(Input_Product=Elig!$C819,Elig_MatchAll_Ct&lt;22,$BC819=(Elig_MatchAll_Ct-1),BA819=0),AD819,0)</f>
        <v>0</v>
      </c>
      <c r="CJ819" s="202">
        <f>IF(AND(Input_Product=Elig!$C819,Elig_MatchAll_Ct&lt;22,$BC819=(Elig_MatchAll_Ct-1),BA819=0),AE819,0)</f>
        <v>0</v>
      </c>
    </row>
    <row r="820" spans="2:88" ht="10.15" customHeight="1" x14ac:dyDescent="0.25">
      <c r="B820" s="2035" t="s">
        <v>3723</v>
      </c>
      <c r="C820" s="2036" t="str">
        <f t="shared" si="330"/>
        <v>Second NOO</v>
      </c>
      <c r="D820" s="2035" t="s">
        <v>1561</v>
      </c>
      <c r="E820" s="2035" t="s">
        <v>98</v>
      </c>
      <c r="F820" s="2035" t="s">
        <v>330</v>
      </c>
      <c r="G820" s="2037" t="s">
        <v>179</v>
      </c>
      <c r="H820" s="2037" t="s">
        <v>136</v>
      </c>
      <c r="I820" s="2035" t="s">
        <v>1332</v>
      </c>
      <c r="J820" s="2035" t="s">
        <v>1311</v>
      </c>
      <c r="K820" s="2037" t="s">
        <v>1790</v>
      </c>
      <c r="L820" s="2035" t="s">
        <v>430</v>
      </c>
      <c r="M820" s="2035" t="s">
        <v>2677</v>
      </c>
      <c r="N820" s="2037" t="s">
        <v>82</v>
      </c>
      <c r="O820" s="2035" t="s">
        <v>310</v>
      </c>
      <c r="P820" s="2035" t="s">
        <v>291</v>
      </c>
      <c r="Q820" s="2035" t="s">
        <v>294</v>
      </c>
      <c r="R820" s="2035">
        <v>50000</v>
      </c>
      <c r="S820" s="2035">
        <v>350000</v>
      </c>
      <c r="T820" s="2035">
        <v>0</v>
      </c>
      <c r="U820" s="2035">
        <f t="shared" si="331"/>
        <v>350000</v>
      </c>
      <c r="V820" s="2035">
        <v>0</v>
      </c>
      <c r="W820" s="2035">
        <v>50</v>
      </c>
      <c r="X820" s="2035">
        <v>0</v>
      </c>
      <c r="Y820" s="2035">
        <v>999</v>
      </c>
      <c r="Z820" s="2038">
        <v>680</v>
      </c>
      <c r="AA820" s="2038">
        <v>699</v>
      </c>
      <c r="AB820" s="2038">
        <v>0</v>
      </c>
      <c r="AC820" s="2038">
        <v>999999</v>
      </c>
      <c r="AD820" s="2035">
        <v>0</v>
      </c>
      <c r="AE820" s="2035">
        <v>60</v>
      </c>
      <c r="AF820" s="170">
        <v>0</v>
      </c>
      <c r="AG820" s="171">
        <v>1</v>
      </c>
      <c r="AH820" s="171">
        <v>1</v>
      </c>
      <c r="AI820" s="171">
        <v>0</v>
      </c>
      <c r="AJ820" s="171">
        <v>0</v>
      </c>
      <c r="AK820" s="171">
        <v>1</v>
      </c>
      <c r="AL820" s="171">
        <v>1</v>
      </c>
      <c r="AM820" s="171">
        <v>1</v>
      </c>
      <c r="AN820" s="171">
        <v>1</v>
      </c>
      <c r="AO820" s="171">
        <v>1</v>
      </c>
      <c r="AP820" s="171">
        <v>1</v>
      </c>
      <c r="AQ820" s="171">
        <v>1</v>
      </c>
      <c r="AR820" s="171">
        <v>1</v>
      </c>
      <c r="AS820" s="171">
        <v>1</v>
      </c>
      <c r="AT820" s="171">
        <v>1</v>
      </c>
      <c r="AU820" s="171">
        <f t="shared" si="324"/>
        <v>1</v>
      </c>
      <c r="AV820" s="171">
        <f t="shared" si="325"/>
        <v>1</v>
      </c>
      <c r="AW820" s="171">
        <f t="shared" si="326"/>
        <v>1</v>
      </c>
      <c r="AX820" s="171">
        <f t="shared" si="335"/>
        <v>1</v>
      </c>
      <c r="AY820" s="171">
        <f t="shared" si="327"/>
        <v>0</v>
      </c>
      <c r="AZ820" s="171">
        <f t="shared" si="328"/>
        <v>1</v>
      </c>
      <c r="BA820" s="172">
        <f t="shared" si="329"/>
        <v>0</v>
      </c>
      <c r="BB820" s="175">
        <f t="shared" si="332"/>
        <v>17</v>
      </c>
      <c r="BC820" s="176">
        <f t="shared" si="333"/>
        <v>17</v>
      </c>
      <c r="BD820" s="176">
        <f t="shared" si="334"/>
        <v>17</v>
      </c>
      <c r="BE820" s="240" t="str">
        <f t="shared" si="322"/>
        <v/>
      </c>
      <c r="BF820" s="234"/>
      <c r="BG820" s="234"/>
      <c r="BH820" s="199">
        <f>IF(AND(Input_Product=Elig!$C820,Elig_MatchAll_Ct&lt;22,$BC820=(Elig_MatchAll_Ct-1),AF820=0),C820,0)</f>
        <v>0</v>
      </c>
      <c r="BI820" s="199">
        <f>IF(AND(Input_Product=Elig!$C820,Elig_MatchAll_Ct&lt;22,$BC820=(Elig_MatchAll_Ct-1),AG820=0),D820,0)</f>
        <v>0</v>
      </c>
      <c r="BJ820" s="199">
        <f>IF(AND(Input_Product=Elig!$C820,Elig_MatchAll_Ct&lt;22,$BC820=(Elig_MatchAll_Ct-1),AH820=0),E820,0)</f>
        <v>0</v>
      </c>
      <c r="BK820" s="199">
        <f>IF(AND(Input_Product=Elig!$C820,Elig_MatchAll_Ct&lt;22,$BC820=(Elig_MatchAll_Ct-1),AI820=0),F820,0)</f>
        <v>0</v>
      </c>
      <c r="BL820" s="199">
        <f>IF(AND(Input_Product=Elig!$C820,Elig_MatchAll_Ct&lt;22,$BC820=(Elig_MatchAll_Ct-1),AJ820=0),G820,0)</f>
        <v>0</v>
      </c>
      <c r="BM820" s="199">
        <f>IF(AND(Input_Product=Elig!$C820,Elig_MatchAll_Ct&lt;22,$BC820=(Elig_MatchAll_Ct-1),AK820=0),H820,0)</f>
        <v>0</v>
      </c>
      <c r="BN820" s="199">
        <f>IF(AND(Input_Product=Elig!$C820,Elig_MatchAll_Ct&lt;22,$BC820=(Elig_MatchAll_Ct-1),AL820=0),I820,0)</f>
        <v>0</v>
      </c>
      <c r="BO820" s="199">
        <f>IF(AND(Input_Product=Elig!$C820,Elig_MatchAll_Ct&lt;22,$BC820=(Elig_MatchAll_Ct-1),AM820=0),J820,0)</f>
        <v>0</v>
      </c>
      <c r="BP820" s="199">
        <f>IF(AND(Input_Product=Elig!$C820,Elig_MatchAll_Ct&lt;22,$BC820=(Elig_MatchAll_Ct-1),AN820=0),K820,0)</f>
        <v>0</v>
      </c>
      <c r="BQ820" s="199">
        <f>IF(AND(Input_Product=Elig!$C820,Elig_MatchAll_Ct&lt;22,$BC820=(Elig_MatchAll_Ct-1),AP820=0),L820,0)</f>
        <v>0</v>
      </c>
      <c r="BR820" s="199">
        <f>IF(AND(Input_Product=Elig!$C820,Elig_MatchAll_Ct&lt;22,$BC820=(Elig_MatchAll_Ct-1),AO820=0),M820,0)</f>
        <v>0</v>
      </c>
      <c r="BS820" s="199">
        <f>IF(AND(Input_Product=Elig!$C820,Elig_MatchAll_Ct&lt;22,$BC820=(Elig_MatchAll_Ct-1),AQ820=0),N820,0)</f>
        <v>0</v>
      </c>
      <c r="BT820" s="199">
        <f>IF(AND(Input_Product=Elig!$C820,Elig_MatchAll_Ct&lt;22,$BC820=(Elig_MatchAll_Ct-1),AR820=0),O820,0)</f>
        <v>0</v>
      </c>
      <c r="BU820" s="199">
        <f>IF(AND(Input_Product=Elig!$C820,Elig_MatchAll_Ct&lt;22,$BC820=(Elig_MatchAll_Ct-1),AS820=0),P820,0)</f>
        <v>0</v>
      </c>
      <c r="BV820" s="200">
        <f>IF(AND(Input_Product=Elig!$C820,Elig_MatchAll_Ct&lt;22,$BC820=(Elig_MatchAll_Ct-1),AT820=0),Q820,0)</f>
        <v>0</v>
      </c>
      <c r="BW820" s="201">
        <f>IF(AND(Input_Product=Elig!$C820,Elig_MatchAll_Ct&lt;22,$BC820=(Elig_MatchAll_Ct-1),AU820=0),R820,0)</f>
        <v>0</v>
      </c>
      <c r="BX820" s="202">
        <f>IF(AND(Input_Product=Elig!$C820,Elig_MatchAll_Ct&lt;22,$BC820=(Elig_MatchAll_Ct-1),AU820=0),S820,0)</f>
        <v>0</v>
      </c>
      <c r="BY820" s="201">
        <f>IF(AND(Input_Product=Elig!$C820,Elig_MatchAll_Ct&lt;22,$BC820=(Elig_MatchAll_Ct-1),AV820=0),T820,0)</f>
        <v>0</v>
      </c>
      <c r="BZ820" s="202">
        <f>IF(AND(Input_Product=Elig!$C820,Elig_MatchAll_Ct&lt;22,$BC820=(Elig_MatchAll_Ct-1),AV820=0),U820,0)</f>
        <v>0</v>
      </c>
      <c r="CA820" s="201">
        <f>IF(AND(Input_Product=Elig!$C820,Elig_MatchAll_Ct&lt;22,$BC820=(Elig_MatchAll_Ct-1),AW820=0),V820,0)</f>
        <v>0</v>
      </c>
      <c r="CB820" s="202">
        <f>IF(AND(Input_Product=Elig!$C820,Elig_MatchAll_Ct&lt;22,$BC820=(Elig_MatchAll_Ct-1),AW820=0),W820,0)</f>
        <v>0</v>
      </c>
      <c r="CC820" s="201">
        <f>IF(AND(Input_Product=Elig!$C820,Elig_MatchAll_Ct&lt;22,$BC820=(Elig_MatchAll_Ct-1),AX820=0),X820,0)</f>
        <v>0</v>
      </c>
      <c r="CD820" s="202">
        <f>IF(AND(Input_Product=Elig!$C820,Elig_MatchAll_Ct&lt;22,$BC820=(Elig_MatchAll_Ct-1),AX820=0),Y820,0)</f>
        <v>0</v>
      </c>
      <c r="CE820" s="201">
        <f>IF(AND(Input_LTV&lt;=AE820,Input_Product=Elig!$C820,Elig_MatchAll_Ct&lt;22,$BC820=(Elig_MatchAll_Ct-1),AY820=0),Z820,0)</f>
        <v>0</v>
      </c>
      <c r="CF820" s="202">
        <f>IF(AND(Input_LTV&lt;=AE820,Input_Product=Elig!$C820,Elig_MatchAll_Ct&lt;22,$BC820=(Elig_MatchAll_Ct-1),AY820=0),AA820,0)</f>
        <v>0</v>
      </c>
      <c r="CG820" s="201">
        <f>IF(AND(Input_Product=Elig!$C820,Elig_MatchAll_Ct&lt;22,$BC820=(Elig_MatchAll_Ct-1),AZ820=0),AB820,0)</f>
        <v>0</v>
      </c>
      <c r="CH820" s="202">
        <f>IF(AND(Input_Product=Elig!$C820,Elig_MatchAll_Ct&lt;22,$BC820=(Elig_MatchAll_Ct-1),AZ820=0),AC820,0)</f>
        <v>0</v>
      </c>
      <c r="CI820" s="201">
        <f>IF(AND(Input_Product=Elig!$C820,Elig_MatchAll_Ct&lt;22,$BC820=(Elig_MatchAll_Ct-1),BA820=0),AD820,0)</f>
        <v>0</v>
      </c>
      <c r="CJ820" s="202">
        <f>IF(AND(Input_Product=Elig!$C820,Elig_MatchAll_Ct&lt;22,$BC820=(Elig_MatchAll_Ct-1),BA820=0),AE820,0)</f>
        <v>0</v>
      </c>
    </row>
    <row r="821" spans="2:88" ht="10.15" customHeight="1" x14ac:dyDescent="0.25">
      <c r="B821" s="2035" t="s">
        <v>3724</v>
      </c>
      <c r="C821" s="2036" t="str">
        <f t="shared" si="330"/>
        <v>Second NOO</v>
      </c>
      <c r="D821" s="2035" t="s">
        <v>1561</v>
      </c>
      <c r="E821" s="2035" t="s">
        <v>98</v>
      </c>
      <c r="F821" s="2035" t="s">
        <v>330</v>
      </c>
      <c r="G821" s="2037" t="s">
        <v>179</v>
      </c>
      <c r="H821" s="2037" t="s">
        <v>136</v>
      </c>
      <c r="I821" s="2035" t="s">
        <v>1332</v>
      </c>
      <c r="J821" s="2035" t="s">
        <v>1311</v>
      </c>
      <c r="K821" s="2037" t="s">
        <v>1790</v>
      </c>
      <c r="L821" s="2035" t="s">
        <v>430</v>
      </c>
      <c r="M821" s="2035" t="s">
        <v>2677</v>
      </c>
      <c r="N821" s="2037" t="s">
        <v>82</v>
      </c>
      <c r="O821" s="2035" t="s">
        <v>310</v>
      </c>
      <c r="P821" s="2035" t="s">
        <v>291</v>
      </c>
      <c r="Q821" s="2035" t="s">
        <v>294</v>
      </c>
      <c r="R821" s="2035">
        <v>50000</v>
      </c>
      <c r="S821" s="2035">
        <v>350000</v>
      </c>
      <c r="T821" s="2035">
        <v>0</v>
      </c>
      <c r="U821" s="2035">
        <f t="shared" si="331"/>
        <v>350000</v>
      </c>
      <c r="V821" s="2035">
        <v>0</v>
      </c>
      <c r="W821" s="2035">
        <v>50</v>
      </c>
      <c r="X821" s="2035">
        <v>0</v>
      </c>
      <c r="Y821" s="2035">
        <v>999</v>
      </c>
      <c r="Z821" s="2038">
        <v>660</v>
      </c>
      <c r="AA821" s="2038">
        <v>679</v>
      </c>
      <c r="AB821" s="2038">
        <v>0</v>
      </c>
      <c r="AC821" s="2038">
        <v>999999</v>
      </c>
      <c r="AD821" s="2035">
        <v>0</v>
      </c>
      <c r="AE821" s="2035">
        <v>55</v>
      </c>
      <c r="AF821" s="170">
        <v>0</v>
      </c>
      <c r="AG821" s="171">
        <v>1</v>
      </c>
      <c r="AH821" s="171">
        <v>1</v>
      </c>
      <c r="AI821" s="171">
        <v>0</v>
      </c>
      <c r="AJ821" s="171">
        <v>0</v>
      </c>
      <c r="AK821" s="171">
        <v>1</v>
      </c>
      <c r="AL821" s="171">
        <v>1</v>
      </c>
      <c r="AM821" s="171">
        <v>1</v>
      </c>
      <c r="AN821" s="171">
        <v>1</v>
      </c>
      <c r="AO821" s="171">
        <v>1</v>
      </c>
      <c r="AP821" s="171">
        <v>1</v>
      </c>
      <c r="AQ821" s="171">
        <v>1</v>
      </c>
      <c r="AR821" s="171">
        <v>1</v>
      </c>
      <c r="AS821" s="171">
        <v>1</v>
      </c>
      <c r="AT821" s="171">
        <v>1</v>
      </c>
      <c r="AU821" s="171">
        <f t="shared" si="324"/>
        <v>1</v>
      </c>
      <c r="AV821" s="171">
        <f t="shared" si="325"/>
        <v>1</v>
      </c>
      <c r="AW821" s="171">
        <f t="shared" si="326"/>
        <v>1</v>
      </c>
      <c r="AX821" s="171">
        <f t="shared" si="335"/>
        <v>1</v>
      </c>
      <c r="AY821" s="171">
        <f t="shared" si="327"/>
        <v>0</v>
      </c>
      <c r="AZ821" s="171">
        <f t="shared" si="328"/>
        <v>1</v>
      </c>
      <c r="BA821" s="172">
        <f t="shared" si="329"/>
        <v>0</v>
      </c>
      <c r="BB821" s="175">
        <f t="shared" si="332"/>
        <v>17</v>
      </c>
      <c r="BC821" s="176">
        <f t="shared" si="333"/>
        <v>17</v>
      </c>
      <c r="BD821" s="176">
        <f t="shared" si="334"/>
        <v>17</v>
      </c>
      <c r="BE821" s="240" t="str">
        <f t="shared" si="322"/>
        <v/>
      </c>
      <c r="BF821" s="234"/>
      <c r="BG821" s="234"/>
      <c r="BH821" s="214">
        <f>IF(AND(Input_Product=Elig!$C821,Elig_MatchAll_Ct&lt;22,$BC821=(Elig_MatchAll_Ct-1),AF821=0),C821,0)</f>
        <v>0</v>
      </c>
      <c r="BI821" s="214">
        <f>IF(AND(Input_Product=Elig!$C821,Elig_MatchAll_Ct&lt;22,$BC821=(Elig_MatchAll_Ct-1),AG821=0),D821,0)</f>
        <v>0</v>
      </c>
      <c r="BJ821" s="214">
        <f>IF(AND(Input_Product=Elig!$C821,Elig_MatchAll_Ct&lt;22,$BC821=(Elig_MatchAll_Ct-1),AH821=0),E821,0)</f>
        <v>0</v>
      </c>
      <c r="BK821" s="214">
        <f>IF(AND(Input_Product=Elig!$C821,Elig_MatchAll_Ct&lt;22,$BC821=(Elig_MatchAll_Ct-1),AI821=0),F821,0)</f>
        <v>0</v>
      </c>
      <c r="BL821" s="214">
        <f>IF(AND(Input_Product=Elig!$C821,Elig_MatchAll_Ct&lt;22,$BC821=(Elig_MatchAll_Ct-1),AJ821=0),G821,0)</f>
        <v>0</v>
      </c>
      <c r="BM821" s="214">
        <f>IF(AND(Input_Product=Elig!$C821,Elig_MatchAll_Ct&lt;22,$BC821=(Elig_MatchAll_Ct-1),AK821=0),H821,0)</f>
        <v>0</v>
      </c>
      <c r="BN821" s="214">
        <f>IF(AND(Input_Product=Elig!$C821,Elig_MatchAll_Ct&lt;22,$BC821=(Elig_MatchAll_Ct-1),AL821=0),I821,0)</f>
        <v>0</v>
      </c>
      <c r="BO821" s="214">
        <f>IF(AND(Input_Product=Elig!$C821,Elig_MatchAll_Ct&lt;22,$BC821=(Elig_MatchAll_Ct-1),AM821=0),J821,0)</f>
        <v>0</v>
      </c>
      <c r="BP821" s="214">
        <f>IF(AND(Input_Product=Elig!$C821,Elig_MatchAll_Ct&lt;22,$BC821=(Elig_MatchAll_Ct-1),AN821=0),K821,0)</f>
        <v>0</v>
      </c>
      <c r="BQ821" s="214">
        <f>IF(AND(Input_Product=Elig!$C821,Elig_MatchAll_Ct&lt;22,$BC821=(Elig_MatchAll_Ct-1),AP821=0),L821,0)</f>
        <v>0</v>
      </c>
      <c r="BR821" s="214">
        <f>IF(AND(Input_Product=Elig!$C821,Elig_MatchAll_Ct&lt;22,$BC821=(Elig_MatchAll_Ct-1),AO821=0),M821,0)</f>
        <v>0</v>
      </c>
      <c r="BS821" s="214">
        <f>IF(AND(Input_Product=Elig!$C821,Elig_MatchAll_Ct&lt;22,$BC821=(Elig_MatchAll_Ct-1),AQ821=0),N821,0)</f>
        <v>0</v>
      </c>
      <c r="BT821" s="214">
        <f>IF(AND(Input_Product=Elig!$C821,Elig_MatchAll_Ct&lt;22,$BC821=(Elig_MatchAll_Ct-1),AR821=0),O821,0)</f>
        <v>0</v>
      </c>
      <c r="BU821" s="214">
        <f>IF(AND(Input_Product=Elig!$C821,Elig_MatchAll_Ct&lt;22,$BC821=(Elig_MatchAll_Ct-1),AS821=0),P821,0)</f>
        <v>0</v>
      </c>
      <c r="BV821" s="215">
        <f>IF(AND(Input_Product=Elig!$C821,Elig_MatchAll_Ct&lt;22,$BC821=(Elig_MatchAll_Ct-1),AT821=0),Q821,0)</f>
        <v>0</v>
      </c>
      <c r="BW821" s="311">
        <f>IF(AND(Input_Product=Elig!$C821,Elig_MatchAll_Ct&lt;22,$BC821=(Elig_MatchAll_Ct-1),AU821=0),R821,0)</f>
        <v>0</v>
      </c>
      <c r="BX821" s="312">
        <f>IF(AND(Input_Product=Elig!$C821,Elig_MatchAll_Ct&lt;22,$BC821=(Elig_MatchAll_Ct-1),AU821=0),S821,0)</f>
        <v>0</v>
      </c>
      <c r="BY821" s="311">
        <f>IF(AND(Input_Product=Elig!$C821,Elig_MatchAll_Ct&lt;22,$BC821=(Elig_MatchAll_Ct-1),AV821=0),T821,0)</f>
        <v>0</v>
      </c>
      <c r="BZ821" s="312">
        <f>IF(AND(Input_Product=Elig!$C821,Elig_MatchAll_Ct&lt;22,$BC821=(Elig_MatchAll_Ct-1),AV821=0),U821,0)</f>
        <v>0</v>
      </c>
      <c r="CA821" s="311">
        <f>IF(AND(Input_Product=Elig!$C821,Elig_MatchAll_Ct&lt;22,$BC821=(Elig_MatchAll_Ct-1),AW821=0),V821,0)</f>
        <v>0</v>
      </c>
      <c r="CB821" s="312">
        <f>IF(AND(Input_Product=Elig!$C821,Elig_MatchAll_Ct&lt;22,$BC821=(Elig_MatchAll_Ct-1),AW821=0),W821,0)</f>
        <v>0</v>
      </c>
      <c r="CC821" s="311">
        <f>IF(AND(Input_Product=Elig!$C821,Elig_MatchAll_Ct&lt;22,$BC821=(Elig_MatchAll_Ct-1),AX821=0),X821,0)</f>
        <v>0</v>
      </c>
      <c r="CD821" s="312">
        <f>IF(AND(Input_Product=Elig!$C821,Elig_MatchAll_Ct&lt;22,$BC821=(Elig_MatchAll_Ct-1),AX821=0),Y821,0)</f>
        <v>0</v>
      </c>
      <c r="CE821" s="311">
        <f>IF(AND(Input_LTV&lt;=AE821,Input_Product=Elig!$C821,Elig_MatchAll_Ct&lt;22,$BC821=(Elig_MatchAll_Ct-1),AY821=0),Z821,0)</f>
        <v>0</v>
      </c>
      <c r="CF821" s="312">
        <f>IF(AND(Input_LTV&lt;=AE821,Input_Product=Elig!$C821,Elig_MatchAll_Ct&lt;22,$BC821=(Elig_MatchAll_Ct-1),AY821=0),AA821,0)</f>
        <v>0</v>
      </c>
      <c r="CG821" s="311">
        <f>IF(AND(Input_Product=Elig!$C821,Elig_MatchAll_Ct&lt;22,$BC821=(Elig_MatchAll_Ct-1),AZ821=0),AB821,0)</f>
        <v>0</v>
      </c>
      <c r="CH821" s="312">
        <f>IF(AND(Input_Product=Elig!$C821,Elig_MatchAll_Ct&lt;22,$BC821=(Elig_MatchAll_Ct-1),AZ821=0),AC821,0)</f>
        <v>0</v>
      </c>
      <c r="CI821" s="311">
        <f>IF(AND(Input_Product=Elig!$C821,Elig_MatchAll_Ct&lt;22,$BC821=(Elig_MatchAll_Ct-1),BA821=0),AD821,0)</f>
        <v>0</v>
      </c>
      <c r="CJ821" s="312">
        <f>IF(AND(Input_Product=Elig!$C821,Elig_MatchAll_Ct&lt;22,$BC821=(Elig_MatchAll_Ct-1),BA821=0),AE821,0)</f>
        <v>0</v>
      </c>
    </row>
    <row r="822" spans="2:88" ht="10.15" customHeight="1" x14ac:dyDescent="0.25">
      <c r="B822" s="2035" t="s">
        <v>3725</v>
      </c>
      <c r="C822" s="2040" t="str">
        <f t="shared" si="330"/>
        <v>Second NOO</v>
      </c>
      <c r="D822" s="2041" t="s">
        <v>1302</v>
      </c>
      <c r="E822" s="2041" t="s">
        <v>98</v>
      </c>
      <c r="F822" s="2041" t="s">
        <v>330</v>
      </c>
      <c r="G822" s="2041" t="s">
        <v>179</v>
      </c>
      <c r="H822" s="2041" t="s">
        <v>136</v>
      </c>
      <c r="I822" s="2039" t="s">
        <v>1332</v>
      </c>
      <c r="J822" s="2039" t="s">
        <v>1311</v>
      </c>
      <c r="K822" s="2041" t="s">
        <v>1790</v>
      </c>
      <c r="L822" s="2039" t="s">
        <v>430</v>
      </c>
      <c r="M822" s="2039" t="s">
        <v>2677</v>
      </c>
      <c r="N822" s="2041" t="s">
        <v>82</v>
      </c>
      <c r="O822" s="2039" t="s">
        <v>310</v>
      </c>
      <c r="P822" s="2039" t="s">
        <v>291</v>
      </c>
      <c r="Q822" s="2039" t="s">
        <v>294</v>
      </c>
      <c r="R822" s="2039">
        <v>200000</v>
      </c>
      <c r="S822" s="2039">
        <v>350000</v>
      </c>
      <c r="T822" s="2039">
        <v>0</v>
      </c>
      <c r="U822" s="2039">
        <f t="shared" si="331"/>
        <v>350000</v>
      </c>
      <c r="V822" s="2039">
        <v>0</v>
      </c>
      <c r="W822" s="2039">
        <v>50</v>
      </c>
      <c r="X822" s="2039">
        <v>0</v>
      </c>
      <c r="Y822" s="2039">
        <v>999</v>
      </c>
      <c r="Z822" s="2042">
        <v>720</v>
      </c>
      <c r="AA822" s="2042">
        <v>999</v>
      </c>
      <c r="AB822" s="2042">
        <v>0</v>
      </c>
      <c r="AC822" s="2042">
        <v>999999</v>
      </c>
      <c r="AD822" s="2039">
        <v>0</v>
      </c>
      <c r="AE822" s="2039">
        <v>70</v>
      </c>
      <c r="AF822" s="170">
        <v>0</v>
      </c>
      <c r="AG822" s="171">
        <v>0</v>
      </c>
      <c r="AH822" s="171">
        <v>1</v>
      </c>
      <c r="AI822" s="171">
        <v>0</v>
      </c>
      <c r="AJ822" s="171">
        <v>0</v>
      </c>
      <c r="AK822" s="171">
        <v>1</v>
      </c>
      <c r="AL822" s="171">
        <v>1</v>
      </c>
      <c r="AM822" s="171">
        <v>1</v>
      </c>
      <c r="AN822" s="171">
        <v>1</v>
      </c>
      <c r="AO822" s="171">
        <v>1</v>
      </c>
      <c r="AP822" s="171">
        <v>1</v>
      </c>
      <c r="AQ822" s="171">
        <v>1</v>
      </c>
      <c r="AR822" s="171">
        <v>1</v>
      </c>
      <c r="AS822" s="171">
        <v>1</v>
      </c>
      <c r="AT822" s="171">
        <v>1</v>
      </c>
      <c r="AU822" s="171">
        <f t="shared" si="324"/>
        <v>1</v>
      </c>
      <c r="AV822" s="171">
        <f t="shared" si="325"/>
        <v>1</v>
      </c>
      <c r="AW822" s="171">
        <f t="shared" si="326"/>
        <v>1</v>
      </c>
      <c r="AX822" s="171">
        <f t="shared" si="335"/>
        <v>1</v>
      </c>
      <c r="AY822" s="171">
        <f t="shared" si="327"/>
        <v>1</v>
      </c>
      <c r="AZ822" s="171">
        <f t="shared" si="328"/>
        <v>1</v>
      </c>
      <c r="BA822" s="172">
        <f t="shared" si="329"/>
        <v>1</v>
      </c>
      <c r="BB822" s="175">
        <f t="shared" si="332"/>
        <v>18</v>
      </c>
      <c r="BC822" s="176">
        <f t="shared" si="333"/>
        <v>17</v>
      </c>
      <c r="BD822" s="176">
        <f t="shared" si="334"/>
        <v>18</v>
      </c>
      <c r="BE822" s="240" t="str">
        <f t="shared" si="322"/>
        <v/>
      </c>
      <c r="BF822" s="220"/>
      <c r="BG822" s="220"/>
      <c r="BH822" s="216">
        <f>IF(AND(Input_Product=Elig!$C822,Elig_MatchAll_Ct&lt;22,$BC822=(Elig_MatchAll_Ct-1),AF822=0),C822,0)</f>
        <v>0</v>
      </c>
      <c r="BI822" s="216">
        <f>IF(AND(Input_Product=Elig!$C822,Elig_MatchAll_Ct&lt;22,$BC822=(Elig_MatchAll_Ct-1),AG822=0),D822,0)</f>
        <v>0</v>
      </c>
      <c r="BJ822" s="216">
        <f>IF(AND(Input_Product=Elig!$C822,Elig_MatchAll_Ct&lt;22,$BC822=(Elig_MatchAll_Ct-1),AH822=0),E822,0)</f>
        <v>0</v>
      </c>
      <c r="BK822" s="216">
        <f>IF(AND(Input_Product=Elig!$C822,Elig_MatchAll_Ct&lt;22,$BC822=(Elig_MatchAll_Ct-1),AI822=0),F822,0)</f>
        <v>0</v>
      </c>
      <c r="BL822" s="216">
        <f>IF(AND(Input_Product=Elig!$C822,Elig_MatchAll_Ct&lt;22,$BC822=(Elig_MatchAll_Ct-1),AJ822=0),G822,0)</f>
        <v>0</v>
      </c>
      <c r="BM822" s="216">
        <f>IF(AND(Input_Product=Elig!$C822,Elig_MatchAll_Ct&lt;22,$BC822=(Elig_MatchAll_Ct-1),AK822=0),H822,0)</f>
        <v>0</v>
      </c>
      <c r="BN822" s="216">
        <f>IF(AND(Input_Product=Elig!$C822,Elig_MatchAll_Ct&lt;22,$BC822=(Elig_MatchAll_Ct-1),AL822=0),I822,0)</f>
        <v>0</v>
      </c>
      <c r="BO822" s="216">
        <f>IF(AND(Input_Product=Elig!$C822,Elig_MatchAll_Ct&lt;22,$BC822=(Elig_MatchAll_Ct-1),AM822=0),J822,0)</f>
        <v>0</v>
      </c>
      <c r="BP822" s="216">
        <f>IF(AND(Input_Product=Elig!$C822,Elig_MatchAll_Ct&lt;22,$BC822=(Elig_MatchAll_Ct-1),AN822=0),K822,0)</f>
        <v>0</v>
      </c>
      <c r="BQ822" s="216">
        <f>IF(AND(Input_Product=Elig!$C822,Elig_MatchAll_Ct&lt;22,$BC822=(Elig_MatchAll_Ct-1),AP822=0),L822,0)</f>
        <v>0</v>
      </c>
      <c r="BR822" s="216">
        <f>IF(AND(Input_Product=Elig!$C822,Elig_MatchAll_Ct&lt;22,$BC822=(Elig_MatchAll_Ct-1),AO822=0),M822,0)</f>
        <v>0</v>
      </c>
      <c r="BS822" s="216">
        <f>IF(AND(Input_Product=Elig!$C822,Elig_MatchAll_Ct&lt;22,$BC822=(Elig_MatchAll_Ct-1),AQ822=0),N822,0)</f>
        <v>0</v>
      </c>
      <c r="BT822" s="216">
        <f>IF(AND(Input_Product=Elig!$C822,Elig_MatchAll_Ct&lt;22,$BC822=(Elig_MatchAll_Ct-1),AR822=0),O822,0)</f>
        <v>0</v>
      </c>
      <c r="BU822" s="216">
        <f>IF(AND(Input_Product=Elig!$C822,Elig_MatchAll_Ct&lt;22,$BC822=(Elig_MatchAll_Ct-1),AS822=0),P822,0)</f>
        <v>0</v>
      </c>
      <c r="BV822" s="217">
        <f>IF(AND(Input_Product=Elig!$C822,Elig_MatchAll_Ct&lt;22,$BC822=(Elig_MatchAll_Ct-1),AT822=0),Q822,0)</f>
        <v>0</v>
      </c>
      <c r="BW822" s="313">
        <f>IF(AND(Input_Product=Elig!$C822,Elig_MatchAll_Ct&lt;22,$BC822=(Elig_MatchAll_Ct-1),AU822=0),R822,0)</f>
        <v>0</v>
      </c>
      <c r="BX822" s="314">
        <f>IF(AND(Input_Product=Elig!$C822,Elig_MatchAll_Ct&lt;22,$BC822=(Elig_MatchAll_Ct-1),AU822=0),S822,0)</f>
        <v>0</v>
      </c>
      <c r="BY822" s="313">
        <f>IF(AND(Input_Product=Elig!$C822,Elig_MatchAll_Ct&lt;22,$BC822=(Elig_MatchAll_Ct-1),AV822=0),T822,0)</f>
        <v>0</v>
      </c>
      <c r="BZ822" s="314">
        <f>IF(AND(Input_Product=Elig!$C822,Elig_MatchAll_Ct&lt;22,$BC822=(Elig_MatchAll_Ct-1),AV822=0),U822,0)</f>
        <v>0</v>
      </c>
      <c r="CA822" s="313">
        <f>IF(AND(Input_Product=Elig!$C822,Elig_MatchAll_Ct&lt;22,$BC822=(Elig_MatchAll_Ct-1),AW822=0),V822,0)</f>
        <v>0</v>
      </c>
      <c r="CB822" s="314">
        <f>IF(AND(Input_Product=Elig!$C822,Elig_MatchAll_Ct&lt;22,$BC822=(Elig_MatchAll_Ct-1),AW822=0),W822,0)</f>
        <v>0</v>
      </c>
      <c r="CC822" s="313">
        <f>IF(AND(Input_Product=Elig!$C822,Elig_MatchAll_Ct&lt;22,$BC822=(Elig_MatchAll_Ct-1),AX822=0),X822,0)</f>
        <v>0</v>
      </c>
      <c r="CD822" s="314">
        <f>IF(AND(Input_Product=Elig!$C822,Elig_MatchAll_Ct&lt;22,$BC822=(Elig_MatchAll_Ct-1),AX822=0),Y822,0)</f>
        <v>0</v>
      </c>
      <c r="CE822" s="313">
        <f>IF(AND(Input_LTV&lt;=AE822,Input_Product=Elig!$C822,Elig_MatchAll_Ct&lt;22,$BC822=(Elig_MatchAll_Ct-1),AY822=0),Z822,0)</f>
        <v>0</v>
      </c>
      <c r="CF822" s="314">
        <f>IF(AND(Input_LTV&lt;=AE822,Input_Product=Elig!$C822,Elig_MatchAll_Ct&lt;22,$BC822=(Elig_MatchAll_Ct-1),AY822=0),AA822,0)</f>
        <v>0</v>
      </c>
      <c r="CG822" s="313">
        <f>IF(AND(Input_Product=Elig!$C822,Elig_MatchAll_Ct&lt;22,$BC822=(Elig_MatchAll_Ct-1),AZ822=0),AB822,0)</f>
        <v>0</v>
      </c>
      <c r="CH822" s="314">
        <f>IF(AND(Input_Product=Elig!$C822,Elig_MatchAll_Ct&lt;22,$BC822=(Elig_MatchAll_Ct-1),AZ822=0),AC822,0)</f>
        <v>0</v>
      </c>
      <c r="CI822" s="313">
        <f>IF(AND(Input_Product=Elig!$C822,Elig_MatchAll_Ct&lt;22,$BC822=(Elig_MatchAll_Ct-1),BA822=0),AD822,0)</f>
        <v>0</v>
      </c>
      <c r="CJ822" s="314">
        <f>IF(AND(Input_Product=Elig!$C822,Elig_MatchAll_Ct&lt;22,$BC822=(Elig_MatchAll_Ct-1),BA822=0),AE822,0)</f>
        <v>0</v>
      </c>
    </row>
    <row r="823" spans="2:88" ht="10.15" customHeight="1" x14ac:dyDescent="0.25">
      <c r="B823" s="2035" t="s">
        <v>3726</v>
      </c>
      <c r="C823" s="2036" t="str">
        <f t="shared" si="330"/>
        <v>Second NOO</v>
      </c>
      <c r="D823" s="2035" t="s">
        <v>1302</v>
      </c>
      <c r="E823" s="2035" t="s">
        <v>98</v>
      </c>
      <c r="F823" s="2035" t="s">
        <v>330</v>
      </c>
      <c r="G823" s="2037" t="s">
        <v>179</v>
      </c>
      <c r="H823" s="2037" t="s">
        <v>136</v>
      </c>
      <c r="I823" s="2035" t="s">
        <v>1332</v>
      </c>
      <c r="J823" s="2035" t="s">
        <v>1311</v>
      </c>
      <c r="K823" s="2037" t="s">
        <v>1790</v>
      </c>
      <c r="L823" s="2035" t="s">
        <v>430</v>
      </c>
      <c r="M823" s="2035" t="s">
        <v>2677</v>
      </c>
      <c r="N823" s="2037" t="s">
        <v>82</v>
      </c>
      <c r="O823" s="2035" t="s">
        <v>310</v>
      </c>
      <c r="P823" s="2035" t="s">
        <v>291</v>
      </c>
      <c r="Q823" s="2035" t="s">
        <v>294</v>
      </c>
      <c r="R823" s="2035">
        <v>200000</v>
      </c>
      <c r="S823" s="2035">
        <v>350000</v>
      </c>
      <c r="T823" s="2035">
        <v>0</v>
      </c>
      <c r="U823" s="2035">
        <f t="shared" si="331"/>
        <v>350000</v>
      </c>
      <c r="V823" s="2035">
        <v>0</v>
      </c>
      <c r="W823" s="2035">
        <v>50</v>
      </c>
      <c r="X823" s="2035">
        <v>0</v>
      </c>
      <c r="Y823" s="2035">
        <v>999</v>
      </c>
      <c r="Z823" s="2038">
        <v>700</v>
      </c>
      <c r="AA823" s="2038">
        <v>719</v>
      </c>
      <c r="AB823" s="2038">
        <v>0</v>
      </c>
      <c r="AC823" s="2038">
        <v>999999</v>
      </c>
      <c r="AD823" s="2035">
        <v>0</v>
      </c>
      <c r="AE823" s="2035">
        <v>65</v>
      </c>
      <c r="AF823" s="170">
        <v>0</v>
      </c>
      <c r="AG823" s="171">
        <v>0</v>
      </c>
      <c r="AH823" s="171">
        <v>1</v>
      </c>
      <c r="AI823" s="171">
        <v>0</v>
      </c>
      <c r="AJ823" s="171">
        <v>0</v>
      </c>
      <c r="AK823" s="171">
        <v>1</v>
      </c>
      <c r="AL823" s="171">
        <v>1</v>
      </c>
      <c r="AM823" s="171">
        <v>1</v>
      </c>
      <c r="AN823" s="171">
        <v>1</v>
      </c>
      <c r="AO823" s="171">
        <v>1</v>
      </c>
      <c r="AP823" s="171">
        <v>1</v>
      </c>
      <c r="AQ823" s="171">
        <v>1</v>
      </c>
      <c r="AR823" s="171">
        <v>1</v>
      </c>
      <c r="AS823" s="171">
        <v>1</v>
      </c>
      <c r="AT823" s="171">
        <v>1</v>
      </c>
      <c r="AU823" s="171">
        <f t="shared" si="324"/>
        <v>1</v>
      </c>
      <c r="AV823" s="171">
        <f t="shared" si="325"/>
        <v>1</v>
      </c>
      <c r="AW823" s="171">
        <f t="shared" si="326"/>
        <v>1</v>
      </c>
      <c r="AX823" s="171">
        <f t="shared" si="335"/>
        <v>1</v>
      </c>
      <c r="AY823" s="171">
        <f t="shared" si="327"/>
        <v>0</v>
      </c>
      <c r="AZ823" s="171">
        <f t="shared" si="328"/>
        <v>1</v>
      </c>
      <c r="BA823" s="172">
        <f t="shared" si="329"/>
        <v>1</v>
      </c>
      <c r="BB823" s="175">
        <f t="shared" si="332"/>
        <v>17</v>
      </c>
      <c r="BC823" s="176">
        <f t="shared" si="333"/>
        <v>16</v>
      </c>
      <c r="BD823" s="176">
        <f t="shared" si="334"/>
        <v>17</v>
      </c>
      <c r="BE823" s="240" t="str">
        <f t="shared" si="322"/>
        <v/>
      </c>
      <c r="BF823" s="234"/>
      <c r="BG823" s="234"/>
      <c r="BH823" s="199">
        <f>IF(AND(Input_Product=Elig!$C823,Elig_MatchAll_Ct&lt;22,$BC823=(Elig_MatchAll_Ct-1),AF823=0),C823,0)</f>
        <v>0</v>
      </c>
      <c r="BI823" s="199">
        <f>IF(AND(Input_Product=Elig!$C823,Elig_MatchAll_Ct&lt;22,$BC823=(Elig_MatchAll_Ct-1),AG823=0),D823,0)</f>
        <v>0</v>
      </c>
      <c r="BJ823" s="199">
        <f>IF(AND(Input_Product=Elig!$C823,Elig_MatchAll_Ct&lt;22,$BC823=(Elig_MatchAll_Ct-1),AH823=0),E823,0)</f>
        <v>0</v>
      </c>
      <c r="BK823" s="199">
        <f>IF(AND(Input_Product=Elig!$C823,Elig_MatchAll_Ct&lt;22,$BC823=(Elig_MatchAll_Ct-1),AI823=0),F823,0)</f>
        <v>0</v>
      </c>
      <c r="BL823" s="199">
        <f>IF(AND(Input_Product=Elig!$C823,Elig_MatchAll_Ct&lt;22,$BC823=(Elig_MatchAll_Ct-1),AJ823=0),G823,0)</f>
        <v>0</v>
      </c>
      <c r="BM823" s="199">
        <f>IF(AND(Input_Product=Elig!$C823,Elig_MatchAll_Ct&lt;22,$BC823=(Elig_MatchAll_Ct-1),AK823=0),H823,0)</f>
        <v>0</v>
      </c>
      <c r="BN823" s="199">
        <f>IF(AND(Input_Product=Elig!$C823,Elig_MatchAll_Ct&lt;22,$BC823=(Elig_MatchAll_Ct-1),AL823=0),I823,0)</f>
        <v>0</v>
      </c>
      <c r="BO823" s="199">
        <f>IF(AND(Input_Product=Elig!$C823,Elig_MatchAll_Ct&lt;22,$BC823=(Elig_MatchAll_Ct-1),AM823=0),J823,0)</f>
        <v>0</v>
      </c>
      <c r="BP823" s="199">
        <f>IF(AND(Input_Product=Elig!$C823,Elig_MatchAll_Ct&lt;22,$BC823=(Elig_MatchAll_Ct-1),AN823=0),K823,0)</f>
        <v>0</v>
      </c>
      <c r="BQ823" s="199">
        <f>IF(AND(Input_Product=Elig!$C823,Elig_MatchAll_Ct&lt;22,$BC823=(Elig_MatchAll_Ct-1),AP823=0),L823,0)</f>
        <v>0</v>
      </c>
      <c r="BR823" s="199">
        <f>IF(AND(Input_Product=Elig!$C823,Elig_MatchAll_Ct&lt;22,$BC823=(Elig_MatchAll_Ct-1),AO823=0),M823,0)</f>
        <v>0</v>
      </c>
      <c r="BS823" s="199">
        <f>IF(AND(Input_Product=Elig!$C823,Elig_MatchAll_Ct&lt;22,$BC823=(Elig_MatchAll_Ct-1),AQ823=0),N823,0)</f>
        <v>0</v>
      </c>
      <c r="BT823" s="199">
        <f>IF(AND(Input_Product=Elig!$C823,Elig_MatchAll_Ct&lt;22,$BC823=(Elig_MatchAll_Ct-1),AR823=0),O823,0)</f>
        <v>0</v>
      </c>
      <c r="BU823" s="199">
        <f>IF(AND(Input_Product=Elig!$C823,Elig_MatchAll_Ct&lt;22,$BC823=(Elig_MatchAll_Ct-1),AS823=0),P823,0)</f>
        <v>0</v>
      </c>
      <c r="BV823" s="200">
        <f>IF(AND(Input_Product=Elig!$C823,Elig_MatchAll_Ct&lt;22,$BC823=(Elig_MatchAll_Ct-1),AT823=0),Q823,0)</f>
        <v>0</v>
      </c>
      <c r="BW823" s="201">
        <f>IF(AND(Input_Product=Elig!$C823,Elig_MatchAll_Ct&lt;22,$BC823=(Elig_MatchAll_Ct-1),AU823=0),R823,0)</f>
        <v>0</v>
      </c>
      <c r="BX823" s="202">
        <f>IF(AND(Input_Product=Elig!$C823,Elig_MatchAll_Ct&lt;22,$BC823=(Elig_MatchAll_Ct-1),AU823=0),S823,0)</f>
        <v>0</v>
      </c>
      <c r="BY823" s="201">
        <f>IF(AND(Input_Product=Elig!$C823,Elig_MatchAll_Ct&lt;22,$BC823=(Elig_MatchAll_Ct-1),AV823=0),T823,0)</f>
        <v>0</v>
      </c>
      <c r="BZ823" s="202">
        <f>IF(AND(Input_Product=Elig!$C823,Elig_MatchAll_Ct&lt;22,$BC823=(Elig_MatchAll_Ct-1),AV823=0),U823,0)</f>
        <v>0</v>
      </c>
      <c r="CA823" s="201">
        <f>IF(AND(Input_Product=Elig!$C823,Elig_MatchAll_Ct&lt;22,$BC823=(Elig_MatchAll_Ct-1),AW823=0),V823,0)</f>
        <v>0</v>
      </c>
      <c r="CB823" s="202">
        <f>IF(AND(Input_Product=Elig!$C823,Elig_MatchAll_Ct&lt;22,$BC823=(Elig_MatchAll_Ct-1),AW823=0),W823,0)</f>
        <v>0</v>
      </c>
      <c r="CC823" s="201">
        <f>IF(AND(Input_Product=Elig!$C823,Elig_MatchAll_Ct&lt;22,$BC823=(Elig_MatchAll_Ct-1),AX823=0),X823,0)</f>
        <v>0</v>
      </c>
      <c r="CD823" s="202">
        <f>IF(AND(Input_Product=Elig!$C823,Elig_MatchAll_Ct&lt;22,$BC823=(Elig_MatchAll_Ct-1),AX823=0),Y823,0)</f>
        <v>0</v>
      </c>
      <c r="CE823" s="201">
        <f>IF(AND(Input_LTV&lt;=AE823,Input_Product=Elig!$C823,Elig_MatchAll_Ct&lt;22,$BC823=(Elig_MatchAll_Ct-1),AY823=0),Z823,0)</f>
        <v>0</v>
      </c>
      <c r="CF823" s="202">
        <f>IF(AND(Input_LTV&lt;=AE823,Input_Product=Elig!$C823,Elig_MatchAll_Ct&lt;22,$BC823=(Elig_MatchAll_Ct-1),AY823=0),AA823,0)</f>
        <v>0</v>
      </c>
      <c r="CG823" s="201">
        <f>IF(AND(Input_Product=Elig!$C823,Elig_MatchAll_Ct&lt;22,$BC823=(Elig_MatchAll_Ct-1),AZ823=0),AB823,0)</f>
        <v>0</v>
      </c>
      <c r="CH823" s="202">
        <f>IF(AND(Input_Product=Elig!$C823,Elig_MatchAll_Ct&lt;22,$BC823=(Elig_MatchAll_Ct-1),AZ823=0),AC823,0)</f>
        <v>0</v>
      </c>
      <c r="CI823" s="201">
        <f>IF(AND(Input_Product=Elig!$C823,Elig_MatchAll_Ct&lt;22,$BC823=(Elig_MatchAll_Ct-1),BA823=0),AD823,0)</f>
        <v>0</v>
      </c>
      <c r="CJ823" s="202">
        <f>IF(AND(Input_Product=Elig!$C823,Elig_MatchAll_Ct&lt;22,$BC823=(Elig_MatchAll_Ct-1),BA823=0),AE823,0)</f>
        <v>0</v>
      </c>
    </row>
    <row r="824" spans="2:88" ht="10.15" customHeight="1" x14ac:dyDescent="0.25">
      <c r="B824" s="2035" t="s">
        <v>3727</v>
      </c>
      <c r="C824" s="2036" t="str">
        <f t="shared" si="330"/>
        <v>Second NOO</v>
      </c>
      <c r="D824" s="2035" t="s">
        <v>1302</v>
      </c>
      <c r="E824" s="2035" t="s">
        <v>98</v>
      </c>
      <c r="F824" s="2035" t="s">
        <v>330</v>
      </c>
      <c r="G824" s="2037" t="s">
        <v>179</v>
      </c>
      <c r="H824" s="2037" t="s">
        <v>136</v>
      </c>
      <c r="I824" s="2035" t="s">
        <v>1332</v>
      </c>
      <c r="J824" s="2035" t="s">
        <v>1311</v>
      </c>
      <c r="K824" s="2037" t="s">
        <v>1790</v>
      </c>
      <c r="L824" s="2035" t="s">
        <v>430</v>
      </c>
      <c r="M824" s="2035" t="s">
        <v>2677</v>
      </c>
      <c r="N824" s="2037" t="s">
        <v>82</v>
      </c>
      <c r="O824" s="2035" t="s">
        <v>310</v>
      </c>
      <c r="P824" s="2035" t="s">
        <v>291</v>
      </c>
      <c r="Q824" s="2035" t="s">
        <v>294</v>
      </c>
      <c r="R824" s="2035">
        <v>200000</v>
      </c>
      <c r="S824" s="2035">
        <v>350000</v>
      </c>
      <c r="T824" s="2035">
        <v>0</v>
      </c>
      <c r="U824" s="2035">
        <f t="shared" si="331"/>
        <v>350000</v>
      </c>
      <c r="V824" s="2035">
        <v>0</v>
      </c>
      <c r="W824" s="2035">
        <v>50</v>
      </c>
      <c r="X824" s="2035">
        <v>0</v>
      </c>
      <c r="Y824" s="2035">
        <v>999</v>
      </c>
      <c r="Z824" s="2038">
        <v>680</v>
      </c>
      <c r="AA824" s="2038">
        <v>699</v>
      </c>
      <c r="AB824" s="2038">
        <v>0</v>
      </c>
      <c r="AC824" s="2038">
        <v>999999</v>
      </c>
      <c r="AD824" s="2035">
        <v>0</v>
      </c>
      <c r="AE824" s="2035">
        <v>60</v>
      </c>
      <c r="AF824" s="170">
        <v>0</v>
      </c>
      <c r="AG824" s="171">
        <v>0</v>
      </c>
      <c r="AH824" s="171">
        <v>1</v>
      </c>
      <c r="AI824" s="171">
        <v>0</v>
      </c>
      <c r="AJ824" s="171">
        <v>0</v>
      </c>
      <c r="AK824" s="171">
        <v>1</v>
      </c>
      <c r="AL824" s="171">
        <v>1</v>
      </c>
      <c r="AM824" s="171">
        <v>1</v>
      </c>
      <c r="AN824" s="171">
        <v>1</v>
      </c>
      <c r="AO824" s="171">
        <v>1</v>
      </c>
      <c r="AP824" s="171">
        <v>1</v>
      </c>
      <c r="AQ824" s="171">
        <v>1</v>
      </c>
      <c r="AR824" s="171">
        <v>1</v>
      </c>
      <c r="AS824" s="171">
        <v>1</v>
      </c>
      <c r="AT824" s="171">
        <v>1</v>
      </c>
      <c r="AU824" s="171">
        <f t="shared" si="324"/>
        <v>1</v>
      </c>
      <c r="AV824" s="171">
        <f t="shared" si="325"/>
        <v>1</v>
      </c>
      <c r="AW824" s="171">
        <f t="shared" si="326"/>
        <v>1</v>
      </c>
      <c r="AX824" s="171">
        <f t="shared" si="335"/>
        <v>1</v>
      </c>
      <c r="AY824" s="171">
        <f t="shared" si="327"/>
        <v>0</v>
      </c>
      <c r="AZ824" s="171">
        <f t="shared" si="328"/>
        <v>1</v>
      </c>
      <c r="BA824" s="172">
        <f t="shared" si="329"/>
        <v>0</v>
      </c>
      <c r="BB824" s="175">
        <f t="shared" si="332"/>
        <v>16</v>
      </c>
      <c r="BC824" s="176">
        <f t="shared" si="333"/>
        <v>16</v>
      </c>
      <c r="BD824" s="176">
        <f t="shared" si="334"/>
        <v>16</v>
      </c>
      <c r="BE824" s="240" t="str">
        <f t="shared" si="322"/>
        <v/>
      </c>
      <c r="BF824" s="234"/>
      <c r="BG824" s="234"/>
      <c r="BH824" s="199">
        <f>IF(AND(Input_Product=Elig!$C824,Elig_MatchAll_Ct&lt;22,$BC824=(Elig_MatchAll_Ct-1),AF824=0),C824,0)</f>
        <v>0</v>
      </c>
      <c r="BI824" s="199">
        <f>IF(AND(Input_Product=Elig!$C824,Elig_MatchAll_Ct&lt;22,$BC824=(Elig_MatchAll_Ct-1),AG824=0),D824,0)</f>
        <v>0</v>
      </c>
      <c r="BJ824" s="199">
        <f>IF(AND(Input_Product=Elig!$C824,Elig_MatchAll_Ct&lt;22,$BC824=(Elig_MatchAll_Ct-1),AH824=0),E824,0)</f>
        <v>0</v>
      </c>
      <c r="BK824" s="199">
        <f>IF(AND(Input_Product=Elig!$C824,Elig_MatchAll_Ct&lt;22,$BC824=(Elig_MatchAll_Ct-1),AI824=0),F824,0)</f>
        <v>0</v>
      </c>
      <c r="BL824" s="199">
        <f>IF(AND(Input_Product=Elig!$C824,Elig_MatchAll_Ct&lt;22,$BC824=(Elig_MatchAll_Ct-1),AJ824=0),G824,0)</f>
        <v>0</v>
      </c>
      <c r="BM824" s="199">
        <f>IF(AND(Input_Product=Elig!$C824,Elig_MatchAll_Ct&lt;22,$BC824=(Elig_MatchAll_Ct-1),AK824=0),H824,0)</f>
        <v>0</v>
      </c>
      <c r="BN824" s="199">
        <f>IF(AND(Input_Product=Elig!$C824,Elig_MatchAll_Ct&lt;22,$BC824=(Elig_MatchAll_Ct-1),AL824=0),I824,0)</f>
        <v>0</v>
      </c>
      <c r="BO824" s="199">
        <f>IF(AND(Input_Product=Elig!$C824,Elig_MatchAll_Ct&lt;22,$BC824=(Elig_MatchAll_Ct-1),AM824=0),J824,0)</f>
        <v>0</v>
      </c>
      <c r="BP824" s="199">
        <f>IF(AND(Input_Product=Elig!$C824,Elig_MatchAll_Ct&lt;22,$BC824=(Elig_MatchAll_Ct-1),AN824=0),K824,0)</f>
        <v>0</v>
      </c>
      <c r="BQ824" s="199">
        <f>IF(AND(Input_Product=Elig!$C824,Elig_MatchAll_Ct&lt;22,$BC824=(Elig_MatchAll_Ct-1),AP824=0),L824,0)</f>
        <v>0</v>
      </c>
      <c r="BR824" s="199">
        <f>IF(AND(Input_Product=Elig!$C824,Elig_MatchAll_Ct&lt;22,$BC824=(Elig_MatchAll_Ct-1),AO824=0),M824,0)</f>
        <v>0</v>
      </c>
      <c r="BS824" s="199">
        <f>IF(AND(Input_Product=Elig!$C824,Elig_MatchAll_Ct&lt;22,$BC824=(Elig_MatchAll_Ct-1),AQ824=0),N824,0)</f>
        <v>0</v>
      </c>
      <c r="BT824" s="199">
        <f>IF(AND(Input_Product=Elig!$C824,Elig_MatchAll_Ct&lt;22,$BC824=(Elig_MatchAll_Ct-1),AR824=0),O824,0)</f>
        <v>0</v>
      </c>
      <c r="BU824" s="199">
        <f>IF(AND(Input_Product=Elig!$C824,Elig_MatchAll_Ct&lt;22,$BC824=(Elig_MatchAll_Ct-1),AS824=0),P824,0)</f>
        <v>0</v>
      </c>
      <c r="BV824" s="200">
        <f>IF(AND(Input_Product=Elig!$C824,Elig_MatchAll_Ct&lt;22,$BC824=(Elig_MatchAll_Ct-1),AT824=0),Q824,0)</f>
        <v>0</v>
      </c>
      <c r="BW824" s="201">
        <f>IF(AND(Input_Product=Elig!$C824,Elig_MatchAll_Ct&lt;22,$BC824=(Elig_MatchAll_Ct-1),AU824=0),R824,0)</f>
        <v>0</v>
      </c>
      <c r="BX824" s="202">
        <f>IF(AND(Input_Product=Elig!$C824,Elig_MatchAll_Ct&lt;22,$BC824=(Elig_MatchAll_Ct-1),AU824=0),S824,0)</f>
        <v>0</v>
      </c>
      <c r="BY824" s="201">
        <f>IF(AND(Input_Product=Elig!$C824,Elig_MatchAll_Ct&lt;22,$BC824=(Elig_MatchAll_Ct-1),AV824=0),T824,0)</f>
        <v>0</v>
      </c>
      <c r="BZ824" s="202">
        <f>IF(AND(Input_Product=Elig!$C824,Elig_MatchAll_Ct&lt;22,$BC824=(Elig_MatchAll_Ct-1),AV824=0),U824,0)</f>
        <v>0</v>
      </c>
      <c r="CA824" s="201">
        <f>IF(AND(Input_Product=Elig!$C824,Elig_MatchAll_Ct&lt;22,$BC824=(Elig_MatchAll_Ct-1),AW824=0),V824,0)</f>
        <v>0</v>
      </c>
      <c r="CB824" s="202">
        <f>IF(AND(Input_Product=Elig!$C824,Elig_MatchAll_Ct&lt;22,$BC824=(Elig_MatchAll_Ct-1),AW824=0),W824,0)</f>
        <v>0</v>
      </c>
      <c r="CC824" s="201">
        <f>IF(AND(Input_Product=Elig!$C824,Elig_MatchAll_Ct&lt;22,$BC824=(Elig_MatchAll_Ct-1),AX824=0),X824,0)</f>
        <v>0</v>
      </c>
      <c r="CD824" s="202">
        <f>IF(AND(Input_Product=Elig!$C824,Elig_MatchAll_Ct&lt;22,$BC824=(Elig_MatchAll_Ct-1),AX824=0),Y824,0)</f>
        <v>0</v>
      </c>
      <c r="CE824" s="201">
        <f>IF(AND(Input_LTV&lt;=AE824,Input_Product=Elig!$C824,Elig_MatchAll_Ct&lt;22,$BC824=(Elig_MatchAll_Ct-1),AY824=0),Z824,0)</f>
        <v>0</v>
      </c>
      <c r="CF824" s="202">
        <f>IF(AND(Input_LTV&lt;=AE824,Input_Product=Elig!$C824,Elig_MatchAll_Ct&lt;22,$BC824=(Elig_MatchAll_Ct-1),AY824=0),AA824,0)</f>
        <v>0</v>
      </c>
      <c r="CG824" s="201">
        <f>IF(AND(Input_Product=Elig!$C824,Elig_MatchAll_Ct&lt;22,$BC824=(Elig_MatchAll_Ct-1),AZ824=0),AB824,0)</f>
        <v>0</v>
      </c>
      <c r="CH824" s="202">
        <f>IF(AND(Input_Product=Elig!$C824,Elig_MatchAll_Ct&lt;22,$BC824=(Elig_MatchAll_Ct-1),AZ824=0),AC824,0)</f>
        <v>0</v>
      </c>
      <c r="CI824" s="201">
        <f>IF(AND(Input_Product=Elig!$C824,Elig_MatchAll_Ct&lt;22,$BC824=(Elig_MatchAll_Ct-1),BA824=0),AD824,0)</f>
        <v>0</v>
      </c>
      <c r="CJ824" s="202">
        <f>IF(AND(Input_Product=Elig!$C824,Elig_MatchAll_Ct&lt;22,$BC824=(Elig_MatchAll_Ct-1),BA824=0),AE824,0)</f>
        <v>0</v>
      </c>
    </row>
    <row r="825" spans="2:88" ht="10.15" customHeight="1" x14ac:dyDescent="0.25">
      <c r="B825" s="2035" t="s">
        <v>3728</v>
      </c>
      <c r="C825" s="2036" t="str">
        <f t="shared" si="330"/>
        <v>Second NOO</v>
      </c>
      <c r="D825" s="2035" t="s">
        <v>1302</v>
      </c>
      <c r="E825" s="2035" t="s">
        <v>98</v>
      </c>
      <c r="F825" s="2035" t="s">
        <v>330</v>
      </c>
      <c r="G825" s="2037" t="s">
        <v>179</v>
      </c>
      <c r="H825" s="2037" t="s">
        <v>136</v>
      </c>
      <c r="I825" s="2035" t="s">
        <v>1332</v>
      </c>
      <c r="J825" s="2037" t="s">
        <v>1311</v>
      </c>
      <c r="K825" s="2037" t="s">
        <v>1790</v>
      </c>
      <c r="L825" s="2035" t="s">
        <v>430</v>
      </c>
      <c r="M825" s="2035" t="s">
        <v>2677</v>
      </c>
      <c r="N825" s="2037" t="s">
        <v>82</v>
      </c>
      <c r="O825" s="2035" t="s">
        <v>310</v>
      </c>
      <c r="P825" s="2035" t="s">
        <v>291</v>
      </c>
      <c r="Q825" s="2035" t="s">
        <v>294</v>
      </c>
      <c r="R825" s="2035">
        <v>200000</v>
      </c>
      <c r="S825" s="2035">
        <v>350000</v>
      </c>
      <c r="T825" s="2035">
        <v>0</v>
      </c>
      <c r="U825" s="2035">
        <f t="shared" si="331"/>
        <v>350000</v>
      </c>
      <c r="V825" s="2035">
        <v>0</v>
      </c>
      <c r="W825" s="2035">
        <v>50</v>
      </c>
      <c r="X825" s="2035">
        <v>0</v>
      </c>
      <c r="Y825" s="2035">
        <v>999</v>
      </c>
      <c r="Z825" s="2038">
        <v>660</v>
      </c>
      <c r="AA825" s="2038">
        <v>679</v>
      </c>
      <c r="AB825" s="2038">
        <v>0</v>
      </c>
      <c r="AC825" s="2038">
        <v>999999</v>
      </c>
      <c r="AD825" s="2035">
        <v>0</v>
      </c>
      <c r="AE825" s="2035">
        <v>55</v>
      </c>
      <c r="AF825" s="170">
        <v>0</v>
      </c>
      <c r="AG825" s="171">
        <v>0</v>
      </c>
      <c r="AH825" s="171">
        <v>1</v>
      </c>
      <c r="AI825" s="171">
        <v>0</v>
      </c>
      <c r="AJ825" s="171">
        <v>0</v>
      </c>
      <c r="AK825" s="171">
        <v>1</v>
      </c>
      <c r="AL825" s="171">
        <v>1</v>
      </c>
      <c r="AM825" s="171">
        <v>1</v>
      </c>
      <c r="AN825" s="171">
        <v>1</v>
      </c>
      <c r="AO825" s="171">
        <v>1</v>
      </c>
      <c r="AP825" s="171">
        <v>1</v>
      </c>
      <c r="AQ825" s="171">
        <v>1</v>
      </c>
      <c r="AR825" s="171">
        <v>1</v>
      </c>
      <c r="AS825" s="171">
        <v>1</v>
      </c>
      <c r="AT825" s="171">
        <v>1</v>
      </c>
      <c r="AU825" s="171">
        <f t="shared" si="324"/>
        <v>1</v>
      </c>
      <c r="AV825" s="171">
        <f t="shared" si="325"/>
        <v>1</v>
      </c>
      <c r="AW825" s="171">
        <f t="shared" si="326"/>
        <v>1</v>
      </c>
      <c r="AX825" s="171">
        <f t="shared" si="335"/>
        <v>1</v>
      </c>
      <c r="AY825" s="171">
        <f t="shared" si="327"/>
        <v>0</v>
      </c>
      <c r="AZ825" s="171">
        <f t="shared" si="328"/>
        <v>1</v>
      </c>
      <c r="BA825" s="172">
        <f t="shared" si="329"/>
        <v>0</v>
      </c>
      <c r="BB825" s="175">
        <f t="shared" si="332"/>
        <v>16</v>
      </c>
      <c r="BC825" s="176">
        <f t="shared" si="333"/>
        <v>16</v>
      </c>
      <c r="BD825" s="176">
        <f t="shared" si="334"/>
        <v>16</v>
      </c>
      <c r="BE825" s="240" t="str">
        <f t="shared" si="322"/>
        <v/>
      </c>
      <c r="BF825" s="234"/>
      <c r="BG825" s="234"/>
      <c r="BH825" s="214">
        <f>IF(AND(Input_Product=Elig!$C825,Elig_MatchAll_Ct&lt;22,$BC825=(Elig_MatchAll_Ct-1),AF825=0),C825,0)</f>
        <v>0</v>
      </c>
      <c r="BI825" s="214">
        <f>IF(AND(Input_Product=Elig!$C825,Elig_MatchAll_Ct&lt;22,$BC825=(Elig_MatchAll_Ct-1),AG825=0),D825,0)</f>
        <v>0</v>
      </c>
      <c r="BJ825" s="214">
        <f>IF(AND(Input_Product=Elig!$C825,Elig_MatchAll_Ct&lt;22,$BC825=(Elig_MatchAll_Ct-1),AH825=0),E825,0)</f>
        <v>0</v>
      </c>
      <c r="BK825" s="214">
        <f>IF(AND(Input_Product=Elig!$C825,Elig_MatchAll_Ct&lt;22,$BC825=(Elig_MatchAll_Ct-1),AI825=0),F825,0)</f>
        <v>0</v>
      </c>
      <c r="BL825" s="214">
        <f>IF(AND(Input_Product=Elig!$C825,Elig_MatchAll_Ct&lt;22,$BC825=(Elig_MatchAll_Ct-1),AJ825=0),G825,0)</f>
        <v>0</v>
      </c>
      <c r="BM825" s="214">
        <f>IF(AND(Input_Product=Elig!$C825,Elig_MatchAll_Ct&lt;22,$BC825=(Elig_MatchAll_Ct-1),AK825=0),H825,0)</f>
        <v>0</v>
      </c>
      <c r="BN825" s="214">
        <f>IF(AND(Input_Product=Elig!$C825,Elig_MatchAll_Ct&lt;22,$BC825=(Elig_MatchAll_Ct-1),AL825=0),I825,0)</f>
        <v>0</v>
      </c>
      <c r="BO825" s="214">
        <f>IF(AND(Input_Product=Elig!$C825,Elig_MatchAll_Ct&lt;22,$BC825=(Elig_MatchAll_Ct-1),AM825=0),J825,0)</f>
        <v>0</v>
      </c>
      <c r="BP825" s="214">
        <f>IF(AND(Input_Product=Elig!$C825,Elig_MatchAll_Ct&lt;22,$BC825=(Elig_MatchAll_Ct-1),AN825=0),K825,0)</f>
        <v>0</v>
      </c>
      <c r="BQ825" s="214">
        <f>IF(AND(Input_Product=Elig!$C825,Elig_MatchAll_Ct&lt;22,$BC825=(Elig_MatchAll_Ct-1),AP825=0),L825,0)</f>
        <v>0</v>
      </c>
      <c r="BR825" s="214">
        <f>IF(AND(Input_Product=Elig!$C825,Elig_MatchAll_Ct&lt;22,$BC825=(Elig_MatchAll_Ct-1),AO825=0),M825,0)</f>
        <v>0</v>
      </c>
      <c r="BS825" s="214">
        <f>IF(AND(Input_Product=Elig!$C825,Elig_MatchAll_Ct&lt;22,$BC825=(Elig_MatchAll_Ct-1),AQ825=0),N825,0)</f>
        <v>0</v>
      </c>
      <c r="BT825" s="214">
        <f>IF(AND(Input_Product=Elig!$C825,Elig_MatchAll_Ct&lt;22,$BC825=(Elig_MatchAll_Ct-1),AR825=0),O825,0)</f>
        <v>0</v>
      </c>
      <c r="BU825" s="214">
        <f>IF(AND(Input_Product=Elig!$C825,Elig_MatchAll_Ct&lt;22,$BC825=(Elig_MatchAll_Ct-1),AS825=0),P825,0)</f>
        <v>0</v>
      </c>
      <c r="BV825" s="215">
        <f>IF(AND(Input_Product=Elig!$C825,Elig_MatchAll_Ct&lt;22,$BC825=(Elig_MatchAll_Ct-1),AT825=0),Q825,0)</f>
        <v>0</v>
      </c>
      <c r="BW825" s="311">
        <f>IF(AND(Input_Product=Elig!$C825,Elig_MatchAll_Ct&lt;22,$BC825=(Elig_MatchAll_Ct-1),AU825=0),R825,0)</f>
        <v>0</v>
      </c>
      <c r="BX825" s="312">
        <f>IF(AND(Input_Product=Elig!$C825,Elig_MatchAll_Ct&lt;22,$BC825=(Elig_MatchAll_Ct-1),AU825=0),S825,0)</f>
        <v>0</v>
      </c>
      <c r="BY825" s="311">
        <f>IF(AND(Input_Product=Elig!$C825,Elig_MatchAll_Ct&lt;22,$BC825=(Elig_MatchAll_Ct-1),AV825=0),T825,0)</f>
        <v>0</v>
      </c>
      <c r="BZ825" s="312">
        <f>IF(AND(Input_Product=Elig!$C825,Elig_MatchAll_Ct&lt;22,$BC825=(Elig_MatchAll_Ct-1),AV825=0),U825,0)</f>
        <v>0</v>
      </c>
      <c r="CA825" s="311">
        <f>IF(AND(Input_Product=Elig!$C825,Elig_MatchAll_Ct&lt;22,$BC825=(Elig_MatchAll_Ct-1),AW825=0),V825,0)</f>
        <v>0</v>
      </c>
      <c r="CB825" s="312">
        <f>IF(AND(Input_Product=Elig!$C825,Elig_MatchAll_Ct&lt;22,$BC825=(Elig_MatchAll_Ct-1),AW825=0),W825,0)</f>
        <v>0</v>
      </c>
      <c r="CC825" s="311">
        <f>IF(AND(Input_Product=Elig!$C825,Elig_MatchAll_Ct&lt;22,$BC825=(Elig_MatchAll_Ct-1),AX825=0),X825,0)</f>
        <v>0</v>
      </c>
      <c r="CD825" s="312">
        <f>IF(AND(Input_Product=Elig!$C825,Elig_MatchAll_Ct&lt;22,$BC825=(Elig_MatchAll_Ct-1),AX825=0),Y825,0)</f>
        <v>0</v>
      </c>
      <c r="CE825" s="311">
        <f>IF(AND(Input_LTV&lt;=AE825,Input_Product=Elig!$C825,Elig_MatchAll_Ct&lt;22,$BC825=(Elig_MatchAll_Ct-1),AY825=0),Z825,0)</f>
        <v>0</v>
      </c>
      <c r="CF825" s="312">
        <f>IF(AND(Input_LTV&lt;=AE825,Input_Product=Elig!$C825,Elig_MatchAll_Ct&lt;22,$BC825=(Elig_MatchAll_Ct-1),AY825=0),AA825,0)</f>
        <v>0</v>
      </c>
      <c r="CG825" s="311">
        <f>IF(AND(Input_Product=Elig!$C825,Elig_MatchAll_Ct&lt;22,$BC825=(Elig_MatchAll_Ct-1),AZ825=0),AB825,0)</f>
        <v>0</v>
      </c>
      <c r="CH825" s="312">
        <f>IF(AND(Input_Product=Elig!$C825,Elig_MatchAll_Ct&lt;22,$BC825=(Elig_MatchAll_Ct-1),AZ825=0),AC825,0)</f>
        <v>0</v>
      </c>
      <c r="CI825" s="311">
        <f>IF(AND(Input_Product=Elig!$C825,Elig_MatchAll_Ct&lt;22,$BC825=(Elig_MatchAll_Ct-1),BA825=0),AD825,0)</f>
        <v>0</v>
      </c>
      <c r="CJ825" s="312">
        <f>IF(AND(Input_Product=Elig!$C825,Elig_MatchAll_Ct&lt;22,$BC825=(Elig_MatchAll_Ct-1),BA825=0),AE825,0)</f>
        <v>0</v>
      </c>
    </row>
    <row r="826" spans="2:88" ht="10.15" customHeight="1" x14ac:dyDescent="0.25">
      <c r="B826" s="2035" t="s">
        <v>3729</v>
      </c>
      <c r="C826" s="2040" t="str">
        <f t="shared" si="330"/>
        <v>Second NOO</v>
      </c>
      <c r="D826" s="2041" t="s">
        <v>1561</v>
      </c>
      <c r="E826" s="2041" t="s">
        <v>98</v>
      </c>
      <c r="F826" s="2041" t="s">
        <v>330</v>
      </c>
      <c r="G826" s="2112" t="s">
        <v>181</v>
      </c>
      <c r="H826" s="2041" t="s">
        <v>136</v>
      </c>
      <c r="I826" s="2039" t="s">
        <v>1332</v>
      </c>
      <c r="J826" s="2039" t="s">
        <v>1311</v>
      </c>
      <c r="K826" s="2041" t="s">
        <v>1790</v>
      </c>
      <c r="L826" s="2039" t="s">
        <v>430</v>
      </c>
      <c r="M826" s="2039" t="s">
        <v>2677</v>
      </c>
      <c r="N826" s="2112" t="s">
        <v>4156</v>
      </c>
      <c r="O826" s="2039" t="s">
        <v>4099</v>
      </c>
      <c r="P826" s="2039" t="s">
        <v>291</v>
      </c>
      <c r="Q826" s="2039" t="s">
        <v>294</v>
      </c>
      <c r="R826" s="2039">
        <v>50000</v>
      </c>
      <c r="S826" s="2039">
        <v>350000</v>
      </c>
      <c r="T826" s="2039">
        <v>0</v>
      </c>
      <c r="U826" s="2039">
        <f t="shared" si="331"/>
        <v>350000</v>
      </c>
      <c r="V826" s="2039">
        <v>0</v>
      </c>
      <c r="W826" s="2039">
        <v>50</v>
      </c>
      <c r="X826" s="2108">
        <v>1</v>
      </c>
      <c r="Y826" s="2039">
        <v>999</v>
      </c>
      <c r="Z826" s="2042">
        <v>720</v>
      </c>
      <c r="AA826" s="2042">
        <v>999</v>
      </c>
      <c r="AB826" s="2042">
        <v>0</v>
      </c>
      <c r="AC826" s="2042">
        <v>999999</v>
      </c>
      <c r="AD826" s="2039">
        <v>0</v>
      </c>
      <c r="AE826" s="2108">
        <v>80</v>
      </c>
      <c r="AF826" s="170">
        <v>0</v>
      </c>
      <c r="AG826" s="171">
        <v>1</v>
      </c>
      <c r="AH826" s="171">
        <v>1</v>
      </c>
      <c r="AI826" s="171">
        <v>0</v>
      </c>
      <c r="AJ826" s="171">
        <v>0</v>
      </c>
      <c r="AK826" s="171">
        <v>1</v>
      </c>
      <c r="AL826" s="171">
        <v>1</v>
      </c>
      <c r="AM826" s="171">
        <v>1</v>
      </c>
      <c r="AN826" s="171">
        <v>1</v>
      </c>
      <c r="AO826" s="171">
        <v>1</v>
      </c>
      <c r="AP826" s="171">
        <v>1</v>
      </c>
      <c r="AQ826" s="171">
        <v>1</v>
      </c>
      <c r="AR826" s="171">
        <v>1</v>
      </c>
      <c r="AS826" s="171">
        <v>1</v>
      </c>
      <c r="AT826" s="171">
        <v>1</v>
      </c>
      <c r="AU826" s="171">
        <f t="shared" si="324"/>
        <v>1</v>
      </c>
      <c r="AV826" s="171">
        <f t="shared" si="325"/>
        <v>1</v>
      </c>
      <c r="AW826" s="171">
        <f t="shared" si="326"/>
        <v>1</v>
      </c>
      <c r="AX826" s="171">
        <f t="shared" si="335"/>
        <v>0</v>
      </c>
      <c r="AY826" s="171">
        <f t="shared" si="327"/>
        <v>1</v>
      </c>
      <c r="AZ826" s="171">
        <f t="shared" si="328"/>
        <v>1</v>
      </c>
      <c r="BA826" s="172">
        <f t="shared" si="329"/>
        <v>1</v>
      </c>
      <c r="BB826" s="175">
        <f t="shared" ref="BB826:BB833" si="340">SUM(AF826:BA826)</f>
        <v>18</v>
      </c>
      <c r="BC826" s="176">
        <f t="shared" ref="BC826:BC833" si="341">SUM(AF826:AZ826)</f>
        <v>17</v>
      </c>
      <c r="BD826" s="176">
        <f t="shared" ref="BD826:BD833" si="342">SUM(AG826:BA826)</f>
        <v>18</v>
      </c>
      <c r="BE826" s="240" t="str">
        <f t="shared" si="322"/>
        <v/>
      </c>
      <c r="BF826" s="220"/>
      <c r="BG826" s="220"/>
      <c r="BH826" s="216">
        <f>IF(AND(Input_Product=Elig!$C826,Elig_MatchAll_Ct&lt;22,$BC826=(Elig_MatchAll_Ct-1),AF826=0),C826,0)</f>
        <v>0</v>
      </c>
      <c r="BI826" s="216">
        <f>IF(AND(Input_Product=Elig!$C826,Elig_MatchAll_Ct&lt;22,$BC826=(Elig_MatchAll_Ct-1),AG826=0),D826,0)</f>
        <v>0</v>
      </c>
      <c r="BJ826" s="216">
        <f>IF(AND(Input_Product=Elig!$C826,Elig_MatchAll_Ct&lt;22,$BC826=(Elig_MatchAll_Ct-1),AH826=0),E826,0)</f>
        <v>0</v>
      </c>
      <c r="BK826" s="216">
        <f>IF(AND(Input_Product=Elig!$C826,Elig_MatchAll_Ct&lt;22,$BC826=(Elig_MatchAll_Ct-1),AI826=0),F826,0)</f>
        <v>0</v>
      </c>
      <c r="BL826" s="216">
        <f>IF(AND(Input_Product=Elig!$C826,Elig_MatchAll_Ct&lt;22,$BC826=(Elig_MatchAll_Ct-1),AJ826=0),G826,0)</f>
        <v>0</v>
      </c>
      <c r="BM826" s="216">
        <f>IF(AND(Input_Product=Elig!$C826,Elig_MatchAll_Ct&lt;22,$BC826=(Elig_MatchAll_Ct-1),AK826=0),H826,0)</f>
        <v>0</v>
      </c>
      <c r="BN826" s="216">
        <f>IF(AND(Input_Product=Elig!$C826,Elig_MatchAll_Ct&lt;22,$BC826=(Elig_MatchAll_Ct-1),AL826=0),I826,0)</f>
        <v>0</v>
      </c>
      <c r="BO826" s="216">
        <f>IF(AND(Input_Product=Elig!$C826,Elig_MatchAll_Ct&lt;22,$BC826=(Elig_MatchAll_Ct-1),AM826=0),J826,0)</f>
        <v>0</v>
      </c>
      <c r="BP826" s="216">
        <f>IF(AND(Input_Product=Elig!$C826,Elig_MatchAll_Ct&lt;22,$BC826=(Elig_MatchAll_Ct-1),AN826=0),K826,0)</f>
        <v>0</v>
      </c>
      <c r="BQ826" s="216">
        <f>IF(AND(Input_Product=Elig!$C826,Elig_MatchAll_Ct&lt;22,$BC826=(Elig_MatchAll_Ct-1),AP826=0),L826,0)</f>
        <v>0</v>
      </c>
      <c r="BR826" s="216">
        <f>IF(AND(Input_Product=Elig!$C826,Elig_MatchAll_Ct&lt;22,$BC826=(Elig_MatchAll_Ct-1),AO826=0),M826,0)</f>
        <v>0</v>
      </c>
      <c r="BS826" s="216">
        <f>IF(AND(Input_Product=Elig!$C826,Elig_MatchAll_Ct&lt;22,$BC826=(Elig_MatchAll_Ct-1),AQ826=0),N826,0)</f>
        <v>0</v>
      </c>
      <c r="BT826" s="216">
        <f>IF(AND(Input_Product=Elig!$C826,Elig_MatchAll_Ct&lt;22,$BC826=(Elig_MatchAll_Ct-1),AR826=0),O826,0)</f>
        <v>0</v>
      </c>
      <c r="BU826" s="216">
        <f>IF(AND(Input_Product=Elig!$C826,Elig_MatchAll_Ct&lt;22,$BC826=(Elig_MatchAll_Ct-1),AS826=0),P826,0)</f>
        <v>0</v>
      </c>
      <c r="BV826" s="217">
        <f>IF(AND(Input_Product=Elig!$C826,Elig_MatchAll_Ct&lt;22,$BC826=(Elig_MatchAll_Ct-1),AT826=0),Q826,0)</f>
        <v>0</v>
      </c>
      <c r="BW826" s="313">
        <f>IF(AND(Input_Product=Elig!$C826,Elig_MatchAll_Ct&lt;22,$BC826=(Elig_MatchAll_Ct-1),AU826=0),R826,0)</f>
        <v>0</v>
      </c>
      <c r="BX826" s="314">
        <f>IF(AND(Input_Product=Elig!$C826,Elig_MatchAll_Ct&lt;22,$BC826=(Elig_MatchAll_Ct-1),AU826=0),S826,0)</f>
        <v>0</v>
      </c>
      <c r="BY826" s="313">
        <f>IF(AND(Input_Product=Elig!$C826,Elig_MatchAll_Ct&lt;22,$BC826=(Elig_MatchAll_Ct-1),AV826=0),T826,0)</f>
        <v>0</v>
      </c>
      <c r="BZ826" s="314">
        <f>IF(AND(Input_Product=Elig!$C826,Elig_MatchAll_Ct&lt;22,$BC826=(Elig_MatchAll_Ct-1),AV826=0),U826,0)</f>
        <v>0</v>
      </c>
      <c r="CA826" s="313">
        <f>IF(AND(Input_Product=Elig!$C826,Elig_MatchAll_Ct&lt;22,$BC826=(Elig_MatchAll_Ct-1),AW826=0),V826,0)</f>
        <v>0</v>
      </c>
      <c r="CB826" s="314">
        <f>IF(AND(Input_Product=Elig!$C826,Elig_MatchAll_Ct&lt;22,$BC826=(Elig_MatchAll_Ct-1),AW826=0),W826,0)</f>
        <v>0</v>
      </c>
      <c r="CC826" s="313">
        <f>IF(AND(Input_Product=Elig!$C826,Elig_MatchAll_Ct&lt;22,$BC826=(Elig_MatchAll_Ct-1),AX826=0),X826,0)</f>
        <v>0</v>
      </c>
      <c r="CD826" s="314">
        <f>IF(AND(Input_Product=Elig!$C826,Elig_MatchAll_Ct&lt;22,$BC826=(Elig_MatchAll_Ct-1),AX826=0),Y826,0)</f>
        <v>0</v>
      </c>
      <c r="CE826" s="313">
        <f>IF(AND(Input_LTV&lt;=AE826,Input_Product=Elig!$C826,Elig_MatchAll_Ct&lt;22,$BC826=(Elig_MatchAll_Ct-1),AY826=0),Z826,0)</f>
        <v>0</v>
      </c>
      <c r="CF826" s="314">
        <f>IF(AND(Input_LTV&lt;=AE826,Input_Product=Elig!$C826,Elig_MatchAll_Ct&lt;22,$BC826=(Elig_MatchAll_Ct-1),AY826=0),AA826,0)</f>
        <v>0</v>
      </c>
      <c r="CG826" s="313">
        <f>IF(AND(Input_Product=Elig!$C826,Elig_MatchAll_Ct&lt;22,$BC826=(Elig_MatchAll_Ct-1),AZ826=0),AB826,0)</f>
        <v>0</v>
      </c>
      <c r="CH826" s="314">
        <f>IF(AND(Input_Product=Elig!$C826,Elig_MatchAll_Ct&lt;22,$BC826=(Elig_MatchAll_Ct-1),AZ826=0),AC826,0)</f>
        <v>0</v>
      </c>
      <c r="CI826" s="313">
        <f>IF(AND(Input_Product=Elig!$C826,Elig_MatchAll_Ct&lt;22,$BC826=(Elig_MatchAll_Ct-1),BA826=0),AD826,0)</f>
        <v>0</v>
      </c>
      <c r="CJ826" s="314">
        <f>IF(AND(Input_Product=Elig!$C826,Elig_MatchAll_Ct&lt;22,$BC826=(Elig_MatchAll_Ct-1),BA826=0),AE826,0)</f>
        <v>0</v>
      </c>
    </row>
    <row r="827" spans="2:88" ht="10.15" customHeight="1" x14ac:dyDescent="0.25">
      <c r="B827" s="2035" t="s">
        <v>3730</v>
      </c>
      <c r="C827" s="2036" t="str">
        <f t="shared" si="330"/>
        <v>Second NOO</v>
      </c>
      <c r="D827" s="2035" t="s">
        <v>1561</v>
      </c>
      <c r="E827" s="2035" t="s">
        <v>98</v>
      </c>
      <c r="F827" s="2035" t="s">
        <v>330</v>
      </c>
      <c r="G827" s="2113" t="s">
        <v>181</v>
      </c>
      <c r="H827" s="2037" t="s">
        <v>136</v>
      </c>
      <c r="I827" s="2035" t="s">
        <v>1332</v>
      </c>
      <c r="J827" s="2035" t="s">
        <v>1311</v>
      </c>
      <c r="K827" s="2037" t="s">
        <v>1790</v>
      </c>
      <c r="L827" s="2035" t="s">
        <v>430</v>
      </c>
      <c r="M827" s="2035" t="s">
        <v>2677</v>
      </c>
      <c r="N827" s="2113" t="s">
        <v>4156</v>
      </c>
      <c r="O827" s="2035" t="s">
        <v>4099</v>
      </c>
      <c r="P827" s="2035" t="s">
        <v>291</v>
      </c>
      <c r="Q827" s="2035" t="s">
        <v>294</v>
      </c>
      <c r="R827" s="2035">
        <v>50000</v>
      </c>
      <c r="S827" s="2035">
        <v>350000</v>
      </c>
      <c r="T827" s="2035">
        <v>0</v>
      </c>
      <c r="U827" s="2035">
        <f t="shared" si="331"/>
        <v>350000</v>
      </c>
      <c r="V827" s="2035">
        <v>0</v>
      </c>
      <c r="W827" s="2035">
        <v>50</v>
      </c>
      <c r="X827" s="2109">
        <v>1</v>
      </c>
      <c r="Y827" s="2035">
        <v>999</v>
      </c>
      <c r="Z827" s="2038">
        <v>700</v>
      </c>
      <c r="AA827" s="2038">
        <v>719</v>
      </c>
      <c r="AB827" s="2038">
        <v>0</v>
      </c>
      <c r="AC827" s="2038">
        <v>999999</v>
      </c>
      <c r="AD827" s="2035">
        <v>0</v>
      </c>
      <c r="AE827" s="2109">
        <v>75</v>
      </c>
      <c r="AF827" s="170">
        <v>0</v>
      </c>
      <c r="AG827" s="171">
        <v>1</v>
      </c>
      <c r="AH827" s="171">
        <v>1</v>
      </c>
      <c r="AI827" s="171">
        <v>0</v>
      </c>
      <c r="AJ827" s="171">
        <v>0</v>
      </c>
      <c r="AK827" s="171">
        <v>1</v>
      </c>
      <c r="AL827" s="171">
        <v>1</v>
      </c>
      <c r="AM827" s="171">
        <v>1</v>
      </c>
      <c r="AN827" s="171">
        <v>1</v>
      </c>
      <c r="AO827" s="171">
        <v>1</v>
      </c>
      <c r="AP827" s="171">
        <v>1</v>
      </c>
      <c r="AQ827" s="171">
        <v>1</v>
      </c>
      <c r="AR827" s="171">
        <v>1</v>
      </c>
      <c r="AS827" s="171">
        <v>1</v>
      </c>
      <c r="AT827" s="171">
        <v>1</v>
      </c>
      <c r="AU827" s="171">
        <f t="shared" si="324"/>
        <v>1</v>
      </c>
      <c r="AV827" s="171">
        <f t="shared" si="325"/>
        <v>1</v>
      </c>
      <c r="AW827" s="171">
        <f t="shared" si="326"/>
        <v>1</v>
      </c>
      <c r="AX827" s="171">
        <f t="shared" si="335"/>
        <v>0</v>
      </c>
      <c r="AY827" s="171">
        <f t="shared" si="327"/>
        <v>0</v>
      </c>
      <c r="AZ827" s="171">
        <f t="shared" si="328"/>
        <v>1</v>
      </c>
      <c r="BA827" s="172">
        <f t="shared" si="329"/>
        <v>1</v>
      </c>
      <c r="BB827" s="175">
        <f t="shared" si="340"/>
        <v>17</v>
      </c>
      <c r="BC827" s="176">
        <f t="shared" si="341"/>
        <v>16</v>
      </c>
      <c r="BD827" s="176">
        <f t="shared" si="342"/>
        <v>17</v>
      </c>
      <c r="BE827" s="240" t="str">
        <f t="shared" si="322"/>
        <v/>
      </c>
      <c r="BF827" s="234"/>
      <c r="BG827" s="234"/>
      <c r="BH827" s="199">
        <f>IF(AND(Input_Product=Elig!$C827,Elig_MatchAll_Ct&lt;22,$BC827=(Elig_MatchAll_Ct-1),AF827=0),C827,0)</f>
        <v>0</v>
      </c>
      <c r="BI827" s="199">
        <f>IF(AND(Input_Product=Elig!$C827,Elig_MatchAll_Ct&lt;22,$BC827=(Elig_MatchAll_Ct-1),AG827=0),D827,0)</f>
        <v>0</v>
      </c>
      <c r="BJ827" s="199">
        <f>IF(AND(Input_Product=Elig!$C827,Elig_MatchAll_Ct&lt;22,$BC827=(Elig_MatchAll_Ct-1),AH827=0),E827,0)</f>
        <v>0</v>
      </c>
      <c r="BK827" s="199">
        <f>IF(AND(Input_Product=Elig!$C827,Elig_MatchAll_Ct&lt;22,$BC827=(Elig_MatchAll_Ct-1),AI827=0),F827,0)</f>
        <v>0</v>
      </c>
      <c r="BL827" s="199">
        <f>IF(AND(Input_Product=Elig!$C827,Elig_MatchAll_Ct&lt;22,$BC827=(Elig_MatchAll_Ct-1),AJ827=0),G827,0)</f>
        <v>0</v>
      </c>
      <c r="BM827" s="199">
        <f>IF(AND(Input_Product=Elig!$C827,Elig_MatchAll_Ct&lt;22,$BC827=(Elig_MatchAll_Ct-1),AK827=0),H827,0)</f>
        <v>0</v>
      </c>
      <c r="BN827" s="199">
        <f>IF(AND(Input_Product=Elig!$C827,Elig_MatchAll_Ct&lt;22,$BC827=(Elig_MatchAll_Ct-1),AL827=0),I827,0)</f>
        <v>0</v>
      </c>
      <c r="BO827" s="199">
        <f>IF(AND(Input_Product=Elig!$C827,Elig_MatchAll_Ct&lt;22,$BC827=(Elig_MatchAll_Ct-1),AM827=0),J827,0)</f>
        <v>0</v>
      </c>
      <c r="BP827" s="199">
        <f>IF(AND(Input_Product=Elig!$C827,Elig_MatchAll_Ct&lt;22,$BC827=(Elig_MatchAll_Ct-1),AN827=0),K827,0)</f>
        <v>0</v>
      </c>
      <c r="BQ827" s="199">
        <f>IF(AND(Input_Product=Elig!$C827,Elig_MatchAll_Ct&lt;22,$BC827=(Elig_MatchAll_Ct-1),AP827=0),L827,0)</f>
        <v>0</v>
      </c>
      <c r="BR827" s="199">
        <f>IF(AND(Input_Product=Elig!$C827,Elig_MatchAll_Ct&lt;22,$BC827=(Elig_MatchAll_Ct-1),AO827=0),M827,0)</f>
        <v>0</v>
      </c>
      <c r="BS827" s="199">
        <f>IF(AND(Input_Product=Elig!$C827,Elig_MatchAll_Ct&lt;22,$BC827=(Elig_MatchAll_Ct-1),AQ827=0),N827,0)</f>
        <v>0</v>
      </c>
      <c r="BT827" s="199">
        <f>IF(AND(Input_Product=Elig!$C827,Elig_MatchAll_Ct&lt;22,$BC827=(Elig_MatchAll_Ct-1),AR827=0),O827,0)</f>
        <v>0</v>
      </c>
      <c r="BU827" s="199">
        <f>IF(AND(Input_Product=Elig!$C827,Elig_MatchAll_Ct&lt;22,$BC827=(Elig_MatchAll_Ct-1),AS827=0),P827,0)</f>
        <v>0</v>
      </c>
      <c r="BV827" s="200">
        <f>IF(AND(Input_Product=Elig!$C827,Elig_MatchAll_Ct&lt;22,$BC827=(Elig_MatchAll_Ct-1),AT827=0),Q827,0)</f>
        <v>0</v>
      </c>
      <c r="BW827" s="201">
        <f>IF(AND(Input_Product=Elig!$C827,Elig_MatchAll_Ct&lt;22,$BC827=(Elig_MatchAll_Ct-1),AU827=0),R827,0)</f>
        <v>0</v>
      </c>
      <c r="BX827" s="202">
        <f>IF(AND(Input_Product=Elig!$C827,Elig_MatchAll_Ct&lt;22,$BC827=(Elig_MatchAll_Ct-1),AU827=0),S827,0)</f>
        <v>0</v>
      </c>
      <c r="BY827" s="201">
        <f>IF(AND(Input_Product=Elig!$C827,Elig_MatchAll_Ct&lt;22,$BC827=(Elig_MatchAll_Ct-1),AV827=0),T827,0)</f>
        <v>0</v>
      </c>
      <c r="BZ827" s="202">
        <f>IF(AND(Input_Product=Elig!$C827,Elig_MatchAll_Ct&lt;22,$BC827=(Elig_MatchAll_Ct-1),AV827=0),U827,0)</f>
        <v>0</v>
      </c>
      <c r="CA827" s="201">
        <f>IF(AND(Input_Product=Elig!$C827,Elig_MatchAll_Ct&lt;22,$BC827=(Elig_MatchAll_Ct-1),AW827=0),V827,0)</f>
        <v>0</v>
      </c>
      <c r="CB827" s="202">
        <f>IF(AND(Input_Product=Elig!$C827,Elig_MatchAll_Ct&lt;22,$BC827=(Elig_MatchAll_Ct-1),AW827=0),W827,0)</f>
        <v>0</v>
      </c>
      <c r="CC827" s="201">
        <f>IF(AND(Input_Product=Elig!$C827,Elig_MatchAll_Ct&lt;22,$BC827=(Elig_MatchAll_Ct-1),AX827=0),X827,0)</f>
        <v>0</v>
      </c>
      <c r="CD827" s="202">
        <f>IF(AND(Input_Product=Elig!$C827,Elig_MatchAll_Ct&lt;22,$BC827=(Elig_MatchAll_Ct-1),AX827=0),Y827,0)</f>
        <v>0</v>
      </c>
      <c r="CE827" s="201">
        <f>IF(AND(Input_LTV&lt;=AE827,Input_Product=Elig!$C827,Elig_MatchAll_Ct&lt;22,$BC827=(Elig_MatchAll_Ct-1),AY827=0),Z827,0)</f>
        <v>0</v>
      </c>
      <c r="CF827" s="202">
        <f>IF(AND(Input_LTV&lt;=AE827,Input_Product=Elig!$C827,Elig_MatchAll_Ct&lt;22,$BC827=(Elig_MatchAll_Ct-1),AY827=0),AA827,0)</f>
        <v>0</v>
      </c>
      <c r="CG827" s="201">
        <f>IF(AND(Input_Product=Elig!$C827,Elig_MatchAll_Ct&lt;22,$BC827=(Elig_MatchAll_Ct-1),AZ827=0),AB827,0)</f>
        <v>0</v>
      </c>
      <c r="CH827" s="202">
        <f>IF(AND(Input_Product=Elig!$C827,Elig_MatchAll_Ct&lt;22,$BC827=(Elig_MatchAll_Ct-1),AZ827=0),AC827,0)</f>
        <v>0</v>
      </c>
      <c r="CI827" s="201">
        <f>IF(AND(Input_Product=Elig!$C827,Elig_MatchAll_Ct&lt;22,$BC827=(Elig_MatchAll_Ct-1),BA827=0),AD827,0)</f>
        <v>0</v>
      </c>
      <c r="CJ827" s="202">
        <f>IF(AND(Input_Product=Elig!$C827,Elig_MatchAll_Ct&lt;22,$BC827=(Elig_MatchAll_Ct-1),BA827=0),AE827,0)</f>
        <v>0</v>
      </c>
    </row>
    <row r="828" spans="2:88" ht="10.15" customHeight="1" x14ac:dyDescent="0.25">
      <c r="B828" s="2035" t="s">
        <v>3731</v>
      </c>
      <c r="C828" s="2036" t="str">
        <f t="shared" si="330"/>
        <v>Second NOO</v>
      </c>
      <c r="D828" s="2035" t="s">
        <v>1561</v>
      </c>
      <c r="E828" s="2035" t="s">
        <v>98</v>
      </c>
      <c r="F828" s="2035" t="s">
        <v>330</v>
      </c>
      <c r="G828" s="2113" t="s">
        <v>181</v>
      </c>
      <c r="H828" s="2037" t="s">
        <v>136</v>
      </c>
      <c r="I828" s="2035" t="s">
        <v>1332</v>
      </c>
      <c r="J828" s="2035" t="s">
        <v>1311</v>
      </c>
      <c r="K828" s="2037" t="s">
        <v>1790</v>
      </c>
      <c r="L828" s="2035" t="s">
        <v>430</v>
      </c>
      <c r="M828" s="2035" t="s">
        <v>2677</v>
      </c>
      <c r="N828" s="2113" t="s">
        <v>4156</v>
      </c>
      <c r="O828" s="2035" t="s">
        <v>4099</v>
      </c>
      <c r="P828" s="2035" t="s">
        <v>291</v>
      </c>
      <c r="Q828" s="2035" t="s">
        <v>294</v>
      </c>
      <c r="R828" s="2035">
        <v>50000</v>
      </c>
      <c r="S828" s="2035">
        <v>350000</v>
      </c>
      <c r="T828" s="2035">
        <v>0</v>
      </c>
      <c r="U828" s="2035">
        <f t="shared" si="331"/>
        <v>350000</v>
      </c>
      <c r="V828" s="2035">
        <v>0</v>
      </c>
      <c r="W828" s="2035">
        <v>50</v>
      </c>
      <c r="X828" s="2109">
        <v>1</v>
      </c>
      <c r="Y828" s="2035">
        <v>999</v>
      </c>
      <c r="Z828" s="2038">
        <v>680</v>
      </c>
      <c r="AA828" s="2038">
        <v>699</v>
      </c>
      <c r="AB828" s="2038">
        <v>0</v>
      </c>
      <c r="AC828" s="2038">
        <v>999999</v>
      </c>
      <c r="AD828" s="2035">
        <v>0</v>
      </c>
      <c r="AE828" s="2109">
        <v>70</v>
      </c>
      <c r="AF828" s="170">
        <v>0</v>
      </c>
      <c r="AG828" s="171">
        <v>1</v>
      </c>
      <c r="AH828" s="171">
        <v>1</v>
      </c>
      <c r="AI828" s="171">
        <v>0</v>
      </c>
      <c r="AJ828" s="171">
        <v>0</v>
      </c>
      <c r="AK828" s="171">
        <v>1</v>
      </c>
      <c r="AL828" s="171">
        <v>1</v>
      </c>
      <c r="AM828" s="171">
        <v>1</v>
      </c>
      <c r="AN828" s="171">
        <v>1</v>
      </c>
      <c r="AO828" s="171">
        <v>1</v>
      </c>
      <c r="AP828" s="171">
        <v>1</v>
      </c>
      <c r="AQ828" s="171">
        <v>1</v>
      </c>
      <c r="AR828" s="171">
        <v>1</v>
      </c>
      <c r="AS828" s="171">
        <v>1</v>
      </c>
      <c r="AT828" s="171">
        <v>1</v>
      </c>
      <c r="AU828" s="171">
        <f t="shared" si="324"/>
        <v>1</v>
      </c>
      <c r="AV828" s="171">
        <f t="shared" si="325"/>
        <v>1</v>
      </c>
      <c r="AW828" s="171">
        <f t="shared" si="326"/>
        <v>1</v>
      </c>
      <c r="AX828" s="171">
        <f t="shared" si="335"/>
        <v>0</v>
      </c>
      <c r="AY828" s="171">
        <f t="shared" si="327"/>
        <v>0</v>
      </c>
      <c r="AZ828" s="171">
        <f t="shared" si="328"/>
        <v>1</v>
      </c>
      <c r="BA828" s="172">
        <f t="shared" si="329"/>
        <v>1</v>
      </c>
      <c r="BB828" s="175">
        <f t="shared" si="340"/>
        <v>17</v>
      </c>
      <c r="BC828" s="176">
        <f t="shared" si="341"/>
        <v>16</v>
      </c>
      <c r="BD828" s="176">
        <f t="shared" si="342"/>
        <v>17</v>
      </c>
      <c r="BE828" s="240" t="str">
        <f t="shared" si="322"/>
        <v/>
      </c>
      <c r="BF828" s="234"/>
      <c r="BG828" s="234"/>
      <c r="BH828" s="199">
        <f>IF(AND(Input_Product=Elig!$C828,Elig_MatchAll_Ct&lt;22,$BC828=(Elig_MatchAll_Ct-1),AF828=0),C828,0)</f>
        <v>0</v>
      </c>
      <c r="BI828" s="199">
        <f>IF(AND(Input_Product=Elig!$C828,Elig_MatchAll_Ct&lt;22,$BC828=(Elig_MatchAll_Ct-1),AG828=0),D828,0)</f>
        <v>0</v>
      </c>
      <c r="BJ828" s="199">
        <f>IF(AND(Input_Product=Elig!$C828,Elig_MatchAll_Ct&lt;22,$BC828=(Elig_MatchAll_Ct-1),AH828=0),E828,0)</f>
        <v>0</v>
      </c>
      <c r="BK828" s="199">
        <f>IF(AND(Input_Product=Elig!$C828,Elig_MatchAll_Ct&lt;22,$BC828=(Elig_MatchAll_Ct-1),AI828=0),F828,0)</f>
        <v>0</v>
      </c>
      <c r="BL828" s="199">
        <f>IF(AND(Input_Product=Elig!$C828,Elig_MatchAll_Ct&lt;22,$BC828=(Elig_MatchAll_Ct-1),AJ828=0),G828,0)</f>
        <v>0</v>
      </c>
      <c r="BM828" s="199">
        <f>IF(AND(Input_Product=Elig!$C828,Elig_MatchAll_Ct&lt;22,$BC828=(Elig_MatchAll_Ct-1),AK828=0),H828,0)</f>
        <v>0</v>
      </c>
      <c r="BN828" s="199">
        <f>IF(AND(Input_Product=Elig!$C828,Elig_MatchAll_Ct&lt;22,$BC828=(Elig_MatchAll_Ct-1),AL828=0),I828,0)</f>
        <v>0</v>
      </c>
      <c r="BO828" s="199">
        <f>IF(AND(Input_Product=Elig!$C828,Elig_MatchAll_Ct&lt;22,$BC828=(Elig_MatchAll_Ct-1),AM828=0),J828,0)</f>
        <v>0</v>
      </c>
      <c r="BP828" s="199">
        <f>IF(AND(Input_Product=Elig!$C828,Elig_MatchAll_Ct&lt;22,$BC828=(Elig_MatchAll_Ct-1),AN828=0),K828,0)</f>
        <v>0</v>
      </c>
      <c r="BQ828" s="199">
        <f>IF(AND(Input_Product=Elig!$C828,Elig_MatchAll_Ct&lt;22,$BC828=(Elig_MatchAll_Ct-1),AP828=0),L828,0)</f>
        <v>0</v>
      </c>
      <c r="BR828" s="199">
        <f>IF(AND(Input_Product=Elig!$C828,Elig_MatchAll_Ct&lt;22,$BC828=(Elig_MatchAll_Ct-1),AO828=0),M828,0)</f>
        <v>0</v>
      </c>
      <c r="BS828" s="199">
        <f>IF(AND(Input_Product=Elig!$C828,Elig_MatchAll_Ct&lt;22,$BC828=(Elig_MatchAll_Ct-1),AQ828=0),N828,0)</f>
        <v>0</v>
      </c>
      <c r="BT828" s="199">
        <f>IF(AND(Input_Product=Elig!$C828,Elig_MatchAll_Ct&lt;22,$BC828=(Elig_MatchAll_Ct-1),AR828=0),O828,0)</f>
        <v>0</v>
      </c>
      <c r="BU828" s="199">
        <f>IF(AND(Input_Product=Elig!$C828,Elig_MatchAll_Ct&lt;22,$BC828=(Elig_MatchAll_Ct-1),AS828=0),P828,0)</f>
        <v>0</v>
      </c>
      <c r="BV828" s="200">
        <f>IF(AND(Input_Product=Elig!$C828,Elig_MatchAll_Ct&lt;22,$BC828=(Elig_MatchAll_Ct-1),AT828=0),Q828,0)</f>
        <v>0</v>
      </c>
      <c r="BW828" s="201">
        <f>IF(AND(Input_Product=Elig!$C828,Elig_MatchAll_Ct&lt;22,$BC828=(Elig_MatchAll_Ct-1),AU828=0),R828,0)</f>
        <v>0</v>
      </c>
      <c r="BX828" s="202">
        <f>IF(AND(Input_Product=Elig!$C828,Elig_MatchAll_Ct&lt;22,$BC828=(Elig_MatchAll_Ct-1),AU828=0),S828,0)</f>
        <v>0</v>
      </c>
      <c r="BY828" s="201">
        <f>IF(AND(Input_Product=Elig!$C828,Elig_MatchAll_Ct&lt;22,$BC828=(Elig_MatchAll_Ct-1),AV828=0),T828,0)</f>
        <v>0</v>
      </c>
      <c r="BZ828" s="202">
        <f>IF(AND(Input_Product=Elig!$C828,Elig_MatchAll_Ct&lt;22,$BC828=(Elig_MatchAll_Ct-1),AV828=0),U828,0)</f>
        <v>0</v>
      </c>
      <c r="CA828" s="201">
        <f>IF(AND(Input_Product=Elig!$C828,Elig_MatchAll_Ct&lt;22,$BC828=(Elig_MatchAll_Ct-1),AW828=0),V828,0)</f>
        <v>0</v>
      </c>
      <c r="CB828" s="202">
        <f>IF(AND(Input_Product=Elig!$C828,Elig_MatchAll_Ct&lt;22,$BC828=(Elig_MatchAll_Ct-1),AW828=0),W828,0)</f>
        <v>0</v>
      </c>
      <c r="CC828" s="201">
        <f>IF(AND(Input_Product=Elig!$C828,Elig_MatchAll_Ct&lt;22,$BC828=(Elig_MatchAll_Ct-1),AX828=0),X828,0)</f>
        <v>0</v>
      </c>
      <c r="CD828" s="202">
        <f>IF(AND(Input_Product=Elig!$C828,Elig_MatchAll_Ct&lt;22,$BC828=(Elig_MatchAll_Ct-1),AX828=0),Y828,0)</f>
        <v>0</v>
      </c>
      <c r="CE828" s="201">
        <f>IF(AND(Input_LTV&lt;=AE828,Input_Product=Elig!$C828,Elig_MatchAll_Ct&lt;22,$BC828=(Elig_MatchAll_Ct-1),AY828=0),Z828,0)</f>
        <v>0</v>
      </c>
      <c r="CF828" s="202">
        <f>IF(AND(Input_LTV&lt;=AE828,Input_Product=Elig!$C828,Elig_MatchAll_Ct&lt;22,$BC828=(Elig_MatchAll_Ct-1),AY828=0),AA828,0)</f>
        <v>0</v>
      </c>
      <c r="CG828" s="201">
        <f>IF(AND(Input_Product=Elig!$C828,Elig_MatchAll_Ct&lt;22,$BC828=(Elig_MatchAll_Ct-1),AZ828=0),AB828,0)</f>
        <v>0</v>
      </c>
      <c r="CH828" s="202">
        <f>IF(AND(Input_Product=Elig!$C828,Elig_MatchAll_Ct&lt;22,$BC828=(Elig_MatchAll_Ct-1),AZ828=0),AC828,0)</f>
        <v>0</v>
      </c>
      <c r="CI828" s="201">
        <f>IF(AND(Input_Product=Elig!$C828,Elig_MatchAll_Ct&lt;22,$BC828=(Elig_MatchAll_Ct-1),BA828=0),AD828,0)</f>
        <v>0</v>
      </c>
      <c r="CJ828" s="202">
        <f>IF(AND(Input_Product=Elig!$C828,Elig_MatchAll_Ct&lt;22,$BC828=(Elig_MatchAll_Ct-1),BA828=0),AE828,0)</f>
        <v>0</v>
      </c>
    </row>
    <row r="829" spans="2:88" ht="10.15" customHeight="1" x14ac:dyDescent="0.25">
      <c r="B829" s="2035" t="s">
        <v>3732</v>
      </c>
      <c r="C829" s="2036" t="str">
        <f t="shared" si="330"/>
        <v>Second NOO</v>
      </c>
      <c r="D829" s="2035" t="s">
        <v>1561</v>
      </c>
      <c r="E829" s="2035" t="s">
        <v>98</v>
      </c>
      <c r="F829" s="2035" t="s">
        <v>330</v>
      </c>
      <c r="G829" s="2113" t="s">
        <v>181</v>
      </c>
      <c r="H829" s="2037" t="s">
        <v>136</v>
      </c>
      <c r="I829" s="2035" t="s">
        <v>1332</v>
      </c>
      <c r="J829" s="2035" t="s">
        <v>1311</v>
      </c>
      <c r="K829" s="2037" t="s">
        <v>1790</v>
      </c>
      <c r="L829" s="2035" t="s">
        <v>430</v>
      </c>
      <c r="M829" s="2035" t="s">
        <v>2677</v>
      </c>
      <c r="N829" s="2113" t="s">
        <v>4156</v>
      </c>
      <c r="O829" s="2035" t="s">
        <v>4099</v>
      </c>
      <c r="P829" s="2035" t="s">
        <v>291</v>
      </c>
      <c r="Q829" s="2035" t="s">
        <v>294</v>
      </c>
      <c r="R829" s="2035">
        <v>50000</v>
      </c>
      <c r="S829" s="2035">
        <v>350000</v>
      </c>
      <c r="T829" s="2035">
        <v>0</v>
      </c>
      <c r="U829" s="2035">
        <f t="shared" si="331"/>
        <v>350000</v>
      </c>
      <c r="V829" s="2035">
        <v>0</v>
      </c>
      <c r="W829" s="2035">
        <v>50</v>
      </c>
      <c r="X829" s="2109">
        <v>1</v>
      </c>
      <c r="Y829" s="2035">
        <v>999</v>
      </c>
      <c r="Z829" s="2038">
        <v>660</v>
      </c>
      <c r="AA829" s="2038">
        <v>679</v>
      </c>
      <c r="AB829" s="2038">
        <v>0</v>
      </c>
      <c r="AC829" s="2038">
        <v>999999</v>
      </c>
      <c r="AD829" s="2035">
        <v>0</v>
      </c>
      <c r="AE829" s="2035">
        <v>-999</v>
      </c>
      <c r="AF829" s="170">
        <v>0</v>
      </c>
      <c r="AG829" s="171">
        <v>1</v>
      </c>
      <c r="AH829" s="171">
        <v>1</v>
      </c>
      <c r="AI829" s="171">
        <v>0</v>
      </c>
      <c r="AJ829" s="171">
        <v>0</v>
      </c>
      <c r="AK829" s="171">
        <v>1</v>
      </c>
      <c r="AL829" s="171">
        <v>1</v>
      </c>
      <c r="AM829" s="171">
        <v>1</v>
      </c>
      <c r="AN829" s="171">
        <v>1</v>
      </c>
      <c r="AO829" s="171">
        <v>1</v>
      </c>
      <c r="AP829" s="171">
        <v>1</v>
      </c>
      <c r="AQ829" s="171">
        <v>1</v>
      </c>
      <c r="AR829" s="171">
        <v>1</v>
      </c>
      <c r="AS829" s="171">
        <v>1</v>
      </c>
      <c r="AT829" s="171">
        <v>1</v>
      </c>
      <c r="AU829" s="171">
        <f t="shared" si="324"/>
        <v>1</v>
      </c>
      <c r="AV829" s="171">
        <f t="shared" si="325"/>
        <v>1</v>
      </c>
      <c r="AW829" s="171">
        <f t="shared" si="326"/>
        <v>1</v>
      </c>
      <c r="AX829" s="171">
        <f t="shared" si="335"/>
        <v>0</v>
      </c>
      <c r="AY829" s="171">
        <f t="shared" si="327"/>
        <v>0</v>
      </c>
      <c r="AZ829" s="171">
        <f t="shared" si="328"/>
        <v>1</v>
      </c>
      <c r="BA829" s="172">
        <f t="shared" si="329"/>
        <v>0</v>
      </c>
      <c r="BB829" s="175">
        <f t="shared" si="340"/>
        <v>16</v>
      </c>
      <c r="BC829" s="176">
        <f t="shared" si="341"/>
        <v>16</v>
      </c>
      <c r="BD829" s="176">
        <f t="shared" si="342"/>
        <v>16</v>
      </c>
      <c r="BE829" s="240" t="str">
        <f t="shared" si="322"/>
        <v/>
      </c>
      <c r="BF829" s="234"/>
      <c r="BG829" s="234"/>
      <c r="BH829" s="214">
        <f>IF(AND(Input_Product=Elig!$C829,Elig_MatchAll_Ct&lt;22,$BC829=(Elig_MatchAll_Ct-1),AF829=0),C829,0)</f>
        <v>0</v>
      </c>
      <c r="BI829" s="214">
        <f>IF(AND(Input_Product=Elig!$C829,Elig_MatchAll_Ct&lt;22,$BC829=(Elig_MatchAll_Ct-1),AG829=0),D829,0)</f>
        <v>0</v>
      </c>
      <c r="BJ829" s="214">
        <f>IF(AND(Input_Product=Elig!$C829,Elig_MatchAll_Ct&lt;22,$BC829=(Elig_MatchAll_Ct-1),AH829=0),E829,0)</f>
        <v>0</v>
      </c>
      <c r="BK829" s="214">
        <f>IF(AND(Input_Product=Elig!$C829,Elig_MatchAll_Ct&lt;22,$BC829=(Elig_MatchAll_Ct-1),AI829=0),F829,0)</f>
        <v>0</v>
      </c>
      <c r="BL829" s="214">
        <f>IF(AND(Input_Product=Elig!$C829,Elig_MatchAll_Ct&lt;22,$BC829=(Elig_MatchAll_Ct-1),AJ829=0),G829,0)</f>
        <v>0</v>
      </c>
      <c r="BM829" s="214">
        <f>IF(AND(Input_Product=Elig!$C829,Elig_MatchAll_Ct&lt;22,$BC829=(Elig_MatchAll_Ct-1),AK829=0),H829,0)</f>
        <v>0</v>
      </c>
      <c r="BN829" s="214">
        <f>IF(AND(Input_Product=Elig!$C829,Elig_MatchAll_Ct&lt;22,$BC829=(Elig_MatchAll_Ct-1),AL829=0),I829,0)</f>
        <v>0</v>
      </c>
      <c r="BO829" s="214">
        <f>IF(AND(Input_Product=Elig!$C829,Elig_MatchAll_Ct&lt;22,$BC829=(Elig_MatchAll_Ct-1),AM829=0),J829,0)</f>
        <v>0</v>
      </c>
      <c r="BP829" s="214">
        <f>IF(AND(Input_Product=Elig!$C829,Elig_MatchAll_Ct&lt;22,$BC829=(Elig_MatchAll_Ct-1),AN829=0),K829,0)</f>
        <v>0</v>
      </c>
      <c r="BQ829" s="214">
        <f>IF(AND(Input_Product=Elig!$C829,Elig_MatchAll_Ct&lt;22,$BC829=(Elig_MatchAll_Ct-1),AP829=0),L829,0)</f>
        <v>0</v>
      </c>
      <c r="BR829" s="214">
        <f>IF(AND(Input_Product=Elig!$C829,Elig_MatchAll_Ct&lt;22,$BC829=(Elig_MatchAll_Ct-1),AO829=0),M829,0)</f>
        <v>0</v>
      </c>
      <c r="BS829" s="214">
        <f>IF(AND(Input_Product=Elig!$C829,Elig_MatchAll_Ct&lt;22,$BC829=(Elig_MatchAll_Ct-1),AQ829=0),N829,0)</f>
        <v>0</v>
      </c>
      <c r="BT829" s="214">
        <f>IF(AND(Input_Product=Elig!$C829,Elig_MatchAll_Ct&lt;22,$BC829=(Elig_MatchAll_Ct-1),AR829=0),O829,0)</f>
        <v>0</v>
      </c>
      <c r="BU829" s="214">
        <f>IF(AND(Input_Product=Elig!$C829,Elig_MatchAll_Ct&lt;22,$BC829=(Elig_MatchAll_Ct-1),AS829=0),P829,0)</f>
        <v>0</v>
      </c>
      <c r="BV829" s="215">
        <f>IF(AND(Input_Product=Elig!$C829,Elig_MatchAll_Ct&lt;22,$BC829=(Elig_MatchAll_Ct-1),AT829=0),Q829,0)</f>
        <v>0</v>
      </c>
      <c r="BW829" s="311">
        <f>IF(AND(Input_Product=Elig!$C829,Elig_MatchAll_Ct&lt;22,$BC829=(Elig_MatchAll_Ct-1),AU829=0),R829,0)</f>
        <v>0</v>
      </c>
      <c r="BX829" s="312">
        <f>IF(AND(Input_Product=Elig!$C829,Elig_MatchAll_Ct&lt;22,$BC829=(Elig_MatchAll_Ct-1),AU829=0),S829,0)</f>
        <v>0</v>
      </c>
      <c r="BY829" s="311">
        <f>IF(AND(Input_Product=Elig!$C829,Elig_MatchAll_Ct&lt;22,$BC829=(Elig_MatchAll_Ct-1),AV829=0),T829,0)</f>
        <v>0</v>
      </c>
      <c r="BZ829" s="312">
        <f>IF(AND(Input_Product=Elig!$C829,Elig_MatchAll_Ct&lt;22,$BC829=(Elig_MatchAll_Ct-1),AV829=0),U829,0)</f>
        <v>0</v>
      </c>
      <c r="CA829" s="311">
        <f>IF(AND(Input_Product=Elig!$C829,Elig_MatchAll_Ct&lt;22,$BC829=(Elig_MatchAll_Ct-1),AW829=0),V829,0)</f>
        <v>0</v>
      </c>
      <c r="CB829" s="312">
        <f>IF(AND(Input_Product=Elig!$C829,Elig_MatchAll_Ct&lt;22,$BC829=(Elig_MatchAll_Ct-1),AW829=0),W829,0)</f>
        <v>0</v>
      </c>
      <c r="CC829" s="311">
        <f>IF(AND(Input_Product=Elig!$C829,Elig_MatchAll_Ct&lt;22,$BC829=(Elig_MatchAll_Ct-1),AX829=0),X829,0)</f>
        <v>0</v>
      </c>
      <c r="CD829" s="312">
        <f>IF(AND(Input_Product=Elig!$C829,Elig_MatchAll_Ct&lt;22,$BC829=(Elig_MatchAll_Ct-1),AX829=0),Y829,0)</f>
        <v>0</v>
      </c>
      <c r="CE829" s="311">
        <f>IF(AND(Input_LTV&lt;=AE829,Input_Product=Elig!$C829,Elig_MatchAll_Ct&lt;22,$BC829=(Elig_MatchAll_Ct-1),AY829=0),Z829,0)</f>
        <v>0</v>
      </c>
      <c r="CF829" s="312">
        <f>IF(AND(Input_LTV&lt;=AE829,Input_Product=Elig!$C829,Elig_MatchAll_Ct&lt;22,$BC829=(Elig_MatchAll_Ct-1),AY829=0),AA829,0)</f>
        <v>0</v>
      </c>
      <c r="CG829" s="311">
        <f>IF(AND(Input_Product=Elig!$C829,Elig_MatchAll_Ct&lt;22,$BC829=(Elig_MatchAll_Ct-1),AZ829=0),AB829,0)</f>
        <v>0</v>
      </c>
      <c r="CH829" s="312">
        <f>IF(AND(Input_Product=Elig!$C829,Elig_MatchAll_Ct&lt;22,$BC829=(Elig_MatchAll_Ct-1),AZ829=0),AC829,0)</f>
        <v>0</v>
      </c>
      <c r="CI829" s="311">
        <f>IF(AND(Input_Product=Elig!$C829,Elig_MatchAll_Ct&lt;22,$BC829=(Elig_MatchAll_Ct-1),BA829=0),AD829,0)</f>
        <v>0</v>
      </c>
      <c r="CJ829" s="312">
        <f>IF(AND(Input_Product=Elig!$C829,Elig_MatchAll_Ct&lt;22,$BC829=(Elig_MatchAll_Ct-1),BA829=0),AE829,0)</f>
        <v>0</v>
      </c>
    </row>
    <row r="830" spans="2:88" ht="10.15" customHeight="1" x14ac:dyDescent="0.25">
      <c r="B830" s="2035" t="s">
        <v>3733</v>
      </c>
      <c r="C830" s="2040" t="str">
        <f t="shared" si="330"/>
        <v>Second NOO</v>
      </c>
      <c r="D830" s="2041" t="s">
        <v>1302</v>
      </c>
      <c r="E830" s="2041" t="s">
        <v>98</v>
      </c>
      <c r="F830" s="2041" t="s">
        <v>330</v>
      </c>
      <c r="G830" s="2112" t="s">
        <v>181</v>
      </c>
      <c r="H830" s="2041" t="s">
        <v>136</v>
      </c>
      <c r="I830" s="2039" t="s">
        <v>1332</v>
      </c>
      <c r="J830" s="2039" t="s">
        <v>1311</v>
      </c>
      <c r="K830" s="2041" t="s">
        <v>1790</v>
      </c>
      <c r="L830" s="2039" t="s">
        <v>430</v>
      </c>
      <c r="M830" s="2039" t="s">
        <v>2677</v>
      </c>
      <c r="N830" s="2112" t="s">
        <v>4156</v>
      </c>
      <c r="O830" s="2039" t="s">
        <v>4099</v>
      </c>
      <c r="P830" s="2039" t="s">
        <v>291</v>
      </c>
      <c r="Q830" s="2039" t="s">
        <v>294</v>
      </c>
      <c r="R830" s="2039">
        <v>200000</v>
      </c>
      <c r="S830" s="2039">
        <v>350000</v>
      </c>
      <c r="T830" s="2039">
        <v>0</v>
      </c>
      <c r="U830" s="2039">
        <f t="shared" si="331"/>
        <v>350000</v>
      </c>
      <c r="V830" s="2039">
        <v>0</v>
      </c>
      <c r="W830" s="2039">
        <v>50</v>
      </c>
      <c r="X830" s="2108">
        <v>1</v>
      </c>
      <c r="Y830" s="2039">
        <v>999</v>
      </c>
      <c r="Z830" s="2042">
        <v>720</v>
      </c>
      <c r="AA830" s="2042">
        <v>999</v>
      </c>
      <c r="AB830" s="2042">
        <v>0</v>
      </c>
      <c r="AC830" s="2042">
        <v>999999</v>
      </c>
      <c r="AD830" s="2039">
        <v>0</v>
      </c>
      <c r="AE830" s="2108">
        <v>80</v>
      </c>
      <c r="AF830" s="170">
        <v>0</v>
      </c>
      <c r="AG830" s="171">
        <v>0</v>
      </c>
      <c r="AH830" s="171">
        <v>1</v>
      </c>
      <c r="AI830" s="171">
        <v>0</v>
      </c>
      <c r="AJ830" s="171">
        <v>0</v>
      </c>
      <c r="AK830" s="171">
        <v>1</v>
      </c>
      <c r="AL830" s="171">
        <v>1</v>
      </c>
      <c r="AM830" s="171">
        <v>1</v>
      </c>
      <c r="AN830" s="171">
        <v>1</v>
      </c>
      <c r="AO830" s="171">
        <v>1</v>
      </c>
      <c r="AP830" s="171">
        <v>1</v>
      </c>
      <c r="AQ830" s="171">
        <v>1</v>
      </c>
      <c r="AR830" s="171">
        <v>1</v>
      </c>
      <c r="AS830" s="171">
        <v>1</v>
      </c>
      <c r="AT830" s="171">
        <v>1</v>
      </c>
      <c r="AU830" s="171">
        <f t="shared" si="324"/>
        <v>1</v>
      </c>
      <c r="AV830" s="171">
        <f t="shared" si="325"/>
        <v>1</v>
      </c>
      <c r="AW830" s="171">
        <f t="shared" si="326"/>
        <v>1</v>
      </c>
      <c r="AX830" s="171">
        <f t="shared" si="335"/>
        <v>0</v>
      </c>
      <c r="AY830" s="171">
        <f t="shared" si="327"/>
        <v>1</v>
      </c>
      <c r="AZ830" s="171">
        <f t="shared" si="328"/>
        <v>1</v>
      </c>
      <c r="BA830" s="172">
        <f t="shared" si="329"/>
        <v>1</v>
      </c>
      <c r="BB830" s="175">
        <f t="shared" si="340"/>
        <v>17</v>
      </c>
      <c r="BC830" s="176">
        <f t="shared" si="341"/>
        <v>16</v>
      </c>
      <c r="BD830" s="176">
        <f t="shared" si="342"/>
        <v>17</v>
      </c>
      <c r="BE830" s="240" t="str">
        <f t="shared" si="322"/>
        <v/>
      </c>
      <c r="BF830" s="220"/>
      <c r="BG830" s="220"/>
      <c r="BH830" s="216">
        <f>IF(AND(Input_Product=Elig!$C830,Elig_MatchAll_Ct&lt;22,$BC830=(Elig_MatchAll_Ct-1),AF830=0),C830,0)</f>
        <v>0</v>
      </c>
      <c r="BI830" s="216">
        <f>IF(AND(Input_Product=Elig!$C830,Elig_MatchAll_Ct&lt;22,$BC830=(Elig_MatchAll_Ct-1),AG830=0),D830,0)</f>
        <v>0</v>
      </c>
      <c r="BJ830" s="216">
        <f>IF(AND(Input_Product=Elig!$C830,Elig_MatchAll_Ct&lt;22,$BC830=(Elig_MatchAll_Ct-1),AH830=0),E830,0)</f>
        <v>0</v>
      </c>
      <c r="BK830" s="216">
        <f>IF(AND(Input_Product=Elig!$C830,Elig_MatchAll_Ct&lt;22,$BC830=(Elig_MatchAll_Ct-1),AI830=0),F830,0)</f>
        <v>0</v>
      </c>
      <c r="BL830" s="216">
        <f>IF(AND(Input_Product=Elig!$C830,Elig_MatchAll_Ct&lt;22,$BC830=(Elig_MatchAll_Ct-1),AJ830=0),G830,0)</f>
        <v>0</v>
      </c>
      <c r="BM830" s="216">
        <f>IF(AND(Input_Product=Elig!$C830,Elig_MatchAll_Ct&lt;22,$BC830=(Elig_MatchAll_Ct-1),AK830=0),H830,0)</f>
        <v>0</v>
      </c>
      <c r="BN830" s="216">
        <f>IF(AND(Input_Product=Elig!$C830,Elig_MatchAll_Ct&lt;22,$BC830=(Elig_MatchAll_Ct-1),AL830=0),I830,0)</f>
        <v>0</v>
      </c>
      <c r="BO830" s="216">
        <f>IF(AND(Input_Product=Elig!$C830,Elig_MatchAll_Ct&lt;22,$BC830=(Elig_MatchAll_Ct-1),AM830=0),J830,0)</f>
        <v>0</v>
      </c>
      <c r="BP830" s="216">
        <f>IF(AND(Input_Product=Elig!$C830,Elig_MatchAll_Ct&lt;22,$BC830=(Elig_MatchAll_Ct-1),AN830=0),K830,0)</f>
        <v>0</v>
      </c>
      <c r="BQ830" s="216">
        <f>IF(AND(Input_Product=Elig!$C830,Elig_MatchAll_Ct&lt;22,$BC830=(Elig_MatchAll_Ct-1),AP830=0),L830,0)</f>
        <v>0</v>
      </c>
      <c r="BR830" s="216">
        <f>IF(AND(Input_Product=Elig!$C830,Elig_MatchAll_Ct&lt;22,$BC830=(Elig_MatchAll_Ct-1),AO830=0),M830,0)</f>
        <v>0</v>
      </c>
      <c r="BS830" s="216">
        <f>IF(AND(Input_Product=Elig!$C830,Elig_MatchAll_Ct&lt;22,$BC830=(Elig_MatchAll_Ct-1),AQ830=0),N830,0)</f>
        <v>0</v>
      </c>
      <c r="BT830" s="216">
        <f>IF(AND(Input_Product=Elig!$C830,Elig_MatchAll_Ct&lt;22,$BC830=(Elig_MatchAll_Ct-1),AR830=0),O830,0)</f>
        <v>0</v>
      </c>
      <c r="BU830" s="216">
        <f>IF(AND(Input_Product=Elig!$C830,Elig_MatchAll_Ct&lt;22,$BC830=(Elig_MatchAll_Ct-1),AS830=0),P830,0)</f>
        <v>0</v>
      </c>
      <c r="BV830" s="217">
        <f>IF(AND(Input_Product=Elig!$C830,Elig_MatchAll_Ct&lt;22,$BC830=(Elig_MatchAll_Ct-1),AT830=0),Q830,0)</f>
        <v>0</v>
      </c>
      <c r="BW830" s="313">
        <f>IF(AND(Input_Product=Elig!$C830,Elig_MatchAll_Ct&lt;22,$BC830=(Elig_MatchAll_Ct-1),AU830=0),R830,0)</f>
        <v>0</v>
      </c>
      <c r="BX830" s="314">
        <f>IF(AND(Input_Product=Elig!$C830,Elig_MatchAll_Ct&lt;22,$BC830=(Elig_MatchAll_Ct-1),AU830=0),S830,0)</f>
        <v>0</v>
      </c>
      <c r="BY830" s="313">
        <f>IF(AND(Input_Product=Elig!$C830,Elig_MatchAll_Ct&lt;22,$BC830=(Elig_MatchAll_Ct-1),AV830=0),T830,0)</f>
        <v>0</v>
      </c>
      <c r="BZ830" s="314">
        <f>IF(AND(Input_Product=Elig!$C830,Elig_MatchAll_Ct&lt;22,$BC830=(Elig_MatchAll_Ct-1),AV830=0),U830,0)</f>
        <v>0</v>
      </c>
      <c r="CA830" s="313">
        <f>IF(AND(Input_Product=Elig!$C830,Elig_MatchAll_Ct&lt;22,$BC830=(Elig_MatchAll_Ct-1),AW830=0),V830,0)</f>
        <v>0</v>
      </c>
      <c r="CB830" s="314">
        <f>IF(AND(Input_Product=Elig!$C830,Elig_MatchAll_Ct&lt;22,$BC830=(Elig_MatchAll_Ct-1),AW830=0),W830,0)</f>
        <v>0</v>
      </c>
      <c r="CC830" s="313">
        <f>IF(AND(Input_Product=Elig!$C830,Elig_MatchAll_Ct&lt;22,$BC830=(Elig_MatchAll_Ct-1),AX830=0),X830,0)</f>
        <v>0</v>
      </c>
      <c r="CD830" s="314">
        <f>IF(AND(Input_Product=Elig!$C830,Elig_MatchAll_Ct&lt;22,$BC830=(Elig_MatchAll_Ct-1),AX830=0),Y830,0)</f>
        <v>0</v>
      </c>
      <c r="CE830" s="313">
        <f>IF(AND(Input_LTV&lt;=AE830,Input_Product=Elig!$C830,Elig_MatchAll_Ct&lt;22,$BC830=(Elig_MatchAll_Ct-1),AY830=0),Z830,0)</f>
        <v>0</v>
      </c>
      <c r="CF830" s="314">
        <f>IF(AND(Input_LTV&lt;=AE830,Input_Product=Elig!$C830,Elig_MatchAll_Ct&lt;22,$BC830=(Elig_MatchAll_Ct-1),AY830=0),AA830,0)</f>
        <v>0</v>
      </c>
      <c r="CG830" s="313">
        <f>IF(AND(Input_Product=Elig!$C830,Elig_MatchAll_Ct&lt;22,$BC830=(Elig_MatchAll_Ct-1),AZ830=0),AB830,0)</f>
        <v>0</v>
      </c>
      <c r="CH830" s="314">
        <f>IF(AND(Input_Product=Elig!$C830,Elig_MatchAll_Ct&lt;22,$BC830=(Elig_MatchAll_Ct-1),AZ830=0),AC830,0)</f>
        <v>0</v>
      </c>
      <c r="CI830" s="313">
        <f>IF(AND(Input_Product=Elig!$C830,Elig_MatchAll_Ct&lt;22,$BC830=(Elig_MatchAll_Ct-1),BA830=0),AD830,0)</f>
        <v>0</v>
      </c>
      <c r="CJ830" s="314">
        <f>IF(AND(Input_Product=Elig!$C830,Elig_MatchAll_Ct&lt;22,$BC830=(Elig_MatchAll_Ct-1),BA830=0),AE830,0)</f>
        <v>0</v>
      </c>
    </row>
    <row r="831" spans="2:88" ht="10.15" customHeight="1" x14ac:dyDescent="0.25">
      <c r="B831" s="2035" t="s">
        <v>3734</v>
      </c>
      <c r="C831" s="2036" t="str">
        <f t="shared" si="330"/>
        <v>Second NOO</v>
      </c>
      <c r="D831" s="2035" t="s">
        <v>1302</v>
      </c>
      <c r="E831" s="2035" t="s">
        <v>98</v>
      </c>
      <c r="F831" s="2035" t="s">
        <v>330</v>
      </c>
      <c r="G831" s="2113" t="s">
        <v>181</v>
      </c>
      <c r="H831" s="2037" t="s">
        <v>136</v>
      </c>
      <c r="I831" s="2035" t="s">
        <v>1332</v>
      </c>
      <c r="J831" s="2035" t="s">
        <v>1311</v>
      </c>
      <c r="K831" s="2037" t="s">
        <v>1790</v>
      </c>
      <c r="L831" s="2035" t="s">
        <v>430</v>
      </c>
      <c r="M831" s="2035" t="s">
        <v>2677</v>
      </c>
      <c r="N831" s="2113" t="s">
        <v>4156</v>
      </c>
      <c r="O831" s="2035" t="s">
        <v>4099</v>
      </c>
      <c r="P831" s="2035" t="s">
        <v>291</v>
      </c>
      <c r="Q831" s="2035" t="s">
        <v>294</v>
      </c>
      <c r="R831" s="2035">
        <v>200000</v>
      </c>
      <c r="S831" s="2035">
        <v>350000</v>
      </c>
      <c r="T831" s="2035">
        <v>0</v>
      </c>
      <c r="U831" s="2035">
        <f t="shared" si="331"/>
        <v>350000</v>
      </c>
      <c r="V831" s="2035">
        <v>0</v>
      </c>
      <c r="W831" s="2035">
        <v>50</v>
      </c>
      <c r="X831" s="2109">
        <v>1</v>
      </c>
      <c r="Y831" s="2035">
        <v>999</v>
      </c>
      <c r="Z831" s="2038">
        <v>700</v>
      </c>
      <c r="AA831" s="2038">
        <v>719</v>
      </c>
      <c r="AB831" s="2038">
        <v>0</v>
      </c>
      <c r="AC831" s="2038">
        <v>999999</v>
      </c>
      <c r="AD831" s="2035">
        <v>0</v>
      </c>
      <c r="AE831" s="2109">
        <v>75</v>
      </c>
      <c r="AF831" s="170">
        <v>0</v>
      </c>
      <c r="AG831" s="171">
        <v>0</v>
      </c>
      <c r="AH831" s="171">
        <v>1</v>
      </c>
      <c r="AI831" s="171">
        <v>0</v>
      </c>
      <c r="AJ831" s="171">
        <v>0</v>
      </c>
      <c r="AK831" s="171">
        <v>1</v>
      </c>
      <c r="AL831" s="171">
        <v>1</v>
      </c>
      <c r="AM831" s="171">
        <v>1</v>
      </c>
      <c r="AN831" s="171">
        <v>1</v>
      </c>
      <c r="AO831" s="171">
        <v>1</v>
      </c>
      <c r="AP831" s="171">
        <v>1</v>
      </c>
      <c r="AQ831" s="171">
        <v>1</v>
      </c>
      <c r="AR831" s="171">
        <v>1</v>
      </c>
      <c r="AS831" s="171">
        <v>1</v>
      </c>
      <c r="AT831" s="171">
        <v>1</v>
      </c>
      <c r="AU831" s="171">
        <f t="shared" si="324"/>
        <v>1</v>
      </c>
      <c r="AV831" s="171">
        <f t="shared" si="325"/>
        <v>1</v>
      </c>
      <c r="AW831" s="171">
        <f t="shared" si="326"/>
        <v>1</v>
      </c>
      <c r="AX831" s="171">
        <f t="shared" si="335"/>
        <v>0</v>
      </c>
      <c r="AY831" s="171">
        <f t="shared" si="327"/>
        <v>0</v>
      </c>
      <c r="AZ831" s="171">
        <f t="shared" si="328"/>
        <v>1</v>
      </c>
      <c r="BA831" s="172">
        <f t="shared" si="329"/>
        <v>1</v>
      </c>
      <c r="BB831" s="175">
        <f t="shared" si="340"/>
        <v>16</v>
      </c>
      <c r="BC831" s="176">
        <f t="shared" si="341"/>
        <v>15</v>
      </c>
      <c r="BD831" s="176">
        <f t="shared" si="342"/>
        <v>16</v>
      </c>
      <c r="BE831" s="240" t="str">
        <f t="shared" si="322"/>
        <v/>
      </c>
      <c r="BF831" s="234"/>
      <c r="BG831" s="234"/>
      <c r="BH831" s="199">
        <f>IF(AND(Input_Product=Elig!$C831,Elig_MatchAll_Ct&lt;22,$BC831=(Elig_MatchAll_Ct-1),AF831=0),C831,0)</f>
        <v>0</v>
      </c>
      <c r="BI831" s="199">
        <f>IF(AND(Input_Product=Elig!$C831,Elig_MatchAll_Ct&lt;22,$BC831=(Elig_MatchAll_Ct-1),AG831=0),D831,0)</f>
        <v>0</v>
      </c>
      <c r="BJ831" s="199">
        <f>IF(AND(Input_Product=Elig!$C831,Elig_MatchAll_Ct&lt;22,$BC831=(Elig_MatchAll_Ct-1),AH831=0),E831,0)</f>
        <v>0</v>
      </c>
      <c r="BK831" s="199">
        <f>IF(AND(Input_Product=Elig!$C831,Elig_MatchAll_Ct&lt;22,$BC831=(Elig_MatchAll_Ct-1),AI831=0),F831,0)</f>
        <v>0</v>
      </c>
      <c r="BL831" s="199">
        <f>IF(AND(Input_Product=Elig!$C831,Elig_MatchAll_Ct&lt;22,$BC831=(Elig_MatchAll_Ct-1),AJ831=0),G831,0)</f>
        <v>0</v>
      </c>
      <c r="BM831" s="199">
        <f>IF(AND(Input_Product=Elig!$C831,Elig_MatchAll_Ct&lt;22,$BC831=(Elig_MatchAll_Ct-1),AK831=0),H831,0)</f>
        <v>0</v>
      </c>
      <c r="BN831" s="199">
        <f>IF(AND(Input_Product=Elig!$C831,Elig_MatchAll_Ct&lt;22,$BC831=(Elig_MatchAll_Ct-1),AL831=0),I831,0)</f>
        <v>0</v>
      </c>
      <c r="BO831" s="199">
        <f>IF(AND(Input_Product=Elig!$C831,Elig_MatchAll_Ct&lt;22,$BC831=(Elig_MatchAll_Ct-1),AM831=0),J831,0)</f>
        <v>0</v>
      </c>
      <c r="BP831" s="199">
        <f>IF(AND(Input_Product=Elig!$C831,Elig_MatchAll_Ct&lt;22,$BC831=(Elig_MatchAll_Ct-1),AN831=0),K831,0)</f>
        <v>0</v>
      </c>
      <c r="BQ831" s="199">
        <f>IF(AND(Input_Product=Elig!$C831,Elig_MatchAll_Ct&lt;22,$BC831=(Elig_MatchAll_Ct-1),AP831=0),L831,0)</f>
        <v>0</v>
      </c>
      <c r="BR831" s="199">
        <f>IF(AND(Input_Product=Elig!$C831,Elig_MatchAll_Ct&lt;22,$BC831=(Elig_MatchAll_Ct-1),AO831=0),M831,0)</f>
        <v>0</v>
      </c>
      <c r="BS831" s="199">
        <f>IF(AND(Input_Product=Elig!$C831,Elig_MatchAll_Ct&lt;22,$BC831=(Elig_MatchAll_Ct-1),AQ831=0),N831,0)</f>
        <v>0</v>
      </c>
      <c r="BT831" s="199">
        <f>IF(AND(Input_Product=Elig!$C831,Elig_MatchAll_Ct&lt;22,$BC831=(Elig_MatchAll_Ct-1),AR831=0),O831,0)</f>
        <v>0</v>
      </c>
      <c r="BU831" s="199">
        <f>IF(AND(Input_Product=Elig!$C831,Elig_MatchAll_Ct&lt;22,$BC831=(Elig_MatchAll_Ct-1),AS831=0),P831,0)</f>
        <v>0</v>
      </c>
      <c r="BV831" s="200">
        <f>IF(AND(Input_Product=Elig!$C831,Elig_MatchAll_Ct&lt;22,$BC831=(Elig_MatchAll_Ct-1),AT831=0),Q831,0)</f>
        <v>0</v>
      </c>
      <c r="BW831" s="201">
        <f>IF(AND(Input_Product=Elig!$C831,Elig_MatchAll_Ct&lt;22,$BC831=(Elig_MatchAll_Ct-1),AU831=0),R831,0)</f>
        <v>0</v>
      </c>
      <c r="BX831" s="202">
        <f>IF(AND(Input_Product=Elig!$C831,Elig_MatchAll_Ct&lt;22,$BC831=(Elig_MatchAll_Ct-1),AU831=0),S831,0)</f>
        <v>0</v>
      </c>
      <c r="BY831" s="201">
        <f>IF(AND(Input_Product=Elig!$C831,Elig_MatchAll_Ct&lt;22,$BC831=(Elig_MatchAll_Ct-1),AV831=0),T831,0)</f>
        <v>0</v>
      </c>
      <c r="BZ831" s="202">
        <f>IF(AND(Input_Product=Elig!$C831,Elig_MatchAll_Ct&lt;22,$BC831=(Elig_MatchAll_Ct-1),AV831=0),U831,0)</f>
        <v>0</v>
      </c>
      <c r="CA831" s="201">
        <f>IF(AND(Input_Product=Elig!$C831,Elig_MatchAll_Ct&lt;22,$BC831=(Elig_MatchAll_Ct-1),AW831=0),V831,0)</f>
        <v>0</v>
      </c>
      <c r="CB831" s="202">
        <f>IF(AND(Input_Product=Elig!$C831,Elig_MatchAll_Ct&lt;22,$BC831=(Elig_MatchAll_Ct-1),AW831=0),W831,0)</f>
        <v>0</v>
      </c>
      <c r="CC831" s="201">
        <f>IF(AND(Input_Product=Elig!$C831,Elig_MatchAll_Ct&lt;22,$BC831=(Elig_MatchAll_Ct-1),AX831=0),X831,0)</f>
        <v>0</v>
      </c>
      <c r="CD831" s="202">
        <f>IF(AND(Input_Product=Elig!$C831,Elig_MatchAll_Ct&lt;22,$BC831=(Elig_MatchAll_Ct-1),AX831=0),Y831,0)</f>
        <v>0</v>
      </c>
      <c r="CE831" s="201">
        <f>IF(AND(Input_LTV&lt;=AE831,Input_Product=Elig!$C831,Elig_MatchAll_Ct&lt;22,$BC831=(Elig_MatchAll_Ct-1),AY831=0),Z831,0)</f>
        <v>0</v>
      </c>
      <c r="CF831" s="202">
        <f>IF(AND(Input_LTV&lt;=AE831,Input_Product=Elig!$C831,Elig_MatchAll_Ct&lt;22,$BC831=(Elig_MatchAll_Ct-1),AY831=0),AA831,0)</f>
        <v>0</v>
      </c>
      <c r="CG831" s="201">
        <f>IF(AND(Input_Product=Elig!$C831,Elig_MatchAll_Ct&lt;22,$BC831=(Elig_MatchAll_Ct-1),AZ831=0),AB831,0)</f>
        <v>0</v>
      </c>
      <c r="CH831" s="202">
        <f>IF(AND(Input_Product=Elig!$C831,Elig_MatchAll_Ct&lt;22,$BC831=(Elig_MatchAll_Ct-1),AZ831=0),AC831,0)</f>
        <v>0</v>
      </c>
      <c r="CI831" s="201">
        <f>IF(AND(Input_Product=Elig!$C831,Elig_MatchAll_Ct&lt;22,$BC831=(Elig_MatchAll_Ct-1),BA831=0),AD831,0)</f>
        <v>0</v>
      </c>
      <c r="CJ831" s="202">
        <f>IF(AND(Input_Product=Elig!$C831,Elig_MatchAll_Ct&lt;22,$BC831=(Elig_MatchAll_Ct-1),BA831=0),AE831,0)</f>
        <v>0</v>
      </c>
    </row>
    <row r="832" spans="2:88" ht="10.15" customHeight="1" x14ac:dyDescent="0.25">
      <c r="B832" s="2035" t="s">
        <v>3735</v>
      </c>
      <c r="C832" s="2036" t="str">
        <f t="shared" si="330"/>
        <v>Second NOO</v>
      </c>
      <c r="D832" s="2035" t="s">
        <v>1302</v>
      </c>
      <c r="E832" s="2035" t="s">
        <v>98</v>
      </c>
      <c r="F832" s="2035" t="s">
        <v>330</v>
      </c>
      <c r="G832" s="2113" t="s">
        <v>181</v>
      </c>
      <c r="H832" s="2037" t="s">
        <v>136</v>
      </c>
      <c r="I832" s="2035" t="s">
        <v>1332</v>
      </c>
      <c r="J832" s="2035" t="s">
        <v>1311</v>
      </c>
      <c r="K832" s="2037" t="s">
        <v>1790</v>
      </c>
      <c r="L832" s="2035" t="s">
        <v>430</v>
      </c>
      <c r="M832" s="2035" t="s">
        <v>2677</v>
      </c>
      <c r="N832" s="2113" t="s">
        <v>4156</v>
      </c>
      <c r="O832" s="2035" t="s">
        <v>4099</v>
      </c>
      <c r="P832" s="2035" t="s">
        <v>291</v>
      </c>
      <c r="Q832" s="2035" t="s">
        <v>294</v>
      </c>
      <c r="R832" s="2035">
        <v>200000</v>
      </c>
      <c r="S832" s="2035">
        <v>350000</v>
      </c>
      <c r="T832" s="2035">
        <v>0</v>
      </c>
      <c r="U832" s="2035">
        <f t="shared" si="331"/>
        <v>350000</v>
      </c>
      <c r="V832" s="2035">
        <v>0</v>
      </c>
      <c r="W832" s="2035">
        <v>50</v>
      </c>
      <c r="X832" s="2109">
        <v>1</v>
      </c>
      <c r="Y832" s="2035">
        <v>999</v>
      </c>
      <c r="Z832" s="2038">
        <v>680</v>
      </c>
      <c r="AA832" s="2038">
        <v>699</v>
      </c>
      <c r="AB832" s="2038">
        <v>0</v>
      </c>
      <c r="AC832" s="2038">
        <v>999999</v>
      </c>
      <c r="AD832" s="2035">
        <v>0</v>
      </c>
      <c r="AE832" s="2109">
        <v>70</v>
      </c>
      <c r="AF832" s="170">
        <v>0</v>
      </c>
      <c r="AG832" s="171">
        <v>0</v>
      </c>
      <c r="AH832" s="171">
        <v>1</v>
      </c>
      <c r="AI832" s="171">
        <v>0</v>
      </c>
      <c r="AJ832" s="171">
        <v>0</v>
      </c>
      <c r="AK832" s="171">
        <v>1</v>
      </c>
      <c r="AL832" s="171">
        <v>1</v>
      </c>
      <c r="AM832" s="171">
        <v>1</v>
      </c>
      <c r="AN832" s="171">
        <v>1</v>
      </c>
      <c r="AO832" s="171">
        <v>1</v>
      </c>
      <c r="AP832" s="171">
        <v>1</v>
      </c>
      <c r="AQ832" s="171">
        <v>1</v>
      </c>
      <c r="AR832" s="171">
        <v>1</v>
      </c>
      <c r="AS832" s="171">
        <v>1</v>
      </c>
      <c r="AT832" s="171">
        <v>1</v>
      </c>
      <c r="AU832" s="171">
        <f t="shared" si="324"/>
        <v>1</v>
      </c>
      <c r="AV832" s="171">
        <f t="shared" si="325"/>
        <v>1</v>
      </c>
      <c r="AW832" s="171">
        <f t="shared" si="326"/>
        <v>1</v>
      </c>
      <c r="AX832" s="171">
        <f t="shared" si="335"/>
        <v>0</v>
      </c>
      <c r="AY832" s="171">
        <f t="shared" si="327"/>
        <v>0</v>
      </c>
      <c r="AZ832" s="171">
        <f t="shared" si="328"/>
        <v>1</v>
      </c>
      <c r="BA832" s="172">
        <f t="shared" si="329"/>
        <v>1</v>
      </c>
      <c r="BB832" s="175">
        <f t="shared" si="340"/>
        <v>16</v>
      </c>
      <c r="BC832" s="176">
        <f t="shared" si="341"/>
        <v>15</v>
      </c>
      <c r="BD832" s="176">
        <f t="shared" si="342"/>
        <v>16</v>
      </c>
      <c r="BE832" s="240" t="str">
        <f t="shared" si="322"/>
        <v/>
      </c>
      <c r="BF832" s="234"/>
      <c r="BG832" s="234"/>
      <c r="BH832" s="199">
        <f>IF(AND(Input_Product=Elig!$C832,Elig_MatchAll_Ct&lt;22,$BC832=(Elig_MatchAll_Ct-1),AF832=0),C832,0)</f>
        <v>0</v>
      </c>
      <c r="BI832" s="199">
        <f>IF(AND(Input_Product=Elig!$C832,Elig_MatchAll_Ct&lt;22,$BC832=(Elig_MatchAll_Ct-1),AG832=0),D832,0)</f>
        <v>0</v>
      </c>
      <c r="BJ832" s="199">
        <f>IF(AND(Input_Product=Elig!$C832,Elig_MatchAll_Ct&lt;22,$BC832=(Elig_MatchAll_Ct-1),AH832=0),E832,0)</f>
        <v>0</v>
      </c>
      <c r="BK832" s="199">
        <f>IF(AND(Input_Product=Elig!$C832,Elig_MatchAll_Ct&lt;22,$BC832=(Elig_MatchAll_Ct-1),AI832=0),F832,0)</f>
        <v>0</v>
      </c>
      <c r="BL832" s="199">
        <f>IF(AND(Input_Product=Elig!$C832,Elig_MatchAll_Ct&lt;22,$BC832=(Elig_MatchAll_Ct-1),AJ832=0),G832,0)</f>
        <v>0</v>
      </c>
      <c r="BM832" s="199">
        <f>IF(AND(Input_Product=Elig!$C832,Elig_MatchAll_Ct&lt;22,$BC832=(Elig_MatchAll_Ct-1),AK832=0),H832,0)</f>
        <v>0</v>
      </c>
      <c r="BN832" s="199">
        <f>IF(AND(Input_Product=Elig!$C832,Elig_MatchAll_Ct&lt;22,$BC832=(Elig_MatchAll_Ct-1),AL832=0),I832,0)</f>
        <v>0</v>
      </c>
      <c r="BO832" s="199">
        <f>IF(AND(Input_Product=Elig!$C832,Elig_MatchAll_Ct&lt;22,$BC832=(Elig_MatchAll_Ct-1),AM832=0),J832,0)</f>
        <v>0</v>
      </c>
      <c r="BP832" s="199">
        <f>IF(AND(Input_Product=Elig!$C832,Elig_MatchAll_Ct&lt;22,$BC832=(Elig_MatchAll_Ct-1),AN832=0),K832,0)</f>
        <v>0</v>
      </c>
      <c r="BQ832" s="199">
        <f>IF(AND(Input_Product=Elig!$C832,Elig_MatchAll_Ct&lt;22,$BC832=(Elig_MatchAll_Ct-1),AP832=0),L832,0)</f>
        <v>0</v>
      </c>
      <c r="BR832" s="199">
        <f>IF(AND(Input_Product=Elig!$C832,Elig_MatchAll_Ct&lt;22,$BC832=(Elig_MatchAll_Ct-1),AO832=0),M832,0)</f>
        <v>0</v>
      </c>
      <c r="BS832" s="199">
        <f>IF(AND(Input_Product=Elig!$C832,Elig_MatchAll_Ct&lt;22,$BC832=(Elig_MatchAll_Ct-1),AQ832=0),N832,0)</f>
        <v>0</v>
      </c>
      <c r="BT832" s="199">
        <f>IF(AND(Input_Product=Elig!$C832,Elig_MatchAll_Ct&lt;22,$BC832=(Elig_MatchAll_Ct-1),AR832=0),O832,0)</f>
        <v>0</v>
      </c>
      <c r="BU832" s="199">
        <f>IF(AND(Input_Product=Elig!$C832,Elig_MatchAll_Ct&lt;22,$BC832=(Elig_MatchAll_Ct-1),AS832=0),P832,0)</f>
        <v>0</v>
      </c>
      <c r="BV832" s="200">
        <f>IF(AND(Input_Product=Elig!$C832,Elig_MatchAll_Ct&lt;22,$BC832=(Elig_MatchAll_Ct-1),AT832=0),Q832,0)</f>
        <v>0</v>
      </c>
      <c r="BW832" s="201">
        <f>IF(AND(Input_Product=Elig!$C832,Elig_MatchAll_Ct&lt;22,$BC832=(Elig_MatchAll_Ct-1),AU832=0),R832,0)</f>
        <v>0</v>
      </c>
      <c r="BX832" s="202">
        <f>IF(AND(Input_Product=Elig!$C832,Elig_MatchAll_Ct&lt;22,$BC832=(Elig_MatchAll_Ct-1),AU832=0),S832,0)</f>
        <v>0</v>
      </c>
      <c r="BY832" s="201">
        <f>IF(AND(Input_Product=Elig!$C832,Elig_MatchAll_Ct&lt;22,$BC832=(Elig_MatchAll_Ct-1),AV832=0),T832,0)</f>
        <v>0</v>
      </c>
      <c r="BZ832" s="202">
        <f>IF(AND(Input_Product=Elig!$C832,Elig_MatchAll_Ct&lt;22,$BC832=(Elig_MatchAll_Ct-1),AV832=0),U832,0)</f>
        <v>0</v>
      </c>
      <c r="CA832" s="201">
        <f>IF(AND(Input_Product=Elig!$C832,Elig_MatchAll_Ct&lt;22,$BC832=(Elig_MatchAll_Ct-1),AW832=0),V832,0)</f>
        <v>0</v>
      </c>
      <c r="CB832" s="202">
        <f>IF(AND(Input_Product=Elig!$C832,Elig_MatchAll_Ct&lt;22,$BC832=(Elig_MatchAll_Ct-1),AW832=0),W832,0)</f>
        <v>0</v>
      </c>
      <c r="CC832" s="201">
        <f>IF(AND(Input_Product=Elig!$C832,Elig_MatchAll_Ct&lt;22,$BC832=(Elig_MatchAll_Ct-1),AX832=0),X832,0)</f>
        <v>0</v>
      </c>
      <c r="CD832" s="202">
        <f>IF(AND(Input_Product=Elig!$C832,Elig_MatchAll_Ct&lt;22,$BC832=(Elig_MatchAll_Ct-1),AX832=0),Y832,0)</f>
        <v>0</v>
      </c>
      <c r="CE832" s="201">
        <f>IF(AND(Input_LTV&lt;=AE832,Input_Product=Elig!$C832,Elig_MatchAll_Ct&lt;22,$BC832=(Elig_MatchAll_Ct-1),AY832=0),Z832,0)</f>
        <v>0</v>
      </c>
      <c r="CF832" s="202">
        <f>IF(AND(Input_LTV&lt;=AE832,Input_Product=Elig!$C832,Elig_MatchAll_Ct&lt;22,$BC832=(Elig_MatchAll_Ct-1),AY832=0),AA832,0)</f>
        <v>0</v>
      </c>
      <c r="CG832" s="201">
        <f>IF(AND(Input_Product=Elig!$C832,Elig_MatchAll_Ct&lt;22,$BC832=(Elig_MatchAll_Ct-1),AZ832=0),AB832,0)</f>
        <v>0</v>
      </c>
      <c r="CH832" s="202">
        <f>IF(AND(Input_Product=Elig!$C832,Elig_MatchAll_Ct&lt;22,$BC832=(Elig_MatchAll_Ct-1),AZ832=0),AC832,0)</f>
        <v>0</v>
      </c>
      <c r="CI832" s="201">
        <f>IF(AND(Input_Product=Elig!$C832,Elig_MatchAll_Ct&lt;22,$BC832=(Elig_MatchAll_Ct-1),BA832=0),AD832,0)</f>
        <v>0</v>
      </c>
      <c r="CJ832" s="202">
        <f>IF(AND(Input_Product=Elig!$C832,Elig_MatchAll_Ct&lt;22,$BC832=(Elig_MatchAll_Ct-1),BA832=0),AE832,0)</f>
        <v>0</v>
      </c>
    </row>
    <row r="833" spans="2:88" ht="10.15" customHeight="1" x14ac:dyDescent="0.25">
      <c r="B833" s="2035" t="s">
        <v>3736</v>
      </c>
      <c r="C833" s="2036" t="str">
        <f t="shared" si="330"/>
        <v>Second NOO</v>
      </c>
      <c r="D833" s="2035" t="s">
        <v>1302</v>
      </c>
      <c r="E833" s="2035" t="s">
        <v>98</v>
      </c>
      <c r="F833" s="2035" t="s">
        <v>330</v>
      </c>
      <c r="G833" s="2113" t="s">
        <v>181</v>
      </c>
      <c r="H833" s="2037" t="s">
        <v>136</v>
      </c>
      <c r="I833" s="2035" t="s">
        <v>1332</v>
      </c>
      <c r="J833" s="2037" t="s">
        <v>1311</v>
      </c>
      <c r="K833" s="2037" t="s">
        <v>1790</v>
      </c>
      <c r="L833" s="2035" t="s">
        <v>430</v>
      </c>
      <c r="M833" s="2035" t="s">
        <v>2677</v>
      </c>
      <c r="N833" s="2113" t="s">
        <v>4156</v>
      </c>
      <c r="O833" s="2035" t="s">
        <v>4099</v>
      </c>
      <c r="P833" s="2035" t="s">
        <v>291</v>
      </c>
      <c r="Q833" s="2035" t="s">
        <v>294</v>
      </c>
      <c r="R833" s="2035">
        <v>200000</v>
      </c>
      <c r="S833" s="2035">
        <v>350000</v>
      </c>
      <c r="T833" s="2035">
        <v>0</v>
      </c>
      <c r="U833" s="2035">
        <f t="shared" si="331"/>
        <v>350000</v>
      </c>
      <c r="V833" s="2035">
        <v>0</v>
      </c>
      <c r="W833" s="2035">
        <v>50</v>
      </c>
      <c r="X833" s="2109">
        <v>1</v>
      </c>
      <c r="Y833" s="2035">
        <v>999</v>
      </c>
      <c r="Z833" s="2038">
        <v>660</v>
      </c>
      <c r="AA833" s="2038">
        <v>679</v>
      </c>
      <c r="AB833" s="2038">
        <v>0</v>
      </c>
      <c r="AC833" s="2038">
        <v>999999</v>
      </c>
      <c r="AD833" s="2035">
        <v>0</v>
      </c>
      <c r="AE833" s="2035">
        <v>-999</v>
      </c>
      <c r="AF833" s="170">
        <v>0</v>
      </c>
      <c r="AG833" s="171">
        <v>0</v>
      </c>
      <c r="AH833" s="171">
        <v>1</v>
      </c>
      <c r="AI833" s="171">
        <v>0</v>
      </c>
      <c r="AJ833" s="171">
        <v>0</v>
      </c>
      <c r="AK833" s="171">
        <v>1</v>
      </c>
      <c r="AL833" s="171">
        <v>1</v>
      </c>
      <c r="AM833" s="171">
        <v>1</v>
      </c>
      <c r="AN833" s="171">
        <v>1</v>
      </c>
      <c r="AO833" s="171">
        <v>1</v>
      </c>
      <c r="AP833" s="171">
        <v>1</v>
      </c>
      <c r="AQ833" s="171">
        <v>1</v>
      </c>
      <c r="AR833" s="171">
        <v>1</v>
      </c>
      <c r="AS833" s="171">
        <v>1</v>
      </c>
      <c r="AT833" s="171">
        <v>1</v>
      </c>
      <c r="AU833" s="171">
        <f t="shared" si="324"/>
        <v>1</v>
      </c>
      <c r="AV833" s="171">
        <f t="shared" si="325"/>
        <v>1</v>
      </c>
      <c r="AW833" s="171">
        <f t="shared" si="326"/>
        <v>1</v>
      </c>
      <c r="AX833" s="171">
        <f t="shared" si="335"/>
        <v>0</v>
      </c>
      <c r="AY833" s="171">
        <f t="shared" si="327"/>
        <v>0</v>
      </c>
      <c r="AZ833" s="171">
        <f t="shared" si="328"/>
        <v>1</v>
      </c>
      <c r="BA833" s="172">
        <f t="shared" si="329"/>
        <v>0</v>
      </c>
      <c r="BB833" s="175">
        <f t="shared" si="340"/>
        <v>15</v>
      </c>
      <c r="BC833" s="176">
        <f t="shared" si="341"/>
        <v>15</v>
      </c>
      <c r="BD833" s="176">
        <f t="shared" si="342"/>
        <v>15</v>
      </c>
      <c r="BE833" s="240" t="str">
        <f t="shared" si="322"/>
        <v/>
      </c>
      <c r="BF833" s="234"/>
      <c r="BG833" s="234"/>
      <c r="BH833" s="214">
        <f>IF(AND(Input_Product=Elig!$C833,Elig_MatchAll_Ct&lt;22,$BC833=(Elig_MatchAll_Ct-1),AF833=0),C833,0)</f>
        <v>0</v>
      </c>
      <c r="BI833" s="214">
        <f>IF(AND(Input_Product=Elig!$C833,Elig_MatchAll_Ct&lt;22,$BC833=(Elig_MatchAll_Ct-1),AG833=0),D833,0)</f>
        <v>0</v>
      </c>
      <c r="BJ833" s="214">
        <f>IF(AND(Input_Product=Elig!$C833,Elig_MatchAll_Ct&lt;22,$BC833=(Elig_MatchAll_Ct-1),AH833=0),E833,0)</f>
        <v>0</v>
      </c>
      <c r="BK833" s="214">
        <f>IF(AND(Input_Product=Elig!$C833,Elig_MatchAll_Ct&lt;22,$BC833=(Elig_MatchAll_Ct-1),AI833=0),F833,0)</f>
        <v>0</v>
      </c>
      <c r="BL833" s="214">
        <f>IF(AND(Input_Product=Elig!$C833,Elig_MatchAll_Ct&lt;22,$BC833=(Elig_MatchAll_Ct-1),AJ833=0),G833,0)</f>
        <v>0</v>
      </c>
      <c r="BM833" s="214">
        <f>IF(AND(Input_Product=Elig!$C833,Elig_MatchAll_Ct&lt;22,$BC833=(Elig_MatchAll_Ct-1),AK833=0),H833,0)</f>
        <v>0</v>
      </c>
      <c r="BN833" s="214">
        <f>IF(AND(Input_Product=Elig!$C833,Elig_MatchAll_Ct&lt;22,$BC833=(Elig_MatchAll_Ct-1),AL833=0),I833,0)</f>
        <v>0</v>
      </c>
      <c r="BO833" s="214">
        <f>IF(AND(Input_Product=Elig!$C833,Elig_MatchAll_Ct&lt;22,$BC833=(Elig_MatchAll_Ct-1),AM833=0),J833,0)</f>
        <v>0</v>
      </c>
      <c r="BP833" s="214">
        <f>IF(AND(Input_Product=Elig!$C833,Elig_MatchAll_Ct&lt;22,$BC833=(Elig_MatchAll_Ct-1),AN833=0),K833,0)</f>
        <v>0</v>
      </c>
      <c r="BQ833" s="214">
        <f>IF(AND(Input_Product=Elig!$C833,Elig_MatchAll_Ct&lt;22,$BC833=(Elig_MatchAll_Ct-1),AP833=0),L833,0)</f>
        <v>0</v>
      </c>
      <c r="BR833" s="214">
        <f>IF(AND(Input_Product=Elig!$C833,Elig_MatchAll_Ct&lt;22,$BC833=(Elig_MatchAll_Ct-1),AO833=0),M833,0)</f>
        <v>0</v>
      </c>
      <c r="BS833" s="214">
        <f>IF(AND(Input_Product=Elig!$C833,Elig_MatchAll_Ct&lt;22,$BC833=(Elig_MatchAll_Ct-1),AQ833=0),N833,0)</f>
        <v>0</v>
      </c>
      <c r="BT833" s="214">
        <f>IF(AND(Input_Product=Elig!$C833,Elig_MatchAll_Ct&lt;22,$BC833=(Elig_MatchAll_Ct-1),AR833=0),O833,0)</f>
        <v>0</v>
      </c>
      <c r="BU833" s="214">
        <f>IF(AND(Input_Product=Elig!$C833,Elig_MatchAll_Ct&lt;22,$BC833=(Elig_MatchAll_Ct-1),AS833=0),P833,0)</f>
        <v>0</v>
      </c>
      <c r="BV833" s="215">
        <f>IF(AND(Input_Product=Elig!$C833,Elig_MatchAll_Ct&lt;22,$BC833=(Elig_MatchAll_Ct-1),AT833=0),Q833,0)</f>
        <v>0</v>
      </c>
      <c r="BW833" s="311">
        <f>IF(AND(Input_Product=Elig!$C833,Elig_MatchAll_Ct&lt;22,$BC833=(Elig_MatchAll_Ct-1),AU833=0),R833,0)</f>
        <v>0</v>
      </c>
      <c r="BX833" s="312">
        <f>IF(AND(Input_Product=Elig!$C833,Elig_MatchAll_Ct&lt;22,$BC833=(Elig_MatchAll_Ct-1),AU833=0),S833,0)</f>
        <v>0</v>
      </c>
      <c r="BY833" s="311">
        <f>IF(AND(Input_Product=Elig!$C833,Elig_MatchAll_Ct&lt;22,$BC833=(Elig_MatchAll_Ct-1),AV833=0),T833,0)</f>
        <v>0</v>
      </c>
      <c r="BZ833" s="312">
        <f>IF(AND(Input_Product=Elig!$C833,Elig_MatchAll_Ct&lt;22,$BC833=(Elig_MatchAll_Ct-1),AV833=0),U833,0)</f>
        <v>0</v>
      </c>
      <c r="CA833" s="311">
        <f>IF(AND(Input_Product=Elig!$C833,Elig_MatchAll_Ct&lt;22,$BC833=(Elig_MatchAll_Ct-1),AW833=0),V833,0)</f>
        <v>0</v>
      </c>
      <c r="CB833" s="312">
        <f>IF(AND(Input_Product=Elig!$C833,Elig_MatchAll_Ct&lt;22,$BC833=(Elig_MatchAll_Ct-1),AW833=0),W833,0)</f>
        <v>0</v>
      </c>
      <c r="CC833" s="311">
        <f>IF(AND(Input_Product=Elig!$C833,Elig_MatchAll_Ct&lt;22,$BC833=(Elig_MatchAll_Ct-1),AX833=0),X833,0)</f>
        <v>0</v>
      </c>
      <c r="CD833" s="312">
        <f>IF(AND(Input_Product=Elig!$C833,Elig_MatchAll_Ct&lt;22,$BC833=(Elig_MatchAll_Ct-1),AX833=0),Y833,0)</f>
        <v>0</v>
      </c>
      <c r="CE833" s="311">
        <f>IF(AND(Input_LTV&lt;=AE833,Input_Product=Elig!$C833,Elig_MatchAll_Ct&lt;22,$BC833=(Elig_MatchAll_Ct-1),AY833=0),Z833,0)</f>
        <v>0</v>
      </c>
      <c r="CF833" s="312">
        <f>IF(AND(Input_LTV&lt;=AE833,Input_Product=Elig!$C833,Elig_MatchAll_Ct&lt;22,$BC833=(Elig_MatchAll_Ct-1),AY833=0),AA833,0)</f>
        <v>0</v>
      </c>
      <c r="CG833" s="311">
        <f>IF(AND(Input_Product=Elig!$C833,Elig_MatchAll_Ct&lt;22,$BC833=(Elig_MatchAll_Ct-1),AZ833=0),AB833,0)</f>
        <v>0</v>
      </c>
      <c r="CH833" s="312">
        <f>IF(AND(Input_Product=Elig!$C833,Elig_MatchAll_Ct&lt;22,$BC833=(Elig_MatchAll_Ct-1),AZ833=0),AC833,0)</f>
        <v>0</v>
      </c>
      <c r="CI833" s="311">
        <f>IF(AND(Input_Product=Elig!$C833,Elig_MatchAll_Ct&lt;22,$BC833=(Elig_MatchAll_Ct-1),BA833=0),AD833,0)</f>
        <v>0</v>
      </c>
      <c r="CJ833" s="312">
        <f>IF(AND(Input_Product=Elig!$C833,Elig_MatchAll_Ct&lt;22,$BC833=(Elig_MatchAll_Ct-1),BA833=0),AE833,0)</f>
        <v>0</v>
      </c>
    </row>
    <row r="834" spans="2:88" ht="10.15" customHeight="1" x14ac:dyDescent="0.25">
      <c r="B834" s="2035" t="s">
        <v>3824</v>
      </c>
      <c r="C834" s="2040" t="str">
        <f t="shared" si="330"/>
        <v>Second NOO</v>
      </c>
      <c r="D834" s="2041" t="s">
        <v>1569</v>
      </c>
      <c r="E834" s="2041" t="s">
        <v>98</v>
      </c>
      <c r="F834" s="2041" t="s">
        <v>330</v>
      </c>
      <c r="G834" s="2041" t="s">
        <v>303</v>
      </c>
      <c r="H834" s="2041" t="s">
        <v>136</v>
      </c>
      <c r="I834" s="2039" t="s">
        <v>1332</v>
      </c>
      <c r="J834" s="2039" t="s">
        <v>1311</v>
      </c>
      <c r="K834" s="2041" t="s">
        <v>1790</v>
      </c>
      <c r="L834" s="2039" t="s">
        <v>430</v>
      </c>
      <c r="M834" s="2039" t="s">
        <v>2677</v>
      </c>
      <c r="N834" s="2041" t="s">
        <v>82</v>
      </c>
      <c r="O834" s="2039" t="s">
        <v>310</v>
      </c>
      <c r="P834" s="2039" t="s">
        <v>291</v>
      </c>
      <c r="Q834" s="2039" t="s">
        <v>294</v>
      </c>
      <c r="R834" s="2039">
        <v>350000.01</v>
      </c>
      <c r="S834" s="2108">
        <v>500000</v>
      </c>
      <c r="T834" s="2039">
        <v>0</v>
      </c>
      <c r="U834" s="2039">
        <f t="shared" si="331"/>
        <v>500000</v>
      </c>
      <c r="V834" s="2039">
        <v>0</v>
      </c>
      <c r="W834" s="2039">
        <v>50</v>
      </c>
      <c r="X834" s="2039">
        <v>0</v>
      </c>
      <c r="Y834" s="2039">
        <v>999</v>
      </c>
      <c r="Z834" s="2042">
        <v>720</v>
      </c>
      <c r="AA834" s="2042">
        <v>999</v>
      </c>
      <c r="AB834" s="2042">
        <v>0</v>
      </c>
      <c r="AC834" s="2042">
        <v>999999</v>
      </c>
      <c r="AD834" s="2039">
        <v>0</v>
      </c>
      <c r="AE834" s="2039">
        <v>80</v>
      </c>
      <c r="AF834" s="170">
        <v>0</v>
      </c>
      <c r="AG834" s="171">
        <v>1</v>
      </c>
      <c r="AH834" s="171">
        <v>1</v>
      </c>
      <c r="AI834" s="171">
        <v>0</v>
      </c>
      <c r="AJ834" s="171">
        <v>1</v>
      </c>
      <c r="AK834" s="171">
        <v>1</v>
      </c>
      <c r="AL834" s="171">
        <v>1</v>
      </c>
      <c r="AM834" s="171">
        <v>1</v>
      </c>
      <c r="AN834" s="171">
        <v>1</v>
      </c>
      <c r="AO834" s="171">
        <v>1</v>
      </c>
      <c r="AP834" s="171">
        <v>1</v>
      </c>
      <c r="AQ834" s="171">
        <v>1</v>
      </c>
      <c r="AR834" s="171">
        <v>1</v>
      </c>
      <c r="AS834" s="171">
        <v>1</v>
      </c>
      <c r="AT834" s="171">
        <v>1</v>
      </c>
      <c r="AU834" s="171">
        <f t="shared" si="324"/>
        <v>0</v>
      </c>
      <c r="AV834" s="171">
        <f t="shared" si="325"/>
        <v>1</v>
      </c>
      <c r="AW834" s="171">
        <f t="shared" si="326"/>
        <v>1</v>
      </c>
      <c r="AX834" s="171">
        <f t="shared" si="335"/>
        <v>1</v>
      </c>
      <c r="AY834" s="171">
        <f t="shared" si="327"/>
        <v>1</v>
      </c>
      <c r="AZ834" s="171">
        <f t="shared" si="328"/>
        <v>1</v>
      </c>
      <c r="BA834" s="172">
        <f t="shared" si="329"/>
        <v>1</v>
      </c>
      <c r="BB834" s="175">
        <f t="shared" si="332"/>
        <v>19</v>
      </c>
      <c r="BC834" s="176">
        <f t="shared" si="333"/>
        <v>18</v>
      </c>
      <c r="BD834" s="176">
        <f t="shared" si="334"/>
        <v>19</v>
      </c>
      <c r="BE834" s="240" t="str">
        <f t="shared" si="322"/>
        <v/>
      </c>
      <c r="BF834" s="220"/>
      <c r="BG834" s="220"/>
      <c r="BH834" s="216">
        <f>IF(AND(Input_Product=Elig!$C834,Elig_MatchAll_Ct&lt;22,$BC834=(Elig_MatchAll_Ct-1),AF834=0),C834,0)</f>
        <v>0</v>
      </c>
      <c r="BI834" s="216">
        <f>IF(AND(Input_Product=Elig!$C834,Elig_MatchAll_Ct&lt;22,$BC834=(Elig_MatchAll_Ct-1),AG834=0),D834,0)</f>
        <v>0</v>
      </c>
      <c r="BJ834" s="216">
        <f>IF(AND(Input_Product=Elig!$C834,Elig_MatchAll_Ct&lt;22,$BC834=(Elig_MatchAll_Ct-1),AH834=0),E834,0)</f>
        <v>0</v>
      </c>
      <c r="BK834" s="216">
        <f>IF(AND(Input_Product=Elig!$C834,Elig_MatchAll_Ct&lt;22,$BC834=(Elig_MatchAll_Ct-1),AI834=0),F834,0)</f>
        <v>0</v>
      </c>
      <c r="BL834" s="216">
        <f>IF(AND(Input_Product=Elig!$C834,Elig_MatchAll_Ct&lt;22,$BC834=(Elig_MatchAll_Ct-1),AJ834=0),G834,0)</f>
        <v>0</v>
      </c>
      <c r="BM834" s="216">
        <f>IF(AND(Input_Product=Elig!$C834,Elig_MatchAll_Ct&lt;22,$BC834=(Elig_MatchAll_Ct-1),AK834=0),H834,0)</f>
        <v>0</v>
      </c>
      <c r="BN834" s="216">
        <f>IF(AND(Input_Product=Elig!$C834,Elig_MatchAll_Ct&lt;22,$BC834=(Elig_MatchAll_Ct-1),AL834=0),I834,0)</f>
        <v>0</v>
      </c>
      <c r="BO834" s="216">
        <f>IF(AND(Input_Product=Elig!$C834,Elig_MatchAll_Ct&lt;22,$BC834=(Elig_MatchAll_Ct-1),AM834=0),J834,0)</f>
        <v>0</v>
      </c>
      <c r="BP834" s="216">
        <f>IF(AND(Input_Product=Elig!$C834,Elig_MatchAll_Ct&lt;22,$BC834=(Elig_MatchAll_Ct-1),AN834=0),K834,0)</f>
        <v>0</v>
      </c>
      <c r="BQ834" s="216">
        <f>IF(AND(Input_Product=Elig!$C834,Elig_MatchAll_Ct&lt;22,$BC834=(Elig_MatchAll_Ct-1),AP834=0),L834,0)</f>
        <v>0</v>
      </c>
      <c r="BR834" s="216">
        <f>IF(AND(Input_Product=Elig!$C834,Elig_MatchAll_Ct&lt;22,$BC834=(Elig_MatchAll_Ct-1),AO834=0),M834,0)</f>
        <v>0</v>
      </c>
      <c r="BS834" s="216">
        <f>IF(AND(Input_Product=Elig!$C834,Elig_MatchAll_Ct&lt;22,$BC834=(Elig_MatchAll_Ct-1),AQ834=0),N834,0)</f>
        <v>0</v>
      </c>
      <c r="BT834" s="216">
        <f>IF(AND(Input_Product=Elig!$C834,Elig_MatchAll_Ct&lt;22,$BC834=(Elig_MatchAll_Ct-1),AR834=0),O834,0)</f>
        <v>0</v>
      </c>
      <c r="BU834" s="216">
        <f>IF(AND(Input_Product=Elig!$C834,Elig_MatchAll_Ct&lt;22,$BC834=(Elig_MatchAll_Ct-1),AS834=0),P834,0)</f>
        <v>0</v>
      </c>
      <c r="BV834" s="217">
        <f>IF(AND(Input_Product=Elig!$C834,Elig_MatchAll_Ct&lt;22,$BC834=(Elig_MatchAll_Ct-1),AT834=0),Q834,0)</f>
        <v>0</v>
      </c>
      <c r="BW834" s="313">
        <f>IF(AND(Input_Product=Elig!$C834,Elig_MatchAll_Ct&lt;22,$BC834=(Elig_MatchAll_Ct-1),AU834=0),R834,0)</f>
        <v>0</v>
      </c>
      <c r="BX834" s="314">
        <f>IF(AND(Input_Product=Elig!$C834,Elig_MatchAll_Ct&lt;22,$BC834=(Elig_MatchAll_Ct-1),AU834=0),S834,0)</f>
        <v>0</v>
      </c>
      <c r="BY834" s="313">
        <f>IF(AND(Input_Product=Elig!$C834,Elig_MatchAll_Ct&lt;22,$BC834=(Elig_MatchAll_Ct-1),AV834=0),T834,0)</f>
        <v>0</v>
      </c>
      <c r="BZ834" s="314">
        <f>IF(AND(Input_Product=Elig!$C834,Elig_MatchAll_Ct&lt;22,$BC834=(Elig_MatchAll_Ct-1),AV834=0),U834,0)</f>
        <v>0</v>
      </c>
      <c r="CA834" s="313">
        <f>IF(AND(Input_Product=Elig!$C834,Elig_MatchAll_Ct&lt;22,$BC834=(Elig_MatchAll_Ct-1),AW834=0),V834,0)</f>
        <v>0</v>
      </c>
      <c r="CB834" s="314">
        <f>IF(AND(Input_Product=Elig!$C834,Elig_MatchAll_Ct&lt;22,$BC834=(Elig_MatchAll_Ct-1),AW834=0),W834,0)</f>
        <v>0</v>
      </c>
      <c r="CC834" s="313">
        <f>IF(AND(Input_Product=Elig!$C834,Elig_MatchAll_Ct&lt;22,$BC834=(Elig_MatchAll_Ct-1),AX834=0),X834,0)</f>
        <v>0</v>
      </c>
      <c r="CD834" s="314">
        <f>IF(AND(Input_Product=Elig!$C834,Elig_MatchAll_Ct&lt;22,$BC834=(Elig_MatchAll_Ct-1),AX834=0),Y834,0)</f>
        <v>0</v>
      </c>
      <c r="CE834" s="313">
        <f>IF(AND(Input_LTV&lt;=AE834,Input_Product=Elig!$C834,Elig_MatchAll_Ct&lt;22,$BC834=(Elig_MatchAll_Ct-1),AY834=0),Z834,0)</f>
        <v>0</v>
      </c>
      <c r="CF834" s="314">
        <f>IF(AND(Input_LTV&lt;=AE834,Input_Product=Elig!$C834,Elig_MatchAll_Ct&lt;22,$BC834=(Elig_MatchAll_Ct-1),AY834=0),AA834,0)</f>
        <v>0</v>
      </c>
      <c r="CG834" s="313">
        <f>IF(AND(Input_Product=Elig!$C834,Elig_MatchAll_Ct&lt;22,$BC834=(Elig_MatchAll_Ct-1),AZ834=0),AB834,0)</f>
        <v>0</v>
      </c>
      <c r="CH834" s="314">
        <f>IF(AND(Input_Product=Elig!$C834,Elig_MatchAll_Ct&lt;22,$BC834=(Elig_MatchAll_Ct-1),AZ834=0),AC834,0)</f>
        <v>0</v>
      </c>
      <c r="CI834" s="313">
        <f>IF(AND(Input_Product=Elig!$C834,Elig_MatchAll_Ct&lt;22,$BC834=(Elig_MatchAll_Ct-1),BA834=0),AD834,0)</f>
        <v>0</v>
      </c>
      <c r="CJ834" s="314">
        <f>IF(AND(Input_Product=Elig!$C834,Elig_MatchAll_Ct&lt;22,$BC834=(Elig_MatchAll_Ct-1),BA834=0),AE834,0)</f>
        <v>0</v>
      </c>
    </row>
    <row r="835" spans="2:88" ht="10.15" customHeight="1" x14ac:dyDescent="0.25">
      <c r="B835" s="2035" t="s">
        <v>3825</v>
      </c>
      <c r="C835" s="2036" t="str">
        <f t="shared" si="330"/>
        <v>Second NOO</v>
      </c>
      <c r="D835" s="2035" t="s">
        <v>1569</v>
      </c>
      <c r="E835" s="2035" t="s">
        <v>98</v>
      </c>
      <c r="F835" s="2035" t="s">
        <v>330</v>
      </c>
      <c r="G835" s="2037" t="s">
        <v>303</v>
      </c>
      <c r="H835" s="2037" t="s">
        <v>136</v>
      </c>
      <c r="I835" s="2035" t="s">
        <v>1332</v>
      </c>
      <c r="J835" s="2035" t="s">
        <v>1311</v>
      </c>
      <c r="K835" s="2037" t="s">
        <v>1790</v>
      </c>
      <c r="L835" s="2035" t="s">
        <v>430</v>
      </c>
      <c r="M835" s="2035" t="s">
        <v>2677</v>
      </c>
      <c r="N835" s="2037" t="s">
        <v>82</v>
      </c>
      <c r="O835" s="2035" t="s">
        <v>310</v>
      </c>
      <c r="P835" s="2035" t="s">
        <v>291</v>
      </c>
      <c r="Q835" s="2035" t="s">
        <v>294</v>
      </c>
      <c r="R835" s="2035">
        <v>350000.01</v>
      </c>
      <c r="S835" s="2109">
        <v>500000</v>
      </c>
      <c r="T835" s="2035">
        <v>0</v>
      </c>
      <c r="U835" s="2035">
        <f t="shared" si="331"/>
        <v>500000</v>
      </c>
      <c r="V835" s="2035">
        <v>0</v>
      </c>
      <c r="W835" s="2035">
        <v>50</v>
      </c>
      <c r="X835" s="2035">
        <v>0</v>
      </c>
      <c r="Y835" s="2035">
        <v>999</v>
      </c>
      <c r="Z835" s="2038">
        <v>700</v>
      </c>
      <c r="AA835" s="2038">
        <v>719</v>
      </c>
      <c r="AB835" s="2038">
        <v>0</v>
      </c>
      <c r="AC835" s="2038">
        <v>999999</v>
      </c>
      <c r="AD835" s="2035">
        <v>0</v>
      </c>
      <c r="AE835" s="2109">
        <v>80</v>
      </c>
      <c r="AF835" s="170">
        <v>0</v>
      </c>
      <c r="AG835" s="171">
        <v>1</v>
      </c>
      <c r="AH835" s="171">
        <v>1</v>
      </c>
      <c r="AI835" s="171">
        <v>0</v>
      </c>
      <c r="AJ835" s="171">
        <v>1</v>
      </c>
      <c r="AK835" s="171">
        <v>1</v>
      </c>
      <c r="AL835" s="171">
        <v>1</v>
      </c>
      <c r="AM835" s="171">
        <v>1</v>
      </c>
      <c r="AN835" s="171">
        <v>1</v>
      </c>
      <c r="AO835" s="171">
        <v>1</v>
      </c>
      <c r="AP835" s="171">
        <v>1</v>
      </c>
      <c r="AQ835" s="171">
        <v>1</v>
      </c>
      <c r="AR835" s="171">
        <v>1</v>
      </c>
      <c r="AS835" s="171">
        <v>1</v>
      </c>
      <c r="AT835" s="171">
        <v>1</v>
      </c>
      <c r="AU835" s="171">
        <f t="shared" si="324"/>
        <v>0</v>
      </c>
      <c r="AV835" s="171">
        <f t="shared" si="325"/>
        <v>1</v>
      </c>
      <c r="AW835" s="171">
        <f t="shared" si="326"/>
        <v>1</v>
      </c>
      <c r="AX835" s="171">
        <f t="shared" si="335"/>
        <v>1</v>
      </c>
      <c r="AY835" s="171">
        <f t="shared" si="327"/>
        <v>0</v>
      </c>
      <c r="AZ835" s="171">
        <f t="shared" si="328"/>
        <v>1</v>
      </c>
      <c r="BA835" s="172">
        <f t="shared" si="329"/>
        <v>1</v>
      </c>
      <c r="BB835" s="175">
        <f t="shared" si="332"/>
        <v>18</v>
      </c>
      <c r="BC835" s="176">
        <f t="shared" si="333"/>
        <v>17</v>
      </c>
      <c r="BD835" s="176">
        <f t="shared" si="334"/>
        <v>18</v>
      </c>
      <c r="BE835" s="240" t="str">
        <f t="shared" si="322"/>
        <v/>
      </c>
      <c r="BF835" s="234"/>
      <c r="BG835" s="234"/>
      <c r="BH835" s="199">
        <f>IF(AND(Input_Product=Elig!$C835,Elig_MatchAll_Ct&lt;22,$BC835=(Elig_MatchAll_Ct-1),AF835=0),C835,0)</f>
        <v>0</v>
      </c>
      <c r="BI835" s="199">
        <f>IF(AND(Input_Product=Elig!$C835,Elig_MatchAll_Ct&lt;22,$BC835=(Elig_MatchAll_Ct-1),AG835=0),D835,0)</f>
        <v>0</v>
      </c>
      <c r="BJ835" s="199">
        <f>IF(AND(Input_Product=Elig!$C835,Elig_MatchAll_Ct&lt;22,$BC835=(Elig_MatchAll_Ct-1),AH835=0),E835,0)</f>
        <v>0</v>
      </c>
      <c r="BK835" s="199">
        <f>IF(AND(Input_Product=Elig!$C835,Elig_MatchAll_Ct&lt;22,$BC835=(Elig_MatchAll_Ct-1),AI835=0),F835,0)</f>
        <v>0</v>
      </c>
      <c r="BL835" s="199">
        <f>IF(AND(Input_Product=Elig!$C835,Elig_MatchAll_Ct&lt;22,$BC835=(Elig_MatchAll_Ct-1),AJ835=0),G835,0)</f>
        <v>0</v>
      </c>
      <c r="BM835" s="199">
        <f>IF(AND(Input_Product=Elig!$C835,Elig_MatchAll_Ct&lt;22,$BC835=(Elig_MatchAll_Ct-1),AK835=0),H835,0)</f>
        <v>0</v>
      </c>
      <c r="BN835" s="199">
        <f>IF(AND(Input_Product=Elig!$C835,Elig_MatchAll_Ct&lt;22,$BC835=(Elig_MatchAll_Ct-1),AL835=0),I835,0)</f>
        <v>0</v>
      </c>
      <c r="BO835" s="199">
        <f>IF(AND(Input_Product=Elig!$C835,Elig_MatchAll_Ct&lt;22,$BC835=(Elig_MatchAll_Ct-1),AM835=0),J835,0)</f>
        <v>0</v>
      </c>
      <c r="BP835" s="199">
        <f>IF(AND(Input_Product=Elig!$C835,Elig_MatchAll_Ct&lt;22,$BC835=(Elig_MatchAll_Ct-1),AN835=0),K835,0)</f>
        <v>0</v>
      </c>
      <c r="BQ835" s="199">
        <f>IF(AND(Input_Product=Elig!$C835,Elig_MatchAll_Ct&lt;22,$BC835=(Elig_MatchAll_Ct-1),AP835=0),L835,0)</f>
        <v>0</v>
      </c>
      <c r="BR835" s="199">
        <f>IF(AND(Input_Product=Elig!$C835,Elig_MatchAll_Ct&lt;22,$BC835=(Elig_MatchAll_Ct-1),AO835=0),M835,0)</f>
        <v>0</v>
      </c>
      <c r="BS835" s="199">
        <f>IF(AND(Input_Product=Elig!$C835,Elig_MatchAll_Ct&lt;22,$BC835=(Elig_MatchAll_Ct-1),AQ835=0),N835,0)</f>
        <v>0</v>
      </c>
      <c r="BT835" s="199">
        <f>IF(AND(Input_Product=Elig!$C835,Elig_MatchAll_Ct&lt;22,$BC835=(Elig_MatchAll_Ct-1),AR835=0),O835,0)</f>
        <v>0</v>
      </c>
      <c r="BU835" s="199">
        <f>IF(AND(Input_Product=Elig!$C835,Elig_MatchAll_Ct&lt;22,$BC835=(Elig_MatchAll_Ct-1),AS835=0),P835,0)</f>
        <v>0</v>
      </c>
      <c r="BV835" s="200">
        <f>IF(AND(Input_Product=Elig!$C835,Elig_MatchAll_Ct&lt;22,$BC835=(Elig_MatchAll_Ct-1),AT835=0),Q835,0)</f>
        <v>0</v>
      </c>
      <c r="BW835" s="201">
        <f>IF(AND(Input_Product=Elig!$C835,Elig_MatchAll_Ct&lt;22,$BC835=(Elig_MatchAll_Ct-1),AU835=0),R835,0)</f>
        <v>0</v>
      </c>
      <c r="BX835" s="202">
        <f>IF(AND(Input_Product=Elig!$C835,Elig_MatchAll_Ct&lt;22,$BC835=(Elig_MatchAll_Ct-1),AU835=0),S835,0)</f>
        <v>0</v>
      </c>
      <c r="BY835" s="201">
        <f>IF(AND(Input_Product=Elig!$C835,Elig_MatchAll_Ct&lt;22,$BC835=(Elig_MatchAll_Ct-1),AV835=0),T835,0)</f>
        <v>0</v>
      </c>
      <c r="BZ835" s="202">
        <f>IF(AND(Input_Product=Elig!$C835,Elig_MatchAll_Ct&lt;22,$BC835=(Elig_MatchAll_Ct-1),AV835=0),U835,0)</f>
        <v>0</v>
      </c>
      <c r="CA835" s="201">
        <f>IF(AND(Input_Product=Elig!$C835,Elig_MatchAll_Ct&lt;22,$BC835=(Elig_MatchAll_Ct-1),AW835=0),V835,0)</f>
        <v>0</v>
      </c>
      <c r="CB835" s="202">
        <f>IF(AND(Input_Product=Elig!$C835,Elig_MatchAll_Ct&lt;22,$BC835=(Elig_MatchAll_Ct-1),AW835=0),W835,0)</f>
        <v>0</v>
      </c>
      <c r="CC835" s="201">
        <f>IF(AND(Input_Product=Elig!$C835,Elig_MatchAll_Ct&lt;22,$BC835=(Elig_MatchAll_Ct-1),AX835=0),X835,0)</f>
        <v>0</v>
      </c>
      <c r="CD835" s="202">
        <f>IF(AND(Input_Product=Elig!$C835,Elig_MatchAll_Ct&lt;22,$BC835=(Elig_MatchAll_Ct-1),AX835=0),Y835,0)</f>
        <v>0</v>
      </c>
      <c r="CE835" s="201">
        <f>IF(AND(Input_LTV&lt;=AE835,Input_Product=Elig!$C835,Elig_MatchAll_Ct&lt;22,$BC835=(Elig_MatchAll_Ct-1),AY835=0),Z835,0)</f>
        <v>0</v>
      </c>
      <c r="CF835" s="202">
        <f>IF(AND(Input_LTV&lt;=AE835,Input_Product=Elig!$C835,Elig_MatchAll_Ct&lt;22,$BC835=(Elig_MatchAll_Ct-1),AY835=0),AA835,0)</f>
        <v>0</v>
      </c>
      <c r="CG835" s="201">
        <f>IF(AND(Input_Product=Elig!$C835,Elig_MatchAll_Ct&lt;22,$BC835=(Elig_MatchAll_Ct-1),AZ835=0),AB835,0)</f>
        <v>0</v>
      </c>
      <c r="CH835" s="202">
        <f>IF(AND(Input_Product=Elig!$C835,Elig_MatchAll_Ct&lt;22,$BC835=(Elig_MatchAll_Ct-1),AZ835=0),AC835,0)</f>
        <v>0</v>
      </c>
      <c r="CI835" s="201">
        <f>IF(AND(Input_Product=Elig!$C835,Elig_MatchAll_Ct&lt;22,$BC835=(Elig_MatchAll_Ct-1),BA835=0),AD835,0)</f>
        <v>0</v>
      </c>
      <c r="CJ835" s="202">
        <f>IF(AND(Input_Product=Elig!$C835,Elig_MatchAll_Ct&lt;22,$BC835=(Elig_MatchAll_Ct-1),BA835=0),AE835,0)</f>
        <v>0</v>
      </c>
    </row>
    <row r="836" spans="2:88" ht="10.15" customHeight="1" x14ac:dyDescent="0.25">
      <c r="B836" s="2035" t="s">
        <v>3826</v>
      </c>
      <c r="C836" s="2036" t="str">
        <f t="shared" si="330"/>
        <v>Second NOO</v>
      </c>
      <c r="D836" s="2035" t="s">
        <v>1569</v>
      </c>
      <c r="E836" s="2035" t="s">
        <v>98</v>
      </c>
      <c r="F836" s="2035" t="s">
        <v>330</v>
      </c>
      <c r="G836" s="2037" t="s">
        <v>303</v>
      </c>
      <c r="H836" s="2037" t="s">
        <v>136</v>
      </c>
      <c r="I836" s="2035" t="s">
        <v>1332</v>
      </c>
      <c r="J836" s="2035" t="s">
        <v>1311</v>
      </c>
      <c r="K836" s="2037" t="s">
        <v>1790</v>
      </c>
      <c r="L836" s="2035" t="s">
        <v>430</v>
      </c>
      <c r="M836" s="2035" t="s">
        <v>2677</v>
      </c>
      <c r="N836" s="2037" t="s">
        <v>82</v>
      </c>
      <c r="O836" s="2035" t="s">
        <v>310</v>
      </c>
      <c r="P836" s="2035" t="s">
        <v>291</v>
      </c>
      <c r="Q836" s="2035" t="s">
        <v>294</v>
      </c>
      <c r="R836" s="2035">
        <v>350000.01</v>
      </c>
      <c r="S836" s="2109">
        <v>500000</v>
      </c>
      <c r="T836" s="2035">
        <v>0</v>
      </c>
      <c r="U836" s="2035">
        <f t="shared" si="331"/>
        <v>500000</v>
      </c>
      <c r="V836" s="2035">
        <v>0</v>
      </c>
      <c r="W836" s="2035">
        <v>50</v>
      </c>
      <c r="X836" s="2035">
        <v>0</v>
      </c>
      <c r="Y836" s="2035">
        <v>999</v>
      </c>
      <c r="Z836" s="2038">
        <v>680</v>
      </c>
      <c r="AA836" s="2038">
        <v>699</v>
      </c>
      <c r="AB836" s="2038">
        <v>0</v>
      </c>
      <c r="AC836" s="2038">
        <v>999999</v>
      </c>
      <c r="AD836" s="2035">
        <v>0</v>
      </c>
      <c r="AE836" s="2035">
        <v>70</v>
      </c>
      <c r="AF836" s="170">
        <v>0</v>
      </c>
      <c r="AG836" s="171">
        <v>1</v>
      </c>
      <c r="AH836" s="171">
        <v>1</v>
      </c>
      <c r="AI836" s="171">
        <v>0</v>
      </c>
      <c r="AJ836" s="171">
        <v>1</v>
      </c>
      <c r="AK836" s="171">
        <v>1</v>
      </c>
      <c r="AL836" s="171">
        <v>1</v>
      </c>
      <c r="AM836" s="171">
        <v>1</v>
      </c>
      <c r="AN836" s="171">
        <v>1</v>
      </c>
      <c r="AO836" s="171">
        <v>1</v>
      </c>
      <c r="AP836" s="171">
        <v>1</v>
      </c>
      <c r="AQ836" s="171">
        <v>1</v>
      </c>
      <c r="AR836" s="171">
        <v>1</v>
      </c>
      <c r="AS836" s="171">
        <v>1</v>
      </c>
      <c r="AT836" s="171">
        <v>1</v>
      </c>
      <c r="AU836" s="171">
        <f t="shared" si="324"/>
        <v>0</v>
      </c>
      <c r="AV836" s="171">
        <f t="shared" si="325"/>
        <v>1</v>
      </c>
      <c r="AW836" s="171">
        <f t="shared" si="326"/>
        <v>1</v>
      </c>
      <c r="AX836" s="171">
        <f t="shared" si="335"/>
        <v>1</v>
      </c>
      <c r="AY836" s="171">
        <f t="shared" si="327"/>
        <v>0</v>
      </c>
      <c r="AZ836" s="171">
        <f t="shared" si="328"/>
        <v>1</v>
      </c>
      <c r="BA836" s="172">
        <f t="shared" si="329"/>
        <v>1</v>
      </c>
      <c r="BB836" s="175">
        <f t="shared" si="332"/>
        <v>18</v>
      </c>
      <c r="BC836" s="176">
        <f t="shared" si="333"/>
        <v>17</v>
      </c>
      <c r="BD836" s="176">
        <f t="shared" si="334"/>
        <v>18</v>
      </c>
      <c r="BE836" s="240" t="str">
        <f t="shared" si="322"/>
        <v/>
      </c>
      <c r="BF836" s="234"/>
      <c r="BG836" s="234"/>
      <c r="BH836" s="199">
        <f>IF(AND(Input_Product=Elig!$C836,Elig_MatchAll_Ct&lt;22,$BC836=(Elig_MatchAll_Ct-1),AF836=0),C836,0)</f>
        <v>0</v>
      </c>
      <c r="BI836" s="199">
        <f>IF(AND(Input_Product=Elig!$C836,Elig_MatchAll_Ct&lt;22,$BC836=(Elig_MatchAll_Ct-1),AG836=0),D836,0)</f>
        <v>0</v>
      </c>
      <c r="BJ836" s="199">
        <f>IF(AND(Input_Product=Elig!$C836,Elig_MatchAll_Ct&lt;22,$BC836=(Elig_MatchAll_Ct-1),AH836=0),E836,0)</f>
        <v>0</v>
      </c>
      <c r="BK836" s="199">
        <f>IF(AND(Input_Product=Elig!$C836,Elig_MatchAll_Ct&lt;22,$BC836=(Elig_MatchAll_Ct-1),AI836=0),F836,0)</f>
        <v>0</v>
      </c>
      <c r="BL836" s="199">
        <f>IF(AND(Input_Product=Elig!$C836,Elig_MatchAll_Ct&lt;22,$BC836=(Elig_MatchAll_Ct-1),AJ836=0),G836,0)</f>
        <v>0</v>
      </c>
      <c r="BM836" s="199">
        <f>IF(AND(Input_Product=Elig!$C836,Elig_MatchAll_Ct&lt;22,$BC836=(Elig_MatchAll_Ct-1),AK836=0),H836,0)</f>
        <v>0</v>
      </c>
      <c r="BN836" s="199">
        <f>IF(AND(Input_Product=Elig!$C836,Elig_MatchAll_Ct&lt;22,$BC836=(Elig_MatchAll_Ct-1),AL836=0),I836,0)</f>
        <v>0</v>
      </c>
      <c r="BO836" s="199">
        <f>IF(AND(Input_Product=Elig!$C836,Elig_MatchAll_Ct&lt;22,$BC836=(Elig_MatchAll_Ct-1),AM836=0),J836,0)</f>
        <v>0</v>
      </c>
      <c r="BP836" s="199">
        <f>IF(AND(Input_Product=Elig!$C836,Elig_MatchAll_Ct&lt;22,$BC836=(Elig_MatchAll_Ct-1),AN836=0),K836,0)</f>
        <v>0</v>
      </c>
      <c r="BQ836" s="199">
        <f>IF(AND(Input_Product=Elig!$C836,Elig_MatchAll_Ct&lt;22,$BC836=(Elig_MatchAll_Ct-1),AP836=0),L836,0)</f>
        <v>0</v>
      </c>
      <c r="BR836" s="199">
        <f>IF(AND(Input_Product=Elig!$C836,Elig_MatchAll_Ct&lt;22,$BC836=(Elig_MatchAll_Ct-1),AO836=0),M836,0)</f>
        <v>0</v>
      </c>
      <c r="BS836" s="199">
        <f>IF(AND(Input_Product=Elig!$C836,Elig_MatchAll_Ct&lt;22,$BC836=(Elig_MatchAll_Ct-1),AQ836=0),N836,0)</f>
        <v>0</v>
      </c>
      <c r="BT836" s="199">
        <f>IF(AND(Input_Product=Elig!$C836,Elig_MatchAll_Ct&lt;22,$BC836=(Elig_MatchAll_Ct-1),AR836=0),O836,0)</f>
        <v>0</v>
      </c>
      <c r="BU836" s="199">
        <f>IF(AND(Input_Product=Elig!$C836,Elig_MatchAll_Ct&lt;22,$BC836=(Elig_MatchAll_Ct-1),AS836=0),P836,0)</f>
        <v>0</v>
      </c>
      <c r="BV836" s="200">
        <f>IF(AND(Input_Product=Elig!$C836,Elig_MatchAll_Ct&lt;22,$BC836=(Elig_MatchAll_Ct-1),AT836=0),Q836,0)</f>
        <v>0</v>
      </c>
      <c r="BW836" s="201">
        <f>IF(AND(Input_Product=Elig!$C836,Elig_MatchAll_Ct&lt;22,$BC836=(Elig_MatchAll_Ct-1),AU836=0),R836,0)</f>
        <v>0</v>
      </c>
      <c r="BX836" s="202">
        <f>IF(AND(Input_Product=Elig!$C836,Elig_MatchAll_Ct&lt;22,$BC836=(Elig_MatchAll_Ct-1),AU836=0),S836,0)</f>
        <v>0</v>
      </c>
      <c r="BY836" s="201">
        <f>IF(AND(Input_Product=Elig!$C836,Elig_MatchAll_Ct&lt;22,$BC836=(Elig_MatchAll_Ct-1),AV836=0),T836,0)</f>
        <v>0</v>
      </c>
      <c r="BZ836" s="202">
        <f>IF(AND(Input_Product=Elig!$C836,Elig_MatchAll_Ct&lt;22,$BC836=(Elig_MatchAll_Ct-1),AV836=0),U836,0)</f>
        <v>0</v>
      </c>
      <c r="CA836" s="201">
        <f>IF(AND(Input_Product=Elig!$C836,Elig_MatchAll_Ct&lt;22,$BC836=(Elig_MatchAll_Ct-1),AW836=0),V836,0)</f>
        <v>0</v>
      </c>
      <c r="CB836" s="202">
        <f>IF(AND(Input_Product=Elig!$C836,Elig_MatchAll_Ct&lt;22,$BC836=(Elig_MatchAll_Ct-1),AW836=0),W836,0)</f>
        <v>0</v>
      </c>
      <c r="CC836" s="201">
        <f>IF(AND(Input_Product=Elig!$C836,Elig_MatchAll_Ct&lt;22,$BC836=(Elig_MatchAll_Ct-1),AX836=0),X836,0)</f>
        <v>0</v>
      </c>
      <c r="CD836" s="202">
        <f>IF(AND(Input_Product=Elig!$C836,Elig_MatchAll_Ct&lt;22,$BC836=(Elig_MatchAll_Ct-1),AX836=0),Y836,0)</f>
        <v>0</v>
      </c>
      <c r="CE836" s="201">
        <f>IF(AND(Input_LTV&lt;=AE836,Input_Product=Elig!$C836,Elig_MatchAll_Ct&lt;22,$BC836=(Elig_MatchAll_Ct-1),AY836=0),Z836,0)</f>
        <v>0</v>
      </c>
      <c r="CF836" s="202">
        <f>IF(AND(Input_LTV&lt;=AE836,Input_Product=Elig!$C836,Elig_MatchAll_Ct&lt;22,$BC836=(Elig_MatchAll_Ct-1),AY836=0),AA836,0)</f>
        <v>0</v>
      </c>
      <c r="CG836" s="201">
        <f>IF(AND(Input_Product=Elig!$C836,Elig_MatchAll_Ct&lt;22,$BC836=(Elig_MatchAll_Ct-1),AZ836=0),AB836,0)</f>
        <v>0</v>
      </c>
      <c r="CH836" s="202">
        <f>IF(AND(Input_Product=Elig!$C836,Elig_MatchAll_Ct&lt;22,$BC836=(Elig_MatchAll_Ct-1),AZ836=0),AC836,0)</f>
        <v>0</v>
      </c>
      <c r="CI836" s="201">
        <f>IF(AND(Input_Product=Elig!$C836,Elig_MatchAll_Ct&lt;22,$BC836=(Elig_MatchAll_Ct-1),BA836=0),AD836,0)</f>
        <v>0</v>
      </c>
      <c r="CJ836" s="202">
        <f>IF(AND(Input_Product=Elig!$C836,Elig_MatchAll_Ct&lt;22,$BC836=(Elig_MatchAll_Ct-1),BA836=0),AE836,0)</f>
        <v>0</v>
      </c>
    </row>
    <row r="837" spans="2:88" ht="10.15" customHeight="1" x14ac:dyDescent="0.25">
      <c r="B837" s="2035" t="s">
        <v>3827</v>
      </c>
      <c r="C837" s="2036" t="str">
        <f t="shared" si="330"/>
        <v>Second NOO</v>
      </c>
      <c r="D837" s="2035" t="s">
        <v>1569</v>
      </c>
      <c r="E837" s="2035" t="s">
        <v>98</v>
      </c>
      <c r="F837" s="2035" t="s">
        <v>330</v>
      </c>
      <c r="G837" s="2037" t="s">
        <v>303</v>
      </c>
      <c r="H837" s="2037" t="s">
        <v>136</v>
      </c>
      <c r="I837" s="2035" t="s">
        <v>1332</v>
      </c>
      <c r="J837" s="2035" t="s">
        <v>1311</v>
      </c>
      <c r="K837" s="2037" t="s">
        <v>1790</v>
      </c>
      <c r="L837" s="2035" t="s">
        <v>430</v>
      </c>
      <c r="M837" s="2035" t="s">
        <v>2677</v>
      </c>
      <c r="N837" s="2037" t="s">
        <v>82</v>
      </c>
      <c r="O837" s="2035" t="s">
        <v>310</v>
      </c>
      <c r="P837" s="2035" t="s">
        <v>291</v>
      </c>
      <c r="Q837" s="2035" t="s">
        <v>294</v>
      </c>
      <c r="R837" s="2035">
        <v>350000.01</v>
      </c>
      <c r="S837" s="2109">
        <v>500000</v>
      </c>
      <c r="T837" s="2035">
        <v>0</v>
      </c>
      <c r="U837" s="2035">
        <f t="shared" si="331"/>
        <v>500000</v>
      </c>
      <c r="V837" s="2035">
        <v>0</v>
      </c>
      <c r="W837" s="2035">
        <v>50</v>
      </c>
      <c r="X837" s="2035">
        <v>0</v>
      </c>
      <c r="Y837" s="2035">
        <v>999</v>
      </c>
      <c r="Z837" s="2038">
        <v>660</v>
      </c>
      <c r="AA837" s="2038">
        <v>679</v>
      </c>
      <c r="AB837" s="2038">
        <v>0</v>
      </c>
      <c r="AC837" s="2038">
        <v>999999</v>
      </c>
      <c r="AD837" s="2035">
        <v>0</v>
      </c>
      <c r="AE837" s="2035">
        <v>65</v>
      </c>
      <c r="AF837" s="170">
        <v>0</v>
      </c>
      <c r="AG837" s="171">
        <v>1</v>
      </c>
      <c r="AH837" s="171">
        <v>1</v>
      </c>
      <c r="AI837" s="171">
        <v>0</v>
      </c>
      <c r="AJ837" s="171">
        <v>1</v>
      </c>
      <c r="AK837" s="171">
        <v>1</v>
      </c>
      <c r="AL837" s="171">
        <v>1</v>
      </c>
      <c r="AM837" s="171">
        <v>1</v>
      </c>
      <c r="AN837" s="171">
        <v>1</v>
      </c>
      <c r="AO837" s="171">
        <v>1</v>
      </c>
      <c r="AP837" s="171">
        <v>1</v>
      </c>
      <c r="AQ837" s="171">
        <v>1</v>
      </c>
      <c r="AR837" s="171">
        <v>1</v>
      </c>
      <c r="AS837" s="171">
        <v>1</v>
      </c>
      <c r="AT837" s="171">
        <v>1</v>
      </c>
      <c r="AU837" s="171">
        <f t="shared" si="324"/>
        <v>0</v>
      </c>
      <c r="AV837" s="171">
        <f t="shared" si="325"/>
        <v>1</v>
      </c>
      <c r="AW837" s="171">
        <f t="shared" si="326"/>
        <v>1</v>
      </c>
      <c r="AX837" s="171">
        <f t="shared" si="335"/>
        <v>1</v>
      </c>
      <c r="AY837" s="171">
        <f t="shared" si="327"/>
        <v>0</v>
      </c>
      <c r="AZ837" s="171">
        <f t="shared" si="328"/>
        <v>1</v>
      </c>
      <c r="BA837" s="172">
        <f t="shared" si="329"/>
        <v>1</v>
      </c>
      <c r="BB837" s="175">
        <f t="shared" si="332"/>
        <v>18</v>
      </c>
      <c r="BC837" s="176">
        <f t="shared" si="333"/>
        <v>17</v>
      </c>
      <c r="BD837" s="176">
        <f t="shared" si="334"/>
        <v>18</v>
      </c>
      <c r="BE837" s="240" t="str">
        <f t="shared" si="322"/>
        <v/>
      </c>
      <c r="BF837" s="234"/>
      <c r="BG837" s="234"/>
      <c r="BH837" s="214">
        <f>IF(AND(Input_Product=Elig!$C837,Elig_MatchAll_Ct&lt;22,$BC837=(Elig_MatchAll_Ct-1),AF837=0),C837,0)</f>
        <v>0</v>
      </c>
      <c r="BI837" s="214">
        <f>IF(AND(Input_Product=Elig!$C837,Elig_MatchAll_Ct&lt;22,$BC837=(Elig_MatchAll_Ct-1),AG837=0),D837,0)</f>
        <v>0</v>
      </c>
      <c r="BJ837" s="214">
        <f>IF(AND(Input_Product=Elig!$C837,Elig_MatchAll_Ct&lt;22,$BC837=(Elig_MatchAll_Ct-1),AH837=0),E837,0)</f>
        <v>0</v>
      </c>
      <c r="BK837" s="214">
        <f>IF(AND(Input_Product=Elig!$C837,Elig_MatchAll_Ct&lt;22,$BC837=(Elig_MatchAll_Ct-1),AI837=0),F837,0)</f>
        <v>0</v>
      </c>
      <c r="BL837" s="214">
        <f>IF(AND(Input_Product=Elig!$C837,Elig_MatchAll_Ct&lt;22,$BC837=(Elig_MatchAll_Ct-1),AJ837=0),G837,0)</f>
        <v>0</v>
      </c>
      <c r="BM837" s="214">
        <f>IF(AND(Input_Product=Elig!$C837,Elig_MatchAll_Ct&lt;22,$BC837=(Elig_MatchAll_Ct-1),AK837=0),H837,0)</f>
        <v>0</v>
      </c>
      <c r="BN837" s="214">
        <f>IF(AND(Input_Product=Elig!$C837,Elig_MatchAll_Ct&lt;22,$BC837=(Elig_MatchAll_Ct-1),AL837=0),I837,0)</f>
        <v>0</v>
      </c>
      <c r="BO837" s="214">
        <f>IF(AND(Input_Product=Elig!$C837,Elig_MatchAll_Ct&lt;22,$BC837=(Elig_MatchAll_Ct-1),AM837=0),J837,0)</f>
        <v>0</v>
      </c>
      <c r="BP837" s="214">
        <f>IF(AND(Input_Product=Elig!$C837,Elig_MatchAll_Ct&lt;22,$BC837=(Elig_MatchAll_Ct-1),AN837=0),K837,0)</f>
        <v>0</v>
      </c>
      <c r="BQ837" s="214">
        <f>IF(AND(Input_Product=Elig!$C837,Elig_MatchAll_Ct&lt;22,$BC837=(Elig_MatchAll_Ct-1),AP837=0),L837,0)</f>
        <v>0</v>
      </c>
      <c r="BR837" s="214">
        <f>IF(AND(Input_Product=Elig!$C837,Elig_MatchAll_Ct&lt;22,$BC837=(Elig_MatchAll_Ct-1),AO837=0),M837,0)</f>
        <v>0</v>
      </c>
      <c r="BS837" s="214">
        <f>IF(AND(Input_Product=Elig!$C837,Elig_MatchAll_Ct&lt;22,$BC837=(Elig_MatchAll_Ct-1),AQ837=0),N837,0)</f>
        <v>0</v>
      </c>
      <c r="BT837" s="214">
        <f>IF(AND(Input_Product=Elig!$C837,Elig_MatchAll_Ct&lt;22,$BC837=(Elig_MatchAll_Ct-1),AR837=0),O837,0)</f>
        <v>0</v>
      </c>
      <c r="BU837" s="214">
        <f>IF(AND(Input_Product=Elig!$C837,Elig_MatchAll_Ct&lt;22,$BC837=(Elig_MatchAll_Ct-1),AS837=0),P837,0)</f>
        <v>0</v>
      </c>
      <c r="BV837" s="215">
        <f>IF(AND(Input_Product=Elig!$C837,Elig_MatchAll_Ct&lt;22,$BC837=(Elig_MatchAll_Ct-1),AT837=0),Q837,0)</f>
        <v>0</v>
      </c>
      <c r="BW837" s="311">
        <f>IF(AND(Input_Product=Elig!$C837,Elig_MatchAll_Ct&lt;22,$BC837=(Elig_MatchAll_Ct-1),AU837=0),R837,0)</f>
        <v>0</v>
      </c>
      <c r="BX837" s="312">
        <f>IF(AND(Input_Product=Elig!$C837,Elig_MatchAll_Ct&lt;22,$BC837=(Elig_MatchAll_Ct-1),AU837=0),S837,0)</f>
        <v>0</v>
      </c>
      <c r="BY837" s="311">
        <f>IF(AND(Input_Product=Elig!$C837,Elig_MatchAll_Ct&lt;22,$BC837=(Elig_MatchAll_Ct-1),AV837=0),T837,0)</f>
        <v>0</v>
      </c>
      <c r="BZ837" s="312">
        <f>IF(AND(Input_Product=Elig!$C837,Elig_MatchAll_Ct&lt;22,$BC837=(Elig_MatchAll_Ct-1),AV837=0),U837,0)</f>
        <v>0</v>
      </c>
      <c r="CA837" s="311">
        <f>IF(AND(Input_Product=Elig!$C837,Elig_MatchAll_Ct&lt;22,$BC837=(Elig_MatchAll_Ct-1),AW837=0),V837,0)</f>
        <v>0</v>
      </c>
      <c r="CB837" s="312">
        <f>IF(AND(Input_Product=Elig!$C837,Elig_MatchAll_Ct&lt;22,$BC837=(Elig_MatchAll_Ct-1),AW837=0),W837,0)</f>
        <v>0</v>
      </c>
      <c r="CC837" s="311">
        <f>IF(AND(Input_Product=Elig!$C837,Elig_MatchAll_Ct&lt;22,$BC837=(Elig_MatchAll_Ct-1),AX837=0),X837,0)</f>
        <v>0</v>
      </c>
      <c r="CD837" s="312">
        <f>IF(AND(Input_Product=Elig!$C837,Elig_MatchAll_Ct&lt;22,$BC837=(Elig_MatchAll_Ct-1),AX837=0),Y837,0)</f>
        <v>0</v>
      </c>
      <c r="CE837" s="311">
        <f>IF(AND(Input_LTV&lt;=AE837,Input_Product=Elig!$C837,Elig_MatchAll_Ct&lt;22,$BC837=(Elig_MatchAll_Ct-1),AY837=0),Z837,0)</f>
        <v>0</v>
      </c>
      <c r="CF837" s="312">
        <f>IF(AND(Input_LTV&lt;=AE837,Input_Product=Elig!$C837,Elig_MatchAll_Ct&lt;22,$BC837=(Elig_MatchAll_Ct-1),AY837=0),AA837,0)</f>
        <v>0</v>
      </c>
      <c r="CG837" s="311">
        <f>IF(AND(Input_Product=Elig!$C837,Elig_MatchAll_Ct&lt;22,$BC837=(Elig_MatchAll_Ct-1),AZ837=0),AB837,0)</f>
        <v>0</v>
      </c>
      <c r="CH837" s="312">
        <f>IF(AND(Input_Product=Elig!$C837,Elig_MatchAll_Ct&lt;22,$BC837=(Elig_MatchAll_Ct-1),AZ837=0),AC837,0)</f>
        <v>0</v>
      </c>
      <c r="CI837" s="311">
        <f>IF(AND(Input_Product=Elig!$C837,Elig_MatchAll_Ct&lt;22,$BC837=(Elig_MatchAll_Ct-1),BA837=0),AD837,0)</f>
        <v>0</v>
      </c>
      <c r="CJ837" s="312">
        <f>IF(AND(Input_Product=Elig!$C837,Elig_MatchAll_Ct&lt;22,$BC837=(Elig_MatchAll_Ct-1),BA837=0),AE837,0)</f>
        <v>0</v>
      </c>
    </row>
    <row r="838" spans="2:88" ht="10.15" customHeight="1" x14ac:dyDescent="0.25">
      <c r="B838" s="2035" t="s">
        <v>3828</v>
      </c>
      <c r="C838" s="2040" t="str">
        <f t="shared" si="330"/>
        <v>Second NOO</v>
      </c>
      <c r="D838" s="2041" t="s">
        <v>1569</v>
      </c>
      <c r="E838" s="2041" t="s">
        <v>98</v>
      </c>
      <c r="F838" s="2041" t="s">
        <v>330</v>
      </c>
      <c r="G838" s="2103" t="s">
        <v>175</v>
      </c>
      <c r="H838" s="2041" t="s">
        <v>446</v>
      </c>
      <c r="I838" s="2039" t="s">
        <v>1332</v>
      </c>
      <c r="J838" s="2039" t="s">
        <v>1311</v>
      </c>
      <c r="K838" s="2041" t="s">
        <v>1790</v>
      </c>
      <c r="L838" s="2039" t="s">
        <v>430</v>
      </c>
      <c r="M838" s="2039" t="s">
        <v>2677</v>
      </c>
      <c r="N838" s="2041" t="s">
        <v>82</v>
      </c>
      <c r="O838" s="2039" t="s">
        <v>310</v>
      </c>
      <c r="P838" s="2039" t="s">
        <v>291</v>
      </c>
      <c r="Q838" s="2039" t="s">
        <v>294</v>
      </c>
      <c r="R838" s="2039">
        <v>350000.01</v>
      </c>
      <c r="S838" s="2108">
        <v>500000</v>
      </c>
      <c r="T838" s="2039">
        <v>0</v>
      </c>
      <c r="U838" s="2039">
        <f t="shared" si="331"/>
        <v>500000</v>
      </c>
      <c r="V838" s="2039">
        <v>0</v>
      </c>
      <c r="W838" s="2039">
        <v>50</v>
      </c>
      <c r="X838" s="2039">
        <v>0</v>
      </c>
      <c r="Y838" s="2039">
        <v>999</v>
      </c>
      <c r="Z838" s="2042">
        <v>720</v>
      </c>
      <c r="AA838" s="2042">
        <v>999</v>
      </c>
      <c r="AB838" s="2042">
        <v>0</v>
      </c>
      <c r="AC838" s="2042">
        <v>999999</v>
      </c>
      <c r="AD838" s="2039">
        <v>0</v>
      </c>
      <c r="AE838" s="2108">
        <v>75</v>
      </c>
      <c r="AF838" s="170">
        <v>0</v>
      </c>
      <c r="AG838" s="171">
        <v>1</v>
      </c>
      <c r="AH838" s="171">
        <v>1</v>
      </c>
      <c r="AI838" s="171">
        <v>0</v>
      </c>
      <c r="AJ838" s="171">
        <v>0</v>
      </c>
      <c r="AK838" s="171">
        <v>0</v>
      </c>
      <c r="AL838" s="171">
        <v>1</v>
      </c>
      <c r="AM838" s="171">
        <v>1</v>
      </c>
      <c r="AN838" s="171">
        <v>1</v>
      </c>
      <c r="AO838" s="171">
        <v>1</v>
      </c>
      <c r="AP838" s="171">
        <v>1</v>
      </c>
      <c r="AQ838" s="171">
        <v>1</v>
      </c>
      <c r="AR838" s="171">
        <v>1</v>
      </c>
      <c r="AS838" s="171">
        <v>1</v>
      </c>
      <c r="AT838" s="171">
        <v>1</v>
      </c>
      <c r="AU838" s="171">
        <f t="shared" si="324"/>
        <v>0</v>
      </c>
      <c r="AV838" s="171">
        <f t="shared" si="325"/>
        <v>1</v>
      </c>
      <c r="AW838" s="171">
        <f t="shared" si="326"/>
        <v>1</v>
      </c>
      <c r="AX838" s="171">
        <f t="shared" si="335"/>
        <v>1</v>
      </c>
      <c r="AY838" s="171">
        <f t="shared" si="327"/>
        <v>1</v>
      </c>
      <c r="AZ838" s="171">
        <f t="shared" si="328"/>
        <v>1</v>
      </c>
      <c r="BA838" s="172">
        <f t="shared" si="329"/>
        <v>1</v>
      </c>
      <c r="BB838" s="175">
        <f t="shared" si="332"/>
        <v>17</v>
      </c>
      <c r="BC838" s="176">
        <f t="shared" si="333"/>
        <v>16</v>
      </c>
      <c r="BD838" s="176">
        <f t="shared" si="334"/>
        <v>17</v>
      </c>
      <c r="BE838" s="240" t="str">
        <f t="shared" si="322"/>
        <v/>
      </c>
      <c r="BF838" s="220"/>
      <c r="BG838" s="220"/>
      <c r="BH838" s="216">
        <f>IF(AND(Input_Product=Elig!$C838,Elig_MatchAll_Ct&lt;22,$BC838=(Elig_MatchAll_Ct-1),AF838=0),C838,0)</f>
        <v>0</v>
      </c>
      <c r="BI838" s="216">
        <f>IF(AND(Input_Product=Elig!$C838,Elig_MatchAll_Ct&lt;22,$BC838=(Elig_MatchAll_Ct-1),AG838=0),D838,0)</f>
        <v>0</v>
      </c>
      <c r="BJ838" s="216">
        <f>IF(AND(Input_Product=Elig!$C838,Elig_MatchAll_Ct&lt;22,$BC838=(Elig_MatchAll_Ct-1),AH838=0),E838,0)</f>
        <v>0</v>
      </c>
      <c r="BK838" s="216">
        <f>IF(AND(Input_Product=Elig!$C838,Elig_MatchAll_Ct&lt;22,$BC838=(Elig_MatchAll_Ct-1),AI838=0),F838,0)</f>
        <v>0</v>
      </c>
      <c r="BL838" s="216">
        <f>IF(AND(Input_Product=Elig!$C838,Elig_MatchAll_Ct&lt;22,$BC838=(Elig_MatchAll_Ct-1),AJ838=0),G838,0)</f>
        <v>0</v>
      </c>
      <c r="BM838" s="216">
        <f>IF(AND(Input_Product=Elig!$C838,Elig_MatchAll_Ct&lt;22,$BC838=(Elig_MatchAll_Ct-1),AK838=0),H838,0)</f>
        <v>0</v>
      </c>
      <c r="BN838" s="216">
        <f>IF(AND(Input_Product=Elig!$C838,Elig_MatchAll_Ct&lt;22,$BC838=(Elig_MatchAll_Ct-1),AL838=0),I838,0)</f>
        <v>0</v>
      </c>
      <c r="BO838" s="216">
        <f>IF(AND(Input_Product=Elig!$C838,Elig_MatchAll_Ct&lt;22,$BC838=(Elig_MatchAll_Ct-1),AM838=0),J838,0)</f>
        <v>0</v>
      </c>
      <c r="BP838" s="216">
        <f>IF(AND(Input_Product=Elig!$C838,Elig_MatchAll_Ct&lt;22,$BC838=(Elig_MatchAll_Ct-1),AN838=0),K838,0)</f>
        <v>0</v>
      </c>
      <c r="BQ838" s="216">
        <f>IF(AND(Input_Product=Elig!$C838,Elig_MatchAll_Ct&lt;22,$BC838=(Elig_MatchAll_Ct-1),AP838=0),L838,0)</f>
        <v>0</v>
      </c>
      <c r="BR838" s="216">
        <f>IF(AND(Input_Product=Elig!$C838,Elig_MatchAll_Ct&lt;22,$BC838=(Elig_MatchAll_Ct-1),AO838=0),M838,0)</f>
        <v>0</v>
      </c>
      <c r="BS838" s="216">
        <f>IF(AND(Input_Product=Elig!$C838,Elig_MatchAll_Ct&lt;22,$BC838=(Elig_MatchAll_Ct-1),AQ838=0),N838,0)</f>
        <v>0</v>
      </c>
      <c r="BT838" s="216">
        <f>IF(AND(Input_Product=Elig!$C838,Elig_MatchAll_Ct&lt;22,$BC838=(Elig_MatchAll_Ct-1),AR838=0),O838,0)</f>
        <v>0</v>
      </c>
      <c r="BU838" s="216">
        <f>IF(AND(Input_Product=Elig!$C838,Elig_MatchAll_Ct&lt;22,$BC838=(Elig_MatchAll_Ct-1),AS838=0),P838,0)</f>
        <v>0</v>
      </c>
      <c r="BV838" s="217">
        <f>IF(AND(Input_Product=Elig!$C838,Elig_MatchAll_Ct&lt;22,$BC838=(Elig_MatchAll_Ct-1),AT838=0),Q838,0)</f>
        <v>0</v>
      </c>
      <c r="BW838" s="313">
        <f>IF(AND(Input_Product=Elig!$C838,Elig_MatchAll_Ct&lt;22,$BC838=(Elig_MatchAll_Ct-1),AU838=0),R838,0)</f>
        <v>0</v>
      </c>
      <c r="BX838" s="314">
        <f>IF(AND(Input_Product=Elig!$C838,Elig_MatchAll_Ct&lt;22,$BC838=(Elig_MatchAll_Ct-1),AU838=0),S838,0)</f>
        <v>0</v>
      </c>
      <c r="BY838" s="313">
        <f>IF(AND(Input_Product=Elig!$C838,Elig_MatchAll_Ct&lt;22,$BC838=(Elig_MatchAll_Ct-1),AV838=0),T838,0)</f>
        <v>0</v>
      </c>
      <c r="BZ838" s="314">
        <f>IF(AND(Input_Product=Elig!$C838,Elig_MatchAll_Ct&lt;22,$BC838=(Elig_MatchAll_Ct-1),AV838=0),U838,0)</f>
        <v>0</v>
      </c>
      <c r="CA838" s="313">
        <f>IF(AND(Input_Product=Elig!$C838,Elig_MatchAll_Ct&lt;22,$BC838=(Elig_MatchAll_Ct-1),AW838=0),V838,0)</f>
        <v>0</v>
      </c>
      <c r="CB838" s="314">
        <f>IF(AND(Input_Product=Elig!$C838,Elig_MatchAll_Ct&lt;22,$BC838=(Elig_MatchAll_Ct-1),AW838=0),W838,0)</f>
        <v>0</v>
      </c>
      <c r="CC838" s="313">
        <f>IF(AND(Input_Product=Elig!$C838,Elig_MatchAll_Ct&lt;22,$BC838=(Elig_MatchAll_Ct-1),AX838=0),X838,0)</f>
        <v>0</v>
      </c>
      <c r="CD838" s="314">
        <f>IF(AND(Input_Product=Elig!$C838,Elig_MatchAll_Ct&lt;22,$BC838=(Elig_MatchAll_Ct-1),AX838=0),Y838,0)</f>
        <v>0</v>
      </c>
      <c r="CE838" s="313">
        <f>IF(AND(Input_LTV&lt;=AE838,Input_Product=Elig!$C838,Elig_MatchAll_Ct&lt;22,$BC838=(Elig_MatchAll_Ct-1),AY838=0),Z838,0)</f>
        <v>0</v>
      </c>
      <c r="CF838" s="314">
        <f>IF(AND(Input_LTV&lt;=AE838,Input_Product=Elig!$C838,Elig_MatchAll_Ct&lt;22,$BC838=(Elig_MatchAll_Ct-1),AY838=0),AA838,0)</f>
        <v>0</v>
      </c>
      <c r="CG838" s="313">
        <f>IF(AND(Input_Product=Elig!$C838,Elig_MatchAll_Ct&lt;22,$BC838=(Elig_MatchAll_Ct-1),AZ838=0),AB838,0)</f>
        <v>0</v>
      </c>
      <c r="CH838" s="314">
        <f>IF(AND(Input_Product=Elig!$C838,Elig_MatchAll_Ct&lt;22,$BC838=(Elig_MatchAll_Ct-1),AZ838=0),AC838,0)</f>
        <v>0</v>
      </c>
      <c r="CI838" s="313">
        <f>IF(AND(Input_Product=Elig!$C838,Elig_MatchAll_Ct&lt;22,$BC838=(Elig_MatchAll_Ct-1),BA838=0),AD838,0)</f>
        <v>0</v>
      </c>
      <c r="CJ838" s="314">
        <f>IF(AND(Input_Product=Elig!$C838,Elig_MatchAll_Ct&lt;22,$BC838=(Elig_MatchAll_Ct-1),BA838=0),AE838,0)</f>
        <v>0</v>
      </c>
    </row>
    <row r="839" spans="2:88" ht="10.15" customHeight="1" x14ac:dyDescent="0.25">
      <c r="B839" s="2035" t="s">
        <v>3829</v>
      </c>
      <c r="C839" s="2036" t="str">
        <f t="shared" si="330"/>
        <v>Second NOO</v>
      </c>
      <c r="D839" s="2035" t="s">
        <v>1569</v>
      </c>
      <c r="E839" s="2035" t="s">
        <v>98</v>
      </c>
      <c r="F839" s="2035" t="s">
        <v>330</v>
      </c>
      <c r="G839" s="2110" t="s">
        <v>175</v>
      </c>
      <c r="H839" s="2037" t="s">
        <v>446</v>
      </c>
      <c r="I839" s="2035" t="s">
        <v>1332</v>
      </c>
      <c r="J839" s="2035" t="s">
        <v>1311</v>
      </c>
      <c r="K839" s="2037" t="s">
        <v>1790</v>
      </c>
      <c r="L839" s="2035" t="s">
        <v>430</v>
      </c>
      <c r="M839" s="2035" t="s">
        <v>2677</v>
      </c>
      <c r="N839" s="2037" t="s">
        <v>82</v>
      </c>
      <c r="O839" s="2035" t="s">
        <v>310</v>
      </c>
      <c r="P839" s="2035" t="s">
        <v>291</v>
      </c>
      <c r="Q839" s="2035" t="s">
        <v>294</v>
      </c>
      <c r="R839" s="2035">
        <v>350000.01</v>
      </c>
      <c r="S839" s="2109">
        <v>500000</v>
      </c>
      <c r="T839" s="2035">
        <v>0</v>
      </c>
      <c r="U839" s="2035">
        <f t="shared" si="331"/>
        <v>500000</v>
      </c>
      <c r="V839" s="2035">
        <v>0</v>
      </c>
      <c r="W839" s="2035">
        <v>50</v>
      </c>
      <c r="X839" s="2035">
        <v>0</v>
      </c>
      <c r="Y839" s="2035">
        <v>999</v>
      </c>
      <c r="Z839" s="2038">
        <v>700</v>
      </c>
      <c r="AA839" s="2038">
        <v>719</v>
      </c>
      <c r="AB839" s="2038">
        <v>0</v>
      </c>
      <c r="AC839" s="2038">
        <v>999999</v>
      </c>
      <c r="AD839" s="2035">
        <v>0</v>
      </c>
      <c r="AE839" s="2109">
        <v>70</v>
      </c>
      <c r="AF839" s="170">
        <v>0</v>
      </c>
      <c r="AG839" s="171">
        <v>1</v>
      </c>
      <c r="AH839" s="171">
        <v>1</v>
      </c>
      <c r="AI839" s="171">
        <v>0</v>
      </c>
      <c r="AJ839" s="171">
        <v>0</v>
      </c>
      <c r="AK839" s="171">
        <v>0</v>
      </c>
      <c r="AL839" s="171">
        <v>1</v>
      </c>
      <c r="AM839" s="171">
        <v>1</v>
      </c>
      <c r="AN839" s="171">
        <v>1</v>
      </c>
      <c r="AO839" s="171">
        <v>1</v>
      </c>
      <c r="AP839" s="171">
        <v>1</v>
      </c>
      <c r="AQ839" s="171">
        <v>1</v>
      </c>
      <c r="AR839" s="171">
        <v>1</v>
      </c>
      <c r="AS839" s="171">
        <v>1</v>
      </c>
      <c r="AT839" s="171">
        <v>1</v>
      </c>
      <c r="AU839" s="171">
        <f t="shared" si="324"/>
        <v>0</v>
      </c>
      <c r="AV839" s="171">
        <f t="shared" si="325"/>
        <v>1</v>
      </c>
      <c r="AW839" s="171">
        <f t="shared" si="326"/>
        <v>1</v>
      </c>
      <c r="AX839" s="171">
        <f t="shared" si="335"/>
        <v>1</v>
      </c>
      <c r="AY839" s="171">
        <f t="shared" si="327"/>
        <v>0</v>
      </c>
      <c r="AZ839" s="171">
        <f t="shared" si="328"/>
        <v>1</v>
      </c>
      <c r="BA839" s="172">
        <f t="shared" si="329"/>
        <v>1</v>
      </c>
      <c r="BB839" s="175">
        <f t="shared" si="332"/>
        <v>16</v>
      </c>
      <c r="BC839" s="176">
        <f t="shared" si="333"/>
        <v>15</v>
      </c>
      <c r="BD839" s="176">
        <f t="shared" si="334"/>
        <v>16</v>
      </c>
      <c r="BE839" s="240" t="str">
        <f t="shared" ref="BE839:BE902" si="343">IF(BD839=21,C839,"")</f>
        <v/>
      </c>
      <c r="BF839" s="234"/>
      <c r="BG839" s="234"/>
      <c r="BH839" s="199">
        <f>IF(AND(Input_Product=Elig!$C839,Elig_MatchAll_Ct&lt;22,$BC839=(Elig_MatchAll_Ct-1),AF839=0),C839,0)</f>
        <v>0</v>
      </c>
      <c r="BI839" s="199">
        <f>IF(AND(Input_Product=Elig!$C839,Elig_MatchAll_Ct&lt;22,$BC839=(Elig_MatchAll_Ct-1),AG839=0),D839,0)</f>
        <v>0</v>
      </c>
      <c r="BJ839" s="199">
        <f>IF(AND(Input_Product=Elig!$C839,Elig_MatchAll_Ct&lt;22,$BC839=(Elig_MatchAll_Ct-1),AH839=0),E839,0)</f>
        <v>0</v>
      </c>
      <c r="BK839" s="199">
        <f>IF(AND(Input_Product=Elig!$C839,Elig_MatchAll_Ct&lt;22,$BC839=(Elig_MatchAll_Ct-1),AI839=0),F839,0)</f>
        <v>0</v>
      </c>
      <c r="BL839" s="199">
        <f>IF(AND(Input_Product=Elig!$C839,Elig_MatchAll_Ct&lt;22,$BC839=(Elig_MatchAll_Ct-1),AJ839=0),G839,0)</f>
        <v>0</v>
      </c>
      <c r="BM839" s="199">
        <f>IF(AND(Input_Product=Elig!$C839,Elig_MatchAll_Ct&lt;22,$BC839=(Elig_MatchAll_Ct-1),AK839=0),H839,0)</f>
        <v>0</v>
      </c>
      <c r="BN839" s="199">
        <f>IF(AND(Input_Product=Elig!$C839,Elig_MatchAll_Ct&lt;22,$BC839=(Elig_MatchAll_Ct-1),AL839=0),I839,0)</f>
        <v>0</v>
      </c>
      <c r="BO839" s="199">
        <f>IF(AND(Input_Product=Elig!$C839,Elig_MatchAll_Ct&lt;22,$BC839=(Elig_MatchAll_Ct-1),AM839=0),J839,0)</f>
        <v>0</v>
      </c>
      <c r="BP839" s="199">
        <f>IF(AND(Input_Product=Elig!$C839,Elig_MatchAll_Ct&lt;22,$BC839=(Elig_MatchAll_Ct-1),AN839=0),K839,0)</f>
        <v>0</v>
      </c>
      <c r="BQ839" s="199">
        <f>IF(AND(Input_Product=Elig!$C839,Elig_MatchAll_Ct&lt;22,$BC839=(Elig_MatchAll_Ct-1),AP839=0),L839,0)</f>
        <v>0</v>
      </c>
      <c r="BR839" s="199">
        <f>IF(AND(Input_Product=Elig!$C839,Elig_MatchAll_Ct&lt;22,$BC839=(Elig_MatchAll_Ct-1),AO839=0),M839,0)</f>
        <v>0</v>
      </c>
      <c r="BS839" s="199">
        <f>IF(AND(Input_Product=Elig!$C839,Elig_MatchAll_Ct&lt;22,$BC839=(Elig_MatchAll_Ct-1),AQ839=0),N839,0)</f>
        <v>0</v>
      </c>
      <c r="BT839" s="199">
        <f>IF(AND(Input_Product=Elig!$C839,Elig_MatchAll_Ct&lt;22,$BC839=(Elig_MatchAll_Ct-1),AR839=0),O839,0)</f>
        <v>0</v>
      </c>
      <c r="BU839" s="199">
        <f>IF(AND(Input_Product=Elig!$C839,Elig_MatchAll_Ct&lt;22,$BC839=(Elig_MatchAll_Ct-1),AS839=0),P839,0)</f>
        <v>0</v>
      </c>
      <c r="BV839" s="200">
        <f>IF(AND(Input_Product=Elig!$C839,Elig_MatchAll_Ct&lt;22,$BC839=(Elig_MatchAll_Ct-1),AT839=0),Q839,0)</f>
        <v>0</v>
      </c>
      <c r="BW839" s="201">
        <f>IF(AND(Input_Product=Elig!$C839,Elig_MatchAll_Ct&lt;22,$BC839=(Elig_MatchAll_Ct-1),AU839=0),R839,0)</f>
        <v>0</v>
      </c>
      <c r="BX839" s="202">
        <f>IF(AND(Input_Product=Elig!$C839,Elig_MatchAll_Ct&lt;22,$BC839=(Elig_MatchAll_Ct-1),AU839=0),S839,0)</f>
        <v>0</v>
      </c>
      <c r="BY839" s="201">
        <f>IF(AND(Input_Product=Elig!$C839,Elig_MatchAll_Ct&lt;22,$BC839=(Elig_MatchAll_Ct-1),AV839=0),T839,0)</f>
        <v>0</v>
      </c>
      <c r="BZ839" s="202">
        <f>IF(AND(Input_Product=Elig!$C839,Elig_MatchAll_Ct&lt;22,$BC839=(Elig_MatchAll_Ct-1),AV839=0),U839,0)</f>
        <v>0</v>
      </c>
      <c r="CA839" s="201">
        <f>IF(AND(Input_Product=Elig!$C839,Elig_MatchAll_Ct&lt;22,$BC839=(Elig_MatchAll_Ct-1),AW839=0),V839,0)</f>
        <v>0</v>
      </c>
      <c r="CB839" s="202">
        <f>IF(AND(Input_Product=Elig!$C839,Elig_MatchAll_Ct&lt;22,$BC839=(Elig_MatchAll_Ct-1),AW839=0),W839,0)</f>
        <v>0</v>
      </c>
      <c r="CC839" s="201">
        <f>IF(AND(Input_Product=Elig!$C839,Elig_MatchAll_Ct&lt;22,$BC839=(Elig_MatchAll_Ct-1),AX839=0),X839,0)</f>
        <v>0</v>
      </c>
      <c r="CD839" s="202">
        <f>IF(AND(Input_Product=Elig!$C839,Elig_MatchAll_Ct&lt;22,$BC839=(Elig_MatchAll_Ct-1),AX839=0),Y839,0)</f>
        <v>0</v>
      </c>
      <c r="CE839" s="201">
        <f>IF(AND(Input_LTV&lt;=AE839,Input_Product=Elig!$C839,Elig_MatchAll_Ct&lt;22,$BC839=(Elig_MatchAll_Ct-1),AY839=0),Z839,0)</f>
        <v>0</v>
      </c>
      <c r="CF839" s="202">
        <f>IF(AND(Input_LTV&lt;=AE839,Input_Product=Elig!$C839,Elig_MatchAll_Ct&lt;22,$BC839=(Elig_MatchAll_Ct-1),AY839=0),AA839,0)</f>
        <v>0</v>
      </c>
      <c r="CG839" s="201">
        <f>IF(AND(Input_Product=Elig!$C839,Elig_MatchAll_Ct&lt;22,$BC839=(Elig_MatchAll_Ct-1),AZ839=0),AB839,0)</f>
        <v>0</v>
      </c>
      <c r="CH839" s="202">
        <f>IF(AND(Input_Product=Elig!$C839,Elig_MatchAll_Ct&lt;22,$BC839=(Elig_MatchAll_Ct-1),AZ839=0),AC839,0)</f>
        <v>0</v>
      </c>
      <c r="CI839" s="201">
        <f>IF(AND(Input_Product=Elig!$C839,Elig_MatchAll_Ct&lt;22,$BC839=(Elig_MatchAll_Ct-1),BA839=0),AD839,0)</f>
        <v>0</v>
      </c>
      <c r="CJ839" s="202">
        <f>IF(AND(Input_Product=Elig!$C839,Elig_MatchAll_Ct&lt;22,$BC839=(Elig_MatchAll_Ct-1),BA839=0),AE839,0)</f>
        <v>0</v>
      </c>
    </row>
    <row r="840" spans="2:88" ht="10.15" customHeight="1" x14ac:dyDescent="0.25">
      <c r="B840" s="2035" t="s">
        <v>3830</v>
      </c>
      <c r="C840" s="2036" t="str">
        <f t="shared" si="330"/>
        <v>Second NOO</v>
      </c>
      <c r="D840" s="2035" t="s">
        <v>1569</v>
      </c>
      <c r="E840" s="2035" t="s">
        <v>98</v>
      </c>
      <c r="F840" s="2035" t="s">
        <v>330</v>
      </c>
      <c r="G840" s="2110" t="s">
        <v>175</v>
      </c>
      <c r="H840" s="2037" t="s">
        <v>446</v>
      </c>
      <c r="I840" s="2035" t="s">
        <v>1332</v>
      </c>
      <c r="J840" s="2035" t="s">
        <v>1311</v>
      </c>
      <c r="K840" s="2037" t="s">
        <v>1790</v>
      </c>
      <c r="L840" s="2035" t="s">
        <v>430</v>
      </c>
      <c r="M840" s="2035" t="s">
        <v>2677</v>
      </c>
      <c r="N840" s="2037" t="s">
        <v>82</v>
      </c>
      <c r="O840" s="2035" t="s">
        <v>310</v>
      </c>
      <c r="P840" s="2035" t="s">
        <v>291</v>
      </c>
      <c r="Q840" s="2035" t="s">
        <v>294</v>
      </c>
      <c r="R840" s="2035">
        <v>350000.01</v>
      </c>
      <c r="S840" s="2109">
        <v>500000</v>
      </c>
      <c r="T840" s="2035">
        <v>0</v>
      </c>
      <c r="U840" s="2035">
        <f t="shared" si="331"/>
        <v>500000</v>
      </c>
      <c r="V840" s="2035">
        <v>0</v>
      </c>
      <c r="W840" s="2035">
        <v>50</v>
      </c>
      <c r="X840" s="2035">
        <v>0</v>
      </c>
      <c r="Y840" s="2035">
        <v>999</v>
      </c>
      <c r="Z840" s="2038">
        <v>680</v>
      </c>
      <c r="AA840" s="2038">
        <v>699</v>
      </c>
      <c r="AB840" s="2038">
        <v>0</v>
      </c>
      <c r="AC840" s="2038">
        <v>999999</v>
      </c>
      <c r="AD840" s="2035">
        <v>0</v>
      </c>
      <c r="AE840" s="2109">
        <v>65</v>
      </c>
      <c r="AF840" s="170">
        <v>0</v>
      </c>
      <c r="AG840" s="171">
        <v>1</v>
      </c>
      <c r="AH840" s="171">
        <v>1</v>
      </c>
      <c r="AI840" s="171">
        <v>0</v>
      </c>
      <c r="AJ840" s="171">
        <v>0</v>
      </c>
      <c r="AK840" s="171">
        <v>0</v>
      </c>
      <c r="AL840" s="171">
        <v>1</v>
      </c>
      <c r="AM840" s="171">
        <v>1</v>
      </c>
      <c r="AN840" s="171">
        <v>1</v>
      </c>
      <c r="AO840" s="171">
        <v>1</v>
      </c>
      <c r="AP840" s="171">
        <v>1</v>
      </c>
      <c r="AQ840" s="171">
        <v>1</v>
      </c>
      <c r="AR840" s="171">
        <v>1</v>
      </c>
      <c r="AS840" s="171">
        <v>1</v>
      </c>
      <c r="AT840" s="171">
        <v>1</v>
      </c>
      <c r="AU840" s="171">
        <f t="shared" si="324"/>
        <v>0</v>
      </c>
      <c r="AV840" s="171">
        <f t="shared" si="325"/>
        <v>1</v>
      </c>
      <c r="AW840" s="171">
        <f t="shared" si="326"/>
        <v>1</v>
      </c>
      <c r="AX840" s="171">
        <f t="shared" si="335"/>
        <v>1</v>
      </c>
      <c r="AY840" s="171">
        <f t="shared" si="327"/>
        <v>0</v>
      </c>
      <c r="AZ840" s="171">
        <f t="shared" si="328"/>
        <v>1</v>
      </c>
      <c r="BA840" s="172">
        <f t="shared" si="329"/>
        <v>1</v>
      </c>
      <c r="BB840" s="175">
        <f t="shared" si="332"/>
        <v>16</v>
      </c>
      <c r="BC840" s="176">
        <f t="shared" si="333"/>
        <v>15</v>
      </c>
      <c r="BD840" s="176">
        <f t="shared" si="334"/>
        <v>16</v>
      </c>
      <c r="BE840" s="240" t="str">
        <f t="shared" si="343"/>
        <v/>
      </c>
      <c r="BF840" s="234"/>
      <c r="BG840" s="234"/>
      <c r="BH840" s="199">
        <f>IF(AND(Input_Product=Elig!$C840,Elig_MatchAll_Ct&lt;22,$BC840=(Elig_MatchAll_Ct-1),AF840=0),C840,0)</f>
        <v>0</v>
      </c>
      <c r="BI840" s="199">
        <f>IF(AND(Input_Product=Elig!$C840,Elig_MatchAll_Ct&lt;22,$BC840=(Elig_MatchAll_Ct-1),AG840=0),D840,0)</f>
        <v>0</v>
      </c>
      <c r="BJ840" s="199">
        <f>IF(AND(Input_Product=Elig!$C840,Elig_MatchAll_Ct&lt;22,$BC840=(Elig_MatchAll_Ct-1),AH840=0),E840,0)</f>
        <v>0</v>
      </c>
      <c r="BK840" s="199">
        <f>IF(AND(Input_Product=Elig!$C840,Elig_MatchAll_Ct&lt;22,$BC840=(Elig_MatchAll_Ct-1),AI840=0),F840,0)</f>
        <v>0</v>
      </c>
      <c r="BL840" s="199">
        <f>IF(AND(Input_Product=Elig!$C840,Elig_MatchAll_Ct&lt;22,$BC840=(Elig_MatchAll_Ct-1),AJ840=0),G840,0)</f>
        <v>0</v>
      </c>
      <c r="BM840" s="199">
        <f>IF(AND(Input_Product=Elig!$C840,Elig_MatchAll_Ct&lt;22,$BC840=(Elig_MatchAll_Ct-1),AK840=0),H840,0)</f>
        <v>0</v>
      </c>
      <c r="BN840" s="199">
        <f>IF(AND(Input_Product=Elig!$C840,Elig_MatchAll_Ct&lt;22,$BC840=(Elig_MatchAll_Ct-1),AL840=0),I840,0)</f>
        <v>0</v>
      </c>
      <c r="BO840" s="199">
        <f>IF(AND(Input_Product=Elig!$C840,Elig_MatchAll_Ct&lt;22,$BC840=(Elig_MatchAll_Ct-1),AM840=0),J840,0)</f>
        <v>0</v>
      </c>
      <c r="BP840" s="199">
        <f>IF(AND(Input_Product=Elig!$C840,Elig_MatchAll_Ct&lt;22,$BC840=(Elig_MatchAll_Ct-1),AN840=0),K840,0)</f>
        <v>0</v>
      </c>
      <c r="BQ840" s="199">
        <f>IF(AND(Input_Product=Elig!$C840,Elig_MatchAll_Ct&lt;22,$BC840=(Elig_MatchAll_Ct-1),AP840=0),L840,0)</f>
        <v>0</v>
      </c>
      <c r="BR840" s="199">
        <f>IF(AND(Input_Product=Elig!$C840,Elig_MatchAll_Ct&lt;22,$BC840=(Elig_MatchAll_Ct-1),AO840=0),M840,0)</f>
        <v>0</v>
      </c>
      <c r="BS840" s="199">
        <f>IF(AND(Input_Product=Elig!$C840,Elig_MatchAll_Ct&lt;22,$BC840=(Elig_MatchAll_Ct-1),AQ840=0),N840,0)</f>
        <v>0</v>
      </c>
      <c r="BT840" s="199">
        <f>IF(AND(Input_Product=Elig!$C840,Elig_MatchAll_Ct&lt;22,$BC840=(Elig_MatchAll_Ct-1),AR840=0),O840,0)</f>
        <v>0</v>
      </c>
      <c r="BU840" s="199">
        <f>IF(AND(Input_Product=Elig!$C840,Elig_MatchAll_Ct&lt;22,$BC840=(Elig_MatchAll_Ct-1),AS840=0),P840,0)</f>
        <v>0</v>
      </c>
      <c r="BV840" s="200">
        <f>IF(AND(Input_Product=Elig!$C840,Elig_MatchAll_Ct&lt;22,$BC840=(Elig_MatchAll_Ct-1),AT840=0),Q840,0)</f>
        <v>0</v>
      </c>
      <c r="BW840" s="201">
        <f>IF(AND(Input_Product=Elig!$C840,Elig_MatchAll_Ct&lt;22,$BC840=(Elig_MatchAll_Ct-1),AU840=0),R840,0)</f>
        <v>0</v>
      </c>
      <c r="BX840" s="202">
        <f>IF(AND(Input_Product=Elig!$C840,Elig_MatchAll_Ct&lt;22,$BC840=(Elig_MatchAll_Ct-1),AU840=0),S840,0)</f>
        <v>0</v>
      </c>
      <c r="BY840" s="201">
        <f>IF(AND(Input_Product=Elig!$C840,Elig_MatchAll_Ct&lt;22,$BC840=(Elig_MatchAll_Ct-1),AV840=0),T840,0)</f>
        <v>0</v>
      </c>
      <c r="BZ840" s="202">
        <f>IF(AND(Input_Product=Elig!$C840,Elig_MatchAll_Ct&lt;22,$BC840=(Elig_MatchAll_Ct-1),AV840=0),U840,0)</f>
        <v>0</v>
      </c>
      <c r="CA840" s="201">
        <f>IF(AND(Input_Product=Elig!$C840,Elig_MatchAll_Ct&lt;22,$BC840=(Elig_MatchAll_Ct-1),AW840=0),V840,0)</f>
        <v>0</v>
      </c>
      <c r="CB840" s="202">
        <f>IF(AND(Input_Product=Elig!$C840,Elig_MatchAll_Ct&lt;22,$BC840=(Elig_MatchAll_Ct-1),AW840=0),W840,0)</f>
        <v>0</v>
      </c>
      <c r="CC840" s="201">
        <f>IF(AND(Input_Product=Elig!$C840,Elig_MatchAll_Ct&lt;22,$BC840=(Elig_MatchAll_Ct-1),AX840=0),X840,0)</f>
        <v>0</v>
      </c>
      <c r="CD840" s="202">
        <f>IF(AND(Input_Product=Elig!$C840,Elig_MatchAll_Ct&lt;22,$BC840=(Elig_MatchAll_Ct-1),AX840=0),Y840,0)</f>
        <v>0</v>
      </c>
      <c r="CE840" s="201">
        <f>IF(AND(Input_LTV&lt;=AE840,Input_Product=Elig!$C840,Elig_MatchAll_Ct&lt;22,$BC840=(Elig_MatchAll_Ct-1),AY840=0),Z840,0)</f>
        <v>0</v>
      </c>
      <c r="CF840" s="202">
        <f>IF(AND(Input_LTV&lt;=AE840,Input_Product=Elig!$C840,Elig_MatchAll_Ct&lt;22,$BC840=(Elig_MatchAll_Ct-1),AY840=0),AA840,0)</f>
        <v>0</v>
      </c>
      <c r="CG840" s="201">
        <f>IF(AND(Input_Product=Elig!$C840,Elig_MatchAll_Ct&lt;22,$BC840=(Elig_MatchAll_Ct-1),AZ840=0),AB840,0)</f>
        <v>0</v>
      </c>
      <c r="CH840" s="202">
        <f>IF(AND(Input_Product=Elig!$C840,Elig_MatchAll_Ct&lt;22,$BC840=(Elig_MatchAll_Ct-1),AZ840=0),AC840,0)</f>
        <v>0</v>
      </c>
      <c r="CI840" s="201">
        <f>IF(AND(Input_Product=Elig!$C840,Elig_MatchAll_Ct&lt;22,$BC840=(Elig_MatchAll_Ct-1),BA840=0),AD840,0)</f>
        <v>0</v>
      </c>
      <c r="CJ840" s="202">
        <f>IF(AND(Input_Product=Elig!$C840,Elig_MatchAll_Ct&lt;22,$BC840=(Elig_MatchAll_Ct-1),BA840=0),AE840,0)</f>
        <v>0</v>
      </c>
    </row>
    <row r="841" spans="2:88" ht="10.15" customHeight="1" x14ac:dyDescent="0.25">
      <c r="B841" s="2035" t="s">
        <v>3831</v>
      </c>
      <c r="C841" s="2036" t="str">
        <f t="shared" si="330"/>
        <v>Second NOO</v>
      </c>
      <c r="D841" s="2035" t="s">
        <v>1569</v>
      </c>
      <c r="E841" s="2035" t="s">
        <v>98</v>
      </c>
      <c r="F841" s="2035" t="s">
        <v>330</v>
      </c>
      <c r="G841" s="2111" t="s">
        <v>175</v>
      </c>
      <c r="H841" s="2037" t="s">
        <v>446</v>
      </c>
      <c r="I841" s="2035" t="s">
        <v>1332</v>
      </c>
      <c r="J841" s="2035" t="s">
        <v>1311</v>
      </c>
      <c r="K841" s="2037" t="s">
        <v>1790</v>
      </c>
      <c r="L841" s="2035" t="s">
        <v>430</v>
      </c>
      <c r="M841" s="2035" t="s">
        <v>2677</v>
      </c>
      <c r="N841" s="2037" t="s">
        <v>82</v>
      </c>
      <c r="O841" s="2035" t="s">
        <v>310</v>
      </c>
      <c r="P841" s="2035" t="s">
        <v>291</v>
      </c>
      <c r="Q841" s="2035" t="s">
        <v>294</v>
      </c>
      <c r="R841" s="2035">
        <v>350000.01</v>
      </c>
      <c r="S841" s="2109">
        <v>500000</v>
      </c>
      <c r="T841" s="2035">
        <v>0</v>
      </c>
      <c r="U841" s="2035">
        <f t="shared" si="331"/>
        <v>500000</v>
      </c>
      <c r="V841" s="2035">
        <v>0</v>
      </c>
      <c r="W841" s="2035">
        <v>50</v>
      </c>
      <c r="X841" s="2035">
        <v>0</v>
      </c>
      <c r="Y841" s="2035">
        <v>999</v>
      </c>
      <c r="Z841" s="2038">
        <v>660</v>
      </c>
      <c r="AA841" s="2038">
        <v>679</v>
      </c>
      <c r="AB841" s="2038">
        <v>0</v>
      </c>
      <c r="AC841" s="2038">
        <v>999999</v>
      </c>
      <c r="AD841" s="2035">
        <v>0</v>
      </c>
      <c r="AE841" s="2109">
        <v>60</v>
      </c>
      <c r="AF841" s="170">
        <v>0</v>
      </c>
      <c r="AG841" s="171">
        <v>1</v>
      </c>
      <c r="AH841" s="171">
        <v>1</v>
      </c>
      <c r="AI841" s="171">
        <v>0</v>
      </c>
      <c r="AJ841" s="171">
        <v>0</v>
      </c>
      <c r="AK841" s="171">
        <v>0</v>
      </c>
      <c r="AL841" s="171">
        <v>1</v>
      </c>
      <c r="AM841" s="171">
        <v>1</v>
      </c>
      <c r="AN841" s="171">
        <v>1</v>
      </c>
      <c r="AO841" s="171">
        <v>1</v>
      </c>
      <c r="AP841" s="171">
        <v>1</v>
      </c>
      <c r="AQ841" s="171">
        <v>1</v>
      </c>
      <c r="AR841" s="171">
        <v>1</v>
      </c>
      <c r="AS841" s="171">
        <v>1</v>
      </c>
      <c r="AT841" s="171">
        <v>1</v>
      </c>
      <c r="AU841" s="171">
        <f t="shared" si="324"/>
        <v>0</v>
      </c>
      <c r="AV841" s="171">
        <f t="shared" si="325"/>
        <v>1</v>
      </c>
      <c r="AW841" s="171">
        <f t="shared" si="326"/>
        <v>1</v>
      </c>
      <c r="AX841" s="171">
        <f t="shared" si="335"/>
        <v>1</v>
      </c>
      <c r="AY841" s="171">
        <f t="shared" si="327"/>
        <v>0</v>
      </c>
      <c r="AZ841" s="171">
        <f t="shared" si="328"/>
        <v>1</v>
      </c>
      <c r="BA841" s="172">
        <f t="shared" si="329"/>
        <v>0</v>
      </c>
      <c r="BB841" s="175">
        <f t="shared" si="332"/>
        <v>15</v>
      </c>
      <c r="BC841" s="176">
        <f t="shared" si="333"/>
        <v>15</v>
      </c>
      <c r="BD841" s="176">
        <f t="shared" si="334"/>
        <v>15</v>
      </c>
      <c r="BE841" s="240" t="str">
        <f t="shared" si="343"/>
        <v/>
      </c>
      <c r="BF841" s="234"/>
      <c r="BG841" s="234"/>
      <c r="BH841" s="214">
        <f>IF(AND(Input_Product=Elig!$C841,Elig_MatchAll_Ct&lt;22,$BC841=(Elig_MatchAll_Ct-1),AF841=0),C841,0)</f>
        <v>0</v>
      </c>
      <c r="BI841" s="214">
        <f>IF(AND(Input_Product=Elig!$C841,Elig_MatchAll_Ct&lt;22,$BC841=(Elig_MatchAll_Ct-1),AG841=0),D841,0)</f>
        <v>0</v>
      </c>
      <c r="BJ841" s="214">
        <f>IF(AND(Input_Product=Elig!$C841,Elig_MatchAll_Ct&lt;22,$BC841=(Elig_MatchAll_Ct-1),AH841=0),E841,0)</f>
        <v>0</v>
      </c>
      <c r="BK841" s="214">
        <f>IF(AND(Input_Product=Elig!$C841,Elig_MatchAll_Ct&lt;22,$BC841=(Elig_MatchAll_Ct-1),AI841=0),F841,0)</f>
        <v>0</v>
      </c>
      <c r="BL841" s="214">
        <f>IF(AND(Input_Product=Elig!$C841,Elig_MatchAll_Ct&lt;22,$BC841=(Elig_MatchAll_Ct-1),AJ841=0),G841,0)</f>
        <v>0</v>
      </c>
      <c r="BM841" s="214">
        <f>IF(AND(Input_Product=Elig!$C841,Elig_MatchAll_Ct&lt;22,$BC841=(Elig_MatchAll_Ct-1),AK841=0),H841,0)</f>
        <v>0</v>
      </c>
      <c r="BN841" s="214">
        <f>IF(AND(Input_Product=Elig!$C841,Elig_MatchAll_Ct&lt;22,$BC841=(Elig_MatchAll_Ct-1),AL841=0),I841,0)</f>
        <v>0</v>
      </c>
      <c r="BO841" s="214">
        <f>IF(AND(Input_Product=Elig!$C841,Elig_MatchAll_Ct&lt;22,$BC841=(Elig_MatchAll_Ct-1),AM841=0),J841,0)</f>
        <v>0</v>
      </c>
      <c r="BP841" s="214">
        <f>IF(AND(Input_Product=Elig!$C841,Elig_MatchAll_Ct&lt;22,$BC841=(Elig_MatchAll_Ct-1),AN841=0),K841,0)</f>
        <v>0</v>
      </c>
      <c r="BQ841" s="214">
        <f>IF(AND(Input_Product=Elig!$C841,Elig_MatchAll_Ct&lt;22,$BC841=(Elig_MatchAll_Ct-1),AP841=0),L841,0)</f>
        <v>0</v>
      </c>
      <c r="BR841" s="214">
        <f>IF(AND(Input_Product=Elig!$C841,Elig_MatchAll_Ct&lt;22,$BC841=(Elig_MatchAll_Ct-1),AO841=0),M841,0)</f>
        <v>0</v>
      </c>
      <c r="BS841" s="214">
        <f>IF(AND(Input_Product=Elig!$C841,Elig_MatchAll_Ct&lt;22,$BC841=(Elig_MatchAll_Ct-1),AQ841=0),N841,0)</f>
        <v>0</v>
      </c>
      <c r="BT841" s="214">
        <f>IF(AND(Input_Product=Elig!$C841,Elig_MatchAll_Ct&lt;22,$BC841=(Elig_MatchAll_Ct-1),AR841=0),O841,0)</f>
        <v>0</v>
      </c>
      <c r="BU841" s="214">
        <f>IF(AND(Input_Product=Elig!$C841,Elig_MatchAll_Ct&lt;22,$BC841=(Elig_MatchAll_Ct-1),AS841=0),P841,0)</f>
        <v>0</v>
      </c>
      <c r="BV841" s="215">
        <f>IF(AND(Input_Product=Elig!$C841,Elig_MatchAll_Ct&lt;22,$BC841=(Elig_MatchAll_Ct-1),AT841=0),Q841,0)</f>
        <v>0</v>
      </c>
      <c r="BW841" s="311">
        <f>IF(AND(Input_Product=Elig!$C841,Elig_MatchAll_Ct&lt;22,$BC841=(Elig_MatchAll_Ct-1),AU841=0),R841,0)</f>
        <v>0</v>
      </c>
      <c r="BX841" s="312">
        <f>IF(AND(Input_Product=Elig!$C841,Elig_MatchAll_Ct&lt;22,$BC841=(Elig_MatchAll_Ct-1),AU841=0),S841,0)</f>
        <v>0</v>
      </c>
      <c r="BY841" s="311">
        <f>IF(AND(Input_Product=Elig!$C841,Elig_MatchAll_Ct&lt;22,$BC841=(Elig_MatchAll_Ct-1),AV841=0),T841,0)</f>
        <v>0</v>
      </c>
      <c r="BZ841" s="312">
        <f>IF(AND(Input_Product=Elig!$C841,Elig_MatchAll_Ct&lt;22,$BC841=(Elig_MatchAll_Ct-1),AV841=0),U841,0)</f>
        <v>0</v>
      </c>
      <c r="CA841" s="311">
        <f>IF(AND(Input_Product=Elig!$C841,Elig_MatchAll_Ct&lt;22,$BC841=(Elig_MatchAll_Ct-1),AW841=0),V841,0)</f>
        <v>0</v>
      </c>
      <c r="CB841" s="312">
        <f>IF(AND(Input_Product=Elig!$C841,Elig_MatchAll_Ct&lt;22,$BC841=(Elig_MatchAll_Ct-1),AW841=0),W841,0)</f>
        <v>0</v>
      </c>
      <c r="CC841" s="311">
        <f>IF(AND(Input_Product=Elig!$C841,Elig_MatchAll_Ct&lt;22,$BC841=(Elig_MatchAll_Ct-1),AX841=0),X841,0)</f>
        <v>0</v>
      </c>
      <c r="CD841" s="312">
        <f>IF(AND(Input_Product=Elig!$C841,Elig_MatchAll_Ct&lt;22,$BC841=(Elig_MatchAll_Ct-1),AX841=0),Y841,0)</f>
        <v>0</v>
      </c>
      <c r="CE841" s="311">
        <f>IF(AND(Input_LTV&lt;=AE841,Input_Product=Elig!$C841,Elig_MatchAll_Ct&lt;22,$BC841=(Elig_MatchAll_Ct-1),AY841=0),Z841,0)</f>
        <v>0</v>
      </c>
      <c r="CF841" s="312">
        <f>IF(AND(Input_LTV&lt;=AE841,Input_Product=Elig!$C841,Elig_MatchAll_Ct&lt;22,$BC841=(Elig_MatchAll_Ct-1),AY841=0),AA841,0)</f>
        <v>0</v>
      </c>
      <c r="CG841" s="311">
        <f>IF(AND(Input_Product=Elig!$C841,Elig_MatchAll_Ct&lt;22,$BC841=(Elig_MatchAll_Ct-1),AZ841=0),AB841,0)</f>
        <v>0</v>
      </c>
      <c r="CH841" s="312">
        <f>IF(AND(Input_Product=Elig!$C841,Elig_MatchAll_Ct&lt;22,$BC841=(Elig_MatchAll_Ct-1),AZ841=0),AC841,0)</f>
        <v>0</v>
      </c>
      <c r="CI841" s="311">
        <f>IF(AND(Input_Product=Elig!$C841,Elig_MatchAll_Ct&lt;22,$BC841=(Elig_MatchAll_Ct-1),BA841=0),AD841,0)</f>
        <v>0</v>
      </c>
      <c r="CJ841" s="312">
        <f>IF(AND(Input_Product=Elig!$C841,Elig_MatchAll_Ct&lt;22,$BC841=(Elig_MatchAll_Ct-1),BA841=0),AE841,0)</f>
        <v>0</v>
      </c>
    </row>
    <row r="842" spans="2:88" ht="10.15" customHeight="1" x14ac:dyDescent="0.25">
      <c r="B842" s="2035" t="s">
        <v>3832</v>
      </c>
      <c r="C842" s="2040" t="str">
        <f t="shared" si="330"/>
        <v>Second NOO</v>
      </c>
      <c r="D842" s="2041" t="s">
        <v>1569</v>
      </c>
      <c r="E842" s="2041" t="s">
        <v>98</v>
      </c>
      <c r="F842" s="2041" t="s">
        <v>330</v>
      </c>
      <c r="G842" s="2103" t="s">
        <v>468</v>
      </c>
      <c r="H842" s="2041" t="s">
        <v>136</v>
      </c>
      <c r="I842" s="2039" t="s">
        <v>1332</v>
      </c>
      <c r="J842" s="2039" t="s">
        <v>1311</v>
      </c>
      <c r="K842" s="2041" t="s">
        <v>1790</v>
      </c>
      <c r="L842" s="2039" t="s">
        <v>430</v>
      </c>
      <c r="M842" s="2039" t="s">
        <v>2677</v>
      </c>
      <c r="N842" s="2041" t="s">
        <v>82</v>
      </c>
      <c r="O842" s="2039" t="s">
        <v>310</v>
      </c>
      <c r="P842" s="2039" t="s">
        <v>291</v>
      </c>
      <c r="Q842" s="2039" t="s">
        <v>294</v>
      </c>
      <c r="R842" s="2039">
        <v>350000.01</v>
      </c>
      <c r="S842" s="2108">
        <v>500000</v>
      </c>
      <c r="T842" s="2039">
        <v>0</v>
      </c>
      <c r="U842" s="2039">
        <f t="shared" ref="U842:U845" si="344">S842</f>
        <v>500000</v>
      </c>
      <c r="V842" s="2039">
        <v>0</v>
      </c>
      <c r="W842" s="2039">
        <v>50</v>
      </c>
      <c r="X842" s="2039">
        <v>0</v>
      </c>
      <c r="Y842" s="2039">
        <v>999</v>
      </c>
      <c r="Z842" s="2042">
        <v>720</v>
      </c>
      <c r="AA842" s="2042">
        <v>999</v>
      </c>
      <c r="AB842" s="2042">
        <v>0</v>
      </c>
      <c r="AC842" s="2042">
        <v>999999</v>
      </c>
      <c r="AD842" s="2039">
        <v>0</v>
      </c>
      <c r="AE842" s="2108">
        <v>75</v>
      </c>
      <c r="AF842" s="170">
        <v>0</v>
      </c>
      <c r="AG842" s="171">
        <v>1</v>
      </c>
      <c r="AH842" s="171">
        <v>1</v>
      </c>
      <c r="AI842" s="171">
        <v>0</v>
      </c>
      <c r="AJ842" s="171">
        <v>0</v>
      </c>
      <c r="AK842" s="171">
        <v>1</v>
      </c>
      <c r="AL842" s="171">
        <v>1</v>
      </c>
      <c r="AM842" s="171">
        <v>1</v>
      </c>
      <c r="AN842" s="171">
        <v>1</v>
      </c>
      <c r="AO842" s="171">
        <v>1</v>
      </c>
      <c r="AP842" s="171">
        <v>1</v>
      </c>
      <c r="AQ842" s="171">
        <v>1</v>
      </c>
      <c r="AR842" s="171">
        <v>1</v>
      </c>
      <c r="AS842" s="171">
        <v>1</v>
      </c>
      <c r="AT842" s="171">
        <v>1</v>
      </c>
      <c r="AU842" s="171">
        <f t="shared" si="324"/>
        <v>0</v>
      </c>
      <c r="AV842" s="171">
        <f t="shared" si="325"/>
        <v>1</v>
      </c>
      <c r="AW842" s="171">
        <f t="shared" si="326"/>
        <v>1</v>
      </c>
      <c r="AX842" s="171">
        <f t="shared" si="335"/>
        <v>1</v>
      </c>
      <c r="AY842" s="171">
        <f t="shared" si="327"/>
        <v>1</v>
      </c>
      <c r="AZ842" s="171">
        <f t="shared" si="328"/>
        <v>1</v>
      </c>
      <c r="BA842" s="172">
        <f t="shared" si="329"/>
        <v>1</v>
      </c>
      <c r="BB842" s="175">
        <f t="shared" ref="BB842:BB845" si="345">SUM(AF842:BA842)</f>
        <v>18</v>
      </c>
      <c r="BC842" s="176">
        <f t="shared" ref="BC842:BC845" si="346">SUM(AF842:AZ842)</f>
        <v>17</v>
      </c>
      <c r="BD842" s="176">
        <f t="shared" ref="BD842:BD845" si="347">SUM(AG842:BA842)</f>
        <v>18</v>
      </c>
      <c r="BE842" s="240" t="str">
        <f t="shared" si="343"/>
        <v/>
      </c>
      <c r="BF842" s="220"/>
      <c r="BG842" s="220"/>
      <c r="BH842" s="216">
        <f>IF(AND(Input_Product=Elig!$C842,Elig_MatchAll_Ct&lt;22,$BC842=(Elig_MatchAll_Ct-1),AF842=0),C842,0)</f>
        <v>0</v>
      </c>
      <c r="BI842" s="216">
        <f>IF(AND(Input_Product=Elig!$C842,Elig_MatchAll_Ct&lt;22,$BC842=(Elig_MatchAll_Ct-1),AG842=0),D842,0)</f>
        <v>0</v>
      </c>
      <c r="BJ842" s="216">
        <f>IF(AND(Input_Product=Elig!$C842,Elig_MatchAll_Ct&lt;22,$BC842=(Elig_MatchAll_Ct-1),AH842=0),E842,0)</f>
        <v>0</v>
      </c>
      <c r="BK842" s="216">
        <f>IF(AND(Input_Product=Elig!$C842,Elig_MatchAll_Ct&lt;22,$BC842=(Elig_MatchAll_Ct-1),AI842=0),F842,0)</f>
        <v>0</v>
      </c>
      <c r="BL842" s="216">
        <f>IF(AND(Input_Product=Elig!$C842,Elig_MatchAll_Ct&lt;22,$BC842=(Elig_MatchAll_Ct-1),AJ842=0),G842,0)</f>
        <v>0</v>
      </c>
      <c r="BM842" s="216">
        <f>IF(AND(Input_Product=Elig!$C842,Elig_MatchAll_Ct&lt;22,$BC842=(Elig_MatchAll_Ct-1),AK842=0),H842,0)</f>
        <v>0</v>
      </c>
      <c r="BN842" s="216">
        <f>IF(AND(Input_Product=Elig!$C842,Elig_MatchAll_Ct&lt;22,$BC842=(Elig_MatchAll_Ct-1),AL842=0),I842,0)</f>
        <v>0</v>
      </c>
      <c r="BO842" s="216">
        <f>IF(AND(Input_Product=Elig!$C842,Elig_MatchAll_Ct&lt;22,$BC842=(Elig_MatchAll_Ct-1),AM842=0),J842,0)</f>
        <v>0</v>
      </c>
      <c r="BP842" s="216">
        <f>IF(AND(Input_Product=Elig!$C842,Elig_MatchAll_Ct&lt;22,$BC842=(Elig_MatchAll_Ct-1),AN842=0),K842,0)</f>
        <v>0</v>
      </c>
      <c r="BQ842" s="216">
        <f>IF(AND(Input_Product=Elig!$C842,Elig_MatchAll_Ct&lt;22,$BC842=(Elig_MatchAll_Ct-1),AP842=0),L842,0)</f>
        <v>0</v>
      </c>
      <c r="BR842" s="216">
        <f>IF(AND(Input_Product=Elig!$C842,Elig_MatchAll_Ct&lt;22,$BC842=(Elig_MatchAll_Ct-1),AO842=0),M842,0)</f>
        <v>0</v>
      </c>
      <c r="BS842" s="216">
        <f>IF(AND(Input_Product=Elig!$C842,Elig_MatchAll_Ct&lt;22,$BC842=(Elig_MatchAll_Ct-1),AQ842=0),N842,0)</f>
        <v>0</v>
      </c>
      <c r="BT842" s="216">
        <f>IF(AND(Input_Product=Elig!$C842,Elig_MatchAll_Ct&lt;22,$BC842=(Elig_MatchAll_Ct-1),AR842=0),O842,0)</f>
        <v>0</v>
      </c>
      <c r="BU842" s="216">
        <f>IF(AND(Input_Product=Elig!$C842,Elig_MatchAll_Ct&lt;22,$BC842=(Elig_MatchAll_Ct-1),AS842=0),P842,0)</f>
        <v>0</v>
      </c>
      <c r="BV842" s="217">
        <f>IF(AND(Input_Product=Elig!$C842,Elig_MatchAll_Ct&lt;22,$BC842=(Elig_MatchAll_Ct-1),AT842=0),Q842,0)</f>
        <v>0</v>
      </c>
      <c r="BW842" s="313">
        <f>IF(AND(Input_Product=Elig!$C842,Elig_MatchAll_Ct&lt;22,$BC842=(Elig_MatchAll_Ct-1),AU842=0),R842,0)</f>
        <v>0</v>
      </c>
      <c r="BX842" s="314">
        <f>IF(AND(Input_Product=Elig!$C842,Elig_MatchAll_Ct&lt;22,$BC842=(Elig_MatchAll_Ct-1),AU842=0),S842,0)</f>
        <v>0</v>
      </c>
      <c r="BY842" s="313">
        <f>IF(AND(Input_Product=Elig!$C842,Elig_MatchAll_Ct&lt;22,$BC842=(Elig_MatchAll_Ct-1),AV842=0),T842,0)</f>
        <v>0</v>
      </c>
      <c r="BZ842" s="314">
        <f>IF(AND(Input_Product=Elig!$C842,Elig_MatchAll_Ct&lt;22,$BC842=(Elig_MatchAll_Ct-1),AV842=0),U842,0)</f>
        <v>0</v>
      </c>
      <c r="CA842" s="313">
        <f>IF(AND(Input_Product=Elig!$C842,Elig_MatchAll_Ct&lt;22,$BC842=(Elig_MatchAll_Ct-1),AW842=0),V842,0)</f>
        <v>0</v>
      </c>
      <c r="CB842" s="314">
        <f>IF(AND(Input_Product=Elig!$C842,Elig_MatchAll_Ct&lt;22,$BC842=(Elig_MatchAll_Ct-1),AW842=0),W842,0)</f>
        <v>0</v>
      </c>
      <c r="CC842" s="313">
        <f>IF(AND(Input_Product=Elig!$C842,Elig_MatchAll_Ct&lt;22,$BC842=(Elig_MatchAll_Ct-1),AX842=0),X842,0)</f>
        <v>0</v>
      </c>
      <c r="CD842" s="314">
        <f>IF(AND(Input_Product=Elig!$C842,Elig_MatchAll_Ct&lt;22,$BC842=(Elig_MatchAll_Ct-1),AX842=0),Y842,0)</f>
        <v>0</v>
      </c>
      <c r="CE842" s="313">
        <f>IF(AND(Input_LTV&lt;=AE842,Input_Product=Elig!$C842,Elig_MatchAll_Ct&lt;22,$BC842=(Elig_MatchAll_Ct-1),AY842=0),Z842,0)</f>
        <v>0</v>
      </c>
      <c r="CF842" s="314">
        <f>IF(AND(Input_LTV&lt;=AE842,Input_Product=Elig!$C842,Elig_MatchAll_Ct&lt;22,$BC842=(Elig_MatchAll_Ct-1),AY842=0),AA842,0)</f>
        <v>0</v>
      </c>
      <c r="CG842" s="313">
        <f>IF(AND(Input_Product=Elig!$C842,Elig_MatchAll_Ct&lt;22,$BC842=(Elig_MatchAll_Ct-1),AZ842=0),AB842,0)</f>
        <v>0</v>
      </c>
      <c r="CH842" s="314">
        <f>IF(AND(Input_Product=Elig!$C842,Elig_MatchAll_Ct&lt;22,$BC842=(Elig_MatchAll_Ct-1),AZ842=0),AC842,0)</f>
        <v>0</v>
      </c>
      <c r="CI842" s="313">
        <f>IF(AND(Input_Product=Elig!$C842,Elig_MatchAll_Ct&lt;22,$BC842=(Elig_MatchAll_Ct-1),BA842=0),AD842,0)</f>
        <v>0</v>
      </c>
      <c r="CJ842" s="314">
        <f>IF(AND(Input_Product=Elig!$C842,Elig_MatchAll_Ct&lt;22,$BC842=(Elig_MatchAll_Ct-1),BA842=0),AE842,0)</f>
        <v>0</v>
      </c>
    </row>
    <row r="843" spans="2:88" ht="10.15" customHeight="1" x14ac:dyDescent="0.25">
      <c r="B843" s="2035" t="s">
        <v>3833</v>
      </c>
      <c r="C843" s="2036" t="str">
        <f t="shared" si="330"/>
        <v>Second NOO</v>
      </c>
      <c r="D843" s="2035" t="s">
        <v>1569</v>
      </c>
      <c r="E843" s="2035" t="s">
        <v>98</v>
      </c>
      <c r="F843" s="2035" t="s">
        <v>330</v>
      </c>
      <c r="G843" s="2110" t="s">
        <v>468</v>
      </c>
      <c r="H843" s="2037" t="s">
        <v>136</v>
      </c>
      <c r="I843" s="2035" t="s">
        <v>1332</v>
      </c>
      <c r="J843" s="2035" t="s">
        <v>1311</v>
      </c>
      <c r="K843" s="2037" t="s">
        <v>1790</v>
      </c>
      <c r="L843" s="2035" t="s">
        <v>430</v>
      </c>
      <c r="M843" s="2035" t="s">
        <v>2677</v>
      </c>
      <c r="N843" s="2037" t="s">
        <v>82</v>
      </c>
      <c r="O843" s="2035" t="s">
        <v>310</v>
      </c>
      <c r="P843" s="2035" t="s">
        <v>291</v>
      </c>
      <c r="Q843" s="2035" t="s">
        <v>294</v>
      </c>
      <c r="R843" s="2035">
        <v>350000.01</v>
      </c>
      <c r="S843" s="2109">
        <v>500000</v>
      </c>
      <c r="T843" s="2035">
        <v>0</v>
      </c>
      <c r="U843" s="2035">
        <f t="shared" si="344"/>
        <v>500000</v>
      </c>
      <c r="V843" s="2035">
        <v>0</v>
      </c>
      <c r="W843" s="2035">
        <v>50</v>
      </c>
      <c r="X843" s="2035">
        <v>0</v>
      </c>
      <c r="Y843" s="2035">
        <v>999</v>
      </c>
      <c r="Z843" s="2038">
        <v>700</v>
      </c>
      <c r="AA843" s="2038">
        <v>719</v>
      </c>
      <c r="AB843" s="2038">
        <v>0</v>
      </c>
      <c r="AC843" s="2038">
        <v>999999</v>
      </c>
      <c r="AD843" s="2035">
        <v>0</v>
      </c>
      <c r="AE843" s="2109">
        <v>70</v>
      </c>
      <c r="AF843" s="170">
        <v>0</v>
      </c>
      <c r="AG843" s="171">
        <v>1</v>
      </c>
      <c r="AH843" s="171">
        <v>1</v>
      </c>
      <c r="AI843" s="171">
        <v>0</v>
      </c>
      <c r="AJ843" s="171">
        <v>0</v>
      </c>
      <c r="AK843" s="171">
        <v>1</v>
      </c>
      <c r="AL843" s="171">
        <v>1</v>
      </c>
      <c r="AM843" s="171">
        <v>1</v>
      </c>
      <c r="AN843" s="171">
        <v>1</v>
      </c>
      <c r="AO843" s="171">
        <v>1</v>
      </c>
      <c r="AP843" s="171">
        <v>1</v>
      </c>
      <c r="AQ843" s="171">
        <v>1</v>
      </c>
      <c r="AR843" s="171">
        <v>1</v>
      </c>
      <c r="AS843" s="171">
        <v>1</v>
      </c>
      <c r="AT843" s="171">
        <v>1</v>
      </c>
      <c r="AU843" s="171">
        <f t="shared" si="324"/>
        <v>0</v>
      </c>
      <c r="AV843" s="171">
        <f t="shared" si="325"/>
        <v>1</v>
      </c>
      <c r="AW843" s="171">
        <f t="shared" si="326"/>
        <v>1</v>
      </c>
      <c r="AX843" s="171">
        <f t="shared" si="335"/>
        <v>1</v>
      </c>
      <c r="AY843" s="171">
        <f t="shared" si="327"/>
        <v>0</v>
      </c>
      <c r="AZ843" s="171">
        <f t="shared" si="328"/>
        <v>1</v>
      </c>
      <c r="BA843" s="172">
        <f t="shared" si="329"/>
        <v>1</v>
      </c>
      <c r="BB843" s="175">
        <f t="shared" si="345"/>
        <v>17</v>
      </c>
      <c r="BC843" s="176">
        <f t="shared" si="346"/>
        <v>16</v>
      </c>
      <c r="BD843" s="176">
        <f t="shared" si="347"/>
        <v>17</v>
      </c>
      <c r="BE843" s="240" t="str">
        <f t="shared" si="343"/>
        <v/>
      </c>
      <c r="BF843" s="234"/>
      <c r="BG843" s="234"/>
      <c r="BH843" s="199">
        <f>IF(AND(Input_Product=Elig!$C843,Elig_MatchAll_Ct&lt;22,$BC843=(Elig_MatchAll_Ct-1),AF843=0),C843,0)</f>
        <v>0</v>
      </c>
      <c r="BI843" s="199">
        <f>IF(AND(Input_Product=Elig!$C843,Elig_MatchAll_Ct&lt;22,$BC843=(Elig_MatchAll_Ct-1),AG843=0),D843,0)</f>
        <v>0</v>
      </c>
      <c r="BJ843" s="199">
        <f>IF(AND(Input_Product=Elig!$C843,Elig_MatchAll_Ct&lt;22,$BC843=(Elig_MatchAll_Ct-1),AH843=0),E843,0)</f>
        <v>0</v>
      </c>
      <c r="BK843" s="199">
        <f>IF(AND(Input_Product=Elig!$C843,Elig_MatchAll_Ct&lt;22,$BC843=(Elig_MatchAll_Ct-1),AI843=0),F843,0)</f>
        <v>0</v>
      </c>
      <c r="BL843" s="199">
        <f>IF(AND(Input_Product=Elig!$C843,Elig_MatchAll_Ct&lt;22,$BC843=(Elig_MatchAll_Ct-1),AJ843=0),G843,0)</f>
        <v>0</v>
      </c>
      <c r="BM843" s="199">
        <f>IF(AND(Input_Product=Elig!$C843,Elig_MatchAll_Ct&lt;22,$BC843=(Elig_MatchAll_Ct-1),AK843=0),H843,0)</f>
        <v>0</v>
      </c>
      <c r="BN843" s="199">
        <f>IF(AND(Input_Product=Elig!$C843,Elig_MatchAll_Ct&lt;22,$BC843=(Elig_MatchAll_Ct-1),AL843=0),I843,0)</f>
        <v>0</v>
      </c>
      <c r="BO843" s="199">
        <f>IF(AND(Input_Product=Elig!$C843,Elig_MatchAll_Ct&lt;22,$BC843=(Elig_MatchAll_Ct-1),AM843=0),J843,0)</f>
        <v>0</v>
      </c>
      <c r="BP843" s="199">
        <f>IF(AND(Input_Product=Elig!$C843,Elig_MatchAll_Ct&lt;22,$BC843=(Elig_MatchAll_Ct-1),AN843=0),K843,0)</f>
        <v>0</v>
      </c>
      <c r="BQ843" s="199">
        <f>IF(AND(Input_Product=Elig!$C843,Elig_MatchAll_Ct&lt;22,$BC843=(Elig_MatchAll_Ct-1),AP843=0),L843,0)</f>
        <v>0</v>
      </c>
      <c r="BR843" s="199">
        <f>IF(AND(Input_Product=Elig!$C843,Elig_MatchAll_Ct&lt;22,$BC843=(Elig_MatchAll_Ct-1),AO843=0),M843,0)</f>
        <v>0</v>
      </c>
      <c r="BS843" s="199">
        <f>IF(AND(Input_Product=Elig!$C843,Elig_MatchAll_Ct&lt;22,$BC843=(Elig_MatchAll_Ct-1),AQ843=0),N843,0)</f>
        <v>0</v>
      </c>
      <c r="BT843" s="199">
        <f>IF(AND(Input_Product=Elig!$C843,Elig_MatchAll_Ct&lt;22,$BC843=(Elig_MatchAll_Ct-1),AR843=0),O843,0)</f>
        <v>0</v>
      </c>
      <c r="BU843" s="199">
        <f>IF(AND(Input_Product=Elig!$C843,Elig_MatchAll_Ct&lt;22,$BC843=(Elig_MatchAll_Ct-1),AS843=0),P843,0)</f>
        <v>0</v>
      </c>
      <c r="BV843" s="200">
        <f>IF(AND(Input_Product=Elig!$C843,Elig_MatchAll_Ct&lt;22,$BC843=(Elig_MatchAll_Ct-1),AT843=0),Q843,0)</f>
        <v>0</v>
      </c>
      <c r="BW843" s="201">
        <f>IF(AND(Input_Product=Elig!$C843,Elig_MatchAll_Ct&lt;22,$BC843=(Elig_MatchAll_Ct-1),AU843=0),R843,0)</f>
        <v>0</v>
      </c>
      <c r="BX843" s="202">
        <f>IF(AND(Input_Product=Elig!$C843,Elig_MatchAll_Ct&lt;22,$BC843=(Elig_MatchAll_Ct-1),AU843=0),S843,0)</f>
        <v>0</v>
      </c>
      <c r="BY843" s="201">
        <f>IF(AND(Input_Product=Elig!$C843,Elig_MatchAll_Ct&lt;22,$BC843=(Elig_MatchAll_Ct-1),AV843=0),T843,0)</f>
        <v>0</v>
      </c>
      <c r="BZ843" s="202">
        <f>IF(AND(Input_Product=Elig!$C843,Elig_MatchAll_Ct&lt;22,$BC843=(Elig_MatchAll_Ct-1),AV843=0),U843,0)</f>
        <v>0</v>
      </c>
      <c r="CA843" s="201">
        <f>IF(AND(Input_Product=Elig!$C843,Elig_MatchAll_Ct&lt;22,$BC843=(Elig_MatchAll_Ct-1),AW843=0),V843,0)</f>
        <v>0</v>
      </c>
      <c r="CB843" s="202">
        <f>IF(AND(Input_Product=Elig!$C843,Elig_MatchAll_Ct&lt;22,$BC843=(Elig_MatchAll_Ct-1),AW843=0),W843,0)</f>
        <v>0</v>
      </c>
      <c r="CC843" s="201">
        <f>IF(AND(Input_Product=Elig!$C843,Elig_MatchAll_Ct&lt;22,$BC843=(Elig_MatchAll_Ct-1),AX843=0),X843,0)</f>
        <v>0</v>
      </c>
      <c r="CD843" s="202">
        <f>IF(AND(Input_Product=Elig!$C843,Elig_MatchAll_Ct&lt;22,$BC843=(Elig_MatchAll_Ct-1),AX843=0),Y843,0)</f>
        <v>0</v>
      </c>
      <c r="CE843" s="201">
        <f>IF(AND(Input_LTV&lt;=AE843,Input_Product=Elig!$C843,Elig_MatchAll_Ct&lt;22,$BC843=(Elig_MatchAll_Ct-1),AY843=0),Z843,0)</f>
        <v>0</v>
      </c>
      <c r="CF843" s="202">
        <f>IF(AND(Input_LTV&lt;=AE843,Input_Product=Elig!$C843,Elig_MatchAll_Ct&lt;22,$BC843=(Elig_MatchAll_Ct-1),AY843=0),AA843,0)</f>
        <v>0</v>
      </c>
      <c r="CG843" s="201">
        <f>IF(AND(Input_Product=Elig!$C843,Elig_MatchAll_Ct&lt;22,$BC843=(Elig_MatchAll_Ct-1),AZ843=0),AB843,0)</f>
        <v>0</v>
      </c>
      <c r="CH843" s="202">
        <f>IF(AND(Input_Product=Elig!$C843,Elig_MatchAll_Ct&lt;22,$BC843=(Elig_MatchAll_Ct-1),AZ843=0),AC843,0)</f>
        <v>0</v>
      </c>
      <c r="CI843" s="201">
        <f>IF(AND(Input_Product=Elig!$C843,Elig_MatchAll_Ct&lt;22,$BC843=(Elig_MatchAll_Ct-1),BA843=0),AD843,0)</f>
        <v>0</v>
      </c>
      <c r="CJ843" s="202">
        <f>IF(AND(Input_Product=Elig!$C843,Elig_MatchAll_Ct&lt;22,$BC843=(Elig_MatchAll_Ct-1),BA843=0),AE843,0)</f>
        <v>0</v>
      </c>
    </row>
    <row r="844" spans="2:88" ht="10.15" customHeight="1" x14ac:dyDescent="0.25">
      <c r="B844" s="2035" t="s">
        <v>3834</v>
      </c>
      <c r="C844" s="2036" t="str">
        <f t="shared" si="330"/>
        <v>Second NOO</v>
      </c>
      <c r="D844" s="2035" t="s">
        <v>1569</v>
      </c>
      <c r="E844" s="2035" t="s">
        <v>98</v>
      </c>
      <c r="F844" s="2035" t="s">
        <v>330</v>
      </c>
      <c r="G844" s="2110" t="s">
        <v>468</v>
      </c>
      <c r="H844" s="2037" t="s">
        <v>136</v>
      </c>
      <c r="I844" s="2035" t="s">
        <v>1332</v>
      </c>
      <c r="J844" s="2035" t="s">
        <v>1311</v>
      </c>
      <c r="K844" s="2037" t="s">
        <v>1790</v>
      </c>
      <c r="L844" s="2035" t="s">
        <v>430</v>
      </c>
      <c r="M844" s="2035" t="s">
        <v>2677</v>
      </c>
      <c r="N844" s="2037" t="s">
        <v>82</v>
      </c>
      <c r="O844" s="2035" t="s">
        <v>310</v>
      </c>
      <c r="P844" s="2035" t="s">
        <v>291</v>
      </c>
      <c r="Q844" s="2035" t="s">
        <v>294</v>
      </c>
      <c r="R844" s="2035">
        <v>350000.01</v>
      </c>
      <c r="S844" s="2109">
        <v>500000</v>
      </c>
      <c r="T844" s="2035">
        <v>0</v>
      </c>
      <c r="U844" s="2035">
        <f t="shared" si="344"/>
        <v>500000</v>
      </c>
      <c r="V844" s="2035">
        <v>0</v>
      </c>
      <c r="W844" s="2035">
        <v>50</v>
      </c>
      <c r="X844" s="2035">
        <v>0</v>
      </c>
      <c r="Y844" s="2035">
        <v>999</v>
      </c>
      <c r="Z844" s="2038">
        <v>680</v>
      </c>
      <c r="AA844" s="2038">
        <v>699</v>
      </c>
      <c r="AB844" s="2038">
        <v>0</v>
      </c>
      <c r="AC844" s="2038">
        <v>999999</v>
      </c>
      <c r="AD844" s="2035">
        <v>0</v>
      </c>
      <c r="AE844" s="2109">
        <v>65</v>
      </c>
      <c r="AF844" s="170">
        <v>0</v>
      </c>
      <c r="AG844" s="171">
        <v>1</v>
      </c>
      <c r="AH844" s="171">
        <v>1</v>
      </c>
      <c r="AI844" s="171">
        <v>0</v>
      </c>
      <c r="AJ844" s="171">
        <v>0</v>
      </c>
      <c r="AK844" s="171">
        <v>1</v>
      </c>
      <c r="AL844" s="171">
        <v>1</v>
      </c>
      <c r="AM844" s="171">
        <v>1</v>
      </c>
      <c r="AN844" s="171">
        <v>1</v>
      </c>
      <c r="AO844" s="171">
        <v>1</v>
      </c>
      <c r="AP844" s="171">
        <v>1</v>
      </c>
      <c r="AQ844" s="171">
        <v>1</v>
      </c>
      <c r="AR844" s="171">
        <v>1</v>
      </c>
      <c r="AS844" s="171">
        <v>1</v>
      </c>
      <c r="AT844" s="171">
        <v>1</v>
      </c>
      <c r="AU844" s="171">
        <f t="shared" si="324"/>
        <v>0</v>
      </c>
      <c r="AV844" s="171">
        <f t="shared" si="325"/>
        <v>1</v>
      </c>
      <c r="AW844" s="171">
        <f t="shared" si="326"/>
        <v>1</v>
      </c>
      <c r="AX844" s="171">
        <f t="shared" si="335"/>
        <v>1</v>
      </c>
      <c r="AY844" s="171">
        <f t="shared" si="327"/>
        <v>0</v>
      </c>
      <c r="AZ844" s="171">
        <f t="shared" si="328"/>
        <v>1</v>
      </c>
      <c r="BA844" s="172">
        <f t="shared" si="329"/>
        <v>1</v>
      </c>
      <c r="BB844" s="175">
        <f t="shared" si="345"/>
        <v>17</v>
      </c>
      <c r="BC844" s="176">
        <f t="shared" si="346"/>
        <v>16</v>
      </c>
      <c r="BD844" s="176">
        <f t="shared" si="347"/>
        <v>17</v>
      </c>
      <c r="BE844" s="240" t="str">
        <f t="shared" si="343"/>
        <v/>
      </c>
      <c r="BF844" s="234"/>
      <c r="BG844" s="234"/>
      <c r="BH844" s="199">
        <f>IF(AND(Input_Product=Elig!$C844,Elig_MatchAll_Ct&lt;22,$BC844=(Elig_MatchAll_Ct-1),AF844=0),C844,0)</f>
        <v>0</v>
      </c>
      <c r="BI844" s="199">
        <f>IF(AND(Input_Product=Elig!$C844,Elig_MatchAll_Ct&lt;22,$BC844=(Elig_MatchAll_Ct-1),AG844=0),D844,0)</f>
        <v>0</v>
      </c>
      <c r="BJ844" s="199">
        <f>IF(AND(Input_Product=Elig!$C844,Elig_MatchAll_Ct&lt;22,$BC844=(Elig_MatchAll_Ct-1),AH844=0),E844,0)</f>
        <v>0</v>
      </c>
      <c r="BK844" s="199">
        <f>IF(AND(Input_Product=Elig!$C844,Elig_MatchAll_Ct&lt;22,$BC844=(Elig_MatchAll_Ct-1),AI844=0),F844,0)</f>
        <v>0</v>
      </c>
      <c r="BL844" s="199">
        <f>IF(AND(Input_Product=Elig!$C844,Elig_MatchAll_Ct&lt;22,$BC844=(Elig_MatchAll_Ct-1),AJ844=0),G844,0)</f>
        <v>0</v>
      </c>
      <c r="BM844" s="199">
        <f>IF(AND(Input_Product=Elig!$C844,Elig_MatchAll_Ct&lt;22,$BC844=(Elig_MatchAll_Ct-1),AK844=0),H844,0)</f>
        <v>0</v>
      </c>
      <c r="BN844" s="199">
        <f>IF(AND(Input_Product=Elig!$C844,Elig_MatchAll_Ct&lt;22,$BC844=(Elig_MatchAll_Ct-1),AL844=0),I844,0)</f>
        <v>0</v>
      </c>
      <c r="BO844" s="199">
        <f>IF(AND(Input_Product=Elig!$C844,Elig_MatchAll_Ct&lt;22,$BC844=(Elig_MatchAll_Ct-1),AM844=0),J844,0)</f>
        <v>0</v>
      </c>
      <c r="BP844" s="199">
        <f>IF(AND(Input_Product=Elig!$C844,Elig_MatchAll_Ct&lt;22,$BC844=(Elig_MatchAll_Ct-1),AN844=0),K844,0)</f>
        <v>0</v>
      </c>
      <c r="BQ844" s="199">
        <f>IF(AND(Input_Product=Elig!$C844,Elig_MatchAll_Ct&lt;22,$BC844=(Elig_MatchAll_Ct-1),AP844=0),L844,0)</f>
        <v>0</v>
      </c>
      <c r="BR844" s="199">
        <f>IF(AND(Input_Product=Elig!$C844,Elig_MatchAll_Ct&lt;22,$BC844=(Elig_MatchAll_Ct-1),AO844=0),M844,0)</f>
        <v>0</v>
      </c>
      <c r="BS844" s="199">
        <f>IF(AND(Input_Product=Elig!$C844,Elig_MatchAll_Ct&lt;22,$BC844=(Elig_MatchAll_Ct-1),AQ844=0),N844,0)</f>
        <v>0</v>
      </c>
      <c r="BT844" s="199">
        <f>IF(AND(Input_Product=Elig!$C844,Elig_MatchAll_Ct&lt;22,$BC844=(Elig_MatchAll_Ct-1),AR844=0),O844,0)</f>
        <v>0</v>
      </c>
      <c r="BU844" s="199">
        <f>IF(AND(Input_Product=Elig!$C844,Elig_MatchAll_Ct&lt;22,$BC844=(Elig_MatchAll_Ct-1),AS844=0),P844,0)</f>
        <v>0</v>
      </c>
      <c r="BV844" s="200">
        <f>IF(AND(Input_Product=Elig!$C844,Elig_MatchAll_Ct&lt;22,$BC844=(Elig_MatchAll_Ct-1),AT844=0),Q844,0)</f>
        <v>0</v>
      </c>
      <c r="BW844" s="201">
        <f>IF(AND(Input_Product=Elig!$C844,Elig_MatchAll_Ct&lt;22,$BC844=(Elig_MatchAll_Ct-1),AU844=0),R844,0)</f>
        <v>0</v>
      </c>
      <c r="BX844" s="202">
        <f>IF(AND(Input_Product=Elig!$C844,Elig_MatchAll_Ct&lt;22,$BC844=(Elig_MatchAll_Ct-1),AU844=0),S844,0)</f>
        <v>0</v>
      </c>
      <c r="BY844" s="201">
        <f>IF(AND(Input_Product=Elig!$C844,Elig_MatchAll_Ct&lt;22,$BC844=(Elig_MatchAll_Ct-1),AV844=0),T844,0)</f>
        <v>0</v>
      </c>
      <c r="BZ844" s="202">
        <f>IF(AND(Input_Product=Elig!$C844,Elig_MatchAll_Ct&lt;22,$BC844=(Elig_MatchAll_Ct-1),AV844=0),U844,0)</f>
        <v>0</v>
      </c>
      <c r="CA844" s="201">
        <f>IF(AND(Input_Product=Elig!$C844,Elig_MatchAll_Ct&lt;22,$BC844=(Elig_MatchAll_Ct-1),AW844=0),V844,0)</f>
        <v>0</v>
      </c>
      <c r="CB844" s="202">
        <f>IF(AND(Input_Product=Elig!$C844,Elig_MatchAll_Ct&lt;22,$BC844=(Elig_MatchAll_Ct-1),AW844=0),W844,0)</f>
        <v>0</v>
      </c>
      <c r="CC844" s="201">
        <f>IF(AND(Input_Product=Elig!$C844,Elig_MatchAll_Ct&lt;22,$BC844=(Elig_MatchAll_Ct-1),AX844=0),X844,0)</f>
        <v>0</v>
      </c>
      <c r="CD844" s="202">
        <f>IF(AND(Input_Product=Elig!$C844,Elig_MatchAll_Ct&lt;22,$BC844=(Elig_MatchAll_Ct-1),AX844=0),Y844,0)</f>
        <v>0</v>
      </c>
      <c r="CE844" s="201">
        <f>IF(AND(Input_LTV&lt;=AE844,Input_Product=Elig!$C844,Elig_MatchAll_Ct&lt;22,$BC844=(Elig_MatchAll_Ct-1),AY844=0),Z844,0)</f>
        <v>0</v>
      </c>
      <c r="CF844" s="202">
        <f>IF(AND(Input_LTV&lt;=AE844,Input_Product=Elig!$C844,Elig_MatchAll_Ct&lt;22,$BC844=(Elig_MatchAll_Ct-1),AY844=0),AA844,0)</f>
        <v>0</v>
      </c>
      <c r="CG844" s="201">
        <f>IF(AND(Input_Product=Elig!$C844,Elig_MatchAll_Ct&lt;22,$BC844=(Elig_MatchAll_Ct-1),AZ844=0),AB844,0)</f>
        <v>0</v>
      </c>
      <c r="CH844" s="202">
        <f>IF(AND(Input_Product=Elig!$C844,Elig_MatchAll_Ct&lt;22,$BC844=(Elig_MatchAll_Ct-1),AZ844=0),AC844,0)</f>
        <v>0</v>
      </c>
      <c r="CI844" s="201">
        <f>IF(AND(Input_Product=Elig!$C844,Elig_MatchAll_Ct&lt;22,$BC844=(Elig_MatchAll_Ct-1),BA844=0),AD844,0)</f>
        <v>0</v>
      </c>
      <c r="CJ844" s="202">
        <f>IF(AND(Input_Product=Elig!$C844,Elig_MatchAll_Ct&lt;22,$BC844=(Elig_MatchAll_Ct-1),BA844=0),AE844,0)</f>
        <v>0</v>
      </c>
    </row>
    <row r="845" spans="2:88" ht="10.15" customHeight="1" x14ac:dyDescent="0.25">
      <c r="B845" s="2035" t="s">
        <v>3835</v>
      </c>
      <c r="C845" s="2036" t="str">
        <f t="shared" si="330"/>
        <v>Second NOO</v>
      </c>
      <c r="D845" s="2035" t="s">
        <v>1569</v>
      </c>
      <c r="E845" s="2035" t="s">
        <v>98</v>
      </c>
      <c r="F845" s="2035" t="s">
        <v>330</v>
      </c>
      <c r="G845" s="2111" t="s">
        <v>468</v>
      </c>
      <c r="H845" s="2037" t="s">
        <v>136</v>
      </c>
      <c r="I845" s="2035" t="s">
        <v>1332</v>
      </c>
      <c r="J845" s="2035" t="s">
        <v>1311</v>
      </c>
      <c r="K845" s="2037" t="s">
        <v>1790</v>
      </c>
      <c r="L845" s="2035" t="s">
        <v>430</v>
      </c>
      <c r="M845" s="2035" t="s">
        <v>2677</v>
      </c>
      <c r="N845" s="2037" t="s">
        <v>82</v>
      </c>
      <c r="O845" s="2035" t="s">
        <v>310</v>
      </c>
      <c r="P845" s="2035" t="s">
        <v>291</v>
      </c>
      <c r="Q845" s="2035" t="s">
        <v>294</v>
      </c>
      <c r="R845" s="2035">
        <v>350000.01</v>
      </c>
      <c r="S845" s="2109">
        <v>500000</v>
      </c>
      <c r="T845" s="2035">
        <v>0</v>
      </c>
      <c r="U845" s="2035">
        <f t="shared" si="344"/>
        <v>500000</v>
      </c>
      <c r="V845" s="2035">
        <v>0</v>
      </c>
      <c r="W845" s="2035">
        <v>50</v>
      </c>
      <c r="X845" s="2035">
        <v>0</v>
      </c>
      <c r="Y845" s="2035">
        <v>999</v>
      </c>
      <c r="Z845" s="2038">
        <v>660</v>
      </c>
      <c r="AA845" s="2038">
        <v>679</v>
      </c>
      <c r="AB845" s="2038">
        <v>0</v>
      </c>
      <c r="AC845" s="2038">
        <v>999999</v>
      </c>
      <c r="AD845" s="2035">
        <v>0</v>
      </c>
      <c r="AE845" s="2109">
        <v>60</v>
      </c>
      <c r="AF845" s="170">
        <v>0</v>
      </c>
      <c r="AG845" s="171">
        <v>1</v>
      </c>
      <c r="AH845" s="171">
        <v>1</v>
      </c>
      <c r="AI845" s="171">
        <v>0</v>
      </c>
      <c r="AJ845" s="171">
        <v>0</v>
      </c>
      <c r="AK845" s="171">
        <v>1</v>
      </c>
      <c r="AL845" s="171">
        <v>1</v>
      </c>
      <c r="AM845" s="171">
        <v>1</v>
      </c>
      <c r="AN845" s="171">
        <v>1</v>
      </c>
      <c r="AO845" s="171">
        <v>1</v>
      </c>
      <c r="AP845" s="171">
        <v>1</v>
      </c>
      <c r="AQ845" s="171">
        <v>1</v>
      </c>
      <c r="AR845" s="171">
        <v>1</v>
      </c>
      <c r="AS845" s="171">
        <v>1</v>
      </c>
      <c r="AT845" s="171">
        <v>1</v>
      </c>
      <c r="AU845" s="171">
        <f t="shared" si="324"/>
        <v>0</v>
      </c>
      <c r="AV845" s="171">
        <f t="shared" si="325"/>
        <v>1</v>
      </c>
      <c r="AW845" s="171">
        <f t="shared" si="326"/>
        <v>1</v>
      </c>
      <c r="AX845" s="171">
        <f t="shared" si="335"/>
        <v>1</v>
      </c>
      <c r="AY845" s="171">
        <f t="shared" si="327"/>
        <v>0</v>
      </c>
      <c r="AZ845" s="171">
        <f t="shared" si="328"/>
        <v>1</v>
      </c>
      <c r="BA845" s="172">
        <f t="shared" si="329"/>
        <v>0</v>
      </c>
      <c r="BB845" s="175">
        <f t="shared" si="345"/>
        <v>16</v>
      </c>
      <c r="BC845" s="176">
        <f t="shared" si="346"/>
        <v>16</v>
      </c>
      <c r="BD845" s="176">
        <f t="shared" si="347"/>
        <v>16</v>
      </c>
      <c r="BE845" s="240" t="str">
        <f t="shared" si="343"/>
        <v/>
      </c>
      <c r="BF845" s="234"/>
      <c r="BG845" s="234"/>
      <c r="BH845" s="214">
        <f>IF(AND(Input_Product=Elig!$C845,Elig_MatchAll_Ct&lt;22,$BC845=(Elig_MatchAll_Ct-1),AF845=0),C845,0)</f>
        <v>0</v>
      </c>
      <c r="BI845" s="214">
        <f>IF(AND(Input_Product=Elig!$C845,Elig_MatchAll_Ct&lt;22,$BC845=(Elig_MatchAll_Ct-1),AG845=0),D845,0)</f>
        <v>0</v>
      </c>
      <c r="BJ845" s="214">
        <f>IF(AND(Input_Product=Elig!$C845,Elig_MatchAll_Ct&lt;22,$BC845=(Elig_MatchAll_Ct-1),AH845=0),E845,0)</f>
        <v>0</v>
      </c>
      <c r="BK845" s="214">
        <f>IF(AND(Input_Product=Elig!$C845,Elig_MatchAll_Ct&lt;22,$BC845=(Elig_MatchAll_Ct-1),AI845=0),F845,0)</f>
        <v>0</v>
      </c>
      <c r="BL845" s="214">
        <f>IF(AND(Input_Product=Elig!$C845,Elig_MatchAll_Ct&lt;22,$BC845=(Elig_MatchAll_Ct-1),AJ845=0),G845,0)</f>
        <v>0</v>
      </c>
      <c r="BM845" s="214">
        <f>IF(AND(Input_Product=Elig!$C845,Elig_MatchAll_Ct&lt;22,$BC845=(Elig_MatchAll_Ct-1),AK845=0),H845,0)</f>
        <v>0</v>
      </c>
      <c r="BN845" s="214">
        <f>IF(AND(Input_Product=Elig!$C845,Elig_MatchAll_Ct&lt;22,$BC845=(Elig_MatchAll_Ct-1),AL845=0),I845,0)</f>
        <v>0</v>
      </c>
      <c r="BO845" s="214">
        <f>IF(AND(Input_Product=Elig!$C845,Elig_MatchAll_Ct&lt;22,$BC845=(Elig_MatchAll_Ct-1),AM845=0),J845,0)</f>
        <v>0</v>
      </c>
      <c r="BP845" s="214">
        <f>IF(AND(Input_Product=Elig!$C845,Elig_MatchAll_Ct&lt;22,$BC845=(Elig_MatchAll_Ct-1),AN845=0),K845,0)</f>
        <v>0</v>
      </c>
      <c r="BQ845" s="214">
        <f>IF(AND(Input_Product=Elig!$C845,Elig_MatchAll_Ct&lt;22,$BC845=(Elig_MatchAll_Ct-1),AP845=0),L845,0)</f>
        <v>0</v>
      </c>
      <c r="BR845" s="214">
        <f>IF(AND(Input_Product=Elig!$C845,Elig_MatchAll_Ct&lt;22,$BC845=(Elig_MatchAll_Ct-1),AO845=0),M845,0)</f>
        <v>0</v>
      </c>
      <c r="BS845" s="214">
        <f>IF(AND(Input_Product=Elig!$C845,Elig_MatchAll_Ct&lt;22,$BC845=(Elig_MatchAll_Ct-1),AQ845=0),N845,0)</f>
        <v>0</v>
      </c>
      <c r="BT845" s="214">
        <f>IF(AND(Input_Product=Elig!$C845,Elig_MatchAll_Ct&lt;22,$BC845=(Elig_MatchAll_Ct-1),AR845=0),O845,0)</f>
        <v>0</v>
      </c>
      <c r="BU845" s="214">
        <f>IF(AND(Input_Product=Elig!$C845,Elig_MatchAll_Ct&lt;22,$BC845=(Elig_MatchAll_Ct-1),AS845=0),P845,0)</f>
        <v>0</v>
      </c>
      <c r="BV845" s="215">
        <f>IF(AND(Input_Product=Elig!$C845,Elig_MatchAll_Ct&lt;22,$BC845=(Elig_MatchAll_Ct-1),AT845=0),Q845,0)</f>
        <v>0</v>
      </c>
      <c r="BW845" s="311">
        <f>IF(AND(Input_Product=Elig!$C845,Elig_MatchAll_Ct&lt;22,$BC845=(Elig_MatchAll_Ct-1),AU845=0),R845,0)</f>
        <v>0</v>
      </c>
      <c r="BX845" s="312">
        <f>IF(AND(Input_Product=Elig!$C845,Elig_MatchAll_Ct&lt;22,$BC845=(Elig_MatchAll_Ct-1),AU845=0),S845,0)</f>
        <v>0</v>
      </c>
      <c r="BY845" s="311">
        <f>IF(AND(Input_Product=Elig!$C845,Elig_MatchAll_Ct&lt;22,$BC845=(Elig_MatchAll_Ct-1),AV845=0),T845,0)</f>
        <v>0</v>
      </c>
      <c r="BZ845" s="312">
        <f>IF(AND(Input_Product=Elig!$C845,Elig_MatchAll_Ct&lt;22,$BC845=(Elig_MatchAll_Ct-1),AV845=0),U845,0)</f>
        <v>0</v>
      </c>
      <c r="CA845" s="311">
        <f>IF(AND(Input_Product=Elig!$C845,Elig_MatchAll_Ct&lt;22,$BC845=(Elig_MatchAll_Ct-1),AW845=0),V845,0)</f>
        <v>0</v>
      </c>
      <c r="CB845" s="312">
        <f>IF(AND(Input_Product=Elig!$C845,Elig_MatchAll_Ct&lt;22,$BC845=(Elig_MatchAll_Ct-1),AW845=0),W845,0)</f>
        <v>0</v>
      </c>
      <c r="CC845" s="311">
        <f>IF(AND(Input_Product=Elig!$C845,Elig_MatchAll_Ct&lt;22,$BC845=(Elig_MatchAll_Ct-1),AX845=0),X845,0)</f>
        <v>0</v>
      </c>
      <c r="CD845" s="312">
        <f>IF(AND(Input_Product=Elig!$C845,Elig_MatchAll_Ct&lt;22,$BC845=(Elig_MatchAll_Ct-1),AX845=0),Y845,0)</f>
        <v>0</v>
      </c>
      <c r="CE845" s="311">
        <f>IF(AND(Input_LTV&lt;=AE845,Input_Product=Elig!$C845,Elig_MatchAll_Ct&lt;22,$BC845=(Elig_MatchAll_Ct-1),AY845=0),Z845,0)</f>
        <v>0</v>
      </c>
      <c r="CF845" s="312">
        <f>IF(AND(Input_LTV&lt;=AE845,Input_Product=Elig!$C845,Elig_MatchAll_Ct&lt;22,$BC845=(Elig_MatchAll_Ct-1),AY845=0),AA845,0)</f>
        <v>0</v>
      </c>
      <c r="CG845" s="311">
        <f>IF(AND(Input_Product=Elig!$C845,Elig_MatchAll_Ct&lt;22,$BC845=(Elig_MatchAll_Ct-1),AZ845=0),AB845,0)</f>
        <v>0</v>
      </c>
      <c r="CH845" s="312">
        <f>IF(AND(Input_Product=Elig!$C845,Elig_MatchAll_Ct&lt;22,$BC845=(Elig_MatchAll_Ct-1),AZ845=0),AC845,0)</f>
        <v>0</v>
      </c>
      <c r="CI845" s="311">
        <f>IF(AND(Input_Product=Elig!$C845,Elig_MatchAll_Ct&lt;22,$BC845=(Elig_MatchAll_Ct-1),BA845=0),AD845,0)</f>
        <v>0</v>
      </c>
      <c r="CJ845" s="312">
        <f>IF(AND(Input_Product=Elig!$C845,Elig_MatchAll_Ct&lt;22,$BC845=(Elig_MatchAll_Ct-1),BA845=0),AE845,0)</f>
        <v>0</v>
      </c>
    </row>
    <row r="846" spans="2:88" ht="10.15" customHeight="1" x14ac:dyDescent="0.25">
      <c r="B846" s="2035" t="s">
        <v>3836</v>
      </c>
      <c r="C846" s="2040" t="str">
        <f t="shared" si="330"/>
        <v>Second NOO</v>
      </c>
      <c r="D846" s="2041" t="s">
        <v>1569</v>
      </c>
      <c r="E846" s="2041" t="s">
        <v>98</v>
      </c>
      <c r="F846" s="2041" t="s">
        <v>330</v>
      </c>
      <c r="G846" s="2103" t="s">
        <v>472</v>
      </c>
      <c r="H846" s="2041" t="s">
        <v>136</v>
      </c>
      <c r="I846" s="2039" t="s">
        <v>1332</v>
      </c>
      <c r="J846" s="2039" t="s">
        <v>1311</v>
      </c>
      <c r="K846" s="2041" t="s">
        <v>1790</v>
      </c>
      <c r="L846" s="2039" t="s">
        <v>430</v>
      </c>
      <c r="M846" s="2039" t="s">
        <v>2677</v>
      </c>
      <c r="N846" s="2041" t="s">
        <v>82</v>
      </c>
      <c r="O846" s="2039" t="s">
        <v>310</v>
      </c>
      <c r="P846" s="2039" t="s">
        <v>291</v>
      </c>
      <c r="Q846" s="2039" t="s">
        <v>294</v>
      </c>
      <c r="R846" s="2039">
        <v>350000.01</v>
      </c>
      <c r="S846" s="2108">
        <v>500000</v>
      </c>
      <c r="T846" s="2039">
        <v>0</v>
      </c>
      <c r="U846" s="2039">
        <f t="shared" si="331"/>
        <v>500000</v>
      </c>
      <c r="V846" s="2039">
        <v>0</v>
      </c>
      <c r="W846" s="2039">
        <v>50</v>
      </c>
      <c r="X846" s="2039">
        <v>0</v>
      </c>
      <c r="Y846" s="2039">
        <v>999</v>
      </c>
      <c r="Z846" s="2042">
        <v>720</v>
      </c>
      <c r="AA846" s="2042">
        <v>999</v>
      </c>
      <c r="AB846" s="2042">
        <v>0</v>
      </c>
      <c r="AC846" s="2042">
        <v>999999</v>
      </c>
      <c r="AD846" s="2039">
        <v>0</v>
      </c>
      <c r="AE846" s="2039">
        <v>70</v>
      </c>
      <c r="AF846" s="170">
        <v>0</v>
      </c>
      <c r="AG846" s="171">
        <v>1</v>
      </c>
      <c r="AH846" s="171">
        <v>1</v>
      </c>
      <c r="AI846" s="171">
        <v>0</v>
      </c>
      <c r="AJ846" s="171">
        <v>0</v>
      </c>
      <c r="AK846" s="171">
        <v>1</v>
      </c>
      <c r="AL846" s="171">
        <v>1</v>
      </c>
      <c r="AM846" s="171">
        <v>1</v>
      </c>
      <c r="AN846" s="171">
        <v>1</v>
      </c>
      <c r="AO846" s="171">
        <v>1</v>
      </c>
      <c r="AP846" s="171">
        <v>1</v>
      </c>
      <c r="AQ846" s="171">
        <v>1</v>
      </c>
      <c r="AR846" s="171">
        <v>1</v>
      </c>
      <c r="AS846" s="171">
        <v>1</v>
      </c>
      <c r="AT846" s="171">
        <v>1</v>
      </c>
      <c r="AU846" s="171">
        <f t="shared" si="324"/>
        <v>0</v>
      </c>
      <c r="AV846" s="171">
        <f t="shared" si="325"/>
        <v>1</v>
      </c>
      <c r="AW846" s="171">
        <f t="shared" si="326"/>
        <v>1</v>
      </c>
      <c r="AX846" s="171">
        <f t="shared" si="335"/>
        <v>1</v>
      </c>
      <c r="AY846" s="171">
        <f t="shared" si="327"/>
        <v>1</v>
      </c>
      <c r="AZ846" s="171">
        <f t="shared" si="328"/>
        <v>1</v>
      </c>
      <c r="BA846" s="172">
        <f t="shared" si="329"/>
        <v>1</v>
      </c>
      <c r="BB846" s="175">
        <f t="shared" si="332"/>
        <v>18</v>
      </c>
      <c r="BC846" s="176">
        <f t="shared" si="333"/>
        <v>17</v>
      </c>
      <c r="BD846" s="176">
        <f t="shared" si="334"/>
        <v>18</v>
      </c>
      <c r="BE846" s="240" t="str">
        <f t="shared" si="343"/>
        <v/>
      </c>
      <c r="BF846" s="220"/>
      <c r="BG846" s="220"/>
      <c r="BH846" s="216">
        <f>IF(AND(Input_Product=Elig!$C846,Elig_MatchAll_Ct&lt;22,$BC846=(Elig_MatchAll_Ct-1),AF846=0),C846,0)</f>
        <v>0</v>
      </c>
      <c r="BI846" s="216">
        <f>IF(AND(Input_Product=Elig!$C846,Elig_MatchAll_Ct&lt;22,$BC846=(Elig_MatchAll_Ct-1),AG846=0),D846,0)</f>
        <v>0</v>
      </c>
      <c r="BJ846" s="216">
        <f>IF(AND(Input_Product=Elig!$C846,Elig_MatchAll_Ct&lt;22,$BC846=(Elig_MatchAll_Ct-1),AH846=0),E846,0)</f>
        <v>0</v>
      </c>
      <c r="BK846" s="216">
        <f>IF(AND(Input_Product=Elig!$C846,Elig_MatchAll_Ct&lt;22,$BC846=(Elig_MatchAll_Ct-1),AI846=0),F846,0)</f>
        <v>0</v>
      </c>
      <c r="BL846" s="216">
        <f>IF(AND(Input_Product=Elig!$C846,Elig_MatchAll_Ct&lt;22,$BC846=(Elig_MatchAll_Ct-1),AJ846=0),G846,0)</f>
        <v>0</v>
      </c>
      <c r="BM846" s="216">
        <f>IF(AND(Input_Product=Elig!$C846,Elig_MatchAll_Ct&lt;22,$BC846=(Elig_MatchAll_Ct-1),AK846=0),H846,0)</f>
        <v>0</v>
      </c>
      <c r="BN846" s="216">
        <f>IF(AND(Input_Product=Elig!$C846,Elig_MatchAll_Ct&lt;22,$BC846=(Elig_MatchAll_Ct-1),AL846=0),I846,0)</f>
        <v>0</v>
      </c>
      <c r="BO846" s="216">
        <f>IF(AND(Input_Product=Elig!$C846,Elig_MatchAll_Ct&lt;22,$BC846=(Elig_MatchAll_Ct-1),AM846=0),J846,0)</f>
        <v>0</v>
      </c>
      <c r="BP846" s="216">
        <f>IF(AND(Input_Product=Elig!$C846,Elig_MatchAll_Ct&lt;22,$BC846=(Elig_MatchAll_Ct-1),AN846=0),K846,0)</f>
        <v>0</v>
      </c>
      <c r="BQ846" s="216">
        <f>IF(AND(Input_Product=Elig!$C846,Elig_MatchAll_Ct&lt;22,$BC846=(Elig_MatchAll_Ct-1),AP846=0),L846,0)</f>
        <v>0</v>
      </c>
      <c r="BR846" s="216">
        <f>IF(AND(Input_Product=Elig!$C846,Elig_MatchAll_Ct&lt;22,$BC846=(Elig_MatchAll_Ct-1),AO846=0),M846,0)</f>
        <v>0</v>
      </c>
      <c r="BS846" s="216">
        <f>IF(AND(Input_Product=Elig!$C846,Elig_MatchAll_Ct&lt;22,$BC846=(Elig_MatchAll_Ct-1),AQ846=0),N846,0)</f>
        <v>0</v>
      </c>
      <c r="BT846" s="216">
        <f>IF(AND(Input_Product=Elig!$C846,Elig_MatchAll_Ct&lt;22,$BC846=(Elig_MatchAll_Ct-1),AR846=0),O846,0)</f>
        <v>0</v>
      </c>
      <c r="BU846" s="216">
        <f>IF(AND(Input_Product=Elig!$C846,Elig_MatchAll_Ct&lt;22,$BC846=(Elig_MatchAll_Ct-1),AS846=0),P846,0)</f>
        <v>0</v>
      </c>
      <c r="BV846" s="217">
        <f>IF(AND(Input_Product=Elig!$C846,Elig_MatchAll_Ct&lt;22,$BC846=(Elig_MatchAll_Ct-1),AT846=0),Q846,0)</f>
        <v>0</v>
      </c>
      <c r="BW846" s="313">
        <f>IF(AND(Input_Product=Elig!$C846,Elig_MatchAll_Ct&lt;22,$BC846=(Elig_MatchAll_Ct-1),AU846=0),R846,0)</f>
        <v>0</v>
      </c>
      <c r="BX846" s="314">
        <f>IF(AND(Input_Product=Elig!$C846,Elig_MatchAll_Ct&lt;22,$BC846=(Elig_MatchAll_Ct-1),AU846=0),S846,0)</f>
        <v>0</v>
      </c>
      <c r="BY846" s="313">
        <f>IF(AND(Input_Product=Elig!$C846,Elig_MatchAll_Ct&lt;22,$BC846=(Elig_MatchAll_Ct-1),AV846=0),T846,0)</f>
        <v>0</v>
      </c>
      <c r="BZ846" s="314">
        <f>IF(AND(Input_Product=Elig!$C846,Elig_MatchAll_Ct&lt;22,$BC846=(Elig_MatchAll_Ct-1),AV846=0),U846,0)</f>
        <v>0</v>
      </c>
      <c r="CA846" s="313">
        <f>IF(AND(Input_Product=Elig!$C846,Elig_MatchAll_Ct&lt;22,$BC846=(Elig_MatchAll_Ct-1),AW846=0),V846,0)</f>
        <v>0</v>
      </c>
      <c r="CB846" s="314">
        <f>IF(AND(Input_Product=Elig!$C846,Elig_MatchAll_Ct&lt;22,$BC846=(Elig_MatchAll_Ct-1),AW846=0),W846,0)</f>
        <v>0</v>
      </c>
      <c r="CC846" s="313">
        <f>IF(AND(Input_Product=Elig!$C846,Elig_MatchAll_Ct&lt;22,$BC846=(Elig_MatchAll_Ct-1),AX846=0),X846,0)</f>
        <v>0</v>
      </c>
      <c r="CD846" s="314">
        <f>IF(AND(Input_Product=Elig!$C846,Elig_MatchAll_Ct&lt;22,$BC846=(Elig_MatchAll_Ct-1),AX846=0),Y846,0)</f>
        <v>0</v>
      </c>
      <c r="CE846" s="313">
        <f>IF(AND(Input_LTV&lt;=AE846,Input_Product=Elig!$C846,Elig_MatchAll_Ct&lt;22,$BC846=(Elig_MatchAll_Ct-1),AY846=0),Z846,0)</f>
        <v>0</v>
      </c>
      <c r="CF846" s="314">
        <f>IF(AND(Input_LTV&lt;=AE846,Input_Product=Elig!$C846,Elig_MatchAll_Ct&lt;22,$BC846=(Elig_MatchAll_Ct-1),AY846=0),AA846,0)</f>
        <v>0</v>
      </c>
      <c r="CG846" s="313">
        <f>IF(AND(Input_Product=Elig!$C846,Elig_MatchAll_Ct&lt;22,$BC846=(Elig_MatchAll_Ct-1),AZ846=0),AB846,0)</f>
        <v>0</v>
      </c>
      <c r="CH846" s="314">
        <f>IF(AND(Input_Product=Elig!$C846,Elig_MatchAll_Ct&lt;22,$BC846=(Elig_MatchAll_Ct-1),AZ846=0),AC846,0)</f>
        <v>0</v>
      </c>
      <c r="CI846" s="313">
        <f>IF(AND(Input_Product=Elig!$C846,Elig_MatchAll_Ct&lt;22,$BC846=(Elig_MatchAll_Ct-1),BA846=0),AD846,0)</f>
        <v>0</v>
      </c>
      <c r="CJ846" s="314">
        <f>IF(AND(Input_Product=Elig!$C846,Elig_MatchAll_Ct&lt;22,$BC846=(Elig_MatchAll_Ct-1),BA846=0),AE846,0)</f>
        <v>0</v>
      </c>
    </row>
    <row r="847" spans="2:88" ht="10.15" customHeight="1" x14ac:dyDescent="0.25">
      <c r="B847" s="2035" t="s">
        <v>3837</v>
      </c>
      <c r="C847" s="2036" t="str">
        <f t="shared" si="330"/>
        <v>Second NOO</v>
      </c>
      <c r="D847" s="2035" t="s">
        <v>1569</v>
      </c>
      <c r="E847" s="2035" t="s">
        <v>98</v>
      </c>
      <c r="F847" s="2035" t="s">
        <v>330</v>
      </c>
      <c r="G847" s="2110" t="s">
        <v>472</v>
      </c>
      <c r="H847" s="2037" t="s">
        <v>136</v>
      </c>
      <c r="I847" s="2035" t="s">
        <v>1332</v>
      </c>
      <c r="J847" s="2035" t="s">
        <v>1311</v>
      </c>
      <c r="K847" s="2037" t="s">
        <v>1790</v>
      </c>
      <c r="L847" s="2035" t="s">
        <v>430</v>
      </c>
      <c r="M847" s="2035" t="s">
        <v>2677</v>
      </c>
      <c r="N847" s="2037" t="s">
        <v>82</v>
      </c>
      <c r="O847" s="2035" t="s">
        <v>310</v>
      </c>
      <c r="P847" s="2035" t="s">
        <v>291</v>
      </c>
      <c r="Q847" s="2035" t="s">
        <v>294</v>
      </c>
      <c r="R847" s="2035">
        <v>350000.01</v>
      </c>
      <c r="S847" s="2109">
        <v>500000</v>
      </c>
      <c r="T847" s="2035">
        <v>0</v>
      </c>
      <c r="U847" s="2035">
        <f t="shared" si="331"/>
        <v>500000</v>
      </c>
      <c r="V847" s="2035">
        <v>0</v>
      </c>
      <c r="W847" s="2035">
        <v>50</v>
      </c>
      <c r="X847" s="2035">
        <v>0</v>
      </c>
      <c r="Y847" s="2035">
        <v>999</v>
      </c>
      <c r="Z847" s="2038">
        <v>700</v>
      </c>
      <c r="AA847" s="2038">
        <v>719</v>
      </c>
      <c r="AB847" s="2038">
        <v>0</v>
      </c>
      <c r="AC847" s="2038">
        <v>999999</v>
      </c>
      <c r="AD847" s="2035">
        <v>0</v>
      </c>
      <c r="AE847" s="2035">
        <v>65</v>
      </c>
      <c r="AF847" s="170">
        <v>0</v>
      </c>
      <c r="AG847" s="171">
        <v>1</v>
      </c>
      <c r="AH847" s="171">
        <v>1</v>
      </c>
      <c r="AI847" s="171">
        <v>0</v>
      </c>
      <c r="AJ847" s="171">
        <v>0</v>
      </c>
      <c r="AK847" s="171">
        <v>1</v>
      </c>
      <c r="AL847" s="171">
        <v>1</v>
      </c>
      <c r="AM847" s="171">
        <v>1</v>
      </c>
      <c r="AN847" s="171">
        <v>1</v>
      </c>
      <c r="AO847" s="171">
        <v>1</v>
      </c>
      <c r="AP847" s="171">
        <v>1</v>
      </c>
      <c r="AQ847" s="171">
        <v>1</v>
      </c>
      <c r="AR847" s="171">
        <v>1</v>
      </c>
      <c r="AS847" s="171">
        <v>1</v>
      </c>
      <c r="AT847" s="171">
        <v>1</v>
      </c>
      <c r="AU847" s="171">
        <f t="shared" si="324"/>
        <v>0</v>
      </c>
      <c r="AV847" s="171">
        <f t="shared" si="325"/>
        <v>1</v>
      </c>
      <c r="AW847" s="171">
        <f t="shared" si="326"/>
        <v>1</v>
      </c>
      <c r="AX847" s="171">
        <f t="shared" si="335"/>
        <v>1</v>
      </c>
      <c r="AY847" s="171">
        <f t="shared" si="327"/>
        <v>0</v>
      </c>
      <c r="AZ847" s="171">
        <f t="shared" si="328"/>
        <v>1</v>
      </c>
      <c r="BA847" s="172">
        <f t="shared" si="329"/>
        <v>1</v>
      </c>
      <c r="BB847" s="175">
        <f t="shared" si="332"/>
        <v>17</v>
      </c>
      <c r="BC847" s="176">
        <f t="shared" si="333"/>
        <v>16</v>
      </c>
      <c r="BD847" s="176">
        <f t="shared" si="334"/>
        <v>17</v>
      </c>
      <c r="BE847" s="240" t="str">
        <f t="shared" si="343"/>
        <v/>
      </c>
      <c r="BF847" s="234"/>
      <c r="BG847" s="234"/>
      <c r="BH847" s="199">
        <f>IF(AND(Input_Product=Elig!$C847,Elig_MatchAll_Ct&lt;22,$BC847=(Elig_MatchAll_Ct-1),AF847=0),C847,0)</f>
        <v>0</v>
      </c>
      <c r="BI847" s="199">
        <f>IF(AND(Input_Product=Elig!$C847,Elig_MatchAll_Ct&lt;22,$BC847=(Elig_MatchAll_Ct-1),AG847=0),D847,0)</f>
        <v>0</v>
      </c>
      <c r="BJ847" s="199">
        <f>IF(AND(Input_Product=Elig!$C847,Elig_MatchAll_Ct&lt;22,$BC847=(Elig_MatchAll_Ct-1),AH847=0),E847,0)</f>
        <v>0</v>
      </c>
      <c r="BK847" s="199">
        <f>IF(AND(Input_Product=Elig!$C847,Elig_MatchAll_Ct&lt;22,$BC847=(Elig_MatchAll_Ct-1),AI847=0),F847,0)</f>
        <v>0</v>
      </c>
      <c r="BL847" s="199">
        <f>IF(AND(Input_Product=Elig!$C847,Elig_MatchAll_Ct&lt;22,$BC847=(Elig_MatchAll_Ct-1),AJ847=0),G847,0)</f>
        <v>0</v>
      </c>
      <c r="BM847" s="199">
        <f>IF(AND(Input_Product=Elig!$C847,Elig_MatchAll_Ct&lt;22,$BC847=(Elig_MatchAll_Ct-1),AK847=0),H847,0)</f>
        <v>0</v>
      </c>
      <c r="BN847" s="199">
        <f>IF(AND(Input_Product=Elig!$C847,Elig_MatchAll_Ct&lt;22,$BC847=(Elig_MatchAll_Ct-1),AL847=0),I847,0)</f>
        <v>0</v>
      </c>
      <c r="BO847" s="199">
        <f>IF(AND(Input_Product=Elig!$C847,Elig_MatchAll_Ct&lt;22,$BC847=(Elig_MatchAll_Ct-1),AM847=0),J847,0)</f>
        <v>0</v>
      </c>
      <c r="BP847" s="199">
        <f>IF(AND(Input_Product=Elig!$C847,Elig_MatchAll_Ct&lt;22,$BC847=(Elig_MatchAll_Ct-1),AN847=0),K847,0)</f>
        <v>0</v>
      </c>
      <c r="BQ847" s="199">
        <f>IF(AND(Input_Product=Elig!$C847,Elig_MatchAll_Ct&lt;22,$BC847=(Elig_MatchAll_Ct-1),AP847=0),L847,0)</f>
        <v>0</v>
      </c>
      <c r="BR847" s="199">
        <f>IF(AND(Input_Product=Elig!$C847,Elig_MatchAll_Ct&lt;22,$BC847=(Elig_MatchAll_Ct-1),AO847=0),M847,0)</f>
        <v>0</v>
      </c>
      <c r="BS847" s="199">
        <f>IF(AND(Input_Product=Elig!$C847,Elig_MatchAll_Ct&lt;22,$BC847=(Elig_MatchAll_Ct-1),AQ847=0),N847,0)</f>
        <v>0</v>
      </c>
      <c r="BT847" s="199">
        <f>IF(AND(Input_Product=Elig!$C847,Elig_MatchAll_Ct&lt;22,$BC847=(Elig_MatchAll_Ct-1),AR847=0),O847,0)</f>
        <v>0</v>
      </c>
      <c r="BU847" s="199">
        <f>IF(AND(Input_Product=Elig!$C847,Elig_MatchAll_Ct&lt;22,$BC847=(Elig_MatchAll_Ct-1),AS847=0),P847,0)</f>
        <v>0</v>
      </c>
      <c r="BV847" s="200">
        <f>IF(AND(Input_Product=Elig!$C847,Elig_MatchAll_Ct&lt;22,$BC847=(Elig_MatchAll_Ct-1),AT847=0),Q847,0)</f>
        <v>0</v>
      </c>
      <c r="BW847" s="201">
        <f>IF(AND(Input_Product=Elig!$C847,Elig_MatchAll_Ct&lt;22,$BC847=(Elig_MatchAll_Ct-1),AU847=0),R847,0)</f>
        <v>0</v>
      </c>
      <c r="BX847" s="202">
        <f>IF(AND(Input_Product=Elig!$C847,Elig_MatchAll_Ct&lt;22,$BC847=(Elig_MatchAll_Ct-1),AU847=0),S847,0)</f>
        <v>0</v>
      </c>
      <c r="BY847" s="201">
        <f>IF(AND(Input_Product=Elig!$C847,Elig_MatchAll_Ct&lt;22,$BC847=(Elig_MatchAll_Ct-1),AV847=0),T847,0)</f>
        <v>0</v>
      </c>
      <c r="BZ847" s="202">
        <f>IF(AND(Input_Product=Elig!$C847,Elig_MatchAll_Ct&lt;22,$BC847=(Elig_MatchAll_Ct-1),AV847=0),U847,0)</f>
        <v>0</v>
      </c>
      <c r="CA847" s="201">
        <f>IF(AND(Input_Product=Elig!$C847,Elig_MatchAll_Ct&lt;22,$BC847=(Elig_MatchAll_Ct-1),AW847=0),V847,0)</f>
        <v>0</v>
      </c>
      <c r="CB847" s="202">
        <f>IF(AND(Input_Product=Elig!$C847,Elig_MatchAll_Ct&lt;22,$BC847=(Elig_MatchAll_Ct-1),AW847=0),W847,0)</f>
        <v>0</v>
      </c>
      <c r="CC847" s="201">
        <f>IF(AND(Input_Product=Elig!$C847,Elig_MatchAll_Ct&lt;22,$BC847=(Elig_MatchAll_Ct-1),AX847=0),X847,0)</f>
        <v>0</v>
      </c>
      <c r="CD847" s="202">
        <f>IF(AND(Input_Product=Elig!$C847,Elig_MatchAll_Ct&lt;22,$BC847=(Elig_MatchAll_Ct-1),AX847=0),Y847,0)</f>
        <v>0</v>
      </c>
      <c r="CE847" s="201">
        <f>IF(AND(Input_LTV&lt;=AE847,Input_Product=Elig!$C847,Elig_MatchAll_Ct&lt;22,$BC847=(Elig_MatchAll_Ct-1),AY847=0),Z847,0)</f>
        <v>0</v>
      </c>
      <c r="CF847" s="202">
        <f>IF(AND(Input_LTV&lt;=AE847,Input_Product=Elig!$C847,Elig_MatchAll_Ct&lt;22,$BC847=(Elig_MatchAll_Ct-1),AY847=0),AA847,0)</f>
        <v>0</v>
      </c>
      <c r="CG847" s="201">
        <f>IF(AND(Input_Product=Elig!$C847,Elig_MatchAll_Ct&lt;22,$BC847=(Elig_MatchAll_Ct-1),AZ847=0),AB847,0)</f>
        <v>0</v>
      </c>
      <c r="CH847" s="202">
        <f>IF(AND(Input_Product=Elig!$C847,Elig_MatchAll_Ct&lt;22,$BC847=(Elig_MatchAll_Ct-1),AZ847=0),AC847,0)</f>
        <v>0</v>
      </c>
      <c r="CI847" s="201">
        <f>IF(AND(Input_Product=Elig!$C847,Elig_MatchAll_Ct&lt;22,$BC847=(Elig_MatchAll_Ct-1),BA847=0),AD847,0)</f>
        <v>0</v>
      </c>
      <c r="CJ847" s="202">
        <f>IF(AND(Input_Product=Elig!$C847,Elig_MatchAll_Ct&lt;22,$BC847=(Elig_MatchAll_Ct-1),BA847=0),AE847,0)</f>
        <v>0</v>
      </c>
    </row>
    <row r="848" spans="2:88" ht="10.15" customHeight="1" x14ac:dyDescent="0.25">
      <c r="B848" s="2035" t="s">
        <v>3838</v>
      </c>
      <c r="C848" s="2036" t="str">
        <f t="shared" si="330"/>
        <v>Second NOO</v>
      </c>
      <c r="D848" s="2035" t="s">
        <v>1569</v>
      </c>
      <c r="E848" s="2035" t="s">
        <v>98</v>
      </c>
      <c r="F848" s="2035" t="s">
        <v>330</v>
      </c>
      <c r="G848" s="2110" t="s">
        <v>472</v>
      </c>
      <c r="H848" s="2037" t="s">
        <v>136</v>
      </c>
      <c r="I848" s="2035" t="s">
        <v>1332</v>
      </c>
      <c r="J848" s="2035" t="s">
        <v>1311</v>
      </c>
      <c r="K848" s="2037" t="s">
        <v>1790</v>
      </c>
      <c r="L848" s="2035" t="s">
        <v>430</v>
      </c>
      <c r="M848" s="2035" t="s">
        <v>2677</v>
      </c>
      <c r="N848" s="2037" t="s">
        <v>82</v>
      </c>
      <c r="O848" s="2035" t="s">
        <v>310</v>
      </c>
      <c r="P848" s="2035" t="s">
        <v>291</v>
      </c>
      <c r="Q848" s="2035" t="s">
        <v>294</v>
      </c>
      <c r="R848" s="2035">
        <v>350000.01</v>
      </c>
      <c r="S848" s="2109">
        <v>500000</v>
      </c>
      <c r="T848" s="2035">
        <v>0</v>
      </c>
      <c r="U848" s="2035">
        <f t="shared" si="331"/>
        <v>500000</v>
      </c>
      <c r="V848" s="2035">
        <v>0</v>
      </c>
      <c r="W848" s="2035">
        <v>50</v>
      </c>
      <c r="X848" s="2035">
        <v>0</v>
      </c>
      <c r="Y848" s="2035">
        <v>999</v>
      </c>
      <c r="Z848" s="2038">
        <v>680</v>
      </c>
      <c r="AA848" s="2038">
        <v>699</v>
      </c>
      <c r="AB848" s="2038">
        <v>0</v>
      </c>
      <c r="AC848" s="2038">
        <v>999999</v>
      </c>
      <c r="AD848" s="2035">
        <v>0</v>
      </c>
      <c r="AE848" s="2035">
        <v>60</v>
      </c>
      <c r="AF848" s="170">
        <v>0</v>
      </c>
      <c r="AG848" s="171">
        <v>1</v>
      </c>
      <c r="AH848" s="171">
        <v>1</v>
      </c>
      <c r="AI848" s="171">
        <v>0</v>
      </c>
      <c r="AJ848" s="171">
        <v>0</v>
      </c>
      <c r="AK848" s="171">
        <v>1</v>
      </c>
      <c r="AL848" s="171">
        <v>1</v>
      </c>
      <c r="AM848" s="171">
        <v>1</v>
      </c>
      <c r="AN848" s="171">
        <v>1</v>
      </c>
      <c r="AO848" s="171">
        <v>1</v>
      </c>
      <c r="AP848" s="171">
        <v>1</v>
      </c>
      <c r="AQ848" s="171">
        <v>1</v>
      </c>
      <c r="AR848" s="171">
        <v>1</v>
      </c>
      <c r="AS848" s="171">
        <v>1</v>
      </c>
      <c r="AT848" s="171">
        <v>1</v>
      </c>
      <c r="AU848" s="171">
        <f t="shared" si="324"/>
        <v>0</v>
      </c>
      <c r="AV848" s="171">
        <f t="shared" si="325"/>
        <v>1</v>
      </c>
      <c r="AW848" s="171">
        <f t="shared" si="326"/>
        <v>1</v>
      </c>
      <c r="AX848" s="171">
        <f t="shared" si="335"/>
        <v>1</v>
      </c>
      <c r="AY848" s="171">
        <f t="shared" si="327"/>
        <v>0</v>
      </c>
      <c r="AZ848" s="171">
        <f t="shared" si="328"/>
        <v>1</v>
      </c>
      <c r="BA848" s="172">
        <f t="shared" si="329"/>
        <v>0</v>
      </c>
      <c r="BB848" s="175">
        <f t="shared" si="332"/>
        <v>16</v>
      </c>
      <c r="BC848" s="176">
        <f t="shared" si="333"/>
        <v>16</v>
      </c>
      <c r="BD848" s="176">
        <f t="shared" si="334"/>
        <v>16</v>
      </c>
      <c r="BE848" s="240" t="str">
        <f t="shared" si="343"/>
        <v/>
      </c>
      <c r="BF848" s="234"/>
      <c r="BG848" s="234"/>
      <c r="BH848" s="199">
        <f>IF(AND(Input_Product=Elig!$C848,Elig_MatchAll_Ct&lt;22,$BC848=(Elig_MatchAll_Ct-1),AF848=0),C848,0)</f>
        <v>0</v>
      </c>
      <c r="BI848" s="199">
        <f>IF(AND(Input_Product=Elig!$C848,Elig_MatchAll_Ct&lt;22,$BC848=(Elig_MatchAll_Ct-1),AG848=0),D848,0)</f>
        <v>0</v>
      </c>
      <c r="BJ848" s="199">
        <f>IF(AND(Input_Product=Elig!$C848,Elig_MatchAll_Ct&lt;22,$BC848=(Elig_MatchAll_Ct-1),AH848=0),E848,0)</f>
        <v>0</v>
      </c>
      <c r="BK848" s="199">
        <f>IF(AND(Input_Product=Elig!$C848,Elig_MatchAll_Ct&lt;22,$BC848=(Elig_MatchAll_Ct-1),AI848=0),F848,0)</f>
        <v>0</v>
      </c>
      <c r="BL848" s="199">
        <f>IF(AND(Input_Product=Elig!$C848,Elig_MatchAll_Ct&lt;22,$BC848=(Elig_MatchAll_Ct-1),AJ848=0),G848,0)</f>
        <v>0</v>
      </c>
      <c r="BM848" s="199">
        <f>IF(AND(Input_Product=Elig!$C848,Elig_MatchAll_Ct&lt;22,$BC848=(Elig_MatchAll_Ct-1),AK848=0),H848,0)</f>
        <v>0</v>
      </c>
      <c r="BN848" s="199">
        <f>IF(AND(Input_Product=Elig!$C848,Elig_MatchAll_Ct&lt;22,$BC848=(Elig_MatchAll_Ct-1),AL848=0),I848,0)</f>
        <v>0</v>
      </c>
      <c r="BO848" s="199">
        <f>IF(AND(Input_Product=Elig!$C848,Elig_MatchAll_Ct&lt;22,$BC848=(Elig_MatchAll_Ct-1),AM848=0),J848,0)</f>
        <v>0</v>
      </c>
      <c r="BP848" s="199">
        <f>IF(AND(Input_Product=Elig!$C848,Elig_MatchAll_Ct&lt;22,$BC848=(Elig_MatchAll_Ct-1),AN848=0),K848,0)</f>
        <v>0</v>
      </c>
      <c r="BQ848" s="199">
        <f>IF(AND(Input_Product=Elig!$C848,Elig_MatchAll_Ct&lt;22,$BC848=(Elig_MatchAll_Ct-1),AP848=0),L848,0)</f>
        <v>0</v>
      </c>
      <c r="BR848" s="199">
        <f>IF(AND(Input_Product=Elig!$C848,Elig_MatchAll_Ct&lt;22,$BC848=(Elig_MatchAll_Ct-1),AO848=0),M848,0)</f>
        <v>0</v>
      </c>
      <c r="BS848" s="199">
        <f>IF(AND(Input_Product=Elig!$C848,Elig_MatchAll_Ct&lt;22,$BC848=(Elig_MatchAll_Ct-1),AQ848=0),N848,0)</f>
        <v>0</v>
      </c>
      <c r="BT848" s="199">
        <f>IF(AND(Input_Product=Elig!$C848,Elig_MatchAll_Ct&lt;22,$BC848=(Elig_MatchAll_Ct-1),AR848=0),O848,0)</f>
        <v>0</v>
      </c>
      <c r="BU848" s="199">
        <f>IF(AND(Input_Product=Elig!$C848,Elig_MatchAll_Ct&lt;22,$BC848=(Elig_MatchAll_Ct-1),AS848=0),P848,0)</f>
        <v>0</v>
      </c>
      <c r="BV848" s="200">
        <f>IF(AND(Input_Product=Elig!$C848,Elig_MatchAll_Ct&lt;22,$BC848=(Elig_MatchAll_Ct-1),AT848=0),Q848,0)</f>
        <v>0</v>
      </c>
      <c r="BW848" s="201">
        <f>IF(AND(Input_Product=Elig!$C848,Elig_MatchAll_Ct&lt;22,$BC848=(Elig_MatchAll_Ct-1),AU848=0),R848,0)</f>
        <v>0</v>
      </c>
      <c r="BX848" s="202">
        <f>IF(AND(Input_Product=Elig!$C848,Elig_MatchAll_Ct&lt;22,$BC848=(Elig_MatchAll_Ct-1),AU848=0),S848,0)</f>
        <v>0</v>
      </c>
      <c r="BY848" s="201">
        <f>IF(AND(Input_Product=Elig!$C848,Elig_MatchAll_Ct&lt;22,$BC848=(Elig_MatchAll_Ct-1),AV848=0),T848,0)</f>
        <v>0</v>
      </c>
      <c r="BZ848" s="202">
        <f>IF(AND(Input_Product=Elig!$C848,Elig_MatchAll_Ct&lt;22,$BC848=(Elig_MatchAll_Ct-1),AV848=0),U848,0)</f>
        <v>0</v>
      </c>
      <c r="CA848" s="201">
        <f>IF(AND(Input_Product=Elig!$C848,Elig_MatchAll_Ct&lt;22,$BC848=(Elig_MatchAll_Ct-1),AW848=0),V848,0)</f>
        <v>0</v>
      </c>
      <c r="CB848" s="202">
        <f>IF(AND(Input_Product=Elig!$C848,Elig_MatchAll_Ct&lt;22,$BC848=(Elig_MatchAll_Ct-1),AW848=0),W848,0)</f>
        <v>0</v>
      </c>
      <c r="CC848" s="201">
        <f>IF(AND(Input_Product=Elig!$C848,Elig_MatchAll_Ct&lt;22,$BC848=(Elig_MatchAll_Ct-1),AX848=0),X848,0)</f>
        <v>0</v>
      </c>
      <c r="CD848" s="202">
        <f>IF(AND(Input_Product=Elig!$C848,Elig_MatchAll_Ct&lt;22,$BC848=(Elig_MatchAll_Ct-1),AX848=0),Y848,0)</f>
        <v>0</v>
      </c>
      <c r="CE848" s="201">
        <f>IF(AND(Input_LTV&lt;=AE848,Input_Product=Elig!$C848,Elig_MatchAll_Ct&lt;22,$BC848=(Elig_MatchAll_Ct-1),AY848=0),Z848,0)</f>
        <v>0</v>
      </c>
      <c r="CF848" s="202">
        <f>IF(AND(Input_LTV&lt;=AE848,Input_Product=Elig!$C848,Elig_MatchAll_Ct&lt;22,$BC848=(Elig_MatchAll_Ct-1),AY848=0),AA848,0)</f>
        <v>0</v>
      </c>
      <c r="CG848" s="201">
        <f>IF(AND(Input_Product=Elig!$C848,Elig_MatchAll_Ct&lt;22,$BC848=(Elig_MatchAll_Ct-1),AZ848=0),AB848,0)</f>
        <v>0</v>
      </c>
      <c r="CH848" s="202">
        <f>IF(AND(Input_Product=Elig!$C848,Elig_MatchAll_Ct&lt;22,$BC848=(Elig_MatchAll_Ct-1),AZ848=0),AC848,0)</f>
        <v>0</v>
      </c>
      <c r="CI848" s="201">
        <f>IF(AND(Input_Product=Elig!$C848,Elig_MatchAll_Ct&lt;22,$BC848=(Elig_MatchAll_Ct-1),BA848=0),AD848,0)</f>
        <v>0</v>
      </c>
      <c r="CJ848" s="202">
        <f>IF(AND(Input_Product=Elig!$C848,Elig_MatchAll_Ct&lt;22,$BC848=(Elig_MatchAll_Ct-1),BA848=0),AE848,0)</f>
        <v>0</v>
      </c>
    </row>
    <row r="849" spans="2:88" ht="10.15" customHeight="1" x14ac:dyDescent="0.25">
      <c r="B849" s="2035" t="s">
        <v>3839</v>
      </c>
      <c r="C849" s="2036" t="str">
        <f t="shared" si="330"/>
        <v>Second NOO</v>
      </c>
      <c r="D849" s="2035" t="s">
        <v>1569</v>
      </c>
      <c r="E849" s="2035" t="s">
        <v>98</v>
      </c>
      <c r="F849" s="2035" t="s">
        <v>330</v>
      </c>
      <c r="G849" s="2111" t="s">
        <v>472</v>
      </c>
      <c r="H849" s="2037" t="s">
        <v>136</v>
      </c>
      <c r="I849" s="2035" t="s">
        <v>1332</v>
      </c>
      <c r="J849" s="2035" t="s">
        <v>1311</v>
      </c>
      <c r="K849" s="2037" t="s">
        <v>1790</v>
      </c>
      <c r="L849" s="2035" t="s">
        <v>430</v>
      </c>
      <c r="M849" s="2035" t="s">
        <v>2677</v>
      </c>
      <c r="N849" s="2037" t="s">
        <v>82</v>
      </c>
      <c r="O849" s="2035" t="s">
        <v>310</v>
      </c>
      <c r="P849" s="2035" t="s">
        <v>291</v>
      </c>
      <c r="Q849" s="2035" t="s">
        <v>294</v>
      </c>
      <c r="R849" s="2035">
        <v>350000.01</v>
      </c>
      <c r="S849" s="2109">
        <v>500000</v>
      </c>
      <c r="T849" s="2035">
        <v>0</v>
      </c>
      <c r="U849" s="2035">
        <f t="shared" si="331"/>
        <v>500000</v>
      </c>
      <c r="V849" s="2035">
        <v>0</v>
      </c>
      <c r="W849" s="2035">
        <v>50</v>
      </c>
      <c r="X849" s="2035">
        <v>0</v>
      </c>
      <c r="Y849" s="2035">
        <v>999</v>
      </c>
      <c r="Z849" s="2038">
        <v>660</v>
      </c>
      <c r="AA849" s="2038">
        <v>679</v>
      </c>
      <c r="AB849" s="2038">
        <v>0</v>
      </c>
      <c r="AC849" s="2038">
        <v>999999</v>
      </c>
      <c r="AD849" s="2035">
        <v>0</v>
      </c>
      <c r="AE849" s="2035">
        <v>55</v>
      </c>
      <c r="AF849" s="170">
        <v>0</v>
      </c>
      <c r="AG849" s="171">
        <v>1</v>
      </c>
      <c r="AH849" s="171">
        <v>1</v>
      </c>
      <c r="AI849" s="171">
        <v>0</v>
      </c>
      <c r="AJ849" s="171">
        <v>0</v>
      </c>
      <c r="AK849" s="171">
        <v>1</v>
      </c>
      <c r="AL849" s="171">
        <v>1</v>
      </c>
      <c r="AM849" s="171">
        <v>1</v>
      </c>
      <c r="AN849" s="171">
        <v>1</v>
      </c>
      <c r="AO849" s="171">
        <v>1</v>
      </c>
      <c r="AP849" s="171">
        <v>1</v>
      </c>
      <c r="AQ849" s="171">
        <v>1</v>
      </c>
      <c r="AR849" s="171">
        <v>1</v>
      </c>
      <c r="AS849" s="171">
        <v>1</v>
      </c>
      <c r="AT849" s="171">
        <v>1</v>
      </c>
      <c r="AU849" s="171">
        <f t="shared" si="324"/>
        <v>0</v>
      </c>
      <c r="AV849" s="171">
        <f t="shared" si="325"/>
        <v>1</v>
      </c>
      <c r="AW849" s="171">
        <f t="shared" si="326"/>
        <v>1</v>
      </c>
      <c r="AX849" s="171">
        <f t="shared" si="335"/>
        <v>1</v>
      </c>
      <c r="AY849" s="171">
        <f t="shared" si="327"/>
        <v>0</v>
      </c>
      <c r="AZ849" s="171">
        <f t="shared" si="328"/>
        <v>1</v>
      </c>
      <c r="BA849" s="172">
        <f t="shared" si="329"/>
        <v>0</v>
      </c>
      <c r="BB849" s="175">
        <f t="shared" si="332"/>
        <v>16</v>
      </c>
      <c r="BC849" s="176">
        <f t="shared" si="333"/>
        <v>16</v>
      </c>
      <c r="BD849" s="176">
        <f t="shared" si="334"/>
        <v>16</v>
      </c>
      <c r="BE849" s="240" t="str">
        <f t="shared" si="343"/>
        <v/>
      </c>
      <c r="BF849" s="234"/>
      <c r="BG849" s="234"/>
      <c r="BH849" s="214">
        <f>IF(AND(Input_Product=Elig!$C849,Elig_MatchAll_Ct&lt;22,$BC849=(Elig_MatchAll_Ct-1),AF849=0),C849,0)</f>
        <v>0</v>
      </c>
      <c r="BI849" s="214">
        <f>IF(AND(Input_Product=Elig!$C849,Elig_MatchAll_Ct&lt;22,$BC849=(Elig_MatchAll_Ct-1),AG849=0),D849,0)</f>
        <v>0</v>
      </c>
      <c r="BJ849" s="214">
        <f>IF(AND(Input_Product=Elig!$C849,Elig_MatchAll_Ct&lt;22,$BC849=(Elig_MatchAll_Ct-1),AH849=0),E849,0)</f>
        <v>0</v>
      </c>
      <c r="BK849" s="214">
        <f>IF(AND(Input_Product=Elig!$C849,Elig_MatchAll_Ct&lt;22,$BC849=(Elig_MatchAll_Ct-1),AI849=0),F849,0)</f>
        <v>0</v>
      </c>
      <c r="BL849" s="214">
        <f>IF(AND(Input_Product=Elig!$C849,Elig_MatchAll_Ct&lt;22,$BC849=(Elig_MatchAll_Ct-1),AJ849=0),G849,0)</f>
        <v>0</v>
      </c>
      <c r="BM849" s="214">
        <f>IF(AND(Input_Product=Elig!$C849,Elig_MatchAll_Ct&lt;22,$BC849=(Elig_MatchAll_Ct-1),AK849=0),H849,0)</f>
        <v>0</v>
      </c>
      <c r="BN849" s="214">
        <f>IF(AND(Input_Product=Elig!$C849,Elig_MatchAll_Ct&lt;22,$BC849=(Elig_MatchAll_Ct-1),AL849=0),I849,0)</f>
        <v>0</v>
      </c>
      <c r="BO849" s="214">
        <f>IF(AND(Input_Product=Elig!$C849,Elig_MatchAll_Ct&lt;22,$BC849=(Elig_MatchAll_Ct-1),AM849=0),J849,0)</f>
        <v>0</v>
      </c>
      <c r="BP849" s="214">
        <f>IF(AND(Input_Product=Elig!$C849,Elig_MatchAll_Ct&lt;22,$BC849=(Elig_MatchAll_Ct-1),AN849=0),K849,0)</f>
        <v>0</v>
      </c>
      <c r="BQ849" s="214">
        <f>IF(AND(Input_Product=Elig!$C849,Elig_MatchAll_Ct&lt;22,$BC849=(Elig_MatchAll_Ct-1),AP849=0),L849,0)</f>
        <v>0</v>
      </c>
      <c r="BR849" s="214">
        <f>IF(AND(Input_Product=Elig!$C849,Elig_MatchAll_Ct&lt;22,$BC849=(Elig_MatchAll_Ct-1),AO849=0),M849,0)</f>
        <v>0</v>
      </c>
      <c r="BS849" s="214">
        <f>IF(AND(Input_Product=Elig!$C849,Elig_MatchAll_Ct&lt;22,$BC849=(Elig_MatchAll_Ct-1),AQ849=0),N849,0)</f>
        <v>0</v>
      </c>
      <c r="BT849" s="214">
        <f>IF(AND(Input_Product=Elig!$C849,Elig_MatchAll_Ct&lt;22,$BC849=(Elig_MatchAll_Ct-1),AR849=0),O849,0)</f>
        <v>0</v>
      </c>
      <c r="BU849" s="214">
        <f>IF(AND(Input_Product=Elig!$C849,Elig_MatchAll_Ct&lt;22,$BC849=(Elig_MatchAll_Ct-1),AS849=0),P849,0)</f>
        <v>0</v>
      </c>
      <c r="BV849" s="215">
        <f>IF(AND(Input_Product=Elig!$C849,Elig_MatchAll_Ct&lt;22,$BC849=(Elig_MatchAll_Ct-1),AT849=0),Q849,0)</f>
        <v>0</v>
      </c>
      <c r="BW849" s="311">
        <f>IF(AND(Input_Product=Elig!$C849,Elig_MatchAll_Ct&lt;22,$BC849=(Elig_MatchAll_Ct-1),AU849=0),R849,0)</f>
        <v>0</v>
      </c>
      <c r="BX849" s="312">
        <f>IF(AND(Input_Product=Elig!$C849,Elig_MatchAll_Ct&lt;22,$BC849=(Elig_MatchAll_Ct-1),AU849=0),S849,0)</f>
        <v>0</v>
      </c>
      <c r="BY849" s="311">
        <f>IF(AND(Input_Product=Elig!$C849,Elig_MatchAll_Ct&lt;22,$BC849=(Elig_MatchAll_Ct-1),AV849=0),T849,0)</f>
        <v>0</v>
      </c>
      <c r="BZ849" s="312">
        <f>IF(AND(Input_Product=Elig!$C849,Elig_MatchAll_Ct&lt;22,$BC849=(Elig_MatchAll_Ct-1),AV849=0),U849,0)</f>
        <v>0</v>
      </c>
      <c r="CA849" s="311">
        <f>IF(AND(Input_Product=Elig!$C849,Elig_MatchAll_Ct&lt;22,$BC849=(Elig_MatchAll_Ct-1),AW849=0),V849,0)</f>
        <v>0</v>
      </c>
      <c r="CB849" s="312">
        <f>IF(AND(Input_Product=Elig!$C849,Elig_MatchAll_Ct&lt;22,$BC849=(Elig_MatchAll_Ct-1),AW849=0),W849,0)</f>
        <v>0</v>
      </c>
      <c r="CC849" s="311">
        <f>IF(AND(Input_Product=Elig!$C849,Elig_MatchAll_Ct&lt;22,$BC849=(Elig_MatchAll_Ct-1),AX849=0),X849,0)</f>
        <v>0</v>
      </c>
      <c r="CD849" s="312">
        <f>IF(AND(Input_Product=Elig!$C849,Elig_MatchAll_Ct&lt;22,$BC849=(Elig_MatchAll_Ct-1),AX849=0),Y849,0)</f>
        <v>0</v>
      </c>
      <c r="CE849" s="311">
        <f>IF(AND(Input_LTV&lt;=AE849,Input_Product=Elig!$C849,Elig_MatchAll_Ct&lt;22,$BC849=(Elig_MatchAll_Ct-1),AY849=0),Z849,0)</f>
        <v>0</v>
      </c>
      <c r="CF849" s="312">
        <f>IF(AND(Input_LTV&lt;=AE849,Input_Product=Elig!$C849,Elig_MatchAll_Ct&lt;22,$BC849=(Elig_MatchAll_Ct-1),AY849=0),AA849,0)</f>
        <v>0</v>
      </c>
      <c r="CG849" s="311">
        <f>IF(AND(Input_Product=Elig!$C849,Elig_MatchAll_Ct&lt;22,$BC849=(Elig_MatchAll_Ct-1),AZ849=0),AB849,0)</f>
        <v>0</v>
      </c>
      <c r="CH849" s="312">
        <f>IF(AND(Input_Product=Elig!$C849,Elig_MatchAll_Ct&lt;22,$BC849=(Elig_MatchAll_Ct-1),AZ849=0),AC849,0)</f>
        <v>0</v>
      </c>
      <c r="CI849" s="311">
        <f>IF(AND(Input_Product=Elig!$C849,Elig_MatchAll_Ct&lt;22,$BC849=(Elig_MatchAll_Ct-1),BA849=0),AD849,0)</f>
        <v>0</v>
      </c>
      <c r="CJ849" s="312">
        <f>IF(AND(Input_Product=Elig!$C849,Elig_MatchAll_Ct&lt;22,$BC849=(Elig_MatchAll_Ct-1),BA849=0),AE849,0)</f>
        <v>0</v>
      </c>
    </row>
    <row r="850" spans="2:88" ht="10.15" customHeight="1" x14ac:dyDescent="0.25">
      <c r="B850" s="2035" t="s">
        <v>4033</v>
      </c>
      <c r="C850" s="2040" t="str">
        <f t="shared" si="330"/>
        <v>Second NOO</v>
      </c>
      <c r="D850" s="2041" t="s">
        <v>1569</v>
      </c>
      <c r="E850" s="2041" t="s">
        <v>98</v>
      </c>
      <c r="F850" s="2041" t="s">
        <v>330</v>
      </c>
      <c r="G850" s="2041" t="s">
        <v>179</v>
      </c>
      <c r="H850" s="2041" t="s">
        <v>136</v>
      </c>
      <c r="I850" s="2039" t="s">
        <v>1332</v>
      </c>
      <c r="J850" s="2039" t="s">
        <v>1311</v>
      </c>
      <c r="K850" s="2041" t="s">
        <v>1790</v>
      </c>
      <c r="L850" s="2039" t="s">
        <v>430</v>
      </c>
      <c r="M850" s="2039" t="s">
        <v>2677</v>
      </c>
      <c r="N850" s="2041" t="s">
        <v>82</v>
      </c>
      <c r="O850" s="2039" t="s">
        <v>310</v>
      </c>
      <c r="P850" s="2039" t="s">
        <v>291</v>
      </c>
      <c r="Q850" s="2039" t="s">
        <v>294</v>
      </c>
      <c r="R850" s="2039">
        <v>350000.01</v>
      </c>
      <c r="S850" s="2108">
        <v>500000</v>
      </c>
      <c r="T850" s="2039">
        <v>0</v>
      </c>
      <c r="U850" s="2039">
        <f t="shared" si="331"/>
        <v>500000</v>
      </c>
      <c r="V850" s="2039">
        <v>0</v>
      </c>
      <c r="W850" s="2039">
        <v>50</v>
      </c>
      <c r="X850" s="2039">
        <v>0</v>
      </c>
      <c r="Y850" s="2039">
        <v>999</v>
      </c>
      <c r="Z850" s="2042">
        <v>720</v>
      </c>
      <c r="AA850" s="2042">
        <v>999</v>
      </c>
      <c r="AB850" s="2042">
        <v>0</v>
      </c>
      <c r="AC850" s="2042">
        <v>999999</v>
      </c>
      <c r="AD850" s="2039">
        <v>0</v>
      </c>
      <c r="AE850" s="2039">
        <v>65</v>
      </c>
      <c r="AF850" s="170">
        <v>0</v>
      </c>
      <c r="AG850" s="171">
        <v>1</v>
      </c>
      <c r="AH850" s="171">
        <v>1</v>
      </c>
      <c r="AI850" s="171">
        <v>0</v>
      </c>
      <c r="AJ850" s="171">
        <v>0</v>
      </c>
      <c r="AK850" s="171">
        <v>1</v>
      </c>
      <c r="AL850" s="171">
        <v>1</v>
      </c>
      <c r="AM850" s="171">
        <v>1</v>
      </c>
      <c r="AN850" s="171">
        <v>1</v>
      </c>
      <c r="AO850" s="171">
        <v>1</v>
      </c>
      <c r="AP850" s="171">
        <v>1</v>
      </c>
      <c r="AQ850" s="171">
        <v>1</v>
      </c>
      <c r="AR850" s="171">
        <v>1</v>
      </c>
      <c r="AS850" s="171">
        <v>1</v>
      </c>
      <c r="AT850" s="171">
        <v>1</v>
      </c>
      <c r="AU850" s="171">
        <f t="shared" si="324"/>
        <v>0</v>
      </c>
      <c r="AV850" s="171">
        <f t="shared" si="325"/>
        <v>1</v>
      </c>
      <c r="AW850" s="171">
        <f t="shared" si="326"/>
        <v>1</v>
      </c>
      <c r="AX850" s="171">
        <f t="shared" si="335"/>
        <v>1</v>
      </c>
      <c r="AY850" s="171">
        <f t="shared" si="327"/>
        <v>1</v>
      </c>
      <c r="AZ850" s="171">
        <f t="shared" si="328"/>
        <v>1</v>
      </c>
      <c r="BA850" s="172">
        <f t="shared" si="329"/>
        <v>1</v>
      </c>
      <c r="BB850" s="175">
        <f t="shared" si="332"/>
        <v>18</v>
      </c>
      <c r="BC850" s="176">
        <f t="shared" si="333"/>
        <v>17</v>
      </c>
      <c r="BD850" s="176">
        <f t="shared" si="334"/>
        <v>18</v>
      </c>
      <c r="BE850" s="240" t="str">
        <f t="shared" si="343"/>
        <v/>
      </c>
      <c r="BF850" s="220"/>
      <c r="BG850" s="220"/>
      <c r="BH850" s="216">
        <f>IF(AND(Input_Product=Elig!$C850,Elig_MatchAll_Ct&lt;22,$BC850=(Elig_MatchAll_Ct-1),AF850=0),C850,0)</f>
        <v>0</v>
      </c>
      <c r="BI850" s="216">
        <f>IF(AND(Input_Product=Elig!$C850,Elig_MatchAll_Ct&lt;22,$BC850=(Elig_MatchAll_Ct-1),AG850=0),D850,0)</f>
        <v>0</v>
      </c>
      <c r="BJ850" s="216">
        <f>IF(AND(Input_Product=Elig!$C850,Elig_MatchAll_Ct&lt;22,$BC850=(Elig_MatchAll_Ct-1),AH850=0),E850,0)</f>
        <v>0</v>
      </c>
      <c r="BK850" s="216">
        <f>IF(AND(Input_Product=Elig!$C850,Elig_MatchAll_Ct&lt;22,$BC850=(Elig_MatchAll_Ct-1),AI850=0),F850,0)</f>
        <v>0</v>
      </c>
      <c r="BL850" s="216">
        <f>IF(AND(Input_Product=Elig!$C850,Elig_MatchAll_Ct&lt;22,$BC850=(Elig_MatchAll_Ct-1),AJ850=0),G850,0)</f>
        <v>0</v>
      </c>
      <c r="BM850" s="216">
        <f>IF(AND(Input_Product=Elig!$C850,Elig_MatchAll_Ct&lt;22,$BC850=(Elig_MatchAll_Ct-1),AK850=0),H850,0)</f>
        <v>0</v>
      </c>
      <c r="BN850" s="216">
        <f>IF(AND(Input_Product=Elig!$C850,Elig_MatchAll_Ct&lt;22,$BC850=(Elig_MatchAll_Ct-1),AL850=0),I850,0)</f>
        <v>0</v>
      </c>
      <c r="BO850" s="216">
        <f>IF(AND(Input_Product=Elig!$C850,Elig_MatchAll_Ct&lt;22,$BC850=(Elig_MatchAll_Ct-1),AM850=0),J850,0)</f>
        <v>0</v>
      </c>
      <c r="BP850" s="216">
        <f>IF(AND(Input_Product=Elig!$C850,Elig_MatchAll_Ct&lt;22,$BC850=(Elig_MatchAll_Ct-1),AN850=0),K850,0)</f>
        <v>0</v>
      </c>
      <c r="BQ850" s="216">
        <f>IF(AND(Input_Product=Elig!$C850,Elig_MatchAll_Ct&lt;22,$BC850=(Elig_MatchAll_Ct-1),AP850=0),L850,0)</f>
        <v>0</v>
      </c>
      <c r="BR850" s="216">
        <f>IF(AND(Input_Product=Elig!$C850,Elig_MatchAll_Ct&lt;22,$BC850=(Elig_MatchAll_Ct-1),AO850=0),M850,0)</f>
        <v>0</v>
      </c>
      <c r="BS850" s="216">
        <f>IF(AND(Input_Product=Elig!$C850,Elig_MatchAll_Ct&lt;22,$BC850=(Elig_MatchAll_Ct-1),AQ850=0),N850,0)</f>
        <v>0</v>
      </c>
      <c r="BT850" s="216">
        <f>IF(AND(Input_Product=Elig!$C850,Elig_MatchAll_Ct&lt;22,$BC850=(Elig_MatchAll_Ct-1),AR850=0),O850,0)</f>
        <v>0</v>
      </c>
      <c r="BU850" s="216">
        <f>IF(AND(Input_Product=Elig!$C850,Elig_MatchAll_Ct&lt;22,$BC850=(Elig_MatchAll_Ct-1),AS850=0),P850,0)</f>
        <v>0</v>
      </c>
      <c r="BV850" s="217">
        <f>IF(AND(Input_Product=Elig!$C850,Elig_MatchAll_Ct&lt;22,$BC850=(Elig_MatchAll_Ct-1),AT850=0),Q850,0)</f>
        <v>0</v>
      </c>
      <c r="BW850" s="313">
        <f>IF(AND(Input_Product=Elig!$C850,Elig_MatchAll_Ct&lt;22,$BC850=(Elig_MatchAll_Ct-1),AU850=0),R850,0)</f>
        <v>0</v>
      </c>
      <c r="BX850" s="314">
        <f>IF(AND(Input_Product=Elig!$C850,Elig_MatchAll_Ct&lt;22,$BC850=(Elig_MatchAll_Ct-1),AU850=0),S850,0)</f>
        <v>0</v>
      </c>
      <c r="BY850" s="313">
        <f>IF(AND(Input_Product=Elig!$C850,Elig_MatchAll_Ct&lt;22,$BC850=(Elig_MatchAll_Ct-1),AV850=0),T850,0)</f>
        <v>0</v>
      </c>
      <c r="BZ850" s="314">
        <f>IF(AND(Input_Product=Elig!$C850,Elig_MatchAll_Ct&lt;22,$BC850=(Elig_MatchAll_Ct-1),AV850=0),U850,0)</f>
        <v>0</v>
      </c>
      <c r="CA850" s="313">
        <f>IF(AND(Input_Product=Elig!$C850,Elig_MatchAll_Ct&lt;22,$BC850=(Elig_MatchAll_Ct-1),AW850=0),V850,0)</f>
        <v>0</v>
      </c>
      <c r="CB850" s="314">
        <f>IF(AND(Input_Product=Elig!$C850,Elig_MatchAll_Ct&lt;22,$BC850=(Elig_MatchAll_Ct-1),AW850=0),W850,0)</f>
        <v>0</v>
      </c>
      <c r="CC850" s="313">
        <f>IF(AND(Input_Product=Elig!$C850,Elig_MatchAll_Ct&lt;22,$BC850=(Elig_MatchAll_Ct-1),AX850=0),X850,0)</f>
        <v>0</v>
      </c>
      <c r="CD850" s="314">
        <f>IF(AND(Input_Product=Elig!$C850,Elig_MatchAll_Ct&lt;22,$BC850=(Elig_MatchAll_Ct-1),AX850=0),Y850,0)</f>
        <v>0</v>
      </c>
      <c r="CE850" s="313">
        <f>IF(AND(Input_LTV&lt;=AE850,Input_Product=Elig!$C850,Elig_MatchAll_Ct&lt;22,$BC850=(Elig_MatchAll_Ct-1),AY850=0),Z850,0)</f>
        <v>0</v>
      </c>
      <c r="CF850" s="314">
        <f>IF(AND(Input_LTV&lt;=AE850,Input_Product=Elig!$C850,Elig_MatchAll_Ct&lt;22,$BC850=(Elig_MatchAll_Ct-1),AY850=0),AA850,0)</f>
        <v>0</v>
      </c>
      <c r="CG850" s="313">
        <f>IF(AND(Input_Product=Elig!$C850,Elig_MatchAll_Ct&lt;22,$BC850=(Elig_MatchAll_Ct-1),AZ850=0),AB850,0)</f>
        <v>0</v>
      </c>
      <c r="CH850" s="314">
        <f>IF(AND(Input_Product=Elig!$C850,Elig_MatchAll_Ct&lt;22,$BC850=(Elig_MatchAll_Ct-1),AZ850=0),AC850,0)</f>
        <v>0</v>
      </c>
      <c r="CI850" s="313">
        <f>IF(AND(Input_Product=Elig!$C850,Elig_MatchAll_Ct&lt;22,$BC850=(Elig_MatchAll_Ct-1),BA850=0),AD850,0)</f>
        <v>0</v>
      </c>
      <c r="CJ850" s="314">
        <f>IF(AND(Input_Product=Elig!$C850,Elig_MatchAll_Ct&lt;22,$BC850=(Elig_MatchAll_Ct-1),BA850=0),AE850,0)</f>
        <v>0</v>
      </c>
    </row>
    <row r="851" spans="2:88" ht="10.15" customHeight="1" x14ac:dyDescent="0.25">
      <c r="B851" s="2035" t="s">
        <v>4034</v>
      </c>
      <c r="C851" s="2036" t="str">
        <f t="shared" si="330"/>
        <v>Second NOO</v>
      </c>
      <c r="D851" s="2035" t="s">
        <v>1569</v>
      </c>
      <c r="E851" s="2035" t="s">
        <v>98</v>
      </c>
      <c r="F851" s="2035" t="s">
        <v>330</v>
      </c>
      <c r="G851" s="2037" t="s">
        <v>179</v>
      </c>
      <c r="H851" s="2037" t="s">
        <v>136</v>
      </c>
      <c r="I851" s="2035" t="s">
        <v>1332</v>
      </c>
      <c r="J851" s="2035" t="s">
        <v>1311</v>
      </c>
      <c r="K851" s="2037" t="s">
        <v>1790</v>
      </c>
      <c r="L851" s="2035" t="s">
        <v>430</v>
      </c>
      <c r="M851" s="2035" t="s">
        <v>2677</v>
      </c>
      <c r="N851" s="2037" t="s">
        <v>82</v>
      </c>
      <c r="O851" s="2035" t="s">
        <v>310</v>
      </c>
      <c r="P851" s="2035" t="s">
        <v>291</v>
      </c>
      <c r="Q851" s="2035" t="s">
        <v>294</v>
      </c>
      <c r="R851" s="2035">
        <v>350000.01</v>
      </c>
      <c r="S851" s="2109">
        <v>500000</v>
      </c>
      <c r="T851" s="2035">
        <v>0</v>
      </c>
      <c r="U851" s="2035">
        <f t="shared" si="331"/>
        <v>500000</v>
      </c>
      <c r="V851" s="2035">
        <v>0</v>
      </c>
      <c r="W851" s="2035">
        <v>50</v>
      </c>
      <c r="X851" s="2035">
        <v>0</v>
      </c>
      <c r="Y851" s="2035">
        <v>999</v>
      </c>
      <c r="Z851" s="2038">
        <v>700</v>
      </c>
      <c r="AA851" s="2038">
        <v>719</v>
      </c>
      <c r="AB851" s="2038">
        <v>0</v>
      </c>
      <c r="AC851" s="2038">
        <v>999999</v>
      </c>
      <c r="AD851" s="2035">
        <v>0</v>
      </c>
      <c r="AE851" s="2035">
        <v>60</v>
      </c>
      <c r="AF851" s="170">
        <v>0</v>
      </c>
      <c r="AG851" s="171">
        <v>1</v>
      </c>
      <c r="AH851" s="171">
        <v>1</v>
      </c>
      <c r="AI851" s="171">
        <v>0</v>
      </c>
      <c r="AJ851" s="171">
        <v>0</v>
      </c>
      <c r="AK851" s="171">
        <v>1</v>
      </c>
      <c r="AL851" s="171">
        <v>1</v>
      </c>
      <c r="AM851" s="171">
        <v>1</v>
      </c>
      <c r="AN851" s="171">
        <v>1</v>
      </c>
      <c r="AO851" s="171">
        <v>1</v>
      </c>
      <c r="AP851" s="171">
        <v>1</v>
      </c>
      <c r="AQ851" s="171">
        <v>1</v>
      </c>
      <c r="AR851" s="171">
        <v>1</v>
      </c>
      <c r="AS851" s="171">
        <v>1</v>
      </c>
      <c r="AT851" s="171">
        <v>1</v>
      </c>
      <c r="AU851" s="171">
        <f t="shared" si="324"/>
        <v>0</v>
      </c>
      <c r="AV851" s="171">
        <f t="shared" si="325"/>
        <v>1</v>
      </c>
      <c r="AW851" s="171">
        <f t="shared" si="326"/>
        <v>1</v>
      </c>
      <c r="AX851" s="171">
        <f t="shared" si="335"/>
        <v>1</v>
      </c>
      <c r="AY851" s="171">
        <f t="shared" si="327"/>
        <v>0</v>
      </c>
      <c r="AZ851" s="171">
        <f t="shared" si="328"/>
        <v>1</v>
      </c>
      <c r="BA851" s="172">
        <f t="shared" si="329"/>
        <v>0</v>
      </c>
      <c r="BB851" s="175">
        <f t="shared" si="332"/>
        <v>16</v>
      </c>
      <c r="BC851" s="176">
        <f t="shared" si="333"/>
        <v>16</v>
      </c>
      <c r="BD851" s="176">
        <f t="shared" si="334"/>
        <v>16</v>
      </c>
      <c r="BE851" s="240" t="str">
        <f t="shared" si="343"/>
        <v/>
      </c>
      <c r="BF851" s="234"/>
      <c r="BG851" s="234"/>
      <c r="BH851" s="199">
        <f>IF(AND(Input_Product=Elig!$C851,Elig_MatchAll_Ct&lt;22,$BC851=(Elig_MatchAll_Ct-1),AF851=0),C851,0)</f>
        <v>0</v>
      </c>
      <c r="BI851" s="199">
        <f>IF(AND(Input_Product=Elig!$C851,Elig_MatchAll_Ct&lt;22,$BC851=(Elig_MatchAll_Ct-1),AG851=0),D851,0)</f>
        <v>0</v>
      </c>
      <c r="BJ851" s="199">
        <f>IF(AND(Input_Product=Elig!$C851,Elig_MatchAll_Ct&lt;22,$BC851=(Elig_MatchAll_Ct-1),AH851=0),E851,0)</f>
        <v>0</v>
      </c>
      <c r="BK851" s="199">
        <f>IF(AND(Input_Product=Elig!$C851,Elig_MatchAll_Ct&lt;22,$BC851=(Elig_MatchAll_Ct-1),AI851=0),F851,0)</f>
        <v>0</v>
      </c>
      <c r="BL851" s="199">
        <f>IF(AND(Input_Product=Elig!$C851,Elig_MatchAll_Ct&lt;22,$BC851=(Elig_MatchAll_Ct-1),AJ851=0),G851,0)</f>
        <v>0</v>
      </c>
      <c r="BM851" s="199">
        <f>IF(AND(Input_Product=Elig!$C851,Elig_MatchAll_Ct&lt;22,$BC851=(Elig_MatchAll_Ct-1),AK851=0),H851,0)</f>
        <v>0</v>
      </c>
      <c r="BN851" s="199">
        <f>IF(AND(Input_Product=Elig!$C851,Elig_MatchAll_Ct&lt;22,$BC851=(Elig_MatchAll_Ct-1),AL851=0),I851,0)</f>
        <v>0</v>
      </c>
      <c r="BO851" s="199">
        <f>IF(AND(Input_Product=Elig!$C851,Elig_MatchAll_Ct&lt;22,$BC851=(Elig_MatchAll_Ct-1),AM851=0),J851,0)</f>
        <v>0</v>
      </c>
      <c r="BP851" s="199">
        <f>IF(AND(Input_Product=Elig!$C851,Elig_MatchAll_Ct&lt;22,$BC851=(Elig_MatchAll_Ct-1),AN851=0),K851,0)</f>
        <v>0</v>
      </c>
      <c r="BQ851" s="199">
        <f>IF(AND(Input_Product=Elig!$C851,Elig_MatchAll_Ct&lt;22,$BC851=(Elig_MatchAll_Ct-1),AP851=0),L851,0)</f>
        <v>0</v>
      </c>
      <c r="BR851" s="199">
        <f>IF(AND(Input_Product=Elig!$C851,Elig_MatchAll_Ct&lt;22,$BC851=(Elig_MatchAll_Ct-1),AO851=0),M851,0)</f>
        <v>0</v>
      </c>
      <c r="BS851" s="199">
        <f>IF(AND(Input_Product=Elig!$C851,Elig_MatchAll_Ct&lt;22,$BC851=(Elig_MatchAll_Ct-1),AQ851=0),N851,0)</f>
        <v>0</v>
      </c>
      <c r="BT851" s="199">
        <f>IF(AND(Input_Product=Elig!$C851,Elig_MatchAll_Ct&lt;22,$BC851=(Elig_MatchAll_Ct-1),AR851=0),O851,0)</f>
        <v>0</v>
      </c>
      <c r="BU851" s="199">
        <f>IF(AND(Input_Product=Elig!$C851,Elig_MatchAll_Ct&lt;22,$BC851=(Elig_MatchAll_Ct-1),AS851=0),P851,0)</f>
        <v>0</v>
      </c>
      <c r="BV851" s="200">
        <f>IF(AND(Input_Product=Elig!$C851,Elig_MatchAll_Ct&lt;22,$BC851=(Elig_MatchAll_Ct-1),AT851=0),Q851,0)</f>
        <v>0</v>
      </c>
      <c r="BW851" s="201">
        <f>IF(AND(Input_Product=Elig!$C851,Elig_MatchAll_Ct&lt;22,$BC851=(Elig_MatchAll_Ct-1),AU851=0),R851,0)</f>
        <v>0</v>
      </c>
      <c r="BX851" s="202">
        <f>IF(AND(Input_Product=Elig!$C851,Elig_MatchAll_Ct&lt;22,$BC851=(Elig_MatchAll_Ct-1),AU851=0),S851,0)</f>
        <v>0</v>
      </c>
      <c r="BY851" s="201">
        <f>IF(AND(Input_Product=Elig!$C851,Elig_MatchAll_Ct&lt;22,$BC851=(Elig_MatchAll_Ct-1),AV851=0),T851,0)</f>
        <v>0</v>
      </c>
      <c r="BZ851" s="202">
        <f>IF(AND(Input_Product=Elig!$C851,Elig_MatchAll_Ct&lt;22,$BC851=(Elig_MatchAll_Ct-1),AV851=0),U851,0)</f>
        <v>0</v>
      </c>
      <c r="CA851" s="201">
        <f>IF(AND(Input_Product=Elig!$C851,Elig_MatchAll_Ct&lt;22,$BC851=(Elig_MatchAll_Ct-1),AW851=0),V851,0)</f>
        <v>0</v>
      </c>
      <c r="CB851" s="202">
        <f>IF(AND(Input_Product=Elig!$C851,Elig_MatchAll_Ct&lt;22,$BC851=(Elig_MatchAll_Ct-1),AW851=0),W851,0)</f>
        <v>0</v>
      </c>
      <c r="CC851" s="201">
        <f>IF(AND(Input_Product=Elig!$C851,Elig_MatchAll_Ct&lt;22,$BC851=(Elig_MatchAll_Ct-1),AX851=0),X851,0)</f>
        <v>0</v>
      </c>
      <c r="CD851" s="202">
        <f>IF(AND(Input_Product=Elig!$C851,Elig_MatchAll_Ct&lt;22,$BC851=(Elig_MatchAll_Ct-1),AX851=0),Y851,0)</f>
        <v>0</v>
      </c>
      <c r="CE851" s="201">
        <f>IF(AND(Input_LTV&lt;=AE851,Input_Product=Elig!$C851,Elig_MatchAll_Ct&lt;22,$BC851=(Elig_MatchAll_Ct-1),AY851=0),Z851,0)</f>
        <v>0</v>
      </c>
      <c r="CF851" s="202">
        <f>IF(AND(Input_LTV&lt;=AE851,Input_Product=Elig!$C851,Elig_MatchAll_Ct&lt;22,$BC851=(Elig_MatchAll_Ct-1),AY851=0),AA851,0)</f>
        <v>0</v>
      </c>
      <c r="CG851" s="201">
        <f>IF(AND(Input_Product=Elig!$C851,Elig_MatchAll_Ct&lt;22,$BC851=(Elig_MatchAll_Ct-1),AZ851=0),AB851,0)</f>
        <v>0</v>
      </c>
      <c r="CH851" s="202">
        <f>IF(AND(Input_Product=Elig!$C851,Elig_MatchAll_Ct&lt;22,$BC851=(Elig_MatchAll_Ct-1),AZ851=0),AC851,0)</f>
        <v>0</v>
      </c>
      <c r="CI851" s="201">
        <f>IF(AND(Input_Product=Elig!$C851,Elig_MatchAll_Ct&lt;22,$BC851=(Elig_MatchAll_Ct-1),BA851=0),AD851,0)</f>
        <v>0</v>
      </c>
      <c r="CJ851" s="202">
        <f>IF(AND(Input_Product=Elig!$C851,Elig_MatchAll_Ct&lt;22,$BC851=(Elig_MatchAll_Ct-1),BA851=0),AE851,0)</f>
        <v>0</v>
      </c>
    </row>
    <row r="852" spans="2:88" ht="10.15" customHeight="1" x14ac:dyDescent="0.25">
      <c r="B852" s="2035" t="s">
        <v>4035</v>
      </c>
      <c r="C852" s="2036" t="str">
        <f t="shared" si="330"/>
        <v>Second NOO</v>
      </c>
      <c r="D852" s="2035" t="s">
        <v>1569</v>
      </c>
      <c r="E852" s="2035" t="s">
        <v>98</v>
      </c>
      <c r="F852" s="2035" t="s">
        <v>330</v>
      </c>
      <c r="G852" s="2037" t="s">
        <v>179</v>
      </c>
      <c r="H852" s="2037" t="s">
        <v>136</v>
      </c>
      <c r="I852" s="2035" t="s">
        <v>1332</v>
      </c>
      <c r="J852" s="2035" t="s">
        <v>1311</v>
      </c>
      <c r="K852" s="2037" t="s">
        <v>1790</v>
      </c>
      <c r="L852" s="2035" t="s">
        <v>430</v>
      </c>
      <c r="M852" s="2035" t="s">
        <v>2677</v>
      </c>
      <c r="N852" s="2037" t="s">
        <v>82</v>
      </c>
      <c r="O852" s="2035" t="s">
        <v>310</v>
      </c>
      <c r="P852" s="2035" t="s">
        <v>291</v>
      </c>
      <c r="Q852" s="2035" t="s">
        <v>294</v>
      </c>
      <c r="R852" s="2035">
        <v>350000.01</v>
      </c>
      <c r="S852" s="2109">
        <v>500000</v>
      </c>
      <c r="T852" s="2035">
        <v>0</v>
      </c>
      <c r="U852" s="2035">
        <f t="shared" si="331"/>
        <v>500000</v>
      </c>
      <c r="V852" s="2035">
        <v>0</v>
      </c>
      <c r="W852" s="2035">
        <v>50</v>
      </c>
      <c r="X852" s="2035">
        <v>0</v>
      </c>
      <c r="Y852" s="2035">
        <v>999</v>
      </c>
      <c r="Z852" s="2038">
        <v>680</v>
      </c>
      <c r="AA852" s="2038">
        <v>699</v>
      </c>
      <c r="AB852" s="2038">
        <v>0</v>
      </c>
      <c r="AC852" s="2038">
        <v>999999</v>
      </c>
      <c r="AD852" s="2035">
        <v>0</v>
      </c>
      <c r="AE852" s="2035">
        <v>55</v>
      </c>
      <c r="AF852" s="170">
        <v>0</v>
      </c>
      <c r="AG852" s="171">
        <v>1</v>
      </c>
      <c r="AH852" s="171">
        <v>1</v>
      </c>
      <c r="AI852" s="171">
        <v>0</v>
      </c>
      <c r="AJ852" s="171">
        <v>0</v>
      </c>
      <c r="AK852" s="171">
        <v>1</v>
      </c>
      <c r="AL852" s="171">
        <v>1</v>
      </c>
      <c r="AM852" s="171">
        <v>1</v>
      </c>
      <c r="AN852" s="171">
        <v>1</v>
      </c>
      <c r="AO852" s="171">
        <v>1</v>
      </c>
      <c r="AP852" s="171">
        <v>1</v>
      </c>
      <c r="AQ852" s="171">
        <v>1</v>
      </c>
      <c r="AR852" s="171">
        <v>1</v>
      </c>
      <c r="AS852" s="171">
        <v>1</v>
      </c>
      <c r="AT852" s="171">
        <v>1</v>
      </c>
      <c r="AU852" s="171">
        <f t="shared" si="324"/>
        <v>0</v>
      </c>
      <c r="AV852" s="171">
        <f t="shared" si="325"/>
        <v>1</v>
      </c>
      <c r="AW852" s="171">
        <f t="shared" si="326"/>
        <v>1</v>
      </c>
      <c r="AX852" s="171">
        <f t="shared" si="335"/>
        <v>1</v>
      </c>
      <c r="AY852" s="171">
        <f t="shared" si="327"/>
        <v>0</v>
      </c>
      <c r="AZ852" s="171">
        <f t="shared" si="328"/>
        <v>1</v>
      </c>
      <c r="BA852" s="172">
        <f t="shared" si="329"/>
        <v>0</v>
      </c>
      <c r="BB852" s="175">
        <f t="shared" si="332"/>
        <v>16</v>
      </c>
      <c r="BC852" s="176">
        <f t="shared" si="333"/>
        <v>16</v>
      </c>
      <c r="BD852" s="176">
        <f t="shared" si="334"/>
        <v>16</v>
      </c>
      <c r="BE852" s="240" t="str">
        <f t="shared" si="343"/>
        <v/>
      </c>
      <c r="BF852" s="234"/>
      <c r="BG852" s="234"/>
      <c r="BH852" s="199">
        <f>IF(AND(Input_Product=Elig!$C852,Elig_MatchAll_Ct&lt;22,$BC852=(Elig_MatchAll_Ct-1),AF852=0),C852,0)</f>
        <v>0</v>
      </c>
      <c r="BI852" s="199">
        <f>IF(AND(Input_Product=Elig!$C852,Elig_MatchAll_Ct&lt;22,$BC852=(Elig_MatchAll_Ct-1),AG852=0),D852,0)</f>
        <v>0</v>
      </c>
      <c r="BJ852" s="199">
        <f>IF(AND(Input_Product=Elig!$C852,Elig_MatchAll_Ct&lt;22,$BC852=(Elig_MatchAll_Ct-1),AH852=0),E852,0)</f>
        <v>0</v>
      </c>
      <c r="BK852" s="199">
        <f>IF(AND(Input_Product=Elig!$C852,Elig_MatchAll_Ct&lt;22,$BC852=(Elig_MatchAll_Ct-1),AI852=0),F852,0)</f>
        <v>0</v>
      </c>
      <c r="BL852" s="199">
        <f>IF(AND(Input_Product=Elig!$C852,Elig_MatchAll_Ct&lt;22,$BC852=(Elig_MatchAll_Ct-1),AJ852=0),G852,0)</f>
        <v>0</v>
      </c>
      <c r="BM852" s="199">
        <f>IF(AND(Input_Product=Elig!$C852,Elig_MatchAll_Ct&lt;22,$BC852=(Elig_MatchAll_Ct-1),AK852=0),H852,0)</f>
        <v>0</v>
      </c>
      <c r="BN852" s="199">
        <f>IF(AND(Input_Product=Elig!$C852,Elig_MatchAll_Ct&lt;22,$BC852=(Elig_MatchAll_Ct-1),AL852=0),I852,0)</f>
        <v>0</v>
      </c>
      <c r="BO852" s="199">
        <f>IF(AND(Input_Product=Elig!$C852,Elig_MatchAll_Ct&lt;22,$BC852=(Elig_MatchAll_Ct-1),AM852=0),J852,0)</f>
        <v>0</v>
      </c>
      <c r="BP852" s="199">
        <f>IF(AND(Input_Product=Elig!$C852,Elig_MatchAll_Ct&lt;22,$BC852=(Elig_MatchAll_Ct-1),AN852=0),K852,0)</f>
        <v>0</v>
      </c>
      <c r="BQ852" s="199">
        <f>IF(AND(Input_Product=Elig!$C852,Elig_MatchAll_Ct&lt;22,$BC852=(Elig_MatchAll_Ct-1),AP852=0),L852,0)</f>
        <v>0</v>
      </c>
      <c r="BR852" s="199">
        <f>IF(AND(Input_Product=Elig!$C852,Elig_MatchAll_Ct&lt;22,$BC852=(Elig_MatchAll_Ct-1),AO852=0),M852,0)</f>
        <v>0</v>
      </c>
      <c r="BS852" s="199">
        <f>IF(AND(Input_Product=Elig!$C852,Elig_MatchAll_Ct&lt;22,$BC852=(Elig_MatchAll_Ct-1),AQ852=0),N852,0)</f>
        <v>0</v>
      </c>
      <c r="BT852" s="199">
        <f>IF(AND(Input_Product=Elig!$C852,Elig_MatchAll_Ct&lt;22,$BC852=(Elig_MatchAll_Ct-1),AR852=0),O852,0)</f>
        <v>0</v>
      </c>
      <c r="BU852" s="199">
        <f>IF(AND(Input_Product=Elig!$C852,Elig_MatchAll_Ct&lt;22,$BC852=(Elig_MatchAll_Ct-1),AS852=0),P852,0)</f>
        <v>0</v>
      </c>
      <c r="BV852" s="200">
        <f>IF(AND(Input_Product=Elig!$C852,Elig_MatchAll_Ct&lt;22,$BC852=(Elig_MatchAll_Ct-1),AT852=0),Q852,0)</f>
        <v>0</v>
      </c>
      <c r="BW852" s="201">
        <f>IF(AND(Input_Product=Elig!$C852,Elig_MatchAll_Ct&lt;22,$BC852=(Elig_MatchAll_Ct-1),AU852=0),R852,0)</f>
        <v>0</v>
      </c>
      <c r="BX852" s="202">
        <f>IF(AND(Input_Product=Elig!$C852,Elig_MatchAll_Ct&lt;22,$BC852=(Elig_MatchAll_Ct-1),AU852=0),S852,0)</f>
        <v>0</v>
      </c>
      <c r="BY852" s="201">
        <f>IF(AND(Input_Product=Elig!$C852,Elig_MatchAll_Ct&lt;22,$BC852=(Elig_MatchAll_Ct-1),AV852=0),T852,0)</f>
        <v>0</v>
      </c>
      <c r="BZ852" s="202">
        <f>IF(AND(Input_Product=Elig!$C852,Elig_MatchAll_Ct&lt;22,$BC852=(Elig_MatchAll_Ct-1),AV852=0),U852,0)</f>
        <v>0</v>
      </c>
      <c r="CA852" s="201">
        <f>IF(AND(Input_Product=Elig!$C852,Elig_MatchAll_Ct&lt;22,$BC852=(Elig_MatchAll_Ct-1),AW852=0),V852,0)</f>
        <v>0</v>
      </c>
      <c r="CB852" s="202">
        <f>IF(AND(Input_Product=Elig!$C852,Elig_MatchAll_Ct&lt;22,$BC852=(Elig_MatchAll_Ct-1),AW852=0),W852,0)</f>
        <v>0</v>
      </c>
      <c r="CC852" s="201">
        <f>IF(AND(Input_Product=Elig!$C852,Elig_MatchAll_Ct&lt;22,$BC852=(Elig_MatchAll_Ct-1),AX852=0),X852,0)</f>
        <v>0</v>
      </c>
      <c r="CD852" s="202">
        <f>IF(AND(Input_Product=Elig!$C852,Elig_MatchAll_Ct&lt;22,$BC852=(Elig_MatchAll_Ct-1),AX852=0),Y852,0)</f>
        <v>0</v>
      </c>
      <c r="CE852" s="201">
        <f>IF(AND(Input_LTV&lt;=AE852,Input_Product=Elig!$C852,Elig_MatchAll_Ct&lt;22,$BC852=(Elig_MatchAll_Ct-1),AY852=0),Z852,0)</f>
        <v>0</v>
      </c>
      <c r="CF852" s="202">
        <f>IF(AND(Input_LTV&lt;=AE852,Input_Product=Elig!$C852,Elig_MatchAll_Ct&lt;22,$BC852=(Elig_MatchAll_Ct-1),AY852=0),AA852,0)</f>
        <v>0</v>
      </c>
      <c r="CG852" s="201">
        <f>IF(AND(Input_Product=Elig!$C852,Elig_MatchAll_Ct&lt;22,$BC852=(Elig_MatchAll_Ct-1),AZ852=0),AB852,0)</f>
        <v>0</v>
      </c>
      <c r="CH852" s="202">
        <f>IF(AND(Input_Product=Elig!$C852,Elig_MatchAll_Ct&lt;22,$BC852=(Elig_MatchAll_Ct-1),AZ852=0),AC852,0)</f>
        <v>0</v>
      </c>
      <c r="CI852" s="201">
        <f>IF(AND(Input_Product=Elig!$C852,Elig_MatchAll_Ct&lt;22,$BC852=(Elig_MatchAll_Ct-1),BA852=0),AD852,0)</f>
        <v>0</v>
      </c>
      <c r="CJ852" s="202">
        <f>IF(AND(Input_Product=Elig!$C852,Elig_MatchAll_Ct&lt;22,$BC852=(Elig_MatchAll_Ct-1),BA852=0),AE852,0)</f>
        <v>0</v>
      </c>
    </row>
    <row r="853" spans="2:88" ht="10.15" customHeight="1" x14ac:dyDescent="0.25">
      <c r="B853" s="2035" t="s">
        <v>4036</v>
      </c>
      <c r="C853" s="2036" t="str">
        <f t="shared" si="330"/>
        <v>Second NOO</v>
      </c>
      <c r="D853" s="2035" t="s">
        <v>1569</v>
      </c>
      <c r="E853" s="2035" t="s">
        <v>98</v>
      </c>
      <c r="F853" s="2035" t="s">
        <v>330</v>
      </c>
      <c r="G853" s="2037" t="s">
        <v>179</v>
      </c>
      <c r="H853" s="2037" t="s">
        <v>136</v>
      </c>
      <c r="I853" s="2035" t="s">
        <v>1332</v>
      </c>
      <c r="J853" s="2035" t="s">
        <v>1311</v>
      </c>
      <c r="K853" s="2037" t="s">
        <v>1790</v>
      </c>
      <c r="L853" s="2035" t="s">
        <v>430</v>
      </c>
      <c r="M853" s="2035" t="s">
        <v>2677</v>
      </c>
      <c r="N853" s="2037" t="s">
        <v>82</v>
      </c>
      <c r="O853" s="2035" t="s">
        <v>310</v>
      </c>
      <c r="P853" s="2035" t="s">
        <v>291</v>
      </c>
      <c r="Q853" s="2035" t="s">
        <v>294</v>
      </c>
      <c r="R853" s="2035">
        <v>350000.01</v>
      </c>
      <c r="S853" s="2109">
        <v>500000</v>
      </c>
      <c r="T853" s="2035">
        <v>0</v>
      </c>
      <c r="U853" s="2035">
        <f t="shared" si="331"/>
        <v>500000</v>
      </c>
      <c r="V853" s="2035">
        <v>0</v>
      </c>
      <c r="W853" s="2035">
        <v>50</v>
      </c>
      <c r="X853" s="2035">
        <v>0</v>
      </c>
      <c r="Y853" s="2035">
        <v>999</v>
      </c>
      <c r="Z853" s="2038">
        <v>660</v>
      </c>
      <c r="AA853" s="2038">
        <v>679</v>
      </c>
      <c r="AB853" s="2038">
        <v>0</v>
      </c>
      <c r="AC853" s="2038">
        <v>999999</v>
      </c>
      <c r="AD853" s="2035">
        <v>0</v>
      </c>
      <c r="AE853" s="2035">
        <v>50</v>
      </c>
      <c r="AF853" s="170">
        <v>0</v>
      </c>
      <c r="AG853" s="171">
        <v>1</v>
      </c>
      <c r="AH853" s="171">
        <v>1</v>
      </c>
      <c r="AI853" s="171">
        <v>0</v>
      </c>
      <c r="AJ853" s="171">
        <v>0</v>
      </c>
      <c r="AK853" s="171">
        <v>1</v>
      </c>
      <c r="AL853" s="171">
        <v>1</v>
      </c>
      <c r="AM853" s="171">
        <v>1</v>
      </c>
      <c r="AN853" s="171">
        <v>1</v>
      </c>
      <c r="AO853" s="171">
        <v>1</v>
      </c>
      <c r="AP853" s="171">
        <v>1</v>
      </c>
      <c r="AQ853" s="171">
        <v>1</v>
      </c>
      <c r="AR853" s="171">
        <v>1</v>
      </c>
      <c r="AS853" s="171">
        <v>1</v>
      </c>
      <c r="AT853" s="171">
        <v>1</v>
      </c>
      <c r="AU853" s="171">
        <f t="shared" si="324"/>
        <v>0</v>
      </c>
      <c r="AV853" s="171">
        <f t="shared" si="325"/>
        <v>1</v>
      </c>
      <c r="AW853" s="171">
        <f t="shared" si="326"/>
        <v>1</v>
      </c>
      <c r="AX853" s="171">
        <f t="shared" si="335"/>
        <v>1</v>
      </c>
      <c r="AY853" s="171">
        <f t="shared" si="327"/>
        <v>0</v>
      </c>
      <c r="AZ853" s="171">
        <f t="shared" si="328"/>
        <v>1</v>
      </c>
      <c r="BA853" s="172">
        <f t="shared" si="329"/>
        <v>0</v>
      </c>
      <c r="BB853" s="175">
        <f t="shared" si="332"/>
        <v>16</v>
      </c>
      <c r="BC853" s="176">
        <f t="shared" si="333"/>
        <v>16</v>
      </c>
      <c r="BD853" s="176">
        <f t="shared" si="334"/>
        <v>16</v>
      </c>
      <c r="BE853" s="240" t="str">
        <f t="shared" si="343"/>
        <v/>
      </c>
      <c r="BF853" s="234"/>
      <c r="BG853" s="234"/>
      <c r="BH853" s="214">
        <f>IF(AND(Input_Product=Elig!$C853,Elig_MatchAll_Ct&lt;22,$BC853=(Elig_MatchAll_Ct-1),AF853=0),C853,0)</f>
        <v>0</v>
      </c>
      <c r="BI853" s="214">
        <f>IF(AND(Input_Product=Elig!$C853,Elig_MatchAll_Ct&lt;22,$BC853=(Elig_MatchAll_Ct-1),AG853=0),D853,0)</f>
        <v>0</v>
      </c>
      <c r="BJ853" s="214">
        <f>IF(AND(Input_Product=Elig!$C853,Elig_MatchAll_Ct&lt;22,$BC853=(Elig_MatchAll_Ct-1),AH853=0),E853,0)</f>
        <v>0</v>
      </c>
      <c r="BK853" s="214">
        <f>IF(AND(Input_Product=Elig!$C853,Elig_MatchAll_Ct&lt;22,$BC853=(Elig_MatchAll_Ct-1),AI853=0),F853,0)</f>
        <v>0</v>
      </c>
      <c r="BL853" s="214">
        <f>IF(AND(Input_Product=Elig!$C853,Elig_MatchAll_Ct&lt;22,$BC853=(Elig_MatchAll_Ct-1),AJ853=0),G853,0)</f>
        <v>0</v>
      </c>
      <c r="BM853" s="214">
        <f>IF(AND(Input_Product=Elig!$C853,Elig_MatchAll_Ct&lt;22,$BC853=(Elig_MatchAll_Ct-1),AK853=0),H853,0)</f>
        <v>0</v>
      </c>
      <c r="BN853" s="214">
        <f>IF(AND(Input_Product=Elig!$C853,Elig_MatchAll_Ct&lt;22,$BC853=(Elig_MatchAll_Ct-1),AL853=0),I853,0)</f>
        <v>0</v>
      </c>
      <c r="BO853" s="214">
        <f>IF(AND(Input_Product=Elig!$C853,Elig_MatchAll_Ct&lt;22,$BC853=(Elig_MatchAll_Ct-1),AM853=0),J853,0)</f>
        <v>0</v>
      </c>
      <c r="BP853" s="214">
        <f>IF(AND(Input_Product=Elig!$C853,Elig_MatchAll_Ct&lt;22,$BC853=(Elig_MatchAll_Ct-1),AN853=0),K853,0)</f>
        <v>0</v>
      </c>
      <c r="BQ853" s="214">
        <f>IF(AND(Input_Product=Elig!$C853,Elig_MatchAll_Ct&lt;22,$BC853=(Elig_MatchAll_Ct-1),AP853=0),L853,0)</f>
        <v>0</v>
      </c>
      <c r="BR853" s="214">
        <f>IF(AND(Input_Product=Elig!$C853,Elig_MatchAll_Ct&lt;22,$BC853=(Elig_MatchAll_Ct-1),AO853=0),M853,0)</f>
        <v>0</v>
      </c>
      <c r="BS853" s="214">
        <f>IF(AND(Input_Product=Elig!$C853,Elig_MatchAll_Ct&lt;22,$BC853=(Elig_MatchAll_Ct-1),AQ853=0),N853,0)</f>
        <v>0</v>
      </c>
      <c r="BT853" s="214">
        <f>IF(AND(Input_Product=Elig!$C853,Elig_MatchAll_Ct&lt;22,$BC853=(Elig_MatchAll_Ct-1),AR853=0),O853,0)</f>
        <v>0</v>
      </c>
      <c r="BU853" s="214">
        <f>IF(AND(Input_Product=Elig!$C853,Elig_MatchAll_Ct&lt;22,$BC853=(Elig_MatchAll_Ct-1),AS853=0),P853,0)</f>
        <v>0</v>
      </c>
      <c r="BV853" s="215">
        <f>IF(AND(Input_Product=Elig!$C853,Elig_MatchAll_Ct&lt;22,$BC853=(Elig_MatchAll_Ct-1),AT853=0),Q853,0)</f>
        <v>0</v>
      </c>
      <c r="BW853" s="311">
        <f>IF(AND(Input_Product=Elig!$C853,Elig_MatchAll_Ct&lt;22,$BC853=(Elig_MatchAll_Ct-1),AU853=0),R853,0)</f>
        <v>0</v>
      </c>
      <c r="BX853" s="312">
        <f>IF(AND(Input_Product=Elig!$C853,Elig_MatchAll_Ct&lt;22,$BC853=(Elig_MatchAll_Ct-1),AU853=0),S853,0)</f>
        <v>0</v>
      </c>
      <c r="BY853" s="311">
        <f>IF(AND(Input_Product=Elig!$C853,Elig_MatchAll_Ct&lt;22,$BC853=(Elig_MatchAll_Ct-1),AV853=0),T853,0)</f>
        <v>0</v>
      </c>
      <c r="BZ853" s="312">
        <f>IF(AND(Input_Product=Elig!$C853,Elig_MatchAll_Ct&lt;22,$BC853=(Elig_MatchAll_Ct-1),AV853=0),U853,0)</f>
        <v>0</v>
      </c>
      <c r="CA853" s="311">
        <f>IF(AND(Input_Product=Elig!$C853,Elig_MatchAll_Ct&lt;22,$BC853=(Elig_MatchAll_Ct-1),AW853=0),V853,0)</f>
        <v>0</v>
      </c>
      <c r="CB853" s="312">
        <f>IF(AND(Input_Product=Elig!$C853,Elig_MatchAll_Ct&lt;22,$BC853=(Elig_MatchAll_Ct-1),AW853=0),W853,0)</f>
        <v>0</v>
      </c>
      <c r="CC853" s="311">
        <f>IF(AND(Input_Product=Elig!$C853,Elig_MatchAll_Ct&lt;22,$BC853=(Elig_MatchAll_Ct-1),AX853=0),X853,0)</f>
        <v>0</v>
      </c>
      <c r="CD853" s="312">
        <f>IF(AND(Input_Product=Elig!$C853,Elig_MatchAll_Ct&lt;22,$BC853=(Elig_MatchAll_Ct-1),AX853=0),Y853,0)</f>
        <v>0</v>
      </c>
      <c r="CE853" s="311">
        <f>IF(AND(Input_LTV&lt;=AE853,Input_Product=Elig!$C853,Elig_MatchAll_Ct&lt;22,$BC853=(Elig_MatchAll_Ct-1),AY853=0),Z853,0)</f>
        <v>0</v>
      </c>
      <c r="CF853" s="312">
        <f>IF(AND(Input_LTV&lt;=AE853,Input_Product=Elig!$C853,Elig_MatchAll_Ct&lt;22,$BC853=(Elig_MatchAll_Ct-1),AY853=0),AA853,0)</f>
        <v>0</v>
      </c>
      <c r="CG853" s="311">
        <f>IF(AND(Input_Product=Elig!$C853,Elig_MatchAll_Ct&lt;22,$BC853=(Elig_MatchAll_Ct-1),AZ853=0),AB853,0)</f>
        <v>0</v>
      </c>
      <c r="CH853" s="312">
        <f>IF(AND(Input_Product=Elig!$C853,Elig_MatchAll_Ct&lt;22,$BC853=(Elig_MatchAll_Ct-1),AZ853=0),AC853,0)</f>
        <v>0</v>
      </c>
      <c r="CI853" s="311">
        <f>IF(AND(Input_Product=Elig!$C853,Elig_MatchAll_Ct&lt;22,$BC853=(Elig_MatchAll_Ct-1),BA853=0),AD853,0)</f>
        <v>0</v>
      </c>
      <c r="CJ853" s="312">
        <f>IF(AND(Input_Product=Elig!$C853,Elig_MatchAll_Ct&lt;22,$BC853=(Elig_MatchAll_Ct-1),BA853=0),AE853,0)</f>
        <v>0</v>
      </c>
    </row>
    <row r="854" spans="2:88" ht="10.15" customHeight="1" x14ac:dyDescent="0.25">
      <c r="B854" s="2035" t="s">
        <v>4037</v>
      </c>
      <c r="C854" s="2040" t="str">
        <f t="shared" si="330"/>
        <v>Second NOO</v>
      </c>
      <c r="D854" s="2041" t="s">
        <v>1569</v>
      </c>
      <c r="E854" s="2041" t="s">
        <v>98</v>
      </c>
      <c r="F854" s="2041" t="s">
        <v>330</v>
      </c>
      <c r="G854" s="2112" t="s">
        <v>181</v>
      </c>
      <c r="H854" s="2041" t="s">
        <v>136</v>
      </c>
      <c r="I854" s="2039" t="s">
        <v>1332</v>
      </c>
      <c r="J854" s="2039" t="s">
        <v>1311</v>
      </c>
      <c r="K854" s="2041" t="s">
        <v>1790</v>
      </c>
      <c r="L854" s="2039" t="s">
        <v>430</v>
      </c>
      <c r="M854" s="2039" t="s">
        <v>2677</v>
      </c>
      <c r="N854" s="2112" t="s">
        <v>4156</v>
      </c>
      <c r="O854" s="2039" t="s">
        <v>4099</v>
      </c>
      <c r="P854" s="2039" t="s">
        <v>291</v>
      </c>
      <c r="Q854" s="2039" t="s">
        <v>294</v>
      </c>
      <c r="R854" s="2039">
        <v>350000.01</v>
      </c>
      <c r="S854" s="2108">
        <v>500000</v>
      </c>
      <c r="T854" s="2039">
        <v>0</v>
      </c>
      <c r="U854" s="2039">
        <f t="shared" si="331"/>
        <v>500000</v>
      </c>
      <c r="V854" s="2039">
        <v>0</v>
      </c>
      <c r="W854" s="2039">
        <v>50</v>
      </c>
      <c r="X854" s="2108">
        <v>1</v>
      </c>
      <c r="Y854" s="2039">
        <v>999</v>
      </c>
      <c r="Z854" s="2042">
        <v>720</v>
      </c>
      <c r="AA854" s="2042">
        <v>999</v>
      </c>
      <c r="AB854" s="2042">
        <v>0</v>
      </c>
      <c r="AC854" s="2042">
        <v>999999</v>
      </c>
      <c r="AD854" s="2039">
        <v>0</v>
      </c>
      <c r="AE854" s="2108">
        <v>75</v>
      </c>
      <c r="AF854" s="170">
        <v>0</v>
      </c>
      <c r="AG854" s="171">
        <v>1</v>
      </c>
      <c r="AH854" s="171">
        <v>1</v>
      </c>
      <c r="AI854" s="171">
        <v>0</v>
      </c>
      <c r="AJ854" s="171">
        <v>0</v>
      </c>
      <c r="AK854" s="171">
        <v>1</v>
      </c>
      <c r="AL854" s="171">
        <v>1</v>
      </c>
      <c r="AM854" s="171">
        <v>1</v>
      </c>
      <c r="AN854" s="171">
        <v>1</v>
      </c>
      <c r="AO854" s="171">
        <v>1</v>
      </c>
      <c r="AP854" s="171">
        <v>1</v>
      </c>
      <c r="AQ854" s="171">
        <v>1</v>
      </c>
      <c r="AR854" s="171">
        <v>1</v>
      </c>
      <c r="AS854" s="171">
        <v>1</v>
      </c>
      <c r="AT854" s="171">
        <v>1</v>
      </c>
      <c r="AU854" s="171">
        <f t="shared" si="324"/>
        <v>0</v>
      </c>
      <c r="AV854" s="171">
        <f t="shared" si="325"/>
        <v>1</v>
      </c>
      <c r="AW854" s="171">
        <f t="shared" si="326"/>
        <v>1</v>
      </c>
      <c r="AX854" s="171">
        <f t="shared" si="335"/>
        <v>0</v>
      </c>
      <c r="AY854" s="171">
        <f t="shared" si="327"/>
        <v>1</v>
      </c>
      <c r="AZ854" s="171">
        <f t="shared" si="328"/>
        <v>1</v>
      </c>
      <c r="BA854" s="172">
        <f t="shared" si="329"/>
        <v>1</v>
      </c>
      <c r="BB854" s="175">
        <f t="shared" ref="BB854:BB857" si="348">SUM(AF854:BA854)</f>
        <v>17</v>
      </c>
      <c r="BC854" s="176">
        <f t="shared" ref="BC854:BC857" si="349">SUM(AF854:AZ854)</f>
        <v>16</v>
      </c>
      <c r="BD854" s="176">
        <f t="shared" ref="BD854:BD857" si="350">SUM(AG854:BA854)</f>
        <v>17</v>
      </c>
      <c r="BE854" s="240" t="str">
        <f t="shared" si="343"/>
        <v/>
      </c>
      <c r="BF854" s="220"/>
      <c r="BG854" s="220"/>
      <c r="BH854" s="216">
        <f>IF(AND(Input_Product=Elig!$C854,Elig_MatchAll_Ct&lt;22,$BC854=(Elig_MatchAll_Ct-1),AF854=0),C854,0)</f>
        <v>0</v>
      </c>
      <c r="BI854" s="216">
        <f>IF(AND(Input_Product=Elig!$C854,Elig_MatchAll_Ct&lt;22,$BC854=(Elig_MatchAll_Ct-1),AG854=0),D854,0)</f>
        <v>0</v>
      </c>
      <c r="BJ854" s="216">
        <f>IF(AND(Input_Product=Elig!$C854,Elig_MatchAll_Ct&lt;22,$BC854=(Elig_MatchAll_Ct-1),AH854=0),E854,0)</f>
        <v>0</v>
      </c>
      <c r="BK854" s="216">
        <f>IF(AND(Input_Product=Elig!$C854,Elig_MatchAll_Ct&lt;22,$BC854=(Elig_MatchAll_Ct-1),AI854=0),F854,0)</f>
        <v>0</v>
      </c>
      <c r="BL854" s="216">
        <f>IF(AND(Input_Product=Elig!$C854,Elig_MatchAll_Ct&lt;22,$BC854=(Elig_MatchAll_Ct-1),AJ854=0),G854,0)</f>
        <v>0</v>
      </c>
      <c r="BM854" s="216">
        <f>IF(AND(Input_Product=Elig!$C854,Elig_MatchAll_Ct&lt;22,$BC854=(Elig_MatchAll_Ct-1),AK854=0),H854,0)</f>
        <v>0</v>
      </c>
      <c r="BN854" s="216">
        <f>IF(AND(Input_Product=Elig!$C854,Elig_MatchAll_Ct&lt;22,$BC854=(Elig_MatchAll_Ct-1),AL854=0),I854,0)</f>
        <v>0</v>
      </c>
      <c r="BO854" s="216">
        <f>IF(AND(Input_Product=Elig!$C854,Elig_MatchAll_Ct&lt;22,$BC854=(Elig_MatchAll_Ct-1),AM854=0),J854,0)</f>
        <v>0</v>
      </c>
      <c r="BP854" s="216">
        <f>IF(AND(Input_Product=Elig!$C854,Elig_MatchAll_Ct&lt;22,$BC854=(Elig_MatchAll_Ct-1),AN854=0),K854,0)</f>
        <v>0</v>
      </c>
      <c r="BQ854" s="216">
        <f>IF(AND(Input_Product=Elig!$C854,Elig_MatchAll_Ct&lt;22,$BC854=(Elig_MatchAll_Ct-1),AP854=0),L854,0)</f>
        <v>0</v>
      </c>
      <c r="BR854" s="216">
        <f>IF(AND(Input_Product=Elig!$C854,Elig_MatchAll_Ct&lt;22,$BC854=(Elig_MatchAll_Ct-1),AO854=0),M854,0)</f>
        <v>0</v>
      </c>
      <c r="BS854" s="216">
        <f>IF(AND(Input_Product=Elig!$C854,Elig_MatchAll_Ct&lt;22,$BC854=(Elig_MatchAll_Ct-1),AQ854=0),N854,0)</f>
        <v>0</v>
      </c>
      <c r="BT854" s="216">
        <f>IF(AND(Input_Product=Elig!$C854,Elig_MatchAll_Ct&lt;22,$BC854=(Elig_MatchAll_Ct-1),AR854=0),O854,0)</f>
        <v>0</v>
      </c>
      <c r="BU854" s="216">
        <f>IF(AND(Input_Product=Elig!$C854,Elig_MatchAll_Ct&lt;22,$BC854=(Elig_MatchAll_Ct-1),AS854=0),P854,0)</f>
        <v>0</v>
      </c>
      <c r="BV854" s="217">
        <f>IF(AND(Input_Product=Elig!$C854,Elig_MatchAll_Ct&lt;22,$BC854=(Elig_MatchAll_Ct-1),AT854=0),Q854,0)</f>
        <v>0</v>
      </c>
      <c r="BW854" s="313">
        <f>IF(AND(Input_Product=Elig!$C854,Elig_MatchAll_Ct&lt;22,$BC854=(Elig_MatchAll_Ct-1),AU854=0),R854,0)</f>
        <v>0</v>
      </c>
      <c r="BX854" s="314">
        <f>IF(AND(Input_Product=Elig!$C854,Elig_MatchAll_Ct&lt;22,$BC854=(Elig_MatchAll_Ct-1),AU854=0),S854,0)</f>
        <v>0</v>
      </c>
      <c r="BY854" s="313">
        <f>IF(AND(Input_Product=Elig!$C854,Elig_MatchAll_Ct&lt;22,$BC854=(Elig_MatchAll_Ct-1),AV854=0),T854,0)</f>
        <v>0</v>
      </c>
      <c r="BZ854" s="314">
        <f>IF(AND(Input_Product=Elig!$C854,Elig_MatchAll_Ct&lt;22,$BC854=(Elig_MatchAll_Ct-1),AV854=0),U854,0)</f>
        <v>0</v>
      </c>
      <c r="CA854" s="313">
        <f>IF(AND(Input_Product=Elig!$C854,Elig_MatchAll_Ct&lt;22,$BC854=(Elig_MatchAll_Ct-1),AW854=0),V854,0)</f>
        <v>0</v>
      </c>
      <c r="CB854" s="314">
        <f>IF(AND(Input_Product=Elig!$C854,Elig_MatchAll_Ct&lt;22,$BC854=(Elig_MatchAll_Ct-1),AW854=0),W854,0)</f>
        <v>0</v>
      </c>
      <c r="CC854" s="313">
        <f>IF(AND(Input_Product=Elig!$C854,Elig_MatchAll_Ct&lt;22,$BC854=(Elig_MatchAll_Ct-1),AX854=0),X854,0)</f>
        <v>0</v>
      </c>
      <c r="CD854" s="314">
        <f>IF(AND(Input_Product=Elig!$C854,Elig_MatchAll_Ct&lt;22,$BC854=(Elig_MatchAll_Ct-1),AX854=0),Y854,0)</f>
        <v>0</v>
      </c>
      <c r="CE854" s="313">
        <f>IF(AND(Input_LTV&lt;=AE854,Input_Product=Elig!$C854,Elig_MatchAll_Ct&lt;22,$BC854=(Elig_MatchAll_Ct-1),AY854=0),Z854,0)</f>
        <v>0</v>
      </c>
      <c r="CF854" s="314">
        <f>IF(AND(Input_LTV&lt;=AE854,Input_Product=Elig!$C854,Elig_MatchAll_Ct&lt;22,$BC854=(Elig_MatchAll_Ct-1),AY854=0),AA854,0)</f>
        <v>0</v>
      </c>
      <c r="CG854" s="313">
        <f>IF(AND(Input_Product=Elig!$C854,Elig_MatchAll_Ct&lt;22,$BC854=(Elig_MatchAll_Ct-1),AZ854=0),AB854,0)</f>
        <v>0</v>
      </c>
      <c r="CH854" s="314">
        <f>IF(AND(Input_Product=Elig!$C854,Elig_MatchAll_Ct&lt;22,$BC854=(Elig_MatchAll_Ct-1),AZ854=0),AC854,0)</f>
        <v>0</v>
      </c>
      <c r="CI854" s="313">
        <f>IF(AND(Input_Product=Elig!$C854,Elig_MatchAll_Ct&lt;22,$BC854=(Elig_MatchAll_Ct-1),BA854=0),AD854,0)</f>
        <v>0</v>
      </c>
      <c r="CJ854" s="314">
        <f>IF(AND(Input_Product=Elig!$C854,Elig_MatchAll_Ct&lt;22,$BC854=(Elig_MatchAll_Ct-1),BA854=0),AE854,0)</f>
        <v>0</v>
      </c>
    </row>
    <row r="855" spans="2:88" ht="10.15" customHeight="1" x14ac:dyDescent="0.25">
      <c r="B855" s="2035" t="s">
        <v>4038</v>
      </c>
      <c r="C855" s="2036" t="str">
        <f t="shared" si="330"/>
        <v>Second NOO</v>
      </c>
      <c r="D855" s="2035" t="s">
        <v>1569</v>
      </c>
      <c r="E855" s="2035" t="s">
        <v>98</v>
      </c>
      <c r="F855" s="2035" t="s">
        <v>330</v>
      </c>
      <c r="G855" s="2113" t="s">
        <v>181</v>
      </c>
      <c r="H855" s="2037" t="s">
        <v>136</v>
      </c>
      <c r="I855" s="2035" t="s">
        <v>1332</v>
      </c>
      <c r="J855" s="2035" t="s">
        <v>1311</v>
      </c>
      <c r="K855" s="2037" t="s">
        <v>1790</v>
      </c>
      <c r="L855" s="2035" t="s">
        <v>430</v>
      </c>
      <c r="M855" s="2035" t="s">
        <v>2677</v>
      </c>
      <c r="N855" s="2113" t="s">
        <v>4156</v>
      </c>
      <c r="O855" s="2035" t="s">
        <v>4099</v>
      </c>
      <c r="P855" s="2035" t="s">
        <v>291</v>
      </c>
      <c r="Q855" s="2035" t="s">
        <v>294</v>
      </c>
      <c r="R855" s="2035">
        <v>350000.01</v>
      </c>
      <c r="S855" s="2109">
        <v>500000</v>
      </c>
      <c r="T855" s="2035">
        <v>0</v>
      </c>
      <c r="U855" s="2035">
        <f t="shared" si="331"/>
        <v>500000</v>
      </c>
      <c r="V855" s="2035">
        <v>0</v>
      </c>
      <c r="W855" s="2035">
        <v>50</v>
      </c>
      <c r="X855" s="2109">
        <v>1</v>
      </c>
      <c r="Y855" s="2035">
        <v>999</v>
      </c>
      <c r="Z855" s="2038">
        <v>700</v>
      </c>
      <c r="AA855" s="2038">
        <v>719</v>
      </c>
      <c r="AB855" s="2038">
        <v>0</v>
      </c>
      <c r="AC855" s="2038">
        <v>999999</v>
      </c>
      <c r="AD855" s="2035">
        <v>0</v>
      </c>
      <c r="AE855" s="2109">
        <v>70</v>
      </c>
      <c r="AF855" s="170">
        <v>0</v>
      </c>
      <c r="AG855" s="171">
        <v>1</v>
      </c>
      <c r="AH855" s="171">
        <v>1</v>
      </c>
      <c r="AI855" s="171">
        <v>0</v>
      </c>
      <c r="AJ855" s="171">
        <v>0</v>
      </c>
      <c r="AK855" s="171">
        <v>1</v>
      </c>
      <c r="AL855" s="171">
        <v>1</v>
      </c>
      <c r="AM855" s="171">
        <v>1</v>
      </c>
      <c r="AN855" s="171">
        <v>1</v>
      </c>
      <c r="AO855" s="171">
        <v>1</v>
      </c>
      <c r="AP855" s="171">
        <v>1</v>
      </c>
      <c r="AQ855" s="171">
        <v>1</v>
      </c>
      <c r="AR855" s="171">
        <v>1</v>
      </c>
      <c r="AS855" s="171">
        <v>1</v>
      </c>
      <c r="AT855" s="171">
        <v>1</v>
      </c>
      <c r="AU855" s="171">
        <f t="shared" si="324"/>
        <v>0</v>
      </c>
      <c r="AV855" s="171">
        <f t="shared" si="325"/>
        <v>1</v>
      </c>
      <c r="AW855" s="171">
        <f t="shared" si="326"/>
        <v>1</v>
      </c>
      <c r="AX855" s="171">
        <f t="shared" si="335"/>
        <v>0</v>
      </c>
      <c r="AY855" s="171">
        <f t="shared" si="327"/>
        <v>0</v>
      </c>
      <c r="AZ855" s="171">
        <f t="shared" si="328"/>
        <v>1</v>
      </c>
      <c r="BA855" s="172">
        <f t="shared" si="329"/>
        <v>1</v>
      </c>
      <c r="BB855" s="175">
        <f t="shared" si="348"/>
        <v>16</v>
      </c>
      <c r="BC855" s="176">
        <f t="shared" si="349"/>
        <v>15</v>
      </c>
      <c r="BD855" s="176">
        <f t="shared" si="350"/>
        <v>16</v>
      </c>
      <c r="BE855" s="240" t="str">
        <f t="shared" si="343"/>
        <v/>
      </c>
      <c r="BF855" s="234"/>
      <c r="BG855" s="234"/>
      <c r="BH855" s="199">
        <f>IF(AND(Input_Product=Elig!$C855,Elig_MatchAll_Ct&lt;22,$BC855=(Elig_MatchAll_Ct-1),AF855=0),C855,0)</f>
        <v>0</v>
      </c>
      <c r="BI855" s="199">
        <f>IF(AND(Input_Product=Elig!$C855,Elig_MatchAll_Ct&lt;22,$BC855=(Elig_MatchAll_Ct-1),AG855=0),D855,0)</f>
        <v>0</v>
      </c>
      <c r="BJ855" s="199">
        <f>IF(AND(Input_Product=Elig!$C855,Elig_MatchAll_Ct&lt;22,$BC855=(Elig_MatchAll_Ct-1),AH855=0),E855,0)</f>
        <v>0</v>
      </c>
      <c r="BK855" s="199">
        <f>IF(AND(Input_Product=Elig!$C855,Elig_MatchAll_Ct&lt;22,$BC855=(Elig_MatchAll_Ct-1),AI855=0),F855,0)</f>
        <v>0</v>
      </c>
      <c r="BL855" s="199">
        <f>IF(AND(Input_Product=Elig!$C855,Elig_MatchAll_Ct&lt;22,$BC855=(Elig_MatchAll_Ct-1),AJ855=0),G855,0)</f>
        <v>0</v>
      </c>
      <c r="BM855" s="199">
        <f>IF(AND(Input_Product=Elig!$C855,Elig_MatchAll_Ct&lt;22,$BC855=(Elig_MatchAll_Ct-1),AK855=0),H855,0)</f>
        <v>0</v>
      </c>
      <c r="BN855" s="199">
        <f>IF(AND(Input_Product=Elig!$C855,Elig_MatchAll_Ct&lt;22,$BC855=(Elig_MatchAll_Ct-1),AL855=0),I855,0)</f>
        <v>0</v>
      </c>
      <c r="BO855" s="199">
        <f>IF(AND(Input_Product=Elig!$C855,Elig_MatchAll_Ct&lt;22,$BC855=(Elig_MatchAll_Ct-1),AM855=0),J855,0)</f>
        <v>0</v>
      </c>
      <c r="BP855" s="199">
        <f>IF(AND(Input_Product=Elig!$C855,Elig_MatchAll_Ct&lt;22,$BC855=(Elig_MatchAll_Ct-1),AN855=0),K855,0)</f>
        <v>0</v>
      </c>
      <c r="BQ855" s="199">
        <f>IF(AND(Input_Product=Elig!$C855,Elig_MatchAll_Ct&lt;22,$BC855=(Elig_MatchAll_Ct-1),AP855=0),L855,0)</f>
        <v>0</v>
      </c>
      <c r="BR855" s="199">
        <f>IF(AND(Input_Product=Elig!$C855,Elig_MatchAll_Ct&lt;22,$BC855=(Elig_MatchAll_Ct-1),AO855=0),M855,0)</f>
        <v>0</v>
      </c>
      <c r="BS855" s="199">
        <f>IF(AND(Input_Product=Elig!$C855,Elig_MatchAll_Ct&lt;22,$BC855=(Elig_MatchAll_Ct-1),AQ855=0),N855,0)</f>
        <v>0</v>
      </c>
      <c r="BT855" s="199">
        <f>IF(AND(Input_Product=Elig!$C855,Elig_MatchAll_Ct&lt;22,$BC855=(Elig_MatchAll_Ct-1),AR855=0),O855,0)</f>
        <v>0</v>
      </c>
      <c r="BU855" s="199">
        <f>IF(AND(Input_Product=Elig!$C855,Elig_MatchAll_Ct&lt;22,$BC855=(Elig_MatchAll_Ct-1),AS855=0),P855,0)</f>
        <v>0</v>
      </c>
      <c r="BV855" s="200">
        <f>IF(AND(Input_Product=Elig!$C855,Elig_MatchAll_Ct&lt;22,$BC855=(Elig_MatchAll_Ct-1),AT855=0),Q855,0)</f>
        <v>0</v>
      </c>
      <c r="BW855" s="201">
        <f>IF(AND(Input_Product=Elig!$C855,Elig_MatchAll_Ct&lt;22,$BC855=(Elig_MatchAll_Ct-1),AU855=0),R855,0)</f>
        <v>0</v>
      </c>
      <c r="BX855" s="202">
        <f>IF(AND(Input_Product=Elig!$C855,Elig_MatchAll_Ct&lt;22,$BC855=(Elig_MatchAll_Ct-1),AU855=0),S855,0)</f>
        <v>0</v>
      </c>
      <c r="BY855" s="201">
        <f>IF(AND(Input_Product=Elig!$C855,Elig_MatchAll_Ct&lt;22,$BC855=(Elig_MatchAll_Ct-1),AV855=0),T855,0)</f>
        <v>0</v>
      </c>
      <c r="BZ855" s="202">
        <f>IF(AND(Input_Product=Elig!$C855,Elig_MatchAll_Ct&lt;22,$BC855=(Elig_MatchAll_Ct-1),AV855=0),U855,0)</f>
        <v>0</v>
      </c>
      <c r="CA855" s="201">
        <f>IF(AND(Input_Product=Elig!$C855,Elig_MatchAll_Ct&lt;22,$BC855=(Elig_MatchAll_Ct-1),AW855=0),V855,0)</f>
        <v>0</v>
      </c>
      <c r="CB855" s="202">
        <f>IF(AND(Input_Product=Elig!$C855,Elig_MatchAll_Ct&lt;22,$BC855=(Elig_MatchAll_Ct-1),AW855=0),W855,0)</f>
        <v>0</v>
      </c>
      <c r="CC855" s="201">
        <f>IF(AND(Input_Product=Elig!$C855,Elig_MatchAll_Ct&lt;22,$BC855=(Elig_MatchAll_Ct-1),AX855=0),X855,0)</f>
        <v>0</v>
      </c>
      <c r="CD855" s="202">
        <f>IF(AND(Input_Product=Elig!$C855,Elig_MatchAll_Ct&lt;22,$BC855=(Elig_MatchAll_Ct-1),AX855=0),Y855,0)</f>
        <v>0</v>
      </c>
      <c r="CE855" s="201">
        <f>IF(AND(Input_LTV&lt;=AE855,Input_Product=Elig!$C855,Elig_MatchAll_Ct&lt;22,$BC855=(Elig_MatchAll_Ct-1),AY855=0),Z855,0)</f>
        <v>0</v>
      </c>
      <c r="CF855" s="202">
        <f>IF(AND(Input_LTV&lt;=AE855,Input_Product=Elig!$C855,Elig_MatchAll_Ct&lt;22,$BC855=(Elig_MatchAll_Ct-1),AY855=0),AA855,0)</f>
        <v>0</v>
      </c>
      <c r="CG855" s="201">
        <f>IF(AND(Input_Product=Elig!$C855,Elig_MatchAll_Ct&lt;22,$BC855=(Elig_MatchAll_Ct-1),AZ855=0),AB855,0)</f>
        <v>0</v>
      </c>
      <c r="CH855" s="202">
        <f>IF(AND(Input_Product=Elig!$C855,Elig_MatchAll_Ct&lt;22,$BC855=(Elig_MatchAll_Ct-1),AZ855=0),AC855,0)</f>
        <v>0</v>
      </c>
      <c r="CI855" s="201">
        <f>IF(AND(Input_Product=Elig!$C855,Elig_MatchAll_Ct&lt;22,$BC855=(Elig_MatchAll_Ct-1),BA855=0),AD855,0)</f>
        <v>0</v>
      </c>
      <c r="CJ855" s="202">
        <f>IF(AND(Input_Product=Elig!$C855,Elig_MatchAll_Ct&lt;22,$BC855=(Elig_MatchAll_Ct-1),BA855=0),AE855,0)</f>
        <v>0</v>
      </c>
    </row>
    <row r="856" spans="2:88" ht="10.15" customHeight="1" x14ac:dyDescent="0.25">
      <c r="B856" s="2035" t="s">
        <v>4039</v>
      </c>
      <c r="C856" s="2036" t="str">
        <f t="shared" si="330"/>
        <v>Second NOO</v>
      </c>
      <c r="D856" s="2035" t="s">
        <v>1569</v>
      </c>
      <c r="E856" s="2035" t="s">
        <v>98</v>
      </c>
      <c r="F856" s="2035" t="s">
        <v>330</v>
      </c>
      <c r="G856" s="2113" t="s">
        <v>181</v>
      </c>
      <c r="H856" s="2037" t="s">
        <v>136</v>
      </c>
      <c r="I856" s="2035" t="s">
        <v>1332</v>
      </c>
      <c r="J856" s="2035" t="s">
        <v>1311</v>
      </c>
      <c r="K856" s="2037" t="s">
        <v>1790</v>
      </c>
      <c r="L856" s="2035" t="s">
        <v>430</v>
      </c>
      <c r="M856" s="2035" t="s">
        <v>2677</v>
      </c>
      <c r="N856" s="2113" t="s">
        <v>4156</v>
      </c>
      <c r="O856" s="2035" t="s">
        <v>4099</v>
      </c>
      <c r="P856" s="2035" t="s">
        <v>291</v>
      </c>
      <c r="Q856" s="2035" t="s">
        <v>294</v>
      </c>
      <c r="R856" s="2035">
        <v>350000.01</v>
      </c>
      <c r="S856" s="2109">
        <v>500000</v>
      </c>
      <c r="T856" s="2035">
        <v>0</v>
      </c>
      <c r="U856" s="2035">
        <f t="shared" si="331"/>
        <v>500000</v>
      </c>
      <c r="V856" s="2035">
        <v>0</v>
      </c>
      <c r="W856" s="2035">
        <v>50</v>
      </c>
      <c r="X856" s="2109">
        <v>1</v>
      </c>
      <c r="Y856" s="2035">
        <v>999</v>
      </c>
      <c r="Z856" s="2038">
        <v>680</v>
      </c>
      <c r="AA856" s="2038">
        <v>699</v>
      </c>
      <c r="AB856" s="2038">
        <v>0</v>
      </c>
      <c r="AC856" s="2038">
        <v>999999</v>
      </c>
      <c r="AD856" s="2035">
        <v>0</v>
      </c>
      <c r="AE856" s="2109">
        <v>65</v>
      </c>
      <c r="AF856" s="170">
        <v>0</v>
      </c>
      <c r="AG856" s="171">
        <v>1</v>
      </c>
      <c r="AH856" s="171">
        <v>1</v>
      </c>
      <c r="AI856" s="171">
        <v>0</v>
      </c>
      <c r="AJ856" s="171">
        <v>0</v>
      </c>
      <c r="AK856" s="171">
        <v>1</v>
      </c>
      <c r="AL856" s="171">
        <v>1</v>
      </c>
      <c r="AM856" s="171">
        <v>1</v>
      </c>
      <c r="AN856" s="171">
        <v>1</v>
      </c>
      <c r="AO856" s="171">
        <v>1</v>
      </c>
      <c r="AP856" s="171">
        <v>1</v>
      </c>
      <c r="AQ856" s="171">
        <v>1</v>
      </c>
      <c r="AR856" s="171">
        <v>1</v>
      </c>
      <c r="AS856" s="171">
        <v>1</v>
      </c>
      <c r="AT856" s="171">
        <v>1</v>
      </c>
      <c r="AU856" s="171">
        <f t="shared" si="324"/>
        <v>0</v>
      </c>
      <c r="AV856" s="171">
        <f t="shared" si="325"/>
        <v>1</v>
      </c>
      <c r="AW856" s="171">
        <f t="shared" si="326"/>
        <v>1</v>
      </c>
      <c r="AX856" s="171">
        <f t="shared" si="335"/>
        <v>0</v>
      </c>
      <c r="AY856" s="171">
        <f t="shared" si="327"/>
        <v>0</v>
      </c>
      <c r="AZ856" s="171">
        <f t="shared" si="328"/>
        <v>1</v>
      </c>
      <c r="BA856" s="172">
        <f t="shared" si="329"/>
        <v>1</v>
      </c>
      <c r="BB856" s="175">
        <f t="shared" si="348"/>
        <v>16</v>
      </c>
      <c r="BC856" s="176">
        <f t="shared" si="349"/>
        <v>15</v>
      </c>
      <c r="BD856" s="176">
        <f t="shared" si="350"/>
        <v>16</v>
      </c>
      <c r="BE856" s="240" t="str">
        <f t="shared" si="343"/>
        <v/>
      </c>
      <c r="BF856" s="234"/>
      <c r="BG856" s="234"/>
      <c r="BH856" s="199">
        <f>IF(AND(Input_Product=Elig!$C856,Elig_MatchAll_Ct&lt;22,$BC856=(Elig_MatchAll_Ct-1),AF856=0),C856,0)</f>
        <v>0</v>
      </c>
      <c r="BI856" s="199">
        <f>IF(AND(Input_Product=Elig!$C856,Elig_MatchAll_Ct&lt;22,$BC856=(Elig_MatchAll_Ct-1),AG856=0),D856,0)</f>
        <v>0</v>
      </c>
      <c r="BJ856" s="199">
        <f>IF(AND(Input_Product=Elig!$C856,Elig_MatchAll_Ct&lt;22,$BC856=(Elig_MatchAll_Ct-1),AH856=0),E856,0)</f>
        <v>0</v>
      </c>
      <c r="BK856" s="199">
        <f>IF(AND(Input_Product=Elig!$C856,Elig_MatchAll_Ct&lt;22,$BC856=(Elig_MatchAll_Ct-1),AI856=0),F856,0)</f>
        <v>0</v>
      </c>
      <c r="BL856" s="199">
        <f>IF(AND(Input_Product=Elig!$C856,Elig_MatchAll_Ct&lt;22,$BC856=(Elig_MatchAll_Ct-1),AJ856=0),G856,0)</f>
        <v>0</v>
      </c>
      <c r="BM856" s="199">
        <f>IF(AND(Input_Product=Elig!$C856,Elig_MatchAll_Ct&lt;22,$BC856=(Elig_MatchAll_Ct-1),AK856=0),H856,0)</f>
        <v>0</v>
      </c>
      <c r="BN856" s="199">
        <f>IF(AND(Input_Product=Elig!$C856,Elig_MatchAll_Ct&lt;22,$BC856=(Elig_MatchAll_Ct-1),AL856=0),I856,0)</f>
        <v>0</v>
      </c>
      <c r="BO856" s="199">
        <f>IF(AND(Input_Product=Elig!$C856,Elig_MatchAll_Ct&lt;22,$BC856=(Elig_MatchAll_Ct-1),AM856=0),J856,0)</f>
        <v>0</v>
      </c>
      <c r="BP856" s="199">
        <f>IF(AND(Input_Product=Elig!$C856,Elig_MatchAll_Ct&lt;22,$BC856=(Elig_MatchAll_Ct-1),AN856=0),K856,0)</f>
        <v>0</v>
      </c>
      <c r="BQ856" s="199">
        <f>IF(AND(Input_Product=Elig!$C856,Elig_MatchAll_Ct&lt;22,$BC856=(Elig_MatchAll_Ct-1),AP856=0),L856,0)</f>
        <v>0</v>
      </c>
      <c r="BR856" s="199">
        <f>IF(AND(Input_Product=Elig!$C856,Elig_MatchAll_Ct&lt;22,$BC856=(Elig_MatchAll_Ct-1),AO856=0),M856,0)</f>
        <v>0</v>
      </c>
      <c r="BS856" s="199">
        <f>IF(AND(Input_Product=Elig!$C856,Elig_MatchAll_Ct&lt;22,$BC856=(Elig_MatchAll_Ct-1),AQ856=0),N856,0)</f>
        <v>0</v>
      </c>
      <c r="BT856" s="199">
        <f>IF(AND(Input_Product=Elig!$C856,Elig_MatchAll_Ct&lt;22,$BC856=(Elig_MatchAll_Ct-1),AR856=0),O856,0)</f>
        <v>0</v>
      </c>
      <c r="BU856" s="199">
        <f>IF(AND(Input_Product=Elig!$C856,Elig_MatchAll_Ct&lt;22,$BC856=(Elig_MatchAll_Ct-1),AS856=0),P856,0)</f>
        <v>0</v>
      </c>
      <c r="BV856" s="200">
        <f>IF(AND(Input_Product=Elig!$C856,Elig_MatchAll_Ct&lt;22,$BC856=(Elig_MatchAll_Ct-1),AT856=0),Q856,0)</f>
        <v>0</v>
      </c>
      <c r="BW856" s="201">
        <f>IF(AND(Input_Product=Elig!$C856,Elig_MatchAll_Ct&lt;22,$BC856=(Elig_MatchAll_Ct-1),AU856=0),R856,0)</f>
        <v>0</v>
      </c>
      <c r="BX856" s="202">
        <f>IF(AND(Input_Product=Elig!$C856,Elig_MatchAll_Ct&lt;22,$BC856=(Elig_MatchAll_Ct-1),AU856=0),S856,0)</f>
        <v>0</v>
      </c>
      <c r="BY856" s="201">
        <f>IF(AND(Input_Product=Elig!$C856,Elig_MatchAll_Ct&lt;22,$BC856=(Elig_MatchAll_Ct-1),AV856=0),T856,0)</f>
        <v>0</v>
      </c>
      <c r="BZ856" s="202">
        <f>IF(AND(Input_Product=Elig!$C856,Elig_MatchAll_Ct&lt;22,$BC856=(Elig_MatchAll_Ct-1),AV856=0),U856,0)</f>
        <v>0</v>
      </c>
      <c r="CA856" s="201">
        <f>IF(AND(Input_Product=Elig!$C856,Elig_MatchAll_Ct&lt;22,$BC856=(Elig_MatchAll_Ct-1),AW856=0),V856,0)</f>
        <v>0</v>
      </c>
      <c r="CB856" s="202">
        <f>IF(AND(Input_Product=Elig!$C856,Elig_MatchAll_Ct&lt;22,$BC856=(Elig_MatchAll_Ct-1),AW856=0),W856,0)</f>
        <v>0</v>
      </c>
      <c r="CC856" s="201">
        <f>IF(AND(Input_Product=Elig!$C856,Elig_MatchAll_Ct&lt;22,$BC856=(Elig_MatchAll_Ct-1),AX856=0),X856,0)</f>
        <v>0</v>
      </c>
      <c r="CD856" s="202">
        <f>IF(AND(Input_Product=Elig!$C856,Elig_MatchAll_Ct&lt;22,$BC856=(Elig_MatchAll_Ct-1),AX856=0),Y856,0)</f>
        <v>0</v>
      </c>
      <c r="CE856" s="201">
        <f>IF(AND(Input_LTV&lt;=AE856,Input_Product=Elig!$C856,Elig_MatchAll_Ct&lt;22,$BC856=(Elig_MatchAll_Ct-1),AY856=0),Z856,0)</f>
        <v>0</v>
      </c>
      <c r="CF856" s="202">
        <f>IF(AND(Input_LTV&lt;=AE856,Input_Product=Elig!$C856,Elig_MatchAll_Ct&lt;22,$BC856=(Elig_MatchAll_Ct-1),AY856=0),AA856,0)</f>
        <v>0</v>
      </c>
      <c r="CG856" s="201">
        <f>IF(AND(Input_Product=Elig!$C856,Elig_MatchAll_Ct&lt;22,$BC856=(Elig_MatchAll_Ct-1),AZ856=0),AB856,0)</f>
        <v>0</v>
      </c>
      <c r="CH856" s="202">
        <f>IF(AND(Input_Product=Elig!$C856,Elig_MatchAll_Ct&lt;22,$BC856=(Elig_MatchAll_Ct-1),AZ856=0),AC856,0)</f>
        <v>0</v>
      </c>
      <c r="CI856" s="201">
        <f>IF(AND(Input_Product=Elig!$C856,Elig_MatchAll_Ct&lt;22,$BC856=(Elig_MatchAll_Ct-1),BA856=0),AD856,0)</f>
        <v>0</v>
      </c>
      <c r="CJ856" s="202">
        <f>IF(AND(Input_Product=Elig!$C856,Elig_MatchAll_Ct&lt;22,$BC856=(Elig_MatchAll_Ct-1),BA856=0),AE856,0)</f>
        <v>0</v>
      </c>
    </row>
    <row r="857" spans="2:88" ht="10.15" customHeight="1" x14ac:dyDescent="0.25">
      <c r="B857" s="2035" t="s">
        <v>4040</v>
      </c>
      <c r="C857" s="2036" t="str">
        <f t="shared" si="330"/>
        <v>Second NOO</v>
      </c>
      <c r="D857" s="2035" t="s">
        <v>1569</v>
      </c>
      <c r="E857" s="2035" t="s">
        <v>98</v>
      </c>
      <c r="F857" s="2035" t="s">
        <v>330</v>
      </c>
      <c r="G857" s="2113" t="s">
        <v>181</v>
      </c>
      <c r="H857" s="2037" t="s">
        <v>136</v>
      </c>
      <c r="I857" s="2035" t="s">
        <v>1332</v>
      </c>
      <c r="J857" s="2035" t="s">
        <v>1311</v>
      </c>
      <c r="K857" s="2037" t="s">
        <v>1790</v>
      </c>
      <c r="L857" s="2035" t="s">
        <v>430</v>
      </c>
      <c r="M857" s="2035" t="s">
        <v>2677</v>
      </c>
      <c r="N857" s="2113" t="s">
        <v>4156</v>
      </c>
      <c r="O857" s="2035" t="s">
        <v>4099</v>
      </c>
      <c r="P857" s="2035" t="s">
        <v>291</v>
      </c>
      <c r="Q857" s="2035" t="s">
        <v>294</v>
      </c>
      <c r="R857" s="2035">
        <v>350000.01</v>
      </c>
      <c r="S857" s="2109">
        <v>500000</v>
      </c>
      <c r="T857" s="2035">
        <v>0</v>
      </c>
      <c r="U857" s="2035">
        <f t="shared" si="331"/>
        <v>500000</v>
      </c>
      <c r="V857" s="2035">
        <v>0</v>
      </c>
      <c r="W857" s="2035">
        <v>50</v>
      </c>
      <c r="X857" s="2109">
        <v>1</v>
      </c>
      <c r="Y857" s="2035">
        <v>999</v>
      </c>
      <c r="Z857" s="2038">
        <v>660</v>
      </c>
      <c r="AA857" s="2038">
        <v>679</v>
      </c>
      <c r="AB857" s="2038">
        <v>0</v>
      </c>
      <c r="AC857" s="2038">
        <v>999999</v>
      </c>
      <c r="AD857" s="2035">
        <v>0</v>
      </c>
      <c r="AE857" s="2035">
        <v>-999</v>
      </c>
      <c r="AF857" s="170">
        <v>0</v>
      </c>
      <c r="AG857" s="171">
        <v>1</v>
      </c>
      <c r="AH857" s="171">
        <v>1</v>
      </c>
      <c r="AI857" s="171">
        <v>0</v>
      </c>
      <c r="AJ857" s="171">
        <v>0</v>
      </c>
      <c r="AK857" s="171">
        <v>1</v>
      </c>
      <c r="AL857" s="171">
        <v>1</v>
      </c>
      <c r="AM857" s="171">
        <v>1</v>
      </c>
      <c r="AN857" s="171">
        <v>1</v>
      </c>
      <c r="AO857" s="171">
        <v>1</v>
      </c>
      <c r="AP857" s="171">
        <v>1</v>
      </c>
      <c r="AQ857" s="171">
        <v>1</v>
      </c>
      <c r="AR857" s="171">
        <v>1</v>
      </c>
      <c r="AS857" s="171">
        <v>1</v>
      </c>
      <c r="AT857" s="171">
        <v>1</v>
      </c>
      <c r="AU857" s="171">
        <f t="shared" si="324"/>
        <v>0</v>
      </c>
      <c r="AV857" s="171">
        <f t="shared" si="325"/>
        <v>1</v>
      </c>
      <c r="AW857" s="171">
        <f t="shared" si="326"/>
        <v>1</v>
      </c>
      <c r="AX857" s="171">
        <f t="shared" si="335"/>
        <v>0</v>
      </c>
      <c r="AY857" s="171">
        <f t="shared" si="327"/>
        <v>0</v>
      </c>
      <c r="AZ857" s="171">
        <f t="shared" si="328"/>
        <v>1</v>
      </c>
      <c r="BA857" s="172">
        <f t="shared" si="329"/>
        <v>0</v>
      </c>
      <c r="BB857" s="175">
        <f t="shared" si="348"/>
        <v>15</v>
      </c>
      <c r="BC857" s="176">
        <f t="shared" si="349"/>
        <v>15</v>
      </c>
      <c r="BD857" s="176">
        <f t="shared" si="350"/>
        <v>15</v>
      </c>
      <c r="BE857" s="240" t="str">
        <f t="shared" si="343"/>
        <v/>
      </c>
      <c r="BF857" s="234"/>
      <c r="BG857" s="234"/>
      <c r="BH857" s="214">
        <f>IF(AND(Input_Product=Elig!$C857,Elig_MatchAll_Ct&lt;22,$BC857=(Elig_MatchAll_Ct-1),AF857=0),C857,0)</f>
        <v>0</v>
      </c>
      <c r="BI857" s="214">
        <f>IF(AND(Input_Product=Elig!$C857,Elig_MatchAll_Ct&lt;22,$BC857=(Elig_MatchAll_Ct-1),AG857=0),D857,0)</f>
        <v>0</v>
      </c>
      <c r="BJ857" s="214">
        <f>IF(AND(Input_Product=Elig!$C857,Elig_MatchAll_Ct&lt;22,$BC857=(Elig_MatchAll_Ct-1),AH857=0),E857,0)</f>
        <v>0</v>
      </c>
      <c r="BK857" s="214">
        <f>IF(AND(Input_Product=Elig!$C857,Elig_MatchAll_Ct&lt;22,$BC857=(Elig_MatchAll_Ct-1),AI857=0),F857,0)</f>
        <v>0</v>
      </c>
      <c r="BL857" s="214">
        <f>IF(AND(Input_Product=Elig!$C857,Elig_MatchAll_Ct&lt;22,$BC857=(Elig_MatchAll_Ct-1),AJ857=0),G857,0)</f>
        <v>0</v>
      </c>
      <c r="BM857" s="214">
        <f>IF(AND(Input_Product=Elig!$C857,Elig_MatchAll_Ct&lt;22,$BC857=(Elig_MatchAll_Ct-1),AK857=0),H857,0)</f>
        <v>0</v>
      </c>
      <c r="BN857" s="214">
        <f>IF(AND(Input_Product=Elig!$C857,Elig_MatchAll_Ct&lt;22,$BC857=(Elig_MatchAll_Ct-1),AL857=0),I857,0)</f>
        <v>0</v>
      </c>
      <c r="BO857" s="214">
        <f>IF(AND(Input_Product=Elig!$C857,Elig_MatchAll_Ct&lt;22,$BC857=(Elig_MatchAll_Ct-1),AM857=0),J857,0)</f>
        <v>0</v>
      </c>
      <c r="BP857" s="214">
        <f>IF(AND(Input_Product=Elig!$C857,Elig_MatchAll_Ct&lt;22,$BC857=(Elig_MatchAll_Ct-1),AN857=0),K857,0)</f>
        <v>0</v>
      </c>
      <c r="BQ857" s="214">
        <f>IF(AND(Input_Product=Elig!$C857,Elig_MatchAll_Ct&lt;22,$BC857=(Elig_MatchAll_Ct-1),AP857=0),L857,0)</f>
        <v>0</v>
      </c>
      <c r="BR857" s="214">
        <f>IF(AND(Input_Product=Elig!$C857,Elig_MatchAll_Ct&lt;22,$BC857=(Elig_MatchAll_Ct-1),AO857=0),M857,0)</f>
        <v>0</v>
      </c>
      <c r="BS857" s="214">
        <f>IF(AND(Input_Product=Elig!$C857,Elig_MatchAll_Ct&lt;22,$BC857=(Elig_MatchAll_Ct-1),AQ857=0),N857,0)</f>
        <v>0</v>
      </c>
      <c r="BT857" s="214">
        <f>IF(AND(Input_Product=Elig!$C857,Elig_MatchAll_Ct&lt;22,$BC857=(Elig_MatchAll_Ct-1),AR857=0),O857,0)</f>
        <v>0</v>
      </c>
      <c r="BU857" s="214">
        <f>IF(AND(Input_Product=Elig!$C857,Elig_MatchAll_Ct&lt;22,$BC857=(Elig_MatchAll_Ct-1),AS857=0),P857,0)</f>
        <v>0</v>
      </c>
      <c r="BV857" s="215">
        <f>IF(AND(Input_Product=Elig!$C857,Elig_MatchAll_Ct&lt;22,$BC857=(Elig_MatchAll_Ct-1),AT857=0),Q857,0)</f>
        <v>0</v>
      </c>
      <c r="BW857" s="311">
        <f>IF(AND(Input_Product=Elig!$C857,Elig_MatchAll_Ct&lt;22,$BC857=(Elig_MatchAll_Ct-1),AU857=0),R857,0)</f>
        <v>0</v>
      </c>
      <c r="BX857" s="312">
        <f>IF(AND(Input_Product=Elig!$C857,Elig_MatchAll_Ct&lt;22,$BC857=(Elig_MatchAll_Ct-1),AU857=0),S857,0)</f>
        <v>0</v>
      </c>
      <c r="BY857" s="311">
        <f>IF(AND(Input_Product=Elig!$C857,Elig_MatchAll_Ct&lt;22,$BC857=(Elig_MatchAll_Ct-1),AV857=0),T857,0)</f>
        <v>0</v>
      </c>
      <c r="BZ857" s="312">
        <f>IF(AND(Input_Product=Elig!$C857,Elig_MatchAll_Ct&lt;22,$BC857=(Elig_MatchAll_Ct-1),AV857=0),U857,0)</f>
        <v>0</v>
      </c>
      <c r="CA857" s="311">
        <f>IF(AND(Input_Product=Elig!$C857,Elig_MatchAll_Ct&lt;22,$BC857=(Elig_MatchAll_Ct-1),AW857=0),V857,0)</f>
        <v>0</v>
      </c>
      <c r="CB857" s="312">
        <f>IF(AND(Input_Product=Elig!$C857,Elig_MatchAll_Ct&lt;22,$BC857=(Elig_MatchAll_Ct-1),AW857=0),W857,0)</f>
        <v>0</v>
      </c>
      <c r="CC857" s="311">
        <f>IF(AND(Input_Product=Elig!$C857,Elig_MatchAll_Ct&lt;22,$BC857=(Elig_MatchAll_Ct-1),AX857=0),X857,0)</f>
        <v>0</v>
      </c>
      <c r="CD857" s="312">
        <f>IF(AND(Input_Product=Elig!$C857,Elig_MatchAll_Ct&lt;22,$BC857=(Elig_MatchAll_Ct-1),AX857=0),Y857,0)</f>
        <v>0</v>
      </c>
      <c r="CE857" s="311">
        <f>IF(AND(Input_LTV&lt;=AE857,Input_Product=Elig!$C857,Elig_MatchAll_Ct&lt;22,$BC857=(Elig_MatchAll_Ct-1),AY857=0),Z857,0)</f>
        <v>0</v>
      </c>
      <c r="CF857" s="312">
        <f>IF(AND(Input_LTV&lt;=AE857,Input_Product=Elig!$C857,Elig_MatchAll_Ct&lt;22,$BC857=(Elig_MatchAll_Ct-1),AY857=0),AA857,0)</f>
        <v>0</v>
      </c>
      <c r="CG857" s="311">
        <f>IF(AND(Input_Product=Elig!$C857,Elig_MatchAll_Ct&lt;22,$BC857=(Elig_MatchAll_Ct-1),AZ857=0),AB857,0)</f>
        <v>0</v>
      </c>
      <c r="CH857" s="312">
        <f>IF(AND(Input_Product=Elig!$C857,Elig_MatchAll_Ct&lt;22,$BC857=(Elig_MatchAll_Ct-1),AZ857=0),AC857,0)</f>
        <v>0</v>
      </c>
      <c r="CI857" s="311">
        <f>IF(AND(Input_Product=Elig!$C857,Elig_MatchAll_Ct&lt;22,$BC857=(Elig_MatchAll_Ct-1),BA857=0),AD857,0)</f>
        <v>0</v>
      </c>
      <c r="CJ857" s="312">
        <f>IF(AND(Input_Product=Elig!$C857,Elig_MatchAll_Ct&lt;22,$BC857=(Elig_MatchAll_Ct-1),BA857=0),AE857,0)</f>
        <v>0</v>
      </c>
    </row>
    <row r="858" spans="2:88" ht="10.15" customHeight="1" x14ac:dyDescent="0.25">
      <c r="B858" s="2035" t="s">
        <v>4041</v>
      </c>
      <c r="C858" s="2040" t="str">
        <f t="shared" ref="C858:C881" si="351">Input_Name_Product5</f>
        <v>Second NOO</v>
      </c>
      <c r="D858" s="2041" t="s">
        <v>1569</v>
      </c>
      <c r="E858" s="2041" t="s">
        <v>98</v>
      </c>
      <c r="F858" s="2041" t="s">
        <v>330</v>
      </c>
      <c r="G858" s="2041" t="s">
        <v>303</v>
      </c>
      <c r="H858" s="2041" t="s">
        <v>136</v>
      </c>
      <c r="I858" s="2039" t="s">
        <v>1332</v>
      </c>
      <c r="J858" s="2039" t="s">
        <v>1311</v>
      </c>
      <c r="K858" s="2041" t="s">
        <v>1790</v>
      </c>
      <c r="L858" s="2039" t="s">
        <v>430</v>
      </c>
      <c r="M858" s="2039" t="s">
        <v>2677</v>
      </c>
      <c r="N858" s="2041" t="s">
        <v>82</v>
      </c>
      <c r="O858" s="2039" t="s">
        <v>310</v>
      </c>
      <c r="P858" s="2039" t="s">
        <v>291</v>
      </c>
      <c r="Q858" s="2039" t="s">
        <v>294</v>
      </c>
      <c r="R858" s="2108">
        <v>500000.01</v>
      </c>
      <c r="S858" s="2108">
        <v>750000</v>
      </c>
      <c r="T858" s="2039">
        <v>0</v>
      </c>
      <c r="U858" s="2039">
        <f t="shared" si="331"/>
        <v>750000</v>
      </c>
      <c r="V858" s="2039">
        <v>0</v>
      </c>
      <c r="W858" s="2039">
        <v>50</v>
      </c>
      <c r="X858" s="2039">
        <v>0</v>
      </c>
      <c r="Y858" s="2039">
        <v>999</v>
      </c>
      <c r="Z858" s="2042">
        <v>720</v>
      </c>
      <c r="AA858" s="2042">
        <v>999</v>
      </c>
      <c r="AB858" s="2042">
        <v>0</v>
      </c>
      <c r="AC858" s="2042">
        <v>999999</v>
      </c>
      <c r="AD858" s="2039">
        <v>0</v>
      </c>
      <c r="AE858" s="2039">
        <v>75</v>
      </c>
      <c r="AF858" s="170">
        <v>0</v>
      </c>
      <c r="AG858" s="171">
        <v>1</v>
      </c>
      <c r="AH858" s="171">
        <v>1</v>
      </c>
      <c r="AI858" s="171">
        <v>0</v>
      </c>
      <c r="AJ858" s="171">
        <v>1</v>
      </c>
      <c r="AK858" s="171">
        <v>1</v>
      </c>
      <c r="AL858" s="171">
        <v>1</v>
      </c>
      <c r="AM858" s="171">
        <v>1</v>
      </c>
      <c r="AN858" s="171">
        <v>1</v>
      </c>
      <c r="AO858" s="171">
        <v>1</v>
      </c>
      <c r="AP858" s="171">
        <v>1</v>
      </c>
      <c r="AQ858" s="171">
        <v>1</v>
      </c>
      <c r="AR858" s="171">
        <v>1</v>
      </c>
      <c r="AS858" s="171">
        <v>1</v>
      </c>
      <c r="AT858" s="171">
        <v>1</v>
      </c>
      <c r="AU858" s="171">
        <f t="shared" si="324"/>
        <v>0</v>
      </c>
      <c r="AV858" s="171">
        <f t="shared" si="325"/>
        <v>1</v>
      </c>
      <c r="AW858" s="171">
        <f t="shared" si="326"/>
        <v>1</v>
      </c>
      <c r="AX858" s="171">
        <f t="shared" si="335"/>
        <v>1</v>
      </c>
      <c r="AY858" s="171">
        <f t="shared" si="327"/>
        <v>1</v>
      </c>
      <c r="AZ858" s="171">
        <f t="shared" si="328"/>
        <v>1</v>
      </c>
      <c r="BA858" s="172">
        <f t="shared" si="329"/>
        <v>1</v>
      </c>
      <c r="BB858" s="175">
        <f t="shared" si="332"/>
        <v>19</v>
      </c>
      <c r="BC858" s="176">
        <f t="shared" si="333"/>
        <v>18</v>
      </c>
      <c r="BD858" s="176">
        <f t="shared" si="334"/>
        <v>19</v>
      </c>
      <c r="BE858" s="240" t="str">
        <f t="shared" si="343"/>
        <v/>
      </c>
      <c r="BF858" s="220"/>
      <c r="BG858" s="220"/>
      <c r="BH858" s="216">
        <f>IF(AND(Input_Product=Elig!$C858,Elig_MatchAll_Ct&lt;22,$BC858=(Elig_MatchAll_Ct-1),AF858=0),C858,0)</f>
        <v>0</v>
      </c>
      <c r="BI858" s="216">
        <f>IF(AND(Input_Product=Elig!$C858,Elig_MatchAll_Ct&lt;22,$BC858=(Elig_MatchAll_Ct-1),AG858=0),D858,0)</f>
        <v>0</v>
      </c>
      <c r="BJ858" s="216">
        <f>IF(AND(Input_Product=Elig!$C858,Elig_MatchAll_Ct&lt;22,$BC858=(Elig_MatchAll_Ct-1),AH858=0),E858,0)</f>
        <v>0</v>
      </c>
      <c r="BK858" s="216">
        <f>IF(AND(Input_Product=Elig!$C858,Elig_MatchAll_Ct&lt;22,$BC858=(Elig_MatchAll_Ct-1),AI858=0),F858,0)</f>
        <v>0</v>
      </c>
      <c r="BL858" s="216">
        <f>IF(AND(Input_Product=Elig!$C858,Elig_MatchAll_Ct&lt;22,$BC858=(Elig_MatchAll_Ct-1),AJ858=0),G858,0)</f>
        <v>0</v>
      </c>
      <c r="BM858" s="216">
        <f>IF(AND(Input_Product=Elig!$C858,Elig_MatchAll_Ct&lt;22,$BC858=(Elig_MatchAll_Ct-1),AK858=0),H858,0)</f>
        <v>0</v>
      </c>
      <c r="BN858" s="216">
        <f>IF(AND(Input_Product=Elig!$C858,Elig_MatchAll_Ct&lt;22,$BC858=(Elig_MatchAll_Ct-1),AL858=0),I858,0)</f>
        <v>0</v>
      </c>
      <c r="BO858" s="216">
        <f>IF(AND(Input_Product=Elig!$C858,Elig_MatchAll_Ct&lt;22,$BC858=(Elig_MatchAll_Ct-1),AM858=0),J858,0)</f>
        <v>0</v>
      </c>
      <c r="BP858" s="216">
        <f>IF(AND(Input_Product=Elig!$C858,Elig_MatchAll_Ct&lt;22,$BC858=(Elig_MatchAll_Ct-1),AN858=0),K858,0)</f>
        <v>0</v>
      </c>
      <c r="BQ858" s="216">
        <f>IF(AND(Input_Product=Elig!$C858,Elig_MatchAll_Ct&lt;22,$BC858=(Elig_MatchAll_Ct-1),AP858=0),L858,0)</f>
        <v>0</v>
      </c>
      <c r="BR858" s="216">
        <f>IF(AND(Input_Product=Elig!$C858,Elig_MatchAll_Ct&lt;22,$BC858=(Elig_MatchAll_Ct-1),AO858=0),M858,0)</f>
        <v>0</v>
      </c>
      <c r="BS858" s="216">
        <f>IF(AND(Input_Product=Elig!$C858,Elig_MatchAll_Ct&lt;22,$BC858=(Elig_MatchAll_Ct-1),AQ858=0),N858,0)</f>
        <v>0</v>
      </c>
      <c r="BT858" s="216">
        <f>IF(AND(Input_Product=Elig!$C858,Elig_MatchAll_Ct&lt;22,$BC858=(Elig_MatchAll_Ct-1),AR858=0),O858,0)</f>
        <v>0</v>
      </c>
      <c r="BU858" s="216">
        <f>IF(AND(Input_Product=Elig!$C858,Elig_MatchAll_Ct&lt;22,$BC858=(Elig_MatchAll_Ct-1),AS858=0),P858,0)</f>
        <v>0</v>
      </c>
      <c r="BV858" s="217">
        <f>IF(AND(Input_Product=Elig!$C858,Elig_MatchAll_Ct&lt;22,$BC858=(Elig_MatchAll_Ct-1),AT858=0),Q858,0)</f>
        <v>0</v>
      </c>
      <c r="BW858" s="313">
        <f>IF(AND(Input_Product=Elig!$C858,Elig_MatchAll_Ct&lt;22,$BC858=(Elig_MatchAll_Ct-1),AU858=0),R858,0)</f>
        <v>0</v>
      </c>
      <c r="BX858" s="314">
        <f>IF(AND(Input_Product=Elig!$C858,Elig_MatchAll_Ct&lt;22,$BC858=(Elig_MatchAll_Ct-1),AU858=0),S858,0)</f>
        <v>0</v>
      </c>
      <c r="BY858" s="313">
        <f>IF(AND(Input_Product=Elig!$C858,Elig_MatchAll_Ct&lt;22,$BC858=(Elig_MatchAll_Ct-1),AV858=0),T858,0)</f>
        <v>0</v>
      </c>
      <c r="BZ858" s="314">
        <f>IF(AND(Input_Product=Elig!$C858,Elig_MatchAll_Ct&lt;22,$BC858=(Elig_MatchAll_Ct-1),AV858=0),U858,0)</f>
        <v>0</v>
      </c>
      <c r="CA858" s="313">
        <f>IF(AND(Input_Product=Elig!$C858,Elig_MatchAll_Ct&lt;22,$BC858=(Elig_MatchAll_Ct-1),AW858=0),V858,0)</f>
        <v>0</v>
      </c>
      <c r="CB858" s="314">
        <f>IF(AND(Input_Product=Elig!$C858,Elig_MatchAll_Ct&lt;22,$BC858=(Elig_MatchAll_Ct-1),AW858=0),W858,0)</f>
        <v>0</v>
      </c>
      <c r="CC858" s="313">
        <f>IF(AND(Input_Product=Elig!$C858,Elig_MatchAll_Ct&lt;22,$BC858=(Elig_MatchAll_Ct-1),AX858=0),X858,0)</f>
        <v>0</v>
      </c>
      <c r="CD858" s="314">
        <f>IF(AND(Input_Product=Elig!$C858,Elig_MatchAll_Ct&lt;22,$BC858=(Elig_MatchAll_Ct-1),AX858=0),Y858,0)</f>
        <v>0</v>
      </c>
      <c r="CE858" s="313">
        <f>IF(AND(Input_LTV&lt;=AE858,Input_Product=Elig!$C858,Elig_MatchAll_Ct&lt;22,$BC858=(Elig_MatchAll_Ct-1),AY858=0),Z858,0)</f>
        <v>0</v>
      </c>
      <c r="CF858" s="314">
        <f>IF(AND(Input_LTV&lt;=AE858,Input_Product=Elig!$C858,Elig_MatchAll_Ct&lt;22,$BC858=(Elig_MatchAll_Ct-1),AY858=0),AA858,0)</f>
        <v>0</v>
      </c>
      <c r="CG858" s="313">
        <f>IF(AND(Input_Product=Elig!$C858,Elig_MatchAll_Ct&lt;22,$BC858=(Elig_MatchAll_Ct-1),AZ858=0),AB858,0)</f>
        <v>0</v>
      </c>
      <c r="CH858" s="314">
        <f>IF(AND(Input_Product=Elig!$C858,Elig_MatchAll_Ct&lt;22,$BC858=(Elig_MatchAll_Ct-1),AZ858=0),AC858,0)</f>
        <v>0</v>
      </c>
      <c r="CI858" s="313">
        <f>IF(AND(Input_Product=Elig!$C858,Elig_MatchAll_Ct&lt;22,$BC858=(Elig_MatchAll_Ct-1),BA858=0),AD858,0)</f>
        <v>0</v>
      </c>
      <c r="CJ858" s="314">
        <f>IF(AND(Input_Product=Elig!$C858,Elig_MatchAll_Ct&lt;22,$BC858=(Elig_MatchAll_Ct-1),BA858=0),AE858,0)</f>
        <v>0</v>
      </c>
    </row>
    <row r="859" spans="2:88" ht="10.15" customHeight="1" x14ac:dyDescent="0.25">
      <c r="B859" s="2035" t="s">
        <v>4042</v>
      </c>
      <c r="C859" s="2036" t="str">
        <f t="shared" si="351"/>
        <v>Second NOO</v>
      </c>
      <c r="D859" s="2035" t="s">
        <v>1569</v>
      </c>
      <c r="E859" s="2035" t="s">
        <v>98</v>
      </c>
      <c r="F859" s="2035" t="s">
        <v>330</v>
      </c>
      <c r="G859" s="2037" t="s">
        <v>303</v>
      </c>
      <c r="H859" s="2037" t="s">
        <v>136</v>
      </c>
      <c r="I859" s="2035" t="s">
        <v>1332</v>
      </c>
      <c r="J859" s="2035" t="s">
        <v>1311</v>
      </c>
      <c r="K859" s="2037" t="s">
        <v>1790</v>
      </c>
      <c r="L859" s="2035" t="s">
        <v>430</v>
      </c>
      <c r="M859" s="2035" t="s">
        <v>2677</v>
      </c>
      <c r="N859" s="2037" t="s">
        <v>82</v>
      </c>
      <c r="O859" s="2035" t="s">
        <v>310</v>
      </c>
      <c r="P859" s="2035" t="s">
        <v>291</v>
      </c>
      <c r="Q859" s="2035" t="s">
        <v>294</v>
      </c>
      <c r="R859" s="2109">
        <v>500000.01</v>
      </c>
      <c r="S859" s="2109">
        <v>750000</v>
      </c>
      <c r="T859" s="2035">
        <v>0</v>
      </c>
      <c r="U859" s="2035">
        <f t="shared" si="331"/>
        <v>750000</v>
      </c>
      <c r="V859" s="2035">
        <v>0</v>
      </c>
      <c r="W859" s="2035">
        <v>50</v>
      </c>
      <c r="X859" s="2035">
        <v>0</v>
      </c>
      <c r="Y859" s="2035">
        <v>999</v>
      </c>
      <c r="Z859" s="2038">
        <v>700</v>
      </c>
      <c r="AA859" s="2038">
        <v>719</v>
      </c>
      <c r="AB859" s="2038">
        <v>0</v>
      </c>
      <c r="AC859" s="2038">
        <v>999999</v>
      </c>
      <c r="AD859" s="2035">
        <v>0</v>
      </c>
      <c r="AE859" s="2035">
        <v>70</v>
      </c>
      <c r="AF859" s="170">
        <v>0</v>
      </c>
      <c r="AG859" s="171">
        <v>1</v>
      </c>
      <c r="AH859" s="171">
        <v>1</v>
      </c>
      <c r="AI859" s="171">
        <v>0</v>
      </c>
      <c r="AJ859" s="171">
        <v>1</v>
      </c>
      <c r="AK859" s="171">
        <v>1</v>
      </c>
      <c r="AL859" s="171">
        <v>1</v>
      </c>
      <c r="AM859" s="171">
        <v>1</v>
      </c>
      <c r="AN859" s="171">
        <v>1</v>
      </c>
      <c r="AO859" s="171">
        <v>1</v>
      </c>
      <c r="AP859" s="171">
        <v>1</v>
      </c>
      <c r="AQ859" s="171">
        <v>1</v>
      </c>
      <c r="AR859" s="171">
        <v>1</v>
      </c>
      <c r="AS859" s="171">
        <v>1</v>
      </c>
      <c r="AT859" s="171">
        <v>1</v>
      </c>
      <c r="AU859" s="171">
        <f t="shared" si="324"/>
        <v>0</v>
      </c>
      <c r="AV859" s="171">
        <f t="shared" si="325"/>
        <v>1</v>
      </c>
      <c r="AW859" s="171">
        <f t="shared" si="326"/>
        <v>1</v>
      </c>
      <c r="AX859" s="171">
        <f t="shared" si="335"/>
        <v>1</v>
      </c>
      <c r="AY859" s="171">
        <f t="shared" si="327"/>
        <v>0</v>
      </c>
      <c r="AZ859" s="171">
        <f t="shared" si="328"/>
        <v>1</v>
      </c>
      <c r="BA859" s="172">
        <f t="shared" si="329"/>
        <v>1</v>
      </c>
      <c r="BB859" s="175">
        <f t="shared" si="332"/>
        <v>18</v>
      </c>
      <c r="BC859" s="176">
        <f t="shared" si="333"/>
        <v>17</v>
      </c>
      <c r="BD859" s="176">
        <f t="shared" si="334"/>
        <v>18</v>
      </c>
      <c r="BE859" s="240" t="str">
        <f t="shared" si="343"/>
        <v/>
      </c>
      <c r="BF859" s="234"/>
      <c r="BG859" s="234"/>
      <c r="BH859" s="199">
        <f>IF(AND(Input_Product=Elig!$C859,Elig_MatchAll_Ct&lt;22,$BC859=(Elig_MatchAll_Ct-1),AF859=0),C859,0)</f>
        <v>0</v>
      </c>
      <c r="BI859" s="199">
        <f>IF(AND(Input_Product=Elig!$C859,Elig_MatchAll_Ct&lt;22,$BC859=(Elig_MatchAll_Ct-1),AG859=0),D859,0)</f>
        <v>0</v>
      </c>
      <c r="BJ859" s="199">
        <f>IF(AND(Input_Product=Elig!$C859,Elig_MatchAll_Ct&lt;22,$BC859=(Elig_MatchAll_Ct-1),AH859=0),E859,0)</f>
        <v>0</v>
      </c>
      <c r="BK859" s="199">
        <f>IF(AND(Input_Product=Elig!$C859,Elig_MatchAll_Ct&lt;22,$BC859=(Elig_MatchAll_Ct-1),AI859=0),F859,0)</f>
        <v>0</v>
      </c>
      <c r="BL859" s="199">
        <f>IF(AND(Input_Product=Elig!$C859,Elig_MatchAll_Ct&lt;22,$BC859=(Elig_MatchAll_Ct-1),AJ859=0),G859,0)</f>
        <v>0</v>
      </c>
      <c r="BM859" s="199">
        <f>IF(AND(Input_Product=Elig!$C859,Elig_MatchAll_Ct&lt;22,$BC859=(Elig_MatchAll_Ct-1),AK859=0),H859,0)</f>
        <v>0</v>
      </c>
      <c r="BN859" s="199">
        <f>IF(AND(Input_Product=Elig!$C859,Elig_MatchAll_Ct&lt;22,$BC859=(Elig_MatchAll_Ct-1),AL859=0),I859,0)</f>
        <v>0</v>
      </c>
      <c r="BO859" s="199">
        <f>IF(AND(Input_Product=Elig!$C859,Elig_MatchAll_Ct&lt;22,$BC859=(Elig_MatchAll_Ct-1),AM859=0),J859,0)</f>
        <v>0</v>
      </c>
      <c r="BP859" s="199">
        <f>IF(AND(Input_Product=Elig!$C859,Elig_MatchAll_Ct&lt;22,$BC859=(Elig_MatchAll_Ct-1),AN859=0),K859,0)</f>
        <v>0</v>
      </c>
      <c r="BQ859" s="199">
        <f>IF(AND(Input_Product=Elig!$C859,Elig_MatchAll_Ct&lt;22,$BC859=(Elig_MatchAll_Ct-1),AP859=0),L859,0)</f>
        <v>0</v>
      </c>
      <c r="BR859" s="199">
        <f>IF(AND(Input_Product=Elig!$C859,Elig_MatchAll_Ct&lt;22,$BC859=(Elig_MatchAll_Ct-1),AO859=0),M859,0)</f>
        <v>0</v>
      </c>
      <c r="BS859" s="199">
        <f>IF(AND(Input_Product=Elig!$C859,Elig_MatchAll_Ct&lt;22,$BC859=(Elig_MatchAll_Ct-1),AQ859=0),N859,0)</f>
        <v>0</v>
      </c>
      <c r="BT859" s="199">
        <f>IF(AND(Input_Product=Elig!$C859,Elig_MatchAll_Ct&lt;22,$BC859=(Elig_MatchAll_Ct-1),AR859=0),O859,0)</f>
        <v>0</v>
      </c>
      <c r="BU859" s="199">
        <f>IF(AND(Input_Product=Elig!$C859,Elig_MatchAll_Ct&lt;22,$BC859=(Elig_MatchAll_Ct-1),AS859=0),P859,0)</f>
        <v>0</v>
      </c>
      <c r="BV859" s="200">
        <f>IF(AND(Input_Product=Elig!$C859,Elig_MatchAll_Ct&lt;22,$BC859=(Elig_MatchAll_Ct-1),AT859=0),Q859,0)</f>
        <v>0</v>
      </c>
      <c r="BW859" s="201">
        <f>IF(AND(Input_Product=Elig!$C859,Elig_MatchAll_Ct&lt;22,$BC859=(Elig_MatchAll_Ct-1),AU859=0),R859,0)</f>
        <v>0</v>
      </c>
      <c r="BX859" s="202">
        <f>IF(AND(Input_Product=Elig!$C859,Elig_MatchAll_Ct&lt;22,$BC859=(Elig_MatchAll_Ct-1),AU859=0),S859,0)</f>
        <v>0</v>
      </c>
      <c r="BY859" s="201">
        <f>IF(AND(Input_Product=Elig!$C859,Elig_MatchAll_Ct&lt;22,$BC859=(Elig_MatchAll_Ct-1),AV859=0),T859,0)</f>
        <v>0</v>
      </c>
      <c r="BZ859" s="202">
        <f>IF(AND(Input_Product=Elig!$C859,Elig_MatchAll_Ct&lt;22,$BC859=(Elig_MatchAll_Ct-1),AV859=0),U859,0)</f>
        <v>0</v>
      </c>
      <c r="CA859" s="201">
        <f>IF(AND(Input_Product=Elig!$C859,Elig_MatchAll_Ct&lt;22,$BC859=(Elig_MatchAll_Ct-1),AW859=0),V859,0)</f>
        <v>0</v>
      </c>
      <c r="CB859" s="202">
        <f>IF(AND(Input_Product=Elig!$C859,Elig_MatchAll_Ct&lt;22,$BC859=(Elig_MatchAll_Ct-1),AW859=0),W859,0)</f>
        <v>0</v>
      </c>
      <c r="CC859" s="201">
        <f>IF(AND(Input_Product=Elig!$C859,Elig_MatchAll_Ct&lt;22,$BC859=(Elig_MatchAll_Ct-1),AX859=0),X859,0)</f>
        <v>0</v>
      </c>
      <c r="CD859" s="202">
        <f>IF(AND(Input_Product=Elig!$C859,Elig_MatchAll_Ct&lt;22,$BC859=(Elig_MatchAll_Ct-1),AX859=0),Y859,0)</f>
        <v>0</v>
      </c>
      <c r="CE859" s="201">
        <f>IF(AND(Input_LTV&lt;=AE859,Input_Product=Elig!$C859,Elig_MatchAll_Ct&lt;22,$BC859=(Elig_MatchAll_Ct-1),AY859=0),Z859,0)</f>
        <v>0</v>
      </c>
      <c r="CF859" s="202">
        <f>IF(AND(Input_LTV&lt;=AE859,Input_Product=Elig!$C859,Elig_MatchAll_Ct&lt;22,$BC859=(Elig_MatchAll_Ct-1),AY859=0),AA859,0)</f>
        <v>0</v>
      </c>
      <c r="CG859" s="201">
        <f>IF(AND(Input_Product=Elig!$C859,Elig_MatchAll_Ct&lt;22,$BC859=(Elig_MatchAll_Ct-1),AZ859=0),AB859,0)</f>
        <v>0</v>
      </c>
      <c r="CH859" s="202">
        <f>IF(AND(Input_Product=Elig!$C859,Elig_MatchAll_Ct&lt;22,$BC859=(Elig_MatchAll_Ct-1),AZ859=0),AC859,0)</f>
        <v>0</v>
      </c>
      <c r="CI859" s="201">
        <f>IF(AND(Input_Product=Elig!$C859,Elig_MatchAll_Ct&lt;22,$BC859=(Elig_MatchAll_Ct-1),BA859=0),AD859,0)</f>
        <v>0</v>
      </c>
      <c r="CJ859" s="202">
        <f>IF(AND(Input_Product=Elig!$C859,Elig_MatchAll_Ct&lt;22,$BC859=(Elig_MatchAll_Ct-1),BA859=0),AE859,0)</f>
        <v>0</v>
      </c>
    </row>
    <row r="860" spans="2:88" ht="10.15" customHeight="1" x14ac:dyDescent="0.25">
      <c r="B860" s="2035" t="s">
        <v>4043</v>
      </c>
      <c r="C860" s="2036" t="str">
        <f t="shared" si="351"/>
        <v>Second NOO</v>
      </c>
      <c r="D860" s="2035" t="s">
        <v>1569</v>
      </c>
      <c r="E860" s="2035" t="s">
        <v>98</v>
      </c>
      <c r="F860" s="2035" t="s">
        <v>330</v>
      </c>
      <c r="G860" s="2037" t="s">
        <v>303</v>
      </c>
      <c r="H860" s="2037" t="s">
        <v>136</v>
      </c>
      <c r="I860" s="2035" t="s">
        <v>1332</v>
      </c>
      <c r="J860" s="2035" t="s">
        <v>1311</v>
      </c>
      <c r="K860" s="2037" t="s">
        <v>1790</v>
      </c>
      <c r="L860" s="2035" t="s">
        <v>430</v>
      </c>
      <c r="M860" s="2035" t="s">
        <v>2677</v>
      </c>
      <c r="N860" s="2037" t="s">
        <v>82</v>
      </c>
      <c r="O860" s="2035" t="s">
        <v>310</v>
      </c>
      <c r="P860" s="2035" t="s">
        <v>291</v>
      </c>
      <c r="Q860" s="2035" t="s">
        <v>294</v>
      </c>
      <c r="R860" s="2109">
        <v>500000.01</v>
      </c>
      <c r="S860" s="2109">
        <v>750000</v>
      </c>
      <c r="T860" s="2035">
        <v>0</v>
      </c>
      <c r="U860" s="2035">
        <f t="shared" si="331"/>
        <v>750000</v>
      </c>
      <c r="V860" s="2035">
        <v>0</v>
      </c>
      <c r="W860" s="2035">
        <v>50</v>
      </c>
      <c r="X860" s="2035">
        <v>0</v>
      </c>
      <c r="Y860" s="2035">
        <v>999</v>
      </c>
      <c r="Z860" s="2038">
        <v>680</v>
      </c>
      <c r="AA860" s="2038">
        <v>699</v>
      </c>
      <c r="AB860" s="2038">
        <v>0</v>
      </c>
      <c r="AC860" s="2038">
        <v>999999</v>
      </c>
      <c r="AD860" s="2035">
        <v>0</v>
      </c>
      <c r="AE860" s="2035">
        <v>65</v>
      </c>
      <c r="AF860" s="170">
        <v>0</v>
      </c>
      <c r="AG860" s="171">
        <v>1</v>
      </c>
      <c r="AH860" s="171">
        <v>1</v>
      </c>
      <c r="AI860" s="171">
        <v>0</v>
      </c>
      <c r="AJ860" s="171">
        <v>1</v>
      </c>
      <c r="AK860" s="171">
        <v>1</v>
      </c>
      <c r="AL860" s="171">
        <v>1</v>
      </c>
      <c r="AM860" s="171">
        <v>1</v>
      </c>
      <c r="AN860" s="171">
        <v>1</v>
      </c>
      <c r="AO860" s="171">
        <v>1</v>
      </c>
      <c r="AP860" s="171">
        <v>1</v>
      </c>
      <c r="AQ860" s="171">
        <v>1</v>
      </c>
      <c r="AR860" s="171">
        <v>1</v>
      </c>
      <c r="AS860" s="171">
        <v>1</v>
      </c>
      <c r="AT860" s="171">
        <v>1</v>
      </c>
      <c r="AU860" s="171">
        <f t="shared" si="324"/>
        <v>0</v>
      </c>
      <c r="AV860" s="171">
        <f t="shared" si="325"/>
        <v>1</v>
      </c>
      <c r="AW860" s="171">
        <f t="shared" si="326"/>
        <v>1</v>
      </c>
      <c r="AX860" s="171">
        <f t="shared" si="335"/>
        <v>1</v>
      </c>
      <c r="AY860" s="171">
        <f t="shared" si="327"/>
        <v>0</v>
      </c>
      <c r="AZ860" s="171">
        <f t="shared" si="328"/>
        <v>1</v>
      </c>
      <c r="BA860" s="172">
        <f t="shared" si="329"/>
        <v>1</v>
      </c>
      <c r="BB860" s="175">
        <f t="shared" si="332"/>
        <v>18</v>
      </c>
      <c r="BC860" s="176">
        <f t="shared" si="333"/>
        <v>17</v>
      </c>
      <c r="BD860" s="176">
        <f t="shared" si="334"/>
        <v>18</v>
      </c>
      <c r="BE860" s="240" t="str">
        <f t="shared" si="343"/>
        <v/>
      </c>
      <c r="BF860" s="234"/>
      <c r="BG860" s="234"/>
      <c r="BH860" s="199">
        <f>IF(AND(Input_Product=Elig!$C860,Elig_MatchAll_Ct&lt;22,$BC860=(Elig_MatchAll_Ct-1),AF860=0),C860,0)</f>
        <v>0</v>
      </c>
      <c r="BI860" s="199">
        <f>IF(AND(Input_Product=Elig!$C860,Elig_MatchAll_Ct&lt;22,$BC860=(Elig_MatchAll_Ct-1),AG860=0),D860,0)</f>
        <v>0</v>
      </c>
      <c r="BJ860" s="199">
        <f>IF(AND(Input_Product=Elig!$C860,Elig_MatchAll_Ct&lt;22,$BC860=(Elig_MatchAll_Ct-1),AH860=0),E860,0)</f>
        <v>0</v>
      </c>
      <c r="BK860" s="199">
        <f>IF(AND(Input_Product=Elig!$C860,Elig_MatchAll_Ct&lt;22,$BC860=(Elig_MatchAll_Ct-1),AI860=0),F860,0)</f>
        <v>0</v>
      </c>
      <c r="BL860" s="199">
        <f>IF(AND(Input_Product=Elig!$C860,Elig_MatchAll_Ct&lt;22,$BC860=(Elig_MatchAll_Ct-1),AJ860=0),G860,0)</f>
        <v>0</v>
      </c>
      <c r="BM860" s="199">
        <f>IF(AND(Input_Product=Elig!$C860,Elig_MatchAll_Ct&lt;22,$BC860=(Elig_MatchAll_Ct-1),AK860=0),H860,0)</f>
        <v>0</v>
      </c>
      <c r="BN860" s="199">
        <f>IF(AND(Input_Product=Elig!$C860,Elig_MatchAll_Ct&lt;22,$BC860=(Elig_MatchAll_Ct-1),AL860=0),I860,0)</f>
        <v>0</v>
      </c>
      <c r="BO860" s="199">
        <f>IF(AND(Input_Product=Elig!$C860,Elig_MatchAll_Ct&lt;22,$BC860=(Elig_MatchAll_Ct-1),AM860=0),J860,0)</f>
        <v>0</v>
      </c>
      <c r="BP860" s="199">
        <f>IF(AND(Input_Product=Elig!$C860,Elig_MatchAll_Ct&lt;22,$BC860=(Elig_MatchAll_Ct-1),AN860=0),K860,0)</f>
        <v>0</v>
      </c>
      <c r="BQ860" s="199">
        <f>IF(AND(Input_Product=Elig!$C860,Elig_MatchAll_Ct&lt;22,$BC860=(Elig_MatchAll_Ct-1),AP860=0),L860,0)</f>
        <v>0</v>
      </c>
      <c r="BR860" s="199">
        <f>IF(AND(Input_Product=Elig!$C860,Elig_MatchAll_Ct&lt;22,$BC860=(Elig_MatchAll_Ct-1),AO860=0),M860,0)</f>
        <v>0</v>
      </c>
      <c r="BS860" s="199">
        <f>IF(AND(Input_Product=Elig!$C860,Elig_MatchAll_Ct&lt;22,$BC860=(Elig_MatchAll_Ct-1),AQ860=0),N860,0)</f>
        <v>0</v>
      </c>
      <c r="BT860" s="199">
        <f>IF(AND(Input_Product=Elig!$C860,Elig_MatchAll_Ct&lt;22,$BC860=(Elig_MatchAll_Ct-1),AR860=0),O860,0)</f>
        <v>0</v>
      </c>
      <c r="BU860" s="199">
        <f>IF(AND(Input_Product=Elig!$C860,Elig_MatchAll_Ct&lt;22,$BC860=(Elig_MatchAll_Ct-1),AS860=0),P860,0)</f>
        <v>0</v>
      </c>
      <c r="BV860" s="200">
        <f>IF(AND(Input_Product=Elig!$C860,Elig_MatchAll_Ct&lt;22,$BC860=(Elig_MatchAll_Ct-1),AT860=0),Q860,0)</f>
        <v>0</v>
      </c>
      <c r="BW860" s="201">
        <f>IF(AND(Input_Product=Elig!$C860,Elig_MatchAll_Ct&lt;22,$BC860=(Elig_MatchAll_Ct-1),AU860=0),R860,0)</f>
        <v>0</v>
      </c>
      <c r="BX860" s="202">
        <f>IF(AND(Input_Product=Elig!$C860,Elig_MatchAll_Ct&lt;22,$BC860=(Elig_MatchAll_Ct-1),AU860=0),S860,0)</f>
        <v>0</v>
      </c>
      <c r="BY860" s="201">
        <f>IF(AND(Input_Product=Elig!$C860,Elig_MatchAll_Ct&lt;22,$BC860=(Elig_MatchAll_Ct-1),AV860=0),T860,0)</f>
        <v>0</v>
      </c>
      <c r="BZ860" s="202">
        <f>IF(AND(Input_Product=Elig!$C860,Elig_MatchAll_Ct&lt;22,$BC860=(Elig_MatchAll_Ct-1),AV860=0),U860,0)</f>
        <v>0</v>
      </c>
      <c r="CA860" s="201">
        <f>IF(AND(Input_Product=Elig!$C860,Elig_MatchAll_Ct&lt;22,$BC860=(Elig_MatchAll_Ct-1),AW860=0),V860,0)</f>
        <v>0</v>
      </c>
      <c r="CB860" s="202">
        <f>IF(AND(Input_Product=Elig!$C860,Elig_MatchAll_Ct&lt;22,$BC860=(Elig_MatchAll_Ct-1),AW860=0),W860,0)</f>
        <v>0</v>
      </c>
      <c r="CC860" s="201">
        <f>IF(AND(Input_Product=Elig!$C860,Elig_MatchAll_Ct&lt;22,$BC860=(Elig_MatchAll_Ct-1),AX860=0),X860,0)</f>
        <v>0</v>
      </c>
      <c r="CD860" s="202">
        <f>IF(AND(Input_Product=Elig!$C860,Elig_MatchAll_Ct&lt;22,$BC860=(Elig_MatchAll_Ct-1),AX860=0),Y860,0)</f>
        <v>0</v>
      </c>
      <c r="CE860" s="201">
        <f>IF(AND(Input_LTV&lt;=AE860,Input_Product=Elig!$C860,Elig_MatchAll_Ct&lt;22,$BC860=(Elig_MatchAll_Ct-1),AY860=0),Z860,0)</f>
        <v>0</v>
      </c>
      <c r="CF860" s="202">
        <f>IF(AND(Input_LTV&lt;=AE860,Input_Product=Elig!$C860,Elig_MatchAll_Ct&lt;22,$BC860=(Elig_MatchAll_Ct-1),AY860=0),AA860,0)</f>
        <v>0</v>
      </c>
      <c r="CG860" s="201">
        <f>IF(AND(Input_Product=Elig!$C860,Elig_MatchAll_Ct&lt;22,$BC860=(Elig_MatchAll_Ct-1),AZ860=0),AB860,0)</f>
        <v>0</v>
      </c>
      <c r="CH860" s="202">
        <f>IF(AND(Input_Product=Elig!$C860,Elig_MatchAll_Ct&lt;22,$BC860=(Elig_MatchAll_Ct-1),AZ860=0),AC860,0)</f>
        <v>0</v>
      </c>
      <c r="CI860" s="201">
        <f>IF(AND(Input_Product=Elig!$C860,Elig_MatchAll_Ct&lt;22,$BC860=(Elig_MatchAll_Ct-1),BA860=0),AD860,0)</f>
        <v>0</v>
      </c>
      <c r="CJ860" s="202">
        <f>IF(AND(Input_Product=Elig!$C860,Elig_MatchAll_Ct&lt;22,$BC860=(Elig_MatchAll_Ct-1),BA860=0),AE860,0)</f>
        <v>0</v>
      </c>
    </row>
    <row r="861" spans="2:88" ht="10.15" customHeight="1" x14ac:dyDescent="0.25">
      <c r="B861" s="2035" t="s">
        <v>4044</v>
      </c>
      <c r="C861" s="2036" t="str">
        <f t="shared" si="351"/>
        <v>Second NOO</v>
      </c>
      <c r="D861" s="2035" t="s">
        <v>1569</v>
      </c>
      <c r="E861" s="2035" t="s">
        <v>98</v>
      </c>
      <c r="F861" s="2035" t="s">
        <v>330</v>
      </c>
      <c r="G861" s="2037" t="s">
        <v>303</v>
      </c>
      <c r="H861" s="2037" t="s">
        <v>136</v>
      </c>
      <c r="I861" s="2035" t="s">
        <v>1332</v>
      </c>
      <c r="J861" s="2035" t="s">
        <v>1311</v>
      </c>
      <c r="K861" s="2037" t="s">
        <v>1790</v>
      </c>
      <c r="L861" s="2035" t="s">
        <v>430</v>
      </c>
      <c r="M861" s="2035" t="s">
        <v>2677</v>
      </c>
      <c r="N861" s="2037" t="s">
        <v>82</v>
      </c>
      <c r="O861" s="2035" t="s">
        <v>310</v>
      </c>
      <c r="P861" s="2035" t="s">
        <v>291</v>
      </c>
      <c r="Q861" s="2035" t="s">
        <v>294</v>
      </c>
      <c r="R861" s="2109">
        <v>500000.01</v>
      </c>
      <c r="S861" s="2109">
        <v>750000</v>
      </c>
      <c r="T861" s="2035">
        <v>0</v>
      </c>
      <c r="U861" s="2035">
        <f t="shared" si="331"/>
        <v>750000</v>
      </c>
      <c r="V861" s="2035">
        <v>0</v>
      </c>
      <c r="W861" s="2035">
        <v>50</v>
      </c>
      <c r="X861" s="2035">
        <v>0</v>
      </c>
      <c r="Y861" s="2035">
        <v>999</v>
      </c>
      <c r="Z861" s="2038">
        <v>660</v>
      </c>
      <c r="AA861" s="2038">
        <v>679</v>
      </c>
      <c r="AB861" s="2038">
        <v>0</v>
      </c>
      <c r="AC861" s="2038">
        <v>999999</v>
      </c>
      <c r="AD861" s="2035">
        <v>0</v>
      </c>
      <c r="AE861" s="2035">
        <v>60</v>
      </c>
      <c r="AF861" s="170">
        <v>0</v>
      </c>
      <c r="AG861" s="171">
        <v>1</v>
      </c>
      <c r="AH861" s="171">
        <v>1</v>
      </c>
      <c r="AI861" s="171">
        <v>0</v>
      </c>
      <c r="AJ861" s="171">
        <v>1</v>
      </c>
      <c r="AK861" s="171">
        <v>1</v>
      </c>
      <c r="AL861" s="171">
        <v>1</v>
      </c>
      <c r="AM861" s="171">
        <v>1</v>
      </c>
      <c r="AN861" s="171">
        <v>1</v>
      </c>
      <c r="AO861" s="171">
        <v>1</v>
      </c>
      <c r="AP861" s="171">
        <v>1</v>
      </c>
      <c r="AQ861" s="171">
        <v>1</v>
      </c>
      <c r="AR861" s="171">
        <v>1</v>
      </c>
      <c r="AS861" s="171">
        <v>1</v>
      </c>
      <c r="AT861" s="171">
        <v>1</v>
      </c>
      <c r="AU861" s="171">
        <f t="shared" si="324"/>
        <v>0</v>
      </c>
      <c r="AV861" s="171">
        <f t="shared" si="325"/>
        <v>1</v>
      </c>
      <c r="AW861" s="171">
        <f t="shared" si="326"/>
        <v>1</v>
      </c>
      <c r="AX861" s="171">
        <f t="shared" si="335"/>
        <v>1</v>
      </c>
      <c r="AY861" s="171">
        <f t="shared" si="327"/>
        <v>0</v>
      </c>
      <c r="AZ861" s="171">
        <f t="shared" si="328"/>
        <v>1</v>
      </c>
      <c r="BA861" s="172">
        <f t="shared" si="329"/>
        <v>0</v>
      </c>
      <c r="BB861" s="175">
        <f t="shared" si="332"/>
        <v>17</v>
      </c>
      <c r="BC861" s="176">
        <f t="shared" si="333"/>
        <v>17</v>
      </c>
      <c r="BD861" s="176">
        <f t="shared" si="334"/>
        <v>17</v>
      </c>
      <c r="BE861" s="240" t="str">
        <f t="shared" si="343"/>
        <v/>
      </c>
      <c r="BF861" s="234"/>
      <c r="BG861" s="234"/>
      <c r="BH861" s="214">
        <f>IF(AND(Input_Product=Elig!$C861,Elig_MatchAll_Ct&lt;22,$BC861=(Elig_MatchAll_Ct-1),AF861=0),C861,0)</f>
        <v>0</v>
      </c>
      <c r="BI861" s="214">
        <f>IF(AND(Input_Product=Elig!$C861,Elig_MatchAll_Ct&lt;22,$BC861=(Elig_MatchAll_Ct-1),AG861=0),D861,0)</f>
        <v>0</v>
      </c>
      <c r="BJ861" s="214">
        <f>IF(AND(Input_Product=Elig!$C861,Elig_MatchAll_Ct&lt;22,$BC861=(Elig_MatchAll_Ct-1),AH861=0),E861,0)</f>
        <v>0</v>
      </c>
      <c r="BK861" s="214">
        <f>IF(AND(Input_Product=Elig!$C861,Elig_MatchAll_Ct&lt;22,$BC861=(Elig_MatchAll_Ct-1),AI861=0),F861,0)</f>
        <v>0</v>
      </c>
      <c r="BL861" s="214">
        <f>IF(AND(Input_Product=Elig!$C861,Elig_MatchAll_Ct&lt;22,$BC861=(Elig_MatchAll_Ct-1),AJ861=0),G861,0)</f>
        <v>0</v>
      </c>
      <c r="BM861" s="214">
        <f>IF(AND(Input_Product=Elig!$C861,Elig_MatchAll_Ct&lt;22,$BC861=(Elig_MatchAll_Ct-1),AK861=0),H861,0)</f>
        <v>0</v>
      </c>
      <c r="BN861" s="214">
        <f>IF(AND(Input_Product=Elig!$C861,Elig_MatchAll_Ct&lt;22,$BC861=(Elig_MatchAll_Ct-1),AL861=0),I861,0)</f>
        <v>0</v>
      </c>
      <c r="BO861" s="214">
        <f>IF(AND(Input_Product=Elig!$C861,Elig_MatchAll_Ct&lt;22,$BC861=(Elig_MatchAll_Ct-1),AM861=0),J861,0)</f>
        <v>0</v>
      </c>
      <c r="BP861" s="214">
        <f>IF(AND(Input_Product=Elig!$C861,Elig_MatchAll_Ct&lt;22,$BC861=(Elig_MatchAll_Ct-1),AN861=0),K861,0)</f>
        <v>0</v>
      </c>
      <c r="BQ861" s="214">
        <f>IF(AND(Input_Product=Elig!$C861,Elig_MatchAll_Ct&lt;22,$BC861=(Elig_MatchAll_Ct-1),AP861=0),L861,0)</f>
        <v>0</v>
      </c>
      <c r="BR861" s="214">
        <f>IF(AND(Input_Product=Elig!$C861,Elig_MatchAll_Ct&lt;22,$BC861=(Elig_MatchAll_Ct-1),AO861=0),M861,0)</f>
        <v>0</v>
      </c>
      <c r="BS861" s="214">
        <f>IF(AND(Input_Product=Elig!$C861,Elig_MatchAll_Ct&lt;22,$BC861=(Elig_MatchAll_Ct-1),AQ861=0),N861,0)</f>
        <v>0</v>
      </c>
      <c r="BT861" s="214">
        <f>IF(AND(Input_Product=Elig!$C861,Elig_MatchAll_Ct&lt;22,$BC861=(Elig_MatchAll_Ct-1),AR861=0),O861,0)</f>
        <v>0</v>
      </c>
      <c r="BU861" s="214">
        <f>IF(AND(Input_Product=Elig!$C861,Elig_MatchAll_Ct&lt;22,$BC861=(Elig_MatchAll_Ct-1),AS861=0),P861,0)</f>
        <v>0</v>
      </c>
      <c r="BV861" s="215">
        <f>IF(AND(Input_Product=Elig!$C861,Elig_MatchAll_Ct&lt;22,$BC861=(Elig_MatchAll_Ct-1),AT861=0),Q861,0)</f>
        <v>0</v>
      </c>
      <c r="BW861" s="311">
        <f>IF(AND(Input_Product=Elig!$C861,Elig_MatchAll_Ct&lt;22,$BC861=(Elig_MatchAll_Ct-1),AU861=0),R861,0)</f>
        <v>0</v>
      </c>
      <c r="BX861" s="312">
        <f>IF(AND(Input_Product=Elig!$C861,Elig_MatchAll_Ct&lt;22,$BC861=(Elig_MatchAll_Ct-1),AU861=0),S861,0)</f>
        <v>0</v>
      </c>
      <c r="BY861" s="311">
        <f>IF(AND(Input_Product=Elig!$C861,Elig_MatchAll_Ct&lt;22,$BC861=(Elig_MatchAll_Ct-1),AV861=0),T861,0)</f>
        <v>0</v>
      </c>
      <c r="BZ861" s="312">
        <f>IF(AND(Input_Product=Elig!$C861,Elig_MatchAll_Ct&lt;22,$BC861=(Elig_MatchAll_Ct-1),AV861=0),U861,0)</f>
        <v>0</v>
      </c>
      <c r="CA861" s="311">
        <f>IF(AND(Input_Product=Elig!$C861,Elig_MatchAll_Ct&lt;22,$BC861=(Elig_MatchAll_Ct-1),AW861=0),V861,0)</f>
        <v>0</v>
      </c>
      <c r="CB861" s="312">
        <f>IF(AND(Input_Product=Elig!$C861,Elig_MatchAll_Ct&lt;22,$BC861=(Elig_MatchAll_Ct-1),AW861=0),W861,0)</f>
        <v>0</v>
      </c>
      <c r="CC861" s="311">
        <f>IF(AND(Input_Product=Elig!$C861,Elig_MatchAll_Ct&lt;22,$BC861=(Elig_MatchAll_Ct-1),AX861=0),X861,0)</f>
        <v>0</v>
      </c>
      <c r="CD861" s="312">
        <f>IF(AND(Input_Product=Elig!$C861,Elig_MatchAll_Ct&lt;22,$BC861=(Elig_MatchAll_Ct-1),AX861=0),Y861,0)</f>
        <v>0</v>
      </c>
      <c r="CE861" s="311">
        <f>IF(AND(Input_LTV&lt;=AE861,Input_Product=Elig!$C861,Elig_MatchAll_Ct&lt;22,$BC861=(Elig_MatchAll_Ct-1),AY861=0),Z861,0)</f>
        <v>0</v>
      </c>
      <c r="CF861" s="312">
        <f>IF(AND(Input_LTV&lt;=AE861,Input_Product=Elig!$C861,Elig_MatchAll_Ct&lt;22,$BC861=(Elig_MatchAll_Ct-1),AY861=0),AA861,0)</f>
        <v>0</v>
      </c>
      <c r="CG861" s="311">
        <f>IF(AND(Input_Product=Elig!$C861,Elig_MatchAll_Ct&lt;22,$BC861=(Elig_MatchAll_Ct-1),AZ861=0),AB861,0)</f>
        <v>0</v>
      </c>
      <c r="CH861" s="312">
        <f>IF(AND(Input_Product=Elig!$C861,Elig_MatchAll_Ct&lt;22,$BC861=(Elig_MatchAll_Ct-1),AZ861=0),AC861,0)</f>
        <v>0</v>
      </c>
      <c r="CI861" s="311">
        <f>IF(AND(Input_Product=Elig!$C861,Elig_MatchAll_Ct&lt;22,$BC861=(Elig_MatchAll_Ct-1),BA861=0),AD861,0)</f>
        <v>0</v>
      </c>
      <c r="CJ861" s="312">
        <f>IF(AND(Input_Product=Elig!$C861,Elig_MatchAll_Ct&lt;22,$BC861=(Elig_MatchAll_Ct-1),BA861=0),AE861,0)</f>
        <v>0</v>
      </c>
    </row>
    <row r="862" spans="2:88" ht="10.15" customHeight="1" x14ac:dyDescent="0.25">
      <c r="B862" s="2035" t="s">
        <v>4045</v>
      </c>
      <c r="C862" s="2040" t="str">
        <f t="shared" si="351"/>
        <v>Second NOO</v>
      </c>
      <c r="D862" s="2041" t="s">
        <v>1569</v>
      </c>
      <c r="E862" s="2041" t="s">
        <v>98</v>
      </c>
      <c r="F862" s="2041" t="s">
        <v>330</v>
      </c>
      <c r="G862" s="2103" t="s">
        <v>175</v>
      </c>
      <c r="H862" s="2041" t="s">
        <v>446</v>
      </c>
      <c r="I862" s="2039" t="s">
        <v>1332</v>
      </c>
      <c r="J862" s="2039" t="s">
        <v>1311</v>
      </c>
      <c r="K862" s="2041" t="s">
        <v>1790</v>
      </c>
      <c r="L862" s="2039" t="s">
        <v>430</v>
      </c>
      <c r="M862" s="2039" t="s">
        <v>2677</v>
      </c>
      <c r="N862" s="2041" t="s">
        <v>82</v>
      </c>
      <c r="O862" s="2039" t="s">
        <v>310</v>
      </c>
      <c r="P862" s="2039" t="s">
        <v>291</v>
      </c>
      <c r="Q862" s="2039" t="s">
        <v>294</v>
      </c>
      <c r="R862" s="2108">
        <v>500000.01</v>
      </c>
      <c r="S862" s="2108">
        <v>750000</v>
      </c>
      <c r="T862" s="2039">
        <v>0</v>
      </c>
      <c r="U862" s="2039">
        <f t="shared" ref="U862:U880" si="352">S862</f>
        <v>750000</v>
      </c>
      <c r="V862" s="2039">
        <v>0</v>
      </c>
      <c r="W862" s="2039">
        <v>50</v>
      </c>
      <c r="X862" s="2039">
        <v>0</v>
      </c>
      <c r="Y862" s="2039">
        <v>999</v>
      </c>
      <c r="Z862" s="2042">
        <v>720</v>
      </c>
      <c r="AA862" s="2042">
        <v>999</v>
      </c>
      <c r="AB862" s="2042">
        <v>0</v>
      </c>
      <c r="AC862" s="2042">
        <v>999999</v>
      </c>
      <c r="AD862" s="2039">
        <v>0</v>
      </c>
      <c r="AE862" s="2108">
        <v>70</v>
      </c>
      <c r="AF862" s="170">
        <v>0</v>
      </c>
      <c r="AG862" s="171">
        <v>1</v>
      </c>
      <c r="AH862" s="171">
        <v>1</v>
      </c>
      <c r="AI862" s="171">
        <v>0</v>
      </c>
      <c r="AJ862" s="171">
        <v>0</v>
      </c>
      <c r="AK862" s="171">
        <v>0</v>
      </c>
      <c r="AL862" s="171">
        <v>1</v>
      </c>
      <c r="AM862" s="171">
        <v>1</v>
      </c>
      <c r="AN862" s="171">
        <v>1</v>
      </c>
      <c r="AO862" s="171">
        <v>1</v>
      </c>
      <c r="AP862" s="171">
        <v>1</v>
      </c>
      <c r="AQ862" s="171">
        <v>1</v>
      </c>
      <c r="AR862" s="171">
        <v>1</v>
      </c>
      <c r="AS862" s="171">
        <v>1</v>
      </c>
      <c r="AT862" s="171">
        <v>1</v>
      </c>
      <c r="AU862" s="171">
        <f t="shared" si="324"/>
        <v>0</v>
      </c>
      <c r="AV862" s="171">
        <f t="shared" si="325"/>
        <v>1</v>
      </c>
      <c r="AW862" s="171">
        <f t="shared" si="326"/>
        <v>1</v>
      </c>
      <c r="AX862" s="171">
        <f t="shared" si="335"/>
        <v>1</v>
      </c>
      <c r="AY862" s="171">
        <f t="shared" si="327"/>
        <v>1</v>
      </c>
      <c r="AZ862" s="171">
        <f t="shared" si="328"/>
        <v>1</v>
      </c>
      <c r="BA862" s="172">
        <f t="shared" si="329"/>
        <v>1</v>
      </c>
      <c r="BB862" s="175">
        <f t="shared" si="332"/>
        <v>17</v>
      </c>
      <c r="BC862" s="176">
        <f t="shared" si="333"/>
        <v>16</v>
      </c>
      <c r="BD862" s="176">
        <f t="shared" si="334"/>
        <v>17</v>
      </c>
      <c r="BE862" s="240" t="str">
        <f t="shared" si="343"/>
        <v/>
      </c>
      <c r="BF862" s="220"/>
      <c r="BG862" s="220"/>
      <c r="BH862" s="216">
        <f>IF(AND(Input_Product=Elig!$C862,Elig_MatchAll_Ct&lt;22,$BC862=(Elig_MatchAll_Ct-1),AF862=0),C862,0)</f>
        <v>0</v>
      </c>
      <c r="BI862" s="216">
        <f>IF(AND(Input_Product=Elig!$C862,Elig_MatchAll_Ct&lt;22,$BC862=(Elig_MatchAll_Ct-1),AG862=0),D862,0)</f>
        <v>0</v>
      </c>
      <c r="BJ862" s="216">
        <f>IF(AND(Input_Product=Elig!$C862,Elig_MatchAll_Ct&lt;22,$BC862=(Elig_MatchAll_Ct-1),AH862=0),E862,0)</f>
        <v>0</v>
      </c>
      <c r="BK862" s="216">
        <f>IF(AND(Input_Product=Elig!$C862,Elig_MatchAll_Ct&lt;22,$BC862=(Elig_MatchAll_Ct-1),AI862=0),F862,0)</f>
        <v>0</v>
      </c>
      <c r="BL862" s="216">
        <f>IF(AND(Input_Product=Elig!$C862,Elig_MatchAll_Ct&lt;22,$BC862=(Elig_MatchAll_Ct-1),AJ862=0),G862,0)</f>
        <v>0</v>
      </c>
      <c r="BM862" s="216">
        <f>IF(AND(Input_Product=Elig!$C862,Elig_MatchAll_Ct&lt;22,$BC862=(Elig_MatchAll_Ct-1),AK862=0),H862,0)</f>
        <v>0</v>
      </c>
      <c r="BN862" s="216">
        <f>IF(AND(Input_Product=Elig!$C862,Elig_MatchAll_Ct&lt;22,$BC862=(Elig_MatchAll_Ct-1),AL862=0),I862,0)</f>
        <v>0</v>
      </c>
      <c r="BO862" s="216">
        <f>IF(AND(Input_Product=Elig!$C862,Elig_MatchAll_Ct&lt;22,$BC862=(Elig_MatchAll_Ct-1),AM862=0),J862,0)</f>
        <v>0</v>
      </c>
      <c r="BP862" s="216">
        <f>IF(AND(Input_Product=Elig!$C862,Elig_MatchAll_Ct&lt;22,$BC862=(Elig_MatchAll_Ct-1),AN862=0),K862,0)</f>
        <v>0</v>
      </c>
      <c r="BQ862" s="216">
        <f>IF(AND(Input_Product=Elig!$C862,Elig_MatchAll_Ct&lt;22,$BC862=(Elig_MatchAll_Ct-1),AP862=0),L862,0)</f>
        <v>0</v>
      </c>
      <c r="BR862" s="216">
        <f>IF(AND(Input_Product=Elig!$C862,Elig_MatchAll_Ct&lt;22,$BC862=(Elig_MatchAll_Ct-1),AO862=0),M862,0)</f>
        <v>0</v>
      </c>
      <c r="BS862" s="216">
        <f>IF(AND(Input_Product=Elig!$C862,Elig_MatchAll_Ct&lt;22,$BC862=(Elig_MatchAll_Ct-1),AQ862=0),N862,0)</f>
        <v>0</v>
      </c>
      <c r="BT862" s="216">
        <f>IF(AND(Input_Product=Elig!$C862,Elig_MatchAll_Ct&lt;22,$BC862=(Elig_MatchAll_Ct-1),AR862=0),O862,0)</f>
        <v>0</v>
      </c>
      <c r="BU862" s="216">
        <f>IF(AND(Input_Product=Elig!$C862,Elig_MatchAll_Ct&lt;22,$BC862=(Elig_MatchAll_Ct-1),AS862=0),P862,0)</f>
        <v>0</v>
      </c>
      <c r="BV862" s="217">
        <f>IF(AND(Input_Product=Elig!$C862,Elig_MatchAll_Ct&lt;22,$BC862=(Elig_MatchAll_Ct-1),AT862=0),Q862,0)</f>
        <v>0</v>
      </c>
      <c r="BW862" s="313">
        <f>IF(AND(Input_Product=Elig!$C862,Elig_MatchAll_Ct&lt;22,$BC862=(Elig_MatchAll_Ct-1),AU862=0),R862,0)</f>
        <v>0</v>
      </c>
      <c r="BX862" s="314">
        <f>IF(AND(Input_Product=Elig!$C862,Elig_MatchAll_Ct&lt;22,$BC862=(Elig_MatchAll_Ct-1),AU862=0),S862,0)</f>
        <v>0</v>
      </c>
      <c r="BY862" s="313">
        <f>IF(AND(Input_Product=Elig!$C862,Elig_MatchAll_Ct&lt;22,$BC862=(Elig_MatchAll_Ct-1),AV862=0),T862,0)</f>
        <v>0</v>
      </c>
      <c r="BZ862" s="314">
        <f>IF(AND(Input_Product=Elig!$C862,Elig_MatchAll_Ct&lt;22,$BC862=(Elig_MatchAll_Ct-1),AV862=0),U862,0)</f>
        <v>0</v>
      </c>
      <c r="CA862" s="313">
        <f>IF(AND(Input_Product=Elig!$C862,Elig_MatchAll_Ct&lt;22,$BC862=(Elig_MatchAll_Ct-1),AW862=0),V862,0)</f>
        <v>0</v>
      </c>
      <c r="CB862" s="314">
        <f>IF(AND(Input_Product=Elig!$C862,Elig_MatchAll_Ct&lt;22,$BC862=(Elig_MatchAll_Ct-1),AW862=0),W862,0)</f>
        <v>0</v>
      </c>
      <c r="CC862" s="313">
        <f>IF(AND(Input_Product=Elig!$C862,Elig_MatchAll_Ct&lt;22,$BC862=(Elig_MatchAll_Ct-1),AX862=0),X862,0)</f>
        <v>0</v>
      </c>
      <c r="CD862" s="314">
        <f>IF(AND(Input_Product=Elig!$C862,Elig_MatchAll_Ct&lt;22,$BC862=(Elig_MatchAll_Ct-1),AX862=0),Y862,0)</f>
        <v>0</v>
      </c>
      <c r="CE862" s="313">
        <f>IF(AND(Input_LTV&lt;=AE862,Input_Product=Elig!$C862,Elig_MatchAll_Ct&lt;22,$BC862=(Elig_MatchAll_Ct-1),AY862=0),Z862,0)</f>
        <v>0</v>
      </c>
      <c r="CF862" s="314">
        <f>IF(AND(Input_LTV&lt;=AE862,Input_Product=Elig!$C862,Elig_MatchAll_Ct&lt;22,$BC862=(Elig_MatchAll_Ct-1),AY862=0),AA862,0)</f>
        <v>0</v>
      </c>
      <c r="CG862" s="313">
        <f>IF(AND(Input_Product=Elig!$C862,Elig_MatchAll_Ct&lt;22,$BC862=(Elig_MatchAll_Ct-1),AZ862=0),AB862,0)</f>
        <v>0</v>
      </c>
      <c r="CH862" s="314">
        <f>IF(AND(Input_Product=Elig!$C862,Elig_MatchAll_Ct&lt;22,$BC862=(Elig_MatchAll_Ct-1),AZ862=0),AC862,0)</f>
        <v>0</v>
      </c>
      <c r="CI862" s="313">
        <f>IF(AND(Input_Product=Elig!$C862,Elig_MatchAll_Ct&lt;22,$BC862=(Elig_MatchAll_Ct-1),BA862=0),AD862,0)</f>
        <v>0</v>
      </c>
      <c r="CJ862" s="314">
        <f>IF(AND(Input_Product=Elig!$C862,Elig_MatchAll_Ct&lt;22,$BC862=(Elig_MatchAll_Ct-1),BA862=0),AE862,0)</f>
        <v>0</v>
      </c>
    </row>
    <row r="863" spans="2:88" ht="10.15" customHeight="1" x14ac:dyDescent="0.25">
      <c r="B863" s="2035" t="s">
        <v>4046</v>
      </c>
      <c r="C863" s="2036" t="str">
        <f t="shared" si="351"/>
        <v>Second NOO</v>
      </c>
      <c r="D863" s="2035" t="s">
        <v>1569</v>
      </c>
      <c r="E863" s="2035" t="s">
        <v>98</v>
      </c>
      <c r="F863" s="2035" t="s">
        <v>330</v>
      </c>
      <c r="G863" s="2110" t="s">
        <v>175</v>
      </c>
      <c r="H863" s="2037" t="s">
        <v>446</v>
      </c>
      <c r="I863" s="2035" t="s">
        <v>1332</v>
      </c>
      <c r="J863" s="2035" t="s">
        <v>1311</v>
      </c>
      <c r="K863" s="2037" t="s">
        <v>1790</v>
      </c>
      <c r="L863" s="2035" t="s">
        <v>430</v>
      </c>
      <c r="M863" s="2035" t="s">
        <v>2677</v>
      </c>
      <c r="N863" s="2037" t="s">
        <v>82</v>
      </c>
      <c r="O863" s="2035" t="s">
        <v>310</v>
      </c>
      <c r="P863" s="2035" t="s">
        <v>291</v>
      </c>
      <c r="Q863" s="2035" t="s">
        <v>294</v>
      </c>
      <c r="R863" s="2109">
        <v>500000.01</v>
      </c>
      <c r="S863" s="2109">
        <v>750000</v>
      </c>
      <c r="T863" s="2035">
        <v>0</v>
      </c>
      <c r="U863" s="2035">
        <f t="shared" si="352"/>
        <v>750000</v>
      </c>
      <c r="V863" s="2035">
        <v>0</v>
      </c>
      <c r="W863" s="2035">
        <v>50</v>
      </c>
      <c r="X863" s="2035">
        <v>0</v>
      </c>
      <c r="Y863" s="2035">
        <v>999</v>
      </c>
      <c r="Z863" s="2038">
        <v>700</v>
      </c>
      <c r="AA863" s="2038">
        <v>719</v>
      </c>
      <c r="AB863" s="2038">
        <v>0</v>
      </c>
      <c r="AC863" s="2038">
        <v>999999</v>
      </c>
      <c r="AD863" s="2035">
        <v>0</v>
      </c>
      <c r="AE863" s="2109">
        <v>65</v>
      </c>
      <c r="AF863" s="170">
        <v>0</v>
      </c>
      <c r="AG863" s="171">
        <v>1</v>
      </c>
      <c r="AH863" s="171">
        <v>1</v>
      </c>
      <c r="AI863" s="171">
        <v>0</v>
      </c>
      <c r="AJ863" s="171">
        <v>0</v>
      </c>
      <c r="AK863" s="171">
        <v>0</v>
      </c>
      <c r="AL863" s="171">
        <v>1</v>
      </c>
      <c r="AM863" s="171">
        <v>1</v>
      </c>
      <c r="AN863" s="171">
        <v>1</v>
      </c>
      <c r="AO863" s="171">
        <v>1</v>
      </c>
      <c r="AP863" s="171">
        <v>1</v>
      </c>
      <c r="AQ863" s="171">
        <v>1</v>
      </c>
      <c r="AR863" s="171">
        <v>1</v>
      </c>
      <c r="AS863" s="171">
        <v>1</v>
      </c>
      <c r="AT863" s="171">
        <v>1</v>
      </c>
      <c r="AU863" s="171">
        <f t="shared" si="324"/>
        <v>0</v>
      </c>
      <c r="AV863" s="171">
        <f t="shared" si="325"/>
        <v>1</v>
      </c>
      <c r="AW863" s="171">
        <f t="shared" si="326"/>
        <v>1</v>
      </c>
      <c r="AX863" s="171">
        <f t="shared" si="335"/>
        <v>1</v>
      </c>
      <c r="AY863" s="171">
        <f t="shared" si="327"/>
        <v>0</v>
      </c>
      <c r="AZ863" s="171">
        <f t="shared" si="328"/>
        <v>1</v>
      </c>
      <c r="BA863" s="172">
        <f t="shared" si="329"/>
        <v>1</v>
      </c>
      <c r="BB863" s="175">
        <f t="shared" si="332"/>
        <v>16</v>
      </c>
      <c r="BC863" s="176">
        <f t="shared" si="333"/>
        <v>15</v>
      </c>
      <c r="BD863" s="176">
        <f t="shared" si="334"/>
        <v>16</v>
      </c>
      <c r="BE863" s="240" t="str">
        <f t="shared" si="343"/>
        <v/>
      </c>
      <c r="BF863" s="234"/>
      <c r="BG863" s="234"/>
      <c r="BH863" s="199">
        <f>IF(AND(Input_Product=Elig!$C863,Elig_MatchAll_Ct&lt;22,$BC863=(Elig_MatchAll_Ct-1),AF863=0),C863,0)</f>
        <v>0</v>
      </c>
      <c r="BI863" s="199">
        <f>IF(AND(Input_Product=Elig!$C863,Elig_MatchAll_Ct&lt;22,$BC863=(Elig_MatchAll_Ct-1),AG863=0),D863,0)</f>
        <v>0</v>
      </c>
      <c r="BJ863" s="199">
        <f>IF(AND(Input_Product=Elig!$C863,Elig_MatchAll_Ct&lt;22,$BC863=(Elig_MatchAll_Ct-1),AH863=0),E863,0)</f>
        <v>0</v>
      </c>
      <c r="BK863" s="199">
        <f>IF(AND(Input_Product=Elig!$C863,Elig_MatchAll_Ct&lt;22,$BC863=(Elig_MatchAll_Ct-1),AI863=0),F863,0)</f>
        <v>0</v>
      </c>
      <c r="BL863" s="199">
        <f>IF(AND(Input_Product=Elig!$C863,Elig_MatchAll_Ct&lt;22,$BC863=(Elig_MatchAll_Ct-1),AJ863=0),G863,0)</f>
        <v>0</v>
      </c>
      <c r="BM863" s="199">
        <f>IF(AND(Input_Product=Elig!$C863,Elig_MatchAll_Ct&lt;22,$BC863=(Elig_MatchAll_Ct-1),AK863=0),H863,0)</f>
        <v>0</v>
      </c>
      <c r="BN863" s="199">
        <f>IF(AND(Input_Product=Elig!$C863,Elig_MatchAll_Ct&lt;22,$BC863=(Elig_MatchAll_Ct-1),AL863=0),I863,0)</f>
        <v>0</v>
      </c>
      <c r="BO863" s="199">
        <f>IF(AND(Input_Product=Elig!$C863,Elig_MatchAll_Ct&lt;22,$BC863=(Elig_MatchAll_Ct-1),AM863=0),J863,0)</f>
        <v>0</v>
      </c>
      <c r="BP863" s="199">
        <f>IF(AND(Input_Product=Elig!$C863,Elig_MatchAll_Ct&lt;22,$BC863=(Elig_MatchAll_Ct-1),AN863=0),K863,0)</f>
        <v>0</v>
      </c>
      <c r="BQ863" s="199">
        <f>IF(AND(Input_Product=Elig!$C863,Elig_MatchAll_Ct&lt;22,$BC863=(Elig_MatchAll_Ct-1),AP863=0),L863,0)</f>
        <v>0</v>
      </c>
      <c r="BR863" s="199">
        <f>IF(AND(Input_Product=Elig!$C863,Elig_MatchAll_Ct&lt;22,$BC863=(Elig_MatchAll_Ct-1),AO863=0),M863,0)</f>
        <v>0</v>
      </c>
      <c r="BS863" s="199">
        <f>IF(AND(Input_Product=Elig!$C863,Elig_MatchAll_Ct&lt;22,$BC863=(Elig_MatchAll_Ct-1),AQ863=0),N863,0)</f>
        <v>0</v>
      </c>
      <c r="BT863" s="199">
        <f>IF(AND(Input_Product=Elig!$C863,Elig_MatchAll_Ct&lt;22,$BC863=(Elig_MatchAll_Ct-1),AR863=0),O863,0)</f>
        <v>0</v>
      </c>
      <c r="BU863" s="199">
        <f>IF(AND(Input_Product=Elig!$C863,Elig_MatchAll_Ct&lt;22,$BC863=(Elig_MatchAll_Ct-1),AS863=0),P863,0)</f>
        <v>0</v>
      </c>
      <c r="BV863" s="200">
        <f>IF(AND(Input_Product=Elig!$C863,Elig_MatchAll_Ct&lt;22,$BC863=(Elig_MatchAll_Ct-1),AT863=0),Q863,0)</f>
        <v>0</v>
      </c>
      <c r="BW863" s="201">
        <f>IF(AND(Input_Product=Elig!$C863,Elig_MatchAll_Ct&lt;22,$BC863=(Elig_MatchAll_Ct-1),AU863=0),R863,0)</f>
        <v>0</v>
      </c>
      <c r="BX863" s="202">
        <f>IF(AND(Input_Product=Elig!$C863,Elig_MatchAll_Ct&lt;22,$BC863=(Elig_MatchAll_Ct-1),AU863=0),S863,0)</f>
        <v>0</v>
      </c>
      <c r="BY863" s="201">
        <f>IF(AND(Input_Product=Elig!$C863,Elig_MatchAll_Ct&lt;22,$BC863=(Elig_MatchAll_Ct-1),AV863=0),T863,0)</f>
        <v>0</v>
      </c>
      <c r="BZ863" s="202">
        <f>IF(AND(Input_Product=Elig!$C863,Elig_MatchAll_Ct&lt;22,$BC863=(Elig_MatchAll_Ct-1),AV863=0),U863,0)</f>
        <v>0</v>
      </c>
      <c r="CA863" s="201">
        <f>IF(AND(Input_Product=Elig!$C863,Elig_MatchAll_Ct&lt;22,$BC863=(Elig_MatchAll_Ct-1),AW863=0),V863,0)</f>
        <v>0</v>
      </c>
      <c r="CB863" s="202">
        <f>IF(AND(Input_Product=Elig!$C863,Elig_MatchAll_Ct&lt;22,$BC863=(Elig_MatchAll_Ct-1),AW863=0),W863,0)</f>
        <v>0</v>
      </c>
      <c r="CC863" s="201">
        <f>IF(AND(Input_Product=Elig!$C863,Elig_MatchAll_Ct&lt;22,$BC863=(Elig_MatchAll_Ct-1),AX863=0),X863,0)</f>
        <v>0</v>
      </c>
      <c r="CD863" s="202">
        <f>IF(AND(Input_Product=Elig!$C863,Elig_MatchAll_Ct&lt;22,$BC863=(Elig_MatchAll_Ct-1),AX863=0),Y863,0)</f>
        <v>0</v>
      </c>
      <c r="CE863" s="201">
        <f>IF(AND(Input_LTV&lt;=AE863,Input_Product=Elig!$C863,Elig_MatchAll_Ct&lt;22,$BC863=(Elig_MatchAll_Ct-1),AY863=0),Z863,0)</f>
        <v>0</v>
      </c>
      <c r="CF863" s="202">
        <f>IF(AND(Input_LTV&lt;=AE863,Input_Product=Elig!$C863,Elig_MatchAll_Ct&lt;22,$BC863=(Elig_MatchAll_Ct-1),AY863=0),AA863,0)</f>
        <v>0</v>
      </c>
      <c r="CG863" s="201">
        <f>IF(AND(Input_Product=Elig!$C863,Elig_MatchAll_Ct&lt;22,$BC863=(Elig_MatchAll_Ct-1),AZ863=0),AB863,0)</f>
        <v>0</v>
      </c>
      <c r="CH863" s="202">
        <f>IF(AND(Input_Product=Elig!$C863,Elig_MatchAll_Ct&lt;22,$BC863=(Elig_MatchAll_Ct-1),AZ863=0),AC863,0)</f>
        <v>0</v>
      </c>
      <c r="CI863" s="201">
        <f>IF(AND(Input_Product=Elig!$C863,Elig_MatchAll_Ct&lt;22,$BC863=(Elig_MatchAll_Ct-1),BA863=0),AD863,0)</f>
        <v>0</v>
      </c>
      <c r="CJ863" s="202">
        <f>IF(AND(Input_Product=Elig!$C863,Elig_MatchAll_Ct&lt;22,$BC863=(Elig_MatchAll_Ct-1),BA863=0),AE863,0)</f>
        <v>0</v>
      </c>
    </row>
    <row r="864" spans="2:88" ht="10.15" customHeight="1" x14ac:dyDescent="0.25">
      <c r="B864" s="2035" t="s">
        <v>4047</v>
      </c>
      <c r="C864" s="2036" t="str">
        <f t="shared" si="351"/>
        <v>Second NOO</v>
      </c>
      <c r="D864" s="2035" t="s">
        <v>1569</v>
      </c>
      <c r="E864" s="2035" t="s">
        <v>98</v>
      </c>
      <c r="F864" s="2035" t="s">
        <v>330</v>
      </c>
      <c r="G864" s="2110" t="s">
        <v>175</v>
      </c>
      <c r="H864" s="2037" t="s">
        <v>446</v>
      </c>
      <c r="I864" s="2035" t="s">
        <v>1332</v>
      </c>
      <c r="J864" s="2035" t="s">
        <v>1311</v>
      </c>
      <c r="K864" s="2037" t="s">
        <v>1790</v>
      </c>
      <c r="L864" s="2035" t="s">
        <v>430</v>
      </c>
      <c r="M864" s="2035" t="s">
        <v>2677</v>
      </c>
      <c r="N864" s="2037" t="s">
        <v>82</v>
      </c>
      <c r="O864" s="2035" t="s">
        <v>310</v>
      </c>
      <c r="P864" s="2035" t="s">
        <v>291</v>
      </c>
      <c r="Q864" s="2035" t="s">
        <v>294</v>
      </c>
      <c r="R864" s="2109">
        <v>500000.01</v>
      </c>
      <c r="S864" s="2109">
        <v>750000</v>
      </c>
      <c r="T864" s="2035">
        <v>0</v>
      </c>
      <c r="U864" s="2035">
        <f t="shared" si="352"/>
        <v>750000</v>
      </c>
      <c r="V864" s="2035">
        <v>0</v>
      </c>
      <c r="W864" s="2035">
        <v>50</v>
      </c>
      <c r="X864" s="2035">
        <v>0</v>
      </c>
      <c r="Y864" s="2035">
        <v>999</v>
      </c>
      <c r="Z864" s="2038">
        <v>680</v>
      </c>
      <c r="AA864" s="2038">
        <v>699</v>
      </c>
      <c r="AB864" s="2038">
        <v>0</v>
      </c>
      <c r="AC864" s="2038">
        <v>999999</v>
      </c>
      <c r="AD864" s="2035">
        <v>0</v>
      </c>
      <c r="AE864" s="2035">
        <v>55</v>
      </c>
      <c r="AF864" s="170">
        <v>0</v>
      </c>
      <c r="AG864" s="171">
        <v>1</v>
      </c>
      <c r="AH864" s="171">
        <v>1</v>
      </c>
      <c r="AI864" s="171">
        <v>0</v>
      </c>
      <c r="AJ864" s="171">
        <v>0</v>
      </c>
      <c r="AK864" s="171">
        <v>0</v>
      </c>
      <c r="AL864" s="171">
        <v>1</v>
      </c>
      <c r="AM864" s="171">
        <v>1</v>
      </c>
      <c r="AN864" s="171">
        <v>1</v>
      </c>
      <c r="AO864" s="171">
        <v>1</v>
      </c>
      <c r="AP864" s="171">
        <v>1</v>
      </c>
      <c r="AQ864" s="171">
        <v>1</v>
      </c>
      <c r="AR864" s="171">
        <v>1</v>
      </c>
      <c r="AS864" s="171">
        <v>1</v>
      </c>
      <c r="AT864" s="171">
        <v>1</v>
      </c>
      <c r="AU864" s="171">
        <f t="shared" si="324"/>
        <v>0</v>
      </c>
      <c r="AV864" s="171">
        <f t="shared" si="325"/>
        <v>1</v>
      </c>
      <c r="AW864" s="171">
        <f t="shared" si="326"/>
        <v>1</v>
      </c>
      <c r="AX864" s="171">
        <f t="shared" si="335"/>
        <v>1</v>
      </c>
      <c r="AY864" s="171">
        <f t="shared" si="327"/>
        <v>0</v>
      </c>
      <c r="AZ864" s="171">
        <f t="shared" si="328"/>
        <v>1</v>
      </c>
      <c r="BA864" s="172">
        <f t="shared" si="329"/>
        <v>0</v>
      </c>
      <c r="BB864" s="175">
        <f t="shared" si="332"/>
        <v>15</v>
      </c>
      <c r="BC864" s="176">
        <f t="shared" si="333"/>
        <v>15</v>
      </c>
      <c r="BD864" s="176">
        <f t="shared" si="334"/>
        <v>15</v>
      </c>
      <c r="BE864" s="240" t="str">
        <f t="shared" si="343"/>
        <v/>
      </c>
      <c r="BF864" s="234"/>
      <c r="BG864" s="234"/>
      <c r="BH864" s="199">
        <f>IF(AND(Input_Product=Elig!$C864,Elig_MatchAll_Ct&lt;22,$BC864=(Elig_MatchAll_Ct-1),AF864=0),C864,0)</f>
        <v>0</v>
      </c>
      <c r="BI864" s="199">
        <f>IF(AND(Input_Product=Elig!$C864,Elig_MatchAll_Ct&lt;22,$BC864=(Elig_MatchAll_Ct-1),AG864=0),D864,0)</f>
        <v>0</v>
      </c>
      <c r="BJ864" s="199">
        <f>IF(AND(Input_Product=Elig!$C864,Elig_MatchAll_Ct&lt;22,$BC864=(Elig_MatchAll_Ct-1),AH864=0),E864,0)</f>
        <v>0</v>
      </c>
      <c r="BK864" s="199">
        <f>IF(AND(Input_Product=Elig!$C864,Elig_MatchAll_Ct&lt;22,$BC864=(Elig_MatchAll_Ct-1),AI864=0),F864,0)</f>
        <v>0</v>
      </c>
      <c r="BL864" s="199">
        <f>IF(AND(Input_Product=Elig!$C864,Elig_MatchAll_Ct&lt;22,$BC864=(Elig_MatchAll_Ct-1),AJ864=0),G864,0)</f>
        <v>0</v>
      </c>
      <c r="BM864" s="199">
        <f>IF(AND(Input_Product=Elig!$C864,Elig_MatchAll_Ct&lt;22,$BC864=(Elig_MatchAll_Ct-1),AK864=0),H864,0)</f>
        <v>0</v>
      </c>
      <c r="BN864" s="199">
        <f>IF(AND(Input_Product=Elig!$C864,Elig_MatchAll_Ct&lt;22,$BC864=(Elig_MatchAll_Ct-1),AL864=0),I864,0)</f>
        <v>0</v>
      </c>
      <c r="BO864" s="199">
        <f>IF(AND(Input_Product=Elig!$C864,Elig_MatchAll_Ct&lt;22,$BC864=(Elig_MatchAll_Ct-1),AM864=0),J864,0)</f>
        <v>0</v>
      </c>
      <c r="BP864" s="199">
        <f>IF(AND(Input_Product=Elig!$C864,Elig_MatchAll_Ct&lt;22,$BC864=(Elig_MatchAll_Ct-1),AN864=0),K864,0)</f>
        <v>0</v>
      </c>
      <c r="BQ864" s="199">
        <f>IF(AND(Input_Product=Elig!$C864,Elig_MatchAll_Ct&lt;22,$BC864=(Elig_MatchAll_Ct-1),AP864=0),L864,0)</f>
        <v>0</v>
      </c>
      <c r="BR864" s="199">
        <f>IF(AND(Input_Product=Elig!$C864,Elig_MatchAll_Ct&lt;22,$BC864=(Elig_MatchAll_Ct-1),AO864=0),M864,0)</f>
        <v>0</v>
      </c>
      <c r="BS864" s="199">
        <f>IF(AND(Input_Product=Elig!$C864,Elig_MatchAll_Ct&lt;22,$BC864=(Elig_MatchAll_Ct-1),AQ864=0),N864,0)</f>
        <v>0</v>
      </c>
      <c r="BT864" s="199">
        <f>IF(AND(Input_Product=Elig!$C864,Elig_MatchAll_Ct&lt;22,$BC864=(Elig_MatchAll_Ct-1),AR864=0),O864,0)</f>
        <v>0</v>
      </c>
      <c r="BU864" s="199">
        <f>IF(AND(Input_Product=Elig!$C864,Elig_MatchAll_Ct&lt;22,$BC864=(Elig_MatchAll_Ct-1),AS864=0),P864,0)</f>
        <v>0</v>
      </c>
      <c r="BV864" s="200">
        <f>IF(AND(Input_Product=Elig!$C864,Elig_MatchAll_Ct&lt;22,$BC864=(Elig_MatchAll_Ct-1),AT864=0),Q864,0)</f>
        <v>0</v>
      </c>
      <c r="BW864" s="201">
        <f>IF(AND(Input_Product=Elig!$C864,Elig_MatchAll_Ct&lt;22,$BC864=(Elig_MatchAll_Ct-1),AU864=0),R864,0)</f>
        <v>0</v>
      </c>
      <c r="BX864" s="202">
        <f>IF(AND(Input_Product=Elig!$C864,Elig_MatchAll_Ct&lt;22,$BC864=(Elig_MatchAll_Ct-1),AU864=0),S864,0)</f>
        <v>0</v>
      </c>
      <c r="BY864" s="201">
        <f>IF(AND(Input_Product=Elig!$C864,Elig_MatchAll_Ct&lt;22,$BC864=(Elig_MatchAll_Ct-1),AV864=0),T864,0)</f>
        <v>0</v>
      </c>
      <c r="BZ864" s="202">
        <f>IF(AND(Input_Product=Elig!$C864,Elig_MatchAll_Ct&lt;22,$BC864=(Elig_MatchAll_Ct-1),AV864=0),U864,0)</f>
        <v>0</v>
      </c>
      <c r="CA864" s="201">
        <f>IF(AND(Input_Product=Elig!$C864,Elig_MatchAll_Ct&lt;22,$BC864=(Elig_MatchAll_Ct-1),AW864=0),V864,0)</f>
        <v>0</v>
      </c>
      <c r="CB864" s="202">
        <f>IF(AND(Input_Product=Elig!$C864,Elig_MatchAll_Ct&lt;22,$BC864=(Elig_MatchAll_Ct-1),AW864=0),W864,0)</f>
        <v>0</v>
      </c>
      <c r="CC864" s="201">
        <f>IF(AND(Input_Product=Elig!$C864,Elig_MatchAll_Ct&lt;22,$BC864=(Elig_MatchAll_Ct-1),AX864=0),X864,0)</f>
        <v>0</v>
      </c>
      <c r="CD864" s="202">
        <f>IF(AND(Input_Product=Elig!$C864,Elig_MatchAll_Ct&lt;22,$BC864=(Elig_MatchAll_Ct-1),AX864=0),Y864,0)</f>
        <v>0</v>
      </c>
      <c r="CE864" s="201">
        <f>IF(AND(Input_LTV&lt;=AE864,Input_Product=Elig!$C864,Elig_MatchAll_Ct&lt;22,$BC864=(Elig_MatchAll_Ct-1),AY864=0),Z864,0)</f>
        <v>0</v>
      </c>
      <c r="CF864" s="202">
        <f>IF(AND(Input_LTV&lt;=AE864,Input_Product=Elig!$C864,Elig_MatchAll_Ct&lt;22,$BC864=(Elig_MatchAll_Ct-1),AY864=0),AA864,0)</f>
        <v>0</v>
      </c>
      <c r="CG864" s="201">
        <f>IF(AND(Input_Product=Elig!$C864,Elig_MatchAll_Ct&lt;22,$BC864=(Elig_MatchAll_Ct-1),AZ864=0),AB864,0)</f>
        <v>0</v>
      </c>
      <c r="CH864" s="202">
        <f>IF(AND(Input_Product=Elig!$C864,Elig_MatchAll_Ct&lt;22,$BC864=(Elig_MatchAll_Ct-1),AZ864=0),AC864,0)</f>
        <v>0</v>
      </c>
      <c r="CI864" s="201">
        <f>IF(AND(Input_Product=Elig!$C864,Elig_MatchAll_Ct&lt;22,$BC864=(Elig_MatchAll_Ct-1),BA864=0),AD864,0)</f>
        <v>0</v>
      </c>
      <c r="CJ864" s="202">
        <f>IF(AND(Input_Product=Elig!$C864,Elig_MatchAll_Ct&lt;22,$BC864=(Elig_MatchAll_Ct-1),BA864=0),AE864,0)</f>
        <v>0</v>
      </c>
    </row>
    <row r="865" spans="2:88" ht="10.15" customHeight="1" x14ac:dyDescent="0.25">
      <c r="B865" s="2035" t="s">
        <v>4048</v>
      </c>
      <c r="C865" s="2036" t="str">
        <f t="shared" si="351"/>
        <v>Second NOO</v>
      </c>
      <c r="D865" s="2035" t="s">
        <v>1569</v>
      </c>
      <c r="E865" s="2035" t="s">
        <v>98</v>
      </c>
      <c r="F865" s="2035" t="s">
        <v>330</v>
      </c>
      <c r="G865" s="2111" t="s">
        <v>175</v>
      </c>
      <c r="H865" s="2037" t="s">
        <v>446</v>
      </c>
      <c r="I865" s="2035" t="s">
        <v>1332</v>
      </c>
      <c r="J865" s="2035" t="s">
        <v>1311</v>
      </c>
      <c r="K865" s="2037" t="s">
        <v>1790</v>
      </c>
      <c r="L865" s="2035" t="s">
        <v>430</v>
      </c>
      <c r="M865" s="2035" t="s">
        <v>2677</v>
      </c>
      <c r="N865" s="2037" t="s">
        <v>82</v>
      </c>
      <c r="O865" s="2035" t="s">
        <v>310</v>
      </c>
      <c r="P865" s="2035" t="s">
        <v>291</v>
      </c>
      <c r="Q865" s="2035" t="s">
        <v>294</v>
      </c>
      <c r="R865" s="2109">
        <v>500000.01</v>
      </c>
      <c r="S865" s="2109">
        <v>750000</v>
      </c>
      <c r="T865" s="2035">
        <v>0</v>
      </c>
      <c r="U865" s="2035">
        <f t="shared" si="352"/>
        <v>750000</v>
      </c>
      <c r="V865" s="2035">
        <v>0</v>
      </c>
      <c r="W865" s="2035">
        <v>50</v>
      </c>
      <c r="X865" s="2035">
        <v>0</v>
      </c>
      <c r="Y865" s="2035">
        <v>999</v>
      </c>
      <c r="Z865" s="2038">
        <v>660</v>
      </c>
      <c r="AA865" s="2038">
        <v>679</v>
      </c>
      <c r="AB865" s="2038">
        <v>0</v>
      </c>
      <c r="AC865" s="2038">
        <v>999999</v>
      </c>
      <c r="AD865" s="2035">
        <v>0</v>
      </c>
      <c r="AE865" s="2035">
        <v>50</v>
      </c>
      <c r="AF865" s="170">
        <v>0</v>
      </c>
      <c r="AG865" s="171">
        <v>1</v>
      </c>
      <c r="AH865" s="171">
        <v>1</v>
      </c>
      <c r="AI865" s="171">
        <v>0</v>
      </c>
      <c r="AJ865" s="171">
        <v>0</v>
      </c>
      <c r="AK865" s="171">
        <v>0</v>
      </c>
      <c r="AL865" s="171">
        <v>1</v>
      </c>
      <c r="AM865" s="171">
        <v>1</v>
      </c>
      <c r="AN865" s="171">
        <v>1</v>
      </c>
      <c r="AO865" s="171">
        <v>1</v>
      </c>
      <c r="AP865" s="171">
        <v>1</v>
      </c>
      <c r="AQ865" s="171">
        <v>1</v>
      </c>
      <c r="AR865" s="171">
        <v>1</v>
      </c>
      <c r="AS865" s="171">
        <v>1</v>
      </c>
      <c r="AT865" s="171">
        <v>1</v>
      </c>
      <c r="AU865" s="171">
        <f t="shared" si="324"/>
        <v>0</v>
      </c>
      <c r="AV865" s="171">
        <f t="shared" si="325"/>
        <v>1</v>
      </c>
      <c r="AW865" s="171">
        <f t="shared" si="326"/>
        <v>1</v>
      </c>
      <c r="AX865" s="171">
        <f t="shared" si="335"/>
        <v>1</v>
      </c>
      <c r="AY865" s="171">
        <f t="shared" si="327"/>
        <v>0</v>
      </c>
      <c r="AZ865" s="171">
        <f t="shared" si="328"/>
        <v>1</v>
      </c>
      <c r="BA865" s="172">
        <f t="shared" si="329"/>
        <v>0</v>
      </c>
      <c r="BB865" s="175">
        <f t="shared" si="332"/>
        <v>15</v>
      </c>
      <c r="BC865" s="176">
        <f t="shared" si="333"/>
        <v>15</v>
      </c>
      <c r="BD865" s="176">
        <f t="shared" si="334"/>
        <v>15</v>
      </c>
      <c r="BE865" s="240" t="str">
        <f t="shared" si="343"/>
        <v/>
      </c>
      <c r="BF865" s="234"/>
      <c r="BG865" s="234"/>
      <c r="BH865" s="214">
        <f>IF(AND(Input_Product=Elig!$C865,Elig_MatchAll_Ct&lt;22,$BC865=(Elig_MatchAll_Ct-1),AF865=0),C865,0)</f>
        <v>0</v>
      </c>
      <c r="BI865" s="214">
        <f>IF(AND(Input_Product=Elig!$C865,Elig_MatchAll_Ct&lt;22,$BC865=(Elig_MatchAll_Ct-1),AG865=0),D865,0)</f>
        <v>0</v>
      </c>
      <c r="BJ865" s="214">
        <f>IF(AND(Input_Product=Elig!$C865,Elig_MatchAll_Ct&lt;22,$BC865=(Elig_MatchAll_Ct-1),AH865=0),E865,0)</f>
        <v>0</v>
      </c>
      <c r="BK865" s="214">
        <f>IF(AND(Input_Product=Elig!$C865,Elig_MatchAll_Ct&lt;22,$BC865=(Elig_MatchAll_Ct-1),AI865=0),F865,0)</f>
        <v>0</v>
      </c>
      <c r="BL865" s="214">
        <f>IF(AND(Input_Product=Elig!$C865,Elig_MatchAll_Ct&lt;22,$BC865=(Elig_MatchAll_Ct-1),AJ865=0),G865,0)</f>
        <v>0</v>
      </c>
      <c r="BM865" s="214">
        <f>IF(AND(Input_Product=Elig!$C865,Elig_MatchAll_Ct&lt;22,$BC865=(Elig_MatchAll_Ct-1),AK865=0),H865,0)</f>
        <v>0</v>
      </c>
      <c r="BN865" s="214">
        <f>IF(AND(Input_Product=Elig!$C865,Elig_MatchAll_Ct&lt;22,$BC865=(Elig_MatchAll_Ct-1),AL865=0),I865,0)</f>
        <v>0</v>
      </c>
      <c r="BO865" s="214">
        <f>IF(AND(Input_Product=Elig!$C865,Elig_MatchAll_Ct&lt;22,$BC865=(Elig_MatchAll_Ct-1),AM865=0),J865,0)</f>
        <v>0</v>
      </c>
      <c r="BP865" s="214">
        <f>IF(AND(Input_Product=Elig!$C865,Elig_MatchAll_Ct&lt;22,$BC865=(Elig_MatchAll_Ct-1),AN865=0),K865,0)</f>
        <v>0</v>
      </c>
      <c r="BQ865" s="214">
        <f>IF(AND(Input_Product=Elig!$C865,Elig_MatchAll_Ct&lt;22,$BC865=(Elig_MatchAll_Ct-1),AP865=0),L865,0)</f>
        <v>0</v>
      </c>
      <c r="BR865" s="214">
        <f>IF(AND(Input_Product=Elig!$C865,Elig_MatchAll_Ct&lt;22,$BC865=(Elig_MatchAll_Ct-1),AO865=0),M865,0)</f>
        <v>0</v>
      </c>
      <c r="BS865" s="214">
        <f>IF(AND(Input_Product=Elig!$C865,Elig_MatchAll_Ct&lt;22,$BC865=(Elig_MatchAll_Ct-1),AQ865=0),N865,0)</f>
        <v>0</v>
      </c>
      <c r="BT865" s="214">
        <f>IF(AND(Input_Product=Elig!$C865,Elig_MatchAll_Ct&lt;22,$BC865=(Elig_MatchAll_Ct-1),AR865=0),O865,0)</f>
        <v>0</v>
      </c>
      <c r="BU865" s="214">
        <f>IF(AND(Input_Product=Elig!$C865,Elig_MatchAll_Ct&lt;22,$BC865=(Elig_MatchAll_Ct-1),AS865=0),P865,0)</f>
        <v>0</v>
      </c>
      <c r="BV865" s="215">
        <f>IF(AND(Input_Product=Elig!$C865,Elig_MatchAll_Ct&lt;22,$BC865=(Elig_MatchAll_Ct-1),AT865=0),Q865,0)</f>
        <v>0</v>
      </c>
      <c r="BW865" s="311">
        <f>IF(AND(Input_Product=Elig!$C865,Elig_MatchAll_Ct&lt;22,$BC865=(Elig_MatchAll_Ct-1),AU865=0),R865,0)</f>
        <v>0</v>
      </c>
      <c r="BX865" s="312">
        <f>IF(AND(Input_Product=Elig!$C865,Elig_MatchAll_Ct&lt;22,$BC865=(Elig_MatchAll_Ct-1),AU865=0),S865,0)</f>
        <v>0</v>
      </c>
      <c r="BY865" s="311">
        <f>IF(AND(Input_Product=Elig!$C865,Elig_MatchAll_Ct&lt;22,$BC865=(Elig_MatchAll_Ct-1),AV865=0),T865,0)</f>
        <v>0</v>
      </c>
      <c r="BZ865" s="312">
        <f>IF(AND(Input_Product=Elig!$C865,Elig_MatchAll_Ct&lt;22,$BC865=(Elig_MatchAll_Ct-1),AV865=0),U865,0)</f>
        <v>0</v>
      </c>
      <c r="CA865" s="311">
        <f>IF(AND(Input_Product=Elig!$C865,Elig_MatchAll_Ct&lt;22,$BC865=(Elig_MatchAll_Ct-1),AW865=0),V865,0)</f>
        <v>0</v>
      </c>
      <c r="CB865" s="312">
        <f>IF(AND(Input_Product=Elig!$C865,Elig_MatchAll_Ct&lt;22,$BC865=(Elig_MatchAll_Ct-1),AW865=0),W865,0)</f>
        <v>0</v>
      </c>
      <c r="CC865" s="311">
        <f>IF(AND(Input_Product=Elig!$C865,Elig_MatchAll_Ct&lt;22,$BC865=(Elig_MatchAll_Ct-1),AX865=0),X865,0)</f>
        <v>0</v>
      </c>
      <c r="CD865" s="312">
        <f>IF(AND(Input_Product=Elig!$C865,Elig_MatchAll_Ct&lt;22,$BC865=(Elig_MatchAll_Ct-1),AX865=0),Y865,0)</f>
        <v>0</v>
      </c>
      <c r="CE865" s="311">
        <f>IF(AND(Input_LTV&lt;=AE865,Input_Product=Elig!$C865,Elig_MatchAll_Ct&lt;22,$BC865=(Elig_MatchAll_Ct-1),AY865=0),Z865,0)</f>
        <v>0</v>
      </c>
      <c r="CF865" s="312">
        <f>IF(AND(Input_LTV&lt;=AE865,Input_Product=Elig!$C865,Elig_MatchAll_Ct&lt;22,$BC865=(Elig_MatchAll_Ct-1),AY865=0),AA865,0)</f>
        <v>0</v>
      </c>
      <c r="CG865" s="311">
        <f>IF(AND(Input_Product=Elig!$C865,Elig_MatchAll_Ct&lt;22,$BC865=(Elig_MatchAll_Ct-1),AZ865=0),AB865,0)</f>
        <v>0</v>
      </c>
      <c r="CH865" s="312">
        <f>IF(AND(Input_Product=Elig!$C865,Elig_MatchAll_Ct&lt;22,$BC865=(Elig_MatchAll_Ct-1),AZ865=0),AC865,0)</f>
        <v>0</v>
      </c>
      <c r="CI865" s="311">
        <f>IF(AND(Input_Product=Elig!$C865,Elig_MatchAll_Ct&lt;22,$BC865=(Elig_MatchAll_Ct-1),BA865=0),AD865,0)</f>
        <v>0</v>
      </c>
      <c r="CJ865" s="312">
        <f>IF(AND(Input_Product=Elig!$C865,Elig_MatchAll_Ct&lt;22,$BC865=(Elig_MatchAll_Ct-1),BA865=0),AE865,0)</f>
        <v>0</v>
      </c>
    </row>
    <row r="866" spans="2:88" ht="10.15" customHeight="1" x14ac:dyDescent="0.25">
      <c r="B866" s="2035" t="s">
        <v>4083</v>
      </c>
      <c r="C866" s="2040" t="str">
        <f t="shared" si="351"/>
        <v>Second NOO</v>
      </c>
      <c r="D866" s="2041" t="s">
        <v>1569</v>
      </c>
      <c r="E866" s="2041" t="s">
        <v>98</v>
      </c>
      <c r="F866" s="2041" t="s">
        <v>330</v>
      </c>
      <c r="G866" s="2103" t="s">
        <v>468</v>
      </c>
      <c r="H866" s="2041" t="s">
        <v>136</v>
      </c>
      <c r="I866" s="2039" t="s">
        <v>1332</v>
      </c>
      <c r="J866" s="2039" t="s">
        <v>1311</v>
      </c>
      <c r="K866" s="2041" t="s">
        <v>1790</v>
      </c>
      <c r="L866" s="2039" t="s">
        <v>430</v>
      </c>
      <c r="M866" s="2039" t="s">
        <v>2677</v>
      </c>
      <c r="N866" s="2041" t="s">
        <v>82</v>
      </c>
      <c r="O866" s="2039" t="s">
        <v>310</v>
      </c>
      <c r="P866" s="2039" t="s">
        <v>291</v>
      </c>
      <c r="Q866" s="2039" t="s">
        <v>294</v>
      </c>
      <c r="R866" s="2108">
        <v>500000.01</v>
      </c>
      <c r="S866" s="2108">
        <v>750000</v>
      </c>
      <c r="T866" s="2039">
        <v>0</v>
      </c>
      <c r="U866" s="2039">
        <f t="shared" ref="U866:U869" si="353">S866</f>
        <v>750000</v>
      </c>
      <c r="V866" s="2039">
        <v>0</v>
      </c>
      <c r="W866" s="2039">
        <v>50</v>
      </c>
      <c r="X866" s="2039">
        <v>0</v>
      </c>
      <c r="Y866" s="2039">
        <v>999</v>
      </c>
      <c r="Z866" s="2042">
        <v>720</v>
      </c>
      <c r="AA866" s="2042">
        <v>999</v>
      </c>
      <c r="AB866" s="2042">
        <v>0</v>
      </c>
      <c r="AC866" s="2042">
        <v>999999</v>
      </c>
      <c r="AD866" s="2039">
        <v>0</v>
      </c>
      <c r="AE866" s="2108">
        <v>70</v>
      </c>
      <c r="AF866" s="170">
        <v>0</v>
      </c>
      <c r="AG866" s="171">
        <v>1</v>
      </c>
      <c r="AH866" s="171">
        <v>1</v>
      </c>
      <c r="AI866" s="171">
        <v>0</v>
      </c>
      <c r="AJ866" s="171">
        <v>0</v>
      </c>
      <c r="AK866" s="171">
        <v>1</v>
      </c>
      <c r="AL866" s="171">
        <v>1</v>
      </c>
      <c r="AM866" s="171">
        <v>1</v>
      </c>
      <c r="AN866" s="171">
        <v>1</v>
      </c>
      <c r="AO866" s="171">
        <v>1</v>
      </c>
      <c r="AP866" s="171">
        <v>1</v>
      </c>
      <c r="AQ866" s="171">
        <v>1</v>
      </c>
      <c r="AR866" s="171">
        <v>1</v>
      </c>
      <c r="AS866" s="171">
        <v>1</v>
      </c>
      <c r="AT866" s="171">
        <v>1</v>
      </c>
      <c r="AU866" s="171">
        <f t="shared" si="324"/>
        <v>0</v>
      </c>
      <c r="AV866" s="171">
        <f t="shared" si="325"/>
        <v>1</v>
      </c>
      <c r="AW866" s="171">
        <f t="shared" si="326"/>
        <v>1</v>
      </c>
      <c r="AX866" s="171">
        <f t="shared" si="335"/>
        <v>1</v>
      </c>
      <c r="AY866" s="171">
        <f t="shared" si="327"/>
        <v>1</v>
      </c>
      <c r="AZ866" s="171">
        <f t="shared" si="328"/>
        <v>1</v>
      </c>
      <c r="BA866" s="172">
        <f t="shared" si="329"/>
        <v>1</v>
      </c>
      <c r="BB866" s="175">
        <f t="shared" ref="BB866:BB869" si="354">SUM(AF866:BA866)</f>
        <v>18</v>
      </c>
      <c r="BC866" s="176">
        <f t="shared" ref="BC866:BC869" si="355">SUM(AF866:AZ866)</f>
        <v>17</v>
      </c>
      <c r="BD866" s="176">
        <f t="shared" ref="BD866:BD869" si="356">SUM(AG866:BA866)</f>
        <v>18</v>
      </c>
      <c r="BE866" s="240" t="str">
        <f t="shared" si="343"/>
        <v/>
      </c>
      <c r="BF866" s="220"/>
      <c r="BG866" s="220"/>
      <c r="BH866" s="216">
        <f>IF(AND(Input_Product=Elig!$C866,Elig_MatchAll_Ct&lt;22,$BC866=(Elig_MatchAll_Ct-1),AF866=0),C866,0)</f>
        <v>0</v>
      </c>
      <c r="BI866" s="216">
        <f>IF(AND(Input_Product=Elig!$C866,Elig_MatchAll_Ct&lt;22,$BC866=(Elig_MatchAll_Ct-1),AG866=0),D866,0)</f>
        <v>0</v>
      </c>
      <c r="BJ866" s="216">
        <f>IF(AND(Input_Product=Elig!$C866,Elig_MatchAll_Ct&lt;22,$BC866=(Elig_MatchAll_Ct-1),AH866=0),E866,0)</f>
        <v>0</v>
      </c>
      <c r="BK866" s="216">
        <f>IF(AND(Input_Product=Elig!$C866,Elig_MatchAll_Ct&lt;22,$BC866=(Elig_MatchAll_Ct-1),AI866=0),F866,0)</f>
        <v>0</v>
      </c>
      <c r="BL866" s="216">
        <f>IF(AND(Input_Product=Elig!$C866,Elig_MatchAll_Ct&lt;22,$BC866=(Elig_MatchAll_Ct-1),AJ866=0),G866,0)</f>
        <v>0</v>
      </c>
      <c r="BM866" s="216">
        <f>IF(AND(Input_Product=Elig!$C866,Elig_MatchAll_Ct&lt;22,$BC866=(Elig_MatchAll_Ct-1),AK866=0),H866,0)</f>
        <v>0</v>
      </c>
      <c r="BN866" s="216">
        <f>IF(AND(Input_Product=Elig!$C866,Elig_MatchAll_Ct&lt;22,$BC866=(Elig_MatchAll_Ct-1),AL866=0),I866,0)</f>
        <v>0</v>
      </c>
      <c r="BO866" s="216">
        <f>IF(AND(Input_Product=Elig!$C866,Elig_MatchAll_Ct&lt;22,$BC866=(Elig_MatchAll_Ct-1),AM866=0),J866,0)</f>
        <v>0</v>
      </c>
      <c r="BP866" s="216">
        <f>IF(AND(Input_Product=Elig!$C866,Elig_MatchAll_Ct&lt;22,$BC866=(Elig_MatchAll_Ct-1),AN866=0),K866,0)</f>
        <v>0</v>
      </c>
      <c r="BQ866" s="216">
        <f>IF(AND(Input_Product=Elig!$C866,Elig_MatchAll_Ct&lt;22,$BC866=(Elig_MatchAll_Ct-1),AP866=0),L866,0)</f>
        <v>0</v>
      </c>
      <c r="BR866" s="216">
        <f>IF(AND(Input_Product=Elig!$C866,Elig_MatchAll_Ct&lt;22,$BC866=(Elig_MatchAll_Ct-1),AO866=0),M866,0)</f>
        <v>0</v>
      </c>
      <c r="BS866" s="216">
        <f>IF(AND(Input_Product=Elig!$C866,Elig_MatchAll_Ct&lt;22,$BC866=(Elig_MatchAll_Ct-1),AQ866=0),N866,0)</f>
        <v>0</v>
      </c>
      <c r="BT866" s="216">
        <f>IF(AND(Input_Product=Elig!$C866,Elig_MatchAll_Ct&lt;22,$BC866=(Elig_MatchAll_Ct-1),AR866=0),O866,0)</f>
        <v>0</v>
      </c>
      <c r="BU866" s="216">
        <f>IF(AND(Input_Product=Elig!$C866,Elig_MatchAll_Ct&lt;22,$BC866=(Elig_MatchAll_Ct-1),AS866=0),P866,0)</f>
        <v>0</v>
      </c>
      <c r="BV866" s="217">
        <f>IF(AND(Input_Product=Elig!$C866,Elig_MatchAll_Ct&lt;22,$BC866=(Elig_MatchAll_Ct-1),AT866=0),Q866,0)</f>
        <v>0</v>
      </c>
      <c r="BW866" s="313">
        <f>IF(AND(Input_Product=Elig!$C866,Elig_MatchAll_Ct&lt;22,$BC866=(Elig_MatchAll_Ct-1),AU866=0),R866,0)</f>
        <v>0</v>
      </c>
      <c r="BX866" s="314">
        <f>IF(AND(Input_Product=Elig!$C866,Elig_MatchAll_Ct&lt;22,$BC866=(Elig_MatchAll_Ct-1),AU866=0),S866,0)</f>
        <v>0</v>
      </c>
      <c r="BY866" s="313">
        <f>IF(AND(Input_Product=Elig!$C866,Elig_MatchAll_Ct&lt;22,$BC866=(Elig_MatchAll_Ct-1),AV866=0),T866,0)</f>
        <v>0</v>
      </c>
      <c r="BZ866" s="314">
        <f>IF(AND(Input_Product=Elig!$C866,Elig_MatchAll_Ct&lt;22,$BC866=(Elig_MatchAll_Ct-1),AV866=0),U866,0)</f>
        <v>0</v>
      </c>
      <c r="CA866" s="313">
        <f>IF(AND(Input_Product=Elig!$C866,Elig_MatchAll_Ct&lt;22,$BC866=(Elig_MatchAll_Ct-1),AW866=0),V866,0)</f>
        <v>0</v>
      </c>
      <c r="CB866" s="314">
        <f>IF(AND(Input_Product=Elig!$C866,Elig_MatchAll_Ct&lt;22,$BC866=(Elig_MatchAll_Ct-1),AW866=0),W866,0)</f>
        <v>0</v>
      </c>
      <c r="CC866" s="313">
        <f>IF(AND(Input_Product=Elig!$C866,Elig_MatchAll_Ct&lt;22,$BC866=(Elig_MatchAll_Ct-1),AX866=0),X866,0)</f>
        <v>0</v>
      </c>
      <c r="CD866" s="314">
        <f>IF(AND(Input_Product=Elig!$C866,Elig_MatchAll_Ct&lt;22,$BC866=(Elig_MatchAll_Ct-1),AX866=0),Y866,0)</f>
        <v>0</v>
      </c>
      <c r="CE866" s="313">
        <f>IF(AND(Input_LTV&lt;=AE866,Input_Product=Elig!$C866,Elig_MatchAll_Ct&lt;22,$BC866=(Elig_MatchAll_Ct-1),AY866=0),Z866,0)</f>
        <v>0</v>
      </c>
      <c r="CF866" s="314">
        <f>IF(AND(Input_LTV&lt;=AE866,Input_Product=Elig!$C866,Elig_MatchAll_Ct&lt;22,$BC866=(Elig_MatchAll_Ct-1),AY866=0),AA866,0)</f>
        <v>0</v>
      </c>
      <c r="CG866" s="313">
        <f>IF(AND(Input_Product=Elig!$C866,Elig_MatchAll_Ct&lt;22,$BC866=(Elig_MatchAll_Ct-1),AZ866=0),AB866,0)</f>
        <v>0</v>
      </c>
      <c r="CH866" s="314">
        <f>IF(AND(Input_Product=Elig!$C866,Elig_MatchAll_Ct&lt;22,$BC866=(Elig_MatchAll_Ct-1),AZ866=0),AC866,0)</f>
        <v>0</v>
      </c>
      <c r="CI866" s="313">
        <f>IF(AND(Input_Product=Elig!$C866,Elig_MatchAll_Ct&lt;22,$BC866=(Elig_MatchAll_Ct-1),BA866=0),AD866,0)</f>
        <v>0</v>
      </c>
      <c r="CJ866" s="314">
        <f>IF(AND(Input_Product=Elig!$C866,Elig_MatchAll_Ct&lt;22,$BC866=(Elig_MatchAll_Ct-1),BA866=0),AE866,0)</f>
        <v>0</v>
      </c>
    </row>
    <row r="867" spans="2:88" ht="10.15" customHeight="1" x14ac:dyDescent="0.25">
      <c r="B867" s="2035" t="s">
        <v>4084</v>
      </c>
      <c r="C867" s="2036" t="str">
        <f t="shared" si="351"/>
        <v>Second NOO</v>
      </c>
      <c r="D867" s="2035" t="s">
        <v>1569</v>
      </c>
      <c r="E867" s="2035" t="s">
        <v>98</v>
      </c>
      <c r="F867" s="2035" t="s">
        <v>330</v>
      </c>
      <c r="G867" s="2110" t="s">
        <v>468</v>
      </c>
      <c r="H867" s="2037" t="s">
        <v>136</v>
      </c>
      <c r="I867" s="2035" t="s">
        <v>1332</v>
      </c>
      <c r="J867" s="2035" t="s">
        <v>1311</v>
      </c>
      <c r="K867" s="2037" t="s">
        <v>1790</v>
      </c>
      <c r="L867" s="2035" t="s">
        <v>430</v>
      </c>
      <c r="M867" s="2035" t="s">
        <v>2677</v>
      </c>
      <c r="N867" s="2037" t="s">
        <v>82</v>
      </c>
      <c r="O867" s="2035" t="s">
        <v>310</v>
      </c>
      <c r="P867" s="2035" t="s">
        <v>291</v>
      </c>
      <c r="Q867" s="2035" t="s">
        <v>294</v>
      </c>
      <c r="R867" s="2109">
        <v>500000.01</v>
      </c>
      <c r="S867" s="2109">
        <v>750000</v>
      </c>
      <c r="T867" s="2035">
        <v>0</v>
      </c>
      <c r="U867" s="2035">
        <f t="shared" si="353"/>
        <v>750000</v>
      </c>
      <c r="V867" s="2035">
        <v>0</v>
      </c>
      <c r="W867" s="2035">
        <v>50</v>
      </c>
      <c r="X867" s="2035">
        <v>0</v>
      </c>
      <c r="Y867" s="2035">
        <v>999</v>
      </c>
      <c r="Z867" s="2038">
        <v>700</v>
      </c>
      <c r="AA867" s="2038">
        <v>719</v>
      </c>
      <c r="AB867" s="2038">
        <v>0</v>
      </c>
      <c r="AC867" s="2038">
        <v>999999</v>
      </c>
      <c r="AD867" s="2035">
        <v>0</v>
      </c>
      <c r="AE867" s="2109">
        <v>65</v>
      </c>
      <c r="AF867" s="170">
        <v>0</v>
      </c>
      <c r="AG867" s="171">
        <v>1</v>
      </c>
      <c r="AH867" s="171">
        <v>1</v>
      </c>
      <c r="AI867" s="171">
        <v>0</v>
      </c>
      <c r="AJ867" s="171">
        <v>0</v>
      </c>
      <c r="AK867" s="171">
        <v>1</v>
      </c>
      <c r="AL867" s="171">
        <v>1</v>
      </c>
      <c r="AM867" s="171">
        <v>1</v>
      </c>
      <c r="AN867" s="171">
        <v>1</v>
      </c>
      <c r="AO867" s="171">
        <v>1</v>
      </c>
      <c r="AP867" s="171">
        <v>1</v>
      </c>
      <c r="AQ867" s="171">
        <v>1</v>
      </c>
      <c r="AR867" s="171">
        <v>1</v>
      </c>
      <c r="AS867" s="171">
        <v>1</v>
      </c>
      <c r="AT867" s="171">
        <v>1</v>
      </c>
      <c r="AU867" s="171">
        <f t="shared" si="324"/>
        <v>0</v>
      </c>
      <c r="AV867" s="171">
        <f t="shared" si="325"/>
        <v>1</v>
      </c>
      <c r="AW867" s="171">
        <f t="shared" si="326"/>
        <v>1</v>
      </c>
      <c r="AX867" s="171">
        <f t="shared" si="335"/>
        <v>1</v>
      </c>
      <c r="AY867" s="171">
        <f t="shared" si="327"/>
        <v>0</v>
      </c>
      <c r="AZ867" s="171">
        <f t="shared" si="328"/>
        <v>1</v>
      </c>
      <c r="BA867" s="172">
        <f t="shared" si="329"/>
        <v>1</v>
      </c>
      <c r="BB867" s="175">
        <f t="shared" si="354"/>
        <v>17</v>
      </c>
      <c r="BC867" s="176">
        <f t="shared" si="355"/>
        <v>16</v>
      </c>
      <c r="BD867" s="176">
        <f t="shared" si="356"/>
        <v>17</v>
      </c>
      <c r="BE867" s="240" t="str">
        <f t="shared" si="343"/>
        <v/>
      </c>
      <c r="BF867" s="234"/>
      <c r="BG867" s="234"/>
      <c r="BH867" s="199">
        <f>IF(AND(Input_Product=Elig!$C867,Elig_MatchAll_Ct&lt;22,$BC867=(Elig_MatchAll_Ct-1),AF867=0),C867,0)</f>
        <v>0</v>
      </c>
      <c r="BI867" s="199">
        <f>IF(AND(Input_Product=Elig!$C867,Elig_MatchAll_Ct&lt;22,$BC867=(Elig_MatchAll_Ct-1),AG867=0),D867,0)</f>
        <v>0</v>
      </c>
      <c r="BJ867" s="199">
        <f>IF(AND(Input_Product=Elig!$C867,Elig_MatchAll_Ct&lt;22,$BC867=(Elig_MatchAll_Ct-1),AH867=0),E867,0)</f>
        <v>0</v>
      </c>
      <c r="BK867" s="199">
        <f>IF(AND(Input_Product=Elig!$C867,Elig_MatchAll_Ct&lt;22,$BC867=(Elig_MatchAll_Ct-1),AI867=0),F867,0)</f>
        <v>0</v>
      </c>
      <c r="BL867" s="199">
        <f>IF(AND(Input_Product=Elig!$C867,Elig_MatchAll_Ct&lt;22,$BC867=(Elig_MatchAll_Ct-1),AJ867=0),G867,0)</f>
        <v>0</v>
      </c>
      <c r="BM867" s="199">
        <f>IF(AND(Input_Product=Elig!$C867,Elig_MatchAll_Ct&lt;22,$BC867=(Elig_MatchAll_Ct-1),AK867=0),H867,0)</f>
        <v>0</v>
      </c>
      <c r="BN867" s="199">
        <f>IF(AND(Input_Product=Elig!$C867,Elig_MatchAll_Ct&lt;22,$BC867=(Elig_MatchAll_Ct-1),AL867=0),I867,0)</f>
        <v>0</v>
      </c>
      <c r="BO867" s="199">
        <f>IF(AND(Input_Product=Elig!$C867,Elig_MatchAll_Ct&lt;22,$BC867=(Elig_MatchAll_Ct-1),AM867=0),J867,0)</f>
        <v>0</v>
      </c>
      <c r="BP867" s="199">
        <f>IF(AND(Input_Product=Elig!$C867,Elig_MatchAll_Ct&lt;22,$BC867=(Elig_MatchAll_Ct-1),AN867=0),K867,0)</f>
        <v>0</v>
      </c>
      <c r="BQ867" s="199">
        <f>IF(AND(Input_Product=Elig!$C867,Elig_MatchAll_Ct&lt;22,$BC867=(Elig_MatchAll_Ct-1),AP867=0),L867,0)</f>
        <v>0</v>
      </c>
      <c r="BR867" s="199">
        <f>IF(AND(Input_Product=Elig!$C867,Elig_MatchAll_Ct&lt;22,$BC867=(Elig_MatchAll_Ct-1),AO867=0),M867,0)</f>
        <v>0</v>
      </c>
      <c r="BS867" s="199">
        <f>IF(AND(Input_Product=Elig!$C867,Elig_MatchAll_Ct&lt;22,$BC867=(Elig_MatchAll_Ct-1),AQ867=0),N867,0)</f>
        <v>0</v>
      </c>
      <c r="BT867" s="199">
        <f>IF(AND(Input_Product=Elig!$C867,Elig_MatchAll_Ct&lt;22,$BC867=(Elig_MatchAll_Ct-1),AR867=0),O867,0)</f>
        <v>0</v>
      </c>
      <c r="BU867" s="199">
        <f>IF(AND(Input_Product=Elig!$C867,Elig_MatchAll_Ct&lt;22,$BC867=(Elig_MatchAll_Ct-1),AS867=0),P867,0)</f>
        <v>0</v>
      </c>
      <c r="BV867" s="200">
        <f>IF(AND(Input_Product=Elig!$C867,Elig_MatchAll_Ct&lt;22,$BC867=(Elig_MatchAll_Ct-1),AT867=0),Q867,0)</f>
        <v>0</v>
      </c>
      <c r="BW867" s="201">
        <f>IF(AND(Input_Product=Elig!$C867,Elig_MatchAll_Ct&lt;22,$BC867=(Elig_MatchAll_Ct-1),AU867=0),R867,0)</f>
        <v>0</v>
      </c>
      <c r="BX867" s="202">
        <f>IF(AND(Input_Product=Elig!$C867,Elig_MatchAll_Ct&lt;22,$BC867=(Elig_MatchAll_Ct-1),AU867=0),S867,0)</f>
        <v>0</v>
      </c>
      <c r="BY867" s="201">
        <f>IF(AND(Input_Product=Elig!$C867,Elig_MatchAll_Ct&lt;22,$BC867=(Elig_MatchAll_Ct-1),AV867=0),T867,0)</f>
        <v>0</v>
      </c>
      <c r="BZ867" s="202">
        <f>IF(AND(Input_Product=Elig!$C867,Elig_MatchAll_Ct&lt;22,$BC867=(Elig_MatchAll_Ct-1),AV867=0),U867,0)</f>
        <v>0</v>
      </c>
      <c r="CA867" s="201">
        <f>IF(AND(Input_Product=Elig!$C867,Elig_MatchAll_Ct&lt;22,$BC867=(Elig_MatchAll_Ct-1),AW867=0),V867,0)</f>
        <v>0</v>
      </c>
      <c r="CB867" s="202">
        <f>IF(AND(Input_Product=Elig!$C867,Elig_MatchAll_Ct&lt;22,$BC867=(Elig_MatchAll_Ct-1),AW867=0),W867,0)</f>
        <v>0</v>
      </c>
      <c r="CC867" s="201">
        <f>IF(AND(Input_Product=Elig!$C867,Elig_MatchAll_Ct&lt;22,$BC867=(Elig_MatchAll_Ct-1),AX867=0),X867,0)</f>
        <v>0</v>
      </c>
      <c r="CD867" s="202">
        <f>IF(AND(Input_Product=Elig!$C867,Elig_MatchAll_Ct&lt;22,$BC867=(Elig_MatchAll_Ct-1),AX867=0),Y867,0)</f>
        <v>0</v>
      </c>
      <c r="CE867" s="201">
        <f>IF(AND(Input_LTV&lt;=AE867,Input_Product=Elig!$C867,Elig_MatchAll_Ct&lt;22,$BC867=(Elig_MatchAll_Ct-1),AY867=0),Z867,0)</f>
        <v>0</v>
      </c>
      <c r="CF867" s="202">
        <f>IF(AND(Input_LTV&lt;=AE867,Input_Product=Elig!$C867,Elig_MatchAll_Ct&lt;22,$BC867=(Elig_MatchAll_Ct-1),AY867=0),AA867,0)</f>
        <v>0</v>
      </c>
      <c r="CG867" s="201">
        <f>IF(AND(Input_Product=Elig!$C867,Elig_MatchAll_Ct&lt;22,$BC867=(Elig_MatchAll_Ct-1),AZ867=0),AB867,0)</f>
        <v>0</v>
      </c>
      <c r="CH867" s="202">
        <f>IF(AND(Input_Product=Elig!$C867,Elig_MatchAll_Ct&lt;22,$BC867=(Elig_MatchAll_Ct-1),AZ867=0),AC867,0)</f>
        <v>0</v>
      </c>
      <c r="CI867" s="201">
        <f>IF(AND(Input_Product=Elig!$C867,Elig_MatchAll_Ct&lt;22,$BC867=(Elig_MatchAll_Ct-1),BA867=0),AD867,0)</f>
        <v>0</v>
      </c>
      <c r="CJ867" s="202">
        <f>IF(AND(Input_Product=Elig!$C867,Elig_MatchAll_Ct&lt;22,$BC867=(Elig_MatchAll_Ct-1),BA867=0),AE867,0)</f>
        <v>0</v>
      </c>
    </row>
    <row r="868" spans="2:88" ht="10.15" customHeight="1" x14ac:dyDescent="0.25">
      <c r="B868" s="2035" t="s">
        <v>4085</v>
      </c>
      <c r="C868" s="2036" t="str">
        <f t="shared" si="351"/>
        <v>Second NOO</v>
      </c>
      <c r="D868" s="2035" t="s">
        <v>1569</v>
      </c>
      <c r="E868" s="2035" t="s">
        <v>98</v>
      </c>
      <c r="F868" s="2035" t="s">
        <v>330</v>
      </c>
      <c r="G868" s="2110" t="s">
        <v>468</v>
      </c>
      <c r="H868" s="2037" t="s">
        <v>136</v>
      </c>
      <c r="I868" s="2035" t="s">
        <v>1332</v>
      </c>
      <c r="J868" s="2035" t="s">
        <v>1311</v>
      </c>
      <c r="K868" s="2037" t="s">
        <v>1790</v>
      </c>
      <c r="L868" s="2035" t="s">
        <v>430</v>
      </c>
      <c r="M868" s="2035" t="s">
        <v>2677</v>
      </c>
      <c r="N868" s="2037" t="s">
        <v>82</v>
      </c>
      <c r="O868" s="2035" t="s">
        <v>310</v>
      </c>
      <c r="P868" s="2035" t="s">
        <v>291</v>
      </c>
      <c r="Q868" s="2035" t="s">
        <v>294</v>
      </c>
      <c r="R868" s="2109">
        <v>500000.01</v>
      </c>
      <c r="S868" s="2109">
        <v>750000</v>
      </c>
      <c r="T868" s="2035">
        <v>0</v>
      </c>
      <c r="U868" s="2035">
        <f t="shared" si="353"/>
        <v>750000</v>
      </c>
      <c r="V868" s="2035">
        <v>0</v>
      </c>
      <c r="W868" s="2035">
        <v>50</v>
      </c>
      <c r="X868" s="2035">
        <v>0</v>
      </c>
      <c r="Y868" s="2035">
        <v>999</v>
      </c>
      <c r="Z868" s="2038">
        <v>680</v>
      </c>
      <c r="AA868" s="2038">
        <v>699</v>
      </c>
      <c r="AB868" s="2038">
        <v>0</v>
      </c>
      <c r="AC868" s="2038">
        <v>999999</v>
      </c>
      <c r="AD868" s="2035">
        <v>0</v>
      </c>
      <c r="AE868" s="2035">
        <v>55</v>
      </c>
      <c r="AF868" s="170">
        <v>0</v>
      </c>
      <c r="AG868" s="171">
        <v>1</v>
      </c>
      <c r="AH868" s="171">
        <v>1</v>
      </c>
      <c r="AI868" s="171">
        <v>0</v>
      </c>
      <c r="AJ868" s="171">
        <v>0</v>
      </c>
      <c r="AK868" s="171">
        <v>1</v>
      </c>
      <c r="AL868" s="171">
        <v>1</v>
      </c>
      <c r="AM868" s="171">
        <v>1</v>
      </c>
      <c r="AN868" s="171">
        <v>1</v>
      </c>
      <c r="AO868" s="171">
        <v>1</v>
      </c>
      <c r="AP868" s="171">
        <v>1</v>
      </c>
      <c r="AQ868" s="171">
        <v>1</v>
      </c>
      <c r="AR868" s="171">
        <v>1</v>
      </c>
      <c r="AS868" s="171">
        <v>1</v>
      </c>
      <c r="AT868" s="171">
        <v>1</v>
      </c>
      <c r="AU868" s="171">
        <f t="shared" si="324"/>
        <v>0</v>
      </c>
      <c r="AV868" s="171">
        <f t="shared" si="325"/>
        <v>1</v>
      </c>
      <c r="AW868" s="171">
        <f t="shared" si="326"/>
        <v>1</v>
      </c>
      <c r="AX868" s="171">
        <f t="shared" si="335"/>
        <v>1</v>
      </c>
      <c r="AY868" s="171">
        <f t="shared" si="327"/>
        <v>0</v>
      </c>
      <c r="AZ868" s="171">
        <f t="shared" si="328"/>
        <v>1</v>
      </c>
      <c r="BA868" s="172">
        <f t="shared" si="329"/>
        <v>0</v>
      </c>
      <c r="BB868" s="175">
        <f t="shared" si="354"/>
        <v>16</v>
      </c>
      <c r="BC868" s="176">
        <f t="shared" si="355"/>
        <v>16</v>
      </c>
      <c r="BD868" s="176">
        <f t="shared" si="356"/>
        <v>16</v>
      </c>
      <c r="BE868" s="240" t="str">
        <f t="shared" si="343"/>
        <v/>
      </c>
      <c r="BF868" s="234"/>
      <c r="BG868" s="234"/>
      <c r="BH868" s="199">
        <f>IF(AND(Input_Product=Elig!$C868,Elig_MatchAll_Ct&lt;22,$BC868=(Elig_MatchAll_Ct-1),AF868=0),C868,0)</f>
        <v>0</v>
      </c>
      <c r="BI868" s="199">
        <f>IF(AND(Input_Product=Elig!$C868,Elig_MatchAll_Ct&lt;22,$BC868=(Elig_MatchAll_Ct-1),AG868=0),D868,0)</f>
        <v>0</v>
      </c>
      <c r="BJ868" s="199">
        <f>IF(AND(Input_Product=Elig!$C868,Elig_MatchAll_Ct&lt;22,$BC868=(Elig_MatchAll_Ct-1),AH868=0),E868,0)</f>
        <v>0</v>
      </c>
      <c r="BK868" s="199">
        <f>IF(AND(Input_Product=Elig!$C868,Elig_MatchAll_Ct&lt;22,$BC868=(Elig_MatchAll_Ct-1),AI868=0),F868,0)</f>
        <v>0</v>
      </c>
      <c r="BL868" s="199">
        <f>IF(AND(Input_Product=Elig!$C868,Elig_MatchAll_Ct&lt;22,$BC868=(Elig_MatchAll_Ct-1),AJ868=0),G868,0)</f>
        <v>0</v>
      </c>
      <c r="BM868" s="199">
        <f>IF(AND(Input_Product=Elig!$C868,Elig_MatchAll_Ct&lt;22,$BC868=(Elig_MatchAll_Ct-1),AK868=0),H868,0)</f>
        <v>0</v>
      </c>
      <c r="BN868" s="199">
        <f>IF(AND(Input_Product=Elig!$C868,Elig_MatchAll_Ct&lt;22,$BC868=(Elig_MatchAll_Ct-1),AL868=0),I868,0)</f>
        <v>0</v>
      </c>
      <c r="BO868" s="199">
        <f>IF(AND(Input_Product=Elig!$C868,Elig_MatchAll_Ct&lt;22,$BC868=(Elig_MatchAll_Ct-1),AM868=0),J868,0)</f>
        <v>0</v>
      </c>
      <c r="BP868" s="199">
        <f>IF(AND(Input_Product=Elig!$C868,Elig_MatchAll_Ct&lt;22,$BC868=(Elig_MatchAll_Ct-1),AN868=0),K868,0)</f>
        <v>0</v>
      </c>
      <c r="BQ868" s="199">
        <f>IF(AND(Input_Product=Elig!$C868,Elig_MatchAll_Ct&lt;22,$BC868=(Elig_MatchAll_Ct-1),AP868=0),L868,0)</f>
        <v>0</v>
      </c>
      <c r="BR868" s="199">
        <f>IF(AND(Input_Product=Elig!$C868,Elig_MatchAll_Ct&lt;22,$BC868=(Elig_MatchAll_Ct-1),AO868=0),M868,0)</f>
        <v>0</v>
      </c>
      <c r="BS868" s="199">
        <f>IF(AND(Input_Product=Elig!$C868,Elig_MatchAll_Ct&lt;22,$BC868=(Elig_MatchAll_Ct-1),AQ868=0),N868,0)</f>
        <v>0</v>
      </c>
      <c r="BT868" s="199">
        <f>IF(AND(Input_Product=Elig!$C868,Elig_MatchAll_Ct&lt;22,$BC868=(Elig_MatchAll_Ct-1),AR868=0),O868,0)</f>
        <v>0</v>
      </c>
      <c r="BU868" s="199">
        <f>IF(AND(Input_Product=Elig!$C868,Elig_MatchAll_Ct&lt;22,$BC868=(Elig_MatchAll_Ct-1),AS868=0),P868,0)</f>
        <v>0</v>
      </c>
      <c r="BV868" s="200">
        <f>IF(AND(Input_Product=Elig!$C868,Elig_MatchAll_Ct&lt;22,$BC868=(Elig_MatchAll_Ct-1),AT868=0),Q868,0)</f>
        <v>0</v>
      </c>
      <c r="BW868" s="201">
        <f>IF(AND(Input_Product=Elig!$C868,Elig_MatchAll_Ct&lt;22,$BC868=(Elig_MatchAll_Ct-1),AU868=0),R868,0)</f>
        <v>0</v>
      </c>
      <c r="BX868" s="202">
        <f>IF(AND(Input_Product=Elig!$C868,Elig_MatchAll_Ct&lt;22,$BC868=(Elig_MatchAll_Ct-1),AU868=0),S868,0)</f>
        <v>0</v>
      </c>
      <c r="BY868" s="201">
        <f>IF(AND(Input_Product=Elig!$C868,Elig_MatchAll_Ct&lt;22,$BC868=(Elig_MatchAll_Ct-1),AV868=0),T868,0)</f>
        <v>0</v>
      </c>
      <c r="BZ868" s="202">
        <f>IF(AND(Input_Product=Elig!$C868,Elig_MatchAll_Ct&lt;22,$BC868=(Elig_MatchAll_Ct-1),AV868=0),U868,0)</f>
        <v>0</v>
      </c>
      <c r="CA868" s="201">
        <f>IF(AND(Input_Product=Elig!$C868,Elig_MatchAll_Ct&lt;22,$BC868=(Elig_MatchAll_Ct-1),AW868=0),V868,0)</f>
        <v>0</v>
      </c>
      <c r="CB868" s="202">
        <f>IF(AND(Input_Product=Elig!$C868,Elig_MatchAll_Ct&lt;22,$BC868=(Elig_MatchAll_Ct-1),AW868=0),W868,0)</f>
        <v>0</v>
      </c>
      <c r="CC868" s="201">
        <f>IF(AND(Input_Product=Elig!$C868,Elig_MatchAll_Ct&lt;22,$BC868=(Elig_MatchAll_Ct-1),AX868=0),X868,0)</f>
        <v>0</v>
      </c>
      <c r="CD868" s="202">
        <f>IF(AND(Input_Product=Elig!$C868,Elig_MatchAll_Ct&lt;22,$BC868=(Elig_MatchAll_Ct-1),AX868=0),Y868,0)</f>
        <v>0</v>
      </c>
      <c r="CE868" s="201">
        <f>IF(AND(Input_LTV&lt;=AE868,Input_Product=Elig!$C868,Elig_MatchAll_Ct&lt;22,$BC868=(Elig_MatchAll_Ct-1),AY868=0),Z868,0)</f>
        <v>0</v>
      </c>
      <c r="CF868" s="202">
        <f>IF(AND(Input_LTV&lt;=AE868,Input_Product=Elig!$C868,Elig_MatchAll_Ct&lt;22,$BC868=(Elig_MatchAll_Ct-1),AY868=0),AA868,0)</f>
        <v>0</v>
      </c>
      <c r="CG868" s="201">
        <f>IF(AND(Input_Product=Elig!$C868,Elig_MatchAll_Ct&lt;22,$BC868=(Elig_MatchAll_Ct-1),AZ868=0),AB868,0)</f>
        <v>0</v>
      </c>
      <c r="CH868" s="202">
        <f>IF(AND(Input_Product=Elig!$C868,Elig_MatchAll_Ct&lt;22,$BC868=(Elig_MatchAll_Ct-1),AZ868=0),AC868,0)</f>
        <v>0</v>
      </c>
      <c r="CI868" s="201">
        <f>IF(AND(Input_Product=Elig!$C868,Elig_MatchAll_Ct&lt;22,$BC868=(Elig_MatchAll_Ct-1),BA868=0),AD868,0)</f>
        <v>0</v>
      </c>
      <c r="CJ868" s="202">
        <f>IF(AND(Input_Product=Elig!$C868,Elig_MatchAll_Ct&lt;22,$BC868=(Elig_MatchAll_Ct-1),BA868=0),AE868,0)</f>
        <v>0</v>
      </c>
    </row>
    <row r="869" spans="2:88" ht="10.15" customHeight="1" x14ac:dyDescent="0.25">
      <c r="B869" s="2035" t="s">
        <v>4086</v>
      </c>
      <c r="C869" s="2036" t="str">
        <f t="shared" si="351"/>
        <v>Second NOO</v>
      </c>
      <c r="D869" s="2035" t="s">
        <v>1569</v>
      </c>
      <c r="E869" s="2035" t="s">
        <v>98</v>
      </c>
      <c r="F869" s="2035" t="s">
        <v>330</v>
      </c>
      <c r="G869" s="2111" t="s">
        <v>468</v>
      </c>
      <c r="H869" s="2037" t="s">
        <v>136</v>
      </c>
      <c r="I869" s="2035" t="s">
        <v>1332</v>
      </c>
      <c r="J869" s="2035" t="s">
        <v>1311</v>
      </c>
      <c r="K869" s="2037" t="s">
        <v>1790</v>
      </c>
      <c r="L869" s="2035" t="s">
        <v>430</v>
      </c>
      <c r="M869" s="2035" t="s">
        <v>2677</v>
      </c>
      <c r="N869" s="2037" t="s">
        <v>82</v>
      </c>
      <c r="O869" s="2035" t="s">
        <v>310</v>
      </c>
      <c r="P869" s="2035" t="s">
        <v>291</v>
      </c>
      <c r="Q869" s="2035" t="s">
        <v>294</v>
      </c>
      <c r="R869" s="2109">
        <v>500000.01</v>
      </c>
      <c r="S869" s="2109">
        <v>750000</v>
      </c>
      <c r="T869" s="2035">
        <v>0</v>
      </c>
      <c r="U869" s="2035">
        <f t="shared" si="353"/>
        <v>750000</v>
      </c>
      <c r="V869" s="2035">
        <v>0</v>
      </c>
      <c r="W869" s="2035">
        <v>50</v>
      </c>
      <c r="X869" s="2035">
        <v>0</v>
      </c>
      <c r="Y869" s="2035">
        <v>999</v>
      </c>
      <c r="Z869" s="2038">
        <v>660</v>
      </c>
      <c r="AA869" s="2038">
        <v>679</v>
      </c>
      <c r="AB869" s="2038">
        <v>0</v>
      </c>
      <c r="AC869" s="2038">
        <v>999999</v>
      </c>
      <c r="AD869" s="2035">
        <v>0</v>
      </c>
      <c r="AE869" s="2035">
        <v>50</v>
      </c>
      <c r="AF869" s="170">
        <v>0</v>
      </c>
      <c r="AG869" s="171">
        <v>1</v>
      </c>
      <c r="AH869" s="171">
        <v>1</v>
      </c>
      <c r="AI869" s="171">
        <v>0</v>
      </c>
      <c r="AJ869" s="171">
        <v>0</v>
      </c>
      <c r="AK869" s="171">
        <v>1</v>
      </c>
      <c r="AL869" s="171">
        <v>1</v>
      </c>
      <c r="AM869" s="171">
        <v>1</v>
      </c>
      <c r="AN869" s="171">
        <v>1</v>
      </c>
      <c r="AO869" s="171">
        <v>1</v>
      </c>
      <c r="AP869" s="171">
        <v>1</v>
      </c>
      <c r="AQ869" s="171">
        <v>1</v>
      </c>
      <c r="AR869" s="171">
        <v>1</v>
      </c>
      <c r="AS869" s="171">
        <v>1</v>
      </c>
      <c r="AT869" s="171">
        <v>1</v>
      </c>
      <c r="AU869" s="171">
        <f t="shared" si="324"/>
        <v>0</v>
      </c>
      <c r="AV869" s="171">
        <f t="shared" si="325"/>
        <v>1</v>
      </c>
      <c r="AW869" s="171">
        <f t="shared" si="326"/>
        <v>1</v>
      </c>
      <c r="AX869" s="171">
        <f t="shared" si="335"/>
        <v>1</v>
      </c>
      <c r="AY869" s="171">
        <f t="shared" si="327"/>
        <v>0</v>
      </c>
      <c r="AZ869" s="171">
        <f t="shared" si="328"/>
        <v>1</v>
      </c>
      <c r="BA869" s="172">
        <f t="shared" si="329"/>
        <v>0</v>
      </c>
      <c r="BB869" s="175">
        <f t="shared" si="354"/>
        <v>16</v>
      </c>
      <c r="BC869" s="176">
        <f t="shared" si="355"/>
        <v>16</v>
      </c>
      <c r="BD869" s="176">
        <f t="shared" si="356"/>
        <v>16</v>
      </c>
      <c r="BE869" s="240" t="str">
        <f t="shared" si="343"/>
        <v/>
      </c>
      <c r="BF869" s="234"/>
      <c r="BG869" s="234"/>
      <c r="BH869" s="214">
        <f>IF(AND(Input_Product=Elig!$C869,Elig_MatchAll_Ct&lt;22,$BC869=(Elig_MatchAll_Ct-1),AF869=0),C869,0)</f>
        <v>0</v>
      </c>
      <c r="BI869" s="214">
        <f>IF(AND(Input_Product=Elig!$C869,Elig_MatchAll_Ct&lt;22,$BC869=(Elig_MatchAll_Ct-1),AG869=0),D869,0)</f>
        <v>0</v>
      </c>
      <c r="BJ869" s="214">
        <f>IF(AND(Input_Product=Elig!$C869,Elig_MatchAll_Ct&lt;22,$BC869=(Elig_MatchAll_Ct-1),AH869=0),E869,0)</f>
        <v>0</v>
      </c>
      <c r="BK869" s="214">
        <f>IF(AND(Input_Product=Elig!$C869,Elig_MatchAll_Ct&lt;22,$BC869=(Elig_MatchAll_Ct-1),AI869=0),F869,0)</f>
        <v>0</v>
      </c>
      <c r="BL869" s="214">
        <f>IF(AND(Input_Product=Elig!$C869,Elig_MatchAll_Ct&lt;22,$BC869=(Elig_MatchAll_Ct-1),AJ869=0),G869,0)</f>
        <v>0</v>
      </c>
      <c r="BM869" s="214">
        <f>IF(AND(Input_Product=Elig!$C869,Elig_MatchAll_Ct&lt;22,$BC869=(Elig_MatchAll_Ct-1),AK869=0),H869,0)</f>
        <v>0</v>
      </c>
      <c r="BN869" s="214">
        <f>IF(AND(Input_Product=Elig!$C869,Elig_MatchAll_Ct&lt;22,$BC869=(Elig_MatchAll_Ct-1),AL869=0),I869,0)</f>
        <v>0</v>
      </c>
      <c r="BO869" s="214">
        <f>IF(AND(Input_Product=Elig!$C869,Elig_MatchAll_Ct&lt;22,$BC869=(Elig_MatchAll_Ct-1),AM869=0),J869,0)</f>
        <v>0</v>
      </c>
      <c r="BP869" s="214">
        <f>IF(AND(Input_Product=Elig!$C869,Elig_MatchAll_Ct&lt;22,$BC869=(Elig_MatchAll_Ct-1),AN869=0),K869,0)</f>
        <v>0</v>
      </c>
      <c r="BQ869" s="214">
        <f>IF(AND(Input_Product=Elig!$C869,Elig_MatchAll_Ct&lt;22,$BC869=(Elig_MatchAll_Ct-1),AP869=0),L869,0)</f>
        <v>0</v>
      </c>
      <c r="BR869" s="214">
        <f>IF(AND(Input_Product=Elig!$C869,Elig_MatchAll_Ct&lt;22,$BC869=(Elig_MatchAll_Ct-1),AO869=0),M869,0)</f>
        <v>0</v>
      </c>
      <c r="BS869" s="214">
        <f>IF(AND(Input_Product=Elig!$C869,Elig_MatchAll_Ct&lt;22,$BC869=(Elig_MatchAll_Ct-1),AQ869=0),N869,0)</f>
        <v>0</v>
      </c>
      <c r="BT869" s="214">
        <f>IF(AND(Input_Product=Elig!$C869,Elig_MatchAll_Ct&lt;22,$BC869=(Elig_MatchAll_Ct-1),AR869=0),O869,0)</f>
        <v>0</v>
      </c>
      <c r="BU869" s="214">
        <f>IF(AND(Input_Product=Elig!$C869,Elig_MatchAll_Ct&lt;22,$BC869=(Elig_MatchAll_Ct-1),AS869=0),P869,0)</f>
        <v>0</v>
      </c>
      <c r="BV869" s="215">
        <f>IF(AND(Input_Product=Elig!$C869,Elig_MatchAll_Ct&lt;22,$BC869=(Elig_MatchAll_Ct-1),AT869=0),Q869,0)</f>
        <v>0</v>
      </c>
      <c r="BW869" s="311">
        <f>IF(AND(Input_Product=Elig!$C869,Elig_MatchAll_Ct&lt;22,$BC869=(Elig_MatchAll_Ct-1),AU869=0),R869,0)</f>
        <v>0</v>
      </c>
      <c r="BX869" s="312">
        <f>IF(AND(Input_Product=Elig!$C869,Elig_MatchAll_Ct&lt;22,$BC869=(Elig_MatchAll_Ct-1),AU869=0),S869,0)</f>
        <v>0</v>
      </c>
      <c r="BY869" s="311">
        <f>IF(AND(Input_Product=Elig!$C869,Elig_MatchAll_Ct&lt;22,$BC869=(Elig_MatchAll_Ct-1),AV869=0),T869,0)</f>
        <v>0</v>
      </c>
      <c r="BZ869" s="312">
        <f>IF(AND(Input_Product=Elig!$C869,Elig_MatchAll_Ct&lt;22,$BC869=(Elig_MatchAll_Ct-1),AV869=0),U869,0)</f>
        <v>0</v>
      </c>
      <c r="CA869" s="311">
        <f>IF(AND(Input_Product=Elig!$C869,Elig_MatchAll_Ct&lt;22,$BC869=(Elig_MatchAll_Ct-1),AW869=0),V869,0)</f>
        <v>0</v>
      </c>
      <c r="CB869" s="312">
        <f>IF(AND(Input_Product=Elig!$C869,Elig_MatchAll_Ct&lt;22,$BC869=(Elig_MatchAll_Ct-1),AW869=0),W869,0)</f>
        <v>0</v>
      </c>
      <c r="CC869" s="311">
        <f>IF(AND(Input_Product=Elig!$C869,Elig_MatchAll_Ct&lt;22,$BC869=(Elig_MatchAll_Ct-1),AX869=0),X869,0)</f>
        <v>0</v>
      </c>
      <c r="CD869" s="312">
        <f>IF(AND(Input_Product=Elig!$C869,Elig_MatchAll_Ct&lt;22,$BC869=(Elig_MatchAll_Ct-1),AX869=0),Y869,0)</f>
        <v>0</v>
      </c>
      <c r="CE869" s="311">
        <f>IF(AND(Input_LTV&lt;=AE869,Input_Product=Elig!$C869,Elig_MatchAll_Ct&lt;22,$BC869=(Elig_MatchAll_Ct-1),AY869=0),Z869,0)</f>
        <v>0</v>
      </c>
      <c r="CF869" s="312">
        <f>IF(AND(Input_LTV&lt;=AE869,Input_Product=Elig!$C869,Elig_MatchAll_Ct&lt;22,$BC869=(Elig_MatchAll_Ct-1),AY869=0),AA869,0)</f>
        <v>0</v>
      </c>
      <c r="CG869" s="311">
        <f>IF(AND(Input_Product=Elig!$C869,Elig_MatchAll_Ct&lt;22,$BC869=(Elig_MatchAll_Ct-1),AZ869=0),AB869,0)</f>
        <v>0</v>
      </c>
      <c r="CH869" s="312">
        <f>IF(AND(Input_Product=Elig!$C869,Elig_MatchAll_Ct&lt;22,$BC869=(Elig_MatchAll_Ct-1),AZ869=0),AC869,0)</f>
        <v>0</v>
      </c>
      <c r="CI869" s="311">
        <f>IF(AND(Input_Product=Elig!$C869,Elig_MatchAll_Ct&lt;22,$BC869=(Elig_MatchAll_Ct-1),BA869=0),AD869,0)</f>
        <v>0</v>
      </c>
      <c r="CJ869" s="312">
        <f>IF(AND(Input_Product=Elig!$C869,Elig_MatchAll_Ct&lt;22,$BC869=(Elig_MatchAll_Ct-1),BA869=0),AE869,0)</f>
        <v>0</v>
      </c>
    </row>
    <row r="870" spans="2:88" ht="10.15" customHeight="1" x14ac:dyDescent="0.25">
      <c r="B870" s="2035" t="s">
        <v>4087</v>
      </c>
      <c r="C870" s="2040" t="str">
        <f t="shared" si="351"/>
        <v>Second NOO</v>
      </c>
      <c r="D870" s="2041" t="s">
        <v>1569</v>
      </c>
      <c r="E870" s="2041" t="s">
        <v>98</v>
      </c>
      <c r="F870" s="2041" t="s">
        <v>330</v>
      </c>
      <c r="G870" s="2103" t="s">
        <v>472</v>
      </c>
      <c r="H870" s="2041" t="s">
        <v>136</v>
      </c>
      <c r="I870" s="2039" t="s">
        <v>1332</v>
      </c>
      <c r="J870" s="2039" t="s">
        <v>1311</v>
      </c>
      <c r="K870" s="2041" t="s">
        <v>1790</v>
      </c>
      <c r="L870" s="2039" t="s">
        <v>430</v>
      </c>
      <c r="M870" s="2039" t="s">
        <v>2677</v>
      </c>
      <c r="N870" s="2041" t="s">
        <v>82</v>
      </c>
      <c r="O870" s="2039" t="s">
        <v>310</v>
      </c>
      <c r="P870" s="2039" t="s">
        <v>291</v>
      </c>
      <c r="Q870" s="2039" t="s">
        <v>294</v>
      </c>
      <c r="R870" s="2108">
        <v>500000.01</v>
      </c>
      <c r="S870" s="2108">
        <v>750000</v>
      </c>
      <c r="T870" s="2039">
        <v>0</v>
      </c>
      <c r="U870" s="2039">
        <f t="shared" si="352"/>
        <v>750000</v>
      </c>
      <c r="V870" s="2039">
        <v>0</v>
      </c>
      <c r="W870" s="2039">
        <v>50</v>
      </c>
      <c r="X870" s="2039">
        <v>0</v>
      </c>
      <c r="Y870" s="2039">
        <v>999</v>
      </c>
      <c r="Z870" s="2042">
        <v>720</v>
      </c>
      <c r="AA870" s="2042">
        <v>999</v>
      </c>
      <c r="AB870" s="2042">
        <v>0</v>
      </c>
      <c r="AC870" s="2042">
        <v>999999</v>
      </c>
      <c r="AD870" s="2039">
        <v>0</v>
      </c>
      <c r="AE870" s="2039">
        <v>65</v>
      </c>
      <c r="AF870" s="170">
        <v>0</v>
      </c>
      <c r="AG870" s="171">
        <v>1</v>
      </c>
      <c r="AH870" s="171">
        <v>1</v>
      </c>
      <c r="AI870" s="171">
        <v>0</v>
      </c>
      <c r="AJ870" s="171">
        <v>0</v>
      </c>
      <c r="AK870" s="171">
        <v>1</v>
      </c>
      <c r="AL870" s="171">
        <v>1</v>
      </c>
      <c r="AM870" s="171">
        <v>1</v>
      </c>
      <c r="AN870" s="171">
        <v>1</v>
      </c>
      <c r="AO870" s="171">
        <v>1</v>
      </c>
      <c r="AP870" s="171">
        <v>1</v>
      </c>
      <c r="AQ870" s="171">
        <v>1</v>
      </c>
      <c r="AR870" s="171">
        <v>1</v>
      </c>
      <c r="AS870" s="171">
        <v>1</v>
      </c>
      <c r="AT870" s="171">
        <v>1</v>
      </c>
      <c r="AU870" s="171">
        <f t="shared" si="324"/>
        <v>0</v>
      </c>
      <c r="AV870" s="171">
        <f t="shared" si="325"/>
        <v>1</v>
      </c>
      <c r="AW870" s="171">
        <f t="shared" si="326"/>
        <v>1</v>
      </c>
      <c r="AX870" s="171">
        <f t="shared" si="335"/>
        <v>1</v>
      </c>
      <c r="AY870" s="171">
        <f t="shared" si="327"/>
        <v>1</v>
      </c>
      <c r="AZ870" s="171">
        <f t="shared" si="328"/>
        <v>1</v>
      </c>
      <c r="BA870" s="172">
        <f t="shared" si="329"/>
        <v>1</v>
      </c>
      <c r="BB870" s="175">
        <f t="shared" si="332"/>
        <v>18</v>
      </c>
      <c r="BC870" s="176">
        <f t="shared" si="333"/>
        <v>17</v>
      </c>
      <c r="BD870" s="176">
        <f t="shared" si="334"/>
        <v>18</v>
      </c>
      <c r="BE870" s="240" t="str">
        <f t="shared" si="343"/>
        <v/>
      </c>
      <c r="BF870" s="220"/>
      <c r="BG870" s="220"/>
      <c r="BH870" s="216">
        <f>IF(AND(Input_Product=Elig!$C870,Elig_MatchAll_Ct&lt;22,$BC870=(Elig_MatchAll_Ct-1),AF870=0),C870,0)</f>
        <v>0</v>
      </c>
      <c r="BI870" s="216">
        <f>IF(AND(Input_Product=Elig!$C870,Elig_MatchAll_Ct&lt;22,$BC870=(Elig_MatchAll_Ct-1),AG870=0),D870,0)</f>
        <v>0</v>
      </c>
      <c r="BJ870" s="216">
        <f>IF(AND(Input_Product=Elig!$C870,Elig_MatchAll_Ct&lt;22,$BC870=(Elig_MatchAll_Ct-1),AH870=0),E870,0)</f>
        <v>0</v>
      </c>
      <c r="BK870" s="216">
        <f>IF(AND(Input_Product=Elig!$C870,Elig_MatchAll_Ct&lt;22,$BC870=(Elig_MatchAll_Ct-1),AI870=0),F870,0)</f>
        <v>0</v>
      </c>
      <c r="BL870" s="216">
        <f>IF(AND(Input_Product=Elig!$C870,Elig_MatchAll_Ct&lt;22,$BC870=(Elig_MatchAll_Ct-1),AJ870=0),G870,0)</f>
        <v>0</v>
      </c>
      <c r="BM870" s="216">
        <f>IF(AND(Input_Product=Elig!$C870,Elig_MatchAll_Ct&lt;22,$BC870=(Elig_MatchAll_Ct-1),AK870=0),H870,0)</f>
        <v>0</v>
      </c>
      <c r="BN870" s="216">
        <f>IF(AND(Input_Product=Elig!$C870,Elig_MatchAll_Ct&lt;22,$BC870=(Elig_MatchAll_Ct-1),AL870=0),I870,0)</f>
        <v>0</v>
      </c>
      <c r="BO870" s="216">
        <f>IF(AND(Input_Product=Elig!$C870,Elig_MatchAll_Ct&lt;22,$BC870=(Elig_MatchAll_Ct-1),AM870=0),J870,0)</f>
        <v>0</v>
      </c>
      <c r="BP870" s="216">
        <f>IF(AND(Input_Product=Elig!$C870,Elig_MatchAll_Ct&lt;22,$BC870=(Elig_MatchAll_Ct-1),AN870=0),K870,0)</f>
        <v>0</v>
      </c>
      <c r="BQ870" s="216">
        <f>IF(AND(Input_Product=Elig!$C870,Elig_MatchAll_Ct&lt;22,$BC870=(Elig_MatchAll_Ct-1),AP870=0),L870,0)</f>
        <v>0</v>
      </c>
      <c r="BR870" s="216">
        <f>IF(AND(Input_Product=Elig!$C870,Elig_MatchAll_Ct&lt;22,$BC870=(Elig_MatchAll_Ct-1),AO870=0),M870,0)</f>
        <v>0</v>
      </c>
      <c r="BS870" s="216">
        <f>IF(AND(Input_Product=Elig!$C870,Elig_MatchAll_Ct&lt;22,$BC870=(Elig_MatchAll_Ct-1),AQ870=0),N870,0)</f>
        <v>0</v>
      </c>
      <c r="BT870" s="216">
        <f>IF(AND(Input_Product=Elig!$C870,Elig_MatchAll_Ct&lt;22,$BC870=(Elig_MatchAll_Ct-1),AR870=0),O870,0)</f>
        <v>0</v>
      </c>
      <c r="BU870" s="216">
        <f>IF(AND(Input_Product=Elig!$C870,Elig_MatchAll_Ct&lt;22,$BC870=(Elig_MatchAll_Ct-1),AS870=0),P870,0)</f>
        <v>0</v>
      </c>
      <c r="BV870" s="217">
        <f>IF(AND(Input_Product=Elig!$C870,Elig_MatchAll_Ct&lt;22,$BC870=(Elig_MatchAll_Ct-1),AT870=0),Q870,0)</f>
        <v>0</v>
      </c>
      <c r="BW870" s="313">
        <f>IF(AND(Input_Product=Elig!$C870,Elig_MatchAll_Ct&lt;22,$BC870=(Elig_MatchAll_Ct-1),AU870=0),R870,0)</f>
        <v>0</v>
      </c>
      <c r="BX870" s="314">
        <f>IF(AND(Input_Product=Elig!$C870,Elig_MatchAll_Ct&lt;22,$BC870=(Elig_MatchAll_Ct-1),AU870=0),S870,0)</f>
        <v>0</v>
      </c>
      <c r="BY870" s="313">
        <f>IF(AND(Input_Product=Elig!$C870,Elig_MatchAll_Ct&lt;22,$BC870=(Elig_MatchAll_Ct-1),AV870=0),T870,0)</f>
        <v>0</v>
      </c>
      <c r="BZ870" s="314">
        <f>IF(AND(Input_Product=Elig!$C870,Elig_MatchAll_Ct&lt;22,$BC870=(Elig_MatchAll_Ct-1),AV870=0),U870,0)</f>
        <v>0</v>
      </c>
      <c r="CA870" s="313">
        <f>IF(AND(Input_Product=Elig!$C870,Elig_MatchAll_Ct&lt;22,$BC870=(Elig_MatchAll_Ct-1),AW870=0),V870,0)</f>
        <v>0</v>
      </c>
      <c r="CB870" s="314">
        <f>IF(AND(Input_Product=Elig!$C870,Elig_MatchAll_Ct&lt;22,$BC870=(Elig_MatchAll_Ct-1),AW870=0),W870,0)</f>
        <v>0</v>
      </c>
      <c r="CC870" s="313">
        <f>IF(AND(Input_Product=Elig!$C870,Elig_MatchAll_Ct&lt;22,$BC870=(Elig_MatchAll_Ct-1),AX870=0),X870,0)</f>
        <v>0</v>
      </c>
      <c r="CD870" s="314">
        <f>IF(AND(Input_Product=Elig!$C870,Elig_MatchAll_Ct&lt;22,$BC870=(Elig_MatchAll_Ct-1),AX870=0),Y870,0)</f>
        <v>0</v>
      </c>
      <c r="CE870" s="313">
        <f>IF(AND(Input_LTV&lt;=AE870,Input_Product=Elig!$C870,Elig_MatchAll_Ct&lt;22,$BC870=(Elig_MatchAll_Ct-1),AY870=0),Z870,0)</f>
        <v>0</v>
      </c>
      <c r="CF870" s="314">
        <f>IF(AND(Input_LTV&lt;=AE870,Input_Product=Elig!$C870,Elig_MatchAll_Ct&lt;22,$BC870=(Elig_MatchAll_Ct-1),AY870=0),AA870,0)</f>
        <v>0</v>
      </c>
      <c r="CG870" s="313">
        <f>IF(AND(Input_Product=Elig!$C870,Elig_MatchAll_Ct&lt;22,$BC870=(Elig_MatchAll_Ct-1),AZ870=0),AB870,0)</f>
        <v>0</v>
      </c>
      <c r="CH870" s="314">
        <f>IF(AND(Input_Product=Elig!$C870,Elig_MatchAll_Ct&lt;22,$BC870=(Elig_MatchAll_Ct-1),AZ870=0),AC870,0)</f>
        <v>0</v>
      </c>
      <c r="CI870" s="313">
        <f>IF(AND(Input_Product=Elig!$C870,Elig_MatchAll_Ct&lt;22,$BC870=(Elig_MatchAll_Ct-1),BA870=0),AD870,0)</f>
        <v>0</v>
      </c>
      <c r="CJ870" s="314">
        <f>IF(AND(Input_Product=Elig!$C870,Elig_MatchAll_Ct&lt;22,$BC870=(Elig_MatchAll_Ct-1),BA870=0),AE870,0)</f>
        <v>0</v>
      </c>
    </row>
    <row r="871" spans="2:88" ht="10.15" customHeight="1" x14ac:dyDescent="0.25">
      <c r="B871" s="2035" t="s">
        <v>4088</v>
      </c>
      <c r="C871" s="2036" t="str">
        <f t="shared" si="351"/>
        <v>Second NOO</v>
      </c>
      <c r="D871" s="2035" t="s">
        <v>1569</v>
      </c>
      <c r="E871" s="2035" t="s">
        <v>98</v>
      </c>
      <c r="F871" s="2035" t="s">
        <v>330</v>
      </c>
      <c r="G871" s="2110" t="s">
        <v>472</v>
      </c>
      <c r="H871" s="2037" t="s">
        <v>136</v>
      </c>
      <c r="I871" s="2035" t="s">
        <v>1332</v>
      </c>
      <c r="J871" s="2035" t="s">
        <v>1311</v>
      </c>
      <c r="K871" s="2037" t="s">
        <v>1790</v>
      </c>
      <c r="L871" s="2035" t="s">
        <v>430</v>
      </c>
      <c r="M871" s="2035" t="s">
        <v>2677</v>
      </c>
      <c r="N871" s="2037" t="s">
        <v>82</v>
      </c>
      <c r="O871" s="2035" t="s">
        <v>310</v>
      </c>
      <c r="P871" s="2035" t="s">
        <v>291</v>
      </c>
      <c r="Q871" s="2035" t="s">
        <v>294</v>
      </c>
      <c r="R871" s="2109">
        <v>500000.01</v>
      </c>
      <c r="S871" s="2109">
        <v>750000</v>
      </c>
      <c r="T871" s="2035">
        <v>0</v>
      </c>
      <c r="U871" s="2035">
        <f t="shared" si="352"/>
        <v>750000</v>
      </c>
      <c r="V871" s="2035">
        <v>0</v>
      </c>
      <c r="W871" s="2035">
        <v>50</v>
      </c>
      <c r="X871" s="2035">
        <v>0</v>
      </c>
      <c r="Y871" s="2035">
        <v>999</v>
      </c>
      <c r="Z871" s="2038">
        <v>700</v>
      </c>
      <c r="AA871" s="2038">
        <v>719</v>
      </c>
      <c r="AB871" s="2038">
        <v>0</v>
      </c>
      <c r="AC871" s="2038">
        <v>999999</v>
      </c>
      <c r="AD871" s="2035">
        <v>0</v>
      </c>
      <c r="AE871" s="2035">
        <v>60</v>
      </c>
      <c r="AF871" s="170">
        <v>0</v>
      </c>
      <c r="AG871" s="171">
        <v>1</v>
      </c>
      <c r="AH871" s="171">
        <v>1</v>
      </c>
      <c r="AI871" s="171">
        <v>0</v>
      </c>
      <c r="AJ871" s="171">
        <v>0</v>
      </c>
      <c r="AK871" s="171">
        <v>1</v>
      </c>
      <c r="AL871" s="171">
        <v>1</v>
      </c>
      <c r="AM871" s="171">
        <v>1</v>
      </c>
      <c r="AN871" s="171">
        <v>1</v>
      </c>
      <c r="AO871" s="171">
        <v>1</v>
      </c>
      <c r="AP871" s="171">
        <v>1</v>
      </c>
      <c r="AQ871" s="171">
        <v>1</v>
      </c>
      <c r="AR871" s="171">
        <v>1</v>
      </c>
      <c r="AS871" s="171">
        <v>1</v>
      </c>
      <c r="AT871" s="171">
        <v>1</v>
      </c>
      <c r="AU871" s="171">
        <f t="shared" si="324"/>
        <v>0</v>
      </c>
      <c r="AV871" s="171">
        <f t="shared" si="325"/>
        <v>1</v>
      </c>
      <c r="AW871" s="171">
        <f t="shared" si="326"/>
        <v>1</v>
      </c>
      <c r="AX871" s="171">
        <f t="shared" si="335"/>
        <v>1</v>
      </c>
      <c r="AY871" s="171">
        <f t="shared" si="327"/>
        <v>0</v>
      </c>
      <c r="AZ871" s="171">
        <f t="shared" si="328"/>
        <v>1</v>
      </c>
      <c r="BA871" s="172">
        <f t="shared" si="329"/>
        <v>0</v>
      </c>
      <c r="BB871" s="175">
        <f t="shared" si="332"/>
        <v>16</v>
      </c>
      <c r="BC871" s="176">
        <f t="shared" si="333"/>
        <v>16</v>
      </c>
      <c r="BD871" s="176">
        <f t="shared" si="334"/>
        <v>16</v>
      </c>
      <c r="BE871" s="240" t="str">
        <f t="shared" si="343"/>
        <v/>
      </c>
      <c r="BF871" s="234"/>
      <c r="BG871" s="234"/>
      <c r="BH871" s="199">
        <f>IF(AND(Input_Product=Elig!$C871,Elig_MatchAll_Ct&lt;22,$BC871=(Elig_MatchAll_Ct-1),AF871=0),C871,0)</f>
        <v>0</v>
      </c>
      <c r="BI871" s="199">
        <f>IF(AND(Input_Product=Elig!$C871,Elig_MatchAll_Ct&lt;22,$BC871=(Elig_MatchAll_Ct-1),AG871=0),D871,0)</f>
        <v>0</v>
      </c>
      <c r="BJ871" s="199">
        <f>IF(AND(Input_Product=Elig!$C871,Elig_MatchAll_Ct&lt;22,$BC871=(Elig_MatchAll_Ct-1),AH871=0),E871,0)</f>
        <v>0</v>
      </c>
      <c r="BK871" s="199">
        <f>IF(AND(Input_Product=Elig!$C871,Elig_MatchAll_Ct&lt;22,$BC871=(Elig_MatchAll_Ct-1),AI871=0),F871,0)</f>
        <v>0</v>
      </c>
      <c r="BL871" s="199">
        <f>IF(AND(Input_Product=Elig!$C871,Elig_MatchAll_Ct&lt;22,$BC871=(Elig_MatchAll_Ct-1),AJ871=0),G871,0)</f>
        <v>0</v>
      </c>
      <c r="BM871" s="199">
        <f>IF(AND(Input_Product=Elig!$C871,Elig_MatchAll_Ct&lt;22,$BC871=(Elig_MatchAll_Ct-1),AK871=0),H871,0)</f>
        <v>0</v>
      </c>
      <c r="BN871" s="199">
        <f>IF(AND(Input_Product=Elig!$C871,Elig_MatchAll_Ct&lt;22,$BC871=(Elig_MatchAll_Ct-1),AL871=0),I871,0)</f>
        <v>0</v>
      </c>
      <c r="BO871" s="199">
        <f>IF(AND(Input_Product=Elig!$C871,Elig_MatchAll_Ct&lt;22,$BC871=(Elig_MatchAll_Ct-1),AM871=0),J871,0)</f>
        <v>0</v>
      </c>
      <c r="BP871" s="199">
        <f>IF(AND(Input_Product=Elig!$C871,Elig_MatchAll_Ct&lt;22,$BC871=(Elig_MatchAll_Ct-1),AN871=0),K871,0)</f>
        <v>0</v>
      </c>
      <c r="BQ871" s="199">
        <f>IF(AND(Input_Product=Elig!$C871,Elig_MatchAll_Ct&lt;22,$BC871=(Elig_MatchAll_Ct-1),AP871=0),L871,0)</f>
        <v>0</v>
      </c>
      <c r="BR871" s="199">
        <f>IF(AND(Input_Product=Elig!$C871,Elig_MatchAll_Ct&lt;22,$BC871=(Elig_MatchAll_Ct-1),AO871=0),M871,0)</f>
        <v>0</v>
      </c>
      <c r="BS871" s="199">
        <f>IF(AND(Input_Product=Elig!$C871,Elig_MatchAll_Ct&lt;22,$BC871=(Elig_MatchAll_Ct-1),AQ871=0),N871,0)</f>
        <v>0</v>
      </c>
      <c r="BT871" s="199">
        <f>IF(AND(Input_Product=Elig!$C871,Elig_MatchAll_Ct&lt;22,$BC871=(Elig_MatchAll_Ct-1),AR871=0),O871,0)</f>
        <v>0</v>
      </c>
      <c r="BU871" s="199">
        <f>IF(AND(Input_Product=Elig!$C871,Elig_MatchAll_Ct&lt;22,$BC871=(Elig_MatchAll_Ct-1),AS871=0),P871,0)</f>
        <v>0</v>
      </c>
      <c r="BV871" s="200">
        <f>IF(AND(Input_Product=Elig!$C871,Elig_MatchAll_Ct&lt;22,$BC871=(Elig_MatchAll_Ct-1),AT871=0),Q871,0)</f>
        <v>0</v>
      </c>
      <c r="BW871" s="201">
        <f>IF(AND(Input_Product=Elig!$C871,Elig_MatchAll_Ct&lt;22,$BC871=(Elig_MatchAll_Ct-1),AU871=0),R871,0)</f>
        <v>0</v>
      </c>
      <c r="BX871" s="202">
        <f>IF(AND(Input_Product=Elig!$C871,Elig_MatchAll_Ct&lt;22,$BC871=(Elig_MatchAll_Ct-1),AU871=0),S871,0)</f>
        <v>0</v>
      </c>
      <c r="BY871" s="201">
        <f>IF(AND(Input_Product=Elig!$C871,Elig_MatchAll_Ct&lt;22,$BC871=(Elig_MatchAll_Ct-1),AV871=0),T871,0)</f>
        <v>0</v>
      </c>
      <c r="BZ871" s="202">
        <f>IF(AND(Input_Product=Elig!$C871,Elig_MatchAll_Ct&lt;22,$BC871=(Elig_MatchAll_Ct-1),AV871=0),U871,0)</f>
        <v>0</v>
      </c>
      <c r="CA871" s="201">
        <f>IF(AND(Input_Product=Elig!$C871,Elig_MatchAll_Ct&lt;22,$BC871=(Elig_MatchAll_Ct-1),AW871=0),V871,0)</f>
        <v>0</v>
      </c>
      <c r="CB871" s="202">
        <f>IF(AND(Input_Product=Elig!$C871,Elig_MatchAll_Ct&lt;22,$BC871=(Elig_MatchAll_Ct-1),AW871=0),W871,0)</f>
        <v>0</v>
      </c>
      <c r="CC871" s="201">
        <f>IF(AND(Input_Product=Elig!$C871,Elig_MatchAll_Ct&lt;22,$BC871=(Elig_MatchAll_Ct-1),AX871=0),X871,0)</f>
        <v>0</v>
      </c>
      <c r="CD871" s="202">
        <f>IF(AND(Input_Product=Elig!$C871,Elig_MatchAll_Ct&lt;22,$BC871=(Elig_MatchAll_Ct-1),AX871=0),Y871,0)</f>
        <v>0</v>
      </c>
      <c r="CE871" s="201">
        <f>IF(AND(Input_LTV&lt;=AE871,Input_Product=Elig!$C871,Elig_MatchAll_Ct&lt;22,$BC871=(Elig_MatchAll_Ct-1),AY871=0),Z871,0)</f>
        <v>0</v>
      </c>
      <c r="CF871" s="202">
        <f>IF(AND(Input_LTV&lt;=AE871,Input_Product=Elig!$C871,Elig_MatchAll_Ct&lt;22,$BC871=(Elig_MatchAll_Ct-1),AY871=0),AA871,0)</f>
        <v>0</v>
      </c>
      <c r="CG871" s="201">
        <f>IF(AND(Input_Product=Elig!$C871,Elig_MatchAll_Ct&lt;22,$BC871=(Elig_MatchAll_Ct-1),AZ871=0),AB871,0)</f>
        <v>0</v>
      </c>
      <c r="CH871" s="202">
        <f>IF(AND(Input_Product=Elig!$C871,Elig_MatchAll_Ct&lt;22,$BC871=(Elig_MatchAll_Ct-1),AZ871=0),AC871,0)</f>
        <v>0</v>
      </c>
      <c r="CI871" s="201">
        <f>IF(AND(Input_Product=Elig!$C871,Elig_MatchAll_Ct&lt;22,$BC871=(Elig_MatchAll_Ct-1),BA871=0),AD871,0)</f>
        <v>0</v>
      </c>
      <c r="CJ871" s="202">
        <f>IF(AND(Input_Product=Elig!$C871,Elig_MatchAll_Ct&lt;22,$BC871=(Elig_MatchAll_Ct-1),BA871=0),AE871,0)</f>
        <v>0</v>
      </c>
    </row>
    <row r="872" spans="2:88" ht="10.15" customHeight="1" x14ac:dyDescent="0.25">
      <c r="B872" s="2035" t="s">
        <v>4089</v>
      </c>
      <c r="C872" s="2036" t="str">
        <f t="shared" si="351"/>
        <v>Second NOO</v>
      </c>
      <c r="D872" s="2035" t="s">
        <v>1569</v>
      </c>
      <c r="E872" s="2035" t="s">
        <v>98</v>
      </c>
      <c r="F872" s="2035" t="s">
        <v>330</v>
      </c>
      <c r="G872" s="2110" t="s">
        <v>472</v>
      </c>
      <c r="H872" s="2037" t="s">
        <v>136</v>
      </c>
      <c r="I872" s="2035" t="s">
        <v>1332</v>
      </c>
      <c r="J872" s="2035" t="s">
        <v>1311</v>
      </c>
      <c r="K872" s="2037" t="s">
        <v>1790</v>
      </c>
      <c r="L872" s="2035" t="s">
        <v>430</v>
      </c>
      <c r="M872" s="2035" t="s">
        <v>2677</v>
      </c>
      <c r="N872" s="2037" t="s">
        <v>82</v>
      </c>
      <c r="O872" s="2035" t="s">
        <v>310</v>
      </c>
      <c r="P872" s="2035" t="s">
        <v>291</v>
      </c>
      <c r="Q872" s="2035" t="s">
        <v>294</v>
      </c>
      <c r="R872" s="2109">
        <v>500000.01</v>
      </c>
      <c r="S872" s="2109">
        <v>750000</v>
      </c>
      <c r="T872" s="2035">
        <v>0</v>
      </c>
      <c r="U872" s="2035">
        <f t="shared" si="352"/>
        <v>750000</v>
      </c>
      <c r="V872" s="2035">
        <v>0</v>
      </c>
      <c r="W872" s="2035">
        <v>50</v>
      </c>
      <c r="X872" s="2035">
        <v>0</v>
      </c>
      <c r="Y872" s="2035">
        <v>999</v>
      </c>
      <c r="Z872" s="2038">
        <v>680</v>
      </c>
      <c r="AA872" s="2038">
        <v>699</v>
      </c>
      <c r="AB872" s="2038">
        <v>0</v>
      </c>
      <c r="AC872" s="2038">
        <v>999999</v>
      </c>
      <c r="AD872" s="2035">
        <v>0</v>
      </c>
      <c r="AE872" s="2035">
        <v>55</v>
      </c>
      <c r="AF872" s="170">
        <v>0</v>
      </c>
      <c r="AG872" s="171">
        <v>1</v>
      </c>
      <c r="AH872" s="171">
        <v>1</v>
      </c>
      <c r="AI872" s="171">
        <v>0</v>
      </c>
      <c r="AJ872" s="171">
        <v>0</v>
      </c>
      <c r="AK872" s="171">
        <v>1</v>
      </c>
      <c r="AL872" s="171">
        <v>1</v>
      </c>
      <c r="AM872" s="171">
        <v>1</v>
      </c>
      <c r="AN872" s="171">
        <v>1</v>
      </c>
      <c r="AO872" s="171">
        <v>1</v>
      </c>
      <c r="AP872" s="171">
        <v>1</v>
      </c>
      <c r="AQ872" s="171">
        <v>1</v>
      </c>
      <c r="AR872" s="171">
        <v>1</v>
      </c>
      <c r="AS872" s="171">
        <v>1</v>
      </c>
      <c r="AT872" s="171">
        <v>1</v>
      </c>
      <c r="AU872" s="171">
        <f t="shared" si="324"/>
        <v>0</v>
      </c>
      <c r="AV872" s="171">
        <f t="shared" si="325"/>
        <v>1</v>
      </c>
      <c r="AW872" s="171">
        <f t="shared" si="326"/>
        <v>1</v>
      </c>
      <c r="AX872" s="171">
        <f t="shared" si="335"/>
        <v>1</v>
      </c>
      <c r="AY872" s="171">
        <f t="shared" si="327"/>
        <v>0</v>
      </c>
      <c r="AZ872" s="171">
        <f t="shared" si="328"/>
        <v>1</v>
      </c>
      <c r="BA872" s="172">
        <f t="shared" si="329"/>
        <v>0</v>
      </c>
      <c r="BB872" s="175">
        <f t="shared" si="332"/>
        <v>16</v>
      </c>
      <c r="BC872" s="176">
        <f t="shared" si="333"/>
        <v>16</v>
      </c>
      <c r="BD872" s="176">
        <f t="shared" si="334"/>
        <v>16</v>
      </c>
      <c r="BE872" s="240" t="str">
        <f t="shared" si="343"/>
        <v/>
      </c>
      <c r="BF872" s="234"/>
      <c r="BG872" s="234"/>
      <c r="BH872" s="199">
        <f>IF(AND(Input_Product=Elig!$C872,Elig_MatchAll_Ct&lt;22,$BC872=(Elig_MatchAll_Ct-1),AF872=0),C872,0)</f>
        <v>0</v>
      </c>
      <c r="BI872" s="199">
        <f>IF(AND(Input_Product=Elig!$C872,Elig_MatchAll_Ct&lt;22,$BC872=(Elig_MatchAll_Ct-1),AG872=0),D872,0)</f>
        <v>0</v>
      </c>
      <c r="BJ872" s="199">
        <f>IF(AND(Input_Product=Elig!$C872,Elig_MatchAll_Ct&lt;22,$BC872=(Elig_MatchAll_Ct-1),AH872=0),E872,0)</f>
        <v>0</v>
      </c>
      <c r="BK872" s="199">
        <f>IF(AND(Input_Product=Elig!$C872,Elig_MatchAll_Ct&lt;22,$BC872=(Elig_MatchAll_Ct-1),AI872=0),F872,0)</f>
        <v>0</v>
      </c>
      <c r="BL872" s="199">
        <f>IF(AND(Input_Product=Elig!$C872,Elig_MatchAll_Ct&lt;22,$BC872=(Elig_MatchAll_Ct-1),AJ872=0),G872,0)</f>
        <v>0</v>
      </c>
      <c r="BM872" s="199">
        <f>IF(AND(Input_Product=Elig!$C872,Elig_MatchAll_Ct&lt;22,$BC872=(Elig_MatchAll_Ct-1),AK872=0),H872,0)</f>
        <v>0</v>
      </c>
      <c r="BN872" s="199">
        <f>IF(AND(Input_Product=Elig!$C872,Elig_MatchAll_Ct&lt;22,$BC872=(Elig_MatchAll_Ct-1),AL872=0),I872,0)</f>
        <v>0</v>
      </c>
      <c r="BO872" s="199">
        <f>IF(AND(Input_Product=Elig!$C872,Elig_MatchAll_Ct&lt;22,$BC872=(Elig_MatchAll_Ct-1),AM872=0),J872,0)</f>
        <v>0</v>
      </c>
      <c r="BP872" s="199">
        <f>IF(AND(Input_Product=Elig!$C872,Elig_MatchAll_Ct&lt;22,$BC872=(Elig_MatchAll_Ct-1),AN872=0),K872,0)</f>
        <v>0</v>
      </c>
      <c r="BQ872" s="199">
        <f>IF(AND(Input_Product=Elig!$C872,Elig_MatchAll_Ct&lt;22,$BC872=(Elig_MatchAll_Ct-1),AP872=0),L872,0)</f>
        <v>0</v>
      </c>
      <c r="BR872" s="199">
        <f>IF(AND(Input_Product=Elig!$C872,Elig_MatchAll_Ct&lt;22,$BC872=(Elig_MatchAll_Ct-1),AO872=0),M872,0)</f>
        <v>0</v>
      </c>
      <c r="BS872" s="199">
        <f>IF(AND(Input_Product=Elig!$C872,Elig_MatchAll_Ct&lt;22,$BC872=(Elig_MatchAll_Ct-1),AQ872=0),N872,0)</f>
        <v>0</v>
      </c>
      <c r="BT872" s="199">
        <f>IF(AND(Input_Product=Elig!$C872,Elig_MatchAll_Ct&lt;22,$BC872=(Elig_MatchAll_Ct-1),AR872=0),O872,0)</f>
        <v>0</v>
      </c>
      <c r="BU872" s="199">
        <f>IF(AND(Input_Product=Elig!$C872,Elig_MatchAll_Ct&lt;22,$BC872=(Elig_MatchAll_Ct-1),AS872=0),P872,0)</f>
        <v>0</v>
      </c>
      <c r="BV872" s="200">
        <f>IF(AND(Input_Product=Elig!$C872,Elig_MatchAll_Ct&lt;22,$BC872=(Elig_MatchAll_Ct-1),AT872=0),Q872,0)</f>
        <v>0</v>
      </c>
      <c r="BW872" s="201">
        <f>IF(AND(Input_Product=Elig!$C872,Elig_MatchAll_Ct&lt;22,$BC872=(Elig_MatchAll_Ct-1),AU872=0),R872,0)</f>
        <v>0</v>
      </c>
      <c r="BX872" s="202">
        <f>IF(AND(Input_Product=Elig!$C872,Elig_MatchAll_Ct&lt;22,$BC872=(Elig_MatchAll_Ct-1),AU872=0),S872,0)</f>
        <v>0</v>
      </c>
      <c r="BY872" s="201">
        <f>IF(AND(Input_Product=Elig!$C872,Elig_MatchAll_Ct&lt;22,$BC872=(Elig_MatchAll_Ct-1),AV872=0),T872,0)</f>
        <v>0</v>
      </c>
      <c r="BZ872" s="202">
        <f>IF(AND(Input_Product=Elig!$C872,Elig_MatchAll_Ct&lt;22,$BC872=(Elig_MatchAll_Ct-1),AV872=0),U872,0)</f>
        <v>0</v>
      </c>
      <c r="CA872" s="201">
        <f>IF(AND(Input_Product=Elig!$C872,Elig_MatchAll_Ct&lt;22,$BC872=(Elig_MatchAll_Ct-1),AW872=0),V872,0)</f>
        <v>0</v>
      </c>
      <c r="CB872" s="202">
        <f>IF(AND(Input_Product=Elig!$C872,Elig_MatchAll_Ct&lt;22,$BC872=(Elig_MatchAll_Ct-1),AW872=0),W872,0)</f>
        <v>0</v>
      </c>
      <c r="CC872" s="201">
        <f>IF(AND(Input_Product=Elig!$C872,Elig_MatchAll_Ct&lt;22,$BC872=(Elig_MatchAll_Ct-1),AX872=0),X872,0)</f>
        <v>0</v>
      </c>
      <c r="CD872" s="202">
        <f>IF(AND(Input_Product=Elig!$C872,Elig_MatchAll_Ct&lt;22,$BC872=(Elig_MatchAll_Ct-1),AX872=0),Y872,0)</f>
        <v>0</v>
      </c>
      <c r="CE872" s="201">
        <f>IF(AND(Input_LTV&lt;=AE872,Input_Product=Elig!$C872,Elig_MatchAll_Ct&lt;22,$BC872=(Elig_MatchAll_Ct-1),AY872=0),Z872,0)</f>
        <v>0</v>
      </c>
      <c r="CF872" s="202">
        <f>IF(AND(Input_LTV&lt;=AE872,Input_Product=Elig!$C872,Elig_MatchAll_Ct&lt;22,$BC872=(Elig_MatchAll_Ct-1),AY872=0),AA872,0)</f>
        <v>0</v>
      </c>
      <c r="CG872" s="201">
        <f>IF(AND(Input_Product=Elig!$C872,Elig_MatchAll_Ct&lt;22,$BC872=(Elig_MatchAll_Ct-1),AZ872=0),AB872,0)</f>
        <v>0</v>
      </c>
      <c r="CH872" s="202">
        <f>IF(AND(Input_Product=Elig!$C872,Elig_MatchAll_Ct&lt;22,$BC872=(Elig_MatchAll_Ct-1),AZ872=0),AC872,0)</f>
        <v>0</v>
      </c>
      <c r="CI872" s="201">
        <f>IF(AND(Input_Product=Elig!$C872,Elig_MatchAll_Ct&lt;22,$BC872=(Elig_MatchAll_Ct-1),BA872=0),AD872,0)</f>
        <v>0</v>
      </c>
      <c r="CJ872" s="202">
        <f>IF(AND(Input_Product=Elig!$C872,Elig_MatchAll_Ct&lt;22,$BC872=(Elig_MatchAll_Ct-1),BA872=0),AE872,0)</f>
        <v>0</v>
      </c>
    </row>
    <row r="873" spans="2:88" ht="10.15" customHeight="1" x14ac:dyDescent="0.25">
      <c r="B873" s="2035" t="s">
        <v>4090</v>
      </c>
      <c r="C873" s="2036" t="str">
        <f t="shared" si="351"/>
        <v>Second NOO</v>
      </c>
      <c r="D873" s="2035" t="s">
        <v>1569</v>
      </c>
      <c r="E873" s="2035" t="s">
        <v>98</v>
      </c>
      <c r="F873" s="2035" t="s">
        <v>330</v>
      </c>
      <c r="G873" s="2111" t="s">
        <v>472</v>
      </c>
      <c r="H873" s="2037" t="s">
        <v>136</v>
      </c>
      <c r="I873" s="2035" t="s">
        <v>1332</v>
      </c>
      <c r="J873" s="2035" t="s">
        <v>1311</v>
      </c>
      <c r="K873" s="2037" t="s">
        <v>1790</v>
      </c>
      <c r="L873" s="2035" t="s">
        <v>430</v>
      </c>
      <c r="M873" s="2035" t="s">
        <v>2677</v>
      </c>
      <c r="N873" s="2037" t="s">
        <v>82</v>
      </c>
      <c r="O873" s="2035" t="s">
        <v>310</v>
      </c>
      <c r="P873" s="2035" t="s">
        <v>291</v>
      </c>
      <c r="Q873" s="2035" t="s">
        <v>294</v>
      </c>
      <c r="R873" s="2109">
        <v>500000.01</v>
      </c>
      <c r="S873" s="2109">
        <v>750000</v>
      </c>
      <c r="T873" s="2035">
        <v>0</v>
      </c>
      <c r="U873" s="2035">
        <f t="shared" si="352"/>
        <v>750000</v>
      </c>
      <c r="V873" s="2035">
        <v>0</v>
      </c>
      <c r="W873" s="2035">
        <v>50</v>
      </c>
      <c r="X873" s="2035">
        <v>0</v>
      </c>
      <c r="Y873" s="2035">
        <v>999</v>
      </c>
      <c r="Z873" s="2038">
        <v>660</v>
      </c>
      <c r="AA873" s="2038">
        <v>679</v>
      </c>
      <c r="AB873" s="2038">
        <v>0</v>
      </c>
      <c r="AC873" s="2038">
        <v>999999</v>
      </c>
      <c r="AD873" s="2035">
        <v>0</v>
      </c>
      <c r="AE873" s="2035">
        <v>50</v>
      </c>
      <c r="AF873" s="170">
        <v>0</v>
      </c>
      <c r="AG873" s="171">
        <v>1</v>
      </c>
      <c r="AH873" s="171">
        <v>1</v>
      </c>
      <c r="AI873" s="171">
        <v>0</v>
      </c>
      <c r="AJ873" s="171">
        <v>0</v>
      </c>
      <c r="AK873" s="171">
        <v>1</v>
      </c>
      <c r="AL873" s="171">
        <v>1</v>
      </c>
      <c r="AM873" s="171">
        <v>1</v>
      </c>
      <c r="AN873" s="171">
        <v>1</v>
      </c>
      <c r="AO873" s="171">
        <v>1</v>
      </c>
      <c r="AP873" s="171">
        <v>1</v>
      </c>
      <c r="AQ873" s="171">
        <v>1</v>
      </c>
      <c r="AR873" s="171">
        <v>1</v>
      </c>
      <c r="AS873" s="171">
        <v>1</v>
      </c>
      <c r="AT873" s="171">
        <v>1</v>
      </c>
      <c r="AU873" s="171">
        <f t="shared" si="324"/>
        <v>0</v>
      </c>
      <c r="AV873" s="171">
        <f t="shared" si="325"/>
        <v>1</v>
      </c>
      <c r="AW873" s="171">
        <f t="shared" si="326"/>
        <v>1</v>
      </c>
      <c r="AX873" s="171">
        <f t="shared" si="335"/>
        <v>1</v>
      </c>
      <c r="AY873" s="171">
        <f t="shared" si="327"/>
        <v>0</v>
      </c>
      <c r="AZ873" s="171">
        <f t="shared" si="328"/>
        <v>1</v>
      </c>
      <c r="BA873" s="172">
        <f t="shared" si="329"/>
        <v>0</v>
      </c>
      <c r="BB873" s="175">
        <f t="shared" si="332"/>
        <v>16</v>
      </c>
      <c r="BC873" s="176">
        <f t="shared" si="333"/>
        <v>16</v>
      </c>
      <c r="BD873" s="176">
        <f t="shared" si="334"/>
        <v>16</v>
      </c>
      <c r="BE873" s="240" t="str">
        <f t="shared" si="343"/>
        <v/>
      </c>
      <c r="BF873" s="234"/>
      <c r="BG873" s="234"/>
      <c r="BH873" s="214">
        <f>IF(AND(Input_Product=Elig!$C873,Elig_MatchAll_Ct&lt;22,$BC873=(Elig_MatchAll_Ct-1),AF873=0),C873,0)</f>
        <v>0</v>
      </c>
      <c r="BI873" s="214">
        <f>IF(AND(Input_Product=Elig!$C873,Elig_MatchAll_Ct&lt;22,$BC873=(Elig_MatchAll_Ct-1),AG873=0),D873,0)</f>
        <v>0</v>
      </c>
      <c r="BJ873" s="214">
        <f>IF(AND(Input_Product=Elig!$C873,Elig_MatchAll_Ct&lt;22,$BC873=(Elig_MatchAll_Ct-1),AH873=0),E873,0)</f>
        <v>0</v>
      </c>
      <c r="BK873" s="214">
        <f>IF(AND(Input_Product=Elig!$C873,Elig_MatchAll_Ct&lt;22,$BC873=(Elig_MatchAll_Ct-1),AI873=0),F873,0)</f>
        <v>0</v>
      </c>
      <c r="BL873" s="214">
        <f>IF(AND(Input_Product=Elig!$C873,Elig_MatchAll_Ct&lt;22,$BC873=(Elig_MatchAll_Ct-1),AJ873=0),G873,0)</f>
        <v>0</v>
      </c>
      <c r="BM873" s="214">
        <f>IF(AND(Input_Product=Elig!$C873,Elig_MatchAll_Ct&lt;22,$BC873=(Elig_MatchAll_Ct-1),AK873=0),H873,0)</f>
        <v>0</v>
      </c>
      <c r="BN873" s="214">
        <f>IF(AND(Input_Product=Elig!$C873,Elig_MatchAll_Ct&lt;22,$BC873=(Elig_MatchAll_Ct-1),AL873=0),I873,0)</f>
        <v>0</v>
      </c>
      <c r="BO873" s="214">
        <f>IF(AND(Input_Product=Elig!$C873,Elig_MatchAll_Ct&lt;22,$BC873=(Elig_MatchAll_Ct-1),AM873=0),J873,0)</f>
        <v>0</v>
      </c>
      <c r="BP873" s="214">
        <f>IF(AND(Input_Product=Elig!$C873,Elig_MatchAll_Ct&lt;22,$BC873=(Elig_MatchAll_Ct-1),AN873=0),K873,0)</f>
        <v>0</v>
      </c>
      <c r="BQ873" s="214">
        <f>IF(AND(Input_Product=Elig!$C873,Elig_MatchAll_Ct&lt;22,$BC873=(Elig_MatchAll_Ct-1),AP873=0),L873,0)</f>
        <v>0</v>
      </c>
      <c r="BR873" s="214">
        <f>IF(AND(Input_Product=Elig!$C873,Elig_MatchAll_Ct&lt;22,$BC873=(Elig_MatchAll_Ct-1),AO873=0),M873,0)</f>
        <v>0</v>
      </c>
      <c r="BS873" s="214">
        <f>IF(AND(Input_Product=Elig!$C873,Elig_MatchAll_Ct&lt;22,$BC873=(Elig_MatchAll_Ct-1),AQ873=0),N873,0)</f>
        <v>0</v>
      </c>
      <c r="BT873" s="214">
        <f>IF(AND(Input_Product=Elig!$C873,Elig_MatchAll_Ct&lt;22,$BC873=(Elig_MatchAll_Ct-1),AR873=0),O873,0)</f>
        <v>0</v>
      </c>
      <c r="BU873" s="214">
        <f>IF(AND(Input_Product=Elig!$C873,Elig_MatchAll_Ct&lt;22,$BC873=(Elig_MatchAll_Ct-1),AS873=0),P873,0)</f>
        <v>0</v>
      </c>
      <c r="BV873" s="215">
        <f>IF(AND(Input_Product=Elig!$C873,Elig_MatchAll_Ct&lt;22,$BC873=(Elig_MatchAll_Ct-1),AT873=0),Q873,0)</f>
        <v>0</v>
      </c>
      <c r="BW873" s="311">
        <f>IF(AND(Input_Product=Elig!$C873,Elig_MatchAll_Ct&lt;22,$BC873=(Elig_MatchAll_Ct-1),AU873=0),R873,0)</f>
        <v>0</v>
      </c>
      <c r="BX873" s="312">
        <f>IF(AND(Input_Product=Elig!$C873,Elig_MatchAll_Ct&lt;22,$BC873=(Elig_MatchAll_Ct-1),AU873=0),S873,0)</f>
        <v>0</v>
      </c>
      <c r="BY873" s="311">
        <f>IF(AND(Input_Product=Elig!$C873,Elig_MatchAll_Ct&lt;22,$BC873=(Elig_MatchAll_Ct-1),AV873=0),T873,0)</f>
        <v>0</v>
      </c>
      <c r="BZ873" s="312">
        <f>IF(AND(Input_Product=Elig!$C873,Elig_MatchAll_Ct&lt;22,$BC873=(Elig_MatchAll_Ct-1),AV873=0),U873,0)</f>
        <v>0</v>
      </c>
      <c r="CA873" s="311">
        <f>IF(AND(Input_Product=Elig!$C873,Elig_MatchAll_Ct&lt;22,$BC873=(Elig_MatchAll_Ct-1),AW873=0),V873,0)</f>
        <v>0</v>
      </c>
      <c r="CB873" s="312">
        <f>IF(AND(Input_Product=Elig!$C873,Elig_MatchAll_Ct&lt;22,$BC873=(Elig_MatchAll_Ct-1),AW873=0),W873,0)</f>
        <v>0</v>
      </c>
      <c r="CC873" s="311">
        <f>IF(AND(Input_Product=Elig!$C873,Elig_MatchAll_Ct&lt;22,$BC873=(Elig_MatchAll_Ct-1),AX873=0),X873,0)</f>
        <v>0</v>
      </c>
      <c r="CD873" s="312">
        <f>IF(AND(Input_Product=Elig!$C873,Elig_MatchAll_Ct&lt;22,$BC873=(Elig_MatchAll_Ct-1),AX873=0),Y873,0)</f>
        <v>0</v>
      </c>
      <c r="CE873" s="311">
        <f>IF(AND(Input_LTV&lt;=AE873,Input_Product=Elig!$C873,Elig_MatchAll_Ct&lt;22,$BC873=(Elig_MatchAll_Ct-1),AY873=0),Z873,0)</f>
        <v>0</v>
      </c>
      <c r="CF873" s="312">
        <f>IF(AND(Input_LTV&lt;=AE873,Input_Product=Elig!$C873,Elig_MatchAll_Ct&lt;22,$BC873=(Elig_MatchAll_Ct-1),AY873=0),AA873,0)</f>
        <v>0</v>
      </c>
      <c r="CG873" s="311">
        <f>IF(AND(Input_Product=Elig!$C873,Elig_MatchAll_Ct&lt;22,$BC873=(Elig_MatchAll_Ct-1),AZ873=0),AB873,0)</f>
        <v>0</v>
      </c>
      <c r="CH873" s="312">
        <f>IF(AND(Input_Product=Elig!$C873,Elig_MatchAll_Ct&lt;22,$BC873=(Elig_MatchAll_Ct-1),AZ873=0),AC873,0)</f>
        <v>0</v>
      </c>
      <c r="CI873" s="311">
        <f>IF(AND(Input_Product=Elig!$C873,Elig_MatchAll_Ct&lt;22,$BC873=(Elig_MatchAll_Ct-1),BA873=0),AD873,0)</f>
        <v>0</v>
      </c>
      <c r="CJ873" s="312">
        <f>IF(AND(Input_Product=Elig!$C873,Elig_MatchAll_Ct&lt;22,$BC873=(Elig_MatchAll_Ct-1),BA873=0),AE873,0)</f>
        <v>0</v>
      </c>
    </row>
    <row r="874" spans="2:88" ht="10.15" customHeight="1" x14ac:dyDescent="0.25">
      <c r="B874" s="2035" t="s">
        <v>4091</v>
      </c>
      <c r="C874" s="2040" t="str">
        <f t="shared" si="351"/>
        <v>Second NOO</v>
      </c>
      <c r="D874" s="2041" t="s">
        <v>1569</v>
      </c>
      <c r="E874" s="2041" t="s">
        <v>98</v>
      </c>
      <c r="F874" s="2041" t="s">
        <v>330</v>
      </c>
      <c r="G874" s="2041" t="s">
        <v>179</v>
      </c>
      <c r="H874" s="2041" t="s">
        <v>136</v>
      </c>
      <c r="I874" s="2039" t="s">
        <v>1332</v>
      </c>
      <c r="J874" s="2039" t="s">
        <v>1311</v>
      </c>
      <c r="K874" s="2041" t="s">
        <v>1790</v>
      </c>
      <c r="L874" s="2039" t="s">
        <v>430</v>
      </c>
      <c r="M874" s="2039" t="s">
        <v>2677</v>
      </c>
      <c r="N874" s="2041" t="s">
        <v>82</v>
      </c>
      <c r="O874" s="2039" t="s">
        <v>310</v>
      </c>
      <c r="P874" s="2039" t="s">
        <v>291</v>
      </c>
      <c r="Q874" s="2039" t="s">
        <v>294</v>
      </c>
      <c r="R874" s="2108">
        <v>500000.01</v>
      </c>
      <c r="S874" s="2108">
        <v>750000</v>
      </c>
      <c r="T874" s="2039">
        <v>0</v>
      </c>
      <c r="U874" s="2039">
        <f t="shared" si="352"/>
        <v>750000</v>
      </c>
      <c r="V874" s="2039">
        <v>0</v>
      </c>
      <c r="W874" s="2039">
        <v>50</v>
      </c>
      <c r="X874" s="2039">
        <v>0</v>
      </c>
      <c r="Y874" s="2039">
        <v>999</v>
      </c>
      <c r="Z874" s="2042">
        <v>720</v>
      </c>
      <c r="AA874" s="2042">
        <v>999</v>
      </c>
      <c r="AB874" s="2042">
        <v>0</v>
      </c>
      <c r="AC874" s="2042">
        <v>999999</v>
      </c>
      <c r="AD874" s="2039">
        <v>0</v>
      </c>
      <c r="AE874" s="2039">
        <v>60</v>
      </c>
      <c r="AF874" s="170">
        <v>0</v>
      </c>
      <c r="AG874" s="171">
        <v>1</v>
      </c>
      <c r="AH874" s="171">
        <v>1</v>
      </c>
      <c r="AI874" s="171">
        <v>0</v>
      </c>
      <c r="AJ874" s="171">
        <v>0</v>
      </c>
      <c r="AK874" s="171">
        <v>1</v>
      </c>
      <c r="AL874" s="171">
        <v>1</v>
      </c>
      <c r="AM874" s="171">
        <v>1</v>
      </c>
      <c r="AN874" s="171">
        <v>1</v>
      </c>
      <c r="AO874" s="171">
        <v>1</v>
      </c>
      <c r="AP874" s="171">
        <v>1</v>
      </c>
      <c r="AQ874" s="171">
        <v>1</v>
      </c>
      <c r="AR874" s="171">
        <v>1</v>
      </c>
      <c r="AS874" s="171">
        <v>1</v>
      </c>
      <c r="AT874" s="171">
        <v>1</v>
      </c>
      <c r="AU874" s="171">
        <f t="shared" si="324"/>
        <v>0</v>
      </c>
      <c r="AV874" s="171">
        <f t="shared" si="325"/>
        <v>1</v>
      </c>
      <c r="AW874" s="171">
        <f t="shared" si="326"/>
        <v>1</v>
      </c>
      <c r="AX874" s="171">
        <f t="shared" si="335"/>
        <v>1</v>
      </c>
      <c r="AY874" s="171">
        <f t="shared" si="327"/>
        <v>1</v>
      </c>
      <c r="AZ874" s="171">
        <f t="shared" si="328"/>
        <v>1</v>
      </c>
      <c r="BA874" s="172">
        <f t="shared" si="329"/>
        <v>0</v>
      </c>
      <c r="BB874" s="175">
        <f t="shared" si="332"/>
        <v>17</v>
      </c>
      <c r="BC874" s="176">
        <f t="shared" si="333"/>
        <v>17</v>
      </c>
      <c r="BD874" s="176">
        <f t="shared" si="334"/>
        <v>17</v>
      </c>
      <c r="BE874" s="240" t="str">
        <f t="shared" si="343"/>
        <v/>
      </c>
      <c r="BF874" s="220"/>
      <c r="BG874" s="220"/>
      <c r="BH874" s="216">
        <f>IF(AND(Input_Product=Elig!$C874,Elig_MatchAll_Ct&lt;22,$BC874=(Elig_MatchAll_Ct-1),AF874=0),C874,0)</f>
        <v>0</v>
      </c>
      <c r="BI874" s="216">
        <f>IF(AND(Input_Product=Elig!$C874,Elig_MatchAll_Ct&lt;22,$BC874=(Elig_MatchAll_Ct-1),AG874=0),D874,0)</f>
        <v>0</v>
      </c>
      <c r="BJ874" s="216">
        <f>IF(AND(Input_Product=Elig!$C874,Elig_MatchAll_Ct&lt;22,$BC874=(Elig_MatchAll_Ct-1),AH874=0),E874,0)</f>
        <v>0</v>
      </c>
      <c r="BK874" s="216">
        <f>IF(AND(Input_Product=Elig!$C874,Elig_MatchAll_Ct&lt;22,$BC874=(Elig_MatchAll_Ct-1),AI874=0),F874,0)</f>
        <v>0</v>
      </c>
      <c r="BL874" s="216">
        <f>IF(AND(Input_Product=Elig!$C874,Elig_MatchAll_Ct&lt;22,$BC874=(Elig_MatchAll_Ct-1),AJ874=0),G874,0)</f>
        <v>0</v>
      </c>
      <c r="BM874" s="216">
        <f>IF(AND(Input_Product=Elig!$C874,Elig_MatchAll_Ct&lt;22,$BC874=(Elig_MatchAll_Ct-1),AK874=0),H874,0)</f>
        <v>0</v>
      </c>
      <c r="BN874" s="216">
        <f>IF(AND(Input_Product=Elig!$C874,Elig_MatchAll_Ct&lt;22,$BC874=(Elig_MatchAll_Ct-1),AL874=0),I874,0)</f>
        <v>0</v>
      </c>
      <c r="BO874" s="216">
        <f>IF(AND(Input_Product=Elig!$C874,Elig_MatchAll_Ct&lt;22,$BC874=(Elig_MatchAll_Ct-1),AM874=0),J874,0)</f>
        <v>0</v>
      </c>
      <c r="BP874" s="216">
        <f>IF(AND(Input_Product=Elig!$C874,Elig_MatchAll_Ct&lt;22,$BC874=(Elig_MatchAll_Ct-1),AN874=0),K874,0)</f>
        <v>0</v>
      </c>
      <c r="BQ874" s="216">
        <f>IF(AND(Input_Product=Elig!$C874,Elig_MatchAll_Ct&lt;22,$BC874=(Elig_MatchAll_Ct-1),AP874=0),L874,0)</f>
        <v>0</v>
      </c>
      <c r="BR874" s="216">
        <f>IF(AND(Input_Product=Elig!$C874,Elig_MatchAll_Ct&lt;22,$BC874=(Elig_MatchAll_Ct-1),AO874=0),M874,0)</f>
        <v>0</v>
      </c>
      <c r="BS874" s="216">
        <f>IF(AND(Input_Product=Elig!$C874,Elig_MatchAll_Ct&lt;22,$BC874=(Elig_MatchAll_Ct-1),AQ874=0),N874,0)</f>
        <v>0</v>
      </c>
      <c r="BT874" s="216">
        <f>IF(AND(Input_Product=Elig!$C874,Elig_MatchAll_Ct&lt;22,$BC874=(Elig_MatchAll_Ct-1),AR874=0),O874,0)</f>
        <v>0</v>
      </c>
      <c r="BU874" s="216">
        <f>IF(AND(Input_Product=Elig!$C874,Elig_MatchAll_Ct&lt;22,$BC874=(Elig_MatchAll_Ct-1),AS874=0),P874,0)</f>
        <v>0</v>
      </c>
      <c r="BV874" s="217">
        <f>IF(AND(Input_Product=Elig!$C874,Elig_MatchAll_Ct&lt;22,$BC874=(Elig_MatchAll_Ct-1),AT874=0),Q874,0)</f>
        <v>0</v>
      </c>
      <c r="BW874" s="313">
        <f>IF(AND(Input_Product=Elig!$C874,Elig_MatchAll_Ct&lt;22,$BC874=(Elig_MatchAll_Ct-1),AU874=0),R874,0)</f>
        <v>0</v>
      </c>
      <c r="BX874" s="314">
        <f>IF(AND(Input_Product=Elig!$C874,Elig_MatchAll_Ct&lt;22,$BC874=(Elig_MatchAll_Ct-1),AU874=0),S874,0)</f>
        <v>0</v>
      </c>
      <c r="BY874" s="313">
        <f>IF(AND(Input_Product=Elig!$C874,Elig_MatchAll_Ct&lt;22,$BC874=(Elig_MatchAll_Ct-1),AV874=0),T874,0)</f>
        <v>0</v>
      </c>
      <c r="BZ874" s="314">
        <f>IF(AND(Input_Product=Elig!$C874,Elig_MatchAll_Ct&lt;22,$BC874=(Elig_MatchAll_Ct-1),AV874=0),U874,0)</f>
        <v>0</v>
      </c>
      <c r="CA874" s="313">
        <f>IF(AND(Input_Product=Elig!$C874,Elig_MatchAll_Ct&lt;22,$BC874=(Elig_MatchAll_Ct-1),AW874=0),V874,0)</f>
        <v>0</v>
      </c>
      <c r="CB874" s="314">
        <f>IF(AND(Input_Product=Elig!$C874,Elig_MatchAll_Ct&lt;22,$BC874=(Elig_MatchAll_Ct-1),AW874=0),W874,0)</f>
        <v>0</v>
      </c>
      <c r="CC874" s="313">
        <f>IF(AND(Input_Product=Elig!$C874,Elig_MatchAll_Ct&lt;22,$BC874=(Elig_MatchAll_Ct-1),AX874=0),X874,0)</f>
        <v>0</v>
      </c>
      <c r="CD874" s="314">
        <f>IF(AND(Input_Product=Elig!$C874,Elig_MatchAll_Ct&lt;22,$BC874=(Elig_MatchAll_Ct-1),AX874=0),Y874,0)</f>
        <v>0</v>
      </c>
      <c r="CE874" s="313">
        <f>IF(AND(Input_LTV&lt;=AE874,Input_Product=Elig!$C874,Elig_MatchAll_Ct&lt;22,$BC874=(Elig_MatchAll_Ct-1),AY874=0),Z874,0)</f>
        <v>0</v>
      </c>
      <c r="CF874" s="314">
        <f>IF(AND(Input_LTV&lt;=AE874,Input_Product=Elig!$C874,Elig_MatchAll_Ct&lt;22,$BC874=(Elig_MatchAll_Ct-1),AY874=0),AA874,0)</f>
        <v>0</v>
      </c>
      <c r="CG874" s="313">
        <f>IF(AND(Input_Product=Elig!$C874,Elig_MatchAll_Ct&lt;22,$BC874=(Elig_MatchAll_Ct-1),AZ874=0),AB874,0)</f>
        <v>0</v>
      </c>
      <c r="CH874" s="314">
        <f>IF(AND(Input_Product=Elig!$C874,Elig_MatchAll_Ct&lt;22,$BC874=(Elig_MatchAll_Ct-1),AZ874=0),AC874,0)</f>
        <v>0</v>
      </c>
      <c r="CI874" s="313">
        <f>IF(AND(Input_Product=Elig!$C874,Elig_MatchAll_Ct&lt;22,$BC874=(Elig_MatchAll_Ct-1),BA874=0),AD874,0)</f>
        <v>0</v>
      </c>
      <c r="CJ874" s="314">
        <f>IF(AND(Input_Product=Elig!$C874,Elig_MatchAll_Ct&lt;22,$BC874=(Elig_MatchAll_Ct-1),BA874=0),AE874,0)</f>
        <v>0</v>
      </c>
    </row>
    <row r="875" spans="2:88" ht="10.15" customHeight="1" x14ac:dyDescent="0.25">
      <c r="B875" s="2035" t="s">
        <v>4092</v>
      </c>
      <c r="C875" s="2036" t="str">
        <f t="shared" si="351"/>
        <v>Second NOO</v>
      </c>
      <c r="D875" s="2035" t="s">
        <v>1569</v>
      </c>
      <c r="E875" s="2035" t="s">
        <v>98</v>
      </c>
      <c r="F875" s="2035" t="s">
        <v>330</v>
      </c>
      <c r="G875" s="2037" t="s">
        <v>179</v>
      </c>
      <c r="H875" s="2037" t="s">
        <v>136</v>
      </c>
      <c r="I875" s="2035" t="s">
        <v>1332</v>
      </c>
      <c r="J875" s="2035" t="s">
        <v>1311</v>
      </c>
      <c r="K875" s="2037" t="s">
        <v>1790</v>
      </c>
      <c r="L875" s="2035" t="s">
        <v>430</v>
      </c>
      <c r="M875" s="2035" t="s">
        <v>2677</v>
      </c>
      <c r="N875" s="2037" t="s">
        <v>82</v>
      </c>
      <c r="O875" s="2035" t="s">
        <v>310</v>
      </c>
      <c r="P875" s="2035" t="s">
        <v>291</v>
      </c>
      <c r="Q875" s="2035" t="s">
        <v>294</v>
      </c>
      <c r="R875" s="2109">
        <v>500000.01</v>
      </c>
      <c r="S875" s="2109">
        <v>750000</v>
      </c>
      <c r="T875" s="2035">
        <v>0</v>
      </c>
      <c r="U875" s="2035">
        <f t="shared" si="352"/>
        <v>750000</v>
      </c>
      <c r="V875" s="2035">
        <v>0</v>
      </c>
      <c r="W875" s="2035">
        <v>50</v>
      </c>
      <c r="X875" s="2035">
        <v>0</v>
      </c>
      <c r="Y875" s="2035">
        <v>999</v>
      </c>
      <c r="Z875" s="2038">
        <v>700</v>
      </c>
      <c r="AA875" s="2038">
        <v>719</v>
      </c>
      <c r="AB875" s="2038">
        <v>0</v>
      </c>
      <c r="AC875" s="2038">
        <v>999999</v>
      </c>
      <c r="AD875" s="2035">
        <v>0</v>
      </c>
      <c r="AE875" s="2035">
        <v>55</v>
      </c>
      <c r="AF875" s="170">
        <v>0</v>
      </c>
      <c r="AG875" s="171">
        <v>1</v>
      </c>
      <c r="AH875" s="171">
        <v>1</v>
      </c>
      <c r="AI875" s="171">
        <v>0</v>
      </c>
      <c r="AJ875" s="171">
        <v>0</v>
      </c>
      <c r="AK875" s="171">
        <v>1</v>
      </c>
      <c r="AL875" s="171">
        <v>1</v>
      </c>
      <c r="AM875" s="171">
        <v>1</v>
      </c>
      <c r="AN875" s="171">
        <v>1</v>
      </c>
      <c r="AO875" s="171">
        <v>1</v>
      </c>
      <c r="AP875" s="171">
        <v>1</v>
      </c>
      <c r="AQ875" s="171">
        <v>1</v>
      </c>
      <c r="AR875" s="171">
        <v>1</v>
      </c>
      <c r="AS875" s="171">
        <v>1</v>
      </c>
      <c r="AT875" s="171">
        <v>1</v>
      </c>
      <c r="AU875" s="171">
        <f t="shared" si="324"/>
        <v>0</v>
      </c>
      <c r="AV875" s="171">
        <f t="shared" si="325"/>
        <v>1</v>
      </c>
      <c r="AW875" s="171">
        <f t="shared" si="326"/>
        <v>1</v>
      </c>
      <c r="AX875" s="171">
        <f t="shared" si="335"/>
        <v>1</v>
      </c>
      <c r="AY875" s="171">
        <f t="shared" si="327"/>
        <v>0</v>
      </c>
      <c r="AZ875" s="171">
        <f t="shared" si="328"/>
        <v>1</v>
      </c>
      <c r="BA875" s="172">
        <f t="shared" si="329"/>
        <v>0</v>
      </c>
      <c r="BB875" s="175">
        <f t="shared" si="332"/>
        <v>16</v>
      </c>
      <c r="BC875" s="176">
        <f t="shared" si="333"/>
        <v>16</v>
      </c>
      <c r="BD875" s="176">
        <f t="shared" si="334"/>
        <v>16</v>
      </c>
      <c r="BE875" s="240" t="str">
        <f t="shared" si="343"/>
        <v/>
      </c>
      <c r="BF875" s="234"/>
      <c r="BG875" s="234"/>
      <c r="BH875" s="199">
        <f>IF(AND(Input_Product=Elig!$C875,Elig_MatchAll_Ct&lt;22,$BC875=(Elig_MatchAll_Ct-1),AF875=0),C875,0)</f>
        <v>0</v>
      </c>
      <c r="BI875" s="199">
        <f>IF(AND(Input_Product=Elig!$C875,Elig_MatchAll_Ct&lt;22,$BC875=(Elig_MatchAll_Ct-1),AG875=0),D875,0)</f>
        <v>0</v>
      </c>
      <c r="BJ875" s="199">
        <f>IF(AND(Input_Product=Elig!$C875,Elig_MatchAll_Ct&lt;22,$BC875=(Elig_MatchAll_Ct-1),AH875=0),E875,0)</f>
        <v>0</v>
      </c>
      <c r="BK875" s="199">
        <f>IF(AND(Input_Product=Elig!$C875,Elig_MatchAll_Ct&lt;22,$BC875=(Elig_MatchAll_Ct-1),AI875=0),F875,0)</f>
        <v>0</v>
      </c>
      <c r="BL875" s="199">
        <f>IF(AND(Input_Product=Elig!$C875,Elig_MatchAll_Ct&lt;22,$BC875=(Elig_MatchAll_Ct-1),AJ875=0),G875,0)</f>
        <v>0</v>
      </c>
      <c r="BM875" s="199">
        <f>IF(AND(Input_Product=Elig!$C875,Elig_MatchAll_Ct&lt;22,$BC875=(Elig_MatchAll_Ct-1),AK875=0),H875,0)</f>
        <v>0</v>
      </c>
      <c r="BN875" s="199">
        <f>IF(AND(Input_Product=Elig!$C875,Elig_MatchAll_Ct&lt;22,$BC875=(Elig_MatchAll_Ct-1),AL875=0),I875,0)</f>
        <v>0</v>
      </c>
      <c r="BO875" s="199">
        <f>IF(AND(Input_Product=Elig!$C875,Elig_MatchAll_Ct&lt;22,$BC875=(Elig_MatchAll_Ct-1),AM875=0),J875,0)</f>
        <v>0</v>
      </c>
      <c r="BP875" s="199">
        <f>IF(AND(Input_Product=Elig!$C875,Elig_MatchAll_Ct&lt;22,$BC875=(Elig_MatchAll_Ct-1),AN875=0),K875,0)</f>
        <v>0</v>
      </c>
      <c r="BQ875" s="199">
        <f>IF(AND(Input_Product=Elig!$C875,Elig_MatchAll_Ct&lt;22,$BC875=(Elig_MatchAll_Ct-1),AP875=0),L875,0)</f>
        <v>0</v>
      </c>
      <c r="BR875" s="199">
        <f>IF(AND(Input_Product=Elig!$C875,Elig_MatchAll_Ct&lt;22,$BC875=(Elig_MatchAll_Ct-1),AO875=0),M875,0)</f>
        <v>0</v>
      </c>
      <c r="BS875" s="199">
        <f>IF(AND(Input_Product=Elig!$C875,Elig_MatchAll_Ct&lt;22,$BC875=(Elig_MatchAll_Ct-1),AQ875=0),N875,0)</f>
        <v>0</v>
      </c>
      <c r="BT875" s="199">
        <f>IF(AND(Input_Product=Elig!$C875,Elig_MatchAll_Ct&lt;22,$BC875=(Elig_MatchAll_Ct-1),AR875=0),O875,0)</f>
        <v>0</v>
      </c>
      <c r="BU875" s="199">
        <f>IF(AND(Input_Product=Elig!$C875,Elig_MatchAll_Ct&lt;22,$BC875=(Elig_MatchAll_Ct-1),AS875=0),P875,0)</f>
        <v>0</v>
      </c>
      <c r="BV875" s="200">
        <f>IF(AND(Input_Product=Elig!$C875,Elig_MatchAll_Ct&lt;22,$BC875=(Elig_MatchAll_Ct-1),AT875=0),Q875,0)</f>
        <v>0</v>
      </c>
      <c r="BW875" s="201">
        <f>IF(AND(Input_Product=Elig!$C875,Elig_MatchAll_Ct&lt;22,$BC875=(Elig_MatchAll_Ct-1),AU875=0),R875,0)</f>
        <v>0</v>
      </c>
      <c r="BX875" s="202">
        <f>IF(AND(Input_Product=Elig!$C875,Elig_MatchAll_Ct&lt;22,$BC875=(Elig_MatchAll_Ct-1),AU875=0),S875,0)</f>
        <v>0</v>
      </c>
      <c r="BY875" s="201">
        <f>IF(AND(Input_Product=Elig!$C875,Elig_MatchAll_Ct&lt;22,$BC875=(Elig_MatchAll_Ct-1),AV875=0),T875,0)</f>
        <v>0</v>
      </c>
      <c r="BZ875" s="202">
        <f>IF(AND(Input_Product=Elig!$C875,Elig_MatchAll_Ct&lt;22,$BC875=(Elig_MatchAll_Ct-1),AV875=0),U875,0)</f>
        <v>0</v>
      </c>
      <c r="CA875" s="201">
        <f>IF(AND(Input_Product=Elig!$C875,Elig_MatchAll_Ct&lt;22,$BC875=(Elig_MatchAll_Ct-1),AW875=0),V875,0)</f>
        <v>0</v>
      </c>
      <c r="CB875" s="202">
        <f>IF(AND(Input_Product=Elig!$C875,Elig_MatchAll_Ct&lt;22,$BC875=(Elig_MatchAll_Ct-1),AW875=0),W875,0)</f>
        <v>0</v>
      </c>
      <c r="CC875" s="201">
        <f>IF(AND(Input_Product=Elig!$C875,Elig_MatchAll_Ct&lt;22,$BC875=(Elig_MatchAll_Ct-1),AX875=0),X875,0)</f>
        <v>0</v>
      </c>
      <c r="CD875" s="202">
        <f>IF(AND(Input_Product=Elig!$C875,Elig_MatchAll_Ct&lt;22,$BC875=(Elig_MatchAll_Ct-1),AX875=0),Y875,0)</f>
        <v>0</v>
      </c>
      <c r="CE875" s="201">
        <f>IF(AND(Input_LTV&lt;=AE875,Input_Product=Elig!$C875,Elig_MatchAll_Ct&lt;22,$BC875=(Elig_MatchAll_Ct-1),AY875=0),Z875,0)</f>
        <v>0</v>
      </c>
      <c r="CF875" s="202">
        <f>IF(AND(Input_LTV&lt;=AE875,Input_Product=Elig!$C875,Elig_MatchAll_Ct&lt;22,$BC875=(Elig_MatchAll_Ct-1),AY875=0),AA875,0)</f>
        <v>0</v>
      </c>
      <c r="CG875" s="201">
        <f>IF(AND(Input_Product=Elig!$C875,Elig_MatchAll_Ct&lt;22,$BC875=(Elig_MatchAll_Ct-1),AZ875=0),AB875,0)</f>
        <v>0</v>
      </c>
      <c r="CH875" s="202">
        <f>IF(AND(Input_Product=Elig!$C875,Elig_MatchAll_Ct&lt;22,$BC875=(Elig_MatchAll_Ct-1),AZ875=0),AC875,0)</f>
        <v>0</v>
      </c>
      <c r="CI875" s="201">
        <f>IF(AND(Input_Product=Elig!$C875,Elig_MatchAll_Ct&lt;22,$BC875=(Elig_MatchAll_Ct-1),BA875=0),AD875,0)</f>
        <v>0</v>
      </c>
      <c r="CJ875" s="202">
        <f>IF(AND(Input_Product=Elig!$C875,Elig_MatchAll_Ct&lt;22,$BC875=(Elig_MatchAll_Ct-1),BA875=0),AE875,0)</f>
        <v>0</v>
      </c>
    </row>
    <row r="876" spans="2:88" ht="10.15" customHeight="1" x14ac:dyDescent="0.25">
      <c r="B876" s="2035" t="s">
        <v>4093</v>
      </c>
      <c r="C876" s="2036" t="str">
        <f t="shared" si="351"/>
        <v>Second NOO</v>
      </c>
      <c r="D876" s="2035" t="s">
        <v>1569</v>
      </c>
      <c r="E876" s="2035" t="s">
        <v>98</v>
      </c>
      <c r="F876" s="2035" t="s">
        <v>330</v>
      </c>
      <c r="G876" s="2037" t="s">
        <v>179</v>
      </c>
      <c r="H876" s="2037" t="s">
        <v>136</v>
      </c>
      <c r="I876" s="2035" t="s">
        <v>1332</v>
      </c>
      <c r="J876" s="2035" t="s">
        <v>1311</v>
      </c>
      <c r="K876" s="2037" t="s">
        <v>1790</v>
      </c>
      <c r="L876" s="2035" t="s">
        <v>430</v>
      </c>
      <c r="M876" s="2035" t="s">
        <v>2677</v>
      </c>
      <c r="N876" s="2037" t="s">
        <v>82</v>
      </c>
      <c r="O876" s="2035" t="s">
        <v>310</v>
      </c>
      <c r="P876" s="2035" t="s">
        <v>291</v>
      </c>
      <c r="Q876" s="2035" t="s">
        <v>294</v>
      </c>
      <c r="R876" s="2109">
        <v>500000.01</v>
      </c>
      <c r="S876" s="2109">
        <v>750000</v>
      </c>
      <c r="T876" s="2035">
        <v>0</v>
      </c>
      <c r="U876" s="2035">
        <f t="shared" si="352"/>
        <v>750000</v>
      </c>
      <c r="V876" s="2035">
        <v>0</v>
      </c>
      <c r="W876" s="2035">
        <v>50</v>
      </c>
      <c r="X876" s="2035">
        <v>0</v>
      </c>
      <c r="Y876" s="2035">
        <v>999</v>
      </c>
      <c r="Z876" s="2038">
        <v>680</v>
      </c>
      <c r="AA876" s="2038">
        <v>699</v>
      </c>
      <c r="AB876" s="2038">
        <v>0</v>
      </c>
      <c r="AC876" s="2038">
        <v>999999</v>
      </c>
      <c r="AD876" s="2035">
        <v>0</v>
      </c>
      <c r="AE876" s="2035">
        <v>50</v>
      </c>
      <c r="AF876" s="170">
        <v>0</v>
      </c>
      <c r="AG876" s="171">
        <v>1</v>
      </c>
      <c r="AH876" s="171">
        <v>1</v>
      </c>
      <c r="AI876" s="171">
        <v>0</v>
      </c>
      <c r="AJ876" s="171">
        <v>0</v>
      </c>
      <c r="AK876" s="171">
        <v>1</v>
      </c>
      <c r="AL876" s="171">
        <v>1</v>
      </c>
      <c r="AM876" s="171">
        <v>1</v>
      </c>
      <c r="AN876" s="171">
        <v>1</v>
      </c>
      <c r="AO876" s="171">
        <v>1</v>
      </c>
      <c r="AP876" s="171">
        <v>1</v>
      </c>
      <c r="AQ876" s="171">
        <v>1</v>
      </c>
      <c r="AR876" s="171">
        <v>1</v>
      </c>
      <c r="AS876" s="171">
        <v>1</v>
      </c>
      <c r="AT876" s="171">
        <v>1</v>
      </c>
      <c r="AU876" s="171">
        <f t="shared" ref="AU876:AU881" si="357">IF(AND(Input_LoanAmt&gt;=Elig_LoanAmt_Min,Input_LoanAmt&lt;=Elig_LoanAmt_Max),1,0)</f>
        <v>0</v>
      </c>
      <c r="AV876" s="171">
        <f t="shared" ref="AV876:AV881" si="358">IF(AND(Input_CashoutAmt&gt;=Elig_CashoutAmt_Min,Input_CashoutAmt&lt;=Elig_CashoutAmt_Max),1,0)</f>
        <v>1</v>
      </c>
      <c r="AW876" s="171">
        <f t="shared" ref="AW876:AW881" si="359">IF(AND(Input_DTI&gt;=Elig_DTI_Min,Input_DTI&lt;=Elig_DTI_Max),1,0)</f>
        <v>1</v>
      </c>
      <c r="AX876" s="171">
        <f t="shared" si="335"/>
        <v>1</v>
      </c>
      <c r="AY876" s="171">
        <f t="shared" ref="AY876:AY881" si="360">IF(AND(Input_CreditScore&gt;=Elig_CreditScore_Min,Input_CreditScore&lt;=Elig_CreditScore_Max),1,0)</f>
        <v>0</v>
      </c>
      <c r="AZ876" s="171">
        <f t="shared" ref="AZ876:AZ881" si="361">IF(AND(Input_ReservesMonths&gt;=Elig_Reserves_Min,Input_ReservesMonths&lt;=Elig_Reserves_Max),1,0)</f>
        <v>1</v>
      </c>
      <c r="BA876" s="172">
        <f t="shared" ref="BA876:BA881" si="362">IF(AND(Input_LTV&gt;=Elig_LTV_Min,Input_LTV&lt;=Elig_LTV_Max),1,0)</f>
        <v>0</v>
      </c>
      <c r="BB876" s="175">
        <f t="shared" si="332"/>
        <v>16</v>
      </c>
      <c r="BC876" s="176">
        <f t="shared" si="333"/>
        <v>16</v>
      </c>
      <c r="BD876" s="176">
        <f t="shared" si="334"/>
        <v>16</v>
      </c>
      <c r="BE876" s="240" t="str">
        <f t="shared" si="343"/>
        <v/>
      </c>
      <c r="BF876" s="234"/>
      <c r="BG876" s="234"/>
      <c r="BH876" s="199">
        <f>IF(AND(Input_Product=Elig!$C876,Elig_MatchAll_Ct&lt;22,$BC876=(Elig_MatchAll_Ct-1),AF876=0),C876,0)</f>
        <v>0</v>
      </c>
      <c r="BI876" s="199">
        <f>IF(AND(Input_Product=Elig!$C876,Elig_MatchAll_Ct&lt;22,$BC876=(Elig_MatchAll_Ct-1),AG876=0),D876,0)</f>
        <v>0</v>
      </c>
      <c r="BJ876" s="199">
        <f>IF(AND(Input_Product=Elig!$C876,Elig_MatchAll_Ct&lt;22,$BC876=(Elig_MatchAll_Ct-1),AH876=0),E876,0)</f>
        <v>0</v>
      </c>
      <c r="BK876" s="199">
        <f>IF(AND(Input_Product=Elig!$C876,Elig_MatchAll_Ct&lt;22,$BC876=(Elig_MatchAll_Ct-1),AI876=0),F876,0)</f>
        <v>0</v>
      </c>
      <c r="BL876" s="199">
        <f>IF(AND(Input_Product=Elig!$C876,Elig_MatchAll_Ct&lt;22,$BC876=(Elig_MatchAll_Ct-1),AJ876=0),G876,0)</f>
        <v>0</v>
      </c>
      <c r="BM876" s="199">
        <f>IF(AND(Input_Product=Elig!$C876,Elig_MatchAll_Ct&lt;22,$BC876=(Elig_MatchAll_Ct-1),AK876=0),H876,0)</f>
        <v>0</v>
      </c>
      <c r="BN876" s="199">
        <f>IF(AND(Input_Product=Elig!$C876,Elig_MatchAll_Ct&lt;22,$BC876=(Elig_MatchAll_Ct-1),AL876=0),I876,0)</f>
        <v>0</v>
      </c>
      <c r="BO876" s="199">
        <f>IF(AND(Input_Product=Elig!$C876,Elig_MatchAll_Ct&lt;22,$BC876=(Elig_MatchAll_Ct-1),AM876=0),J876,0)</f>
        <v>0</v>
      </c>
      <c r="BP876" s="199">
        <f>IF(AND(Input_Product=Elig!$C876,Elig_MatchAll_Ct&lt;22,$BC876=(Elig_MatchAll_Ct-1),AN876=0),K876,0)</f>
        <v>0</v>
      </c>
      <c r="BQ876" s="199">
        <f>IF(AND(Input_Product=Elig!$C876,Elig_MatchAll_Ct&lt;22,$BC876=(Elig_MatchAll_Ct-1),AP876=0),L876,0)</f>
        <v>0</v>
      </c>
      <c r="BR876" s="199">
        <f>IF(AND(Input_Product=Elig!$C876,Elig_MatchAll_Ct&lt;22,$BC876=(Elig_MatchAll_Ct-1),AO876=0),M876,0)</f>
        <v>0</v>
      </c>
      <c r="BS876" s="199">
        <f>IF(AND(Input_Product=Elig!$C876,Elig_MatchAll_Ct&lt;22,$BC876=(Elig_MatchAll_Ct-1),AQ876=0),N876,0)</f>
        <v>0</v>
      </c>
      <c r="BT876" s="199">
        <f>IF(AND(Input_Product=Elig!$C876,Elig_MatchAll_Ct&lt;22,$BC876=(Elig_MatchAll_Ct-1),AR876=0),O876,0)</f>
        <v>0</v>
      </c>
      <c r="BU876" s="199">
        <f>IF(AND(Input_Product=Elig!$C876,Elig_MatchAll_Ct&lt;22,$BC876=(Elig_MatchAll_Ct-1),AS876=0),P876,0)</f>
        <v>0</v>
      </c>
      <c r="BV876" s="200">
        <f>IF(AND(Input_Product=Elig!$C876,Elig_MatchAll_Ct&lt;22,$BC876=(Elig_MatchAll_Ct-1),AT876=0),Q876,0)</f>
        <v>0</v>
      </c>
      <c r="BW876" s="201">
        <f>IF(AND(Input_Product=Elig!$C876,Elig_MatchAll_Ct&lt;22,$BC876=(Elig_MatchAll_Ct-1),AU876=0),R876,0)</f>
        <v>0</v>
      </c>
      <c r="BX876" s="202">
        <f>IF(AND(Input_Product=Elig!$C876,Elig_MatchAll_Ct&lt;22,$BC876=(Elig_MatchAll_Ct-1),AU876=0),S876,0)</f>
        <v>0</v>
      </c>
      <c r="BY876" s="201">
        <f>IF(AND(Input_Product=Elig!$C876,Elig_MatchAll_Ct&lt;22,$BC876=(Elig_MatchAll_Ct-1),AV876=0),T876,0)</f>
        <v>0</v>
      </c>
      <c r="BZ876" s="202">
        <f>IF(AND(Input_Product=Elig!$C876,Elig_MatchAll_Ct&lt;22,$BC876=(Elig_MatchAll_Ct-1),AV876=0),U876,0)</f>
        <v>0</v>
      </c>
      <c r="CA876" s="201">
        <f>IF(AND(Input_Product=Elig!$C876,Elig_MatchAll_Ct&lt;22,$BC876=(Elig_MatchAll_Ct-1),AW876=0),V876,0)</f>
        <v>0</v>
      </c>
      <c r="CB876" s="202">
        <f>IF(AND(Input_Product=Elig!$C876,Elig_MatchAll_Ct&lt;22,$BC876=(Elig_MatchAll_Ct-1),AW876=0),W876,0)</f>
        <v>0</v>
      </c>
      <c r="CC876" s="201">
        <f>IF(AND(Input_Product=Elig!$C876,Elig_MatchAll_Ct&lt;22,$BC876=(Elig_MatchAll_Ct-1),AX876=0),X876,0)</f>
        <v>0</v>
      </c>
      <c r="CD876" s="202">
        <f>IF(AND(Input_Product=Elig!$C876,Elig_MatchAll_Ct&lt;22,$BC876=(Elig_MatchAll_Ct-1),AX876=0),Y876,0)</f>
        <v>0</v>
      </c>
      <c r="CE876" s="201">
        <f>IF(AND(Input_LTV&lt;=AE876,Input_Product=Elig!$C876,Elig_MatchAll_Ct&lt;22,$BC876=(Elig_MatchAll_Ct-1),AY876=0),Z876,0)</f>
        <v>0</v>
      </c>
      <c r="CF876" s="202">
        <f>IF(AND(Input_LTV&lt;=AE876,Input_Product=Elig!$C876,Elig_MatchAll_Ct&lt;22,$BC876=(Elig_MatchAll_Ct-1),AY876=0),AA876,0)</f>
        <v>0</v>
      </c>
      <c r="CG876" s="201">
        <f>IF(AND(Input_Product=Elig!$C876,Elig_MatchAll_Ct&lt;22,$BC876=(Elig_MatchAll_Ct-1),AZ876=0),AB876,0)</f>
        <v>0</v>
      </c>
      <c r="CH876" s="202">
        <f>IF(AND(Input_Product=Elig!$C876,Elig_MatchAll_Ct&lt;22,$BC876=(Elig_MatchAll_Ct-1),AZ876=0),AC876,0)</f>
        <v>0</v>
      </c>
      <c r="CI876" s="201">
        <f>IF(AND(Input_Product=Elig!$C876,Elig_MatchAll_Ct&lt;22,$BC876=(Elig_MatchAll_Ct-1),BA876=0),AD876,0)</f>
        <v>0</v>
      </c>
      <c r="CJ876" s="202">
        <f>IF(AND(Input_Product=Elig!$C876,Elig_MatchAll_Ct&lt;22,$BC876=(Elig_MatchAll_Ct-1),BA876=0),AE876,0)</f>
        <v>0</v>
      </c>
    </row>
    <row r="877" spans="2:88" ht="10.15" customHeight="1" x14ac:dyDescent="0.25">
      <c r="B877" s="2035" t="s">
        <v>4094</v>
      </c>
      <c r="C877" s="2036" t="str">
        <f t="shared" si="351"/>
        <v>Second NOO</v>
      </c>
      <c r="D877" s="2035" t="s">
        <v>1569</v>
      </c>
      <c r="E877" s="2035" t="s">
        <v>98</v>
      </c>
      <c r="F877" s="2035" t="s">
        <v>330</v>
      </c>
      <c r="G877" s="2037" t="s">
        <v>179</v>
      </c>
      <c r="H877" s="2037" t="s">
        <v>136</v>
      </c>
      <c r="I877" s="2035" t="s">
        <v>1332</v>
      </c>
      <c r="J877" s="2035" t="s">
        <v>1311</v>
      </c>
      <c r="K877" s="2037" t="s">
        <v>1790</v>
      </c>
      <c r="L877" s="2035" t="s">
        <v>430</v>
      </c>
      <c r="M877" s="2035" t="s">
        <v>2677</v>
      </c>
      <c r="N877" s="2037" t="s">
        <v>82</v>
      </c>
      <c r="O877" s="2035" t="s">
        <v>310</v>
      </c>
      <c r="P877" s="2035" t="s">
        <v>291</v>
      </c>
      <c r="Q877" s="2035" t="s">
        <v>294</v>
      </c>
      <c r="R877" s="2109">
        <v>500000.01</v>
      </c>
      <c r="S877" s="2109">
        <v>750000</v>
      </c>
      <c r="T877" s="2035">
        <v>0</v>
      </c>
      <c r="U877" s="2035">
        <f t="shared" si="352"/>
        <v>750000</v>
      </c>
      <c r="V877" s="2035">
        <v>0</v>
      </c>
      <c r="W877" s="2035">
        <v>50</v>
      </c>
      <c r="X877" s="2035">
        <v>0</v>
      </c>
      <c r="Y877" s="2035">
        <v>999</v>
      </c>
      <c r="Z877" s="2038">
        <v>660</v>
      </c>
      <c r="AA877" s="2038">
        <v>679</v>
      </c>
      <c r="AB877" s="2038">
        <v>0</v>
      </c>
      <c r="AC877" s="2038">
        <v>999999</v>
      </c>
      <c r="AD877" s="2035">
        <v>0</v>
      </c>
      <c r="AE877" s="2035">
        <v>45</v>
      </c>
      <c r="AF877" s="170">
        <v>0</v>
      </c>
      <c r="AG877" s="171">
        <v>1</v>
      </c>
      <c r="AH877" s="171">
        <v>1</v>
      </c>
      <c r="AI877" s="171">
        <v>0</v>
      </c>
      <c r="AJ877" s="171">
        <v>0</v>
      </c>
      <c r="AK877" s="171">
        <v>1</v>
      </c>
      <c r="AL877" s="171">
        <v>1</v>
      </c>
      <c r="AM877" s="171">
        <v>1</v>
      </c>
      <c r="AN877" s="171">
        <v>1</v>
      </c>
      <c r="AO877" s="171">
        <v>1</v>
      </c>
      <c r="AP877" s="171">
        <v>1</v>
      </c>
      <c r="AQ877" s="171">
        <v>1</v>
      </c>
      <c r="AR877" s="171">
        <v>1</v>
      </c>
      <c r="AS877" s="171">
        <v>1</v>
      </c>
      <c r="AT877" s="171">
        <v>1</v>
      </c>
      <c r="AU877" s="171">
        <f t="shared" si="357"/>
        <v>0</v>
      </c>
      <c r="AV877" s="171">
        <f t="shared" si="358"/>
        <v>1</v>
      </c>
      <c r="AW877" s="171">
        <f t="shared" si="359"/>
        <v>1</v>
      </c>
      <c r="AX877" s="171">
        <f t="shared" si="335"/>
        <v>1</v>
      </c>
      <c r="AY877" s="171">
        <f t="shared" si="360"/>
        <v>0</v>
      </c>
      <c r="AZ877" s="171">
        <f t="shared" si="361"/>
        <v>1</v>
      </c>
      <c r="BA877" s="172">
        <f t="shared" si="362"/>
        <v>0</v>
      </c>
      <c r="BB877" s="175">
        <f t="shared" si="332"/>
        <v>16</v>
      </c>
      <c r="BC877" s="176">
        <f t="shared" si="333"/>
        <v>16</v>
      </c>
      <c r="BD877" s="176">
        <f t="shared" si="334"/>
        <v>16</v>
      </c>
      <c r="BE877" s="240" t="str">
        <f t="shared" si="343"/>
        <v/>
      </c>
      <c r="BF877" s="234"/>
      <c r="BG877" s="234"/>
      <c r="BH877" s="214">
        <f>IF(AND(Input_Product=Elig!$C877,Elig_MatchAll_Ct&lt;22,$BC877=(Elig_MatchAll_Ct-1),AF877=0),C877,0)</f>
        <v>0</v>
      </c>
      <c r="BI877" s="214">
        <f>IF(AND(Input_Product=Elig!$C877,Elig_MatchAll_Ct&lt;22,$BC877=(Elig_MatchAll_Ct-1),AG877=0),D877,0)</f>
        <v>0</v>
      </c>
      <c r="BJ877" s="214">
        <f>IF(AND(Input_Product=Elig!$C877,Elig_MatchAll_Ct&lt;22,$BC877=(Elig_MatchAll_Ct-1),AH877=0),E877,0)</f>
        <v>0</v>
      </c>
      <c r="BK877" s="214">
        <f>IF(AND(Input_Product=Elig!$C877,Elig_MatchAll_Ct&lt;22,$BC877=(Elig_MatchAll_Ct-1),AI877=0),F877,0)</f>
        <v>0</v>
      </c>
      <c r="BL877" s="214">
        <f>IF(AND(Input_Product=Elig!$C877,Elig_MatchAll_Ct&lt;22,$BC877=(Elig_MatchAll_Ct-1),AJ877=0),G877,0)</f>
        <v>0</v>
      </c>
      <c r="BM877" s="214">
        <f>IF(AND(Input_Product=Elig!$C877,Elig_MatchAll_Ct&lt;22,$BC877=(Elig_MatchAll_Ct-1),AK877=0),H877,0)</f>
        <v>0</v>
      </c>
      <c r="BN877" s="214">
        <f>IF(AND(Input_Product=Elig!$C877,Elig_MatchAll_Ct&lt;22,$BC877=(Elig_MatchAll_Ct-1),AL877=0),I877,0)</f>
        <v>0</v>
      </c>
      <c r="BO877" s="214">
        <f>IF(AND(Input_Product=Elig!$C877,Elig_MatchAll_Ct&lt;22,$BC877=(Elig_MatchAll_Ct-1),AM877=0),J877,0)</f>
        <v>0</v>
      </c>
      <c r="BP877" s="214">
        <f>IF(AND(Input_Product=Elig!$C877,Elig_MatchAll_Ct&lt;22,$BC877=(Elig_MatchAll_Ct-1),AN877=0),K877,0)</f>
        <v>0</v>
      </c>
      <c r="BQ877" s="214">
        <f>IF(AND(Input_Product=Elig!$C877,Elig_MatchAll_Ct&lt;22,$BC877=(Elig_MatchAll_Ct-1),AP877=0),L877,0)</f>
        <v>0</v>
      </c>
      <c r="BR877" s="214">
        <f>IF(AND(Input_Product=Elig!$C877,Elig_MatchAll_Ct&lt;22,$BC877=(Elig_MatchAll_Ct-1),AO877=0),M877,0)</f>
        <v>0</v>
      </c>
      <c r="BS877" s="214">
        <f>IF(AND(Input_Product=Elig!$C877,Elig_MatchAll_Ct&lt;22,$BC877=(Elig_MatchAll_Ct-1),AQ877=0),N877,0)</f>
        <v>0</v>
      </c>
      <c r="BT877" s="214">
        <f>IF(AND(Input_Product=Elig!$C877,Elig_MatchAll_Ct&lt;22,$BC877=(Elig_MatchAll_Ct-1),AR877=0),O877,0)</f>
        <v>0</v>
      </c>
      <c r="BU877" s="214">
        <f>IF(AND(Input_Product=Elig!$C877,Elig_MatchAll_Ct&lt;22,$BC877=(Elig_MatchAll_Ct-1),AS877=0),P877,0)</f>
        <v>0</v>
      </c>
      <c r="BV877" s="215">
        <f>IF(AND(Input_Product=Elig!$C877,Elig_MatchAll_Ct&lt;22,$BC877=(Elig_MatchAll_Ct-1),AT877=0),Q877,0)</f>
        <v>0</v>
      </c>
      <c r="BW877" s="311">
        <f>IF(AND(Input_Product=Elig!$C877,Elig_MatchAll_Ct&lt;22,$BC877=(Elig_MatchAll_Ct-1),AU877=0),R877,0)</f>
        <v>0</v>
      </c>
      <c r="BX877" s="312">
        <f>IF(AND(Input_Product=Elig!$C877,Elig_MatchAll_Ct&lt;22,$BC877=(Elig_MatchAll_Ct-1),AU877=0),S877,0)</f>
        <v>0</v>
      </c>
      <c r="BY877" s="311">
        <f>IF(AND(Input_Product=Elig!$C877,Elig_MatchAll_Ct&lt;22,$BC877=(Elig_MatchAll_Ct-1),AV877=0),T877,0)</f>
        <v>0</v>
      </c>
      <c r="BZ877" s="312">
        <f>IF(AND(Input_Product=Elig!$C877,Elig_MatchAll_Ct&lt;22,$BC877=(Elig_MatchAll_Ct-1),AV877=0),U877,0)</f>
        <v>0</v>
      </c>
      <c r="CA877" s="311">
        <f>IF(AND(Input_Product=Elig!$C877,Elig_MatchAll_Ct&lt;22,$BC877=(Elig_MatchAll_Ct-1),AW877=0),V877,0)</f>
        <v>0</v>
      </c>
      <c r="CB877" s="312">
        <f>IF(AND(Input_Product=Elig!$C877,Elig_MatchAll_Ct&lt;22,$BC877=(Elig_MatchAll_Ct-1),AW877=0),W877,0)</f>
        <v>0</v>
      </c>
      <c r="CC877" s="311">
        <f>IF(AND(Input_Product=Elig!$C877,Elig_MatchAll_Ct&lt;22,$BC877=(Elig_MatchAll_Ct-1),AX877=0),X877,0)</f>
        <v>0</v>
      </c>
      <c r="CD877" s="312">
        <f>IF(AND(Input_Product=Elig!$C877,Elig_MatchAll_Ct&lt;22,$BC877=(Elig_MatchAll_Ct-1),AX877=0),Y877,0)</f>
        <v>0</v>
      </c>
      <c r="CE877" s="311">
        <f>IF(AND(Input_LTV&lt;=AE877,Input_Product=Elig!$C877,Elig_MatchAll_Ct&lt;22,$BC877=(Elig_MatchAll_Ct-1),AY877=0),Z877,0)</f>
        <v>0</v>
      </c>
      <c r="CF877" s="312">
        <f>IF(AND(Input_LTV&lt;=AE877,Input_Product=Elig!$C877,Elig_MatchAll_Ct&lt;22,$BC877=(Elig_MatchAll_Ct-1),AY877=0),AA877,0)</f>
        <v>0</v>
      </c>
      <c r="CG877" s="311">
        <f>IF(AND(Input_Product=Elig!$C877,Elig_MatchAll_Ct&lt;22,$BC877=(Elig_MatchAll_Ct-1),AZ877=0),AB877,0)</f>
        <v>0</v>
      </c>
      <c r="CH877" s="312">
        <f>IF(AND(Input_Product=Elig!$C877,Elig_MatchAll_Ct&lt;22,$BC877=(Elig_MatchAll_Ct-1),AZ877=0),AC877,0)</f>
        <v>0</v>
      </c>
      <c r="CI877" s="311">
        <f>IF(AND(Input_Product=Elig!$C877,Elig_MatchAll_Ct&lt;22,$BC877=(Elig_MatchAll_Ct-1),BA877=0),AD877,0)</f>
        <v>0</v>
      </c>
      <c r="CJ877" s="312">
        <f>IF(AND(Input_Product=Elig!$C877,Elig_MatchAll_Ct&lt;22,$BC877=(Elig_MatchAll_Ct-1),BA877=0),AE877,0)</f>
        <v>0</v>
      </c>
    </row>
    <row r="878" spans="2:88" ht="10.15" customHeight="1" x14ac:dyDescent="0.25">
      <c r="B878" s="2035" t="s">
        <v>4095</v>
      </c>
      <c r="C878" s="2040" t="str">
        <f t="shared" si="351"/>
        <v>Second NOO</v>
      </c>
      <c r="D878" s="2041" t="s">
        <v>1569</v>
      </c>
      <c r="E878" s="2041" t="s">
        <v>98</v>
      </c>
      <c r="F878" s="2041" t="s">
        <v>330</v>
      </c>
      <c r="G878" s="2112" t="s">
        <v>181</v>
      </c>
      <c r="H878" s="2041" t="s">
        <v>136</v>
      </c>
      <c r="I878" s="2039" t="s">
        <v>1332</v>
      </c>
      <c r="J878" s="2039" t="s">
        <v>1311</v>
      </c>
      <c r="K878" s="2041" t="s">
        <v>1790</v>
      </c>
      <c r="L878" s="2039" t="s">
        <v>430</v>
      </c>
      <c r="M878" s="2039" t="s">
        <v>2677</v>
      </c>
      <c r="N878" s="2112" t="s">
        <v>4156</v>
      </c>
      <c r="O878" s="2039" t="s">
        <v>4099</v>
      </c>
      <c r="P878" s="2039" t="s">
        <v>291</v>
      </c>
      <c r="Q878" s="2039" t="s">
        <v>294</v>
      </c>
      <c r="R878" s="2108">
        <v>500000.01</v>
      </c>
      <c r="S878" s="2108">
        <v>750000</v>
      </c>
      <c r="T878" s="2039">
        <v>0</v>
      </c>
      <c r="U878" s="2039">
        <f t="shared" si="352"/>
        <v>750000</v>
      </c>
      <c r="V878" s="2039">
        <v>0</v>
      </c>
      <c r="W878" s="2039">
        <v>50</v>
      </c>
      <c r="X878" s="2108">
        <v>1</v>
      </c>
      <c r="Y878" s="2039">
        <v>999</v>
      </c>
      <c r="Z878" s="2042">
        <v>720</v>
      </c>
      <c r="AA878" s="2042">
        <v>999</v>
      </c>
      <c r="AB878" s="2042">
        <v>0</v>
      </c>
      <c r="AC878" s="2042">
        <v>999999</v>
      </c>
      <c r="AD878" s="2039">
        <v>0</v>
      </c>
      <c r="AE878" s="2108">
        <v>70</v>
      </c>
      <c r="AF878" s="170">
        <v>0</v>
      </c>
      <c r="AG878" s="171">
        <v>1</v>
      </c>
      <c r="AH878" s="171">
        <v>1</v>
      </c>
      <c r="AI878" s="171">
        <v>0</v>
      </c>
      <c r="AJ878" s="171">
        <v>0</v>
      </c>
      <c r="AK878" s="171">
        <v>1</v>
      </c>
      <c r="AL878" s="171">
        <v>1</v>
      </c>
      <c r="AM878" s="171">
        <v>1</v>
      </c>
      <c r="AN878" s="171">
        <v>1</v>
      </c>
      <c r="AO878" s="171">
        <v>1</v>
      </c>
      <c r="AP878" s="171">
        <v>1</v>
      </c>
      <c r="AQ878" s="171">
        <v>1</v>
      </c>
      <c r="AR878" s="171">
        <v>1</v>
      </c>
      <c r="AS878" s="171">
        <v>1</v>
      </c>
      <c r="AT878" s="171">
        <v>1</v>
      </c>
      <c r="AU878" s="171">
        <f t="shared" si="357"/>
        <v>0</v>
      </c>
      <c r="AV878" s="171">
        <f t="shared" si="358"/>
        <v>1</v>
      </c>
      <c r="AW878" s="171">
        <f t="shared" si="359"/>
        <v>1</v>
      </c>
      <c r="AX878" s="171">
        <f t="shared" si="335"/>
        <v>0</v>
      </c>
      <c r="AY878" s="171">
        <f t="shared" si="360"/>
        <v>1</v>
      </c>
      <c r="AZ878" s="171">
        <f t="shared" si="361"/>
        <v>1</v>
      </c>
      <c r="BA878" s="172">
        <f t="shared" si="362"/>
        <v>1</v>
      </c>
      <c r="BB878" s="175">
        <f t="shared" ref="BB878:BB881" si="363">SUM(AF878:BA878)</f>
        <v>17</v>
      </c>
      <c r="BC878" s="176">
        <f t="shared" ref="BC878:BC881" si="364">SUM(AF878:AZ878)</f>
        <v>16</v>
      </c>
      <c r="BD878" s="176">
        <f t="shared" ref="BD878:BD881" si="365">SUM(AG878:BA878)</f>
        <v>17</v>
      </c>
      <c r="BE878" s="240" t="str">
        <f t="shared" si="343"/>
        <v/>
      </c>
      <c r="BF878" s="220"/>
      <c r="BG878" s="220"/>
      <c r="BH878" s="216">
        <f>IF(AND(Input_Product=Elig!$C878,Elig_MatchAll_Ct&lt;22,$BC878=(Elig_MatchAll_Ct-1),AF878=0),C878,0)</f>
        <v>0</v>
      </c>
      <c r="BI878" s="216">
        <f>IF(AND(Input_Product=Elig!$C878,Elig_MatchAll_Ct&lt;22,$BC878=(Elig_MatchAll_Ct-1),AG878=0),D878,0)</f>
        <v>0</v>
      </c>
      <c r="BJ878" s="216">
        <f>IF(AND(Input_Product=Elig!$C878,Elig_MatchAll_Ct&lt;22,$BC878=(Elig_MatchAll_Ct-1),AH878=0),E878,0)</f>
        <v>0</v>
      </c>
      <c r="BK878" s="216">
        <f>IF(AND(Input_Product=Elig!$C878,Elig_MatchAll_Ct&lt;22,$BC878=(Elig_MatchAll_Ct-1),AI878=0),F878,0)</f>
        <v>0</v>
      </c>
      <c r="BL878" s="216">
        <f>IF(AND(Input_Product=Elig!$C878,Elig_MatchAll_Ct&lt;22,$BC878=(Elig_MatchAll_Ct-1),AJ878=0),G878,0)</f>
        <v>0</v>
      </c>
      <c r="BM878" s="216">
        <f>IF(AND(Input_Product=Elig!$C878,Elig_MatchAll_Ct&lt;22,$BC878=(Elig_MatchAll_Ct-1),AK878=0),H878,0)</f>
        <v>0</v>
      </c>
      <c r="BN878" s="216">
        <f>IF(AND(Input_Product=Elig!$C878,Elig_MatchAll_Ct&lt;22,$BC878=(Elig_MatchAll_Ct-1),AL878=0),I878,0)</f>
        <v>0</v>
      </c>
      <c r="BO878" s="216">
        <f>IF(AND(Input_Product=Elig!$C878,Elig_MatchAll_Ct&lt;22,$BC878=(Elig_MatchAll_Ct-1),AM878=0),J878,0)</f>
        <v>0</v>
      </c>
      <c r="BP878" s="216">
        <f>IF(AND(Input_Product=Elig!$C878,Elig_MatchAll_Ct&lt;22,$BC878=(Elig_MatchAll_Ct-1),AN878=0),K878,0)</f>
        <v>0</v>
      </c>
      <c r="BQ878" s="216">
        <f>IF(AND(Input_Product=Elig!$C878,Elig_MatchAll_Ct&lt;22,$BC878=(Elig_MatchAll_Ct-1),AP878=0),L878,0)</f>
        <v>0</v>
      </c>
      <c r="BR878" s="216">
        <f>IF(AND(Input_Product=Elig!$C878,Elig_MatchAll_Ct&lt;22,$BC878=(Elig_MatchAll_Ct-1),AO878=0),M878,0)</f>
        <v>0</v>
      </c>
      <c r="BS878" s="216">
        <f>IF(AND(Input_Product=Elig!$C878,Elig_MatchAll_Ct&lt;22,$BC878=(Elig_MatchAll_Ct-1),AQ878=0),N878,0)</f>
        <v>0</v>
      </c>
      <c r="BT878" s="216">
        <f>IF(AND(Input_Product=Elig!$C878,Elig_MatchAll_Ct&lt;22,$BC878=(Elig_MatchAll_Ct-1),AR878=0),O878,0)</f>
        <v>0</v>
      </c>
      <c r="BU878" s="216">
        <f>IF(AND(Input_Product=Elig!$C878,Elig_MatchAll_Ct&lt;22,$BC878=(Elig_MatchAll_Ct-1),AS878=0),P878,0)</f>
        <v>0</v>
      </c>
      <c r="BV878" s="217">
        <f>IF(AND(Input_Product=Elig!$C878,Elig_MatchAll_Ct&lt;22,$BC878=(Elig_MatchAll_Ct-1),AT878=0),Q878,0)</f>
        <v>0</v>
      </c>
      <c r="BW878" s="313">
        <f>IF(AND(Input_Product=Elig!$C878,Elig_MatchAll_Ct&lt;22,$BC878=(Elig_MatchAll_Ct-1),AU878=0),R878,0)</f>
        <v>0</v>
      </c>
      <c r="BX878" s="314">
        <f>IF(AND(Input_Product=Elig!$C878,Elig_MatchAll_Ct&lt;22,$BC878=(Elig_MatchAll_Ct-1),AU878=0),S878,0)</f>
        <v>0</v>
      </c>
      <c r="BY878" s="313">
        <f>IF(AND(Input_Product=Elig!$C878,Elig_MatchAll_Ct&lt;22,$BC878=(Elig_MatchAll_Ct-1),AV878=0),T878,0)</f>
        <v>0</v>
      </c>
      <c r="BZ878" s="314">
        <f>IF(AND(Input_Product=Elig!$C878,Elig_MatchAll_Ct&lt;22,$BC878=(Elig_MatchAll_Ct-1),AV878=0),U878,0)</f>
        <v>0</v>
      </c>
      <c r="CA878" s="313">
        <f>IF(AND(Input_Product=Elig!$C878,Elig_MatchAll_Ct&lt;22,$BC878=(Elig_MatchAll_Ct-1),AW878=0),V878,0)</f>
        <v>0</v>
      </c>
      <c r="CB878" s="314">
        <f>IF(AND(Input_Product=Elig!$C878,Elig_MatchAll_Ct&lt;22,$BC878=(Elig_MatchAll_Ct-1),AW878=0),W878,0)</f>
        <v>0</v>
      </c>
      <c r="CC878" s="313">
        <f>IF(AND(Input_Product=Elig!$C878,Elig_MatchAll_Ct&lt;22,$BC878=(Elig_MatchAll_Ct-1),AX878=0),X878,0)</f>
        <v>0</v>
      </c>
      <c r="CD878" s="314">
        <f>IF(AND(Input_Product=Elig!$C878,Elig_MatchAll_Ct&lt;22,$BC878=(Elig_MatchAll_Ct-1),AX878=0),Y878,0)</f>
        <v>0</v>
      </c>
      <c r="CE878" s="313">
        <f>IF(AND(Input_LTV&lt;=AE878,Input_Product=Elig!$C878,Elig_MatchAll_Ct&lt;22,$BC878=(Elig_MatchAll_Ct-1),AY878=0),Z878,0)</f>
        <v>0</v>
      </c>
      <c r="CF878" s="314">
        <f>IF(AND(Input_LTV&lt;=AE878,Input_Product=Elig!$C878,Elig_MatchAll_Ct&lt;22,$BC878=(Elig_MatchAll_Ct-1),AY878=0),AA878,0)</f>
        <v>0</v>
      </c>
      <c r="CG878" s="313">
        <f>IF(AND(Input_Product=Elig!$C878,Elig_MatchAll_Ct&lt;22,$BC878=(Elig_MatchAll_Ct-1),AZ878=0),AB878,0)</f>
        <v>0</v>
      </c>
      <c r="CH878" s="314">
        <f>IF(AND(Input_Product=Elig!$C878,Elig_MatchAll_Ct&lt;22,$BC878=(Elig_MatchAll_Ct-1),AZ878=0),AC878,0)</f>
        <v>0</v>
      </c>
      <c r="CI878" s="313">
        <f>IF(AND(Input_Product=Elig!$C878,Elig_MatchAll_Ct&lt;22,$BC878=(Elig_MatchAll_Ct-1),BA878=0),AD878,0)</f>
        <v>0</v>
      </c>
      <c r="CJ878" s="314">
        <f>IF(AND(Input_Product=Elig!$C878,Elig_MatchAll_Ct&lt;22,$BC878=(Elig_MatchAll_Ct-1),BA878=0),AE878,0)</f>
        <v>0</v>
      </c>
    </row>
    <row r="879" spans="2:88" ht="10.15" customHeight="1" x14ac:dyDescent="0.25">
      <c r="B879" s="2035" t="s">
        <v>4096</v>
      </c>
      <c r="C879" s="2036" t="str">
        <f t="shared" si="351"/>
        <v>Second NOO</v>
      </c>
      <c r="D879" s="2035" t="s">
        <v>1569</v>
      </c>
      <c r="E879" s="2035" t="s">
        <v>98</v>
      </c>
      <c r="F879" s="2035" t="s">
        <v>330</v>
      </c>
      <c r="G879" s="2113" t="s">
        <v>181</v>
      </c>
      <c r="H879" s="2037" t="s">
        <v>136</v>
      </c>
      <c r="I879" s="2035" t="s">
        <v>1332</v>
      </c>
      <c r="J879" s="2035" t="s">
        <v>1311</v>
      </c>
      <c r="K879" s="2037" t="s">
        <v>1790</v>
      </c>
      <c r="L879" s="2035" t="s">
        <v>430</v>
      </c>
      <c r="M879" s="2035" t="s">
        <v>2677</v>
      </c>
      <c r="N879" s="2113" t="s">
        <v>4156</v>
      </c>
      <c r="O879" s="2035" t="s">
        <v>4099</v>
      </c>
      <c r="P879" s="2035" t="s">
        <v>291</v>
      </c>
      <c r="Q879" s="2035" t="s">
        <v>294</v>
      </c>
      <c r="R879" s="2109">
        <v>500000.01</v>
      </c>
      <c r="S879" s="2109">
        <v>750000</v>
      </c>
      <c r="T879" s="2035">
        <v>0</v>
      </c>
      <c r="U879" s="2035">
        <f t="shared" si="352"/>
        <v>750000</v>
      </c>
      <c r="V879" s="2035">
        <v>0</v>
      </c>
      <c r="W879" s="2035">
        <v>50</v>
      </c>
      <c r="X879" s="2109">
        <v>1</v>
      </c>
      <c r="Y879" s="2035">
        <v>999</v>
      </c>
      <c r="Z879" s="2038">
        <v>700</v>
      </c>
      <c r="AA879" s="2038">
        <v>719</v>
      </c>
      <c r="AB879" s="2038">
        <v>0</v>
      </c>
      <c r="AC879" s="2038">
        <v>999999</v>
      </c>
      <c r="AD879" s="2035">
        <v>0</v>
      </c>
      <c r="AE879" s="2109">
        <v>65</v>
      </c>
      <c r="AF879" s="170">
        <v>0</v>
      </c>
      <c r="AG879" s="171">
        <v>1</v>
      </c>
      <c r="AH879" s="171">
        <v>1</v>
      </c>
      <c r="AI879" s="171">
        <v>0</v>
      </c>
      <c r="AJ879" s="171">
        <v>0</v>
      </c>
      <c r="AK879" s="171">
        <v>1</v>
      </c>
      <c r="AL879" s="171">
        <v>1</v>
      </c>
      <c r="AM879" s="171">
        <v>1</v>
      </c>
      <c r="AN879" s="171">
        <v>1</v>
      </c>
      <c r="AO879" s="171">
        <v>1</v>
      </c>
      <c r="AP879" s="171">
        <v>1</v>
      </c>
      <c r="AQ879" s="171">
        <v>1</v>
      </c>
      <c r="AR879" s="171">
        <v>1</v>
      </c>
      <c r="AS879" s="171">
        <v>1</v>
      </c>
      <c r="AT879" s="171">
        <v>1</v>
      </c>
      <c r="AU879" s="171">
        <f t="shared" si="357"/>
        <v>0</v>
      </c>
      <c r="AV879" s="171">
        <f t="shared" si="358"/>
        <v>1</v>
      </c>
      <c r="AW879" s="171">
        <f t="shared" si="359"/>
        <v>1</v>
      </c>
      <c r="AX879" s="171">
        <f t="shared" ref="AX879:AX881" si="366">IF(AND(Input_DSCR&gt;=Elig_DSCR_Min,Input_DSCR&lt;=Elig_DSCR_Max),1,0)</f>
        <v>0</v>
      </c>
      <c r="AY879" s="171">
        <f t="shared" si="360"/>
        <v>0</v>
      </c>
      <c r="AZ879" s="171">
        <f t="shared" si="361"/>
        <v>1</v>
      </c>
      <c r="BA879" s="172">
        <f t="shared" si="362"/>
        <v>1</v>
      </c>
      <c r="BB879" s="175">
        <f t="shared" si="363"/>
        <v>16</v>
      </c>
      <c r="BC879" s="176">
        <f t="shared" si="364"/>
        <v>15</v>
      </c>
      <c r="BD879" s="176">
        <f t="shared" si="365"/>
        <v>16</v>
      </c>
      <c r="BE879" s="240" t="str">
        <f t="shared" si="343"/>
        <v/>
      </c>
      <c r="BF879" s="234"/>
      <c r="BG879" s="234"/>
      <c r="BH879" s="199">
        <f>IF(AND(Input_Product=Elig!$C879,Elig_MatchAll_Ct&lt;22,$BC879=(Elig_MatchAll_Ct-1),AF879=0),C879,0)</f>
        <v>0</v>
      </c>
      <c r="BI879" s="199">
        <f>IF(AND(Input_Product=Elig!$C879,Elig_MatchAll_Ct&lt;22,$BC879=(Elig_MatchAll_Ct-1),AG879=0),D879,0)</f>
        <v>0</v>
      </c>
      <c r="BJ879" s="199">
        <f>IF(AND(Input_Product=Elig!$C879,Elig_MatchAll_Ct&lt;22,$BC879=(Elig_MatchAll_Ct-1),AH879=0),E879,0)</f>
        <v>0</v>
      </c>
      <c r="BK879" s="199">
        <f>IF(AND(Input_Product=Elig!$C879,Elig_MatchAll_Ct&lt;22,$BC879=(Elig_MatchAll_Ct-1),AI879=0),F879,0)</f>
        <v>0</v>
      </c>
      <c r="BL879" s="199">
        <f>IF(AND(Input_Product=Elig!$C879,Elig_MatchAll_Ct&lt;22,$BC879=(Elig_MatchAll_Ct-1),AJ879=0),G879,0)</f>
        <v>0</v>
      </c>
      <c r="BM879" s="199">
        <f>IF(AND(Input_Product=Elig!$C879,Elig_MatchAll_Ct&lt;22,$BC879=(Elig_MatchAll_Ct-1),AK879=0),H879,0)</f>
        <v>0</v>
      </c>
      <c r="BN879" s="199">
        <f>IF(AND(Input_Product=Elig!$C879,Elig_MatchAll_Ct&lt;22,$BC879=(Elig_MatchAll_Ct-1),AL879=0),I879,0)</f>
        <v>0</v>
      </c>
      <c r="BO879" s="199">
        <f>IF(AND(Input_Product=Elig!$C879,Elig_MatchAll_Ct&lt;22,$BC879=(Elig_MatchAll_Ct-1),AM879=0),J879,0)</f>
        <v>0</v>
      </c>
      <c r="BP879" s="199">
        <f>IF(AND(Input_Product=Elig!$C879,Elig_MatchAll_Ct&lt;22,$BC879=(Elig_MatchAll_Ct-1),AN879=0),K879,0)</f>
        <v>0</v>
      </c>
      <c r="BQ879" s="199">
        <f>IF(AND(Input_Product=Elig!$C879,Elig_MatchAll_Ct&lt;22,$BC879=(Elig_MatchAll_Ct-1),AP879=0),L879,0)</f>
        <v>0</v>
      </c>
      <c r="BR879" s="199">
        <f>IF(AND(Input_Product=Elig!$C879,Elig_MatchAll_Ct&lt;22,$BC879=(Elig_MatchAll_Ct-1),AO879=0),M879,0)</f>
        <v>0</v>
      </c>
      <c r="BS879" s="199">
        <f>IF(AND(Input_Product=Elig!$C879,Elig_MatchAll_Ct&lt;22,$BC879=(Elig_MatchAll_Ct-1),AQ879=0),N879,0)</f>
        <v>0</v>
      </c>
      <c r="BT879" s="199">
        <f>IF(AND(Input_Product=Elig!$C879,Elig_MatchAll_Ct&lt;22,$BC879=(Elig_MatchAll_Ct-1),AR879=0),O879,0)</f>
        <v>0</v>
      </c>
      <c r="BU879" s="199">
        <f>IF(AND(Input_Product=Elig!$C879,Elig_MatchAll_Ct&lt;22,$BC879=(Elig_MatchAll_Ct-1),AS879=0),P879,0)</f>
        <v>0</v>
      </c>
      <c r="BV879" s="200">
        <f>IF(AND(Input_Product=Elig!$C879,Elig_MatchAll_Ct&lt;22,$BC879=(Elig_MatchAll_Ct-1),AT879=0),Q879,0)</f>
        <v>0</v>
      </c>
      <c r="BW879" s="201">
        <f>IF(AND(Input_Product=Elig!$C879,Elig_MatchAll_Ct&lt;22,$BC879=(Elig_MatchAll_Ct-1),AU879=0),R879,0)</f>
        <v>0</v>
      </c>
      <c r="BX879" s="202">
        <f>IF(AND(Input_Product=Elig!$C879,Elig_MatchAll_Ct&lt;22,$BC879=(Elig_MatchAll_Ct-1),AU879=0),S879,0)</f>
        <v>0</v>
      </c>
      <c r="BY879" s="201">
        <f>IF(AND(Input_Product=Elig!$C879,Elig_MatchAll_Ct&lt;22,$BC879=(Elig_MatchAll_Ct-1),AV879=0),T879,0)</f>
        <v>0</v>
      </c>
      <c r="BZ879" s="202">
        <f>IF(AND(Input_Product=Elig!$C879,Elig_MatchAll_Ct&lt;22,$BC879=(Elig_MatchAll_Ct-1),AV879=0),U879,0)</f>
        <v>0</v>
      </c>
      <c r="CA879" s="201">
        <f>IF(AND(Input_Product=Elig!$C879,Elig_MatchAll_Ct&lt;22,$BC879=(Elig_MatchAll_Ct-1),AW879=0),V879,0)</f>
        <v>0</v>
      </c>
      <c r="CB879" s="202">
        <f>IF(AND(Input_Product=Elig!$C879,Elig_MatchAll_Ct&lt;22,$BC879=(Elig_MatchAll_Ct-1),AW879=0),W879,0)</f>
        <v>0</v>
      </c>
      <c r="CC879" s="201">
        <f>IF(AND(Input_Product=Elig!$C879,Elig_MatchAll_Ct&lt;22,$BC879=(Elig_MatchAll_Ct-1),AX879=0),X879,0)</f>
        <v>0</v>
      </c>
      <c r="CD879" s="202">
        <f>IF(AND(Input_Product=Elig!$C879,Elig_MatchAll_Ct&lt;22,$BC879=(Elig_MatchAll_Ct-1),AX879=0),Y879,0)</f>
        <v>0</v>
      </c>
      <c r="CE879" s="201">
        <f>IF(AND(Input_LTV&lt;=AE879,Input_Product=Elig!$C879,Elig_MatchAll_Ct&lt;22,$BC879=(Elig_MatchAll_Ct-1),AY879=0),Z879,0)</f>
        <v>0</v>
      </c>
      <c r="CF879" s="202">
        <f>IF(AND(Input_LTV&lt;=AE879,Input_Product=Elig!$C879,Elig_MatchAll_Ct&lt;22,$BC879=(Elig_MatchAll_Ct-1),AY879=0),AA879,0)</f>
        <v>0</v>
      </c>
      <c r="CG879" s="201">
        <f>IF(AND(Input_Product=Elig!$C879,Elig_MatchAll_Ct&lt;22,$BC879=(Elig_MatchAll_Ct-1),AZ879=0),AB879,0)</f>
        <v>0</v>
      </c>
      <c r="CH879" s="202">
        <f>IF(AND(Input_Product=Elig!$C879,Elig_MatchAll_Ct&lt;22,$BC879=(Elig_MatchAll_Ct-1),AZ879=0),AC879,0)</f>
        <v>0</v>
      </c>
      <c r="CI879" s="201">
        <f>IF(AND(Input_Product=Elig!$C879,Elig_MatchAll_Ct&lt;22,$BC879=(Elig_MatchAll_Ct-1),BA879=0),AD879,0)</f>
        <v>0</v>
      </c>
      <c r="CJ879" s="202">
        <f>IF(AND(Input_Product=Elig!$C879,Elig_MatchAll_Ct&lt;22,$BC879=(Elig_MatchAll_Ct-1),BA879=0),AE879,0)</f>
        <v>0</v>
      </c>
    </row>
    <row r="880" spans="2:88" ht="10.15" customHeight="1" x14ac:dyDescent="0.25">
      <c r="B880" s="2035" t="s">
        <v>4097</v>
      </c>
      <c r="C880" s="2036" t="str">
        <f t="shared" si="351"/>
        <v>Second NOO</v>
      </c>
      <c r="D880" s="2035" t="s">
        <v>1569</v>
      </c>
      <c r="E880" s="2035" t="s">
        <v>98</v>
      </c>
      <c r="F880" s="2035" t="s">
        <v>330</v>
      </c>
      <c r="G880" s="2113" t="s">
        <v>181</v>
      </c>
      <c r="H880" s="2037" t="s">
        <v>136</v>
      </c>
      <c r="I880" s="2035" t="s">
        <v>1332</v>
      </c>
      <c r="J880" s="2035" t="s">
        <v>1311</v>
      </c>
      <c r="K880" s="2037" t="s">
        <v>1790</v>
      </c>
      <c r="L880" s="2035" t="s">
        <v>430</v>
      </c>
      <c r="M880" s="2035" t="s">
        <v>2677</v>
      </c>
      <c r="N880" s="2113" t="s">
        <v>4156</v>
      </c>
      <c r="O880" s="2035" t="s">
        <v>4099</v>
      </c>
      <c r="P880" s="2035" t="s">
        <v>291</v>
      </c>
      <c r="Q880" s="2035" t="s">
        <v>294</v>
      </c>
      <c r="R880" s="2109">
        <v>500000.01</v>
      </c>
      <c r="S880" s="2109">
        <v>750000</v>
      </c>
      <c r="T880" s="2035">
        <v>0</v>
      </c>
      <c r="U880" s="2035">
        <f t="shared" si="352"/>
        <v>750000</v>
      </c>
      <c r="V880" s="2035">
        <v>0</v>
      </c>
      <c r="W880" s="2035">
        <v>50</v>
      </c>
      <c r="X880" s="2109">
        <v>1</v>
      </c>
      <c r="Y880" s="2035">
        <v>999</v>
      </c>
      <c r="Z880" s="2038">
        <v>680</v>
      </c>
      <c r="AA880" s="2038">
        <v>699</v>
      </c>
      <c r="AB880" s="2038">
        <v>0</v>
      </c>
      <c r="AC880" s="2038">
        <v>999999</v>
      </c>
      <c r="AD880" s="2035">
        <v>0</v>
      </c>
      <c r="AE880" s="2109">
        <v>55</v>
      </c>
      <c r="AF880" s="170">
        <v>0</v>
      </c>
      <c r="AG880" s="171">
        <v>1</v>
      </c>
      <c r="AH880" s="171">
        <v>1</v>
      </c>
      <c r="AI880" s="171">
        <v>0</v>
      </c>
      <c r="AJ880" s="171">
        <v>0</v>
      </c>
      <c r="AK880" s="171">
        <v>1</v>
      </c>
      <c r="AL880" s="171">
        <v>1</v>
      </c>
      <c r="AM880" s="171">
        <v>1</v>
      </c>
      <c r="AN880" s="171">
        <v>1</v>
      </c>
      <c r="AO880" s="171">
        <v>1</v>
      </c>
      <c r="AP880" s="171">
        <v>1</v>
      </c>
      <c r="AQ880" s="171">
        <v>1</v>
      </c>
      <c r="AR880" s="171">
        <v>1</v>
      </c>
      <c r="AS880" s="171">
        <v>1</v>
      </c>
      <c r="AT880" s="171">
        <v>1</v>
      </c>
      <c r="AU880" s="171">
        <f t="shared" si="357"/>
        <v>0</v>
      </c>
      <c r="AV880" s="171">
        <f t="shared" si="358"/>
        <v>1</v>
      </c>
      <c r="AW880" s="171">
        <f t="shared" si="359"/>
        <v>1</v>
      </c>
      <c r="AX880" s="171">
        <f t="shared" si="366"/>
        <v>0</v>
      </c>
      <c r="AY880" s="171">
        <f t="shared" si="360"/>
        <v>0</v>
      </c>
      <c r="AZ880" s="171">
        <f t="shared" si="361"/>
        <v>1</v>
      </c>
      <c r="BA880" s="172">
        <f t="shared" si="362"/>
        <v>0</v>
      </c>
      <c r="BB880" s="175">
        <f t="shared" si="363"/>
        <v>15</v>
      </c>
      <c r="BC880" s="176">
        <f t="shared" si="364"/>
        <v>15</v>
      </c>
      <c r="BD880" s="176">
        <f t="shared" si="365"/>
        <v>15</v>
      </c>
      <c r="BE880" s="240" t="str">
        <f t="shared" si="343"/>
        <v/>
      </c>
      <c r="BF880" s="234"/>
      <c r="BG880" s="234"/>
      <c r="BH880" s="199">
        <f>IF(AND(Input_Product=Elig!$C880,Elig_MatchAll_Ct&lt;22,$BC880=(Elig_MatchAll_Ct-1),AF880=0),C880,0)</f>
        <v>0</v>
      </c>
      <c r="BI880" s="199">
        <f>IF(AND(Input_Product=Elig!$C880,Elig_MatchAll_Ct&lt;22,$BC880=(Elig_MatchAll_Ct-1),AG880=0),D880,0)</f>
        <v>0</v>
      </c>
      <c r="BJ880" s="199">
        <f>IF(AND(Input_Product=Elig!$C880,Elig_MatchAll_Ct&lt;22,$BC880=(Elig_MatchAll_Ct-1),AH880=0),E880,0)</f>
        <v>0</v>
      </c>
      <c r="BK880" s="199">
        <f>IF(AND(Input_Product=Elig!$C880,Elig_MatchAll_Ct&lt;22,$BC880=(Elig_MatchAll_Ct-1),AI880=0),F880,0)</f>
        <v>0</v>
      </c>
      <c r="BL880" s="199">
        <f>IF(AND(Input_Product=Elig!$C880,Elig_MatchAll_Ct&lt;22,$BC880=(Elig_MatchAll_Ct-1),AJ880=0),G880,0)</f>
        <v>0</v>
      </c>
      <c r="BM880" s="199">
        <f>IF(AND(Input_Product=Elig!$C880,Elig_MatchAll_Ct&lt;22,$BC880=(Elig_MatchAll_Ct-1),AK880=0),H880,0)</f>
        <v>0</v>
      </c>
      <c r="BN880" s="199">
        <f>IF(AND(Input_Product=Elig!$C880,Elig_MatchAll_Ct&lt;22,$BC880=(Elig_MatchAll_Ct-1),AL880=0),I880,0)</f>
        <v>0</v>
      </c>
      <c r="BO880" s="199">
        <f>IF(AND(Input_Product=Elig!$C880,Elig_MatchAll_Ct&lt;22,$BC880=(Elig_MatchAll_Ct-1),AM880=0),J880,0)</f>
        <v>0</v>
      </c>
      <c r="BP880" s="199">
        <f>IF(AND(Input_Product=Elig!$C880,Elig_MatchAll_Ct&lt;22,$BC880=(Elig_MatchAll_Ct-1),AN880=0),K880,0)</f>
        <v>0</v>
      </c>
      <c r="BQ880" s="199">
        <f>IF(AND(Input_Product=Elig!$C880,Elig_MatchAll_Ct&lt;22,$BC880=(Elig_MatchAll_Ct-1),AP880=0),L880,0)</f>
        <v>0</v>
      </c>
      <c r="BR880" s="199">
        <f>IF(AND(Input_Product=Elig!$C880,Elig_MatchAll_Ct&lt;22,$BC880=(Elig_MatchAll_Ct-1),AO880=0),M880,0)</f>
        <v>0</v>
      </c>
      <c r="BS880" s="199">
        <f>IF(AND(Input_Product=Elig!$C880,Elig_MatchAll_Ct&lt;22,$BC880=(Elig_MatchAll_Ct-1),AQ880=0),N880,0)</f>
        <v>0</v>
      </c>
      <c r="BT880" s="199">
        <f>IF(AND(Input_Product=Elig!$C880,Elig_MatchAll_Ct&lt;22,$BC880=(Elig_MatchAll_Ct-1),AR880=0),O880,0)</f>
        <v>0</v>
      </c>
      <c r="BU880" s="199">
        <f>IF(AND(Input_Product=Elig!$C880,Elig_MatchAll_Ct&lt;22,$BC880=(Elig_MatchAll_Ct-1),AS880=0),P880,0)</f>
        <v>0</v>
      </c>
      <c r="BV880" s="200">
        <f>IF(AND(Input_Product=Elig!$C880,Elig_MatchAll_Ct&lt;22,$BC880=(Elig_MatchAll_Ct-1),AT880=0),Q880,0)</f>
        <v>0</v>
      </c>
      <c r="BW880" s="201">
        <f>IF(AND(Input_Product=Elig!$C880,Elig_MatchAll_Ct&lt;22,$BC880=(Elig_MatchAll_Ct-1),AU880=0),R880,0)</f>
        <v>0</v>
      </c>
      <c r="BX880" s="202">
        <f>IF(AND(Input_Product=Elig!$C880,Elig_MatchAll_Ct&lt;22,$BC880=(Elig_MatchAll_Ct-1),AU880=0),S880,0)</f>
        <v>0</v>
      </c>
      <c r="BY880" s="201">
        <f>IF(AND(Input_Product=Elig!$C880,Elig_MatchAll_Ct&lt;22,$BC880=(Elig_MatchAll_Ct-1),AV880=0),T880,0)</f>
        <v>0</v>
      </c>
      <c r="BZ880" s="202">
        <f>IF(AND(Input_Product=Elig!$C880,Elig_MatchAll_Ct&lt;22,$BC880=(Elig_MatchAll_Ct-1),AV880=0),U880,0)</f>
        <v>0</v>
      </c>
      <c r="CA880" s="201">
        <f>IF(AND(Input_Product=Elig!$C880,Elig_MatchAll_Ct&lt;22,$BC880=(Elig_MatchAll_Ct-1),AW880=0),V880,0)</f>
        <v>0</v>
      </c>
      <c r="CB880" s="202">
        <f>IF(AND(Input_Product=Elig!$C880,Elig_MatchAll_Ct&lt;22,$BC880=(Elig_MatchAll_Ct-1),AW880=0),W880,0)</f>
        <v>0</v>
      </c>
      <c r="CC880" s="201">
        <f>IF(AND(Input_Product=Elig!$C880,Elig_MatchAll_Ct&lt;22,$BC880=(Elig_MatchAll_Ct-1),AX880=0),X880,0)</f>
        <v>0</v>
      </c>
      <c r="CD880" s="202">
        <f>IF(AND(Input_Product=Elig!$C880,Elig_MatchAll_Ct&lt;22,$BC880=(Elig_MatchAll_Ct-1),AX880=0),Y880,0)</f>
        <v>0</v>
      </c>
      <c r="CE880" s="201">
        <f>IF(AND(Input_LTV&lt;=AE880,Input_Product=Elig!$C880,Elig_MatchAll_Ct&lt;22,$BC880=(Elig_MatchAll_Ct-1),AY880=0),Z880,0)</f>
        <v>0</v>
      </c>
      <c r="CF880" s="202">
        <f>IF(AND(Input_LTV&lt;=AE880,Input_Product=Elig!$C880,Elig_MatchAll_Ct&lt;22,$BC880=(Elig_MatchAll_Ct-1),AY880=0),AA880,0)</f>
        <v>0</v>
      </c>
      <c r="CG880" s="201">
        <f>IF(AND(Input_Product=Elig!$C880,Elig_MatchAll_Ct&lt;22,$BC880=(Elig_MatchAll_Ct-1),AZ880=0),AB880,0)</f>
        <v>0</v>
      </c>
      <c r="CH880" s="202">
        <f>IF(AND(Input_Product=Elig!$C880,Elig_MatchAll_Ct&lt;22,$BC880=(Elig_MatchAll_Ct-1),AZ880=0),AC880,0)</f>
        <v>0</v>
      </c>
      <c r="CI880" s="201">
        <f>IF(AND(Input_Product=Elig!$C880,Elig_MatchAll_Ct&lt;22,$BC880=(Elig_MatchAll_Ct-1),BA880=0),AD880,0)</f>
        <v>0</v>
      </c>
      <c r="CJ880" s="202">
        <f>IF(AND(Input_Product=Elig!$C880,Elig_MatchAll_Ct&lt;22,$BC880=(Elig_MatchAll_Ct-1),BA880=0),AE880,0)</f>
        <v>0</v>
      </c>
    </row>
    <row r="881" spans="2:88" ht="10.15" customHeight="1" x14ac:dyDescent="0.25">
      <c r="B881" s="2035" t="s">
        <v>4098</v>
      </c>
      <c r="C881" s="2036" t="str">
        <f t="shared" si="351"/>
        <v>Second NOO</v>
      </c>
      <c r="D881" s="2035" t="s">
        <v>1569</v>
      </c>
      <c r="E881" s="2035" t="s">
        <v>98</v>
      </c>
      <c r="F881" s="2035" t="s">
        <v>330</v>
      </c>
      <c r="G881" s="2113" t="s">
        <v>181</v>
      </c>
      <c r="H881" s="2037" t="s">
        <v>136</v>
      </c>
      <c r="I881" s="2035" t="s">
        <v>1332</v>
      </c>
      <c r="J881" s="2035" t="s">
        <v>1311</v>
      </c>
      <c r="K881" s="2037" t="s">
        <v>1790</v>
      </c>
      <c r="L881" s="2035" t="s">
        <v>430</v>
      </c>
      <c r="M881" s="2035" t="s">
        <v>2677</v>
      </c>
      <c r="N881" s="2113" t="s">
        <v>4156</v>
      </c>
      <c r="O881" s="2035" t="s">
        <v>4099</v>
      </c>
      <c r="P881" s="2035" t="s">
        <v>291</v>
      </c>
      <c r="Q881" s="2035" t="s">
        <v>294</v>
      </c>
      <c r="R881" s="2109">
        <v>500000.01</v>
      </c>
      <c r="S881" s="2109">
        <v>750000</v>
      </c>
      <c r="T881" s="2035">
        <v>0</v>
      </c>
      <c r="U881" s="2035">
        <f>S881</f>
        <v>750000</v>
      </c>
      <c r="V881" s="2035">
        <v>0</v>
      </c>
      <c r="W881" s="2035">
        <v>50</v>
      </c>
      <c r="X881" s="2109">
        <v>1</v>
      </c>
      <c r="Y881" s="2035">
        <v>999</v>
      </c>
      <c r="Z881" s="2038">
        <v>660</v>
      </c>
      <c r="AA881" s="2038">
        <v>679</v>
      </c>
      <c r="AB881" s="2038">
        <v>0</v>
      </c>
      <c r="AC881" s="2038">
        <v>999999</v>
      </c>
      <c r="AD881" s="2035">
        <v>0</v>
      </c>
      <c r="AE881" s="2035">
        <v>-999</v>
      </c>
      <c r="AF881" s="170">
        <v>0</v>
      </c>
      <c r="AG881" s="171">
        <v>1</v>
      </c>
      <c r="AH881" s="171">
        <v>1</v>
      </c>
      <c r="AI881" s="171">
        <v>0</v>
      </c>
      <c r="AJ881" s="171">
        <v>0</v>
      </c>
      <c r="AK881" s="171">
        <v>1</v>
      </c>
      <c r="AL881" s="171">
        <v>1</v>
      </c>
      <c r="AM881" s="171">
        <v>1</v>
      </c>
      <c r="AN881" s="171">
        <v>1</v>
      </c>
      <c r="AO881" s="171">
        <v>1</v>
      </c>
      <c r="AP881" s="171">
        <v>1</v>
      </c>
      <c r="AQ881" s="171">
        <v>1</v>
      </c>
      <c r="AR881" s="171">
        <v>1</v>
      </c>
      <c r="AS881" s="171">
        <v>1</v>
      </c>
      <c r="AT881" s="171">
        <v>1</v>
      </c>
      <c r="AU881" s="171">
        <f t="shared" si="357"/>
        <v>0</v>
      </c>
      <c r="AV881" s="171">
        <f t="shared" si="358"/>
        <v>1</v>
      </c>
      <c r="AW881" s="171">
        <f t="shared" si="359"/>
        <v>1</v>
      </c>
      <c r="AX881" s="171">
        <f t="shared" si="366"/>
        <v>0</v>
      </c>
      <c r="AY881" s="171">
        <f t="shared" si="360"/>
        <v>0</v>
      </c>
      <c r="AZ881" s="171">
        <f t="shared" si="361"/>
        <v>1</v>
      </c>
      <c r="BA881" s="172">
        <f t="shared" si="362"/>
        <v>0</v>
      </c>
      <c r="BB881" s="175">
        <f t="shared" si="363"/>
        <v>15</v>
      </c>
      <c r="BC881" s="176">
        <f t="shared" si="364"/>
        <v>15</v>
      </c>
      <c r="BD881" s="176">
        <f t="shared" si="365"/>
        <v>15</v>
      </c>
      <c r="BE881" s="240" t="str">
        <f t="shared" si="343"/>
        <v/>
      </c>
      <c r="BF881" s="234"/>
      <c r="BG881" s="234"/>
      <c r="BH881" s="214">
        <f>IF(AND(Input_Product=Elig!$C881,Elig_MatchAll_Ct&lt;22,$BC881=(Elig_MatchAll_Ct-1),AF881=0),C881,0)</f>
        <v>0</v>
      </c>
      <c r="BI881" s="214">
        <f>IF(AND(Input_Product=Elig!$C881,Elig_MatchAll_Ct&lt;22,$BC881=(Elig_MatchAll_Ct-1),AG881=0),D881,0)</f>
        <v>0</v>
      </c>
      <c r="BJ881" s="214">
        <f>IF(AND(Input_Product=Elig!$C881,Elig_MatchAll_Ct&lt;22,$BC881=(Elig_MatchAll_Ct-1),AH881=0),E881,0)</f>
        <v>0</v>
      </c>
      <c r="BK881" s="214">
        <f>IF(AND(Input_Product=Elig!$C881,Elig_MatchAll_Ct&lt;22,$BC881=(Elig_MatchAll_Ct-1),AI881=0),F881,0)</f>
        <v>0</v>
      </c>
      <c r="BL881" s="214">
        <f>IF(AND(Input_Product=Elig!$C881,Elig_MatchAll_Ct&lt;22,$BC881=(Elig_MatchAll_Ct-1),AJ881=0),G881,0)</f>
        <v>0</v>
      </c>
      <c r="BM881" s="214">
        <f>IF(AND(Input_Product=Elig!$C881,Elig_MatchAll_Ct&lt;22,$BC881=(Elig_MatchAll_Ct-1),AK881=0),H881,0)</f>
        <v>0</v>
      </c>
      <c r="BN881" s="214">
        <f>IF(AND(Input_Product=Elig!$C881,Elig_MatchAll_Ct&lt;22,$BC881=(Elig_MatchAll_Ct-1),AL881=0),I881,0)</f>
        <v>0</v>
      </c>
      <c r="BO881" s="214">
        <f>IF(AND(Input_Product=Elig!$C881,Elig_MatchAll_Ct&lt;22,$BC881=(Elig_MatchAll_Ct-1),AM881=0),J881,0)</f>
        <v>0</v>
      </c>
      <c r="BP881" s="214">
        <f>IF(AND(Input_Product=Elig!$C881,Elig_MatchAll_Ct&lt;22,$BC881=(Elig_MatchAll_Ct-1),AN881=0),K881,0)</f>
        <v>0</v>
      </c>
      <c r="BQ881" s="214">
        <f>IF(AND(Input_Product=Elig!$C881,Elig_MatchAll_Ct&lt;22,$BC881=(Elig_MatchAll_Ct-1),AP881=0),L881,0)</f>
        <v>0</v>
      </c>
      <c r="BR881" s="214">
        <f>IF(AND(Input_Product=Elig!$C881,Elig_MatchAll_Ct&lt;22,$BC881=(Elig_MatchAll_Ct-1),AO881=0),M881,0)</f>
        <v>0</v>
      </c>
      <c r="BS881" s="214">
        <f>IF(AND(Input_Product=Elig!$C881,Elig_MatchAll_Ct&lt;22,$BC881=(Elig_MatchAll_Ct-1),AQ881=0),N881,0)</f>
        <v>0</v>
      </c>
      <c r="BT881" s="214">
        <f>IF(AND(Input_Product=Elig!$C881,Elig_MatchAll_Ct&lt;22,$BC881=(Elig_MatchAll_Ct-1),AR881=0),O881,0)</f>
        <v>0</v>
      </c>
      <c r="BU881" s="214">
        <f>IF(AND(Input_Product=Elig!$C881,Elig_MatchAll_Ct&lt;22,$BC881=(Elig_MatchAll_Ct-1),AS881=0),P881,0)</f>
        <v>0</v>
      </c>
      <c r="BV881" s="215">
        <f>IF(AND(Input_Product=Elig!$C881,Elig_MatchAll_Ct&lt;22,$BC881=(Elig_MatchAll_Ct-1),AT881=0),Q881,0)</f>
        <v>0</v>
      </c>
      <c r="BW881" s="311">
        <f>IF(AND(Input_Product=Elig!$C881,Elig_MatchAll_Ct&lt;22,$BC881=(Elig_MatchAll_Ct-1),AU881=0),R881,0)</f>
        <v>0</v>
      </c>
      <c r="BX881" s="312">
        <f>IF(AND(Input_Product=Elig!$C881,Elig_MatchAll_Ct&lt;22,$BC881=(Elig_MatchAll_Ct-1),AU881=0),S881,0)</f>
        <v>0</v>
      </c>
      <c r="BY881" s="311">
        <f>IF(AND(Input_Product=Elig!$C881,Elig_MatchAll_Ct&lt;22,$BC881=(Elig_MatchAll_Ct-1),AV881=0),T881,0)</f>
        <v>0</v>
      </c>
      <c r="BZ881" s="312">
        <f>IF(AND(Input_Product=Elig!$C881,Elig_MatchAll_Ct&lt;22,$BC881=(Elig_MatchAll_Ct-1),AV881=0),U881,0)</f>
        <v>0</v>
      </c>
      <c r="CA881" s="311">
        <f>IF(AND(Input_Product=Elig!$C881,Elig_MatchAll_Ct&lt;22,$BC881=(Elig_MatchAll_Ct-1),AW881=0),V881,0)</f>
        <v>0</v>
      </c>
      <c r="CB881" s="312">
        <f>IF(AND(Input_Product=Elig!$C881,Elig_MatchAll_Ct&lt;22,$BC881=(Elig_MatchAll_Ct-1),AW881=0),W881,0)</f>
        <v>0</v>
      </c>
      <c r="CC881" s="311">
        <f>IF(AND(Input_Product=Elig!$C881,Elig_MatchAll_Ct&lt;22,$BC881=(Elig_MatchAll_Ct-1),AX881=0),X881,0)</f>
        <v>0</v>
      </c>
      <c r="CD881" s="312">
        <f>IF(AND(Input_Product=Elig!$C881,Elig_MatchAll_Ct&lt;22,$BC881=(Elig_MatchAll_Ct-1),AX881=0),Y881,0)</f>
        <v>0</v>
      </c>
      <c r="CE881" s="311">
        <f>IF(AND(Input_LTV&lt;=AE881,Input_Product=Elig!$C881,Elig_MatchAll_Ct&lt;22,$BC881=(Elig_MatchAll_Ct-1),AY881=0),Z881,0)</f>
        <v>0</v>
      </c>
      <c r="CF881" s="312">
        <f>IF(AND(Input_LTV&lt;=AE881,Input_Product=Elig!$C881,Elig_MatchAll_Ct&lt;22,$BC881=(Elig_MatchAll_Ct-1),AY881=0),AA881,0)</f>
        <v>0</v>
      </c>
      <c r="CG881" s="311">
        <f>IF(AND(Input_Product=Elig!$C881,Elig_MatchAll_Ct&lt;22,$BC881=(Elig_MatchAll_Ct-1),AZ881=0),AB881,0)</f>
        <v>0</v>
      </c>
      <c r="CH881" s="312">
        <f>IF(AND(Input_Product=Elig!$C881,Elig_MatchAll_Ct&lt;22,$BC881=(Elig_MatchAll_Ct-1),AZ881=0),AC881,0)</f>
        <v>0</v>
      </c>
      <c r="CI881" s="311">
        <f>IF(AND(Input_Product=Elig!$C881,Elig_MatchAll_Ct&lt;22,$BC881=(Elig_MatchAll_Ct-1),BA881=0),AD881,0)</f>
        <v>0</v>
      </c>
      <c r="CJ881" s="312">
        <f>IF(AND(Input_Product=Elig!$C881,Elig_MatchAll_Ct&lt;22,$BC881=(Elig_MatchAll_Ct-1),BA881=0),AE881,0)</f>
        <v>0</v>
      </c>
    </row>
    <row r="882" spans="2:88" ht="10.15" customHeight="1" x14ac:dyDescent="0.25">
      <c r="B882" s="1915" t="s">
        <v>2217</v>
      </c>
      <c r="C882" s="1203" t="str">
        <f t="shared" ref="C882:C945" si="367">Input_Name_Product13</f>
        <v xml:space="preserve">  </v>
      </c>
      <c r="D882" s="1204" t="s">
        <v>2218</v>
      </c>
      <c r="E882" s="1204" t="s">
        <v>167</v>
      </c>
      <c r="F882" s="1204" t="s">
        <v>331</v>
      </c>
      <c r="G882" s="1205" t="s">
        <v>303</v>
      </c>
      <c r="H882" s="1205" t="s">
        <v>136</v>
      </c>
      <c r="I882" s="1204" t="s">
        <v>274</v>
      </c>
      <c r="J882" s="1204" t="s">
        <v>1311</v>
      </c>
      <c r="K882" s="1205" t="s">
        <v>3022</v>
      </c>
      <c r="L882" s="1204" t="s">
        <v>2768</v>
      </c>
      <c r="M882" s="1204" t="s">
        <v>2677</v>
      </c>
      <c r="N882" s="1205" t="s">
        <v>82</v>
      </c>
      <c r="O882" s="1204" t="s">
        <v>310</v>
      </c>
      <c r="P882" s="1204" t="s">
        <v>291</v>
      </c>
      <c r="Q882" s="1204" t="s">
        <v>294</v>
      </c>
      <c r="R882" s="1204">
        <v>125000</v>
      </c>
      <c r="S882" s="1204">
        <v>1000000</v>
      </c>
      <c r="T882" s="1204">
        <v>0</v>
      </c>
      <c r="U882" s="1204">
        <v>0</v>
      </c>
      <c r="V882" s="1204">
        <v>0</v>
      </c>
      <c r="W882" s="1204">
        <v>50</v>
      </c>
      <c r="X882" s="1204">
        <v>0</v>
      </c>
      <c r="Y882" s="1204">
        <v>999</v>
      </c>
      <c r="Z882" s="1206">
        <v>720</v>
      </c>
      <c r="AA882" s="1206">
        <v>999</v>
      </c>
      <c r="AB882" s="1206">
        <v>3</v>
      </c>
      <c r="AC882" s="1206">
        <v>999999</v>
      </c>
      <c r="AD882" s="1204">
        <v>0</v>
      </c>
      <c r="AE882" s="1207">
        <v>85</v>
      </c>
      <c r="AF882" s="170">
        <v>0</v>
      </c>
      <c r="AG882" s="171">
        <v>1</v>
      </c>
      <c r="AH882" s="171">
        <v>1</v>
      </c>
      <c r="AI882" s="171">
        <v>1</v>
      </c>
      <c r="AJ882" s="171">
        <v>1</v>
      </c>
      <c r="AK882" s="171">
        <v>1</v>
      </c>
      <c r="AL882" s="171">
        <v>0</v>
      </c>
      <c r="AM882" s="171">
        <v>1</v>
      </c>
      <c r="AN882" s="171">
        <v>1</v>
      </c>
      <c r="AO882" s="171">
        <v>1</v>
      </c>
      <c r="AP882" s="171">
        <v>1</v>
      </c>
      <c r="AQ882" s="171">
        <v>1</v>
      </c>
      <c r="AR882" s="171">
        <v>1</v>
      </c>
      <c r="AS882" s="171">
        <v>1</v>
      </c>
      <c r="AT882" s="171">
        <v>1</v>
      </c>
      <c r="AU882" s="171">
        <f t="shared" ref="AU882:AU908" si="368">IF(AND(Input_LoanAmt&gt;=Elig_LoanAmt_Min,Input_LoanAmt&lt;=Elig_LoanAmt_Max),1,0)</f>
        <v>1</v>
      </c>
      <c r="AV882" s="171">
        <f t="shared" ref="AV882:AV908" si="369">IF(AND(Input_CashoutAmt&gt;=Elig_CashoutAmt_Min,Input_CashoutAmt&lt;=Elig_CashoutAmt_Max),1,0)</f>
        <v>0</v>
      </c>
      <c r="AW882" s="171">
        <f t="shared" ref="AW882:AW908" si="370">IF(AND(Input_DTI&gt;=Elig_DTI_Min,Input_DTI&lt;=Elig_DTI_Max),1,0)</f>
        <v>1</v>
      </c>
      <c r="AX882" s="171">
        <f t="shared" ref="AX882:AX932" si="371">IF(AND(Input_DSCR&gt;=Elig_DSCR_Min,Input_DSCR&lt;=Elig_DSCR_Max),1,0)</f>
        <v>1</v>
      </c>
      <c r="AY882" s="171">
        <f t="shared" ref="AY882:AY908" si="372">IF(AND(Input_CreditScore&gt;=Elig_CreditScore_Min,Input_CreditScore&lt;=Elig_CreditScore_Max),1,0)</f>
        <v>1</v>
      </c>
      <c r="AZ882" s="171">
        <f t="shared" ref="AZ882:AZ908" si="373">IF(AND(Input_ReservesMonths&gt;=Elig_Reserves_Min,Input_ReservesMonths&lt;=Elig_Reserves_Max),1,0)</f>
        <v>1</v>
      </c>
      <c r="BA882" s="172">
        <f t="shared" ref="BA882:BA908" si="374">IF(AND(Input_LTV&gt;=Elig_LTV_Min,Input_LTV&lt;=Elig_LTV_Max),1,0)</f>
        <v>1</v>
      </c>
      <c r="BB882" s="175">
        <f t="shared" ref="BB882:BB915" si="375">SUM(AF882:BA882)</f>
        <v>19</v>
      </c>
      <c r="BC882" s="176">
        <f t="shared" ref="BC882:BC915" si="376">SUM(AF882:AZ882)</f>
        <v>18</v>
      </c>
      <c r="BD882" s="176">
        <f t="shared" ref="BD882:BD915" si="377">SUM(AG882:BA882)</f>
        <v>19</v>
      </c>
      <c r="BE882" s="240" t="str">
        <f t="shared" si="343"/>
        <v/>
      </c>
      <c r="BF882" s="990"/>
      <c r="BG882" s="990"/>
      <c r="BH882" s="991">
        <f>IF(AND(Input_Product=Elig!$C882,Elig_MatchAll_Ct&lt;22,$BC882=(Elig_MatchAll_Ct-1),AF882=0),C882,0)</f>
        <v>0</v>
      </c>
      <c r="BI882" s="991">
        <f>IF(AND(Input_Product=Elig!$C882,Elig_MatchAll_Ct&lt;22,$BC882=(Elig_MatchAll_Ct-1),AG882=0),D882,0)</f>
        <v>0</v>
      </c>
      <c r="BJ882" s="991">
        <f>IF(AND(Input_Product=Elig!$C882,Elig_MatchAll_Ct&lt;22,$BC882=(Elig_MatchAll_Ct-1),AH882=0),E882,0)</f>
        <v>0</v>
      </c>
      <c r="BK882" s="991">
        <f>IF(AND(Input_Product=Elig!$C882,Elig_MatchAll_Ct&lt;22,$BC882=(Elig_MatchAll_Ct-1),AI882=0),F882,0)</f>
        <v>0</v>
      </c>
      <c r="BL882" s="991">
        <f>IF(AND(Input_Product=Elig!$C882,Elig_MatchAll_Ct&lt;22,$BC882=(Elig_MatchAll_Ct-1),AJ882=0),G882,0)</f>
        <v>0</v>
      </c>
      <c r="BM882" s="991">
        <f>IF(AND(Input_Product=Elig!$C882,Elig_MatchAll_Ct&lt;22,$BC882=(Elig_MatchAll_Ct-1),AK882=0),H882,0)</f>
        <v>0</v>
      </c>
      <c r="BN882" s="991">
        <f>IF(AND(Input_Product=Elig!$C882,Elig_MatchAll_Ct&lt;22,$BC882=(Elig_MatchAll_Ct-1),AL882=0),I882,0)</f>
        <v>0</v>
      </c>
      <c r="BO882" s="991">
        <f>IF(AND(Input_Product=Elig!$C882,Elig_MatchAll_Ct&lt;22,$BC882=(Elig_MatchAll_Ct-1),AM882=0),J882,0)</f>
        <v>0</v>
      </c>
      <c r="BP882" s="991">
        <f>IF(AND(Input_Product=Elig!$C882,Elig_MatchAll_Ct&lt;22,$BC882=(Elig_MatchAll_Ct-1),AN882=0),K882,0)</f>
        <v>0</v>
      </c>
      <c r="BQ882" s="991">
        <f>IF(AND(Input_Product=Elig!$C882,Elig_MatchAll_Ct&lt;22,$BC882=(Elig_MatchAll_Ct-1),AP882=0),L882,0)</f>
        <v>0</v>
      </c>
      <c r="BR882" s="991">
        <f>IF(AND(Input_Product=Elig!$C882,Elig_MatchAll_Ct&lt;22,$BC882=(Elig_MatchAll_Ct-1),AO882=0),M882,0)</f>
        <v>0</v>
      </c>
      <c r="BS882" s="991">
        <f>IF(AND(Input_Product=Elig!$C882,Elig_MatchAll_Ct&lt;22,$BC882=(Elig_MatchAll_Ct-1),AQ882=0),N882,0)</f>
        <v>0</v>
      </c>
      <c r="BT882" s="991">
        <f>IF(AND(Input_Product=Elig!$C882,Elig_MatchAll_Ct&lt;22,$BC882=(Elig_MatchAll_Ct-1),AR882=0),O882,0)</f>
        <v>0</v>
      </c>
      <c r="BU882" s="991">
        <f>IF(AND(Input_Product=Elig!$C882,Elig_MatchAll_Ct&lt;22,$BC882=(Elig_MatchAll_Ct-1),AS882=0),P882,0)</f>
        <v>0</v>
      </c>
      <c r="BV882" s="992">
        <f>IF(AND(Input_Product=Elig!$C882,Elig_MatchAll_Ct&lt;22,$BC882=(Elig_MatchAll_Ct-1),AT882=0),Q882,0)</f>
        <v>0</v>
      </c>
      <c r="BW882" s="993">
        <f>IF(AND(Input_Product=Elig!$C882,Elig_MatchAll_Ct&lt;22,$BC882=(Elig_MatchAll_Ct-1),AU882=0),R882,0)</f>
        <v>0</v>
      </c>
      <c r="BX882" s="994">
        <f>IF(AND(Input_Product=Elig!$C882,Elig_MatchAll_Ct&lt;22,$BC882=(Elig_MatchAll_Ct-1),AU882=0),S882,0)</f>
        <v>0</v>
      </c>
      <c r="BY882" s="993">
        <f>IF(AND(Input_Product=Elig!$C882,Elig_MatchAll_Ct&lt;22,$BC882=(Elig_MatchAll_Ct-1),AV882=0),T882,0)</f>
        <v>0</v>
      </c>
      <c r="BZ882" s="994">
        <f>IF(AND(Input_Product=Elig!$C882,Elig_MatchAll_Ct&lt;22,$BC882=(Elig_MatchAll_Ct-1),AV882=0),U882,0)</f>
        <v>0</v>
      </c>
      <c r="CA882" s="993">
        <f>IF(AND(Input_Product=Elig!$C882,Elig_MatchAll_Ct&lt;22,$BC882=(Elig_MatchAll_Ct-1),AW882=0),V882,0)</f>
        <v>0</v>
      </c>
      <c r="CB882" s="994">
        <f>IF(AND(Input_Product=Elig!$C882,Elig_MatchAll_Ct&lt;22,$BC882=(Elig_MatchAll_Ct-1),AW882=0),W882,0)</f>
        <v>0</v>
      </c>
      <c r="CC882" s="993">
        <f>IF(AND(Input_Product=Elig!$C882,Elig_MatchAll_Ct&lt;22,$BC882=(Elig_MatchAll_Ct-1),AX882=0),X882,0)</f>
        <v>0</v>
      </c>
      <c r="CD882" s="994">
        <f>IF(AND(Input_Product=Elig!$C882,Elig_MatchAll_Ct&lt;22,$BC882=(Elig_MatchAll_Ct-1),AX882=0),Y882,0)</f>
        <v>0</v>
      </c>
      <c r="CE882" s="993">
        <f>IF(AND(Input_LTV&lt;=AE882,Input_Product=Elig!$C882,Elig_MatchAll_Ct&lt;22,$BC882=(Elig_MatchAll_Ct-1),AY882=0),Z882,0)</f>
        <v>0</v>
      </c>
      <c r="CF882" s="994">
        <f>IF(AND(Input_LTV&lt;=AE882,Input_Product=Elig!$C882,Elig_MatchAll_Ct&lt;22,$BC882=(Elig_MatchAll_Ct-1),AY882=0),AA882,0)</f>
        <v>0</v>
      </c>
      <c r="CG882" s="993">
        <f>IF(AND(Input_Product=Elig!$C882,Elig_MatchAll_Ct&lt;22,$BC882=(Elig_MatchAll_Ct-1),AZ882=0),AB882,0)</f>
        <v>0</v>
      </c>
      <c r="CH882" s="994">
        <f>IF(AND(Input_Product=Elig!$C882,Elig_MatchAll_Ct&lt;22,$BC882=(Elig_MatchAll_Ct-1),AZ882=0),AC882,0)</f>
        <v>0</v>
      </c>
      <c r="CI882" s="993">
        <f>IF(AND(Input_Product=Elig!$C882,Elig_MatchAll_Ct&lt;22,$BC882=(Elig_MatchAll_Ct-1),BA882=0),AD882,0)</f>
        <v>0</v>
      </c>
      <c r="CJ882" s="994">
        <f>IF(AND(Input_Product=Elig!$C882,Elig_MatchAll_Ct&lt;22,$BC882=(Elig_MatchAll_Ct-1),BA882=0),AE882,0)</f>
        <v>0</v>
      </c>
    </row>
    <row r="883" spans="2:88" ht="10.15" customHeight="1" x14ac:dyDescent="0.25">
      <c r="B883" s="1916" t="s">
        <v>2219</v>
      </c>
      <c r="C883" s="1208" t="str">
        <f t="shared" si="367"/>
        <v xml:space="preserve">  </v>
      </c>
      <c r="D883" s="1209" t="s">
        <v>2218</v>
      </c>
      <c r="E883" s="1209" t="s">
        <v>167</v>
      </c>
      <c r="F883" s="1209" t="s">
        <v>331</v>
      </c>
      <c r="G883" s="1210" t="s">
        <v>303</v>
      </c>
      <c r="H883" s="1210" t="s">
        <v>136</v>
      </c>
      <c r="I883" s="1209" t="s">
        <v>274</v>
      </c>
      <c r="J883" s="1209" t="s">
        <v>1311</v>
      </c>
      <c r="K883" s="1210" t="s">
        <v>3022</v>
      </c>
      <c r="L883" s="1209" t="s">
        <v>2768</v>
      </c>
      <c r="M883" s="1209" t="s">
        <v>2677</v>
      </c>
      <c r="N883" s="1210" t="s">
        <v>82</v>
      </c>
      <c r="O883" s="1209" t="s">
        <v>310</v>
      </c>
      <c r="P883" s="1209" t="s">
        <v>291</v>
      </c>
      <c r="Q883" s="1209" t="s">
        <v>294</v>
      </c>
      <c r="R883" s="1209">
        <v>125000</v>
      </c>
      <c r="S883" s="1209">
        <v>1000000</v>
      </c>
      <c r="T883" s="1209">
        <v>0</v>
      </c>
      <c r="U883" s="1209">
        <v>0</v>
      </c>
      <c r="V883" s="1209">
        <v>0</v>
      </c>
      <c r="W883" s="1209">
        <v>50</v>
      </c>
      <c r="X883" s="1209">
        <v>0</v>
      </c>
      <c r="Y883" s="1209">
        <v>999</v>
      </c>
      <c r="Z883" s="1211">
        <v>700</v>
      </c>
      <c r="AA883" s="1211">
        <v>719</v>
      </c>
      <c r="AB883" s="1211">
        <v>3</v>
      </c>
      <c r="AC883" s="1211">
        <v>999999</v>
      </c>
      <c r="AD883" s="1209">
        <v>0</v>
      </c>
      <c r="AE883" s="1212">
        <v>80</v>
      </c>
      <c r="AF883" s="170">
        <v>0</v>
      </c>
      <c r="AG883" s="171">
        <v>1</v>
      </c>
      <c r="AH883" s="171">
        <v>1</v>
      </c>
      <c r="AI883" s="171">
        <v>1</v>
      </c>
      <c r="AJ883" s="171">
        <v>1</v>
      </c>
      <c r="AK883" s="171">
        <v>1</v>
      </c>
      <c r="AL883" s="171">
        <v>0</v>
      </c>
      <c r="AM883" s="171">
        <v>1</v>
      </c>
      <c r="AN883" s="171">
        <v>1</v>
      </c>
      <c r="AO883" s="171">
        <v>1</v>
      </c>
      <c r="AP883" s="171">
        <v>1</v>
      </c>
      <c r="AQ883" s="171">
        <v>1</v>
      </c>
      <c r="AR883" s="171">
        <v>1</v>
      </c>
      <c r="AS883" s="171">
        <v>1</v>
      </c>
      <c r="AT883" s="171">
        <v>1</v>
      </c>
      <c r="AU883" s="171">
        <f t="shared" si="368"/>
        <v>1</v>
      </c>
      <c r="AV883" s="171">
        <f t="shared" si="369"/>
        <v>0</v>
      </c>
      <c r="AW883" s="171">
        <f t="shared" si="370"/>
        <v>1</v>
      </c>
      <c r="AX883" s="171">
        <f t="shared" si="371"/>
        <v>1</v>
      </c>
      <c r="AY883" s="171">
        <f t="shared" si="372"/>
        <v>0</v>
      </c>
      <c r="AZ883" s="171">
        <f t="shared" si="373"/>
        <v>1</v>
      </c>
      <c r="BA883" s="172">
        <f t="shared" si="374"/>
        <v>1</v>
      </c>
      <c r="BB883" s="175">
        <f t="shared" si="375"/>
        <v>18</v>
      </c>
      <c r="BC883" s="176">
        <f t="shared" si="376"/>
        <v>17</v>
      </c>
      <c r="BD883" s="176">
        <f t="shared" si="377"/>
        <v>18</v>
      </c>
      <c r="BE883" s="240" t="str">
        <f t="shared" si="343"/>
        <v/>
      </c>
      <c r="BF883" s="990"/>
      <c r="BG883" s="990"/>
      <c r="BH883" s="991">
        <f>IF(AND(Input_Product=Elig!$C883,Elig_MatchAll_Ct&lt;22,$BC883=(Elig_MatchAll_Ct-1),AF883=0),C883,0)</f>
        <v>0</v>
      </c>
      <c r="BI883" s="991">
        <f>IF(AND(Input_Product=Elig!$C883,Elig_MatchAll_Ct&lt;22,$BC883=(Elig_MatchAll_Ct-1),AG883=0),D883,0)</f>
        <v>0</v>
      </c>
      <c r="BJ883" s="991">
        <f>IF(AND(Input_Product=Elig!$C883,Elig_MatchAll_Ct&lt;22,$BC883=(Elig_MatchAll_Ct-1),AH883=0),E883,0)</f>
        <v>0</v>
      </c>
      <c r="BK883" s="991">
        <f>IF(AND(Input_Product=Elig!$C883,Elig_MatchAll_Ct&lt;22,$BC883=(Elig_MatchAll_Ct-1),AI883=0),F883,0)</f>
        <v>0</v>
      </c>
      <c r="BL883" s="991">
        <f>IF(AND(Input_Product=Elig!$C883,Elig_MatchAll_Ct&lt;22,$BC883=(Elig_MatchAll_Ct-1),AJ883=0),G883,0)</f>
        <v>0</v>
      </c>
      <c r="BM883" s="991">
        <f>IF(AND(Input_Product=Elig!$C883,Elig_MatchAll_Ct&lt;22,$BC883=(Elig_MatchAll_Ct-1),AK883=0),H883,0)</f>
        <v>0</v>
      </c>
      <c r="BN883" s="991">
        <f>IF(AND(Input_Product=Elig!$C883,Elig_MatchAll_Ct&lt;22,$BC883=(Elig_MatchAll_Ct-1),AL883=0),I883,0)</f>
        <v>0</v>
      </c>
      <c r="BO883" s="991">
        <f>IF(AND(Input_Product=Elig!$C883,Elig_MatchAll_Ct&lt;22,$BC883=(Elig_MatchAll_Ct-1),AM883=0),J883,0)</f>
        <v>0</v>
      </c>
      <c r="BP883" s="991">
        <f>IF(AND(Input_Product=Elig!$C883,Elig_MatchAll_Ct&lt;22,$BC883=(Elig_MatchAll_Ct-1),AN883=0),K883,0)</f>
        <v>0</v>
      </c>
      <c r="BQ883" s="991">
        <f>IF(AND(Input_Product=Elig!$C883,Elig_MatchAll_Ct&lt;22,$BC883=(Elig_MatchAll_Ct-1),AP883=0),L883,0)</f>
        <v>0</v>
      </c>
      <c r="BR883" s="991">
        <f>IF(AND(Input_Product=Elig!$C883,Elig_MatchAll_Ct&lt;22,$BC883=(Elig_MatchAll_Ct-1),AO883=0),M883,0)</f>
        <v>0</v>
      </c>
      <c r="BS883" s="991">
        <f>IF(AND(Input_Product=Elig!$C883,Elig_MatchAll_Ct&lt;22,$BC883=(Elig_MatchAll_Ct-1),AQ883=0),N883,0)</f>
        <v>0</v>
      </c>
      <c r="BT883" s="991">
        <f>IF(AND(Input_Product=Elig!$C883,Elig_MatchAll_Ct&lt;22,$BC883=(Elig_MatchAll_Ct-1),AR883=0),O883,0)</f>
        <v>0</v>
      </c>
      <c r="BU883" s="991">
        <f>IF(AND(Input_Product=Elig!$C883,Elig_MatchAll_Ct&lt;22,$BC883=(Elig_MatchAll_Ct-1),AS883=0),P883,0)</f>
        <v>0</v>
      </c>
      <c r="BV883" s="992">
        <f>IF(AND(Input_Product=Elig!$C883,Elig_MatchAll_Ct&lt;22,$BC883=(Elig_MatchAll_Ct-1),AT883=0),Q883,0)</f>
        <v>0</v>
      </c>
      <c r="BW883" s="993">
        <f>IF(AND(Input_Product=Elig!$C883,Elig_MatchAll_Ct&lt;22,$BC883=(Elig_MatchAll_Ct-1),AU883=0),R883,0)</f>
        <v>0</v>
      </c>
      <c r="BX883" s="994">
        <f>IF(AND(Input_Product=Elig!$C883,Elig_MatchAll_Ct&lt;22,$BC883=(Elig_MatchAll_Ct-1),AU883=0),S883,0)</f>
        <v>0</v>
      </c>
      <c r="BY883" s="993">
        <f>IF(AND(Input_Product=Elig!$C883,Elig_MatchAll_Ct&lt;22,$BC883=(Elig_MatchAll_Ct-1),AV883=0),T883,0)</f>
        <v>0</v>
      </c>
      <c r="BZ883" s="994">
        <f>IF(AND(Input_Product=Elig!$C883,Elig_MatchAll_Ct&lt;22,$BC883=(Elig_MatchAll_Ct-1),AV883=0),U883,0)</f>
        <v>0</v>
      </c>
      <c r="CA883" s="993">
        <f>IF(AND(Input_Product=Elig!$C883,Elig_MatchAll_Ct&lt;22,$BC883=(Elig_MatchAll_Ct-1),AW883=0),V883,0)</f>
        <v>0</v>
      </c>
      <c r="CB883" s="994">
        <f>IF(AND(Input_Product=Elig!$C883,Elig_MatchAll_Ct&lt;22,$BC883=(Elig_MatchAll_Ct-1),AW883=0),W883,0)</f>
        <v>0</v>
      </c>
      <c r="CC883" s="993">
        <f>IF(AND(Input_Product=Elig!$C883,Elig_MatchAll_Ct&lt;22,$BC883=(Elig_MatchAll_Ct-1),AX883=0),X883,0)</f>
        <v>0</v>
      </c>
      <c r="CD883" s="994">
        <f>IF(AND(Input_Product=Elig!$C883,Elig_MatchAll_Ct&lt;22,$BC883=(Elig_MatchAll_Ct-1),AX883=0),Y883,0)</f>
        <v>0</v>
      </c>
      <c r="CE883" s="993">
        <f>IF(AND(Input_LTV&lt;=AE883,Input_Product=Elig!$C883,Elig_MatchAll_Ct&lt;22,$BC883=(Elig_MatchAll_Ct-1),AY883=0),Z883,0)</f>
        <v>0</v>
      </c>
      <c r="CF883" s="994">
        <f>IF(AND(Input_LTV&lt;=AE883,Input_Product=Elig!$C883,Elig_MatchAll_Ct&lt;22,$BC883=(Elig_MatchAll_Ct-1),AY883=0),AA883,0)</f>
        <v>0</v>
      </c>
      <c r="CG883" s="993">
        <f>IF(AND(Input_Product=Elig!$C883,Elig_MatchAll_Ct&lt;22,$BC883=(Elig_MatchAll_Ct-1),AZ883=0),AB883,0)</f>
        <v>0</v>
      </c>
      <c r="CH883" s="994">
        <f>IF(AND(Input_Product=Elig!$C883,Elig_MatchAll_Ct&lt;22,$BC883=(Elig_MatchAll_Ct-1),AZ883=0),AC883,0)</f>
        <v>0</v>
      </c>
      <c r="CI883" s="993">
        <f>IF(AND(Input_Product=Elig!$C883,Elig_MatchAll_Ct&lt;22,$BC883=(Elig_MatchAll_Ct-1),BA883=0),AD883,0)</f>
        <v>0</v>
      </c>
      <c r="CJ883" s="994">
        <f>IF(AND(Input_Product=Elig!$C883,Elig_MatchAll_Ct&lt;22,$BC883=(Elig_MatchAll_Ct-1),BA883=0),AE883,0)</f>
        <v>0</v>
      </c>
    </row>
    <row r="884" spans="2:88" ht="10.15" customHeight="1" x14ac:dyDescent="0.25">
      <c r="B884" s="1916" t="s">
        <v>2220</v>
      </c>
      <c r="C884" s="1208" t="str">
        <f t="shared" si="367"/>
        <v xml:space="preserve">  </v>
      </c>
      <c r="D884" s="1209" t="s">
        <v>2218</v>
      </c>
      <c r="E884" s="1209" t="s">
        <v>167</v>
      </c>
      <c r="F884" s="1209" t="s">
        <v>331</v>
      </c>
      <c r="G884" s="1210" t="s">
        <v>303</v>
      </c>
      <c r="H884" s="1210" t="s">
        <v>136</v>
      </c>
      <c r="I884" s="1209" t="s">
        <v>274</v>
      </c>
      <c r="J884" s="1209" t="s">
        <v>1311</v>
      </c>
      <c r="K884" s="1210" t="s">
        <v>3022</v>
      </c>
      <c r="L884" s="1209" t="s">
        <v>2768</v>
      </c>
      <c r="M884" s="1209" t="s">
        <v>2677</v>
      </c>
      <c r="N884" s="1210" t="s">
        <v>82</v>
      </c>
      <c r="O884" s="1209" t="s">
        <v>310</v>
      </c>
      <c r="P884" s="1209" t="s">
        <v>291</v>
      </c>
      <c r="Q884" s="1209" t="s">
        <v>294</v>
      </c>
      <c r="R884" s="1209">
        <v>125000</v>
      </c>
      <c r="S884" s="1209">
        <v>1000000</v>
      </c>
      <c r="T884" s="1209">
        <v>0</v>
      </c>
      <c r="U884" s="1209">
        <v>0</v>
      </c>
      <c r="V884" s="1209">
        <v>0</v>
      </c>
      <c r="W884" s="1209">
        <v>50</v>
      </c>
      <c r="X884" s="1209">
        <v>0</v>
      </c>
      <c r="Y884" s="1209">
        <v>999</v>
      </c>
      <c r="Z884" s="1211">
        <v>680</v>
      </c>
      <c r="AA884" s="1211">
        <v>699</v>
      </c>
      <c r="AB884" s="1211">
        <v>3</v>
      </c>
      <c r="AC884" s="1211">
        <v>999999</v>
      </c>
      <c r="AD884" s="1209">
        <v>0</v>
      </c>
      <c r="AE884" s="1212">
        <v>80</v>
      </c>
      <c r="AF884" s="170">
        <v>0</v>
      </c>
      <c r="AG884" s="171">
        <v>1</v>
      </c>
      <c r="AH884" s="171">
        <v>1</v>
      </c>
      <c r="AI884" s="171">
        <v>1</v>
      </c>
      <c r="AJ884" s="171">
        <v>1</v>
      </c>
      <c r="AK884" s="171">
        <v>1</v>
      </c>
      <c r="AL884" s="171">
        <v>0</v>
      </c>
      <c r="AM884" s="171">
        <v>1</v>
      </c>
      <c r="AN884" s="171">
        <v>1</v>
      </c>
      <c r="AO884" s="171">
        <v>1</v>
      </c>
      <c r="AP884" s="171">
        <v>1</v>
      </c>
      <c r="AQ884" s="171">
        <v>1</v>
      </c>
      <c r="AR884" s="171">
        <v>1</v>
      </c>
      <c r="AS884" s="171">
        <v>1</v>
      </c>
      <c r="AT884" s="171">
        <v>1</v>
      </c>
      <c r="AU884" s="171">
        <f t="shared" si="368"/>
        <v>1</v>
      </c>
      <c r="AV884" s="171">
        <f t="shared" si="369"/>
        <v>0</v>
      </c>
      <c r="AW884" s="171">
        <f t="shared" si="370"/>
        <v>1</v>
      </c>
      <c r="AX884" s="171">
        <f t="shared" si="371"/>
        <v>1</v>
      </c>
      <c r="AY884" s="171">
        <f t="shared" si="372"/>
        <v>0</v>
      </c>
      <c r="AZ884" s="171">
        <f t="shared" si="373"/>
        <v>1</v>
      </c>
      <c r="BA884" s="172">
        <f t="shared" si="374"/>
        <v>1</v>
      </c>
      <c r="BB884" s="175">
        <f t="shared" si="375"/>
        <v>18</v>
      </c>
      <c r="BC884" s="176">
        <f t="shared" si="376"/>
        <v>17</v>
      </c>
      <c r="BD884" s="176">
        <f t="shared" si="377"/>
        <v>18</v>
      </c>
      <c r="BE884" s="240" t="str">
        <f t="shared" si="343"/>
        <v/>
      </c>
      <c r="BF884" s="990"/>
      <c r="BG884" s="990"/>
      <c r="BH884" s="991">
        <f>IF(AND(Input_Product=Elig!$C884,Elig_MatchAll_Ct&lt;22,$BC884=(Elig_MatchAll_Ct-1),AF884=0),C884,0)</f>
        <v>0</v>
      </c>
      <c r="BI884" s="991">
        <f>IF(AND(Input_Product=Elig!$C884,Elig_MatchAll_Ct&lt;22,$BC884=(Elig_MatchAll_Ct-1),AG884=0),D884,0)</f>
        <v>0</v>
      </c>
      <c r="BJ884" s="991">
        <f>IF(AND(Input_Product=Elig!$C884,Elig_MatchAll_Ct&lt;22,$BC884=(Elig_MatchAll_Ct-1),AH884=0),E884,0)</f>
        <v>0</v>
      </c>
      <c r="BK884" s="991">
        <f>IF(AND(Input_Product=Elig!$C884,Elig_MatchAll_Ct&lt;22,$BC884=(Elig_MatchAll_Ct-1),AI884=0),F884,0)</f>
        <v>0</v>
      </c>
      <c r="BL884" s="991">
        <f>IF(AND(Input_Product=Elig!$C884,Elig_MatchAll_Ct&lt;22,$BC884=(Elig_MatchAll_Ct-1),AJ884=0),G884,0)</f>
        <v>0</v>
      </c>
      <c r="BM884" s="991">
        <f>IF(AND(Input_Product=Elig!$C884,Elig_MatchAll_Ct&lt;22,$BC884=(Elig_MatchAll_Ct-1),AK884=0),H884,0)</f>
        <v>0</v>
      </c>
      <c r="BN884" s="991">
        <f>IF(AND(Input_Product=Elig!$C884,Elig_MatchAll_Ct&lt;22,$BC884=(Elig_MatchAll_Ct-1),AL884=0),I884,0)</f>
        <v>0</v>
      </c>
      <c r="BO884" s="991">
        <f>IF(AND(Input_Product=Elig!$C884,Elig_MatchAll_Ct&lt;22,$BC884=(Elig_MatchAll_Ct-1),AM884=0),J884,0)</f>
        <v>0</v>
      </c>
      <c r="BP884" s="991">
        <f>IF(AND(Input_Product=Elig!$C884,Elig_MatchAll_Ct&lt;22,$BC884=(Elig_MatchAll_Ct-1),AN884=0),K884,0)</f>
        <v>0</v>
      </c>
      <c r="BQ884" s="991">
        <f>IF(AND(Input_Product=Elig!$C884,Elig_MatchAll_Ct&lt;22,$BC884=(Elig_MatchAll_Ct-1),AP884=0),L884,0)</f>
        <v>0</v>
      </c>
      <c r="BR884" s="991">
        <f>IF(AND(Input_Product=Elig!$C884,Elig_MatchAll_Ct&lt;22,$BC884=(Elig_MatchAll_Ct-1),AO884=0),M884,0)</f>
        <v>0</v>
      </c>
      <c r="BS884" s="991">
        <f>IF(AND(Input_Product=Elig!$C884,Elig_MatchAll_Ct&lt;22,$BC884=(Elig_MatchAll_Ct-1),AQ884=0),N884,0)</f>
        <v>0</v>
      </c>
      <c r="BT884" s="991">
        <f>IF(AND(Input_Product=Elig!$C884,Elig_MatchAll_Ct&lt;22,$BC884=(Elig_MatchAll_Ct-1),AR884=0),O884,0)</f>
        <v>0</v>
      </c>
      <c r="BU884" s="991">
        <f>IF(AND(Input_Product=Elig!$C884,Elig_MatchAll_Ct&lt;22,$BC884=(Elig_MatchAll_Ct-1),AS884=0),P884,0)</f>
        <v>0</v>
      </c>
      <c r="BV884" s="992">
        <f>IF(AND(Input_Product=Elig!$C884,Elig_MatchAll_Ct&lt;22,$BC884=(Elig_MatchAll_Ct-1),AT884=0),Q884,0)</f>
        <v>0</v>
      </c>
      <c r="BW884" s="993">
        <f>IF(AND(Input_Product=Elig!$C884,Elig_MatchAll_Ct&lt;22,$BC884=(Elig_MatchAll_Ct-1),AU884=0),R884,0)</f>
        <v>0</v>
      </c>
      <c r="BX884" s="994">
        <f>IF(AND(Input_Product=Elig!$C884,Elig_MatchAll_Ct&lt;22,$BC884=(Elig_MatchAll_Ct-1),AU884=0),S884,0)</f>
        <v>0</v>
      </c>
      <c r="BY884" s="993">
        <f>IF(AND(Input_Product=Elig!$C884,Elig_MatchAll_Ct&lt;22,$BC884=(Elig_MatchAll_Ct-1),AV884=0),T884,0)</f>
        <v>0</v>
      </c>
      <c r="BZ884" s="994">
        <f>IF(AND(Input_Product=Elig!$C884,Elig_MatchAll_Ct&lt;22,$BC884=(Elig_MatchAll_Ct-1),AV884=0),U884,0)</f>
        <v>0</v>
      </c>
      <c r="CA884" s="993">
        <f>IF(AND(Input_Product=Elig!$C884,Elig_MatchAll_Ct&lt;22,$BC884=(Elig_MatchAll_Ct-1),AW884=0),V884,0)</f>
        <v>0</v>
      </c>
      <c r="CB884" s="994">
        <f>IF(AND(Input_Product=Elig!$C884,Elig_MatchAll_Ct&lt;22,$BC884=(Elig_MatchAll_Ct-1),AW884=0),W884,0)</f>
        <v>0</v>
      </c>
      <c r="CC884" s="993">
        <f>IF(AND(Input_Product=Elig!$C884,Elig_MatchAll_Ct&lt;22,$BC884=(Elig_MatchAll_Ct-1),AX884=0),X884,0)</f>
        <v>0</v>
      </c>
      <c r="CD884" s="994">
        <f>IF(AND(Input_Product=Elig!$C884,Elig_MatchAll_Ct&lt;22,$BC884=(Elig_MatchAll_Ct-1),AX884=0),Y884,0)</f>
        <v>0</v>
      </c>
      <c r="CE884" s="993">
        <f>IF(AND(Input_LTV&lt;=AE884,Input_Product=Elig!$C884,Elig_MatchAll_Ct&lt;22,$BC884=(Elig_MatchAll_Ct-1),AY884=0),Z884,0)</f>
        <v>0</v>
      </c>
      <c r="CF884" s="994">
        <f>IF(AND(Input_LTV&lt;=AE884,Input_Product=Elig!$C884,Elig_MatchAll_Ct&lt;22,$BC884=(Elig_MatchAll_Ct-1),AY884=0),AA884,0)</f>
        <v>0</v>
      </c>
      <c r="CG884" s="993">
        <f>IF(AND(Input_Product=Elig!$C884,Elig_MatchAll_Ct&lt;22,$BC884=(Elig_MatchAll_Ct-1),AZ884=0),AB884,0)</f>
        <v>0</v>
      </c>
      <c r="CH884" s="994">
        <f>IF(AND(Input_Product=Elig!$C884,Elig_MatchAll_Ct&lt;22,$BC884=(Elig_MatchAll_Ct-1),AZ884=0),AC884,0)</f>
        <v>0</v>
      </c>
      <c r="CI884" s="993">
        <f>IF(AND(Input_Product=Elig!$C884,Elig_MatchAll_Ct&lt;22,$BC884=(Elig_MatchAll_Ct-1),BA884=0),AD884,0)</f>
        <v>0</v>
      </c>
      <c r="CJ884" s="994">
        <f>IF(AND(Input_Product=Elig!$C884,Elig_MatchAll_Ct&lt;22,$BC884=(Elig_MatchAll_Ct-1),BA884=0),AE884,0)</f>
        <v>0</v>
      </c>
    </row>
    <row r="885" spans="2:88" ht="10.15" customHeight="1" x14ac:dyDescent="0.25">
      <c r="B885" s="1916" t="s">
        <v>2221</v>
      </c>
      <c r="C885" s="1213" t="str">
        <f t="shared" si="367"/>
        <v xml:space="preserve">  </v>
      </c>
      <c r="D885" s="1214" t="s">
        <v>2218</v>
      </c>
      <c r="E885" s="1214" t="s">
        <v>167</v>
      </c>
      <c r="F885" s="1214" t="s">
        <v>331</v>
      </c>
      <c r="G885" s="1215" t="s">
        <v>303</v>
      </c>
      <c r="H885" s="1215" t="s">
        <v>136</v>
      </c>
      <c r="I885" s="1214" t="s">
        <v>274</v>
      </c>
      <c r="J885" s="1214" t="s">
        <v>1311</v>
      </c>
      <c r="K885" s="1215" t="s">
        <v>3022</v>
      </c>
      <c r="L885" s="1214" t="s">
        <v>2768</v>
      </c>
      <c r="M885" s="1214" t="s">
        <v>2677</v>
      </c>
      <c r="N885" s="1215" t="s">
        <v>82</v>
      </c>
      <c r="O885" s="1214" t="s">
        <v>310</v>
      </c>
      <c r="P885" s="1214" t="s">
        <v>291</v>
      </c>
      <c r="Q885" s="1214" t="s">
        <v>294</v>
      </c>
      <c r="R885" s="1214">
        <v>125000</v>
      </c>
      <c r="S885" s="1214">
        <v>1000000</v>
      </c>
      <c r="T885" s="1214">
        <v>0</v>
      </c>
      <c r="U885" s="1214">
        <v>0</v>
      </c>
      <c r="V885" s="1214">
        <v>0</v>
      </c>
      <c r="W885" s="1214">
        <v>50</v>
      </c>
      <c r="X885" s="1214">
        <v>0</v>
      </c>
      <c r="Y885" s="1214">
        <v>999</v>
      </c>
      <c r="Z885" s="1216">
        <v>660</v>
      </c>
      <c r="AA885" s="1216">
        <v>679</v>
      </c>
      <c r="AB885" s="1216">
        <v>3</v>
      </c>
      <c r="AC885" s="1216">
        <v>999999</v>
      </c>
      <c r="AD885" s="1214">
        <v>0</v>
      </c>
      <c r="AE885" s="1217">
        <v>70</v>
      </c>
      <c r="AF885" s="170">
        <v>0</v>
      </c>
      <c r="AG885" s="171">
        <v>1</v>
      </c>
      <c r="AH885" s="171">
        <v>1</v>
      </c>
      <c r="AI885" s="171">
        <v>1</v>
      </c>
      <c r="AJ885" s="171">
        <v>1</v>
      </c>
      <c r="AK885" s="171">
        <v>1</v>
      </c>
      <c r="AL885" s="171">
        <v>0</v>
      </c>
      <c r="AM885" s="171">
        <v>1</v>
      </c>
      <c r="AN885" s="171">
        <v>1</v>
      </c>
      <c r="AO885" s="171">
        <v>1</v>
      </c>
      <c r="AP885" s="171">
        <v>1</v>
      </c>
      <c r="AQ885" s="171">
        <v>1</v>
      </c>
      <c r="AR885" s="171">
        <v>1</v>
      </c>
      <c r="AS885" s="171">
        <v>1</v>
      </c>
      <c r="AT885" s="171">
        <v>1</v>
      </c>
      <c r="AU885" s="171">
        <f t="shared" si="368"/>
        <v>1</v>
      </c>
      <c r="AV885" s="171">
        <f t="shared" si="369"/>
        <v>0</v>
      </c>
      <c r="AW885" s="171">
        <f t="shared" si="370"/>
        <v>1</v>
      </c>
      <c r="AX885" s="171">
        <f t="shared" si="371"/>
        <v>1</v>
      </c>
      <c r="AY885" s="171">
        <f t="shared" si="372"/>
        <v>0</v>
      </c>
      <c r="AZ885" s="171">
        <f t="shared" si="373"/>
        <v>1</v>
      </c>
      <c r="BA885" s="172">
        <f t="shared" si="374"/>
        <v>1</v>
      </c>
      <c r="BB885" s="175">
        <f t="shared" si="375"/>
        <v>18</v>
      </c>
      <c r="BC885" s="176">
        <f t="shared" si="376"/>
        <v>17</v>
      </c>
      <c r="BD885" s="176">
        <f t="shared" si="377"/>
        <v>18</v>
      </c>
      <c r="BE885" s="240" t="str">
        <f t="shared" si="343"/>
        <v/>
      </c>
      <c r="BF885" s="990"/>
      <c r="BG885" s="990"/>
      <c r="BH885" s="991">
        <f>IF(AND(Input_Product=Elig!$C885,Elig_MatchAll_Ct&lt;22,$BC885=(Elig_MatchAll_Ct-1),AF885=0),C885,0)</f>
        <v>0</v>
      </c>
      <c r="BI885" s="991">
        <f>IF(AND(Input_Product=Elig!$C885,Elig_MatchAll_Ct&lt;22,$BC885=(Elig_MatchAll_Ct-1),AG885=0),D885,0)</f>
        <v>0</v>
      </c>
      <c r="BJ885" s="991">
        <f>IF(AND(Input_Product=Elig!$C885,Elig_MatchAll_Ct&lt;22,$BC885=(Elig_MatchAll_Ct-1),AH885=0),E885,0)</f>
        <v>0</v>
      </c>
      <c r="BK885" s="991">
        <f>IF(AND(Input_Product=Elig!$C885,Elig_MatchAll_Ct&lt;22,$BC885=(Elig_MatchAll_Ct-1),AI885=0),F885,0)</f>
        <v>0</v>
      </c>
      <c r="BL885" s="991">
        <f>IF(AND(Input_Product=Elig!$C885,Elig_MatchAll_Ct&lt;22,$BC885=(Elig_MatchAll_Ct-1),AJ885=0),G885,0)</f>
        <v>0</v>
      </c>
      <c r="BM885" s="991">
        <f>IF(AND(Input_Product=Elig!$C885,Elig_MatchAll_Ct&lt;22,$BC885=(Elig_MatchAll_Ct-1),AK885=0),H885,0)</f>
        <v>0</v>
      </c>
      <c r="BN885" s="991">
        <f>IF(AND(Input_Product=Elig!$C885,Elig_MatchAll_Ct&lt;22,$BC885=(Elig_MatchAll_Ct-1),AL885=0),I885,0)</f>
        <v>0</v>
      </c>
      <c r="BO885" s="991">
        <f>IF(AND(Input_Product=Elig!$C885,Elig_MatchAll_Ct&lt;22,$BC885=(Elig_MatchAll_Ct-1),AM885=0),J885,0)</f>
        <v>0</v>
      </c>
      <c r="BP885" s="991">
        <f>IF(AND(Input_Product=Elig!$C885,Elig_MatchAll_Ct&lt;22,$BC885=(Elig_MatchAll_Ct-1),AN885=0),K885,0)</f>
        <v>0</v>
      </c>
      <c r="BQ885" s="991">
        <f>IF(AND(Input_Product=Elig!$C885,Elig_MatchAll_Ct&lt;22,$BC885=(Elig_MatchAll_Ct-1),AP885=0),L885,0)</f>
        <v>0</v>
      </c>
      <c r="BR885" s="991">
        <f>IF(AND(Input_Product=Elig!$C885,Elig_MatchAll_Ct&lt;22,$BC885=(Elig_MatchAll_Ct-1),AO885=0),M885,0)</f>
        <v>0</v>
      </c>
      <c r="BS885" s="991">
        <f>IF(AND(Input_Product=Elig!$C885,Elig_MatchAll_Ct&lt;22,$BC885=(Elig_MatchAll_Ct-1),AQ885=0),N885,0)</f>
        <v>0</v>
      </c>
      <c r="BT885" s="991">
        <f>IF(AND(Input_Product=Elig!$C885,Elig_MatchAll_Ct&lt;22,$BC885=(Elig_MatchAll_Ct-1),AR885=0),O885,0)</f>
        <v>0</v>
      </c>
      <c r="BU885" s="991">
        <f>IF(AND(Input_Product=Elig!$C885,Elig_MatchAll_Ct&lt;22,$BC885=(Elig_MatchAll_Ct-1),AS885=0),P885,0)</f>
        <v>0</v>
      </c>
      <c r="BV885" s="992">
        <f>IF(AND(Input_Product=Elig!$C885,Elig_MatchAll_Ct&lt;22,$BC885=(Elig_MatchAll_Ct-1),AT885=0),Q885,0)</f>
        <v>0</v>
      </c>
      <c r="BW885" s="993">
        <f>IF(AND(Input_Product=Elig!$C885,Elig_MatchAll_Ct&lt;22,$BC885=(Elig_MatchAll_Ct-1),AU885=0),R885,0)</f>
        <v>0</v>
      </c>
      <c r="BX885" s="994">
        <f>IF(AND(Input_Product=Elig!$C885,Elig_MatchAll_Ct&lt;22,$BC885=(Elig_MatchAll_Ct-1),AU885=0),S885,0)</f>
        <v>0</v>
      </c>
      <c r="BY885" s="993">
        <f>IF(AND(Input_Product=Elig!$C885,Elig_MatchAll_Ct&lt;22,$BC885=(Elig_MatchAll_Ct-1),AV885=0),T885,0)</f>
        <v>0</v>
      </c>
      <c r="BZ885" s="994">
        <f>IF(AND(Input_Product=Elig!$C885,Elig_MatchAll_Ct&lt;22,$BC885=(Elig_MatchAll_Ct-1),AV885=0),U885,0)</f>
        <v>0</v>
      </c>
      <c r="CA885" s="993">
        <f>IF(AND(Input_Product=Elig!$C885,Elig_MatchAll_Ct&lt;22,$BC885=(Elig_MatchAll_Ct-1),AW885=0),V885,0)</f>
        <v>0</v>
      </c>
      <c r="CB885" s="994">
        <f>IF(AND(Input_Product=Elig!$C885,Elig_MatchAll_Ct&lt;22,$BC885=(Elig_MatchAll_Ct-1),AW885=0),W885,0)</f>
        <v>0</v>
      </c>
      <c r="CC885" s="993">
        <f>IF(AND(Input_Product=Elig!$C885,Elig_MatchAll_Ct&lt;22,$BC885=(Elig_MatchAll_Ct-1),AX885=0),X885,0)</f>
        <v>0</v>
      </c>
      <c r="CD885" s="994">
        <f>IF(AND(Input_Product=Elig!$C885,Elig_MatchAll_Ct&lt;22,$BC885=(Elig_MatchAll_Ct-1),AX885=0),Y885,0)</f>
        <v>0</v>
      </c>
      <c r="CE885" s="993">
        <f>IF(AND(Input_LTV&lt;=AE885,Input_Product=Elig!$C885,Elig_MatchAll_Ct&lt;22,$BC885=(Elig_MatchAll_Ct-1),AY885=0),Z885,0)</f>
        <v>0</v>
      </c>
      <c r="CF885" s="994">
        <f>IF(AND(Input_LTV&lt;=AE885,Input_Product=Elig!$C885,Elig_MatchAll_Ct&lt;22,$BC885=(Elig_MatchAll_Ct-1),AY885=0),AA885,0)</f>
        <v>0</v>
      </c>
      <c r="CG885" s="993">
        <f>IF(AND(Input_Product=Elig!$C885,Elig_MatchAll_Ct&lt;22,$BC885=(Elig_MatchAll_Ct-1),AZ885=0),AB885,0)</f>
        <v>0</v>
      </c>
      <c r="CH885" s="994">
        <f>IF(AND(Input_Product=Elig!$C885,Elig_MatchAll_Ct&lt;22,$BC885=(Elig_MatchAll_Ct-1),AZ885=0),AC885,0)</f>
        <v>0</v>
      </c>
      <c r="CI885" s="993">
        <f>IF(AND(Input_Product=Elig!$C885,Elig_MatchAll_Ct&lt;22,$BC885=(Elig_MatchAll_Ct-1),BA885=0),AD885,0)</f>
        <v>0</v>
      </c>
      <c r="CJ885" s="994">
        <f>IF(AND(Input_Product=Elig!$C885,Elig_MatchAll_Ct&lt;22,$BC885=(Elig_MatchAll_Ct-1),BA885=0),AE885,0)</f>
        <v>0</v>
      </c>
    </row>
    <row r="886" spans="2:88" ht="10.15" customHeight="1" x14ac:dyDescent="0.25">
      <c r="B886" s="1916" t="s">
        <v>2222</v>
      </c>
      <c r="C886" s="1203" t="str">
        <f t="shared" si="367"/>
        <v xml:space="preserve">  </v>
      </c>
      <c r="D886" s="1204" t="s">
        <v>2218</v>
      </c>
      <c r="E886" s="1204" t="s">
        <v>167</v>
      </c>
      <c r="F886" s="1204" t="s">
        <v>331</v>
      </c>
      <c r="G886" s="1205" t="s">
        <v>303</v>
      </c>
      <c r="H886" s="1205" t="s">
        <v>136</v>
      </c>
      <c r="I886" s="1204" t="s">
        <v>274</v>
      </c>
      <c r="J886" s="1204" t="s">
        <v>1311</v>
      </c>
      <c r="K886" s="1205" t="s">
        <v>3022</v>
      </c>
      <c r="L886" s="1204" t="s">
        <v>2768</v>
      </c>
      <c r="M886" s="1204" t="s">
        <v>2677</v>
      </c>
      <c r="N886" s="1205" t="s">
        <v>82</v>
      </c>
      <c r="O886" s="1204" t="s">
        <v>310</v>
      </c>
      <c r="P886" s="1204" t="s">
        <v>291</v>
      </c>
      <c r="Q886" s="1204" t="s">
        <v>294</v>
      </c>
      <c r="R886" s="1204">
        <v>1000000.01</v>
      </c>
      <c r="S886" s="1204">
        <v>1500000</v>
      </c>
      <c r="T886" s="1204">
        <v>0</v>
      </c>
      <c r="U886" s="1204">
        <v>0</v>
      </c>
      <c r="V886" s="1204">
        <v>0</v>
      </c>
      <c r="W886" s="1204">
        <v>50</v>
      </c>
      <c r="X886" s="1204">
        <v>0</v>
      </c>
      <c r="Y886" s="1204">
        <v>999</v>
      </c>
      <c r="Z886" s="1206">
        <v>720</v>
      </c>
      <c r="AA886" s="1206">
        <v>999</v>
      </c>
      <c r="AB886" s="1206">
        <v>6</v>
      </c>
      <c r="AC886" s="1206">
        <v>999999</v>
      </c>
      <c r="AD886" s="1204">
        <v>0</v>
      </c>
      <c r="AE886" s="1207">
        <v>85</v>
      </c>
      <c r="AF886" s="170">
        <v>0</v>
      </c>
      <c r="AG886" s="171">
        <v>1</v>
      </c>
      <c r="AH886" s="171">
        <v>1</v>
      </c>
      <c r="AI886" s="171">
        <v>1</v>
      </c>
      <c r="AJ886" s="171">
        <v>1</v>
      </c>
      <c r="AK886" s="171">
        <v>1</v>
      </c>
      <c r="AL886" s="171">
        <v>0</v>
      </c>
      <c r="AM886" s="171">
        <v>1</v>
      </c>
      <c r="AN886" s="171">
        <v>1</v>
      </c>
      <c r="AO886" s="171">
        <v>1</v>
      </c>
      <c r="AP886" s="171">
        <v>1</v>
      </c>
      <c r="AQ886" s="171">
        <v>1</v>
      </c>
      <c r="AR886" s="171">
        <v>1</v>
      </c>
      <c r="AS886" s="171">
        <v>1</v>
      </c>
      <c r="AT886" s="171">
        <v>1</v>
      </c>
      <c r="AU886" s="171">
        <f t="shared" si="368"/>
        <v>0</v>
      </c>
      <c r="AV886" s="171">
        <f t="shared" si="369"/>
        <v>0</v>
      </c>
      <c r="AW886" s="171">
        <f t="shared" si="370"/>
        <v>1</v>
      </c>
      <c r="AX886" s="171">
        <f t="shared" si="371"/>
        <v>1</v>
      </c>
      <c r="AY886" s="171">
        <f t="shared" si="372"/>
        <v>1</v>
      </c>
      <c r="AZ886" s="171">
        <f t="shared" si="373"/>
        <v>1</v>
      </c>
      <c r="BA886" s="172">
        <f t="shared" si="374"/>
        <v>1</v>
      </c>
      <c r="BB886" s="175">
        <f t="shared" si="375"/>
        <v>18</v>
      </c>
      <c r="BC886" s="176">
        <f t="shared" si="376"/>
        <v>17</v>
      </c>
      <c r="BD886" s="176">
        <f t="shared" si="377"/>
        <v>18</v>
      </c>
      <c r="BE886" s="240" t="str">
        <f t="shared" si="343"/>
        <v/>
      </c>
      <c r="BF886" s="990"/>
      <c r="BG886" s="990"/>
      <c r="BH886" s="991">
        <f>IF(AND(Input_Product=Elig!$C886,Elig_MatchAll_Ct&lt;22,$BC886=(Elig_MatchAll_Ct-1),AF886=0),C886,0)</f>
        <v>0</v>
      </c>
      <c r="BI886" s="991">
        <f>IF(AND(Input_Product=Elig!$C886,Elig_MatchAll_Ct&lt;22,$BC886=(Elig_MatchAll_Ct-1),AG886=0),D886,0)</f>
        <v>0</v>
      </c>
      <c r="BJ886" s="991">
        <f>IF(AND(Input_Product=Elig!$C886,Elig_MatchAll_Ct&lt;22,$BC886=(Elig_MatchAll_Ct-1),AH886=0),E886,0)</f>
        <v>0</v>
      </c>
      <c r="BK886" s="991">
        <f>IF(AND(Input_Product=Elig!$C886,Elig_MatchAll_Ct&lt;22,$BC886=(Elig_MatchAll_Ct-1),AI886=0),F886,0)</f>
        <v>0</v>
      </c>
      <c r="BL886" s="991">
        <f>IF(AND(Input_Product=Elig!$C886,Elig_MatchAll_Ct&lt;22,$BC886=(Elig_MatchAll_Ct-1),AJ886=0),G886,0)</f>
        <v>0</v>
      </c>
      <c r="BM886" s="991">
        <f>IF(AND(Input_Product=Elig!$C886,Elig_MatchAll_Ct&lt;22,$BC886=(Elig_MatchAll_Ct-1),AK886=0),H886,0)</f>
        <v>0</v>
      </c>
      <c r="BN886" s="991">
        <f>IF(AND(Input_Product=Elig!$C886,Elig_MatchAll_Ct&lt;22,$BC886=(Elig_MatchAll_Ct-1),AL886=0),I886,0)</f>
        <v>0</v>
      </c>
      <c r="BO886" s="991">
        <f>IF(AND(Input_Product=Elig!$C886,Elig_MatchAll_Ct&lt;22,$BC886=(Elig_MatchAll_Ct-1),AM886=0),J886,0)</f>
        <v>0</v>
      </c>
      <c r="BP886" s="991">
        <f>IF(AND(Input_Product=Elig!$C886,Elig_MatchAll_Ct&lt;22,$BC886=(Elig_MatchAll_Ct-1),AN886=0),K886,0)</f>
        <v>0</v>
      </c>
      <c r="BQ886" s="991">
        <f>IF(AND(Input_Product=Elig!$C886,Elig_MatchAll_Ct&lt;22,$BC886=(Elig_MatchAll_Ct-1),AP886=0),L886,0)</f>
        <v>0</v>
      </c>
      <c r="BR886" s="991">
        <f>IF(AND(Input_Product=Elig!$C886,Elig_MatchAll_Ct&lt;22,$BC886=(Elig_MatchAll_Ct-1),AO886=0),M886,0)</f>
        <v>0</v>
      </c>
      <c r="BS886" s="991">
        <f>IF(AND(Input_Product=Elig!$C886,Elig_MatchAll_Ct&lt;22,$BC886=(Elig_MatchAll_Ct-1),AQ886=0),N886,0)</f>
        <v>0</v>
      </c>
      <c r="BT886" s="991">
        <f>IF(AND(Input_Product=Elig!$C886,Elig_MatchAll_Ct&lt;22,$BC886=(Elig_MatchAll_Ct-1),AR886=0),O886,0)</f>
        <v>0</v>
      </c>
      <c r="BU886" s="991">
        <f>IF(AND(Input_Product=Elig!$C886,Elig_MatchAll_Ct&lt;22,$BC886=(Elig_MatchAll_Ct-1),AS886=0),P886,0)</f>
        <v>0</v>
      </c>
      <c r="BV886" s="992">
        <f>IF(AND(Input_Product=Elig!$C886,Elig_MatchAll_Ct&lt;22,$BC886=(Elig_MatchAll_Ct-1),AT886=0),Q886,0)</f>
        <v>0</v>
      </c>
      <c r="BW886" s="993">
        <f>IF(AND(Input_Product=Elig!$C886,Elig_MatchAll_Ct&lt;22,$BC886=(Elig_MatchAll_Ct-1),AU886=0),R886,0)</f>
        <v>0</v>
      </c>
      <c r="BX886" s="994">
        <f>IF(AND(Input_Product=Elig!$C886,Elig_MatchAll_Ct&lt;22,$BC886=(Elig_MatchAll_Ct-1),AU886=0),S886,0)</f>
        <v>0</v>
      </c>
      <c r="BY886" s="993">
        <f>IF(AND(Input_Product=Elig!$C886,Elig_MatchAll_Ct&lt;22,$BC886=(Elig_MatchAll_Ct-1),AV886=0),T886,0)</f>
        <v>0</v>
      </c>
      <c r="BZ886" s="994">
        <f>IF(AND(Input_Product=Elig!$C886,Elig_MatchAll_Ct&lt;22,$BC886=(Elig_MatchAll_Ct-1),AV886=0),U886,0)</f>
        <v>0</v>
      </c>
      <c r="CA886" s="993">
        <f>IF(AND(Input_Product=Elig!$C886,Elig_MatchAll_Ct&lt;22,$BC886=(Elig_MatchAll_Ct-1),AW886=0),V886,0)</f>
        <v>0</v>
      </c>
      <c r="CB886" s="994">
        <f>IF(AND(Input_Product=Elig!$C886,Elig_MatchAll_Ct&lt;22,$BC886=(Elig_MatchAll_Ct-1),AW886=0),W886,0)</f>
        <v>0</v>
      </c>
      <c r="CC886" s="993">
        <f>IF(AND(Input_Product=Elig!$C886,Elig_MatchAll_Ct&lt;22,$BC886=(Elig_MatchAll_Ct-1),AX886=0),X886,0)</f>
        <v>0</v>
      </c>
      <c r="CD886" s="994">
        <f>IF(AND(Input_Product=Elig!$C886,Elig_MatchAll_Ct&lt;22,$BC886=(Elig_MatchAll_Ct-1),AX886=0),Y886,0)</f>
        <v>0</v>
      </c>
      <c r="CE886" s="993">
        <f>IF(AND(Input_LTV&lt;=AE886,Input_Product=Elig!$C886,Elig_MatchAll_Ct&lt;22,$BC886=(Elig_MatchAll_Ct-1),AY886=0),Z886,0)</f>
        <v>0</v>
      </c>
      <c r="CF886" s="994">
        <f>IF(AND(Input_LTV&lt;=AE886,Input_Product=Elig!$C886,Elig_MatchAll_Ct&lt;22,$BC886=(Elig_MatchAll_Ct-1),AY886=0),AA886,0)</f>
        <v>0</v>
      </c>
      <c r="CG886" s="993">
        <f>IF(AND(Input_Product=Elig!$C886,Elig_MatchAll_Ct&lt;22,$BC886=(Elig_MatchAll_Ct-1),AZ886=0),AB886,0)</f>
        <v>0</v>
      </c>
      <c r="CH886" s="994">
        <f>IF(AND(Input_Product=Elig!$C886,Elig_MatchAll_Ct&lt;22,$BC886=(Elig_MatchAll_Ct-1),AZ886=0),AC886,0)</f>
        <v>0</v>
      </c>
      <c r="CI886" s="993">
        <f>IF(AND(Input_Product=Elig!$C886,Elig_MatchAll_Ct&lt;22,$BC886=(Elig_MatchAll_Ct-1),BA886=0),AD886,0)</f>
        <v>0</v>
      </c>
      <c r="CJ886" s="994">
        <f>IF(AND(Input_Product=Elig!$C886,Elig_MatchAll_Ct&lt;22,$BC886=(Elig_MatchAll_Ct-1),BA886=0),AE886,0)</f>
        <v>0</v>
      </c>
    </row>
    <row r="887" spans="2:88" ht="10.15" customHeight="1" x14ac:dyDescent="0.25">
      <c r="B887" s="1916" t="s">
        <v>2223</v>
      </c>
      <c r="C887" s="1208" t="str">
        <f t="shared" si="367"/>
        <v xml:space="preserve">  </v>
      </c>
      <c r="D887" s="1209" t="s">
        <v>2218</v>
      </c>
      <c r="E887" s="1209" t="s">
        <v>167</v>
      </c>
      <c r="F887" s="1209" t="s">
        <v>331</v>
      </c>
      <c r="G887" s="1210" t="s">
        <v>303</v>
      </c>
      <c r="H887" s="1210" t="s">
        <v>136</v>
      </c>
      <c r="I887" s="1209" t="s">
        <v>274</v>
      </c>
      <c r="J887" s="1209" t="s">
        <v>1311</v>
      </c>
      <c r="K887" s="1210" t="s">
        <v>3022</v>
      </c>
      <c r="L887" s="1209" t="s">
        <v>2768</v>
      </c>
      <c r="M887" s="1209" t="s">
        <v>2677</v>
      </c>
      <c r="N887" s="1210" t="s">
        <v>82</v>
      </c>
      <c r="O887" s="1209" t="s">
        <v>310</v>
      </c>
      <c r="P887" s="1209" t="s">
        <v>291</v>
      </c>
      <c r="Q887" s="1209" t="s">
        <v>294</v>
      </c>
      <c r="R887" s="1209">
        <v>1000000.01</v>
      </c>
      <c r="S887" s="1209">
        <v>1500000</v>
      </c>
      <c r="T887" s="1209">
        <v>0</v>
      </c>
      <c r="U887" s="1209">
        <v>0</v>
      </c>
      <c r="V887" s="1209">
        <v>0</v>
      </c>
      <c r="W887" s="1209">
        <v>50</v>
      </c>
      <c r="X887" s="1209">
        <v>0</v>
      </c>
      <c r="Y887" s="1209">
        <v>999</v>
      </c>
      <c r="Z887" s="1211">
        <v>700</v>
      </c>
      <c r="AA887" s="1211">
        <v>719</v>
      </c>
      <c r="AB887" s="1211">
        <v>6</v>
      </c>
      <c r="AC887" s="1211">
        <v>999999</v>
      </c>
      <c r="AD887" s="1209">
        <v>0</v>
      </c>
      <c r="AE887" s="1212">
        <v>80</v>
      </c>
      <c r="AF887" s="170">
        <v>0</v>
      </c>
      <c r="AG887" s="171">
        <v>1</v>
      </c>
      <c r="AH887" s="171">
        <v>1</v>
      </c>
      <c r="AI887" s="171">
        <v>1</v>
      </c>
      <c r="AJ887" s="171">
        <v>1</v>
      </c>
      <c r="AK887" s="171">
        <v>1</v>
      </c>
      <c r="AL887" s="171">
        <v>0</v>
      </c>
      <c r="AM887" s="171">
        <v>1</v>
      </c>
      <c r="AN887" s="171">
        <v>1</v>
      </c>
      <c r="AO887" s="171">
        <v>1</v>
      </c>
      <c r="AP887" s="171">
        <v>1</v>
      </c>
      <c r="AQ887" s="171">
        <v>1</v>
      </c>
      <c r="AR887" s="171">
        <v>1</v>
      </c>
      <c r="AS887" s="171">
        <v>1</v>
      </c>
      <c r="AT887" s="171">
        <v>1</v>
      </c>
      <c r="AU887" s="171">
        <f t="shared" si="368"/>
        <v>0</v>
      </c>
      <c r="AV887" s="171">
        <f t="shared" si="369"/>
        <v>0</v>
      </c>
      <c r="AW887" s="171">
        <f t="shared" si="370"/>
        <v>1</v>
      </c>
      <c r="AX887" s="171">
        <f t="shared" si="371"/>
        <v>1</v>
      </c>
      <c r="AY887" s="171">
        <f t="shared" si="372"/>
        <v>0</v>
      </c>
      <c r="AZ887" s="171">
        <f t="shared" si="373"/>
        <v>1</v>
      </c>
      <c r="BA887" s="172">
        <f t="shared" si="374"/>
        <v>1</v>
      </c>
      <c r="BB887" s="175">
        <f t="shared" si="375"/>
        <v>17</v>
      </c>
      <c r="BC887" s="176">
        <f t="shared" si="376"/>
        <v>16</v>
      </c>
      <c r="BD887" s="176">
        <f t="shared" si="377"/>
        <v>17</v>
      </c>
      <c r="BE887" s="240" t="str">
        <f t="shared" si="343"/>
        <v/>
      </c>
      <c r="BF887" s="990"/>
      <c r="BG887" s="990"/>
      <c r="BH887" s="991">
        <f>IF(AND(Input_Product=Elig!$C887,Elig_MatchAll_Ct&lt;22,$BC887=(Elig_MatchAll_Ct-1),AF887=0),C887,0)</f>
        <v>0</v>
      </c>
      <c r="BI887" s="991">
        <f>IF(AND(Input_Product=Elig!$C887,Elig_MatchAll_Ct&lt;22,$BC887=(Elig_MatchAll_Ct-1),AG887=0),D887,0)</f>
        <v>0</v>
      </c>
      <c r="BJ887" s="991">
        <f>IF(AND(Input_Product=Elig!$C887,Elig_MatchAll_Ct&lt;22,$BC887=(Elig_MatchAll_Ct-1),AH887=0),E887,0)</f>
        <v>0</v>
      </c>
      <c r="BK887" s="991">
        <f>IF(AND(Input_Product=Elig!$C887,Elig_MatchAll_Ct&lt;22,$BC887=(Elig_MatchAll_Ct-1),AI887=0),F887,0)</f>
        <v>0</v>
      </c>
      <c r="BL887" s="991">
        <f>IF(AND(Input_Product=Elig!$C887,Elig_MatchAll_Ct&lt;22,$BC887=(Elig_MatchAll_Ct-1),AJ887=0),G887,0)</f>
        <v>0</v>
      </c>
      <c r="BM887" s="991">
        <f>IF(AND(Input_Product=Elig!$C887,Elig_MatchAll_Ct&lt;22,$BC887=(Elig_MatchAll_Ct-1),AK887=0),H887,0)</f>
        <v>0</v>
      </c>
      <c r="BN887" s="991">
        <f>IF(AND(Input_Product=Elig!$C887,Elig_MatchAll_Ct&lt;22,$BC887=(Elig_MatchAll_Ct-1),AL887=0),I887,0)</f>
        <v>0</v>
      </c>
      <c r="BO887" s="991">
        <f>IF(AND(Input_Product=Elig!$C887,Elig_MatchAll_Ct&lt;22,$BC887=(Elig_MatchAll_Ct-1),AM887=0),J887,0)</f>
        <v>0</v>
      </c>
      <c r="BP887" s="991">
        <f>IF(AND(Input_Product=Elig!$C887,Elig_MatchAll_Ct&lt;22,$BC887=(Elig_MatchAll_Ct-1),AN887=0),K887,0)</f>
        <v>0</v>
      </c>
      <c r="BQ887" s="991">
        <f>IF(AND(Input_Product=Elig!$C887,Elig_MatchAll_Ct&lt;22,$BC887=(Elig_MatchAll_Ct-1),AP887=0),L887,0)</f>
        <v>0</v>
      </c>
      <c r="BR887" s="991">
        <f>IF(AND(Input_Product=Elig!$C887,Elig_MatchAll_Ct&lt;22,$BC887=(Elig_MatchAll_Ct-1),AO887=0),M887,0)</f>
        <v>0</v>
      </c>
      <c r="BS887" s="991">
        <f>IF(AND(Input_Product=Elig!$C887,Elig_MatchAll_Ct&lt;22,$BC887=(Elig_MatchAll_Ct-1),AQ887=0),N887,0)</f>
        <v>0</v>
      </c>
      <c r="BT887" s="991">
        <f>IF(AND(Input_Product=Elig!$C887,Elig_MatchAll_Ct&lt;22,$BC887=(Elig_MatchAll_Ct-1),AR887=0),O887,0)</f>
        <v>0</v>
      </c>
      <c r="BU887" s="991">
        <f>IF(AND(Input_Product=Elig!$C887,Elig_MatchAll_Ct&lt;22,$BC887=(Elig_MatchAll_Ct-1),AS887=0),P887,0)</f>
        <v>0</v>
      </c>
      <c r="BV887" s="992">
        <f>IF(AND(Input_Product=Elig!$C887,Elig_MatchAll_Ct&lt;22,$BC887=(Elig_MatchAll_Ct-1),AT887=0),Q887,0)</f>
        <v>0</v>
      </c>
      <c r="BW887" s="993">
        <f>IF(AND(Input_Product=Elig!$C887,Elig_MatchAll_Ct&lt;22,$BC887=(Elig_MatchAll_Ct-1),AU887=0),R887,0)</f>
        <v>0</v>
      </c>
      <c r="BX887" s="994">
        <f>IF(AND(Input_Product=Elig!$C887,Elig_MatchAll_Ct&lt;22,$BC887=(Elig_MatchAll_Ct-1),AU887=0),S887,0)</f>
        <v>0</v>
      </c>
      <c r="BY887" s="993">
        <f>IF(AND(Input_Product=Elig!$C887,Elig_MatchAll_Ct&lt;22,$BC887=(Elig_MatchAll_Ct-1),AV887=0),T887,0)</f>
        <v>0</v>
      </c>
      <c r="BZ887" s="994">
        <f>IF(AND(Input_Product=Elig!$C887,Elig_MatchAll_Ct&lt;22,$BC887=(Elig_MatchAll_Ct-1),AV887=0),U887,0)</f>
        <v>0</v>
      </c>
      <c r="CA887" s="993">
        <f>IF(AND(Input_Product=Elig!$C887,Elig_MatchAll_Ct&lt;22,$BC887=(Elig_MatchAll_Ct-1),AW887=0),V887,0)</f>
        <v>0</v>
      </c>
      <c r="CB887" s="994">
        <f>IF(AND(Input_Product=Elig!$C887,Elig_MatchAll_Ct&lt;22,$BC887=(Elig_MatchAll_Ct-1),AW887=0),W887,0)</f>
        <v>0</v>
      </c>
      <c r="CC887" s="993">
        <f>IF(AND(Input_Product=Elig!$C887,Elig_MatchAll_Ct&lt;22,$BC887=(Elig_MatchAll_Ct-1),AX887=0),X887,0)</f>
        <v>0</v>
      </c>
      <c r="CD887" s="994">
        <f>IF(AND(Input_Product=Elig!$C887,Elig_MatchAll_Ct&lt;22,$BC887=(Elig_MatchAll_Ct-1),AX887=0),Y887,0)</f>
        <v>0</v>
      </c>
      <c r="CE887" s="993">
        <f>IF(AND(Input_LTV&lt;=AE887,Input_Product=Elig!$C887,Elig_MatchAll_Ct&lt;22,$BC887=(Elig_MatchAll_Ct-1),AY887=0),Z887,0)</f>
        <v>0</v>
      </c>
      <c r="CF887" s="994">
        <f>IF(AND(Input_LTV&lt;=AE887,Input_Product=Elig!$C887,Elig_MatchAll_Ct&lt;22,$BC887=(Elig_MatchAll_Ct-1),AY887=0),AA887,0)</f>
        <v>0</v>
      </c>
      <c r="CG887" s="993">
        <f>IF(AND(Input_Product=Elig!$C887,Elig_MatchAll_Ct&lt;22,$BC887=(Elig_MatchAll_Ct-1),AZ887=0),AB887,0)</f>
        <v>0</v>
      </c>
      <c r="CH887" s="994">
        <f>IF(AND(Input_Product=Elig!$C887,Elig_MatchAll_Ct&lt;22,$BC887=(Elig_MatchAll_Ct-1),AZ887=0),AC887,0)</f>
        <v>0</v>
      </c>
      <c r="CI887" s="993">
        <f>IF(AND(Input_Product=Elig!$C887,Elig_MatchAll_Ct&lt;22,$BC887=(Elig_MatchAll_Ct-1),BA887=0),AD887,0)</f>
        <v>0</v>
      </c>
      <c r="CJ887" s="994">
        <f>IF(AND(Input_Product=Elig!$C887,Elig_MatchAll_Ct&lt;22,$BC887=(Elig_MatchAll_Ct-1),BA887=0),AE887,0)</f>
        <v>0</v>
      </c>
    </row>
    <row r="888" spans="2:88" ht="10.15" customHeight="1" x14ac:dyDescent="0.25">
      <c r="B888" s="1916" t="s">
        <v>2224</v>
      </c>
      <c r="C888" s="1208" t="str">
        <f t="shared" si="367"/>
        <v xml:space="preserve">  </v>
      </c>
      <c r="D888" s="1209" t="s">
        <v>2218</v>
      </c>
      <c r="E888" s="1209" t="s">
        <v>167</v>
      </c>
      <c r="F888" s="1209" t="s">
        <v>331</v>
      </c>
      <c r="G888" s="1210" t="s">
        <v>303</v>
      </c>
      <c r="H888" s="1210" t="s">
        <v>136</v>
      </c>
      <c r="I888" s="1209" t="s">
        <v>274</v>
      </c>
      <c r="J888" s="1209" t="s">
        <v>1311</v>
      </c>
      <c r="K888" s="1210" t="s">
        <v>3022</v>
      </c>
      <c r="L888" s="1209" t="s">
        <v>2768</v>
      </c>
      <c r="M888" s="1209" t="s">
        <v>2677</v>
      </c>
      <c r="N888" s="1210" t="s">
        <v>82</v>
      </c>
      <c r="O888" s="1209" t="s">
        <v>310</v>
      </c>
      <c r="P888" s="1209" t="s">
        <v>291</v>
      </c>
      <c r="Q888" s="1209" t="s">
        <v>294</v>
      </c>
      <c r="R888" s="1209">
        <v>1000000.01</v>
      </c>
      <c r="S888" s="1209">
        <v>1500000</v>
      </c>
      <c r="T888" s="1209">
        <v>0</v>
      </c>
      <c r="U888" s="1209">
        <v>0</v>
      </c>
      <c r="V888" s="1209">
        <v>0</v>
      </c>
      <c r="W888" s="1209">
        <v>50</v>
      </c>
      <c r="X888" s="1209">
        <v>0</v>
      </c>
      <c r="Y888" s="1209">
        <v>999</v>
      </c>
      <c r="Z888" s="1211">
        <v>680</v>
      </c>
      <c r="AA888" s="1211">
        <v>699</v>
      </c>
      <c r="AB888" s="1211">
        <v>6</v>
      </c>
      <c r="AC888" s="1211">
        <v>999999</v>
      </c>
      <c r="AD888" s="1209">
        <v>0</v>
      </c>
      <c r="AE888" s="1212">
        <v>80</v>
      </c>
      <c r="AF888" s="170">
        <v>0</v>
      </c>
      <c r="AG888" s="171">
        <v>1</v>
      </c>
      <c r="AH888" s="171">
        <v>1</v>
      </c>
      <c r="AI888" s="171">
        <v>1</v>
      </c>
      <c r="AJ888" s="171">
        <v>1</v>
      </c>
      <c r="AK888" s="171">
        <v>1</v>
      </c>
      <c r="AL888" s="171">
        <v>0</v>
      </c>
      <c r="AM888" s="171">
        <v>1</v>
      </c>
      <c r="AN888" s="171">
        <v>1</v>
      </c>
      <c r="AO888" s="171">
        <v>1</v>
      </c>
      <c r="AP888" s="171">
        <v>1</v>
      </c>
      <c r="AQ888" s="171">
        <v>1</v>
      </c>
      <c r="AR888" s="171">
        <v>1</v>
      </c>
      <c r="AS888" s="171">
        <v>1</v>
      </c>
      <c r="AT888" s="171">
        <v>1</v>
      </c>
      <c r="AU888" s="171">
        <f t="shared" si="368"/>
        <v>0</v>
      </c>
      <c r="AV888" s="171">
        <f t="shared" si="369"/>
        <v>0</v>
      </c>
      <c r="AW888" s="171">
        <f t="shared" si="370"/>
        <v>1</v>
      </c>
      <c r="AX888" s="171">
        <f t="shared" si="371"/>
        <v>1</v>
      </c>
      <c r="AY888" s="171">
        <f t="shared" si="372"/>
        <v>0</v>
      </c>
      <c r="AZ888" s="171">
        <f t="shared" si="373"/>
        <v>1</v>
      </c>
      <c r="BA888" s="172">
        <f t="shared" si="374"/>
        <v>1</v>
      </c>
      <c r="BB888" s="175">
        <f t="shared" si="375"/>
        <v>17</v>
      </c>
      <c r="BC888" s="176">
        <f t="shared" si="376"/>
        <v>16</v>
      </c>
      <c r="BD888" s="176">
        <f t="shared" si="377"/>
        <v>17</v>
      </c>
      <c r="BE888" s="240" t="str">
        <f t="shared" si="343"/>
        <v/>
      </c>
      <c r="BF888" s="990"/>
      <c r="BG888" s="990"/>
      <c r="BH888" s="991">
        <f>IF(AND(Input_Product=Elig!$C888,Elig_MatchAll_Ct&lt;22,$BC888=(Elig_MatchAll_Ct-1),AF888=0),C888,0)</f>
        <v>0</v>
      </c>
      <c r="BI888" s="991">
        <f>IF(AND(Input_Product=Elig!$C888,Elig_MatchAll_Ct&lt;22,$BC888=(Elig_MatchAll_Ct-1),AG888=0),D888,0)</f>
        <v>0</v>
      </c>
      <c r="BJ888" s="991">
        <f>IF(AND(Input_Product=Elig!$C888,Elig_MatchAll_Ct&lt;22,$BC888=(Elig_MatchAll_Ct-1),AH888=0),E888,0)</f>
        <v>0</v>
      </c>
      <c r="BK888" s="991">
        <f>IF(AND(Input_Product=Elig!$C888,Elig_MatchAll_Ct&lt;22,$BC888=(Elig_MatchAll_Ct-1),AI888=0),F888,0)</f>
        <v>0</v>
      </c>
      <c r="BL888" s="991">
        <f>IF(AND(Input_Product=Elig!$C888,Elig_MatchAll_Ct&lt;22,$BC888=(Elig_MatchAll_Ct-1),AJ888=0),G888,0)</f>
        <v>0</v>
      </c>
      <c r="BM888" s="991">
        <f>IF(AND(Input_Product=Elig!$C888,Elig_MatchAll_Ct&lt;22,$BC888=(Elig_MatchAll_Ct-1),AK888=0),H888,0)</f>
        <v>0</v>
      </c>
      <c r="BN888" s="991">
        <f>IF(AND(Input_Product=Elig!$C888,Elig_MatchAll_Ct&lt;22,$BC888=(Elig_MatchAll_Ct-1),AL888=0),I888,0)</f>
        <v>0</v>
      </c>
      <c r="BO888" s="991">
        <f>IF(AND(Input_Product=Elig!$C888,Elig_MatchAll_Ct&lt;22,$BC888=(Elig_MatchAll_Ct-1),AM888=0),J888,0)</f>
        <v>0</v>
      </c>
      <c r="BP888" s="991">
        <f>IF(AND(Input_Product=Elig!$C888,Elig_MatchAll_Ct&lt;22,$BC888=(Elig_MatchAll_Ct-1),AN888=0),K888,0)</f>
        <v>0</v>
      </c>
      <c r="BQ888" s="991">
        <f>IF(AND(Input_Product=Elig!$C888,Elig_MatchAll_Ct&lt;22,$BC888=(Elig_MatchAll_Ct-1),AP888=0),L888,0)</f>
        <v>0</v>
      </c>
      <c r="BR888" s="991">
        <f>IF(AND(Input_Product=Elig!$C888,Elig_MatchAll_Ct&lt;22,$BC888=(Elig_MatchAll_Ct-1),AO888=0),M888,0)</f>
        <v>0</v>
      </c>
      <c r="BS888" s="991">
        <f>IF(AND(Input_Product=Elig!$C888,Elig_MatchAll_Ct&lt;22,$BC888=(Elig_MatchAll_Ct-1),AQ888=0),N888,0)</f>
        <v>0</v>
      </c>
      <c r="BT888" s="991">
        <f>IF(AND(Input_Product=Elig!$C888,Elig_MatchAll_Ct&lt;22,$BC888=(Elig_MatchAll_Ct-1),AR888=0),O888,0)</f>
        <v>0</v>
      </c>
      <c r="BU888" s="991">
        <f>IF(AND(Input_Product=Elig!$C888,Elig_MatchAll_Ct&lt;22,$BC888=(Elig_MatchAll_Ct-1),AS888=0),P888,0)</f>
        <v>0</v>
      </c>
      <c r="BV888" s="992">
        <f>IF(AND(Input_Product=Elig!$C888,Elig_MatchAll_Ct&lt;22,$BC888=(Elig_MatchAll_Ct-1),AT888=0),Q888,0)</f>
        <v>0</v>
      </c>
      <c r="BW888" s="993">
        <f>IF(AND(Input_Product=Elig!$C888,Elig_MatchAll_Ct&lt;22,$BC888=(Elig_MatchAll_Ct-1),AU888=0),R888,0)</f>
        <v>0</v>
      </c>
      <c r="BX888" s="994">
        <f>IF(AND(Input_Product=Elig!$C888,Elig_MatchAll_Ct&lt;22,$BC888=(Elig_MatchAll_Ct-1),AU888=0),S888,0)</f>
        <v>0</v>
      </c>
      <c r="BY888" s="993">
        <f>IF(AND(Input_Product=Elig!$C888,Elig_MatchAll_Ct&lt;22,$BC888=(Elig_MatchAll_Ct-1),AV888=0),T888,0)</f>
        <v>0</v>
      </c>
      <c r="BZ888" s="994">
        <f>IF(AND(Input_Product=Elig!$C888,Elig_MatchAll_Ct&lt;22,$BC888=(Elig_MatchAll_Ct-1),AV888=0),U888,0)</f>
        <v>0</v>
      </c>
      <c r="CA888" s="993">
        <f>IF(AND(Input_Product=Elig!$C888,Elig_MatchAll_Ct&lt;22,$BC888=(Elig_MatchAll_Ct-1),AW888=0),V888,0)</f>
        <v>0</v>
      </c>
      <c r="CB888" s="994">
        <f>IF(AND(Input_Product=Elig!$C888,Elig_MatchAll_Ct&lt;22,$BC888=(Elig_MatchAll_Ct-1),AW888=0),W888,0)</f>
        <v>0</v>
      </c>
      <c r="CC888" s="993">
        <f>IF(AND(Input_Product=Elig!$C888,Elig_MatchAll_Ct&lt;22,$BC888=(Elig_MatchAll_Ct-1),AX888=0),X888,0)</f>
        <v>0</v>
      </c>
      <c r="CD888" s="994">
        <f>IF(AND(Input_Product=Elig!$C888,Elig_MatchAll_Ct&lt;22,$BC888=(Elig_MatchAll_Ct-1),AX888=0),Y888,0)</f>
        <v>0</v>
      </c>
      <c r="CE888" s="993">
        <f>IF(AND(Input_LTV&lt;=AE888,Input_Product=Elig!$C888,Elig_MatchAll_Ct&lt;22,$BC888=(Elig_MatchAll_Ct-1),AY888=0),Z888,0)</f>
        <v>0</v>
      </c>
      <c r="CF888" s="994">
        <f>IF(AND(Input_LTV&lt;=AE888,Input_Product=Elig!$C888,Elig_MatchAll_Ct&lt;22,$BC888=(Elig_MatchAll_Ct-1),AY888=0),AA888,0)</f>
        <v>0</v>
      </c>
      <c r="CG888" s="993">
        <f>IF(AND(Input_Product=Elig!$C888,Elig_MatchAll_Ct&lt;22,$BC888=(Elig_MatchAll_Ct-1),AZ888=0),AB888,0)</f>
        <v>0</v>
      </c>
      <c r="CH888" s="994">
        <f>IF(AND(Input_Product=Elig!$C888,Elig_MatchAll_Ct&lt;22,$BC888=(Elig_MatchAll_Ct-1),AZ888=0),AC888,0)</f>
        <v>0</v>
      </c>
      <c r="CI888" s="993">
        <f>IF(AND(Input_Product=Elig!$C888,Elig_MatchAll_Ct&lt;22,$BC888=(Elig_MatchAll_Ct-1),BA888=0),AD888,0)</f>
        <v>0</v>
      </c>
      <c r="CJ888" s="994">
        <f>IF(AND(Input_Product=Elig!$C888,Elig_MatchAll_Ct&lt;22,$BC888=(Elig_MatchAll_Ct-1),BA888=0),AE888,0)</f>
        <v>0</v>
      </c>
    </row>
    <row r="889" spans="2:88" ht="10.15" customHeight="1" x14ac:dyDescent="0.25">
      <c r="B889" s="1916" t="s">
        <v>2225</v>
      </c>
      <c r="C889" s="1213" t="str">
        <f t="shared" si="367"/>
        <v xml:space="preserve">  </v>
      </c>
      <c r="D889" s="1214" t="s">
        <v>2218</v>
      </c>
      <c r="E889" s="1214" t="s">
        <v>167</v>
      </c>
      <c r="F889" s="1214" t="s">
        <v>331</v>
      </c>
      <c r="G889" s="1215" t="s">
        <v>303</v>
      </c>
      <c r="H889" s="1215" t="s">
        <v>136</v>
      </c>
      <c r="I889" s="1214" t="s">
        <v>274</v>
      </c>
      <c r="J889" s="1214" t="s">
        <v>1311</v>
      </c>
      <c r="K889" s="1215" t="s">
        <v>3022</v>
      </c>
      <c r="L889" s="1214" t="s">
        <v>2768</v>
      </c>
      <c r="M889" s="1214" t="s">
        <v>2677</v>
      </c>
      <c r="N889" s="1215" t="s">
        <v>82</v>
      </c>
      <c r="O889" s="1214" t="s">
        <v>310</v>
      </c>
      <c r="P889" s="1214" t="s">
        <v>291</v>
      </c>
      <c r="Q889" s="1214" t="s">
        <v>294</v>
      </c>
      <c r="R889" s="1214">
        <v>1000000.01</v>
      </c>
      <c r="S889" s="1214">
        <v>1500000</v>
      </c>
      <c r="T889" s="1214">
        <v>0</v>
      </c>
      <c r="U889" s="1214">
        <v>0</v>
      </c>
      <c r="V889" s="1214">
        <v>0</v>
      </c>
      <c r="W889" s="1214">
        <v>50</v>
      </c>
      <c r="X889" s="1214">
        <v>0</v>
      </c>
      <c r="Y889" s="1214">
        <v>999</v>
      </c>
      <c r="Z889" s="1216">
        <v>660</v>
      </c>
      <c r="AA889" s="1216">
        <v>679</v>
      </c>
      <c r="AB889" s="1216">
        <v>6</v>
      </c>
      <c r="AC889" s="1216">
        <v>999999</v>
      </c>
      <c r="AD889" s="1214">
        <v>0</v>
      </c>
      <c r="AE889" s="1217">
        <v>70</v>
      </c>
      <c r="AF889" s="170">
        <v>0</v>
      </c>
      <c r="AG889" s="171">
        <v>1</v>
      </c>
      <c r="AH889" s="171">
        <v>1</v>
      </c>
      <c r="AI889" s="171">
        <v>1</v>
      </c>
      <c r="AJ889" s="171">
        <v>1</v>
      </c>
      <c r="AK889" s="171">
        <v>1</v>
      </c>
      <c r="AL889" s="171">
        <v>0</v>
      </c>
      <c r="AM889" s="171">
        <v>1</v>
      </c>
      <c r="AN889" s="171">
        <v>1</v>
      </c>
      <c r="AO889" s="171">
        <v>1</v>
      </c>
      <c r="AP889" s="171">
        <v>1</v>
      </c>
      <c r="AQ889" s="171">
        <v>1</v>
      </c>
      <c r="AR889" s="171">
        <v>1</v>
      </c>
      <c r="AS889" s="171">
        <v>1</v>
      </c>
      <c r="AT889" s="171">
        <v>1</v>
      </c>
      <c r="AU889" s="171">
        <f t="shared" si="368"/>
        <v>0</v>
      </c>
      <c r="AV889" s="171">
        <f t="shared" si="369"/>
        <v>0</v>
      </c>
      <c r="AW889" s="171">
        <f t="shared" si="370"/>
        <v>1</v>
      </c>
      <c r="AX889" s="171">
        <f t="shared" si="371"/>
        <v>1</v>
      </c>
      <c r="AY889" s="171">
        <f t="shared" si="372"/>
        <v>0</v>
      </c>
      <c r="AZ889" s="171">
        <f t="shared" si="373"/>
        <v>1</v>
      </c>
      <c r="BA889" s="172">
        <f t="shared" si="374"/>
        <v>1</v>
      </c>
      <c r="BB889" s="175">
        <f t="shared" si="375"/>
        <v>17</v>
      </c>
      <c r="BC889" s="176">
        <f t="shared" si="376"/>
        <v>16</v>
      </c>
      <c r="BD889" s="176">
        <f t="shared" si="377"/>
        <v>17</v>
      </c>
      <c r="BE889" s="240" t="str">
        <f t="shared" si="343"/>
        <v/>
      </c>
      <c r="BF889" s="990"/>
      <c r="BG889" s="990"/>
      <c r="BH889" s="991">
        <f>IF(AND(Input_Product=Elig!$C889,Elig_MatchAll_Ct&lt;22,$BC889=(Elig_MatchAll_Ct-1),AF889=0),C889,0)</f>
        <v>0</v>
      </c>
      <c r="BI889" s="991">
        <f>IF(AND(Input_Product=Elig!$C889,Elig_MatchAll_Ct&lt;22,$BC889=(Elig_MatchAll_Ct-1),AG889=0),D889,0)</f>
        <v>0</v>
      </c>
      <c r="BJ889" s="991">
        <f>IF(AND(Input_Product=Elig!$C889,Elig_MatchAll_Ct&lt;22,$BC889=(Elig_MatchAll_Ct-1),AH889=0),E889,0)</f>
        <v>0</v>
      </c>
      <c r="BK889" s="991">
        <f>IF(AND(Input_Product=Elig!$C889,Elig_MatchAll_Ct&lt;22,$BC889=(Elig_MatchAll_Ct-1),AI889=0),F889,0)</f>
        <v>0</v>
      </c>
      <c r="BL889" s="991">
        <f>IF(AND(Input_Product=Elig!$C889,Elig_MatchAll_Ct&lt;22,$BC889=(Elig_MatchAll_Ct-1),AJ889=0),G889,0)</f>
        <v>0</v>
      </c>
      <c r="BM889" s="991">
        <f>IF(AND(Input_Product=Elig!$C889,Elig_MatchAll_Ct&lt;22,$BC889=(Elig_MatchAll_Ct-1),AK889=0),H889,0)</f>
        <v>0</v>
      </c>
      <c r="BN889" s="991">
        <f>IF(AND(Input_Product=Elig!$C889,Elig_MatchAll_Ct&lt;22,$BC889=(Elig_MatchAll_Ct-1),AL889=0),I889,0)</f>
        <v>0</v>
      </c>
      <c r="BO889" s="991">
        <f>IF(AND(Input_Product=Elig!$C889,Elig_MatchAll_Ct&lt;22,$BC889=(Elig_MatchAll_Ct-1),AM889=0),J889,0)</f>
        <v>0</v>
      </c>
      <c r="BP889" s="991">
        <f>IF(AND(Input_Product=Elig!$C889,Elig_MatchAll_Ct&lt;22,$BC889=(Elig_MatchAll_Ct-1),AN889=0),K889,0)</f>
        <v>0</v>
      </c>
      <c r="BQ889" s="991">
        <f>IF(AND(Input_Product=Elig!$C889,Elig_MatchAll_Ct&lt;22,$BC889=(Elig_MatchAll_Ct-1),AP889=0),L889,0)</f>
        <v>0</v>
      </c>
      <c r="BR889" s="991">
        <f>IF(AND(Input_Product=Elig!$C889,Elig_MatchAll_Ct&lt;22,$BC889=(Elig_MatchAll_Ct-1),AO889=0),M889,0)</f>
        <v>0</v>
      </c>
      <c r="BS889" s="991">
        <f>IF(AND(Input_Product=Elig!$C889,Elig_MatchAll_Ct&lt;22,$BC889=(Elig_MatchAll_Ct-1),AQ889=0),N889,0)</f>
        <v>0</v>
      </c>
      <c r="BT889" s="991">
        <f>IF(AND(Input_Product=Elig!$C889,Elig_MatchAll_Ct&lt;22,$BC889=(Elig_MatchAll_Ct-1),AR889=0),O889,0)</f>
        <v>0</v>
      </c>
      <c r="BU889" s="991">
        <f>IF(AND(Input_Product=Elig!$C889,Elig_MatchAll_Ct&lt;22,$BC889=(Elig_MatchAll_Ct-1),AS889=0),P889,0)</f>
        <v>0</v>
      </c>
      <c r="BV889" s="992">
        <f>IF(AND(Input_Product=Elig!$C889,Elig_MatchAll_Ct&lt;22,$BC889=(Elig_MatchAll_Ct-1),AT889=0),Q889,0)</f>
        <v>0</v>
      </c>
      <c r="BW889" s="993">
        <f>IF(AND(Input_Product=Elig!$C889,Elig_MatchAll_Ct&lt;22,$BC889=(Elig_MatchAll_Ct-1),AU889=0),R889,0)</f>
        <v>0</v>
      </c>
      <c r="BX889" s="994">
        <f>IF(AND(Input_Product=Elig!$C889,Elig_MatchAll_Ct&lt;22,$BC889=(Elig_MatchAll_Ct-1),AU889=0),S889,0)</f>
        <v>0</v>
      </c>
      <c r="BY889" s="993">
        <f>IF(AND(Input_Product=Elig!$C889,Elig_MatchAll_Ct&lt;22,$BC889=(Elig_MatchAll_Ct-1),AV889=0),T889,0)</f>
        <v>0</v>
      </c>
      <c r="BZ889" s="994">
        <f>IF(AND(Input_Product=Elig!$C889,Elig_MatchAll_Ct&lt;22,$BC889=(Elig_MatchAll_Ct-1),AV889=0),U889,0)</f>
        <v>0</v>
      </c>
      <c r="CA889" s="993">
        <f>IF(AND(Input_Product=Elig!$C889,Elig_MatchAll_Ct&lt;22,$BC889=(Elig_MatchAll_Ct-1),AW889=0),V889,0)</f>
        <v>0</v>
      </c>
      <c r="CB889" s="994">
        <f>IF(AND(Input_Product=Elig!$C889,Elig_MatchAll_Ct&lt;22,$BC889=(Elig_MatchAll_Ct-1),AW889=0),W889,0)</f>
        <v>0</v>
      </c>
      <c r="CC889" s="993">
        <f>IF(AND(Input_Product=Elig!$C889,Elig_MatchAll_Ct&lt;22,$BC889=(Elig_MatchAll_Ct-1),AX889=0),X889,0)</f>
        <v>0</v>
      </c>
      <c r="CD889" s="994">
        <f>IF(AND(Input_Product=Elig!$C889,Elig_MatchAll_Ct&lt;22,$BC889=(Elig_MatchAll_Ct-1),AX889=0),Y889,0)</f>
        <v>0</v>
      </c>
      <c r="CE889" s="993">
        <f>IF(AND(Input_LTV&lt;=AE889,Input_Product=Elig!$C889,Elig_MatchAll_Ct&lt;22,$BC889=(Elig_MatchAll_Ct-1),AY889=0),Z889,0)</f>
        <v>0</v>
      </c>
      <c r="CF889" s="994">
        <f>IF(AND(Input_LTV&lt;=AE889,Input_Product=Elig!$C889,Elig_MatchAll_Ct&lt;22,$BC889=(Elig_MatchAll_Ct-1),AY889=0),AA889,0)</f>
        <v>0</v>
      </c>
      <c r="CG889" s="993">
        <f>IF(AND(Input_Product=Elig!$C889,Elig_MatchAll_Ct&lt;22,$BC889=(Elig_MatchAll_Ct-1),AZ889=0),AB889,0)</f>
        <v>0</v>
      </c>
      <c r="CH889" s="994">
        <f>IF(AND(Input_Product=Elig!$C889,Elig_MatchAll_Ct&lt;22,$BC889=(Elig_MatchAll_Ct-1),AZ889=0),AC889,0)</f>
        <v>0</v>
      </c>
      <c r="CI889" s="993">
        <f>IF(AND(Input_Product=Elig!$C889,Elig_MatchAll_Ct&lt;22,$BC889=(Elig_MatchAll_Ct-1),BA889=0),AD889,0)</f>
        <v>0</v>
      </c>
      <c r="CJ889" s="994">
        <f>IF(AND(Input_Product=Elig!$C889,Elig_MatchAll_Ct&lt;22,$BC889=(Elig_MatchAll_Ct-1),BA889=0),AE889,0)</f>
        <v>0</v>
      </c>
    </row>
    <row r="890" spans="2:88" ht="10.15" customHeight="1" x14ac:dyDescent="0.25">
      <c r="B890" s="1916" t="s">
        <v>2226</v>
      </c>
      <c r="C890" s="1203" t="str">
        <f t="shared" si="367"/>
        <v xml:space="preserve">  </v>
      </c>
      <c r="D890" s="1204" t="s">
        <v>2218</v>
      </c>
      <c r="E890" s="1204" t="s">
        <v>167</v>
      </c>
      <c r="F890" s="1204" t="s">
        <v>331</v>
      </c>
      <c r="G890" s="1205" t="s">
        <v>303</v>
      </c>
      <c r="H890" s="1205" t="s">
        <v>136</v>
      </c>
      <c r="I890" s="1204" t="s">
        <v>274</v>
      </c>
      <c r="J890" s="1204" t="s">
        <v>1311</v>
      </c>
      <c r="K890" s="1205" t="s">
        <v>3022</v>
      </c>
      <c r="L890" s="1204" t="s">
        <v>2768</v>
      </c>
      <c r="M890" s="1204" t="s">
        <v>2677</v>
      </c>
      <c r="N890" s="1205" t="s">
        <v>82</v>
      </c>
      <c r="O890" s="1204" t="s">
        <v>310</v>
      </c>
      <c r="P890" s="1204" t="s">
        <v>291</v>
      </c>
      <c r="Q890" s="1204" t="s">
        <v>294</v>
      </c>
      <c r="R890" s="1204">
        <v>1500000.01</v>
      </c>
      <c r="S890" s="1204">
        <v>2000000</v>
      </c>
      <c r="T890" s="1204">
        <v>0</v>
      </c>
      <c r="U890" s="1204">
        <v>0</v>
      </c>
      <c r="V890" s="1204">
        <v>0</v>
      </c>
      <c r="W890" s="1204">
        <v>50</v>
      </c>
      <c r="X890" s="1204">
        <v>0</v>
      </c>
      <c r="Y890" s="1204">
        <v>999</v>
      </c>
      <c r="Z890" s="1206">
        <v>720</v>
      </c>
      <c r="AA890" s="1206">
        <v>999</v>
      </c>
      <c r="AB890" s="1206">
        <v>6</v>
      </c>
      <c r="AC890" s="1206">
        <v>999999</v>
      </c>
      <c r="AD890" s="1204">
        <v>0</v>
      </c>
      <c r="AE890" s="1207">
        <v>80</v>
      </c>
      <c r="AF890" s="170">
        <v>0</v>
      </c>
      <c r="AG890" s="171">
        <v>1</v>
      </c>
      <c r="AH890" s="171">
        <v>1</v>
      </c>
      <c r="AI890" s="171">
        <v>1</v>
      </c>
      <c r="AJ890" s="171">
        <v>1</v>
      </c>
      <c r="AK890" s="171">
        <v>1</v>
      </c>
      <c r="AL890" s="171">
        <v>0</v>
      </c>
      <c r="AM890" s="171">
        <v>1</v>
      </c>
      <c r="AN890" s="171">
        <v>1</v>
      </c>
      <c r="AO890" s="171">
        <v>1</v>
      </c>
      <c r="AP890" s="171">
        <v>1</v>
      </c>
      <c r="AQ890" s="171">
        <v>1</v>
      </c>
      <c r="AR890" s="171">
        <v>1</v>
      </c>
      <c r="AS890" s="171">
        <v>1</v>
      </c>
      <c r="AT890" s="171">
        <v>1</v>
      </c>
      <c r="AU890" s="171">
        <f t="shared" si="368"/>
        <v>0</v>
      </c>
      <c r="AV890" s="171">
        <f t="shared" si="369"/>
        <v>0</v>
      </c>
      <c r="AW890" s="171">
        <f t="shared" si="370"/>
        <v>1</v>
      </c>
      <c r="AX890" s="171">
        <f t="shared" si="371"/>
        <v>1</v>
      </c>
      <c r="AY890" s="171">
        <f t="shared" si="372"/>
        <v>1</v>
      </c>
      <c r="AZ890" s="171">
        <f t="shared" si="373"/>
        <v>1</v>
      </c>
      <c r="BA890" s="172">
        <f t="shared" si="374"/>
        <v>1</v>
      </c>
      <c r="BB890" s="175">
        <f t="shared" si="375"/>
        <v>18</v>
      </c>
      <c r="BC890" s="176">
        <f t="shared" si="376"/>
        <v>17</v>
      </c>
      <c r="BD890" s="176">
        <f t="shared" si="377"/>
        <v>18</v>
      </c>
      <c r="BE890" s="240" t="str">
        <f t="shared" si="343"/>
        <v/>
      </c>
      <c r="BF890" s="990"/>
      <c r="BG890" s="990"/>
      <c r="BH890" s="991">
        <f>IF(AND(Input_Product=Elig!$C890,Elig_MatchAll_Ct&lt;22,$BC890=(Elig_MatchAll_Ct-1),AF890=0),C890,0)</f>
        <v>0</v>
      </c>
      <c r="BI890" s="991">
        <f>IF(AND(Input_Product=Elig!$C890,Elig_MatchAll_Ct&lt;22,$BC890=(Elig_MatchAll_Ct-1),AG890=0),D890,0)</f>
        <v>0</v>
      </c>
      <c r="BJ890" s="991">
        <f>IF(AND(Input_Product=Elig!$C890,Elig_MatchAll_Ct&lt;22,$BC890=(Elig_MatchAll_Ct-1),AH890=0),E890,0)</f>
        <v>0</v>
      </c>
      <c r="BK890" s="991">
        <f>IF(AND(Input_Product=Elig!$C890,Elig_MatchAll_Ct&lt;22,$BC890=(Elig_MatchAll_Ct-1),AI890=0),F890,0)</f>
        <v>0</v>
      </c>
      <c r="BL890" s="991">
        <f>IF(AND(Input_Product=Elig!$C890,Elig_MatchAll_Ct&lt;22,$BC890=(Elig_MatchAll_Ct-1),AJ890=0),G890,0)</f>
        <v>0</v>
      </c>
      <c r="BM890" s="991">
        <f>IF(AND(Input_Product=Elig!$C890,Elig_MatchAll_Ct&lt;22,$BC890=(Elig_MatchAll_Ct-1),AK890=0),H890,0)</f>
        <v>0</v>
      </c>
      <c r="BN890" s="991">
        <f>IF(AND(Input_Product=Elig!$C890,Elig_MatchAll_Ct&lt;22,$BC890=(Elig_MatchAll_Ct-1),AL890=0),I890,0)</f>
        <v>0</v>
      </c>
      <c r="BO890" s="991">
        <f>IF(AND(Input_Product=Elig!$C890,Elig_MatchAll_Ct&lt;22,$BC890=(Elig_MatchAll_Ct-1),AM890=0),J890,0)</f>
        <v>0</v>
      </c>
      <c r="BP890" s="991">
        <f>IF(AND(Input_Product=Elig!$C890,Elig_MatchAll_Ct&lt;22,$BC890=(Elig_MatchAll_Ct-1),AN890=0),K890,0)</f>
        <v>0</v>
      </c>
      <c r="BQ890" s="991">
        <f>IF(AND(Input_Product=Elig!$C890,Elig_MatchAll_Ct&lt;22,$BC890=(Elig_MatchAll_Ct-1),AP890=0),L890,0)</f>
        <v>0</v>
      </c>
      <c r="BR890" s="991">
        <f>IF(AND(Input_Product=Elig!$C890,Elig_MatchAll_Ct&lt;22,$BC890=(Elig_MatchAll_Ct-1),AO890=0),M890,0)</f>
        <v>0</v>
      </c>
      <c r="BS890" s="991">
        <f>IF(AND(Input_Product=Elig!$C890,Elig_MatchAll_Ct&lt;22,$BC890=(Elig_MatchAll_Ct-1),AQ890=0),N890,0)</f>
        <v>0</v>
      </c>
      <c r="BT890" s="991">
        <f>IF(AND(Input_Product=Elig!$C890,Elig_MatchAll_Ct&lt;22,$BC890=(Elig_MatchAll_Ct-1),AR890=0),O890,0)</f>
        <v>0</v>
      </c>
      <c r="BU890" s="991">
        <f>IF(AND(Input_Product=Elig!$C890,Elig_MatchAll_Ct&lt;22,$BC890=(Elig_MatchAll_Ct-1),AS890=0),P890,0)</f>
        <v>0</v>
      </c>
      <c r="BV890" s="992">
        <f>IF(AND(Input_Product=Elig!$C890,Elig_MatchAll_Ct&lt;22,$BC890=(Elig_MatchAll_Ct-1),AT890=0),Q890,0)</f>
        <v>0</v>
      </c>
      <c r="BW890" s="993">
        <f>IF(AND(Input_Product=Elig!$C890,Elig_MatchAll_Ct&lt;22,$BC890=(Elig_MatchAll_Ct-1),AU890=0),R890,0)</f>
        <v>0</v>
      </c>
      <c r="BX890" s="994">
        <f>IF(AND(Input_Product=Elig!$C890,Elig_MatchAll_Ct&lt;22,$BC890=(Elig_MatchAll_Ct-1),AU890=0),S890,0)</f>
        <v>0</v>
      </c>
      <c r="BY890" s="993">
        <f>IF(AND(Input_Product=Elig!$C890,Elig_MatchAll_Ct&lt;22,$BC890=(Elig_MatchAll_Ct-1),AV890=0),T890,0)</f>
        <v>0</v>
      </c>
      <c r="BZ890" s="994">
        <f>IF(AND(Input_Product=Elig!$C890,Elig_MatchAll_Ct&lt;22,$BC890=(Elig_MatchAll_Ct-1),AV890=0),U890,0)</f>
        <v>0</v>
      </c>
      <c r="CA890" s="993">
        <f>IF(AND(Input_Product=Elig!$C890,Elig_MatchAll_Ct&lt;22,$BC890=(Elig_MatchAll_Ct-1),AW890=0),V890,0)</f>
        <v>0</v>
      </c>
      <c r="CB890" s="994">
        <f>IF(AND(Input_Product=Elig!$C890,Elig_MatchAll_Ct&lt;22,$BC890=(Elig_MatchAll_Ct-1),AW890=0),W890,0)</f>
        <v>0</v>
      </c>
      <c r="CC890" s="993">
        <f>IF(AND(Input_Product=Elig!$C890,Elig_MatchAll_Ct&lt;22,$BC890=(Elig_MatchAll_Ct-1),AX890=0),X890,0)</f>
        <v>0</v>
      </c>
      <c r="CD890" s="994">
        <f>IF(AND(Input_Product=Elig!$C890,Elig_MatchAll_Ct&lt;22,$BC890=(Elig_MatchAll_Ct-1),AX890=0),Y890,0)</f>
        <v>0</v>
      </c>
      <c r="CE890" s="993">
        <f>IF(AND(Input_LTV&lt;=AE890,Input_Product=Elig!$C890,Elig_MatchAll_Ct&lt;22,$BC890=(Elig_MatchAll_Ct-1),AY890=0),Z890,0)</f>
        <v>0</v>
      </c>
      <c r="CF890" s="994">
        <f>IF(AND(Input_LTV&lt;=AE890,Input_Product=Elig!$C890,Elig_MatchAll_Ct&lt;22,$BC890=(Elig_MatchAll_Ct-1),AY890=0),AA890,0)</f>
        <v>0</v>
      </c>
      <c r="CG890" s="993">
        <f>IF(AND(Input_Product=Elig!$C890,Elig_MatchAll_Ct&lt;22,$BC890=(Elig_MatchAll_Ct-1),AZ890=0),AB890,0)</f>
        <v>0</v>
      </c>
      <c r="CH890" s="994">
        <f>IF(AND(Input_Product=Elig!$C890,Elig_MatchAll_Ct&lt;22,$BC890=(Elig_MatchAll_Ct-1),AZ890=0),AC890,0)</f>
        <v>0</v>
      </c>
      <c r="CI890" s="993">
        <f>IF(AND(Input_Product=Elig!$C890,Elig_MatchAll_Ct&lt;22,$BC890=(Elig_MatchAll_Ct-1),BA890=0),AD890,0)</f>
        <v>0</v>
      </c>
      <c r="CJ890" s="994">
        <f>IF(AND(Input_Product=Elig!$C890,Elig_MatchAll_Ct&lt;22,$BC890=(Elig_MatchAll_Ct-1),BA890=0),AE890,0)</f>
        <v>0</v>
      </c>
    </row>
    <row r="891" spans="2:88" ht="10.15" customHeight="1" x14ac:dyDescent="0.25">
      <c r="B891" s="1916" t="s">
        <v>2227</v>
      </c>
      <c r="C891" s="1208" t="str">
        <f t="shared" si="367"/>
        <v xml:space="preserve">  </v>
      </c>
      <c r="D891" s="1209" t="s">
        <v>2218</v>
      </c>
      <c r="E891" s="1209" t="s">
        <v>167</v>
      </c>
      <c r="F891" s="1209" t="s">
        <v>331</v>
      </c>
      <c r="G891" s="1210" t="s">
        <v>303</v>
      </c>
      <c r="H891" s="1210" t="s">
        <v>136</v>
      </c>
      <c r="I891" s="1209" t="s">
        <v>274</v>
      </c>
      <c r="J891" s="1209" t="s">
        <v>1311</v>
      </c>
      <c r="K891" s="1210" t="s">
        <v>3022</v>
      </c>
      <c r="L891" s="1209" t="s">
        <v>2768</v>
      </c>
      <c r="M891" s="1209" t="s">
        <v>2677</v>
      </c>
      <c r="N891" s="1210" t="s">
        <v>82</v>
      </c>
      <c r="O891" s="1209" t="s">
        <v>310</v>
      </c>
      <c r="P891" s="1209" t="s">
        <v>291</v>
      </c>
      <c r="Q891" s="1209" t="s">
        <v>294</v>
      </c>
      <c r="R891" s="1209">
        <v>1500000.01</v>
      </c>
      <c r="S891" s="1209">
        <v>2000000</v>
      </c>
      <c r="T891" s="1209">
        <v>0</v>
      </c>
      <c r="U891" s="1209">
        <v>0</v>
      </c>
      <c r="V891" s="1209">
        <v>0</v>
      </c>
      <c r="W891" s="1209">
        <v>50</v>
      </c>
      <c r="X891" s="1209">
        <v>0</v>
      </c>
      <c r="Y891" s="1209">
        <v>999</v>
      </c>
      <c r="Z891" s="1211">
        <v>700</v>
      </c>
      <c r="AA891" s="1211">
        <v>719</v>
      </c>
      <c r="AB891" s="1211">
        <v>6</v>
      </c>
      <c r="AC891" s="1211">
        <v>999999</v>
      </c>
      <c r="AD891" s="1209">
        <v>0</v>
      </c>
      <c r="AE891" s="1212">
        <v>80</v>
      </c>
      <c r="AF891" s="170">
        <v>0</v>
      </c>
      <c r="AG891" s="171">
        <v>1</v>
      </c>
      <c r="AH891" s="171">
        <v>1</v>
      </c>
      <c r="AI891" s="171">
        <v>1</v>
      </c>
      <c r="AJ891" s="171">
        <v>1</v>
      </c>
      <c r="AK891" s="171">
        <v>1</v>
      </c>
      <c r="AL891" s="171">
        <v>0</v>
      </c>
      <c r="AM891" s="171">
        <v>1</v>
      </c>
      <c r="AN891" s="171">
        <v>1</v>
      </c>
      <c r="AO891" s="171">
        <v>1</v>
      </c>
      <c r="AP891" s="171">
        <v>1</v>
      </c>
      <c r="AQ891" s="171">
        <v>1</v>
      </c>
      <c r="AR891" s="171">
        <v>1</v>
      </c>
      <c r="AS891" s="171">
        <v>1</v>
      </c>
      <c r="AT891" s="171">
        <v>1</v>
      </c>
      <c r="AU891" s="171">
        <f t="shared" si="368"/>
        <v>0</v>
      </c>
      <c r="AV891" s="171">
        <f t="shared" si="369"/>
        <v>0</v>
      </c>
      <c r="AW891" s="171">
        <f t="shared" si="370"/>
        <v>1</v>
      </c>
      <c r="AX891" s="171">
        <f t="shared" si="371"/>
        <v>1</v>
      </c>
      <c r="AY891" s="171">
        <f t="shared" si="372"/>
        <v>0</v>
      </c>
      <c r="AZ891" s="171">
        <f t="shared" si="373"/>
        <v>1</v>
      </c>
      <c r="BA891" s="172">
        <f t="shared" si="374"/>
        <v>1</v>
      </c>
      <c r="BB891" s="175">
        <f t="shared" si="375"/>
        <v>17</v>
      </c>
      <c r="BC891" s="176">
        <f t="shared" si="376"/>
        <v>16</v>
      </c>
      <c r="BD891" s="176">
        <f t="shared" si="377"/>
        <v>17</v>
      </c>
      <c r="BE891" s="240" t="str">
        <f t="shared" si="343"/>
        <v/>
      </c>
      <c r="BF891" s="990"/>
      <c r="BG891" s="990"/>
      <c r="BH891" s="991">
        <f>IF(AND(Input_Product=Elig!$C891,Elig_MatchAll_Ct&lt;22,$BC891=(Elig_MatchAll_Ct-1),AF891=0),C891,0)</f>
        <v>0</v>
      </c>
      <c r="BI891" s="991">
        <f>IF(AND(Input_Product=Elig!$C891,Elig_MatchAll_Ct&lt;22,$BC891=(Elig_MatchAll_Ct-1),AG891=0),D891,0)</f>
        <v>0</v>
      </c>
      <c r="BJ891" s="991">
        <f>IF(AND(Input_Product=Elig!$C891,Elig_MatchAll_Ct&lt;22,$BC891=(Elig_MatchAll_Ct-1),AH891=0),E891,0)</f>
        <v>0</v>
      </c>
      <c r="BK891" s="991">
        <f>IF(AND(Input_Product=Elig!$C891,Elig_MatchAll_Ct&lt;22,$BC891=(Elig_MatchAll_Ct-1),AI891=0),F891,0)</f>
        <v>0</v>
      </c>
      <c r="BL891" s="991">
        <f>IF(AND(Input_Product=Elig!$C891,Elig_MatchAll_Ct&lt;22,$BC891=(Elig_MatchAll_Ct-1),AJ891=0),G891,0)</f>
        <v>0</v>
      </c>
      <c r="BM891" s="991">
        <f>IF(AND(Input_Product=Elig!$C891,Elig_MatchAll_Ct&lt;22,$BC891=(Elig_MatchAll_Ct-1),AK891=0),H891,0)</f>
        <v>0</v>
      </c>
      <c r="BN891" s="991">
        <f>IF(AND(Input_Product=Elig!$C891,Elig_MatchAll_Ct&lt;22,$BC891=(Elig_MatchAll_Ct-1),AL891=0),I891,0)</f>
        <v>0</v>
      </c>
      <c r="BO891" s="991">
        <f>IF(AND(Input_Product=Elig!$C891,Elig_MatchAll_Ct&lt;22,$BC891=(Elig_MatchAll_Ct-1),AM891=0),J891,0)</f>
        <v>0</v>
      </c>
      <c r="BP891" s="991">
        <f>IF(AND(Input_Product=Elig!$C891,Elig_MatchAll_Ct&lt;22,$BC891=(Elig_MatchAll_Ct-1),AN891=0),K891,0)</f>
        <v>0</v>
      </c>
      <c r="BQ891" s="991">
        <f>IF(AND(Input_Product=Elig!$C891,Elig_MatchAll_Ct&lt;22,$BC891=(Elig_MatchAll_Ct-1),AP891=0),L891,0)</f>
        <v>0</v>
      </c>
      <c r="BR891" s="991">
        <f>IF(AND(Input_Product=Elig!$C891,Elig_MatchAll_Ct&lt;22,$BC891=(Elig_MatchAll_Ct-1),AO891=0),M891,0)</f>
        <v>0</v>
      </c>
      <c r="BS891" s="991">
        <f>IF(AND(Input_Product=Elig!$C891,Elig_MatchAll_Ct&lt;22,$BC891=(Elig_MatchAll_Ct-1),AQ891=0),N891,0)</f>
        <v>0</v>
      </c>
      <c r="BT891" s="991">
        <f>IF(AND(Input_Product=Elig!$C891,Elig_MatchAll_Ct&lt;22,$BC891=(Elig_MatchAll_Ct-1),AR891=0),O891,0)</f>
        <v>0</v>
      </c>
      <c r="BU891" s="991">
        <f>IF(AND(Input_Product=Elig!$C891,Elig_MatchAll_Ct&lt;22,$BC891=(Elig_MatchAll_Ct-1),AS891=0),P891,0)</f>
        <v>0</v>
      </c>
      <c r="BV891" s="992">
        <f>IF(AND(Input_Product=Elig!$C891,Elig_MatchAll_Ct&lt;22,$BC891=(Elig_MatchAll_Ct-1),AT891=0),Q891,0)</f>
        <v>0</v>
      </c>
      <c r="BW891" s="993">
        <f>IF(AND(Input_Product=Elig!$C891,Elig_MatchAll_Ct&lt;22,$BC891=(Elig_MatchAll_Ct-1),AU891=0),R891,0)</f>
        <v>0</v>
      </c>
      <c r="BX891" s="994">
        <f>IF(AND(Input_Product=Elig!$C891,Elig_MatchAll_Ct&lt;22,$BC891=(Elig_MatchAll_Ct-1),AU891=0),S891,0)</f>
        <v>0</v>
      </c>
      <c r="BY891" s="993">
        <f>IF(AND(Input_Product=Elig!$C891,Elig_MatchAll_Ct&lt;22,$BC891=(Elig_MatchAll_Ct-1),AV891=0),T891,0)</f>
        <v>0</v>
      </c>
      <c r="BZ891" s="994">
        <f>IF(AND(Input_Product=Elig!$C891,Elig_MatchAll_Ct&lt;22,$BC891=(Elig_MatchAll_Ct-1),AV891=0),U891,0)</f>
        <v>0</v>
      </c>
      <c r="CA891" s="993">
        <f>IF(AND(Input_Product=Elig!$C891,Elig_MatchAll_Ct&lt;22,$BC891=(Elig_MatchAll_Ct-1),AW891=0),V891,0)</f>
        <v>0</v>
      </c>
      <c r="CB891" s="994">
        <f>IF(AND(Input_Product=Elig!$C891,Elig_MatchAll_Ct&lt;22,$BC891=(Elig_MatchAll_Ct-1),AW891=0),W891,0)</f>
        <v>0</v>
      </c>
      <c r="CC891" s="993">
        <f>IF(AND(Input_Product=Elig!$C891,Elig_MatchAll_Ct&lt;22,$BC891=(Elig_MatchAll_Ct-1),AX891=0),X891,0)</f>
        <v>0</v>
      </c>
      <c r="CD891" s="994">
        <f>IF(AND(Input_Product=Elig!$C891,Elig_MatchAll_Ct&lt;22,$BC891=(Elig_MatchAll_Ct-1),AX891=0),Y891,0)</f>
        <v>0</v>
      </c>
      <c r="CE891" s="993">
        <f>IF(AND(Input_LTV&lt;=AE891,Input_Product=Elig!$C891,Elig_MatchAll_Ct&lt;22,$BC891=(Elig_MatchAll_Ct-1),AY891=0),Z891,0)</f>
        <v>0</v>
      </c>
      <c r="CF891" s="994">
        <f>IF(AND(Input_LTV&lt;=AE891,Input_Product=Elig!$C891,Elig_MatchAll_Ct&lt;22,$BC891=(Elig_MatchAll_Ct-1),AY891=0),AA891,0)</f>
        <v>0</v>
      </c>
      <c r="CG891" s="993">
        <f>IF(AND(Input_Product=Elig!$C891,Elig_MatchAll_Ct&lt;22,$BC891=(Elig_MatchAll_Ct-1),AZ891=0),AB891,0)</f>
        <v>0</v>
      </c>
      <c r="CH891" s="994">
        <f>IF(AND(Input_Product=Elig!$C891,Elig_MatchAll_Ct&lt;22,$BC891=(Elig_MatchAll_Ct-1),AZ891=0),AC891,0)</f>
        <v>0</v>
      </c>
      <c r="CI891" s="993">
        <f>IF(AND(Input_Product=Elig!$C891,Elig_MatchAll_Ct&lt;22,$BC891=(Elig_MatchAll_Ct-1),BA891=0),AD891,0)</f>
        <v>0</v>
      </c>
      <c r="CJ891" s="994">
        <f>IF(AND(Input_Product=Elig!$C891,Elig_MatchAll_Ct&lt;22,$BC891=(Elig_MatchAll_Ct-1),BA891=0),AE891,0)</f>
        <v>0</v>
      </c>
    </row>
    <row r="892" spans="2:88" ht="10.15" customHeight="1" x14ac:dyDescent="0.25">
      <c r="B892" s="1916" t="s">
        <v>2228</v>
      </c>
      <c r="C892" s="1208" t="str">
        <f t="shared" si="367"/>
        <v xml:space="preserve">  </v>
      </c>
      <c r="D892" s="1209" t="s">
        <v>2218</v>
      </c>
      <c r="E892" s="1209" t="s">
        <v>167</v>
      </c>
      <c r="F892" s="1209" t="s">
        <v>331</v>
      </c>
      <c r="G892" s="1210" t="s">
        <v>303</v>
      </c>
      <c r="H892" s="1210" t="s">
        <v>136</v>
      </c>
      <c r="I892" s="1209" t="s">
        <v>274</v>
      </c>
      <c r="J892" s="1209" t="s">
        <v>1311</v>
      </c>
      <c r="K892" s="1210" t="s">
        <v>3022</v>
      </c>
      <c r="L892" s="1209" t="s">
        <v>2768</v>
      </c>
      <c r="M892" s="1209" t="s">
        <v>2677</v>
      </c>
      <c r="N892" s="1210" t="s">
        <v>82</v>
      </c>
      <c r="O892" s="1209" t="s">
        <v>310</v>
      </c>
      <c r="P892" s="1209" t="s">
        <v>291</v>
      </c>
      <c r="Q892" s="1209" t="s">
        <v>294</v>
      </c>
      <c r="R892" s="1209">
        <v>1500000.01</v>
      </c>
      <c r="S892" s="1209">
        <v>2000000</v>
      </c>
      <c r="T892" s="1209">
        <v>0</v>
      </c>
      <c r="U892" s="1209">
        <v>0</v>
      </c>
      <c r="V892" s="1209">
        <v>0</v>
      </c>
      <c r="W892" s="1209">
        <v>50</v>
      </c>
      <c r="X892" s="1209">
        <v>0</v>
      </c>
      <c r="Y892" s="1209">
        <v>999</v>
      </c>
      <c r="Z892" s="1211">
        <v>680</v>
      </c>
      <c r="AA892" s="1211">
        <v>699</v>
      </c>
      <c r="AB892" s="1211">
        <v>6</v>
      </c>
      <c r="AC892" s="1211">
        <v>999999</v>
      </c>
      <c r="AD892" s="1209">
        <v>0</v>
      </c>
      <c r="AE892" s="1212">
        <v>80</v>
      </c>
      <c r="AF892" s="170">
        <v>0</v>
      </c>
      <c r="AG892" s="171">
        <v>1</v>
      </c>
      <c r="AH892" s="171">
        <v>1</v>
      </c>
      <c r="AI892" s="171">
        <v>1</v>
      </c>
      <c r="AJ892" s="171">
        <v>1</v>
      </c>
      <c r="AK892" s="171">
        <v>1</v>
      </c>
      <c r="AL892" s="171">
        <v>0</v>
      </c>
      <c r="AM892" s="171">
        <v>1</v>
      </c>
      <c r="AN892" s="171">
        <v>1</v>
      </c>
      <c r="AO892" s="171">
        <v>1</v>
      </c>
      <c r="AP892" s="171">
        <v>1</v>
      </c>
      <c r="AQ892" s="171">
        <v>1</v>
      </c>
      <c r="AR892" s="171">
        <v>1</v>
      </c>
      <c r="AS892" s="171">
        <v>1</v>
      </c>
      <c r="AT892" s="171">
        <v>1</v>
      </c>
      <c r="AU892" s="171">
        <f t="shared" si="368"/>
        <v>0</v>
      </c>
      <c r="AV892" s="171">
        <f t="shared" si="369"/>
        <v>0</v>
      </c>
      <c r="AW892" s="171">
        <f t="shared" si="370"/>
        <v>1</v>
      </c>
      <c r="AX892" s="171">
        <f t="shared" si="371"/>
        <v>1</v>
      </c>
      <c r="AY892" s="171">
        <f t="shared" si="372"/>
        <v>0</v>
      </c>
      <c r="AZ892" s="171">
        <f t="shared" si="373"/>
        <v>1</v>
      </c>
      <c r="BA892" s="172">
        <f t="shared" si="374"/>
        <v>1</v>
      </c>
      <c r="BB892" s="175">
        <f t="shared" si="375"/>
        <v>17</v>
      </c>
      <c r="BC892" s="176">
        <f t="shared" si="376"/>
        <v>16</v>
      </c>
      <c r="BD892" s="176">
        <f t="shared" si="377"/>
        <v>17</v>
      </c>
      <c r="BE892" s="240" t="str">
        <f t="shared" si="343"/>
        <v/>
      </c>
      <c r="BF892" s="990"/>
      <c r="BG892" s="990"/>
      <c r="BH892" s="991">
        <f>IF(AND(Input_Product=Elig!$C892,Elig_MatchAll_Ct&lt;22,$BC892=(Elig_MatchAll_Ct-1),AF892=0),C892,0)</f>
        <v>0</v>
      </c>
      <c r="BI892" s="991">
        <f>IF(AND(Input_Product=Elig!$C892,Elig_MatchAll_Ct&lt;22,$BC892=(Elig_MatchAll_Ct-1),AG892=0),D892,0)</f>
        <v>0</v>
      </c>
      <c r="BJ892" s="991">
        <f>IF(AND(Input_Product=Elig!$C892,Elig_MatchAll_Ct&lt;22,$BC892=(Elig_MatchAll_Ct-1),AH892=0),E892,0)</f>
        <v>0</v>
      </c>
      <c r="BK892" s="991">
        <f>IF(AND(Input_Product=Elig!$C892,Elig_MatchAll_Ct&lt;22,$BC892=(Elig_MatchAll_Ct-1),AI892=0),F892,0)</f>
        <v>0</v>
      </c>
      <c r="BL892" s="991">
        <f>IF(AND(Input_Product=Elig!$C892,Elig_MatchAll_Ct&lt;22,$BC892=(Elig_MatchAll_Ct-1),AJ892=0),G892,0)</f>
        <v>0</v>
      </c>
      <c r="BM892" s="991">
        <f>IF(AND(Input_Product=Elig!$C892,Elig_MatchAll_Ct&lt;22,$BC892=(Elig_MatchAll_Ct-1),AK892=0),H892,0)</f>
        <v>0</v>
      </c>
      <c r="BN892" s="991">
        <f>IF(AND(Input_Product=Elig!$C892,Elig_MatchAll_Ct&lt;22,$BC892=(Elig_MatchAll_Ct-1),AL892=0),I892,0)</f>
        <v>0</v>
      </c>
      <c r="BO892" s="991">
        <f>IF(AND(Input_Product=Elig!$C892,Elig_MatchAll_Ct&lt;22,$BC892=(Elig_MatchAll_Ct-1),AM892=0),J892,0)</f>
        <v>0</v>
      </c>
      <c r="BP892" s="991">
        <f>IF(AND(Input_Product=Elig!$C892,Elig_MatchAll_Ct&lt;22,$BC892=(Elig_MatchAll_Ct-1),AN892=0),K892,0)</f>
        <v>0</v>
      </c>
      <c r="BQ892" s="991">
        <f>IF(AND(Input_Product=Elig!$C892,Elig_MatchAll_Ct&lt;22,$BC892=(Elig_MatchAll_Ct-1),AP892=0),L892,0)</f>
        <v>0</v>
      </c>
      <c r="BR892" s="991">
        <f>IF(AND(Input_Product=Elig!$C892,Elig_MatchAll_Ct&lt;22,$BC892=(Elig_MatchAll_Ct-1),AO892=0),M892,0)</f>
        <v>0</v>
      </c>
      <c r="BS892" s="991">
        <f>IF(AND(Input_Product=Elig!$C892,Elig_MatchAll_Ct&lt;22,$BC892=(Elig_MatchAll_Ct-1),AQ892=0),N892,0)</f>
        <v>0</v>
      </c>
      <c r="BT892" s="991">
        <f>IF(AND(Input_Product=Elig!$C892,Elig_MatchAll_Ct&lt;22,$BC892=(Elig_MatchAll_Ct-1),AR892=0),O892,0)</f>
        <v>0</v>
      </c>
      <c r="BU892" s="991">
        <f>IF(AND(Input_Product=Elig!$C892,Elig_MatchAll_Ct&lt;22,$BC892=(Elig_MatchAll_Ct-1),AS892=0),P892,0)</f>
        <v>0</v>
      </c>
      <c r="BV892" s="992">
        <f>IF(AND(Input_Product=Elig!$C892,Elig_MatchAll_Ct&lt;22,$BC892=(Elig_MatchAll_Ct-1),AT892=0),Q892,0)</f>
        <v>0</v>
      </c>
      <c r="BW892" s="993">
        <f>IF(AND(Input_Product=Elig!$C892,Elig_MatchAll_Ct&lt;22,$BC892=(Elig_MatchAll_Ct-1),AU892=0),R892,0)</f>
        <v>0</v>
      </c>
      <c r="BX892" s="994">
        <f>IF(AND(Input_Product=Elig!$C892,Elig_MatchAll_Ct&lt;22,$BC892=(Elig_MatchAll_Ct-1),AU892=0),S892,0)</f>
        <v>0</v>
      </c>
      <c r="BY892" s="993">
        <f>IF(AND(Input_Product=Elig!$C892,Elig_MatchAll_Ct&lt;22,$BC892=(Elig_MatchAll_Ct-1),AV892=0),T892,0)</f>
        <v>0</v>
      </c>
      <c r="BZ892" s="994">
        <f>IF(AND(Input_Product=Elig!$C892,Elig_MatchAll_Ct&lt;22,$BC892=(Elig_MatchAll_Ct-1),AV892=0),U892,0)</f>
        <v>0</v>
      </c>
      <c r="CA892" s="993">
        <f>IF(AND(Input_Product=Elig!$C892,Elig_MatchAll_Ct&lt;22,$BC892=(Elig_MatchAll_Ct-1),AW892=0),V892,0)</f>
        <v>0</v>
      </c>
      <c r="CB892" s="994">
        <f>IF(AND(Input_Product=Elig!$C892,Elig_MatchAll_Ct&lt;22,$BC892=(Elig_MatchAll_Ct-1),AW892=0),W892,0)</f>
        <v>0</v>
      </c>
      <c r="CC892" s="993">
        <f>IF(AND(Input_Product=Elig!$C892,Elig_MatchAll_Ct&lt;22,$BC892=(Elig_MatchAll_Ct-1),AX892=0),X892,0)</f>
        <v>0</v>
      </c>
      <c r="CD892" s="994">
        <f>IF(AND(Input_Product=Elig!$C892,Elig_MatchAll_Ct&lt;22,$BC892=(Elig_MatchAll_Ct-1),AX892=0),Y892,0)</f>
        <v>0</v>
      </c>
      <c r="CE892" s="993">
        <f>IF(AND(Input_LTV&lt;=AE892,Input_Product=Elig!$C892,Elig_MatchAll_Ct&lt;22,$BC892=(Elig_MatchAll_Ct-1),AY892=0),Z892,0)</f>
        <v>0</v>
      </c>
      <c r="CF892" s="994">
        <f>IF(AND(Input_LTV&lt;=AE892,Input_Product=Elig!$C892,Elig_MatchAll_Ct&lt;22,$BC892=(Elig_MatchAll_Ct-1),AY892=0),AA892,0)</f>
        <v>0</v>
      </c>
      <c r="CG892" s="993">
        <f>IF(AND(Input_Product=Elig!$C892,Elig_MatchAll_Ct&lt;22,$BC892=(Elig_MatchAll_Ct-1),AZ892=0),AB892,0)</f>
        <v>0</v>
      </c>
      <c r="CH892" s="994">
        <f>IF(AND(Input_Product=Elig!$C892,Elig_MatchAll_Ct&lt;22,$BC892=(Elig_MatchAll_Ct-1),AZ892=0),AC892,0)</f>
        <v>0</v>
      </c>
      <c r="CI892" s="993">
        <f>IF(AND(Input_Product=Elig!$C892,Elig_MatchAll_Ct&lt;22,$BC892=(Elig_MatchAll_Ct-1),BA892=0),AD892,0)</f>
        <v>0</v>
      </c>
      <c r="CJ892" s="994">
        <f>IF(AND(Input_Product=Elig!$C892,Elig_MatchAll_Ct&lt;22,$BC892=(Elig_MatchAll_Ct-1),BA892=0),AE892,0)</f>
        <v>0</v>
      </c>
    </row>
    <row r="893" spans="2:88" ht="10.15" customHeight="1" x14ac:dyDescent="0.25">
      <c r="B893" s="1916" t="s">
        <v>2229</v>
      </c>
      <c r="C893" s="1213" t="str">
        <f t="shared" si="367"/>
        <v xml:space="preserve">  </v>
      </c>
      <c r="D893" s="1214" t="s">
        <v>2218</v>
      </c>
      <c r="E893" s="1214" t="s">
        <v>167</v>
      </c>
      <c r="F893" s="1214" t="s">
        <v>331</v>
      </c>
      <c r="G893" s="1215" t="s">
        <v>303</v>
      </c>
      <c r="H893" s="1215" t="s">
        <v>136</v>
      </c>
      <c r="I893" s="1214" t="s">
        <v>274</v>
      </c>
      <c r="J893" s="1214" t="s">
        <v>1311</v>
      </c>
      <c r="K893" s="1215" t="s">
        <v>3022</v>
      </c>
      <c r="L893" s="1214" t="s">
        <v>2768</v>
      </c>
      <c r="M893" s="1214" t="s">
        <v>2677</v>
      </c>
      <c r="N893" s="1215" t="s">
        <v>82</v>
      </c>
      <c r="O893" s="1214" t="s">
        <v>310</v>
      </c>
      <c r="P893" s="1214" t="s">
        <v>291</v>
      </c>
      <c r="Q893" s="1214" t="s">
        <v>294</v>
      </c>
      <c r="R893" s="1214">
        <v>1500000.01</v>
      </c>
      <c r="S893" s="1214">
        <v>2000000</v>
      </c>
      <c r="T893" s="1214">
        <v>0</v>
      </c>
      <c r="U893" s="1214">
        <v>0</v>
      </c>
      <c r="V893" s="1214">
        <v>0</v>
      </c>
      <c r="W893" s="1214">
        <v>50</v>
      </c>
      <c r="X893" s="1214">
        <v>0</v>
      </c>
      <c r="Y893" s="1214">
        <v>999</v>
      </c>
      <c r="Z893" s="1216">
        <v>660</v>
      </c>
      <c r="AA893" s="1216">
        <v>679</v>
      </c>
      <c r="AB893" s="1216">
        <v>6</v>
      </c>
      <c r="AC893" s="1216">
        <v>999999</v>
      </c>
      <c r="AD893" s="1214">
        <v>0</v>
      </c>
      <c r="AE893" s="1217">
        <v>70</v>
      </c>
      <c r="AF893" s="170">
        <v>0</v>
      </c>
      <c r="AG893" s="171">
        <v>1</v>
      </c>
      <c r="AH893" s="171">
        <v>1</v>
      </c>
      <c r="AI893" s="171">
        <v>1</v>
      </c>
      <c r="AJ893" s="171">
        <v>1</v>
      </c>
      <c r="AK893" s="171">
        <v>1</v>
      </c>
      <c r="AL893" s="171">
        <v>0</v>
      </c>
      <c r="AM893" s="171">
        <v>1</v>
      </c>
      <c r="AN893" s="171">
        <v>1</v>
      </c>
      <c r="AO893" s="171">
        <v>1</v>
      </c>
      <c r="AP893" s="171">
        <v>1</v>
      </c>
      <c r="AQ893" s="171">
        <v>1</v>
      </c>
      <c r="AR893" s="171">
        <v>1</v>
      </c>
      <c r="AS893" s="171">
        <v>1</v>
      </c>
      <c r="AT893" s="171">
        <v>1</v>
      </c>
      <c r="AU893" s="171">
        <f t="shared" si="368"/>
        <v>0</v>
      </c>
      <c r="AV893" s="171">
        <f t="shared" si="369"/>
        <v>0</v>
      </c>
      <c r="AW893" s="171">
        <f t="shared" si="370"/>
        <v>1</v>
      </c>
      <c r="AX893" s="171">
        <f t="shared" si="371"/>
        <v>1</v>
      </c>
      <c r="AY893" s="171">
        <f t="shared" si="372"/>
        <v>0</v>
      </c>
      <c r="AZ893" s="171">
        <f t="shared" si="373"/>
        <v>1</v>
      </c>
      <c r="BA893" s="172">
        <f t="shared" si="374"/>
        <v>1</v>
      </c>
      <c r="BB893" s="175">
        <f t="shared" si="375"/>
        <v>17</v>
      </c>
      <c r="BC893" s="176">
        <f t="shared" si="376"/>
        <v>16</v>
      </c>
      <c r="BD893" s="176">
        <f t="shared" si="377"/>
        <v>17</v>
      </c>
      <c r="BE893" s="240" t="str">
        <f t="shared" si="343"/>
        <v/>
      </c>
      <c r="BF893" s="990"/>
      <c r="BG893" s="990"/>
      <c r="BH893" s="991">
        <f>IF(AND(Input_Product=Elig!$C893,Elig_MatchAll_Ct&lt;22,$BC893=(Elig_MatchAll_Ct-1),AF893=0),C893,0)</f>
        <v>0</v>
      </c>
      <c r="BI893" s="991">
        <f>IF(AND(Input_Product=Elig!$C893,Elig_MatchAll_Ct&lt;22,$BC893=(Elig_MatchAll_Ct-1),AG893=0),D893,0)</f>
        <v>0</v>
      </c>
      <c r="BJ893" s="991">
        <f>IF(AND(Input_Product=Elig!$C893,Elig_MatchAll_Ct&lt;22,$BC893=(Elig_MatchAll_Ct-1),AH893=0),E893,0)</f>
        <v>0</v>
      </c>
      <c r="BK893" s="991">
        <f>IF(AND(Input_Product=Elig!$C893,Elig_MatchAll_Ct&lt;22,$BC893=(Elig_MatchAll_Ct-1),AI893=0),F893,0)</f>
        <v>0</v>
      </c>
      <c r="BL893" s="991">
        <f>IF(AND(Input_Product=Elig!$C893,Elig_MatchAll_Ct&lt;22,$BC893=(Elig_MatchAll_Ct-1),AJ893=0),G893,0)</f>
        <v>0</v>
      </c>
      <c r="BM893" s="991">
        <f>IF(AND(Input_Product=Elig!$C893,Elig_MatchAll_Ct&lt;22,$BC893=(Elig_MatchAll_Ct-1),AK893=0),H893,0)</f>
        <v>0</v>
      </c>
      <c r="BN893" s="991">
        <f>IF(AND(Input_Product=Elig!$C893,Elig_MatchAll_Ct&lt;22,$BC893=(Elig_MatchAll_Ct-1),AL893=0),I893,0)</f>
        <v>0</v>
      </c>
      <c r="BO893" s="991">
        <f>IF(AND(Input_Product=Elig!$C893,Elig_MatchAll_Ct&lt;22,$BC893=(Elig_MatchAll_Ct-1),AM893=0),J893,0)</f>
        <v>0</v>
      </c>
      <c r="BP893" s="991">
        <f>IF(AND(Input_Product=Elig!$C893,Elig_MatchAll_Ct&lt;22,$BC893=(Elig_MatchAll_Ct-1),AN893=0),K893,0)</f>
        <v>0</v>
      </c>
      <c r="BQ893" s="991">
        <f>IF(AND(Input_Product=Elig!$C893,Elig_MatchAll_Ct&lt;22,$BC893=(Elig_MatchAll_Ct-1),AP893=0),L893,0)</f>
        <v>0</v>
      </c>
      <c r="BR893" s="991">
        <f>IF(AND(Input_Product=Elig!$C893,Elig_MatchAll_Ct&lt;22,$BC893=(Elig_MatchAll_Ct-1),AO893=0),M893,0)</f>
        <v>0</v>
      </c>
      <c r="BS893" s="991">
        <f>IF(AND(Input_Product=Elig!$C893,Elig_MatchAll_Ct&lt;22,$BC893=(Elig_MatchAll_Ct-1),AQ893=0),N893,0)</f>
        <v>0</v>
      </c>
      <c r="BT893" s="991">
        <f>IF(AND(Input_Product=Elig!$C893,Elig_MatchAll_Ct&lt;22,$BC893=(Elig_MatchAll_Ct-1),AR893=0),O893,0)</f>
        <v>0</v>
      </c>
      <c r="BU893" s="991">
        <f>IF(AND(Input_Product=Elig!$C893,Elig_MatchAll_Ct&lt;22,$BC893=(Elig_MatchAll_Ct-1),AS893=0),P893,0)</f>
        <v>0</v>
      </c>
      <c r="BV893" s="992">
        <f>IF(AND(Input_Product=Elig!$C893,Elig_MatchAll_Ct&lt;22,$BC893=(Elig_MatchAll_Ct-1),AT893=0),Q893,0)</f>
        <v>0</v>
      </c>
      <c r="BW893" s="993">
        <f>IF(AND(Input_Product=Elig!$C893,Elig_MatchAll_Ct&lt;22,$BC893=(Elig_MatchAll_Ct-1),AU893=0),R893,0)</f>
        <v>0</v>
      </c>
      <c r="BX893" s="994">
        <f>IF(AND(Input_Product=Elig!$C893,Elig_MatchAll_Ct&lt;22,$BC893=(Elig_MatchAll_Ct-1),AU893=0),S893,0)</f>
        <v>0</v>
      </c>
      <c r="BY893" s="993">
        <f>IF(AND(Input_Product=Elig!$C893,Elig_MatchAll_Ct&lt;22,$BC893=(Elig_MatchAll_Ct-1),AV893=0),T893,0)</f>
        <v>0</v>
      </c>
      <c r="BZ893" s="994">
        <f>IF(AND(Input_Product=Elig!$C893,Elig_MatchAll_Ct&lt;22,$BC893=(Elig_MatchAll_Ct-1),AV893=0),U893,0)</f>
        <v>0</v>
      </c>
      <c r="CA893" s="993">
        <f>IF(AND(Input_Product=Elig!$C893,Elig_MatchAll_Ct&lt;22,$BC893=(Elig_MatchAll_Ct-1),AW893=0),V893,0)</f>
        <v>0</v>
      </c>
      <c r="CB893" s="994">
        <f>IF(AND(Input_Product=Elig!$C893,Elig_MatchAll_Ct&lt;22,$BC893=(Elig_MatchAll_Ct-1),AW893=0),W893,0)</f>
        <v>0</v>
      </c>
      <c r="CC893" s="993">
        <f>IF(AND(Input_Product=Elig!$C893,Elig_MatchAll_Ct&lt;22,$BC893=(Elig_MatchAll_Ct-1),AX893=0),X893,0)</f>
        <v>0</v>
      </c>
      <c r="CD893" s="994">
        <f>IF(AND(Input_Product=Elig!$C893,Elig_MatchAll_Ct&lt;22,$BC893=(Elig_MatchAll_Ct-1),AX893=0),Y893,0)</f>
        <v>0</v>
      </c>
      <c r="CE893" s="993">
        <f>IF(AND(Input_LTV&lt;=AE893,Input_Product=Elig!$C893,Elig_MatchAll_Ct&lt;22,$BC893=(Elig_MatchAll_Ct-1),AY893=0),Z893,0)</f>
        <v>0</v>
      </c>
      <c r="CF893" s="994">
        <f>IF(AND(Input_LTV&lt;=AE893,Input_Product=Elig!$C893,Elig_MatchAll_Ct&lt;22,$BC893=(Elig_MatchAll_Ct-1),AY893=0),AA893,0)</f>
        <v>0</v>
      </c>
      <c r="CG893" s="993">
        <f>IF(AND(Input_Product=Elig!$C893,Elig_MatchAll_Ct&lt;22,$BC893=(Elig_MatchAll_Ct-1),AZ893=0),AB893,0)</f>
        <v>0</v>
      </c>
      <c r="CH893" s="994">
        <f>IF(AND(Input_Product=Elig!$C893,Elig_MatchAll_Ct&lt;22,$BC893=(Elig_MatchAll_Ct-1),AZ893=0),AC893,0)</f>
        <v>0</v>
      </c>
      <c r="CI893" s="993">
        <f>IF(AND(Input_Product=Elig!$C893,Elig_MatchAll_Ct&lt;22,$BC893=(Elig_MatchAll_Ct-1),BA893=0),AD893,0)</f>
        <v>0</v>
      </c>
      <c r="CJ893" s="994">
        <f>IF(AND(Input_Product=Elig!$C893,Elig_MatchAll_Ct&lt;22,$BC893=(Elig_MatchAll_Ct-1),BA893=0),AE893,0)</f>
        <v>0</v>
      </c>
    </row>
    <row r="894" spans="2:88" ht="10.15" customHeight="1" x14ac:dyDescent="0.25">
      <c r="B894" s="1916" t="s">
        <v>2230</v>
      </c>
      <c r="C894" s="1203" t="str">
        <f t="shared" si="367"/>
        <v xml:space="preserve">  </v>
      </c>
      <c r="D894" s="1204" t="s">
        <v>2218</v>
      </c>
      <c r="E894" s="1204" t="s">
        <v>167</v>
      </c>
      <c r="F894" s="1204" t="s">
        <v>331</v>
      </c>
      <c r="G894" s="1205" t="s">
        <v>303</v>
      </c>
      <c r="H894" s="1205" t="s">
        <v>136</v>
      </c>
      <c r="I894" s="1204" t="s">
        <v>274</v>
      </c>
      <c r="J894" s="1204" t="s">
        <v>1311</v>
      </c>
      <c r="K894" s="1205" t="s">
        <v>3022</v>
      </c>
      <c r="L894" s="1204" t="s">
        <v>2768</v>
      </c>
      <c r="M894" s="1204" t="s">
        <v>2677</v>
      </c>
      <c r="N894" s="1205" t="s">
        <v>82</v>
      </c>
      <c r="O894" s="1204" t="s">
        <v>310</v>
      </c>
      <c r="P894" s="1204" t="s">
        <v>291</v>
      </c>
      <c r="Q894" s="1204" t="s">
        <v>294</v>
      </c>
      <c r="R894" s="1204">
        <v>2000000.01</v>
      </c>
      <c r="S894" s="1204">
        <v>2500000</v>
      </c>
      <c r="T894" s="1204">
        <v>0</v>
      </c>
      <c r="U894" s="1204">
        <v>0</v>
      </c>
      <c r="V894" s="1204">
        <v>0</v>
      </c>
      <c r="W894" s="1204">
        <v>50</v>
      </c>
      <c r="X894" s="1204">
        <v>0</v>
      </c>
      <c r="Y894" s="1204">
        <v>999</v>
      </c>
      <c r="Z894" s="1206">
        <v>720</v>
      </c>
      <c r="AA894" s="1206">
        <v>999</v>
      </c>
      <c r="AB894" s="1206">
        <v>6</v>
      </c>
      <c r="AC894" s="1206">
        <v>999999</v>
      </c>
      <c r="AD894" s="1204">
        <v>0</v>
      </c>
      <c r="AE894" s="1207">
        <v>80</v>
      </c>
      <c r="AF894" s="170">
        <v>0</v>
      </c>
      <c r="AG894" s="171">
        <v>1</v>
      </c>
      <c r="AH894" s="171">
        <v>1</v>
      </c>
      <c r="AI894" s="171">
        <v>1</v>
      </c>
      <c r="AJ894" s="171">
        <v>1</v>
      </c>
      <c r="AK894" s="171">
        <v>1</v>
      </c>
      <c r="AL894" s="171">
        <v>0</v>
      </c>
      <c r="AM894" s="171">
        <v>1</v>
      </c>
      <c r="AN894" s="171">
        <v>1</v>
      </c>
      <c r="AO894" s="171">
        <v>1</v>
      </c>
      <c r="AP894" s="171">
        <v>1</v>
      </c>
      <c r="AQ894" s="171">
        <v>1</v>
      </c>
      <c r="AR894" s="171">
        <v>1</v>
      </c>
      <c r="AS894" s="171">
        <v>1</v>
      </c>
      <c r="AT894" s="171">
        <v>1</v>
      </c>
      <c r="AU894" s="171">
        <f t="shared" si="368"/>
        <v>0</v>
      </c>
      <c r="AV894" s="171">
        <f t="shared" si="369"/>
        <v>0</v>
      </c>
      <c r="AW894" s="171">
        <f t="shared" si="370"/>
        <v>1</v>
      </c>
      <c r="AX894" s="171">
        <f t="shared" si="371"/>
        <v>1</v>
      </c>
      <c r="AY894" s="171">
        <f t="shared" si="372"/>
        <v>1</v>
      </c>
      <c r="AZ894" s="171">
        <f t="shared" si="373"/>
        <v>1</v>
      </c>
      <c r="BA894" s="172">
        <f t="shared" si="374"/>
        <v>1</v>
      </c>
      <c r="BB894" s="175">
        <f t="shared" si="375"/>
        <v>18</v>
      </c>
      <c r="BC894" s="176">
        <f t="shared" si="376"/>
        <v>17</v>
      </c>
      <c r="BD894" s="176">
        <f t="shared" si="377"/>
        <v>18</v>
      </c>
      <c r="BE894" s="240" t="str">
        <f t="shared" si="343"/>
        <v/>
      </c>
      <c r="BF894" s="990"/>
      <c r="BG894" s="990"/>
      <c r="BH894" s="991">
        <f>IF(AND(Input_Product=Elig!$C894,Elig_MatchAll_Ct&lt;22,$BC894=(Elig_MatchAll_Ct-1),AF894=0),C894,0)</f>
        <v>0</v>
      </c>
      <c r="BI894" s="991">
        <f>IF(AND(Input_Product=Elig!$C894,Elig_MatchAll_Ct&lt;22,$BC894=(Elig_MatchAll_Ct-1),AG894=0),D894,0)</f>
        <v>0</v>
      </c>
      <c r="BJ894" s="991">
        <f>IF(AND(Input_Product=Elig!$C894,Elig_MatchAll_Ct&lt;22,$BC894=(Elig_MatchAll_Ct-1),AH894=0),E894,0)</f>
        <v>0</v>
      </c>
      <c r="BK894" s="991">
        <f>IF(AND(Input_Product=Elig!$C894,Elig_MatchAll_Ct&lt;22,$BC894=(Elig_MatchAll_Ct-1),AI894=0),F894,0)</f>
        <v>0</v>
      </c>
      <c r="BL894" s="991">
        <f>IF(AND(Input_Product=Elig!$C894,Elig_MatchAll_Ct&lt;22,$BC894=(Elig_MatchAll_Ct-1),AJ894=0),G894,0)</f>
        <v>0</v>
      </c>
      <c r="BM894" s="991">
        <f>IF(AND(Input_Product=Elig!$C894,Elig_MatchAll_Ct&lt;22,$BC894=(Elig_MatchAll_Ct-1),AK894=0),H894,0)</f>
        <v>0</v>
      </c>
      <c r="BN894" s="991">
        <f>IF(AND(Input_Product=Elig!$C894,Elig_MatchAll_Ct&lt;22,$BC894=(Elig_MatchAll_Ct-1),AL894=0),I894,0)</f>
        <v>0</v>
      </c>
      <c r="BO894" s="991">
        <f>IF(AND(Input_Product=Elig!$C894,Elig_MatchAll_Ct&lt;22,$BC894=(Elig_MatchAll_Ct-1),AM894=0),J894,0)</f>
        <v>0</v>
      </c>
      <c r="BP894" s="991">
        <f>IF(AND(Input_Product=Elig!$C894,Elig_MatchAll_Ct&lt;22,$BC894=(Elig_MatchAll_Ct-1),AN894=0),K894,0)</f>
        <v>0</v>
      </c>
      <c r="BQ894" s="991">
        <f>IF(AND(Input_Product=Elig!$C894,Elig_MatchAll_Ct&lt;22,$BC894=(Elig_MatchAll_Ct-1),AP894=0),L894,0)</f>
        <v>0</v>
      </c>
      <c r="BR894" s="991">
        <f>IF(AND(Input_Product=Elig!$C894,Elig_MatchAll_Ct&lt;22,$BC894=(Elig_MatchAll_Ct-1),AO894=0),M894,0)</f>
        <v>0</v>
      </c>
      <c r="BS894" s="991">
        <f>IF(AND(Input_Product=Elig!$C894,Elig_MatchAll_Ct&lt;22,$BC894=(Elig_MatchAll_Ct-1),AQ894=0),N894,0)</f>
        <v>0</v>
      </c>
      <c r="BT894" s="991">
        <f>IF(AND(Input_Product=Elig!$C894,Elig_MatchAll_Ct&lt;22,$BC894=(Elig_MatchAll_Ct-1),AR894=0),O894,0)</f>
        <v>0</v>
      </c>
      <c r="BU894" s="991">
        <f>IF(AND(Input_Product=Elig!$C894,Elig_MatchAll_Ct&lt;22,$BC894=(Elig_MatchAll_Ct-1),AS894=0),P894,0)</f>
        <v>0</v>
      </c>
      <c r="BV894" s="992">
        <f>IF(AND(Input_Product=Elig!$C894,Elig_MatchAll_Ct&lt;22,$BC894=(Elig_MatchAll_Ct-1),AT894=0),Q894,0)</f>
        <v>0</v>
      </c>
      <c r="BW894" s="993">
        <f>IF(AND(Input_Product=Elig!$C894,Elig_MatchAll_Ct&lt;22,$BC894=(Elig_MatchAll_Ct-1),AU894=0),R894,0)</f>
        <v>0</v>
      </c>
      <c r="BX894" s="994">
        <f>IF(AND(Input_Product=Elig!$C894,Elig_MatchAll_Ct&lt;22,$BC894=(Elig_MatchAll_Ct-1),AU894=0),S894,0)</f>
        <v>0</v>
      </c>
      <c r="BY894" s="993">
        <f>IF(AND(Input_Product=Elig!$C894,Elig_MatchAll_Ct&lt;22,$BC894=(Elig_MatchAll_Ct-1),AV894=0),T894,0)</f>
        <v>0</v>
      </c>
      <c r="BZ894" s="994">
        <f>IF(AND(Input_Product=Elig!$C894,Elig_MatchAll_Ct&lt;22,$BC894=(Elig_MatchAll_Ct-1),AV894=0),U894,0)</f>
        <v>0</v>
      </c>
      <c r="CA894" s="993">
        <f>IF(AND(Input_Product=Elig!$C894,Elig_MatchAll_Ct&lt;22,$BC894=(Elig_MatchAll_Ct-1),AW894=0),V894,0)</f>
        <v>0</v>
      </c>
      <c r="CB894" s="994">
        <f>IF(AND(Input_Product=Elig!$C894,Elig_MatchAll_Ct&lt;22,$BC894=(Elig_MatchAll_Ct-1),AW894=0),W894,0)</f>
        <v>0</v>
      </c>
      <c r="CC894" s="993">
        <f>IF(AND(Input_Product=Elig!$C894,Elig_MatchAll_Ct&lt;22,$BC894=(Elig_MatchAll_Ct-1),AX894=0),X894,0)</f>
        <v>0</v>
      </c>
      <c r="CD894" s="994">
        <f>IF(AND(Input_Product=Elig!$C894,Elig_MatchAll_Ct&lt;22,$BC894=(Elig_MatchAll_Ct-1),AX894=0),Y894,0)</f>
        <v>0</v>
      </c>
      <c r="CE894" s="993">
        <f>IF(AND(Input_LTV&lt;=AE894,Input_Product=Elig!$C894,Elig_MatchAll_Ct&lt;22,$BC894=(Elig_MatchAll_Ct-1),AY894=0),Z894,0)</f>
        <v>0</v>
      </c>
      <c r="CF894" s="994">
        <f>IF(AND(Input_LTV&lt;=AE894,Input_Product=Elig!$C894,Elig_MatchAll_Ct&lt;22,$BC894=(Elig_MatchAll_Ct-1),AY894=0),AA894,0)</f>
        <v>0</v>
      </c>
      <c r="CG894" s="993">
        <f>IF(AND(Input_Product=Elig!$C894,Elig_MatchAll_Ct&lt;22,$BC894=(Elig_MatchAll_Ct-1),AZ894=0),AB894,0)</f>
        <v>0</v>
      </c>
      <c r="CH894" s="994">
        <f>IF(AND(Input_Product=Elig!$C894,Elig_MatchAll_Ct&lt;22,$BC894=(Elig_MatchAll_Ct-1),AZ894=0),AC894,0)</f>
        <v>0</v>
      </c>
      <c r="CI894" s="993">
        <f>IF(AND(Input_Product=Elig!$C894,Elig_MatchAll_Ct&lt;22,$BC894=(Elig_MatchAll_Ct-1),BA894=0),AD894,0)</f>
        <v>0</v>
      </c>
      <c r="CJ894" s="994">
        <f>IF(AND(Input_Product=Elig!$C894,Elig_MatchAll_Ct&lt;22,$BC894=(Elig_MatchAll_Ct-1),BA894=0),AE894,0)</f>
        <v>0</v>
      </c>
    </row>
    <row r="895" spans="2:88" ht="10.15" customHeight="1" x14ac:dyDescent="0.25">
      <c r="B895" s="1916" t="s">
        <v>2231</v>
      </c>
      <c r="C895" s="1208" t="str">
        <f t="shared" si="367"/>
        <v xml:space="preserve">  </v>
      </c>
      <c r="D895" s="1209" t="s">
        <v>2218</v>
      </c>
      <c r="E895" s="1209" t="s">
        <v>167</v>
      </c>
      <c r="F895" s="1209" t="s">
        <v>331</v>
      </c>
      <c r="G895" s="1210" t="s">
        <v>303</v>
      </c>
      <c r="H895" s="1210" t="s">
        <v>136</v>
      </c>
      <c r="I895" s="1209" t="s">
        <v>274</v>
      </c>
      <c r="J895" s="1209" t="s">
        <v>1311</v>
      </c>
      <c r="K895" s="1210" t="s">
        <v>3022</v>
      </c>
      <c r="L895" s="1209" t="s">
        <v>2768</v>
      </c>
      <c r="M895" s="1209" t="s">
        <v>2677</v>
      </c>
      <c r="N895" s="1210" t="s">
        <v>82</v>
      </c>
      <c r="O895" s="1209" t="s">
        <v>310</v>
      </c>
      <c r="P895" s="1209" t="s">
        <v>291</v>
      </c>
      <c r="Q895" s="1209" t="s">
        <v>294</v>
      </c>
      <c r="R895" s="1209">
        <v>2000000.01</v>
      </c>
      <c r="S895" s="1209">
        <v>2500000</v>
      </c>
      <c r="T895" s="1209">
        <v>0</v>
      </c>
      <c r="U895" s="1209">
        <v>0</v>
      </c>
      <c r="V895" s="1209">
        <v>0</v>
      </c>
      <c r="W895" s="1209">
        <v>50</v>
      </c>
      <c r="X895" s="1209">
        <v>0</v>
      </c>
      <c r="Y895" s="1209">
        <v>999</v>
      </c>
      <c r="Z895" s="1211">
        <v>700</v>
      </c>
      <c r="AA895" s="1211">
        <v>719</v>
      </c>
      <c r="AB895" s="1211">
        <v>6</v>
      </c>
      <c r="AC895" s="1211">
        <v>999999</v>
      </c>
      <c r="AD895" s="1209">
        <v>0</v>
      </c>
      <c r="AE895" s="1212">
        <v>80</v>
      </c>
      <c r="AF895" s="170">
        <v>0</v>
      </c>
      <c r="AG895" s="171">
        <v>1</v>
      </c>
      <c r="AH895" s="171">
        <v>1</v>
      </c>
      <c r="AI895" s="171">
        <v>1</v>
      </c>
      <c r="AJ895" s="171">
        <v>1</v>
      </c>
      <c r="AK895" s="171">
        <v>1</v>
      </c>
      <c r="AL895" s="171">
        <v>0</v>
      </c>
      <c r="AM895" s="171">
        <v>1</v>
      </c>
      <c r="AN895" s="171">
        <v>1</v>
      </c>
      <c r="AO895" s="171">
        <v>1</v>
      </c>
      <c r="AP895" s="171">
        <v>1</v>
      </c>
      <c r="AQ895" s="171">
        <v>1</v>
      </c>
      <c r="AR895" s="171">
        <v>1</v>
      </c>
      <c r="AS895" s="171">
        <v>1</v>
      </c>
      <c r="AT895" s="171">
        <v>1</v>
      </c>
      <c r="AU895" s="171">
        <f t="shared" si="368"/>
        <v>0</v>
      </c>
      <c r="AV895" s="171">
        <f t="shared" si="369"/>
        <v>0</v>
      </c>
      <c r="AW895" s="171">
        <f t="shared" si="370"/>
        <v>1</v>
      </c>
      <c r="AX895" s="171">
        <f t="shared" si="371"/>
        <v>1</v>
      </c>
      <c r="AY895" s="171">
        <f t="shared" si="372"/>
        <v>0</v>
      </c>
      <c r="AZ895" s="171">
        <f t="shared" si="373"/>
        <v>1</v>
      </c>
      <c r="BA895" s="172">
        <f t="shared" si="374"/>
        <v>1</v>
      </c>
      <c r="BB895" s="175">
        <f t="shared" si="375"/>
        <v>17</v>
      </c>
      <c r="BC895" s="176">
        <f t="shared" si="376"/>
        <v>16</v>
      </c>
      <c r="BD895" s="176">
        <f t="shared" si="377"/>
        <v>17</v>
      </c>
      <c r="BE895" s="240" t="str">
        <f t="shared" si="343"/>
        <v/>
      </c>
      <c r="BF895" s="990"/>
      <c r="BG895" s="990"/>
      <c r="BH895" s="991">
        <f>IF(AND(Input_Product=Elig!$C895,Elig_MatchAll_Ct&lt;22,$BC895=(Elig_MatchAll_Ct-1),AF895=0),C895,0)</f>
        <v>0</v>
      </c>
      <c r="BI895" s="991">
        <f>IF(AND(Input_Product=Elig!$C895,Elig_MatchAll_Ct&lt;22,$BC895=(Elig_MatchAll_Ct-1),AG895=0),D895,0)</f>
        <v>0</v>
      </c>
      <c r="BJ895" s="991">
        <f>IF(AND(Input_Product=Elig!$C895,Elig_MatchAll_Ct&lt;22,$BC895=(Elig_MatchAll_Ct-1),AH895=0),E895,0)</f>
        <v>0</v>
      </c>
      <c r="BK895" s="991">
        <f>IF(AND(Input_Product=Elig!$C895,Elig_MatchAll_Ct&lt;22,$BC895=(Elig_MatchAll_Ct-1),AI895=0),F895,0)</f>
        <v>0</v>
      </c>
      <c r="BL895" s="991">
        <f>IF(AND(Input_Product=Elig!$C895,Elig_MatchAll_Ct&lt;22,$BC895=(Elig_MatchAll_Ct-1),AJ895=0),G895,0)</f>
        <v>0</v>
      </c>
      <c r="BM895" s="991">
        <f>IF(AND(Input_Product=Elig!$C895,Elig_MatchAll_Ct&lt;22,$BC895=(Elig_MatchAll_Ct-1),AK895=0),H895,0)</f>
        <v>0</v>
      </c>
      <c r="BN895" s="991">
        <f>IF(AND(Input_Product=Elig!$C895,Elig_MatchAll_Ct&lt;22,$BC895=(Elig_MatchAll_Ct-1),AL895=0),I895,0)</f>
        <v>0</v>
      </c>
      <c r="BO895" s="991">
        <f>IF(AND(Input_Product=Elig!$C895,Elig_MatchAll_Ct&lt;22,$BC895=(Elig_MatchAll_Ct-1),AM895=0),J895,0)</f>
        <v>0</v>
      </c>
      <c r="BP895" s="991">
        <f>IF(AND(Input_Product=Elig!$C895,Elig_MatchAll_Ct&lt;22,$BC895=(Elig_MatchAll_Ct-1),AN895=0),K895,0)</f>
        <v>0</v>
      </c>
      <c r="BQ895" s="991">
        <f>IF(AND(Input_Product=Elig!$C895,Elig_MatchAll_Ct&lt;22,$BC895=(Elig_MatchAll_Ct-1),AP895=0),L895,0)</f>
        <v>0</v>
      </c>
      <c r="BR895" s="991">
        <f>IF(AND(Input_Product=Elig!$C895,Elig_MatchAll_Ct&lt;22,$BC895=(Elig_MatchAll_Ct-1),AO895=0),M895,0)</f>
        <v>0</v>
      </c>
      <c r="BS895" s="991">
        <f>IF(AND(Input_Product=Elig!$C895,Elig_MatchAll_Ct&lt;22,$BC895=(Elig_MatchAll_Ct-1),AQ895=0),N895,0)</f>
        <v>0</v>
      </c>
      <c r="BT895" s="991">
        <f>IF(AND(Input_Product=Elig!$C895,Elig_MatchAll_Ct&lt;22,$BC895=(Elig_MatchAll_Ct-1),AR895=0),O895,0)</f>
        <v>0</v>
      </c>
      <c r="BU895" s="991">
        <f>IF(AND(Input_Product=Elig!$C895,Elig_MatchAll_Ct&lt;22,$BC895=(Elig_MatchAll_Ct-1),AS895=0),P895,0)</f>
        <v>0</v>
      </c>
      <c r="BV895" s="992">
        <f>IF(AND(Input_Product=Elig!$C895,Elig_MatchAll_Ct&lt;22,$BC895=(Elig_MatchAll_Ct-1),AT895=0),Q895,0)</f>
        <v>0</v>
      </c>
      <c r="BW895" s="993">
        <f>IF(AND(Input_Product=Elig!$C895,Elig_MatchAll_Ct&lt;22,$BC895=(Elig_MatchAll_Ct-1),AU895=0),R895,0)</f>
        <v>0</v>
      </c>
      <c r="BX895" s="994">
        <f>IF(AND(Input_Product=Elig!$C895,Elig_MatchAll_Ct&lt;22,$BC895=(Elig_MatchAll_Ct-1),AU895=0),S895,0)</f>
        <v>0</v>
      </c>
      <c r="BY895" s="993">
        <f>IF(AND(Input_Product=Elig!$C895,Elig_MatchAll_Ct&lt;22,$BC895=(Elig_MatchAll_Ct-1),AV895=0),T895,0)</f>
        <v>0</v>
      </c>
      <c r="BZ895" s="994">
        <f>IF(AND(Input_Product=Elig!$C895,Elig_MatchAll_Ct&lt;22,$BC895=(Elig_MatchAll_Ct-1),AV895=0),U895,0)</f>
        <v>0</v>
      </c>
      <c r="CA895" s="993">
        <f>IF(AND(Input_Product=Elig!$C895,Elig_MatchAll_Ct&lt;22,$BC895=(Elig_MatchAll_Ct-1),AW895=0),V895,0)</f>
        <v>0</v>
      </c>
      <c r="CB895" s="994">
        <f>IF(AND(Input_Product=Elig!$C895,Elig_MatchAll_Ct&lt;22,$BC895=(Elig_MatchAll_Ct-1),AW895=0),W895,0)</f>
        <v>0</v>
      </c>
      <c r="CC895" s="993">
        <f>IF(AND(Input_Product=Elig!$C895,Elig_MatchAll_Ct&lt;22,$BC895=(Elig_MatchAll_Ct-1),AX895=0),X895,0)</f>
        <v>0</v>
      </c>
      <c r="CD895" s="994">
        <f>IF(AND(Input_Product=Elig!$C895,Elig_MatchAll_Ct&lt;22,$BC895=(Elig_MatchAll_Ct-1),AX895=0),Y895,0)</f>
        <v>0</v>
      </c>
      <c r="CE895" s="993">
        <f>IF(AND(Input_LTV&lt;=AE895,Input_Product=Elig!$C895,Elig_MatchAll_Ct&lt;22,$BC895=(Elig_MatchAll_Ct-1),AY895=0),Z895,0)</f>
        <v>0</v>
      </c>
      <c r="CF895" s="994">
        <f>IF(AND(Input_LTV&lt;=AE895,Input_Product=Elig!$C895,Elig_MatchAll_Ct&lt;22,$BC895=(Elig_MatchAll_Ct-1),AY895=0),AA895,0)</f>
        <v>0</v>
      </c>
      <c r="CG895" s="993">
        <f>IF(AND(Input_Product=Elig!$C895,Elig_MatchAll_Ct&lt;22,$BC895=(Elig_MatchAll_Ct-1),AZ895=0),AB895,0)</f>
        <v>0</v>
      </c>
      <c r="CH895" s="994">
        <f>IF(AND(Input_Product=Elig!$C895,Elig_MatchAll_Ct&lt;22,$BC895=(Elig_MatchAll_Ct-1),AZ895=0),AC895,0)</f>
        <v>0</v>
      </c>
      <c r="CI895" s="993">
        <f>IF(AND(Input_Product=Elig!$C895,Elig_MatchAll_Ct&lt;22,$BC895=(Elig_MatchAll_Ct-1),BA895=0),AD895,0)</f>
        <v>0</v>
      </c>
      <c r="CJ895" s="994">
        <f>IF(AND(Input_Product=Elig!$C895,Elig_MatchAll_Ct&lt;22,$BC895=(Elig_MatchAll_Ct-1),BA895=0),AE895,0)</f>
        <v>0</v>
      </c>
    </row>
    <row r="896" spans="2:88" ht="10.15" customHeight="1" x14ac:dyDescent="0.25">
      <c r="B896" s="1916" t="s">
        <v>2232</v>
      </c>
      <c r="C896" s="1213" t="str">
        <f t="shared" si="367"/>
        <v xml:space="preserve">  </v>
      </c>
      <c r="D896" s="1214" t="s">
        <v>2218</v>
      </c>
      <c r="E896" s="1214" t="s">
        <v>167</v>
      </c>
      <c r="F896" s="1214" t="s">
        <v>331</v>
      </c>
      <c r="G896" s="1215" t="s">
        <v>303</v>
      </c>
      <c r="H896" s="1215" t="s">
        <v>136</v>
      </c>
      <c r="I896" s="1214" t="s">
        <v>274</v>
      </c>
      <c r="J896" s="1214" t="s">
        <v>1311</v>
      </c>
      <c r="K896" s="1215" t="s">
        <v>3022</v>
      </c>
      <c r="L896" s="1214" t="s">
        <v>2768</v>
      </c>
      <c r="M896" s="1214" t="s">
        <v>2677</v>
      </c>
      <c r="N896" s="1215" t="s">
        <v>82</v>
      </c>
      <c r="O896" s="1214" t="s">
        <v>310</v>
      </c>
      <c r="P896" s="1214" t="s">
        <v>291</v>
      </c>
      <c r="Q896" s="1214" t="s">
        <v>294</v>
      </c>
      <c r="R896" s="1214">
        <v>2000000.01</v>
      </c>
      <c r="S896" s="1214">
        <v>2500000</v>
      </c>
      <c r="T896" s="1214">
        <v>0</v>
      </c>
      <c r="U896" s="1214">
        <v>0</v>
      </c>
      <c r="V896" s="1214">
        <v>0</v>
      </c>
      <c r="W896" s="1214">
        <v>50</v>
      </c>
      <c r="X896" s="1214">
        <v>0</v>
      </c>
      <c r="Y896" s="1214">
        <v>999</v>
      </c>
      <c r="Z896" s="1216">
        <v>680</v>
      </c>
      <c r="AA896" s="1216">
        <v>699</v>
      </c>
      <c r="AB896" s="1216">
        <v>6</v>
      </c>
      <c r="AC896" s="1216">
        <v>999999</v>
      </c>
      <c r="AD896" s="1214">
        <v>0</v>
      </c>
      <c r="AE896" s="1217">
        <v>80</v>
      </c>
      <c r="AF896" s="170">
        <v>0</v>
      </c>
      <c r="AG896" s="171">
        <v>1</v>
      </c>
      <c r="AH896" s="171">
        <v>1</v>
      </c>
      <c r="AI896" s="171">
        <v>1</v>
      </c>
      <c r="AJ896" s="171">
        <v>1</v>
      </c>
      <c r="AK896" s="171">
        <v>1</v>
      </c>
      <c r="AL896" s="171">
        <v>0</v>
      </c>
      <c r="AM896" s="171">
        <v>1</v>
      </c>
      <c r="AN896" s="171">
        <v>1</v>
      </c>
      <c r="AO896" s="171">
        <v>1</v>
      </c>
      <c r="AP896" s="171">
        <v>1</v>
      </c>
      <c r="AQ896" s="171">
        <v>1</v>
      </c>
      <c r="AR896" s="171">
        <v>1</v>
      </c>
      <c r="AS896" s="171">
        <v>1</v>
      </c>
      <c r="AT896" s="171">
        <v>1</v>
      </c>
      <c r="AU896" s="171">
        <f t="shared" si="368"/>
        <v>0</v>
      </c>
      <c r="AV896" s="171">
        <f t="shared" si="369"/>
        <v>0</v>
      </c>
      <c r="AW896" s="171">
        <f t="shared" si="370"/>
        <v>1</v>
      </c>
      <c r="AX896" s="171">
        <f t="shared" si="371"/>
        <v>1</v>
      </c>
      <c r="AY896" s="171">
        <f t="shared" si="372"/>
        <v>0</v>
      </c>
      <c r="AZ896" s="171">
        <f t="shared" si="373"/>
        <v>1</v>
      </c>
      <c r="BA896" s="172">
        <f t="shared" si="374"/>
        <v>1</v>
      </c>
      <c r="BB896" s="175">
        <f t="shared" si="375"/>
        <v>17</v>
      </c>
      <c r="BC896" s="176">
        <f t="shared" si="376"/>
        <v>16</v>
      </c>
      <c r="BD896" s="176">
        <f t="shared" si="377"/>
        <v>17</v>
      </c>
      <c r="BE896" s="240" t="str">
        <f t="shared" si="343"/>
        <v/>
      </c>
      <c r="BF896" s="990"/>
      <c r="BG896" s="990"/>
      <c r="BH896" s="991">
        <f>IF(AND(Input_Product=Elig!$C896,Elig_MatchAll_Ct&lt;22,$BC896=(Elig_MatchAll_Ct-1),AF896=0),C896,0)</f>
        <v>0</v>
      </c>
      <c r="BI896" s="991">
        <f>IF(AND(Input_Product=Elig!$C896,Elig_MatchAll_Ct&lt;22,$BC896=(Elig_MatchAll_Ct-1),AG896=0),D896,0)</f>
        <v>0</v>
      </c>
      <c r="BJ896" s="991">
        <f>IF(AND(Input_Product=Elig!$C896,Elig_MatchAll_Ct&lt;22,$BC896=(Elig_MatchAll_Ct-1),AH896=0),E896,0)</f>
        <v>0</v>
      </c>
      <c r="BK896" s="991">
        <f>IF(AND(Input_Product=Elig!$C896,Elig_MatchAll_Ct&lt;22,$BC896=(Elig_MatchAll_Ct-1),AI896=0),F896,0)</f>
        <v>0</v>
      </c>
      <c r="BL896" s="991">
        <f>IF(AND(Input_Product=Elig!$C896,Elig_MatchAll_Ct&lt;22,$BC896=(Elig_MatchAll_Ct-1),AJ896=0),G896,0)</f>
        <v>0</v>
      </c>
      <c r="BM896" s="991">
        <f>IF(AND(Input_Product=Elig!$C896,Elig_MatchAll_Ct&lt;22,$BC896=(Elig_MatchAll_Ct-1),AK896=0),H896,0)</f>
        <v>0</v>
      </c>
      <c r="BN896" s="991">
        <f>IF(AND(Input_Product=Elig!$C896,Elig_MatchAll_Ct&lt;22,$BC896=(Elig_MatchAll_Ct-1),AL896=0),I896,0)</f>
        <v>0</v>
      </c>
      <c r="BO896" s="991">
        <f>IF(AND(Input_Product=Elig!$C896,Elig_MatchAll_Ct&lt;22,$BC896=(Elig_MatchAll_Ct-1),AM896=0),J896,0)</f>
        <v>0</v>
      </c>
      <c r="BP896" s="991">
        <f>IF(AND(Input_Product=Elig!$C896,Elig_MatchAll_Ct&lt;22,$BC896=(Elig_MatchAll_Ct-1),AN896=0),K896,0)</f>
        <v>0</v>
      </c>
      <c r="BQ896" s="991">
        <f>IF(AND(Input_Product=Elig!$C896,Elig_MatchAll_Ct&lt;22,$BC896=(Elig_MatchAll_Ct-1),AP896=0),L896,0)</f>
        <v>0</v>
      </c>
      <c r="BR896" s="991">
        <f>IF(AND(Input_Product=Elig!$C896,Elig_MatchAll_Ct&lt;22,$BC896=(Elig_MatchAll_Ct-1),AO896=0),M896,0)</f>
        <v>0</v>
      </c>
      <c r="BS896" s="991">
        <f>IF(AND(Input_Product=Elig!$C896,Elig_MatchAll_Ct&lt;22,$BC896=(Elig_MatchAll_Ct-1),AQ896=0),N896,0)</f>
        <v>0</v>
      </c>
      <c r="BT896" s="991">
        <f>IF(AND(Input_Product=Elig!$C896,Elig_MatchAll_Ct&lt;22,$BC896=(Elig_MatchAll_Ct-1),AR896=0),O896,0)</f>
        <v>0</v>
      </c>
      <c r="BU896" s="991">
        <f>IF(AND(Input_Product=Elig!$C896,Elig_MatchAll_Ct&lt;22,$BC896=(Elig_MatchAll_Ct-1),AS896=0),P896,0)</f>
        <v>0</v>
      </c>
      <c r="BV896" s="992">
        <f>IF(AND(Input_Product=Elig!$C896,Elig_MatchAll_Ct&lt;22,$BC896=(Elig_MatchAll_Ct-1),AT896=0),Q896,0)</f>
        <v>0</v>
      </c>
      <c r="BW896" s="993">
        <f>IF(AND(Input_Product=Elig!$C896,Elig_MatchAll_Ct&lt;22,$BC896=(Elig_MatchAll_Ct-1),AU896=0),R896,0)</f>
        <v>0</v>
      </c>
      <c r="BX896" s="994">
        <f>IF(AND(Input_Product=Elig!$C896,Elig_MatchAll_Ct&lt;22,$BC896=(Elig_MatchAll_Ct-1),AU896=0),S896,0)</f>
        <v>0</v>
      </c>
      <c r="BY896" s="993">
        <f>IF(AND(Input_Product=Elig!$C896,Elig_MatchAll_Ct&lt;22,$BC896=(Elig_MatchAll_Ct-1),AV896=0),T896,0)</f>
        <v>0</v>
      </c>
      <c r="BZ896" s="994">
        <f>IF(AND(Input_Product=Elig!$C896,Elig_MatchAll_Ct&lt;22,$BC896=(Elig_MatchAll_Ct-1),AV896=0),U896,0)</f>
        <v>0</v>
      </c>
      <c r="CA896" s="993">
        <f>IF(AND(Input_Product=Elig!$C896,Elig_MatchAll_Ct&lt;22,$BC896=(Elig_MatchAll_Ct-1),AW896=0),V896,0)</f>
        <v>0</v>
      </c>
      <c r="CB896" s="994">
        <f>IF(AND(Input_Product=Elig!$C896,Elig_MatchAll_Ct&lt;22,$BC896=(Elig_MatchAll_Ct-1),AW896=0),W896,0)</f>
        <v>0</v>
      </c>
      <c r="CC896" s="993">
        <f>IF(AND(Input_Product=Elig!$C896,Elig_MatchAll_Ct&lt;22,$BC896=(Elig_MatchAll_Ct-1),AX896=0),X896,0)</f>
        <v>0</v>
      </c>
      <c r="CD896" s="994">
        <f>IF(AND(Input_Product=Elig!$C896,Elig_MatchAll_Ct&lt;22,$BC896=(Elig_MatchAll_Ct-1),AX896=0),Y896,0)</f>
        <v>0</v>
      </c>
      <c r="CE896" s="993">
        <f>IF(AND(Input_LTV&lt;=AE896,Input_Product=Elig!$C896,Elig_MatchAll_Ct&lt;22,$BC896=(Elig_MatchAll_Ct-1),AY896=0),Z896,0)</f>
        <v>0</v>
      </c>
      <c r="CF896" s="994">
        <f>IF(AND(Input_LTV&lt;=AE896,Input_Product=Elig!$C896,Elig_MatchAll_Ct&lt;22,$BC896=(Elig_MatchAll_Ct-1),AY896=0),AA896,0)</f>
        <v>0</v>
      </c>
      <c r="CG896" s="993">
        <f>IF(AND(Input_Product=Elig!$C896,Elig_MatchAll_Ct&lt;22,$BC896=(Elig_MatchAll_Ct-1),AZ896=0),AB896,0)</f>
        <v>0</v>
      </c>
      <c r="CH896" s="994">
        <f>IF(AND(Input_Product=Elig!$C896,Elig_MatchAll_Ct&lt;22,$BC896=(Elig_MatchAll_Ct-1),AZ896=0),AC896,0)</f>
        <v>0</v>
      </c>
      <c r="CI896" s="993">
        <f>IF(AND(Input_Product=Elig!$C896,Elig_MatchAll_Ct&lt;22,$BC896=(Elig_MatchAll_Ct-1),BA896=0),AD896,0)</f>
        <v>0</v>
      </c>
      <c r="CJ896" s="994">
        <f>IF(AND(Input_Product=Elig!$C896,Elig_MatchAll_Ct&lt;22,$BC896=(Elig_MatchAll_Ct-1),BA896=0),AE896,0)</f>
        <v>0</v>
      </c>
    </row>
    <row r="897" spans="2:88" ht="10.15" customHeight="1" x14ac:dyDescent="0.25">
      <c r="B897" s="1916" t="s">
        <v>2233</v>
      </c>
      <c r="C897" s="1203" t="str">
        <f t="shared" si="367"/>
        <v xml:space="preserve">  </v>
      </c>
      <c r="D897" s="1204" t="s">
        <v>2218</v>
      </c>
      <c r="E897" s="1204" t="s">
        <v>167</v>
      </c>
      <c r="F897" s="1204" t="s">
        <v>331</v>
      </c>
      <c r="G897" s="1205" t="s">
        <v>303</v>
      </c>
      <c r="H897" s="1205" t="s">
        <v>136</v>
      </c>
      <c r="I897" s="1204" t="s">
        <v>274</v>
      </c>
      <c r="J897" s="1204" t="s">
        <v>1311</v>
      </c>
      <c r="K897" s="1205" t="s">
        <v>3022</v>
      </c>
      <c r="L897" s="1204" t="s">
        <v>2768</v>
      </c>
      <c r="M897" s="1204" t="s">
        <v>2677</v>
      </c>
      <c r="N897" s="1205" t="s">
        <v>82</v>
      </c>
      <c r="O897" s="1204" t="s">
        <v>310</v>
      </c>
      <c r="P897" s="1204" t="s">
        <v>291</v>
      </c>
      <c r="Q897" s="1204" t="s">
        <v>294</v>
      </c>
      <c r="R897" s="1204">
        <v>2500000.0099999998</v>
      </c>
      <c r="S897" s="1204">
        <v>3000000</v>
      </c>
      <c r="T897" s="1204">
        <v>0</v>
      </c>
      <c r="U897" s="1204">
        <v>0</v>
      </c>
      <c r="V897" s="1204">
        <v>0</v>
      </c>
      <c r="W897" s="1204">
        <v>50</v>
      </c>
      <c r="X897" s="1204">
        <v>0</v>
      </c>
      <c r="Y897" s="1204">
        <v>999</v>
      </c>
      <c r="Z897" s="1206">
        <v>720</v>
      </c>
      <c r="AA897" s="1206">
        <v>999</v>
      </c>
      <c r="AB897" s="1206">
        <v>6</v>
      </c>
      <c r="AC897" s="1206">
        <v>999999</v>
      </c>
      <c r="AD897" s="1204">
        <v>0</v>
      </c>
      <c r="AE897" s="1207">
        <v>75</v>
      </c>
      <c r="AF897" s="170">
        <v>0</v>
      </c>
      <c r="AG897" s="171">
        <v>1</v>
      </c>
      <c r="AH897" s="171">
        <v>1</v>
      </c>
      <c r="AI897" s="171">
        <v>1</v>
      </c>
      <c r="AJ897" s="171">
        <v>1</v>
      </c>
      <c r="AK897" s="171">
        <v>1</v>
      </c>
      <c r="AL897" s="171">
        <v>0</v>
      </c>
      <c r="AM897" s="171">
        <v>1</v>
      </c>
      <c r="AN897" s="171">
        <v>1</v>
      </c>
      <c r="AO897" s="171">
        <v>1</v>
      </c>
      <c r="AP897" s="171">
        <v>1</v>
      </c>
      <c r="AQ897" s="171">
        <v>1</v>
      </c>
      <c r="AR897" s="171">
        <v>1</v>
      </c>
      <c r="AS897" s="171">
        <v>1</v>
      </c>
      <c r="AT897" s="171">
        <v>1</v>
      </c>
      <c r="AU897" s="171">
        <f t="shared" si="368"/>
        <v>0</v>
      </c>
      <c r="AV897" s="171">
        <f t="shared" si="369"/>
        <v>0</v>
      </c>
      <c r="AW897" s="171">
        <f t="shared" si="370"/>
        <v>1</v>
      </c>
      <c r="AX897" s="171">
        <f t="shared" si="371"/>
        <v>1</v>
      </c>
      <c r="AY897" s="171">
        <f t="shared" si="372"/>
        <v>1</v>
      </c>
      <c r="AZ897" s="171">
        <f t="shared" si="373"/>
        <v>1</v>
      </c>
      <c r="BA897" s="172">
        <f t="shared" si="374"/>
        <v>1</v>
      </c>
      <c r="BB897" s="175">
        <f t="shared" si="375"/>
        <v>18</v>
      </c>
      <c r="BC897" s="176">
        <f t="shared" si="376"/>
        <v>17</v>
      </c>
      <c r="BD897" s="176">
        <f t="shared" si="377"/>
        <v>18</v>
      </c>
      <c r="BE897" s="240" t="str">
        <f t="shared" si="343"/>
        <v/>
      </c>
      <c r="BF897" s="990"/>
      <c r="BG897" s="990"/>
      <c r="BH897" s="991">
        <f>IF(AND(Input_Product=Elig!$C897,Elig_MatchAll_Ct&lt;22,$BC897=(Elig_MatchAll_Ct-1),AF897=0),C897,0)</f>
        <v>0</v>
      </c>
      <c r="BI897" s="991">
        <f>IF(AND(Input_Product=Elig!$C897,Elig_MatchAll_Ct&lt;22,$BC897=(Elig_MatchAll_Ct-1),AG897=0),D897,0)</f>
        <v>0</v>
      </c>
      <c r="BJ897" s="991">
        <f>IF(AND(Input_Product=Elig!$C897,Elig_MatchAll_Ct&lt;22,$BC897=(Elig_MatchAll_Ct-1),AH897=0),E897,0)</f>
        <v>0</v>
      </c>
      <c r="BK897" s="991">
        <f>IF(AND(Input_Product=Elig!$C897,Elig_MatchAll_Ct&lt;22,$BC897=(Elig_MatchAll_Ct-1),AI897=0),F897,0)</f>
        <v>0</v>
      </c>
      <c r="BL897" s="991">
        <f>IF(AND(Input_Product=Elig!$C897,Elig_MatchAll_Ct&lt;22,$BC897=(Elig_MatchAll_Ct-1),AJ897=0),G897,0)</f>
        <v>0</v>
      </c>
      <c r="BM897" s="991">
        <f>IF(AND(Input_Product=Elig!$C897,Elig_MatchAll_Ct&lt;22,$BC897=(Elig_MatchAll_Ct-1),AK897=0),H897,0)</f>
        <v>0</v>
      </c>
      <c r="BN897" s="991">
        <f>IF(AND(Input_Product=Elig!$C897,Elig_MatchAll_Ct&lt;22,$BC897=(Elig_MatchAll_Ct-1),AL897=0),I897,0)</f>
        <v>0</v>
      </c>
      <c r="BO897" s="991">
        <f>IF(AND(Input_Product=Elig!$C897,Elig_MatchAll_Ct&lt;22,$BC897=(Elig_MatchAll_Ct-1),AM897=0),J897,0)</f>
        <v>0</v>
      </c>
      <c r="BP897" s="991">
        <f>IF(AND(Input_Product=Elig!$C897,Elig_MatchAll_Ct&lt;22,$BC897=(Elig_MatchAll_Ct-1),AN897=0),K897,0)</f>
        <v>0</v>
      </c>
      <c r="BQ897" s="991">
        <f>IF(AND(Input_Product=Elig!$C897,Elig_MatchAll_Ct&lt;22,$BC897=(Elig_MatchAll_Ct-1),AP897=0),L897,0)</f>
        <v>0</v>
      </c>
      <c r="BR897" s="991">
        <f>IF(AND(Input_Product=Elig!$C897,Elig_MatchAll_Ct&lt;22,$BC897=(Elig_MatchAll_Ct-1),AO897=0),M897,0)</f>
        <v>0</v>
      </c>
      <c r="BS897" s="991">
        <f>IF(AND(Input_Product=Elig!$C897,Elig_MatchAll_Ct&lt;22,$BC897=(Elig_MatchAll_Ct-1),AQ897=0),N897,0)</f>
        <v>0</v>
      </c>
      <c r="BT897" s="991">
        <f>IF(AND(Input_Product=Elig!$C897,Elig_MatchAll_Ct&lt;22,$BC897=(Elig_MatchAll_Ct-1),AR897=0),O897,0)</f>
        <v>0</v>
      </c>
      <c r="BU897" s="991">
        <f>IF(AND(Input_Product=Elig!$C897,Elig_MatchAll_Ct&lt;22,$BC897=(Elig_MatchAll_Ct-1),AS897=0),P897,0)</f>
        <v>0</v>
      </c>
      <c r="BV897" s="992">
        <f>IF(AND(Input_Product=Elig!$C897,Elig_MatchAll_Ct&lt;22,$BC897=(Elig_MatchAll_Ct-1),AT897=0),Q897,0)</f>
        <v>0</v>
      </c>
      <c r="BW897" s="993">
        <f>IF(AND(Input_Product=Elig!$C897,Elig_MatchAll_Ct&lt;22,$BC897=(Elig_MatchAll_Ct-1),AU897=0),R897,0)</f>
        <v>0</v>
      </c>
      <c r="BX897" s="994">
        <f>IF(AND(Input_Product=Elig!$C897,Elig_MatchAll_Ct&lt;22,$BC897=(Elig_MatchAll_Ct-1),AU897=0),S897,0)</f>
        <v>0</v>
      </c>
      <c r="BY897" s="993">
        <f>IF(AND(Input_Product=Elig!$C897,Elig_MatchAll_Ct&lt;22,$BC897=(Elig_MatchAll_Ct-1),AV897=0),T897,0)</f>
        <v>0</v>
      </c>
      <c r="BZ897" s="994">
        <f>IF(AND(Input_Product=Elig!$C897,Elig_MatchAll_Ct&lt;22,$BC897=(Elig_MatchAll_Ct-1),AV897=0),U897,0)</f>
        <v>0</v>
      </c>
      <c r="CA897" s="993">
        <f>IF(AND(Input_Product=Elig!$C897,Elig_MatchAll_Ct&lt;22,$BC897=(Elig_MatchAll_Ct-1),AW897=0),V897,0)</f>
        <v>0</v>
      </c>
      <c r="CB897" s="994">
        <f>IF(AND(Input_Product=Elig!$C897,Elig_MatchAll_Ct&lt;22,$BC897=(Elig_MatchAll_Ct-1),AW897=0),W897,0)</f>
        <v>0</v>
      </c>
      <c r="CC897" s="993">
        <f>IF(AND(Input_Product=Elig!$C897,Elig_MatchAll_Ct&lt;22,$BC897=(Elig_MatchAll_Ct-1),AX897=0),X897,0)</f>
        <v>0</v>
      </c>
      <c r="CD897" s="994">
        <f>IF(AND(Input_Product=Elig!$C897,Elig_MatchAll_Ct&lt;22,$BC897=(Elig_MatchAll_Ct-1),AX897=0),Y897,0)</f>
        <v>0</v>
      </c>
      <c r="CE897" s="993">
        <f>IF(AND(Input_LTV&lt;=AE897,Input_Product=Elig!$C897,Elig_MatchAll_Ct&lt;22,$BC897=(Elig_MatchAll_Ct-1),AY897=0),Z897,0)</f>
        <v>0</v>
      </c>
      <c r="CF897" s="994">
        <f>IF(AND(Input_LTV&lt;=AE897,Input_Product=Elig!$C897,Elig_MatchAll_Ct&lt;22,$BC897=(Elig_MatchAll_Ct-1),AY897=0),AA897,0)</f>
        <v>0</v>
      </c>
      <c r="CG897" s="993">
        <f>IF(AND(Input_Product=Elig!$C897,Elig_MatchAll_Ct&lt;22,$BC897=(Elig_MatchAll_Ct-1),AZ897=0),AB897,0)</f>
        <v>0</v>
      </c>
      <c r="CH897" s="994">
        <f>IF(AND(Input_Product=Elig!$C897,Elig_MatchAll_Ct&lt;22,$BC897=(Elig_MatchAll_Ct-1),AZ897=0),AC897,0)</f>
        <v>0</v>
      </c>
      <c r="CI897" s="993">
        <f>IF(AND(Input_Product=Elig!$C897,Elig_MatchAll_Ct&lt;22,$BC897=(Elig_MatchAll_Ct-1),BA897=0),AD897,0)</f>
        <v>0</v>
      </c>
      <c r="CJ897" s="994">
        <f>IF(AND(Input_Product=Elig!$C897,Elig_MatchAll_Ct&lt;22,$BC897=(Elig_MatchAll_Ct-1),BA897=0),AE897,0)</f>
        <v>0</v>
      </c>
    </row>
    <row r="898" spans="2:88" ht="10.15" customHeight="1" x14ac:dyDescent="0.25">
      <c r="B898" s="1916" t="s">
        <v>2234</v>
      </c>
      <c r="C898" s="1208" t="str">
        <f t="shared" si="367"/>
        <v xml:space="preserve">  </v>
      </c>
      <c r="D898" s="1209" t="s">
        <v>2218</v>
      </c>
      <c r="E898" s="1209" t="s">
        <v>167</v>
      </c>
      <c r="F898" s="1209" t="s">
        <v>331</v>
      </c>
      <c r="G898" s="1210" t="s">
        <v>303</v>
      </c>
      <c r="H898" s="1210" t="s">
        <v>136</v>
      </c>
      <c r="I898" s="1209" t="s">
        <v>274</v>
      </c>
      <c r="J898" s="1209" t="s">
        <v>1311</v>
      </c>
      <c r="K898" s="1210" t="s">
        <v>3022</v>
      </c>
      <c r="L898" s="1209" t="s">
        <v>2768</v>
      </c>
      <c r="M898" s="1209" t="s">
        <v>2677</v>
      </c>
      <c r="N898" s="1210" t="s">
        <v>82</v>
      </c>
      <c r="O898" s="1209" t="s">
        <v>310</v>
      </c>
      <c r="P898" s="1209" t="s">
        <v>291</v>
      </c>
      <c r="Q898" s="1209" t="s">
        <v>294</v>
      </c>
      <c r="R898" s="1209">
        <v>2500000.0099999998</v>
      </c>
      <c r="S898" s="1209">
        <v>3000000</v>
      </c>
      <c r="T898" s="1209">
        <v>0</v>
      </c>
      <c r="U898" s="1209">
        <v>0</v>
      </c>
      <c r="V898" s="1209">
        <v>0</v>
      </c>
      <c r="W898" s="1209">
        <v>50</v>
      </c>
      <c r="X898" s="1209">
        <v>0</v>
      </c>
      <c r="Y898" s="1209">
        <v>999</v>
      </c>
      <c r="Z898" s="1211">
        <v>700</v>
      </c>
      <c r="AA898" s="1211">
        <v>719</v>
      </c>
      <c r="AB898" s="1211">
        <v>6</v>
      </c>
      <c r="AC898" s="1211">
        <v>999999</v>
      </c>
      <c r="AD898" s="1209">
        <v>0</v>
      </c>
      <c r="AE898" s="1212">
        <v>75</v>
      </c>
      <c r="AF898" s="170">
        <v>0</v>
      </c>
      <c r="AG898" s="171">
        <v>1</v>
      </c>
      <c r="AH898" s="171">
        <v>1</v>
      </c>
      <c r="AI898" s="171">
        <v>1</v>
      </c>
      <c r="AJ898" s="171">
        <v>1</v>
      </c>
      <c r="AK898" s="171">
        <v>1</v>
      </c>
      <c r="AL898" s="171">
        <v>0</v>
      </c>
      <c r="AM898" s="171">
        <v>1</v>
      </c>
      <c r="AN898" s="171">
        <v>1</v>
      </c>
      <c r="AO898" s="171">
        <v>1</v>
      </c>
      <c r="AP898" s="171">
        <v>1</v>
      </c>
      <c r="AQ898" s="171">
        <v>1</v>
      </c>
      <c r="AR898" s="171">
        <v>1</v>
      </c>
      <c r="AS898" s="171">
        <v>1</v>
      </c>
      <c r="AT898" s="171">
        <v>1</v>
      </c>
      <c r="AU898" s="171">
        <f t="shared" si="368"/>
        <v>0</v>
      </c>
      <c r="AV898" s="171">
        <f t="shared" si="369"/>
        <v>0</v>
      </c>
      <c r="AW898" s="171">
        <f t="shared" si="370"/>
        <v>1</v>
      </c>
      <c r="AX898" s="171">
        <f t="shared" si="371"/>
        <v>1</v>
      </c>
      <c r="AY898" s="171">
        <f t="shared" si="372"/>
        <v>0</v>
      </c>
      <c r="AZ898" s="171">
        <f t="shared" si="373"/>
        <v>1</v>
      </c>
      <c r="BA898" s="172">
        <f t="shared" si="374"/>
        <v>1</v>
      </c>
      <c r="BB898" s="175">
        <f t="shared" si="375"/>
        <v>17</v>
      </c>
      <c r="BC898" s="176">
        <f t="shared" si="376"/>
        <v>16</v>
      </c>
      <c r="BD898" s="176">
        <f t="shared" si="377"/>
        <v>17</v>
      </c>
      <c r="BE898" s="240" t="str">
        <f t="shared" si="343"/>
        <v/>
      </c>
      <c r="BF898" s="990"/>
      <c r="BG898" s="990"/>
      <c r="BH898" s="991">
        <f>IF(AND(Input_Product=Elig!$C898,Elig_MatchAll_Ct&lt;22,$BC898=(Elig_MatchAll_Ct-1),AF898=0),C898,0)</f>
        <v>0</v>
      </c>
      <c r="BI898" s="991">
        <f>IF(AND(Input_Product=Elig!$C898,Elig_MatchAll_Ct&lt;22,$BC898=(Elig_MatchAll_Ct-1),AG898=0),D898,0)</f>
        <v>0</v>
      </c>
      <c r="BJ898" s="991">
        <f>IF(AND(Input_Product=Elig!$C898,Elig_MatchAll_Ct&lt;22,$BC898=(Elig_MatchAll_Ct-1),AH898=0),E898,0)</f>
        <v>0</v>
      </c>
      <c r="BK898" s="991">
        <f>IF(AND(Input_Product=Elig!$C898,Elig_MatchAll_Ct&lt;22,$BC898=(Elig_MatchAll_Ct-1),AI898=0),F898,0)</f>
        <v>0</v>
      </c>
      <c r="BL898" s="991">
        <f>IF(AND(Input_Product=Elig!$C898,Elig_MatchAll_Ct&lt;22,$BC898=(Elig_MatchAll_Ct-1),AJ898=0),G898,0)</f>
        <v>0</v>
      </c>
      <c r="BM898" s="991">
        <f>IF(AND(Input_Product=Elig!$C898,Elig_MatchAll_Ct&lt;22,$BC898=(Elig_MatchAll_Ct-1),AK898=0),H898,0)</f>
        <v>0</v>
      </c>
      <c r="BN898" s="991">
        <f>IF(AND(Input_Product=Elig!$C898,Elig_MatchAll_Ct&lt;22,$BC898=(Elig_MatchAll_Ct-1),AL898=0),I898,0)</f>
        <v>0</v>
      </c>
      <c r="BO898" s="991">
        <f>IF(AND(Input_Product=Elig!$C898,Elig_MatchAll_Ct&lt;22,$BC898=(Elig_MatchAll_Ct-1),AM898=0),J898,0)</f>
        <v>0</v>
      </c>
      <c r="BP898" s="991">
        <f>IF(AND(Input_Product=Elig!$C898,Elig_MatchAll_Ct&lt;22,$BC898=(Elig_MatchAll_Ct-1),AN898=0),K898,0)</f>
        <v>0</v>
      </c>
      <c r="BQ898" s="991">
        <f>IF(AND(Input_Product=Elig!$C898,Elig_MatchAll_Ct&lt;22,$BC898=(Elig_MatchAll_Ct-1),AP898=0),L898,0)</f>
        <v>0</v>
      </c>
      <c r="BR898" s="991">
        <f>IF(AND(Input_Product=Elig!$C898,Elig_MatchAll_Ct&lt;22,$BC898=(Elig_MatchAll_Ct-1),AO898=0),M898,0)</f>
        <v>0</v>
      </c>
      <c r="BS898" s="991">
        <f>IF(AND(Input_Product=Elig!$C898,Elig_MatchAll_Ct&lt;22,$BC898=(Elig_MatchAll_Ct-1),AQ898=0),N898,0)</f>
        <v>0</v>
      </c>
      <c r="BT898" s="991">
        <f>IF(AND(Input_Product=Elig!$C898,Elig_MatchAll_Ct&lt;22,$BC898=(Elig_MatchAll_Ct-1),AR898=0),O898,0)</f>
        <v>0</v>
      </c>
      <c r="BU898" s="991">
        <f>IF(AND(Input_Product=Elig!$C898,Elig_MatchAll_Ct&lt;22,$BC898=(Elig_MatchAll_Ct-1),AS898=0),P898,0)</f>
        <v>0</v>
      </c>
      <c r="BV898" s="992">
        <f>IF(AND(Input_Product=Elig!$C898,Elig_MatchAll_Ct&lt;22,$BC898=(Elig_MatchAll_Ct-1),AT898=0),Q898,0)</f>
        <v>0</v>
      </c>
      <c r="BW898" s="993">
        <f>IF(AND(Input_Product=Elig!$C898,Elig_MatchAll_Ct&lt;22,$BC898=(Elig_MatchAll_Ct-1),AU898=0),R898,0)</f>
        <v>0</v>
      </c>
      <c r="BX898" s="994">
        <f>IF(AND(Input_Product=Elig!$C898,Elig_MatchAll_Ct&lt;22,$BC898=(Elig_MatchAll_Ct-1),AU898=0),S898,0)</f>
        <v>0</v>
      </c>
      <c r="BY898" s="993">
        <f>IF(AND(Input_Product=Elig!$C898,Elig_MatchAll_Ct&lt;22,$BC898=(Elig_MatchAll_Ct-1),AV898=0),T898,0)</f>
        <v>0</v>
      </c>
      <c r="BZ898" s="994">
        <f>IF(AND(Input_Product=Elig!$C898,Elig_MatchAll_Ct&lt;22,$BC898=(Elig_MatchAll_Ct-1),AV898=0),U898,0)</f>
        <v>0</v>
      </c>
      <c r="CA898" s="993">
        <f>IF(AND(Input_Product=Elig!$C898,Elig_MatchAll_Ct&lt;22,$BC898=(Elig_MatchAll_Ct-1),AW898=0),V898,0)</f>
        <v>0</v>
      </c>
      <c r="CB898" s="994">
        <f>IF(AND(Input_Product=Elig!$C898,Elig_MatchAll_Ct&lt;22,$BC898=(Elig_MatchAll_Ct-1),AW898=0),W898,0)</f>
        <v>0</v>
      </c>
      <c r="CC898" s="993">
        <f>IF(AND(Input_Product=Elig!$C898,Elig_MatchAll_Ct&lt;22,$BC898=(Elig_MatchAll_Ct-1),AX898=0),X898,0)</f>
        <v>0</v>
      </c>
      <c r="CD898" s="994">
        <f>IF(AND(Input_Product=Elig!$C898,Elig_MatchAll_Ct&lt;22,$BC898=(Elig_MatchAll_Ct-1),AX898=0),Y898,0)</f>
        <v>0</v>
      </c>
      <c r="CE898" s="993">
        <f>IF(AND(Input_LTV&lt;=AE898,Input_Product=Elig!$C898,Elig_MatchAll_Ct&lt;22,$BC898=(Elig_MatchAll_Ct-1),AY898=0),Z898,0)</f>
        <v>0</v>
      </c>
      <c r="CF898" s="994">
        <f>IF(AND(Input_LTV&lt;=AE898,Input_Product=Elig!$C898,Elig_MatchAll_Ct&lt;22,$BC898=(Elig_MatchAll_Ct-1),AY898=0),AA898,0)</f>
        <v>0</v>
      </c>
      <c r="CG898" s="993">
        <f>IF(AND(Input_Product=Elig!$C898,Elig_MatchAll_Ct&lt;22,$BC898=(Elig_MatchAll_Ct-1),AZ898=0),AB898,0)</f>
        <v>0</v>
      </c>
      <c r="CH898" s="994">
        <f>IF(AND(Input_Product=Elig!$C898,Elig_MatchAll_Ct&lt;22,$BC898=(Elig_MatchAll_Ct-1),AZ898=0),AC898,0)</f>
        <v>0</v>
      </c>
      <c r="CI898" s="993">
        <f>IF(AND(Input_Product=Elig!$C898,Elig_MatchAll_Ct&lt;22,$BC898=(Elig_MatchAll_Ct-1),BA898=0),AD898,0)</f>
        <v>0</v>
      </c>
      <c r="CJ898" s="994">
        <f>IF(AND(Input_Product=Elig!$C898,Elig_MatchAll_Ct&lt;22,$BC898=(Elig_MatchAll_Ct-1),BA898=0),AE898,0)</f>
        <v>0</v>
      </c>
    </row>
    <row r="899" spans="2:88" ht="10.15" customHeight="1" x14ac:dyDescent="0.25">
      <c r="B899" s="1916" t="s">
        <v>2235</v>
      </c>
      <c r="C899" s="1213" t="str">
        <f t="shared" si="367"/>
        <v xml:space="preserve">  </v>
      </c>
      <c r="D899" s="1214" t="s">
        <v>2218</v>
      </c>
      <c r="E899" s="1214" t="s">
        <v>167</v>
      </c>
      <c r="F899" s="1214" t="s">
        <v>331</v>
      </c>
      <c r="G899" s="1215" t="s">
        <v>303</v>
      </c>
      <c r="H899" s="1215" t="s">
        <v>136</v>
      </c>
      <c r="I899" s="1214" t="s">
        <v>274</v>
      </c>
      <c r="J899" s="1214" t="s">
        <v>1311</v>
      </c>
      <c r="K899" s="1215" t="s">
        <v>3022</v>
      </c>
      <c r="L899" s="1214" t="s">
        <v>2768</v>
      </c>
      <c r="M899" s="1214" t="s">
        <v>2677</v>
      </c>
      <c r="N899" s="1215" t="s">
        <v>82</v>
      </c>
      <c r="O899" s="1214" t="s">
        <v>310</v>
      </c>
      <c r="P899" s="1214" t="s">
        <v>291</v>
      </c>
      <c r="Q899" s="1214" t="s">
        <v>294</v>
      </c>
      <c r="R899" s="1214">
        <v>2500000.0099999998</v>
      </c>
      <c r="S899" s="1214">
        <v>3000000</v>
      </c>
      <c r="T899" s="1214">
        <v>0</v>
      </c>
      <c r="U899" s="1214">
        <v>0</v>
      </c>
      <c r="V899" s="1214">
        <v>0</v>
      </c>
      <c r="W899" s="1214">
        <v>50</v>
      </c>
      <c r="X899" s="1214">
        <v>0</v>
      </c>
      <c r="Y899" s="1214">
        <v>999</v>
      </c>
      <c r="Z899" s="1216">
        <v>680</v>
      </c>
      <c r="AA899" s="1216">
        <v>699</v>
      </c>
      <c r="AB899" s="1216">
        <v>6</v>
      </c>
      <c r="AC899" s="1216">
        <v>999999</v>
      </c>
      <c r="AD899" s="1214">
        <v>0</v>
      </c>
      <c r="AE899" s="1217">
        <v>75</v>
      </c>
      <c r="AF899" s="170">
        <v>0</v>
      </c>
      <c r="AG899" s="171">
        <v>1</v>
      </c>
      <c r="AH899" s="171">
        <v>1</v>
      </c>
      <c r="AI899" s="171">
        <v>1</v>
      </c>
      <c r="AJ899" s="171">
        <v>1</v>
      </c>
      <c r="AK899" s="171">
        <v>1</v>
      </c>
      <c r="AL899" s="171">
        <v>0</v>
      </c>
      <c r="AM899" s="171">
        <v>1</v>
      </c>
      <c r="AN899" s="171">
        <v>1</v>
      </c>
      <c r="AO899" s="171">
        <v>1</v>
      </c>
      <c r="AP899" s="171">
        <v>1</v>
      </c>
      <c r="AQ899" s="171">
        <v>1</v>
      </c>
      <c r="AR899" s="171">
        <v>1</v>
      </c>
      <c r="AS899" s="171">
        <v>1</v>
      </c>
      <c r="AT899" s="171">
        <v>1</v>
      </c>
      <c r="AU899" s="171">
        <f t="shared" si="368"/>
        <v>0</v>
      </c>
      <c r="AV899" s="171">
        <f t="shared" si="369"/>
        <v>0</v>
      </c>
      <c r="AW899" s="171">
        <f t="shared" si="370"/>
        <v>1</v>
      </c>
      <c r="AX899" s="171">
        <f t="shared" si="371"/>
        <v>1</v>
      </c>
      <c r="AY899" s="171">
        <f t="shared" si="372"/>
        <v>0</v>
      </c>
      <c r="AZ899" s="171">
        <f t="shared" si="373"/>
        <v>1</v>
      </c>
      <c r="BA899" s="172">
        <f t="shared" si="374"/>
        <v>1</v>
      </c>
      <c r="BB899" s="175">
        <f t="shared" si="375"/>
        <v>17</v>
      </c>
      <c r="BC899" s="176">
        <f t="shared" si="376"/>
        <v>16</v>
      </c>
      <c r="BD899" s="176">
        <f t="shared" si="377"/>
        <v>17</v>
      </c>
      <c r="BE899" s="240" t="str">
        <f t="shared" si="343"/>
        <v/>
      </c>
      <c r="BF899" s="990"/>
      <c r="BG899" s="990"/>
      <c r="BH899" s="991">
        <f>IF(AND(Input_Product=Elig!$C899,Elig_MatchAll_Ct&lt;22,$BC899=(Elig_MatchAll_Ct-1),AF899=0),C899,0)</f>
        <v>0</v>
      </c>
      <c r="BI899" s="991">
        <f>IF(AND(Input_Product=Elig!$C899,Elig_MatchAll_Ct&lt;22,$BC899=(Elig_MatchAll_Ct-1),AG899=0),D899,0)</f>
        <v>0</v>
      </c>
      <c r="BJ899" s="991">
        <f>IF(AND(Input_Product=Elig!$C899,Elig_MatchAll_Ct&lt;22,$BC899=(Elig_MatchAll_Ct-1),AH899=0),E899,0)</f>
        <v>0</v>
      </c>
      <c r="BK899" s="991">
        <f>IF(AND(Input_Product=Elig!$C899,Elig_MatchAll_Ct&lt;22,$BC899=(Elig_MatchAll_Ct-1),AI899=0),F899,0)</f>
        <v>0</v>
      </c>
      <c r="BL899" s="991">
        <f>IF(AND(Input_Product=Elig!$C899,Elig_MatchAll_Ct&lt;22,$BC899=(Elig_MatchAll_Ct-1),AJ899=0),G899,0)</f>
        <v>0</v>
      </c>
      <c r="BM899" s="991">
        <f>IF(AND(Input_Product=Elig!$C899,Elig_MatchAll_Ct&lt;22,$BC899=(Elig_MatchAll_Ct-1),AK899=0),H899,0)</f>
        <v>0</v>
      </c>
      <c r="BN899" s="991">
        <f>IF(AND(Input_Product=Elig!$C899,Elig_MatchAll_Ct&lt;22,$BC899=(Elig_MatchAll_Ct-1),AL899=0),I899,0)</f>
        <v>0</v>
      </c>
      <c r="BO899" s="991">
        <f>IF(AND(Input_Product=Elig!$C899,Elig_MatchAll_Ct&lt;22,$BC899=(Elig_MatchAll_Ct-1),AM899=0),J899,0)</f>
        <v>0</v>
      </c>
      <c r="BP899" s="991">
        <f>IF(AND(Input_Product=Elig!$C899,Elig_MatchAll_Ct&lt;22,$BC899=(Elig_MatchAll_Ct-1),AN899=0),K899,0)</f>
        <v>0</v>
      </c>
      <c r="BQ899" s="991">
        <f>IF(AND(Input_Product=Elig!$C899,Elig_MatchAll_Ct&lt;22,$BC899=(Elig_MatchAll_Ct-1),AP899=0),L899,0)</f>
        <v>0</v>
      </c>
      <c r="BR899" s="991">
        <f>IF(AND(Input_Product=Elig!$C899,Elig_MatchAll_Ct&lt;22,$BC899=(Elig_MatchAll_Ct-1),AO899=0),M899,0)</f>
        <v>0</v>
      </c>
      <c r="BS899" s="991">
        <f>IF(AND(Input_Product=Elig!$C899,Elig_MatchAll_Ct&lt;22,$BC899=(Elig_MatchAll_Ct-1),AQ899=0),N899,0)</f>
        <v>0</v>
      </c>
      <c r="BT899" s="991">
        <f>IF(AND(Input_Product=Elig!$C899,Elig_MatchAll_Ct&lt;22,$BC899=(Elig_MatchAll_Ct-1),AR899=0),O899,0)</f>
        <v>0</v>
      </c>
      <c r="BU899" s="991">
        <f>IF(AND(Input_Product=Elig!$C899,Elig_MatchAll_Ct&lt;22,$BC899=(Elig_MatchAll_Ct-1),AS899=0),P899,0)</f>
        <v>0</v>
      </c>
      <c r="BV899" s="992">
        <f>IF(AND(Input_Product=Elig!$C899,Elig_MatchAll_Ct&lt;22,$BC899=(Elig_MatchAll_Ct-1),AT899=0),Q899,0)</f>
        <v>0</v>
      </c>
      <c r="BW899" s="993">
        <f>IF(AND(Input_Product=Elig!$C899,Elig_MatchAll_Ct&lt;22,$BC899=(Elig_MatchAll_Ct-1),AU899=0),R899,0)</f>
        <v>0</v>
      </c>
      <c r="BX899" s="994">
        <f>IF(AND(Input_Product=Elig!$C899,Elig_MatchAll_Ct&lt;22,$BC899=(Elig_MatchAll_Ct-1),AU899=0),S899,0)</f>
        <v>0</v>
      </c>
      <c r="BY899" s="993">
        <f>IF(AND(Input_Product=Elig!$C899,Elig_MatchAll_Ct&lt;22,$BC899=(Elig_MatchAll_Ct-1),AV899=0),T899,0)</f>
        <v>0</v>
      </c>
      <c r="BZ899" s="994">
        <f>IF(AND(Input_Product=Elig!$C899,Elig_MatchAll_Ct&lt;22,$BC899=(Elig_MatchAll_Ct-1),AV899=0),U899,0)</f>
        <v>0</v>
      </c>
      <c r="CA899" s="993">
        <f>IF(AND(Input_Product=Elig!$C899,Elig_MatchAll_Ct&lt;22,$BC899=(Elig_MatchAll_Ct-1),AW899=0),V899,0)</f>
        <v>0</v>
      </c>
      <c r="CB899" s="994">
        <f>IF(AND(Input_Product=Elig!$C899,Elig_MatchAll_Ct&lt;22,$BC899=(Elig_MatchAll_Ct-1),AW899=0),W899,0)</f>
        <v>0</v>
      </c>
      <c r="CC899" s="993">
        <f>IF(AND(Input_Product=Elig!$C899,Elig_MatchAll_Ct&lt;22,$BC899=(Elig_MatchAll_Ct-1),AX899=0),X899,0)</f>
        <v>0</v>
      </c>
      <c r="CD899" s="994">
        <f>IF(AND(Input_Product=Elig!$C899,Elig_MatchAll_Ct&lt;22,$BC899=(Elig_MatchAll_Ct-1),AX899=0),Y899,0)</f>
        <v>0</v>
      </c>
      <c r="CE899" s="993">
        <f>IF(AND(Input_LTV&lt;=AE899,Input_Product=Elig!$C899,Elig_MatchAll_Ct&lt;22,$BC899=(Elig_MatchAll_Ct-1),AY899=0),Z899,0)</f>
        <v>0</v>
      </c>
      <c r="CF899" s="994">
        <f>IF(AND(Input_LTV&lt;=AE899,Input_Product=Elig!$C899,Elig_MatchAll_Ct&lt;22,$BC899=(Elig_MatchAll_Ct-1),AY899=0),AA899,0)</f>
        <v>0</v>
      </c>
      <c r="CG899" s="993">
        <f>IF(AND(Input_Product=Elig!$C899,Elig_MatchAll_Ct&lt;22,$BC899=(Elig_MatchAll_Ct-1),AZ899=0),AB899,0)</f>
        <v>0</v>
      </c>
      <c r="CH899" s="994">
        <f>IF(AND(Input_Product=Elig!$C899,Elig_MatchAll_Ct&lt;22,$BC899=(Elig_MatchAll_Ct-1),AZ899=0),AC899,0)</f>
        <v>0</v>
      </c>
      <c r="CI899" s="993">
        <f>IF(AND(Input_Product=Elig!$C899,Elig_MatchAll_Ct&lt;22,$BC899=(Elig_MatchAll_Ct-1),BA899=0),AD899,0)</f>
        <v>0</v>
      </c>
      <c r="CJ899" s="994">
        <f>IF(AND(Input_Product=Elig!$C899,Elig_MatchAll_Ct&lt;22,$BC899=(Elig_MatchAll_Ct-1),BA899=0),AE899,0)</f>
        <v>0</v>
      </c>
    </row>
    <row r="900" spans="2:88" ht="10.15" customHeight="1" x14ac:dyDescent="0.25">
      <c r="B900" s="1916" t="s">
        <v>2236</v>
      </c>
      <c r="C900" s="1203" t="str">
        <f t="shared" si="367"/>
        <v xml:space="preserve">  </v>
      </c>
      <c r="D900" s="1204" t="s">
        <v>2218</v>
      </c>
      <c r="E900" s="1204" t="s">
        <v>167</v>
      </c>
      <c r="F900" s="1204" t="s">
        <v>331</v>
      </c>
      <c r="G900" s="1205" t="s">
        <v>175</v>
      </c>
      <c r="H900" s="1205" t="s">
        <v>446</v>
      </c>
      <c r="I900" s="1204" t="s">
        <v>274</v>
      </c>
      <c r="J900" s="1204" t="s">
        <v>1311</v>
      </c>
      <c r="K900" s="1205" t="s">
        <v>3022</v>
      </c>
      <c r="L900" s="1204" t="s">
        <v>2768</v>
      </c>
      <c r="M900" s="1204" t="s">
        <v>2677</v>
      </c>
      <c r="N900" s="1205" t="s">
        <v>82</v>
      </c>
      <c r="O900" s="1204" t="s">
        <v>310</v>
      </c>
      <c r="P900" s="1204" t="s">
        <v>291</v>
      </c>
      <c r="Q900" s="1204" t="s">
        <v>294</v>
      </c>
      <c r="R900" s="1204">
        <v>125000</v>
      </c>
      <c r="S900" s="1204">
        <v>1000000</v>
      </c>
      <c r="T900" s="1204">
        <v>0</v>
      </c>
      <c r="U900" s="1204">
        <v>0</v>
      </c>
      <c r="V900" s="1204">
        <v>0</v>
      </c>
      <c r="W900" s="1204">
        <v>50</v>
      </c>
      <c r="X900" s="1204">
        <v>0</v>
      </c>
      <c r="Y900" s="1204">
        <v>999</v>
      </c>
      <c r="Z900" s="1206">
        <v>720</v>
      </c>
      <c r="AA900" s="1206">
        <v>999</v>
      </c>
      <c r="AB900" s="1206">
        <v>3</v>
      </c>
      <c r="AC900" s="1206">
        <v>999999</v>
      </c>
      <c r="AD900" s="1204">
        <v>0</v>
      </c>
      <c r="AE900" s="1207">
        <v>85</v>
      </c>
      <c r="AF900" s="170">
        <v>0</v>
      </c>
      <c r="AG900" s="171">
        <v>1</v>
      </c>
      <c r="AH900" s="171">
        <v>1</v>
      </c>
      <c r="AI900" s="171">
        <v>1</v>
      </c>
      <c r="AJ900" s="171">
        <v>0</v>
      </c>
      <c r="AK900" s="171">
        <v>0</v>
      </c>
      <c r="AL900" s="171">
        <v>0</v>
      </c>
      <c r="AM900" s="171">
        <v>1</v>
      </c>
      <c r="AN900" s="171">
        <v>1</v>
      </c>
      <c r="AO900" s="171">
        <v>1</v>
      </c>
      <c r="AP900" s="171">
        <v>1</v>
      </c>
      <c r="AQ900" s="171">
        <v>1</v>
      </c>
      <c r="AR900" s="171">
        <v>1</v>
      </c>
      <c r="AS900" s="171">
        <v>1</v>
      </c>
      <c r="AT900" s="171">
        <v>1</v>
      </c>
      <c r="AU900" s="171">
        <f t="shared" si="368"/>
        <v>1</v>
      </c>
      <c r="AV900" s="171">
        <f t="shared" si="369"/>
        <v>0</v>
      </c>
      <c r="AW900" s="171">
        <f t="shared" si="370"/>
        <v>1</v>
      </c>
      <c r="AX900" s="171">
        <f t="shared" si="371"/>
        <v>1</v>
      </c>
      <c r="AY900" s="171">
        <f t="shared" si="372"/>
        <v>1</v>
      </c>
      <c r="AZ900" s="171">
        <f t="shared" si="373"/>
        <v>1</v>
      </c>
      <c r="BA900" s="172">
        <f t="shared" si="374"/>
        <v>1</v>
      </c>
      <c r="BB900" s="175">
        <f t="shared" si="375"/>
        <v>17</v>
      </c>
      <c r="BC900" s="176">
        <f t="shared" si="376"/>
        <v>16</v>
      </c>
      <c r="BD900" s="176">
        <f t="shared" si="377"/>
        <v>17</v>
      </c>
      <c r="BE900" s="240" t="str">
        <f t="shared" si="343"/>
        <v/>
      </c>
      <c r="BF900" s="990"/>
      <c r="BG900" s="990"/>
      <c r="BH900" s="991">
        <f>IF(AND(Input_Product=Elig!$C900,Elig_MatchAll_Ct&lt;22,$BC900=(Elig_MatchAll_Ct-1),AF900=0),C900,0)</f>
        <v>0</v>
      </c>
      <c r="BI900" s="991">
        <f>IF(AND(Input_Product=Elig!$C900,Elig_MatchAll_Ct&lt;22,$BC900=(Elig_MatchAll_Ct-1),AG900=0),D900,0)</f>
        <v>0</v>
      </c>
      <c r="BJ900" s="991">
        <f>IF(AND(Input_Product=Elig!$C900,Elig_MatchAll_Ct&lt;22,$BC900=(Elig_MatchAll_Ct-1),AH900=0),E900,0)</f>
        <v>0</v>
      </c>
      <c r="BK900" s="991">
        <f>IF(AND(Input_Product=Elig!$C900,Elig_MatchAll_Ct&lt;22,$BC900=(Elig_MatchAll_Ct-1),AI900=0),F900,0)</f>
        <v>0</v>
      </c>
      <c r="BL900" s="991">
        <f>IF(AND(Input_Product=Elig!$C900,Elig_MatchAll_Ct&lt;22,$BC900=(Elig_MatchAll_Ct-1),AJ900=0),G900,0)</f>
        <v>0</v>
      </c>
      <c r="BM900" s="991">
        <f>IF(AND(Input_Product=Elig!$C900,Elig_MatchAll_Ct&lt;22,$BC900=(Elig_MatchAll_Ct-1),AK900=0),H900,0)</f>
        <v>0</v>
      </c>
      <c r="BN900" s="991">
        <f>IF(AND(Input_Product=Elig!$C900,Elig_MatchAll_Ct&lt;22,$BC900=(Elig_MatchAll_Ct-1),AL900=0),I900,0)</f>
        <v>0</v>
      </c>
      <c r="BO900" s="991">
        <f>IF(AND(Input_Product=Elig!$C900,Elig_MatchAll_Ct&lt;22,$BC900=(Elig_MatchAll_Ct-1),AM900=0),J900,0)</f>
        <v>0</v>
      </c>
      <c r="BP900" s="991">
        <f>IF(AND(Input_Product=Elig!$C900,Elig_MatchAll_Ct&lt;22,$BC900=(Elig_MatchAll_Ct-1),AN900=0),K900,0)</f>
        <v>0</v>
      </c>
      <c r="BQ900" s="991">
        <f>IF(AND(Input_Product=Elig!$C900,Elig_MatchAll_Ct&lt;22,$BC900=(Elig_MatchAll_Ct-1),AP900=0),L900,0)</f>
        <v>0</v>
      </c>
      <c r="BR900" s="991">
        <f>IF(AND(Input_Product=Elig!$C900,Elig_MatchAll_Ct&lt;22,$BC900=(Elig_MatchAll_Ct-1),AO900=0),M900,0)</f>
        <v>0</v>
      </c>
      <c r="BS900" s="991">
        <f>IF(AND(Input_Product=Elig!$C900,Elig_MatchAll_Ct&lt;22,$BC900=(Elig_MatchAll_Ct-1),AQ900=0),N900,0)</f>
        <v>0</v>
      </c>
      <c r="BT900" s="991">
        <f>IF(AND(Input_Product=Elig!$C900,Elig_MatchAll_Ct&lt;22,$BC900=(Elig_MatchAll_Ct-1),AR900=0),O900,0)</f>
        <v>0</v>
      </c>
      <c r="BU900" s="991">
        <f>IF(AND(Input_Product=Elig!$C900,Elig_MatchAll_Ct&lt;22,$BC900=(Elig_MatchAll_Ct-1),AS900=0),P900,0)</f>
        <v>0</v>
      </c>
      <c r="BV900" s="992">
        <f>IF(AND(Input_Product=Elig!$C900,Elig_MatchAll_Ct&lt;22,$BC900=(Elig_MatchAll_Ct-1),AT900=0),Q900,0)</f>
        <v>0</v>
      </c>
      <c r="BW900" s="993">
        <f>IF(AND(Input_Product=Elig!$C900,Elig_MatchAll_Ct&lt;22,$BC900=(Elig_MatchAll_Ct-1),AU900=0),R900,0)</f>
        <v>0</v>
      </c>
      <c r="BX900" s="994">
        <f>IF(AND(Input_Product=Elig!$C900,Elig_MatchAll_Ct&lt;22,$BC900=(Elig_MatchAll_Ct-1),AU900=0),S900,0)</f>
        <v>0</v>
      </c>
      <c r="BY900" s="993">
        <f>IF(AND(Input_Product=Elig!$C900,Elig_MatchAll_Ct&lt;22,$BC900=(Elig_MatchAll_Ct-1),AV900=0),T900,0)</f>
        <v>0</v>
      </c>
      <c r="BZ900" s="994">
        <f>IF(AND(Input_Product=Elig!$C900,Elig_MatchAll_Ct&lt;22,$BC900=(Elig_MatchAll_Ct-1),AV900=0),U900,0)</f>
        <v>0</v>
      </c>
      <c r="CA900" s="993">
        <f>IF(AND(Input_Product=Elig!$C900,Elig_MatchAll_Ct&lt;22,$BC900=(Elig_MatchAll_Ct-1),AW900=0),V900,0)</f>
        <v>0</v>
      </c>
      <c r="CB900" s="994">
        <f>IF(AND(Input_Product=Elig!$C900,Elig_MatchAll_Ct&lt;22,$BC900=(Elig_MatchAll_Ct-1),AW900=0),W900,0)</f>
        <v>0</v>
      </c>
      <c r="CC900" s="993">
        <f>IF(AND(Input_Product=Elig!$C900,Elig_MatchAll_Ct&lt;22,$BC900=(Elig_MatchAll_Ct-1),AX900=0),X900,0)</f>
        <v>0</v>
      </c>
      <c r="CD900" s="994">
        <f>IF(AND(Input_Product=Elig!$C900,Elig_MatchAll_Ct&lt;22,$BC900=(Elig_MatchAll_Ct-1),AX900=0),Y900,0)</f>
        <v>0</v>
      </c>
      <c r="CE900" s="993">
        <f>IF(AND(Input_LTV&lt;=AE900,Input_Product=Elig!$C900,Elig_MatchAll_Ct&lt;22,$BC900=(Elig_MatchAll_Ct-1),AY900=0),Z900,0)</f>
        <v>0</v>
      </c>
      <c r="CF900" s="994">
        <f>IF(AND(Input_LTV&lt;=AE900,Input_Product=Elig!$C900,Elig_MatchAll_Ct&lt;22,$BC900=(Elig_MatchAll_Ct-1),AY900=0),AA900,0)</f>
        <v>0</v>
      </c>
      <c r="CG900" s="993">
        <f>IF(AND(Input_Product=Elig!$C900,Elig_MatchAll_Ct&lt;22,$BC900=(Elig_MatchAll_Ct-1),AZ900=0),AB900,0)</f>
        <v>0</v>
      </c>
      <c r="CH900" s="994">
        <f>IF(AND(Input_Product=Elig!$C900,Elig_MatchAll_Ct&lt;22,$BC900=(Elig_MatchAll_Ct-1),AZ900=0),AC900,0)</f>
        <v>0</v>
      </c>
      <c r="CI900" s="993">
        <f>IF(AND(Input_Product=Elig!$C900,Elig_MatchAll_Ct&lt;22,$BC900=(Elig_MatchAll_Ct-1),BA900=0),AD900,0)</f>
        <v>0</v>
      </c>
      <c r="CJ900" s="994">
        <f>IF(AND(Input_Product=Elig!$C900,Elig_MatchAll_Ct&lt;22,$BC900=(Elig_MatchAll_Ct-1),BA900=0),AE900,0)</f>
        <v>0</v>
      </c>
    </row>
    <row r="901" spans="2:88" ht="10.15" customHeight="1" x14ac:dyDescent="0.25">
      <c r="B901" s="1916" t="s">
        <v>2237</v>
      </c>
      <c r="C901" s="1208" t="str">
        <f t="shared" si="367"/>
        <v xml:space="preserve">  </v>
      </c>
      <c r="D901" s="1209" t="s">
        <v>2218</v>
      </c>
      <c r="E901" s="1209" t="s">
        <v>167</v>
      </c>
      <c r="F901" s="1209" t="s">
        <v>331</v>
      </c>
      <c r="G901" s="1210" t="s">
        <v>175</v>
      </c>
      <c r="H901" s="1210" t="s">
        <v>446</v>
      </c>
      <c r="I901" s="1209" t="s">
        <v>274</v>
      </c>
      <c r="J901" s="1209" t="s">
        <v>1311</v>
      </c>
      <c r="K901" s="1210" t="s">
        <v>3022</v>
      </c>
      <c r="L901" s="1209" t="s">
        <v>2768</v>
      </c>
      <c r="M901" s="1209" t="s">
        <v>2677</v>
      </c>
      <c r="N901" s="1210" t="s">
        <v>82</v>
      </c>
      <c r="O901" s="1209" t="s">
        <v>310</v>
      </c>
      <c r="P901" s="1209" t="s">
        <v>291</v>
      </c>
      <c r="Q901" s="1209" t="s">
        <v>294</v>
      </c>
      <c r="R901" s="1209">
        <v>125000</v>
      </c>
      <c r="S901" s="1209">
        <v>1000000</v>
      </c>
      <c r="T901" s="1209">
        <v>0</v>
      </c>
      <c r="U901" s="1209">
        <v>0</v>
      </c>
      <c r="V901" s="1209">
        <v>0</v>
      </c>
      <c r="W901" s="1209">
        <v>50</v>
      </c>
      <c r="X901" s="1209">
        <v>0</v>
      </c>
      <c r="Y901" s="1209">
        <v>999</v>
      </c>
      <c r="Z901" s="1211">
        <v>700</v>
      </c>
      <c r="AA901" s="1211">
        <v>719</v>
      </c>
      <c r="AB901" s="1211">
        <v>3</v>
      </c>
      <c r="AC901" s="1211">
        <v>999999</v>
      </c>
      <c r="AD901" s="1209">
        <v>0</v>
      </c>
      <c r="AE901" s="1212">
        <v>80</v>
      </c>
      <c r="AF901" s="170">
        <v>0</v>
      </c>
      <c r="AG901" s="171">
        <v>1</v>
      </c>
      <c r="AH901" s="171">
        <v>1</v>
      </c>
      <c r="AI901" s="171">
        <v>1</v>
      </c>
      <c r="AJ901" s="171">
        <v>0</v>
      </c>
      <c r="AK901" s="171">
        <v>0</v>
      </c>
      <c r="AL901" s="171">
        <v>0</v>
      </c>
      <c r="AM901" s="171">
        <v>1</v>
      </c>
      <c r="AN901" s="171">
        <v>1</v>
      </c>
      <c r="AO901" s="171">
        <v>1</v>
      </c>
      <c r="AP901" s="171">
        <v>1</v>
      </c>
      <c r="AQ901" s="171">
        <v>1</v>
      </c>
      <c r="AR901" s="171">
        <v>1</v>
      </c>
      <c r="AS901" s="171">
        <v>1</v>
      </c>
      <c r="AT901" s="171">
        <v>1</v>
      </c>
      <c r="AU901" s="171">
        <f t="shared" si="368"/>
        <v>1</v>
      </c>
      <c r="AV901" s="171">
        <f t="shared" si="369"/>
        <v>0</v>
      </c>
      <c r="AW901" s="171">
        <f t="shared" si="370"/>
        <v>1</v>
      </c>
      <c r="AX901" s="171">
        <f t="shared" si="371"/>
        <v>1</v>
      </c>
      <c r="AY901" s="171">
        <f t="shared" si="372"/>
        <v>0</v>
      </c>
      <c r="AZ901" s="171">
        <f t="shared" si="373"/>
        <v>1</v>
      </c>
      <c r="BA901" s="172">
        <f t="shared" si="374"/>
        <v>1</v>
      </c>
      <c r="BB901" s="175">
        <f t="shared" si="375"/>
        <v>16</v>
      </c>
      <c r="BC901" s="176">
        <f t="shared" si="376"/>
        <v>15</v>
      </c>
      <c r="BD901" s="176">
        <f t="shared" si="377"/>
        <v>16</v>
      </c>
      <c r="BE901" s="240" t="str">
        <f t="shared" si="343"/>
        <v/>
      </c>
      <c r="BF901" s="990"/>
      <c r="BG901" s="990"/>
      <c r="BH901" s="991">
        <f>IF(AND(Input_Product=Elig!$C901,Elig_MatchAll_Ct&lt;22,$BC901=(Elig_MatchAll_Ct-1),AF901=0),C901,0)</f>
        <v>0</v>
      </c>
      <c r="BI901" s="991">
        <f>IF(AND(Input_Product=Elig!$C901,Elig_MatchAll_Ct&lt;22,$BC901=(Elig_MatchAll_Ct-1),AG901=0),D901,0)</f>
        <v>0</v>
      </c>
      <c r="BJ901" s="991">
        <f>IF(AND(Input_Product=Elig!$C901,Elig_MatchAll_Ct&lt;22,$BC901=(Elig_MatchAll_Ct-1),AH901=0),E901,0)</f>
        <v>0</v>
      </c>
      <c r="BK901" s="991">
        <f>IF(AND(Input_Product=Elig!$C901,Elig_MatchAll_Ct&lt;22,$BC901=(Elig_MatchAll_Ct-1),AI901=0),F901,0)</f>
        <v>0</v>
      </c>
      <c r="BL901" s="991">
        <f>IF(AND(Input_Product=Elig!$C901,Elig_MatchAll_Ct&lt;22,$BC901=(Elig_MatchAll_Ct-1),AJ901=0),G901,0)</f>
        <v>0</v>
      </c>
      <c r="BM901" s="991">
        <f>IF(AND(Input_Product=Elig!$C901,Elig_MatchAll_Ct&lt;22,$BC901=(Elig_MatchAll_Ct-1),AK901=0),H901,0)</f>
        <v>0</v>
      </c>
      <c r="BN901" s="991">
        <f>IF(AND(Input_Product=Elig!$C901,Elig_MatchAll_Ct&lt;22,$BC901=(Elig_MatchAll_Ct-1),AL901=0),I901,0)</f>
        <v>0</v>
      </c>
      <c r="BO901" s="991">
        <f>IF(AND(Input_Product=Elig!$C901,Elig_MatchAll_Ct&lt;22,$BC901=(Elig_MatchAll_Ct-1),AM901=0),J901,0)</f>
        <v>0</v>
      </c>
      <c r="BP901" s="991">
        <f>IF(AND(Input_Product=Elig!$C901,Elig_MatchAll_Ct&lt;22,$BC901=(Elig_MatchAll_Ct-1),AN901=0),K901,0)</f>
        <v>0</v>
      </c>
      <c r="BQ901" s="991">
        <f>IF(AND(Input_Product=Elig!$C901,Elig_MatchAll_Ct&lt;22,$BC901=(Elig_MatchAll_Ct-1),AP901=0),L901,0)</f>
        <v>0</v>
      </c>
      <c r="BR901" s="991">
        <f>IF(AND(Input_Product=Elig!$C901,Elig_MatchAll_Ct&lt;22,$BC901=(Elig_MatchAll_Ct-1),AO901=0),M901,0)</f>
        <v>0</v>
      </c>
      <c r="BS901" s="991">
        <f>IF(AND(Input_Product=Elig!$C901,Elig_MatchAll_Ct&lt;22,$BC901=(Elig_MatchAll_Ct-1),AQ901=0),N901,0)</f>
        <v>0</v>
      </c>
      <c r="BT901" s="991">
        <f>IF(AND(Input_Product=Elig!$C901,Elig_MatchAll_Ct&lt;22,$BC901=(Elig_MatchAll_Ct-1),AR901=0),O901,0)</f>
        <v>0</v>
      </c>
      <c r="BU901" s="991">
        <f>IF(AND(Input_Product=Elig!$C901,Elig_MatchAll_Ct&lt;22,$BC901=(Elig_MatchAll_Ct-1),AS901=0),P901,0)</f>
        <v>0</v>
      </c>
      <c r="BV901" s="992">
        <f>IF(AND(Input_Product=Elig!$C901,Elig_MatchAll_Ct&lt;22,$BC901=(Elig_MatchAll_Ct-1),AT901=0),Q901,0)</f>
        <v>0</v>
      </c>
      <c r="BW901" s="993">
        <f>IF(AND(Input_Product=Elig!$C901,Elig_MatchAll_Ct&lt;22,$BC901=(Elig_MatchAll_Ct-1),AU901=0),R901,0)</f>
        <v>0</v>
      </c>
      <c r="BX901" s="994">
        <f>IF(AND(Input_Product=Elig!$C901,Elig_MatchAll_Ct&lt;22,$BC901=(Elig_MatchAll_Ct-1),AU901=0),S901,0)</f>
        <v>0</v>
      </c>
      <c r="BY901" s="993">
        <f>IF(AND(Input_Product=Elig!$C901,Elig_MatchAll_Ct&lt;22,$BC901=(Elig_MatchAll_Ct-1),AV901=0),T901,0)</f>
        <v>0</v>
      </c>
      <c r="BZ901" s="994">
        <f>IF(AND(Input_Product=Elig!$C901,Elig_MatchAll_Ct&lt;22,$BC901=(Elig_MatchAll_Ct-1),AV901=0),U901,0)</f>
        <v>0</v>
      </c>
      <c r="CA901" s="993">
        <f>IF(AND(Input_Product=Elig!$C901,Elig_MatchAll_Ct&lt;22,$BC901=(Elig_MatchAll_Ct-1),AW901=0),V901,0)</f>
        <v>0</v>
      </c>
      <c r="CB901" s="994">
        <f>IF(AND(Input_Product=Elig!$C901,Elig_MatchAll_Ct&lt;22,$BC901=(Elig_MatchAll_Ct-1),AW901=0),W901,0)</f>
        <v>0</v>
      </c>
      <c r="CC901" s="993">
        <f>IF(AND(Input_Product=Elig!$C901,Elig_MatchAll_Ct&lt;22,$BC901=(Elig_MatchAll_Ct-1),AX901=0),X901,0)</f>
        <v>0</v>
      </c>
      <c r="CD901" s="994">
        <f>IF(AND(Input_Product=Elig!$C901,Elig_MatchAll_Ct&lt;22,$BC901=(Elig_MatchAll_Ct-1),AX901=0),Y901,0)</f>
        <v>0</v>
      </c>
      <c r="CE901" s="993">
        <f>IF(AND(Input_LTV&lt;=AE901,Input_Product=Elig!$C901,Elig_MatchAll_Ct&lt;22,$BC901=(Elig_MatchAll_Ct-1),AY901=0),Z901,0)</f>
        <v>0</v>
      </c>
      <c r="CF901" s="994">
        <f>IF(AND(Input_LTV&lt;=AE901,Input_Product=Elig!$C901,Elig_MatchAll_Ct&lt;22,$BC901=(Elig_MatchAll_Ct-1),AY901=0),AA901,0)</f>
        <v>0</v>
      </c>
      <c r="CG901" s="993">
        <f>IF(AND(Input_Product=Elig!$C901,Elig_MatchAll_Ct&lt;22,$BC901=(Elig_MatchAll_Ct-1),AZ901=0),AB901,0)</f>
        <v>0</v>
      </c>
      <c r="CH901" s="994">
        <f>IF(AND(Input_Product=Elig!$C901,Elig_MatchAll_Ct&lt;22,$BC901=(Elig_MatchAll_Ct-1),AZ901=0),AC901,0)</f>
        <v>0</v>
      </c>
      <c r="CI901" s="993">
        <f>IF(AND(Input_Product=Elig!$C901,Elig_MatchAll_Ct&lt;22,$BC901=(Elig_MatchAll_Ct-1),BA901=0),AD901,0)</f>
        <v>0</v>
      </c>
      <c r="CJ901" s="994">
        <f>IF(AND(Input_Product=Elig!$C901,Elig_MatchAll_Ct&lt;22,$BC901=(Elig_MatchAll_Ct-1),BA901=0),AE901,0)</f>
        <v>0</v>
      </c>
    </row>
    <row r="902" spans="2:88" ht="10.15" customHeight="1" x14ac:dyDescent="0.25">
      <c r="B902" s="1916" t="s">
        <v>2238</v>
      </c>
      <c r="C902" s="1208" t="str">
        <f t="shared" si="367"/>
        <v xml:space="preserve">  </v>
      </c>
      <c r="D902" s="1209" t="s">
        <v>2218</v>
      </c>
      <c r="E902" s="1209" t="s">
        <v>167</v>
      </c>
      <c r="F902" s="1209" t="s">
        <v>331</v>
      </c>
      <c r="G902" s="1210" t="s">
        <v>175</v>
      </c>
      <c r="H902" s="1210" t="s">
        <v>446</v>
      </c>
      <c r="I902" s="1209" t="s">
        <v>274</v>
      </c>
      <c r="J902" s="1209" t="s">
        <v>1311</v>
      </c>
      <c r="K902" s="1210" t="s">
        <v>3022</v>
      </c>
      <c r="L902" s="1209" t="s">
        <v>2768</v>
      </c>
      <c r="M902" s="1209" t="s">
        <v>2677</v>
      </c>
      <c r="N902" s="1210" t="s">
        <v>82</v>
      </c>
      <c r="O902" s="1209" t="s">
        <v>310</v>
      </c>
      <c r="P902" s="1209" t="s">
        <v>291</v>
      </c>
      <c r="Q902" s="1209" t="s">
        <v>294</v>
      </c>
      <c r="R902" s="1209">
        <v>125000</v>
      </c>
      <c r="S902" s="1209">
        <v>1000000</v>
      </c>
      <c r="T902" s="1209">
        <v>0</v>
      </c>
      <c r="U902" s="1209">
        <v>0</v>
      </c>
      <c r="V902" s="1209">
        <v>0</v>
      </c>
      <c r="W902" s="1209">
        <v>50</v>
      </c>
      <c r="X902" s="1209">
        <v>0</v>
      </c>
      <c r="Y902" s="1209">
        <v>999</v>
      </c>
      <c r="Z902" s="1211">
        <v>680</v>
      </c>
      <c r="AA902" s="1211">
        <v>699</v>
      </c>
      <c r="AB902" s="1211">
        <v>3</v>
      </c>
      <c r="AC902" s="1211">
        <v>999999</v>
      </c>
      <c r="AD902" s="1209">
        <v>0</v>
      </c>
      <c r="AE902" s="1212">
        <v>80</v>
      </c>
      <c r="AF902" s="170">
        <v>0</v>
      </c>
      <c r="AG902" s="171">
        <v>1</v>
      </c>
      <c r="AH902" s="171">
        <v>1</v>
      </c>
      <c r="AI902" s="171">
        <v>1</v>
      </c>
      <c r="AJ902" s="171">
        <v>0</v>
      </c>
      <c r="AK902" s="171">
        <v>0</v>
      </c>
      <c r="AL902" s="171">
        <v>0</v>
      </c>
      <c r="AM902" s="171">
        <v>1</v>
      </c>
      <c r="AN902" s="171">
        <v>1</v>
      </c>
      <c r="AO902" s="171">
        <v>1</v>
      </c>
      <c r="AP902" s="171">
        <v>1</v>
      </c>
      <c r="AQ902" s="171">
        <v>1</v>
      </c>
      <c r="AR902" s="171">
        <v>1</v>
      </c>
      <c r="AS902" s="171">
        <v>1</v>
      </c>
      <c r="AT902" s="171">
        <v>1</v>
      </c>
      <c r="AU902" s="171">
        <f t="shared" si="368"/>
        <v>1</v>
      </c>
      <c r="AV902" s="171">
        <f t="shared" si="369"/>
        <v>0</v>
      </c>
      <c r="AW902" s="171">
        <f t="shared" si="370"/>
        <v>1</v>
      </c>
      <c r="AX902" s="171">
        <f t="shared" si="371"/>
        <v>1</v>
      </c>
      <c r="AY902" s="171">
        <f t="shared" si="372"/>
        <v>0</v>
      </c>
      <c r="AZ902" s="171">
        <f t="shared" si="373"/>
        <v>1</v>
      </c>
      <c r="BA902" s="172">
        <f t="shared" si="374"/>
        <v>1</v>
      </c>
      <c r="BB902" s="175">
        <f t="shared" si="375"/>
        <v>16</v>
      </c>
      <c r="BC902" s="176">
        <f t="shared" si="376"/>
        <v>15</v>
      </c>
      <c r="BD902" s="176">
        <f t="shared" si="377"/>
        <v>16</v>
      </c>
      <c r="BE902" s="240" t="str">
        <f t="shared" si="343"/>
        <v/>
      </c>
      <c r="BF902" s="990"/>
      <c r="BG902" s="990"/>
      <c r="BH902" s="991">
        <f>IF(AND(Input_Product=Elig!$C902,Elig_MatchAll_Ct&lt;22,$BC902=(Elig_MatchAll_Ct-1),AF902=0),C902,0)</f>
        <v>0</v>
      </c>
      <c r="BI902" s="991">
        <f>IF(AND(Input_Product=Elig!$C902,Elig_MatchAll_Ct&lt;22,$BC902=(Elig_MatchAll_Ct-1),AG902=0),D902,0)</f>
        <v>0</v>
      </c>
      <c r="BJ902" s="991">
        <f>IF(AND(Input_Product=Elig!$C902,Elig_MatchAll_Ct&lt;22,$BC902=(Elig_MatchAll_Ct-1),AH902=0),E902,0)</f>
        <v>0</v>
      </c>
      <c r="BK902" s="991">
        <f>IF(AND(Input_Product=Elig!$C902,Elig_MatchAll_Ct&lt;22,$BC902=(Elig_MatchAll_Ct-1),AI902=0),F902,0)</f>
        <v>0</v>
      </c>
      <c r="BL902" s="991">
        <f>IF(AND(Input_Product=Elig!$C902,Elig_MatchAll_Ct&lt;22,$BC902=(Elig_MatchAll_Ct-1),AJ902=0),G902,0)</f>
        <v>0</v>
      </c>
      <c r="BM902" s="991">
        <f>IF(AND(Input_Product=Elig!$C902,Elig_MatchAll_Ct&lt;22,$BC902=(Elig_MatchAll_Ct-1),AK902=0),H902,0)</f>
        <v>0</v>
      </c>
      <c r="BN902" s="991">
        <f>IF(AND(Input_Product=Elig!$C902,Elig_MatchAll_Ct&lt;22,$BC902=(Elig_MatchAll_Ct-1),AL902=0),I902,0)</f>
        <v>0</v>
      </c>
      <c r="BO902" s="991">
        <f>IF(AND(Input_Product=Elig!$C902,Elig_MatchAll_Ct&lt;22,$BC902=(Elig_MatchAll_Ct-1),AM902=0),J902,0)</f>
        <v>0</v>
      </c>
      <c r="BP902" s="991">
        <f>IF(AND(Input_Product=Elig!$C902,Elig_MatchAll_Ct&lt;22,$BC902=(Elig_MatchAll_Ct-1),AN902=0),K902,0)</f>
        <v>0</v>
      </c>
      <c r="BQ902" s="991">
        <f>IF(AND(Input_Product=Elig!$C902,Elig_MatchAll_Ct&lt;22,$BC902=(Elig_MatchAll_Ct-1),AP902=0),L902,0)</f>
        <v>0</v>
      </c>
      <c r="BR902" s="991">
        <f>IF(AND(Input_Product=Elig!$C902,Elig_MatchAll_Ct&lt;22,$BC902=(Elig_MatchAll_Ct-1),AO902=0),M902,0)</f>
        <v>0</v>
      </c>
      <c r="BS902" s="991">
        <f>IF(AND(Input_Product=Elig!$C902,Elig_MatchAll_Ct&lt;22,$BC902=(Elig_MatchAll_Ct-1),AQ902=0),N902,0)</f>
        <v>0</v>
      </c>
      <c r="BT902" s="991">
        <f>IF(AND(Input_Product=Elig!$C902,Elig_MatchAll_Ct&lt;22,$BC902=(Elig_MatchAll_Ct-1),AR902=0),O902,0)</f>
        <v>0</v>
      </c>
      <c r="BU902" s="991">
        <f>IF(AND(Input_Product=Elig!$C902,Elig_MatchAll_Ct&lt;22,$BC902=(Elig_MatchAll_Ct-1),AS902=0),P902,0)</f>
        <v>0</v>
      </c>
      <c r="BV902" s="992">
        <f>IF(AND(Input_Product=Elig!$C902,Elig_MatchAll_Ct&lt;22,$BC902=(Elig_MatchAll_Ct-1),AT902=0),Q902,0)</f>
        <v>0</v>
      </c>
      <c r="BW902" s="993">
        <f>IF(AND(Input_Product=Elig!$C902,Elig_MatchAll_Ct&lt;22,$BC902=(Elig_MatchAll_Ct-1),AU902=0),R902,0)</f>
        <v>0</v>
      </c>
      <c r="BX902" s="994">
        <f>IF(AND(Input_Product=Elig!$C902,Elig_MatchAll_Ct&lt;22,$BC902=(Elig_MatchAll_Ct-1),AU902=0),S902,0)</f>
        <v>0</v>
      </c>
      <c r="BY902" s="993">
        <f>IF(AND(Input_Product=Elig!$C902,Elig_MatchAll_Ct&lt;22,$BC902=(Elig_MatchAll_Ct-1),AV902=0),T902,0)</f>
        <v>0</v>
      </c>
      <c r="BZ902" s="994">
        <f>IF(AND(Input_Product=Elig!$C902,Elig_MatchAll_Ct&lt;22,$BC902=(Elig_MatchAll_Ct-1),AV902=0),U902,0)</f>
        <v>0</v>
      </c>
      <c r="CA902" s="993">
        <f>IF(AND(Input_Product=Elig!$C902,Elig_MatchAll_Ct&lt;22,$BC902=(Elig_MatchAll_Ct-1),AW902=0),V902,0)</f>
        <v>0</v>
      </c>
      <c r="CB902" s="994">
        <f>IF(AND(Input_Product=Elig!$C902,Elig_MatchAll_Ct&lt;22,$BC902=(Elig_MatchAll_Ct-1),AW902=0),W902,0)</f>
        <v>0</v>
      </c>
      <c r="CC902" s="993">
        <f>IF(AND(Input_Product=Elig!$C902,Elig_MatchAll_Ct&lt;22,$BC902=(Elig_MatchAll_Ct-1),AX902=0),X902,0)</f>
        <v>0</v>
      </c>
      <c r="CD902" s="994">
        <f>IF(AND(Input_Product=Elig!$C902,Elig_MatchAll_Ct&lt;22,$BC902=(Elig_MatchAll_Ct-1),AX902=0),Y902,0)</f>
        <v>0</v>
      </c>
      <c r="CE902" s="993">
        <f>IF(AND(Input_LTV&lt;=AE902,Input_Product=Elig!$C902,Elig_MatchAll_Ct&lt;22,$BC902=(Elig_MatchAll_Ct-1),AY902=0),Z902,0)</f>
        <v>0</v>
      </c>
      <c r="CF902" s="994">
        <f>IF(AND(Input_LTV&lt;=AE902,Input_Product=Elig!$C902,Elig_MatchAll_Ct&lt;22,$BC902=(Elig_MatchAll_Ct-1),AY902=0),AA902,0)</f>
        <v>0</v>
      </c>
      <c r="CG902" s="993">
        <f>IF(AND(Input_Product=Elig!$C902,Elig_MatchAll_Ct&lt;22,$BC902=(Elig_MatchAll_Ct-1),AZ902=0),AB902,0)</f>
        <v>0</v>
      </c>
      <c r="CH902" s="994">
        <f>IF(AND(Input_Product=Elig!$C902,Elig_MatchAll_Ct&lt;22,$BC902=(Elig_MatchAll_Ct-1),AZ902=0),AC902,0)</f>
        <v>0</v>
      </c>
      <c r="CI902" s="993">
        <f>IF(AND(Input_Product=Elig!$C902,Elig_MatchAll_Ct&lt;22,$BC902=(Elig_MatchAll_Ct-1),BA902=0),AD902,0)</f>
        <v>0</v>
      </c>
      <c r="CJ902" s="994">
        <f>IF(AND(Input_Product=Elig!$C902,Elig_MatchAll_Ct&lt;22,$BC902=(Elig_MatchAll_Ct-1),BA902=0),AE902,0)</f>
        <v>0</v>
      </c>
    </row>
    <row r="903" spans="2:88" ht="10.15" customHeight="1" x14ac:dyDescent="0.25">
      <c r="B903" s="1916" t="s">
        <v>2239</v>
      </c>
      <c r="C903" s="1213" t="str">
        <f t="shared" si="367"/>
        <v xml:space="preserve">  </v>
      </c>
      <c r="D903" s="1214" t="s">
        <v>2218</v>
      </c>
      <c r="E903" s="1214" t="s">
        <v>167</v>
      </c>
      <c r="F903" s="1214" t="s">
        <v>331</v>
      </c>
      <c r="G903" s="1215" t="s">
        <v>175</v>
      </c>
      <c r="H903" s="1215" t="s">
        <v>446</v>
      </c>
      <c r="I903" s="1214" t="s">
        <v>274</v>
      </c>
      <c r="J903" s="1214" t="s">
        <v>1311</v>
      </c>
      <c r="K903" s="1215" t="s">
        <v>3022</v>
      </c>
      <c r="L903" s="1214" t="s">
        <v>2768</v>
      </c>
      <c r="M903" s="1214" t="s">
        <v>2677</v>
      </c>
      <c r="N903" s="1215" t="s">
        <v>82</v>
      </c>
      <c r="O903" s="1214" t="s">
        <v>310</v>
      </c>
      <c r="P903" s="1214" t="s">
        <v>291</v>
      </c>
      <c r="Q903" s="1214" t="s">
        <v>294</v>
      </c>
      <c r="R903" s="1214">
        <v>125000</v>
      </c>
      <c r="S903" s="1214">
        <v>1000000</v>
      </c>
      <c r="T903" s="1214">
        <v>0</v>
      </c>
      <c r="U903" s="1214">
        <v>0</v>
      </c>
      <c r="V903" s="1214">
        <v>0</v>
      </c>
      <c r="W903" s="1214">
        <v>50</v>
      </c>
      <c r="X903" s="1214">
        <v>0</v>
      </c>
      <c r="Y903" s="1214">
        <v>999</v>
      </c>
      <c r="Z903" s="1216">
        <v>660</v>
      </c>
      <c r="AA903" s="1216">
        <v>679</v>
      </c>
      <c r="AB903" s="1216">
        <v>3</v>
      </c>
      <c r="AC903" s="1216">
        <v>999999</v>
      </c>
      <c r="AD903" s="1214">
        <v>0</v>
      </c>
      <c r="AE903" s="1217">
        <v>70</v>
      </c>
      <c r="AF903" s="170">
        <v>0</v>
      </c>
      <c r="AG903" s="171">
        <v>1</v>
      </c>
      <c r="AH903" s="171">
        <v>1</v>
      </c>
      <c r="AI903" s="171">
        <v>1</v>
      </c>
      <c r="AJ903" s="171">
        <v>0</v>
      </c>
      <c r="AK903" s="171">
        <v>0</v>
      </c>
      <c r="AL903" s="171">
        <v>0</v>
      </c>
      <c r="AM903" s="171">
        <v>1</v>
      </c>
      <c r="AN903" s="171">
        <v>1</v>
      </c>
      <c r="AO903" s="171">
        <v>1</v>
      </c>
      <c r="AP903" s="171">
        <v>1</v>
      </c>
      <c r="AQ903" s="171">
        <v>1</v>
      </c>
      <c r="AR903" s="171">
        <v>1</v>
      </c>
      <c r="AS903" s="171">
        <v>1</v>
      </c>
      <c r="AT903" s="171">
        <v>1</v>
      </c>
      <c r="AU903" s="171">
        <f t="shared" si="368"/>
        <v>1</v>
      </c>
      <c r="AV903" s="171">
        <f t="shared" si="369"/>
        <v>0</v>
      </c>
      <c r="AW903" s="171">
        <f t="shared" si="370"/>
        <v>1</v>
      </c>
      <c r="AX903" s="171">
        <f t="shared" si="371"/>
        <v>1</v>
      </c>
      <c r="AY903" s="171">
        <f t="shared" si="372"/>
        <v>0</v>
      </c>
      <c r="AZ903" s="171">
        <f t="shared" si="373"/>
        <v>1</v>
      </c>
      <c r="BA903" s="172">
        <f t="shared" si="374"/>
        <v>1</v>
      </c>
      <c r="BB903" s="175">
        <f t="shared" si="375"/>
        <v>16</v>
      </c>
      <c r="BC903" s="176">
        <f t="shared" si="376"/>
        <v>15</v>
      </c>
      <c r="BD903" s="176">
        <f t="shared" si="377"/>
        <v>16</v>
      </c>
      <c r="BE903" s="240" t="str">
        <f t="shared" ref="BE903:BE966" si="378">IF(BD903=21,C903,"")</f>
        <v/>
      </c>
      <c r="BF903" s="990"/>
      <c r="BG903" s="990"/>
      <c r="BH903" s="991">
        <f>IF(AND(Input_Product=Elig!$C903,Elig_MatchAll_Ct&lt;22,$BC903=(Elig_MatchAll_Ct-1),AF903=0),C903,0)</f>
        <v>0</v>
      </c>
      <c r="BI903" s="991">
        <f>IF(AND(Input_Product=Elig!$C903,Elig_MatchAll_Ct&lt;22,$BC903=(Elig_MatchAll_Ct-1),AG903=0),D903,0)</f>
        <v>0</v>
      </c>
      <c r="BJ903" s="991">
        <f>IF(AND(Input_Product=Elig!$C903,Elig_MatchAll_Ct&lt;22,$BC903=(Elig_MatchAll_Ct-1),AH903=0),E903,0)</f>
        <v>0</v>
      </c>
      <c r="BK903" s="991">
        <f>IF(AND(Input_Product=Elig!$C903,Elig_MatchAll_Ct&lt;22,$BC903=(Elig_MatchAll_Ct-1),AI903=0),F903,0)</f>
        <v>0</v>
      </c>
      <c r="BL903" s="991">
        <f>IF(AND(Input_Product=Elig!$C903,Elig_MatchAll_Ct&lt;22,$BC903=(Elig_MatchAll_Ct-1),AJ903=0),G903,0)</f>
        <v>0</v>
      </c>
      <c r="BM903" s="991">
        <f>IF(AND(Input_Product=Elig!$C903,Elig_MatchAll_Ct&lt;22,$BC903=(Elig_MatchAll_Ct-1),AK903=0),H903,0)</f>
        <v>0</v>
      </c>
      <c r="BN903" s="991">
        <f>IF(AND(Input_Product=Elig!$C903,Elig_MatchAll_Ct&lt;22,$BC903=(Elig_MatchAll_Ct-1),AL903=0),I903,0)</f>
        <v>0</v>
      </c>
      <c r="BO903" s="991">
        <f>IF(AND(Input_Product=Elig!$C903,Elig_MatchAll_Ct&lt;22,$BC903=(Elig_MatchAll_Ct-1),AM903=0),J903,0)</f>
        <v>0</v>
      </c>
      <c r="BP903" s="991">
        <f>IF(AND(Input_Product=Elig!$C903,Elig_MatchAll_Ct&lt;22,$BC903=(Elig_MatchAll_Ct-1),AN903=0),K903,0)</f>
        <v>0</v>
      </c>
      <c r="BQ903" s="991">
        <f>IF(AND(Input_Product=Elig!$C903,Elig_MatchAll_Ct&lt;22,$BC903=(Elig_MatchAll_Ct-1),AP903=0),L903,0)</f>
        <v>0</v>
      </c>
      <c r="BR903" s="991">
        <f>IF(AND(Input_Product=Elig!$C903,Elig_MatchAll_Ct&lt;22,$BC903=(Elig_MatchAll_Ct-1),AO903=0),M903,0)</f>
        <v>0</v>
      </c>
      <c r="BS903" s="991">
        <f>IF(AND(Input_Product=Elig!$C903,Elig_MatchAll_Ct&lt;22,$BC903=(Elig_MatchAll_Ct-1),AQ903=0),N903,0)</f>
        <v>0</v>
      </c>
      <c r="BT903" s="991">
        <f>IF(AND(Input_Product=Elig!$C903,Elig_MatchAll_Ct&lt;22,$BC903=(Elig_MatchAll_Ct-1),AR903=0),O903,0)</f>
        <v>0</v>
      </c>
      <c r="BU903" s="991">
        <f>IF(AND(Input_Product=Elig!$C903,Elig_MatchAll_Ct&lt;22,$BC903=(Elig_MatchAll_Ct-1),AS903=0),P903,0)</f>
        <v>0</v>
      </c>
      <c r="BV903" s="992">
        <f>IF(AND(Input_Product=Elig!$C903,Elig_MatchAll_Ct&lt;22,$BC903=(Elig_MatchAll_Ct-1),AT903=0),Q903,0)</f>
        <v>0</v>
      </c>
      <c r="BW903" s="993">
        <f>IF(AND(Input_Product=Elig!$C903,Elig_MatchAll_Ct&lt;22,$BC903=(Elig_MatchAll_Ct-1),AU903=0),R903,0)</f>
        <v>0</v>
      </c>
      <c r="BX903" s="994">
        <f>IF(AND(Input_Product=Elig!$C903,Elig_MatchAll_Ct&lt;22,$BC903=(Elig_MatchAll_Ct-1),AU903=0),S903,0)</f>
        <v>0</v>
      </c>
      <c r="BY903" s="993">
        <f>IF(AND(Input_Product=Elig!$C903,Elig_MatchAll_Ct&lt;22,$BC903=(Elig_MatchAll_Ct-1),AV903=0),T903,0)</f>
        <v>0</v>
      </c>
      <c r="BZ903" s="994">
        <f>IF(AND(Input_Product=Elig!$C903,Elig_MatchAll_Ct&lt;22,$BC903=(Elig_MatchAll_Ct-1),AV903=0),U903,0)</f>
        <v>0</v>
      </c>
      <c r="CA903" s="993">
        <f>IF(AND(Input_Product=Elig!$C903,Elig_MatchAll_Ct&lt;22,$BC903=(Elig_MatchAll_Ct-1),AW903=0),V903,0)</f>
        <v>0</v>
      </c>
      <c r="CB903" s="994">
        <f>IF(AND(Input_Product=Elig!$C903,Elig_MatchAll_Ct&lt;22,$BC903=(Elig_MatchAll_Ct-1),AW903=0),W903,0)</f>
        <v>0</v>
      </c>
      <c r="CC903" s="993">
        <f>IF(AND(Input_Product=Elig!$C903,Elig_MatchAll_Ct&lt;22,$BC903=(Elig_MatchAll_Ct-1),AX903=0),X903,0)</f>
        <v>0</v>
      </c>
      <c r="CD903" s="994">
        <f>IF(AND(Input_Product=Elig!$C903,Elig_MatchAll_Ct&lt;22,$BC903=(Elig_MatchAll_Ct-1),AX903=0),Y903,0)</f>
        <v>0</v>
      </c>
      <c r="CE903" s="993">
        <f>IF(AND(Input_LTV&lt;=AE903,Input_Product=Elig!$C903,Elig_MatchAll_Ct&lt;22,$BC903=(Elig_MatchAll_Ct-1),AY903=0),Z903,0)</f>
        <v>0</v>
      </c>
      <c r="CF903" s="994">
        <f>IF(AND(Input_LTV&lt;=AE903,Input_Product=Elig!$C903,Elig_MatchAll_Ct&lt;22,$BC903=(Elig_MatchAll_Ct-1),AY903=0),AA903,0)</f>
        <v>0</v>
      </c>
      <c r="CG903" s="993">
        <f>IF(AND(Input_Product=Elig!$C903,Elig_MatchAll_Ct&lt;22,$BC903=(Elig_MatchAll_Ct-1),AZ903=0),AB903,0)</f>
        <v>0</v>
      </c>
      <c r="CH903" s="994">
        <f>IF(AND(Input_Product=Elig!$C903,Elig_MatchAll_Ct&lt;22,$BC903=(Elig_MatchAll_Ct-1),AZ903=0),AC903,0)</f>
        <v>0</v>
      </c>
      <c r="CI903" s="993">
        <f>IF(AND(Input_Product=Elig!$C903,Elig_MatchAll_Ct&lt;22,$BC903=(Elig_MatchAll_Ct-1),BA903=0),AD903,0)</f>
        <v>0</v>
      </c>
      <c r="CJ903" s="994">
        <f>IF(AND(Input_Product=Elig!$C903,Elig_MatchAll_Ct&lt;22,$BC903=(Elig_MatchAll_Ct-1),BA903=0),AE903,0)</f>
        <v>0</v>
      </c>
    </row>
    <row r="904" spans="2:88" ht="10.15" customHeight="1" x14ac:dyDescent="0.25">
      <c r="B904" s="1916" t="s">
        <v>2240</v>
      </c>
      <c r="C904" s="1203" t="str">
        <f t="shared" si="367"/>
        <v xml:space="preserve">  </v>
      </c>
      <c r="D904" s="1204" t="s">
        <v>2218</v>
      </c>
      <c r="E904" s="1204" t="s">
        <v>167</v>
      </c>
      <c r="F904" s="1204" t="s">
        <v>331</v>
      </c>
      <c r="G904" s="1205" t="s">
        <v>175</v>
      </c>
      <c r="H904" s="1205" t="s">
        <v>446</v>
      </c>
      <c r="I904" s="1204" t="s">
        <v>274</v>
      </c>
      <c r="J904" s="1204" t="s">
        <v>1311</v>
      </c>
      <c r="K904" s="1205" t="s">
        <v>3022</v>
      </c>
      <c r="L904" s="1204" t="s">
        <v>2768</v>
      </c>
      <c r="M904" s="1204" t="s">
        <v>2677</v>
      </c>
      <c r="N904" s="1205" t="s">
        <v>82</v>
      </c>
      <c r="O904" s="1204" t="s">
        <v>310</v>
      </c>
      <c r="P904" s="1204" t="s">
        <v>291</v>
      </c>
      <c r="Q904" s="1204" t="s">
        <v>294</v>
      </c>
      <c r="R904" s="1204">
        <v>1000000.01</v>
      </c>
      <c r="S904" s="1204">
        <v>1500000</v>
      </c>
      <c r="T904" s="1204">
        <v>0</v>
      </c>
      <c r="U904" s="1204">
        <v>0</v>
      </c>
      <c r="V904" s="1204">
        <v>0</v>
      </c>
      <c r="W904" s="1204">
        <v>50</v>
      </c>
      <c r="X904" s="1204">
        <v>0</v>
      </c>
      <c r="Y904" s="1204">
        <v>999</v>
      </c>
      <c r="Z904" s="1206">
        <v>720</v>
      </c>
      <c r="AA904" s="1206">
        <v>999</v>
      </c>
      <c r="AB904" s="1206">
        <v>6</v>
      </c>
      <c r="AC904" s="1206">
        <v>999999</v>
      </c>
      <c r="AD904" s="1204">
        <v>0</v>
      </c>
      <c r="AE904" s="1207">
        <v>85</v>
      </c>
      <c r="AF904" s="170">
        <v>0</v>
      </c>
      <c r="AG904" s="171">
        <v>1</v>
      </c>
      <c r="AH904" s="171">
        <v>1</v>
      </c>
      <c r="AI904" s="171">
        <v>1</v>
      </c>
      <c r="AJ904" s="171">
        <v>0</v>
      </c>
      <c r="AK904" s="171">
        <v>0</v>
      </c>
      <c r="AL904" s="171">
        <v>0</v>
      </c>
      <c r="AM904" s="171">
        <v>1</v>
      </c>
      <c r="AN904" s="171">
        <v>1</v>
      </c>
      <c r="AO904" s="171">
        <v>1</v>
      </c>
      <c r="AP904" s="171">
        <v>1</v>
      </c>
      <c r="AQ904" s="171">
        <v>1</v>
      </c>
      <c r="AR904" s="171">
        <v>1</v>
      </c>
      <c r="AS904" s="171">
        <v>1</v>
      </c>
      <c r="AT904" s="171">
        <v>1</v>
      </c>
      <c r="AU904" s="171">
        <f t="shared" si="368"/>
        <v>0</v>
      </c>
      <c r="AV904" s="171">
        <f t="shared" si="369"/>
        <v>0</v>
      </c>
      <c r="AW904" s="171">
        <f t="shared" si="370"/>
        <v>1</v>
      </c>
      <c r="AX904" s="171">
        <f t="shared" si="371"/>
        <v>1</v>
      </c>
      <c r="AY904" s="171">
        <f t="shared" si="372"/>
        <v>1</v>
      </c>
      <c r="AZ904" s="171">
        <f t="shared" si="373"/>
        <v>1</v>
      </c>
      <c r="BA904" s="172">
        <f t="shared" si="374"/>
        <v>1</v>
      </c>
      <c r="BB904" s="175">
        <f t="shared" si="375"/>
        <v>16</v>
      </c>
      <c r="BC904" s="176">
        <f t="shared" si="376"/>
        <v>15</v>
      </c>
      <c r="BD904" s="176">
        <f t="shared" si="377"/>
        <v>16</v>
      </c>
      <c r="BE904" s="240" t="str">
        <f t="shared" si="378"/>
        <v/>
      </c>
      <c r="BF904" s="990"/>
      <c r="BG904" s="990"/>
      <c r="BH904" s="991">
        <f>IF(AND(Input_Product=Elig!$C904,Elig_MatchAll_Ct&lt;22,$BC904=(Elig_MatchAll_Ct-1),AF904=0),C904,0)</f>
        <v>0</v>
      </c>
      <c r="BI904" s="991">
        <f>IF(AND(Input_Product=Elig!$C904,Elig_MatchAll_Ct&lt;22,$BC904=(Elig_MatchAll_Ct-1),AG904=0),D904,0)</f>
        <v>0</v>
      </c>
      <c r="BJ904" s="991">
        <f>IF(AND(Input_Product=Elig!$C904,Elig_MatchAll_Ct&lt;22,$BC904=(Elig_MatchAll_Ct-1),AH904=0),E904,0)</f>
        <v>0</v>
      </c>
      <c r="BK904" s="991">
        <f>IF(AND(Input_Product=Elig!$C904,Elig_MatchAll_Ct&lt;22,$BC904=(Elig_MatchAll_Ct-1),AI904=0),F904,0)</f>
        <v>0</v>
      </c>
      <c r="BL904" s="991">
        <f>IF(AND(Input_Product=Elig!$C904,Elig_MatchAll_Ct&lt;22,$BC904=(Elig_MatchAll_Ct-1),AJ904=0),G904,0)</f>
        <v>0</v>
      </c>
      <c r="BM904" s="991">
        <f>IF(AND(Input_Product=Elig!$C904,Elig_MatchAll_Ct&lt;22,$BC904=(Elig_MatchAll_Ct-1),AK904=0),H904,0)</f>
        <v>0</v>
      </c>
      <c r="BN904" s="991">
        <f>IF(AND(Input_Product=Elig!$C904,Elig_MatchAll_Ct&lt;22,$BC904=(Elig_MatchAll_Ct-1),AL904=0),I904,0)</f>
        <v>0</v>
      </c>
      <c r="BO904" s="991">
        <f>IF(AND(Input_Product=Elig!$C904,Elig_MatchAll_Ct&lt;22,$BC904=(Elig_MatchAll_Ct-1),AM904=0),J904,0)</f>
        <v>0</v>
      </c>
      <c r="BP904" s="991">
        <f>IF(AND(Input_Product=Elig!$C904,Elig_MatchAll_Ct&lt;22,$BC904=(Elig_MatchAll_Ct-1),AN904=0),K904,0)</f>
        <v>0</v>
      </c>
      <c r="BQ904" s="991">
        <f>IF(AND(Input_Product=Elig!$C904,Elig_MatchAll_Ct&lt;22,$BC904=(Elig_MatchAll_Ct-1),AP904=0),L904,0)</f>
        <v>0</v>
      </c>
      <c r="BR904" s="991">
        <f>IF(AND(Input_Product=Elig!$C904,Elig_MatchAll_Ct&lt;22,$BC904=(Elig_MatchAll_Ct-1),AO904=0),M904,0)</f>
        <v>0</v>
      </c>
      <c r="BS904" s="991">
        <f>IF(AND(Input_Product=Elig!$C904,Elig_MatchAll_Ct&lt;22,$BC904=(Elig_MatchAll_Ct-1),AQ904=0),N904,0)</f>
        <v>0</v>
      </c>
      <c r="BT904" s="991">
        <f>IF(AND(Input_Product=Elig!$C904,Elig_MatchAll_Ct&lt;22,$BC904=(Elig_MatchAll_Ct-1),AR904=0),O904,0)</f>
        <v>0</v>
      </c>
      <c r="BU904" s="991">
        <f>IF(AND(Input_Product=Elig!$C904,Elig_MatchAll_Ct&lt;22,$BC904=(Elig_MatchAll_Ct-1),AS904=0),P904,0)</f>
        <v>0</v>
      </c>
      <c r="BV904" s="992">
        <f>IF(AND(Input_Product=Elig!$C904,Elig_MatchAll_Ct&lt;22,$BC904=(Elig_MatchAll_Ct-1),AT904=0),Q904,0)</f>
        <v>0</v>
      </c>
      <c r="BW904" s="993">
        <f>IF(AND(Input_Product=Elig!$C904,Elig_MatchAll_Ct&lt;22,$BC904=(Elig_MatchAll_Ct-1),AU904=0),R904,0)</f>
        <v>0</v>
      </c>
      <c r="BX904" s="994">
        <f>IF(AND(Input_Product=Elig!$C904,Elig_MatchAll_Ct&lt;22,$BC904=(Elig_MatchAll_Ct-1),AU904=0),S904,0)</f>
        <v>0</v>
      </c>
      <c r="BY904" s="993">
        <f>IF(AND(Input_Product=Elig!$C904,Elig_MatchAll_Ct&lt;22,$BC904=(Elig_MatchAll_Ct-1),AV904=0),T904,0)</f>
        <v>0</v>
      </c>
      <c r="BZ904" s="994">
        <f>IF(AND(Input_Product=Elig!$C904,Elig_MatchAll_Ct&lt;22,$BC904=(Elig_MatchAll_Ct-1),AV904=0),U904,0)</f>
        <v>0</v>
      </c>
      <c r="CA904" s="993">
        <f>IF(AND(Input_Product=Elig!$C904,Elig_MatchAll_Ct&lt;22,$BC904=(Elig_MatchAll_Ct-1),AW904=0),V904,0)</f>
        <v>0</v>
      </c>
      <c r="CB904" s="994">
        <f>IF(AND(Input_Product=Elig!$C904,Elig_MatchAll_Ct&lt;22,$BC904=(Elig_MatchAll_Ct-1),AW904=0),W904,0)</f>
        <v>0</v>
      </c>
      <c r="CC904" s="993">
        <f>IF(AND(Input_Product=Elig!$C904,Elig_MatchAll_Ct&lt;22,$BC904=(Elig_MatchAll_Ct-1),AX904=0),X904,0)</f>
        <v>0</v>
      </c>
      <c r="CD904" s="994">
        <f>IF(AND(Input_Product=Elig!$C904,Elig_MatchAll_Ct&lt;22,$BC904=(Elig_MatchAll_Ct-1),AX904=0),Y904,0)</f>
        <v>0</v>
      </c>
      <c r="CE904" s="993">
        <f>IF(AND(Input_LTV&lt;=AE904,Input_Product=Elig!$C904,Elig_MatchAll_Ct&lt;22,$BC904=(Elig_MatchAll_Ct-1),AY904=0),Z904,0)</f>
        <v>0</v>
      </c>
      <c r="CF904" s="994">
        <f>IF(AND(Input_LTV&lt;=AE904,Input_Product=Elig!$C904,Elig_MatchAll_Ct&lt;22,$BC904=(Elig_MatchAll_Ct-1),AY904=0),AA904,0)</f>
        <v>0</v>
      </c>
      <c r="CG904" s="993">
        <f>IF(AND(Input_Product=Elig!$C904,Elig_MatchAll_Ct&lt;22,$BC904=(Elig_MatchAll_Ct-1),AZ904=0),AB904,0)</f>
        <v>0</v>
      </c>
      <c r="CH904" s="994">
        <f>IF(AND(Input_Product=Elig!$C904,Elig_MatchAll_Ct&lt;22,$BC904=(Elig_MatchAll_Ct-1),AZ904=0),AC904,0)</f>
        <v>0</v>
      </c>
      <c r="CI904" s="993">
        <f>IF(AND(Input_Product=Elig!$C904,Elig_MatchAll_Ct&lt;22,$BC904=(Elig_MatchAll_Ct-1),BA904=0),AD904,0)</f>
        <v>0</v>
      </c>
      <c r="CJ904" s="994">
        <f>IF(AND(Input_Product=Elig!$C904,Elig_MatchAll_Ct&lt;22,$BC904=(Elig_MatchAll_Ct-1),BA904=0),AE904,0)</f>
        <v>0</v>
      </c>
    </row>
    <row r="905" spans="2:88" ht="10.15" customHeight="1" x14ac:dyDescent="0.25">
      <c r="B905" s="1916" t="s">
        <v>2241</v>
      </c>
      <c r="C905" s="1208" t="str">
        <f t="shared" si="367"/>
        <v xml:space="preserve">  </v>
      </c>
      <c r="D905" s="1209" t="s">
        <v>2218</v>
      </c>
      <c r="E905" s="1209" t="s">
        <v>167</v>
      </c>
      <c r="F905" s="1209" t="s">
        <v>331</v>
      </c>
      <c r="G905" s="1210" t="s">
        <v>175</v>
      </c>
      <c r="H905" s="1210" t="s">
        <v>446</v>
      </c>
      <c r="I905" s="1209" t="s">
        <v>274</v>
      </c>
      <c r="J905" s="1209" t="s">
        <v>1311</v>
      </c>
      <c r="K905" s="1210" t="s">
        <v>3022</v>
      </c>
      <c r="L905" s="1209" t="s">
        <v>2768</v>
      </c>
      <c r="M905" s="1209" t="s">
        <v>2677</v>
      </c>
      <c r="N905" s="1210" t="s">
        <v>82</v>
      </c>
      <c r="O905" s="1209" t="s">
        <v>310</v>
      </c>
      <c r="P905" s="1209" t="s">
        <v>291</v>
      </c>
      <c r="Q905" s="1209" t="s">
        <v>294</v>
      </c>
      <c r="R905" s="1209">
        <v>1000000.01</v>
      </c>
      <c r="S905" s="1209">
        <v>1500000</v>
      </c>
      <c r="T905" s="1209">
        <v>0</v>
      </c>
      <c r="U905" s="1209">
        <v>0</v>
      </c>
      <c r="V905" s="1209">
        <v>0</v>
      </c>
      <c r="W905" s="1209">
        <v>50</v>
      </c>
      <c r="X905" s="1209">
        <v>0</v>
      </c>
      <c r="Y905" s="1209">
        <v>999</v>
      </c>
      <c r="Z905" s="1211">
        <v>700</v>
      </c>
      <c r="AA905" s="1211">
        <v>719</v>
      </c>
      <c r="AB905" s="1211">
        <v>6</v>
      </c>
      <c r="AC905" s="1211">
        <v>999999</v>
      </c>
      <c r="AD905" s="1209">
        <v>0</v>
      </c>
      <c r="AE905" s="1212">
        <v>80</v>
      </c>
      <c r="AF905" s="170">
        <v>0</v>
      </c>
      <c r="AG905" s="171">
        <v>1</v>
      </c>
      <c r="AH905" s="171">
        <v>1</v>
      </c>
      <c r="AI905" s="171">
        <v>1</v>
      </c>
      <c r="AJ905" s="171">
        <v>0</v>
      </c>
      <c r="AK905" s="171">
        <v>0</v>
      </c>
      <c r="AL905" s="171">
        <v>0</v>
      </c>
      <c r="AM905" s="171">
        <v>1</v>
      </c>
      <c r="AN905" s="171">
        <v>1</v>
      </c>
      <c r="AO905" s="171">
        <v>1</v>
      </c>
      <c r="AP905" s="171">
        <v>1</v>
      </c>
      <c r="AQ905" s="171">
        <v>1</v>
      </c>
      <c r="AR905" s="171">
        <v>1</v>
      </c>
      <c r="AS905" s="171">
        <v>1</v>
      </c>
      <c r="AT905" s="171">
        <v>1</v>
      </c>
      <c r="AU905" s="171">
        <f t="shared" si="368"/>
        <v>0</v>
      </c>
      <c r="AV905" s="171">
        <f t="shared" si="369"/>
        <v>0</v>
      </c>
      <c r="AW905" s="171">
        <f t="shared" si="370"/>
        <v>1</v>
      </c>
      <c r="AX905" s="171">
        <f t="shared" si="371"/>
        <v>1</v>
      </c>
      <c r="AY905" s="171">
        <f t="shared" si="372"/>
        <v>0</v>
      </c>
      <c r="AZ905" s="171">
        <f t="shared" si="373"/>
        <v>1</v>
      </c>
      <c r="BA905" s="172">
        <f t="shared" si="374"/>
        <v>1</v>
      </c>
      <c r="BB905" s="175">
        <f t="shared" si="375"/>
        <v>15</v>
      </c>
      <c r="BC905" s="176">
        <f t="shared" si="376"/>
        <v>14</v>
      </c>
      <c r="BD905" s="176">
        <f t="shared" si="377"/>
        <v>15</v>
      </c>
      <c r="BE905" s="240" t="str">
        <f t="shared" si="378"/>
        <v/>
      </c>
      <c r="BF905" s="990"/>
      <c r="BG905" s="990"/>
      <c r="BH905" s="991">
        <f>IF(AND(Input_Product=Elig!$C905,Elig_MatchAll_Ct&lt;22,$BC905=(Elig_MatchAll_Ct-1),AF905=0),C905,0)</f>
        <v>0</v>
      </c>
      <c r="BI905" s="991">
        <f>IF(AND(Input_Product=Elig!$C905,Elig_MatchAll_Ct&lt;22,$BC905=(Elig_MatchAll_Ct-1),AG905=0),D905,0)</f>
        <v>0</v>
      </c>
      <c r="BJ905" s="991">
        <f>IF(AND(Input_Product=Elig!$C905,Elig_MatchAll_Ct&lt;22,$BC905=(Elig_MatchAll_Ct-1),AH905=0),E905,0)</f>
        <v>0</v>
      </c>
      <c r="BK905" s="991">
        <f>IF(AND(Input_Product=Elig!$C905,Elig_MatchAll_Ct&lt;22,$BC905=(Elig_MatchAll_Ct-1),AI905=0),F905,0)</f>
        <v>0</v>
      </c>
      <c r="BL905" s="991">
        <f>IF(AND(Input_Product=Elig!$C905,Elig_MatchAll_Ct&lt;22,$BC905=(Elig_MatchAll_Ct-1),AJ905=0),G905,0)</f>
        <v>0</v>
      </c>
      <c r="BM905" s="991">
        <f>IF(AND(Input_Product=Elig!$C905,Elig_MatchAll_Ct&lt;22,$BC905=(Elig_MatchAll_Ct-1),AK905=0),H905,0)</f>
        <v>0</v>
      </c>
      <c r="BN905" s="991">
        <f>IF(AND(Input_Product=Elig!$C905,Elig_MatchAll_Ct&lt;22,$BC905=(Elig_MatchAll_Ct-1),AL905=0),I905,0)</f>
        <v>0</v>
      </c>
      <c r="BO905" s="991">
        <f>IF(AND(Input_Product=Elig!$C905,Elig_MatchAll_Ct&lt;22,$BC905=(Elig_MatchAll_Ct-1),AM905=0),J905,0)</f>
        <v>0</v>
      </c>
      <c r="BP905" s="991">
        <f>IF(AND(Input_Product=Elig!$C905,Elig_MatchAll_Ct&lt;22,$BC905=(Elig_MatchAll_Ct-1),AN905=0),K905,0)</f>
        <v>0</v>
      </c>
      <c r="BQ905" s="991">
        <f>IF(AND(Input_Product=Elig!$C905,Elig_MatchAll_Ct&lt;22,$BC905=(Elig_MatchAll_Ct-1),AP905=0),L905,0)</f>
        <v>0</v>
      </c>
      <c r="BR905" s="991">
        <f>IF(AND(Input_Product=Elig!$C905,Elig_MatchAll_Ct&lt;22,$BC905=(Elig_MatchAll_Ct-1),AO905=0),M905,0)</f>
        <v>0</v>
      </c>
      <c r="BS905" s="991">
        <f>IF(AND(Input_Product=Elig!$C905,Elig_MatchAll_Ct&lt;22,$BC905=(Elig_MatchAll_Ct-1),AQ905=0),N905,0)</f>
        <v>0</v>
      </c>
      <c r="BT905" s="991">
        <f>IF(AND(Input_Product=Elig!$C905,Elig_MatchAll_Ct&lt;22,$BC905=(Elig_MatchAll_Ct-1),AR905=0),O905,0)</f>
        <v>0</v>
      </c>
      <c r="BU905" s="991">
        <f>IF(AND(Input_Product=Elig!$C905,Elig_MatchAll_Ct&lt;22,$BC905=(Elig_MatchAll_Ct-1),AS905=0),P905,0)</f>
        <v>0</v>
      </c>
      <c r="BV905" s="992">
        <f>IF(AND(Input_Product=Elig!$C905,Elig_MatchAll_Ct&lt;22,$BC905=(Elig_MatchAll_Ct-1),AT905=0),Q905,0)</f>
        <v>0</v>
      </c>
      <c r="BW905" s="993">
        <f>IF(AND(Input_Product=Elig!$C905,Elig_MatchAll_Ct&lt;22,$BC905=(Elig_MatchAll_Ct-1),AU905=0),R905,0)</f>
        <v>0</v>
      </c>
      <c r="BX905" s="994">
        <f>IF(AND(Input_Product=Elig!$C905,Elig_MatchAll_Ct&lt;22,$BC905=(Elig_MatchAll_Ct-1),AU905=0),S905,0)</f>
        <v>0</v>
      </c>
      <c r="BY905" s="993">
        <f>IF(AND(Input_Product=Elig!$C905,Elig_MatchAll_Ct&lt;22,$BC905=(Elig_MatchAll_Ct-1),AV905=0),T905,0)</f>
        <v>0</v>
      </c>
      <c r="BZ905" s="994">
        <f>IF(AND(Input_Product=Elig!$C905,Elig_MatchAll_Ct&lt;22,$BC905=(Elig_MatchAll_Ct-1),AV905=0),U905,0)</f>
        <v>0</v>
      </c>
      <c r="CA905" s="993">
        <f>IF(AND(Input_Product=Elig!$C905,Elig_MatchAll_Ct&lt;22,$BC905=(Elig_MatchAll_Ct-1),AW905=0),V905,0)</f>
        <v>0</v>
      </c>
      <c r="CB905" s="994">
        <f>IF(AND(Input_Product=Elig!$C905,Elig_MatchAll_Ct&lt;22,$BC905=(Elig_MatchAll_Ct-1),AW905=0),W905,0)</f>
        <v>0</v>
      </c>
      <c r="CC905" s="993">
        <f>IF(AND(Input_Product=Elig!$C905,Elig_MatchAll_Ct&lt;22,$BC905=(Elig_MatchAll_Ct-1),AX905=0),X905,0)</f>
        <v>0</v>
      </c>
      <c r="CD905" s="994">
        <f>IF(AND(Input_Product=Elig!$C905,Elig_MatchAll_Ct&lt;22,$BC905=(Elig_MatchAll_Ct-1),AX905=0),Y905,0)</f>
        <v>0</v>
      </c>
      <c r="CE905" s="993">
        <f>IF(AND(Input_LTV&lt;=AE905,Input_Product=Elig!$C905,Elig_MatchAll_Ct&lt;22,$BC905=(Elig_MatchAll_Ct-1),AY905=0),Z905,0)</f>
        <v>0</v>
      </c>
      <c r="CF905" s="994">
        <f>IF(AND(Input_LTV&lt;=AE905,Input_Product=Elig!$C905,Elig_MatchAll_Ct&lt;22,$BC905=(Elig_MatchAll_Ct-1),AY905=0),AA905,0)</f>
        <v>0</v>
      </c>
      <c r="CG905" s="993">
        <f>IF(AND(Input_Product=Elig!$C905,Elig_MatchAll_Ct&lt;22,$BC905=(Elig_MatchAll_Ct-1),AZ905=0),AB905,0)</f>
        <v>0</v>
      </c>
      <c r="CH905" s="994">
        <f>IF(AND(Input_Product=Elig!$C905,Elig_MatchAll_Ct&lt;22,$BC905=(Elig_MatchAll_Ct-1),AZ905=0),AC905,0)</f>
        <v>0</v>
      </c>
      <c r="CI905" s="993">
        <f>IF(AND(Input_Product=Elig!$C905,Elig_MatchAll_Ct&lt;22,$BC905=(Elig_MatchAll_Ct-1),BA905=0),AD905,0)</f>
        <v>0</v>
      </c>
      <c r="CJ905" s="994">
        <f>IF(AND(Input_Product=Elig!$C905,Elig_MatchAll_Ct&lt;22,$BC905=(Elig_MatchAll_Ct-1),BA905=0),AE905,0)</f>
        <v>0</v>
      </c>
    </row>
    <row r="906" spans="2:88" ht="10.15" customHeight="1" x14ac:dyDescent="0.25">
      <c r="B906" s="1916" t="s">
        <v>2242</v>
      </c>
      <c r="C906" s="1208" t="str">
        <f t="shared" si="367"/>
        <v xml:space="preserve">  </v>
      </c>
      <c r="D906" s="1209" t="s">
        <v>2218</v>
      </c>
      <c r="E906" s="1209" t="s">
        <v>167</v>
      </c>
      <c r="F906" s="1209" t="s">
        <v>331</v>
      </c>
      <c r="G906" s="1210" t="s">
        <v>175</v>
      </c>
      <c r="H906" s="1210" t="s">
        <v>446</v>
      </c>
      <c r="I906" s="1209" t="s">
        <v>274</v>
      </c>
      <c r="J906" s="1209" t="s">
        <v>1311</v>
      </c>
      <c r="K906" s="1210" t="s">
        <v>3022</v>
      </c>
      <c r="L906" s="1209" t="s">
        <v>2768</v>
      </c>
      <c r="M906" s="1209" t="s">
        <v>2677</v>
      </c>
      <c r="N906" s="1210" t="s">
        <v>82</v>
      </c>
      <c r="O906" s="1209" t="s">
        <v>310</v>
      </c>
      <c r="P906" s="1209" t="s">
        <v>291</v>
      </c>
      <c r="Q906" s="1209" t="s">
        <v>294</v>
      </c>
      <c r="R906" s="1209">
        <v>1000000.01</v>
      </c>
      <c r="S906" s="1209">
        <v>1500000</v>
      </c>
      <c r="T906" s="1209">
        <v>0</v>
      </c>
      <c r="U906" s="1209">
        <v>0</v>
      </c>
      <c r="V906" s="1209">
        <v>0</v>
      </c>
      <c r="W906" s="1209">
        <v>50</v>
      </c>
      <c r="X906" s="1209">
        <v>0</v>
      </c>
      <c r="Y906" s="1209">
        <v>999</v>
      </c>
      <c r="Z906" s="1211">
        <v>680</v>
      </c>
      <c r="AA906" s="1211">
        <v>699</v>
      </c>
      <c r="AB906" s="1211">
        <v>6</v>
      </c>
      <c r="AC906" s="1211">
        <v>999999</v>
      </c>
      <c r="AD906" s="1209">
        <v>0</v>
      </c>
      <c r="AE906" s="1212">
        <v>80</v>
      </c>
      <c r="AF906" s="170">
        <v>0</v>
      </c>
      <c r="AG906" s="171">
        <v>1</v>
      </c>
      <c r="AH906" s="171">
        <v>1</v>
      </c>
      <c r="AI906" s="171">
        <v>1</v>
      </c>
      <c r="AJ906" s="171">
        <v>0</v>
      </c>
      <c r="AK906" s="171">
        <v>0</v>
      </c>
      <c r="AL906" s="171">
        <v>0</v>
      </c>
      <c r="AM906" s="171">
        <v>1</v>
      </c>
      <c r="AN906" s="171">
        <v>1</v>
      </c>
      <c r="AO906" s="171">
        <v>1</v>
      </c>
      <c r="AP906" s="171">
        <v>1</v>
      </c>
      <c r="AQ906" s="171">
        <v>1</v>
      </c>
      <c r="AR906" s="171">
        <v>1</v>
      </c>
      <c r="AS906" s="171">
        <v>1</v>
      </c>
      <c r="AT906" s="171">
        <v>1</v>
      </c>
      <c r="AU906" s="171">
        <f t="shared" si="368"/>
        <v>0</v>
      </c>
      <c r="AV906" s="171">
        <f t="shared" si="369"/>
        <v>0</v>
      </c>
      <c r="AW906" s="171">
        <f t="shared" si="370"/>
        <v>1</v>
      </c>
      <c r="AX906" s="171">
        <f t="shared" si="371"/>
        <v>1</v>
      </c>
      <c r="AY906" s="171">
        <f t="shared" si="372"/>
        <v>0</v>
      </c>
      <c r="AZ906" s="171">
        <f t="shared" si="373"/>
        <v>1</v>
      </c>
      <c r="BA906" s="172">
        <f t="shared" si="374"/>
        <v>1</v>
      </c>
      <c r="BB906" s="175">
        <f t="shared" si="375"/>
        <v>15</v>
      </c>
      <c r="BC906" s="176">
        <f t="shared" si="376"/>
        <v>14</v>
      </c>
      <c r="BD906" s="176">
        <f t="shared" si="377"/>
        <v>15</v>
      </c>
      <c r="BE906" s="240" t="str">
        <f t="shared" si="378"/>
        <v/>
      </c>
      <c r="BF906" s="990"/>
      <c r="BG906" s="990"/>
      <c r="BH906" s="991">
        <f>IF(AND(Input_Product=Elig!$C906,Elig_MatchAll_Ct&lt;22,$BC906=(Elig_MatchAll_Ct-1),AF906=0),C906,0)</f>
        <v>0</v>
      </c>
      <c r="BI906" s="991">
        <f>IF(AND(Input_Product=Elig!$C906,Elig_MatchAll_Ct&lt;22,$BC906=(Elig_MatchAll_Ct-1),AG906=0),D906,0)</f>
        <v>0</v>
      </c>
      <c r="BJ906" s="991">
        <f>IF(AND(Input_Product=Elig!$C906,Elig_MatchAll_Ct&lt;22,$BC906=(Elig_MatchAll_Ct-1),AH906=0),E906,0)</f>
        <v>0</v>
      </c>
      <c r="BK906" s="991">
        <f>IF(AND(Input_Product=Elig!$C906,Elig_MatchAll_Ct&lt;22,$BC906=(Elig_MatchAll_Ct-1),AI906=0),F906,0)</f>
        <v>0</v>
      </c>
      <c r="BL906" s="991">
        <f>IF(AND(Input_Product=Elig!$C906,Elig_MatchAll_Ct&lt;22,$BC906=(Elig_MatchAll_Ct-1),AJ906=0),G906,0)</f>
        <v>0</v>
      </c>
      <c r="BM906" s="991">
        <f>IF(AND(Input_Product=Elig!$C906,Elig_MatchAll_Ct&lt;22,$BC906=(Elig_MatchAll_Ct-1),AK906=0),H906,0)</f>
        <v>0</v>
      </c>
      <c r="BN906" s="991">
        <f>IF(AND(Input_Product=Elig!$C906,Elig_MatchAll_Ct&lt;22,$BC906=(Elig_MatchAll_Ct-1),AL906=0),I906,0)</f>
        <v>0</v>
      </c>
      <c r="BO906" s="991">
        <f>IF(AND(Input_Product=Elig!$C906,Elig_MatchAll_Ct&lt;22,$BC906=(Elig_MatchAll_Ct-1),AM906=0),J906,0)</f>
        <v>0</v>
      </c>
      <c r="BP906" s="991">
        <f>IF(AND(Input_Product=Elig!$C906,Elig_MatchAll_Ct&lt;22,$BC906=(Elig_MatchAll_Ct-1),AN906=0),K906,0)</f>
        <v>0</v>
      </c>
      <c r="BQ906" s="991">
        <f>IF(AND(Input_Product=Elig!$C906,Elig_MatchAll_Ct&lt;22,$BC906=(Elig_MatchAll_Ct-1),AP906=0),L906,0)</f>
        <v>0</v>
      </c>
      <c r="BR906" s="991">
        <f>IF(AND(Input_Product=Elig!$C906,Elig_MatchAll_Ct&lt;22,$BC906=(Elig_MatchAll_Ct-1),AO906=0),M906,0)</f>
        <v>0</v>
      </c>
      <c r="BS906" s="991">
        <f>IF(AND(Input_Product=Elig!$C906,Elig_MatchAll_Ct&lt;22,$BC906=(Elig_MatchAll_Ct-1),AQ906=0),N906,0)</f>
        <v>0</v>
      </c>
      <c r="BT906" s="991">
        <f>IF(AND(Input_Product=Elig!$C906,Elig_MatchAll_Ct&lt;22,$BC906=(Elig_MatchAll_Ct-1),AR906=0),O906,0)</f>
        <v>0</v>
      </c>
      <c r="BU906" s="991">
        <f>IF(AND(Input_Product=Elig!$C906,Elig_MatchAll_Ct&lt;22,$BC906=(Elig_MatchAll_Ct-1),AS906=0),P906,0)</f>
        <v>0</v>
      </c>
      <c r="BV906" s="992">
        <f>IF(AND(Input_Product=Elig!$C906,Elig_MatchAll_Ct&lt;22,$BC906=(Elig_MatchAll_Ct-1),AT906=0),Q906,0)</f>
        <v>0</v>
      </c>
      <c r="BW906" s="993">
        <f>IF(AND(Input_Product=Elig!$C906,Elig_MatchAll_Ct&lt;22,$BC906=(Elig_MatchAll_Ct-1),AU906=0),R906,0)</f>
        <v>0</v>
      </c>
      <c r="BX906" s="994">
        <f>IF(AND(Input_Product=Elig!$C906,Elig_MatchAll_Ct&lt;22,$BC906=(Elig_MatchAll_Ct-1),AU906=0),S906,0)</f>
        <v>0</v>
      </c>
      <c r="BY906" s="993">
        <f>IF(AND(Input_Product=Elig!$C906,Elig_MatchAll_Ct&lt;22,$BC906=(Elig_MatchAll_Ct-1),AV906=0),T906,0)</f>
        <v>0</v>
      </c>
      <c r="BZ906" s="994">
        <f>IF(AND(Input_Product=Elig!$C906,Elig_MatchAll_Ct&lt;22,$BC906=(Elig_MatchAll_Ct-1),AV906=0),U906,0)</f>
        <v>0</v>
      </c>
      <c r="CA906" s="993">
        <f>IF(AND(Input_Product=Elig!$C906,Elig_MatchAll_Ct&lt;22,$BC906=(Elig_MatchAll_Ct-1),AW906=0),V906,0)</f>
        <v>0</v>
      </c>
      <c r="CB906" s="994">
        <f>IF(AND(Input_Product=Elig!$C906,Elig_MatchAll_Ct&lt;22,$BC906=(Elig_MatchAll_Ct-1),AW906=0),W906,0)</f>
        <v>0</v>
      </c>
      <c r="CC906" s="993">
        <f>IF(AND(Input_Product=Elig!$C906,Elig_MatchAll_Ct&lt;22,$BC906=(Elig_MatchAll_Ct-1),AX906=0),X906,0)</f>
        <v>0</v>
      </c>
      <c r="CD906" s="994">
        <f>IF(AND(Input_Product=Elig!$C906,Elig_MatchAll_Ct&lt;22,$BC906=(Elig_MatchAll_Ct-1),AX906=0),Y906,0)</f>
        <v>0</v>
      </c>
      <c r="CE906" s="993">
        <f>IF(AND(Input_LTV&lt;=AE906,Input_Product=Elig!$C906,Elig_MatchAll_Ct&lt;22,$BC906=(Elig_MatchAll_Ct-1),AY906=0),Z906,0)</f>
        <v>0</v>
      </c>
      <c r="CF906" s="994">
        <f>IF(AND(Input_LTV&lt;=AE906,Input_Product=Elig!$C906,Elig_MatchAll_Ct&lt;22,$BC906=(Elig_MatchAll_Ct-1),AY906=0),AA906,0)</f>
        <v>0</v>
      </c>
      <c r="CG906" s="993">
        <f>IF(AND(Input_Product=Elig!$C906,Elig_MatchAll_Ct&lt;22,$BC906=(Elig_MatchAll_Ct-1),AZ906=0),AB906,0)</f>
        <v>0</v>
      </c>
      <c r="CH906" s="994">
        <f>IF(AND(Input_Product=Elig!$C906,Elig_MatchAll_Ct&lt;22,$BC906=(Elig_MatchAll_Ct-1),AZ906=0),AC906,0)</f>
        <v>0</v>
      </c>
      <c r="CI906" s="993">
        <f>IF(AND(Input_Product=Elig!$C906,Elig_MatchAll_Ct&lt;22,$BC906=(Elig_MatchAll_Ct-1),BA906=0),AD906,0)</f>
        <v>0</v>
      </c>
      <c r="CJ906" s="994">
        <f>IF(AND(Input_Product=Elig!$C906,Elig_MatchAll_Ct&lt;22,$BC906=(Elig_MatchAll_Ct-1),BA906=0),AE906,0)</f>
        <v>0</v>
      </c>
    </row>
    <row r="907" spans="2:88" ht="10.15" customHeight="1" x14ac:dyDescent="0.25">
      <c r="B907" s="1916" t="s">
        <v>2243</v>
      </c>
      <c r="C907" s="1213" t="str">
        <f t="shared" si="367"/>
        <v xml:space="preserve">  </v>
      </c>
      <c r="D907" s="1214" t="s">
        <v>2218</v>
      </c>
      <c r="E907" s="1214" t="s">
        <v>167</v>
      </c>
      <c r="F907" s="1214" t="s">
        <v>331</v>
      </c>
      <c r="G907" s="1215" t="s">
        <v>175</v>
      </c>
      <c r="H907" s="1215" t="s">
        <v>446</v>
      </c>
      <c r="I907" s="1214" t="s">
        <v>274</v>
      </c>
      <c r="J907" s="1214" t="s">
        <v>1311</v>
      </c>
      <c r="K907" s="1215" t="s">
        <v>3022</v>
      </c>
      <c r="L907" s="1214" t="s">
        <v>2768</v>
      </c>
      <c r="M907" s="1214" t="s">
        <v>2677</v>
      </c>
      <c r="N907" s="1215" t="s">
        <v>82</v>
      </c>
      <c r="O907" s="1214" t="s">
        <v>310</v>
      </c>
      <c r="P907" s="1214" t="s">
        <v>291</v>
      </c>
      <c r="Q907" s="1214" t="s">
        <v>294</v>
      </c>
      <c r="R907" s="1214">
        <v>1000000.01</v>
      </c>
      <c r="S907" s="1214">
        <v>1500000</v>
      </c>
      <c r="T907" s="1214">
        <v>0</v>
      </c>
      <c r="U907" s="1214">
        <v>0</v>
      </c>
      <c r="V907" s="1214">
        <v>0</v>
      </c>
      <c r="W907" s="1214">
        <v>50</v>
      </c>
      <c r="X907" s="1214">
        <v>0</v>
      </c>
      <c r="Y907" s="1214">
        <v>999</v>
      </c>
      <c r="Z907" s="1216">
        <v>660</v>
      </c>
      <c r="AA907" s="1216">
        <v>679</v>
      </c>
      <c r="AB907" s="1216">
        <v>6</v>
      </c>
      <c r="AC907" s="1216">
        <v>999999</v>
      </c>
      <c r="AD907" s="1214">
        <v>0</v>
      </c>
      <c r="AE907" s="1217">
        <v>70</v>
      </c>
      <c r="AF907" s="170">
        <v>0</v>
      </c>
      <c r="AG907" s="171">
        <v>1</v>
      </c>
      <c r="AH907" s="171">
        <v>1</v>
      </c>
      <c r="AI907" s="171">
        <v>1</v>
      </c>
      <c r="AJ907" s="171">
        <v>0</v>
      </c>
      <c r="AK907" s="171">
        <v>0</v>
      </c>
      <c r="AL907" s="171">
        <v>0</v>
      </c>
      <c r="AM907" s="171">
        <v>1</v>
      </c>
      <c r="AN907" s="171">
        <v>1</v>
      </c>
      <c r="AO907" s="171">
        <v>1</v>
      </c>
      <c r="AP907" s="171">
        <v>1</v>
      </c>
      <c r="AQ907" s="171">
        <v>1</v>
      </c>
      <c r="AR907" s="171">
        <v>1</v>
      </c>
      <c r="AS907" s="171">
        <v>1</v>
      </c>
      <c r="AT907" s="171">
        <v>1</v>
      </c>
      <c r="AU907" s="171">
        <f t="shared" si="368"/>
        <v>0</v>
      </c>
      <c r="AV907" s="171">
        <f t="shared" si="369"/>
        <v>0</v>
      </c>
      <c r="AW907" s="171">
        <f t="shared" si="370"/>
        <v>1</v>
      </c>
      <c r="AX907" s="171">
        <f t="shared" si="371"/>
        <v>1</v>
      </c>
      <c r="AY907" s="171">
        <f t="shared" si="372"/>
        <v>0</v>
      </c>
      <c r="AZ907" s="171">
        <f t="shared" si="373"/>
        <v>1</v>
      </c>
      <c r="BA907" s="172">
        <f t="shared" si="374"/>
        <v>1</v>
      </c>
      <c r="BB907" s="175">
        <f t="shared" si="375"/>
        <v>15</v>
      </c>
      <c r="BC907" s="176">
        <f t="shared" si="376"/>
        <v>14</v>
      </c>
      <c r="BD907" s="176">
        <f t="shared" si="377"/>
        <v>15</v>
      </c>
      <c r="BE907" s="240" t="str">
        <f t="shared" si="378"/>
        <v/>
      </c>
      <c r="BF907" s="990"/>
      <c r="BG907" s="990"/>
      <c r="BH907" s="991">
        <f>IF(AND(Input_Product=Elig!$C907,Elig_MatchAll_Ct&lt;22,$BC907=(Elig_MatchAll_Ct-1),AF907=0),C907,0)</f>
        <v>0</v>
      </c>
      <c r="BI907" s="991">
        <f>IF(AND(Input_Product=Elig!$C907,Elig_MatchAll_Ct&lt;22,$BC907=(Elig_MatchAll_Ct-1),AG907=0),D907,0)</f>
        <v>0</v>
      </c>
      <c r="BJ907" s="991">
        <f>IF(AND(Input_Product=Elig!$C907,Elig_MatchAll_Ct&lt;22,$BC907=(Elig_MatchAll_Ct-1),AH907=0),E907,0)</f>
        <v>0</v>
      </c>
      <c r="BK907" s="991">
        <f>IF(AND(Input_Product=Elig!$C907,Elig_MatchAll_Ct&lt;22,$BC907=(Elig_MatchAll_Ct-1),AI907=0),F907,0)</f>
        <v>0</v>
      </c>
      <c r="BL907" s="991">
        <f>IF(AND(Input_Product=Elig!$C907,Elig_MatchAll_Ct&lt;22,$BC907=(Elig_MatchAll_Ct-1),AJ907=0),G907,0)</f>
        <v>0</v>
      </c>
      <c r="BM907" s="991">
        <f>IF(AND(Input_Product=Elig!$C907,Elig_MatchAll_Ct&lt;22,$BC907=(Elig_MatchAll_Ct-1),AK907=0),H907,0)</f>
        <v>0</v>
      </c>
      <c r="BN907" s="991">
        <f>IF(AND(Input_Product=Elig!$C907,Elig_MatchAll_Ct&lt;22,$BC907=(Elig_MatchAll_Ct-1),AL907=0),I907,0)</f>
        <v>0</v>
      </c>
      <c r="BO907" s="991">
        <f>IF(AND(Input_Product=Elig!$C907,Elig_MatchAll_Ct&lt;22,$BC907=(Elig_MatchAll_Ct-1),AM907=0),J907,0)</f>
        <v>0</v>
      </c>
      <c r="BP907" s="991">
        <f>IF(AND(Input_Product=Elig!$C907,Elig_MatchAll_Ct&lt;22,$BC907=(Elig_MatchAll_Ct-1),AN907=0),K907,0)</f>
        <v>0</v>
      </c>
      <c r="BQ907" s="991">
        <f>IF(AND(Input_Product=Elig!$C907,Elig_MatchAll_Ct&lt;22,$BC907=(Elig_MatchAll_Ct-1),AP907=0),L907,0)</f>
        <v>0</v>
      </c>
      <c r="BR907" s="991">
        <f>IF(AND(Input_Product=Elig!$C907,Elig_MatchAll_Ct&lt;22,$BC907=(Elig_MatchAll_Ct-1),AO907=0),M907,0)</f>
        <v>0</v>
      </c>
      <c r="BS907" s="991">
        <f>IF(AND(Input_Product=Elig!$C907,Elig_MatchAll_Ct&lt;22,$BC907=(Elig_MatchAll_Ct-1),AQ907=0),N907,0)</f>
        <v>0</v>
      </c>
      <c r="BT907" s="991">
        <f>IF(AND(Input_Product=Elig!$C907,Elig_MatchAll_Ct&lt;22,$BC907=(Elig_MatchAll_Ct-1),AR907=0),O907,0)</f>
        <v>0</v>
      </c>
      <c r="BU907" s="991">
        <f>IF(AND(Input_Product=Elig!$C907,Elig_MatchAll_Ct&lt;22,$BC907=(Elig_MatchAll_Ct-1),AS907=0),P907,0)</f>
        <v>0</v>
      </c>
      <c r="BV907" s="992">
        <f>IF(AND(Input_Product=Elig!$C907,Elig_MatchAll_Ct&lt;22,$BC907=(Elig_MatchAll_Ct-1),AT907=0),Q907,0)</f>
        <v>0</v>
      </c>
      <c r="BW907" s="993">
        <f>IF(AND(Input_Product=Elig!$C907,Elig_MatchAll_Ct&lt;22,$BC907=(Elig_MatchAll_Ct-1),AU907=0),R907,0)</f>
        <v>0</v>
      </c>
      <c r="BX907" s="994">
        <f>IF(AND(Input_Product=Elig!$C907,Elig_MatchAll_Ct&lt;22,$BC907=(Elig_MatchAll_Ct-1),AU907=0),S907,0)</f>
        <v>0</v>
      </c>
      <c r="BY907" s="993">
        <f>IF(AND(Input_Product=Elig!$C907,Elig_MatchAll_Ct&lt;22,$BC907=(Elig_MatchAll_Ct-1),AV907=0),T907,0)</f>
        <v>0</v>
      </c>
      <c r="BZ907" s="994">
        <f>IF(AND(Input_Product=Elig!$C907,Elig_MatchAll_Ct&lt;22,$BC907=(Elig_MatchAll_Ct-1),AV907=0),U907,0)</f>
        <v>0</v>
      </c>
      <c r="CA907" s="993">
        <f>IF(AND(Input_Product=Elig!$C907,Elig_MatchAll_Ct&lt;22,$BC907=(Elig_MatchAll_Ct-1),AW907=0),V907,0)</f>
        <v>0</v>
      </c>
      <c r="CB907" s="994">
        <f>IF(AND(Input_Product=Elig!$C907,Elig_MatchAll_Ct&lt;22,$BC907=(Elig_MatchAll_Ct-1),AW907=0),W907,0)</f>
        <v>0</v>
      </c>
      <c r="CC907" s="993">
        <f>IF(AND(Input_Product=Elig!$C907,Elig_MatchAll_Ct&lt;22,$BC907=(Elig_MatchAll_Ct-1),AX907=0),X907,0)</f>
        <v>0</v>
      </c>
      <c r="CD907" s="994">
        <f>IF(AND(Input_Product=Elig!$C907,Elig_MatchAll_Ct&lt;22,$BC907=(Elig_MatchAll_Ct-1),AX907=0),Y907,0)</f>
        <v>0</v>
      </c>
      <c r="CE907" s="993">
        <f>IF(AND(Input_LTV&lt;=AE907,Input_Product=Elig!$C907,Elig_MatchAll_Ct&lt;22,$BC907=(Elig_MatchAll_Ct-1),AY907=0),Z907,0)</f>
        <v>0</v>
      </c>
      <c r="CF907" s="994">
        <f>IF(AND(Input_LTV&lt;=AE907,Input_Product=Elig!$C907,Elig_MatchAll_Ct&lt;22,$BC907=(Elig_MatchAll_Ct-1),AY907=0),AA907,0)</f>
        <v>0</v>
      </c>
      <c r="CG907" s="993">
        <f>IF(AND(Input_Product=Elig!$C907,Elig_MatchAll_Ct&lt;22,$BC907=(Elig_MatchAll_Ct-1),AZ907=0),AB907,0)</f>
        <v>0</v>
      </c>
      <c r="CH907" s="994">
        <f>IF(AND(Input_Product=Elig!$C907,Elig_MatchAll_Ct&lt;22,$BC907=(Elig_MatchAll_Ct-1),AZ907=0),AC907,0)</f>
        <v>0</v>
      </c>
      <c r="CI907" s="993">
        <f>IF(AND(Input_Product=Elig!$C907,Elig_MatchAll_Ct&lt;22,$BC907=(Elig_MatchAll_Ct-1),BA907=0),AD907,0)</f>
        <v>0</v>
      </c>
      <c r="CJ907" s="994">
        <f>IF(AND(Input_Product=Elig!$C907,Elig_MatchAll_Ct&lt;22,$BC907=(Elig_MatchAll_Ct-1),BA907=0),AE907,0)</f>
        <v>0</v>
      </c>
    </row>
    <row r="908" spans="2:88" ht="10.15" customHeight="1" x14ac:dyDescent="0.25">
      <c r="B908" s="1916" t="s">
        <v>2244</v>
      </c>
      <c r="C908" s="1203" t="str">
        <f t="shared" si="367"/>
        <v xml:space="preserve">  </v>
      </c>
      <c r="D908" s="1204" t="s">
        <v>2218</v>
      </c>
      <c r="E908" s="1204" t="s">
        <v>167</v>
      </c>
      <c r="F908" s="1204" t="s">
        <v>331</v>
      </c>
      <c r="G908" s="1205" t="s">
        <v>175</v>
      </c>
      <c r="H908" s="1205" t="s">
        <v>446</v>
      </c>
      <c r="I908" s="1204" t="s">
        <v>274</v>
      </c>
      <c r="J908" s="1204" t="s">
        <v>1311</v>
      </c>
      <c r="K908" s="1205" t="s">
        <v>3022</v>
      </c>
      <c r="L908" s="1204" t="s">
        <v>2768</v>
      </c>
      <c r="M908" s="1204" t="s">
        <v>2677</v>
      </c>
      <c r="N908" s="1205" t="s">
        <v>82</v>
      </c>
      <c r="O908" s="1204" t="s">
        <v>310</v>
      </c>
      <c r="P908" s="1204" t="s">
        <v>291</v>
      </c>
      <c r="Q908" s="1204" t="s">
        <v>294</v>
      </c>
      <c r="R908" s="1204">
        <v>1500000.01</v>
      </c>
      <c r="S908" s="1204">
        <v>2000000</v>
      </c>
      <c r="T908" s="1204">
        <v>0</v>
      </c>
      <c r="U908" s="1204">
        <v>0</v>
      </c>
      <c r="V908" s="1204">
        <v>0</v>
      </c>
      <c r="W908" s="1204">
        <v>50</v>
      </c>
      <c r="X908" s="1204">
        <v>0</v>
      </c>
      <c r="Y908" s="1204">
        <v>999</v>
      </c>
      <c r="Z908" s="1206">
        <v>720</v>
      </c>
      <c r="AA908" s="1206">
        <v>999</v>
      </c>
      <c r="AB908" s="1206">
        <v>6</v>
      </c>
      <c r="AC908" s="1206">
        <v>999999</v>
      </c>
      <c r="AD908" s="1204">
        <v>0</v>
      </c>
      <c r="AE908" s="1207">
        <v>80</v>
      </c>
      <c r="AF908" s="170">
        <v>0</v>
      </c>
      <c r="AG908" s="171">
        <v>1</v>
      </c>
      <c r="AH908" s="171">
        <v>1</v>
      </c>
      <c r="AI908" s="171">
        <v>1</v>
      </c>
      <c r="AJ908" s="171">
        <v>0</v>
      </c>
      <c r="AK908" s="171">
        <v>0</v>
      </c>
      <c r="AL908" s="171">
        <v>0</v>
      </c>
      <c r="AM908" s="171">
        <v>1</v>
      </c>
      <c r="AN908" s="171">
        <v>1</v>
      </c>
      <c r="AO908" s="171">
        <v>1</v>
      </c>
      <c r="AP908" s="171">
        <v>1</v>
      </c>
      <c r="AQ908" s="171">
        <v>1</v>
      </c>
      <c r="AR908" s="171">
        <v>1</v>
      </c>
      <c r="AS908" s="171">
        <v>1</v>
      </c>
      <c r="AT908" s="171">
        <v>1</v>
      </c>
      <c r="AU908" s="171">
        <f t="shared" si="368"/>
        <v>0</v>
      </c>
      <c r="AV908" s="171">
        <f t="shared" si="369"/>
        <v>0</v>
      </c>
      <c r="AW908" s="171">
        <f t="shared" si="370"/>
        <v>1</v>
      </c>
      <c r="AX908" s="171">
        <f t="shared" si="371"/>
        <v>1</v>
      </c>
      <c r="AY908" s="171">
        <f t="shared" si="372"/>
        <v>1</v>
      </c>
      <c r="AZ908" s="171">
        <f t="shared" si="373"/>
        <v>1</v>
      </c>
      <c r="BA908" s="172">
        <f t="shared" si="374"/>
        <v>1</v>
      </c>
      <c r="BB908" s="175">
        <f t="shared" si="375"/>
        <v>16</v>
      </c>
      <c r="BC908" s="176">
        <f t="shared" si="376"/>
        <v>15</v>
      </c>
      <c r="BD908" s="176">
        <f t="shared" si="377"/>
        <v>16</v>
      </c>
      <c r="BE908" s="240" t="str">
        <f t="shared" si="378"/>
        <v/>
      </c>
      <c r="BF908" s="990"/>
      <c r="BG908" s="990"/>
      <c r="BH908" s="991">
        <f>IF(AND(Input_Product=Elig!$C908,Elig_MatchAll_Ct&lt;22,$BC908=(Elig_MatchAll_Ct-1),AF908=0),C908,0)</f>
        <v>0</v>
      </c>
      <c r="BI908" s="991">
        <f>IF(AND(Input_Product=Elig!$C908,Elig_MatchAll_Ct&lt;22,$BC908=(Elig_MatchAll_Ct-1),AG908=0),D908,0)</f>
        <v>0</v>
      </c>
      <c r="BJ908" s="991">
        <f>IF(AND(Input_Product=Elig!$C908,Elig_MatchAll_Ct&lt;22,$BC908=(Elig_MatchAll_Ct-1),AH908=0),E908,0)</f>
        <v>0</v>
      </c>
      <c r="BK908" s="991">
        <f>IF(AND(Input_Product=Elig!$C908,Elig_MatchAll_Ct&lt;22,$BC908=(Elig_MatchAll_Ct-1),AI908=0),F908,0)</f>
        <v>0</v>
      </c>
      <c r="BL908" s="991">
        <f>IF(AND(Input_Product=Elig!$C908,Elig_MatchAll_Ct&lt;22,$BC908=(Elig_MatchAll_Ct-1),AJ908=0),G908,0)</f>
        <v>0</v>
      </c>
      <c r="BM908" s="991">
        <f>IF(AND(Input_Product=Elig!$C908,Elig_MatchAll_Ct&lt;22,$BC908=(Elig_MatchAll_Ct-1),AK908=0),H908,0)</f>
        <v>0</v>
      </c>
      <c r="BN908" s="991">
        <f>IF(AND(Input_Product=Elig!$C908,Elig_MatchAll_Ct&lt;22,$BC908=(Elig_MatchAll_Ct-1),AL908=0),I908,0)</f>
        <v>0</v>
      </c>
      <c r="BO908" s="991">
        <f>IF(AND(Input_Product=Elig!$C908,Elig_MatchAll_Ct&lt;22,$BC908=(Elig_MatchAll_Ct-1),AM908=0),J908,0)</f>
        <v>0</v>
      </c>
      <c r="BP908" s="991">
        <f>IF(AND(Input_Product=Elig!$C908,Elig_MatchAll_Ct&lt;22,$BC908=(Elig_MatchAll_Ct-1),AN908=0),K908,0)</f>
        <v>0</v>
      </c>
      <c r="BQ908" s="991">
        <f>IF(AND(Input_Product=Elig!$C908,Elig_MatchAll_Ct&lt;22,$BC908=(Elig_MatchAll_Ct-1),AP908=0),L908,0)</f>
        <v>0</v>
      </c>
      <c r="BR908" s="991">
        <f>IF(AND(Input_Product=Elig!$C908,Elig_MatchAll_Ct&lt;22,$BC908=(Elig_MatchAll_Ct-1),AO908=0),M908,0)</f>
        <v>0</v>
      </c>
      <c r="BS908" s="991">
        <f>IF(AND(Input_Product=Elig!$C908,Elig_MatchAll_Ct&lt;22,$BC908=(Elig_MatchAll_Ct-1),AQ908=0),N908,0)</f>
        <v>0</v>
      </c>
      <c r="BT908" s="991">
        <f>IF(AND(Input_Product=Elig!$C908,Elig_MatchAll_Ct&lt;22,$BC908=(Elig_MatchAll_Ct-1),AR908=0),O908,0)</f>
        <v>0</v>
      </c>
      <c r="BU908" s="991">
        <f>IF(AND(Input_Product=Elig!$C908,Elig_MatchAll_Ct&lt;22,$BC908=(Elig_MatchAll_Ct-1),AS908=0),P908,0)</f>
        <v>0</v>
      </c>
      <c r="BV908" s="992">
        <f>IF(AND(Input_Product=Elig!$C908,Elig_MatchAll_Ct&lt;22,$BC908=(Elig_MatchAll_Ct-1),AT908=0),Q908,0)</f>
        <v>0</v>
      </c>
      <c r="BW908" s="993">
        <f>IF(AND(Input_Product=Elig!$C908,Elig_MatchAll_Ct&lt;22,$BC908=(Elig_MatchAll_Ct-1),AU908=0),R908,0)</f>
        <v>0</v>
      </c>
      <c r="BX908" s="994">
        <f>IF(AND(Input_Product=Elig!$C908,Elig_MatchAll_Ct&lt;22,$BC908=(Elig_MatchAll_Ct-1),AU908=0),S908,0)</f>
        <v>0</v>
      </c>
      <c r="BY908" s="993">
        <f>IF(AND(Input_Product=Elig!$C908,Elig_MatchAll_Ct&lt;22,$BC908=(Elig_MatchAll_Ct-1),AV908=0),T908,0)</f>
        <v>0</v>
      </c>
      <c r="BZ908" s="994">
        <f>IF(AND(Input_Product=Elig!$C908,Elig_MatchAll_Ct&lt;22,$BC908=(Elig_MatchAll_Ct-1),AV908=0),U908,0)</f>
        <v>0</v>
      </c>
      <c r="CA908" s="993">
        <f>IF(AND(Input_Product=Elig!$C908,Elig_MatchAll_Ct&lt;22,$BC908=(Elig_MatchAll_Ct-1),AW908=0),V908,0)</f>
        <v>0</v>
      </c>
      <c r="CB908" s="994">
        <f>IF(AND(Input_Product=Elig!$C908,Elig_MatchAll_Ct&lt;22,$BC908=(Elig_MatchAll_Ct-1),AW908=0),W908,0)</f>
        <v>0</v>
      </c>
      <c r="CC908" s="993">
        <f>IF(AND(Input_Product=Elig!$C908,Elig_MatchAll_Ct&lt;22,$BC908=(Elig_MatchAll_Ct-1),AX908=0),X908,0)</f>
        <v>0</v>
      </c>
      <c r="CD908" s="994">
        <f>IF(AND(Input_Product=Elig!$C908,Elig_MatchAll_Ct&lt;22,$BC908=(Elig_MatchAll_Ct-1),AX908=0),Y908,0)</f>
        <v>0</v>
      </c>
      <c r="CE908" s="993">
        <f>IF(AND(Input_LTV&lt;=AE908,Input_Product=Elig!$C908,Elig_MatchAll_Ct&lt;22,$BC908=(Elig_MatchAll_Ct-1),AY908=0),Z908,0)</f>
        <v>0</v>
      </c>
      <c r="CF908" s="994">
        <f>IF(AND(Input_LTV&lt;=AE908,Input_Product=Elig!$C908,Elig_MatchAll_Ct&lt;22,$BC908=(Elig_MatchAll_Ct-1),AY908=0),AA908,0)</f>
        <v>0</v>
      </c>
      <c r="CG908" s="993">
        <f>IF(AND(Input_Product=Elig!$C908,Elig_MatchAll_Ct&lt;22,$BC908=(Elig_MatchAll_Ct-1),AZ908=0),AB908,0)</f>
        <v>0</v>
      </c>
      <c r="CH908" s="994">
        <f>IF(AND(Input_Product=Elig!$C908,Elig_MatchAll_Ct&lt;22,$BC908=(Elig_MatchAll_Ct-1),AZ908=0),AC908,0)</f>
        <v>0</v>
      </c>
      <c r="CI908" s="993">
        <f>IF(AND(Input_Product=Elig!$C908,Elig_MatchAll_Ct&lt;22,$BC908=(Elig_MatchAll_Ct-1),BA908=0),AD908,0)</f>
        <v>0</v>
      </c>
      <c r="CJ908" s="994">
        <f>IF(AND(Input_Product=Elig!$C908,Elig_MatchAll_Ct&lt;22,$BC908=(Elig_MatchAll_Ct-1),BA908=0),AE908,0)</f>
        <v>0</v>
      </c>
    </row>
    <row r="909" spans="2:88" ht="10.15" customHeight="1" x14ac:dyDescent="0.25">
      <c r="B909" s="1916" t="s">
        <v>2245</v>
      </c>
      <c r="C909" s="1208" t="str">
        <f t="shared" si="367"/>
        <v xml:space="preserve">  </v>
      </c>
      <c r="D909" s="1209" t="s">
        <v>2218</v>
      </c>
      <c r="E909" s="1209" t="s">
        <v>167</v>
      </c>
      <c r="F909" s="1209" t="s">
        <v>331</v>
      </c>
      <c r="G909" s="1210" t="s">
        <v>175</v>
      </c>
      <c r="H909" s="1210" t="s">
        <v>446</v>
      </c>
      <c r="I909" s="1209" t="s">
        <v>274</v>
      </c>
      <c r="J909" s="1209" t="s">
        <v>1311</v>
      </c>
      <c r="K909" s="1210" t="s">
        <v>3022</v>
      </c>
      <c r="L909" s="1209" t="s">
        <v>2768</v>
      </c>
      <c r="M909" s="1209" t="s">
        <v>2677</v>
      </c>
      <c r="N909" s="1210" t="s">
        <v>82</v>
      </c>
      <c r="O909" s="1209" t="s">
        <v>310</v>
      </c>
      <c r="P909" s="1209" t="s">
        <v>291</v>
      </c>
      <c r="Q909" s="1209" t="s">
        <v>294</v>
      </c>
      <c r="R909" s="1209">
        <v>1500000.01</v>
      </c>
      <c r="S909" s="1209">
        <v>2000000</v>
      </c>
      <c r="T909" s="1209">
        <v>0</v>
      </c>
      <c r="U909" s="1209">
        <v>0</v>
      </c>
      <c r="V909" s="1209">
        <v>0</v>
      </c>
      <c r="W909" s="1209">
        <v>50</v>
      </c>
      <c r="X909" s="1209">
        <v>0</v>
      </c>
      <c r="Y909" s="1209">
        <v>999</v>
      </c>
      <c r="Z909" s="1211">
        <v>700</v>
      </c>
      <c r="AA909" s="1211">
        <v>719</v>
      </c>
      <c r="AB909" s="1211">
        <v>6</v>
      </c>
      <c r="AC909" s="1211">
        <v>999999</v>
      </c>
      <c r="AD909" s="1209">
        <v>0</v>
      </c>
      <c r="AE909" s="1212">
        <v>80</v>
      </c>
      <c r="AF909" s="170">
        <v>0</v>
      </c>
      <c r="AG909" s="171">
        <v>1</v>
      </c>
      <c r="AH909" s="171">
        <v>1</v>
      </c>
      <c r="AI909" s="171">
        <v>1</v>
      </c>
      <c r="AJ909" s="171">
        <v>0</v>
      </c>
      <c r="AK909" s="171">
        <v>0</v>
      </c>
      <c r="AL909" s="171">
        <v>0</v>
      </c>
      <c r="AM909" s="171">
        <v>1</v>
      </c>
      <c r="AN909" s="171">
        <v>1</v>
      </c>
      <c r="AO909" s="171">
        <v>1</v>
      </c>
      <c r="AP909" s="171">
        <v>1</v>
      </c>
      <c r="AQ909" s="171">
        <v>1</v>
      </c>
      <c r="AR909" s="171">
        <v>1</v>
      </c>
      <c r="AS909" s="171">
        <v>1</v>
      </c>
      <c r="AT909" s="171">
        <v>1</v>
      </c>
      <c r="AU909" s="171">
        <f t="shared" ref="AU909:AU972" si="379">IF(AND(Input_LoanAmt&gt;=Elig_LoanAmt_Min,Input_LoanAmt&lt;=Elig_LoanAmt_Max),1,0)</f>
        <v>0</v>
      </c>
      <c r="AV909" s="171">
        <f t="shared" ref="AV909:AV972" si="380">IF(AND(Input_CashoutAmt&gt;=Elig_CashoutAmt_Min,Input_CashoutAmt&lt;=Elig_CashoutAmt_Max),1,0)</f>
        <v>0</v>
      </c>
      <c r="AW909" s="171">
        <f t="shared" ref="AW909:AW972" si="381">IF(AND(Input_DTI&gt;=Elig_DTI_Min,Input_DTI&lt;=Elig_DTI_Max),1,0)</f>
        <v>1</v>
      </c>
      <c r="AX909" s="171">
        <f t="shared" si="371"/>
        <v>1</v>
      </c>
      <c r="AY909" s="171">
        <f t="shared" ref="AY909:AY972" si="382">IF(AND(Input_CreditScore&gt;=Elig_CreditScore_Min,Input_CreditScore&lt;=Elig_CreditScore_Max),1,0)</f>
        <v>0</v>
      </c>
      <c r="AZ909" s="171">
        <f t="shared" ref="AZ909:AZ972" si="383">IF(AND(Input_ReservesMonths&gt;=Elig_Reserves_Min,Input_ReservesMonths&lt;=Elig_Reserves_Max),1,0)</f>
        <v>1</v>
      </c>
      <c r="BA909" s="172">
        <f t="shared" ref="BA909:BA972" si="384">IF(AND(Input_LTV&gt;=Elig_LTV_Min,Input_LTV&lt;=Elig_LTV_Max),1,0)</f>
        <v>1</v>
      </c>
      <c r="BB909" s="175">
        <f t="shared" si="375"/>
        <v>15</v>
      </c>
      <c r="BC909" s="176">
        <f t="shared" si="376"/>
        <v>14</v>
      </c>
      <c r="BD909" s="176">
        <f t="shared" si="377"/>
        <v>15</v>
      </c>
      <c r="BE909" s="240" t="str">
        <f t="shared" si="378"/>
        <v/>
      </c>
      <c r="BF909" s="990"/>
      <c r="BG909" s="990"/>
      <c r="BH909" s="991">
        <f>IF(AND(Input_Product=Elig!$C909,Elig_MatchAll_Ct&lt;22,$BC909=(Elig_MatchAll_Ct-1),AF909=0),C909,0)</f>
        <v>0</v>
      </c>
      <c r="BI909" s="991">
        <f>IF(AND(Input_Product=Elig!$C909,Elig_MatchAll_Ct&lt;22,$BC909=(Elig_MatchAll_Ct-1),AG909=0),D909,0)</f>
        <v>0</v>
      </c>
      <c r="BJ909" s="991">
        <f>IF(AND(Input_Product=Elig!$C909,Elig_MatchAll_Ct&lt;22,$BC909=(Elig_MatchAll_Ct-1),AH909=0),E909,0)</f>
        <v>0</v>
      </c>
      <c r="BK909" s="991">
        <f>IF(AND(Input_Product=Elig!$C909,Elig_MatchAll_Ct&lt;22,$BC909=(Elig_MatchAll_Ct-1),AI909=0),F909,0)</f>
        <v>0</v>
      </c>
      <c r="BL909" s="991">
        <f>IF(AND(Input_Product=Elig!$C909,Elig_MatchAll_Ct&lt;22,$BC909=(Elig_MatchAll_Ct-1),AJ909=0),G909,0)</f>
        <v>0</v>
      </c>
      <c r="BM909" s="991">
        <f>IF(AND(Input_Product=Elig!$C909,Elig_MatchAll_Ct&lt;22,$BC909=(Elig_MatchAll_Ct-1),AK909=0),H909,0)</f>
        <v>0</v>
      </c>
      <c r="BN909" s="991">
        <f>IF(AND(Input_Product=Elig!$C909,Elig_MatchAll_Ct&lt;22,$BC909=(Elig_MatchAll_Ct-1),AL909=0),I909,0)</f>
        <v>0</v>
      </c>
      <c r="BO909" s="991">
        <f>IF(AND(Input_Product=Elig!$C909,Elig_MatchAll_Ct&lt;22,$BC909=(Elig_MatchAll_Ct-1),AM909=0),J909,0)</f>
        <v>0</v>
      </c>
      <c r="BP909" s="991">
        <f>IF(AND(Input_Product=Elig!$C909,Elig_MatchAll_Ct&lt;22,$BC909=(Elig_MatchAll_Ct-1),AN909=0),K909,0)</f>
        <v>0</v>
      </c>
      <c r="BQ909" s="991">
        <f>IF(AND(Input_Product=Elig!$C909,Elig_MatchAll_Ct&lt;22,$BC909=(Elig_MatchAll_Ct-1),AP909=0),L909,0)</f>
        <v>0</v>
      </c>
      <c r="BR909" s="991">
        <f>IF(AND(Input_Product=Elig!$C909,Elig_MatchAll_Ct&lt;22,$BC909=(Elig_MatchAll_Ct-1),AO909=0),M909,0)</f>
        <v>0</v>
      </c>
      <c r="BS909" s="991">
        <f>IF(AND(Input_Product=Elig!$C909,Elig_MatchAll_Ct&lt;22,$BC909=(Elig_MatchAll_Ct-1),AQ909=0),N909,0)</f>
        <v>0</v>
      </c>
      <c r="BT909" s="991">
        <f>IF(AND(Input_Product=Elig!$C909,Elig_MatchAll_Ct&lt;22,$BC909=(Elig_MatchAll_Ct-1),AR909=0),O909,0)</f>
        <v>0</v>
      </c>
      <c r="BU909" s="991">
        <f>IF(AND(Input_Product=Elig!$C909,Elig_MatchAll_Ct&lt;22,$BC909=(Elig_MatchAll_Ct-1),AS909=0),P909,0)</f>
        <v>0</v>
      </c>
      <c r="BV909" s="992">
        <f>IF(AND(Input_Product=Elig!$C909,Elig_MatchAll_Ct&lt;22,$BC909=(Elig_MatchAll_Ct-1),AT909=0),Q909,0)</f>
        <v>0</v>
      </c>
      <c r="BW909" s="993">
        <f>IF(AND(Input_Product=Elig!$C909,Elig_MatchAll_Ct&lt;22,$BC909=(Elig_MatchAll_Ct-1),AU909=0),R909,0)</f>
        <v>0</v>
      </c>
      <c r="BX909" s="994">
        <f>IF(AND(Input_Product=Elig!$C909,Elig_MatchAll_Ct&lt;22,$BC909=(Elig_MatchAll_Ct-1),AU909=0),S909,0)</f>
        <v>0</v>
      </c>
      <c r="BY909" s="993">
        <f>IF(AND(Input_Product=Elig!$C909,Elig_MatchAll_Ct&lt;22,$BC909=(Elig_MatchAll_Ct-1),AV909=0),T909,0)</f>
        <v>0</v>
      </c>
      <c r="BZ909" s="994">
        <f>IF(AND(Input_Product=Elig!$C909,Elig_MatchAll_Ct&lt;22,$BC909=(Elig_MatchAll_Ct-1),AV909=0),U909,0)</f>
        <v>0</v>
      </c>
      <c r="CA909" s="993">
        <f>IF(AND(Input_Product=Elig!$C909,Elig_MatchAll_Ct&lt;22,$BC909=(Elig_MatchAll_Ct-1),AW909=0),V909,0)</f>
        <v>0</v>
      </c>
      <c r="CB909" s="994">
        <f>IF(AND(Input_Product=Elig!$C909,Elig_MatchAll_Ct&lt;22,$BC909=(Elig_MatchAll_Ct-1),AW909=0),W909,0)</f>
        <v>0</v>
      </c>
      <c r="CC909" s="993">
        <f>IF(AND(Input_Product=Elig!$C909,Elig_MatchAll_Ct&lt;22,$BC909=(Elig_MatchAll_Ct-1),AX909=0),X909,0)</f>
        <v>0</v>
      </c>
      <c r="CD909" s="994">
        <f>IF(AND(Input_Product=Elig!$C909,Elig_MatchAll_Ct&lt;22,$BC909=(Elig_MatchAll_Ct-1),AX909=0),Y909,0)</f>
        <v>0</v>
      </c>
      <c r="CE909" s="993">
        <f>IF(AND(Input_LTV&lt;=AE909,Input_Product=Elig!$C909,Elig_MatchAll_Ct&lt;22,$BC909=(Elig_MatchAll_Ct-1),AY909=0),Z909,0)</f>
        <v>0</v>
      </c>
      <c r="CF909" s="994">
        <f>IF(AND(Input_LTV&lt;=AE909,Input_Product=Elig!$C909,Elig_MatchAll_Ct&lt;22,$BC909=(Elig_MatchAll_Ct-1),AY909=0),AA909,0)</f>
        <v>0</v>
      </c>
      <c r="CG909" s="993">
        <f>IF(AND(Input_Product=Elig!$C909,Elig_MatchAll_Ct&lt;22,$BC909=(Elig_MatchAll_Ct-1),AZ909=0),AB909,0)</f>
        <v>0</v>
      </c>
      <c r="CH909" s="994">
        <f>IF(AND(Input_Product=Elig!$C909,Elig_MatchAll_Ct&lt;22,$BC909=(Elig_MatchAll_Ct-1),AZ909=0),AC909,0)</f>
        <v>0</v>
      </c>
      <c r="CI909" s="993">
        <f>IF(AND(Input_Product=Elig!$C909,Elig_MatchAll_Ct&lt;22,$BC909=(Elig_MatchAll_Ct-1),BA909=0),AD909,0)</f>
        <v>0</v>
      </c>
      <c r="CJ909" s="994">
        <f>IF(AND(Input_Product=Elig!$C909,Elig_MatchAll_Ct&lt;22,$BC909=(Elig_MatchAll_Ct-1),BA909=0),AE909,0)</f>
        <v>0</v>
      </c>
    </row>
    <row r="910" spans="2:88" ht="10.15" customHeight="1" x14ac:dyDescent="0.25">
      <c r="B910" s="1916" t="s">
        <v>2246</v>
      </c>
      <c r="C910" s="1208" t="str">
        <f t="shared" si="367"/>
        <v xml:space="preserve">  </v>
      </c>
      <c r="D910" s="1209" t="s">
        <v>2218</v>
      </c>
      <c r="E910" s="1209" t="s">
        <v>167</v>
      </c>
      <c r="F910" s="1209" t="s">
        <v>331</v>
      </c>
      <c r="G910" s="1210" t="s">
        <v>175</v>
      </c>
      <c r="H910" s="1210" t="s">
        <v>446</v>
      </c>
      <c r="I910" s="1209" t="s">
        <v>274</v>
      </c>
      <c r="J910" s="1209" t="s">
        <v>1311</v>
      </c>
      <c r="K910" s="1210" t="s">
        <v>3022</v>
      </c>
      <c r="L910" s="1209" t="s">
        <v>2768</v>
      </c>
      <c r="M910" s="1209" t="s">
        <v>2677</v>
      </c>
      <c r="N910" s="1210" t="s">
        <v>82</v>
      </c>
      <c r="O910" s="1209" t="s">
        <v>310</v>
      </c>
      <c r="P910" s="1209" t="s">
        <v>291</v>
      </c>
      <c r="Q910" s="1209" t="s">
        <v>294</v>
      </c>
      <c r="R910" s="1209">
        <v>1500000.01</v>
      </c>
      <c r="S910" s="1209">
        <v>2000000</v>
      </c>
      <c r="T910" s="1209">
        <v>0</v>
      </c>
      <c r="U910" s="1209">
        <v>0</v>
      </c>
      <c r="V910" s="1209">
        <v>0</v>
      </c>
      <c r="W910" s="1209">
        <v>50</v>
      </c>
      <c r="X910" s="1209">
        <v>0</v>
      </c>
      <c r="Y910" s="1209">
        <v>999</v>
      </c>
      <c r="Z910" s="1211">
        <v>680</v>
      </c>
      <c r="AA910" s="1211">
        <v>699</v>
      </c>
      <c r="AB910" s="1211">
        <v>6</v>
      </c>
      <c r="AC910" s="1211">
        <v>999999</v>
      </c>
      <c r="AD910" s="1209">
        <v>0</v>
      </c>
      <c r="AE910" s="1212">
        <v>80</v>
      </c>
      <c r="AF910" s="170">
        <v>0</v>
      </c>
      <c r="AG910" s="171">
        <v>1</v>
      </c>
      <c r="AH910" s="171">
        <v>1</v>
      </c>
      <c r="AI910" s="171">
        <v>1</v>
      </c>
      <c r="AJ910" s="171">
        <v>0</v>
      </c>
      <c r="AK910" s="171">
        <v>0</v>
      </c>
      <c r="AL910" s="171">
        <v>0</v>
      </c>
      <c r="AM910" s="171">
        <v>1</v>
      </c>
      <c r="AN910" s="171">
        <v>1</v>
      </c>
      <c r="AO910" s="171">
        <v>1</v>
      </c>
      <c r="AP910" s="171">
        <v>1</v>
      </c>
      <c r="AQ910" s="171">
        <v>1</v>
      </c>
      <c r="AR910" s="171">
        <v>1</v>
      </c>
      <c r="AS910" s="171">
        <v>1</v>
      </c>
      <c r="AT910" s="171">
        <v>1</v>
      </c>
      <c r="AU910" s="171">
        <f t="shared" si="379"/>
        <v>0</v>
      </c>
      <c r="AV910" s="171">
        <f t="shared" si="380"/>
        <v>0</v>
      </c>
      <c r="AW910" s="171">
        <f t="shared" si="381"/>
        <v>1</v>
      </c>
      <c r="AX910" s="171">
        <f t="shared" si="371"/>
        <v>1</v>
      </c>
      <c r="AY910" s="171">
        <f t="shared" si="382"/>
        <v>0</v>
      </c>
      <c r="AZ910" s="171">
        <f t="shared" si="383"/>
        <v>1</v>
      </c>
      <c r="BA910" s="172">
        <f t="shared" si="384"/>
        <v>1</v>
      </c>
      <c r="BB910" s="175">
        <f t="shared" si="375"/>
        <v>15</v>
      </c>
      <c r="BC910" s="176">
        <f t="shared" si="376"/>
        <v>14</v>
      </c>
      <c r="BD910" s="176">
        <f t="shared" si="377"/>
        <v>15</v>
      </c>
      <c r="BE910" s="240" t="str">
        <f t="shared" si="378"/>
        <v/>
      </c>
      <c r="BF910" s="990"/>
      <c r="BG910" s="990"/>
      <c r="BH910" s="991">
        <f>IF(AND(Input_Product=Elig!$C910,Elig_MatchAll_Ct&lt;22,$BC910=(Elig_MatchAll_Ct-1),AF910=0),C910,0)</f>
        <v>0</v>
      </c>
      <c r="BI910" s="991">
        <f>IF(AND(Input_Product=Elig!$C910,Elig_MatchAll_Ct&lt;22,$BC910=(Elig_MatchAll_Ct-1),AG910=0),D910,0)</f>
        <v>0</v>
      </c>
      <c r="BJ910" s="991">
        <f>IF(AND(Input_Product=Elig!$C910,Elig_MatchAll_Ct&lt;22,$BC910=(Elig_MatchAll_Ct-1),AH910=0),E910,0)</f>
        <v>0</v>
      </c>
      <c r="BK910" s="991">
        <f>IF(AND(Input_Product=Elig!$C910,Elig_MatchAll_Ct&lt;22,$BC910=(Elig_MatchAll_Ct-1),AI910=0),F910,0)</f>
        <v>0</v>
      </c>
      <c r="BL910" s="991">
        <f>IF(AND(Input_Product=Elig!$C910,Elig_MatchAll_Ct&lt;22,$BC910=(Elig_MatchAll_Ct-1),AJ910=0),G910,0)</f>
        <v>0</v>
      </c>
      <c r="BM910" s="991">
        <f>IF(AND(Input_Product=Elig!$C910,Elig_MatchAll_Ct&lt;22,$BC910=(Elig_MatchAll_Ct-1),AK910=0),H910,0)</f>
        <v>0</v>
      </c>
      <c r="BN910" s="991">
        <f>IF(AND(Input_Product=Elig!$C910,Elig_MatchAll_Ct&lt;22,$BC910=(Elig_MatchAll_Ct-1),AL910=0),I910,0)</f>
        <v>0</v>
      </c>
      <c r="BO910" s="991">
        <f>IF(AND(Input_Product=Elig!$C910,Elig_MatchAll_Ct&lt;22,$BC910=(Elig_MatchAll_Ct-1),AM910=0),J910,0)</f>
        <v>0</v>
      </c>
      <c r="BP910" s="991">
        <f>IF(AND(Input_Product=Elig!$C910,Elig_MatchAll_Ct&lt;22,$BC910=(Elig_MatchAll_Ct-1),AN910=0),K910,0)</f>
        <v>0</v>
      </c>
      <c r="BQ910" s="991">
        <f>IF(AND(Input_Product=Elig!$C910,Elig_MatchAll_Ct&lt;22,$BC910=(Elig_MatchAll_Ct-1),AP910=0),L910,0)</f>
        <v>0</v>
      </c>
      <c r="BR910" s="991">
        <f>IF(AND(Input_Product=Elig!$C910,Elig_MatchAll_Ct&lt;22,$BC910=(Elig_MatchAll_Ct-1),AO910=0),M910,0)</f>
        <v>0</v>
      </c>
      <c r="BS910" s="991">
        <f>IF(AND(Input_Product=Elig!$C910,Elig_MatchAll_Ct&lt;22,$BC910=(Elig_MatchAll_Ct-1),AQ910=0),N910,0)</f>
        <v>0</v>
      </c>
      <c r="BT910" s="991">
        <f>IF(AND(Input_Product=Elig!$C910,Elig_MatchAll_Ct&lt;22,$BC910=(Elig_MatchAll_Ct-1),AR910=0),O910,0)</f>
        <v>0</v>
      </c>
      <c r="BU910" s="991">
        <f>IF(AND(Input_Product=Elig!$C910,Elig_MatchAll_Ct&lt;22,$BC910=(Elig_MatchAll_Ct-1),AS910=0),P910,0)</f>
        <v>0</v>
      </c>
      <c r="BV910" s="992">
        <f>IF(AND(Input_Product=Elig!$C910,Elig_MatchAll_Ct&lt;22,$BC910=(Elig_MatchAll_Ct-1),AT910=0),Q910,0)</f>
        <v>0</v>
      </c>
      <c r="BW910" s="993">
        <f>IF(AND(Input_Product=Elig!$C910,Elig_MatchAll_Ct&lt;22,$BC910=(Elig_MatchAll_Ct-1),AU910=0),R910,0)</f>
        <v>0</v>
      </c>
      <c r="BX910" s="994">
        <f>IF(AND(Input_Product=Elig!$C910,Elig_MatchAll_Ct&lt;22,$BC910=(Elig_MatchAll_Ct-1),AU910=0),S910,0)</f>
        <v>0</v>
      </c>
      <c r="BY910" s="993">
        <f>IF(AND(Input_Product=Elig!$C910,Elig_MatchAll_Ct&lt;22,$BC910=(Elig_MatchAll_Ct-1),AV910=0),T910,0)</f>
        <v>0</v>
      </c>
      <c r="BZ910" s="994">
        <f>IF(AND(Input_Product=Elig!$C910,Elig_MatchAll_Ct&lt;22,$BC910=(Elig_MatchAll_Ct-1),AV910=0),U910,0)</f>
        <v>0</v>
      </c>
      <c r="CA910" s="993">
        <f>IF(AND(Input_Product=Elig!$C910,Elig_MatchAll_Ct&lt;22,$BC910=(Elig_MatchAll_Ct-1),AW910=0),V910,0)</f>
        <v>0</v>
      </c>
      <c r="CB910" s="994">
        <f>IF(AND(Input_Product=Elig!$C910,Elig_MatchAll_Ct&lt;22,$BC910=(Elig_MatchAll_Ct-1),AW910=0),W910,0)</f>
        <v>0</v>
      </c>
      <c r="CC910" s="993">
        <f>IF(AND(Input_Product=Elig!$C910,Elig_MatchAll_Ct&lt;22,$BC910=(Elig_MatchAll_Ct-1),AX910=0),X910,0)</f>
        <v>0</v>
      </c>
      <c r="CD910" s="994">
        <f>IF(AND(Input_Product=Elig!$C910,Elig_MatchAll_Ct&lt;22,$BC910=(Elig_MatchAll_Ct-1),AX910=0),Y910,0)</f>
        <v>0</v>
      </c>
      <c r="CE910" s="993">
        <f>IF(AND(Input_LTV&lt;=AE910,Input_Product=Elig!$C910,Elig_MatchAll_Ct&lt;22,$BC910=(Elig_MatchAll_Ct-1),AY910=0),Z910,0)</f>
        <v>0</v>
      </c>
      <c r="CF910" s="994">
        <f>IF(AND(Input_LTV&lt;=AE910,Input_Product=Elig!$C910,Elig_MatchAll_Ct&lt;22,$BC910=(Elig_MatchAll_Ct-1),AY910=0),AA910,0)</f>
        <v>0</v>
      </c>
      <c r="CG910" s="993">
        <f>IF(AND(Input_Product=Elig!$C910,Elig_MatchAll_Ct&lt;22,$BC910=(Elig_MatchAll_Ct-1),AZ910=0),AB910,0)</f>
        <v>0</v>
      </c>
      <c r="CH910" s="994">
        <f>IF(AND(Input_Product=Elig!$C910,Elig_MatchAll_Ct&lt;22,$BC910=(Elig_MatchAll_Ct-1),AZ910=0),AC910,0)</f>
        <v>0</v>
      </c>
      <c r="CI910" s="993">
        <f>IF(AND(Input_Product=Elig!$C910,Elig_MatchAll_Ct&lt;22,$BC910=(Elig_MatchAll_Ct-1),BA910=0),AD910,0)</f>
        <v>0</v>
      </c>
      <c r="CJ910" s="994">
        <f>IF(AND(Input_Product=Elig!$C910,Elig_MatchAll_Ct&lt;22,$BC910=(Elig_MatchAll_Ct-1),BA910=0),AE910,0)</f>
        <v>0</v>
      </c>
    </row>
    <row r="911" spans="2:88" ht="10.15" customHeight="1" x14ac:dyDescent="0.25">
      <c r="B911" s="1916" t="s">
        <v>2247</v>
      </c>
      <c r="C911" s="1213" t="str">
        <f t="shared" si="367"/>
        <v xml:space="preserve">  </v>
      </c>
      <c r="D911" s="1214" t="s">
        <v>2218</v>
      </c>
      <c r="E911" s="1214" t="s">
        <v>167</v>
      </c>
      <c r="F911" s="1214" t="s">
        <v>331</v>
      </c>
      <c r="G911" s="1215" t="s">
        <v>175</v>
      </c>
      <c r="H911" s="1215" t="s">
        <v>446</v>
      </c>
      <c r="I911" s="1214" t="s">
        <v>274</v>
      </c>
      <c r="J911" s="1214" t="s">
        <v>1311</v>
      </c>
      <c r="K911" s="1215" t="s">
        <v>3022</v>
      </c>
      <c r="L911" s="1214" t="s">
        <v>2768</v>
      </c>
      <c r="M911" s="1214" t="s">
        <v>2677</v>
      </c>
      <c r="N911" s="1215" t="s">
        <v>82</v>
      </c>
      <c r="O911" s="1214" t="s">
        <v>310</v>
      </c>
      <c r="P911" s="1214" t="s">
        <v>291</v>
      </c>
      <c r="Q911" s="1214" t="s">
        <v>294</v>
      </c>
      <c r="R911" s="1214">
        <v>1500000.01</v>
      </c>
      <c r="S911" s="1214">
        <v>2000000</v>
      </c>
      <c r="T911" s="1214">
        <v>0</v>
      </c>
      <c r="U911" s="1214">
        <v>0</v>
      </c>
      <c r="V911" s="1214">
        <v>0</v>
      </c>
      <c r="W911" s="1214">
        <v>50</v>
      </c>
      <c r="X911" s="1214">
        <v>0</v>
      </c>
      <c r="Y911" s="1214">
        <v>999</v>
      </c>
      <c r="Z911" s="1216">
        <v>660</v>
      </c>
      <c r="AA911" s="1216">
        <v>679</v>
      </c>
      <c r="AB911" s="1216">
        <v>6</v>
      </c>
      <c r="AC911" s="1216">
        <v>999999</v>
      </c>
      <c r="AD911" s="1214">
        <v>0</v>
      </c>
      <c r="AE911" s="1217">
        <v>70</v>
      </c>
      <c r="AF911" s="170">
        <v>0</v>
      </c>
      <c r="AG911" s="171">
        <v>1</v>
      </c>
      <c r="AH911" s="171">
        <v>1</v>
      </c>
      <c r="AI911" s="171">
        <v>1</v>
      </c>
      <c r="AJ911" s="171">
        <v>0</v>
      </c>
      <c r="AK911" s="171">
        <v>0</v>
      </c>
      <c r="AL911" s="171">
        <v>0</v>
      </c>
      <c r="AM911" s="171">
        <v>1</v>
      </c>
      <c r="AN911" s="171">
        <v>1</v>
      </c>
      <c r="AO911" s="171">
        <v>1</v>
      </c>
      <c r="AP911" s="171">
        <v>1</v>
      </c>
      <c r="AQ911" s="171">
        <v>1</v>
      </c>
      <c r="AR911" s="171">
        <v>1</v>
      </c>
      <c r="AS911" s="171">
        <v>1</v>
      </c>
      <c r="AT911" s="171">
        <v>1</v>
      </c>
      <c r="AU911" s="171">
        <f t="shared" si="379"/>
        <v>0</v>
      </c>
      <c r="AV911" s="171">
        <f t="shared" si="380"/>
        <v>0</v>
      </c>
      <c r="AW911" s="171">
        <f t="shared" si="381"/>
        <v>1</v>
      </c>
      <c r="AX911" s="171">
        <f t="shared" si="371"/>
        <v>1</v>
      </c>
      <c r="AY911" s="171">
        <f t="shared" si="382"/>
        <v>0</v>
      </c>
      <c r="AZ911" s="171">
        <f t="shared" si="383"/>
        <v>1</v>
      </c>
      <c r="BA911" s="172">
        <f t="shared" si="384"/>
        <v>1</v>
      </c>
      <c r="BB911" s="175">
        <f t="shared" si="375"/>
        <v>15</v>
      </c>
      <c r="BC911" s="176">
        <f t="shared" si="376"/>
        <v>14</v>
      </c>
      <c r="BD911" s="176">
        <f t="shared" si="377"/>
        <v>15</v>
      </c>
      <c r="BE911" s="240" t="str">
        <f t="shared" si="378"/>
        <v/>
      </c>
      <c r="BF911" s="990"/>
      <c r="BG911" s="990"/>
      <c r="BH911" s="991">
        <f>IF(AND(Input_Product=Elig!$C911,Elig_MatchAll_Ct&lt;22,$BC911=(Elig_MatchAll_Ct-1),AF911=0),C911,0)</f>
        <v>0</v>
      </c>
      <c r="BI911" s="991">
        <f>IF(AND(Input_Product=Elig!$C911,Elig_MatchAll_Ct&lt;22,$BC911=(Elig_MatchAll_Ct-1),AG911=0),D911,0)</f>
        <v>0</v>
      </c>
      <c r="BJ911" s="991">
        <f>IF(AND(Input_Product=Elig!$C911,Elig_MatchAll_Ct&lt;22,$BC911=(Elig_MatchAll_Ct-1),AH911=0),E911,0)</f>
        <v>0</v>
      </c>
      <c r="BK911" s="991">
        <f>IF(AND(Input_Product=Elig!$C911,Elig_MatchAll_Ct&lt;22,$BC911=(Elig_MatchAll_Ct-1),AI911=0),F911,0)</f>
        <v>0</v>
      </c>
      <c r="BL911" s="991">
        <f>IF(AND(Input_Product=Elig!$C911,Elig_MatchAll_Ct&lt;22,$BC911=(Elig_MatchAll_Ct-1),AJ911=0),G911,0)</f>
        <v>0</v>
      </c>
      <c r="BM911" s="991">
        <f>IF(AND(Input_Product=Elig!$C911,Elig_MatchAll_Ct&lt;22,$BC911=(Elig_MatchAll_Ct-1),AK911=0),H911,0)</f>
        <v>0</v>
      </c>
      <c r="BN911" s="991">
        <f>IF(AND(Input_Product=Elig!$C911,Elig_MatchAll_Ct&lt;22,$BC911=(Elig_MatchAll_Ct-1),AL911=0),I911,0)</f>
        <v>0</v>
      </c>
      <c r="BO911" s="991">
        <f>IF(AND(Input_Product=Elig!$C911,Elig_MatchAll_Ct&lt;22,$BC911=(Elig_MatchAll_Ct-1),AM911=0),J911,0)</f>
        <v>0</v>
      </c>
      <c r="BP911" s="991">
        <f>IF(AND(Input_Product=Elig!$C911,Elig_MatchAll_Ct&lt;22,$BC911=(Elig_MatchAll_Ct-1),AN911=0),K911,0)</f>
        <v>0</v>
      </c>
      <c r="BQ911" s="991">
        <f>IF(AND(Input_Product=Elig!$C911,Elig_MatchAll_Ct&lt;22,$BC911=(Elig_MatchAll_Ct-1),AP911=0),L911,0)</f>
        <v>0</v>
      </c>
      <c r="BR911" s="991">
        <f>IF(AND(Input_Product=Elig!$C911,Elig_MatchAll_Ct&lt;22,$BC911=(Elig_MatchAll_Ct-1),AO911=0),M911,0)</f>
        <v>0</v>
      </c>
      <c r="BS911" s="991">
        <f>IF(AND(Input_Product=Elig!$C911,Elig_MatchAll_Ct&lt;22,$BC911=(Elig_MatchAll_Ct-1),AQ911=0),N911,0)</f>
        <v>0</v>
      </c>
      <c r="BT911" s="991">
        <f>IF(AND(Input_Product=Elig!$C911,Elig_MatchAll_Ct&lt;22,$BC911=(Elig_MatchAll_Ct-1),AR911=0),O911,0)</f>
        <v>0</v>
      </c>
      <c r="BU911" s="991">
        <f>IF(AND(Input_Product=Elig!$C911,Elig_MatchAll_Ct&lt;22,$BC911=(Elig_MatchAll_Ct-1),AS911=0),P911,0)</f>
        <v>0</v>
      </c>
      <c r="BV911" s="992">
        <f>IF(AND(Input_Product=Elig!$C911,Elig_MatchAll_Ct&lt;22,$BC911=(Elig_MatchAll_Ct-1),AT911=0),Q911,0)</f>
        <v>0</v>
      </c>
      <c r="BW911" s="993">
        <f>IF(AND(Input_Product=Elig!$C911,Elig_MatchAll_Ct&lt;22,$BC911=(Elig_MatchAll_Ct-1),AU911=0),R911,0)</f>
        <v>0</v>
      </c>
      <c r="BX911" s="994">
        <f>IF(AND(Input_Product=Elig!$C911,Elig_MatchAll_Ct&lt;22,$BC911=(Elig_MatchAll_Ct-1),AU911=0),S911,0)</f>
        <v>0</v>
      </c>
      <c r="BY911" s="993">
        <f>IF(AND(Input_Product=Elig!$C911,Elig_MatchAll_Ct&lt;22,$BC911=(Elig_MatchAll_Ct-1),AV911=0),T911,0)</f>
        <v>0</v>
      </c>
      <c r="BZ911" s="994">
        <f>IF(AND(Input_Product=Elig!$C911,Elig_MatchAll_Ct&lt;22,$BC911=(Elig_MatchAll_Ct-1),AV911=0),U911,0)</f>
        <v>0</v>
      </c>
      <c r="CA911" s="993">
        <f>IF(AND(Input_Product=Elig!$C911,Elig_MatchAll_Ct&lt;22,$BC911=(Elig_MatchAll_Ct-1),AW911=0),V911,0)</f>
        <v>0</v>
      </c>
      <c r="CB911" s="994">
        <f>IF(AND(Input_Product=Elig!$C911,Elig_MatchAll_Ct&lt;22,$BC911=(Elig_MatchAll_Ct-1),AW911=0),W911,0)</f>
        <v>0</v>
      </c>
      <c r="CC911" s="993">
        <f>IF(AND(Input_Product=Elig!$C911,Elig_MatchAll_Ct&lt;22,$BC911=(Elig_MatchAll_Ct-1),AX911=0),X911,0)</f>
        <v>0</v>
      </c>
      <c r="CD911" s="994">
        <f>IF(AND(Input_Product=Elig!$C911,Elig_MatchAll_Ct&lt;22,$BC911=(Elig_MatchAll_Ct-1),AX911=0),Y911,0)</f>
        <v>0</v>
      </c>
      <c r="CE911" s="993">
        <f>IF(AND(Input_LTV&lt;=AE911,Input_Product=Elig!$C911,Elig_MatchAll_Ct&lt;22,$BC911=(Elig_MatchAll_Ct-1),AY911=0),Z911,0)</f>
        <v>0</v>
      </c>
      <c r="CF911" s="994">
        <f>IF(AND(Input_LTV&lt;=AE911,Input_Product=Elig!$C911,Elig_MatchAll_Ct&lt;22,$BC911=(Elig_MatchAll_Ct-1),AY911=0),AA911,0)</f>
        <v>0</v>
      </c>
      <c r="CG911" s="993">
        <f>IF(AND(Input_Product=Elig!$C911,Elig_MatchAll_Ct&lt;22,$BC911=(Elig_MatchAll_Ct-1),AZ911=0),AB911,0)</f>
        <v>0</v>
      </c>
      <c r="CH911" s="994">
        <f>IF(AND(Input_Product=Elig!$C911,Elig_MatchAll_Ct&lt;22,$BC911=(Elig_MatchAll_Ct-1),AZ911=0),AC911,0)</f>
        <v>0</v>
      </c>
      <c r="CI911" s="993">
        <f>IF(AND(Input_Product=Elig!$C911,Elig_MatchAll_Ct&lt;22,$BC911=(Elig_MatchAll_Ct-1),BA911=0),AD911,0)</f>
        <v>0</v>
      </c>
      <c r="CJ911" s="994">
        <f>IF(AND(Input_Product=Elig!$C911,Elig_MatchAll_Ct&lt;22,$BC911=(Elig_MatchAll_Ct-1),BA911=0),AE911,0)</f>
        <v>0</v>
      </c>
    </row>
    <row r="912" spans="2:88" ht="10.15" customHeight="1" x14ac:dyDescent="0.25">
      <c r="B912" s="1916" t="s">
        <v>2248</v>
      </c>
      <c r="C912" s="1203" t="str">
        <f t="shared" si="367"/>
        <v xml:space="preserve">  </v>
      </c>
      <c r="D912" s="1204" t="s">
        <v>2218</v>
      </c>
      <c r="E912" s="1204" t="s">
        <v>167</v>
      </c>
      <c r="F912" s="1204" t="s">
        <v>331</v>
      </c>
      <c r="G912" s="1205" t="s">
        <v>175</v>
      </c>
      <c r="H912" s="1205" t="s">
        <v>446</v>
      </c>
      <c r="I912" s="1204" t="s">
        <v>274</v>
      </c>
      <c r="J912" s="1204" t="s">
        <v>1311</v>
      </c>
      <c r="K912" s="1205" t="s">
        <v>3022</v>
      </c>
      <c r="L912" s="1204" t="s">
        <v>2768</v>
      </c>
      <c r="M912" s="1204" t="s">
        <v>2677</v>
      </c>
      <c r="N912" s="1205" t="s">
        <v>82</v>
      </c>
      <c r="O912" s="1204" t="s">
        <v>310</v>
      </c>
      <c r="P912" s="1204" t="s">
        <v>291</v>
      </c>
      <c r="Q912" s="1204" t="s">
        <v>294</v>
      </c>
      <c r="R912" s="1204">
        <v>2000000.01</v>
      </c>
      <c r="S912" s="1204">
        <v>2500000</v>
      </c>
      <c r="T912" s="1204">
        <v>0</v>
      </c>
      <c r="U912" s="1204">
        <v>0</v>
      </c>
      <c r="V912" s="1204">
        <v>0</v>
      </c>
      <c r="W912" s="1204">
        <v>50</v>
      </c>
      <c r="X912" s="1204">
        <v>0</v>
      </c>
      <c r="Y912" s="1204">
        <v>999</v>
      </c>
      <c r="Z912" s="1206">
        <v>720</v>
      </c>
      <c r="AA912" s="1206">
        <v>999</v>
      </c>
      <c r="AB912" s="1206">
        <v>6</v>
      </c>
      <c r="AC912" s="1206">
        <v>999999</v>
      </c>
      <c r="AD912" s="1204">
        <v>0</v>
      </c>
      <c r="AE912" s="1207">
        <v>80</v>
      </c>
      <c r="AF912" s="170">
        <v>0</v>
      </c>
      <c r="AG912" s="171">
        <v>1</v>
      </c>
      <c r="AH912" s="171">
        <v>1</v>
      </c>
      <c r="AI912" s="171">
        <v>1</v>
      </c>
      <c r="AJ912" s="171">
        <v>0</v>
      </c>
      <c r="AK912" s="171">
        <v>0</v>
      </c>
      <c r="AL912" s="171">
        <v>0</v>
      </c>
      <c r="AM912" s="171">
        <v>1</v>
      </c>
      <c r="AN912" s="171">
        <v>1</v>
      </c>
      <c r="AO912" s="171">
        <v>1</v>
      </c>
      <c r="AP912" s="171">
        <v>1</v>
      </c>
      <c r="AQ912" s="171">
        <v>1</v>
      </c>
      <c r="AR912" s="171">
        <v>1</v>
      </c>
      <c r="AS912" s="171">
        <v>1</v>
      </c>
      <c r="AT912" s="171">
        <v>1</v>
      </c>
      <c r="AU912" s="171">
        <f t="shared" si="379"/>
        <v>0</v>
      </c>
      <c r="AV912" s="171">
        <f t="shared" si="380"/>
        <v>0</v>
      </c>
      <c r="AW912" s="171">
        <f t="shared" si="381"/>
        <v>1</v>
      </c>
      <c r="AX912" s="171">
        <f t="shared" si="371"/>
        <v>1</v>
      </c>
      <c r="AY912" s="171">
        <f t="shared" si="382"/>
        <v>1</v>
      </c>
      <c r="AZ912" s="171">
        <f t="shared" si="383"/>
        <v>1</v>
      </c>
      <c r="BA912" s="172">
        <f t="shared" si="384"/>
        <v>1</v>
      </c>
      <c r="BB912" s="175">
        <f t="shared" si="375"/>
        <v>16</v>
      </c>
      <c r="BC912" s="176">
        <f t="shared" si="376"/>
        <v>15</v>
      </c>
      <c r="BD912" s="176">
        <f t="shared" si="377"/>
        <v>16</v>
      </c>
      <c r="BE912" s="240" t="str">
        <f t="shared" si="378"/>
        <v/>
      </c>
      <c r="BF912" s="990"/>
      <c r="BG912" s="990"/>
      <c r="BH912" s="991">
        <f>IF(AND(Input_Product=Elig!$C912,Elig_MatchAll_Ct&lt;22,$BC912=(Elig_MatchAll_Ct-1),AF912=0),C912,0)</f>
        <v>0</v>
      </c>
      <c r="BI912" s="991">
        <f>IF(AND(Input_Product=Elig!$C912,Elig_MatchAll_Ct&lt;22,$BC912=(Elig_MatchAll_Ct-1),AG912=0),D912,0)</f>
        <v>0</v>
      </c>
      <c r="BJ912" s="991">
        <f>IF(AND(Input_Product=Elig!$C912,Elig_MatchAll_Ct&lt;22,$BC912=(Elig_MatchAll_Ct-1),AH912=0),E912,0)</f>
        <v>0</v>
      </c>
      <c r="BK912" s="991">
        <f>IF(AND(Input_Product=Elig!$C912,Elig_MatchAll_Ct&lt;22,$BC912=(Elig_MatchAll_Ct-1),AI912=0),F912,0)</f>
        <v>0</v>
      </c>
      <c r="BL912" s="991">
        <f>IF(AND(Input_Product=Elig!$C912,Elig_MatchAll_Ct&lt;22,$BC912=(Elig_MatchAll_Ct-1),AJ912=0),G912,0)</f>
        <v>0</v>
      </c>
      <c r="BM912" s="991">
        <f>IF(AND(Input_Product=Elig!$C912,Elig_MatchAll_Ct&lt;22,$BC912=(Elig_MatchAll_Ct-1),AK912=0),H912,0)</f>
        <v>0</v>
      </c>
      <c r="BN912" s="991">
        <f>IF(AND(Input_Product=Elig!$C912,Elig_MatchAll_Ct&lt;22,$BC912=(Elig_MatchAll_Ct-1),AL912=0),I912,0)</f>
        <v>0</v>
      </c>
      <c r="BO912" s="991">
        <f>IF(AND(Input_Product=Elig!$C912,Elig_MatchAll_Ct&lt;22,$BC912=(Elig_MatchAll_Ct-1),AM912=0),J912,0)</f>
        <v>0</v>
      </c>
      <c r="BP912" s="991">
        <f>IF(AND(Input_Product=Elig!$C912,Elig_MatchAll_Ct&lt;22,$BC912=(Elig_MatchAll_Ct-1),AN912=0),K912,0)</f>
        <v>0</v>
      </c>
      <c r="BQ912" s="991">
        <f>IF(AND(Input_Product=Elig!$C912,Elig_MatchAll_Ct&lt;22,$BC912=(Elig_MatchAll_Ct-1),AP912=0),L912,0)</f>
        <v>0</v>
      </c>
      <c r="BR912" s="991">
        <f>IF(AND(Input_Product=Elig!$C912,Elig_MatchAll_Ct&lt;22,$BC912=(Elig_MatchAll_Ct-1),AO912=0),M912,0)</f>
        <v>0</v>
      </c>
      <c r="BS912" s="991">
        <f>IF(AND(Input_Product=Elig!$C912,Elig_MatchAll_Ct&lt;22,$BC912=(Elig_MatchAll_Ct-1),AQ912=0),N912,0)</f>
        <v>0</v>
      </c>
      <c r="BT912" s="991">
        <f>IF(AND(Input_Product=Elig!$C912,Elig_MatchAll_Ct&lt;22,$BC912=(Elig_MatchAll_Ct-1),AR912=0),O912,0)</f>
        <v>0</v>
      </c>
      <c r="BU912" s="991">
        <f>IF(AND(Input_Product=Elig!$C912,Elig_MatchAll_Ct&lt;22,$BC912=(Elig_MatchAll_Ct-1),AS912=0),P912,0)</f>
        <v>0</v>
      </c>
      <c r="BV912" s="992">
        <f>IF(AND(Input_Product=Elig!$C912,Elig_MatchAll_Ct&lt;22,$BC912=(Elig_MatchAll_Ct-1),AT912=0),Q912,0)</f>
        <v>0</v>
      </c>
      <c r="BW912" s="993">
        <f>IF(AND(Input_Product=Elig!$C912,Elig_MatchAll_Ct&lt;22,$BC912=(Elig_MatchAll_Ct-1),AU912=0),R912,0)</f>
        <v>0</v>
      </c>
      <c r="BX912" s="994">
        <f>IF(AND(Input_Product=Elig!$C912,Elig_MatchAll_Ct&lt;22,$BC912=(Elig_MatchAll_Ct-1),AU912=0),S912,0)</f>
        <v>0</v>
      </c>
      <c r="BY912" s="993">
        <f>IF(AND(Input_Product=Elig!$C912,Elig_MatchAll_Ct&lt;22,$BC912=(Elig_MatchAll_Ct-1),AV912=0),T912,0)</f>
        <v>0</v>
      </c>
      <c r="BZ912" s="994">
        <f>IF(AND(Input_Product=Elig!$C912,Elig_MatchAll_Ct&lt;22,$BC912=(Elig_MatchAll_Ct-1),AV912=0),U912,0)</f>
        <v>0</v>
      </c>
      <c r="CA912" s="993">
        <f>IF(AND(Input_Product=Elig!$C912,Elig_MatchAll_Ct&lt;22,$BC912=(Elig_MatchAll_Ct-1),AW912=0),V912,0)</f>
        <v>0</v>
      </c>
      <c r="CB912" s="994">
        <f>IF(AND(Input_Product=Elig!$C912,Elig_MatchAll_Ct&lt;22,$BC912=(Elig_MatchAll_Ct-1),AW912=0),W912,0)</f>
        <v>0</v>
      </c>
      <c r="CC912" s="993">
        <f>IF(AND(Input_Product=Elig!$C912,Elig_MatchAll_Ct&lt;22,$BC912=(Elig_MatchAll_Ct-1),AX912=0),X912,0)</f>
        <v>0</v>
      </c>
      <c r="CD912" s="994">
        <f>IF(AND(Input_Product=Elig!$C912,Elig_MatchAll_Ct&lt;22,$BC912=(Elig_MatchAll_Ct-1),AX912=0),Y912,0)</f>
        <v>0</v>
      </c>
      <c r="CE912" s="993">
        <f>IF(AND(Input_LTV&lt;=AE912,Input_Product=Elig!$C912,Elig_MatchAll_Ct&lt;22,$BC912=(Elig_MatchAll_Ct-1),AY912=0),Z912,0)</f>
        <v>0</v>
      </c>
      <c r="CF912" s="994">
        <f>IF(AND(Input_LTV&lt;=AE912,Input_Product=Elig!$C912,Elig_MatchAll_Ct&lt;22,$BC912=(Elig_MatchAll_Ct-1),AY912=0),AA912,0)</f>
        <v>0</v>
      </c>
      <c r="CG912" s="993">
        <f>IF(AND(Input_Product=Elig!$C912,Elig_MatchAll_Ct&lt;22,$BC912=(Elig_MatchAll_Ct-1),AZ912=0),AB912,0)</f>
        <v>0</v>
      </c>
      <c r="CH912" s="994">
        <f>IF(AND(Input_Product=Elig!$C912,Elig_MatchAll_Ct&lt;22,$BC912=(Elig_MatchAll_Ct-1),AZ912=0),AC912,0)</f>
        <v>0</v>
      </c>
      <c r="CI912" s="993">
        <f>IF(AND(Input_Product=Elig!$C912,Elig_MatchAll_Ct&lt;22,$BC912=(Elig_MatchAll_Ct-1),BA912=0),AD912,0)</f>
        <v>0</v>
      </c>
      <c r="CJ912" s="994">
        <f>IF(AND(Input_Product=Elig!$C912,Elig_MatchAll_Ct&lt;22,$BC912=(Elig_MatchAll_Ct-1),BA912=0),AE912,0)</f>
        <v>0</v>
      </c>
    </row>
    <row r="913" spans="2:88" ht="10.15" customHeight="1" x14ac:dyDescent="0.25">
      <c r="B913" s="1916" t="s">
        <v>2249</v>
      </c>
      <c r="C913" s="1208" t="str">
        <f t="shared" si="367"/>
        <v xml:space="preserve">  </v>
      </c>
      <c r="D913" s="1209" t="s">
        <v>2218</v>
      </c>
      <c r="E913" s="1209" t="s">
        <v>167</v>
      </c>
      <c r="F913" s="1209" t="s">
        <v>331</v>
      </c>
      <c r="G913" s="1210" t="s">
        <v>175</v>
      </c>
      <c r="H913" s="1210" t="s">
        <v>446</v>
      </c>
      <c r="I913" s="1209" t="s">
        <v>274</v>
      </c>
      <c r="J913" s="1209" t="s">
        <v>1311</v>
      </c>
      <c r="K913" s="1210" t="s">
        <v>3022</v>
      </c>
      <c r="L913" s="1209" t="s">
        <v>2768</v>
      </c>
      <c r="M913" s="1209" t="s">
        <v>2677</v>
      </c>
      <c r="N913" s="1210" t="s">
        <v>82</v>
      </c>
      <c r="O913" s="1209" t="s">
        <v>310</v>
      </c>
      <c r="P913" s="1209" t="s">
        <v>291</v>
      </c>
      <c r="Q913" s="1209" t="s">
        <v>294</v>
      </c>
      <c r="R913" s="1209">
        <v>2000000.01</v>
      </c>
      <c r="S913" s="1209">
        <v>2500000</v>
      </c>
      <c r="T913" s="1209">
        <v>0</v>
      </c>
      <c r="U913" s="1209">
        <v>0</v>
      </c>
      <c r="V913" s="1209">
        <v>0</v>
      </c>
      <c r="W913" s="1209">
        <v>50</v>
      </c>
      <c r="X913" s="1209">
        <v>0</v>
      </c>
      <c r="Y913" s="1209">
        <v>999</v>
      </c>
      <c r="Z913" s="1211">
        <v>700</v>
      </c>
      <c r="AA913" s="1211">
        <v>719</v>
      </c>
      <c r="AB913" s="1211">
        <v>6</v>
      </c>
      <c r="AC913" s="1211">
        <v>999999</v>
      </c>
      <c r="AD913" s="1209">
        <v>0</v>
      </c>
      <c r="AE913" s="1212">
        <v>80</v>
      </c>
      <c r="AF913" s="170">
        <v>0</v>
      </c>
      <c r="AG913" s="171">
        <v>1</v>
      </c>
      <c r="AH913" s="171">
        <v>1</v>
      </c>
      <c r="AI913" s="171">
        <v>1</v>
      </c>
      <c r="AJ913" s="171">
        <v>0</v>
      </c>
      <c r="AK913" s="171">
        <v>0</v>
      </c>
      <c r="AL913" s="171">
        <v>0</v>
      </c>
      <c r="AM913" s="171">
        <v>1</v>
      </c>
      <c r="AN913" s="171">
        <v>1</v>
      </c>
      <c r="AO913" s="171">
        <v>1</v>
      </c>
      <c r="AP913" s="171">
        <v>1</v>
      </c>
      <c r="AQ913" s="171">
        <v>1</v>
      </c>
      <c r="AR913" s="171">
        <v>1</v>
      </c>
      <c r="AS913" s="171">
        <v>1</v>
      </c>
      <c r="AT913" s="171">
        <v>1</v>
      </c>
      <c r="AU913" s="171">
        <f t="shared" si="379"/>
        <v>0</v>
      </c>
      <c r="AV913" s="171">
        <f t="shared" si="380"/>
        <v>0</v>
      </c>
      <c r="AW913" s="171">
        <f t="shared" si="381"/>
        <v>1</v>
      </c>
      <c r="AX913" s="171">
        <f t="shared" si="371"/>
        <v>1</v>
      </c>
      <c r="AY913" s="171">
        <f t="shared" si="382"/>
        <v>0</v>
      </c>
      <c r="AZ913" s="171">
        <f t="shared" si="383"/>
        <v>1</v>
      </c>
      <c r="BA913" s="172">
        <f t="shared" si="384"/>
        <v>1</v>
      </c>
      <c r="BB913" s="175">
        <f t="shared" si="375"/>
        <v>15</v>
      </c>
      <c r="BC913" s="176">
        <f t="shared" si="376"/>
        <v>14</v>
      </c>
      <c r="BD913" s="176">
        <f t="shared" si="377"/>
        <v>15</v>
      </c>
      <c r="BE913" s="240" t="str">
        <f t="shared" si="378"/>
        <v/>
      </c>
      <c r="BF913" s="990"/>
      <c r="BG913" s="990"/>
      <c r="BH913" s="991">
        <f>IF(AND(Input_Product=Elig!$C913,Elig_MatchAll_Ct&lt;22,$BC913=(Elig_MatchAll_Ct-1),AF913=0),C913,0)</f>
        <v>0</v>
      </c>
      <c r="BI913" s="991">
        <f>IF(AND(Input_Product=Elig!$C913,Elig_MatchAll_Ct&lt;22,$BC913=(Elig_MatchAll_Ct-1),AG913=0),D913,0)</f>
        <v>0</v>
      </c>
      <c r="BJ913" s="991">
        <f>IF(AND(Input_Product=Elig!$C913,Elig_MatchAll_Ct&lt;22,$BC913=(Elig_MatchAll_Ct-1),AH913=0),E913,0)</f>
        <v>0</v>
      </c>
      <c r="BK913" s="991">
        <f>IF(AND(Input_Product=Elig!$C913,Elig_MatchAll_Ct&lt;22,$BC913=(Elig_MatchAll_Ct-1),AI913=0),F913,0)</f>
        <v>0</v>
      </c>
      <c r="BL913" s="991">
        <f>IF(AND(Input_Product=Elig!$C913,Elig_MatchAll_Ct&lt;22,$BC913=(Elig_MatchAll_Ct-1),AJ913=0),G913,0)</f>
        <v>0</v>
      </c>
      <c r="BM913" s="991">
        <f>IF(AND(Input_Product=Elig!$C913,Elig_MatchAll_Ct&lt;22,$BC913=(Elig_MatchAll_Ct-1),AK913=0),H913,0)</f>
        <v>0</v>
      </c>
      <c r="BN913" s="991">
        <f>IF(AND(Input_Product=Elig!$C913,Elig_MatchAll_Ct&lt;22,$BC913=(Elig_MatchAll_Ct-1),AL913=0),I913,0)</f>
        <v>0</v>
      </c>
      <c r="BO913" s="991">
        <f>IF(AND(Input_Product=Elig!$C913,Elig_MatchAll_Ct&lt;22,$BC913=(Elig_MatchAll_Ct-1),AM913=0),J913,0)</f>
        <v>0</v>
      </c>
      <c r="BP913" s="991">
        <f>IF(AND(Input_Product=Elig!$C913,Elig_MatchAll_Ct&lt;22,$BC913=(Elig_MatchAll_Ct-1),AN913=0),K913,0)</f>
        <v>0</v>
      </c>
      <c r="BQ913" s="991">
        <f>IF(AND(Input_Product=Elig!$C913,Elig_MatchAll_Ct&lt;22,$BC913=(Elig_MatchAll_Ct-1),AP913=0),L913,0)</f>
        <v>0</v>
      </c>
      <c r="BR913" s="991">
        <f>IF(AND(Input_Product=Elig!$C913,Elig_MatchAll_Ct&lt;22,$BC913=(Elig_MatchAll_Ct-1),AO913=0),M913,0)</f>
        <v>0</v>
      </c>
      <c r="BS913" s="991">
        <f>IF(AND(Input_Product=Elig!$C913,Elig_MatchAll_Ct&lt;22,$BC913=(Elig_MatchAll_Ct-1),AQ913=0),N913,0)</f>
        <v>0</v>
      </c>
      <c r="BT913" s="991">
        <f>IF(AND(Input_Product=Elig!$C913,Elig_MatchAll_Ct&lt;22,$BC913=(Elig_MatchAll_Ct-1),AR913=0),O913,0)</f>
        <v>0</v>
      </c>
      <c r="BU913" s="991">
        <f>IF(AND(Input_Product=Elig!$C913,Elig_MatchAll_Ct&lt;22,$BC913=(Elig_MatchAll_Ct-1),AS913=0),P913,0)</f>
        <v>0</v>
      </c>
      <c r="BV913" s="992">
        <f>IF(AND(Input_Product=Elig!$C913,Elig_MatchAll_Ct&lt;22,$BC913=(Elig_MatchAll_Ct-1),AT913=0),Q913,0)</f>
        <v>0</v>
      </c>
      <c r="BW913" s="993">
        <f>IF(AND(Input_Product=Elig!$C913,Elig_MatchAll_Ct&lt;22,$BC913=(Elig_MatchAll_Ct-1),AU913=0),R913,0)</f>
        <v>0</v>
      </c>
      <c r="BX913" s="994">
        <f>IF(AND(Input_Product=Elig!$C913,Elig_MatchAll_Ct&lt;22,$BC913=(Elig_MatchAll_Ct-1),AU913=0),S913,0)</f>
        <v>0</v>
      </c>
      <c r="BY913" s="993">
        <f>IF(AND(Input_Product=Elig!$C913,Elig_MatchAll_Ct&lt;22,$BC913=(Elig_MatchAll_Ct-1),AV913=0),T913,0)</f>
        <v>0</v>
      </c>
      <c r="BZ913" s="994">
        <f>IF(AND(Input_Product=Elig!$C913,Elig_MatchAll_Ct&lt;22,$BC913=(Elig_MatchAll_Ct-1),AV913=0),U913,0)</f>
        <v>0</v>
      </c>
      <c r="CA913" s="993">
        <f>IF(AND(Input_Product=Elig!$C913,Elig_MatchAll_Ct&lt;22,$BC913=(Elig_MatchAll_Ct-1),AW913=0),V913,0)</f>
        <v>0</v>
      </c>
      <c r="CB913" s="994">
        <f>IF(AND(Input_Product=Elig!$C913,Elig_MatchAll_Ct&lt;22,$BC913=(Elig_MatchAll_Ct-1),AW913=0),W913,0)</f>
        <v>0</v>
      </c>
      <c r="CC913" s="993">
        <f>IF(AND(Input_Product=Elig!$C913,Elig_MatchAll_Ct&lt;22,$BC913=(Elig_MatchAll_Ct-1),AX913=0),X913,0)</f>
        <v>0</v>
      </c>
      <c r="CD913" s="994">
        <f>IF(AND(Input_Product=Elig!$C913,Elig_MatchAll_Ct&lt;22,$BC913=(Elig_MatchAll_Ct-1),AX913=0),Y913,0)</f>
        <v>0</v>
      </c>
      <c r="CE913" s="993">
        <f>IF(AND(Input_LTV&lt;=AE913,Input_Product=Elig!$C913,Elig_MatchAll_Ct&lt;22,$BC913=(Elig_MatchAll_Ct-1),AY913=0),Z913,0)</f>
        <v>0</v>
      </c>
      <c r="CF913" s="994">
        <f>IF(AND(Input_LTV&lt;=AE913,Input_Product=Elig!$C913,Elig_MatchAll_Ct&lt;22,$BC913=(Elig_MatchAll_Ct-1),AY913=0),AA913,0)</f>
        <v>0</v>
      </c>
      <c r="CG913" s="993">
        <f>IF(AND(Input_Product=Elig!$C913,Elig_MatchAll_Ct&lt;22,$BC913=(Elig_MatchAll_Ct-1),AZ913=0),AB913,0)</f>
        <v>0</v>
      </c>
      <c r="CH913" s="994">
        <f>IF(AND(Input_Product=Elig!$C913,Elig_MatchAll_Ct&lt;22,$BC913=(Elig_MatchAll_Ct-1),AZ913=0),AC913,0)</f>
        <v>0</v>
      </c>
      <c r="CI913" s="993">
        <f>IF(AND(Input_Product=Elig!$C913,Elig_MatchAll_Ct&lt;22,$BC913=(Elig_MatchAll_Ct-1),BA913=0),AD913,0)</f>
        <v>0</v>
      </c>
      <c r="CJ913" s="994">
        <f>IF(AND(Input_Product=Elig!$C913,Elig_MatchAll_Ct&lt;22,$BC913=(Elig_MatchAll_Ct-1),BA913=0),AE913,0)</f>
        <v>0</v>
      </c>
    </row>
    <row r="914" spans="2:88" ht="10.15" customHeight="1" x14ac:dyDescent="0.25">
      <c r="B914" s="1916" t="s">
        <v>2250</v>
      </c>
      <c r="C914" s="1213" t="str">
        <f t="shared" si="367"/>
        <v xml:space="preserve">  </v>
      </c>
      <c r="D914" s="1214" t="s">
        <v>2218</v>
      </c>
      <c r="E914" s="1214" t="s">
        <v>167</v>
      </c>
      <c r="F914" s="1214" t="s">
        <v>331</v>
      </c>
      <c r="G914" s="1215" t="s">
        <v>175</v>
      </c>
      <c r="H914" s="1215" t="s">
        <v>446</v>
      </c>
      <c r="I914" s="1214" t="s">
        <v>274</v>
      </c>
      <c r="J914" s="1214" t="s">
        <v>1311</v>
      </c>
      <c r="K914" s="1215" t="s">
        <v>3022</v>
      </c>
      <c r="L914" s="1214" t="s">
        <v>2768</v>
      </c>
      <c r="M914" s="1214" t="s">
        <v>2677</v>
      </c>
      <c r="N914" s="1215" t="s">
        <v>82</v>
      </c>
      <c r="O914" s="1214" t="s">
        <v>310</v>
      </c>
      <c r="P914" s="1214" t="s">
        <v>291</v>
      </c>
      <c r="Q914" s="1214" t="s">
        <v>294</v>
      </c>
      <c r="R914" s="1214">
        <v>2000000.01</v>
      </c>
      <c r="S914" s="1214">
        <v>2500000</v>
      </c>
      <c r="T914" s="1214">
        <v>0</v>
      </c>
      <c r="U914" s="1214">
        <v>0</v>
      </c>
      <c r="V914" s="1214">
        <v>0</v>
      </c>
      <c r="W914" s="1214">
        <v>50</v>
      </c>
      <c r="X914" s="1214">
        <v>0</v>
      </c>
      <c r="Y914" s="1214">
        <v>999</v>
      </c>
      <c r="Z914" s="1216">
        <v>680</v>
      </c>
      <c r="AA914" s="1216">
        <v>699</v>
      </c>
      <c r="AB914" s="1216">
        <v>6</v>
      </c>
      <c r="AC914" s="1216">
        <v>999999</v>
      </c>
      <c r="AD914" s="1214">
        <v>0</v>
      </c>
      <c r="AE914" s="1217">
        <v>80</v>
      </c>
      <c r="AF914" s="170">
        <v>0</v>
      </c>
      <c r="AG914" s="171">
        <v>1</v>
      </c>
      <c r="AH914" s="171">
        <v>1</v>
      </c>
      <c r="AI914" s="171">
        <v>1</v>
      </c>
      <c r="AJ914" s="171">
        <v>0</v>
      </c>
      <c r="AK914" s="171">
        <v>0</v>
      </c>
      <c r="AL914" s="171">
        <v>0</v>
      </c>
      <c r="AM914" s="171">
        <v>1</v>
      </c>
      <c r="AN914" s="171">
        <v>1</v>
      </c>
      <c r="AO914" s="171">
        <v>1</v>
      </c>
      <c r="AP914" s="171">
        <v>1</v>
      </c>
      <c r="AQ914" s="171">
        <v>1</v>
      </c>
      <c r="AR914" s="171">
        <v>1</v>
      </c>
      <c r="AS914" s="171">
        <v>1</v>
      </c>
      <c r="AT914" s="171">
        <v>1</v>
      </c>
      <c r="AU914" s="171">
        <f t="shared" si="379"/>
        <v>0</v>
      </c>
      <c r="AV914" s="171">
        <f t="shared" si="380"/>
        <v>0</v>
      </c>
      <c r="AW914" s="171">
        <f t="shared" si="381"/>
        <v>1</v>
      </c>
      <c r="AX914" s="171">
        <f t="shared" si="371"/>
        <v>1</v>
      </c>
      <c r="AY914" s="171">
        <f t="shared" si="382"/>
        <v>0</v>
      </c>
      <c r="AZ914" s="171">
        <f t="shared" si="383"/>
        <v>1</v>
      </c>
      <c r="BA914" s="172">
        <f t="shared" si="384"/>
        <v>1</v>
      </c>
      <c r="BB914" s="175">
        <f t="shared" si="375"/>
        <v>15</v>
      </c>
      <c r="BC914" s="176">
        <f t="shared" si="376"/>
        <v>14</v>
      </c>
      <c r="BD914" s="176">
        <f t="shared" si="377"/>
        <v>15</v>
      </c>
      <c r="BE914" s="240" t="str">
        <f t="shared" si="378"/>
        <v/>
      </c>
      <c r="BF914" s="990"/>
      <c r="BG914" s="990"/>
      <c r="BH914" s="991">
        <f>IF(AND(Input_Product=Elig!$C914,Elig_MatchAll_Ct&lt;22,$BC914=(Elig_MatchAll_Ct-1),AF914=0),C914,0)</f>
        <v>0</v>
      </c>
      <c r="BI914" s="991">
        <f>IF(AND(Input_Product=Elig!$C914,Elig_MatchAll_Ct&lt;22,$BC914=(Elig_MatchAll_Ct-1),AG914=0),D914,0)</f>
        <v>0</v>
      </c>
      <c r="BJ914" s="991">
        <f>IF(AND(Input_Product=Elig!$C914,Elig_MatchAll_Ct&lt;22,$BC914=(Elig_MatchAll_Ct-1),AH914=0),E914,0)</f>
        <v>0</v>
      </c>
      <c r="BK914" s="991">
        <f>IF(AND(Input_Product=Elig!$C914,Elig_MatchAll_Ct&lt;22,$BC914=(Elig_MatchAll_Ct-1),AI914=0),F914,0)</f>
        <v>0</v>
      </c>
      <c r="BL914" s="991">
        <f>IF(AND(Input_Product=Elig!$C914,Elig_MatchAll_Ct&lt;22,$BC914=(Elig_MatchAll_Ct-1),AJ914=0),G914,0)</f>
        <v>0</v>
      </c>
      <c r="BM914" s="991">
        <f>IF(AND(Input_Product=Elig!$C914,Elig_MatchAll_Ct&lt;22,$BC914=(Elig_MatchAll_Ct-1),AK914=0),H914,0)</f>
        <v>0</v>
      </c>
      <c r="BN914" s="991">
        <f>IF(AND(Input_Product=Elig!$C914,Elig_MatchAll_Ct&lt;22,$BC914=(Elig_MatchAll_Ct-1),AL914=0),I914,0)</f>
        <v>0</v>
      </c>
      <c r="BO914" s="991">
        <f>IF(AND(Input_Product=Elig!$C914,Elig_MatchAll_Ct&lt;22,$BC914=(Elig_MatchAll_Ct-1),AM914=0),J914,0)</f>
        <v>0</v>
      </c>
      <c r="BP914" s="991">
        <f>IF(AND(Input_Product=Elig!$C914,Elig_MatchAll_Ct&lt;22,$BC914=(Elig_MatchAll_Ct-1),AN914=0),K914,0)</f>
        <v>0</v>
      </c>
      <c r="BQ914" s="991">
        <f>IF(AND(Input_Product=Elig!$C914,Elig_MatchAll_Ct&lt;22,$BC914=(Elig_MatchAll_Ct-1),AP914=0),L914,0)</f>
        <v>0</v>
      </c>
      <c r="BR914" s="991">
        <f>IF(AND(Input_Product=Elig!$C914,Elig_MatchAll_Ct&lt;22,$BC914=(Elig_MatchAll_Ct-1),AO914=0),M914,0)</f>
        <v>0</v>
      </c>
      <c r="BS914" s="991">
        <f>IF(AND(Input_Product=Elig!$C914,Elig_MatchAll_Ct&lt;22,$BC914=(Elig_MatchAll_Ct-1),AQ914=0),N914,0)</f>
        <v>0</v>
      </c>
      <c r="BT914" s="991">
        <f>IF(AND(Input_Product=Elig!$C914,Elig_MatchAll_Ct&lt;22,$BC914=(Elig_MatchAll_Ct-1),AR914=0),O914,0)</f>
        <v>0</v>
      </c>
      <c r="BU914" s="991">
        <f>IF(AND(Input_Product=Elig!$C914,Elig_MatchAll_Ct&lt;22,$BC914=(Elig_MatchAll_Ct-1),AS914=0),P914,0)</f>
        <v>0</v>
      </c>
      <c r="BV914" s="992">
        <f>IF(AND(Input_Product=Elig!$C914,Elig_MatchAll_Ct&lt;22,$BC914=(Elig_MatchAll_Ct-1),AT914=0),Q914,0)</f>
        <v>0</v>
      </c>
      <c r="BW914" s="993">
        <f>IF(AND(Input_Product=Elig!$C914,Elig_MatchAll_Ct&lt;22,$BC914=(Elig_MatchAll_Ct-1),AU914=0),R914,0)</f>
        <v>0</v>
      </c>
      <c r="BX914" s="994">
        <f>IF(AND(Input_Product=Elig!$C914,Elig_MatchAll_Ct&lt;22,$BC914=(Elig_MatchAll_Ct-1),AU914=0),S914,0)</f>
        <v>0</v>
      </c>
      <c r="BY914" s="993">
        <f>IF(AND(Input_Product=Elig!$C914,Elig_MatchAll_Ct&lt;22,$BC914=(Elig_MatchAll_Ct-1),AV914=0),T914,0)</f>
        <v>0</v>
      </c>
      <c r="BZ914" s="994">
        <f>IF(AND(Input_Product=Elig!$C914,Elig_MatchAll_Ct&lt;22,$BC914=(Elig_MatchAll_Ct-1),AV914=0),U914,0)</f>
        <v>0</v>
      </c>
      <c r="CA914" s="993">
        <f>IF(AND(Input_Product=Elig!$C914,Elig_MatchAll_Ct&lt;22,$BC914=(Elig_MatchAll_Ct-1),AW914=0),V914,0)</f>
        <v>0</v>
      </c>
      <c r="CB914" s="994">
        <f>IF(AND(Input_Product=Elig!$C914,Elig_MatchAll_Ct&lt;22,$BC914=(Elig_MatchAll_Ct-1),AW914=0),W914,0)</f>
        <v>0</v>
      </c>
      <c r="CC914" s="993">
        <f>IF(AND(Input_Product=Elig!$C914,Elig_MatchAll_Ct&lt;22,$BC914=(Elig_MatchAll_Ct-1),AX914=0),X914,0)</f>
        <v>0</v>
      </c>
      <c r="CD914" s="994">
        <f>IF(AND(Input_Product=Elig!$C914,Elig_MatchAll_Ct&lt;22,$BC914=(Elig_MatchAll_Ct-1),AX914=0),Y914,0)</f>
        <v>0</v>
      </c>
      <c r="CE914" s="993">
        <f>IF(AND(Input_LTV&lt;=AE914,Input_Product=Elig!$C914,Elig_MatchAll_Ct&lt;22,$BC914=(Elig_MatchAll_Ct-1),AY914=0),Z914,0)</f>
        <v>0</v>
      </c>
      <c r="CF914" s="994">
        <f>IF(AND(Input_LTV&lt;=AE914,Input_Product=Elig!$C914,Elig_MatchAll_Ct&lt;22,$BC914=(Elig_MatchAll_Ct-1),AY914=0),AA914,0)</f>
        <v>0</v>
      </c>
      <c r="CG914" s="993">
        <f>IF(AND(Input_Product=Elig!$C914,Elig_MatchAll_Ct&lt;22,$BC914=(Elig_MatchAll_Ct-1),AZ914=0),AB914,0)</f>
        <v>0</v>
      </c>
      <c r="CH914" s="994">
        <f>IF(AND(Input_Product=Elig!$C914,Elig_MatchAll_Ct&lt;22,$BC914=(Elig_MatchAll_Ct-1),AZ914=0),AC914,0)</f>
        <v>0</v>
      </c>
      <c r="CI914" s="993">
        <f>IF(AND(Input_Product=Elig!$C914,Elig_MatchAll_Ct&lt;22,$BC914=(Elig_MatchAll_Ct-1),BA914=0),AD914,0)</f>
        <v>0</v>
      </c>
      <c r="CJ914" s="994">
        <f>IF(AND(Input_Product=Elig!$C914,Elig_MatchAll_Ct&lt;22,$BC914=(Elig_MatchAll_Ct-1),BA914=0),AE914,0)</f>
        <v>0</v>
      </c>
    </row>
    <row r="915" spans="2:88" ht="10.15" customHeight="1" x14ac:dyDescent="0.25">
      <c r="B915" s="1916" t="s">
        <v>2251</v>
      </c>
      <c r="C915" s="1203" t="str">
        <f t="shared" si="367"/>
        <v xml:space="preserve">  </v>
      </c>
      <c r="D915" s="1204" t="s">
        <v>2218</v>
      </c>
      <c r="E915" s="1204" t="s">
        <v>167</v>
      </c>
      <c r="F915" s="1204" t="s">
        <v>331</v>
      </c>
      <c r="G915" s="1205" t="s">
        <v>175</v>
      </c>
      <c r="H915" s="1205" t="s">
        <v>446</v>
      </c>
      <c r="I915" s="1204" t="s">
        <v>274</v>
      </c>
      <c r="J915" s="1204" t="s">
        <v>1311</v>
      </c>
      <c r="K915" s="1205" t="s">
        <v>3022</v>
      </c>
      <c r="L915" s="1204" t="s">
        <v>2768</v>
      </c>
      <c r="M915" s="1204" t="s">
        <v>2677</v>
      </c>
      <c r="N915" s="1205" t="s">
        <v>82</v>
      </c>
      <c r="O915" s="1204" t="s">
        <v>310</v>
      </c>
      <c r="P915" s="1204" t="s">
        <v>291</v>
      </c>
      <c r="Q915" s="1204" t="s">
        <v>294</v>
      </c>
      <c r="R915" s="1204">
        <v>2500000.0099999998</v>
      </c>
      <c r="S915" s="1204">
        <v>3000000</v>
      </c>
      <c r="T915" s="1204">
        <v>0</v>
      </c>
      <c r="U915" s="1204">
        <v>0</v>
      </c>
      <c r="V915" s="1204">
        <v>0</v>
      </c>
      <c r="W915" s="1204">
        <v>50</v>
      </c>
      <c r="X915" s="1204">
        <v>0</v>
      </c>
      <c r="Y915" s="1204">
        <v>999</v>
      </c>
      <c r="Z915" s="1206">
        <v>720</v>
      </c>
      <c r="AA915" s="1206">
        <v>999</v>
      </c>
      <c r="AB915" s="1206">
        <v>6</v>
      </c>
      <c r="AC915" s="1206">
        <v>999999</v>
      </c>
      <c r="AD915" s="1204">
        <v>0</v>
      </c>
      <c r="AE915" s="1207">
        <v>75</v>
      </c>
      <c r="AF915" s="170">
        <v>0</v>
      </c>
      <c r="AG915" s="171">
        <v>1</v>
      </c>
      <c r="AH915" s="171">
        <v>1</v>
      </c>
      <c r="AI915" s="171">
        <v>1</v>
      </c>
      <c r="AJ915" s="171">
        <v>0</v>
      </c>
      <c r="AK915" s="171">
        <v>0</v>
      </c>
      <c r="AL915" s="171">
        <v>0</v>
      </c>
      <c r="AM915" s="171">
        <v>1</v>
      </c>
      <c r="AN915" s="171">
        <v>1</v>
      </c>
      <c r="AO915" s="171">
        <v>1</v>
      </c>
      <c r="AP915" s="171">
        <v>1</v>
      </c>
      <c r="AQ915" s="171">
        <v>1</v>
      </c>
      <c r="AR915" s="171">
        <v>1</v>
      </c>
      <c r="AS915" s="171">
        <v>1</v>
      </c>
      <c r="AT915" s="171">
        <v>1</v>
      </c>
      <c r="AU915" s="171">
        <f t="shared" si="379"/>
        <v>0</v>
      </c>
      <c r="AV915" s="171">
        <f t="shared" si="380"/>
        <v>0</v>
      </c>
      <c r="AW915" s="171">
        <f t="shared" si="381"/>
        <v>1</v>
      </c>
      <c r="AX915" s="171">
        <f t="shared" si="371"/>
        <v>1</v>
      </c>
      <c r="AY915" s="171">
        <f t="shared" si="382"/>
        <v>1</v>
      </c>
      <c r="AZ915" s="171">
        <f t="shared" si="383"/>
        <v>1</v>
      </c>
      <c r="BA915" s="172">
        <f t="shared" si="384"/>
        <v>1</v>
      </c>
      <c r="BB915" s="175">
        <f t="shared" si="375"/>
        <v>16</v>
      </c>
      <c r="BC915" s="176">
        <f t="shared" si="376"/>
        <v>15</v>
      </c>
      <c r="BD915" s="176">
        <f t="shared" si="377"/>
        <v>16</v>
      </c>
      <c r="BE915" s="240" t="str">
        <f t="shared" si="378"/>
        <v/>
      </c>
      <c r="BF915" s="990"/>
      <c r="BG915" s="990"/>
      <c r="BH915" s="991">
        <f>IF(AND(Input_Product=Elig!$C915,Elig_MatchAll_Ct&lt;22,$BC915=(Elig_MatchAll_Ct-1),AF915=0),C915,0)</f>
        <v>0</v>
      </c>
      <c r="BI915" s="991">
        <f>IF(AND(Input_Product=Elig!$C915,Elig_MatchAll_Ct&lt;22,$BC915=(Elig_MatchAll_Ct-1),AG915=0),D915,0)</f>
        <v>0</v>
      </c>
      <c r="BJ915" s="991">
        <f>IF(AND(Input_Product=Elig!$C915,Elig_MatchAll_Ct&lt;22,$BC915=(Elig_MatchAll_Ct-1),AH915=0),E915,0)</f>
        <v>0</v>
      </c>
      <c r="BK915" s="991">
        <f>IF(AND(Input_Product=Elig!$C915,Elig_MatchAll_Ct&lt;22,$BC915=(Elig_MatchAll_Ct-1),AI915=0),F915,0)</f>
        <v>0</v>
      </c>
      <c r="BL915" s="991">
        <f>IF(AND(Input_Product=Elig!$C915,Elig_MatchAll_Ct&lt;22,$BC915=(Elig_MatchAll_Ct-1),AJ915=0),G915,0)</f>
        <v>0</v>
      </c>
      <c r="BM915" s="991">
        <f>IF(AND(Input_Product=Elig!$C915,Elig_MatchAll_Ct&lt;22,$BC915=(Elig_MatchAll_Ct-1),AK915=0),H915,0)</f>
        <v>0</v>
      </c>
      <c r="BN915" s="991">
        <f>IF(AND(Input_Product=Elig!$C915,Elig_MatchAll_Ct&lt;22,$BC915=(Elig_MatchAll_Ct-1),AL915=0),I915,0)</f>
        <v>0</v>
      </c>
      <c r="BO915" s="991">
        <f>IF(AND(Input_Product=Elig!$C915,Elig_MatchAll_Ct&lt;22,$BC915=(Elig_MatchAll_Ct-1),AM915=0),J915,0)</f>
        <v>0</v>
      </c>
      <c r="BP915" s="991">
        <f>IF(AND(Input_Product=Elig!$C915,Elig_MatchAll_Ct&lt;22,$BC915=(Elig_MatchAll_Ct-1),AN915=0),K915,0)</f>
        <v>0</v>
      </c>
      <c r="BQ915" s="991">
        <f>IF(AND(Input_Product=Elig!$C915,Elig_MatchAll_Ct&lt;22,$BC915=(Elig_MatchAll_Ct-1),AP915=0),L915,0)</f>
        <v>0</v>
      </c>
      <c r="BR915" s="991">
        <f>IF(AND(Input_Product=Elig!$C915,Elig_MatchAll_Ct&lt;22,$BC915=(Elig_MatchAll_Ct-1),AO915=0),M915,0)</f>
        <v>0</v>
      </c>
      <c r="BS915" s="991">
        <f>IF(AND(Input_Product=Elig!$C915,Elig_MatchAll_Ct&lt;22,$BC915=(Elig_MatchAll_Ct-1),AQ915=0),N915,0)</f>
        <v>0</v>
      </c>
      <c r="BT915" s="991">
        <f>IF(AND(Input_Product=Elig!$C915,Elig_MatchAll_Ct&lt;22,$BC915=(Elig_MatchAll_Ct-1),AR915=0),O915,0)</f>
        <v>0</v>
      </c>
      <c r="BU915" s="991">
        <f>IF(AND(Input_Product=Elig!$C915,Elig_MatchAll_Ct&lt;22,$BC915=(Elig_MatchAll_Ct-1),AS915=0),P915,0)</f>
        <v>0</v>
      </c>
      <c r="BV915" s="992">
        <f>IF(AND(Input_Product=Elig!$C915,Elig_MatchAll_Ct&lt;22,$BC915=(Elig_MatchAll_Ct-1),AT915=0),Q915,0)</f>
        <v>0</v>
      </c>
      <c r="BW915" s="993">
        <f>IF(AND(Input_Product=Elig!$C915,Elig_MatchAll_Ct&lt;22,$BC915=(Elig_MatchAll_Ct-1),AU915=0),R915,0)</f>
        <v>0</v>
      </c>
      <c r="BX915" s="994">
        <f>IF(AND(Input_Product=Elig!$C915,Elig_MatchAll_Ct&lt;22,$BC915=(Elig_MatchAll_Ct-1),AU915=0),S915,0)</f>
        <v>0</v>
      </c>
      <c r="BY915" s="993">
        <f>IF(AND(Input_Product=Elig!$C915,Elig_MatchAll_Ct&lt;22,$BC915=(Elig_MatchAll_Ct-1),AV915=0),T915,0)</f>
        <v>0</v>
      </c>
      <c r="BZ915" s="994">
        <f>IF(AND(Input_Product=Elig!$C915,Elig_MatchAll_Ct&lt;22,$BC915=(Elig_MatchAll_Ct-1),AV915=0),U915,0)</f>
        <v>0</v>
      </c>
      <c r="CA915" s="993">
        <f>IF(AND(Input_Product=Elig!$C915,Elig_MatchAll_Ct&lt;22,$BC915=(Elig_MatchAll_Ct-1),AW915=0),V915,0)</f>
        <v>0</v>
      </c>
      <c r="CB915" s="994">
        <f>IF(AND(Input_Product=Elig!$C915,Elig_MatchAll_Ct&lt;22,$BC915=(Elig_MatchAll_Ct-1),AW915=0),W915,0)</f>
        <v>0</v>
      </c>
      <c r="CC915" s="993">
        <f>IF(AND(Input_Product=Elig!$C915,Elig_MatchAll_Ct&lt;22,$BC915=(Elig_MatchAll_Ct-1),AX915=0),X915,0)</f>
        <v>0</v>
      </c>
      <c r="CD915" s="994">
        <f>IF(AND(Input_Product=Elig!$C915,Elig_MatchAll_Ct&lt;22,$BC915=(Elig_MatchAll_Ct-1),AX915=0),Y915,0)</f>
        <v>0</v>
      </c>
      <c r="CE915" s="993">
        <f>IF(AND(Input_LTV&lt;=AE915,Input_Product=Elig!$C915,Elig_MatchAll_Ct&lt;22,$BC915=(Elig_MatchAll_Ct-1),AY915=0),Z915,0)</f>
        <v>0</v>
      </c>
      <c r="CF915" s="994">
        <f>IF(AND(Input_LTV&lt;=AE915,Input_Product=Elig!$C915,Elig_MatchAll_Ct&lt;22,$BC915=(Elig_MatchAll_Ct-1),AY915=0),AA915,0)</f>
        <v>0</v>
      </c>
      <c r="CG915" s="993">
        <f>IF(AND(Input_Product=Elig!$C915,Elig_MatchAll_Ct&lt;22,$BC915=(Elig_MatchAll_Ct-1),AZ915=0),AB915,0)</f>
        <v>0</v>
      </c>
      <c r="CH915" s="994">
        <f>IF(AND(Input_Product=Elig!$C915,Elig_MatchAll_Ct&lt;22,$BC915=(Elig_MatchAll_Ct-1),AZ915=0),AC915,0)</f>
        <v>0</v>
      </c>
      <c r="CI915" s="993">
        <f>IF(AND(Input_Product=Elig!$C915,Elig_MatchAll_Ct&lt;22,$BC915=(Elig_MatchAll_Ct-1),BA915=0),AD915,0)</f>
        <v>0</v>
      </c>
      <c r="CJ915" s="994">
        <f>IF(AND(Input_Product=Elig!$C915,Elig_MatchAll_Ct&lt;22,$BC915=(Elig_MatchAll_Ct-1),BA915=0),AE915,0)</f>
        <v>0</v>
      </c>
    </row>
    <row r="916" spans="2:88" ht="10.15" customHeight="1" x14ac:dyDescent="0.25">
      <c r="B916" s="1916" t="s">
        <v>2252</v>
      </c>
      <c r="C916" s="1208" t="str">
        <f t="shared" si="367"/>
        <v xml:space="preserve">  </v>
      </c>
      <c r="D916" s="1209" t="s">
        <v>2218</v>
      </c>
      <c r="E916" s="1209" t="s">
        <v>167</v>
      </c>
      <c r="F916" s="1209" t="s">
        <v>331</v>
      </c>
      <c r="G916" s="1210" t="s">
        <v>175</v>
      </c>
      <c r="H916" s="1210" t="s">
        <v>446</v>
      </c>
      <c r="I916" s="1209" t="s">
        <v>274</v>
      </c>
      <c r="J916" s="1209" t="s">
        <v>1311</v>
      </c>
      <c r="K916" s="1210" t="s">
        <v>3022</v>
      </c>
      <c r="L916" s="1209" t="s">
        <v>2768</v>
      </c>
      <c r="M916" s="1209" t="s">
        <v>2677</v>
      </c>
      <c r="N916" s="1210" t="s">
        <v>82</v>
      </c>
      <c r="O916" s="1209" t="s">
        <v>310</v>
      </c>
      <c r="P916" s="1209" t="s">
        <v>291</v>
      </c>
      <c r="Q916" s="1209" t="s">
        <v>294</v>
      </c>
      <c r="R916" s="1209">
        <v>2500000.0099999998</v>
      </c>
      <c r="S916" s="1209">
        <v>3000000</v>
      </c>
      <c r="T916" s="1209">
        <v>0</v>
      </c>
      <c r="U916" s="1209">
        <v>0</v>
      </c>
      <c r="V916" s="1209">
        <v>0</v>
      </c>
      <c r="W916" s="1209">
        <v>50</v>
      </c>
      <c r="X916" s="1209">
        <v>0</v>
      </c>
      <c r="Y916" s="1209">
        <v>999</v>
      </c>
      <c r="Z916" s="1211">
        <v>700</v>
      </c>
      <c r="AA916" s="1211">
        <v>719</v>
      </c>
      <c r="AB916" s="1211">
        <v>6</v>
      </c>
      <c r="AC916" s="1211">
        <v>999999</v>
      </c>
      <c r="AD916" s="1209">
        <v>0</v>
      </c>
      <c r="AE916" s="1212">
        <v>75</v>
      </c>
      <c r="AF916" s="170">
        <v>0</v>
      </c>
      <c r="AG916" s="171">
        <v>1</v>
      </c>
      <c r="AH916" s="171">
        <v>1</v>
      </c>
      <c r="AI916" s="171">
        <v>1</v>
      </c>
      <c r="AJ916" s="171">
        <v>0</v>
      </c>
      <c r="AK916" s="171">
        <v>0</v>
      </c>
      <c r="AL916" s="171">
        <v>0</v>
      </c>
      <c r="AM916" s="171">
        <v>1</v>
      </c>
      <c r="AN916" s="171">
        <v>1</v>
      </c>
      <c r="AO916" s="171">
        <v>1</v>
      </c>
      <c r="AP916" s="171">
        <v>1</v>
      </c>
      <c r="AQ916" s="171">
        <v>1</v>
      </c>
      <c r="AR916" s="171">
        <v>1</v>
      </c>
      <c r="AS916" s="171">
        <v>1</v>
      </c>
      <c r="AT916" s="171">
        <v>1</v>
      </c>
      <c r="AU916" s="171">
        <f t="shared" si="379"/>
        <v>0</v>
      </c>
      <c r="AV916" s="171">
        <f t="shared" si="380"/>
        <v>0</v>
      </c>
      <c r="AW916" s="171">
        <f t="shared" si="381"/>
        <v>1</v>
      </c>
      <c r="AX916" s="171">
        <f t="shared" si="371"/>
        <v>1</v>
      </c>
      <c r="AY916" s="171">
        <f t="shared" si="382"/>
        <v>0</v>
      </c>
      <c r="AZ916" s="171">
        <f t="shared" si="383"/>
        <v>1</v>
      </c>
      <c r="BA916" s="172">
        <f t="shared" si="384"/>
        <v>1</v>
      </c>
      <c r="BB916" s="175">
        <f t="shared" ref="BB916:BB979" si="385">SUM(AF916:BA916)</f>
        <v>15</v>
      </c>
      <c r="BC916" s="176">
        <f t="shared" ref="BC916:BC979" si="386">SUM(AF916:AZ916)</f>
        <v>14</v>
      </c>
      <c r="BD916" s="176">
        <f t="shared" ref="BD916:BD979" si="387">SUM(AG916:BA916)</f>
        <v>15</v>
      </c>
      <c r="BE916" s="240" t="str">
        <f t="shared" si="378"/>
        <v/>
      </c>
      <c r="BF916" s="990"/>
      <c r="BG916" s="990"/>
      <c r="BH916" s="991">
        <f>IF(AND(Input_Product=Elig!$C916,Elig_MatchAll_Ct&lt;22,$BC916=(Elig_MatchAll_Ct-1),AF916=0),C916,0)</f>
        <v>0</v>
      </c>
      <c r="BI916" s="991">
        <f>IF(AND(Input_Product=Elig!$C916,Elig_MatchAll_Ct&lt;22,$BC916=(Elig_MatchAll_Ct-1),AG916=0),D916,0)</f>
        <v>0</v>
      </c>
      <c r="BJ916" s="991">
        <f>IF(AND(Input_Product=Elig!$C916,Elig_MatchAll_Ct&lt;22,$BC916=(Elig_MatchAll_Ct-1),AH916=0),E916,0)</f>
        <v>0</v>
      </c>
      <c r="BK916" s="991">
        <f>IF(AND(Input_Product=Elig!$C916,Elig_MatchAll_Ct&lt;22,$BC916=(Elig_MatchAll_Ct-1),AI916=0),F916,0)</f>
        <v>0</v>
      </c>
      <c r="BL916" s="991">
        <f>IF(AND(Input_Product=Elig!$C916,Elig_MatchAll_Ct&lt;22,$BC916=(Elig_MatchAll_Ct-1),AJ916=0),G916,0)</f>
        <v>0</v>
      </c>
      <c r="BM916" s="991">
        <f>IF(AND(Input_Product=Elig!$C916,Elig_MatchAll_Ct&lt;22,$BC916=(Elig_MatchAll_Ct-1),AK916=0),H916,0)</f>
        <v>0</v>
      </c>
      <c r="BN916" s="991">
        <f>IF(AND(Input_Product=Elig!$C916,Elig_MatchAll_Ct&lt;22,$BC916=(Elig_MatchAll_Ct-1),AL916=0),I916,0)</f>
        <v>0</v>
      </c>
      <c r="BO916" s="991">
        <f>IF(AND(Input_Product=Elig!$C916,Elig_MatchAll_Ct&lt;22,$BC916=(Elig_MatchAll_Ct-1),AM916=0),J916,0)</f>
        <v>0</v>
      </c>
      <c r="BP916" s="991">
        <f>IF(AND(Input_Product=Elig!$C916,Elig_MatchAll_Ct&lt;22,$BC916=(Elig_MatchAll_Ct-1),AN916=0),K916,0)</f>
        <v>0</v>
      </c>
      <c r="BQ916" s="991">
        <f>IF(AND(Input_Product=Elig!$C916,Elig_MatchAll_Ct&lt;22,$BC916=(Elig_MatchAll_Ct-1),AP916=0),L916,0)</f>
        <v>0</v>
      </c>
      <c r="BR916" s="991">
        <f>IF(AND(Input_Product=Elig!$C916,Elig_MatchAll_Ct&lt;22,$BC916=(Elig_MatchAll_Ct-1),AO916=0),M916,0)</f>
        <v>0</v>
      </c>
      <c r="BS916" s="991">
        <f>IF(AND(Input_Product=Elig!$C916,Elig_MatchAll_Ct&lt;22,$BC916=(Elig_MatchAll_Ct-1),AQ916=0),N916,0)</f>
        <v>0</v>
      </c>
      <c r="BT916" s="991">
        <f>IF(AND(Input_Product=Elig!$C916,Elig_MatchAll_Ct&lt;22,$BC916=(Elig_MatchAll_Ct-1),AR916=0),O916,0)</f>
        <v>0</v>
      </c>
      <c r="BU916" s="991">
        <f>IF(AND(Input_Product=Elig!$C916,Elig_MatchAll_Ct&lt;22,$BC916=(Elig_MatchAll_Ct-1),AS916=0),P916,0)</f>
        <v>0</v>
      </c>
      <c r="BV916" s="992">
        <f>IF(AND(Input_Product=Elig!$C916,Elig_MatchAll_Ct&lt;22,$BC916=(Elig_MatchAll_Ct-1),AT916=0),Q916,0)</f>
        <v>0</v>
      </c>
      <c r="BW916" s="993">
        <f>IF(AND(Input_Product=Elig!$C916,Elig_MatchAll_Ct&lt;22,$BC916=(Elig_MatchAll_Ct-1),AU916=0),R916,0)</f>
        <v>0</v>
      </c>
      <c r="BX916" s="994">
        <f>IF(AND(Input_Product=Elig!$C916,Elig_MatchAll_Ct&lt;22,$BC916=(Elig_MatchAll_Ct-1),AU916=0),S916,0)</f>
        <v>0</v>
      </c>
      <c r="BY916" s="993">
        <f>IF(AND(Input_Product=Elig!$C916,Elig_MatchAll_Ct&lt;22,$BC916=(Elig_MatchAll_Ct-1),AV916=0),T916,0)</f>
        <v>0</v>
      </c>
      <c r="BZ916" s="994">
        <f>IF(AND(Input_Product=Elig!$C916,Elig_MatchAll_Ct&lt;22,$BC916=(Elig_MatchAll_Ct-1),AV916=0),U916,0)</f>
        <v>0</v>
      </c>
      <c r="CA916" s="993">
        <f>IF(AND(Input_Product=Elig!$C916,Elig_MatchAll_Ct&lt;22,$BC916=(Elig_MatchAll_Ct-1),AW916=0),V916,0)</f>
        <v>0</v>
      </c>
      <c r="CB916" s="994">
        <f>IF(AND(Input_Product=Elig!$C916,Elig_MatchAll_Ct&lt;22,$BC916=(Elig_MatchAll_Ct-1),AW916=0),W916,0)</f>
        <v>0</v>
      </c>
      <c r="CC916" s="993">
        <f>IF(AND(Input_Product=Elig!$C916,Elig_MatchAll_Ct&lt;22,$BC916=(Elig_MatchAll_Ct-1),AX916=0),X916,0)</f>
        <v>0</v>
      </c>
      <c r="CD916" s="994">
        <f>IF(AND(Input_Product=Elig!$C916,Elig_MatchAll_Ct&lt;22,$BC916=(Elig_MatchAll_Ct-1),AX916=0),Y916,0)</f>
        <v>0</v>
      </c>
      <c r="CE916" s="993">
        <f>IF(AND(Input_LTV&lt;=AE916,Input_Product=Elig!$C916,Elig_MatchAll_Ct&lt;22,$BC916=(Elig_MatchAll_Ct-1),AY916=0),Z916,0)</f>
        <v>0</v>
      </c>
      <c r="CF916" s="994">
        <f>IF(AND(Input_LTV&lt;=AE916,Input_Product=Elig!$C916,Elig_MatchAll_Ct&lt;22,$BC916=(Elig_MatchAll_Ct-1),AY916=0),AA916,0)</f>
        <v>0</v>
      </c>
      <c r="CG916" s="993">
        <f>IF(AND(Input_Product=Elig!$C916,Elig_MatchAll_Ct&lt;22,$BC916=(Elig_MatchAll_Ct-1),AZ916=0),AB916,0)</f>
        <v>0</v>
      </c>
      <c r="CH916" s="994">
        <f>IF(AND(Input_Product=Elig!$C916,Elig_MatchAll_Ct&lt;22,$BC916=(Elig_MatchAll_Ct-1),AZ916=0),AC916,0)</f>
        <v>0</v>
      </c>
      <c r="CI916" s="993">
        <f>IF(AND(Input_Product=Elig!$C916,Elig_MatchAll_Ct&lt;22,$BC916=(Elig_MatchAll_Ct-1),BA916=0),AD916,0)</f>
        <v>0</v>
      </c>
      <c r="CJ916" s="994">
        <f>IF(AND(Input_Product=Elig!$C916,Elig_MatchAll_Ct&lt;22,$BC916=(Elig_MatchAll_Ct-1),BA916=0),AE916,0)</f>
        <v>0</v>
      </c>
    </row>
    <row r="917" spans="2:88" ht="10.15" customHeight="1" x14ac:dyDescent="0.25">
      <c r="B917" s="1916" t="s">
        <v>2253</v>
      </c>
      <c r="C917" s="1213" t="str">
        <f t="shared" si="367"/>
        <v xml:space="preserve">  </v>
      </c>
      <c r="D917" s="1214" t="s">
        <v>2218</v>
      </c>
      <c r="E917" s="1214" t="s">
        <v>167</v>
      </c>
      <c r="F917" s="1214" t="s">
        <v>331</v>
      </c>
      <c r="G917" s="1215" t="s">
        <v>175</v>
      </c>
      <c r="H917" s="1215" t="s">
        <v>446</v>
      </c>
      <c r="I917" s="1214" t="s">
        <v>274</v>
      </c>
      <c r="J917" s="1214" t="s">
        <v>1311</v>
      </c>
      <c r="K917" s="1215" t="s">
        <v>3022</v>
      </c>
      <c r="L917" s="1214" t="s">
        <v>2768</v>
      </c>
      <c r="M917" s="1214" t="s">
        <v>2677</v>
      </c>
      <c r="N917" s="1215" t="s">
        <v>82</v>
      </c>
      <c r="O917" s="1214" t="s">
        <v>310</v>
      </c>
      <c r="P917" s="1214" t="s">
        <v>291</v>
      </c>
      <c r="Q917" s="1214" t="s">
        <v>294</v>
      </c>
      <c r="R917" s="1214">
        <v>2500000.0099999998</v>
      </c>
      <c r="S917" s="1214">
        <v>3000000</v>
      </c>
      <c r="T917" s="1214">
        <v>0</v>
      </c>
      <c r="U917" s="1214">
        <v>0</v>
      </c>
      <c r="V917" s="1214">
        <v>0</v>
      </c>
      <c r="W917" s="1214">
        <v>50</v>
      </c>
      <c r="X917" s="1214">
        <v>0</v>
      </c>
      <c r="Y917" s="1214">
        <v>999</v>
      </c>
      <c r="Z917" s="1216">
        <v>680</v>
      </c>
      <c r="AA917" s="1216">
        <v>699</v>
      </c>
      <c r="AB917" s="1216">
        <v>6</v>
      </c>
      <c r="AC917" s="1216">
        <v>999999</v>
      </c>
      <c r="AD917" s="1214">
        <v>0</v>
      </c>
      <c r="AE917" s="1217">
        <v>75</v>
      </c>
      <c r="AF917" s="170">
        <v>0</v>
      </c>
      <c r="AG917" s="171">
        <v>1</v>
      </c>
      <c r="AH917" s="171">
        <v>1</v>
      </c>
      <c r="AI917" s="171">
        <v>1</v>
      </c>
      <c r="AJ917" s="171">
        <v>0</v>
      </c>
      <c r="AK917" s="171">
        <v>0</v>
      </c>
      <c r="AL917" s="171">
        <v>0</v>
      </c>
      <c r="AM917" s="171">
        <v>1</v>
      </c>
      <c r="AN917" s="171">
        <v>1</v>
      </c>
      <c r="AO917" s="171">
        <v>1</v>
      </c>
      <c r="AP917" s="171">
        <v>1</v>
      </c>
      <c r="AQ917" s="171">
        <v>1</v>
      </c>
      <c r="AR917" s="171">
        <v>1</v>
      </c>
      <c r="AS917" s="171">
        <v>1</v>
      </c>
      <c r="AT917" s="171">
        <v>1</v>
      </c>
      <c r="AU917" s="171">
        <f t="shared" si="379"/>
        <v>0</v>
      </c>
      <c r="AV917" s="171">
        <f t="shared" si="380"/>
        <v>0</v>
      </c>
      <c r="AW917" s="171">
        <f t="shared" si="381"/>
        <v>1</v>
      </c>
      <c r="AX917" s="171">
        <f t="shared" si="371"/>
        <v>1</v>
      </c>
      <c r="AY917" s="171">
        <f t="shared" si="382"/>
        <v>0</v>
      </c>
      <c r="AZ917" s="171">
        <f t="shared" si="383"/>
        <v>1</v>
      </c>
      <c r="BA917" s="172">
        <f t="shared" si="384"/>
        <v>1</v>
      </c>
      <c r="BB917" s="175">
        <f t="shared" si="385"/>
        <v>15</v>
      </c>
      <c r="BC917" s="176">
        <f t="shared" si="386"/>
        <v>14</v>
      </c>
      <c r="BD917" s="176">
        <f t="shared" si="387"/>
        <v>15</v>
      </c>
      <c r="BE917" s="240" t="str">
        <f t="shared" si="378"/>
        <v/>
      </c>
      <c r="BF917" s="990"/>
      <c r="BG917" s="990"/>
      <c r="BH917" s="991">
        <f>IF(AND(Input_Product=Elig!$C917,Elig_MatchAll_Ct&lt;22,$BC917=(Elig_MatchAll_Ct-1),AF917=0),C917,0)</f>
        <v>0</v>
      </c>
      <c r="BI917" s="991">
        <f>IF(AND(Input_Product=Elig!$C917,Elig_MatchAll_Ct&lt;22,$BC917=(Elig_MatchAll_Ct-1),AG917=0),D917,0)</f>
        <v>0</v>
      </c>
      <c r="BJ917" s="991">
        <f>IF(AND(Input_Product=Elig!$C917,Elig_MatchAll_Ct&lt;22,$BC917=(Elig_MatchAll_Ct-1),AH917=0),E917,0)</f>
        <v>0</v>
      </c>
      <c r="BK917" s="991">
        <f>IF(AND(Input_Product=Elig!$C917,Elig_MatchAll_Ct&lt;22,$BC917=(Elig_MatchAll_Ct-1),AI917=0),F917,0)</f>
        <v>0</v>
      </c>
      <c r="BL917" s="991">
        <f>IF(AND(Input_Product=Elig!$C917,Elig_MatchAll_Ct&lt;22,$BC917=(Elig_MatchAll_Ct-1),AJ917=0),G917,0)</f>
        <v>0</v>
      </c>
      <c r="BM917" s="991">
        <f>IF(AND(Input_Product=Elig!$C917,Elig_MatchAll_Ct&lt;22,$BC917=(Elig_MatchAll_Ct-1),AK917=0),H917,0)</f>
        <v>0</v>
      </c>
      <c r="BN917" s="991">
        <f>IF(AND(Input_Product=Elig!$C917,Elig_MatchAll_Ct&lt;22,$BC917=(Elig_MatchAll_Ct-1),AL917=0),I917,0)</f>
        <v>0</v>
      </c>
      <c r="BO917" s="991">
        <f>IF(AND(Input_Product=Elig!$C917,Elig_MatchAll_Ct&lt;22,$BC917=(Elig_MatchAll_Ct-1),AM917=0),J917,0)</f>
        <v>0</v>
      </c>
      <c r="BP917" s="991">
        <f>IF(AND(Input_Product=Elig!$C917,Elig_MatchAll_Ct&lt;22,$BC917=(Elig_MatchAll_Ct-1),AN917=0),K917,0)</f>
        <v>0</v>
      </c>
      <c r="BQ917" s="991">
        <f>IF(AND(Input_Product=Elig!$C917,Elig_MatchAll_Ct&lt;22,$BC917=(Elig_MatchAll_Ct-1),AP917=0),L917,0)</f>
        <v>0</v>
      </c>
      <c r="BR917" s="991">
        <f>IF(AND(Input_Product=Elig!$C917,Elig_MatchAll_Ct&lt;22,$BC917=(Elig_MatchAll_Ct-1),AO917=0),M917,0)</f>
        <v>0</v>
      </c>
      <c r="BS917" s="991">
        <f>IF(AND(Input_Product=Elig!$C917,Elig_MatchAll_Ct&lt;22,$BC917=(Elig_MatchAll_Ct-1),AQ917=0),N917,0)</f>
        <v>0</v>
      </c>
      <c r="BT917" s="991">
        <f>IF(AND(Input_Product=Elig!$C917,Elig_MatchAll_Ct&lt;22,$BC917=(Elig_MatchAll_Ct-1),AR917=0),O917,0)</f>
        <v>0</v>
      </c>
      <c r="BU917" s="991">
        <f>IF(AND(Input_Product=Elig!$C917,Elig_MatchAll_Ct&lt;22,$BC917=(Elig_MatchAll_Ct-1),AS917=0),P917,0)</f>
        <v>0</v>
      </c>
      <c r="BV917" s="992">
        <f>IF(AND(Input_Product=Elig!$C917,Elig_MatchAll_Ct&lt;22,$BC917=(Elig_MatchAll_Ct-1),AT917=0),Q917,0)</f>
        <v>0</v>
      </c>
      <c r="BW917" s="993">
        <f>IF(AND(Input_Product=Elig!$C917,Elig_MatchAll_Ct&lt;22,$BC917=(Elig_MatchAll_Ct-1),AU917=0),R917,0)</f>
        <v>0</v>
      </c>
      <c r="BX917" s="994">
        <f>IF(AND(Input_Product=Elig!$C917,Elig_MatchAll_Ct&lt;22,$BC917=(Elig_MatchAll_Ct-1),AU917=0),S917,0)</f>
        <v>0</v>
      </c>
      <c r="BY917" s="993">
        <f>IF(AND(Input_Product=Elig!$C917,Elig_MatchAll_Ct&lt;22,$BC917=(Elig_MatchAll_Ct-1),AV917=0),T917,0)</f>
        <v>0</v>
      </c>
      <c r="BZ917" s="994">
        <f>IF(AND(Input_Product=Elig!$C917,Elig_MatchAll_Ct&lt;22,$BC917=(Elig_MatchAll_Ct-1),AV917=0),U917,0)</f>
        <v>0</v>
      </c>
      <c r="CA917" s="993">
        <f>IF(AND(Input_Product=Elig!$C917,Elig_MatchAll_Ct&lt;22,$BC917=(Elig_MatchAll_Ct-1),AW917=0),V917,0)</f>
        <v>0</v>
      </c>
      <c r="CB917" s="994">
        <f>IF(AND(Input_Product=Elig!$C917,Elig_MatchAll_Ct&lt;22,$BC917=(Elig_MatchAll_Ct-1),AW917=0),W917,0)</f>
        <v>0</v>
      </c>
      <c r="CC917" s="993">
        <f>IF(AND(Input_Product=Elig!$C917,Elig_MatchAll_Ct&lt;22,$BC917=(Elig_MatchAll_Ct-1),AX917=0),X917,0)</f>
        <v>0</v>
      </c>
      <c r="CD917" s="994">
        <f>IF(AND(Input_Product=Elig!$C917,Elig_MatchAll_Ct&lt;22,$BC917=(Elig_MatchAll_Ct-1),AX917=0),Y917,0)</f>
        <v>0</v>
      </c>
      <c r="CE917" s="993">
        <f>IF(AND(Input_LTV&lt;=AE917,Input_Product=Elig!$C917,Elig_MatchAll_Ct&lt;22,$BC917=(Elig_MatchAll_Ct-1),AY917=0),Z917,0)</f>
        <v>0</v>
      </c>
      <c r="CF917" s="994">
        <f>IF(AND(Input_LTV&lt;=AE917,Input_Product=Elig!$C917,Elig_MatchAll_Ct&lt;22,$BC917=(Elig_MatchAll_Ct-1),AY917=0),AA917,0)</f>
        <v>0</v>
      </c>
      <c r="CG917" s="993">
        <f>IF(AND(Input_Product=Elig!$C917,Elig_MatchAll_Ct&lt;22,$BC917=(Elig_MatchAll_Ct-1),AZ917=0),AB917,0)</f>
        <v>0</v>
      </c>
      <c r="CH917" s="994">
        <f>IF(AND(Input_Product=Elig!$C917,Elig_MatchAll_Ct&lt;22,$BC917=(Elig_MatchAll_Ct-1),AZ917=0),AC917,0)</f>
        <v>0</v>
      </c>
      <c r="CI917" s="993">
        <f>IF(AND(Input_Product=Elig!$C917,Elig_MatchAll_Ct&lt;22,$BC917=(Elig_MatchAll_Ct-1),BA917=0),AD917,0)</f>
        <v>0</v>
      </c>
      <c r="CJ917" s="994">
        <f>IF(AND(Input_Product=Elig!$C917,Elig_MatchAll_Ct&lt;22,$BC917=(Elig_MatchAll_Ct-1),BA917=0),AE917,0)</f>
        <v>0</v>
      </c>
    </row>
    <row r="918" spans="2:88" ht="10.15" customHeight="1" x14ac:dyDescent="0.25">
      <c r="B918" s="1916" t="s">
        <v>2254</v>
      </c>
      <c r="C918" s="1203" t="str">
        <f t="shared" si="367"/>
        <v xml:space="preserve">  </v>
      </c>
      <c r="D918" s="1204" t="s">
        <v>2218</v>
      </c>
      <c r="E918" s="1204" t="s">
        <v>167</v>
      </c>
      <c r="F918" s="1204" t="s">
        <v>331</v>
      </c>
      <c r="G918" s="1205" t="s">
        <v>468</v>
      </c>
      <c r="H918" s="1205" t="s">
        <v>136</v>
      </c>
      <c r="I918" s="1204" t="s">
        <v>274</v>
      </c>
      <c r="J918" s="1204" t="s">
        <v>1311</v>
      </c>
      <c r="K918" s="1205" t="s">
        <v>3022</v>
      </c>
      <c r="L918" s="1204" t="s">
        <v>2768</v>
      </c>
      <c r="M918" s="1204" t="s">
        <v>2677</v>
      </c>
      <c r="N918" s="1205" t="s">
        <v>82</v>
      </c>
      <c r="O918" s="1204" t="s">
        <v>310</v>
      </c>
      <c r="P918" s="1204" t="s">
        <v>291</v>
      </c>
      <c r="Q918" s="1204" t="s">
        <v>294</v>
      </c>
      <c r="R918" s="1204">
        <v>125000</v>
      </c>
      <c r="S918" s="1204">
        <v>1000000</v>
      </c>
      <c r="T918" s="1204">
        <v>0</v>
      </c>
      <c r="U918" s="1204">
        <v>0</v>
      </c>
      <c r="V918" s="1204">
        <v>0</v>
      </c>
      <c r="W918" s="1204">
        <v>50</v>
      </c>
      <c r="X918" s="1204">
        <v>0</v>
      </c>
      <c r="Y918" s="1204">
        <v>999</v>
      </c>
      <c r="Z918" s="1206">
        <v>720</v>
      </c>
      <c r="AA918" s="1206">
        <v>999</v>
      </c>
      <c r="AB918" s="1206">
        <v>3</v>
      </c>
      <c r="AC918" s="1206">
        <v>999999</v>
      </c>
      <c r="AD918" s="1204">
        <v>0</v>
      </c>
      <c r="AE918" s="1207">
        <v>85</v>
      </c>
      <c r="AF918" s="170">
        <v>0</v>
      </c>
      <c r="AG918" s="171">
        <v>1</v>
      </c>
      <c r="AH918" s="171">
        <v>1</v>
      </c>
      <c r="AI918" s="171">
        <v>1</v>
      </c>
      <c r="AJ918" s="171">
        <v>0</v>
      </c>
      <c r="AK918" s="171">
        <v>1</v>
      </c>
      <c r="AL918" s="171">
        <v>0</v>
      </c>
      <c r="AM918" s="171">
        <v>1</v>
      </c>
      <c r="AN918" s="171">
        <v>1</v>
      </c>
      <c r="AO918" s="171">
        <v>1</v>
      </c>
      <c r="AP918" s="171">
        <v>1</v>
      </c>
      <c r="AQ918" s="171">
        <v>1</v>
      </c>
      <c r="AR918" s="171">
        <v>1</v>
      </c>
      <c r="AS918" s="171">
        <v>1</v>
      </c>
      <c r="AT918" s="171">
        <v>1</v>
      </c>
      <c r="AU918" s="171">
        <f t="shared" si="379"/>
        <v>1</v>
      </c>
      <c r="AV918" s="171">
        <f t="shared" si="380"/>
        <v>0</v>
      </c>
      <c r="AW918" s="171">
        <f t="shared" si="381"/>
        <v>1</v>
      </c>
      <c r="AX918" s="171">
        <f t="shared" si="371"/>
        <v>1</v>
      </c>
      <c r="AY918" s="171">
        <f t="shared" si="382"/>
        <v>1</v>
      </c>
      <c r="AZ918" s="171">
        <f t="shared" si="383"/>
        <v>1</v>
      </c>
      <c r="BA918" s="172">
        <f t="shared" si="384"/>
        <v>1</v>
      </c>
      <c r="BB918" s="175">
        <f t="shared" si="385"/>
        <v>18</v>
      </c>
      <c r="BC918" s="176">
        <f t="shared" si="386"/>
        <v>17</v>
      </c>
      <c r="BD918" s="176">
        <f t="shared" si="387"/>
        <v>18</v>
      </c>
      <c r="BE918" s="240" t="str">
        <f t="shared" si="378"/>
        <v/>
      </c>
      <c r="BF918" s="990"/>
      <c r="BG918" s="990"/>
      <c r="BH918" s="991">
        <f>IF(AND(Input_Product=Elig!$C918,Elig_MatchAll_Ct&lt;22,$BC918=(Elig_MatchAll_Ct-1),AF918=0),C918,0)</f>
        <v>0</v>
      </c>
      <c r="BI918" s="991">
        <f>IF(AND(Input_Product=Elig!$C918,Elig_MatchAll_Ct&lt;22,$BC918=(Elig_MatchAll_Ct-1),AG918=0),D918,0)</f>
        <v>0</v>
      </c>
      <c r="BJ918" s="991">
        <f>IF(AND(Input_Product=Elig!$C918,Elig_MatchAll_Ct&lt;22,$BC918=(Elig_MatchAll_Ct-1),AH918=0),E918,0)</f>
        <v>0</v>
      </c>
      <c r="BK918" s="991">
        <f>IF(AND(Input_Product=Elig!$C918,Elig_MatchAll_Ct&lt;22,$BC918=(Elig_MatchAll_Ct-1),AI918=0),F918,0)</f>
        <v>0</v>
      </c>
      <c r="BL918" s="991">
        <f>IF(AND(Input_Product=Elig!$C918,Elig_MatchAll_Ct&lt;22,$BC918=(Elig_MatchAll_Ct-1),AJ918=0),G918,0)</f>
        <v>0</v>
      </c>
      <c r="BM918" s="991">
        <f>IF(AND(Input_Product=Elig!$C918,Elig_MatchAll_Ct&lt;22,$BC918=(Elig_MatchAll_Ct-1),AK918=0),H918,0)</f>
        <v>0</v>
      </c>
      <c r="BN918" s="991">
        <f>IF(AND(Input_Product=Elig!$C918,Elig_MatchAll_Ct&lt;22,$BC918=(Elig_MatchAll_Ct-1),AL918=0),I918,0)</f>
        <v>0</v>
      </c>
      <c r="BO918" s="991">
        <f>IF(AND(Input_Product=Elig!$C918,Elig_MatchAll_Ct&lt;22,$BC918=(Elig_MatchAll_Ct-1),AM918=0),J918,0)</f>
        <v>0</v>
      </c>
      <c r="BP918" s="991">
        <f>IF(AND(Input_Product=Elig!$C918,Elig_MatchAll_Ct&lt;22,$BC918=(Elig_MatchAll_Ct-1),AN918=0),K918,0)</f>
        <v>0</v>
      </c>
      <c r="BQ918" s="991">
        <f>IF(AND(Input_Product=Elig!$C918,Elig_MatchAll_Ct&lt;22,$BC918=(Elig_MatchAll_Ct-1),AP918=0),L918,0)</f>
        <v>0</v>
      </c>
      <c r="BR918" s="991">
        <f>IF(AND(Input_Product=Elig!$C918,Elig_MatchAll_Ct&lt;22,$BC918=(Elig_MatchAll_Ct-1),AO918=0),M918,0)</f>
        <v>0</v>
      </c>
      <c r="BS918" s="991">
        <f>IF(AND(Input_Product=Elig!$C918,Elig_MatchAll_Ct&lt;22,$BC918=(Elig_MatchAll_Ct-1),AQ918=0),N918,0)</f>
        <v>0</v>
      </c>
      <c r="BT918" s="991">
        <f>IF(AND(Input_Product=Elig!$C918,Elig_MatchAll_Ct&lt;22,$BC918=(Elig_MatchAll_Ct-1),AR918=0),O918,0)</f>
        <v>0</v>
      </c>
      <c r="BU918" s="991">
        <f>IF(AND(Input_Product=Elig!$C918,Elig_MatchAll_Ct&lt;22,$BC918=(Elig_MatchAll_Ct-1),AS918=0),P918,0)</f>
        <v>0</v>
      </c>
      <c r="BV918" s="992">
        <f>IF(AND(Input_Product=Elig!$C918,Elig_MatchAll_Ct&lt;22,$BC918=(Elig_MatchAll_Ct-1),AT918=0),Q918,0)</f>
        <v>0</v>
      </c>
      <c r="BW918" s="993">
        <f>IF(AND(Input_Product=Elig!$C918,Elig_MatchAll_Ct&lt;22,$BC918=(Elig_MatchAll_Ct-1),AU918=0),R918,0)</f>
        <v>0</v>
      </c>
      <c r="BX918" s="994">
        <f>IF(AND(Input_Product=Elig!$C918,Elig_MatchAll_Ct&lt;22,$BC918=(Elig_MatchAll_Ct-1),AU918=0),S918,0)</f>
        <v>0</v>
      </c>
      <c r="BY918" s="993">
        <f>IF(AND(Input_Product=Elig!$C918,Elig_MatchAll_Ct&lt;22,$BC918=(Elig_MatchAll_Ct-1),AV918=0),T918,0)</f>
        <v>0</v>
      </c>
      <c r="BZ918" s="994">
        <f>IF(AND(Input_Product=Elig!$C918,Elig_MatchAll_Ct&lt;22,$BC918=(Elig_MatchAll_Ct-1),AV918=0),U918,0)</f>
        <v>0</v>
      </c>
      <c r="CA918" s="993">
        <f>IF(AND(Input_Product=Elig!$C918,Elig_MatchAll_Ct&lt;22,$BC918=(Elig_MatchAll_Ct-1),AW918=0),V918,0)</f>
        <v>0</v>
      </c>
      <c r="CB918" s="994">
        <f>IF(AND(Input_Product=Elig!$C918,Elig_MatchAll_Ct&lt;22,$BC918=(Elig_MatchAll_Ct-1),AW918=0),W918,0)</f>
        <v>0</v>
      </c>
      <c r="CC918" s="993">
        <f>IF(AND(Input_Product=Elig!$C918,Elig_MatchAll_Ct&lt;22,$BC918=(Elig_MatchAll_Ct-1),AX918=0),X918,0)</f>
        <v>0</v>
      </c>
      <c r="CD918" s="994">
        <f>IF(AND(Input_Product=Elig!$C918,Elig_MatchAll_Ct&lt;22,$BC918=(Elig_MatchAll_Ct-1),AX918=0),Y918,0)</f>
        <v>0</v>
      </c>
      <c r="CE918" s="993">
        <f>IF(AND(Input_LTV&lt;=AE918,Input_Product=Elig!$C918,Elig_MatchAll_Ct&lt;22,$BC918=(Elig_MatchAll_Ct-1),AY918=0),Z918,0)</f>
        <v>0</v>
      </c>
      <c r="CF918" s="994">
        <f>IF(AND(Input_LTV&lt;=AE918,Input_Product=Elig!$C918,Elig_MatchAll_Ct&lt;22,$BC918=(Elig_MatchAll_Ct-1),AY918=0),AA918,0)</f>
        <v>0</v>
      </c>
      <c r="CG918" s="993">
        <f>IF(AND(Input_Product=Elig!$C918,Elig_MatchAll_Ct&lt;22,$BC918=(Elig_MatchAll_Ct-1),AZ918=0),AB918,0)</f>
        <v>0</v>
      </c>
      <c r="CH918" s="994">
        <f>IF(AND(Input_Product=Elig!$C918,Elig_MatchAll_Ct&lt;22,$BC918=(Elig_MatchAll_Ct-1),AZ918=0),AC918,0)</f>
        <v>0</v>
      </c>
      <c r="CI918" s="993">
        <f>IF(AND(Input_Product=Elig!$C918,Elig_MatchAll_Ct&lt;22,$BC918=(Elig_MatchAll_Ct-1),BA918=0),AD918,0)</f>
        <v>0</v>
      </c>
      <c r="CJ918" s="994">
        <f>IF(AND(Input_Product=Elig!$C918,Elig_MatchAll_Ct&lt;22,$BC918=(Elig_MatchAll_Ct-1),BA918=0),AE918,0)</f>
        <v>0</v>
      </c>
    </row>
    <row r="919" spans="2:88" ht="10.15" customHeight="1" x14ac:dyDescent="0.25">
      <c r="B919" s="1916" t="s">
        <v>2255</v>
      </c>
      <c r="C919" s="1208" t="str">
        <f t="shared" si="367"/>
        <v xml:space="preserve">  </v>
      </c>
      <c r="D919" s="1209" t="s">
        <v>2218</v>
      </c>
      <c r="E919" s="1209" t="s">
        <v>167</v>
      </c>
      <c r="F919" s="1209" t="s">
        <v>331</v>
      </c>
      <c r="G919" s="1210" t="s">
        <v>468</v>
      </c>
      <c r="H919" s="1210" t="s">
        <v>136</v>
      </c>
      <c r="I919" s="1209" t="s">
        <v>274</v>
      </c>
      <c r="J919" s="1209" t="s">
        <v>1311</v>
      </c>
      <c r="K919" s="1210" t="s">
        <v>3022</v>
      </c>
      <c r="L919" s="1209" t="s">
        <v>2768</v>
      </c>
      <c r="M919" s="1209" t="s">
        <v>2677</v>
      </c>
      <c r="N919" s="1210" t="s">
        <v>82</v>
      </c>
      <c r="O919" s="1209" t="s">
        <v>310</v>
      </c>
      <c r="P919" s="1209" t="s">
        <v>291</v>
      </c>
      <c r="Q919" s="1209" t="s">
        <v>294</v>
      </c>
      <c r="R919" s="1209">
        <v>125000</v>
      </c>
      <c r="S919" s="1209">
        <v>1000000</v>
      </c>
      <c r="T919" s="1209">
        <v>0</v>
      </c>
      <c r="U919" s="1209">
        <v>0</v>
      </c>
      <c r="V919" s="1209">
        <v>0</v>
      </c>
      <c r="W919" s="1209">
        <v>50</v>
      </c>
      <c r="X919" s="1209">
        <v>0</v>
      </c>
      <c r="Y919" s="1209">
        <v>999</v>
      </c>
      <c r="Z919" s="1211">
        <v>700</v>
      </c>
      <c r="AA919" s="1211">
        <v>719</v>
      </c>
      <c r="AB919" s="1211">
        <v>3</v>
      </c>
      <c r="AC919" s="1211">
        <v>999999</v>
      </c>
      <c r="AD919" s="1209">
        <v>0</v>
      </c>
      <c r="AE919" s="1212">
        <v>80</v>
      </c>
      <c r="AF919" s="170">
        <v>0</v>
      </c>
      <c r="AG919" s="171">
        <v>1</v>
      </c>
      <c r="AH919" s="171">
        <v>1</v>
      </c>
      <c r="AI919" s="171">
        <v>1</v>
      </c>
      <c r="AJ919" s="171">
        <v>0</v>
      </c>
      <c r="AK919" s="171">
        <v>1</v>
      </c>
      <c r="AL919" s="171">
        <v>0</v>
      </c>
      <c r="AM919" s="171">
        <v>1</v>
      </c>
      <c r="AN919" s="171">
        <v>1</v>
      </c>
      <c r="AO919" s="171">
        <v>1</v>
      </c>
      <c r="AP919" s="171">
        <v>1</v>
      </c>
      <c r="AQ919" s="171">
        <v>1</v>
      </c>
      <c r="AR919" s="171">
        <v>1</v>
      </c>
      <c r="AS919" s="171">
        <v>1</v>
      </c>
      <c r="AT919" s="171">
        <v>1</v>
      </c>
      <c r="AU919" s="171">
        <f t="shared" si="379"/>
        <v>1</v>
      </c>
      <c r="AV919" s="171">
        <f t="shared" si="380"/>
        <v>0</v>
      </c>
      <c r="AW919" s="171">
        <f t="shared" si="381"/>
        <v>1</v>
      </c>
      <c r="AX919" s="171">
        <f t="shared" si="371"/>
        <v>1</v>
      </c>
      <c r="AY919" s="171">
        <f t="shared" si="382"/>
        <v>0</v>
      </c>
      <c r="AZ919" s="171">
        <f t="shared" si="383"/>
        <v>1</v>
      </c>
      <c r="BA919" s="172">
        <f t="shared" si="384"/>
        <v>1</v>
      </c>
      <c r="BB919" s="175">
        <f t="shared" si="385"/>
        <v>17</v>
      </c>
      <c r="BC919" s="176">
        <f t="shared" si="386"/>
        <v>16</v>
      </c>
      <c r="BD919" s="176">
        <f t="shared" si="387"/>
        <v>17</v>
      </c>
      <c r="BE919" s="240" t="str">
        <f t="shared" si="378"/>
        <v/>
      </c>
      <c r="BF919" s="990"/>
      <c r="BG919" s="990"/>
      <c r="BH919" s="991">
        <f>IF(AND(Input_Product=Elig!$C919,Elig_MatchAll_Ct&lt;22,$BC919=(Elig_MatchAll_Ct-1),AF919=0),C919,0)</f>
        <v>0</v>
      </c>
      <c r="BI919" s="991">
        <f>IF(AND(Input_Product=Elig!$C919,Elig_MatchAll_Ct&lt;22,$BC919=(Elig_MatchAll_Ct-1),AG919=0),D919,0)</f>
        <v>0</v>
      </c>
      <c r="BJ919" s="991">
        <f>IF(AND(Input_Product=Elig!$C919,Elig_MatchAll_Ct&lt;22,$BC919=(Elig_MatchAll_Ct-1),AH919=0),E919,0)</f>
        <v>0</v>
      </c>
      <c r="BK919" s="991">
        <f>IF(AND(Input_Product=Elig!$C919,Elig_MatchAll_Ct&lt;22,$BC919=(Elig_MatchAll_Ct-1),AI919=0),F919,0)</f>
        <v>0</v>
      </c>
      <c r="BL919" s="991">
        <f>IF(AND(Input_Product=Elig!$C919,Elig_MatchAll_Ct&lt;22,$BC919=(Elig_MatchAll_Ct-1),AJ919=0),G919,0)</f>
        <v>0</v>
      </c>
      <c r="BM919" s="991">
        <f>IF(AND(Input_Product=Elig!$C919,Elig_MatchAll_Ct&lt;22,$BC919=(Elig_MatchAll_Ct-1),AK919=0),H919,0)</f>
        <v>0</v>
      </c>
      <c r="BN919" s="991">
        <f>IF(AND(Input_Product=Elig!$C919,Elig_MatchAll_Ct&lt;22,$BC919=(Elig_MatchAll_Ct-1),AL919=0),I919,0)</f>
        <v>0</v>
      </c>
      <c r="BO919" s="991">
        <f>IF(AND(Input_Product=Elig!$C919,Elig_MatchAll_Ct&lt;22,$BC919=(Elig_MatchAll_Ct-1),AM919=0),J919,0)</f>
        <v>0</v>
      </c>
      <c r="BP919" s="991">
        <f>IF(AND(Input_Product=Elig!$C919,Elig_MatchAll_Ct&lt;22,$BC919=(Elig_MatchAll_Ct-1),AN919=0),K919,0)</f>
        <v>0</v>
      </c>
      <c r="BQ919" s="991">
        <f>IF(AND(Input_Product=Elig!$C919,Elig_MatchAll_Ct&lt;22,$BC919=(Elig_MatchAll_Ct-1),AP919=0),L919,0)</f>
        <v>0</v>
      </c>
      <c r="BR919" s="991">
        <f>IF(AND(Input_Product=Elig!$C919,Elig_MatchAll_Ct&lt;22,$BC919=(Elig_MatchAll_Ct-1),AO919=0),M919,0)</f>
        <v>0</v>
      </c>
      <c r="BS919" s="991">
        <f>IF(AND(Input_Product=Elig!$C919,Elig_MatchAll_Ct&lt;22,$BC919=(Elig_MatchAll_Ct-1),AQ919=0),N919,0)</f>
        <v>0</v>
      </c>
      <c r="BT919" s="991">
        <f>IF(AND(Input_Product=Elig!$C919,Elig_MatchAll_Ct&lt;22,$BC919=(Elig_MatchAll_Ct-1),AR919=0),O919,0)</f>
        <v>0</v>
      </c>
      <c r="BU919" s="991">
        <f>IF(AND(Input_Product=Elig!$C919,Elig_MatchAll_Ct&lt;22,$BC919=(Elig_MatchAll_Ct-1),AS919=0),P919,0)</f>
        <v>0</v>
      </c>
      <c r="BV919" s="992">
        <f>IF(AND(Input_Product=Elig!$C919,Elig_MatchAll_Ct&lt;22,$BC919=(Elig_MatchAll_Ct-1),AT919=0),Q919,0)</f>
        <v>0</v>
      </c>
      <c r="BW919" s="993">
        <f>IF(AND(Input_Product=Elig!$C919,Elig_MatchAll_Ct&lt;22,$BC919=(Elig_MatchAll_Ct-1),AU919=0),R919,0)</f>
        <v>0</v>
      </c>
      <c r="BX919" s="994">
        <f>IF(AND(Input_Product=Elig!$C919,Elig_MatchAll_Ct&lt;22,$BC919=(Elig_MatchAll_Ct-1),AU919=0),S919,0)</f>
        <v>0</v>
      </c>
      <c r="BY919" s="993">
        <f>IF(AND(Input_Product=Elig!$C919,Elig_MatchAll_Ct&lt;22,$BC919=(Elig_MatchAll_Ct-1),AV919=0),T919,0)</f>
        <v>0</v>
      </c>
      <c r="BZ919" s="994">
        <f>IF(AND(Input_Product=Elig!$C919,Elig_MatchAll_Ct&lt;22,$BC919=(Elig_MatchAll_Ct-1),AV919=0),U919,0)</f>
        <v>0</v>
      </c>
      <c r="CA919" s="993">
        <f>IF(AND(Input_Product=Elig!$C919,Elig_MatchAll_Ct&lt;22,$BC919=(Elig_MatchAll_Ct-1),AW919=0),V919,0)</f>
        <v>0</v>
      </c>
      <c r="CB919" s="994">
        <f>IF(AND(Input_Product=Elig!$C919,Elig_MatchAll_Ct&lt;22,$BC919=(Elig_MatchAll_Ct-1),AW919=0),W919,0)</f>
        <v>0</v>
      </c>
      <c r="CC919" s="993">
        <f>IF(AND(Input_Product=Elig!$C919,Elig_MatchAll_Ct&lt;22,$BC919=(Elig_MatchAll_Ct-1),AX919=0),X919,0)</f>
        <v>0</v>
      </c>
      <c r="CD919" s="994">
        <f>IF(AND(Input_Product=Elig!$C919,Elig_MatchAll_Ct&lt;22,$BC919=(Elig_MatchAll_Ct-1),AX919=0),Y919,0)</f>
        <v>0</v>
      </c>
      <c r="CE919" s="993">
        <f>IF(AND(Input_LTV&lt;=AE919,Input_Product=Elig!$C919,Elig_MatchAll_Ct&lt;22,$BC919=(Elig_MatchAll_Ct-1),AY919=0),Z919,0)</f>
        <v>0</v>
      </c>
      <c r="CF919" s="994">
        <f>IF(AND(Input_LTV&lt;=AE919,Input_Product=Elig!$C919,Elig_MatchAll_Ct&lt;22,$BC919=(Elig_MatchAll_Ct-1),AY919=0),AA919,0)</f>
        <v>0</v>
      </c>
      <c r="CG919" s="993">
        <f>IF(AND(Input_Product=Elig!$C919,Elig_MatchAll_Ct&lt;22,$BC919=(Elig_MatchAll_Ct-1),AZ919=0),AB919,0)</f>
        <v>0</v>
      </c>
      <c r="CH919" s="994">
        <f>IF(AND(Input_Product=Elig!$C919,Elig_MatchAll_Ct&lt;22,$BC919=(Elig_MatchAll_Ct-1),AZ919=0),AC919,0)</f>
        <v>0</v>
      </c>
      <c r="CI919" s="993">
        <f>IF(AND(Input_Product=Elig!$C919,Elig_MatchAll_Ct&lt;22,$BC919=(Elig_MatchAll_Ct-1),BA919=0),AD919,0)</f>
        <v>0</v>
      </c>
      <c r="CJ919" s="994">
        <f>IF(AND(Input_Product=Elig!$C919,Elig_MatchAll_Ct&lt;22,$BC919=(Elig_MatchAll_Ct-1),BA919=0),AE919,0)</f>
        <v>0</v>
      </c>
    </row>
    <row r="920" spans="2:88" ht="10.15" customHeight="1" x14ac:dyDescent="0.25">
      <c r="B920" s="1916" t="s">
        <v>2256</v>
      </c>
      <c r="C920" s="1208" t="str">
        <f t="shared" si="367"/>
        <v xml:space="preserve">  </v>
      </c>
      <c r="D920" s="1209" t="s">
        <v>2218</v>
      </c>
      <c r="E920" s="1209" t="s">
        <v>167</v>
      </c>
      <c r="F920" s="1209" t="s">
        <v>331</v>
      </c>
      <c r="G920" s="1210" t="s">
        <v>468</v>
      </c>
      <c r="H920" s="1210" t="s">
        <v>136</v>
      </c>
      <c r="I920" s="1209" t="s">
        <v>274</v>
      </c>
      <c r="J920" s="1209" t="s">
        <v>1311</v>
      </c>
      <c r="K920" s="1210" t="s">
        <v>3022</v>
      </c>
      <c r="L920" s="1209" t="s">
        <v>2768</v>
      </c>
      <c r="M920" s="1209" t="s">
        <v>2677</v>
      </c>
      <c r="N920" s="1210" t="s">
        <v>82</v>
      </c>
      <c r="O920" s="1209" t="s">
        <v>310</v>
      </c>
      <c r="P920" s="1209" t="s">
        <v>291</v>
      </c>
      <c r="Q920" s="1209" t="s">
        <v>294</v>
      </c>
      <c r="R920" s="1209">
        <v>125000</v>
      </c>
      <c r="S920" s="1209">
        <v>1000000</v>
      </c>
      <c r="T920" s="1209">
        <v>0</v>
      </c>
      <c r="U920" s="1209">
        <v>0</v>
      </c>
      <c r="V920" s="1209">
        <v>0</v>
      </c>
      <c r="W920" s="1209">
        <v>50</v>
      </c>
      <c r="X920" s="1209">
        <v>0</v>
      </c>
      <c r="Y920" s="1209">
        <v>999</v>
      </c>
      <c r="Z920" s="1211">
        <v>680</v>
      </c>
      <c r="AA920" s="1211">
        <v>699</v>
      </c>
      <c r="AB920" s="1211">
        <v>3</v>
      </c>
      <c r="AC920" s="1211">
        <v>999999</v>
      </c>
      <c r="AD920" s="1209">
        <v>0</v>
      </c>
      <c r="AE920" s="1212">
        <v>80</v>
      </c>
      <c r="AF920" s="170">
        <v>0</v>
      </c>
      <c r="AG920" s="171">
        <v>1</v>
      </c>
      <c r="AH920" s="171">
        <v>1</v>
      </c>
      <c r="AI920" s="171">
        <v>1</v>
      </c>
      <c r="AJ920" s="171">
        <v>0</v>
      </c>
      <c r="AK920" s="171">
        <v>1</v>
      </c>
      <c r="AL920" s="171">
        <v>0</v>
      </c>
      <c r="AM920" s="171">
        <v>1</v>
      </c>
      <c r="AN920" s="171">
        <v>1</v>
      </c>
      <c r="AO920" s="171">
        <v>1</v>
      </c>
      <c r="AP920" s="171">
        <v>1</v>
      </c>
      <c r="AQ920" s="171">
        <v>1</v>
      </c>
      <c r="AR920" s="171">
        <v>1</v>
      </c>
      <c r="AS920" s="171">
        <v>1</v>
      </c>
      <c r="AT920" s="171">
        <v>1</v>
      </c>
      <c r="AU920" s="171">
        <f t="shared" si="379"/>
        <v>1</v>
      </c>
      <c r="AV920" s="171">
        <f t="shared" si="380"/>
        <v>0</v>
      </c>
      <c r="AW920" s="171">
        <f t="shared" si="381"/>
        <v>1</v>
      </c>
      <c r="AX920" s="171">
        <f t="shared" si="371"/>
        <v>1</v>
      </c>
      <c r="AY920" s="171">
        <f t="shared" si="382"/>
        <v>0</v>
      </c>
      <c r="AZ920" s="171">
        <f t="shared" si="383"/>
        <v>1</v>
      </c>
      <c r="BA920" s="172">
        <f t="shared" si="384"/>
        <v>1</v>
      </c>
      <c r="BB920" s="175">
        <f t="shared" si="385"/>
        <v>17</v>
      </c>
      <c r="BC920" s="176">
        <f t="shared" si="386"/>
        <v>16</v>
      </c>
      <c r="BD920" s="176">
        <f t="shared" si="387"/>
        <v>17</v>
      </c>
      <c r="BE920" s="240" t="str">
        <f t="shared" si="378"/>
        <v/>
      </c>
      <c r="BF920" s="990"/>
      <c r="BG920" s="990"/>
      <c r="BH920" s="991">
        <f>IF(AND(Input_Product=Elig!$C920,Elig_MatchAll_Ct&lt;22,$BC920=(Elig_MatchAll_Ct-1),AF920=0),C920,0)</f>
        <v>0</v>
      </c>
      <c r="BI920" s="991">
        <f>IF(AND(Input_Product=Elig!$C920,Elig_MatchAll_Ct&lt;22,$BC920=(Elig_MatchAll_Ct-1),AG920=0),D920,0)</f>
        <v>0</v>
      </c>
      <c r="BJ920" s="991">
        <f>IF(AND(Input_Product=Elig!$C920,Elig_MatchAll_Ct&lt;22,$BC920=(Elig_MatchAll_Ct-1),AH920=0),E920,0)</f>
        <v>0</v>
      </c>
      <c r="BK920" s="991">
        <f>IF(AND(Input_Product=Elig!$C920,Elig_MatchAll_Ct&lt;22,$BC920=(Elig_MatchAll_Ct-1),AI920=0),F920,0)</f>
        <v>0</v>
      </c>
      <c r="BL920" s="991">
        <f>IF(AND(Input_Product=Elig!$C920,Elig_MatchAll_Ct&lt;22,$BC920=(Elig_MatchAll_Ct-1),AJ920=0),G920,0)</f>
        <v>0</v>
      </c>
      <c r="BM920" s="991">
        <f>IF(AND(Input_Product=Elig!$C920,Elig_MatchAll_Ct&lt;22,$BC920=(Elig_MatchAll_Ct-1),AK920=0),H920,0)</f>
        <v>0</v>
      </c>
      <c r="BN920" s="991">
        <f>IF(AND(Input_Product=Elig!$C920,Elig_MatchAll_Ct&lt;22,$BC920=(Elig_MatchAll_Ct-1),AL920=0),I920,0)</f>
        <v>0</v>
      </c>
      <c r="BO920" s="991">
        <f>IF(AND(Input_Product=Elig!$C920,Elig_MatchAll_Ct&lt;22,$BC920=(Elig_MatchAll_Ct-1),AM920=0),J920,0)</f>
        <v>0</v>
      </c>
      <c r="BP920" s="991">
        <f>IF(AND(Input_Product=Elig!$C920,Elig_MatchAll_Ct&lt;22,$BC920=(Elig_MatchAll_Ct-1),AN920=0),K920,0)</f>
        <v>0</v>
      </c>
      <c r="BQ920" s="991">
        <f>IF(AND(Input_Product=Elig!$C920,Elig_MatchAll_Ct&lt;22,$BC920=(Elig_MatchAll_Ct-1),AP920=0),L920,0)</f>
        <v>0</v>
      </c>
      <c r="BR920" s="991">
        <f>IF(AND(Input_Product=Elig!$C920,Elig_MatchAll_Ct&lt;22,$BC920=(Elig_MatchAll_Ct-1),AO920=0),M920,0)</f>
        <v>0</v>
      </c>
      <c r="BS920" s="991">
        <f>IF(AND(Input_Product=Elig!$C920,Elig_MatchAll_Ct&lt;22,$BC920=(Elig_MatchAll_Ct-1),AQ920=0),N920,0)</f>
        <v>0</v>
      </c>
      <c r="BT920" s="991">
        <f>IF(AND(Input_Product=Elig!$C920,Elig_MatchAll_Ct&lt;22,$BC920=(Elig_MatchAll_Ct-1),AR920=0),O920,0)</f>
        <v>0</v>
      </c>
      <c r="BU920" s="991">
        <f>IF(AND(Input_Product=Elig!$C920,Elig_MatchAll_Ct&lt;22,$BC920=(Elig_MatchAll_Ct-1),AS920=0),P920,0)</f>
        <v>0</v>
      </c>
      <c r="BV920" s="992">
        <f>IF(AND(Input_Product=Elig!$C920,Elig_MatchAll_Ct&lt;22,$BC920=(Elig_MatchAll_Ct-1),AT920=0),Q920,0)</f>
        <v>0</v>
      </c>
      <c r="BW920" s="993">
        <f>IF(AND(Input_Product=Elig!$C920,Elig_MatchAll_Ct&lt;22,$BC920=(Elig_MatchAll_Ct-1),AU920=0),R920,0)</f>
        <v>0</v>
      </c>
      <c r="BX920" s="994">
        <f>IF(AND(Input_Product=Elig!$C920,Elig_MatchAll_Ct&lt;22,$BC920=(Elig_MatchAll_Ct-1),AU920=0),S920,0)</f>
        <v>0</v>
      </c>
      <c r="BY920" s="993">
        <f>IF(AND(Input_Product=Elig!$C920,Elig_MatchAll_Ct&lt;22,$BC920=(Elig_MatchAll_Ct-1),AV920=0),T920,0)</f>
        <v>0</v>
      </c>
      <c r="BZ920" s="994">
        <f>IF(AND(Input_Product=Elig!$C920,Elig_MatchAll_Ct&lt;22,$BC920=(Elig_MatchAll_Ct-1),AV920=0),U920,0)</f>
        <v>0</v>
      </c>
      <c r="CA920" s="993">
        <f>IF(AND(Input_Product=Elig!$C920,Elig_MatchAll_Ct&lt;22,$BC920=(Elig_MatchAll_Ct-1),AW920=0),V920,0)</f>
        <v>0</v>
      </c>
      <c r="CB920" s="994">
        <f>IF(AND(Input_Product=Elig!$C920,Elig_MatchAll_Ct&lt;22,$BC920=(Elig_MatchAll_Ct-1),AW920=0),W920,0)</f>
        <v>0</v>
      </c>
      <c r="CC920" s="993">
        <f>IF(AND(Input_Product=Elig!$C920,Elig_MatchAll_Ct&lt;22,$BC920=(Elig_MatchAll_Ct-1),AX920=0),X920,0)</f>
        <v>0</v>
      </c>
      <c r="CD920" s="994">
        <f>IF(AND(Input_Product=Elig!$C920,Elig_MatchAll_Ct&lt;22,$BC920=(Elig_MatchAll_Ct-1),AX920=0),Y920,0)</f>
        <v>0</v>
      </c>
      <c r="CE920" s="993">
        <f>IF(AND(Input_LTV&lt;=AE920,Input_Product=Elig!$C920,Elig_MatchAll_Ct&lt;22,$BC920=(Elig_MatchAll_Ct-1),AY920=0),Z920,0)</f>
        <v>0</v>
      </c>
      <c r="CF920" s="994">
        <f>IF(AND(Input_LTV&lt;=AE920,Input_Product=Elig!$C920,Elig_MatchAll_Ct&lt;22,$BC920=(Elig_MatchAll_Ct-1),AY920=0),AA920,0)</f>
        <v>0</v>
      </c>
      <c r="CG920" s="993">
        <f>IF(AND(Input_Product=Elig!$C920,Elig_MatchAll_Ct&lt;22,$BC920=(Elig_MatchAll_Ct-1),AZ920=0),AB920,0)</f>
        <v>0</v>
      </c>
      <c r="CH920" s="994">
        <f>IF(AND(Input_Product=Elig!$C920,Elig_MatchAll_Ct&lt;22,$BC920=(Elig_MatchAll_Ct-1),AZ920=0),AC920,0)</f>
        <v>0</v>
      </c>
      <c r="CI920" s="993">
        <f>IF(AND(Input_Product=Elig!$C920,Elig_MatchAll_Ct&lt;22,$BC920=(Elig_MatchAll_Ct-1),BA920=0),AD920,0)</f>
        <v>0</v>
      </c>
      <c r="CJ920" s="994">
        <f>IF(AND(Input_Product=Elig!$C920,Elig_MatchAll_Ct&lt;22,$BC920=(Elig_MatchAll_Ct-1),BA920=0),AE920,0)</f>
        <v>0</v>
      </c>
    </row>
    <row r="921" spans="2:88" ht="10.15" customHeight="1" x14ac:dyDescent="0.25">
      <c r="B921" s="1916" t="s">
        <v>2257</v>
      </c>
      <c r="C921" s="1213" t="str">
        <f t="shared" si="367"/>
        <v xml:space="preserve">  </v>
      </c>
      <c r="D921" s="1214" t="s">
        <v>2218</v>
      </c>
      <c r="E921" s="1214" t="s">
        <v>167</v>
      </c>
      <c r="F921" s="1214" t="s">
        <v>331</v>
      </c>
      <c r="G921" s="1215" t="s">
        <v>468</v>
      </c>
      <c r="H921" s="1215" t="s">
        <v>136</v>
      </c>
      <c r="I921" s="1214" t="s">
        <v>274</v>
      </c>
      <c r="J921" s="1214" t="s">
        <v>1311</v>
      </c>
      <c r="K921" s="1215" t="s">
        <v>3022</v>
      </c>
      <c r="L921" s="1214" t="s">
        <v>2768</v>
      </c>
      <c r="M921" s="1214" t="s">
        <v>2677</v>
      </c>
      <c r="N921" s="1215" t="s">
        <v>82</v>
      </c>
      <c r="O921" s="1214" t="s">
        <v>310</v>
      </c>
      <c r="P921" s="1214" t="s">
        <v>291</v>
      </c>
      <c r="Q921" s="1214" t="s">
        <v>294</v>
      </c>
      <c r="R921" s="1214">
        <v>125000</v>
      </c>
      <c r="S921" s="1214">
        <v>1000000</v>
      </c>
      <c r="T921" s="1214">
        <v>0</v>
      </c>
      <c r="U921" s="1214">
        <v>0</v>
      </c>
      <c r="V921" s="1214">
        <v>0</v>
      </c>
      <c r="W921" s="1214">
        <v>50</v>
      </c>
      <c r="X921" s="1214">
        <v>0</v>
      </c>
      <c r="Y921" s="1214">
        <v>999</v>
      </c>
      <c r="Z921" s="1216">
        <v>660</v>
      </c>
      <c r="AA921" s="1216">
        <v>679</v>
      </c>
      <c r="AB921" s="1216">
        <v>3</v>
      </c>
      <c r="AC921" s="1216">
        <v>999999</v>
      </c>
      <c r="AD921" s="1214">
        <v>0</v>
      </c>
      <c r="AE921" s="1217">
        <v>70</v>
      </c>
      <c r="AF921" s="170">
        <v>0</v>
      </c>
      <c r="AG921" s="171">
        <v>1</v>
      </c>
      <c r="AH921" s="171">
        <v>1</v>
      </c>
      <c r="AI921" s="171">
        <v>1</v>
      </c>
      <c r="AJ921" s="171">
        <v>0</v>
      </c>
      <c r="AK921" s="171">
        <v>1</v>
      </c>
      <c r="AL921" s="171">
        <v>0</v>
      </c>
      <c r="AM921" s="171">
        <v>1</v>
      </c>
      <c r="AN921" s="171">
        <v>1</v>
      </c>
      <c r="AO921" s="171">
        <v>1</v>
      </c>
      <c r="AP921" s="171">
        <v>1</v>
      </c>
      <c r="AQ921" s="171">
        <v>1</v>
      </c>
      <c r="AR921" s="171">
        <v>1</v>
      </c>
      <c r="AS921" s="171">
        <v>1</v>
      </c>
      <c r="AT921" s="171">
        <v>1</v>
      </c>
      <c r="AU921" s="171">
        <f t="shared" si="379"/>
        <v>1</v>
      </c>
      <c r="AV921" s="171">
        <f t="shared" si="380"/>
        <v>0</v>
      </c>
      <c r="AW921" s="171">
        <f t="shared" si="381"/>
        <v>1</v>
      </c>
      <c r="AX921" s="171">
        <f t="shared" si="371"/>
        <v>1</v>
      </c>
      <c r="AY921" s="171">
        <f t="shared" si="382"/>
        <v>0</v>
      </c>
      <c r="AZ921" s="171">
        <f t="shared" si="383"/>
        <v>1</v>
      </c>
      <c r="BA921" s="172">
        <f t="shared" si="384"/>
        <v>1</v>
      </c>
      <c r="BB921" s="175">
        <f t="shared" si="385"/>
        <v>17</v>
      </c>
      <c r="BC921" s="176">
        <f t="shared" si="386"/>
        <v>16</v>
      </c>
      <c r="BD921" s="176">
        <f t="shared" si="387"/>
        <v>17</v>
      </c>
      <c r="BE921" s="240" t="str">
        <f t="shared" si="378"/>
        <v/>
      </c>
      <c r="BF921" s="990"/>
      <c r="BG921" s="990"/>
      <c r="BH921" s="991">
        <f>IF(AND(Input_Product=Elig!$C921,Elig_MatchAll_Ct&lt;22,$BC921=(Elig_MatchAll_Ct-1),AF921=0),C921,0)</f>
        <v>0</v>
      </c>
      <c r="BI921" s="991">
        <f>IF(AND(Input_Product=Elig!$C921,Elig_MatchAll_Ct&lt;22,$BC921=(Elig_MatchAll_Ct-1),AG921=0),D921,0)</f>
        <v>0</v>
      </c>
      <c r="BJ921" s="991">
        <f>IF(AND(Input_Product=Elig!$C921,Elig_MatchAll_Ct&lt;22,$BC921=(Elig_MatchAll_Ct-1),AH921=0),E921,0)</f>
        <v>0</v>
      </c>
      <c r="BK921" s="991">
        <f>IF(AND(Input_Product=Elig!$C921,Elig_MatchAll_Ct&lt;22,$BC921=(Elig_MatchAll_Ct-1),AI921=0),F921,0)</f>
        <v>0</v>
      </c>
      <c r="BL921" s="991">
        <f>IF(AND(Input_Product=Elig!$C921,Elig_MatchAll_Ct&lt;22,$BC921=(Elig_MatchAll_Ct-1),AJ921=0),G921,0)</f>
        <v>0</v>
      </c>
      <c r="BM921" s="991">
        <f>IF(AND(Input_Product=Elig!$C921,Elig_MatchAll_Ct&lt;22,$BC921=(Elig_MatchAll_Ct-1),AK921=0),H921,0)</f>
        <v>0</v>
      </c>
      <c r="BN921" s="991">
        <f>IF(AND(Input_Product=Elig!$C921,Elig_MatchAll_Ct&lt;22,$BC921=(Elig_MatchAll_Ct-1),AL921=0),I921,0)</f>
        <v>0</v>
      </c>
      <c r="BO921" s="991">
        <f>IF(AND(Input_Product=Elig!$C921,Elig_MatchAll_Ct&lt;22,$BC921=(Elig_MatchAll_Ct-1),AM921=0),J921,0)</f>
        <v>0</v>
      </c>
      <c r="BP921" s="991">
        <f>IF(AND(Input_Product=Elig!$C921,Elig_MatchAll_Ct&lt;22,$BC921=(Elig_MatchAll_Ct-1),AN921=0),K921,0)</f>
        <v>0</v>
      </c>
      <c r="BQ921" s="991">
        <f>IF(AND(Input_Product=Elig!$C921,Elig_MatchAll_Ct&lt;22,$BC921=(Elig_MatchAll_Ct-1),AP921=0),L921,0)</f>
        <v>0</v>
      </c>
      <c r="BR921" s="991">
        <f>IF(AND(Input_Product=Elig!$C921,Elig_MatchAll_Ct&lt;22,$BC921=(Elig_MatchAll_Ct-1),AO921=0),M921,0)</f>
        <v>0</v>
      </c>
      <c r="BS921" s="991">
        <f>IF(AND(Input_Product=Elig!$C921,Elig_MatchAll_Ct&lt;22,$BC921=(Elig_MatchAll_Ct-1),AQ921=0),N921,0)</f>
        <v>0</v>
      </c>
      <c r="BT921" s="991">
        <f>IF(AND(Input_Product=Elig!$C921,Elig_MatchAll_Ct&lt;22,$BC921=(Elig_MatchAll_Ct-1),AR921=0),O921,0)</f>
        <v>0</v>
      </c>
      <c r="BU921" s="991">
        <f>IF(AND(Input_Product=Elig!$C921,Elig_MatchAll_Ct&lt;22,$BC921=(Elig_MatchAll_Ct-1),AS921=0),P921,0)</f>
        <v>0</v>
      </c>
      <c r="BV921" s="992">
        <f>IF(AND(Input_Product=Elig!$C921,Elig_MatchAll_Ct&lt;22,$BC921=(Elig_MatchAll_Ct-1),AT921=0),Q921,0)</f>
        <v>0</v>
      </c>
      <c r="BW921" s="993">
        <f>IF(AND(Input_Product=Elig!$C921,Elig_MatchAll_Ct&lt;22,$BC921=(Elig_MatchAll_Ct-1),AU921=0),R921,0)</f>
        <v>0</v>
      </c>
      <c r="BX921" s="994">
        <f>IF(AND(Input_Product=Elig!$C921,Elig_MatchAll_Ct&lt;22,$BC921=(Elig_MatchAll_Ct-1),AU921=0),S921,0)</f>
        <v>0</v>
      </c>
      <c r="BY921" s="993">
        <f>IF(AND(Input_Product=Elig!$C921,Elig_MatchAll_Ct&lt;22,$BC921=(Elig_MatchAll_Ct-1),AV921=0),T921,0)</f>
        <v>0</v>
      </c>
      <c r="BZ921" s="994">
        <f>IF(AND(Input_Product=Elig!$C921,Elig_MatchAll_Ct&lt;22,$BC921=(Elig_MatchAll_Ct-1),AV921=0),U921,0)</f>
        <v>0</v>
      </c>
      <c r="CA921" s="993">
        <f>IF(AND(Input_Product=Elig!$C921,Elig_MatchAll_Ct&lt;22,$BC921=(Elig_MatchAll_Ct-1),AW921=0),V921,0)</f>
        <v>0</v>
      </c>
      <c r="CB921" s="994">
        <f>IF(AND(Input_Product=Elig!$C921,Elig_MatchAll_Ct&lt;22,$BC921=(Elig_MatchAll_Ct-1),AW921=0),W921,0)</f>
        <v>0</v>
      </c>
      <c r="CC921" s="993">
        <f>IF(AND(Input_Product=Elig!$C921,Elig_MatchAll_Ct&lt;22,$BC921=(Elig_MatchAll_Ct-1),AX921=0),X921,0)</f>
        <v>0</v>
      </c>
      <c r="CD921" s="994">
        <f>IF(AND(Input_Product=Elig!$C921,Elig_MatchAll_Ct&lt;22,$BC921=(Elig_MatchAll_Ct-1),AX921=0),Y921,0)</f>
        <v>0</v>
      </c>
      <c r="CE921" s="993">
        <f>IF(AND(Input_LTV&lt;=AE921,Input_Product=Elig!$C921,Elig_MatchAll_Ct&lt;22,$BC921=(Elig_MatchAll_Ct-1),AY921=0),Z921,0)</f>
        <v>0</v>
      </c>
      <c r="CF921" s="994">
        <f>IF(AND(Input_LTV&lt;=AE921,Input_Product=Elig!$C921,Elig_MatchAll_Ct&lt;22,$BC921=(Elig_MatchAll_Ct-1),AY921=0),AA921,0)</f>
        <v>0</v>
      </c>
      <c r="CG921" s="993">
        <f>IF(AND(Input_Product=Elig!$C921,Elig_MatchAll_Ct&lt;22,$BC921=(Elig_MatchAll_Ct-1),AZ921=0),AB921,0)</f>
        <v>0</v>
      </c>
      <c r="CH921" s="994">
        <f>IF(AND(Input_Product=Elig!$C921,Elig_MatchAll_Ct&lt;22,$BC921=(Elig_MatchAll_Ct-1),AZ921=0),AC921,0)</f>
        <v>0</v>
      </c>
      <c r="CI921" s="993">
        <f>IF(AND(Input_Product=Elig!$C921,Elig_MatchAll_Ct&lt;22,$BC921=(Elig_MatchAll_Ct-1),BA921=0),AD921,0)</f>
        <v>0</v>
      </c>
      <c r="CJ921" s="994">
        <f>IF(AND(Input_Product=Elig!$C921,Elig_MatchAll_Ct&lt;22,$BC921=(Elig_MatchAll_Ct-1),BA921=0),AE921,0)</f>
        <v>0</v>
      </c>
    </row>
    <row r="922" spans="2:88" ht="10.15" customHeight="1" x14ac:dyDescent="0.25">
      <c r="B922" s="1916" t="s">
        <v>2258</v>
      </c>
      <c r="C922" s="1203" t="str">
        <f t="shared" si="367"/>
        <v xml:space="preserve">  </v>
      </c>
      <c r="D922" s="1204" t="s">
        <v>2218</v>
      </c>
      <c r="E922" s="1204" t="s">
        <v>167</v>
      </c>
      <c r="F922" s="1204" t="s">
        <v>331</v>
      </c>
      <c r="G922" s="1205" t="s">
        <v>468</v>
      </c>
      <c r="H922" s="1205" t="s">
        <v>136</v>
      </c>
      <c r="I922" s="1204" t="s">
        <v>274</v>
      </c>
      <c r="J922" s="1204" t="s">
        <v>1311</v>
      </c>
      <c r="K922" s="1205" t="s">
        <v>3022</v>
      </c>
      <c r="L922" s="1204" t="s">
        <v>2768</v>
      </c>
      <c r="M922" s="1204" t="s">
        <v>2677</v>
      </c>
      <c r="N922" s="1205" t="s">
        <v>82</v>
      </c>
      <c r="O922" s="1204" t="s">
        <v>310</v>
      </c>
      <c r="P922" s="1204" t="s">
        <v>291</v>
      </c>
      <c r="Q922" s="1204" t="s">
        <v>294</v>
      </c>
      <c r="R922" s="1204">
        <v>1000000.01</v>
      </c>
      <c r="S922" s="1204">
        <v>1500000</v>
      </c>
      <c r="T922" s="1204">
        <v>0</v>
      </c>
      <c r="U922" s="1204">
        <v>0</v>
      </c>
      <c r="V922" s="1204">
        <v>0</v>
      </c>
      <c r="W922" s="1204">
        <v>50</v>
      </c>
      <c r="X922" s="1204">
        <v>0</v>
      </c>
      <c r="Y922" s="1204">
        <v>999</v>
      </c>
      <c r="Z922" s="1206">
        <v>720</v>
      </c>
      <c r="AA922" s="1206">
        <v>999</v>
      </c>
      <c r="AB922" s="1206">
        <v>6</v>
      </c>
      <c r="AC922" s="1206">
        <v>999999</v>
      </c>
      <c r="AD922" s="1204">
        <v>0</v>
      </c>
      <c r="AE922" s="1207">
        <v>85</v>
      </c>
      <c r="AF922" s="170">
        <v>0</v>
      </c>
      <c r="AG922" s="171">
        <v>1</v>
      </c>
      <c r="AH922" s="171">
        <v>1</v>
      </c>
      <c r="AI922" s="171">
        <v>1</v>
      </c>
      <c r="AJ922" s="171">
        <v>0</v>
      </c>
      <c r="AK922" s="171">
        <v>1</v>
      </c>
      <c r="AL922" s="171">
        <v>0</v>
      </c>
      <c r="AM922" s="171">
        <v>1</v>
      </c>
      <c r="AN922" s="171">
        <v>1</v>
      </c>
      <c r="AO922" s="171">
        <v>1</v>
      </c>
      <c r="AP922" s="171">
        <v>1</v>
      </c>
      <c r="AQ922" s="171">
        <v>1</v>
      </c>
      <c r="AR922" s="171">
        <v>1</v>
      </c>
      <c r="AS922" s="171">
        <v>1</v>
      </c>
      <c r="AT922" s="171">
        <v>1</v>
      </c>
      <c r="AU922" s="171">
        <f t="shared" si="379"/>
        <v>0</v>
      </c>
      <c r="AV922" s="171">
        <f t="shared" si="380"/>
        <v>0</v>
      </c>
      <c r="AW922" s="171">
        <f t="shared" si="381"/>
        <v>1</v>
      </c>
      <c r="AX922" s="171">
        <f t="shared" si="371"/>
        <v>1</v>
      </c>
      <c r="AY922" s="171">
        <f t="shared" si="382"/>
        <v>1</v>
      </c>
      <c r="AZ922" s="171">
        <f t="shared" si="383"/>
        <v>1</v>
      </c>
      <c r="BA922" s="172">
        <f t="shared" si="384"/>
        <v>1</v>
      </c>
      <c r="BB922" s="175">
        <f t="shared" si="385"/>
        <v>17</v>
      </c>
      <c r="BC922" s="176">
        <f t="shared" si="386"/>
        <v>16</v>
      </c>
      <c r="BD922" s="176">
        <f t="shared" si="387"/>
        <v>17</v>
      </c>
      <c r="BE922" s="240" t="str">
        <f t="shared" si="378"/>
        <v/>
      </c>
      <c r="BF922" s="990"/>
      <c r="BG922" s="990"/>
      <c r="BH922" s="991">
        <f>IF(AND(Input_Product=Elig!$C922,Elig_MatchAll_Ct&lt;22,$BC922=(Elig_MatchAll_Ct-1),AF922=0),C922,0)</f>
        <v>0</v>
      </c>
      <c r="BI922" s="991">
        <f>IF(AND(Input_Product=Elig!$C922,Elig_MatchAll_Ct&lt;22,$BC922=(Elig_MatchAll_Ct-1),AG922=0),D922,0)</f>
        <v>0</v>
      </c>
      <c r="BJ922" s="991">
        <f>IF(AND(Input_Product=Elig!$C922,Elig_MatchAll_Ct&lt;22,$BC922=(Elig_MatchAll_Ct-1),AH922=0),E922,0)</f>
        <v>0</v>
      </c>
      <c r="BK922" s="991">
        <f>IF(AND(Input_Product=Elig!$C922,Elig_MatchAll_Ct&lt;22,$BC922=(Elig_MatchAll_Ct-1),AI922=0),F922,0)</f>
        <v>0</v>
      </c>
      <c r="BL922" s="991">
        <f>IF(AND(Input_Product=Elig!$C922,Elig_MatchAll_Ct&lt;22,$BC922=(Elig_MatchAll_Ct-1),AJ922=0),G922,0)</f>
        <v>0</v>
      </c>
      <c r="BM922" s="991">
        <f>IF(AND(Input_Product=Elig!$C922,Elig_MatchAll_Ct&lt;22,$BC922=(Elig_MatchAll_Ct-1),AK922=0),H922,0)</f>
        <v>0</v>
      </c>
      <c r="BN922" s="991">
        <f>IF(AND(Input_Product=Elig!$C922,Elig_MatchAll_Ct&lt;22,$BC922=(Elig_MatchAll_Ct-1),AL922=0),I922,0)</f>
        <v>0</v>
      </c>
      <c r="BO922" s="991">
        <f>IF(AND(Input_Product=Elig!$C922,Elig_MatchAll_Ct&lt;22,$BC922=(Elig_MatchAll_Ct-1),AM922=0),J922,0)</f>
        <v>0</v>
      </c>
      <c r="BP922" s="991">
        <f>IF(AND(Input_Product=Elig!$C922,Elig_MatchAll_Ct&lt;22,$BC922=(Elig_MatchAll_Ct-1),AN922=0),K922,0)</f>
        <v>0</v>
      </c>
      <c r="BQ922" s="991">
        <f>IF(AND(Input_Product=Elig!$C922,Elig_MatchAll_Ct&lt;22,$BC922=(Elig_MatchAll_Ct-1),AP922=0),L922,0)</f>
        <v>0</v>
      </c>
      <c r="BR922" s="991">
        <f>IF(AND(Input_Product=Elig!$C922,Elig_MatchAll_Ct&lt;22,$BC922=(Elig_MatchAll_Ct-1),AO922=0),M922,0)</f>
        <v>0</v>
      </c>
      <c r="BS922" s="991">
        <f>IF(AND(Input_Product=Elig!$C922,Elig_MatchAll_Ct&lt;22,$BC922=(Elig_MatchAll_Ct-1),AQ922=0),N922,0)</f>
        <v>0</v>
      </c>
      <c r="BT922" s="991">
        <f>IF(AND(Input_Product=Elig!$C922,Elig_MatchAll_Ct&lt;22,$BC922=(Elig_MatchAll_Ct-1),AR922=0),O922,0)</f>
        <v>0</v>
      </c>
      <c r="BU922" s="991">
        <f>IF(AND(Input_Product=Elig!$C922,Elig_MatchAll_Ct&lt;22,$BC922=(Elig_MatchAll_Ct-1),AS922=0),P922,0)</f>
        <v>0</v>
      </c>
      <c r="BV922" s="992">
        <f>IF(AND(Input_Product=Elig!$C922,Elig_MatchAll_Ct&lt;22,$BC922=(Elig_MatchAll_Ct-1),AT922=0),Q922,0)</f>
        <v>0</v>
      </c>
      <c r="BW922" s="993">
        <f>IF(AND(Input_Product=Elig!$C922,Elig_MatchAll_Ct&lt;22,$BC922=(Elig_MatchAll_Ct-1),AU922=0),R922,0)</f>
        <v>0</v>
      </c>
      <c r="BX922" s="994">
        <f>IF(AND(Input_Product=Elig!$C922,Elig_MatchAll_Ct&lt;22,$BC922=(Elig_MatchAll_Ct-1),AU922=0),S922,0)</f>
        <v>0</v>
      </c>
      <c r="BY922" s="993">
        <f>IF(AND(Input_Product=Elig!$C922,Elig_MatchAll_Ct&lt;22,$BC922=(Elig_MatchAll_Ct-1),AV922=0),T922,0)</f>
        <v>0</v>
      </c>
      <c r="BZ922" s="994">
        <f>IF(AND(Input_Product=Elig!$C922,Elig_MatchAll_Ct&lt;22,$BC922=(Elig_MatchAll_Ct-1),AV922=0),U922,0)</f>
        <v>0</v>
      </c>
      <c r="CA922" s="993">
        <f>IF(AND(Input_Product=Elig!$C922,Elig_MatchAll_Ct&lt;22,$BC922=(Elig_MatchAll_Ct-1),AW922=0),V922,0)</f>
        <v>0</v>
      </c>
      <c r="CB922" s="994">
        <f>IF(AND(Input_Product=Elig!$C922,Elig_MatchAll_Ct&lt;22,$BC922=(Elig_MatchAll_Ct-1),AW922=0),W922,0)</f>
        <v>0</v>
      </c>
      <c r="CC922" s="993">
        <f>IF(AND(Input_Product=Elig!$C922,Elig_MatchAll_Ct&lt;22,$BC922=(Elig_MatchAll_Ct-1),AX922=0),X922,0)</f>
        <v>0</v>
      </c>
      <c r="CD922" s="994">
        <f>IF(AND(Input_Product=Elig!$C922,Elig_MatchAll_Ct&lt;22,$BC922=(Elig_MatchAll_Ct-1),AX922=0),Y922,0)</f>
        <v>0</v>
      </c>
      <c r="CE922" s="993">
        <f>IF(AND(Input_LTV&lt;=AE922,Input_Product=Elig!$C922,Elig_MatchAll_Ct&lt;22,$BC922=(Elig_MatchAll_Ct-1),AY922=0),Z922,0)</f>
        <v>0</v>
      </c>
      <c r="CF922" s="994">
        <f>IF(AND(Input_LTV&lt;=AE922,Input_Product=Elig!$C922,Elig_MatchAll_Ct&lt;22,$BC922=(Elig_MatchAll_Ct-1),AY922=0),AA922,0)</f>
        <v>0</v>
      </c>
      <c r="CG922" s="993">
        <f>IF(AND(Input_Product=Elig!$C922,Elig_MatchAll_Ct&lt;22,$BC922=(Elig_MatchAll_Ct-1),AZ922=0),AB922,0)</f>
        <v>0</v>
      </c>
      <c r="CH922" s="994">
        <f>IF(AND(Input_Product=Elig!$C922,Elig_MatchAll_Ct&lt;22,$BC922=(Elig_MatchAll_Ct-1),AZ922=0),AC922,0)</f>
        <v>0</v>
      </c>
      <c r="CI922" s="993">
        <f>IF(AND(Input_Product=Elig!$C922,Elig_MatchAll_Ct&lt;22,$BC922=(Elig_MatchAll_Ct-1),BA922=0),AD922,0)</f>
        <v>0</v>
      </c>
      <c r="CJ922" s="994">
        <f>IF(AND(Input_Product=Elig!$C922,Elig_MatchAll_Ct&lt;22,$BC922=(Elig_MatchAll_Ct-1),BA922=0),AE922,0)</f>
        <v>0</v>
      </c>
    </row>
    <row r="923" spans="2:88" ht="10.15" customHeight="1" x14ac:dyDescent="0.25">
      <c r="B923" s="1916" t="s">
        <v>2259</v>
      </c>
      <c r="C923" s="1208" t="str">
        <f t="shared" si="367"/>
        <v xml:space="preserve">  </v>
      </c>
      <c r="D923" s="1209" t="s">
        <v>2218</v>
      </c>
      <c r="E923" s="1209" t="s">
        <v>167</v>
      </c>
      <c r="F923" s="1209" t="s">
        <v>331</v>
      </c>
      <c r="G923" s="1210" t="s">
        <v>468</v>
      </c>
      <c r="H923" s="1210" t="s">
        <v>136</v>
      </c>
      <c r="I923" s="1209" t="s">
        <v>274</v>
      </c>
      <c r="J923" s="1209" t="s">
        <v>1311</v>
      </c>
      <c r="K923" s="1210" t="s">
        <v>3022</v>
      </c>
      <c r="L923" s="1209" t="s">
        <v>2768</v>
      </c>
      <c r="M923" s="1209" t="s">
        <v>2677</v>
      </c>
      <c r="N923" s="1210" t="s">
        <v>82</v>
      </c>
      <c r="O923" s="1209" t="s">
        <v>310</v>
      </c>
      <c r="P923" s="1209" t="s">
        <v>291</v>
      </c>
      <c r="Q923" s="1209" t="s">
        <v>294</v>
      </c>
      <c r="R923" s="1209">
        <v>1000000.01</v>
      </c>
      <c r="S923" s="1209">
        <v>1500000</v>
      </c>
      <c r="T923" s="1209">
        <v>0</v>
      </c>
      <c r="U923" s="1209">
        <v>0</v>
      </c>
      <c r="V923" s="1209">
        <v>0</v>
      </c>
      <c r="W923" s="1209">
        <v>50</v>
      </c>
      <c r="X923" s="1209">
        <v>0</v>
      </c>
      <c r="Y923" s="1209">
        <v>999</v>
      </c>
      <c r="Z923" s="1211">
        <v>700</v>
      </c>
      <c r="AA923" s="1211">
        <v>719</v>
      </c>
      <c r="AB923" s="1211">
        <v>6</v>
      </c>
      <c r="AC923" s="1211">
        <v>999999</v>
      </c>
      <c r="AD923" s="1209">
        <v>0</v>
      </c>
      <c r="AE923" s="1212">
        <v>80</v>
      </c>
      <c r="AF923" s="170">
        <v>0</v>
      </c>
      <c r="AG923" s="171">
        <v>1</v>
      </c>
      <c r="AH923" s="171">
        <v>1</v>
      </c>
      <c r="AI923" s="171">
        <v>1</v>
      </c>
      <c r="AJ923" s="171">
        <v>0</v>
      </c>
      <c r="AK923" s="171">
        <v>1</v>
      </c>
      <c r="AL923" s="171">
        <v>0</v>
      </c>
      <c r="AM923" s="171">
        <v>1</v>
      </c>
      <c r="AN923" s="171">
        <v>1</v>
      </c>
      <c r="AO923" s="171">
        <v>1</v>
      </c>
      <c r="AP923" s="171">
        <v>1</v>
      </c>
      <c r="AQ923" s="171">
        <v>1</v>
      </c>
      <c r="AR923" s="171">
        <v>1</v>
      </c>
      <c r="AS923" s="171">
        <v>1</v>
      </c>
      <c r="AT923" s="171">
        <v>1</v>
      </c>
      <c r="AU923" s="171">
        <f t="shared" si="379"/>
        <v>0</v>
      </c>
      <c r="AV923" s="171">
        <f t="shared" si="380"/>
        <v>0</v>
      </c>
      <c r="AW923" s="171">
        <f t="shared" si="381"/>
        <v>1</v>
      </c>
      <c r="AX923" s="171">
        <f t="shared" si="371"/>
        <v>1</v>
      </c>
      <c r="AY923" s="171">
        <f t="shared" si="382"/>
        <v>0</v>
      </c>
      <c r="AZ923" s="171">
        <f t="shared" si="383"/>
        <v>1</v>
      </c>
      <c r="BA923" s="172">
        <f t="shared" si="384"/>
        <v>1</v>
      </c>
      <c r="BB923" s="175">
        <f t="shared" si="385"/>
        <v>16</v>
      </c>
      <c r="BC923" s="176">
        <f t="shared" si="386"/>
        <v>15</v>
      </c>
      <c r="BD923" s="176">
        <f t="shared" si="387"/>
        <v>16</v>
      </c>
      <c r="BE923" s="240" t="str">
        <f t="shared" si="378"/>
        <v/>
      </c>
      <c r="BF923" s="990"/>
      <c r="BG923" s="990"/>
      <c r="BH923" s="991">
        <f>IF(AND(Input_Product=Elig!$C923,Elig_MatchAll_Ct&lt;22,$BC923=(Elig_MatchAll_Ct-1),AF923=0),C923,0)</f>
        <v>0</v>
      </c>
      <c r="BI923" s="991">
        <f>IF(AND(Input_Product=Elig!$C923,Elig_MatchAll_Ct&lt;22,$BC923=(Elig_MatchAll_Ct-1),AG923=0),D923,0)</f>
        <v>0</v>
      </c>
      <c r="BJ923" s="991">
        <f>IF(AND(Input_Product=Elig!$C923,Elig_MatchAll_Ct&lt;22,$BC923=(Elig_MatchAll_Ct-1),AH923=0),E923,0)</f>
        <v>0</v>
      </c>
      <c r="BK923" s="991">
        <f>IF(AND(Input_Product=Elig!$C923,Elig_MatchAll_Ct&lt;22,$BC923=(Elig_MatchAll_Ct-1),AI923=0),F923,0)</f>
        <v>0</v>
      </c>
      <c r="BL923" s="991">
        <f>IF(AND(Input_Product=Elig!$C923,Elig_MatchAll_Ct&lt;22,$BC923=(Elig_MatchAll_Ct-1),AJ923=0),G923,0)</f>
        <v>0</v>
      </c>
      <c r="BM923" s="991">
        <f>IF(AND(Input_Product=Elig!$C923,Elig_MatchAll_Ct&lt;22,$BC923=(Elig_MatchAll_Ct-1),AK923=0),H923,0)</f>
        <v>0</v>
      </c>
      <c r="BN923" s="991">
        <f>IF(AND(Input_Product=Elig!$C923,Elig_MatchAll_Ct&lt;22,$BC923=(Elig_MatchAll_Ct-1),AL923=0),I923,0)</f>
        <v>0</v>
      </c>
      <c r="BO923" s="991">
        <f>IF(AND(Input_Product=Elig!$C923,Elig_MatchAll_Ct&lt;22,$BC923=(Elig_MatchAll_Ct-1),AM923=0),J923,0)</f>
        <v>0</v>
      </c>
      <c r="BP923" s="991">
        <f>IF(AND(Input_Product=Elig!$C923,Elig_MatchAll_Ct&lt;22,$BC923=(Elig_MatchAll_Ct-1),AN923=0),K923,0)</f>
        <v>0</v>
      </c>
      <c r="BQ923" s="991">
        <f>IF(AND(Input_Product=Elig!$C923,Elig_MatchAll_Ct&lt;22,$BC923=(Elig_MatchAll_Ct-1),AP923=0),L923,0)</f>
        <v>0</v>
      </c>
      <c r="BR923" s="991">
        <f>IF(AND(Input_Product=Elig!$C923,Elig_MatchAll_Ct&lt;22,$BC923=(Elig_MatchAll_Ct-1),AO923=0),M923,0)</f>
        <v>0</v>
      </c>
      <c r="BS923" s="991">
        <f>IF(AND(Input_Product=Elig!$C923,Elig_MatchAll_Ct&lt;22,$BC923=(Elig_MatchAll_Ct-1),AQ923=0),N923,0)</f>
        <v>0</v>
      </c>
      <c r="BT923" s="991">
        <f>IF(AND(Input_Product=Elig!$C923,Elig_MatchAll_Ct&lt;22,$BC923=(Elig_MatchAll_Ct-1),AR923=0),O923,0)</f>
        <v>0</v>
      </c>
      <c r="BU923" s="991">
        <f>IF(AND(Input_Product=Elig!$C923,Elig_MatchAll_Ct&lt;22,$BC923=(Elig_MatchAll_Ct-1),AS923=0),P923,0)</f>
        <v>0</v>
      </c>
      <c r="BV923" s="992">
        <f>IF(AND(Input_Product=Elig!$C923,Elig_MatchAll_Ct&lt;22,$BC923=(Elig_MatchAll_Ct-1),AT923=0),Q923,0)</f>
        <v>0</v>
      </c>
      <c r="BW923" s="993">
        <f>IF(AND(Input_Product=Elig!$C923,Elig_MatchAll_Ct&lt;22,$BC923=(Elig_MatchAll_Ct-1),AU923=0),R923,0)</f>
        <v>0</v>
      </c>
      <c r="BX923" s="994">
        <f>IF(AND(Input_Product=Elig!$C923,Elig_MatchAll_Ct&lt;22,$BC923=(Elig_MatchAll_Ct-1),AU923=0),S923,0)</f>
        <v>0</v>
      </c>
      <c r="BY923" s="993">
        <f>IF(AND(Input_Product=Elig!$C923,Elig_MatchAll_Ct&lt;22,$BC923=(Elig_MatchAll_Ct-1),AV923=0),T923,0)</f>
        <v>0</v>
      </c>
      <c r="BZ923" s="994">
        <f>IF(AND(Input_Product=Elig!$C923,Elig_MatchAll_Ct&lt;22,$BC923=(Elig_MatchAll_Ct-1),AV923=0),U923,0)</f>
        <v>0</v>
      </c>
      <c r="CA923" s="993">
        <f>IF(AND(Input_Product=Elig!$C923,Elig_MatchAll_Ct&lt;22,$BC923=(Elig_MatchAll_Ct-1),AW923=0),V923,0)</f>
        <v>0</v>
      </c>
      <c r="CB923" s="994">
        <f>IF(AND(Input_Product=Elig!$C923,Elig_MatchAll_Ct&lt;22,$BC923=(Elig_MatchAll_Ct-1),AW923=0),W923,0)</f>
        <v>0</v>
      </c>
      <c r="CC923" s="993">
        <f>IF(AND(Input_Product=Elig!$C923,Elig_MatchAll_Ct&lt;22,$BC923=(Elig_MatchAll_Ct-1),AX923=0),X923,0)</f>
        <v>0</v>
      </c>
      <c r="CD923" s="994">
        <f>IF(AND(Input_Product=Elig!$C923,Elig_MatchAll_Ct&lt;22,$BC923=(Elig_MatchAll_Ct-1),AX923=0),Y923,0)</f>
        <v>0</v>
      </c>
      <c r="CE923" s="993">
        <f>IF(AND(Input_LTV&lt;=AE923,Input_Product=Elig!$C923,Elig_MatchAll_Ct&lt;22,$BC923=(Elig_MatchAll_Ct-1),AY923=0),Z923,0)</f>
        <v>0</v>
      </c>
      <c r="CF923" s="994">
        <f>IF(AND(Input_LTV&lt;=AE923,Input_Product=Elig!$C923,Elig_MatchAll_Ct&lt;22,$BC923=(Elig_MatchAll_Ct-1),AY923=0),AA923,0)</f>
        <v>0</v>
      </c>
      <c r="CG923" s="993">
        <f>IF(AND(Input_Product=Elig!$C923,Elig_MatchAll_Ct&lt;22,$BC923=(Elig_MatchAll_Ct-1),AZ923=0),AB923,0)</f>
        <v>0</v>
      </c>
      <c r="CH923" s="994">
        <f>IF(AND(Input_Product=Elig!$C923,Elig_MatchAll_Ct&lt;22,$BC923=(Elig_MatchAll_Ct-1),AZ923=0),AC923,0)</f>
        <v>0</v>
      </c>
      <c r="CI923" s="993">
        <f>IF(AND(Input_Product=Elig!$C923,Elig_MatchAll_Ct&lt;22,$BC923=(Elig_MatchAll_Ct-1),BA923=0),AD923,0)</f>
        <v>0</v>
      </c>
      <c r="CJ923" s="994">
        <f>IF(AND(Input_Product=Elig!$C923,Elig_MatchAll_Ct&lt;22,$BC923=(Elig_MatchAll_Ct-1),BA923=0),AE923,0)</f>
        <v>0</v>
      </c>
    </row>
    <row r="924" spans="2:88" ht="10.15" customHeight="1" x14ac:dyDescent="0.25">
      <c r="B924" s="1916" t="s">
        <v>2260</v>
      </c>
      <c r="C924" s="1208" t="str">
        <f t="shared" si="367"/>
        <v xml:space="preserve">  </v>
      </c>
      <c r="D924" s="1209" t="s">
        <v>2218</v>
      </c>
      <c r="E924" s="1209" t="s">
        <v>167</v>
      </c>
      <c r="F924" s="1209" t="s">
        <v>331</v>
      </c>
      <c r="G924" s="1210" t="s">
        <v>468</v>
      </c>
      <c r="H924" s="1210" t="s">
        <v>136</v>
      </c>
      <c r="I924" s="1209" t="s">
        <v>274</v>
      </c>
      <c r="J924" s="1209" t="s">
        <v>1311</v>
      </c>
      <c r="K924" s="1210" t="s">
        <v>3022</v>
      </c>
      <c r="L924" s="1209" t="s">
        <v>2768</v>
      </c>
      <c r="M924" s="1209" t="s">
        <v>2677</v>
      </c>
      <c r="N924" s="1210" t="s">
        <v>82</v>
      </c>
      <c r="O924" s="1209" t="s">
        <v>310</v>
      </c>
      <c r="P924" s="1209" t="s">
        <v>291</v>
      </c>
      <c r="Q924" s="1209" t="s">
        <v>294</v>
      </c>
      <c r="R924" s="1209">
        <v>1000000.01</v>
      </c>
      <c r="S924" s="1209">
        <v>1500000</v>
      </c>
      <c r="T924" s="1209">
        <v>0</v>
      </c>
      <c r="U924" s="1209">
        <v>0</v>
      </c>
      <c r="V924" s="1209">
        <v>0</v>
      </c>
      <c r="W924" s="1209">
        <v>50</v>
      </c>
      <c r="X924" s="1209">
        <v>0</v>
      </c>
      <c r="Y924" s="1209">
        <v>999</v>
      </c>
      <c r="Z924" s="1211">
        <v>680</v>
      </c>
      <c r="AA924" s="1211">
        <v>699</v>
      </c>
      <c r="AB924" s="1211">
        <v>6</v>
      </c>
      <c r="AC924" s="1211">
        <v>999999</v>
      </c>
      <c r="AD924" s="1209">
        <v>0</v>
      </c>
      <c r="AE924" s="1212">
        <v>80</v>
      </c>
      <c r="AF924" s="170">
        <v>0</v>
      </c>
      <c r="AG924" s="171">
        <v>1</v>
      </c>
      <c r="AH924" s="171">
        <v>1</v>
      </c>
      <c r="AI924" s="171">
        <v>1</v>
      </c>
      <c r="AJ924" s="171">
        <v>0</v>
      </c>
      <c r="AK924" s="171">
        <v>1</v>
      </c>
      <c r="AL924" s="171">
        <v>0</v>
      </c>
      <c r="AM924" s="171">
        <v>1</v>
      </c>
      <c r="AN924" s="171">
        <v>1</v>
      </c>
      <c r="AO924" s="171">
        <v>1</v>
      </c>
      <c r="AP924" s="171">
        <v>1</v>
      </c>
      <c r="AQ924" s="171">
        <v>1</v>
      </c>
      <c r="AR924" s="171">
        <v>1</v>
      </c>
      <c r="AS924" s="171">
        <v>1</v>
      </c>
      <c r="AT924" s="171">
        <v>1</v>
      </c>
      <c r="AU924" s="171">
        <f t="shared" si="379"/>
        <v>0</v>
      </c>
      <c r="AV924" s="171">
        <f t="shared" si="380"/>
        <v>0</v>
      </c>
      <c r="AW924" s="171">
        <f t="shared" si="381"/>
        <v>1</v>
      </c>
      <c r="AX924" s="171">
        <f t="shared" si="371"/>
        <v>1</v>
      </c>
      <c r="AY924" s="171">
        <f t="shared" si="382"/>
        <v>0</v>
      </c>
      <c r="AZ924" s="171">
        <f t="shared" si="383"/>
        <v>1</v>
      </c>
      <c r="BA924" s="172">
        <f t="shared" si="384"/>
        <v>1</v>
      </c>
      <c r="BB924" s="175">
        <f t="shared" si="385"/>
        <v>16</v>
      </c>
      <c r="BC924" s="176">
        <f t="shared" si="386"/>
        <v>15</v>
      </c>
      <c r="BD924" s="176">
        <f t="shared" si="387"/>
        <v>16</v>
      </c>
      <c r="BE924" s="240" t="str">
        <f t="shared" si="378"/>
        <v/>
      </c>
      <c r="BF924" s="990"/>
      <c r="BG924" s="990"/>
      <c r="BH924" s="991">
        <f>IF(AND(Input_Product=Elig!$C924,Elig_MatchAll_Ct&lt;22,$BC924=(Elig_MatchAll_Ct-1),AF924=0),C924,0)</f>
        <v>0</v>
      </c>
      <c r="BI924" s="991">
        <f>IF(AND(Input_Product=Elig!$C924,Elig_MatchAll_Ct&lt;22,$BC924=(Elig_MatchAll_Ct-1),AG924=0),D924,0)</f>
        <v>0</v>
      </c>
      <c r="BJ924" s="991">
        <f>IF(AND(Input_Product=Elig!$C924,Elig_MatchAll_Ct&lt;22,$BC924=(Elig_MatchAll_Ct-1),AH924=0),E924,0)</f>
        <v>0</v>
      </c>
      <c r="BK924" s="991">
        <f>IF(AND(Input_Product=Elig!$C924,Elig_MatchAll_Ct&lt;22,$BC924=(Elig_MatchAll_Ct-1),AI924=0),F924,0)</f>
        <v>0</v>
      </c>
      <c r="BL924" s="991">
        <f>IF(AND(Input_Product=Elig!$C924,Elig_MatchAll_Ct&lt;22,$BC924=(Elig_MatchAll_Ct-1),AJ924=0),G924,0)</f>
        <v>0</v>
      </c>
      <c r="BM924" s="991">
        <f>IF(AND(Input_Product=Elig!$C924,Elig_MatchAll_Ct&lt;22,$BC924=(Elig_MatchAll_Ct-1),AK924=0),H924,0)</f>
        <v>0</v>
      </c>
      <c r="BN924" s="991">
        <f>IF(AND(Input_Product=Elig!$C924,Elig_MatchAll_Ct&lt;22,$BC924=(Elig_MatchAll_Ct-1),AL924=0),I924,0)</f>
        <v>0</v>
      </c>
      <c r="BO924" s="991">
        <f>IF(AND(Input_Product=Elig!$C924,Elig_MatchAll_Ct&lt;22,$BC924=(Elig_MatchAll_Ct-1),AM924=0),J924,0)</f>
        <v>0</v>
      </c>
      <c r="BP924" s="991">
        <f>IF(AND(Input_Product=Elig!$C924,Elig_MatchAll_Ct&lt;22,$BC924=(Elig_MatchAll_Ct-1),AN924=0),K924,0)</f>
        <v>0</v>
      </c>
      <c r="BQ924" s="991">
        <f>IF(AND(Input_Product=Elig!$C924,Elig_MatchAll_Ct&lt;22,$BC924=(Elig_MatchAll_Ct-1),AP924=0),L924,0)</f>
        <v>0</v>
      </c>
      <c r="BR924" s="991">
        <f>IF(AND(Input_Product=Elig!$C924,Elig_MatchAll_Ct&lt;22,$BC924=(Elig_MatchAll_Ct-1),AO924=0),M924,0)</f>
        <v>0</v>
      </c>
      <c r="BS924" s="991">
        <f>IF(AND(Input_Product=Elig!$C924,Elig_MatchAll_Ct&lt;22,$BC924=(Elig_MatchAll_Ct-1),AQ924=0),N924,0)</f>
        <v>0</v>
      </c>
      <c r="BT924" s="991">
        <f>IF(AND(Input_Product=Elig!$C924,Elig_MatchAll_Ct&lt;22,$BC924=(Elig_MatchAll_Ct-1),AR924=0),O924,0)</f>
        <v>0</v>
      </c>
      <c r="BU924" s="991">
        <f>IF(AND(Input_Product=Elig!$C924,Elig_MatchAll_Ct&lt;22,$BC924=(Elig_MatchAll_Ct-1),AS924=0),P924,0)</f>
        <v>0</v>
      </c>
      <c r="BV924" s="992">
        <f>IF(AND(Input_Product=Elig!$C924,Elig_MatchAll_Ct&lt;22,$BC924=(Elig_MatchAll_Ct-1),AT924=0),Q924,0)</f>
        <v>0</v>
      </c>
      <c r="BW924" s="993">
        <f>IF(AND(Input_Product=Elig!$C924,Elig_MatchAll_Ct&lt;22,$BC924=(Elig_MatchAll_Ct-1),AU924=0),R924,0)</f>
        <v>0</v>
      </c>
      <c r="BX924" s="994">
        <f>IF(AND(Input_Product=Elig!$C924,Elig_MatchAll_Ct&lt;22,$BC924=(Elig_MatchAll_Ct-1),AU924=0),S924,0)</f>
        <v>0</v>
      </c>
      <c r="BY924" s="993">
        <f>IF(AND(Input_Product=Elig!$C924,Elig_MatchAll_Ct&lt;22,$BC924=(Elig_MatchAll_Ct-1),AV924=0),T924,0)</f>
        <v>0</v>
      </c>
      <c r="BZ924" s="994">
        <f>IF(AND(Input_Product=Elig!$C924,Elig_MatchAll_Ct&lt;22,$BC924=(Elig_MatchAll_Ct-1),AV924=0),U924,0)</f>
        <v>0</v>
      </c>
      <c r="CA924" s="993">
        <f>IF(AND(Input_Product=Elig!$C924,Elig_MatchAll_Ct&lt;22,$BC924=(Elig_MatchAll_Ct-1),AW924=0),V924,0)</f>
        <v>0</v>
      </c>
      <c r="CB924" s="994">
        <f>IF(AND(Input_Product=Elig!$C924,Elig_MatchAll_Ct&lt;22,$BC924=(Elig_MatchAll_Ct-1),AW924=0),W924,0)</f>
        <v>0</v>
      </c>
      <c r="CC924" s="993">
        <f>IF(AND(Input_Product=Elig!$C924,Elig_MatchAll_Ct&lt;22,$BC924=(Elig_MatchAll_Ct-1),AX924=0),X924,0)</f>
        <v>0</v>
      </c>
      <c r="CD924" s="994">
        <f>IF(AND(Input_Product=Elig!$C924,Elig_MatchAll_Ct&lt;22,$BC924=(Elig_MatchAll_Ct-1),AX924=0),Y924,0)</f>
        <v>0</v>
      </c>
      <c r="CE924" s="993">
        <f>IF(AND(Input_LTV&lt;=AE924,Input_Product=Elig!$C924,Elig_MatchAll_Ct&lt;22,$BC924=(Elig_MatchAll_Ct-1),AY924=0),Z924,0)</f>
        <v>0</v>
      </c>
      <c r="CF924" s="994">
        <f>IF(AND(Input_LTV&lt;=AE924,Input_Product=Elig!$C924,Elig_MatchAll_Ct&lt;22,$BC924=(Elig_MatchAll_Ct-1),AY924=0),AA924,0)</f>
        <v>0</v>
      </c>
      <c r="CG924" s="993">
        <f>IF(AND(Input_Product=Elig!$C924,Elig_MatchAll_Ct&lt;22,$BC924=(Elig_MatchAll_Ct-1),AZ924=0),AB924,0)</f>
        <v>0</v>
      </c>
      <c r="CH924" s="994">
        <f>IF(AND(Input_Product=Elig!$C924,Elig_MatchAll_Ct&lt;22,$BC924=(Elig_MatchAll_Ct-1),AZ924=0),AC924,0)</f>
        <v>0</v>
      </c>
      <c r="CI924" s="993">
        <f>IF(AND(Input_Product=Elig!$C924,Elig_MatchAll_Ct&lt;22,$BC924=(Elig_MatchAll_Ct-1),BA924=0),AD924,0)</f>
        <v>0</v>
      </c>
      <c r="CJ924" s="994">
        <f>IF(AND(Input_Product=Elig!$C924,Elig_MatchAll_Ct&lt;22,$BC924=(Elig_MatchAll_Ct-1),BA924=0),AE924,0)</f>
        <v>0</v>
      </c>
    </row>
    <row r="925" spans="2:88" ht="10.15" customHeight="1" x14ac:dyDescent="0.25">
      <c r="B925" s="1916" t="s">
        <v>2261</v>
      </c>
      <c r="C925" s="1213" t="str">
        <f t="shared" si="367"/>
        <v xml:space="preserve">  </v>
      </c>
      <c r="D925" s="1214" t="s">
        <v>2218</v>
      </c>
      <c r="E925" s="1214" t="s">
        <v>167</v>
      </c>
      <c r="F925" s="1214" t="s">
        <v>331</v>
      </c>
      <c r="G925" s="1215" t="s">
        <v>468</v>
      </c>
      <c r="H925" s="1215" t="s">
        <v>136</v>
      </c>
      <c r="I925" s="1214" t="s">
        <v>274</v>
      </c>
      <c r="J925" s="1214" t="s">
        <v>1311</v>
      </c>
      <c r="K925" s="1215" t="s">
        <v>3022</v>
      </c>
      <c r="L925" s="1214" t="s">
        <v>2768</v>
      </c>
      <c r="M925" s="1214" t="s">
        <v>2677</v>
      </c>
      <c r="N925" s="1215" t="s">
        <v>82</v>
      </c>
      <c r="O925" s="1214" t="s">
        <v>310</v>
      </c>
      <c r="P925" s="1214" t="s">
        <v>291</v>
      </c>
      <c r="Q925" s="1214" t="s">
        <v>294</v>
      </c>
      <c r="R925" s="1214">
        <v>1000000.01</v>
      </c>
      <c r="S925" s="1214">
        <v>1500000</v>
      </c>
      <c r="T925" s="1214">
        <v>0</v>
      </c>
      <c r="U925" s="1214">
        <v>0</v>
      </c>
      <c r="V925" s="1214">
        <v>0</v>
      </c>
      <c r="W925" s="1214">
        <v>50</v>
      </c>
      <c r="X925" s="1214">
        <v>0</v>
      </c>
      <c r="Y925" s="1214">
        <v>999</v>
      </c>
      <c r="Z925" s="1216">
        <v>660</v>
      </c>
      <c r="AA925" s="1216">
        <v>679</v>
      </c>
      <c r="AB925" s="1216">
        <v>6</v>
      </c>
      <c r="AC925" s="1216">
        <v>999999</v>
      </c>
      <c r="AD925" s="1214">
        <v>0</v>
      </c>
      <c r="AE925" s="1217">
        <v>70</v>
      </c>
      <c r="AF925" s="170">
        <v>0</v>
      </c>
      <c r="AG925" s="171">
        <v>1</v>
      </c>
      <c r="AH925" s="171">
        <v>1</v>
      </c>
      <c r="AI925" s="171">
        <v>1</v>
      </c>
      <c r="AJ925" s="171">
        <v>0</v>
      </c>
      <c r="AK925" s="171">
        <v>1</v>
      </c>
      <c r="AL925" s="171">
        <v>0</v>
      </c>
      <c r="AM925" s="171">
        <v>1</v>
      </c>
      <c r="AN925" s="171">
        <v>1</v>
      </c>
      <c r="AO925" s="171">
        <v>1</v>
      </c>
      <c r="AP925" s="171">
        <v>1</v>
      </c>
      <c r="AQ925" s="171">
        <v>1</v>
      </c>
      <c r="AR925" s="171">
        <v>1</v>
      </c>
      <c r="AS925" s="171">
        <v>1</v>
      </c>
      <c r="AT925" s="171">
        <v>1</v>
      </c>
      <c r="AU925" s="171">
        <f t="shared" si="379"/>
        <v>0</v>
      </c>
      <c r="AV925" s="171">
        <f t="shared" si="380"/>
        <v>0</v>
      </c>
      <c r="AW925" s="171">
        <f t="shared" si="381"/>
        <v>1</v>
      </c>
      <c r="AX925" s="171">
        <f t="shared" si="371"/>
        <v>1</v>
      </c>
      <c r="AY925" s="171">
        <f t="shared" si="382"/>
        <v>0</v>
      </c>
      <c r="AZ925" s="171">
        <f t="shared" si="383"/>
        <v>1</v>
      </c>
      <c r="BA925" s="172">
        <f t="shared" si="384"/>
        <v>1</v>
      </c>
      <c r="BB925" s="175">
        <f t="shared" si="385"/>
        <v>16</v>
      </c>
      <c r="BC925" s="176">
        <f t="shared" si="386"/>
        <v>15</v>
      </c>
      <c r="BD925" s="176">
        <f t="shared" si="387"/>
        <v>16</v>
      </c>
      <c r="BE925" s="240" t="str">
        <f t="shared" si="378"/>
        <v/>
      </c>
      <c r="BF925" s="990"/>
      <c r="BG925" s="990"/>
      <c r="BH925" s="991">
        <f>IF(AND(Input_Product=Elig!$C925,Elig_MatchAll_Ct&lt;22,$BC925=(Elig_MatchAll_Ct-1),AF925=0),C925,0)</f>
        <v>0</v>
      </c>
      <c r="BI925" s="991">
        <f>IF(AND(Input_Product=Elig!$C925,Elig_MatchAll_Ct&lt;22,$BC925=(Elig_MatchAll_Ct-1),AG925=0),D925,0)</f>
        <v>0</v>
      </c>
      <c r="BJ925" s="991">
        <f>IF(AND(Input_Product=Elig!$C925,Elig_MatchAll_Ct&lt;22,$BC925=(Elig_MatchAll_Ct-1),AH925=0),E925,0)</f>
        <v>0</v>
      </c>
      <c r="BK925" s="991">
        <f>IF(AND(Input_Product=Elig!$C925,Elig_MatchAll_Ct&lt;22,$BC925=(Elig_MatchAll_Ct-1),AI925=0),F925,0)</f>
        <v>0</v>
      </c>
      <c r="BL925" s="991">
        <f>IF(AND(Input_Product=Elig!$C925,Elig_MatchAll_Ct&lt;22,$BC925=(Elig_MatchAll_Ct-1),AJ925=0),G925,0)</f>
        <v>0</v>
      </c>
      <c r="BM925" s="991">
        <f>IF(AND(Input_Product=Elig!$C925,Elig_MatchAll_Ct&lt;22,$BC925=(Elig_MatchAll_Ct-1),AK925=0),H925,0)</f>
        <v>0</v>
      </c>
      <c r="BN925" s="991">
        <f>IF(AND(Input_Product=Elig!$C925,Elig_MatchAll_Ct&lt;22,$BC925=(Elig_MatchAll_Ct-1),AL925=0),I925,0)</f>
        <v>0</v>
      </c>
      <c r="BO925" s="991">
        <f>IF(AND(Input_Product=Elig!$C925,Elig_MatchAll_Ct&lt;22,$BC925=(Elig_MatchAll_Ct-1),AM925=0),J925,0)</f>
        <v>0</v>
      </c>
      <c r="BP925" s="991">
        <f>IF(AND(Input_Product=Elig!$C925,Elig_MatchAll_Ct&lt;22,$BC925=(Elig_MatchAll_Ct-1),AN925=0),K925,0)</f>
        <v>0</v>
      </c>
      <c r="BQ925" s="991">
        <f>IF(AND(Input_Product=Elig!$C925,Elig_MatchAll_Ct&lt;22,$BC925=(Elig_MatchAll_Ct-1),AP925=0),L925,0)</f>
        <v>0</v>
      </c>
      <c r="BR925" s="991">
        <f>IF(AND(Input_Product=Elig!$C925,Elig_MatchAll_Ct&lt;22,$BC925=(Elig_MatchAll_Ct-1),AO925=0),M925,0)</f>
        <v>0</v>
      </c>
      <c r="BS925" s="991">
        <f>IF(AND(Input_Product=Elig!$C925,Elig_MatchAll_Ct&lt;22,$BC925=(Elig_MatchAll_Ct-1),AQ925=0),N925,0)</f>
        <v>0</v>
      </c>
      <c r="BT925" s="991">
        <f>IF(AND(Input_Product=Elig!$C925,Elig_MatchAll_Ct&lt;22,$BC925=(Elig_MatchAll_Ct-1),AR925=0),O925,0)</f>
        <v>0</v>
      </c>
      <c r="BU925" s="991">
        <f>IF(AND(Input_Product=Elig!$C925,Elig_MatchAll_Ct&lt;22,$BC925=(Elig_MatchAll_Ct-1),AS925=0),P925,0)</f>
        <v>0</v>
      </c>
      <c r="BV925" s="992">
        <f>IF(AND(Input_Product=Elig!$C925,Elig_MatchAll_Ct&lt;22,$BC925=(Elig_MatchAll_Ct-1),AT925=0),Q925,0)</f>
        <v>0</v>
      </c>
      <c r="BW925" s="993">
        <f>IF(AND(Input_Product=Elig!$C925,Elig_MatchAll_Ct&lt;22,$BC925=(Elig_MatchAll_Ct-1),AU925=0),R925,0)</f>
        <v>0</v>
      </c>
      <c r="BX925" s="994">
        <f>IF(AND(Input_Product=Elig!$C925,Elig_MatchAll_Ct&lt;22,$BC925=(Elig_MatchAll_Ct-1),AU925=0),S925,0)</f>
        <v>0</v>
      </c>
      <c r="BY925" s="993">
        <f>IF(AND(Input_Product=Elig!$C925,Elig_MatchAll_Ct&lt;22,$BC925=(Elig_MatchAll_Ct-1),AV925=0),T925,0)</f>
        <v>0</v>
      </c>
      <c r="BZ925" s="994">
        <f>IF(AND(Input_Product=Elig!$C925,Elig_MatchAll_Ct&lt;22,$BC925=(Elig_MatchAll_Ct-1),AV925=0),U925,0)</f>
        <v>0</v>
      </c>
      <c r="CA925" s="993">
        <f>IF(AND(Input_Product=Elig!$C925,Elig_MatchAll_Ct&lt;22,$BC925=(Elig_MatchAll_Ct-1),AW925=0),V925,0)</f>
        <v>0</v>
      </c>
      <c r="CB925" s="994">
        <f>IF(AND(Input_Product=Elig!$C925,Elig_MatchAll_Ct&lt;22,$BC925=(Elig_MatchAll_Ct-1),AW925=0),W925,0)</f>
        <v>0</v>
      </c>
      <c r="CC925" s="993">
        <f>IF(AND(Input_Product=Elig!$C925,Elig_MatchAll_Ct&lt;22,$BC925=(Elig_MatchAll_Ct-1),AX925=0),X925,0)</f>
        <v>0</v>
      </c>
      <c r="CD925" s="994">
        <f>IF(AND(Input_Product=Elig!$C925,Elig_MatchAll_Ct&lt;22,$BC925=(Elig_MatchAll_Ct-1),AX925=0),Y925,0)</f>
        <v>0</v>
      </c>
      <c r="CE925" s="993">
        <f>IF(AND(Input_LTV&lt;=AE925,Input_Product=Elig!$C925,Elig_MatchAll_Ct&lt;22,$BC925=(Elig_MatchAll_Ct-1),AY925=0),Z925,0)</f>
        <v>0</v>
      </c>
      <c r="CF925" s="994">
        <f>IF(AND(Input_LTV&lt;=AE925,Input_Product=Elig!$C925,Elig_MatchAll_Ct&lt;22,$BC925=(Elig_MatchAll_Ct-1),AY925=0),AA925,0)</f>
        <v>0</v>
      </c>
      <c r="CG925" s="993">
        <f>IF(AND(Input_Product=Elig!$C925,Elig_MatchAll_Ct&lt;22,$BC925=(Elig_MatchAll_Ct-1),AZ925=0),AB925,0)</f>
        <v>0</v>
      </c>
      <c r="CH925" s="994">
        <f>IF(AND(Input_Product=Elig!$C925,Elig_MatchAll_Ct&lt;22,$BC925=(Elig_MatchAll_Ct-1),AZ925=0),AC925,0)</f>
        <v>0</v>
      </c>
      <c r="CI925" s="993">
        <f>IF(AND(Input_Product=Elig!$C925,Elig_MatchAll_Ct&lt;22,$BC925=(Elig_MatchAll_Ct-1),BA925=0),AD925,0)</f>
        <v>0</v>
      </c>
      <c r="CJ925" s="994">
        <f>IF(AND(Input_Product=Elig!$C925,Elig_MatchAll_Ct&lt;22,$BC925=(Elig_MatchAll_Ct-1),BA925=0),AE925,0)</f>
        <v>0</v>
      </c>
    </row>
    <row r="926" spans="2:88" ht="10.15" customHeight="1" x14ac:dyDescent="0.25">
      <c r="B926" s="1916" t="s">
        <v>2262</v>
      </c>
      <c r="C926" s="1203" t="str">
        <f t="shared" si="367"/>
        <v xml:space="preserve">  </v>
      </c>
      <c r="D926" s="1204" t="s">
        <v>2218</v>
      </c>
      <c r="E926" s="1204" t="s">
        <v>167</v>
      </c>
      <c r="F926" s="1204" t="s">
        <v>331</v>
      </c>
      <c r="G926" s="1205" t="s">
        <v>468</v>
      </c>
      <c r="H926" s="1205" t="s">
        <v>136</v>
      </c>
      <c r="I926" s="1204" t="s">
        <v>274</v>
      </c>
      <c r="J926" s="1204" t="s">
        <v>1311</v>
      </c>
      <c r="K926" s="1205" t="s">
        <v>3022</v>
      </c>
      <c r="L926" s="1204" t="s">
        <v>2768</v>
      </c>
      <c r="M926" s="1204" t="s">
        <v>2677</v>
      </c>
      <c r="N926" s="1205" t="s">
        <v>82</v>
      </c>
      <c r="O926" s="1204" t="s">
        <v>310</v>
      </c>
      <c r="P926" s="1204" t="s">
        <v>291</v>
      </c>
      <c r="Q926" s="1204" t="s">
        <v>294</v>
      </c>
      <c r="R926" s="1204">
        <v>1500000.01</v>
      </c>
      <c r="S926" s="1204">
        <v>2000000</v>
      </c>
      <c r="T926" s="1204">
        <v>0</v>
      </c>
      <c r="U926" s="1204">
        <v>0</v>
      </c>
      <c r="V926" s="1204">
        <v>0</v>
      </c>
      <c r="W926" s="1204">
        <v>50</v>
      </c>
      <c r="X926" s="1204">
        <v>0</v>
      </c>
      <c r="Y926" s="1204">
        <v>999</v>
      </c>
      <c r="Z926" s="1206">
        <v>720</v>
      </c>
      <c r="AA926" s="1206">
        <v>999</v>
      </c>
      <c r="AB926" s="1206">
        <v>6</v>
      </c>
      <c r="AC926" s="1206">
        <v>999999</v>
      </c>
      <c r="AD926" s="1204">
        <v>0</v>
      </c>
      <c r="AE926" s="1207">
        <v>80</v>
      </c>
      <c r="AF926" s="170">
        <v>0</v>
      </c>
      <c r="AG926" s="171">
        <v>1</v>
      </c>
      <c r="AH926" s="171">
        <v>1</v>
      </c>
      <c r="AI926" s="171">
        <v>1</v>
      </c>
      <c r="AJ926" s="171">
        <v>0</v>
      </c>
      <c r="AK926" s="171">
        <v>1</v>
      </c>
      <c r="AL926" s="171">
        <v>0</v>
      </c>
      <c r="AM926" s="171">
        <v>1</v>
      </c>
      <c r="AN926" s="171">
        <v>1</v>
      </c>
      <c r="AO926" s="171">
        <v>1</v>
      </c>
      <c r="AP926" s="171">
        <v>1</v>
      </c>
      <c r="AQ926" s="171">
        <v>1</v>
      </c>
      <c r="AR926" s="171">
        <v>1</v>
      </c>
      <c r="AS926" s="171">
        <v>1</v>
      </c>
      <c r="AT926" s="171">
        <v>1</v>
      </c>
      <c r="AU926" s="171">
        <f t="shared" si="379"/>
        <v>0</v>
      </c>
      <c r="AV926" s="171">
        <f t="shared" si="380"/>
        <v>0</v>
      </c>
      <c r="AW926" s="171">
        <f t="shared" si="381"/>
        <v>1</v>
      </c>
      <c r="AX926" s="171">
        <f t="shared" si="371"/>
        <v>1</v>
      </c>
      <c r="AY926" s="171">
        <f t="shared" si="382"/>
        <v>1</v>
      </c>
      <c r="AZ926" s="171">
        <f t="shared" si="383"/>
        <v>1</v>
      </c>
      <c r="BA926" s="172">
        <f t="shared" si="384"/>
        <v>1</v>
      </c>
      <c r="BB926" s="175">
        <f t="shared" si="385"/>
        <v>17</v>
      </c>
      <c r="BC926" s="176">
        <f t="shared" si="386"/>
        <v>16</v>
      </c>
      <c r="BD926" s="176">
        <f t="shared" si="387"/>
        <v>17</v>
      </c>
      <c r="BE926" s="240" t="str">
        <f t="shared" si="378"/>
        <v/>
      </c>
      <c r="BF926" s="990"/>
      <c r="BG926" s="990"/>
      <c r="BH926" s="991">
        <f>IF(AND(Input_Product=Elig!$C926,Elig_MatchAll_Ct&lt;22,$BC926=(Elig_MatchAll_Ct-1),AF926=0),C926,0)</f>
        <v>0</v>
      </c>
      <c r="BI926" s="991">
        <f>IF(AND(Input_Product=Elig!$C926,Elig_MatchAll_Ct&lt;22,$BC926=(Elig_MatchAll_Ct-1),AG926=0),D926,0)</f>
        <v>0</v>
      </c>
      <c r="BJ926" s="991">
        <f>IF(AND(Input_Product=Elig!$C926,Elig_MatchAll_Ct&lt;22,$BC926=(Elig_MatchAll_Ct-1),AH926=0),E926,0)</f>
        <v>0</v>
      </c>
      <c r="BK926" s="991">
        <f>IF(AND(Input_Product=Elig!$C926,Elig_MatchAll_Ct&lt;22,$BC926=(Elig_MatchAll_Ct-1),AI926=0),F926,0)</f>
        <v>0</v>
      </c>
      <c r="BL926" s="991">
        <f>IF(AND(Input_Product=Elig!$C926,Elig_MatchAll_Ct&lt;22,$BC926=(Elig_MatchAll_Ct-1),AJ926=0),G926,0)</f>
        <v>0</v>
      </c>
      <c r="BM926" s="991">
        <f>IF(AND(Input_Product=Elig!$C926,Elig_MatchAll_Ct&lt;22,$BC926=(Elig_MatchAll_Ct-1),AK926=0),H926,0)</f>
        <v>0</v>
      </c>
      <c r="BN926" s="991">
        <f>IF(AND(Input_Product=Elig!$C926,Elig_MatchAll_Ct&lt;22,$BC926=(Elig_MatchAll_Ct-1),AL926=0),I926,0)</f>
        <v>0</v>
      </c>
      <c r="BO926" s="991">
        <f>IF(AND(Input_Product=Elig!$C926,Elig_MatchAll_Ct&lt;22,$BC926=(Elig_MatchAll_Ct-1),AM926=0),J926,0)</f>
        <v>0</v>
      </c>
      <c r="BP926" s="991">
        <f>IF(AND(Input_Product=Elig!$C926,Elig_MatchAll_Ct&lt;22,$BC926=(Elig_MatchAll_Ct-1),AN926=0),K926,0)</f>
        <v>0</v>
      </c>
      <c r="BQ926" s="991">
        <f>IF(AND(Input_Product=Elig!$C926,Elig_MatchAll_Ct&lt;22,$BC926=(Elig_MatchAll_Ct-1),AP926=0),L926,0)</f>
        <v>0</v>
      </c>
      <c r="BR926" s="991">
        <f>IF(AND(Input_Product=Elig!$C926,Elig_MatchAll_Ct&lt;22,$BC926=(Elig_MatchAll_Ct-1),AO926=0),M926,0)</f>
        <v>0</v>
      </c>
      <c r="BS926" s="991">
        <f>IF(AND(Input_Product=Elig!$C926,Elig_MatchAll_Ct&lt;22,$BC926=(Elig_MatchAll_Ct-1),AQ926=0),N926,0)</f>
        <v>0</v>
      </c>
      <c r="BT926" s="991">
        <f>IF(AND(Input_Product=Elig!$C926,Elig_MatchAll_Ct&lt;22,$BC926=(Elig_MatchAll_Ct-1),AR926=0),O926,0)</f>
        <v>0</v>
      </c>
      <c r="BU926" s="991">
        <f>IF(AND(Input_Product=Elig!$C926,Elig_MatchAll_Ct&lt;22,$BC926=(Elig_MatchAll_Ct-1),AS926=0),P926,0)</f>
        <v>0</v>
      </c>
      <c r="BV926" s="992">
        <f>IF(AND(Input_Product=Elig!$C926,Elig_MatchAll_Ct&lt;22,$BC926=(Elig_MatchAll_Ct-1),AT926=0),Q926,0)</f>
        <v>0</v>
      </c>
      <c r="BW926" s="993">
        <f>IF(AND(Input_Product=Elig!$C926,Elig_MatchAll_Ct&lt;22,$BC926=(Elig_MatchAll_Ct-1),AU926=0),R926,0)</f>
        <v>0</v>
      </c>
      <c r="BX926" s="994">
        <f>IF(AND(Input_Product=Elig!$C926,Elig_MatchAll_Ct&lt;22,$BC926=(Elig_MatchAll_Ct-1),AU926=0),S926,0)</f>
        <v>0</v>
      </c>
      <c r="BY926" s="993">
        <f>IF(AND(Input_Product=Elig!$C926,Elig_MatchAll_Ct&lt;22,$BC926=(Elig_MatchAll_Ct-1),AV926=0),T926,0)</f>
        <v>0</v>
      </c>
      <c r="BZ926" s="994">
        <f>IF(AND(Input_Product=Elig!$C926,Elig_MatchAll_Ct&lt;22,$BC926=(Elig_MatchAll_Ct-1),AV926=0),U926,0)</f>
        <v>0</v>
      </c>
      <c r="CA926" s="993">
        <f>IF(AND(Input_Product=Elig!$C926,Elig_MatchAll_Ct&lt;22,$BC926=(Elig_MatchAll_Ct-1),AW926=0),V926,0)</f>
        <v>0</v>
      </c>
      <c r="CB926" s="994">
        <f>IF(AND(Input_Product=Elig!$C926,Elig_MatchAll_Ct&lt;22,$BC926=(Elig_MatchAll_Ct-1),AW926=0),W926,0)</f>
        <v>0</v>
      </c>
      <c r="CC926" s="993">
        <f>IF(AND(Input_Product=Elig!$C926,Elig_MatchAll_Ct&lt;22,$BC926=(Elig_MatchAll_Ct-1),AX926=0),X926,0)</f>
        <v>0</v>
      </c>
      <c r="CD926" s="994">
        <f>IF(AND(Input_Product=Elig!$C926,Elig_MatchAll_Ct&lt;22,$BC926=(Elig_MatchAll_Ct-1),AX926=0),Y926,0)</f>
        <v>0</v>
      </c>
      <c r="CE926" s="993">
        <f>IF(AND(Input_LTV&lt;=AE926,Input_Product=Elig!$C926,Elig_MatchAll_Ct&lt;22,$BC926=(Elig_MatchAll_Ct-1),AY926=0),Z926,0)</f>
        <v>0</v>
      </c>
      <c r="CF926" s="994">
        <f>IF(AND(Input_LTV&lt;=AE926,Input_Product=Elig!$C926,Elig_MatchAll_Ct&lt;22,$BC926=(Elig_MatchAll_Ct-1),AY926=0),AA926,0)</f>
        <v>0</v>
      </c>
      <c r="CG926" s="993">
        <f>IF(AND(Input_Product=Elig!$C926,Elig_MatchAll_Ct&lt;22,$BC926=(Elig_MatchAll_Ct-1),AZ926=0),AB926,0)</f>
        <v>0</v>
      </c>
      <c r="CH926" s="994">
        <f>IF(AND(Input_Product=Elig!$C926,Elig_MatchAll_Ct&lt;22,$BC926=(Elig_MatchAll_Ct-1),AZ926=0),AC926,0)</f>
        <v>0</v>
      </c>
      <c r="CI926" s="993">
        <f>IF(AND(Input_Product=Elig!$C926,Elig_MatchAll_Ct&lt;22,$BC926=(Elig_MatchAll_Ct-1),BA926=0),AD926,0)</f>
        <v>0</v>
      </c>
      <c r="CJ926" s="994">
        <f>IF(AND(Input_Product=Elig!$C926,Elig_MatchAll_Ct&lt;22,$BC926=(Elig_MatchAll_Ct-1),BA926=0),AE926,0)</f>
        <v>0</v>
      </c>
    </row>
    <row r="927" spans="2:88" ht="10.15" customHeight="1" x14ac:dyDescent="0.25">
      <c r="B927" s="1916" t="s">
        <v>2263</v>
      </c>
      <c r="C927" s="1208" t="str">
        <f t="shared" si="367"/>
        <v xml:space="preserve">  </v>
      </c>
      <c r="D927" s="1209" t="s">
        <v>2218</v>
      </c>
      <c r="E927" s="1209" t="s">
        <v>167</v>
      </c>
      <c r="F927" s="1209" t="s">
        <v>331</v>
      </c>
      <c r="G927" s="1210" t="s">
        <v>468</v>
      </c>
      <c r="H927" s="1210" t="s">
        <v>136</v>
      </c>
      <c r="I927" s="1209" t="s">
        <v>274</v>
      </c>
      <c r="J927" s="1209" t="s">
        <v>1311</v>
      </c>
      <c r="K927" s="1210" t="s">
        <v>3022</v>
      </c>
      <c r="L927" s="1209" t="s">
        <v>2768</v>
      </c>
      <c r="M927" s="1209" t="s">
        <v>2677</v>
      </c>
      <c r="N927" s="1210" t="s">
        <v>82</v>
      </c>
      <c r="O927" s="1209" t="s">
        <v>310</v>
      </c>
      <c r="P927" s="1209" t="s">
        <v>291</v>
      </c>
      <c r="Q927" s="1209" t="s">
        <v>294</v>
      </c>
      <c r="R927" s="1209">
        <v>1500000.01</v>
      </c>
      <c r="S927" s="1209">
        <v>2000000</v>
      </c>
      <c r="T927" s="1209">
        <v>0</v>
      </c>
      <c r="U927" s="1209">
        <v>0</v>
      </c>
      <c r="V927" s="1209">
        <v>0</v>
      </c>
      <c r="W927" s="1209">
        <v>50</v>
      </c>
      <c r="X927" s="1209">
        <v>0</v>
      </c>
      <c r="Y927" s="1209">
        <v>999</v>
      </c>
      <c r="Z927" s="1211">
        <v>700</v>
      </c>
      <c r="AA927" s="1211">
        <v>719</v>
      </c>
      <c r="AB927" s="1211">
        <v>6</v>
      </c>
      <c r="AC927" s="1211">
        <v>999999</v>
      </c>
      <c r="AD927" s="1209">
        <v>0</v>
      </c>
      <c r="AE927" s="1212">
        <v>80</v>
      </c>
      <c r="AF927" s="170">
        <v>0</v>
      </c>
      <c r="AG927" s="171">
        <v>1</v>
      </c>
      <c r="AH927" s="171">
        <v>1</v>
      </c>
      <c r="AI927" s="171">
        <v>1</v>
      </c>
      <c r="AJ927" s="171">
        <v>0</v>
      </c>
      <c r="AK927" s="171">
        <v>1</v>
      </c>
      <c r="AL927" s="171">
        <v>0</v>
      </c>
      <c r="AM927" s="171">
        <v>1</v>
      </c>
      <c r="AN927" s="171">
        <v>1</v>
      </c>
      <c r="AO927" s="171">
        <v>1</v>
      </c>
      <c r="AP927" s="171">
        <v>1</v>
      </c>
      <c r="AQ927" s="171">
        <v>1</v>
      </c>
      <c r="AR927" s="171">
        <v>1</v>
      </c>
      <c r="AS927" s="171">
        <v>1</v>
      </c>
      <c r="AT927" s="171">
        <v>1</v>
      </c>
      <c r="AU927" s="171">
        <f t="shared" si="379"/>
        <v>0</v>
      </c>
      <c r="AV927" s="171">
        <f t="shared" si="380"/>
        <v>0</v>
      </c>
      <c r="AW927" s="171">
        <f t="shared" si="381"/>
        <v>1</v>
      </c>
      <c r="AX927" s="171">
        <f t="shared" si="371"/>
        <v>1</v>
      </c>
      <c r="AY927" s="171">
        <f t="shared" si="382"/>
        <v>0</v>
      </c>
      <c r="AZ927" s="171">
        <f t="shared" si="383"/>
        <v>1</v>
      </c>
      <c r="BA927" s="172">
        <f t="shared" si="384"/>
        <v>1</v>
      </c>
      <c r="BB927" s="175">
        <f t="shared" si="385"/>
        <v>16</v>
      </c>
      <c r="BC927" s="176">
        <f t="shared" si="386"/>
        <v>15</v>
      </c>
      <c r="BD927" s="176">
        <f t="shared" si="387"/>
        <v>16</v>
      </c>
      <c r="BE927" s="240" t="str">
        <f t="shared" si="378"/>
        <v/>
      </c>
      <c r="BF927" s="990"/>
      <c r="BG927" s="990"/>
      <c r="BH927" s="991">
        <f>IF(AND(Input_Product=Elig!$C927,Elig_MatchAll_Ct&lt;22,$BC927=(Elig_MatchAll_Ct-1),AF927=0),C927,0)</f>
        <v>0</v>
      </c>
      <c r="BI927" s="991">
        <f>IF(AND(Input_Product=Elig!$C927,Elig_MatchAll_Ct&lt;22,$BC927=(Elig_MatchAll_Ct-1),AG927=0),D927,0)</f>
        <v>0</v>
      </c>
      <c r="BJ927" s="991">
        <f>IF(AND(Input_Product=Elig!$C927,Elig_MatchAll_Ct&lt;22,$BC927=(Elig_MatchAll_Ct-1),AH927=0),E927,0)</f>
        <v>0</v>
      </c>
      <c r="BK927" s="991">
        <f>IF(AND(Input_Product=Elig!$C927,Elig_MatchAll_Ct&lt;22,$BC927=(Elig_MatchAll_Ct-1),AI927=0),F927,0)</f>
        <v>0</v>
      </c>
      <c r="BL927" s="991">
        <f>IF(AND(Input_Product=Elig!$C927,Elig_MatchAll_Ct&lt;22,$BC927=(Elig_MatchAll_Ct-1),AJ927=0),G927,0)</f>
        <v>0</v>
      </c>
      <c r="BM927" s="991">
        <f>IF(AND(Input_Product=Elig!$C927,Elig_MatchAll_Ct&lt;22,$BC927=(Elig_MatchAll_Ct-1),AK927=0),H927,0)</f>
        <v>0</v>
      </c>
      <c r="BN927" s="991">
        <f>IF(AND(Input_Product=Elig!$C927,Elig_MatchAll_Ct&lt;22,$BC927=(Elig_MatchAll_Ct-1),AL927=0),I927,0)</f>
        <v>0</v>
      </c>
      <c r="BO927" s="991">
        <f>IF(AND(Input_Product=Elig!$C927,Elig_MatchAll_Ct&lt;22,$BC927=(Elig_MatchAll_Ct-1),AM927=0),J927,0)</f>
        <v>0</v>
      </c>
      <c r="BP927" s="991">
        <f>IF(AND(Input_Product=Elig!$C927,Elig_MatchAll_Ct&lt;22,$BC927=(Elig_MatchAll_Ct-1),AN927=0),K927,0)</f>
        <v>0</v>
      </c>
      <c r="BQ927" s="991">
        <f>IF(AND(Input_Product=Elig!$C927,Elig_MatchAll_Ct&lt;22,$BC927=(Elig_MatchAll_Ct-1),AP927=0),L927,0)</f>
        <v>0</v>
      </c>
      <c r="BR927" s="991">
        <f>IF(AND(Input_Product=Elig!$C927,Elig_MatchAll_Ct&lt;22,$BC927=(Elig_MatchAll_Ct-1),AO927=0),M927,0)</f>
        <v>0</v>
      </c>
      <c r="BS927" s="991">
        <f>IF(AND(Input_Product=Elig!$C927,Elig_MatchAll_Ct&lt;22,$BC927=(Elig_MatchAll_Ct-1),AQ927=0),N927,0)</f>
        <v>0</v>
      </c>
      <c r="BT927" s="991">
        <f>IF(AND(Input_Product=Elig!$C927,Elig_MatchAll_Ct&lt;22,$BC927=(Elig_MatchAll_Ct-1),AR927=0),O927,0)</f>
        <v>0</v>
      </c>
      <c r="BU927" s="991">
        <f>IF(AND(Input_Product=Elig!$C927,Elig_MatchAll_Ct&lt;22,$BC927=(Elig_MatchAll_Ct-1),AS927=0),P927,0)</f>
        <v>0</v>
      </c>
      <c r="BV927" s="992">
        <f>IF(AND(Input_Product=Elig!$C927,Elig_MatchAll_Ct&lt;22,$BC927=(Elig_MatchAll_Ct-1),AT927=0),Q927,0)</f>
        <v>0</v>
      </c>
      <c r="BW927" s="993">
        <f>IF(AND(Input_Product=Elig!$C927,Elig_MatchAll_Ct&lt;22,$BC927=(Elig_MatchAll_Ct-1),AU927=0),R927,0)</f>
        <v>0</v>
      </c>
      <c r="BX927" s="994">
        <f>IF(AND(Input_Product=Elig!$C927,Elig_MatchAll_Ct&lt;22,$BC927=(Elig_MatchAll_Ct-1),AU927=0),S927,0)</f>
        <v>0</v>
      </c>
      <c r="BY927" s="993">
        <f>IF(AND(Input_Product=Elig!$C927,Elig_MatchAll_Ct&lt;22,$BC927=(Elig_MatchAll_Ct-1),AV927=0),T927,0)</f>
        <v>0</v>
      </c>
      <c r="BZ927" s="994">
        <f>IF(AND(Input_Product=Elig!$C927,Elig_MatchAll_Ct&lt;22,$BC927=(Elig_MatchAll_Ct-1),AV927=0),U927,0)</f>
        <v>0</v>
      </c>
      <c r="CA927" s="993">
        <f>IF(AND(Input_Product=Elig!$C927,Elig_MatchAll_Ct&lt;22,$BC927=(Elig_MatchAll_Ct-1),AW927=0),V927,0)</f>
        <v>0</v>
      </c>
      <c r="CB927" s="994">
        <f>IF(AND(Input_Product=Elig!$C927,Elig_MatchAll_Ct&lt;22,$BC927=(Elig_MatchAll_Ct-1),AW927=0),W927,0)</f>
        <v>0</v>
      </c>
      <c r="CC927" s="993">
        <f>IF(AND(Input_Product=Elig!$C927,Elig_MatchAll_Ct&lt;22,$BC927=(Elig_MatchAll_Ct-1),AX927=0),X927,0)</f>
        <v>0</v>
      </c>
      <c r="CD927" s="994">
        <f>IF(AND(Input_Product=Elig!$C927,Elig_MatchAll_Ct&lt;22,$BC927=(Elig_MatchAll_Ct-1),AX927=0),Y927,0)</f>
        <v>0</v>
      </c>
      <c r="CE927" s="993">
        <f>IF(AND(Input_LTV&lt;=AE927,Input_Product=Elig!$C927,Elig_MatchAll_Ct&lt;22,$BC927=(Elig_MatchAll_Ct-1),AY927=0),Z927,0)</f>
        <v>0</v>
      </c>
      <c r="CF927" s="994">
        <f>IF(AND(Input_LTV&lt;=AE927,Input_Product=Elig!$C927,Elig_MatchAll_Ct&lt;22,$BC927=(Elig_MatchAll_Ct-1),AY927=0),AA927,0)</f>
        <v>0</v>
      </c>
      <c r="CG927" s="993">
        <f>IF(AND(Input_Product=Elig!$C927,Elig_MatchAll_Ct&lt;22,$BC927=(Elig_MatchAll_Ct-1),AZ927=0),AB927,0)</f>
        <v>0</v>
      </c>
      <c r="CH927" s="994">
        <f>IF(AND(Input_Product=Elig!$C927,Elig_MatchAll_Ct&lt;22,$BC927=(Elig_MatchAll_Ct-1),AZ927=0),AC927,0)</f>
        <v>0</v>
      </c>
      <c r="CI927" s="993">
        <f>IF(AND(Input_Product=Elig!$C927,Elig_MatchAll_Ct&lt;22,$BC927=(Elig_MatchAll_Ct-1),BA927=0),AD927,0)</f>
        <v>0</v>
      </c>
      <c r="CJ927" s="994">
        <f>IF(AND(Input_Product=Elig!$C927,Elig_MatchAll_Ct&lt;22,$BC927=(Elig_MatchAll_Ct-1),BA927=0),AE927,0)</f>
        <v>0</v>
      </c>
    </row>
    <row r="928" spans="2:88" ht="10.15" customHeight="1" x14ac:dyDescent="0.25">
      <c r="B928" s="1916" t="s">
        <v>2264</v>
      </c>
      <c r="C928" s="1208" t="str">
        <f t="shared" si="367"/>
        <v xml:space="preserve">  </v>
      </c>
      <c r="D928" s="1209" t="s">
        <v>2218</v>
      </c>
      <c r="E928" s="1209" t="s">
        <v>167</v>
      </c>
      <c r="F928" s="1209" t="s">
        <v>331</v>
      </c>
      <c r="G928" s="1210" t="s">
        <v>468</v>
      </c>
      <c r="H928" s="1210" t="s">
        <v>136</v>
      </c>
      <c r="I928" s="1209" t="s">
        <v>274</v>
      </c>
      <c r="J928" s="1209" t="s">
        <v>1311</v>
      </c>
      <c r="K928" s="1210" t="s">
        <v>3022</v>
      </c>
      <c r="L928" s="1209" t="s">
        <v>2768</v>
      </c>
      <c r="M928" s="1209" t="s">
        <v>2677</v>
      </c>
      <c r="N928" s="1210" t="s">
        <v>82</v>
      </c>
      <c r="O928" s="1209" t="s">
        <v>310</v>
      </c>
      <c r="P928" s="1209" t="s">
        <v>291</v>
      </c>
      <c r="Q928" s="1209" t="s">
        <v>294</v>
      </c>
      <c r="R928" s="1209">
        <v>1500000.01</v>
      </c>
      <c r="S928" s="1209">
        <v>2000000</v>
      </c>
      <c r="T928" s="1209">
        <v>0</v>
      </c>
      <c r="U928" s="1209">
        <v>0</v>
      </c>
      <c r="V928" s="1209">
        <v>0</v>
      </c>
      <c r="W928" s="1209">
        <v>50</v>
      </c>
      <c r="X928" s="1209">
        <v>0</v>
      </c>
      <c r="Y928" s="1209">
        <v>999</v>
      </c>
      <c r="Z928" s="1211">
        <v>680</v>
      </c>
      <c r="AA928" s="1211">
        <v>699</v>
      </c>
      <c r="AB928" s="1211">
        <v>6</v>
      </c>
      <c r="AC928" s="1211">
        <v>999999</v>
      </c>
      <c r="AD928" s="1209">
        <v>0</v>
      </c>
      <c r="AE928" s="1212">
        <v>80</v>
      </c>
      <c r="AF928" s="170">
        <v>0</v>
      </c>
      <c r="AG928" s="171">
        <v>1</v>
      </c>
      <c r="AH928" s="171">
        <v>1</v>
      </c>
      <c r="AI928" s="171">
        <v>1</v>
      </c>
      <c r="AJ928" s="171">
        <v>0</v>
      </c>
      <c r="AK928" s="171">
        <v>1</v>
      </c>
      <c r="AL928" s="171">
        <v>0</v>
      </c>
      <c r="AM928" s="171">
        <v>1</v>
      </c>
      <c r="AN928" s="171">
        <v>1</v>
      </c>
      <c r="AO928" s="171">
        <v>1</v>
      </c>
      <c r="AP928" s="171">
        <v>1</v>
      </c>
      <c r="AQ928" s="171">
        <v>1</v>
      </c>
      <c r="AR928" s="171">
        <v>1</v>
      </c>
      <c r="AS928" s="171">
        <v>1</v>
      </c>
      <c r="AT928" s="171">
        <v>1</v>
      </c>
      <c r="AU928" s="171">
        <f t="shared" si="379"/>
        <v>0</v>
      </c>
      <c r="AV928" s="171">
        <f t="shared" si="380"/>
        <v>0</v>
      </c>
      <c r="AW928" s="171">
        <f t="shared" si="381"/>
        <v>1</v>
      </c>
      <c r="AX928" s="171">
        <f t="shared" si="371"/>
        <v>1</v>
      </c>
      <c r="AY928" s="171">
        <f t="shared" si="382"/>
        <v>0</v>
      </c>
      <c r="AZ928" s="171">
        <f t="shared" si="383"/>
        <v>1</v>
      </c>
      <c r="BA928" s="172">
        <f t="shared" si="384"/>
        <v>1</v>
      </c>
      <c r="BB928" s="175">
        <f t="shared" si="385"/>
        <v>16</v>
      </c>
      <c r="BC928" s="176">
        <f t="shared" si="386"/>
        <v>15</v>
      </c>
      <c r="BD928" s="176">
        <f t="shared" si="387"/>
        <v>16</v>
      </c>
      <c r="BE928" s="240" t="str">
        <f t="shared" si="378"/>
        <v/>
      </c>
      <c r="BF928" s="990"/>
      <c r="BG928" s="990"/>
      <c r="BH928" s="991">
        <f>IF(AND(Input_Product=Elig!$C928,Elig_MatchAll_Ct&lt;22,$BC928=(Elig_MatchAll_Ct-1),AF928=0),C928,0)</f>
        <v>0</v>
      </c>
      <c r="BI928" s="991">
        <f>IF(AND(Input_Product=Elig!$C928,Elig_MatchAll_Ct&lt;22,$BC928=(Elig_MatchAll_Ct-1),AG928=0),D928,0)</f>
        <v>0</v>
      </c>
      <c r="BJ928" s="991">
        <f>IF(AND(Input_Product=Elig!$C928,Elig_MatchAll_Ct&lt;22,$BC928=(Elig_MatchAll_Ct-1),AH928=0),E928,0)</f>
        <v>0</v>
      </c>
      <c r="BK928" s="991">
        <f>IF(AND(Input_Product=Elig!$C928,Elig_MatchAll_Ct&lt;22,$BC928=(Elig_MatchAll_Ct-1),AI928=0),F928,0)</f>
        <v>0</v>
      </c>
      <c r="BL928" s="991">
        <f>IF(AND(Input_Product=Elig!$C928,Elig_MatchAll_Ct&lt;22,$BC928=(Elig_MatchAll_Ct-1),AJ928=0),G928,0)</f>
        <v>0</v>
      </c>
      <c r="BM928" s="991">
        <f>IF(AND(Input_Product=Elig!$C928,Elig_MatchAll_Ct&lt;22,$BC928=(Elig_MatchAll_Ct-1),AK928=0),H928,0)</f>
        <v>0</v>
      </c>
      <c r="BN928" s="991">
        <f>IF(AND(Input_Product=Elig!$C928,Elig_MatchAll_Ct&lt;22,$BC928=(Elig_MatchAll_Ct-1),AL928=0),I928,0)</f>
        <v>0</v>
      </c>
      <c r="BO928" s="991">
        <f>IF(AND(Input_Product=Elig!$C928,Elig_MatchAll_Ct&lt;22,$BC928=(Elig_MatchAll_Ct-1),AM928=0),J928,0)</f>
        <v>0</v>
      </c>
      <c r="BP928" s="991">
        <f>IF(AND(Input_Product=Elig!$C928,Elig_MatchAll_Ct&lt;22,$BC928=(Elig_MatchAll_Ct-1),AN928=0),K928,0)</f>
        <v>0</v>
      </c>
      <c r="BQ928" s="991">
        <f>IF(AND(Input_Product=Elig!$C928,Elig_MatchAll_Ct&lt;22,$BC928=(Elig_MatchAll_Ct-1),AP928=0),L928,0)</f>
        <v>0</v>
      </c>
      <c r="BR928" s="991">
        <f>IF(AND(Input_Product=Elig!$C928,Elig_MatchAll_Ct&lt;22,$BC928=(Elig_MatchAll_Ct-1),AO928=0),M928,0)</f>
        <v>0</v>
      </c>
      <c r="BS928" s="991">
        <f>IF(AND(Input_Product=Elig!$C928,Elig_MatchAll_Ct&lt;22,$BC928=(Elig_MatchAll_Ct-1),AQ928=0),N928,0)</f>
        <v>0</v>
      </c>
      <c r="BT928" s="991">
        <f>IF(AND(Input_Product=Elig!$C928,Elig_MatchAll_Ct&lt;22,$BC928=(Elig_MatchAll_Ct-1),AR928=0),O928,0)</f>
        <v>0</v>
      </c>
      <c r="BU928" s="991">
        <f>IF(AND(Input_Product=Elig!$C928,Elig_MatchAll_Ct&lt;22,$BC928=(Elig_MatchAll_Ct-1),AS928=0),P928,0)</f>
        <v>0</v>
      </c>
      <c r="BV928" s="992">
        <f>IF(AND(Input_Product=Elig!$C928,Elig_MatchAll_Ct&lt;22,$BC928=(Elig_MatchAll_Ct-1),AT928=0),Q928,0)</f>
        <v>0</v>
      </c>
      <c r="BW928" s="993">
        <f>IF(AND(Input_Product=Elig!$C928,Elig_MatchAll_Ct&lt;22,$BC928=(Elig_MatchAll_Ct-1),AU928=0),R928,0)</f>
        <v>0</v>
      </c>
      <c r="BX928" s="994">
        <f>IF(AND(Input_Product=Elig!$C928,Elig_MatchAll_Ct&lt;22,$BC928=(Elig_MatchAll_Ct-1),AU928=0),S928,0)</f>
        <v>0</v>
      </c>
      <c r="BY928" s="993">
        <f>IF(AND(Input_Product=Elig!$C928,Elig_MatchAll_Ct&lt;22,$BC928=(Elig_MatchAll_Ct-1),AV928=0),T928,0)</f>
        <v>0</v>
      </c>
      <c r="BZ928" s="994">
        <f>IF(AND(Input_Product=Elig!$C928,Elig_MatchAll_Ct&lt;22,$BC928=(Elig_MatchAll_Ct-1),AV928=0),U928,0)</f>
        <v>0</v>
      </c>
      <c r="CA928" s="993">
        <f>IF(AND(Input_Product=Elig!$C928,Elig_MatchAll_Ct&lt;22,$BC928=(Elig_MatchAll_Ct-1),AW928=0),V928,0)</f>
        <v>0</v>
      </c>
      <c r="CB928" s="994">
        <f>IF(AND(Input_Product=Elig!$C928,Elig_MatchAll_Ct&lt;22,$BC928=(Elig_MatchAll_Ct-1),AW928=0),W928,0)</f>
        <v>0</v>
      </c>
      <c r="CC928" s="993">
        <f>IF(AND(Input_Product=Elig!$C928,Elig_MatchAll_Ct&lt;22,$BC928=(Elig_MatchAll_Ct-1),AX928=0),X928,0)</f>
        <v>0</v>
      </c>
      <c r="CD928" s="994">
        <f>IF(AND(Input_Product=Elig!$C928,Elig_MatchAll_Ct&lt;22,$BC928=(Elig_MatchAll_Ct-1),AX928=0),Y928,0)</f>
        <v>0</v>
      </c>
      <c r="CE928" s="993">
        <f>IF(AND(Input_LTV&lt;=AE928,Input_Product=Elig!$C928,Elig_MatchAll_Ct&lt;22,$BC928=(Elig_MatchAll_Ct-1),AY928=0),Z928,0)</f>
        <v>0</v>
      </c>
      <c r="CF928" s="994">
        <f>IF(AND(Input_LTV&lt;=AE928,Input_Product=Elig!$C928,Elig_MatchAll_Ct&lt;22,$BC928=(Elig_MatchAll_Ct-1),AY928=0),AA928,0)</f>
        <v>0</v>
      </c>
      <c r="CG928" s="993">
        <f>IF(AND(Input_Product=Elig!$C928,Elig_MatchAll_Ct&lt;22,$BC928=(Elig_MatchAll_Ct-1),AZ928=0),AB928,0)</f>
        <v>0</v>
      </c>
      <c r="CH928" s="994">
        <f>IF(AND(Input_Product=Elig!$C928,Elig_MatchAll_Ct&lt;22,$BC928=(Elig_MatchAll_Ct-1),AZ928=0),AC928,0)</f>
        <v>0</v>
      </c>
      <c r="CI928" s="993">
        <f>IF(AND(Input_Product=Elig!$C928,Elig_MatchAll_Ct&lt;22,$BC928=(Elig_MatchAll_Ct-1),BA928=0),AD928,0)</f>
        <v>0</v>
      </c>
      <c r="CJ928" s="994">
        <f>IF(AND(Input_Product=Elig!$C928,Elig_MatchAll_Ct&lt;22,$BC928=(Elig_MatchAll_Ct-1),BA928=0),AE928,0)</f>
        <v>0</v>
      </c>
    </row>
    <row r="929" spans="2:88" ht="10.15" customHeight="1" x14ac:dyDescent="0.25">
      <c r="B929" s="1916" t="s">
        <v>2265</v>
      </c>
      <c r="C929" s="1213" t="str">
        <f t="shared" si="367"/>
        <v xml:space="preserve">  </v>
      </c>
      <c r="D929" s="1214" t="s">
        <v>2218</v>
      </c>
      <c r="E929" s="1214" t="s">
        <v>167</v>
      </c>
      <c r="F929" s="1214" t="s">
        <v>331</v>
      </c>
      <c r="G929" s="1215" t="s">
        <v>468</v>
      </c>
      <c r="H929" s="1215" t="s">
        <v>136</v>
      </c>
      <c r="I929" s="1214" t="s">
        <v>274</v>
      </c>
      <c r="J929" s="1214" t="s">
        <v>1311</v>
      </c>
      <c r="K929" s="1215" t="s">
        <v>3022</v>
      </c>
      <c r="L929" s="1214" t="s">
        <v>2768</v>
      </c>
      <c r="M929" s="1214" t="s">
        <v>2677</v>
      </c>
      <c r="N929" s="1215" t="s">
        <v>82</v>
      </c>
      <c r="O929" s="1214" t="s">
        <v>310</v>
      </c>
      <c r="P929" s="1214" t="s">
        <v>291</v>
      </c>
      <c r="Q929" s="1214" t="s">
        <v>294</v>
      </c>
      <c r="R929" s="1214">
        <v>1500000.01</v>
      </c>
      <c r="S929" s="1214">
        <v>2000000</v>
      </c>
      <c r="T929" s="1214">
        <v>0</v>
      </c>
      <c r="U929" s="1214">
        <v>0</v>
      </c>
      <c r="V929" s="1214">
        <v>0</v>
      </c>
      <c r="W929" s="1214">
        <v>50</v>
      </c>
      <c r="X929" s="1214">
        <v>0</v>
      </c>
      <c r="Y929" s="1214">
        <v>999</v>
      </c>
      <c r="Z929" s="1216">
        <v>660</v>
      </c>
      <c r="AA929" s="1216">
        <v>679</v>
      </c>
      <c r="AB929" s="1216">
        <v>6</v>
      </c>
      <c r="AC929" s="1216">
        <v>999999</v>
      </c>
      <c r="AD929" s="1214">
        <v>0</v>
      </c>
      <c r="AE929" s="1217">
        <v>70</v>
      </c>
      <c r="AF929" s="170">
        <v>0</v>
      </c>
      <c r="AG929" s="171">
        <v>1</v>
      </c>
      <c r="AH929" s="171">
        <v>1</v>
      </c>
      <c r="AI929" s="171">
        <v>1</v>
      </c>
      <c r="AJ929" s="171">
        <v>0</v>
      </c>
      <c r="AK929" s="171">
        <v>1</v>
      </c>
      <c r="AL929" s="171">
        <v>0</v>
      </c>
      <c r="AM929" s="171">
        <v>1</v>
      </c>
      <c r="AN929" s="171">
        <v>1</v>
      </c>
      <c r="AO929" s="171">
        <v>1</v>
      </c>
      <c r="AP929" s="171">
        <v>1</v>
      </c>
      <c r="AQ929" s="171">
        <v>1</v>
      </c>
      <c r="AR929" s="171">
        <v>1</v>
      </c>
      <c r="AS929" s="171">
        <v>1</v>
      </c>
      <c r="AT929" s="171">
        <v>1</v>
      </c>
      <c r="AU929" s="171">
        <f t="shared" si="379"/>
        <v>0</v>
      </c>
      <c r="AV929" s="171">
        <f t="shared" si="380"/>
        <v>0</v>
      </c>
      <c r="AW929" s="171">
        <f t="shared" si="381"/>
        <v>1</v>
      </c>
      <c r="AX929" s="171">
        <f t="shared" si="371"/>
        <v>1</v>
      </c>
      <c r="AY929" s="171">
        <f t="shared" si="382"/>
        <v>0</v>
      </c>
      <c r="AZ929" s="171">
        <f t="shared" si="383"/>
        <v>1</v>
      </c>
      <c r="BA929" s="172">
        <f t="shared" si="384"/>
        <v>1</v>
      </c>
      <c r="BB929" s="175">
        <f t="shared" si="385"/>
        <v>16</v>
      </c>
      <c r="BC929" s="176">
        <f t="shared" si="386"/>
        <v>15</v>
      </c>
      <c r="BD929" s="176">
        <f t="shared" si="387"/>
        <v>16</v>
      </c>
      <c r="BE929" s="240" t="str">
        <f t="shared" si="378"/>
        <v/>
      </c>
      <c r="BF929" s="990"/>
      <c r="BG929" s="990"/>
      <c r="BH929" s="991">
        <f>IF(AND(Input_Product=Elig!$C929,Elig_MatchAll_Ct&lt;22,$BC929=(Elig_MatchAll_Ct-1),AF929=0),C929,0)</f>
        <v>0</v>
      </c>
      <c r="BI929" s="991">
        <f>IF(AND(Input_Product=Elig!$C929,Elig_MatchAll_Ct&lt;22,$BC929=(Elig_MatchAll_Ct-1),AG929=0),D929,0)</f>
        <v>0</v>
      </c>
      <c r="BJ929" s="991">
        <f>IF(AND(Input_Product=Elig!$C929,Elig_MatchAll_Ct&lt;22,$BC929=(Elig_MatchAll_Ct-1),AH929=0),E929,0)</f>
        <v>0</v>
      </c>
      <c r="BK929" s="991">
        <f>IF(AND(Input_Product=Elig!$C929,Elig_MatchAll_Ct&lt;22,$BC929=(Elig_MatchAll_Ct-1),AI929=0),F929,0)</f>
        <v>0</v>
      </c>
      <c r="BL929" s="991">
        <f>IF(AND(Input_Product=Elig!$C929,Elig_MatchAll_Ct&lt;22,$BC929=(Elig_MatchAll_Ct-1),AJ929=0),G929,0)</f>
        <v>0</v>
      </c>
      <c r="BM929" s="991">
        <f>IF(AND(Input_Product=Elig!$C929,Elig_MatchAll_Ct&lt;22,$BC929=(Elig_MatchAll_Ct-1),AK929=0),H929,0)</f>
        <v>0</v>
      </c>
      <c r="BN929" s="991">
        <f>IF(AND(Input_Product=Elig!$C929,Elig_MatchAll_Ct&lt;22,$BC929=(Elig_MatchAll_Ct-1),AL929=0),I929,0)</f>
        <v>0</v>
      </c>
      <c r="BO929" s="991">
        <f>IF(AND(Input_Product=Elig!$C929,Elig_MatchAll_Ct&lt;22,$BC929=(Elig_MatchAll_Ct-1),AM929=0),J929,0)</f>
        <v>0</v>
      </c>
      <c r="BP929" s="991">
        <f>IF(AND(Input_Product=Elig!$C929,Elig_MatchAll_Ct&lt;22,$BC929=(Elig_MatchAll_Ct-1),AN929=0),K929,0)</f>
        <v>0</v>
      </c>
      <c r="BQ929" s="991">
        <f>IF(AND(Input_Product=Elig!$C929,Elig_MatchAll_Ct&lt;22,$BC929=(Elig_MatchAll_Ct-1),AP929=0),L929,0)</f>
        <v>0</v>
      </c>
      <c r="BR929" s="991">
        <f>IF(AND(Input_Product=Elig!$C929,Elig_MatchAll_Ct&lt;22,$BC929=(Elig_MatchAll_Ct-1),AO929=0),M929,0)</f>
        <v>0</v>
      </c>
      <c r="BS929" s="991">
        <f>IF(AND(Input_Product=Elig!$C929,Elig_MatchAll_Ct&lt;22,$BC929=(Elig_MatchAll_Ct-1),AQ929=0),N929,0)</f>
        <v>0</v>
      </c>
      <c r="BT929" s="991">
        <f>IF(AND(Input_Product=Elig!$C929,Elig_MatchAll_Ct&lt;22,$BC929=(Elig_MatchAll_Ct-1),AR929=0),O929,0)</f>
        <v>0</v>
      </c>
      <c r="BU929" s="991">
        <f>IF(AND(Input_Product=Elig!$C929,Elig_MatchAll_Ct&lt;22,$BC929=(Elig_MatchAll_Ct-1),AS929=0),P929,0)</f>
        <v>0</v>
      </c>
      <c r="BV929" s="992">
        <f>IF(AND(Input_Product=Elig!$C929,Elig_MatchAll_Ct&lt;22,$BC929=(Elig_MatchAll_Ct-1),AT929=0),Q929,0)</f>
        <v>0</v>
      </c>
      <c r="BW929" s="993">
        <f>IF(AND(Input_Product=Elig!$C929,Elig_MatchAll_Ct&lt;22,$BC929=(Elig_MatchAll_Ct-1),AU929=0),R929,0)</f>
        <v>0</v>
      </c>
      <c r="BX929" s="994">
        <f>IF(AND(Input_Product=Elig!$C929,Elig_MatchAll_Ct&lt;22,$BC929=(Elig_MatchAll_Ct-1),AU929=0),S929,0)</f>
        <v>0</v>
      </c>
      <c r="BY929" s="993">
        <f>IF(AND(Input_Product=Elig!$C929,Elig_MatchAll_Ct&lt;22,$BC929=(Elig_MatchAll_Ct-1),AV929=0),T929,0)</f>
        <v>0</v>
      </c>
      <c r="BZ929" s="994">
        <f>IF(AND(Input_Product=Elig!$C929,Elig_MatchAll_Ct&lt;22,$BC929=(Elig_MatchAll_Ct-1),AV929=0),U929,0)</f>
        <v>0</v>
      </c>
      <c r="CA929" s="993">
        <f>IF(AND(Input_Product=Elig!$C929,Elig_MatchAll_Ct&lt;22,$BC929=(Elig_MatchAll_Ct-1),AW929=0),V929,0)</f>
        <v>0</v>
      </c>
      <c r="CB929" s="994">
        <f>IF(AND(Input_Product=Elig!$C929,Elig_MatchAll_Ct&lt;22,$BC929=(Elig_MatchAll_Ct-1),AW929=0),W929,0)</f>
        <v>0</v>
      </c>
      <c r="CC929" s="993">
        <f>IF(AND(Input_Product=Elig!$C929,Elig_MatchAll_Ct&lt;22,$BC929=(Elig_MatchAll_Ct-1),AX929=0),X929,0)</f>
        <v>0</v>
      </c>
      <c r="CD929" s="994">
        <f>IF(AND(Input_Product=Elig!$C929,Elig_MatchAll_Ct&lt;22,$BC929=(Elig_MatchAll_Ct-1),AX929=0),Y929,0)</f>
        <v>0</v>
      </c>
      <c r="CE929" s="993">
        <f>IF(AND(Input_LTV&lt;=AE929,Input_Product=Elig!$C929,Elig_MatchAll_Ct&lt;22,$BC929=(Elig_MatchAll_Ct-1),AY929=0),Z929,0)</f>
        <v>0</v>
      </c>
      <c r="CF929" s="994">
        <f>IF(AND(Input_LTV&lt;=AE929,Input_Product=Elig!$C929,Elig_MatchAll_Ct&lt;22,$BC929=(Elig_MatchAll_Ct-1),AY929=0),AA929,0)</f>
        <v>0</v>
      </c>
      <c r="CG929" s="993">
        <f>IF(AND(Input_Product=Elig!$C929,Elig_MatchAll_Ct&lt;22,$BC929=(Elig_MatchAll_Ct-1),AZ929=0),AB929,0)</f>
        <v>0</v>
      </c>
      <c r="CH929" s="994">
        <f>IF(AND(Input_Product=Elig!$C929,Elig_MatchAll_Ct&lt;22,$BC929=(Elig_MatchAll_Ct-1),AZ929=0),AC929,0)</f>
        <v>0</v>
      </c>
      <c r="CI929" s="993">
        <f>IF(AND(Input_Product=Elig!$C929,Elig_MatchAll_Ct&lt;22,$BC929=(Elig_MatchAll_Ct-1),BA929=0),AD929,0)</f>
        <v>0</v>
      </c>
      <c r="CJ929" s="994">
        <f>IF(AND(Input_Product=Elig!$C929,Elig_MatchAll_Ct&lt;22,$BC929=(Elig_MatchAll_Ct-1),BA929=0),AE929,0)</f>
        <v>0</v>
      </c>
    </row>
    <row r="930" spans="2:88" ht="10.15" customHeight="1" x14ac:dyDescent="0.25">
      <c r="B930" s="1916" t="s">
        <v>2266</v>
      </c>
      <c r="C930" s="1203" t="str">
        <f t="shared" si="367"/>
        <v xml:space="preserve">  </v>
      </c>
      <c r="D930" s="1204" t="s">
        <v>2218</v>
      </c>
      <c r="E930" s="1204" t="s">
        <v>167</v>
      </c>
      <c r="F930" s="1204" t="s">
        <v>331</v>
      </c>
      <c r="G930" s="1205" t="s">
        <v>468</v>
      </c>
      <c r="H930" s="1205" t="s">
        <v>136</v>
      </c>
      <c r="I930" s="1204" t="s">
        <v>274</v>
      </c>
      <c r="J930" s="1204" t="s">
        <v>1311</v>
      </c>
      <c r="K930" s="1205" t="s">
        <v>3022</v>
      </c>
      <c r="L930" s="1204" t="s">
        <v>2768</v>
      </c>
      <c r="M930" s="1204" t="s">
        <v>2677</v>
      </c>
      <c r="N930" s="1205" t="s">
        <v>82</v>
      </c>
      <c r="O930" s="1204" t="s">
        <v>310</v>
      </c>
      <c r="P930" s="1204" t="s">
        <v>291</v>
      </c>
      <c r="Q930" s="1204" t="s">
        <v>294</v>
      </c>
      <c r="R930" s="1204">
        <v>2000000.01</v>
      </c>
      <c r="S930" s="1204">
        <v>2500000</v>
      </c>
      <c r="T930" s="1204">
        <v>0</v>
      </c>
      <c r="U930" s="1204">
        <v>0</v>
      </c>
      <c r="V930" s="1204">
        <v>0</v>
      </c>
      <c r="W930" s="1204">
        <v>50</v>
      </c>
      <c r="X930" s="1204">
        <v>0</v>
      </c>
      <c r="Y930" s="1204">
        <v>999</v>
      </c>
      <c r="Z930" s="1206">
        <v>720</v>
      </c>
      <c r="AA930" s="1206">
        <v>999</v>
      </c>
      <c r="AB930" s="1206">
        <v>6</v>
      </c>
      <c r="AC930" s="1206">
        <v>999999</v>
      </c>
      <c r="AD930" s="1204">
        <v>0</v>
      </c>
      <c r="AE930" s="1207">
        <v>80</v>
      </c>
      <c r="AF930" s="170">
        <v>0</v>
      </c>
      <c r="AG930" s="171">
        <v>1</v>
      </c>
      <c r="AH930" s="171">
        <v>1</v>
      </c>
      <c r="AI930" s="171">
        <v>1</v>
      </c>
      <c r="AJ930" s="171">
        <v>0</v>
      </c>
      <c r="AK930" s="171">
        <v>1</v>
      </c>
      <c r="AL930" s="171">
        <v>0</v>
      </c>
      <c r="AM930" s="171">
        <v>1</v>
      </c>
      <c r="AN930" s="171">
        <v>1</v>
      </c>
      <c r="AO930" s="171">
        <v>1</v>
      </c>
      <c r="AP930" s="171">
        <v>1</v>
      </c>
      <c r="AQ930" s="171">
        <v>1</v>
      </c>
      <c r="AR930" s="171">
        <v>1</v>
      </c>
      <c r="AS930" s="171">
        <v>1</v>
      </c>
      <c r="AT930" s="171">
        <v>1</v>
      </c>
      <c r="AU930" s="171">
        <f t="shared" si="379"/>
        <v>0</v>
      </c>
      <c r="AV930" s="171">
        <f t="shared" si="380"/>
        <v>0</v>
      </c>
      <c r="AW930" s="171">
        <f t="shared" si="381"/>
        <v>1</v>
      </c>
      <c r="AX930" s="171">
        <f t="shared" si="371"/>
        <v>1</v>
      </c>
      <c r="AY930" s="171">
        <f t="shared" si="382"/>
        <v>1</v>
      </c>
      <c r="AZ930" s="171">
        <f t="shared" si="383"/>
        <v>1</v>
      </c>
      <c r="BA930" s="172">
        <f t="shared" si="384"/>
        <v>1</v>
      </c>
      <c r="BB930" s="175">
        <f t="shared" si="385"/>
        <v>17</v>
      </c>
      <c r="BC930" s="176">
        <f t="shared" si="386"/>
        <v>16</v>
      </c>
      <c r="BD930" s="176">
        <f t="shared" si="387"/>
        <v>17</v>
      </c>
      <c r="BE930" s="240" t="str">
        <f t="shared" si="378"/>
        <v/>
      </c>
      <c r="BF930" s="990"/>
      <c r="BG930" s="990"/>
      <c r="BH930" s="991">
        <f>IF(AND(Input_Product=Elig!$C930,Elig_MatchAll_Ct&lt;22,$BC930=(Elig_MatchAll_Ct-1),AF930=0),C930,0)</f>
        <v>0</v>
      </c>
      <c r="BI930" s="991">
        <f>IF(AND(Input_Product=Elig!$C930,Elig_MatchAll_Ct&lt;22,$BC930=(Elig_MatchAll_Ct-1),AG930=0),D930,0)</f>
        <v>0</v>
      </c>
      <c r="BJ930" s="991">
        <f>IF(AND(Input_Product=Elig!$C930,Elig_MatchAll_Ct&lt;22,$BC930=(Elig_MatchAll_Ct-1),AH930=0),E930,0)</f>
        <v>0</v>
      </c>
      <c r="BK930" s="991">
        <f>IF(AND(Input_Product=Elig!$C930,Elig_MatchAll_Ct&lt;22,$BC930=(Elig_MatchAll_Ct-1),AI930=0),F930,0)</f>
        <v>0</v>
      </c>
      <c r="BL930" s="991">
        <f>IF(AND(Input_Product=Elig!$C930,Elig_MatchAll_Ct&lt;22,$BC930=(Elig_MatchAll_Ct-1),AJ930=0),G930,0)</f>
        <v>0</v>
      </c>
      <c r="BM930" s="991">
        <f>IF(AND(Input_Product=Elig!$C930,Elig_MatchAll_Ct&lt;22,$BC930=(Elig_MatchAll_Ct-1),AK930=0),H930,0)</f>
        <v>0</v>
      </c>
      <c r="BN930" s="991">
        <f>IF(AND(Input_Product=Elig!$C930,Elig_MatchAll_Ct&lt;22,$BC930=(Elig_MatchAll_Ct-1),AL930=0),I930,0)</f>
        <v>0</v>
      </c>
      <c r="BO930" s="991">
        <f>IF(AND(Input_Product=Elig!$C930,Elig_MatchAll_Ct&lt;22,$BC930=(Elig_MatchAll_Ct-1),AM930=0),J930,0)</f>
        <v>0</v>
      </c>
      <c r="BP930" s="991">
        <f>IF(AND(Input_Product=Elig!$C930,Elig_MatchAll_Ct&lt;22,$BC930=(Elig_MatchAll_Ct-1),AN930=0),K930,0)</f>
        <v>0</v>
      </c>
      <c r="BQ930" s="991">
        <f>IF(AND(Input_Product=Elig!$C930,Elig_MatchAll_Ct&lt;22,$BC930=(Elig_MatchAll_Ct-1),AP930=0),L930,0)</f>
        <v>0</v>
      </c>
      <c r="BR930" s="991">
        <f>IF(AND(Input_Product=Elig!$C930,Elig_MatchAll_Ct&lt;22,$BC930=(Elig_MatchAll_Ct-1),AO930=0),M930,0)</f>
        <v>0</v>
      </c>
      <c r="BS930" s="991">
        <f>IF(AND(Input_Product=Elig!$C930,Elig_MatchAll_Ct&lt;22,$BC930=(Elig_MatchAll_Ct-1),AQ930=0),N930,0)</f>
        <v>0</v>
      </c>
      <c r="BT930" s="991">
        <f>IF(AND(Input_Product=Elig!$C930,Elig_MatchAll_Ct&lt;22,$BC930=(Elig_MatchAll_Ct-1),AR930=0),O930,0)</f>
        <v>0</v>
      </c>
      <c r="BU930" s="991">
        <f>IF(AND(Input_Product=Elig!$C930,Elig_MatchAll_Ct&lt;22,$BC930=(Elig_MatchAll_Ct-1),AS930=0),P930,0)</f>
        <v>0</v>
      </c>
      <c r="BV930" s="992">
        <f>IF(AND(Input_Product=Elig!$C930,Elig_MatchAll_Ct&lt;22,$BC930=(Elig_MatchAll_Ct-1),AT930=0),Q930,0)</f>
        <v>0</v>
      </c>
      <c r="BW930" s="993">
        <f>IF(AND(Input_Product=Elig!$C930,Elig_MatchAll_Ct&lt;22,$BC930=(Elig_MatchAll_Ct-1),AU930=0),R930,0)</f>
        <v>0</v>
      </c>
      <c r="BX930" s="994">
        <f>IF(AND(Input_Product=Elig!$C930,Elig_MatchAll_Ct&lt;22,$BC930=(Elig_MatchAll_Ct-1),AU930=0),S930,0)</f>
        <v>0</v>
      </c>
      <c r="BY930" s="993">
        <f>IF(AND(Input_Product=Elig!$C930,Elig_MatchAll_Ct&lt;22,$BC930=(Elig_MatchAll_Ct-1),AV930=0),T930,0)</f>
        <v>0</v>
      </c>
      <c r="BZ930" s="994">
        <f>IF(AND(Input_Product=Elig!$C930,Elig_MatchAll_Ct&lt;22,$BC930=(Elig_MatchAll_Ct-1),AV930=0),U930,0)</f>
        <v>0</v>
      </c>
      <c r="CA930" s="993">
        <f>IF(AND(Input_Product=Elig!$C930,Elig_MatchAll_Ct&lt;22,$BC930=(Elig_MatchAll_Ct-1),AW930=0),V930,0)</f>
        <v>0</v>
      </c>
      <c r="CB930" s="994">
        <f>IF(AND(Input_Product=Elig!$C930,Elig_MatchAll_Ct&lt;22,$BC930=(Elig_MatchAll_Ct-1),AW930=0),W930,0)</f>
        <v>0</v>
      </c>
      <c r="CC930" s="993">
        <f>IF(AND(Input_Product=Elig!$C930,Elig_MatchAll_Ct&lt;22,$BC930=(Elig_MatchAll_Ct-1),AX930=0),X930,0)</f>
        <v>0</v>
      </c>
      <c r="CD930" s="994">
        <f>IF(AND(Input_Product=Elig!$C930,Elig_MatchAll_Ct&lt;22,$BC930=(Elig_MatchAll_Ct-1),AX930=0),Y930,0)</f>
        <v>0</v>
      </c>
      <c r="CE930" s="993">
        <f>IF(AND(Input_LTV&lt;=AE930,Input_Product=Elig!$C930,Elig_MatchAll_Ct&lt;22,$BC930=(Elig_MatchAll_Ct-1),AY930=0),Z930,0)</f>
        <v>0</v>
      </c>
      <c r="CF930" s="994">
        <f>IF(AND(Input_LTV&lt;=AE930,Input_Product=Elig!$C930,Elig_MatchAll_Ct&lt;22,$BC930=(Elig_MatchAll_Ct-1),AY930=0),AA930,0)</f>
        <v>0</v>
      </c>
      <c r="CG930" s="993">
        <f>IF(AND(Input_Product=Elig!$C930,Elig_MatchAll_Ct&lt;22,$BC930=(Elig_MatchAll_Ct-1),AZ930=0),AB930,0)</f>
        <v>0</v>
      </c>
      <c r="CH930" s="994">
        <f>IF(AND(Input_Product=Elig!$C930,Elig_MatchAll_Ct&lt;22,$BC930=(Elig_MatchAll_Ct-1),AZ930=0),AC930,0)</f>
        <v>0</v>
      </c>
      <c r="CI930" s="993">
        <f>IF(AND(Input_Product=Elig!$C930,Elig_MatchAll_Ct&lt;22,$BC930=(Elig_MatchAll_Ct-1),BA930=0),AD930,0)</f>
        <v>0</v>
      </c>
      <c r="CJ930" s="994">
        <f>IF(AND(Input_Product=Elig!$C930,Elig_MatchAll_Ct&lt;22,$BC930=(Elig_MatchAll_Ct-1),BA930=0),AE930,0)</f>
        <v>0</v>
      </c>
    </row>
    <row r="931" spans="2:88" ht="10.15" customHeight="1" x14ac:dyDescent="0.25">
      <c r="B931" s="1916" t="s">
        <v>2267</v>
      </c>
      <c r="C931" s="1208" t="str">
        <f t="shared" si="367"/>
        <v xml:space="preserve">  </v>
      </c>
      <c r="D931" s="1209" t="s">
        <v>2218</v>
      </c>
      <c r="E931" s="1209" t="s">
        <v>167</v>
      </c>
      <c r="F931" s="1209" t="s">
        <v>331</v>
      </c>
      <c r="G931" s="1210" t="s">
        <v>468</v>
      </c>
      <c r="H931" s="1210" t="s">
        <v>136</v>
      </c>
      <c r="I931" s="1209" t="s">
        <v>274</v>
      </c>
      <c r="J931" s="1209" t="s">
        <v>1311</v>
      </c>
      <c r="K931" s="1210" t="s">
        <v>3022</v>
      </c>
      <c r="L931" s="1209" t="s">
        <v>2768</v>
      </c>
      <c r="M931" s="1209" t="s">
        <v>2677</v>
      </c>
      <c r="N931" s="1210" t="s">
        <v>82</v>
      </c>
      <c r="O931" s="1209" t="s">
        <v>310</v>
      </c>
      <c r="P931" s="1209" t="s">
        <v>291</v>
      </c>
      <c r="Q931" s="1209" t="s">
        <v>294</v>
      </c>
      <c r="R931" s="1209">
        <v>2000000.01</v>
      </c>
      <c r="S931" s="1209">
        <v>2500000</v>
      </c>
      <c r="T931" s="1209">
        <v>0</v>
      </c>
      <c r="U931" s="1209">
        <v>0</v>
      </c>
      <c r="V931" s="1209">
        <v>0</v>
      </c>
      <c r="W931" s="1209">
        <v>50</v>
      </c>
      <c r="X931" s="1209">
        <v>0</v>
      </c>
      <c r="Y931" s="1209">
        <v>999</v>
      </c>
      <c r="Z931" s="1211">
        <v>700</v>
      </c>
      <c r="AA931" s="1211">
        <v>719</v>
      </c>
      <c r="AB931" s="1211">
        <v>6</v>
      </c>
      <c r="AC931" s="1211">
        <v>999999</v>
      </c>
      <c r="AD931" s="1209">
        <v>0</v>
      </c>
      <c r="AE931" s="1212">
        <v>80</v>
      </c>
      <c r="AF931" s="170">
        <v>0</v>
      </c>
      <c r="AG931" s="171">
        <v>1</v>
      </c>
      <c r="AH931" s="171">
        <v>1</v>
      </c>
      <c r="AI931" s="171">
        <v>1</v>
      </c>
      <c r="AJ931" s="171">
        <v>0</v>
      </c>
      <c r="AK931" s="171">
        <v>1</v>
      </c>
      <c r="AL931" s="171">
        <v>0</v>
      </c>
      <c r="AM931" s="171">
        <v>1</v>
      </c>
      <c r="AN931" s="171">
        <v>1</v>
      </c>
      <c r="AO931" s="171">
        <v>1</v>
      </c>
      <c r="AP931" s="171">
        <v>1</v>
      </c>
      <c r="AQ931" s="171">
        <v>1</v>
      </c>
      <c r="AR931" s="171">
        <v>1</v>
      </c>
      <c r="AS931" s="171">
        <v>1</v>
      </c>
      <c r="AT931" s="171">
        <v>1</v>
      </c>
      <c r="AU931" s="171">
        <f t="shared" si="379"/>
        <v>0</v>
      </c>
      <c r="AV931" s="171">
        <f t="shared" si="380"/>
        <v>0</v>
      </c>
      <c r="AW931" s="171">
        <f t="shared" si="381"/>
        <v>1</v>
      </c>
      <c r="AX931" s="171">
        <f t="shared" si="371"/>
        <v>1</v>
      </c>
      <c r="AY931" s="171">
        <f t="shared" si="382"/>
        <v>0</v>
      </c>
      <c r="AZ931" s="171">
        <f t="shared" si="383"/>
        <v>1</v>
      </c>
      <c r="BA931" s="172">
        <f t="shared" si="384"/>
        <v>1</v>
      </c>
      <c r="BB931" s="175">
        <f t="shared" si="385"/>
        <v>16</v>
      </c>
      <c r="BC931" s="176">
        <f t="shared" si="386"/>
        <v>15</v>
      </c>
      <c r="BD931" s="176">
        <f t="shared" si="387"/>
        <v>16</v>
      </c>
      <c r="BE931" s="240" t="str">
        <f t="shared" si="378"/>
        <v/>
      </c>
      <c r="BF931" s="990"/>
      <c r="BG931" s="990"/>
      <c r="BH931" s="991">
        <f>IF(AND(Input_Product=Elig!$C931,Elig_MatchAll_Ct&lt;22,$BC931=(Elig_MatchAll_Ct-1),AF931=0),C931,0)</f>
        <v>0</v>
      </c>
      <c r="BI931" s="991">
        <f>IF(AND(Input_Product=Elig!$C931,Elig_MatchAll_Ct&lt;22,$BC931=(Elig_MatchAll_Ct-1),AG931=0),D931,0)</f>
        <v>0</v>
      </c>
      <c r="BJ931" s="991">
        <f>IF(AND(Input_Product=Elig!$C931,Elig_MatchAll_Ct&lt;22,$BC931=(Elig_MatchAll_Ct-1),AH931=0),E931,0)</f>
        <v>0</v>
      </c>
      <c r="BK931" s="991">
        <f>IF(AND(Input_Product=Elig!$C931,Elig_MatchAll_Ct&lt;22,$BC931=(Elig_MatchAll_Ct-1),AI931=0),F931,0)</f>
        <v>0</v>
      </c>
      <c r="BL931" s="991">
        <f>IF(AND(Input_Product=Elig!$C931,Elig_MatchAll_Ct&lt;22,$BC931=(Elig_MatchAll_Ct-1),AJ931=0),G931,0)</f>
        <v>0</v>
      </c>
      <c r="BM931" s="991">
        <f>IF(AND(Input_Product=Elig!$C931,Elig_MatchAll_Ct&lt;22,$BC931=(Elig_MatchAll_Ct-1),AK931=0),H931,0)</f>
        <v>0</v>
      </c>
      <c r="BN931" s="991">
        <f>IF(AND(Input_Product=Elig!$C931,Elig_MatchAll_Ct&lt;22,$BC931=(Elig_MatchAll_Ct-1),AL931=0),I931,0)</f>
        <v>0</v>
      </c>
      <c r="BO931" s="991">
        <f>IF(AND(Input_Product=Elig!$C931,Elig_MatchAll_Ct&lt;22,$BC931=(Elig_MatchAll_Ct-1),AM931=0),J931,0)</f>
        <v>0</v>
      </c>
      <c r="BP931" s="991">
        <f>IF(AND(Input_Product=Elig!$C931,Elig_MatchAll_Ct&lt;22,$BC931=(Elig_MatchAll_Ct-1),AN931=0),K931,0)</f>
        <v>0</v>
      </c>
      <c r="BQ931" s="991">
        <f>IF(AND(Input_Product=Elig!$C931,Elig_MatchAll_Ct&lt;22,$BC931=(Elig_MatchAll_Ct-1),AP931=0),L931,0)</f>
        <v>0</v>
      </c>
      <c r="BR931" s="991">
        <f>IF(AND(Input_Product=Elig!$C931,Elig_MatchAll_Ct&lt;22,$BC931=(Elig_MatchAll_Ct-1),AO931=0),M931,0)</f>
        <v>0</v>
      </c>
      <c r="BS931" s="991">
        <f>IF(AND(Input_Product=Elig!$C931,Elig_MatchAll_Ct&lt;22,$BC931=(Elig_MatchAll_Ct-1),AQ931=0),N931,0)</f>
        <v>0</v>
      </c>
      <c r="BT931" s="991">
        <f>IF(AND(Input_Product=Elig!$C931,Elig_MatchAll_Ct&lt;22,$BC931=(Elig_MatchAll_Ct-1),AR931=0),O931,0)</f>
        <v>0</v>
      </c>
      <c r="BU931" s="991">
        <f>IF(AND(Input_Product=Elig!$C931,Elig_MatchAll_Ct&lt;22,$BC931=(Elig_MatchAll_Ct-1),AS931=0),P931,0)</f>
        <v>0</v>
      </c>
      <c r="BV931" s="992">
        <f>IF(AND(Input_Product=Elig!$C931,Elig_MatchAll_Ct&lt;22,$BC931=(Elig_MatchAll_Ct-1),AT931=0),Q931,0)</f>
        <v>0</v>
      </c>
      <c r="BW931" s="993">
        <f>IF(AND(Input_Product=Elig!$C931,Elig_MatchAll_Ct&lt;22,$BC931=(Elig_MatchAll_Ct-1),AU931=0),R931,0)</f>
        <v>0</v>
      </c>
      <c r="BX931" s="994">
        <f>IF(AND(Input_Product=Elig!$C931,Elig_MatchAll_Ct&lt;22,$BC931=(Elig_MatchAll_Ct-1),AU931=0),S931,0)</f>
        <v>0</v>
      </c>
      <c r="BY931" s="993">
        <f>IF(AND(Input_Product=Elig!$C931,Elig_MatchAll_Ct&lt;22,$BC931=(Elig_MatchAll_Ct-1),AV931=0),T931,0)</f>
        <v>0</v>
      </c>
      <c r="BZ931" s="994">
        <f>IF(AND(Input_Product=Elig!$C931,Elig_MatchAll_Ct&lt;22,$BC931=(Elig_MatchAll_Ct-1),AV931=0),U931,0)</f>
        <v>0</v>
      </c>
      <c r="CA931" s="993">
        <f>IF(AND(Input_Product=Elig!$C931,Elig_MatchAll_Ct&lt;22,$BC931=(Elig_MatchAll_Ct-1),AW931=0),V931,0)</f>
        <v>0</v>
      </c>
      <c r="CB931" s="994">
        <f>IF(AND(Input_Product=Elig!$C931,Elig_MatchAll_Ct&lt;22,$BC931=(Elig_MatchAll_Ct-1),AW931=0),W931,0)</f>
        <v>0</v>
      </c>
      <c r="CC931" s="993">
        <f>IF(AND(Input_Product=Elig!$C931,Elig_MatchAll_Ct&lt;22,$BC931=(Elig_MatchAll_Ct-1),AX931=0),X931,0)</f>
        <v>0</v>
      </c>
      <c r="CD931" s="994">
        <f>IF(AND(Input_Product=Elig!$C931,Elig_MatchAll_Ct&lt;22,$BC931=(Elig_MatchAll_Ct-1),AX931=0),Y931,0)</f>
        <v>0</v>
      </c>
      <c r="CE931" s="993">
        <f>IF(AND(Input_LTV&lt;=AE931,Input_Product=Elig!$C931,Elig_MatchAll_Ct&lt;22,$BC931=(Elig_MatchAll_Ct-1),AY931=0),Z931,0)</f>
        <v>0</v>
      </c>
      <c r="CF931" s="994">
        <f>IF(AND(Input_LTV&lt;=AE931,Input_Product=Elig!$C931,Elig_MatchAll_Ct&lt;22,$BC931=(Elig_MatchAll_Ct-1),AY931=0),AA931,0)</f>
        <v>0</v>
      </c>
      <c r="CG931" s="993">
        <f>IF(AND(Input_Product=Elig!$C931,Elig_MatchAll_Ct&lt;22,$BC931=(Elig_MatchAll_Ct-1),AZ931=0),AB931,0)</f>
        <v>0</v>
      </c>
      <c r="CH931" s="994">
        <f>IF(AND(Input_Product=Elig!$C931,Elig_MatchAll_Ct&lt;22,$BC931=(Elig_MatchAll_Ct-1),AZ931=0),AC931,0)</f>
        <v>0</v>
      </c>
      <c r="CI931" s="993">
        <f>IF(AND(Input_Product=Elig!$C931,Elig_MatchAll_Ct&lt;22,$BC931=(Elig_MatchAll_Ct-1),BA931=0),AD931,0)</f>
        <v>0</v>
      </c>
      <c r="CJ931" s="994">
        <f>IF(AND(Input_Product=Elig!$C931,Elig_MatchAll_Ct&lt;22,$BC931=(Elig_MatchAll_Ct-1),BA931=0),AE931,0)</f>
        <v>0</v>
      </c>
    </row>
    <row r="932" spans="2:88" ht="10.15" customHeight="1" x14ac:dyDescent="0.25">
      <c r="B932" s="1916" t="s">
        <v>2268</v>
      </c>
      <c r="C932" s="1213" t="str">
        <f t="shared" si="367"/>
        <v xml:space="preserve">  </v>
      </c>
      <c r="D932" s="1214" t="s">
        <v>2218</v>
      </c>
      <c r="E932" s="1214" t="s">
        <v>167</v>
      </c>
      <c r="F932" s="1214" t="s">
        <v>331</v>
      </c>
      <c r="G932" s="1215" t="s">
        <v>468</v>
      </c>
      <c r="H932" s="1215" t="s">
        <v>136</v>
      </c>
      <c r="I932" s="1214" t="s">
        <v>274</v>
      </c>
      <c r="J932" s="1214" t="s">
        <v>1311</v>
      </c>
      <c r="K932" s="1215" t="s">
        <v>3022</v>
      </c>
      <c r="L932" s="1214" t="s">
        <v>2768</v>
      </c>
      <c r="M932" s="1214" t="s">
        <v>2677</v>
      </c>
      <c r="N932" s="1215" t="s">
        <v>82</v>
      </c>
      <c r="O932" s="1214" t="s">
        <v>310</v>
      </c>
      <c r="P932" s="1214" t="s">
        <v>291</v>
      </c>
      <c r="Q932" s="1214" t="s">
        <v>294</v>
      </c>
      <c r="R932" s="1214">
        <v>2000000.01</v>
      </c>
      <c r="S932" s="1214">
        <v>2500000</v>
      </c>
      <c r="T932" s="1214">
        <v>0</v>
      </c>
      <c r="U932" s="1214">
        <v>0</v>
      </c>
      <c r="V932" s="1214">
        <v>0</v>
      </c>
      <c r="W932" s="1214">
        <v>50</v>
      </c>
      <c r="X932" s="1214">
        <v>0</v>
      </c>
      <c r="Y932" s="1214">
        <v>999</v>
      </c>
      <c r="Z932" s="1216">
        <v>680</v>
      </c>
      <c r="AA932" s="1216">
        <v>699</v>
      </c>
      <c r="AB932" s="1216">
        <v>6</v>
      </c>
      <c r="AC932" s="1216">
        <v>999999</v>
      </c>
      <c r="AD932" s="1214">
        <v>0</v>
      </c>
      <c r="AE932" s="1217">
        <v>80</v>
      </c>
      <c r="AF932" s="170">
        <v>0</v>
      </c>
      <c r="AG932" s="171">
        <v>1</v>
      </c>
      <c r="AH932" s="171">
        <v>1</v>
      </c>
      <c r="AI932" s="171">
        <v>1</v>
      </c>
      <c r="AJ932" s="171">
        <v>0</v>
      </c>
      <c r="AK932" s="171">
        <v>1</v>
      </c>
      <c r="AL932" s="171">
        <v>0</v>
      </c>
      <c r="AM932" s="171">
        <v>1</v>
      </c>
      <c r="AN932" s="171">
        <v>1</v>
      </c>
      <c r="AO932" s="171">
        <v>1</v>
      </c>
      <c r="AP932" s="171">
        <v>1</v>
      </c>
      <c r="AQ932" s="171">
        <v>1</v>
      </c>
      <c r="AR932" s="171">
        <v>1</v>
      </c>
      <c r="AS932" s="171">
        <v>1</v>
      </c>
      <c r="AT932" s="171">
        <v>1</v>
      </c>
      <c r="AU932" s="171">
        <f t="shared" si="379"/>
        <v>0</v>
      </c>
      <c r="AV932" s="171">
        <f t="shared" si="380"/>
        <v>0</v>
      </c>
      <c r="AW932" s="171">
        <f t="shared" si="381"/>
        <v>1</v>
      </c>
      <c r="AX932" s="171">
        <f t="shared" si="371"/>
        <v>1</v>
      </c>
      <c r="AY932" s="171">
        <f t="shared" si="382"/>
        <v>0</v>
      </c>
      <c r="AZ932" s="171">
        <f t="shared" si="383"/>
        <v>1</v>
      </c>
      <c r="BA932" s="172">
        <f t="shared" si="384"/>
        <v>1</v>
      </c>
      <c r="BB932" s="175">
        <f t="shared" si="385"/>
        <v>16</v>
      </c>
      <c r="BC932" s="176">
        <f t="shared" si="386"/>
        <v>15</v>
      </c>
      <c r="BD932" s="176">
        <f t="shared" si="387"/>
        <v>16</v>
      </c>
      <c r="BE932" s="240" t="str">
        <f t="shared" si="378"/>
        <v/>
      </c>
      <c r="BF932" s="990"/>
      <c r="BG932" s="990"/>
      <c r="BH932" s="991">
        <f>IF(AND(Input_Product=Elig!$C932,Elig_MatchAll_Ct&lt;22,$BC932=(Elig_MatchAll_Ct-1),AF932=0),C932,0)</f>
        <v>0</v>
      </c>
      <c r="BI932" s="991">
        <f>IF(AND(Input_Product=Elig!$C932,Elig_MatchAll_Ct&lt;22,$BC932=(Elig_MatchAll_Ct-1),AG932=0),D932,0)</f>
        <v>0</v>
      </c>
      <c r="BJ932" s="991">
        <f>IF(AND(Input_Product=Elig!$C932,Elig_MatchAll_Ct&lt;22,$BC932=(Elig_MatchAll_Ct-1),AH932=0),E932,0)</f>
        <v>0</v>
      </c>
      <c r="BK932" s="991">
        <f>IF(AND(Input_Product=Elig!$C932,Elig_MatchAll_Ct&lt;22,$BC932=(Elig_MatchAll_Ct-1),AI932=0),F932,0)</f>
        <v>0</v>
      </c>
      <c r="BL932" s="991">
        <f>IF(AND(Input_Product=Elig!$C932,Elig_MatchAll_Ct&lt;22,$BC932=(Elig_MatchAll_Ct-1),AJ932=0),G932,0)</f>
        <v>0</v>
      </c>
      <c r="BM932" s="991">
        <f>IF(AND(Input_Product=Elig!$C932,Elig_MatchAll_Ct&lt;22,$BC932=(Elig_MatchAll_Ct-1),AK932=0),H932,0)</f>
        <v>0</v>
      </c>
      <c r="BN932" s="991">
        <f>IF(AND(Input_Product=Elig!$C932,Elig_MatchAll_Ct&lt;22,$BC932=(Elig_MatchAll_Ct-1),AL932=0),I932,0)</f>
        <v>0</v>
      </c>
      <c r="BO932" s="991">
        <f>IF(AND(Input_Product=Elig!$C932,Elig_MatchAll_Ct&lt;22,$BC932=(Elig_MatchAll_Ct-1),AM932=0),J932,0)</f>
        <v>0</v>
      </c>
      <c r="BP932" s="991">
        <f>IF(AND(Input_Product=Elig!$C932,Elig_MatchAll_Ct&lt;22,$BC932=(Elig_MatchAll_Ct-1),AN932=0),K932,0)</f>
        <v>0</v>
      </c>
      <c r="BQ932" s="991">
        <f>IF(AND(Input_Product=Elig!$C932,Elig_MatchAll_Ct&lt;22,$BC932=(Elig_MatchAll_Ct-1),AP932=0),L932,0)</f>
        <v>0</v>
      </c>
      <c r="BR932" s="991">
        <f>IF(AND(Input_Product=Elig!$C932,Elig_MatchAll_Ct&lt;22,$BC932=(Elig_MatchAll_Ct-1),AO932=0),M932,0)</f>
        <v>0</v>
      </c>
      <c r="BS932" s="991">
        <f>IF(AND(Input_Product=Elig!$C932,Elig_MatchAll_Ct&lt;22,$BC932=(Elig_MatchAll_Ct-1),AQ932=0),N932,0)</f>
        <v>0</v>
      </c>
      <c r="BT932" s="991">
        <f>IF(AND(Input_Product=Elig!$C932,Elig_MatchAll_Ct&lt;22,$BC932=(Elig_MatchAll_Ct-1),AR932=0),O932,0)</f>
        <v>0</v>
      </c>
      <c r="BU932" s="991">
        <f>IF(AND(Input_Product=Elig!$C932,Elig_MatchAll_Ct&lt;22,$BC932=(Elig_MatchAll_Ct-1),AS932=0),P932,0)</f>
        <v>0</v>
      </c>
      <c r="BV932" s="992">
        <f>IF(AND(Input_Product=Elig!$C932,Elig_MatchAll_Ct&lt;22,$BC932=(Elig_MatchAll_Ct-1),AT932=0),Q932,0)</f>
        <v>0</v>
      </c>
      <c r="BW932" s="993">
        <f>IF(AND(Input_Product=Elig!$C932,Elig_MatchAll_Ct&lt;22,$BC932=(Elig_MatchAll_Ct-1),AU932=0),R932,0)</f>
        <v>0</v>
      </c>
      <c r="BX932" s="994">
        <f>IF(AND(Input_Product=Elig!$C932,Elig_MatchAll_Ct&lt;22,$BC932=(Elig_MatchAll_Ct-1),AU932=0),S932,0)</f>
        <v>0</v>
      </c>
      <c r="BY932" s="993">
        <f>IF(AND(Input_Product=Elig!$C932,Elig_MatchAll_Ct&lt;22,$BC932=(Elig_MatchAll_Ct-1),AV932=0),T932,0)</f>
        <v>0</v>
      </c>
      <c r="BZ932" s="994">
        <f>IF(AND(Input_Product=Elig!$C932,Elig_MatchAll_Ct&lt;22,$BC932=(Elig_MatchAll_Ct-1),AV932=0),U932,0)</f>
        <v>0</v>
      </c>
      <c r="CA932" s="993">
        <f>IF(AND(Input_Product=Elig!$C932,Elig_MatchAll_Ct&lt;22,$BC932=(Elig_MatchAll_Ct-1),AW932=0),V932,0)</f>
        <v>0</v>
      </c>
      <c r="CB932" s="994">
        <f>IF(AND(Input_Product=Elig!$C932,Elig_MatchAll_Ct&lt;22,$BC932=(Elig_MatchAll_Ct-1),AW932=0),W932,0)</f>
        <v>0</v>
      </c>
      <c r="CC932" s="993">
        <f>IF(AND(Input_Product=Elig!$C932,Elig_MatchAll_Ct&lt;22,$BC932=(Elig_MatchAll_Ct-1),AX932=0),X932,0)</f>
        <v>0</v>
      </c>
      <c r="CD932" s="994">
        <f>IF(AND(Input_Product=Elig!$C932,Elig_MatchAll_Ct&lt;22,$BC932=(Elig_MatchAll_Ct-1),AX932=0),Y932,0)</f>
        <v>0</v>
      </c>
      <c r="CE932" s="993">
        <f>IF(AND(Input_LTV&lt;=AE932,Input_Product=Elig!$C932,Elig_MatchAll_Ct&lt;22,$BC932=(Elig_MatchAll_Ct-1),AY932=0),Z932,0)</f>
        <v>0</v>
      </c>
      <c r="CF932" s="994">
        <f>IF(AND(Input_LTV&lt;=AE932,Input_Product=Elig!$C932,Elig_MatchAll_Ct&lt;22,$BC932=(Elig_MatchAll_Ct-1),AY932=0),AA932,0)</f>
        <v>0</v>
      </c>
      <c r="CG932" s="993">
        <f>IF(AND(Input_Product=Elig!$C932,Elig_MatchAll_Ct&lt;22,$BC932=(Elig_MatchAll_Ct-1),AZ932=0),AB932,0)</f>
        <v>0</v>
      </c>
      <c r="CH932" s="994">
        <f>IF(AND(Input_Product=Elig!$C932,Elig_MatchAll_Ct&lt;22,$BC932=(Elig_MatchAll_Ct-1),AZ932=0),AC932,0)</f>
        <v>0</v>
      </c>
      <c r="CI932" s="993">
        <f>IF(AND(Input_Product=Elig!$C932,Elig_MatchAll_Ct&lt;22,$BC932=(Elig_MatchAll_Ct-1),BA932=0),AD932,0)</f>
        <v>0</v>
      </c>
      <c r="CJ932" s="994">
        <f>IF(AND(Input_Product=Elig!$C932,Elig_MatchAll_Ct&lt;22,$BC932=(Elig_MatchAll_Ct-1),BA932=0),AE932,0)</f>
        <v>0</v>
      </c>
    </row>
    <row r="933" spans="2:88" ht="10.15" customHeight="1" x14ac:dyDescent="0.25">
      <c r="B933" s="1916" t="s">
        <v>2269</v>
      </c>
      <c r="C933" s="1203" t="str">
        <f t="shared" si="367"/>
        <v xml:space="preserve">  </v>
      </c>
      <c r="D933" s="1204" t="s">
        <v>2218</v>
      </c>
      <c r="E933" s="1204" t="s">
        <v>167</v>
      </c>
      <c r="F933" s="1204" t="s">
        <v>331</v>
      </c>
      <c r="G933" s="1205" t="s">
        <v>468</v>
      </c>
      <c r="H933" s="1205" t="s">
        <v>136</v>
      </c>
      <c r="I933" s="1204" t="s">
        <v>274</v>
      </c>
      <c r="J933" s="1204" t="s">
        <v>1311</v>
      </c>
      <c r="K933" s="1205" t="s">
        <v>3022</v>
      </c>
      <c r="L933" s="1204" t="s">
        <v>2768</v>
      </c>
      <c r="M933" s="1204" t="s">
        <v>2677</v>
      </c>
      <c r="N933" s="1205" t="s">
        <v>82</v>
      </c>
      <c r="O933" s="1204" t="s">
        <v>310</v>
      </c>
      <c r="P933" s="1204" t="s">
        <v>291</v>
      </c>
      <c r="Q933" s="1204" t="s">
        <v>294</v>
      </c>
      <c r="R933" s="1204">
        <v>2500000.0099999998</v>
      </c>
      <c r="S933" s="1204">
        <v>3000000</v>
      </c>
      <c r="T933" s="1204">
        <v>0</v>
      </c>
      <c r="U933" s="1204">
        <v>0</v>
      </c>
      <c r="V933" s="1204">
        <v>0</v>
      </c>
      <c r="W933" s="1204">
        <v>50</v>
      </c>
      <c r="X933" s="1204">
        <v>0</v>
      </c>
      <c r="Y933" s="1204">
        <v>999</v>
      </c>
      <c r="Z933" s="1206">
        <v>720</v>
      </c>
      <c r="AA933" s="1206">
        <v>999</v>
      </c>
      <c r="AB933" s="1206">
        <v>6</v>
      </c>
      <c r="AC933" s="1206">
        <v>999999</v>
      </c>
      <c r="AD933" s="1204">
        <v>0</v>
      </c>
      <c r="AE933" s="1207">
        <v>75</v>
      </c>
      <c r="AF933" s="170">
        <v>0</v>
      </c>
      <c r="AG933" s="171">
        <v>1</v>
      </c>
      <c r="AH933" s="171">
        <v>1</v>
      </c>
      <c r="AI933" s="171">
        <v>1</v>
      </c>
      <c r="AJ933" s="171">
        <v>0</v>
      </c>
      <c r="AK933" s="171">
        <v>1</v>
      </c>
      <c r="AL933" s="171">
        <v>0</v>
      </c>
      <c r="AM933" s="171">
        <v>1</v>
      </c>
      <c r="AN933" s="171">
        <v>1</v>
      </c>
      <c r="AO933" s="171">
        <v>1</v>
      </c>
      <c r="AP933" s="171">
        <v>1</v>
      </c>
      <c r="AQ933" s="171">
        <v>1</v>
      </c>
      <c r="AR933" s="171">
        <v>1</v>
      </c>
      <c r="AS933" s="171">
        <v>1</v>
      </c>
      <c r="AT933" s="171">
        <v>1</v>
      </c>
      <c r="AU933" s="171">
        <f t="shared" si="379"/>
        <v>0</v>
      </c>
      <c r="AV933" s="171">
        <f t="shared" si="380"/>
        <v>0</v>
      </c>
      <c r="AW933" s="171">
        <f t="shared" si="381"/>
        <v>1</v>
      </c>
      <c r="AX933" s="171">
        <f t="shared" ref="AX933:AX996" si="388">IF(AND(Input_DSCR&gt;=Elig_DSCR_Min,Input_DSCR&lt;=Elig_DSCR_Max),1,0)</f>
        <v>1</v>
      </c>
      <c r="AY933" s="171">
        <f t="shared" si="382"/>
        <v>1</v>
      </c>
      <c r="AZ933" s="171">
        <f t="shared" si="383"/>
        <v>1</v>
      </c>
      <c r="BA933" s="172">
        <f t="shared" si="384"/>
        <v>1</v>
      </c>
      <c r="BB933" s="175">
        <f t="shared" si="385"/>
        <v>17</v>
      </c>
      <c r="BC933" s="176">
        <f t="shared" si="386"/>
        <v>16</v>
      </c>
      <c r="BD933" s="176">
        <f t="shared" si="387"/>
        <v>17</v>
      </c>
      <c r="BE933" s="240" t="str">
        <f t="shared" si="378"/>
        <v/>
      </c>
      <c r="BF933" s="990"/>
      <c r="BG933" s="990"/>
      <c r="BH933" s="991">
        <f>IF(AND(Input_Product=Elig!$C933,Elig_MatchAll_Ct&lt;22,$BC933=(Elig_MatchAll_Ct-1),AF933=0),C933,0)</f>
        <v>0</v>
      </c>
      <c r="BI933" s="991">
        <f>IF(AND(Input_Product=Elig!$C933,Elig_MatchAll_Ct&lt;22,$BC933=(Elig_MatchAll_Ct-1),AG933=0),D933,0)</f>
        <v>0</v>
      </c>
      <c r="BJ933" s="991">
        <f>IF(AND(Input_Product=Elig!$C933,Elig_MatchAll_Ct&lt;22,$BC933=(Elig_MatchAll_Ct-1),AH933=0),E933,0)</f>
        <v>0</v>
      </c>
      <c r="BK933" s="991">
        <f>IF(AND(Input_Product=Elig!$C933,Elig_MatchAll_Ct&lt;22,$BC933=(Elig_MatchAll_Ct-1),AI933=0),F933,0)</f>
        <v>0</v>
      </c>
      <c r="BL933" s="991">
        <f>IF(AND(Input_Product=Elig!$C933,Elig_MatchAll_Ct&lt;22,$BC933=(Elig_MatchAll_Ct-1),AJ933=0),G933,0)</f>
        <v>0</v>
      </c>
      <c r="BM933" s="991">
        <f>IF(AND(Input_Product=Elig!$C933,Elig_MatchAll_Ct&lt;22,$BC933=(Elig_MatchAll_Ct-1),AK933=0),H933,0)</f>
        <v>0</v>
      </c>
      <c r="BN933" s="991">
        <f>IF(AND(Input_Product=Elig!$C933,Elig_MatchAll_Ct&lt;22,$BC933=(Elig_MatchAll_Ct-1),AL933=0),I933,0)</f>
        <v>0</v>
      </c>
      <c r="BO933" s="991">
        <f>IF(AND(Input_Product=Elig!$C933,Elig_MatchAll_Ct&lt;22,$BC933=(Elig_MatchAll_Ct-1),AM933=0),J933,0)</f>
        <v>0</v>
      </c>
      <c r="BP933" s="991">
        <f>IF(AND(Input_Product=Elig!$C933,Elig_MatchAll_Ct&lt;22,$BC933=(Elig_MatchAll_Ct-1),AN933=0),K933,0)</f>
        <v>0</v>
      </c>
      <c r="BQ933" s="991">
        <f>IF(AND(Input_Product=Elig!$C933,Elig_MatchAll_Ct&lt;22,$BC933=(Elig_MatchAll_Ct-1),AP933=0),L933,0)</f>
        <v>0</v>
      </c>
      <c r="BR933" s="991">
        <f>IF(AND(Input_Product=Elig!$C933,Elig_MatchAll_Ct&lt;22,$BC933=(Elig_MatchAll_Ct-1),AO933=0),M933,0)</f>
        <v>0</v>
      </c>
      <c r="BS933" s="991">
        <f>IF(AND(Input_Product=Elig!$C933,Elig_MatchAll_Ct&lt;22,$BC933=(Elig_MatchAll_Ct-1),AQ933=0),N933,0)</f>
        <v>0</v>
      </c>
      <c r="BT933" s="991">
        <f>IF(AND(Input_Product=Elig!$C933,Elig_MatchAll_Ct&lt;22,$BC933=(Elig_MatchAll_Ct-1),AR933=0),O933,0)</f>
        <v>0</v>
      </c>
      <c r="BU933" s="991">
        <f>IF(AND(Input_Product=Elig!$C933,Elig_MatchAll_Ct&lt;22,$BC933=(Elig_MatchAll_Ct-1),AS933=0),P933,0)</f>
        <v>0</v>
      </c>
      <c r="BV933" s="992">
        <f>IF(AND(Input_Product=Elig!$C933,Elig_MatchAll_Ct&lt;22,$BC933=(Elig_MatchAll_Ct-1),AT933=0),Q933,0)</f>
        <v>0</v>
      </c>
      <c r="BW933" s="993">
        <f>IF(AND(Input_Product=Elig!$C933,Elig_MatchAll_Ct&lt;22,$BC933=(Elig_MatchAll_Ct-1),AU933=0),R933,0)</f>
        <v>0</v>
      </c>
      <c r="BX933" s="994">
        <f>IF(AND(Input_Product=Elig!$C933,Elig_MatchAll_Ct&lt;22,$BC933=(Elig_MatchAll_Ct-1),AU933=0),S933,0)</f>
        <v>0</v>
      </c>
      <c r="BY933" s="993">
        <f>IF(AND(Input_Product=Elig!$C933,Elig_MatchAll_Ct&lt;22,$BC933=(Elig_MatchAll_Ct-1),AV933=0),T933,0)</f>
        <v>0</v>
      </c>
      <c r="BZ933" s="994">
        <f>IF(AND(Input_Product=Elig!$C933,Elig_MatchAll_Ct&lt;22,$BC933=(Elig_MatchAll_Ct-1),AV933=0),U933,0)</f>
        <v>0</v>
      </c>
      <c r="CA933" s="993">
        <f>IF(AND(Input_Product=Elig!$C933,Elig_MatchAll_Ct&lt;22,$BC933=(Elig_MatchAll_Ct-1),AW933=0),V933,0)</f>
        <v>0</v>
      </c>
      <c r="CB933" s="994">
        <f>IF(AND(Input_Product=Elig!$C933,Elig_MatchAll_Ct&lt;22,$BC933=(Elig_MatchAll_Ct-1),AW933=0),W933,0)</f>
        <v>0</v>
      </c>
      <c r="CC933" s="993">
        <f>IF(AND(Input_Product=Elig!$C933,Elig_MatchAll_Ct&lt;22,$BC933=(Elig_MatchAll_Ct-1),AX933=0),X933,0)</f>
        <v>0</v>
      </c>
      <c r="CD933" s="994">
        <f>IF(AND(Input_Product=Elig!$C933,Elig_MatchAll_Ct&lt;22,$BC933=(Elig_MatchAll_Ct-1),AX933=0),Y933,0)</f>
        <v>0</v>
      </c>
      <c r="CE933" s="993">
        <f>IF(AND(Input_LTV&lt;=AE933,Input_Product=Elig!$C933,Elig_MatchAll_Ct&lt;22,$BC933=(Elig_MatchAll_Ct-1),AY933=0),Z933,0)</f>
        <v>0</v>
      </c>
      <c r="CF933" s="994">
        <f>IF(AND(Input_LTV&lt;=AE933,Input_Product=Elig!$C933,Elig_MatchAll_Ct&lt;22,$BC933=(Elig_MatchAll_Ct-1),AY933=0),AA933,0)</f>
        <v>0</v>
      </c>
      <c r="CG933" s="993">
        <f>IF(AND(Input_Product=Elig!$C933,Elig_MatchAll_Ct&lt;22,$BC933=(Elig_MatchAll_Ct-1),AZ933=0),AB933,0)</f>
        <v>0</v>
      </c>
      <c r="CH933" s="994">
        <f>IF(AND(Input_Product=Elig!$C933,Elig_MatchAll_Ct&lt;22,$BC933=(Elig_MatchAll_Ct-1),AZ933=0),AC933,0)</f>
        <v>0</v>
      </c>
      <c r="CI933" s="993">
        <f>IF(AND(Input_Product=Elig!$C933,Elig_MatchAll_Ct&lt;22,$BC933=(Elig_MatchAll_Ct-1),BA933=0),AD933,0)</f>
        <v>0</v>
      </c>
      <c r="CJ933" s="994">
        <f>IF(AND(Input_Product=Elig!$C933,Elig_MatchAll_Ct&lt;22,$BC933=(Elig_MatchAll_Ct-1),BA933=0),AE933,0)</f>
        <v>0</v>
      </c>
    </row>
    <row r="934" spans="2:88" ht="10.15" customHeight="1" x14ac:dyDescent="0.25">
      <c r="B934" s="1916" t="s">
        <v>2270</v>
      </c>
      <c r="C934" s="1208" t="str">
        <f t="shared" si="367"/>
        <v xml:space="preserve">  </v>
      </c>
      <c r="D934" s="1209" t="s">
        <v>2218</v>
      </c>
      <c r="E934" s="1209" t="s">
        <v>167</v>
      </c>
      <c r="F934" s="1209" t="s">
        <v>331</v>
      </c>
      <c r="G934" s="1210" t="s">
        <v>468</v>
      </c>
      <c r="H934" s="1210" t="s">
        <v>136</v>
      </c>
      <c r="I934" s="1209" t="s">
        <v>274</v>
      </c>
      <c r="J934" s="1209" t="s">
        <v>1311</v>
      </c>
      <c r="K934" s="1210" t="s">
        <v>3022</v>
      </c>
      <c r="L934" s="1209" t="s">
        <v>2768</v>
      </c>
      <c r="M934" s="1209" t="s">
        <v>2677</v>
      </c>
      <c r="N934" s="1210" t="s">
        <v>82</v>
      </c>
      <c r="O934" s="1209" t="s">
        <v>310</v>
      </c>
      <c r="P934" s="1209" t="s">
        <v>291</v>
      </c>
      <c r="Q934" s="1209" t="s">
        <v>294</v>
      </c>
      <c r="R934" s="1209">
        <v>2500000.0099999998</v>
      </c>
      <c r="S934" s="1209">
        <v>3000000</v>
      </c>
      <c r="T934" s="1209">
        <v>0</v>
      </c>
      <c r="U934" s="1209">
        <v>0</v>
      </c>
      <c r="V934" s="1209">
        <v>0</v>
      </c>
      <c r="W934" s="1209">
        <v>50</v>
      </c>
      <c r="X934" s="1209">
        <v>0</v>
      </c>
      <c r="Y934" s="1209">
        <v>999</v>
      </c>
      <c r="Z934" s="1211">
        <v>700</v>
      </c>
      <c r="AA934" s="1211">
        <v>719</v>
      </c>
      <c r="AB934" s="1211">
        <v>6</v>
      </c>
      <c r="AC934" s="1211">
        <v>999999</v>
      </c>
      <c r="AD934" s="1209">
        <v>0</v>
      </c>
      <c r="AE934" s="1212">
        <v>75</v>
      </c>
      <c r="AF934" s="170">
        <v>0</v>
      </c>
      <c r="AG934" s="171">
        <v>1</v>
      </c>
      <c r="AH934" s="171">
        <v>1</v>
      </c>
      <c r="AI934" s="171">
        <v>1</v>
      </c>
      <c r="AJ934" s="171">
        <v>0</v>
      </c>
      <c r="AK934" s="171">
        <v>1</v>
      </c>
      <c r="AL934" s="171">
        <v>0</v>
      </c>
      <c r="AM934" s="171">
        <v>1</v>
      </c>
      <c r="AN934" s="171">
        <v>1</v>
      </c>
      <c r="AO934" s="171">
        <v>1</v>
      </c>
      <c r="AP934" s="171">
        <v>1</v>
      </c>
      <c r="AQ934" s="171">
        <v>1</v>
      </c>
      <c r="AR934" s="171">
        <v>1</v>
      </c>
      <c r="AS934" s="171">
        <v>1</v>
      </c>
      <c r="AT934" s="171">
        <v>1</v>
      </c>
      <c r="AU934" s="171">
        <f t="shared" si="379"/>
        <v>0</v>
      </c>
      <c r="AV934" s="171">
        <f t="shared" si="380"/>
        <v>0</v>
      </c>
      <c r="AW934" s="171">
        <f t="shared" si="381"/>
        <v>1</v>
      </c>
      <c r="AX934" s="171">
        <f t="shared" si="388"/>
        <v>1</v>
      </c>
      <c r="AY934" s="171">
        <f t="shared" si="382"/>
        <v>0</v>
      </c>
      <c r="AZ934" s="171">
        <f t="shared" si="383"/>
        <v>1</v>
      </c>
      <c r="BA934" s="172">
        <f t="shared" si="384"/>
        <v>1</v>
      </c>
      <c r="BB934" s="175">
        <f t="shared" si="385"/>
        <v>16</v>
      </c>
      <c r="BC934" s="176">
        <f t="shared" si="386"/>
        <v>15</v>
      </c>
      <c r="BD934" s="176">
        <f t="shared" si="387"/>
        <v>16</v>
      </c>
      <c r="BE934" s="240" t="str">
        <f t="shared" si="378"/>
        <v/>
      </c>
      <c r="BF934" s="990"/>
      <c r="BG934" s="990"/>
      <c r="BH934" s="991">
        <f>IF(AND(Input_Product=Elig!$C934,Elig_MatchAll_Ct&lt;22,$BC934=(Elig_MatchAll_Ct-1),AF934=0),C934,0)</f>
        <v>0</v>
      </c>
      <c r="BI934" s="991">
        <f>IF(AND(Input_Product=Elig!$C934,Elig_MatchAll_Ct&lt;22,$BC934=(Elig_MatchAll_Ct-1),AG934=0),D934,0)</f>
        <v>0</v>
      </c>
      <c r="BJ934" s="991">
        <f>IF(AND(Input_Product=Elig!$C934,Elig_MatchAll_Ct&lt;22,$BC934=(Elig_MatchAll_Ct-1),AH934=0),E934,0)</f>
        <v>0</v>
      </c>
      <c r="BK934" s="991">
        <f>IF(AND(Input_Product=Elig!$C934,Elig_MatchAll_Ct&lt;22,$BC934=(Elig_MatchAll_Ct-1),AI934=0),F934,0)</f>
        <v>0</v>
      </c>
      <c r="BL934" s="991">
        <f>IF(AND(Input_Product=Elig!$C934,Elig_MatchAll_Ct&lt;22,$BC934=(Elig_MatchAll_Ct-1),AJ934=0),G934,0)</f>
        <v>0</v>
      </c>
      <c r="BM934" s="991">
        <f>IF(AND(Input_Product=Elig!$C934,Elig_MatchAll_Ct&lt;22,$BC934=(Elig_MatchAll_Ct-1),AK934=0),H934,0)</f>
        <v>0</v>
      </c>
      <c r="BN934" s="991">
        <f>IF(AND(Input_Product=Elig!$C934,Elig_MatchAll_Ct&lt;22,$BC934=(Elig_MatchAll_Ct-1),AL934=0),I934,0)</f>
        <v>0</v>
      </c>
      <c r="BO934" s="991">
        <f>IF(AND(Input_Product=Elig!$C934,Elig_MatchAll_Ct&lt;22,$BC934=(Elig_MatchAll_Ct-1),AM934=0),J934,0)</f>
        <v>0</v>
      </c>
      <c r="BP934" s="991">
        <f>IF(AND(Input_Product=Elig!$C934,Elig_MatchAll_Ct&lt;22,$BC934=(Elig_MatchAll_Ct-1),AN934=0),K934,0)</f>
        <v>0</v>
      </c>
      <c r="BQ934" s="991">
        <f>IF(AND(Input_Product=Elig!$C934,Elig_MatchAll_Ct&lt;22,$BC934=(Elig_MatchAll_Ct-1),AP934=0),L934,0)</f>
        <v>0</v>
      </c>
      <c r="BR934" s="991">
        <f>IF(AND(Input_Product=Elig!$C934,Elig_MatchAll_Ct&lt;22,$BC934=(Elig_MatchAll_Ct-1),AO934=0),M934,0)</f>
        <v>0</v>
      </c>
      <c r="BS934" s="991">
        <f>IF(AND(Input_Product=Elig!$C934,Elig_MatchAll_Ct&lt;22,$BC934=(Elig_MatchAll_Ct-1),AQ934=0),N934,0)</f>
        <v>0</v>
      </c>
      <c r="BT934" s="991">
        <f>IF(AND(Input_Product=Elig!$C934,Elig_MatchAll_Ct&lt;22,$BC934=(Elig_MatchAll_Ct-1),AR934=0),O934,0)</f>
        <v>0</v>
      </c>
      <c r="BU934" s="991">
        <f>IF(AND(Input_Product=Elig!$C934,Elig_MatchAll_Ct&lt;22,$BC934=(Elig_MatchAll_Ct-1),AS934=0),P934,0)</f>
        <v>0</v>
      </c>
      <c r="BV934" s="992">
        <f>IF(AND(Input_Product=Elig!$C934,Elig_MatchAll_Ct&lt;22,$BC934=(Elig_MatchAll_Ct-1),AT934=0),Q934,0)</f>
        <v>0</v>
      </c>
      <c r="BW934" s="993">
        <f>IF(AND(Input_Product=Elig!$C934,Elig_MatchAll_Ct&lt;22,$BC934=(Elig_MatchAll_Ct-1),AU934=0),R934,0)</f>
        <v>0</v>
      </c>
      <c r="BX934" s="994">
        <f>IF(AND(Input_Product=Elig!$C934,Elig_MatchAll_Ct&lt;22,$BC934=(Elig_MatchAll_Ct-1),AU934=0),S934,0)</f>
        <v>0</v>
      </c>
      <c r="BY934" s="993">
        <f>IF(AND(Input_Product=Elig!$C934,Elig_MatchAll_Ct&lt;22,$BC934=(Elig_MatchAll_Ct-1),AV934=0),T934,0)</f>
        <v>0</v>
      </c>
      <c r="BZ934" s="994">
        <f>IF(AND(Input_Product=Elig!$C934,Elig_MatchAll_Ct&lt;22,$BC934=(Elig_MatchAll_Ct-1),AV934=0),U934,0)</f>
        <v>0</v>
      </c>
      <c r="CA934" s="993">
        <f>IF(AND(Input_Product=Elig!$C934,Elig_MatchAll_Ct&lt;22,$BC934=(Elig_MatchAll_Ct-1),AW934=0),V934,0)</f>
        <v>0</v>
      </c>
      <c r="CB934" s="994">
        <f>IF(AND(Input_Product=Elig!$C934,Elig_MatchAll_Ct&lt;22,$BC934=(Elig_MatchAll_Ct-1),AW934=0),W934,0)</f>
        <v>0</v>
      </c>
      <c r="CC934" s="993">
        <f>IF(AND(Input_Product=Elig!$C934,Elig_MatchAll_Ct&lt;22,$BC934=(Elig_MatchAll_Ct-1),AX934=0),X934,0)</f>
        <v>0</v>
      </c>
      <c r="CD934" s="994">
        <f>IF(AND(Input_Product=Elig!$C934,Elig_MatchAll_Ct&lt;22,$BC934=(Elig_MatchAll_Ct-1),AX934=0),Y934,0)</f>
        <v>0</v>
      </c>
      <c r="CE934" s="993">
        <f>IF(AND(Input_LTV&lt;=AE934,Input_Product=Elig!$C934,Elig_MatchAll_Ct&lt;22,$BC934=(Elig_MatchAll_Ct-1),AY934=0),Z934,0)</f>
        <v>0</v>
      </c>
      <c r="CF934" s="994">
        <f>IF(AND(Input_LTV&lt;=AE934,Input_Product=Elig!$C934,Elig_MatchAll_Ct&lt;22,$BC934=(Elig_MatchAll_Ct-1),AY934=0),AA934,0)</f>
        <v>0</v>
      </c>
      <c r="CG934" s="993">
        <f>IF(AND(Input_Product=Elig!$C934,Elig_MatchAll_Ct&lt;22,$BC934=(Elig_MatchAll_Ct-1),AZ934=0),AB934,0)</f>
        <v>0</v>
      </c>
      <c r="CH934" s="994">
        <f>IF(AND(Input_Product=Elig!$C934,Elig_MatchAll_Ct&lt;22,$BC934=(Elig_MatchAll_Ct-1),AZ934=0),AC934,0)</f>
        <v>0</v>
      </c>
      <c r="CI934" s="993">
        <f>IF(AND(Input_Product=Elig!$C934,Elig_MatchAll_Ct&lt;22,$BC934=(Elig_MatchAll_Ct-1),BA934=0),AD934,0)</f>
        <v>0</v>
      </c>
      <c r="CJ934" s="994">
        <f>IF(AND(Input_Product=Elig!$C934,Elig_MatchAll_Ct&lt;22,$BC934=(Elig_MatchAll_Ct-1),BA934=0),AE934,0)</f>
        <v>0</v>
      </c>
    </row>
    <row r="935" spans="2:88" ht="10.15" customHeight="1" x14ac:dyDescent="0.25">
      <c r="B935" s="1916" t="s">
        <v>2271</v>
      </c>
      <c r="C935" s="1213" t="str">
        <f t="shared" si="367"/>
        <v xml:space="preserve">  </v>
      </c>
      <c r="D935" s="1214" t="s">
        <v>2218</v>
      </c>
      <c r="E935" s="1214" t="s">
        <v>167</v>
      </c>
      <c r="F935" s="1214" t="s">
        <v>331</v>
      </c>
      <c r="G935" s="1215" t="s">
        <v>468</v>
      </c>
      <c r="H935" s="1215" t="s">
        <v>136</v>
      </c>
      <c r="I935" s="1214" t="s">
        <v>274</v>
      </c>
      <c r="J935" s="1214" t="s">
        <v>1311</v>
      </c>
      <c r="K935" s="1215" t="s">
        <v>3022</v>
      </c>
      <c r="L935" s="1214" t="s">
        <v>2768</v>
      </c>
      <c r="M935" s="1214" t="s">
        <v>2677</v>
      </c>
      <c r="N935" s="1215" t="s">
        <v>82</v>
      </c>
      <c r="O935" s="1214" t="s">
        <v>310</v>
      </c>
      <c r="P935" s="1214" t="s">
        <v>291</v>
      </c>
      <c r="Q935" s="1214" t="s">
        <v>294</v>
      </c>
      <c r="R935" s="1214">
        <v>2500000.0099999998</v>
      </c>
      <c r="S935" s="1214">
        <v>3000000</v>
      </c>
      <c r="T935" s="1214">
        <v>0</v>
      </c>
      <c r="U935" s="1214">
        <v>0</v>
      </c>
      <c r="V935" s="1214">
        <v>0</v>
      </c>
      <c r="W935" s="1214">
        <v>50</v>
      </c>
      <c r="X935" s="1214">
        <v>0</v>
      </c>
      <c r="Y935" s="1214">
        <v>999</v>
      </c>
      <c r="Z935" s="1216">
        <v>680</v>
      </c>
      <c r="AA935" s="1216">
        <v>699</v>
      </c>
      <c r="AB935" s="1216">
        <v>6</v>
      </c>
      <c r="AC935" s="1216">
        <v>999999</v>
      </c>
      <c r="AD935" s="1214">
        <v>0</v>
      </c>
      <c r="AE935" s="1217">
        <v>75</v>
      </c>
      <c r="AF935" s="170">
        <v>0</v>
      </c>
      <c r="AG935" s="171">
        <v>1</v>
      </c>
      <c r="AH935" s="171">
        <v>1</v>
      </c>
      <c r="AI935" s="171">
        <v>1</v>
      </c>
      <c r="AJ935" s="171">
        <v>0</v>
      </c>
      <c r="AK935" s="171">
        <v>1</v>
      </c>
      <c r="AL935" s="171">
        <v>0</v>
      </c>
      <c r="AM935" s="171">
        <v>1</v>
      </c>
      <c r="AN935" s="171">
        <v>1</v>
      </c>
      <c r="AO935" s="171">
        <v>1</v>
      </c>
      <c r="AP935" s="171">
        <v>1</v>
      </c>
      <c r="AQ935" s="171">
        <v>1</v>
      </c>
      <c r="AR935" s="171">
        <v>1</v>
      </c>
      <c r="AS935" s="171">
        <v>1</v>
      </c>
      <c r="AT935" s="171">
        <v>1</v>
      </c>
      <c r="AU935" s="171">
        <f t="shared" si="379"/>
        <v>0</v>
      </c>
      <c r="AV935" s="171">
        <f t="shared" si="380"/>
        <v>0</v>
      </c>
      <c r="AW935" s="171">
        <f t="shared" si="381"/>
        <v>1</v>
      </c>
      <c r="AX935" s="171">
        <f t="shared" si="388"/>
        <v>1</v>
      </c>
      <c r="AY935" s="171">
        <f t="shared" si="382"/>
        <v>0</v>
      </c>
      <c r="AZ935" s="171">
        <f t="shared" si="383"/>
        <v>1</v>
      </c>
      <c r="BA935" s="172">
        <f t="shared" si="384"/>
        <v>1</v>
      </c>
      <c r="BB935" s="175">
        <f t="shared" si="385"/>
        <v>16</v>
      </c>
      <c r="BC935" s="176">
        <f t="shared" si="386"/>
        <v>15</v>
      </c>
      <c r="BD935" s="176">
        <f t="shared" si="387"/>
        <v>16</v>
      </c>
      <c r="BE935" s="240" t="str">
        <f t="shared" si="378"/>
        <v/>
      </c>
      <c r="BF935" s="990"/>
      <c r="BG935" s="990"/>
      <c r="BH935" s="991">
        <f>IF(AND(Input_Product=Elig!$C935,Elig_MatchAll_Ct&lt;22,$BC935=(Elig_MatchAll_Ct-1),AF935=0),C935,0)</f>
        <v>0</v>
      </c>
      <c r="BI935" s="991">
        <f>IF(AND(Input_Product=Elig!$C935,Elig_MatchAll_Ct&lt;22,$BC935=(Elig_MatchAll_Ct-1),AG935=0),D935,0)</f>
        <v>0</v>
      </c>
      <c r="BJ935" s="991">
        <f>IF(AND(Input_Product=Elig!$C935,Elig_MatchAll_Ct&lt;22,$BC935=(Elig_MatchAll_Ct-1),AH935=0),E935,0)</f>
        <v>0</v>
      </c>
      <c r="BK935" s="991">
        <f>IF(AND(Input_Product=Elig!$C935,Elig_MatchAll_Ct&lt;22,$BC935=(Elig_MatchAll_Ct-1),AI935=0),F935,0)</f>
        <v>0</v>
      </c>
      <c r="BL935" s="991">
        <f>IF(AND(Input_Product=Elig!$C935,Elig_MatchAll_Ct&lt;22,$BC935=(Elig_MatchAll_Ct-1),AJ935=0),G935,0)</f>
        <v>0</v>
      </c>
      <c r="BM935" s="991">
        <f>IF(AND(Input_Product=Elig!$C935,Elig_MatchAll_Ct&lt;22,$BC935=(Elig_MatchAll_Ct-1),AK935=0),H935,0)</f>
        <v>0</v>
      </c>
      <c r="BN935" s="991">
        <f>IF(AND(Input_Product=Elig!$C935,Elig_MatchAll_Ct&lt;22,$BC935=(Elig_MatchAll_Ct-1),AL935=0),I935,0)</f>
        <v>0</v>
      </c>
      <c r="BO935" s="991">
        <f>IF(AND(Input_Product=Elig!$C935,Elig_MatchAll_Ct&lt;22,$BC935=(Elig_MatchAll_Ct-1),AM935=0),J935,0)</f>
        <v>0</v>
      </c>
      <c r="BP935" s="991">
        <f>IF(AND(Input_Product=Elig!$C935,Elig_MatchAll_Ct&lt;22,$BC935=(Elig_MatchAll_Ct-1),AN935=0),K935,0)</f>
        <v>0</v>
      </c>
      <c r="BQ935" s="991">
        <f>IF(AND(Input_Product=Elig!$C935,Elig_MatchAll_Ct&lt;22,$BC935=(Elig_MatchAll_Ct-1),AP935=0),L935,0)</f>
        <v>0</v>
      </c>
      <c r="BR935" s="991">
        <f>IF(AND(Input_Product=Elig!$C935,Elig_MatchAll_Ct&lt;22,$BC935=(Elig_MatchAll_Ct-1),AO935=0),M935,0)</f>
        <v>0</v>
      </c>
      <c r="BS935" s="991">
        <f>IF(AND(Input_Product=Elig!$C935,Elig_MatchAll_Ct&lt;22,$BC935=(Elig_MatchAll_Ct-1),AQ935=0),N935,0)</f>
        <v>0</v>
      </c>
      <c r="BT935" s="991">
        <f>IF(AND(Input_Product=Elig!$C935,Elig_MatchAll_Ct&lt;22,$BC935=(Elig_MatchAll_Ct-1),AR935=0),O935,0)</f>
        <v>0</v>
      </c>
      <c r="BU935" s="991">
        <f>IF(AND(Input_Product=Elig!$C935,Elig_MatchAll_Ct&lt;22,$BC935=(Elig_MatchAll_Ct-1),AS935=0),P935,0)</f>
        <v>0</v>
      </c>
      <c r="BV935" s="992">
        <f>IF(AND(Input_Product=Elig!$C935,Elig_MatchAll_Ct&lt;22,$BC935=(Elig_MatchAll_Ct-1),AT935=0),Q935,0)</f>
        <v>0</v>
      </c>
      <c r="BW935" s="993">
        <f>IF(AND(Input_Product=Elig!$C935,Elig_MatchAll_Ct&lt;22,$BC935=(Elig_MatchAll_Ct-1),AU935=0),R935,0)</f>
        <v>0</v>
      </c>
      <c r="BX935" s="994">
        <f>IF(AND(Input_Product=Elig!$C935,Elig_MatchAll_Ct&lt;22,$BC935=(Elig_MatchAll_Ct-1),AU935=0),S935,0)</f>
        <v>0</v>
      </c>
      <c r="BY935" s="993">
        <f>IF(AND(Input_Product=Elig!$C935,Elig_MatchAll_Ct&lt;22,$BC935=(Elig_MatchAll_Ct-1),AV935=0),T935,0)</f>
        <v>0</v>
      </c>
      <c r="BZ935" s="994">
        <f>IF(AND(Input_Product=Elig!$C935,Elig_MatchAll_Ct&lt;22,$BC935=(Elig_MatchAll_Ct-1),AV935=0),U935,0)</f>
        <v>0</v>
      </c>
      <c r="CA935" s="993">
        <f>IF(AND(Input_Product=Elig!$C935,Elig_MatchAll_Ct&lt;22,$BC935=(Elig_MatchAll_Ct-1),AW935=0),V935,0)</f>
        <v>0</v>
      </c>
      <c r="CB935" s="994">
        <f>IF(AND(Input_Product=Elig!$C935,Elig_MatchAll_Ct&lt;22,$BC935=(Elig_MatchAll_Ct-1),AW935=0),W935,0)</f>
        <v>0</v>
      </c>
      <c r="CC935" s="993">
        <f>IF(AND(Input_Product=Elig!$C935,Elig_MatchAll_Ct&lt;22,$BC935=(Elig_MatchAll_Ct-1),AX935=0),X935,0)</f>
        <v>0</v>
      </c>
      <c r="CD935" s="994">
        <f>IF(AND(Input_Product=Elig!$C935,Elig_MatchAll_Ct&lt;22,$BC935=(Elig_MatchAll_Ct-1),AX935=0),Y935,0)</f>
        <v>0</v>
      </c>
      <c r="CE935" s="993">
        <f>IF(AND(Input_LTV&lt;=AE935,Input_Product=Elig!$C935,Elig_MatchAll_Ct&lt;22,$BC935=(Elig_MatchAll_Ct-1),AY935=0),Z935,0)</f>
        <v>0</v>
      </c>
      <c r="CF935" s="994">
        <f>IF(AND(Input_LTV&lt;=AE935,Input_Product=Elig!$C935,Elig_MatchAll_Ct&lt;22,$BC935=(Elig_MatchAll_Ct-1),AY935=0),AA935,0)</f>
        <v>0</v>
      </c>
      <c r="CG935" s="993">
        <f>IF(AND(Input_Product=Elig!$C935,Elig_MatchAll_Ct&lt;22,$BC935=(Elig_MatchAll_Ct-1),AZ935=0),AB935,0)</f>
        <v>0</v>
      </c>
      <c r="CH935" s="994">
        <f>IF(AND(Input_Product=Elig!$C935,Elig_MatchAll_Ct&lt;22,$BC935=(Elig_MatchAll_Ct-1),AZ935=0),AC935,0)</f>
        <v>0</v>
      </c>
      <c r="CI935" s="993">
        <f>IF(AND(Input_Product=Elig!$C935,Elig_MatchAll_Ct&lt;22,$BC935=(Elig_MatchAll_Ct-1),BA935=0),AD935,0)</f>
        <v>0</v>
      </c>
      <c r="CJ935" s="994">
        <f>IF(AND(Input_Product=Elig!$C935,Elig_MatchAll_Ct&lt;22,$BC935=(Elig_MatchAll_Ct-1),BA935=0),AE935,0)</f>
        <v>0</v>
      </c>
    </row>
    <row r="936" spans="2:88" ht="10.15" customHeight="1" x14ac:dyDescent="0.25">
      <c r="B936" s="1916" t="s">
        <v>2272</v>
      </c>
      <c r="C936" s="1203" t="str">
        <f t="shared" si="367"/>
        <v xml:space="preserve">  </v>
      </c>
      <c r="D936" s="1204" t="s">
        <v>2218</v>
      </c>
      <c r="E936" s="1204" t="s">
        <v>167</v>
      </c>
      <c r="F936" s="1204" t="s">
        <v>331</v>
      </c>
      <c r="G936" s="1205" t="s">
        <v>305</v>
      </c>
      <c r="H936" s="1205" t="s">
        <v>136</v>
      </c>
      <c r="I936" s="1204" t="s">
        <v>274</v>
      </c>
      <c r="J936" s="1204" t="s">
        <v>1311</v>
      </c>
      <c r="K936" s="1205" t="s">
        <v>3022</v>
      </c>
      <c r="L936" s="1204" t="s">
        <v>2768</v>
      </c>
      <c r="M936" s="1204" t="s">
        <v>2677</v>
      </c>
      <c r="N936" s="1205" t="s">
        <v>82</v>
      </c>
      <c r="O936" s="1204" t="s">
        <v>310</v>
      </c>
      <c r="P936" s="1204" t="s">
        <v>291</v>
      </c>
      <c r="Q936" s="1204" t="s">
        <v>294</v>
      </c>
      <c r="R936" s="1204">
        <v>125000</v>
      </c>
      <c r="S936" s="1204">
        <v>1000000</v>
      </c>
      <c r="T936" s="1204">
        <v>0</v>
      </c>
      <c r="U936" s="1204">
        <v>0</v>
      </c>
      <c r="V936" s="1204">
        <v>0</v>
      </c>
      <c r="W936" s="1204">
        <v>50</v>
      </c>
      <c r="X936" s="1204">
        <v>0</v>
      </c>
      <c r="Y936" s="1204">
        <v>999</v>
      </c>
      <c r="Z936" s="1206">
        <v>720</v>
      </c>
      <c r="AA936" s="1206">
        <v>999</v>
      </c>
      <c r="AB936" s="1206">
        <v>3</v>
      </c>
      <c r="AC936" s="1206">
        <v>999999</v>
      </c>
      <c r="AD936" s="1204">
        <v>0</v>
      </c>
      <c r="AE936" s="1207">
        <v>80</v>
      </c>
      <c r="AF936" s="170">
        <v>0</v>
      </c>
      <c r="AG936" s="171">
        <v>1</v>
      </c>
      <c r="AH936" s="171">
        <v>1</v>
      </c>
      <c r="AI936" s="171">
        <v>1</v>
      </c>
      <c r="AJ936" s="171">
        <v>0</v>
      </c>
      <c r="AK936" s="171">
        <v>1</v>
      </c>
      <c r="AL936" s="171">
        <v>0</v>
      </c>
      <c r="AM936" s="171">
        <v>1</v>
      </c>
      <c r="AN936" s="171">
        <v>1</v>
      </c>
      <c r="AO936" s="171">
        <v>1</v>
      </c>
      <c r="AP936" s="171">
        <v>1</v>
      </c>
      <c r="AQ936" s="171">
        <v>1</v>
      </c>
      <c r="AR936" s="171">
        <v>1</v>
      </c>
      <c r="AS936" s="171">
        <v>1</v>
      </c>
      <c r="AT936" s="171">
        <v>1</v>
      </c>
      <c r="AU936" s="171">
        <f t="shared" si="379"/>
        <v>1</v>
      </c>
      <c r="AV936" s="171">
        <f t="shared" si="380"/>
        <v>0</v>
      </c>
      <c r="AW936" s="171">
        <f t="shared" si="381"/>
        <v>1</v>
      </c>
      <c r="AX936" s="171">
        <f t="shared" si="388"/>
        <v>1</v>
      </c>
      <c r="AY936" s="171">
        <f t="shared" si="382"/>
        <v>1</v>
      </c>
      <c r="AZ936" s="171">
        <f t="shared" si="383"/>
        <v>1</v>
      </c>
      <c r="BA936" s="172">
        <f t="shared" si="384"/>
        <v>1</v>
      </c>
      <c r="BB936" s="175">
        <f t="shared" si="385"/>
        <v>18</v>
      </c>
      <c r="BC936" s="176">
        <f t="shared" si="386"/>
        <v>17</v>
      </c>
      <c r="BD936" s="176">
        <f t="shared" si="387"/>
        <v>18</v>
      </c>
      <c r="BE936" s="240" t="str">
        <f t="shared" si="378"/>
        <v/>
      </c>
      <c r="BF936" s="990"/>
      <c r="BG936" s="990"/>
      <c r="BH936" s="991">
        <f>IF(AND(Input_Product=Elig!$C936,Elig_MatchAll_Ct&lt;22,$BC936=(Elig_MatchAll_Ct-1),AF936=0),C936,0)</f>
        <v>0</v>
      </c>
      <c r="BI936" s="991">
        <f>IF(AND(Input_Product=Elig!$C936,Elig_MatchAll_Ct&lt;22,$BC936=(Elig_MatchAll_Ct-1),AG936=0),D936,0)</f>
        <v>0</v>
      </c>
      <c r="BJ936" s="991">
        <f>IF(AND(Input_Product=Elig!$C936,Elig_MatchAll_Ct&lt;22,$BC936=(Elig_MatchAll_Ct-1),AH936=0),E936,0)</f>
        <v>0</v>
      </c>
      <c r="BK936" s="991">
        <f>IF(AND(Input_Product=Elig!$C936,Elig_MatchAll_Ct&lt;22,$BC936=(Elig_MatchAll_Ct-1),AI936=0),F936,0)</f>
        <v>0</v>
      </c>
      <c r="BL936" s="991">
        <f>IF(AND(Input_Product=Elig!$C936,Elig_MatchAll_Ct&lt;22,$BC936=(Elig_MatchAll_Ct-1),AJ936=0),G936,0)</f>
        <v>0</v>
      </c>
      <c r="BM936" s="991">
        <f>IF(AND(Input_Product=Elig!$C936,Elig_MatchAll_Ct&lt;22,$BC936=(Elig_MatchAll_Ct-1),AK936=0),H936,0)</f>
        <v>0</v>
      </c>
      <c r="BN936" s="991">
        <f>IF(AND(Input_Product=Elig!$C936,Elig_MatchAll_Ct&lt;22,$BC936=(Elig_MatchAll_Ct-1),AL936=0),I936,0)</f>
        <v>0</v>
      </c>
      <c r="BO936" s="991">
        <f>IF(AND(Input_Product=Elig!$C936,Elig_MatchAll_Ct&lt;22,$BC936=(Elig_MatchAll_Ct-1),AM936=0),J936,0)</f>
        <v>0</v>
      </c>
      <c r="BP936" s="991">
        <f>IF(AND(Input_Product=Elig!$C936,Elig_MatchAll_Ct&lt;22,$BC936=(Elig_MatchAll_Ct-1),AN936=0),K936,0)</f>
        <v>0</v>
      </c>
      <c r="BQ936" s="991">
        <f>IF(AND(Input_Product=Elig!$C936,Elig_MatchAll_Ct&lt;22,$BC936=(Elig_MatchAll_Ct-1),AP936=0),L936,0)</f>
        <v>0</v>
      </c>
      <c r="BR936" s="991">
        <f>IF(AND(Input_Product=Elig!$C936,Elig_MatchAll_Ct&lt;22,$BC936=(Elig_MatchAll_Ct-1),AO936=0),M936,0)</f>
        <v>0</v>
      </c>
      <c r="BS936" s="991">
        <f>IF(AND(Input_Product=Elig!$C936,Elig_MatchAll_Ct&lt;22,$BC936=(Elig_MatchAll_Ct-1),AQ936=0),N936,0)</f>
        <v>0</v>
      </c>
      <c r="BT936" s="991">
        <f>IF(AND(Input_Product=Elig!$C936,Elig_MatchAll_Ct&lt;22,$BC936=(Elig_MatchAll_Ct-1),AR936=0),O936,0)</f>
        <v>0</v>
      </c>
      <c r="BU936" s="991">
        <f>IF(AND(Input_Product=Elig!$C936,Elig_MatchAll_Ct&lt;22,$BC936=(Elig_MatchAll_Ct-1),AS936=0),P936,0)</f>
        <v>0</v>
      </c>
      <c r="BV936" s="992">
        <f>IF(AND(Input_Product=Elig!$C936,Elig_MatchAll_Ct&lt;22,$BC936=(Elig_MatchAll_Ct-1),AT936=0),Q936,0)</f>
        <v>0</v>
      </c>
      <c r="BW936" s="993">
        <f>IF(AND(Input_Product=Elig!$C936,Elig_MatchAll_Ct&lt;22,$BC936=(Elig_MatchAll_Ct-1),AU936=0),R936,0)</f>
        <v>0</v>
      </c>
      <c r="BX936" s="994">
        <f>IF(AND(Input_Product=Elig!$C936,Elig_MatchAll_Ct&lt;22,$BC936=(Elig_MatchAll_Ct-1),AU936=0),S936,0)</f>
        <v>0</v>
      </c>
      <c r="BY936" s="993">
        <f>IF(AND(Input_Product=Elig!$C936,Elig_MatchAll_Ct&lt;22,$BC936=(Elig_MatchAll_Ct-1),AV936=0),T936,0)</f>
        <v>0</v>
      </c>
      <c r="BZ936" s="994">
        <f>IF(AND(Input_Product=Elig!$C936,Elig_MatchAll_Ct&lt;22,$BC936=(Elig_MatchAll_Ct-1),AV936=0),U936,0)</f>
        <v>0</v>
      </c>
      <c r="CA936" s="993">
        <f>IF(AND(Input_Product=Elig!$C936,Elig_MatchAll_Ct&lt;22,$BC936=(Elig_MatchAll_Ct-1),AW936=0),V936,0)</f>
        <v>0</v>
      </c>
      <c r="CB936" s="994">
        <f>IF(AND(Input_Product=Elig!$C936,Elig_MatchAll_Ct&lt;22,$BC936=(Elig_MatchAll_Ct-1),AW936=0),W936,0)</f>
        <v>0</v>
      </c>
      <c r="CC936" s="993">
        <f>IF(AND(Input_Product=Elig!$C936,Elig_MatchAll_Ct&lt;22,$BC936=(Elig_MatchAll_Ct-1),AX936=0),X936,0)</f>
        <v>0</v>
      </c>
      <c r="CD936" s="994">
        <f>IF(AND(Input_Product=Elig!$C936,Elig_MatchAll_Ct&lt;22,$BC936=(Elig_MatchAll_Ct-1),AX936=0),Y936,0)</f>
        <v>0</v>
      </c>
      <c r="CE936" s="993">
        <f>IF(AND(Input_LTV&lt;=AE936,Input_Product=Elig!$C936,Elig_MatchAll_Ct&lt;22,$BC936=(Elig_MatchAll_Ct-1),AY936=0),Z936,0)</f>
        <v>0</v>
      </c>
      <c r="CF936" s="994">
        <f>IF(AND(Input_LTV&lt;=AE936,Input_Product=Elig!$C936,Elig_MatchAll_Ct&lt;22,$BC936=(Elig_MatchAll_Ct-1),AY936=0),AA936,0)</f>
        <v>0</v>
      </c>
      <c r="CG936" s="993">
        <f>IF(AND(Input_Product=Elig!$C936,Elig_MatchAll_Ct&lt;22,$BC936=(Elig_MatchAll_Ct-1),AZ936=0),AB936,0)</f>
        <v>0</v>
      </c>
      <c r="CH936" s="994">
        <f>IF(AND(Input_Product=Elig!$C936,Elig_MatchAll_Ct&lt;22,$BC936=(Elig_MatchAll_Ct-1),AZ936=0),AC936,0)</f>
        <v>0</v>
      </c>
      <c r="CI936" s="993">
        <f>IF(AND(Input_Product=Elig!$C936,Elig_MatchAll_Ct&lt;22,$BC936=(Elig_MatchAll_Ct-1),BA936=0),AD936,0)</f>
        <v>0</v>
      </c>
      <c r="CJ936" s="994">
        <f>IF(AND(Input_Product=Elig!$C936,Elig_MatchAll_Ct&lt;22,$BC936=(Elig_MatchAll_Ct-1),BA936=0),AE936,0)</f>
        <v>0</v>
      </c>
    </row>
    <row r="937" spans="2:88" ht="10.15" customHeight="1" x14ac:dyDescent="0.25">
      <c r="B937" s="1916" t="s">
        <v>2273</v>
      </c>
      <c r="C937" s="1208" t="str">
        <f t="shared" si="367"/>
        <v xml:space="preserve">  </v>
      </c>
      <c r="D937" s="1209" t="s">
        <v>2218</v>
      </c>
      <c r="E937" s="1209" t="s">
        <v>167</v>
      </c>
      <c r="F937" s="1209" t="s">
        <v>331</v>
      </c>
      <c r="G937" s="1210" t="s">
        <v>305</v>
      </c>
      <c r="H937" s="1210" t="s">
        <v>136</v>
      </c>
      <c r="I937" s="1209" t="s">
        <v>274</v>
      </c>
      <c r="J937" s="1209" t="s">
        <v>1311</v>
      </c>
      <c r="K937" s="1210" t="s">
        <v>3022</v>
      </c>
      <c r="L937" s="1209" t="s">
        <v>2768</v>
      </c>
      <c r="M937" s="1209" t="s">
        <v>2677</v>
      </c>
      <c r="N937" s="1210" t="s">
        <v>82</v>
      </c>
      <c r="O937" s="1209" t="s">
        <v>310</v>
      </c>
      <c r="P937" s="1209" t="s">
        <v>291</v>
      </c>
      <c r="Q937" s="1209" t="s">
        <v>294</v>
      </c>
      <c r="R937" s="1209">
        <v>125000</v>
      </c>
      <c r="S937" s="1209">
        <v>1000000</v>
      </c>
      <c r="T937" s="1209">
        <v>0</v>
      </c>
      <c r="U937" s="1209">
        <v>0</v>
      </c>
      <c r="V937" s="1209">
        <v>0</v>
      </c>
      <c r="W937" s="1209">
        <v>50</v>
      </c>
      <c r="X937" s="1209">
        <v>0</v>
      </c>
      <c r="Y937" s="1209">
        <v>999</v>
      </c>
      <c r="Z937" s="1211">
        <v>700</v>
      </c>
      <c r="AA937" s="1211">
        <v>719</v>
      </c>
      <c r="AB937" s="1211">
        <v>3</v>
      </c>
      <c r="AC937" s="1211">
        <v>999999</v>
      </c>
      <c r="AD937" s="1209">
        <v>0</v>
      </c>
      <c r="AE937" s="1212">
        <v>80</v>
      </c>
      <c r="AF937" s="170">
        <v>0</v>
      </c>
      <c r="AG937" s="171">
        <v>1</v>
      </c>
      <c r="AH937" s="171">
        <v>1</v>
      </c>
      <c r="AI937" s="171">
        <v>1</v>
      </c>
      <c r="AJ937" s="171">
        <v>0</v>
      </c>
      <c r="AK937" s="171">
        <v>1</v>
      </c>
      <c r="AL937" s="171">
        <v>0</v>
      </c>
      <c r="AM937" s="171">
        <v>1</v>
      </c>
      <c r="AN937" s="171">
        <v>1</v>
      </c>
      <c r="AO937" s="171">
        <v>1</v>
      </c>
      <c r="AP937" s="171">
        <v>1</v>
      </c>
      <c r="AQ937" s="171">
        <v>1</v>
      </c>
      <c r="AR937" s="171">
        <v>1</v>
      </c>
      <c r="AS937" s="171">
        <v>1</v>
      </c>
      <c r="AT937" s="171">
        <v>1</v>
      </c>
      <c r="AU937" s="171">
        <f t="shared" si="379"/>
        <v>1</v>
      </c>
      <c r="AV937" s="171">
        <f t="shared" si="380"/>
        <v>0</v>
      </c>
      <c r="AW937" s="171">
        <f t="shared" si="381"/>
        <v>1</v>
      </c>
      <c r="AX937" s="171">
        <f t="shared" si="388"/>
        <v>1</v>
      </c>
      <c r="AY937" s="171">
        <f t="shared" si="382"/>
        <v>0</v>
      </c>
      <c r="AZ937" s="171">
        <f t="shared" si="383"/>
        <v>1</v>
      </c>
      <c r="BA937" s="172">
        <f t="shared" si="384"/>
        <v>1</v>
      </c>
      <c r="BB937" s="175">
        <f t="shared" si="385"/>
        <v>17</v>
      </c>
      <c r="BC937" s="176">
        <f t="shared" si="386"/>
        <v>16</v>
      </c>
      <c r="BD937" s="176">
        <f t="shared" si="387"/>
        <v>17</v>
      </c>
      <c r="BE937" s="240" t="str">
        <f t="shared" si="378"/>
        <v/>
      </c>
      <c r="BF937" s="990"/>
      <c r="BG937" s="990"/>
      <c r="BH937" s="991">
        <f>IF(AND(Input_Product=Elig!$C937,Elig_MatchAll_Ct&lt;22,$BC937=(Elig_MatchAll_Ct-1),AF937=0),C937,0)</f>
        <v>0</v>
      </c>
      <c r="BI937" s="991">
        <f>IF(AND(Input_Product=Elig!$C937,Elig_MatchAll_Ct&lt;22,$BC937=(Elig_MatchAll_Ct-1),AG937=0),D937,0)</f>
        <v>0</v>
      </c>
      <c r="BJ937" s="991">
        <f>IF(AND(Input_Product=Elig!$C937,Elig_MatchAll_Ct&lt;22,$BC937=(Elig_MatchAll_Ct-1),AH937=0),E937,0)</f>
        <v>0</v>
      </c>
      <c r="BK937" s="991">
        <f>IF(AND(Input_Product=Elig!$C937,Elig_MatchAll_Ct&lt;22,$BC937=(Elig_MatchAll_Ct-1),AI937=0),F937,0)</f>
        <v>0</v>
      </c>
      <c r="BL937" s="991">
        <f>IF(AND(Input_Product=Elig!$C937,Elig_MatchAll_Ct&lt;22,$BC937=(Elig_MatchAll_Ct-1),AJ937=0),G937,0)</f>
        <v>0</v>
      </c>
      <c r="BM937" s="991">
        <f>IF(AND(Input_Product=Elig!$C937,Elig_MatchAll_Ct&lt;22,$BC937=(Elig_MatchAll_Ct-1),AK937=0),H937,0)</f>
        <v>0</v>
      </c>
      <c r="BN937" s="991">
        <f>IF(AND(Input_Product=Elig!$C937,Elig_MatchAll_Ct&lt;22,$BC937=(Elig_MatchAll_Ct-1),AL937=0),I937,0)</f>
        <v>0</v>
      </c>
      <c r="BO937" s="991">
        <f>IF(AND(Input_Product=Elig!$C937,Elig_MatchAll_Ct&lt;22,$BC937=(Elig_MatchAll_Ct-1),AM937=0),J937,0)</f>
        <v>0</v>
      </c>
      <c r="BP937" s="991">
        <f>IF(AND(Input_Product=Elig!$C937,Elig_MatchAll_Ct&lt;22,$BC937=(Elig_MatchAll_Ct-1),AN937=0),K937,0)</f>
        <v>0</v>
      </c>
      <c r="BQ937" s="991">
        <f>IF(AND(Input_Product=Elig!$C937,Elig_MatchAll_Ct&lt;22,$BC937=(Elig_MatchAll_Ct-1),AP937=0),L937,0)</f>
        <v>0</v>
      </c>
      <c r="BR937" s="991">
        <f>IF(AND(Input_Product=Elig!$C937,Elig_MatchAll_Ct&lt;22,$BC937=(Elig_MatchAll_Ct-1),AO937=0),M937,0)</f>
        <v>0</v>
      </c>
      <c r="BS937" s="991">
        <f>IF(AND(Input_Product=Elig!$C937,Elig_MatchAll_Ct&lt;22,$BC937=(Elig_MatchAll_Ct-1),AQ937=0),N937,0)</f>
        <v>0</v>
      </c>
      <c r="BT937" s="991">
        <f>IF(AND(Input_Product=Elig!$C937,Elig_MatchAll_Ct&lt;22,$BC937=(Elig_MatchAll_Ct-1),AR937=0),O937,0)</f>
        <v>0</v>
      </c>
      <c r="BU937" s="991">
        <f>IF(AND(Input_Product=Elig!$C937,Elig_MatchAll_Ct&lt;22,$BC937=(Elig_MatchAll_Ct-1),AS937=0),P937,0)</f>
        <v>0</v>
      </c>
      <c r="BV937" s="992">
        <f>IF(AND(Input_Product=Elig!$C937,Elig_MatchAll_Ct&lt;22,$BC937=(Elig_MatchAll_Ct-1),AT937=0),Q937,0)</f>
        <v>0</v>
      </c>
      <c r="BW937" s="993">
        <f>IF(AND(Input_Product=Elig!$C937,Elig_MatchAll_Ct&lt;22,$BC937=(Elig_MatchAll_Ct-1),AU937=0),R937,0)</f>
        <v>0</v>
      </c>
      <c r="BX937" s="994">
        <f>IF(AND(Input_Product=Elig!$C937,Elig_MatchAll_Ct&lt;22,$BC937=(Elig_MatchAll_Ct-1),AU937=0),S937,0)</f>
        <v>0</v>
      </c>
      <c r="BY937" s="993">
        <f>IF(AND(Input_Product=Elig!$C937,Elig_MatchAll_Ct&lt;22,$BC937=(Elig_MatchAll_Ct-1),AV937=0),T937,0)</f>
        <v>0</v>
      </c>
      <c r="BZ937" s="994">
        <f>IF(AND(Input_Product=Elig!$C937,Elig_MatchAll_Ct&lt;22,$BC937=(Elig_MatchAll_Ct-1),AV937=0),U937,0)</f>
        <v>0</v>
      </c>
      <c r="CA937" s="993">
        <f>IF(AND(Input_Product=Elig!$C937,Elig_MatchAll_Ct&lt;22,$BC937=(Elig_MatchAll_Ct-1),AW937=0),V937,0)</f>
        <v>0</v>
      </c>
      <c r="CB937" s="994">
        <f>IF(AND(Input_Product=Elig!$C937,Elig_MatchAll_Ct&lt;22,$BC937=(Elig_MatchAll_Ct-1),AW937=0),W937,0)</f>
        <v>0</v>
      </c>
      <c r="CC937" s="993">
        <f>IF(AND(Input_Product=Elig!$C937,Elig_MatchAll_Ct&lt;22,$BC937=(Elig_MatchAll_Ct-1),AX937=0),X937,0)</f>
        <v>0</v>
      </c>
      <c r="CD937" s="994">
        <f>IF(AND(Input_Product=Elig!$C937,Elig_MatchAll_Ct&lt;22,$BC937=(Elig_MatchAll_Ct-1),AX937=0),Y937,0)</f>
        <v>0</v>
      </c>
      <c r="CE937" s="993">
        <f>IF(AND(Input_LTV&lt;=AE937,Input_Product=Elig!$C937,Elig_MatchAll_Ct&lt;22,$BC937=(Elig_MatchAll_Ct-1),AY937=0),Z937,0)</f>
        <v>0</v>
      </c>
      <c r="CF937" s="994">
        <f>IF(AND(Input_LTV&lt;=AE937,Input_Product=Elig!$C937,Elig_MatchAll_Ct&lt;22,$BC937=(Elig_MatchAll_Ct-1),AY937=0),AA937,0)</f>
        <v>0</v>
      </c>
      <c r="CG937" s="993">
        <f>IF(AND(Input_Product=Elig!$C937,Elig_MatchAll_Ct&lt;22,$BC937=(Elig_MatchAll_Ct-1),AZ937=0),AB937,0)</f>
        <v>0</v>
      </c>
      <c r="CH937" s="994">
        <f>IF(AND(Input_Product=Elig!$C937,Elig_MatchAll_Ct&lt;22,$BC937=(Elig_MatchAll_Ct-1),AZ937=0),AC937,0)</f>
        <v>0</v>
      </c>
      <c r="CI937" s="993">
        <f>IF(AND(Input_Product=Elig!$C937,Elig_MatchAll_Ct&lt;22,$BC937=(Elig_MatchAll_Ct-1),BA937=0),AD937,0)</f>
        <v>0</v>
      </c>
      <c r="CJ937" s="994">
        <f>IF(AND(Input_Product=Elig!$C937,Elig_MatchAll_Ct&lt;22,$BC937=(Elig_MatchAll_Ct-1),BA937=0),AE937,0)</f>
        <v>0</v>
      </c>
    </row>
    <row r="938" spans="2:88" ht="10.15" customHeight="1" x14ac:dyDescent="0.25">
      <c r="B938" s="1916" t="s">
        <v>2274</v>
      </c>
      <c r="C938" s="1208" t="str">
        <f t="shared" si="367"/>
        <v xml:space="preserve">  </v>
      </c>
      <c r="D938" s="1209" t="s">
        <v>2218</v>
      </c>
      <c r="E938" s="1209" t="s">
        <v>167</v>
      </c>
      <c r="F938" s="1209" t="s">
        <v>331</v>
      </c>
      <c r="G938" s="1210" t="s">
        <v>305</v>
      </c>
      <c r="H938" s="1210" t="s">
        <v>136</v>
      </c>
      <c r="I938" s="1209" t="s">
        <v>274</v>
      </c>
      <c r="J938" s="1209" t="s">
        <v>1311</v>
      </c>
      <c r="K938" s="1210" t="s">
        <v>3022</v>
      </c>
      <c r="L938" s="1209" t="s">
        <v>2768</v>
      </c>
      <c r="M938" s="1209" t="s">
        <v>2677</v>
      </c>
      <c r="N938" s="1210" t="s">
        <v>82</v>
      </c>
      <c r="O938" s="1209" t="s">
        <v>310</v>
      </c>
      <c r="P938" s="1209" t="s">
        <v>291</v>
      </c>
      <c r="Q938" s="1209" t="s">
        <v>294</v>
      </c>
      <c r="R938" s="1209">
        <v>125000</v>
      </c>
      <c r="S938" s="1209">
        <v>1000000</v>
      </c>
      <c r="T938" s="1209">
        <v>0</v>
      </c>
      <c r="U938" s="1209">
        <v>0</v>
      </c>
      <c r="V938" s="1209">
        <v>0</v>
      </c>
      <c r="W938" s="1209">
        <v>50</v>
      </c>
      <c r="X938" s="1209">
        <v>0</v>
      </c>
      <c r="Y938" s="1209">
        <v>999</v>
      </c>
      <c r="Z938" s="1211">
        <v>680</v>
      </c>
      <c r="AA938" s="1211">
        <v>699</v>
      </c>
      <c r="AB938" s="1211">
        <v>3</v>
      </c>
      <c r="AC938" s="1211">
        <v>999999</v>
      </c>
      <c r="AD938" s="1209">
        <v>0</v>
      </c>
      <c r="AE938" s="1212">
        <v>80</v>
      </c>
      <c r="AF938" s="170">
        <v>0</v>
      </c>
      <c r="AG938" s="171">
        <v>1</v>
      </c>
      <c r="AH938" s="171">
        <v>1</v>
      </c>
      <c r="AI938" s="171">
        <v>1</v>
      </c>
      <c r="AJ938" s="171">
        <v>0</v>
      </c>
      <c r="AK938" s="171">
        <v>1</v>
      </c>
      <c r="AL938" s="171">
        <v>0</v>
      </c>
      <c r="AM938" s="171">
        <v>1</v>
      </c>
      <c r="AN938" s="171">
        <v>1</v>
      </c>
      <c r="AO938" s="171">
        <v>1</v>
      </c>
      <c r="AP938" s="171">
        <v>1</v>
      </c>
      <c r="AQ938" s="171">
        <v>1</v>
      </c>
      <c r="AR938" s="171">
        <v>1</v>
      </c>
      <c r="AS938" s="171">
        <v>1</v>
      </c>
      <c r="AT938" s="171">
        <v>1</v>
      </c>
      <c r="AU938" s="171">
        <f t="shared" si="379"/>
        <v>1</v>
      </c>
      <c r="AV938" s="171">
        <f t="shared" si="380"/>
        <v>0</v>
      </c>
      <c r="AW938" s="171">
        <f t="shared" si="381"/>
        <v>1</v>
      </c>
      <c r="AX938" s="171">
        <f t="shared" si="388"/>
        <v>1</v>
      </c>
      <c r="AY938" s="171">
        <f t="shared" si="382"/>
        <v>0</v>
      </c>
      <c r="AZ938" s="171">
        <f t="shared" si="383"/>
        <v>1</v>
      </c>
      <c r="BA938" s="172">
        <f t="shared" si="384"/>
        <v>1</v>
      </c>
      <c r="BB938" s="175">
        <f t="shared" si="385"/>
        <v>17</v>
      </c>
      <c r="BC938" s="176">
        <f t="shared" si="386"/>
        <v>16</v>
      </c>
      <c r="BD938" s="176">
        <f t="shared" si="387"/>
        <v>17</v>
      </c>
      <c r="BE938" s="240" t="str">
        <f t="shared" si="378"/>
        <v/>
      </c>
      <c r="BF938" s="990"/>
      <c r="BG938" s="990"/>
      <c r="BH938" s="991">
        <f>IF(AND(Input_Product=Elig!$C938,Elig_MatchAll_Ct&lt;22,$BC938=(Elig_MatchAll_Ct-1),AF938=0),C938,0)</f>
        <v>0</v>
      </c>
      <c r="BI938" s="991">
        <f>IF(AND(Input_Product=Elig!$C938,Elig_MatchAll_Ct&lt;22,$BC938=(Elig_MatchAll_Ct-1),AG938=0),D938,0)</f>
        <v>0</v>
      </c>
      <c r="BJ938" s="991">
        <f>IF(AND(Input_Product=Elig!$C938,Elig_MatchAll_Ct&lt;22,$BC938=(Elig_MatchAll_Ct-1),AH938=0),E938,0)</f>
        <v>0</v>
      </c>
      <c r="BK938" s="991">
        <f>IF(AND(Input_Product=Elig!$C938,Elig_MatchAll_Ct&lt;22,$BC938=(Elig_MatchAll_Ct-1),AI938=0),F938,0)</f>
        <v>0</v>
      </c>
      <c r="BL938" s="991">
        <f>IF(AND(Input_Product=Elig!$C938,Elig_MatchAll_Ct&lt;22,$BC938=(Elig_MatchAll_Ct-1),AJ938=0),G938,0)</f>
        <v>0</v>
      </c>
      <c r="BM938" s="991">
        <f>IF(AND(Input_Product=Elig!$C938,Elig_MatchAll_Ct&lt;22,$BC938=(Elig_MatchAll_Ct-1),AK938=0),H938,0)</f>
        <v>0</v>
      </c>
      <c r="BN938" s="991">
        <f>IF(AND(Input_Product=Elig!$C938,Elig_MatchAll_Ct&lt;22,$BC938=(Elig_MatchAll_Ct-1),AL938=0),I938,0)</f>
        <v>0</v>
      </c>
      <c r="BO938" s="991">
        <f>IF(AND(Input_Product=Elig!$C938,Elig_MatchAll_Ct&lt;22,$BC938=(Elig_MatchAll_Ct-1),AM938=0),J938,0)</f>
        <v>0</v>
      </c>
      <c r="BP938" s="991">
        <f>IF(AND(Input_Product=Elig!$C938,Elig_MatchAll_Ct&lt;22,$BC938=(Elig_MatchAll_Ct-1),AN938=0),K938,0)</f>
        <v>0</v>
      </c>
      <c r="BQ938" s="991">
        <f>IF(AND(Input_Product=Elig!$C938,Elig_MatchAll_Ct&lt;22,$BC938=(Elig_MatchAll_Ct-1),AP938=0),L938,0)</f>
        <v>0</v>
      </c>
      <c r="BR938" s="991">
        <f>IF(AND(Input_Product=Elig!$C938,Elig_MatchAll_Ct&lt;22,$BC938=(Elig_MatchAll_Ct-1),AO938=0),M938,0)</f>
        <v>0</v>
      </c>
      <c r="BS938" s="991">
        <f>IF(AND(Input_Product=Elig!$C938,Elig_MatchAll_Ct&lt;22,$BC938=(Elig_MatchAll_Ct-1),AQ938=0),N938,0)</f>
        <v>0</v>
      </c>
      <c r="BT938" s="991">
        <f>IF(AND(Input_Product=Elig!$C938,Elig_MatchAll_Ct&lt;22,$BC938=(Elig_MatchAll_Ct-1),AR938=0),O938,0)</f>
        <v>0</v>
      </c>
      <c r="BU938" s="991">
        <f>IF(AND(Input_Product=Elig!$C938,Elig_MatchAll_Ct&lt;22,$BC938=(Elig_MatchAll_Ct-1),AS938=0),P938,0)</f>
        <v>0</v>
      </c>
      <c r="BV938" s="992">
        <f>IF(AND(Input_Product=Elig!$C938,Elig_MatchAll_Ct&lt;22,$BC938=(Elig_MatchAll_Ct-1),AT938=0),Q938,0)</f>
        <v>0</v>
      </c>
      <c r="BW938" s="993">
        <f>IF(AND(Input_Product=Elig!$C938,Elig_MatchAll_Ct&lt;22,$BC938=(Elig_MatchAll_Ct-1),AU938=0),R938,0)</f>
        <v>0</v>
      </c>
      <c r="BX938" s="994">
        <f>IF(AND(Input_Product=Elig!$C938,Elig_MatchAll_Ct&lt;22,$BC938=(Elig_MatchAll_Ct-1),AU938=0),S938,0)</f>
        <v>0</v>
      </c>
      <c r="BY938" s="993">
        <f>IF(AND(Input_Product=Elig!$C938,Elig_MatchAll_Ct&lt;22,$BC938=(Elig_MatchAll_Ct-1),AV938=0),T938,0)</f>
        <v>0</v>
      </c>
      <c r="BZ938" s="994">
        <f>IF(AND(Input_Product=Elig!$C938,Elig_MatchAll_Ct&lt;22,$BC938=(Elig_MatchAll_Ct-1),AV938=0),U938,0)</f>
        <v>0</v>
      </c>
      <c r="CA938" s="993">
        <f>IF(AND(Input_Product=Elig!$C938,Elig_MatchAll_Ct&lt;22,$BC938=(Elig_MatchAll_Ct-1),AW938=0),V938,0)</f>
        <v>0</v>
      </c>
      <c r="CB938" s="994">
        <f>IF(AND(Input_Product=Elig!$C938,Elig_MatchAll_Ct&lt;22,$BC938=(Elig_MatchAll_Ct-1),AW938=0),W938,0)</f>
        <v>0</v>
      </c>
      <c r="CC938" s="993">
        <f>IF(AND(Input_Product=Elig!$C938,Elig_MatchAll_Ct&lt;22,$BC938=(Elig_MatchAll_Ct-1),AX938=0),X938,0)</f>
        <v>0</v>
      </c>
      <c r="CD938" s="994">
        <f>IF(AND(Input_Product=Elig!$C938,Elig_MatchAll_Ct&lt;22,$BC938=(Elig_MatchAll_Ct-1),AX938=0),Y938,0)</f>
        <v>0</v>
      </c>
      <c r="CE938" s="993">
        <f>IF(AND(Input_LTV&lt;=AE938,Input_Product=Elig!$C938,Elig_MatchAll_Ct&lt;22,$BC938=(Elig_MatchAll_Ct-1),AY938=0),Z938,0)</f>
        <v>0</v>
      </c>
      <c r="CF938" s="994">
        <f>IF(AND(Input_LTV&lt;=AE938,Input_Product=Elig!$C938,Elig_MatchAll_Ct&lt;22,$BC938=(Elig_MatchAll_Ct-1),AY938=0),AA938,0)</f>
        <v>0</v>
      </c>
      <c r="CG938" s="993">
        <f>IF(AND(Input_Product=Elig!$C938,Elig_MatchAll_Ct&lt;22,$BC938=(Elig_MatchAll_Ct-1),AZ938=0),AB938,0)</f>
        <v>0</v>
      </c>
      <c r="CH938" s="994">
        <f>IF(AND(Input_Product=Elig!$C938,Elig_MatchAll_Ct&lt;22,$BC938=(Elig_MatchAll_Ct-1),AZ938=0),AC938,0)</f>
        <v>0</v>
      </c>
      <c r="CI938" s="993">
        <f>IF(AND(Input_Product=Elig!$C938,Elig_MatchAll_Ct&lt;22,$BC938=(Elig_MatchAll_Ct-1),BA938=0),AD938,0)</f>
        <v>0</v>
      </c>
      <c r="CJ938" s="994">
        <f>IF(AND(Input_Product=Elig!$C938,Elig_MatchAll_Ct&lt;22,$BC938=(Elig_MatchAll_Ct-1),BA938=0),AE938,0)</f>
        <v>0</v>
      </c>
    </row>
    <row r="939" spans="2:88" ht="10.15" customHeight="1" x14ac:dyDescent="0.25">
      <c r="B939" s="1916" t="s">
        <v>2275</v>
      </c>
      <c r="C939" s="1213" t="str">
        <f t="shared" si="367"/>
        <v xml:space="preserve">  </v>
      </c>
      <c r="D939" s="1214" t="s">
        <v>2218</v>
      </c>
      <c r="E939" s="1214" t="s">
        <v>167</v>
      </c>
      <c r="F939" s="1214" t="s">
        <v>331</v>
      </c>
      <c r="G939" s="1215" t="s">
        <v>305</v>
      </c>
      <c r="H939" s="1215" t="s">
        <v>136</v>
      </c>
      <c r="I939" s="1214" t="s">
        <v>274</v>
      </c>
      <c r="J939" s="1214" t="s">
        <v>1311</v>
      </c>
      <c r="K939" s="1215" t="s">
        <v>3022</v>
      </c>
      <c r="L939" s="1214" t="s">
        <v>2768</v>
      </c>
      <c r="M939" s="1214" t="s">
        <v>2677</v>
      </c>
      <c r="N939" s="1215" t="s">
        <v>82</v>
      </c>
      <c r="O939" s="1214" t="s">
        <v>310</v>
      </c>
      <c r="P939" s="1214" t="s">
        <v>291</v>
      </c>
      <c r="Q939" s="1214" t="s">
        <v>294</v>
      </c>
      <c r="R939" s="1214">
        <v>125000</v>
      </c>
      <c r="S939" s="1214">
        <v>1000000</v>
      </c>
      <c r="T939" s="1214">
        <v>0</v>
      </c>
      <c r="U939" s="1214">
        <v>0</v>
      </c>
      <c r="V939" s="1214">
        <v>0</v>
      </c>
      <c r="W939" s="1214">
        <v>50</v>
      </c>
      <c r="X939" s="1214">
        <v>0</v>
      </c>
      <c r="Y939" s="1214">
        <v>999</v>
      </c>
      <c r="Z939" s="1216">
        <v>660</v>
      </c>
      <c r="AA939" s="1216">
        <v>679</v>
      </c>
      <c r="AB939" s="1216">
        <v>3</v>
      </c>
      <c r="AC939" s="1216">
        <v>999999</v>
      </c>
      <c r="AD939" s="1214">
        <v>0</v>
      </c>
      <c r="AE939" s="1217">
        <v>70</v>
      </c>
      <c r="AF939" s="170">
        <v>0</v>
      </c>
      <c r="AG939" s="171">
        <v>1</v>
      </c>
      <c r="AH939" s="171">
        <v>1</v>
      </c>
      <c r="AI939" s="171">
        <v>1</v>
      </c>
      <c r="AJ939" s="171">
        <v>0</v>
      </c>
      <c r="AK939" s="171">
        <v>1</v>
      </c>
      <c r="AL939" s="171">
        <v>0</v>
      </c>
      <c r="AM939" s="171">
        <v>1</v>
      </c>
      <c r="AN939" s="171">
        <v>1</v>
      </c>
      <c r="AO939" s="171">
        <v>1</v>
      </c>
      <c r="AP939" s="171">
        <v>1</v>
      </c>
      <c r="AQ939" s="171">
        <v>1</v>
      </c>
      <c r="AR939" s="171">
        <v>1</v>
      </c>
      <c r="AS939" s="171">
        <v>1</v>
      </c>
      <c r="AT939" s="171">
        <v>1</v>
      </c>
      <c r="AU939" s="171">
        <f t="shared" si="379"/>
        <v>1</v>
      </c>
      <c r="AV939" s="171">
        <f t="shared" si="380"/>
        <v>0</v>
      </c>
      <c r="AW939" s="171">
        <f t="shared" si="381"/>
        <v>1</v>
      </c>
      <c r="AX939" s="171">
        <f t="shared" si="388"/>
        <v>1</v>
      </c>
      <c r="AY939" s="171">
        <f t="shared" si="382"/>
        <v>0</v>
      </c>
      <c r="AZ939" s="171">
        <f t="shared" si="383"/>
        <v>1</v>
      </c>
      <c r="BA939" s="172">
        <f t="shared" si="384"/>
        <v>1</v>
      </c>
      <c r="BB939" s="175">
        <f t="shared" si="385"/>
        <v>17</v>
      </c>
      <c r="BC939" s="176">
        <f t="shared" si="386"/>
        <v>16</v>
      </c>
      <c r="BD939" s="176">
        <f t="shared" si="387"/>
        <v>17</v>
      </c>
      <c r="BE939" s="240" t="str">
        <f t="shared" si="378"/>
        <v/>
      </c>
      <c r="BF939" s="990"/>
      <c r="BG939" s="990"/>
      <c r="BH939" s="991">
        <f>IF(AND(Input_Product=Elig!$C939,Elig_MatchAll_Ct&lt;22,$BC939=(Elig_MatchAll_Ct-1),AF939=0),C939,0)</f>
        <v>0</v>
      </c>
      <c r="BI939" s="991">
        <f>IF(AND(Input_Product=Elig!$C939,Elig_MatchAll_Ct&lt;22,$BC939=(Elig_MatchAll_Ct-1),AG939=0),D939,0)</f>
        <v>0</v>
      </c>
      <c r="BJ939" s="991">
        <f>IF(AND(Input_Product=Elig!$C939,Elig_MatchAll_Ct&lt;22,$BC939=(Elig_MatchAll_Ct-1),AH939=0),E939,0)</f>
        <v>0</v>
      </c>
      <c r="BK939" s="991">
        <f>IF(AND(Input_Product=Elig!$C939,Elig_MatchAll_Ct&lt;22,$BC939=(Elig_MatchAll_Ct-1),AI939=0),F939,0)</f>
        <v>0</v>
      </c>
      <c r="BL939" s="991">
        <f>IF(AND(Input_Product=Elig!$C939,Elig_MatchAll_Ct&lt;22,$BC939=(Elig_MatchAll_Ct-1),AJ939=0),G939,0)</f>
        <v>0</v>
      </c>
      <c r="BM939" s="991">
        <f>IF(AND(Input_Product=Elig!$C939,Elig_MatchAll_Ct&lt;22,$BC939=(Elig_MatchAll_Ct-1),AK939=0),H939,0)</f>
        <v>0</v>
      </c>
      <c r="BN939" s="991">
        <f>IF(AND(Input_Product=Elig!$C939,Elig_MatchAll_Ct&lt;22,$BC939=(Elig_MatchAll_Ct-1),AL939=0),I939,0)</f>
        <v>0</v>
      </c>
      <c r="BO939" s="991">
        <f>IF(AND(Input_Product=Elig!$C939,Elig_MatchAll_Ct&lt;22,$BC939=(Elig_MatchAll_Ct-1),AM939=0),J939,0)</f>
        <v>0</v>
      </c>
      <c r="BP939" s="991">
        <f>IF(AND(Input_Product=Elig!$C939,Elig_MatchAll_Ct&lt;22,$BC939=(Elig_MatchAll_Ct-1),AN939=0),K939,0)</f>
        <v>0</v>
      </c>
      <c r="BQ939" s="991">
        <f>IF(AND(Input_Product=Elig!$C939,Elig_MatchAll_Ct&lt;22,$BC939=(Elig_MatchAll_Ct-1),AP939=0),L939,0)</f>
        <v>0</v>
      </c>
      <c r="BR939" s="991">
        <f>IF(AND(Input_Product=Elig!$C939,Elig_MatchAll_Ct&lt;22,$BC939=(Elig_MatchAll_Ct-1),AO939=0),M939,0)</f>
        <v>0</v>
      </c>
      <c r="BS939" s="991">
        <f>IF(AND(Input_Product=Elig!$C939,Elig_MatchAll_Ct&lt;22,$BC939=(Elig_MatchAll_Ct-1),AQ939=0),N939,0)</f>
        <v>0</v>
      </c>
      <c r="BT939" s="991">
        <f>IF(AND(Input_Product=Elig!$C939,Elig_MatchAll_Ct&lt;22,$BC939=(Elig_MatchAll_Ct-1),AR939=0),O939,0)</f>
        <v>0</v>
      </c>
      <c r="BU939" s="991">
        <f>IF(AND(Input_Product=Elig!$C939,Elig_MatchAll_Ct&lt;22,$BC939=(Elig_MatchAll_Ct-1),AS939=0),P939,0)</f>
        <v>0</v>
      </c>
      <c r="BV939" s="992">
        <f>IF(AND(Input_Product=Elig!$C939,Elig_MatchAll_Ct&lt;22,$BC939=(Elig_MatchAll_Ct-1),AT939=0),Q939,0)</f>
        <v>0</v>
      </c>
      <c r="BW939" s="993">
        <f>IF(AND(Input_Product=Elig!$C939,Elig_MatchAll_Ct&lt;22,$BC939=(Elig_MatchAll_Ct-1),AU939=0),R939,0)</f>
        <v>0</v>
      </c>
      <c r="BX939" s="994">
        <f>IF(AND(Input_Product=Elig!$C939,Elig_MatchAll_Ct&lt;22,$BC939=(Elig_MatchAll_Ct-1),AU939=0),S939,0)</f>
        <v>0</v>
      </c>
      <c r="BY939" s="993">
        <f>IF(AND(Input_Product=Elig!$C939,Elig_MatchAll_Ct&lt;22,$BC939=(Elig_MatchAll_Ct-1),AV939=0),T939,0)</f>
        <v>0</v>
      </c>
      <c r="BZ939" s="994">
        <f>IF(AND(Input_Product=Elig!$C939,Elig_MatchAll_Ct&lt;22,$BC939=(Elig_MatchAll_Ct-1),AV939=0),U939,0)</f>
        <v>0</v>
      </c>
      <c r="CA939" s="993">
        <f>IF(AND(Input_Product=Elig!$C939,Elig_MatchAll_Ct&lt;22,$BC939=(Elig_MatchAll_Ct-1),AW939=0),V939,0)</f>
        <v>0</v>
      </c>
      <c r="CB939" s="994">
        <f>IF(AND(Input_Product=Elig!$C939,Elig_MatchAll_Ct&lt;22,$BC939=(Elig_MatchAll_Ct-1),AW939=0),W939,0)</f>
        <v>0</v>
      </c>
      <c r="CC939" s="993">
        <f>IF(AND(Input_Product=Elig!$C939,Elig_MatchAll_Ct&lt;22,$BC939=(Elig_MatchAll_Ct-1),AX939=0),X939,0)</f>
        <v>0</v>
      </c>
      <c r="CD939" s="994">
        <f>IF(AND(Input_Product=Elig!$C939,Elig_MatchAll_Ct&lt;22,$BC939=(Elig_MatchAll_Ct-1),AX939=0),Y939,0)</f>
        <v>0</v>
      </c>
      <c r="CE939" s="993">
        <f>IF(AND(Input_LTV&lt;=AE939,Input_Product=Elig!$C939,Elig_MatchAll_Ct&lt;22,$BC939=(Elig_MatchAll_Ct-1),AY939=0),Z939,0)</f>
        <v>0</v>
      </c>
      <c r="CF939" s="994">
        <f>IF(AND(Input_LTV&lt;=AE939,Input_Product=Elig!$C939,Elig_MatchAll_Ct&lt;22,$BC939=(Elig_MatchAll_Ct-1),AY939=0),AA939,0)</f>
        <v>0</v>
      </c>
      <c r="CG939" s="993">
        <f>IF(AND(Input_Product=Elig!$C939,Elig_MatchAll_Ct&lt;22,$BC939=(Elig_MatchAll_Ct-1),AZ939=0),AB939,0)</f>
        <v>0</v>
      </c>
      <c r="CH939" s="994">
        <f>IF(AND(Input_Product=Elig!$C939,Elig_MatchAll_Ct&lt;22,$BC939=(Elig_MatchAll_Ct-1),AZ939=0),AC939,0)</f>
        <v>0</v>
      </c>
      <c r="CI939" s="993">
        <f>IF(AND(Input_Product=Elig!$C939,Elig_MatchAll_Ct&lt;22,$BC939=(Elig_MatchAll_Ct-1),BA939=0),AD939,0)</f>
        <v>0</v>
      </c>
      <c r="CJ939" s="994">
        <f>IF(AND(Input_Product=Elig!$C939,Elig_MatchAll_Ct&lt;22,$BC939=(Elig_MatchAll_Ct-1),BA939=0),AE939,0)</f>
        <v>0</v>
      </c>
    </row>
    <row r="940" spans="2:88" ht="10.15" customHeight="1" x14ac:dyDescent="0.25">
      <c r="B940" s="1916" t="s">
        <v>2276</v>
      </c>
      <c r="C940" s="1203" t="str">
        <f t="shared" si="367"/>
        <v xml:space="preserve">  </v>
      </c>
      <c r="D940" s="1204" t="s">
        <v>2218</v>
      </c>
      <c r="E940" s="1204" t="s">
        <v>167</v>
      </c>
      <c r="F940" s="1204" t="s">
        <v>331</v>
      </c>
      <c r="G940" s="1205" t="s">
        <v>305</v>
      </c>
      <c r="H940" s="1205" t="s">
        <v>136</v>
      </c>
      <c r="I940" s="1204" t="s">
        <v>274</v>
      </c>
      <c r="J940" s="1204" t="s">
        <v>1311</v>
      </c>
      <c r="K940" s="1205" t="s">
        <v>3022</v>
      </c>
      <c r="L940" s="1204" t="s">
        <v>2768</v>
      </c>
      <c r="M940" s="1204" t="s">
        <v>2677</v>
      </c>
      <c r="N940" s="1205" t="s">
        <v>82</v>
      </c>
      <c r="O940" s="1204" t="s">
        <v>310</v>
      </c>
      <c r="P940" s="1204" t="s">
        <v>291</v>
      </c>
      <c r="Q940" s="1204" t="s">
        <v>294</v>
      </c>
      <c r="R940" s="1204">
        <v>1000000.01</v>
      </c>
      <c r="S940" s="1204">
        <v>1500000</v>
      </c>
      <c r="T940" s="1204">
        <v>0</v>
      </c>
      <c r="U940" s="1204">
        <v>0</v>
      </c>
      <c r="V940" s="1204">
        <v>0</v>
      </c>
      <c r="W940" s="1204">
        <v>50</v>
      </c>
      <c r="X940" s="1204">
        <v>0</v>
      </c>
      <c r="Y940" s="1204">
        <v>999</v>
      </c>
      <c r="Z940" s="1206">
        <v>720</v>
      </c>
      <c r="AA940" s="1206">
        <v>999</v>
      </c>
      <c r="AB940" s="1206">
        <v>6</v>
      </c>
      <c r="AC940" s="1206">
        <v>999999</v>
      </c>
      <c r="AD940" s="1204">
        <v>0</v>
      </c>
      <c r="AE940" s="1207">
        <v>80</v>
      </c>
      <c r="AF940" s="170">
        <v>0</v>
      </c>
      <c r="AG940" s="171">
        <v>1</v>
      </c>
      <c r="AH940" s="171">
        <v>1</v>
      </c>
      <c r="AI940" s="171">
        <v>1</v>
      </c>
      <c r="AJ940" s="171">
        <v>0</v>
      </c>
      <c r="AK940" s="171">
        <v>1</v>
      </c>
      <c r="AL940" s="171">
        <v>0</v>
      </c>
      <c r="AM940" s="171">
        <v>1</v>
      </c>
      <c r="AN940" s="171">
        <v>1</v>
      </c>
      <c r="AO940" s="171">
        <v>1</v>
      </c>
      <c r="AP940" s="171">
        <v>1</v>
      </c>
      <c r="AQ940" s="171">
        <v>1</v>
      </c>
      <c r="AR940" s="171">
        <v>1</v>
      </c>
      <c r="AS940" s="171">
        <v>1</v>
      </c>
      <c r="AT940" s="171">
        <v>1</v>
      </c>
      <c r="AU940" s="171">
        <f t="shared" si="379"/>
        <v>0</v>
      </c>
      <c r="AV940" s="171">
        <f t="shared" si="380"/>
        <v>0</v>
      </c>
      <c r="AW940" s="171">
        <f t="shared" si="381"/>
        <v>1</v>
      </c>
      <c r="AX940" s="171">
        <f t="shared" si="388"/>
        <v>1</v>
      </c>
      <c r="AY940" s="171">
        <f t="shared" si="382"/>
        <v>1</v>
      </c>
      <c r="AZ940" s="171">
        <f t="shared" si="383"/>
        <v>1</v>
      </c>
      <c r="BA940" s="172">
        <f t="shared" si="384"/>
        <v>1</v>
      </c>
      <c r="BB940" s="175">
        <f t="shared" si="385"/>
        <v>17</v>
      </c>
      <c r="BC940" s="176">
        <f t="shared" si="386"/>
        <v>16</v>
      </c>
      <c r="BD940" s="176">
        <f t="shared" si="387"/>
        <v>17</v>
      </c>
      <c r="BE940" s="240" t="str">
        <f t="shared" si="378"/>
        <v/>
      </c>
      <c r="BF940" s="990"/>
      <c r="BG940" s="990"/>
      <c r="BH940" s="991">
        <f>IF(AND(Input_Product=Elig!$C940,Elig_MatchAll_Ct&lt;22,$BC940=(Elig_MatchAll_Ct-1),AF940=0),C940,0)</f>
        <v>0</v>
      </c>
      <c r="BI940" s="991">
        <f>IF(AND(Input_Product=Elig!$C940,Elig_MatchAll_Ct&lt;22,$BC940=(Elig_MatchAll_Ct-1),AG940=0),D940,0)</f>
        <v>0</v>
      </c>
      <c r="BJ940" s="991">
        <f>IF(AND(Input_Product=Elig!$C940,Elig_MatchAll_Ct&lt;22,$BC940=(Elig_MatchAll_Ct-1),AH940=0),E940,0)</f>
        <v>0</v>
      </c>
      <c r="BK940" s="991">
        <f>IF(AND(Input_Product=Elig!$C940,Elig_MatchAll_Ct&lt;22,$BC940=(Elig_MatchAll_Ct-1),AI940=0),F940,0)</f>
        <v>0</v>
      </c>
      <c r="BL940" s="991">
        <f>IF(AND(Input_Product=Elig!$C940,Elig_MatchAll_Ct&lt;22,$BC940=(Elig_MatchAll_Ct-1),AJ940=0),G940,0)</f>
        <v>0</v>
      </c>
      <c r="BM940" s="991">
        <f>IF(AND(Input_Product=Elig!$C940,Elig_MatchAll_Ct&lt;22,$BC940=(Elig_MatchAll_Ct-1),AK940=0),H940,0)</f>
        <v>0</v>
      </c>
      <c r="BN940" s="991">
        <f>IF(AND(Input_Product=Elig!$C940,Elig_MatchAll_Ct&lt;22,$BC940=(Elig_MatchAll_Ct-1),AL940=0),I940,0)</f>
        <v>0</v>
      </c>
      <c r="BO940" s="991">
        <f>IF(AND(Input_Product=Elig!$C940,Elig_MatchAll_Ct&lt;22,$BC940=(Elig_MatchAll_Ct-1),AM940=0),J940,0)</f>
        <v>0</v>
      </c>
      <c r="BP940" s="991">
        <f>IF(AND(Input_Product=Elig!$C940,Elig_MatchAll_Ct&lt;22,$BC940=(Elig_MatchAll_Ct-1),AN940=0),K940,0)</f>
        <v>0</v>
      </c>
      <c r="BQ940" s="991">
        <f>IF(AND(Input_Product=Elig!$C940,Elig_MatchAll_Ct&lt;22,$BC940=(Elig_MatchAll_Ct-1),AP940=0),L940,0)</f>
        <v>0</v>
      </c>
      <c r="BR940" s="991">
        <f>IF(AND(Input_Product=Elig!$C940,Elig_MatchAll_Ct&lt;22,$BC940=(Elig_MatchAll_Ct-1),AO940=0),M940,0)</f>
        <v>0</v>
      </c>
      <c r="BS940" s="991">
        <f>IF(AND(Input_Product=Elig!$C940,Elig_MatchAll_Ct&lt;22,$BC940=(Elig_MatchAll_Ct-1),AQ940=0),N940,0)</f>
        <v>0</v>
      </c>
      <c r="BT940" s="991">
        <f>IF(AND(Input_Product=Elig!$C940,Elig_MatchAll_Ct&lt;22,$BC940=(Elig_MatchAll_Ct-1),AR940=0),O940,0)</f>
        <v>0</v>
      </c>
      <c r="BU940" s="991">
        <f>IF(AND(Input_Product=Elig!$C940,Elig_MatchAll_Ct&lt;22,$BC940=(Elig_MatchAll_Ct-1),AS940=0),P940,0)</f>
        <v>0</v>
      </c>
      <c r="BV940" s="992">
        <f>IF(AND(Input_Product=Elig!$C940,Elig_MatchAll_Ct&lt;22,$BC940=(Elig_MatchAll_Ct-1),AT940=0),Q940,0)</f>
        <v>0</v>
      </c>
      <c r="BW940" s="993">
        <f>IF(AND(Input_Product=Elig!$C940,Elig_MatchAll_Ct&lt;22,$BC940=(Elig_MatchAll_Ct-1),AU940=0),R940,0)</f>
        <v>0</v>
      </c>
      <c r="BX940" s="994">
        <f>IF(AND(Input_Product=Elig!$C940,Elig_MatchAll_Ct&lt;22,$BC940=(Elig_MatchAll_Ct-1),AU940=0),S940,0)</f>
        <v>0</v>
      </c>
      <c r="BY940" s="993">
        <f>IF(AND(Input_Product=Elig!$C940,Elig_MatchAll_Ct&lt;22,$BC940=(Elig_MatchAll_Ct-1),AV940=0),T940,0)</f>
        <v>0</v>
      </c>
      <c r="BZ940" s="994">
        <f>IF(AND(Input_Product=Elig!$C940,Elig_MatchAll_Ct&lt;22,$BC940=(Elig_MatchAll_Ct-1),AV940=0),U940,0)</f>
        <v>0</v>
      </c>
      <c r="CA940" s="993">
        <f>IF(AND(Input_Product=Elig!$C940,Elig_MatchAll_Ct&lt;22,$BC940=(Elig_MatchAll_Ct-1),AW940=0),V940,0)</f>
        <v>0</v>
      </c>
      <c r="CB940" s="994">
        <f>IF(AND(Input_Product=Elig!$C940,Elig_MatchAll_Ct&lt;22,$BC940=(Elig_MatchAll_Ct-1),AW940=0),W940,0)</f>
        <v>0</v>
      </c>
      <c r="CC940" s="993">
        <f>IF(AND(Input_Product=Elig!$C940,Elig_MatchAll_Ct&lt;22,$BC940=(Elig_MatchAll_Ct-1),AX940=0),X940,0)</f>
        <v>0</v>
      </c>
      <c r="CD940" s="994">
        <f>IF(AND(Input_Product=Elig!$C940,Elig_MatchAll_Ct&lt;22,$BC940=(Elig_MatchAll_Ct-1),AX940=0),Y940,0)</f>
        <v>0</v>
      </c>
      <c r="CE940" s="993">
        <f>IF(AND(Input_LTV&lt;=AE940,Input_Product=Elig!$C940,Elig_MatchAll_Ct&lt;22,$BC940=(Elig_MatchAll_Ct-1),AY940=0),Z940,0)</f>
        <v>0</v>
      </c>
      <c r="CF940" s="994">
        <f>IF(AND(Input_LTV&lt;=AE940,Input_Product=Elig!$C940,Elig_MatchAll_Ct&lt;22,$BC940=(Elig_MatchAll_Ct-1),AY940=0),AA940,0)</f>
        <v>0</v>
      </c>
      <c r="CG940" s="993">
        <f>IF(AND(Input_Product=Elig!$C940,Elig_MatchAll_Ct&lt;22,$BC940=(Elig_MatchAll_Ct-1),AZ940=0),AB940,0)</f>
        <v>0</v>
      </c>
      <c r="CH940" s="994">
        <f>IF(AND(Input_Product=Elig!$C940,Elig_MatchAll_Ct&lt;22,$BC940=(Elig_MatchAll_Ct-1),AZ940=0),AC940,0)</f>
        <v>0</v>
      </c>
      <c r="CI940" s="993">
        <f>IF(AND(Input_Product=Elig!$C940,Elig_MatchAll_Ct&lt;22,$BC940=(Elig_MatchAll_Ct-1),BA940=0),AD940,0)</f>
        <v>0</v>
      </c>
      <c r="CJ940" s="994">
        <f>IF(AND(Input_Product=Elig!$C940,Elig_MatchAll_Ct&lt;22,$BC940=(Elig_MatchAll_Ct-1),BA940=0),AE940,0)</f>
        <v>0</v>
      </c>
    </row>
    <row r="941" spans="2:88" ht="10.15" customHeight="1" x14ac:dyDescent="0.25">
      <c r="B941" s="1916" t="s">
        <v>2277</v>
      </c>
      <c r="C941" s="1208" t="str">
        <f t="shared" si="367"/>
        <v xml:space="preserve">  </v>
      </c>
      <c r="D941" s="1209" t="s">
        <v>2218</v>
      </c>
      <c r="E941" s="1209" t="s">
        <v>167</v>
      </c>
      <c r="F941" s="1209" t="s">
        <v>331</v>
      </c>
      <c r="G941" s="1210" t="s">
        <v>305</v>
      </c>
      <c r="H941" s="1210" t="s">
        <v>136</v>
      </c>
      <c r="I941" s="1209" t="s">
        <v>274</v>
      </c>
      <c r="J941" s="1209" t="s">
        <v>1311</v>
      </c>
      <c r="K941" s="1210" t="s">
        <v>3022</v>
      </c>
      <c r="L941" s="1209" t="s">
        <v>2768</v>
      </c>
      <c r="M941" s="1209" t="s">
        <v>2677</v>
      </c>
      <c r="N941" s="1210" t="s">
        <v>82</v>
      </c>
      <c r="O941" s="1209" t="s">
        <v>310</v>
      </c>
      <c r="P941" s="1209" t="s">
        <v>291</v>
      </c>
      <c r="Q941" s="1209" t="s">
        <v>294</v>
      </c>
      <c r="R941" s="1209">
        <v>1000000.01</v>
      </c>
      <c r="S941" s="1209">
        <v>1500000</v>
      </c>
      <c r="T941" s="1209">
        <v>0</v>
      </c>
      <c r="U941" s="1209">
        <v>0</v>
      </c>
      <c r="V941" s="1209">
        <v>0</v>
      </c>
      <c r="W941" s="1209">
        <v>50</v>
      </c>
      <c r="X941" s="1209">
        <v>0</v>
      </c>
      <c r="Y941" s="1209">
        <v>999</v>
      </c>
      <c r="Z941" s="1211">
        <v>700</v>
      </c>
      <c r="AA941" s="1211">
        <v>719</v>
      </c>
      <c r="AB941" s="1211">
        <v>6</v>
      </c>
      <c r="AC941" s="1211">
        <v>999999</v>
      </c>
      <c r="AD941" s="1209">
        <v>0</v>
      </c>
      <c r="AE941" s="1212">
        <v>80</v>
      </c>
      <c r="AF941" s="170">
        <v>0</v>
      </c>
      <c r="AG941" s="171">
        <v>1</v>
      </c>
      <c r="AH941" s="171">
        <v>1</v>
      </c>
      <c r="AI941" s="171">
        <v>1</v>
      </c>
      <c r="AJ941" s="171">
        <v>0</v>
      </c>
      <c r="AK941" s="171">
        <v>1</v>
      </c>
      <c r="AL941" s="171">
        <v>0</v>
      </c>
      <c r="AM941" s="171">
        <v>1</v>
      </c>
      <c r="AN941" s="171">
        <v>1</v>
      </c>
      <c r="AO941" s="171">
        <v>1</v>
      </c>
      <c r="AP941" s="171">
        <v>1</v>
      </c>
      <c r="AQ941" s="171">
        <v>1</v>
      </c>
      <c r="AR941" s="171">
        <v>1</v>
      </c>
      <c r="AS941" s="171">
        <v>1</v>
      </c>
      <c r="AT941" s="171">
        <v>1</v>
      </c>
      <c r="AU941" s="171">
        <f t="shared" si="379"/>
        <v>0</v>
      </c>
      <c r="AV941" s="171">
        <f t="shared" si="380"/>
        <v>0</v>
      </c>
      <c r="AW941" s="171">
        <f t="shared" si="381"/>
        <v>1</v>
      </c>
      <c r="AX941" s="171">
        <f t="shared" si="388"/>
        <v>1</v>
      </c>
      <c r="AY941" s="171">
        <f t="shared" si="382"/>
        <v>0</v>
      </c>
      <c r="AZ941" s="171">
        <f t="shared" si="383"/>
        <v>1</v>
      </c>
      <c r="BA941" s="172">
        <f t="shared" si="384"/>
        <v>1</v>
      </c>
      <c r="BB941" s="175">
        <f t="shared" si="385"/>
        <v>16</v>
      </c>
      <c r="BC941" s="176">
        <f t="shared" si="386"/>
        <v>15</v>
      </c>
      <c r="BD941" s="176">
        <f t="shared" si="387"/>
        <v>16</v>
      </c>
      <c r="BE941" s="240" t="str">
        <f t="shared" si="378"/>
        <v/>
      </c>
      <c r="BF941" s="990"/>
      <c r="BG941" s="990"/>
      <c r="BH941" s="991">
        <f>IF(AND(Input_Product=Elig!$C941,Elig_MatchAll_Ct&lt;22,$BC941=(Elig_MatchAll_Ct-1),AF941=0),C941,0)</f>
        <v>0</v>
      </c>
      <c r="BI941" s="991">
        <f>IF(AND(Input_Product=Elig!$C941,Elig_MatchAll_Ct&lt;22,$BC941=(Elig_MatchAll_Ct-1),AG941=0),D941,0)</f>
        <v>0</v>
      </c>
      <c r="BJ941" s="991">
        <f>IF(AND(Input_Product=Elig!$C941,Elig_MatchAll_Ct&lt;22,$BC941=(Elig_MatchAll_Ct-1),AH941=0),E941,0)</f>
        <v>0</v>
      </c>
      <c r="BK941" s="991">
        <f>IF(AND(Input_Product=Elig!$C941,Elig_MatchAll_Ct&lt;22,$BC941=(Elig_MatchAll_Ct-1),AI941=0),F941,0)</f>
        <v>0</v>
      </c>
      <c r="BL941" s="991">
        <f>IF(AND(Input_Product=Elig!$C941,Elig_MatchAll_Ct&lt;22,$BC941=(Elig_MatchAll_Ct-1),AJ941=0),G941,0)</f>
        <v>0</v>
      </c>
      <c r="BM941" s="991">
        <f>IF(AND(Input_Product=Elig!$C941,Elig_MatchAll_Ct&lt;22,$BC941=(Elig_MatchAll_Ct-1),AK941=0),H941,0)</f>
        <v>0</v>
      </c>
      <c r="BN941" s="991">
        <f>IF(AND(Input_Product=Elig!$C941,Elig_MatchAll_Ct&lt;22,$BC941=(Elig_MatchAll_Ct-1),AL941=0),I941,0)</f>
        <v>0</v>
      </c>
      <c r="BO941" s="991">
        <f>IF(AND(Input_Product=Elig!$C941,Elig_MatchAll_Ct&lt;22,$BC941=(Elig_MatchAll_Ct-1),AM941=0),J941,0)</f>
        <v>0</v>
      </c>
      <c r="BP941" s="991">
        <f>IF(AND(Input_Product=Elig!$C941,Elig_MatchAll_Ct&lt;22,$BC941=(Elig_MatchAll_Ct-1),AN941=0),K941,0)</f>
        <v>0</v>
      </c>
      <c r="BQ941" s="991">
        <f>IF(AND(Input_Product=Elig!$C941,Elig_MatchAll_Ct&lt;22,$BC941=(Elig_MatchAll_Ct-1),AP941=0),L941,0)</f>
        <v>0</v>
      </c>
      <c r="BR941" s="991">
        <f>IF(AND(Input_Product=Elig!$C941,Elig_MatchAll_Ct&lt;22,$BC941=(Elig_MatchAll_Ct-1),AO941=0),M941,0)</f>
        <v>0</v>
      </c>
      <c r="BS941" s="991">
        <f>IF(AND(Input_Product=Elig!$C941,Elig_MatchAll_Ct&lt;22,$BC941=(Elig_MatchAll_Ct-1),AQ941=0),N941,0)</f>
        <v>0</v>
      </c>
      <c r="BT941" s="991">
        <f>IF(AND(Input_Product=Elig!$C941,Elig_MatchAll_Ct&lt;22,$BC941=(Elig_MatchAll_Ct-1),AR941=0),O941,0)</f>
        <v>0</v>
      </c>
      <c r="BU941" s="991">
        <f>IF(AND(Input_Product=Elig!$C941,Elig_MatchAll_Ct&lt;22,$BC941=(Elig_MatchAll_Ct-1),AS941=0),P941,0)</f>
        <v>0</v>
      </c>
      <c r="BV941" s="992">
        <f>IF(AND(Input_Product=Elig!$C941,Elig_MatchAll_Ct&lt;22,$BC941=(Elig_MatchAll_Ct-1),AT941=0),Q941,0)</f>
        <v>0</v>
      </c>
      <c r="BW941" s="993">
        <f>IF(AND(Input_Product=Elig!$C941,Elig_MatchAll_Ct&lt;22,$BC941=(Elig_MatchAll_Ct-1),AU941=0),R941,0)</f>
        <v>0</v>
      </c>
      <c r="BX941" s="994">
        <f>IF(AND(Input_Product=Elig!$C941,Elig_MatchAll_Ct&lt;22,$BC941=(Elig_MatchAll_Ct-1),AU941=0),S941,0)</f>
        <v>0</v>
      </c>
      <c r="BY941" s="993">
        <f>IF(AND(Input_Product=Elig!$C941,Elig_MatchAll_Ct&lt;22,$BC941=(Elig_MatchAll_Ct-1),AV941=0),T941,0)</f>
        <v>0</v>
      </c>
      <c r="BZ941" s="994">
        <f>IF(AND(Input_Product=Elig!$C941,Elig_MatchAll_Ct&lt;22,$BC941=(Elig_MatchAll_Ct-1),AV941=0),U941,0)</f>
        <v>0</v>
      </c>
      <c r="CA941" s="993">
        <f>IF(AND(Input_Product=Elig!$C941,Elig_MatchAll_Ct&lt;22,$BC941=(Elig_MatchAll_Ct-1),AW941=0),V941,0)</f>
        <v>0</v>
      </c>
      <c r="CB941" s="994">
        <f>IF(AND(Input_Product=Elig!$C941,Elig_MatchAll_Ct&lt;22,$BC941=(Elig_MatchAll_Ct-1),AW941=0),W941,0)</f>
        <v>0</v>
      </c>
      <c r="CC941" s="993">
        <f>IF(AND(Input_Product=Elig!$C941,Elig_MatchAll_Ct&lt;22,$BC941=(Elig_MatchAll_Ct-1),AX941=0),X941,0)</f>
        <v>0</v>
      </c>
      <c r="CD941" s="994">
        <f>IF(AND(Input_Product=Elig!$C941,Elig_MatchAll_Ct&lt;22,$BC941=(Elig_MatchAll_Ct-1),AX941=0),Y941,0)</f>
        <v>0</v>
      </c>
      <c r="CE941" s="993">
        <f>IF(AND(Input_LTV&lt;=AE941,Input_Product=Elig!$C941,Elig_MatchAll_Ct&lt;22,$BC941=(Elig_MatchAll_Ct-1),AY941=0),Z941,0)</f>
        <v>0</v>
      </c>
      <c r="CF941" s="994">
        <f>IF(AND(Input_LTV&lt;=AE941,Input_Product=Elig!$C941,Elig_MatchAll_Ct&lt;22,$BC941=(Elig_MatchAll_Ct-1),AY941=0),AA941,0)</f>
        <v>0</v>
      </c>
      <c r="CG941" s="993">
        <f>IF(AND(Input_Product=Elig!$C941,Elig_MatchAll_Ct&lt;22,$BC941=(Elig_MatchAll_Ct-1),AZ941=0),AB941,0)</f>
        <v>0</v>
      </c>
      <c r="CH941" s="994">
        <f>IF(AND(Input_Product=Elig!$C941,Elig_MatchAll_Ct&lt;22,$BC941=(Elig_MatchAll_Ct-1),AZ941=0),AC941,0)</f>
        <v>0</v>
      </c>
      <c r="CI941" s="993">
        <f>IF(AND(Input_Product=Elig!$C941,Elig_MatchAll_Ct&lt;22,$BC941=(Elig_MatchAll_Ct-1),BA941=0),AD941,0)</f>
        <v>0</v>
      </c>
      <c r="CJ941" s="994">
        <f>IF(AND(Input_Product=Elig!$C941,Elig_MatchAll_Ct&lt;22,$BC941=(Elig_MatchAll_Ct-1),BA941=0),AE941,0)</f>
        <v>0</v>
      </c>
    </row>
    <row r="942" spans="2:88" ht="10.15" customHeight="1" x14ac:dyDescent="0.25">
      <c r="B942" s="1916" t="s">
        <v>2278</v>
      </c>
      <c r="C942" s="1208" t="str">
        <f t="shared" si="367"/>
        <v xml:space="preserve">  </v>
      </c>
      <c r="D942" s="1209" t="s">
        <v>2218</v>
      </c>
      <c r="E942" s="1209" t="s">
        <v>167</v>
      </c>
      <c r="F942" s="1209" t="s">
        <v>331</v>
      </c>
      <c r="G942" s="1210" t="s">
        <v>305</v>
      </c>
      <c r="H942" s="1210" t="s">
        <v>136</v>
      </c>
      <c r="I942" s="1209" t="s">
        <v>274</v>
      </c>
      <c r="J942" s="1209" t="s">
        <v>1311</v>
      </c>
      <c r="K942" s="1210" t="s">
        <v>3022</v>
      </c>
      <c r="L942" s="1209" t="s">
        <v>2768</v>
      </c>
      <c r="M942" s="1209" t="s">
        <v>2677</v>
      </c>
      <c r="N942" s="1210" t="s">
        <v>82</v>
      </c>
      <c r="O942" s="1209" t="s">
        <v>310</v>
      </c>
      <c r="P942" s="1209" t="s">
        <v>291</v>
      </c>
      <c r="Q942" s="1209" t="s">
        <v>294</v>
      </c>
      <c r="R942" s="1209">
        <v>1000000.01</v>
      </c>
      <c r="S942" s="1209">
        <v>1500000</v>
      </c>
      <c r="T942" s="1209">
        <v>0</v>
      </c>
      <c r="U942" s="1209">
        <v>0</v>
      </c>
      <c r="V942" s="1209">
        <v>0</v>
      </c>
      <c r="W942" s="1209">
        <v>50</v>
      </c>
      <c r="X942" s="1209">
        <v>0</v>
      </c>
      <c r="Y942" s="1209">
        <v>999</v>
      </c>
      <c r="Z942" s="1211">
        <v>680</v>
      </c>
      <c r="AA942" s="1211">
        <v>699</v>
      </c>
      <c r="AB942" s="1211">
        <v>6</v>
      </c>
      <c r="AC942" s="1211">
        <v>999999</v>
      </c>
      <c r="AD942" s="1209">
        <v>0</v>
      </c>
      <c r="AE942" s="1212">
        <v>80</v>
      </c>
      <c r="AF942" s="170">
        <v>0</v>
      </c>
      <c r="AG942" s="171">
        <v>1</v>
      </c>
      <c r="AH942" s="171">
        <v>1</v>
      </c>
      <c r="AI942" s="171">
        <v>1</v>
      </c>
      <c r="AJ942" s="171">
        <v>0</v>
      </c>
      <c r="AK942" s="171">
        <v>1</v>
      </c>
      <c r="AL942" s="171">
        <v>0</v>
      </c>
      <c r="AM942" s="171">
        <v>1</v>
      </c>
      <c r="AN942" s="171">
        <v>1</v>
      </c>
      <c r="AO942" s="171">
        <v>1</v>
      </c>
      <c r="AP942" s="171">
        <v>1</v>
      </c>
      <c r="AQ942" s="171">
        <v>1</v>
      </c>
      <c r="AR942" s="171">
        <v>1</v>
      </c>
      <c r="AS942" s="171">
        <v>1</v>
      </c>
      <c r="AT942" s="171">
        <v>1</v>
      </c>
      <c r="AU942" s="171">
        <f t="shared" si="379"/>
        <v>0</v>
      </c>
      <c r="AV942" s="171">
        <f t="shared" si="380"/>
        <v>0</v>
      </c>
      <c r="AW942" s="171">
        <f t="shared" si="381"/>
        <v>1</v>
      </c>
      <c r="AX942" s="171">
        <f t="shared" si="388"/>
        <v>1</v>
      </c>
      <c r="AY942" s="171">
        <f t="shared" si="382"/>
        <v>0</v>
      </c>
      <c r="AZ942" s="171">
        <f t="shared" si="383"/>
        <v>1</v>
      </c>
      <c r="BA942" s="172">
        <f t="shared" si="384"/>
        <v>1</v>
      </c>
      <c r="BB942" s="175">
        <f t="shared" si="385"/>
        <v>16</v>
      </c>
      <c r="BC942" s="176">
        <f t="shared" si="386"/>
        <v>15</v>
      </c>
      <c r="BD942" s="176">
        <f t="shared" si="387"/>
        <v>16</v>
      </c>
      <c r="BE942" s="240" t="str">
        <f t="shared" si="378"/>
        <v/>
      </c>
      <c r="BF942" s="990"/>
      <c r="BG942" s="990"/>
      <c r="BH942" s="991">
        <f>IF(AND(Input_Product=Elig!$C942,Elig_MatchAll_Ct&lt;22,$BC942=(Elig_MatchAll_Ct-1),AF942=0),C942,0)</f>
        <v>0</v>
      </c>
      <c r="BI942" s="991">
        <f>IF(AND(Input_Product=Elig!$C942,Elig_MatchAll_Ct&lt;22,$BC942=(Elig_MatchAll_Ct-1),AG942=0),D942,0)</f>
        <v>0</v>
      </c>
      <c r="BJ942" s="991">
        <f>IF(AND(Input_Product=Elig!$C942,Elig_MatchAll_Ct&lt;22,$BC942=(Elig_MatchAll_Ct-1),AH942=0),E942,0)</f>
        <v>0</v>
      </c>
      <c r="BK942" s="991">
        <f>IF(AND(Input_Product=Elig!$C942,Elig_MatchAll_Ct&lt;22,$BC942=(Elig_MatchAll_Ct-1),AI942=0),F942,0)</f>
        <v>0</v>
      </c>
      <c r="BL942" s="991">
        <f>IF(AND(Input_Product=Elig!$C942,Elig_MatchAll_Ct&lt;22,$BC942=(Elig_MatchAll_Ct-1),AJ942=0),G942,0)</f>
        <v>0</v>
      </c>
      <c r="BM942" s="991">
        <f>IF(AND(Input_Product=Elig!$C942,Elig_MatchAll_Ct&lt;22,$BC942=(Elig_MatchAll_Ct-1),AK942=0),H942,0)</f>
        <v>0</v>
      </c>
      <c r="BN942" s="991">
        <f>IF(AND(Input_Product=Elig!$C942,Elig_MatchAll_Ct&lt;22,$BC942=(Elig_MatchAll_Ct-1),AL942=0),I942,0)</f>
        <v>0</v>
      </c>
      <c r="BO942" s="991">
        <f>IF(AND(Input_Product=Elig!$C942,Elig_MatchAll_Ct&lt;22,$BC942=(Elig_MatchAll_Ct-1),AM942=0),J942,0)</f>
        <v>0</v>
      </c>
      <c r="BP942" s="991">
        <f>IF(AND(Input_Product=Elig!$C942,Elig_MatchAll_Ct&lt;22,$BC942=(Elig_MatchAll_Ct-1),AN942=0),K942,0)</f>
        <v>0</v>
      </c>
      <c r="BQ942" s="991">
        <f>IF(AND(Input_Product=Elig!$C942,Elig_MatchAll_Ct&lt;22,$BC942=(Elig_MatchAll_Ct-1),AP942=0),L942,0)</f>
        <v>0</v>
      </c>
      <c r="BR942" s="991">
        <f>IF(AND(Input_Product=Elig!$C942,Elig_MatchAll_Ct&lt;22,$BC942=(Elig_MatchAll_Ct-1),AO942=0),M942,0)</f>
        <v>0</v>
      </c>
      <c r="BS942" s="991">
        <f>IF(AND(Input_Product=Elig!$C942,Elig_MatchAll_Ct&lt;22,$BC942=(Elig_MatchAll_Ct-1),AQ942=0),N942,0)</f>
        <v>0</v>
      </c>
      <c r="BT942" s="991">
        <f>IF(AND(Input_Product=Elig!$C942,Elig_MatchAll_Ct&lt;22,$BC942=(Elig_MatchAll_Ct-1),AR942=0),O942,0)</f>
        <v>0</v>
      </c>
      <c r="BU942" s="991">
        <f>IF(AND(Input_Product=Elig!$C942,Elig_MatchAll_Ct&lt;22,$BC942=(Elig_MatchAll_Ct-1),AS942=0),P942,0)</f>
        <v>0</v>
      </c>
      <c r="BV942" s="992">
        <f>IF(AND(Input_Product=Elig!$C942,Elig_MatchAll_Ct&lt;22,$BC942=(Elig_MatchAll_Ct-1),AT942=0),Q942,0)</f>
        <v>0</v>
      </c>
      <c r="BW942" s="993">
        <f>IF(AND(Input_Product=Elig!$C942,Elig_MatchAll_Ct&lt;22,$BC942=(Elig_MatchAll_Ct-1),AU942=0),R942,0)</f>
        <v>0</v>
      </c>
      <c r="BX942" s="994">
        <f>IF(AND(Input_Product=Elig!$C942,Elig_MatchAll_Ct&lt;22,$BC942=(Elig_MatchAll_Ct-1),AU942=0),S942,0)</f>
        <v>0</v>
      </c>
      <c r="BY942" s="993">
        <f>IF(AND(Input_Product=Elig!$C942,Elig_MatchAll_Ct&lt;22,$BC942=(Elig_MatchAll_Ct-1),AV942=0),T942,0)</f>
        <v>0</v>
      </c>
      <c r="BZ942" s="994">
        <f>IF(AND(Input_Product=Elig!$C942,Elig_MatchAll_Ct&lt;22,$BC942=(Elig_MatchAll_Ct-1),AV942=0),U942,0)</f>
        <v>0</v>
      </c>
      <c r="CA942" s="993">
        <f>IF(AND(Input_Product=Elig!$C942,Elig_MatchAll_Ct&lt;22,$BC942=(Elig_MatchAll_Ct-1),AW942=0),V942,0)</f>
        <v>0</v>
      </c>
      <c r="CB942" s="994">
        <f>IF(AND(Input_Product=Elig!$C942,Elig_MatchAll_Ct&lt;22,$BC942=(Elig_MatchAll_Ct-1),AW942=0),W942,0)</f>
        <v>0</v>
      </c>
      <c r="CC942" s="993">
        <f>IF(AND(Input_Product=Elig!$C942,Elig_MatchAll_Ct&lt;22,$BC942=(Elig_MatchAll_Ct-1),AX942=0),X942,0)</f>
        <v>0</v>
      </c>
      <c r="CD942" s="994">
        <f>IF(AND(Input_Product=Elig!$C942,Elig_MatchAll_Ct&lt;22,$BC942=(Elig_MatchAll_Ct-1),AX942=0),Y942,0)</f>
        <v>0</v>
      </c>
      <c r="CE942" s="993">
        <f>IF(AND(Input_LTV&lt;=AE942,Input_Product=Elig!$C942,Elig_MatchAll_Ct&lt;22,$BC942=(Elig_MatchAll_Ct-1),AY942=0),Z942,0)</f>
        <v>0</v>
      </c>
      <c r="CF942" s="994">
        <f>IF(AND(Input_LTV&lt;=AE942,Input_Product=Elig!$C942,Elig_MatchAll_Ct&lt;22,$BC942=(Elig_MatchAll_Ct-1),AY942=0),AA942,0)</f>
        <v>0</v>
      </c>
      <c r="CG942" s="993">
        <f>IF(AND(Input_Product=Elig!$C942,Elig_MatchAll_Ct&lt;22,$BC942=(Elig_MatchAll_Ct-1),AZ942=0),AB942,0)</f>
        <v>0</v>
      </c>
      <c r="CH942" s="994">
        <f>IF(AND(Input_Product=Elig!$C942,Elig_MatchAll_Ct&lt;22,$BC942=(Elig_MatchAll_Ct-1),AZ942=0),AC942,0)</f>
        <v>0</v>
      </c>
      <c r="CI942" s="993">
        <f>IF(AND(Input_Product=Elig!$C942,Elig_MatchAll_Ct&lt;22,$BC942=(Elig_MatchAll_Ct-1),BA942=0),AD942,0)</f>
        <v>0</v>
      </c>
      <c r="CJ942" s="994">
        <f>IF(AND(Input_Product=Elig!$C942,Elig_MatchAll_Ct&lt;22,$BC942=(Elig_MatchAll_Ct-1),BA942=0),AE942,0)</f>
        <v>0</v>
      </c>
    </row>
    <row r="943" spans="2:88" ht="10.15" customHeight="1" x14ac:dyDescent="0.25">
      <c r="B943" s="1916" t="s">
        <v>2279</v>
      </c>
      <c r="C943" s="1213" t="str">
        <f t="shared" si="367"/>
        <v xml:space="preserve">  </v>
      </c>
      <c r="D943" s="1214" t="s">
        <v>2218</v>
      </c>
      <c r="E943" s="1214" t="s">
        <v>167</v>
      </c>
      <c r="F943" s="1214" t="s">
        <v>331</v>
      </c>
      <c r="G943" s="1215" t="s">
        <v>305</v>
      </c>
      <c r="H943" s="1215" t="s">
        <v>136</v>
      </c>
      <c r="I943" s="1214" t="s">
        <v>274</v>
      </c>
      <c r="J943" s="1214" t="s">
        <v>1311</v>
      </c>
      <c r="K943" s="1215" t="s">
        <v>3022</v>
      </c>
      <c r="L943" s="1214" t="s">
        <v>2768</v>
      </c>
      <c r="M943" s="1214" t="s">
        <v>2677</v>
      </c>
      <c r="N943" s="1215" t="s">
        <v>82</v>
      </c>
      <c r="O943" s="1214" t="s">
        <v>310</v>
      </c>
      <c r="P943" s="1214" t="s">
        <v>291</v>
      </c>
      <c r="Q943" s="1214" t="s">
        <v>294</v>
      </c>
      <c r="R943" s="1214">
        <v>1000000.01</v>
      </c>
      <c r="S943" s="1214">
        <v>1500000</v>
      </c>
      <c r="T943" s="1214">
        <v>0</v>
      </c>
      <c r="U943" s="1214">
        <v>0</v>
      </c>
      <c r="V943" s="1214">
        <v>0</v>
      </c>
      <c r="W943" s="1214">
        <v>50</v>
      </c>
      <c r="X943" s="1214">
        <v>0</v>
      </c>
      <c r="Y943" s="1214">
        <v>999</v>
      </c>
      <c r="Z943" s="1216">
        <v>660</v>
      </c>
      <c r="AA943" s="1216">
        <v>679</v>
      </c>
      <c r="AB943" s="1216">
        <v>6</v>
      </c>
      <c r="AC943" s="1216">
        <v>999999</v>
      </c>
      <c r="AD943" s="1214">
        <v>0</v>
      </c>
      <c r="AE943" s="1217">
        <v>70</v>
      </c>
      <c r="AF943" s="170">
        <v>0</v>
      </c>
      <c r="AG943" s="171">
        <v>1</v>
      </c>
      <c r="AH943" s="171">
        <v>1</v>
      </c>
      <c r="AI943" s="171">
        <v>1</v>
      </c>
      <c r="AJ943" s="171">
        <v>0</v>
      </c>
      <c r="AK943" s="171">
        <v>1</v>
      </c>
      <c r="AL943" s="171">
        <v>0</v>
      </c>
      <c r="AM943" s="171">
        <v>1</v>
      </c>
      <c r="AN943" s="171">
        <v>1</v>
      </c>
      <c r="AO943" s="171">
        <v>1</v>
      </c>
      <c r="AP943" s="171">
        <v>1</v>
      </c>
      <c r="AQ943" s="171">
        <v>1</v>
      </c>
      <c r="AR943" s="171">
        <v>1</v>
      </c>
      <c r="AS943" s="171">
        <v>1</v>
      </c>
      <c r="AT943" s="171">
        <v>1</v>
      </c>
      <c r="AU943" s="171">
        <f t="shared" si="379"/>
        <v>0</v>
      </c>
      <c r="AV943" s="171">
        <f t="shared" si="380"/>
        <v>0</v>
      </c>
      <c r="AW943" s="171">
        <f t="shared" si="381"/>
        <v>1</v>
      </c>
      <c r="AX943" s="171">
        <f t="shared" si="388"/>
        <v>1</v>
      </c>
      <c r="AY943" s="171">
        <f t="shared" si="382"/>
        <v>0</v>
      </c>
      <c r="AZ943" s="171">
        <f t="shared" si="383"/>
        <v>1</v>
      </c>
      <c r="BA943" s="172">
        <f t="shared" si="384"/>
        <v>1</v>
      </c>
      <c r="BB943" s="175">
        <f t="shared" si="385"/>
        <v>16</v>
      </c>
      <c r="BC943" s="176">
        <f t="shared" si="386"/>
        <v>15</v>
      </c>
      <c r="BD943" s="176">
        <f t="shared" si="387"/>
        <v>16</v>
      </c>
      <c r="BE943" s="240" t="str">
        <f t="shared" si="378"/>
        <v/>
      </c>
      <c r="BF943" s="990"/>
      <c r="BG943" s="990"/>
      <c r="BH943" s="991">
        <f>IF(AND(Input_Product=Elig!$C943,Elig_MatchAll_Ct&lt;22,$BC943=(Elig_MatchAll_Ct-1),AF943=0),C943,0)</f>
        <v>0</v>
      </c>
      <c r="BI943" s="991">
        <f>IF(AND(Input_Product=Elig!$C943,Elig_MatchAll_Ct&lt;22,$BC943=(Elig_MatchAll_Ct-1),AG943=0),D943,0)</f>
        <v>0</v>
      </c>
      <c r="BJ943" s="991">
        <f>IF(AND(Input_Product=Elig!$C943,Elig_MatchAll_Ct&lt;22,$BC943=(Elig_MatchAll_Ct-1),AH943=0),E943,0)</f>
        <v>0</v>
      </c>
      <c r="BK943" s="991">
        <f>IF(AND(Input_Product=Elig!$C943,Elig_MatchAll_Ct&lt;22,$BC943=(Elig_MatchAll_Ct-1),AI943=0),F943,0)</f>
        <v>0</v>
      </c>
      <c r="BL943" s="991">
        <f>IF(AND(Input_Product=Elig!$C943,Elig_MatchAll_Ct&lt;22,$BC943=(Elig_MatchAll_Ct-1),AJ943=0),G943,0)</f>
        <v>0</v>
      </c>
      <c r="BM943" s="991">
        <f>IF(AND(Input_Product=Elig!$C943,Elig_MatchAll_Ct&lt;22,$BC943=(Elig_MatchAll_Ct-1),AK943=0),H943,0)</f>
        <v>0</v>
      </c>
      <c r="BN943" s="991">
        <f>IF(AND(Input_Product=Elig!$C943,Elig_MatchAll_Ct&lt;22,$BC943=(Elig_MatchAll_Ct-1),AL943=0),I943,0)</f>
        <v>0</v>
      </c>
      <c r="BO943" s="991">
        <f>IF(AND(Input_Product=Elig!$C943,Elig_MatchAll_Ct&lt;22,$BC943=(Elig_MatchAll_Ct-1),AM943=0),J943,0)</f>
        <v>0</v>
      </c>
      <c r="BP943" s="991">
        <f>IF(AND(Input_Product=Elig!$C943,Elig_MatchAll_Ct&lt;22,$BC943=(Elig_MatchAll_Ct-1),AN943=0),K943,0)</f>
        <v>0</v>
      </c>
      <c r="BQ943" s="991">
        <f>IF(AND(Input_Product=Elig!$C943,Elig_MatchAll_Ct&lt;22,$BC943=(Elig_MatchAll_Ct-1),AP943=0),L943,0)</f>
        <v>0</v>
      </c>
      <c r="BR943" s="991">
        <f>IF(AND(Input_Product=Elig!$C943,Elig_MatchAll_Ct&lt;22,$BC943=(Elig_MatchAll_Ct-1),AO943=0),M943,0)</f>
        <v>0</v>
      </c>
      <c r="BS943" s="991">
        <f>IF(AND(Input_Product=Elig!$C943,Elig_MatchAll_Ct&lt;22,$BC943=(Elig_MatchAll_Ct-1),AQ943=0),N943,0)</f>
        <v>0</v>
      </c>
      <c r="BT943" s="991">
        <f>IF(AND(Input_Product=Elig!$C943,Elig_MatchAll_Ct&lt;22,$BC943=(Elig_MatchAll_Ct-1),AR943=0),O943,0)</f>
        <v>0</v>
      </c>
      <c r="BU943" s="991">
        <f>IF(AND(Input_Product=Elig!$C943,Elig_MatchAll_Ct&lt;22,$BC943=(Elig_MatchAll_Ct-1),AS943=0),P943,0)</f>
        <v>0</v>
      </c>
      <c r="BV943" s="992">
        <f>IF(AND(Input_Product=Elig!$C943,Elig_MatchAll_Ct&lt;22,$BC943=(Elig_MatchAll_Ct-1),AT943=0),Q943,0)</f>
        <v>0</v>
      </c>
      <c r="BW943" s="993">
        <f>IF(AND(Input_Product=Elig!$C943,Elig_MatchAll_Ct&lt;22,$BC943=(Elig_MatchAll_Ct-1),AU943=0),R943,0)</f>
        <v>0</v>
      </c>
      <c r="BX943" s="994">
        <f>IF(AND(Input_Product=Elig!$C943,Elig_MatchAll_Ct&lt;22,$BC943=(Elig_MatchAll_Ct-1),AU943=0),S943,0)</f>
        <v>0</v>
      </c>
      <c r="BY943" s="993">
        <f>IF(AND(Input_Product=Elig!$C943,Elig_MatchAll_Ct&lt;22,$BC943=(Elig_MatchAll_Ct-1),AV943=0),T943,0)</f>
        <v>0</v>
      </c>
      <c r="BZ943" s="994">
        <f>IF(AND(Input_Product=Elig!$C943,Elig_MatchAll_Ct&lt;22,$BC943=(Elig_MatchAll_Ct-1),AV943=0),U943,0)</f>
        <v>0</v>
      </c>
      <c r="CA943" s="993">
        <f>IF(AND(Input_Product=Elig!$C943,Elig_MatchAll_Ct&lt;22,$BC943=(Elig_MatchAll_Ct-1),AW943=0),V943,0)</f>
        <v>0</v>
      </c>
      <c r="CB943" s="994">
        <f>IF(AND(Input_Product=Elig!$C943,Elig_MatchAll_Ct&lt;22,$BC943=(Elig_MatchAll_Ct-1),AW943=0),W943,0)</f>
        <v>0</v>
      </c>
      <c r="CC943" s="993">
        <f>IF(AND(Input_Product=Elig!$C943,Elig_MatchAll_Ct&lt;22,$BC943=(Elig_MatchAll_Ct-1),AX943=0),X943,0)</f>
        <v>0</v>
      </c>
      <c r="CD943" s="994">
        <f>IF(AND(Input_Product=Elig!$C943,Elig_MatchAll_Ct&lt;22,$BC943=(Elig_MatchAll_Ct-1),AX943=0),Y943,0)</f>
        <v>0</v>
      </c>
      <c r="CE943" s="993">
        <f>IF(AND(Input_LTV&lt;=AE943,Input_Product=Elig!$C943,Elig_MatchAll_Ct&lt;22,$BC943=(Elig_MatchAll_Ct-1),AY943=0),Z943,0)</f>
        <v>0</v>
      </c>
      <c r="CF943" s="994">
        <f>IF(AND(Input_LTV&lt;=AE943,Input_Product=Elig!$C943,Elig_MatchAll_Ct&lt;22,$BC943=(Elig_MatchAll_Ct-1),AY943=0),AA943,0)</f>
        <v>0</v>
      </c>
      <c r="CG943" s="993">
        <f>IF(AND(Input_Product=Elig!$C943,Elig_MatchAll_Ct&lt;22,$BC943=(Elig_MatchAll_Ct-1),AZ943=0),AB943,0)</f>
        <v>0</v>
      </c>
      <c r="CH943" s="994">
        <f>IF(AND(Input_Product=Elig!$C943,Elig_MatchAll_Ct&lt;22,$BC943=(Elig_MatchAll_Ct-1),AZ943=0),AC943,0)</f>
        <v>0</v>
      </c>
      <c r="CI943" s="993">
        <f>IF(AND(Input_Product=Elig!$C943,Elig_MatchAll_Ct&lt;22,$BC943=(Elig_MatchAll_Ct-1),BA943=0),AD943,0)</f>
        <v>0</v>
      </c>
      <c r="CJ943" s="994">
        <f>IF(AND(Input_Product=Elig!$C943,Elig_MatchAll_Ct&lt;22,$BC943=(Elig_MatchAll_Ct-1),BA943=0),AE943,0)</f>
        <v>0</v>
      </c>
    </row>
    <row r="944" spans="2:88" ht="10.15" customHeight="1" x14ac:dyDescent="0.25">
      <c r="B944" s="1916" t="s">
        <v>2280</v>
      </c>
      <c r="C944" s="1203" t="str">
        <f t="shared" si="367"/>
        <v xml:space="preserve">  </v>
      </c>
      <c r="D944" s="1204" t="s">
        <v>2218</v>
      </c>
      <c r="E944" s="1204" t="s">
        <v>167</v>
      </c>
      <c r="F944" s="1204" t="s">
        <v>331</v>
      </c>
      <c r="G944" s="1205" t="s">
        <v>305</v>
      </c>
      <c r="H944" s="1205" t="s">
        <v>136</v>
      </c>
      <c r="I944" s="1204" t="s">
        <v>274</v>
      </c>
      <c r="J944" s="1204" t="s">
        <v>1311</v>
      </c>
      <c r="K944" s="1205" t="s">
        <v>3022</v>
      </c>
      <c r="L944" s="1204" t="s">
        <v>2768</v>
      </c>
      <c r="M944" s="1204" t="s">
        <v>2677</v>
      </c>
      <c r="N944" s="1205" t="s">
        <v>82</v>
      </c>
      <c r="O944" s="1204" t="s">
        <v>310</v>
      </c>
      <c r="P944" s="1204" t="s">
        <v>291</v>
      </c>
      <c r="Q944" s="1204" t="s">
        <v>294</v>
      </c>
      <c r="R944" s="1204">
        <v>1500000.01</v>
      </c>
      <c r="S944" s="1204">
        <v>2000000</v>
      </c>
      <c r="T944" s="1204">
        <v>0</v>
      </c>
      <c r="U944" s="1204">
        <v>0</v>
      </c>
      <c r="V944" s="1204">
        <v>0</v>
      </c>
      <c r="W944" s="1204">
        <v>50</v>
      </c>
      <c r="X944" s="1204">
        <v>0</v>
      </c>
      <c r="Y944" s="1204">
        <v>999</v>
      </c>
      <c r="Z944" s="1206">
        <v>720</v>
      </c>
      <c r="AA944" s="1206">
        <v>999</v>
      </c>
      <c r="AB944" s="1206">
        <v>6</v>
      </c>
      <c r="AC944" s="1206">
        <v>999999</v>
      </c>
      <c r="AD944" s="1204">
        <v>0</v>
      </c>
      <c r="AE944" s="1207">
        <v>80</v>
      </c>
      <c r="AF944" s="170">
        <v>0</v>
      </c>
      <c r="AG944" s="171">
        <v>1</v>
      </c>
      <c r="AH944" s="171">
        <v>1</v>
      </c>
      <c r="AI944" s="171">
        <v>1</v>
      </c>
      <c r="AJ944" s="171">
        <v>0</v>
      </c>
      <c r="AK944" s="171">
        <v>1</v>
      </c>
      <c r="AL944" s="171">
        <v>0</v>
      </c>
      <c r="AM944" s="171">
        <v>1</v>
      </c>
      <c r="AN944" s="171">
        <v>1</v>
      </c>
      <c r="AO944" s="171">
        <v>1</v>
      </c>
      <c r="AP944" s="171">
        <v>1</v>
      </c>
      <c r="AQ944" s="171">
        <v>1</v>
      </c>
      <c r="AR944" s="171">
        <v>1</v>
      </c>
      <c r="AS944" s="171">
        <v>1</v>
      </c>
      <c r="AT944" s="171">
        <v>1</v>
      </c>
      <c r="AU944" s="171">
        <f t="shared" si="379"/>
        <v>0</v>
      </c>
      <c r="AV944" s="171">
        <f t="shared" si="380"/>
        <v>0</v>
      </c>
      <c r="AW944" s="171">
        <f t="shared" si="381"/>
        <v>1</v>
      </c>
      <c r="AX944" s="171">
        <f t="shared" si="388"/>
        <v>1</v>
      </c>
      <c r="AY944" s="171">
        <f t="shared" si="382"/>
        <v>1</v>
      </c>
      <c r="AZ944" s="171">
        <f t="shared" si="383"/>
        <v>1</v>
      </c>
      <c r="BA944" s="172">
        <f t="shared" si="384"/>
        <v>1</v>
      </c>
      <c r="BB944" s="175">
        <f t="shared" si="385"/>
        <v>17</v>
      </c>
      <c r="BC944" s="176">
        <f t="shared" si="386"/>
        <v>16</v>
      </c>
      <c r="BD944" s="176">
        <f t="shared" si="387"/>
        <v>17</v>
      </c>
      <c r="BE944" s="240" t="str">
        <f t="shared" si="378"/>
        <v/>
      </c>
      <c r="BF944" s="990"/>
      <c r="BG944" s="990"/>
      <c r="BH944" s="991">
        <f>IF(AND(Input_Product=Elig!$C944,Elig_MatchAll_Ct&lt;22,$BC944=(Elig_MatchAll_Ct-1),AF944=0),C944,0)</f>
        <v>0</v>
      </c>
      <c r="BI944" s="991">
        <f>IF(AND(Input_Product=Elig!$C944,Elig_MatchAll_Ct&lt;22,$BC944=(Elig_MatchAll_Ct-1),AG944=0),D944,0)</f>
        <v>0</v>
      </c>
      <c r="BJ944" s="991">
        <f>IF(AND(Input_Product=Elig!$C944,Elig_MatchAll_Ct&lt;22,$BC944=(Elig_MatchAll_Ct-1),AH944=0),E944,0)</f>
        <v>0</v>
      </c>
      <c r="BK944" s="991">
        <f>IF(AND(Input_Product=Elig!$C944,Elig_MatchAll_Ct&lt;22,$BC944=(Elig_MatchAll_Ct-1),AI944=0),F944,0)</f>
        <v>0</v>
      </c>
      <c r="BL944" s="991">
        <f>IF(AND(Input_Product=Elig!$C944,Elig_MatchAll_Ct&lt;22,$BC944=(Elig_MatchAll_Ct-1),AJ944=0),G944,0)</f>
        <v>0</v>
      </c>
      <c r="BM944" s="991">
        <f>IF(AND(Input_Product=Elig!$C944,Elig_MatchAll_Ct&lt;22,$BC944=(Elig_MatchAll_Ct-1),AK944=0),H944,0)</f>
        <v>0</v>
      </c>
      <c r="BN944" s="991">
        <f>IF(AND(Input_Product=Elig!$C944,Elig_MatchAll_Ct&lt;22,$BC944=(Elig_MatchAll_Ct-1),AL944=0),I944,0)</f>
        <v>0</v>
      </c>
      <c r="BO944" s="991">
        <f>IF(AND(Input_Product=Elig!$C944,Elig_MatchAll_Ct&lt;22,$BC944=(Elig_MatchAll_Ct-1),AM944=0),J944,0)</f>
        <v>0</v>
      </c>
      <c r="BP944" s="991">
        <f>IF(AND(Input_Product=Elig!$C944,Elig_MatchAll_Ct&lt;22,$BC944=(Elig_MatchAll_Ct-1),AN944=0),K944,0)</f>
        <v>0</v>
      </c>
      <c r="BQ944" s="991">
        <f>IF(AND(Input_Product=Elig!$C944,Elig_MatchAll_Ct&lt;22,$BC944=(Elig_MatchAll_Ct-1),AP944=0),L944,0)</f>
        <v>0</v>
      </c>
      <c r="BR944" s="991">
        <f>IF(AND(Input_Product=Elig!$C944,Elig_MatchAll_Ct&lt;22,$BC944=(Elig_MatchAll_Ct-1),AO944=0),M944,0)</f>
        <v>0</v>
      </c>
      <c r="BS944" s="991">
        <f>IF(AND(Input_Product=Elig!$C944,Elig_MatchAll_Ct&lt;22,$BC944=(Elig_MatchAll_Ct-1),AQ944=0),N944,0)</f>
        <v>0</v>
      </c>
      <c r="BT944" s="991">
        <f>IF(AND(Input_Product=Elig!$C944,Elig_MatchAll_Ct&lt;22,$BC944=(Elig_MatchAll_Ct-1),AR944=0),O944,0)</f>
        <v>0</v>
      </c>
      <c r="BU944" s="991">
        <f>IF(AND(Input_Product=Elig!$C944,Elig_MatchAll_Ct&lt;22,$BC944=(Elig_MatchAll_Ct-1),AS944=0),P944,0)</f>
        <v>0</v>
      </c>
      <c r="BV944" s="992">
        <f>IF(AND(Input_Product=Elig!$C944,Elig_MatchAll_Ct&lt;22,$BC944=(Elig_MatchAll_Ct-1),AT944=0),Q944,0)</f>
        <v>0</v>
      </c>
      <c r="BW944" s="993">
        <f>IF(AND(Input_Product=Elig!$C944,Elig_MatchAll_Ct&lt;22,$BC944=(Elig_MatchAll_Ct-1),AU944=0),R944,0)</f>
        <v>0</v>
      </c>
      <c r="BX944" s="994">
        <f>IF(AND(Input_Product=Elig!$C944,Elig_MatchAll_Ct&lt;22,$BC944=(Elig_MatchAll_Ct-1),AU944=0),S944,0)</f>
        <v>0</v>
      </c>
      <c r="BY944" s="993">
        <f>IF(AND(Input_Product=Elig!$C944,Elig_MatchAll_Ct&lt;22,$BC944=(Elig_MatchAll_Ct-1),AV944=0),T944,0)</f>
        <v>0</v>
      </c>
      <c r="BZ944" s="994">
        <f>IF(AND(Input_Product=Elig!$C944,Elig_MatchAll_Ct&lt;22,$BC944=(Elig_MatchAll_Ct-1),AV944=0),U944,0)</f>
        <v>0</v>
      </c>
      <c r="CA944" s="993">
        <f>IF(AND(Input_Product=Elig!$C944,Elig_MatchAll_Ct&lt;22,$BC944=(Elig_MatchAll_Ct-1),AW944=0),V944,0)</f>
        <v>0</v>
      </c>
      <c r="CB944" s="994">
        <f>IF(AND(Input_Product=Elig!$C944,Elig_MatchAll_Ct&lt;22,$BC944=(Elig_MatchAll_Ct-1),AW944=0),W944,0)</f>
        <v>0</v>
      </c>
      <c r="CC944" s="993">
        <f>IF(AND(Input_Product=Elig!$C944,Elig_MatchAll_Ct&lt;22,$BC944=(Elig_MatchAll_Ct-1),AX944=0),X944,0)</f>
        <v>0</v>
      </c>
      <c r="CD944" s="994">
        <f>IF(AND(Input_Product=Elig!$C944,Elig_MatchAll_Ct&lt;22,$BC944=(Elig_MatchAll_Ct-1),AX944=0),Y944,0)</f>
        <v>0</v>
      </c>
      <c r="CE944" s="993">
        <f>IF(AND(Input_LTV&lt;=AE944,Input_Product=Elig!$C944,Elig_MatchAll_Ct&lt;22,$BC944=(Elig_MatchAll_Ct-1),AY944=0),Z944,0)</f>
        <v>0</v>
      </c>
      <c r="CF944" s="994">
        <f>IF(AND(Input_LTV&lt;=AE944,Input_Product=Elig!$C944,Elig_MatchAll_Ct&lt;22,$BC944=(Elig_MatchAll_Ct-1),AY944=0),AA944,0)</f>
        <v>0</v>
      </c>
      <c r="CG944" s="993">
        <f>IF(AND(Input_Product=Elig!$C944,Elig_MatchAll_Ct&lt;22,$BC944=(Elig_MatchAll_Ct-1),AZ944=0),AB944,0)</f>
        <v>0</v>
      </c>
      <c r="CH944" s="994">
        <f>IF(AND(Input_Product=Elig!$C944,Elig_MatchAll_Ct&lt;22,$BC944=(Elig_MatchAll_Ct-1),AZ944=0),AC944,0)</f>
        <v>0</v>
      </c>
      <c r="CI944" s="993">
        <f>IF(AND(Input_Product=Elig!$C944,Elig_MatchAll_Ct&lt;22,$BC944=(Elig_MatchAll_Ct-1),BA944=0),AD944,0)</f>
        <v>0</v>
      </c>
      <c r="CJ944" s="994">
        <f>IF(AND(Input_Product=Elig!$C944,Elig_MatchAll_Ct&lt;22,$BC944=(Elig_MatchAll_Ct-1),BA944=0),AE944,0)</f>
        <v>0</v>
      </c>
    </row>
    <row r="945" spans="2:88" ht="10.15" customHeight="1" x14ac:dyDescent="0.25">
      <c r="B945" s="1916" t="s">
        <v>2281</v>
      </c>
      <c r="C945" s="1208" t="str">
        <f t="shared" si="367"/>
        <v xml:space="preserve">  </v>
      </c>
      <c r="D945" s="1209" t="s">
        <v>2218</v>
      </c>
      <c r="E945" s="1209" t="s">
        <v>167</v>
      </c>
      <c r="F945" s="1209" t="s">
        <v>331</v>
      </c>
      <c r="G945" s="1210" t="s">
        <v>305</v>
      </c>
      <c r="H945" s="1210" t="s">
        <v>136</v>
      </c>
      <c r="I945" s="1209" t="s">
        <v>274</v>
      </c>
      <c r="J945" s="1209" t="s">
        <v>1311</v>
      </c>
      <c r="K945" s="1210" t="s">
        <v>3022</v>
      </c>
      <c r="L945" s="1209" t="s">
        <v>2768</v>
      </c>
      <c r="M945" s="1209" t="s">
        <v>2677</v>
      </c>
      <c r="N945" s="1210" t="s">
        <v>82</v>
      </c>
      <c r="O945" s="1209" t="s">
        <v>310</v>
      </c>
      <c r="P945" s="1209" t="s">
        <v>291</v>
      </c>
      <c r="Q945" s="1209" t="s">
        <v>294</v>
      </c>
      <c r="R945" s="1209">
        <v>1500000.01</v>
      </c>
      <c r="S945" s="1209">
        <v>2000000</v>
      </c>
      <c r="T945" s="1209">
        <v>0</v>
      </c>
      <c r="U945" s="1209">
        <v>0</v>
      </c>
      <c r="V945" s="1209">
        <v>0</v>
      </c>
      <c r="W945" s="1209">
        <v>50</v>
      </c>
      <c r="X945" s="1209">
        <v>0</v>
      </c>
      <c r="Y945" s="1209">
        <v>999</v>
      </c>
      <c r="Z945" s="1211">
        <v>700</v>
      </c>
      <c r="AA945" s="1211">
        <v>719</v>
      </c>
      <c r="AB945" s="1211">
        <v>6</v>
      </c>
      <c r="AC945" s="1211">
        <v>999999</v>
      </c>
      <c r="AD945" s="1209">
        <v>0</v>
      </c>
      <c r="AE945" s="1212">
        <v>80</v>
      </c>
      <c r="AF945" s="170">
        <v>0</v>
      </c>
      <c r="AG945" s="171">
        <v>1</v>
      </c>
      <c r="AH945" s="171">
        <v>1</v>
      </c>
      <c r="AI945" s="171">
        <v>1</v>
      </c>
      <c r="AJ945" s="171">
        <v>0</v>
      </c>
      <c r="AK945" s="171">
        <v>1</v>
      </c>
      <c r="AL945" s="171">
        <v>0</v>
      </c>
      <c r="AM945" s="171">
        <v>1</v>
      </c>
      <c r="AN945" s="171">
        <v>1</v>
      </c>
      <c r="AO945" s="171">
        <v>1</v>
      </c>
      <c r="AP945" s="171">
        <v>1</v>
      </c>
      <c r="AQ945" s="171">
        <v>1</v>
      </c>
      <c r="AR945" s="171">
        <v>1</v>
      </c>
      <c r="AS945" s="171">
        <v>1</v>
      </c>
      <c r="AT945" s="171">
        <v>1</v>
      </c>
      <c r="AU945" s="171">
        <f t="shared" si="379"/>
        <v>0</v>
      </c>
      <c r="AV945" s="171">
        <f t="shared" si="380"/>
        <v>0</v>
      </c>
      <c r="AW945" s="171">
        <f t="shared" si="381"/>
        <v>1</v>
      </c>
      <c r="AX945" s="171">
        <f t="shared" si="388"/>
        <v>1</v>
      </c>
      <c r="AY945" s="171">
        <f t="shared" si="382"/>
        <v>0</v>
      </c>
      <c r="AZ945" s="171">
        <f t="shared" si="383"/>
        <v>1</v>
      </c>
      <c r="BA945" s="172">
        <f t="shared" si="384"/>
        <v>1</v>
      </c>
      <c r="BB945" s="175">
        <f t="shared" si="385"/>
        <v>16</v>
      </c>
      <c r="BC945" s="176">
        <f t="shared" si="386"/>
        <v>15</v>
      </c>
      <c r="BD945" s="176">
        <f t="shared" si="387"/>
        <v>16</v>
      </c>
      <c r="BE945" s="240" t="str">
        <f t="shared" si="378"/>
        <v/>
      </c>
      <c r="BF945" s="990"/>
      <c r="BG945" s="990"/>
      <c r="BH945" s="991">
        <f>IF(AND(Input_Product=Elig!$C945,Elig_MatchAll_Ct&lt;22,$BC945=(Elig_MatchAll_Ct-1),AF945=0),C945,0)</f>
        <v>0</v>
      </c>
      <c r="BI945" s="991">
        <f>IF(AND(Input_Product=Elig!$C945,Elig_MatchAll_Ct&lt;22,$BC945=(Elig_MatchAll_Ct-1),AG945=0),D945,0)</f>
        <v>0</v>
      </c>
      <c r="BJ945" s="991">
        <f>IF(AND(Input_Product=Elig!$C945,Elig_MatchAll_Ct&lt;22,$BC945=(Elig_MatchAll_Ct-1),AH945=0),E945,0)</f>
        <v>0</v>
      </c>
      <c r="BK945" s="991">
        <f>IF(AND(Input_Product=Elig!$C945,Elig_MatchAll_Ct&lt;22,$BC945=(Elig_MatchAll_Ct-1),AI945=0),F945,0)</f>
        <v>0</v>
      </c>
      <c r="BL945" s="991">
        <f>IF(AND(Input_Product=Elig!$C945,Elig_MatchAll_Ct&lt;22,$BC945=(Elig_MatchAll_Ct-1),AJ945=0),G945,0)</f>
        <v>0</v>
      </c>
      <c r="BM945" s="991">
        <f>IF(AND(Input_Product=Elig!$C945,Elig_MatchAll_Ct&lt;22,$BC945=(Elig_MatchAll_Ct-1),AK945=0),H945,0)</f>
        <v>0</v>
      </c>
      <c r="BN945" s="991">
        <f>IF(AND(Input_Product=Elig!$C945,Elig_MatchAll_Ct&lt;22,$BC945=(Elig_MatchAll_Ct-1),AL945=0),I945,0)</f>
        <v>0</v>
      </c>
      <c r="BO945" s="991">
        <f>IF(AND(Input_Product=Elig!$C945,Elig_MatchAll_Ct&lt;22,$BC945=(Elig_MatchAll_Ct-1),AM945=0),J945,0)</f>
        <v>0</v>
      </c>
      <c r="BP945" s="991">
        <f>IF(AND(Input_Product=Elig!$C945,Elig_MatchAll_Ct&lt;22,$BC945=(Elig_MatchAll_Ct-1),AN945=0),K945,0)</f>
        <v>0</v>
      </c>
      <c r="BQ945" s="991">
        <f>IF(AND(Input_Product=Elig!$C945,Elig_MatchAll_Ct&lt;22,$BC945=(Elig_MatchAll_Ct-1),AP945=0),L945,0)</f>
        <v>0</v>
      </c>
      <c r="BR945" s="991">
        <f>IF(AND(Input_Product=Elig!$C945,Elig_MatchAll_Ct&lt;22,$BC945=(Elig_MatchAll_Ct-1),AO945=0),M945,0)</f>
        <v>0</v>
      </c>
      <c r="BS945" s="991">
        <f>IF(AND(Input_Product=Elig!$C945,Elig_MatchAll_Ct&lt;22,$BC945=(Elig_MatchAll_Ct-1),AQ945=0),N945,0)</f>
        <v>0</v>
      </c>
      <c r="BT945" s="991">
        <f>IF(AND(Input_Product=Elig!$C945,Elig_MatchAll_Ct&lt;22,$BC945=(Elig_MatchAll_Ct-1),AR945=0),O945,0)</f>
        <v>0</v>
      </c>
      <c r="BU945" s="991">
        <f>IF(AND(Input_Product=Elig!$C945,Elig_MatchAll_Ct&lt;22,$BC945=(Elig_MatchAll_Ct-1),AS945=0),P945,0)</f>
        <v>0</v>
      </c>
      <c r="BV945" s="992">
        <f>IF(AND(Input_Product=Elig!$C945,Elig_MatchAll_Ct&lt;22,$BC945=(Elig_MatchAll_Ct-1),AT945=0),Q945,0)</f>
        <v>0</v>
      </c>
      <c r="BW945" s="993">
        <f>IF(AND(Input_Product=Elig!$C945,Elig_MatchAll_Ct&lt;22,$BC945=(Elig_MatchAll_Ct-1),AU945=0),R945,0)</f>
        <v>0</v>
      </c>
      <c r="BX945" s="994">
        <f>IF(AND(Input_Product=Elig!$C945,Elig_MatchAll_Ct&lt;22,$BC945=(Elig_MatchAll_Ct-1),AU945=0),S945,0)</f>
        <v>0</v>
      </c>
      <c r="BY945" s="993">
        <f>IF(AND(Input_Product=Elig!$C945,Elig_MatchAll_Ct&lt;22,$BC945=(Elig_MatchAll_Ct-1),AV945=0),T945,0)</f>
        <v>0</v>
      </c>
      <c r="BZ945" s="994">
        <f>IF(AND(Input_Product=Elig!$C945,Elig_MatchAll_Ct&lt;22,$BC945=(Elig_MatchAll_Ct-1),AV945=0),U945,0)</f>
        <v>0</v>
      </c>
      <c r="CA945" s="993">
        <f>IF(AND(Input_Product=Elig!$C945,Elig_MatchAll_Ct&lt;22,$BC945=(Elig_MatchAll_Ct-1),AW945=0),V945,0)</f>
        <v>0</v>
      </c>
      <c r="CB945" s="994">
        <f>IF(AND(Input_Product=Elig!$C945,Elig_MatchAll_Ct&lt;22,$BC945=(Elig_MatchAll_Ct-1),AW945=0),W945,0)</f>
        <v>0</v>
      </c>
      <c r="CC945" s="993">
        <f>IF(AND(Input_Product=Elig!$C945,Elig_MatchAll_Ct&lt;22,$BC945=(Elig_MatchAll_Ct-1),AX945=0),X945,0)</f>
        <v>0</v>
      </c>
      <c r="CD945" s="994">
        <f>IF(AND(Input_Product=Elig!$C945,Elig_MatchAll_Ct&lt;22,$BC945=(Elig_MatchAll_Ct-1),AX945=0),Y945,0)</f>
        <v>0</v>
      </c>
      <c r="CE945" s="993">
        <f>IF(AND(Input_LTV&lt;=AE945,Input_Product=Elig!$C945,Elig_MatchAll_Ct&lt;22,$BC945=(Elig_MatchAll_Ct-1),AY945=0),Z945,0)</f>
        <v>0</v>
      </c>
      <c r="CF945" s="994">
        <f>IF(AND(Input_LTV&lt;=AE945,Input_Product=Elig!$C945,Elig_MatchAll_Ct&lt;22,$BC945=(Elig_MatchAll_Ct-1),AY945=0),AA945,0)</f>
        <v>0</v>
      </c>
      <c r="CG945" s="993">
        <f>IF(AND(Input_Product=Elig!$C945,Elig_MatchAll_Ct&lt;22,$BC945=(Elig_MatchAll_Ct-1),AZ945=0),AB945,0)</f>
        <v>0</v>
      </c>
      <c r="CH945" s="994">
        <f>IF(AND(Input_Product=Elig!$C945,Elig_MatchAll_Ct&lt;22,$BC945=(Elig_MatchAll_Ct-1),AZ945=0),AC945,0)</f>
        <v>0</v>
      </c>
      <c r="CI945" s="993">
        <f>IF(AND(Input_Product=Elig!$C945,Elig_MatchAll_Ct&lt;22,$BC945=(Elig_MatchAll_Ct-1),BA945=0),AD945,0)</f>
        <v>0</v>
      </c>
      <c r="CJ945" s="994">
        <f>IF(AND(Input_Product=Elig!$C945,Elig_MatchAll_Ct&lt;22,$BC945=(Elig_MatchAll_Ct-1),BA945=0),AE945,0)</f>
        <v>0</v>
      </c>
    </row>
    <row r="946" spans="2:88" ht="10.15" customHeight="1" x14ac:dyDescent="0.25">
      <c r="B946" s="1916" t="s">
        <v>2282</v>
      </c>
      <c r="C946" s="1208" t="str">
        <f t="shared" ref="C946:C1009" si="389">Input_Name_Product13</f>
        <v xml:space="preserve">  </v>
      </c>
      <c r="D946" s="1209" t="s">
        <v>2218</v>
      </c>
      <c r="E946" s="1209" t="s">
        <v>167</v>
      </c>
      <c r="F946" s="1209" t="s">
        <v>331</v>
      </c>
      <c r="G946" s="1210" t="s">
        <v>305</v>
      </c>
      <c r="H946" s="1210" t="s">
        <v>136</v>
      </c>
      <c r="I946" s="1209" t="s">
        <v>274</v>
      </c>
      <c r="J946" s="1209" t="s">
        <v>1311</v>
      </c>
      <c r="K946" s="1210" t="s">
        <v>3022</v>
      </c>
      <c r="L946" s="1209" t="s">
        <v>2768</v>
      </c>
      <c r="M946" s="1209" t="s">
        <v>2677</v>
      </c>
      <c r="N946" s="1210" t="s">
        <v>82</v>
      </c>
      <c r="O946" s="1209" t="s">
        <v>310</v>
      </c>
      <c r="P946" s="1209" t="s">
        <v>291</v>
      </c>
      <c r="Q946" s="1209" t="s">
        <v>294</v>
      </c>
      <c r="R946" s="1209">
        <v>1500000.01</v>
      </c>
      <c r="S946" s="1209">
        <v>2000000</v>
      </c>
      <c r="T946" s="1209">
        <v>0</v>
      </c>
      <c r="U946" s="1209">
        <v>0</v>
      </c>
      <c r="V946" s="1209">
        <v>0</v>
      </c>
      <c r="W946" s="1209">
        <v>50</v>
      </c>
      <c r="X946" s="1209">
        <v>0</v>
      </c>
      <c r="Y946" s="1209">
        <v>999</v>
      </c>
      <c r="Z946" s="1211">
        <v>680</v>
      </c>
      <c r="AA946" s="1211">
        <v>699</v>
      </c>
      <c r="AB946" s="1211">
        <v>6</v>
      </c>
      <c r="AC946" s="1211">
        <v>999999</v>
      </c>
      <c r="AD946" s="1209">
        <v>0</v>
      </c>
      <c r="AE946" s="1212">
        <v>80</v>
      </c>
      <c r="AF946" s="170">
        <v>0</v>
      </c>
      <c r="AG946" s="171">
        <v>1</v>
      </c>
      <c r="AH946" s="171">
        <v>1</v>
      </c>
      <c r="AI946" s="171">
        <v>1</v>
      </c>
      <c r="AJ946" s="171">
        <v>0</v>
      </c>
      <c r="AK946" s="171">
        <v>1</v>
      </c>
      <c r="AL946" s="171">
        <v>0</v>
      </c>
      <c r="AM946" s="171">
        <v>1</v>
      </c>
      <c r="AN946" s="171">
        <v>1</v>
      </c>
      <c r="AO946" s="171">
        <v>1</v>
      </c>
      <c r="AP946" s="171">
        <v>1</v>
      </c>
      <c r="AQ946" s="171">
        <v>1</v>
      </c>
      <c r="AR946" s="171">
        <v>1</v>
      </c>
      <c r="AS946" s="171">
        <v>1</v>
      </c>
      <c r="AT946" s="171">
        <v>1</v>
      </c>
      <c r="AU946" s="171">
        <f t="shared" si="379"/>
        <v>0</v>
      </c>
      <c r="AV946" s="171">
        <f t="shared" si="380"/>
        <v>0</v>
      </c>
      <c r="AW946" s="171">
        <f t="shared" si="381"/>
        <v>1</v>
      </c>
      <c r="AX946" s="171">
        <f t="shared" si="388"/>
        <v>1</v>
      </c>
      <c r="AY946" s="171">
        <f t="shared" si="382"/>
        <v>0</v>
      </c>
      <c r="AZ946" s="171">
        <f t="shared" si="383"/>
        <v>1</v>
      </c>
      <c r="BA946" s="172">
        <f t="shared" si="384"/>
        <v>1</v>
      </c>
      <c r="BB946" s="175">
        <f t="shared" si="385"/>
        <v>16</v>
      </c>
      <c r="BC946" s="176">
        <f t="shared" si="386"/>
        <v>15</v>
      </c>
      <c r="BD946" s="176">
        <f t="shared" si="387"/>
        <v>16</v>
      </c>
      <c r="BE946" s="240" t="str">
        <f t="shared" si="378"/>
        <v/>
      </c>
      <c r="BF946" s="990"/>
      <c r="BG946" s="990"/>
      <c r="BH946" s="991">
        <f>IF(AND(Input_Product=Elig!$C946,Elig_MatchAll_Ct&lt;22,$BC946=(Elig_MatchAll_Ct-1),AF946=0),C946,0)</f>
        <v>0</v>
      </c>
      <c r="BI946" s="991">
        <f>IF(AND(Input_Product=Elig!$C946,Elig_MatchAll_Ct&lt;22,$BC946=(Elig_MatchAll_Ct-1),AG946=0),D946,0)</f>
        <v>0</v>
      </c>
      <c r="BJ946" s="991">
        <f>IF(AND(Input_Product=Elig!$C946,Elig_MatchAll_Ct&lt;22,$BC946=(Elig_MatchAll_Ct-1),AH946=0),E946,0)</f>
        <v>0</v>
      </c>
      <c r="BK946" s="991">
        <f>IF(AND(Input_Product=Elig!$C946,Elig_MatchAll_Ct&lt;22,$BC946=(Elig_MatchAll_Ct-1),AI946=0),F946,0)</f>
        <v>0</v>
      </c>
      <c r="BL946" s="991">
        <f>IF(AND(Input_Product=Elig!$C946,Elig_MatchAll_Ct&lt;22,$BC946=(Elig_MatchAll_Ct-1),AJ946=0),G946,0)</f>
        <v>0</v>
      </c>
      <c r="BM946" s="991">
        <f>IF(AND(Input_Product=Elig!$C946,Elig_MatchAll_Ct&lt;22,$BC946=(Elig_MatchAll_Ct-1),AK946=0),H946,0)</f>
        <v>0</v>
      </c>
      <c r="BN946" s="991">
        <f>IF(AND(Input_Product=Elig!$C946,Elig_MatchAll_Ct&lt;22,$BC946=(Elig_MatchAll_Ct-1),AL946=0),I946,0)</f>
        <v>0</v>
      </c>
      <c r="BO946" s="991">
        <f>IF(AND(Input_Product=Elig!$C946,Elig_MatchAll_Ct&lt;22,$BC946=(Elig_MatchAll_Ct-1),AM946=0),J946,0)</f>
        <v>0</v>
      </c>
      <c r="BP946" s="991">
        <f>IF(AND(Input_Product=Elig!$C946,Elig_MatchAll_Ct&lt;22,$BC946=(Elig_MatchAll_Ct-1),AN946=0),K946,0)</f>
        <v>0</v>
      </c>
      <c r="BQ946" s="991">
        <f>IF(AND(Input_Product=Elig!$C946,Elig_MatchAll_Ct&lt;22,$BC946=(Elig_MatchAll_Ct-1),AP946=0),L946,0)</f>
        <v>0</v>
      </c>
      <c r="BR946" s="991">
        <f>IF(AND(Input_Product=Elig!$C946,Elig_MatchAll_Ct&lt;22,$BC946=(Elig_MatchAll_Ct-1),AO946=0),M946,0)</f>
        <v>0</v>
      </c>
      <c r="BS946" s="991">
        <f>IF(AND(Input_Product=Elig!$C946,Elig_MatchAll_Ct&lt;22,$BC946=(Elig_MatchAll_Ct-1),AQ946=0),N946,0)</f>
        <v>0</v>
      </c>
      <c r="BT946" s="991">
        <f>IF(AND(Input_Product=Elig!$C946,Elig_MatchAll_Ct&lt;22,$BC946=(Elig_MatchAll_Ct-1),AR946=0),O946,0)</f>
        <v>0</v>
      </c>
      <c r="BU946" s="991">
        <f>IF(AND(Input_Product=Elig!$C946,Elig_MatchAll_Ct&lt;22,$BC946=(Elig_MatchAll_Ct-1),AS946=0),P946,0)</f>
        <v>0</v>
      </c>
      <c r="BV946" s="992">
        <f>IF(AND(Input_Product=Elig!$C946,Elig_MatchAll_Ct&lt;22,$BC946=(Elig_MatchAll_Ct-1),AT946=0),Q946,0)</f>
        <v>0</v>
      </c>
      <c r="BW946" s="993">
        <f>IF(AND(Input_Product=Elig!$C946,Elig_MatchAll_Ct&lt;22,$BC946=(Elig_MatchAll_Ct-1),AU946=0),R946,0)</f>
        <v>0</v>
      </c>
      <c r="BX946" s="994">
        <f>IF(AND(Input_Product=Elig!$C946,Elig_MatchAll_Ct&lt;22,$BC946=(Elig_MatchAll_Ct-1),AU946=0),S946,0)</f>
        <v>0</v>
      </c>
      <c r="BY946" s="993">
        <f>IF(AND(Input_Product=Elig!$C946,Elig_MatchAll_Ct&lt;22,$BC946=(Elig_MatchAll_Ct-1),AV946=0),T946,0)</f>
        <v>0</v>
      </c>
      <c r="BZ946" s="994">
        <f>IF(AND(Input_Product=Elig!$C946,Elig_MatchAll_Ct&lt;22,$BC946=(Elig_MatchAll_Ct-1),AV946=0),U946,0)</f>
        <v>0</v>
      </c>
      <c r="CA946" s="993">
        <f>IF(AND(Input_Product=Elig!$C946,Elig_MatchAll_Ct&lt;22,$BC946=(Elig_MatchAll_Ct-1),AW946=0),V946,0)</f>
        <v>0</v>
      </c>
      <c r="CB946" s="994">
        <f>IF(AND(Input_Product=Elig!$C946,Elig_MatchAll_Ct&lt;22,$BC946=(Elig_MatchAll_Ct-1),AW946=0),W946,0)</f>
        <v>0</v>
      </c>
      <c r="CC946" s="993">
        <f>IF(AND(Input_Product=Elig!$C946,Elig_MatchAll_Ct&lt;22,$BC946=(Elig_MatchAll_Ct-1),AX946=0),X946,0)</f>
        <v>0</v>
      </c>
      <c r="CD946" s="994">
        <f>IF(AND(Input_Product=Elig!$C946,Elig_MatchAll_Ct&lt;22,$BC946=(Elig_MatchAll_Ct-1),AX946=0),Y946,0)</f>
        <v>0</v>
      </c>
      <c r="CE946" s="993">
        <f>IF(AND(Input_LTV&lt;=AE946,Input_Product=Elig!$C946,Elig_MatchAll_Ct&lt;22,$BC946=(Elig_MatchAll_Ct-1),AY946=0),Z946,0)</f>
        <v>0</v>
      </c>
      <c r="CF946" s="994">
        <f>IF(AND(Input_LTV&lt;=AE946,Input_Product=Elig!$C946,Elig_MatchAll_Ct&lt;22,$BC946=(Elig_MatchAll_Ct-1),AY946=0),AA946,0)</f>
        <v>0</v>
      </c>
      <c r="CG946" s="993">
        <f>IF(AND(Input_Product=Elig!$C946,Elig_MatchAll_Ct&lt;22,$BC946=(Elig_MatchAll_Ct-1),AZ946=0),AB946,0)</f>
        <v>0</v>
      </c>
      <c r="CH946" s="994">
        <f>IF(AND(Input_Product=Elig!$C946,Elig_MatchAll_Ct&lt;22,$BC946=(Elig_MatchAll_Ct-1),AZ946=0),AC946,0)</f>
        <v>0</v>
      </c>
      <c r="CI946" s="993">
        <f>IF(AND(Input_Product=Elig!$C946,Elig_MatchAll_Ct&lt;22,$BC946=(Elig_MatchAll_Ct-1),BA946=0),AD946,0)</f>
        <v>0</v>
      </c>
      <c r="CJ946" s="994">
        <f>IF(AND(Input_Product=Elig!$C946,Elig_MatchAll_Ct&lt;22,$BC946=(Elig_MatchAll_Ct-1),BA946=0),AE946,0)</f>
        <v>0</v>
      </c>
    </row>
    <row r="947" spans="2:88" ht="10.15" customHeight="1" x14ac:dyDescent="0.25">
      <c r="B947" s="1916" t="s">
        <v>2283</v>
      </c>
      <c r="C947" s="1213" t="str">
        <f t="shared" si="389"/>
        <v xml:space="preserve">  </v>
      </c>
      <c r="D947" s="1214" t="s">
        <v>2218</v>
      </c>
      <c r="E947" s="1214" t="s">
        <v>167</v>
      </c>
      <c r="F947" s="1214" t="s">
        <v>331</v>
      </c>
      <c r="G947" s="1215" t="s">
        <v>305</v>
      </c>
      <c r="H947" s="1215" t="s">
        <v>136</v>
      </c>
      <c r="I947" s="1214" t="s">
        <v>274</v>
      </c>
      <c r="J947" s="1214" t="s">
        <v>1311</v>
      </c>
      <c r="K947" s="1215" t="s">
        <v>3022</v>
      </c>
      <c r="L947" s="1214" t="s">
        <v>2768</v>
      </c>
      <c r="M947" s="1214" t="s">
        <v>2677</v>
      </c>
      <c r="N947" s="1215" t="s">
        <v>82</v>
      </c>
      <c r="O947" s="1214" t="s">
        <v>310</v>
      </c>
      <c r="P947" s="1214" t="s">
        <v>291</v>
      </c>
      <c r="Q947" s="1214" t="s">
        <v>294</v>
      </c>
      <c r="R947" s="1214">
        <v>1500000.01</v>
      </c>
      <c r="S947" s="1214">
        <v>2000000</v>
      </c>
      <c r="T947" s="1214">
        <v>0</v>
      </c>
      <c r="U947" s="1214">
        <v>0</v>
      </c>
      <c r="V947" s="1214">
        <v>0</v>
      </c>
      <c r="W947" s="1214">
        <v>50</v>
      </c>
      <c r="X947" s="1214">
        <v>0</v>
      </c>
      <c r="Y947" s="1214">
        <v>999</v>
      </c>
      <c r="Z947" s="1216">
        <v>660</v>
      </c>
      <c r="AA947" s="1216">
        <v>679</v>
      </c>
      <c r="AB947" s="1216">
        <v>6</v>
      </c>
      <c r="AC947" s="1216">
        <v>999999</v>
      </c>
      <c r="AD947" s="1214">
        <v>0</v>
      </c>
      <c r="AE947" s="1217">
        <v>70</v>
      </c>
      <c r="AF947" s="170">
        <v>0</v>
      </c>
      <c r="AG947" s="171">
        <v>1</v>
      </c>
      <c r="AH947" s="171">
        <v>1</v>
      </c>
      <c r="AI947" s="171">
        <v>1</v>
      </c>
      <c r="AJ947" s="171">
        <v>0</v>
      </c>
      <c r="AK947" s="171">
        <v>1</v>
      </c>
      <c r="AL947" s="171">
        <v>0</v>
      </c>
      <c r="AM947" s="171">
        <v>1</v>
      </c>
      <c r="AN947" s="171">
        <v>1</v>
      </c>
      <c r="AO947" s="171">
        <v>1</v>
      </c>
      <c r="AP947" s="171">
        <v>1</v>
      </c>
      <c r="AQ947" s="171">
        <v>1</v>
      </c>
      <c r="AR947" s="171">
        <v>1</v>
      </c>
      <c r="AS947" s="171">
        <v>1</v>
      </c>
      <c r="AT947" s="171">
        <v>1</v>
      </c>
      <c r="AU947" s="171">
        <f t="shared" si="379"/>
        <v>0</v>
      </c>
      <c r="AV947" s="171">
        <f t="shared" si="380"/>
        <v>0</v>
      </c>
      <c r="AW947" s="171">
        <f t="shared" si="381"/>
        <v>1</v>
      </c>
      <c r="AX947" s="171">
        <f t="shared" si="388"/>
        <v>1</v>
      </c>
      <c r="AY947" s="171">
        <f t="shared" si="382"/>
        <v>0</v>
      </c>
      <c r="AZ947" s="171">
        <f t="shared" si="383"/>
        <v>1</v>
      </c>
      <c r="BA947" s="172">
        <f t="shared" si="384"/>
        <v>1</v>
      </c>
      <c r="BB947" s="175">
        <f t="shared" si="385"/>
        <v>16</v>
      </c>
      <c r="BC947" s="176">
        <f t="shared" si="386"/>
        <v>15</v>
      </c>
      <c r="BD947" s="176">
        <f t="shared" si="387"/>
        <v>16</v>
      </c>
      <c r="BE947" s="240" t="str">
        <f t="shared" si="378"/>
        <v/>
      </c>
      <c r="BF947" s="990"/>
      <c r="BG947" s="990"/>
      <c r="BH947" s="991">
        <f>IF(AND(Input_Product=Elig!$C947,Elig_MatchAll_Ct&lt;22,$BC947=(Elig_MatchAll_Ct-1),AF947=0),C947,0)</f>
        <v>0</v>
      </c>
      <c r="BI947" s="991">
        <f>IF(AND(Input_Product=Elig!$C947,Elig_MatchAll_Ct&lt;22,$BC947=(Elig_MatchAll_Ct-1),AG947=0),D947,0)</f>
        <v>0</v>
      </c>
      <c r="BJ947" s="991">
        <f>IF(AND(Input_Product=Elig!$C947,Elig_MatchAll_Ct&lt;22,$BC947=(Elig_MatchAll_Ct-1),AH947=0),E947,0)</f>
        <v>0</v>
      </c>
      <c r="BK947" s="991">
        <f>IF(AND(Input_Product=Elig!$C947,Elig_MatchAll_Ct&lt;22,$BC947=(Elig_MatchAll_Ct-1),AI947=0),F947,0)</f>
        <v>0</v>
      </c>
      <c r="BL947" s="991">
        <f>IF(AND(Input_Product=Elig!$C947,Elig_MatchAll_Ct&lt;22,$BC947=(Elig_MatchAll_Ct-1),AJ947=0),G947,0)</f>
        <v>0</v>
      </c>
      <c r="BM947" s="991">
        <f>IF(AND(Input_Product=Elig!$C947,Elig_MatchAll_Ct&lt;22,$BC947=(Elig_MatchAll_Ct-1),AK947=0),H947,0)</f>
        <v>0</v>
      </c>
      <c r="BN947" s="991">
        <f>IF(AND(Input_Product=Elig!$C947,Elig_MatchAll_Ct&lt;22,$BC947=(Elig_MatchAll_Ct-1),AL947=0),I947,0)</f>
        <v>0</v>
      </c>
      <c r="BO947" s="991">
        <f>IF(AND(Input_Product=Elig!$C947,Elig_MatchAll_Ct&lt;22,$BC947=(Elig_MatchAll_Ct-1),AM947=0),J947,0)</f>
        <v>0</v>
      </c>
      <c r="BP947" s="991">
        <f>IF(AND(Input_Product=Elig!$C947,Elig_MatchAll_Ct&lt;22,$BC947=(Elig_MatchAll_Ct-1),AN947=0),K947,0)</f>
        <v>0</v>
      </c>
      <c r="BQ947" s="991">
        <f>IF(AND(Input_Product=Elig!$C947,Elig_MatchAll_Ct&lt;22,$BC947=(Elig_MatchAll_Ct-1),AP947=0),L947,0)</f>
        <v>0</v>
      </c>
      <c r="BR947" s="991">
        <f>IF(AND(Input_Product=Elig!$C947,Elig_MatchAll_Ct&lt;22,$BC947=(Elig_MatchAll_Ct-1),AO947=0),M947,0)</f>
        <v>0</v>
      </c>
      <c r="BS947" s="991">
        <f>IF(AND(Input_Product=Elig!$C947,Elig_MatchAll_Ct&lt;22,$BC947=(Elig_MatchAll_Ct-1),AQ947=0),N947,0)</f>
        <v>0</v>
      </c>
      <c r="BT947" s="991">
        <f>IF(AND(Input_Product=Elig!$C947,Elig_MatchAll_Ct&lt;22,$BC947=(Elig_MatchAll_Ct-1),AR947=0),O947,0)</f>
        <v>0</v>
      </c>
      <c r="BU947" s="991">
        <f>IF(AND(Input_Product=Elig!$C947,Elig_MatchAll_Ct&lt;22,$BC947=(Elig_MatchAll_Ct-1),AS947=0),P947,0)</f>
        <v>0</v>
      </c>
      <c r="BV947" s="992">
        <f>IF(AND(Input_Product=Elig!$C947,Elig_MatchAll_Ct&lt;22,$BC947=(Elig_MatchAll_Ct-1),AT947=0),Q947,0)</f>
        <v>0</v>
      </c>
      <c r="BW947" s="993">
        <f>IF(AND(Input_Product=Elig!$C947,Elig_MatchAll_Ct&lt;22,$BC947=(Elig_MatchAll_Ct-1),AU947=0),R947,0)</f>
        <v>0</v>
      </c>
      <c r="BX947" s="994">
        <f>IF(AND(Input_Product=Elig!$C947,Elig_MatchAll_Ct&lt;22,$BC947=(Elig_MatchAll_Ct-1),AU947=0),S947,0)</f>
        <v>0</v>
      </c>
      <c r="BY947" s="993">
        <f>IF(AND(Input_Product=Elig!$C947,Elig_MatchAll_Ct&lt;22,$BC947=(Elig_MatchAll_Ct-1),AV947=0),T947,0)</f>
        <v>0</v>
      </c>
      <c r="BZ947" s="994">
        <f>IF(AND(Input_Product=Elig!$C947,Elig_MatchAll_Ct&lt;22,$BC947=(Elig_MatchAll_Ct-1),AV947=0),U947,0)</f>
        <v>0</v>
      </c>
      <c r="CA947" s="993">
        <f>IF(AND(Input_Product=Elig!$C947,Elig_MatchAll_Ct&lt;22,$BC947=(Elig_MatchAll_Ct-1),AW947=0),V947,0)</f>
        <v>0</v>
      </c>
      <c r="CB947" s="994">
        <f>IF(AND(Input_Product=Elig!$C947,Elig_MatchAll_Ct&lt;22,$BC947=(Elig_MatchAll_Ct-1),AW947=0),W947,0)</f>
        <v>0</v>
      </c>
      <c r="CC947" s="993">
        <f>IF(AND(Input_Product=Elig!$C947,Elig_MatchAll_Ct&lt;22,$BC947=(Elig_MatchAll_Ct-1),AX947=0),X947,0)</f>
        <v>0</v>
      </c>
      <c r="CD947" s="994">
        <f>IF(AND(Input_Product=Elig!$C947,Elig_MatchAll_Ct&lt;22,$BC947=(Elig_MatchAll_Ct-1),AX947=0),Y947,0)</f>
        <v>0</v>
      </c>
      <c r="CE947" s="993">
        <f>IF(AND(Input_LTV&lt;=AE947,Input_Product=Elig!$C947,Elig_MatchAll_Ct&lt;22,$BC947=(Elig_MatchAll_Ct-1),AY947=0),Z947,0)</f>
        <v>0</v>
      </c>
      <c r="CF947" s="994">
        <f>IF(AND(Input_LTV&lt;=AE947,Input_Product=Elig!$C947,Elig_MatchAll_Ct&lt;22,$BC947=(Elig_MatchAll_Ct-1),AY947=0),AA947,0)</f>
        <v>0</v>
      </c>
      <c r="CG947" s="993">
        <f>IF(AND(Input_Product=Elig!$C947,Elig_MatchAll_Ct&lt;22,$BC947=(Elig_MatchAll_Ct-1),AZ947=0),AB947,0)</f>
        <v>0</v>
      </c>
      <c r="CH947" s="994">
        <f>IF(AND(Input_Product=Elig!$C947,Elig_MatchAll_Ct&lt;22,$BC947=(Elig_MatchAll_Ct-1),AZ947=0),AC947,0)</f>
        <v>0</v>
      </c>
      <c r="CI947" s="993">
        <f>IF(AND(Input_Product=Elig!$C947,Elig_MatchAll_Ct&lt;22,$BC947=(Elig_MatchAll_Ct-1),BA947=0),AD947,0)</f>
        <v>0</v>
      </c>
      <c r="CJ947" s="994">
        <f>IF(AND(Input_Product=Elig!$C947,Elig_MatchAll_Ct&lt;22,$BC947=(Elig_MatchAll_Ct-1),BA947=0),AE947,0)</f>
        <v>0</v>
      </c>
    </row>
    <row r="948" spans="2:88" ht="10.15" customHeight="1" x14ac:dyDescent="0.25">
      <c r="B948" s="1916" t="s">
        <v>2284</v>
      </c>
      <c r="C948" s="1203" t="str">
        <f t="shared" si="389"/>
        <v xml:space="preserve">  </v>
      </c>
      <c r="D948" s="1204" t="s">
        <v>2218</v>
      </c>
      <c r="E948" s="1204" t="s">
        <v>167</v>
      </c>
      <c r="F948" s="1204" t="s">
        <v>331</v>
      </c>
      <c r="G948" s="1205" t="s">
        <v>305</v>
      </c>
      <c r="H948" s="1205" t="s">
        <v>136</v>
      </c>
      <c r="I948" s="1204" t="s">
        <v>274</v>
      </c>
      <c r="J948" s="1204" t="s">
        <v>1311</v>
      </c>
      <c r="K948" s="1205" t="s">
        <v>3022</v>
      </c>
      <c r="L948" s="1204" t="s">
        <v>2768</v>
      </c>
      <c r="M948" s="1204" t="s">
        <v>2677</v>
      </c>
      <c r="N948" s="1205" t="s">
        <v>82</v>
      </c>
      <c r="O948" s="1204" t="s">
        <v>310</v>
      </c>
      <c r="P948" s="1204" t="s">
        <v>291</v>
      </c>
      <c r="Q948" s="1204" t="s">
        <v>294</v>
      </c>
      <c r="R948" s="1204">
        <v>2000000.01</v>
      </c>
      <c r="S948" s="1204">
        <v>2500000</v>
      </c>
      <c r="T948" s="1204">
        <v>0</v>
      </c>
      <c r="U948" s="1204">
        <v>0</v>
      </c>
      <c r="V948" s="1204">
        <v>0</v>
      </c>
      <c r="W948" s="1204">
        <v>50</v>
      </c>
      <c r="X948" s="1204">
        <v>0</v>
      </c>
      <c r="Y948" s="1204">
        <v>999</v>
      </c>
      <c r="Z948" s="1206">
        <v>720</v>
      </c>
      <c r="AA948" s="1206">
        <v>999</v>
      </c>
      <c r="AB948" s="1206">
        <v>6</v>
      </c>
      <c r="AC948" s="1206">
        <v>999999</v>
      </c>
      <c r="AD948" s="1204">
        <v>0</v>
      </c>
      <c r="AE948" s="1207">
        <v>80</v>
      </c>
      <c r="AF948" s="170">
        <v>0</v>
      </c>
      <c r="AG948" s="171">
        <v>1</v>
      </c>
      <c r="AH948" s="171">
        <v>1</v>
      </c>
      <c r="AI948" s="171">
        <v>1</v>
      </c>
      <c r="AJ948" s="171">
        <v>0</v>
      </c>
      <c r="AK948" s="171">
        <v>1</v>
      </c>
      <c r="AL948" s="171">
        <v>0</v>
      </c>
      <c r="AM948" s="171">
        <v>1</v>
      </c>
      <c r="AN948" s="171">
        <v>1</v>
      </c>
      <c r="AO948" s="171">
        <v>1</v>
      </c>
      <c r="AP948" s="171">
        <v>1</v>
      </c>
      <c r="AQ948" s="171">
        <v>1</v>
      </c>
      <c r="AR948" s="171">
        <v>1</v>
      </c>
      <c r="AS948" s="171">
        <v>1</v>
      </c>
      <c r="AT948" s="171">
        <v>1</v>
      </c>
      <c r="AU948" s="171">
        <f t="shared" si="379"/>
        <v>0</v>
      </c>
      <c r="AV948" s="171">
        <f t="shared" si="380"/>
        <v>0</v>
      </c>
      <c r="AW948" s="171">
        <f t="shared" si="381"/>
        <v>1</v>
      </c>
      <c r="AX948" s="171">
        <f t="shared" si="388"/>
        <v>1</v>
      </c>
      <c r="AY948" s="171">
        <f t="shared" si="382"/>
        <v>1</v>
      </c>
      <c r="AZ948" s="171">
        <f t="shared" si="383"/>
        <v>1</v>
      </c>
      <c r="BA948" s="172">
        <f t="shared" si="384"/>
        <v>1</v>
      </c>
      <c r="BB948" s="175">
        <f t="shared" si="385"/>
        <v>17</v>
      </c>
      <c r="BC948" s="176">
        <f t="shared" si="386"/>
        <v>16</v>
      </c>
      <c r="BD948" s="176">
        <f t="shared" si="387"/>
        <v>17</v>
      </c>
      <c r="BE948" s="240" t="str">
        <f t="shared" si="378"/>
        <v/>
      </c>
      <c r="BF948" s="990"/>
      <c r="BG948" s="990"/>
      <c r="BH948" s="991">
        <f>IF(AND(Input_Product=Elig!$C948,Elig_MatchAll_Ct&lt;22,$BC948=(Elig_MatchAll_Ct-1),AF948=0),C948,0)</f>
        <v>0</v>
      </c>
      <c r="BI948" s="991">
        <f>IF(AND(Input_Product=Elig!$C948,Elig_MatchAll_Ct&lt;22,$BC948=(Elig_MatchAll_Ct-1),AG948=0),D948,0)</f>
        <v>0</v>
      </c>
      <c r="BJ948" s="991">
        <f>IF(AND(Input_Product=Elig!$C948,Elig_MatchAll_Ct&lt;22,$BC948=(Elig_MatchAll_Ct-1),AH948=0),E948,0)</f>
        <v>0</v>
      </c>
      <c r="BK948" s="991">
        <f>IF(AND(Input_Product=Elig!$C948,Elig_MatchAll_Ct&lt;22,$BC948=(Elig_MatchAll_Ct-1),AI948=0),F948,0)</f>
        <v>0</v>
      </c>
      <c r="BL948" s="991">
        <f>IF(AND(Input_Product=Elig!$C948,Elig_MatchAll_Ct&lt;22,$BC948=(Elig_MatchAll_Ct-1),AJ948=0),G948,0)</f>
        <v>0</v>
      </c>
      <c r="BM948" s="991">
        <f>IF(AND(Input_Product=Elig!$C948,Elig_MatchAll_Ct&lt;22,$BC948=(Elig_MatchAll_Ct-1),AK948=0),H948,0)</f>
        <v>0</v>
      </c>
      <c r="BN948" s="991">
        <f>IF(AND(Input_Product=Elig!$C948,Elig_MatchAll_Ct&lt;22,$BC948=(Elig_MatchAll_Ct-1),AL948=0),I948,0)</f>
        <v>0</v>
      </c>
      <c r="BO948" s="991">
        <f>IF(AND(Input_Product=Elig!$C948,Elig_MatchAll_Ct&lt;22,$BC948=(Elig_MatchAll_Ct-1),AM948=0),J948,0)</f>
        <v>0</v>
      </c>
      <c r="BP948" s="991">
        <f>IF(AND(Input_Product=Elig!$C948,Elig_MatchAll_Ct&lt;22,$BC948=(Elig_MatchAll_Ct-1),AN948=0),K948,0)</f>
        <v>0</v>
      </c>
      <c r="BQ948" s="991">
        <f>IF(AND(Input_Product=Elig!$C948,Elig_MatchAll_Ct&lt;22,$BC948=(Elig_MatchAll_Ct-1),AP948=0),L948,0)</f>
        <v>0</v>
      </c>
      <c r="BR948" s="991">
        <f>IF(AND(Input_Product=Elig!$C948,Elig_MatchAll_Ct&lt;22,$BC948=(Elig_MatchAll_Ct-1),AO948=0),M948,0)</f>
        <v>0</v>
      </c>
      <c r="BS948" s="991">
        <f>IF(AND(Input_Product=Elig!$C948,Elig_MatchAll_Ct&lt;22,$BC948=(Elig_MatchAll_Ct-1),AQ948=0),N948,0)</f>
        <v>0</v>
      </c>
      <c r="BT948" s="991">
        <f>IF(AND(Input_Product=Elig!$C948,Elig_MatchAll_Ct&lt;22,$BC948=(Elig_MatchAll_Ct-1),AR948=0),O948,0)</f>
        <v>0</v>
      </c>
      <c r="BU948" s="991">
        <f>IF(AND(Input_Product=Elig!$C948,Elig_MatchAll_Ct&lt;22,$BC948=(Elig_MatchAll_Ct-1),AS948=0),P948,0)</f>
        <v>0</v>
      </c>
      <c r="BV948" s="992">
        <f>IF(AND(Input_Product=Elig!$C948,Elig_MatchAll_Ct&lt;22,$BC948=(Elig_MatchAll_Ct-1),AT948=0),Q948,0)</f>
        <v>0</v>
      </c>
      <c r="BW948" s="993">
        <f>IF(AND(Input_Product=Elig!$C948,Elig_MatchAll_Ct&lt;22,$BC948=(Elig_MatchAll_Ct-1),AU948=0),R948,0)</f>
        <v>0</v>
      </c>
      <c r="BX948" s="994">
        <f>IF(AND(Input_Product=Elig!$C948,Elig_MatchAll_Ct&lt;22,$BC948=(Elig_MatchAll_Ct-1),AU948=0),S948,0)</f>
        <v>0</v>
      </c>
      <c r="BY948" s="993">
        <f>IF(AND(Input_Product=Elig!$C948,Elig_MatchAll_Ct&lt;22,$BC948=(Elig_MatchAll_Ct-1),AV948=0),T948,0)</f>
        <v>0</v>
      </c>
      <c r="BZ948" s="994">
        <f>IF(AND(Input_Product=Elig!$C948,Elig_MatchAll_Ct&lt;22,$BC948=(Elig_MatchAll_Ct-1),AV948=0),U948,0)</f>
        <v>0</v>
      </c>
      <c r="CA948" s="993">
        <f>IF(AND(Input_Product=Elig!$C948,Elig_MatchAll_Ct&lt;22,$BC948=(Elig_MatchAll_Ct-1),AW948=0),V948,0)</f>
        <v>0</v>
      </c>
      <c r="CB948" s="994">
        <f>IF(AND(Input_Product=Elig!$C948,Elig_MatchAll_Ct&lt;22,$BC948=(Elig_MatchAll_Ct-1),AW948=0),W948,0)</f>
        <v>0</v>
      </c>
      <c r="CC948" s="993">
        <f>IF(AND(Input_Product=Elig!$C948,Elig_MatchAll_Ct&lt;22,$BC948=(Elig_MatchAll_Ct-1),AX948=0),X948,0)</f>
        <v>0</v>
      </c>
      <c r="CD948" s="994">
        <f>IF(AND(Input_Product=Elig!$C948,Elig_MatchAll_Ct&lt;22,$BC948=(Elig_MatchAll_Ct-1),AX948=0),Y948,0)</f>
        <v>0</v>
      </c>
      <c r="CE948" s="993">
        <f>IF(AND(Input_LTV&lt;=AE948,Input_Product=Elig!$C948,Elig_MatchAll_Ct&lt;22,$BC948=(Elig_MatchAll_Ct-1),AY948=0),Z948,0)</f>
        <v>0</v>
      </c>
      <c r="CF948" s="994">
        <f>IF(AND(Input_LTV&lt;=AE948,Input_Product=Elig!$C948,Elig_MatchAll_Ct&lt;22,$BC948=(Elig_MatchAll_Ct-1),AY948=0),AA948,0)</f>
        <v>0</v>
      </c>
      <c r="CG948" s="993">
        <f>IF(AND(Input_Product=Elig!$C948,Elig_MatchAll_Ct&lt;22,$BC948=(Elig_MatchAll_Ct-1),AZ948=0),AB948,0)</f>
        <v>0</v>
      </c>
      <c r="CH948" s="994">
        <f>IF(AND(Input_Product=Elig!$C948,Elig_MatchAll_Ct&lt;22,$BC948=(Elig_MatchAll_Ct-1),AZ948=0),AC948,0)</f>
        <v>0</v>
      </c>
      <c r="CI948" s="993">
        <f>IF(AND(Input_Product=Elig!$C948,Elig_MatchAll_Ct&lt;22,$BC948=(Elig_MatchAll_Ct-1),BA948=0),AD948,0)</f>
        <v>0</v>
      </c>
      <c r="CJ948" s="994">
        <f>IF(AND(Input_Product=Elig!$C948,Elig_MatchAll_Ct&lt;22,$BC948=(Elig_MatchAll_Ct-1),BA948=0),AE948,0)</f>
        <v>0</v>
      </c>
    </row>
    <row r="949" spans="2:88" ht="10.15" customHeight="1" x14ac:dyDescent="0.25">
      <c r="B949" s="1916" t="s">
        <v>2285</v>
      </c>
      <c r="C949" s="1208" t="str">
        <f t="shared" si="389"/>
        <v xml:space="preserve">  </v>
      </c>
      <c r="D949" s="1209" t="s">
        <v>2218</v>
      </c>
      <c r="E949" s="1209" t="s">
        <v>167</v>
      </c>
      <c r="F949" s="1209" t="s">
        <v>331</v>
      </c>
      <c r="G949" s="1210" t="s">
        <v>305</v>
      </c>
      <c r="H949" s="1210" t="s">
        <v>136</v>
      </c>
      <c r="I949" s="1209" t="s">
        <v>274</v>
      </c>
      <c r="J949" s="1209" t="s">
        <v>1311</v>
      </c>
      <c r="K949" s="1210" t="s">
        <v>3022</v>
      </c>
      <c r="L949" s="1209" t="s">
        <v>2768</v>
      </c>
      <c r="M949" s="1209" t="s">
        <v>2677</v>
      </c>
      <c r="N949" s="1210" t="s">
        <v>82</v>
      </c>
      <c r="O949" s="1209" t="s">
        <v>310</v>
      </c>
      <c r="P949" s="1209" t="s">
        <v>291</v>
      </c>
      <c r="Q949" s="1209" t="s">
        <v>294</v>
      </c>
      <c r="R949" s="1209">
        <v>2000000.01</v>
      </c>
      <c r="S949" s="1209">
        <v>2500000</v>
      </c>
      <c r="T949" s="1209">
        <v>0</v>
      </c>
      <c r="U949" s="1209">
        <v>0</v>
      </c>
      <c r="V949" s="1209">
        <v>0</v>
      </c>
      <c r="W949" s="1209">
        <v>50</v>
      </c>
      <c r="X949" s="1209">
        <v>0</v>
      </c>
      <c r="Y949" s="1209">
        <v>999</v>
      </c>
      <c r="Z949" s="1211">
        <v>700</v>
      </c>
      <c r="AA949" s="1211">
        <v>719</v>
      </c>
      <c r="AB949" s="1211">
        <v>6</v>
      </c>
      <c r="AC949" s="1211">
        <v>999999</v>
      </c>
      <c r="AD949" s="1209">
        <v>0</v>
      </c>
      <c r="AE949" s="1212">
        <v>80</v>
      </c>
      <c r="AF949" s="170">
        <v>0</v>
      </c>
      <c r="AG949" s="171">
        <v>1</v>
      </c>
      <c r="AH949" s="171">
        <v>1</v>
      </c>
      <c r="AI949" s="171">
        <v>1</v>
      </c>
      <c r="AJ949" s="171">
        <v>0</v>
      </c>
      <c r="AK949" s="171">
        <v>1</v>
      </c>
      <c r="AL949" s="171">
        <v>0</v>
      </c>
      <c r="AM949" s="171">
        <v>1</v>
      </c>
      <c r="AN949" s="171">
        <v>1</v>
      </c>
      <c r="AO949" s="171">
        <v>1</v>
      </c>
      <c r="AP949" s="171">
        <v>1</v>
      </c>
      <c r="AQ949" s="171">
        <v>1</v>
      </c>
      <c r="AR949" s="171">
        <v>1</v>
      </c>
      <c r="AS949" s="171">
        <v>1</v>
      </c>
      <c r="AT949" s="171">
        <v>1</v>
      </c>
      <c r="AU949" s="171">
        <f t="shared" si="379"/>
        <v>0</v>
      </c>
      <c r="AV949" s="171">
        <f t="shared" si="380"/>
        <v>0</v>
      </c>
      <c r="AW949" s="171">
        <f t="shared" si="381"/>
        <v>1</v>
      </c>
      <c r="AX949" s="171">
        <f t="shared" si="388"/>
        <v>1</v>
      </c>
      <c r="AY949" s="171">
        <f t="shared" si="382"/>
        <v>0</v>
      </c>
      <c r="AZ949" s="171">
        <f t="shared" si="383"/>
        <v>1</v>
      </c>
      <c r="BA949" s="172">
        <f t="shared" si="384"/>
        <v>1</v>
      </c>
      <c r="BB949" s="175">
        <f t="shared" si="385"/>
        <v>16</v>
      </c>
      <c r="BC949" s="176">
        <f t="shared" si="386"/>
        <v>15</v>
      </c>
      <c r="BD949" s="176">
        <f t="shared" si="387"/>
        <v>16</v>
      </c>
      <c r="BE949" s="240" t="str">
        <f t="shared" si="378"/>
        <v/>
      </c>
      <c r="BF949" s="990"/>
      <c r="BG949" s="990"/>
      <c r="BH949" s="991">
        <f>IF(AND(Input_Product=Elig!$C949,Elig_MatchAll_Ct&lt;22,$BC949=(Elig_MatchAll_Ct-1),AF949=0),C949,0)</f>
        <v>0</v>
      </c>
      <c r="BI949" s="991">
        <f>IF(AND(Input_Product=Elig!$C949,Elig_MatchAll_Ct&lt;22,$BC949=(Elig_MatchAll_Ct-1),AG949=0),D949,0)</f>
        <v>0</v>
      </c>
      <c r="BJ949" s="991">
        <f>IF(AND(Input_Product=Elig!$C949,Elig_MatchAll_Ct&lt;22,$BC949=(Elig_MatchAll_Ct-1),AH949=0),E949,0)</f>
        <v>0</v>
      </c>
      <c r="BK949" s="991">
        <f>IF(AND(Input_Product=Elig!$C949,Elig_MatchAll_Ct&lt;22,$BC949=(Elig_MatchAll_Ct-1),AI949=0),F949,0)</f>
        <v>0</v>
      </c>
      <c r="BL949" s="991">
        <f>IF(AND(Input_Product=Elig!$C949,Elig_MatchAll_Ct&lt;22,$BC949=(Elig_MatchAll_Ct-1),AJ949=0),G949,0)</f>
        <v>0</v>
      </c>
      <c r="BM949" s="991">
        <f>IF(AND(Input_Product=Elig!$C949,Elig_MatchAll_Ct&lt;22,$BC949=(Elig_MatchAll_Ct-1),AK949=0),H949,0)</f>
        <v>0</v>
      </c>
      <c r="BN949" s="991">
        <f>IF(AND(Input_Product=Elig!$C949,Elig_MatchAll_Ct&lt;22,$BC949=(Elig_MatchAll_Ct-1),AL949=0),I949,0)</f>
        <v>0</v>
      </c>
      <c r="BO949" s="991">
        <f>IF(AND(Input_Product=Elig!$C949,Elig_MatchAll_Ct&lt;22,$BC949=(Elig_MatchAll_Ct-1),AM949=0),J949,0)</f>
        <v>0</v>
      </c>
      <c r="BP949" s="991">
        <f>IF(AND(Input_Product=Elig!$C949,Elig_MatchAll_Ct&lt;22,$BC949=(Elig_MatchAll_Ct-1),AN949=0),K949,0)</f>
        <v>0</v>
      </c>
      <c r="BQ949" s="991">
        <f>IF(AND(Input_Product=Elig!$C949,Elig_MatchAll_Ct&lt;22,$BC949=(Elig_MatchAll_Ct-1),AP949=0),L949,0)</f>
        <v>0</v>
      </c>
      <c r="BR949" s="991">
        <f>IF(AND(Input_Product=Elig!$C949,Elig_MatchAll_Ct&lt;22,$BC949=(Elig_MatchAll_Ct-1),AO949=0),M949,0)</f>
        <v>0</v>
      </c>
      <c r="BS949" s="991">
        <f>IF(AND(Input_Product=Elig!$C949,Elig_MatchAll_Ct&lt;22,$BC949=(Elig_MatchAll_Ct-1),AQ949=0),N949,0)</f>
        <v>0</v>
      </c>
      <c r="BT949" s="991">
        <f>IF(AND(Input_Product=Elig!$C949,Elig_MatchAll_Ct&lt;22,$BC949=(Elig_MatchAll_Ct-1),AR949=0),O949,0)</f>
        <v>0</v>
      </c>
      <c r="BU949" s="991">
        <f>IF(AND(Input_Product=Elig!$C949,Elig_MatchAll_Ct&lt;22,$BC949=(Elig_MatchAll_Ct-1),AS949=0),P949,0)</f>
        <v>0</v>
      </c>
      <c r="BV949" s="992">
        <f>IF(AND(Input_Product=Elig!$C949,Elig_MatchAll_Ct&lt;22,$BC949=(Elig_MatchAll_Ct-1),AT949=0),Q949,0)</f>
        <v>0</v>
      </c>
      <c r="BW949" s="993">
        <f>IF(AND(Input_Product=Elig!$C949,Elig_MatchAll_Ct&lt;22,$BC949=(Elig_MatchAll_Ct-1),AU949=0),R949,0)</f>
        <v>0</v>
      </c>
      <c r="BX949" s="994">
        <f>IF(AND(Input_Product=Elig!$C949,Elig_MatchAll_Ct&lt;22,$BC949=(Elig_MatchAll_Ct-1),AU949=0),S949,0)</f>
        <v>0</v>
      </c>
      <c r="BY949" s="993">
        <f>IF(AND(Input_Product=Elig!$C949,Elig_MatchAll_Ct&lt;22,$BC949=(Elig_MatchAll_Ct-1),AV949=0),T949,0)</f>
        <v>0</v>
      </c>
      <c r="BZ949" s="994">
        <f>IF(AND(Input_Product=Elig!$C949,Elig_MatchAll_Ct&lt;22,$BC949=(Elig_MatchAll_Ct-1),AV949=0),U949,0)</f>
        <v>0</v>
      </c>
      <c r="CA949" s="993">
        <f>IF(AND(Input_Product=Elig!$C949,Elig_MatchAll_Ct&lt;22,$BC949=(Elig_MatchAll_Ct-1),AW949=0),V949,0)</f>
        <v>0</v>
      </c>
      <c r="CB949" s="994">
        <f>IF(AND(Input_Product=Elig!$C949,Elig_MatchAll_Ct&lt;22,$BC949=(Elig_MatchAll_Ct-1),AW949=0),W949,0)</f>
        <v>0</v>
      </c>
      <c r="CC949" s="993">
        <f>IF(AND(Input_Product=Elig!$C949,Elig_MatchAll_Ct&lt;22,$BC949=(Elig_MatchAll_Ct-1),AX949=0),X949,0)</f>
        <v>0</v>
      </c>
      <c r="CD949" s="994">
        <f>IF(AND(Input_Product=Elig!$C949,Elig_MatchAll_Ct&lt;22,$BC949=(Elig_MatchAll_Ct-1),AX949=0),Y949,0)</f>
        <v>0</v>
      </c>
      <c r="CE949" s="993">
        <f>IF(AND(Input_LTV&lt;=AE949,Input_Product=Elig!$C949,Elig_MatchAll_Ct&lt;22,$BC949=(Elig_MatchAll_Ct-1),AY949=0),Z949,0)</f>
        <v>0</v>
      </c>
      <c r="CF949" s="994">
        <f>IF(AND(Input_LTV&lt;=AE949,Input_Product=Elig!$C949,Elig_MatchAll_Ct&lt;22,$BC949=(Elig_MatchAll_Ct-1),AY949=0),AA949,0)</f>
        <v>0</v>
      </c>
      <c r="CG949" s="993">
        <f>IF(AND(Input_Product=Elig!$C949,Elig_MatchAll_Ct&lt;22,$BC949=(Elig_MatchAll_Ct-1),AZ949=0),AB949,0)</f>
        <v>0</v>
      </c>
      <c r="CH949" s="994">
        <f>IF(AND(Input_Product=Elig!$C949,Elig_MatchAll_Ct&lt;22,$BC949=(Elig_MatchAll_Ct-1),AZ949=0),AC949,0)</f>
        <v>0</v>
      </c>
      <c r="CI949" s="993">
        <f>IF(AND(Input_Product=Elig!$C949,Elig_MatchAll_Ct&lt;22,$BC949=(Elig_MatchAll_Ct-1),BA949=0),AD949,0)</f>
        <v>0</v>
      </c>
      <c r="CJ949" s="994">
        <f>IF(AND(Input_Product=Elig!$C949,Elig_MatchAll_Ct&lt;22,$BC949=(Elig_MatchAll_Ct-1),BA949=0),AE949,0)</f>
        <v>0</v>
      </c>
    </row>
    <row r="950" spans="2:88" ht="10.15" customHeight="1" x14ac:dyDescent="0.25">
      <c r="B950" s="1916" t="s">
        <v>2286</v>
      </c>
      <c r="C950" s="1213" t="str">
        <f t="shared" si="389"/>
        <v xml:space="preserve">  </v>
      </c>
      <c r="D950" s="1214" t="s">
        <v>2218</v>
      </c>
      <c r="E950" s="1214" t="s">
        <v>167</v>
      </c>
      <c r="F950" s="1214" t="s">
        <v>331</v>
      </c>
      <c r="G950" s="1215" t="s">
        <v>305</v>
      </c>
      <c r="H950" s="1215" t="s">
        <v>136</v>
      </c>
      <c r="I950" s="1214" t="s">
        <v>274</v>
      </c>
      <c r="J950" s="1214" t="s">
        <v>1311</v>
      </c>
      <c r="K950" s="1215" t="s">
        <v>3022</v>
      </c>
      <c r="L950" s="1214" t="s">
        <v>2768</v>
      </c>
      <c r="M950" s="1214" t="s">
        <v>2677</v>
      </c>
      <c r="N950" s="1215" t="s">
        <v>82</v>
      </c>
      <c r="O950" s="1214" t="s">
        <v>310</v>
      </c>
      <c r="P950" s="1214" t="s">
        <v>291</v>
      </c>
      <c r="Q950" s="1214" t="s">
        <v>294</v>
      </c>
      <c r="R950" s="1214">
        <v>2000000.01</v>
      </c>
      <c r="S950" s="1214">
        <v>2500000</v>
      </c>
      <c r="T950" s="1214">
        <v>0</v>
      </c>
      <c r="U950" s="1214">
        <v>0</v>
      </c>
      <c r="V950" s="1214">
        <v>0</v>
      </c>
      <c r="W950" s="1214">
        <v>50</v>
      </c>
      <c r="X950" s="1214">
        <v>0</v>
      </c>
      <c r="Y950" s="1214">
        <v>999</v>
      </c>
      <c r="Z950" s="1216">
        <v>680</v>
      </c>
      <c r="AA950" s="1216">
        <v>699</v>
      </c>
      <c r="AB950" s="1216">
        <v>6</v>
      </c>
      <c r="AC950" s="1216">
        <v>999999</v>
      </c>
      <c r="AD950" s="1214">
        <v>0</v>
      </c>
      <c r="AE950" s="1217">
        <v>80</v>
      </c>
      <c r="AF950" s="170">
        <v>0</v>
      </c>
      <c r="AG950" s="171">
        <v>1</v>
      </c>
      <c r="AH950" s="171">
        <v>1</v>
      </c>
      <c r="AI950" s="171">
        <v>1</v>
      </c>
      <c r="AJ950" s="171">
        <v>0</v>
      </c>
      <c r="AK950" s="171">
        <v>1</v>
      </c>
      <c r="AL950" s="171">
        <v>0</v>
      </c>
      <c r="AM950" s="171">
        <v>1</v>
      </c>
      <c r="AN950" s="171">
        <v>1</v>
      </c>
      <c r="AO950" s="171">
        <v>1</v>
      </c>
      <c r="AP950" s="171">
        <v>1</v>
      </c>
      <c r="AQ950" s="171">
        <v>1</v>
      </c>
      <c r="AR950" s="171">
        <v>1</v>
      </c>
      <c r="AS950" s="171">
        <v>1</v>
      </c>
      <c r="AT950" s="171">
        <v>1</v>
      </c>
      <c r="AU950" s="171">
        <f t="shared" si="379"/>
        <v>0</v>
      </c>
      <c r="AV950" s="171">
        <f t="shared" si="380"/>
        <v>0</v>
      </c>
      <c r="AW950" s="171">
        <f t="shared" si="381"/>
        <v>1</v>
      </c>
      <c r="AX950" s="171">
        <f t="shared" si="388"/>
        <v>1</v>
      </c>
      <c r="AY950" s="171">
        <f t="shared" si="382"/>
        <v>0</v>
      </c>
      <c r="AZ950" s="171">
        <f t="shared" si="383"/>
        <v>1</v>
      </c>
      <c r="BA950" s="172">
        <f t="shared" si="384"/>
        <v>1</v>
      </c>
      <c r="BB950" s="175">
        <f t="shared" si="385"/>
        <v>16</v>
      </c>
      <c r="BC950" s="176">
        <f t="shared" si="386"/>
        <v>15</v>
      </c>
      <c r="BD950" s="176">
        <f t="shared" si="387"/>
        <v>16</v>
      </c>
      <c r="BE950" s="240" t="str">
        <f t="shared" si="378"/>
        <v/>
      </c>
      <c r="BF950" s="990"/>
      <c r="BG950" s="990"/>
      <c r="BH950" s="991">
        <f>IF(AND(Input_Product=Elig!$C950,Elig_MatchAll_Ct&lt;22,$BC950=(Elig_MatchAll_Ct-1),AF950=0),C950,0)</f>
        <v>0</v>
      </c>
      <c r="BI950" s="991">
        <f>IF(AND(Input_Product=Elig!$C950,Elig_MatchAll_Ct&lt;22,$BC950=(Elig_MatchAll_Ct-1),AG950=0),D950,0)</f>
        <v>0</v>
      </c>
      <c r="BJ950" s="991">
        <f>IF(AND(Input_Product=Elig!$C950,Elig_MatchAll_Ct&lt;22,$BC950=(Elig_MatchAll_Ct-1),AH950=0),E950,0)</f>
        <v>0</v>
      </c>
      <c r="BK950" s="991">
        <f>IF(AND(Input_Product=Elig!$C950,Elig_MatchAll_Ct&lt;22,$BC950=(Elig_MatchAll_Ct-1),AI950=0),F950,0)</f>
        <v>0</v>
      </c>
      <c r="BL950" s="991">
        <f>IF(AND(Input_Product=Elig!$C950,Elig_MatchAll_Ct&lt;22,$BC950=(Elig_MatchAll_Ct-1),AJ950=0),G950,0)</f>
        <v>0</v>
      </c>
      <c r="BM950" s="991">
        <f>IF(AND(Input_Product=Elig!$C950,Elig_MatchAll_Ct&lt;22,$BC950=(Elig_MatchAll_Ct-1),AK950=0),H950,0)</f>
        <v>0</v>
      </c>
      <c r="BN950" s="991">
        <f>IF(AND(Input_Product=Elig!$C950,Elig_MatchAll_Ct&lt;22,$BC950=(Elig_MatchAll_Ct-1),AL950=0),I950,0)</f>
        <v>0</v>
      </c>
      <c r="BO950" s="991">
        <f>IF(AND(Input_Product=Elig!$C950,Elig_MatchAll_Ct&lt;22,$BC950=(Elig_MatchAll_Ct-1),AM950=0),J950,0)</f>
        <v>0</v>
      </c>
      <c r="BP950" s="991">
        <f>IF(AND(Input_Product=Elig!$C950,Elig_MatchAll_Ct&lt;22,$BC950=(Elig_MatchAll_Ct-1),AN950=0),K950,0)</f>
        <v>0</v>
      </c>
      <c r="BQ950" s="991">
        <f>IF(AND(Input_Product=Elig!$C950,Elig_MatchAll_Ct&lt;22,$BC950=(Elig_MatchAll_Ct-1),AP950=0),L950,0)</f>
        <v>0</v>
      </c>
      <c r="BR950" s="991">
        <f>IF(AND(Input_Product=Elig!$C950,Elig_MatchAll_Ct&lt;22,$BC950=(Elig_MatchAll_Ct-1),AO950=0),M950,0)</f>
        <v>0</v>
      </c>
      <c r="BS950" s="991">
        <f>IF(AND(Input_Product=Elig!$C950,Elig_MatchAll_Ct&lt;22,$BC950=(Elig_MatchAll_Ct-1),AQ950=0),N950,0)</f>
        <v>0</v>
      </c>
      <c r="BT950" s="991">
        <f>IF(AND(Input_Product=Elig!$C950,Elig_MatchAll_Ct&lt;22,$BC950=(Elig_MatchAll_Ct-1),AR950=0),O950,0)</f>
        <v>0</v>
      </c>
      <c r="BU950" s="991">
        <f>IF(AND(Input_Product=Elig!$C950,Elig_MatchAll_Ct&lt;22,$BC950=(Elig_MatchAll_Ct-1),AS950=0),P950,0)</f>
        <v>0</v>
      </c>
      <c r="BV950" s="992">
        <f>IF(AND(Input_Product=Elig!$C950,Elig_MatchAll_Ct&lt;22,$BC950=(Elig_MatchAll_Ct-1),AT950=0),Q950,0)</f>
        <v>0</v>
      </c>
      <c r="BW950" s="993">
        <f>IF(AND(Input_Product=Elig!$C950,Elig_MatchAll_Ct&lt;22,$BC950=(Elig_MatchAll_Ct-1),AU950=0),R950,0)</f>
        <v>0</v>
      </c>
      <c r="BX950" s="994">
        <f>IF(AND(Input_Product=Elig!$C950,Elig_MatchAll_Ct&lt;22,$BC950=(Elig_MatchAll_Ct-1),AU950=0),S950,0)</f>
        <v>0</v>
      </c>
      <c r="BY950" s="993">
        <f>IF(AND(Input_Product=Elig!$C950,Elig_MatchAll_Ct&lt;22,$BC950=(Elig_MatchAll_Ct-1),AV950=0),T950,0)</f>
        <v>0</v>
      </c>
      <c r="BZ950" s="994">
        <f>IF(AND(Input_Product=Elig!$C950,Elig_MatchAll_Ct&lt;22,$BC950=(Elig_MatchAll_Ct-1),AV950=0),U950,0)</f>
        <v>0</v>
      </c>
      <c r="CA950" s="993">
        <f>IF(AND(Input_Product=Elig!$C950,Elig_MatchAll_Ct&lt;22,$BC950=(Elig_MatchAll_Ct-1),AW950=0),V950,0)</f>
        <v>0</v>
      </c>
      <c r="CB950" s="994">
        <f>IF(AND(Input_Product=Elig!$C950,Elig_MatchAll_Ct&lt;22,$BC950=(Elig_MatchAll_Ct-1),AW950=0),W950,0)</f>
        <v>0</v>
      </c>
      <c r="CC950" s="993">
        <f>IF(AND(Input_Product=Elig!$C950,Elig_MatchAll_Ct&lt;22,$BC950=(Elig_MatchAll_Ct-1),AX950=0),X950,0)</f>
        <v>0</v>
      </c>
      <c r="CD950" s="994">
        <f>IF(AND(Input_Product=Elig!$C950,Elig_MatchAll_Ct&lt;22,$BC950=(Elig_MatchAll_Ct-1),AX950=0),Y950,0)</f>
        <v>0</v>
      </c>
      <c r="CE950" s="993">
        <f>IF(AND(Input_LTV&lt;=AE950,Input_Product=Elig!$C950,Elig_MatchAll_Ct&lt;22,$BC950=(Elig_MatchAll_Ct-1),AY950=0),Z950,0)</f>
        <v>0</v>
      </c>
      <c r="CF950" s="994">
        <f>IF(AND(Input_LTV&lt;=AE950,Input_Product=Elig!$C950,Elig_MatchAll_Ct&lt;22,$BC950=(Elig_MatchAll_Ct-1),AY950=0),AA950,0)</f>
        <v>0</v>
      </c>
      <c r="CG950" s="993">
        <f>IF(AND(Input_Product=Elig!$C950,Elig_MatchAll_Ct&lt;22,$BC950=(Elig_MatchAll_Ct-1),AZ950=0),AB950,0)</f>
        <v>0</v>
      </c>
      <c r="CH950" s="994">
        <f>IF(AND(Input_Product=Elig!$C950,Elig_MatchAll_Ct&lt;22,$BC950=(Elig_MatchAll_Ct-1),AZ950=0),AC950,0)</f>
        <v>0</v>
      </c>
      <c r="CI950" s="993">
        <f>IF(AND(Input_Product=Elig!$C950,Elig_MatchAll_Ct&lt;22,$BC950=(Elig_MatchAll_Ct-1),BA950=0),AD950,0)</f>
        <v>0</v>
      </c>
      <c r="CJ950" s="994">
        <f>IF(AND(Input_Product=Elig!$C950,Elig_MatchAll_Ct&lt;22,$BC950=(Elig_MatchAll_Ct-1),BA950=0),AE950,0)</f>
        <v>0</v>
      </c>
    </row>
    <row r="951" spans="2:88" ht="10.15" customHeight="1" x14ac:dyDescent="0.25">
      <c r="B951" s="1916" t="s">
        <v>2287</v>
      </c>
      <c r="C951" s="1203" t="str">
        <f t="shared" si="389"/>
        <v xml:space="preserve">  </v>
      </c>
      <c r="D951" s="1204" t="s">
        <v>2218</v>
      </c>
      <c r="E951" s="1204" t="s">
        <v>167</v>
      </c>
      <c r="F951" s="1204" t="s">
        <v>331</v>
      </c>
      <c r="G951" s="1205" t="s">
        <v>305</v>
      </c>
      <c r="H951" s="1205" t="s">
        <v>136</v>
      </c>
      <c r="I951" s="1204" t="s">
        <v>274</v>
      </c>
      <c r="J951" s="1204" t="s">
        <v>1311</v>
      </c>
      <c r="K951" s="1205" t="s">
        <v>3022</v>
      </c>
      <c r="L951" s="1204" t="s">
        <v>2768</v>
      </c>
      <c r="M951" s="1204" t="s">
        <v>2677</v>
      </c>
      <c r="N951" s="1205" t="s">
        <v>82</v>
      </c>
      <c r="O951" s="1204" t="s">
        <v>310</v>
      </c>
      <c r="P951" s="1204" t="s">
        <v>291</v>
      </c>
      <c r="Q951" s="1204" t="s">
        <v>294</v>
      </c>
      <c r="R951" s="1204">
        <v>2500000.0099999998</v>
      </c>
      <c r="S951" s="1204">
        <v>3000000</v>
      </c>
      <c r="T951" s="1204">
        <v>0</v>
      </c>
      <c r="U951" s="1204">
        <v>0</v>
      </c>
      <c r="V951" s="1204">
        <v>0</v>
      </c>
      <c r="W951" s="1204">
        <v>50</v>
      </c>
      <c r="X951" s="1204">
        <v>0</v>
      </c>
      <c r="Y951" s="1204">
        <v>999</v>
      </c>
      <c r="Z951" s="1206">
        <v>720</v>
      </c>
      <c r="AA951" s="1206">
        <v>999</v>
      </c>
      <c r="AB951" s="1206">
        <v>6</v>
      </c>
      <c r="AC951" s="1206">
        <v>999999</v>
      </c>
      <c r="AD951" s="1204">
        <v>0</v>
      </c>
      <c r="AE951" s="1207">
        <v>75</v>
      </c>
      <c r="AF951" s="170">
        <v>0</v>
      </c>
      <c r="AG951" s="171">
        <v>1</v>
      </c>
      <c r="AH951" s="171">
        <v>1</v>
      </c>
      <c r="AI951" s="171">
        <v>1</v>
      </c>
      <c r="AJ951" s="171">
        <v>0</v>
      </c>
      <c r="AK951" s="171">
        <v>1</v>
      </c>
      <c r="AL951" s="171">
        <v>0</v>
      </c>
      <c r="AM951" s="171">
        <v>1</v>
      </c>
      <c r="AN951" s="171">
        <v>1</v>
      </c>
      <c r="AO951" s="171">
        <v>1</v>
      </c>
      <c r="AP951" s="171">
        <v>1</v>
      </c>
      <c r="AQ951" s="171">
        <v>1</v>
      </c>
      <c r="AR951" s="171">
        <v>1</v>
      </c>
      <c r="AS951" s="171">
        <v>1</v>
      </c>
      <c r="AT951" s="171">
        <v>1</v>
      </c>
      <c r="AU951" s="171">
        <f t="shared" si="379"/>
        <v>0</v>
      </c>
      <c r="AV951" s="171">
        <f t="shared" si="380"/>
        <v>0</v>
      </c>
      <c r="AW951" s="171">
        <f t="shared" si="381"/>
        <v>1</v>
      </c>
      <c r="AX951" s="171">
        <f t="shared" si="388"/>
        <v>1</v>
      </c>
      <c r="AY951" s="171">
        <f t="shared" si="382"/>
        <v>1</v>
      </c>
      <c r="AZ951" s="171">
        <f t="shared" si="383"/>
        <v>1</v>
      </c>
      <c r="BA951" s="172">
        <f t="shared" si="384"/>
        <v>1</v>
      </c>
      <c r="BB951" s="175">
        <f t="shared" si="385"/>
        <v>17</v>
      </c>
      <c r="BC951" s="176">
        <f t="shared" si="386"/>
        <v>16</v>
      </c>
      <c r="BD951" s="176">
        <f t="shared" si="387"/>
        <v>17</v>
      </c>
      <c r="BE951" s="240" t="str">
        <f t="shared" si="378"/>
        <v/>
      </c>
      <c r="BF951" s="990"/>
      <c r="BG951" s="990"/>
      <c r="BH951" s="991">
        <f>IF(AND(Input_Product=Elig!$C951,Elig_MatchAll_Ct&lt;22,$BC951=(Elig_MatchAll_Ct-1),AF951=0),C951,0)</f>
        <v>0</v>
      </c>
      <c r="BI951" s="991">
        <f>IF(AND(Input_Product=Elig!$C951,Elig_MatchAll_Ct&lt;22,$BC951=(Elig_MatchAll_Ct-1),AG951=0),D951,0)</f>
        <v>0</v>
      </c>
      <c r="BJ951" s="991">
        <f>IF(AND(Input_Product=Elig!$C951,Elig_MatchAll_Ct&lt;22,$BC951=(Elig_MatchAll_Ct-1),AH951=0),E951,0)</f>
        <v>0</v>
      </c>
      <c r="BK951" s="991">
        <f>IF(AND(Input_Product=Elig!$C951,Elig_MatchAll_Ct&lt;22,$BC951=(Elig_MatchAll_Ct-1),AI951=0),F951,0)</f>
        <v>0</v>
      </c>
      <c r="BL951" s="991">
        <f>IF(AND(Input_Product=Elig!$C951,Elig_MatchAll_Ct&lt;22,$BC951=(Elig_MatchAll_Ct-1),AJ951=0),G951,0)</f>
        <v>0</v>
      </c>
      <c r="BM951" s="991">
        <f>IF(AND(Input_Product=Elig!$C951,Elig_MatchAll_Ct&lt;22,$BC951=(Elig_MatchAll_Ct-1),AK951=0),H951,0)</f>
        <v>0</v>
      </c>
      <c r="BN951" s="991">
        <f>IF(AND(Input_Product=Elig!$C951,Elig_MatchAll_Ct&lt;22,$BC951=(Elig_MatchAll_Ct-1),AL951=0),I951,0)</f>
        <v>0</v>
      </c>
      <c r="BO951" s="991">
        <f>IF(AND(Input_Product=Elig!$C951,Elig_MatchAll_Ct&lt;22,$BC951=(Elig_MatchAll_Ct-1),AM951=0),J951,0)</f>
        <v>0</v>
      </c>
      <c r="BP951" s="991">
        <f>IF(AND(Input_Product=Elig!$C951,Elig_MatchAll_Ct&lt;22,$BC951=(Elig_MatchAll_Ct-1),AN951=0),K951,0)</f>
        <v>0</v>
      </c>
      <c r="BQ951" s="991">
        <f>IF(AND(Input_Product=Elig!$C951,Elig_MatchAll_Ct&lt;22,$BC951=(Elig_MatchAll_Ct-1),AP951=0),L951,0)</f>
        <v>0</v>
      </c>
      <c r="BR951" s="991">
        <f>IF(AND(Input_Product=Elig!$C951,Elig_MatchAll_Ct&lt;22,$BC951=(Elig_MatchAll_Ct-1),AO951=0),M951,0)</f>
        <v>0</v>
      </c>
      <c r="BS951" s="991">
        <f>IF(AND(Input_Product=Elig!$C951,Elig_MatchAll_Ct&lt;22,$BC951=(Elig_MatchAll_Ct-1),AQ951=0),N951,0)</f>
        <v>0</v>
      </c>
      <c r="BT951" s="991">
        <f>IF(AND(Input_Product=Elig!$C951,Elig_MatchAll_Ct&lt;22,$BC951=(Elig_MatchAll_Ct-1),AR951=0),O951,0)</f>
        <v>0</v>
      </c>
      <c r="BU951" s="991">
        <f>IF(AND(Input_Product=Elig!$C951,Elig_MatchAll_Ct&lt;22,$BC951=(Elig_MatchAll_Ct-1),AS951=0),P951,0)</f>
        <v>0</v>
      </c>
      <c r="BV951" s="992">
        <f>IF(AND(Input_Product=Elig!$C951,Elig_MatchAll_Ct&lt;22,$BC951=(Elig_MatchAll_Ct-1),AT951=0),Q951,0)</f>
        <v>0</v>
      </c>
      <c r="BW951" s="993">
        <f>IF(AND(Input_Product=Elig!$C951,Elig_MatchAll_Ct&lt;22,$BC951=(Elig_MatchAll_Ct-1),AU951=0),R951,0)</f>
        <v>0</v>
      </c>
      <c r="BX951" s="994">
        <f>IF(AND(Input_Product=Elig!$C951,Elig_MatchAll_Ct&lt;22,$BC951=(Elig_MatchAll_Ct-1),AU951=0),S951,0)</f>
        <v>0</v>
      </c>
      <c r="BY951" s="993">
        <f>IF(AND(Input_Product=Elig!$C951,Elig_MatchAll_Ct&lt;22,$BC951=(Elig_MatchAll_Ct-1),AV951=0),T951,0)</f>
        <v>0</v>
      </c>
      <c r="BZ951" s="994">
        <f>IF(AND(Input_Product=Elig!$C951,Elig_MatchAll_Ct&lt;22,$BC951=(Elig_MatchAll_Ct-1),AV951=0),U951,0)</f>
        <v>0</v>
      </c>
      <c r="CA951" s="993">
        <f>IF(AND(Input_Product=Elig!$C951,Elig_MatchAll_Ct&lt;22,$BC951=(Elig_MatchAll_Ct-1),AW951=0),V951,0)</f>
        <v>0</v>
      </c>
      <c r="CB951" s="994">
        <f>IF(AND(Input_Product=Elig!$C951,Elig_MatchAll_Ct&lt;22,$BC951=(Elig_MatchAll_Ct-1),AW951=0),W951,0)</f>
        <v>0</v>
      </c>
      <c r="CC951" s="993">
        <f>IF(AND(Input_Product=Elig!$C951,Elig_MatchAll_Ct&lt;22,$BC951=(Elig_MatchAll_Ct-1),AX951=0),X951,0)</f>
        <v>0</v>
      </c>
      <c r="CD951" s="994">
        <f>IF(AND(Input_Product=Elig!$C951,Elig_MatchAll_Ct&lt;22,$BC951=(Elig_MatchAll_Ct-1),AX951=0),Y951,0)</f>
        <v>0</v>
      </c>
      <c r="CE951" s="993">
        <f>IF(AND(Input_LTV&lt;=AE951,Input_Product=Elig!$C951,Elig_MatchAll_Ct&lt;22,$BC951=(Elig_MatchAll_Ct-1),AY951=0),Z951,0)</f>
        <v>0</v>
      </c>
      <c r="CF951" s="994">
        <f>IF(AND(Input_LTV&lt;=AE951,Input_Product=Elig!$C951,Elig_MatchAll_Ct&lt;22,$BC951=(Elig_MatchAll_Ct-1),AY951=0),AA951,0)</f>
        <v>0</v>
      </c>
      <c r="CG951" s="993">
        <f>IF(AND(Input_Product=Elig!$C951,Elig_MatchAll_Ct&lt;22,$BC951=(Elig_MatchAll_Ct-1),AZ951=0),AB951,0)</f>
        <v>0</v>
      </c>
      <c r="CH951" s="994">
        <f>IF(AND(Input_Product=Elig!$C951,Elig_MatchAll_Ct&lt;22,$BC951=(Elig_MatchAll_Ct-1),AZ951=0),AC951,0)</f>
        <v>0</v>
      </c>
      <c r="CI951" s="993">
        <f>IF(AND(Input_Product=Elig!$C951,Elig_MatchAll_Ct&lt;22,$BC951=(Elig_MatchAll_Ct-1),BA951=0),AD951,0)</f>
        <v>0</v>
      </c>
      <c r="CJ951" s="994">
        <f>IF(AND(Input_Product=Elig!$C951,Elig_MatchAll_Ct&lt;22,$BC951=(Elig_MatchAll_Ct-1),BA951=0),AE951,0)</f>
        <v>0</v>
      </c>
    </row>
    <row r="952" spans="2:88" ht="10.15" customHeight="1" x14ac:dyDescent="0.25">
      <c r="B952" s="1916" t="s">
        <v>2288</v>
      </c>
      <c r="C952" s="1208" t="str">
        <f t="shared" si="389"/>
        <v xml:space="preserve">  </v>
      </c>
      <c r="D952" s="1209" t="s">
        <v>2218</v>
      </c>
      <c r="E952" s="1209" t="s">
        <v>167</v>
      </c>
      <c r="F952" s="1209" t="s">
        <v>331</v>
      </c>
      <c r="G952" s="1210" t="s">
        <v>305</v>
      </c>
      <c r="H952" s="1210" t="s">
        <v>136</v>
      </c>
      <c r="I952" s="1209" t="s">
        <v>274</v>
      </c>
      <c r="J952" s="1209" t="s">
        <v>1311</v>
      </c>
      <c r="K952" s="1210" t="s">
        <v>3022</v>
      </c>
      <c r="L952" s="1209" t="s">
        <v>2768</v>
      </c>
      <c r="M952" s="1209" t="s">
        <v>2677</v>
      </c>
      <c r="N952" s="1210" t="s">
        <v>82</v>
      </c>
      <c r="O952" s="1209" t="s">
        <v>310</v>
      </c>
      <c r="P952" s="1209" t="s">
        <v>291</v>
      </c>
      <c r="Q952" s="1209" t="s">
        <v>294</v>
      </c>
      <c r="R952" s="1209">
        <v>2500000.0099999998</v>
      </c>
      <c r="S952" s="1209">
        <v>3000000</v>
      </c>
      <c r="T952" s="1209">
        <v>0</v>
      </c>
      <c r="U952" s="1209">
        <v>0</v>
      </c>
      <c r="V952" s="1209">
        <v>0</v>
      </c>
      <c r="W952" s="1209">
        <v>50</v>
      </c>
      <c r="X952" s="1209">
        <v>0</v>
      </c>
      <c r="Y952" s="1209">
        <v>999</v>
      </c>
      <c r="Z952" s="1211">
        <v>700</v>
      </c>
      <c r="AA952" s="1211">
        <v>719</v>
      </c>
      <c r="AB952" s="1211">
        <v>6</v>
      </c>
      <c r="AC952" s="1211">
        <v>999999</v>
      </c>
      <c r="AD952" s="1209">
        <v>0</v>
      </c>
      <c r="AE952" s="1212">
        <v>75</v>
      </c>
      <c r="AF952" s="170">
        <v>0</v>
      </c>
      <c r="AG952" s="171">
        <v>1</v>
      </c>
      <c r="AH952" s="171">
        <v>1</v>
      </c>
      <c r="AI952" s="171">
        <v>1</v>
      </c>
      <c r="AJ952" s="171">
        <v>0</v>
      </c>
      <c r="AK952" s="171">
        <v>1</v>
      </c>
      <c r="AL952" s="171">
        <v>0</v>
      </c>
      <c r="AM952" s="171">
        <v>1</v>
      </c>
      <c r="AN952" s="171">
        <v>1</v>
      </c>
      <c r="AO952" s="171">
        <v>1</v>
      </c>
      <c r="AP952" s="171">
        <v>1</v>
      </c>
      <c r="AQ952" s="171">
        <v>1</v>
      </c>
      <c r="AR952" s="171">
        <v>1</v>
      </c>
      <c r="AS952" s="171">
        <v>1</v>
      </c>
      <c r="AT952" s="171">
        <v>1</v>
      </c>
      <c r="AU952" s="171">
        <f t="shared" si="379"/>
        <v>0</v>
      </c>
      <c r="AV952" s="171">
        <f t="shared" si="380"/>
        <v>0</v>
      </c>
      <c r="AW952" s="171">
        <f t="shared" si="381"/>
        <v>1</v>
      </c>
      <c r="AX952" s="171">
        <f t="shared" si="388"/>
        <v>1</v>
      </c>
      <c r="AY952" s="171">
        <f t="shared" si="382"/>
        <v>0</v>
      </c>
      <c r="AZ952" s="171">
        <f t="shared" si="383"/>
        <v>1</v>
      </c>
      <c r="BA952" s="172">
        <f t="shared" si="384"/>
        <v>1</v>
      </c>
      <c r="BB952" s="175">
        <f t="shared" si="385"/>
        <v>16</v>
      </c>
      <c r="BC952" s="176">
        <f t="shared" si="386"/>
        <v>15</v>
      </c>
      <c r="BD952" s="176">
        <f t="shared" si="387"/>
        <v>16</v>
      </c>
      <c r="BE952" s="240" t="str">
        <f t="shared" si="378"/>
        <v/>
      </c>
      <c r="BF952" s="990"/>
      <c r="BG952" s="990"/>
      <c r="BH952" s="991">
        <f>IF(AND(Input_Product=Elig!$C952,Elig_MatchAll_Ct&lt;22,$BC952=(Elig_MatchAll_Ct-1),AF952=0),C952,0)</f>
        <v>0</v>
      </c>
      <c r="BI952" s="991">
        <f>IF(AND(Input_Product=Elig!$C952,Elig_MatchAll_Ct&lt;22,$BC952=(Elig_MatchAll_Ct-1),AG952=0),D952,0)</f>
        <v>0</v>
      </c>
      <c r="BJ952" s="991">
        <f>IF(AND(Input_Product=Elig!$C952,Elig_MatchAll_Ct&lt;22,$BC952=(Elig_MatchAll_Ct-1),AH952=0),E952,0)</f>
        <v>0</v>
      </c>
      <c r="BK952" s="991">
        <f>IF(AND(Input_Product=Elig!$C952,Elig_MatchAll_Ct&lt;22,$BC952=(Elig_MatchAll_Ct-1),AI952=0),F952,0)</f>
        <v>0</v>
      </c>
      <c r="BL952" s="991">
        <f>IF(AND(Input_Product=Elig!$C952,Elig_MatchAll_Ct&lt;22,$BC952=(Elig_MatchAll_Ct-1),AJ952=0),G952,0)</f>
        <v>0</v>
      </c>
      <c r="BM952" s="991">
        <f>IF(AND(Input_Product=Elig!$C952,Elig_MatchAll_Ct&lt;22,$BC952=(Elig_MatchAll_Ct-1),AK952=0),H952,0)</f>
        <v>0</v>
      </c>
      <c r="BN952" s="991">
        <f>IF(AND(Input_Product=Elig!$C952,Elig_MatchAll_Ct&lt;22,$BC952=(Elig_MatchAll_Ct-1),AL952=0),I952,0)</f>
        <v>0</v>
      </c>
      <c r="BO952" s="991">
        <f>IF(AND(Input_Product=Elig!$C952,Elig_MatchAll_Ct&lt;22,$BC952=(Elig_MatchAll_Ct-1),AM952=0),J952,0)</f>
        <v>0</v>
      </c>
      <c r="BP952" s="991">
        <f>IF(AND(Input_Product=Elig!$C952,Elig_MatchAll_Ct&lt;22,$BC952=(Elig_MatchAll_Ct-1),AN952=0),K952,0)</f>
        <v>0</v>
      </c>
      <c r="BQ952" s="991">
        <f>IF(AND(Input_Product=Elig!$C952,Elig_MatchAll_Ct&lt;22,$BC952=(Elig_MatchAll_Ct-1),AP952=0),L952,0)</f>
        <v>0</v>
      </c>
      <c r="BR952" s="991">
        <f>IF(AND(Input_Product=Elig!$C952,Elig_MatchAll_Ct&lt;22,$BC952=(Elig_MatchAll_Ct-1),AO952=0),M952,0)</f>
        <v>0</v>
      </c>
      <c r="BS952" s="991">
        <f>IF(AND(Input_Product=Elig!$C952,Elig_MatchAll_Ct&lt;22,$BC952=(Elig_MatchAll_Ct-1),AQ952=0),N952,0)</f>
        <v>0</v>
      </c>
      <c r="BT952" s="991">
        <f>IF(AND(Input_Product=Elig!$C952,Elig_MatchAll_Ct&lt;22,$BC952=(Elig_MatchAll_Ct-1),AR952=0),O952,0)</f>
        <v>0</v>
      </c>
      <c r="BU952" s="991">
        <f>IF(AND(Input_Product=Elig!$C952,Elig_MatchAll_Ct&lt;22,$BC952=(Elig_MatchAll_Ct-1),AS952=0),P952,0)</f>
        <v>0</v>
      </c>
      <c r="BV952" s="992">
        <f>IF(AND(Input_Product=Elig!$C952,Elig_MatchAll_Ct&lt;22,$BC952=(Elig_MatchAll_Ct-1),AT952=0),Q952,0)</f>
        <v>0</v>
      </c>
      <c r="BW952" s="993">
        <f>IF(AND(Input_Product=Elig!$C952,Elig_MatchAll_Ct&lt;22,$BC952=(Elig_MatchAll_Ct-1),AU952=0),R952,0)</f>
        <v>0</v>
      </c>
      <c r="BX952" s="994">
        <f>IF(AND(Input_Product=Elig!$C952,Elig_MatchAll_Ct&lt;22,$BC952=(Elig_MatchAll_Ct-1),AU952=0),S952,0)</f>
        <v>0</v>
      </c>
      <c r="BY952" s="993">
        <f>IF(AND(Input_Product=Elig!$C952,Elig_MatchAll_Ct&lt;22,$BC952=(Elig_MatchAll_Ct-1),AV952=0),T952,0)</f>
        <v>0</v>
      </c>
      <c r="BZ952" s="994">
        <f>IF(AND(Input_Product=Elig!$C952,Elig_MatchAll_Ct&lt;22,$BC952=(Elig_MatchAll_Ct-1),AV952=0),U952,0)</f>
        <v>0</v>
      </c>
      <c r="CA952" s="993">
        <f>IF(AND(Input_Product=Elig!$C952,Elig_MatchAll_Ct&lt;22,$BC952=(Elig_MatchAll_Ct-1),AW952=0),V952,0)</f>
        <v>0</v>
      </c>
      <c r="CB952" s="994">
        <f>IF(AND(Input_Product=Elig!$C952,Elig_MatchAll_Ct&lt;22,$BC952=(Elig_MatchAll_Ct-1),AW952=0),W952,0)</f>
        <v>0</v>
      </c>
      <c r="CC952" s="993">
        <f>IF(AND(Input_Product=Elig!$C952,Elig_MatchAll_Ct&lt;22,$BC952=(Elig_MatchAll_Ct-1),AX952=0),X952,0)</f>
        <v>0</v>
      </c>
      <c r="CD952" s="994">
        <f>IF(AND(Input_Product=Elig!$C952,Elig_MatchAll_Ct&lt;22,$BC952=(Elig_MatchAll_Ct-1),AX952=0),Y952,0)</f>
        <v>0</v>
      </c>
      <c r="CE952" s="993">
        <f>IF(AND(Input_LTV&lt;=AE952,Input_Product=Elig!$C952,Elig_MatchAll_Ct&lt;22,$BC952=(Elig_MatchAll_Ct-1),AY952=0),Z952,0)</f>
        <v>0</v>
      </c>
      <c r="CF952" s="994">
        <f>IF(AND(Input_LTV&lt;=AE952,Input_Product=Elig!$C952,Elig_MatchAll_Ct&lt;22,$BC952=(Elig_MatchAll_Ct-1),AY952=0),AA952,0)</f>
        <v>0</v>
      </c>
      <c r="CG952" s="993">
        <f>IF(AND(Input_Product=Elig!$C952,Elig_MatchAll_Ct&lt;22,$BC952=(Elig_MatchAll_Ct-1),AZ952=0),AB952,0)</f>
        <v>0</v>
      </c>
      <c r="CH952" s="994">
        <f>IF(AND(Input_Product=Elig!$C952,Elig_MatchAll_Ct&lt;22,$BC952=(Elig_MatchAll_Ct-1),AZ952=0),AC952,0)</f>
        <v>0</v>
      </c>
      <c r="CI952" s="993">
        <f>IF(AND(Input_Product=Elig!$C952,Elig_MatchAll_Ct&lt;22,$BC952=(Elig_MatchAll_Ct-1),BA952=0),AD952,0)</f>
        <v>0</v>
      </c>
      <c r="CJ952" s="994">
        <f>IF(AND(Input_Product=Elig!$C952,Elig_MatchAll_Ct&lt;22,$BC952=(Elig_MatchAll_Ct-1),BA952=0),AE952,0)</f>
        <v>0</v>
      </c>
    </row>
    <row r="953" spans="2:88" ht="10.15" customHeight="1" x14ac:dyDescent="0.25">
      <c r="B953" s="1916" t="s">
        <v>2289</v>
      </c>
      <c r="C953" s="1213" t="str">
        <f t="shared" si="389"/>
        <v xml:space="preserve">  </v>
      </c>
      <c r="D953" s="1214" t="s">
        <v>2218</v>
      </c>
      <c r="E953" s="1214" t="s">
        <v>167</v>
      </c>
      <c r="F953" s="1214" t="s">
        <v>331</v>
      </c>
      <c r="G953" s="1215" t="s">
        <v>305</v>
      </c>
      <c r="H953" s="1215" t="s">
        <v>136</v>
      </c>
      <c r="I953" s="1214" t="s">
        <v>274</v>
      </c>
      <c r="J953" s="1214" t="s">
        <v>1311</v>
      </c>
      <c r="K953" s="1215" t="s">
        <v>3022</v>
      </c>
      <c r="L953" s="1214" t="s">
        <v>2768</v>
      </c>
      <c r="M953" s="1214" t="s">
        <v>2677</v>
      </c>
      <c r="N953" s="1215" t="s">
        <v>82</v>
      </c>
      <c r="O953" s="1214" t="s">
        <v>310</v>
      </c>
      <c r="P953" s="1214" t="s">
        <v>291</v>
      </c>
      <c r="Q953" s="1214" t="s">
        <v>294</v>
      </c>
      <c r="R953" s="1214">
        <v>2500000.0099999998</v>
      </c>
      <c r="S953" s="1214">
        <v>3000000</v>
      </c>
      <c r="T953" s="1214">
        <v>0</v>
      </c>
      <c r="U953" s="1214">
        <v>0</v>
      </c>
      <c r="V953" s="1214">
        <v>0</v>
      </c>
      <c r="W953" s="1214">
        <v>50</v>
      </c>
      <c r="X953" s="1214">
        <v>0</v>
      </c>
      <c r="Y953" s="1214">
        <v>999</v>
      </c>
      <c r="Z953" s="1216">
        <v>680</v>
      </c>
      <c r="AA953" s="1216">
        <v>699</v>
      </c>
      <c r="AB953" s="1216">
        <v>6</v>
      </c>
      <c r="AC953" s="1216">
        <v>999999</v>
      </c>
      <c r="AD953" s="1214">
        <v>0</v>
      </c>
      <c r="AE953" s="1217">
        <v>75</v>
      </c>
      <c r="AF953" s="170">
        <v>0</v>
      </c>
      <c r="AG953" s="171">
        <v>1</v>
      </c>
      <c r="AH953" s="171">
        <v>1</v>
      </c>
      <c r="AI953" s="171">
        <v>1</v>
      </c>
      <c r="AJ953" s="171">
        <v>0</v>
      </c>
      <c r="AK953" s="171">
        <v>1</v>
      </c>
      <c r="AL953" s="171">
        <v>0</v>
      </c>
      <c r="AM953" s="171">
        <v>1</v>
      </c>
      <c r="AN953" s="171">
        <v>1</v>
      </c>
      <c r="AO953" s="171">
        <v>1</v>
      </c>
      <c r="AP953" s="171">
        <v>1</v>
      </c>
      <c r="AQ953" s="171">
        <v>1</v>
      </c>
      <c r="AR953" s="171">
        <v>1</v>
      </c>
      <c r="AS953" s="171">
        <v>1</v>
      </c>
      <c r="AT953" s="171">
        <v>1</v>
      </c>
      <c r="AU953" s="171">
        <f t="shared" si="379"/>
        <v>0</v>
      </c>
      <c r="AV953" s="171">
        <f t="shared" si="380"/>
        <v>0</v>
      </c>
      <c r="AW953" s="171">
        <f t="shared" si="381"/>
        <v>1</v>
      </c>
      <c r="AX953" s="171">
        <f t="shared" si="388"/>
        <v>1</v>
      </c>
      <c r="AY953" s="171">
        <f t="shared" si="382"/>
        <v>0</v>
      </c>
      <c r="AZ953" s="171">
        <f t="shared" si="383"/>
        <v>1</v>
      </c>
      <c r="BA953" s="172">
        <f t="shared" si="384"/>
        <v>1</v>
      </c>
      <c r="BB953" s="175">
        <f t="shared" si="385"/>
        <v>16</v>
      </c>
      <c r="BC953" s="176">
        <f t="shared" si="386"/>
        <v>15</v>
      </c>
      <c r="BD953" s="176">
        <f t="shared" si="387"/>
        <v>16</v>
      </c>
      <c r="BE953" s="240" t="str">
        <f t="shared" si="378"/>
        <v/>
      </c>
      <c r="BF953" s="990"/>
      <c r="BG953" s="990"/>
      <c r="BH953" s="991">
        <f>IF(AND(Input_Product=Elig!$C953,Elig_MatchAll_Ct&lt;22,$BC953=(Elig_MatchAll_Ct-1),AF953=0),C953,0)</f>
        <v>0</v>
      </c>
      <c r="BI953" s="991">
        <f>IF(AND(Input_Product=Elig!$C953,Elig_MatchAll_Ct&lt;22,$BC953=(Elig_MatchAll_Ct-1),AG953=0),D953,0)</f>
        <v>0</v>
      </c>
      <c r="BJ953" s="991">
        <f>IF(AND(Input_Product=Elig!$C953,Elig_MatchAll_Ct&lt;22,$BC953=(Elig_MatchAll_Ct-1),AH953=0),E953,0)</f>
        <v>0</v>
      </c>
      <c r="BK953" s="991">
        <f>IF(AND(Input_Product=Elig!$C953,Elig_MatchAll_Ct&lt;22,$BC953=(Elig_MatchAll_Ct-1),AI953=0),F953,0)</f>
        <v>0</v>
      </c>
      <c r="BL953" s="991">
        <f>IF(AND(Input_Product=Elig!$C953,Elig_MatchAll_Ct&lt;22,$BC953=(Elig_MatchAll_Ct-1),AJ953=0),G953,0)</f>
        <v>0</v>
      </c>
      <c r="BM953" s="991">
        <f>IF(AND(Input_Product=Elig!$C953,Elig_MatchAll_Ct&lt;22,$BC953=(Elig_MatchAll_Ct-1),AK953=0),H953,0)</f>
        <v>0</v>
      </c>
      <c r="BN953" s="991">
        <f>IF(AND(Input_Product=Elig!$C953,Elig_MatchAll_Ct&lt;22,$BC953=(Elig_MatchAll_Ct-1),AL953=0),I953,0)</f>
        <v>0</v>
      </c>
      <c r="BO953" s="991">
        <f>IF(AND(Input_Product=Elig!$C953,Elig_MatchAll_Ct&lt;22,$BC953=(Elig_MatchAll_Ct-1),AM953=0),J953,0)</f>
        <v>0</v>
      </c>
      <c r="BP953" s="991">
        <f>IF(AND(Input_Product=Elig!$C953,Elig_MatchAll_Ct&lt;22,$BC953=(Elig_MatchAll_Ct-1),AN953=0),K953,0)</f>
        <v>0</v>
      </c>
      <c r="BQ953" s="991">
        <f>IF(AND(Input_Product=Elig!$C953,Elig_MatchAll_Ct&lt;22,$BC953=(Elig_MatchAll_Ct-1),AP953=0),L953,0)</f>
        <v>0</v>
      </c>
      <c r="BR953" s="991">
        <f>IF(AND(Input_Product=Elig!$C953,Elig_MatchAll_Ct&lt;22,$BC953=(Elig_MatchAll_Ct-1),AO953=0),M953,0)</f>
        <v>0</v>
      </c>
      <c r="BS953" s="991">
        <f>IF(AND(Input_Product=Elig!$C953,Elig_MatchAll_Ct&lt;22,$BC953=(Elig_MatchAll_Ct-1),AQ953=0),N953,0)</f>
        <v>0</v>
      </c>
      <c r="BT953" s="991">
        <f>IF(AND(Input_Product=Elig!$C953,Elig_MatchAll_Ct&lt;22,$BC953=(Elig_MatchAll_Ct-1),AR953=0),O953,0)</f>
        <v>0</v>
      </c>
      <c r="BU953" s="991">
        <f>IF(AND(Input_Product=Elig!$C953,Elig_MatchAll_Ct&lt;22,$BC953=(Elig_MatchAll_Ct-1),AS953=0),P953,0)</f>
        <v>0</v>
      </c>
      <c r="BV953" s="992">
        <f>IF(AND(Input_Product=Elig!$C953,Elig_MatchAll_Ct&lt;22,$BC953=(Elig_MatchAll_Ct-1),AT953=0),Q953,0)</f>
        <v>0</v>
      </c>
      <c r="BW953" s="993">
        <f>IF(AND(Input_Product=Elig!$C953,Elig_MatchAll_Ct&lt;22,$BC953=(Elig_MatchAll_Ct-1),AU953=0),R953,0)</f>
        <v>0</v>
      </c>
      <c r="BX953" s="994">
        <f>IF(AND(Input_Product=Elig!$C953,Elig_MatchAll_Ct&lt;22,$BC953=(Elig_MatchAll_Ct-1),AU953=0),S953,0)</f>
        <v>0</v>
      </c>
      <c r="BY953" s="993">
        <f>IF(AND(Input_Product=Elig!$C953,Elig_MatchAll_Ct&lt;22,$BC953=(Elig_MatchAll_Ct-1),AV953=0),T953,0)</f>
        <v>0</v>
      </c>
      <c r="BZ953" s="994">
        <f>IF(AND(Input_Product=Elig!$C953,Elig_MatchAll_Ct&lt;22,$BC953=(Elig_MatchAll_Ct-1),AV953=0),U953,0)</f>
        <v>0</v>
      </c>
      <c r="CA953" s="993">
        <f>IF(AND(Input_Product=Elig!$C953,Elig_MatchAll_Ct&lt;22,$BC953=(Elig_MatchAll_Ct-1),AW953=0),V953,0)</f>
        <v>0</v>
      </c>
      <c r="CB953" s="994">
        <f>IF(AND(Input_Product=Elig!$C953,Elig_MatchAll_Ct&lt;22,$BC953=(Elig_MatchAll_Ct-1),AW953=0),W953,0)</f>
        <v>0</v>
      </c>
      <c r="CC953" s="993">
        <f>IF(AND(Input_Product=Elig!$C953,Elig_MatchAll_Ct&lt;22,$BC953=(Elig_MatchAll_Ct-1),AX953=0),X953,0)</f>
        <v>0</v>
      </c>
      <c r="CD953" s="994">
        <f>IF(AND(Input_Product=Elig!$C953,Elig_MatchAll_Ct&lt;22,$BC953=(Elig_MatchAll_Ct-1),AX953=0),Y953,0)</f>
        <v>0</v>
      </c>
      <c r="CE953" s="993">
        <f>IF(AND(Input_LTV&lt;=AE953,Input_Product=Elig!$C953,Elig_MatchAll_Ct&lt;22,$BC953=(Elig_MatchAll_Ct-1),AY953=0),Z953,0)</f>
        <v>0</v>
      </c>
      <c r="CF953" s="994">
        <f>IF(AND(Input_LTV&lt;=AE953,Input_Product=Elig!$C953,Elig_MatchAll_Ct&lt;22,$BC953=(Elig_MatchAll_Ct-1),AY953=0),AA953,0)</f>
        <v>0</v>
      </c>
      <c r="CG953" s="993">
        <f>IF(AND(Input_Product=Elig!$C953,Elig_MatchAll_Ct&lt;22,$BC953=(Elig_MatchAll_Ct-1),AZ953=0),AB953,0)</f>
        <v>0</v>
      </c>
      <c r="CH953" s="994">
        <f>IF(AND(Input_Product=Elig!$C953,Elig_MatchAll_Ct&lt;22,$BC953=(Elig_MatchAll_Ct-1),AZ953=0),AC953,0)</f>
        <v>0</v>
      </c>
      <c r="CI953" s="993">
        <f>IF(AND(Input_Product=Elig!$C953,Elig_MatchAll_Ct&lt;22,$BC953=(Elig_MatchAll_Ct-1),BA953=0),AD953,0)</f>
        <v>0</v>
      </c>
      <c r="CJ953" s="994">
        <f>IF(AND(Input_Product=Elig!$C953,Elig_MatchAll_Ct&lt;22,$BC953=(Elig_MatchAll_Ct-1),BA953=0),AE953,0)</f>
        <v>0</v>
      </c>
    </row>
    <row r="954" spans="2:88" ht="10.15" customHeight="1" x14ac:dyDescent="0.25">
      <c r="B954" s="1916" t="s">
        <v>2290</v>
      </c>
      <c r="C954" s="1203" t="str">
        <f t="shared" si="389"/>
        <v xml:space="preserve">  </v>
      </c>
      <c r="D954" s="1204" t="s">
        <v>2218</v>
      </c>
      <c r="E954" s="1204" t="s">
        <v>167</v>
      </c>
      <c r="F954" s="1204" t="s">
        <v>331</v>
      </c>
      <c r="G954" s="1205" t="s">
        <v>179</v>
      </c>
      <c r="H954" s="1205" t="s">
        <v>136</v>
      </c>
      <c r="I954" s="1204" t="s">
        <v>274</v>
      </c>
      <c r="J954" s="1204" t="s">
        <v>1311</v>
      </c>
      <c r="K954" s="1205" t="s">
        <v>3022</v>
      </c>
      <c r="L954" s="1204" t="s">
        <v>2768</v>
      </c>
      <c r="M954" s="1204" t="s">
        <v>2677</v>
      </c>
      <c r="N954" s="1205" t="s">
        <v>82</v>
      </c>
      <c r="O954" s="1204" t="s">
        <v>310</v>
      </c>
      <c r="P954" s="1204" t="s">
        <v>291</v>
      </c>
      <c r="Q954" s="1204" t="s">
        <v>294</v>
      </c>
      <c r="R954" s="1204">
        <v>125000</v>
      </c>
      <c r="S954" s="1204">
        <v>1000000</v>
      </c>
      <c r="T954" s="1204">
        <v>0</v>
      </c>
      <c r="U954" s="1204">
        <v>0</v>
      </c>
      <c r="V954" s="1204">
        <v>0</v>
      </c>
      <c r="W954" s="1204">
        <v>50</v>
      </c>
      <c r="X954" s="1204">
        <v>0</v>
      </c>
      <c r="Y954" s="1204">
        <v>999</v>
      </c>
      <c r="Z954" s="1206">
        <v>720</v>
      </c>
      <c r="AA954" s="1206">
        <v>999</v>
      </c>
      <c r="AB954" s="1206">
        <v>3</v>
      </c>
      <c r="AC954" s="1206">
        <v>999999</v>
      </c>
      <c r="AD954" s="1204">
        <v>0</v>
      </c>
      <c r="AE954" s="1207">
        <v>85</v>
      </c>
      <c r="AF954" s="170">
        <v>0</v>
      </c>
      <c r="AG954" s="171">
        <v>1</v>
      </c>
      <c r="AH954" s="171">
        <v>1</v>
      </c>
      <c r="AI954" s="171">
        <v>1</v>
      </c>
      <c r="AJ954" s="171">
        <v>0</v>
      </c>
      <c r="AK954" s="171">
        <v>1</v>
      </c>
      <c r="AL954" s="171">
        <v>0</v>
      </c>
      <c r="AM954" s="171">
        <v>1</v>
      </c>
      <c r="AN954" s="171">
        <v>1</v>
      </c>
      <c r="AO954" s="171">
        <v>1</v>
      </c>
      <c r="AP954" s="171">
        <v>1</v>
      </c>
      <c r="AQ954" s="171">
        <v>1</v>
      </c>
      <c r="AR954" s="171">
        <v>1</v>
      </c>
      <c r="AS954" s="171">
        <v>1</v>
      </c>
      <c r="AT954" s="171">
        <v>1</v>
      </c>
      <c r="AU954" s="171">
        <f t="shared" si="379"/>
        <v>1</v>
      </c>
      <c r="AV954" s="171">
        <f t="shared" si="380"/>
        <v>0</v>
      </c>
      <c r="AW954" s="171">
        <f t="shared" si="381"/>
        <v>1</v>
      </c>
      <c r="AX954" s="171">
        <f t="shared" si="388"/>
        <v>1</v>
      </c>
      <c r="AY954" s="171">
        <f t="shared" si="382"/>
        <v>1</v>
      </c>
      <c r="AZ954" s="171">
        <f t="shared" si="383"/>
        <v>1</v>
      </c>
      <c r="BA954" s="172">
        <f t="shared" si="384"/>
        <v>1</v>
      </c>
      <c r="BB954" s="175">
        <f t="shared" si="385"/>
        <v>18</v>
      </c>
      <c r="BC954" s="176">
        <f t="shared" si="386"/>
        <v>17</v>
      </c>
      <c r="BD954" s="176">
        <f t="shared" si="387"/>
        <v>18</v>
      </c>
      <c r="BE954" s="240" t="str">
        <f t="shared" si="378"/>
        <v/>
      </c>
      <c r="BF954" s="990"/>
      <c r="BG954" s="990"/>
      <c r="BH954" s="991">
        <f>IF(AND(Input_Product=Elig!$C954,Elig_MatchAll_Ct&lt;22,$BC954=(Elig_MatchAll_Ct-1),AF954=0),C954,0)</f>
        <v>0</v>
      </c>
      <c r="BI954" s="991">
        <f>IF(AND(Input_Product=Elig!$C954,Elig_MatchAll_Ct&lt;22,$BC954=(Elig_MatchAll_Ct-1),AG954=0),D954,0)</f>
        <v>0</v>
      </c>
      <c r="BJ954" s="991">
        <f>IF(AND(Input_Product=Elig!$C954,Elig_MatchAll_Ct&lt;22,$BC954=(Elig_MatchAll_Ct-1),AH954=0),E954,0)</f>
        <v>0</v>
      </c>
      <c r="BK954" s="991">
        <f>IF(AND(Input_Product=Elig!$C954,Elig_MatchAll_Ct&lt;22,$BC954=(Elig_MatchAll_Ct-1),AI954=0),F954,0)</f>
        <v>0</v>
      </c>
      <c r="BL954" s="991">
        <f>IF(AND(Input_Product=Elig!$C954,Elig_MatchAll_Ct&lt;22,$BC954=(Elig_MatchAll_Ct-1),AJ954=0),G954,0)</f>
        <v>0</v>
      </c>
      <c r="BM954" s="991">
        <f>IF(AND(Input_Product=Elig!$C954,Elig_MatchAll_Ct&lt;22,$BC954=(Elig_MatchAll_Ct-1),AK954=0),H954,0)</f>
        <v>0</v>
      </c>
      <c r="BN954" s="991">
        <f>IF(AND(Input_Product=Elig!$C954,Elig_MatchAll_Ct&lt;22,$BC954=(Elig_MatchAll_Ct-1),AL954=0),I954,0)</f>
        <v>0</v>
      </c>
      <c r="BO954" s="991">
        <f>IF(AND(Input_Product=Elig!$C954,Elig_MatchAll_Ct&lt;22,$BC954=(Elig_MatchAll_Ct-1),AM954=0),J954,0)</f>
        <v>0</v>
      </c>
      <c r="BP954" s="991">
        <f>IF(AND(Input_Product=Elig!$C954,Elig_MatchAll_Ct&lt;22,$BC954=(Elig_MatchAll_Ct-1),AN954=0),K954,0)</f>
        <v>0</v>
      </c>
      <c r="BQ954" s="991">
        <f>IF(AND(Input_Product=Elig!$C954,Elig_MatchAll_Ct&lt;22,$BC954=(Elig_MatchAll_Ct-1),AP954=0),L954,0)</f>
        <v>0</v>
      </c>
      <c r="BR954" s="991">
        <f>IF(AND(Input_Product=Elig!$C954,Elig_MatchAll_Ct&lt;22,$BC954=(Elig_MatchAll_Ct-1),AO954=0),M954,0)</f>
        <v>0</v>
      </c>
      <c r="BS954" s="991">
        <f>IF(AND(Input_Product=Elig!$C954,Elig_MatchAll_Ct&lt;22,$BC954=(Elig_MatchAll_Ct-1),AQ954=0),N954,0)</f>
        <v>0</v>
      </c>
      <c r="BT954" s="991">
        <f>IF(AND(Input_Product=Elig!$C954,Elig_MatchAll_Ct&lt;22,$BC954=(Elig_MatchAll_Ct-1),AR954=0),O954,0)</f>
        <v>0</v>
      </c>
      <c r="BU954" s="991">
        <f>IF(AND(Input_Product=Elig!$C954,Elig_MatchAll_Ct&lt;22,$BC954=(Elig_MatchAll_Ct-1),AS954=0),P954,0)</f>
        <v>0</v>
      </c>
      <c r="BV954" s="992">
        <f>IF(AND(Input_Product=Elig!$C954,Elig_MatchAll_Ct&lt;22,$BC954=(Elig_MatchAll_Ct-1),AT954=0),Q954,0)</f>
        <v>0</v>
      </c>
      <c r="BW954" s="993">
        <f>IF(AND(Input_Product=Elig!$C954,Elig_MatchAll_Ct&lt;22,$BC954=(Elig_MatchAll_Ct-1),AU954=0),R954,0)</f>
        <v>0</v>
      </c>
      <c r="BX954" s="994">
        <f>IF(AND(Input_Product=Elig!$C954,Elig_MatchAll_Ct&lt;22,$BC954=(Elig_MatchAll_Ct-1),AU954=0),S954,0)</f>
        <v>0</v>
      </c>
      <c r="BY954" s="993">
        <f>IF(AND(Input_Product=Elig!$C954,Elig_MatchAll_Ct&lt;22,$BC954=(Elig_MatchAll_Ct-1),AV954=0),T954,0)</f>
        <v>0</v>
      </c>
      <c r="BZ954" s="994">
        <f>IF(AND(Input_Product=Elig!$C954,Elig_MatchAll_Ct&lt;22,$BC954=(Elig_MatchAll_Ct-1),AV954=0),U954,0)</f>
        <v>0</v>
      </c>
      <c r="CA954" s="993">
        <f>IF(AND(Input_Product=Elig!$C954,Elig_MatchAll_Ct&lt;22,$BC954=(Elig_MatchAll_Ct-1),AW954=0),V954,0)</f>
        <v>0</v>
      </c>
      <c r="CB954" s="994">
        <f>IF(AND(Input_Product=Elig!$C954,Elig_MatchAll_Ct&lt;22,$BC954=(Elig_MatchAll_Ct-1),AW954=0),W954,0)</f>
        <v>0</v>
      </c>
      <c r="CC954" s="993">
        <f>IF(AND(Input_Product=Elig!$C954,Elig_MatchAll_Ct&lt;22,$BC954=(Elig_MatchAll_Ct-1),AX954=0),X954,0)</f>
        <v>0</v>
      </c>
      <c r="CD954" s="994">
        <f>IF(AND(Input_Product=Elig!$C954,Elig_MatchAll_Ct&lt;22,$BC954=(Elig_MatchAll_Ct-1),AX954=0),Y954,0)</f>
        <v>0</v>
      </c>
      <c r="CE954" s="993">
        <f>IF(AND(Input_LTV&lt;=AE954,Input_Product=Elig!$C954,Elig_MatchAll_Ct&lt;22,$BC954=(Elig_MatchAll_Ct-1),AY954=0),Z954,0)</f>
        <v>0</v>
      </c>
      <c r="CF954" s="994">
        <f>IF(AND(Input_LTV&lt;=AE954,Input_Product=Elig!$C954,Elig_MatchAll_Ct&lt;22,$BC954=(Elig_MatchAll_Ct-1),AY954=0),AA954,0)</f>
        <v>0</v>
      </c>
      <c r="CG954" s="993">
        <f>IF(AND(Input_Product=Elig!$C954,Elig_MatchAll_Ct&lt;22,$BC954=(Elig_MatchAll_Ct-1),AZ954=0),AB954,0)</f>
        <v>0</v>
      </c>
      <c r="CH954" s="994">
        <f>IF(AND(Input_Product=Elig!$C954,Elig_MatchAll_Ct&lt;22,$BC954=(Elig_MatchAll_Ct-1),AZ954=0),AC954,0)</f>
        <v>0</v>
      </c>
      <c r="CI954" s="993">
        <f>IF(AND(Input_Product=Elig!$C954,Elig_MatchAll_Ct&lt;22,$BC954=(Elig_MatchAll_Ct-1),BA954=0),AD954,0)</f>
        <v>0</v>
      </c>
      <c r="CJ954" s="994">
        <f>IF(AND(Input_Product=Elig!$C954,Elig_MatchAll_Ct&lt;22,$BC954=(Elig_MatchAll_Ct-1),BA954=0),AE954,0)</f>
        <v>0</v>
      </c>
    </row>
    <row r="955" spans="2:88" ht="10.15" customHeight="1" x14ac:dyDescent="0.25">
      <c r="B955" s="1916" t="s">
        <v>2291</v>
      </c>
      <c r="C955" s="1208" t="str">
        <f t="shared" si="389"/>
        <v xml:space="preserve">  </v>
      </c>
      <c r="D955" s="1209" t="s">
        <v>2218</v>
      </c>
      <c r="E955" s="1209" t="s">
        <v>167</v>
      </c>
      <c r="F955" s="1209" t="s">
        <v>331</v>
      </c>
      <c r="G955" s="1210" t="s">
        <v>179</v>
      </c>
      <c r="H955" s="1210" t="s">
        <v>136</v>
      </c>
      <c r="I955" s="1209" t="s">
        <v>274</v>
      </c>
      <c r="J955" s="1209" t="s">
        <v>1311</v>
      </c>
      <c r="K955" s="1210" t="s">
        <v>3022</v>
      </c>
      <c r="L955" s="1209" t="s">
        <v>2768</v>
      </c>
      <c r="M955" s="1209" t="s">
        <v>2677</v>
      </c>
      <c r="N955" s="1210" t="s">
        <v>82</v>
      </c>
      <c r="O955" s="1209" t="s">
        <v>310</v>
      </c>
      <c r="P955" s="1209" t="s">
        <v>291</v>
      </c>
      <c r="Q955" s="1209" t="s">
        <v>294</v>
      </c>
      <c r="R955" s="1209">
        <v>125000</v>
      </c>
      <c r="S955" s="1209">
        <v>1000000</v>
      </c>
      <c r="T955" s="1209">
        <v>0</v>
      </c>
      <c r="U955" s="1209">
        <v>0</v>
      </c>
      <c r="V955" s="1209">
        <v>0</v>
      </c>
      <c r="W955" s="1209">
        <v>50</v>
      </c>
      <c r="X955" s="1209">
        <v>0</v>
      </c>
      <c r="Y955" s="1209">
        <v>999</v>
      </c>
      <c r="Z955" s="1211">
        <v>700</v>
      </c>
      <c r="AA955" s="1211">
        <v>719</v>
      </c>
      <c r="AB955" s="1211">
        <v>3</v>
      </c>
      <c r="AC955" s="1211">
        <v>999999</v>
      </c>
      <c r="AD955" s="1209">
        <v>0</v>
      </c>
      <c r="AE955" s="1212">
        <v>75</v>
      </c>
      <c r="AF955" s="170">
        <v>0</v>
      </c>
      <c r="AG955" s="171">
        <v>1</v>
      </c>
      <c r="AH955" s="171">
        <v>1</v>
      </c>
      <c r="AI955" s="171">
        <v>1</v>
      </c>
      <c r="AJ955" s="171">
        <v>0</v>
      </c>
      <c r="AK955" s="171">
        <v>1</v>
      </c>
      <c r="AL955" s="171">
        <v>0</v>
      </c>
      <c r="AM955" s="171">
        <v>1</v>
      </c>
      <c r="AN955" s="171">
        <v>1</v>
      </c>
      <c r="AO955" s="171">
        <v>1</v>
      </c>
      <c r="AP955" s="171">
        <v>1</v>
      </c>
      <c r="AQ955" s="171">
        <v>1</v>
      </c>
      <c r="AR955" s="171">
        <v>1</v>
      </c>
      <c r="AS955" s="171">
        <v>1</v>
      </c>
      <c r="AT955" s="171">
        <v>1</v>
      </c>
      <c r="AU955" s="171">
        <f t="shared" si="379"/>
        <v>1</v>
      </c>
      <c r="AV955" s="171">
        <f t="shared" si="380"/>
        <v>0</v>
      </c>
      <c r="AW955" s="171">
        <f t="shared" si="381"/>
        <v>1</v>
      </c>
      <c r="AX955" s="171">
        <f t="shared" si="388"/>
        <v>1</v>
      </c>
      <c r="AY955" s="171">
        <f t="shared" si="382"/>
        <v>0</v>
      </c>
      <c r="AZ955" s="171">
        <f t="shared" si="383"/>
        <v>1</v>
      </c>
      <c r="BA955" s="172">
        <f t="shared" si="384"/>
        <v>1</v>
      </c>
      <c r="BB955" s="175">
        <f t="shared" si="385"/>
        <v>17</v>
      </c>
      <c r="BC955" s="176">
        <f t="shared" si="386"/>
        <v>16</v>
      </c>
      <c r="BD955" s="176">
        <f t="shared" si="387"/>
        <v>17</v>
      </c>
      <c r="BE955" s="240" t="str">
        <f t="shared" si="378"/>
        <v/>
      </c>
      <c r="BF955" s="990"/>
      <c r="BG955" s="990"/>
      <c r="BH955" s="991">
        <f>IF(AND(Input_Product=Elig!$C955,Elig_MatchAll_Ct&lt;22,$BC955=(Elig_MatchAll_Ct-1),AF955=0),C955,0)</f>
        <v>0</v>
      </c>
      <c r="BI955" s="991">
        <f>IF(AND(Input_Product=Elig!$C955,Elig_MatchAll_Ct&lt;22,$BC955=(Elig_MatchAll_Ct-1),AG955=0),D955,0)</f>
        <v>0</v>
      </c>
      <c r="BJ955" s="991">
        <f>IF(AND(Input_Product=Elig!$C955,Elig_MatchAll_Ct&lt;22,$BC955=(Elig_MatchAll_Ct-1),AH955=0),E955,0)</f>
        <v>0</v>
      </c>
      <c r="BK955" s="991">
        <f>IF(AND(Input_Product=Elig!$C955,Elig_MatchAll_Ct&lt;22,$BC955=(Elig_MatchAll_Ct-1),AI955=0),F955,0)</f>
        <v>0</v>
      </c>
      <c r="BL955" s="991">
        <f>IF(AND(Input_Product=Elig!$C955,Elig_MatchAll_Ct&lt;22,$BC955=(Elig_MatchAll_Ct-1),AJ955=0),G955,0)</f>
        <v>0</v>
      </c>
      <c r="BM955" s="991">
        <f>IF(AND(Input_Product=Elig!$C955,Elig_MatchAll_Ct&lt;22,$BC955=(Elig_MatchAll_Ct-1),AK955=0),H955,0)</f>
        <v>0</v>
      </c>
      <c r="BN955" s="991">
        <f>IF(AND(Input_Product=Elig!$C955,Elig_MatchAll_Ct&lt;22,$BC955=(Elig_MatchAll_Ct-1),AL955=0),I955,0)</f>
        <v>0</v>
      </c>
      <c r="BO955" s="991">
        <f>IF(AND(Input_Product=Elig!$C955,Elig_MatchAll_Ct&lt;22,$BC955=(Elig_MatchAll_Ct-1),AM955=0),J955,0)</f>
        <v>0</v>
      </c>
      <c r="BP955" s="991">
        <f>IF(AND(Input_Product=Elig!$C955,Elig_MatchAll_Ct&lt;22,$BC955=(Elig_MatchAll_Ct-1),AN955=0),K955,0)</f>
        <v>0</v>
      </c>
      <c r="BQ955" s="991">
        <f>IF(AND(Input_Product=Elig!$C955,Elig_MatchAll_Ct&lt;22,$BC955=(Elig_MatchAll_Ct-1),AP955=0),L955,0)</f>
        <v>0</v>
      </c>
      <c r="BR955" s="991">
        <f>IF(AND(Input_Product=Elig!$C955,Elig_MatchAll_Ct&lt;22,$BC955=(Elig_MatchAll_Ct-1),AO955=0),M955,0)</f>
        <v>0</v>
      </c>
      <c r="BS955" s="991">
        <f>IF(AND(Input_Product=Elig!$C955,Elig_MatchAll_Ct&lt;22,$BC955=(Elig_MatchAll_Ct-1),AQ955=0),N955,0)</f>
        <v>0</v>
      </c>
      <c r="BT955" s="991">
        <f>IF(AND(Input_Product=Elig!$C955,Elig_MatchAll_Ct&lt;22,$BC955=(Elig_MatchAll_Ct-1),AR955=0),O955,0)</f>
        <v>0</v>
      </c>
      <c r="BU955" s="991">
        <f>IF(AND(Input_Product=Elig!$C955,Elig_MatchAll_Ct&lt;22,$BC955=(Elig_MatchAll_Ct-1),AS955=0),P955,0)</f>
        <v>0</v>
      </c>
      <c r="BV955" s="992">
        <f>IF(AND(Input_Product=Elig!$C955,Elig_MatchAll_Ct&lt;22,$BC955=(Elig_MatchAll_Ct-1),AT955=0),Q955,0)</f>
        <v>0</v>
      </c>
      <c r="BW955" s="993">
        <f>IF(AND(Input_Product=Elig!$C955,Elig_MatchAll_Ct&lt;22,$BC955=(Elig_MatchAll_Ct-1),AU955=0),R955,0)</f>
        <v>0</v>
      </c>
      <c r="BX955" s="994">
        <f>IF(AND(Input_Product=Elig!$C955,Elig_MatchAll_Ct&lt;22,$BC955=(Elig_MatchAll_Ct-1),AU955=0),S955,0)</f>
        <v>0</v>
      </c>
      <c r="BY955" s="993">
        <f>IF(AND(Input_Product=Elig!$C955,Elig_MatchAll_Ct&lt;22,$BC955=(Elig_MatchAll_Ct-1),AV955=0),T955,0)</f>
        <v>0</v>
      </c>
      <c r="BZ955" s="994">
        <f>IF(AND(Input_Product=Elig!$C955,Elig_MatchAll_Ct&lt;22,$BC955=(Elig_MatchAll_Ct-1),AV955=0),U955,0)</f>
        <v>0</v>
      </c>
      <c r="CA955" s="993">
        <f>IF(AND(Input_Product=Elig!$C955,Elig_MatchAll_Ct&lt;22,$BC955=(Elig_MatchAll_Ct-1),AW955=0),V955,0)</f>
        <v>0</v>
      </c>
      <c r="CB955" s="994">
        <f>IF(AND(Input_Product=Elig!$C955,Elig_MatchAll_Ct&lt;22,$BC955=(Elig_MatchAll_Ct-1),AW955=0),W955,0)</f>
        <v>0</v>
      </c>
      <c r="CC955" s="993">
        <f>IF(AND(Input_Product=Elig!$C955,Elig_MatchAll_Ct&lt;22,$BC955=(Elig_MatchAll_Ct-1),AX955=0),X955,0)</f>
        <v>0</v>
      </c>
      <c r="CD955" s="994">
        <f>IF(AND(Input_Product=Elig!$C955,Elig_MatchAll_Ct&lt;22,$BC955=(Elig_MatchAll_Ct-1),AX955=0),Y955,0)</f>
        <v>0</v>
      </c>
      <c r="CE955" s="993">
        <f>IF(AND(Input_LTV&lt;=AE955,Input_Product=Elig!$C955,Elig_MatchAll_Ct&lt;22,$BC955=(Elig_MatchAll_Ct-1),AY955=0),Z955,0)</f>
        <v>0</v>
      </c>
      <c r="CF955" s="994">
        <f>IF(AND(Input_LTV&lt;=AE955,Input_Product=Elig!$C955,Elig_MatchAll_Ct&lt;22,$BC955=(Elig_MatchAll_Ct-1),AY955=0),AA955,0)</f>
        <v>0</v>
      </c>
      <c r="CG955" s="993">
        <f>IF(AND(Input_Product=Elig!$C955,Elig_MatchAll_Ct&lt;22,$BC955=(Elig_MatchAll_Ct-1),AZ955=0),AB955,0)</f>
        <v>0</v>
      </c>
      <c r="CH955" s="994">
        <f>IF(AND(Input_Product=Elig!$C955,Elig_MatchAll_Ct&lt;22,$BC955=(Elig_MatchAll_Ct-1),AZ955=0),AC955,0)</f>
        <v>0</v>
      </c>
      <c r="CI955" s="993">
        <f>IF(AND(Input_Product=Elig!$C955,Elig_MatchAll_Ct&lt;22,$BC955=(Elig_MatchAll_Ct-1),BA955=0),AD955,0)</f>
        <v>0</v>
      </c>
      <c r="CJ955" s="994">
        <f>IF(AND(Input_Product=Elig!$C955,Elig_MatchAll_Ct&lt;22,$BC955=(Elig_MatchAll_Ct-1),BA955=0),AE955,0)</f>
        <v>0</v>
      </c>
    </row>
    <row r="956" spans="2:88" ht="10.15" customHeight="1" x14ac:dyDescent="0.25">
      <c r="B956" s="1916" t="s">
        <v>2292</v>
      </c>
      <c r="C956" s="1208" t="str">
        <f t="shared" si="389"/>
        <v xml:space="preserve">  </v>
      </c>
      <c r="D956" s="1209" t="s">
        <v>2218</v>
      </c>
      <c r="E956" s="1209" t="s">
        <v>167</v>
      </c>
      <c r="F956" s="1209" t="s">
        <v>331</v>
      </c>
      <c r="G956" s="1210" t="s">
        <v>179</v>
      </c>
      <c r="H956" s="1210" t="s">
        <v>136</v>
      </c>
      <c r="I956" s="1209" t="s">
        <v>274</v>
      </c>
      <c r="J956" s="1209" t="s">
        <v>1311</v>
      </c>
      <c r="K956" s="1210" t="s">
        <v>3022</v>
      </c>
      <c r="L956" s="1209" t="s">
        <v>2768</v>
      </c>
      <c r="M956" s="1209" t="s">
        <v>2677</v>
      </c>
      <c r="N956" s="1210" t="s">
        <v>82</v>
      </c>
      <c r="O956" s="1209" t="s">
        <v>310</v>
      </c>
      <c r="P956" s="1209" t="s">
        <v>291</v>
      </c>
      <c r="Q956" s="1209" t="s">
        <v>294</v>
      </c>
      <c r="R956" s="1209">
        <v>125000</v>
      </c>
      <c r="S956" s="1209">
        <v>1000000</v>
      </c>
      <c r="T956" s="1209">
        <v>0</v>
      </c>
      <c r="U956" s="1209">
        <v>0</v>
      </c>
      <c r="V956" s="1209">
        <v>0</v>
      </c>
      <c r="W956" s="1209">
        <v>50</v>
      </c>
      <c r="X956" s="1209">
        <v>0</v>
      </c>
      <c r="Y956" s="1209">
        <v>999</v>
      </c>
      <c r="Z956" s="1211">
        <v>680</v>
      </c>
      <c r="AA956" s="1211">
        <v>699</v>
      </c>
      <c r="AB956" s="1211">
        <v>3</v>
      </c>
      <c r="AC956" s="1211">
        <v>999999</v>
      </c>
      <c r="AD956" s="1209">
        <v>0</v>
      </c>
      <c r="AE956" s="1212">
        <v>75</v>
      </c>
      <c r="AF956" s="170">
        <v>0</v>
      </c>
      <c r="AG956" s="171">
        <v>1</v>
      </c>
      <c r="AH956" s="171">
        <v>1</v>
      </c>
      <c r="AI956" s="171">
        <v>1</v>
      </c>
      <c r="AJ956" s="171">
        <v>0</v>
      </c>
      <c r="AK956" s="171">
        <v>1</v>
      </c>
      <c r="AL956" s="171">
        <v>0</v>
      </c>
      <c r="AM956" s="171">
        <v>1</v>
      </c>
      <c r="AN956" s="171">
        <v>1</v>
      </c>
      <c r="AO956" s="171">
        <v>1</v>
      </c>
      <c r="AP956" s="171">
        <v>1</v>
      </c>
      <c r="AQ956" s="171">
        <v>1</v>
      </c>
      <c r="AR956" s="171">
        <v>1</v>
      </c>
      <c r="AS956" s="171">
        <v>1</v>
      </c>
      <c r="AT956" s="171">
        <v>1</v>
      </c>
      <c r="AU956" s="171">
        <f t="shared" si="379"/>
        <v>1</v>
      </c>
      <c r="AV956" s="171">
        <f t="shared" si="380"/>
        <v>0</v>
      </c>
      <c r="AW956" s="171">
        <f t="shared" si="381"/>
        <v>1</v>
      </c>
      <c r="AX956" s="171">
        <f t="shared" si="388"/>
        <v>1</v>
      </c>
      <c r="AY956" s="171">
        <f t="shared" si="382"/>
        <v>0</v>
      </c>
      <c r="AZ956" s="171">
        <f t="shared" si="383"/>
        <v>1</v>
      </c>
      <c r="BA956" s="172">
        <f t="shared" si="384"/>
        <v>1</v>
      </c>
      <c r="BB956" s="175">
        <f t="shared" si="385"/>
        <v>17</v>
      </c>
      <c r="BC956" s="176">
        <f t="shared" si="386"/>
        <v>16</v>
      </c>
      <c r="BD956" s="176">
        <f t="shared" si="387"/>
        <v>17</v>
      </c>
      <c r="BE956" s="240" t="str">
        <f t="shared" si="378"/>
        <v/>
      </c>
      <c r="BF956" s="990"/>
      <c r="BG956" s="990"/>
      <c r="BH956" s="991">
        <f>IF(AND(Input_Product=Elig!$C956,Elig_MatchAll_Ct&lt;22,$BC956=(Elig_MatchAll_Ct-1),AF956=0),C956,0)</f>
        <v>0</v>
      </c>
      <c r="BI956" s="991">
        <f>IF(AND(Input_Product=Elig!$C956,Elig_MatchAll_Ct&lt;22,$BC956=(Elig_MatchAll_Ct-1),AG956=0),D956,0)</f>
        <v>0</v>
      </c>
      <c r="BJ956" s="991">
        <f>IF(AND(Input_Product=Elig!$C956,Elig_MatchAll_Ct&lt;22,$BC956=(Elig_MatchAll_Ct-1),AH956=0),E956,0)</f>
        <v>0</v>
      </c>
      <c r="BK956" s="991">
        <f>IF(AND(Input_Product=Elig!$C956,Elig_MatchAll_Ct&lt;22,$BC956=(Elig_MatchAll_Ct-1),AI956=0),F956,0)</f>
        <v>0</v>
      </c>
      <c r="BL956" s="991">
        <f>IF(AND(Input_Product=Elig!$C956,Elig_MatchAll_Ct&lt;22,$BC956=(Elig_MatchAll_Ct-1),AJ956=0),G956,0)</f>
        <v>0</v>
      </c>
      <c r="BM956" s="991">
        <f>IF(AND(Input_Product=Elig!$C956,Elig_MatchAll_Ct&lt;22,$BC956=(Elig_MatchAll_Ct-1),AK956=0),H956,0)</f>
        <v>0</v>
      </c>
      <c r="BN956" s="991">
        <f>IF(AND(Input_Product=Elig!$C956,Elig_MatchAll_Ct&lt;22,$BC956=(Elig_MatchAll_Ct-1),AL956=0),I956,0)</f>
        <v>0</v>
      </c>
      <c r="BO956" s="991">
        <f>IF(AND(Input_Product=Elig!$C956,Elig_MatchAll_Ct&lt;22,$BC956=(Elig_MatchAll_Ct-1),AM956=0),J956,0)</f>
        <v>0</v>
      </c>
      <c r="BP956" s="991">
        <f>IF(AND(Input_Product=Elig!$C956,Elig_MatchAll_Ct&lt;22,$BC956=(Elig_MatchAll_Ct-1),AN956=0),K956,0)</f>
        <v>0</v>
      </c>
      <c r="BQ956" s="991">
        <f>IF(AND(Input_Product=Elig!$C956,Elig_MatchAll_Ct&lt;22,$BC956=(Elig_MatchAll_Ct-1),AP956=0),L956,0)</f>
        <v>0</v>
      </c>
      <c r="BR956" s="991">
        <f>IF(AND(Input_Product=Elig!$C956,Elig_MatchAll_Ct&lt;22,$BC956=(Elig_MatchAll_Ct-1),AO956=0),M956,0)</f>
        <v>0</v>
      </c>
      <c r="BS956" s="991">
        <f>IF(AND(Input_Product=Elig!$C956,Elig_MatchAll_Ct&lt;22,$BC956=(Elig_MatchAll_Ct-1),AQ956=0),N956,0)</f>
        <v>0</v>
      </c>
      <c r="BT956" s="991">
        <f>IF(AND(Input_Product=Elig!$C956,Elig_MatchAll_Ct&lt;22,$BC956=(Elig_MatchAll_Ct-1),AR956=0),O956,0)</f>
        <v>0</v>
      </c>
      <c r="BU956" s="991">
        <f>IF(AND(Input_Product=Elig!$C956,Elig_MatchAll_Ct&lt;22,$BC956=(Elig_MatchAll_Ct-1),AS956=0),P956,0)</f>
        <v>0</v>
      </c>
      <c r="BV956" s="992">
        <f>IF(AND(Input_Product=Elig!$C956,Elig_MatchAll_Ct&lt;22,$BC956=(Elig_MatchAll_Ct-1),AT956=0),Q956,0)</f>
        <v>0</v>
      </c>
      <c r="BW956" s="993">
        <f>IF(AND(Input_Product=Elig!$C956,Elig_MatchAll_Ct&lt;22,$BC956=(Elig_MatchAll_Ct-1),AU956=0),R956,0)</f>
        <v>0</v>
      </c>
      <c r="BX956" s="994">
        <f>IF(AND(Input_Product=Elig!$C956,Elig_MatchAll_Ct&lt;22,$BC956=(Elig_MatchAll_Ct-1),AU956=0),S956,0)</f>
        <v>0</v>
      </c>
      <c r="BY956" s="993">
        <f>IF(AND(Input_Product=Elig!$C956,Elig_MatchAll_Ct&lt;22,$BC956=(Elig_MatchAll_Ct-1),AV956=0),T956,0)</f>
        <v>0</v>
      </c>
      <c r="BZ956" s="994">
        <f>IF(AND(Input_Product=Elig!$C956,Elig_MatchAll_Ct&lt;22,$BC956=(Elig_MatchAll_Ct-1),AV956=0),U956,0)</f>
        <v>0</v>
      </c>
      <c r="CA956" s="993">
        <f>IF(AND(Input_Product=Elig!$C956,Elig_MatchAll_Ct&lt;22,$BC956=(Elig_MatchAll_Ct-1),AW956=0),V956,0)</f>
        <v>0</v>
      </c>
      <c r="CB956" s="994">
        <f>IF(AND(Input_Product=Elig!$C956,Elig_MatchAll_Ct&lt;22,$BC956=(Elig_MatchAll_Ct-1),AW956=0),W956,0)</f>
        <v>0</v>
      </c>
      <c r="CC956" s="993">
        <f>IF(AND(Input_Product=Elig!$C956,Elig_MatchAll_Ct&lt;22,$BC956=(Elig_MatchAll_Ct-1),AX956=0),X956,0)</f>
        <v>0</v>
      </c>
      <c r="CD956" s="994">
        <f>IF(AND(Input_Product=Elig!$C956,Elig_MatchAll_Ct&lt;22,$BC956=(Elig_MatchAll_Ct-1),AX956=0),Y956,0)</f>
        <v>0</v>
      </c>
      <c r="CE956" s="993">
        <f>IF(AND(Input_LTV&lt;=AE956,Input_Product=Elig!$C956,Elig_MatchAll_Ct&lt;22,$BC956=(Elig_MatchAll_Ct-1),AY956=0),Z956,0)</f>
        <v>0</v>
      </c>
      <c r="CF956" s="994">
        <f>IF(AND(Input_LTV&lt;=AE956,Input_Product=Elig!$C956,Elig_MatchAll_Ct&lt;22,$BC956=(Elig_MatchAll_Ct-1),AY956=0),AA956,0)</f>
        <v>0</v>
      </c>
      <c r="CG956" s="993">
        <f>IF(AND(Input_Product=Elig!$C956,Elig_MatchAll_Ct&lt;22,$BC956=(Elig_MatchAll_Ct-1),AZ956=0),AB956,0)</f>
        <v>0</v>
      </c>
      <c r="CH956" s="994">
        <f>IF(AND(Input_Product=Elig!$C956,Elig_MatchAll_Ct&lt;22,$BC956=(Elig_MatchAll_Ct-1),AZ956=0),AC956,0)</f>
        <v>0</v>
      </c>
      <c r="CI956" s="993">
        <f>IF(AND(Input_Product=Elig!$C956,Elig_MatchAll_Ct&lt;22,$BC956=(Elig_MatchAll_Ct-1),BA956=0),AD956,0)</f>
        <v>0</v>
      </c>
      <c r="CJ956" s="994">
        <f>IF(AND(Input_Product=Elig!$C956,Elig_MatchAll_Ct&lt;22,$BC956=(Elig_MatchAll_Ct-1),BA956=0),AE956,0)</f>
        <v>0</v>
      </c>
    </row>
    <row r="957" spans="2:88" ht="10.15" customHeight="1" x14ac:dyDescent="0.25">
      <c r="B957" s="1916" t="s">
        <v>2293</v>
      </c>
      <c r="C957" s="1213" t="str">
        <f t="shared" si="389"/>
        <v xml:space="preserve">  </v>
      </c>
      <c r="D957" s="1214" t="s">
        <v>2218</v>
      </c>
      <c r="E957" s="1214" t="s">
        <v>167</v>
      </c>
      <c r="F957" s="1214" t="s">
        <v>331</v>
      </c>
      <c r="G957" s="1215" t="s">
        <v>179</v>
      </c>
      <c r="H957" s="1215" t="s">
        <v>136</v>
      </c>
      <c r="I957" s="1214" t="s">
        <v>274</v>
      </c>
      <c r="J957" s="1214" t="s">
        <v>1311</v>
      </c>
      <c r="K957" s="1215" t="s">
        <v>3022</v>
      </c>
      <c r="L957" s="1214" t="s">
        <v>2768</v>
      </c>
      <c r="M957" s="1214" t="s">
        <v>2677</v>
      </c>
      <c r="N957" s="1215" t="s">
        <v>82</v>
      </c>
      <c r="O957" s="1214" t="s">
        <v>310</v>
      </c>
      <c r="P957" s="1214" t="s">
        <v>291</v>
      </c>
      <c r="Q957" s="1214" t="s">
        <v>294</v>
      </c>
      <c r="R957" s="1214">
        <v>125000</v>
      </c>
      <c r="S957" s="1214">
        <v>1000000</v>
      </c>
      <c r="T957" s="1214">
        <v>0</v>
      </c>
      <c r="U957" s="1214">
        <v>0</v>
      </c>
      <c r="V957" s="1214">
        <v>0</v>
      </c>
      <c r="W957" s="1214">
        <v>50</v>
      </c>
      <c r="X957" s="1214">
        <v>0</v>
      </c>
      <c r="Y957" s="1214">
        <v>999</v>
      </c>
      <c r="Z957" s="1216">
        <v>660</v>
      </c>
      <c r="AA957" s="1216">
        <v>679</v>
      </c>
      <c r="AB957" s="1216">
        <v>3</v>
      </c>
      <c r="AC957" s="1216">
        <v>999999</v>
      </c>
      <c r="AD957" s="1214">
        <v>0</v>
      </c>
      <c r="AE957" s="1217">
        <v>70</v>
      </c>
      <c r="AF957" s="170">
        <v>0</v>
      </c>
      <c r="AG957" s="171">
        <v>1</v>
      </c>
      <c r="AH957" s="171">
        <v>1</v>
      </c>
      <c r="AI957" s="171">
        <v>1</v>
      </c>
      <c r="AJ957" s="171">
        <v>0</v>
      </c>
      <c r="AK957" s="171">
        <v>1</v>
      </c>
      <c r="AL957" s="171">
        <v>0</v>
      </c>
      <c r="AM957" s="171">
        <v>1</v>
      </c>
      <c r="AN957" s="171">
        <v>1</v>
      </c>
      <c r="AO957" s="171">
        <v>1</v>
      </c>
      <c r="AP957" s="171">
        <v>1</v>
      </c>
      <c r="AQ957" s="171">
        <v>1</v>
      </c>
      <c r="AR957" s="171">
        <v>1</v>
      </c>
      <c r="AS957" s="171">
        <v>1</v>
      </c>
      <c r="AT957" s="171">
        <v>1</v>
      </c>
      <c r="AU957" s="171">
        <f t="shared" si="379"/>
        <v>1</v>
      </c>
      <c r="AV957" s="171">
        <f t="shared" si="380"/>
        <v>0</v>
      </c>
      <c r="AW957" s="171">
        <f t="shared" si="381"/>
        <v>1</v>
      </c>
      <c r="AX957" s="171">
        <f t="shared" si="388"/>
        <v>1</v>
      </c>
      <c r="AY957" s="171">
        <f t="shared" si="382"/>
        <v>0</v>
      </c>
      <c r="AZ957" s="171">
        <f t="shared" si="383"/>
        <v>1</v>
      </c>
      <c r="BA957" s="172">
        <f t="shared" si="384"/>
        <v>1</v>
      </c>
      <c r="BB957" s="175">
        <f t="shared" si="385"/>
        <v>17</v>
      </c>
      <c r="BC957" s="176">
        <f t="shared" si="386"/>
        <v>16</v>
      </c>
      <c r="BD957" s="176">
        <f t="shared" si="387"/>
        <v>17</v>
      </c>
      <c r="BE957" s="240" t="str">
        <f t="shared" si="378"/>
        <v/>
      </c>
      <c r="BF957" s="990"/>
      <c r="BG957" s="990"/>
      <c r="BH957" s="991">
        <f>IF(AND(Input_Product=Elig!$C957,Elig_MatchAll_Ct&lt;22,$BC957=(Elig_MatchAll_Ct-1),AF957=0),C957,0)</f>
        <v>0</v>
      </c>
      <c r="BI957" s="991">
        <f>IF(AND(Input_Product=Elig!$C957,Elig_MatchAll_Ct&lt;22,$BC957=(Elig_MatchAll_Ct-1),AG957=0),D957,0)</f>
        <v>0</v>
      </c>
      <c r="BJ957" s="991">
        <f>IF(AND(Input_Product=Elig!$C957,Elig_MatchAll_Ct&lt;22,$BC957=(Elig_MatchAll_Ct-1),AH957=0),E957,0)</f>
        <v>0</v>
      </c>
      <c r="BK957" s="991">
        <f>IF(AND(Input_Product=Elig!$C957,Elig_MatchAll_Ct&lt;22,$BC957=(Elig_MatchAll_Ct-1),AI957=0),F957,0)</f>
        <v>0</v>
      </c>
      <c r="BL957" s="991">
        <f>IF(AND(Input_Product=Elig!$C957,Elig_MatchAll_Ct&lt;22,$BC957=(Elig_MatchAll_Ct-1),AJ957=0),G957,0)</f>
        <v>0</v>
      </c>
      <c r="BM957" s="991">
        <f>IF(AND(Input_Product=Elig!$C957,Elig_MatchAll_Ct&lt;22,$BC957=(Elig_MatchAll_Ct-1),AK957=0),H957,0)</f>
        <v>0</v>
      </c>
      <c r="BN957" s="991">
        <f>IF(AND(Input_Product=Elig!$C957,Elig_MatchAll_Ct&lt;22,$BC957=(Elig_MatchAll_Ct-1),AL957=0),I957,0)</f>
        <v>0</v>
      </c>
      <c r="BO957" s="991">
        <f>IF(AND(Input_Product=Elig!$C957,Elig_MatchAll_Ct&lt;22,$BC957=(Elig_MatchAll_Ct-1),AM957=0),J957,0)</f>
        <v>0</v>
      </c>
      <c r="BP957" s="991">
        <f>IF(AND(Input_Product=Elig!$C957,Elig_MatchAll_Ct&lt;22,$BC957=(Elig_MatchAll_Ct-1),AN957=0),K957,0)</f>
        <v>0</v>
      </c>
      <c r="BQ957" s="991">
        <f>IF(AND(Input_Product=Elig!$C957,Elig_MatchAll_Ct&lt;22,$BC957=(Elig_MatchAll_Ct-1),AP957=0),L957,0)</f>
        <v>0</v>
      </c>
      <c r="BR957" s="991">
        <f>IF(AND(Input_Product=Elig!$C957,Elig_MatchAll_Ct&lt;22,$BC957=(Elig_MatchAll_Ct-1),AO957=0),M957,0)</f>
        <v>0</v>
      </c>
      <c r="BS957" s="991">
        <f>IF(AND(Input_Product=Elig!$C957,Elig_MatchAll_Ct&lt;22,$BC957=(Elig_MatchAll_Ct-1),AQ957=0),N957,0)</f>
        <v>0</v>
      </c>
      <c r="BT957" s="991">
        <f>IF(AND(Input_Product=Elig!$C957,Elig_MatchAll_Ct&lt;22,$BC957=(Elig_MatchAll_Ct-1),AR957=0),O957,0)</f>
        <v>0</v>
      </c>
      <c r="BU957" s="991">
        <f>IF(AND(Input_Product=Elig!$C957,Elig_MatchAll_Ct&lt;22,$BC957=(Elig_MatchAll_Ct-1),AS957=0),P957,0)</f>
        <v>0</v>
      </c>
      <c r="BV957" s="992">
        <f>IF(AND(Input_Product=Elig!$C957,Elig_MatchAll_Ct&lt;22,$BC957=(Elig_MatchAll_Ct-1),AT957=0),Q957,0)</f>
        <v>0</v>
      </c>
      <c r="BW957" s="993">
        <f>IF(AND(Input_Product=Elig!$C957,Elig_MatchAll_Ct&lt;22,$BC957=(Elig_MatchAll_Ct-1),AU957=0),R957,0)</f>
        <v>0</v>
      </c>
      <c r="BX957" s="994">
        <f>IF(AND(Input_Product=Elig!$C957,Elig_MatchAll_Ct&lt;22,$BC957=(Elig_MatchAll_Ct-1),AU957=0),S957,0)</f>
        <v>0</v>
      </c>
      <c r="BY957" s="993">
        <f>IF(AND(Input_Product=Elig!$C957,Elig_MatchAll_Ct&lt;22,$BC957=(Elig_MatchAll_Ct-1),AV957=0),T957,0)</f>
        <v>0</v>
      </c>
      <c r="BZ957" s="994">
        <f>IF(AND(Input_Product=Elig!$C957,Elig_MatchAll_Ct&lt;22,$BC957=(Elig_MatchAll_Ct-1),AV957=0),U957,0)</f>
        <v>0</v>
      </c>
      <c r="CA957" s="993">
        <f>IF(AND(Input_Product=Elig!$C957,Elig_MatchAll_Ct&lt;22,$BC957=(Elig_MatchAll_Ct-1),AW957=0),V957,0)</f>
        <v>0</v>
      </c>
      <c r="CB957" s="994">
        <f>IF(AND(Input_Product=Elig!$C957,Elig_MatchAll_Ct&lt;22,$BC957=(Elig_MatchAll_Ct-1),AW957=0),W957,0)</f>
        <v>0</v>
      </c>
      <c r="CC957" s="993">
        <f>IF(AND(Input_Product=Elig!$C957,Elig_MatchAll_Ct&lt;22,$BC957=(Elig_MatchAll_Ct-1),AX957=0),X957,0)</f>
        <v>0</v>
      </c>
      <c r="CD957" s="994">
        <f>IF(AND(Input_Product=Elig!$C957,Elig_MatchAll_Ct&lt;22,$BC957=(Elig_MatchAll_Ct-1),AX957=0),Y957,0)</f>
        <v>0</v>
      </c>
      <c r="CE957" s="993">
        <f>IF(AND(Input_LTV&lt;=AE957,Input_Product=Elig!$C957,Elig_MatchAll_Ct&lt;22,$BC957=(Elig_MatchAll_Ct-1),AY957=0),Z957,0)</f>
        <v>0</v>
      </c>
      <c r="CF957" s="994">
        <f>IF(AND(Input_LTV&lt;=AE957,Input_Product=Elig!$C957,Elig_MatchAll_Ct&lt;22,$BC957=(Elig_MatchAll_Ct-1),AY957=0),AA957,0)</f>
        <v>0</v>
      </c>
      <c r="CG957" s="993">
        <f>IF(AND(Input_Product=Elig!$C957,Elig_MatchAll_Ct&lt;22,$BC957=(Elig_MatchAll_Ct-1),AZ957=0),AB957,0)</f>
        <v>0</v>
      </c>
      <c r="CH957" s="994">
        <f>IF(AND(Input_Product=Elig!$C957,Elig_MatchAll_Ct&lt;22,$BC957=(Elig_MatchAll_Ct-1),AZ957=0),AC957,0)</f>
        <v>0</v>
      </c>
      <c r="CI957" s="993">
        <f>IF(AND(Input_Product=Elig!$C957,Elig_MatchAll_Ct&lt;22,$BC957=(Elig_MatchAll_Ct-1),BA957=0),AD957,0)</f>
        <v>0</v>
      </c>
      <c r="CJ957" s="994">
        <f>IF(AND(Input_Product=Elig!$C957,Elig_MatchAll_Ct&lt;22,$BC957=(Elig_MatchAll_Ct-1),BA957=0),AE957,0)</f>
        <v>0</v>
      </c>
    </row>
    <row r="958" spans="2:88" ht="10.15" customHeight="1" x14ac:dyDescent="0.25">
      <c r="B958" s="1916" t="s">
        <v>2294</v>
      </c>
      <c r="C958" s="1203" t="str">
        <f t="shared" si="389"/>
        <v xml:space="preserve">  </v>
      </c>
      <c r="D958" s="1204" t="s">
        <v>2218</v>
      </c>
      <c r="E958" s="1204" t="s">
        <v>167</v>
      </c>
      <c r="F958" s="1204" t="s">
        <v>331</v>
      </c>
      <c r="G958" s="1205" t="s">
        <v>179</v>
      </c>
      <c r="H958" s="1205" t="s">
        <v>136</v>
      </c>
      <c r="I958" s="1204" t="s">
        <v>274</v>
      </c>
      <c r="J958" s="1204" t="s">
        <v>1311</v>
      </c>
      <c r="K958" s="1205" t="s">
        <v>3022</v>
      </c>
      <c r="L958" s="1204" t="s">
        <v>2768</v>
      </c>
      <c r="M958" s="1204" t="s">
        <v>2677</v>
      </c>
      <c r="N958" s="1205" t="s">
        <v>82</v>
      </c>
      <c r="O958" s="1204" t="s">
        <v>310</v>
      </c>
      <c r="P958" s="1204" t="s">
        <v>291</v>
      </c>
      <c r="Q958" s="1204" t="s">
        <v>294</v>
      </c>
      <c r="R958" s="1204">
        <v>1000000.01</v>
      </c>
      <c r="S958" s="1204">
        <v>1500000</v>
      </c>
      <c r="T958" s="1204">
        <v>0</v>
      </c>
      <c r="U958" s="1204">
        <v>0</v>
      </c>
      <c r="V958" s="1204">
        <v>0</v>
      </c>
      <c r="W958" s="1204">
        <v>50</v>
      </c>
      <c r="X958" s="1204">
        <v>0</v>
      </c>
      <c r="Y958" s="1204">
        <v>999</v>
      </c>
      <c r="Z958" s="1206">
        <v>720</v>
      </c>
      <c r="AA958" s="1206">
        <v>999</v>
      </c>
      <c r="AB958" s="1206">
        <v>6</v>
      </c>
      <c r="AC958" s="1206">
        <v>999999</v>
      </c>
      <c r="AD958" s="1204">
        <v>0</v>
      </c>
      <c r="AE958" s="1207">
        <v>85</v>
      </c>
      <c r="AF958" s="170">
        <v>0</v>
      </c>
      <c r="AG958" s="171">
        <v>1</v>
      </c>
      <c r="AH958" s="171">
        <v>1</v>
      </c>
      <c r="AI958" s="171">
        <v>1</v>
      </c>
      <c r="AJ958" s="171">
        <v>0</v>
      </c>
      <c r="AK958" s="171">
        <v>1</v>
      </c>
      <c r="AL958" s="171">
        <v>0</v>
      </c>
      <c r="AM958" s="171">
        <v>1</v>
      </c>
      <c r="AN958" s="171">
        <v>1</v>
      </c>
      <c r="AO958" s="171">
        <v>1</v>
      </c>
      <c r="AP958" s="171">
        <v>1</v>
      </c>
      <c r="AQ958" s="171">
        <v>1</v>
      </c>
      <c r="AR958" s="171">
        <v>1</v>
      </c>
      <c r="AS958" s="171">
        <v>1</v>
      </c>
      <c r="AT958" s="171">
        <v>1</v>
      </c>
      <c r="AU958" s="171">
        <f t="shared" si="379"/>
        <v>0</v>
      </c>
      <c r="AV958" s="171">
        <f t="shared" si="380"/>
        <v>0</v>
      </c>
      <c r="AW958" s="171">
        <f t="shared" si="381"/>
        <v>1</v>
      </c>
      <c r="AX958" s="171">
        <f t="shared" si="388"/>
        <v>1</v>
      </c>
      <c r="AY958" s="171">
        <f t="shared" si="382"/>
        <v>1</v>
      </c>
      <c r="AZ958" s="171">
        <f t="shared" si="383"/>
        <v>1</v>
      </c>
      <c r="BA958" s="172">
        <f t="shared" si="384"/>
        <v>1</v>
      </c>
      <c r="BB958" s="175">
        <f t="shared" si="385"/>
        <v>17</v>
      </c>
      <c r="BC958" s="176">
        <f t="shared" si="386"/>
        <v>16</v>
      </c>
      <c r="BD958" s="176">
        <f t="shared" si="387"/>
        <v>17</v>
      </c>
      <c r="BE958" s="240" t="str">
        <f t="shared" si="378"/>
        <v/>
      </c>
      <c r="BF958" s="990"/>
      <c r="BG958" s="990"/>
      <c r="BH958" s="991">
        <f>IF(AND(Input_Product=Elig!$C958,Elig_MatchAll_Ct&lt;22,$BC958=(Elig_MatchAll_Ct-1),AF958=0),C958,0)</f>
        <v>0</v>
      </c>
      <c r="BI958" s="991">
        <f>IF(AND(Input_Product=Elig!$C958,Elig_MatchAll_Ct&lt;22,$BC958=(Elig_MatchAll_Ct-1),AG958=0),D958,0)</f>
        <v>0</v>
      </c>
      <c r="BJ958" s="991">
        <f>IF(AND(Input_Product=Elig!$C958,Elig_MatchAll_Ct&lt;22,$BC958=(Elig_MatchAll_Ct-1),AH958=0),E958,0)</f>
        <v>0</v>
      </c>
      <c r="BK958" s="991">
        <f>IF(AND(Input_Product=Elig!$C958,Elig_MatchAll_Ct&lt;22,$BC958=(Elig_MatchAll_Ct-1),AI958=0),F958,0)</f>
        <v>0</v>
      </c>
      <c r="BL958" s="991">
        <f>IF(AND(Input_Product=Elig!$C958,Elig_MatchAll_Ct&lt;22,$BC958=(Elig_MatchAll_Ct-1),AJ958=0),G958,0)</f>
        <v>0</v>
      </c>
      <c r="BM958" s="991">
        <f>IF(AND(Input_Product=Elig!$C958,Elig_MatchAll_Ct&lt;22,$BC958=(Elig_MatchAll_Ct-1),AK958=0),H958,0)</f>
        <v>0</v>
      </c>
      <c r="BN958" s="991">
        <f>IF(AND(Input_Product=Elig!$C958,Elig_MatchAll_Ct&lt;22,$BC958=(Elig_MatchAll_Ct-1),AL958=0),I958,0)</f>
        <v>0</v>
      </c>
      <c r="BO958" s="991">
        <f>IF(AND(Input_Product=Elig!$C958,Elig_MatchAll_Ct&lt;22,$BC958=(Elig_MatchAll_Ct-1),AM958=0),J958,0)</f>
        <v>0</v>
      </c>
      <c r="BP958" s="991">
        <f>IF(AND(Input_Product=Elig!$C958,Elig_MatchAll_Ct&lt;22,$BC958=(Elig_MatchAll_Ct-1),AN958=0),K958,0)</f>
        <v>0</v>
      </c>
      <c r="BQ958" s="991">
        <f>IF(AND(Input_Product=Elig!$C958,Elig_MatchAll_Ct&lt;22,$BC958=(Elig_MatchAll_Ct-1),AP958=0),L958,0)</f>
        <v>0</v>
      </c>
      <c r="BR958" s="991">
        <f>IF(AND(Input_Product=Elig!$C958,Elig_MatchAll_Ct&lt;22,$BC958=(Elig_MatchAll_Ct-1),AO958=0),M958,0)</f>
        <v>0</v>
      </c>
      <c r="BS958" s="991">
        <f>IF(AND(Input_Product=Elig!$C958,Elig_MatchAll_Ct&lt;22,$BC958=(Elig_MatchAll_Ct-1),AQ958=0),N958,0)</f>
        <v>0</v>
      </c>
      <c r="BT958" s="991">
        <f>IF(AND(Input_Product=Elig!$C958,Elig_MatchAll_Ct&lt;22,$BC958=(Elig_MatchAll_Ct-1),AR958=0),O958,0)</f>
        <v>0</v>
      </c>
      <c r="BU958" s="991">
        <f>IF(AND(Input_Product=Elig!$C958,Elig_MatchAll_Ct&lt;22,$BC958=(Elig_MatchAll_Ct-1),AS958=0),P958,0)</f>
        <v>0</v>
      </c>
      <c r="BV958" s="992">
        <f>IF(AND(Input_Product=Elig!$C958,Elig_MatchAll_Ct&lt;22,$BC958=(Elig_MatchAll_Ct-1),AT958=0),Q958,0)</f>
        <v>0</v>
      </c>
      <c r="BW958" s="993">
        <f>IF(AND(Input_Product=Elig!$C958,Elig_MatchAll_Ct&lt;22,$BC958=(Elig_MatchAll_Ct-1),AU958=0),R958,0)</f>
        <v>0</v>
      </c>
      <c r="BX958" s="994">
        <f>IF(AND(Input_Product=Elig!$C958,Elig_MatchAll_Ct&lt;22,$BC958=(Elig_MatchAll_Ct-1),AU958=0),S958,0)</f>
        <v>0</v>
      </c>
      <c r="BY958" s="993">
        <f>IF(AND(Input_Product=Elig!$C958,Elig_MatchAll_Ct&lt;22,$BC958=(Elig_MatchAll_Ct-1),AV958=0),T958,0)</f>
        <v>0</v>
      </c>
      <c r="BZ958" s="994">
        <f>IF(AND(Input_Product=Elig!$C958,Elig_MatchAll_Ct&lt;22,$BC958=(Elig_MatchAll_Ct-1),AV958=0),U958,0)</f>
        <v>0</v>
      </c>
      <c r="CA958" s="993">
        <f>IF(AND(Input_Product=Elig!$C958,Elig_MatchAll_Ct&lt;22,$BC958=(Elig_MatchAll_Ct-1),AW958=0),V958,0)</f>
        <v>0</v>
      </c>
      <c r="CB958" s="994">
        <f>IF(AND(Input_Product=Elig!$C958,Elig_MatchAll_Ct&lt;22,$BC958=(Elig_MatchAll_Ct-1),AW958=0),W958,0)</f>
        <v>0</v>
      </c>
      <c r="CC958" s="993">
        <f>IF(AND(Input_Product=Elig!$C958,Elig_MatchAll_Ct&lt;22,$BC958=(Elig_MatchAll_Ct-1),AX958=0),X958,0)</f>
        <v>0</v>
      </c>
      <c r="CD958" s="994">
        <f>IF(AND(Input_Product=Elig!$C958,Elig_MatchAll_Ct&lt;22,$BC958=(Elig_MatchAll_Ct-1),AX958=0),Y958,0)</f>
        <v>0</v>
      </c>
      <c r="CE958" s="993">
        <f>IF(AND(Input_LTV&lt;=AE958,Input_Product=Elig!$C958,Elig_MatchAll_Ct&lt;22,$BC958=(Elig_MatchAll_Ct-1),AY958=0),Z958,0)</f>
        <v>0</v>
      </c>
      <c r="CF958" s="994">
        <f>IF(AND(Input_LTV&lt;=AE958,Input_Product=Elig!$C958,Elig_MatchAll_Ct&lt;22,$BC958=(Elig_MatchAll_Ct-1),AY958=0),AA958,0)</f>
        <v>0</v>
      </c>
      <c r="CG958" s="993">
        <f>IF(AND(Input_Product=Elig!$C958,Elig_MatchAll_Ct&lt;22,$BC958=(Elig_MatchAll_Ct-1),AZ958=0),AB958,0)</f>
        <v>0</v>
      </c>
      <c r="CH958" s="994">
        <f>IF(AND(Input_Product=Elig!$C958,Elig_MatchAll_Ct&lt;22,$BC958=(Elig_MatchAll_Ct-1),AZ958=0),AC958,0)</f>
        <v>0</v>
      </c>
      <c r="CI958" s="993">
        <f>IF(AND(Input_Product=Elig!$C958,Elig_MatchAll_Ct&lt;22,$BC958=(Elig_MatchAll_Ct-1),BA958=0),AD958,0)</f>
        <v>0</v>
      </c>
      <c r="CJ958" s="994">
        <f>IF(AND(Input_Product=Elig!$C958,Elig_MatchAll_Ct&lt;22,$BC958=(Elig_MatchAll_Ct-1),BA958=0),AE958,0)</f>
        <v>0</v>
      </c>
    </row>
    <row r="959" spans="2:88" ht="10.15" customHeight="1" x14ac:dyDescent="0.25">
      <c r="B959" s="1916" t="s">
        <v>2295</v>
      </c>
      <c r="C959" s="1208" t="str">
        <f t="shared" si="389"/>
        <v xml:space="preserve">  </v>
      </c>
      <c r="D959" s="1209" t="s">
        <v>2218</v>
      </c>
      <c r="E959" s="1209" t="s">
        <v>167</v>
      </c>
      <c r="F959" s="1209" t="s">
        <v>331</v>
      </c>
      <c r="G959" s="1210" t="s">
        <v>179</v>
      </c>
      <c r="H959" s="1210" t="s">
        <v>136</v>
      </c>
      <c r="I959" s="1209" t="s">
        <v>274</v>
      </c>
      <c r="J959" s="1209" t="s">
        <v>1311</v>
      </c>
      <c r="K959" s="1210" t="s">
        <v>3022</v>
      </c>
      <c r="L959" s="1209" t="s">
        <v>2768</v>
      </c>
      <c r="M959" s="1209" t="s">
        <v>2677</v>
      </c>
      <c r="N959" s="1210" t="s">
        <v>82</v>
      </c>
      <c r="O959" s="1209" t="s">
        <v>310</v>
      </c>
      <c r="P959" s="1209" t="s">
        <v>291</v>
      </c>
      <c r="Q959" s="1209" t="s">
        <v>294</v>
      </c>
      <c r="R959" s="1209">
        <v>1000000.01</v>
      </c>
      <c r="S959" s="1209">
        <v>1500000</v>
      </c>
      <c r="T959" s="1209">
        <v>0</v>
      </c>
      <c r="U959" s="1209">
        <v>0</v>
      </c>
      <c r="V959" s="1209">
        <v>0</v>
      </c>
      <c r="W959" s="1209">
        <v>50</v>
      </c>
      <c r="X959" s="1209">
        <v>0</v>
      </c>
      <c r="Y959" s="1209">
        <v>999</v>
      </c>
      <c r="Z959" s="1211">
        <v>700</v>
      </c>
      <c r="AA959" s="1211">
        <v>719</v>
      </c>
      <c r="AB959" s="1211">
        <v>6</v>
      </c>
      <c r="AC959" s="1211">
        <v>999999</v>
      </c>
      <c r="AD959" s="1209">
        <v>0</v>
      </c>
      <c r="AE959" s="1212">
        <v>75</v>
      </c>
      <c r="AF959" s="170">
        <v>0</v>
      </c>
      <c r="AG959" s="171">
        <v>1</v>
      </c>
      <c r="AH959" s="171">
        <v>1</v>
      </c>
      <c r="AI959" s="171">
        <v>1</v>
      </c>
      <c r="AJ959" s="171">
        <v>0</v>
      </c>
      <c r="AK959" s="171">
        <v>1</v>
      </c>
      <c r="AL959" s="171">
        <v>0</v>
      </c>
      <c r="AM959" s="171">
        <v>1</v>
      </c>
      <c r="AN959" s="171">
        <v>1</v>
      </c>
      <c r="AO959" s="171">
        <v>1</v>
      </c>
      <c r="AP959" s="171">
        <v>1</v>
      </c>
      <c r="AQ959" s="171">
        <v>1</v>
      </c>
      <c r="AR959" s="171">
        <v>1</v>
      </c>
      <c r="AS959" s="171">
        <v>1</v>
      </c>
      <c r="AT959" s="171">
        <v>1</v>
      </c>
      <c r="AU959" s="171">
        <f t="shared" si="379"/>
        <v>0</v>
      </c>
      <c r="AV959" s="171">
        <f t="shared" si="380"/>
        <v>0</v>
      </c>
      <c r="AW959" s="171">
        <f t="shared" si="381"/>
        <v>1</v>
      </c>
      <c r="AX959" s="171">
        <f t="shared" si="388"/>
        <v>1</v>
      </c>
      <c r="AY959" s="171">
        <f t="shared" si="382"/>
        <v>0</v>
      </c>
      <c r="AZ959" s="171">
        <f t="shared" si="383"/>
        <v>1</v>
      </c>
      <c r="BA959" s="172">
        <f t="shared" si="384"/>
        <v>1</v>
      </c>
      <c r="BB959" s="175">
        <f t="shared" si="385"/>
        <v>16</v>
      </c>
      <c r="BC959" s="176">
        <f t="shared" si="386"/>
        <v>15</v>
      </c>
      <c r="BD959" s="176">
        <f t="shared" si="387"/>
        <v>16</v>
      </c>
      <c r="BE959" s="240" t="str">
        <f t="shared" si="378"/>
        <v/>
      </c>
      <c r="BF959" s="990"/>
      <c r="BG959" s="990"/>
      <c r="BH959" s="991">
        <f>IF(AND(Input_Product=Elig!$C959,Elig_MatchAll_Ct&lt;22,$BC959=(Elig_MatchAll_Ct-1),AF959=0),C959,0)</f>
        <v>0</v>
      </c>
      <c r="BI959" s="991">
        <f>IF(AND(Input_Product=Elig!$C959,Elig_MatchAll_Ct&lt;22,$BC959=(Elig_MatchAll_Ct-1),AG959=0),D959,0)</f>
        <v>0</v>
      </c>
      <c r="BJ959" s="991">
        <f>IF(AND(Input_Product=Elig!$C959,Elig_MatchAll_Ct&lt;22,$BC959=(Elig_MatchAll_Ct-1),AH959=0),E959,0)</f>
        <v>0</v>
      </c>
      <c r="BK959" s="991">
        <f>IF(AND(Input_Product=Elig!$C959,Elig_MatchAll_Ct&lt;22,$BC959=(Elig_MatchAll_Ct-1),AI959=0),F959,0)</f>
        <v>0</v>
      </c>
      <c r="BL959" s="991">
        <f>IF(AND(Input_Product=Elig!$C959,Elig_MatchAll_Ct&lt;22,$BC959=(Elig_MatchAll_Ct-1),AJ959=0),G959,0)</f>
        <v>0</v>
      </c>
      <c r="BM959" s="991">
        <f>IF(AND(Input_Product=Elig!$C959,Elig_MatchAll_Ct&lt;22,$BC959=(Elig_MatchAll_Ct-1),AK959=0),H959,0)</f>
        <v>0</v>
      </c>
      <c r="BN959" s="991">
        <f>IF(AND(Input_Product=Elig!$C959,Elig_MatchAll_Ct&lt;22,$BC959=(Elig_MatchAll_Ct-1),AL959=0),I959,0)</f>
        <v>0</v>
      </c>
      <c r="BO959" s="991">
        <f>IF(AND(Input_Product=Elig!$C959,Elig_MatchAll_Ct&lt;22,$BC959=(Elig_MatchAll_Ct-1),AM959=0),J959,0)</f>
        <v>0</v>
      </c>
      <c r="BP959" s="991">
        <f>IF(AND(Input_Product=Elig!$C959,Elig_MatchAll_Ct&lt;22,$BC959=(Elig_MatchAll_Ct-1),AN959=0),K959,0)</f>
        <v>0</v>
      </c>
      <c r="BQ959" s="991">
        <f>IF(AND(Input_Product=Elig!$C959,Elig_MatchAll_Ct&lt;22,$BC959=(Elig_MatchAll_Ct-1),AP959=0),L959,0)</f>
        <v>0</v>
      </c>
      <c r="BR959" s="991">
        <f>IF(AND(Input_Product=Elig!$C959,Elig_MatchAll_Ct&lt;22,$BC959=(Elig_MatchAll_Ct-1),AO959=0),M959,0)</f>
        <v>0</v>
      </c>
      <c r="BS959" s="991">
        <f>IF(AND(Input_Product=Elig!$C959,Elig_MatchAll_Ct&lt;22,$BC959=(Elig_MatchAll_Ct-1),AQ959=0),N959,0)</f>
        <v>0</v>
      </c>
      <c r="BT959" s="991">
        <f>IF(AND(Input_Product=Elig!$C959,Elig_MatchAll_Ct&lt;22,$BC959=(Elig_MatchAll_Ct-1),AR959=0),O959,0)</f>
        <v>0</v>
      </c>
      <c r="BU959" s="991">
        <f>IF(AND(Input_Product=Elig!$C959,Elig_MatchAll_Ct&lt;22,$BC959=(Elig_MatchAll_Ct-1),AS959=0),P959,0)</f>
        <v>0</v>
      </c>
      <c r="BV959" s="992">
        <f>IF(AND(Input_Product=Elig!$C959,Elig_MatchAll_Ct&lt;22,$BC959=(Elig_MatchAll_Ct-1),AT959=0),Q959,0)</f>
        <v>0</v>
      </c>
      <c r="BW959" s="993">
        <f>IF(AND(Input_Product=Elig!$C959,Elig_MatchAll_Ct&lt;22,$BC959=(Elig_MatchAll_Ct-1),AU959=0),R959,0)</f>
        <v>0</v>
      </c>
      <c r="BX959" s="994">
        <f>IF(AND(Input_Product=Elig!$C959,Elig_MatchAll_Ct&lt;22,$BC959=(Elig_MatchAll_Ct-1),AU959=0),S959,0)</f>
        <v>0</v>
      </c>
      <c r="BY959" s="993">
        <f>IF(AND(Input_Product=Elig!$C959,Elig_MatchAll_Ct&lt;22,$BC959=(Elig_MatchAll_Ct-1),AV959=0),T959,0)</f>
        <v>0</v>
      </c>
      <c r="BZ959" s="994">
        <f>IF(AND(Input_Product=Elig!$C959,Elig_MatchAll_Ct&lt;22,$BC959=(Elig_MatchAll_Ct-1),AV959=0),U959,0)</f>
        <v>0</v>
      </c>
      <c r="CA959" s="993">
        <f>IF(AND(Input_Product=Elig!$C959,Elig_MatchAll_Ct&lt;22,$BC959=(Elig_MatchAll_Ct-1),AW959=0),V959,0)</f>
        <v>0</v>
      </c>
      <c r="CB959" s="994">
        <f>IF(AND(Input_Product=Elig!$C959,Elig_MatchAll_Ct&lt;22,$BC959=(Elig_MatchAll_Ct-1),AW959=0),W959,0)</f>
        <v>0</v>
      </c>
      <c r="CC959" s="993">
        <f>IF(AND(Input_Product=Elig!$C959,Elig_MatchAll_Ct&lt;22,$BC959=(Elig_MatchAll_Ct-1),AX959=0),X959,0)</f>
        <v>0</v>
      </c>
      <c r="CD959" s="994">
        <f>IF(AND(Input_Product=Elig!$C959,Elig_MatchAll_Ct&lt;22,$BC959=(Elig_MatchAll_Ct-1),AX959=0),Y959,0)</f>
        <v>0</v>
      </c>
      <c r="CE959" s="993">
        <f>IF(AND(Input_LTV&lt;=AE959,Input_Product=Elig!$C959,Elig_MatchAll_Ct&lt;22,$BC959=(Elig_MatchAll_Ct-1),AY959=0),Z959,0)</f>
        <v>0</v>
      </c>
      <c r="CF959" s="994">
        <f>IF(AND(Input_LTV&lt;=AE959,Input_Product=Elig!$C959,Elig_MatchAll_Ct&lt;22,$BC959=(Elig_MatchAll_Ct-1),AY959=0),AA959,0)</f>
        <v>0</v>
      </c>
      <c r="CG959" s="993">
        <f>IF(AND(Input_Product=Elig!$C959,Elig_MatchAll_Ct&lt;22,$BC959=(Elig_MatchAll_Ct-1),AZ959=0),AB959,0)</f>
        <v>0</v>
      </c>
      <c r="CH959" s="994">
        <f>IF(AND(Input_Product=Elig!$C959,Elig_MatchAll_Ct&lt;22,$BC959=(Elig_MatchAll_Ct-1),AZ959=0),AC959,0)</f>
        <v>0</v>
      </c>
      <c r="CI959" s="993">
        <f>IF(AND(Input_Product=Elig!$C959,Elig_MatchAll_Ct&lt;22,$BC959=(Elig_MatchAll_Ct-1),BA959=0),AD959,0)</f>
        <v>0</v>
      </c>
      <c r="CJ959" s="994">
        <f>IF(AND(Input_Product=Elig!$C959,Elig_MatchAll_Ct&lt;22,$BC959=(Elig_MatchAll_Ct-1),BA959=0),AE959,0)</f>
        <v>0</v>
      </c>
    </row>
    <row r="960" spans="2:88" ht="10.15" customHeight="1" x14ac:dyDescent="0.25">
      <c r="B960" s="1916" t="s">
        <v>2296</v>
      </c>
      <c r="C960" s="1208" t="str">
        <f t="shared" si="389"/>
        <v xml:space="preserve">  </v>
      </c>
      <c r="D960" s="1209" t="s">
        <v>2218</v>
      </c>
      <c r="E960" s="1209" t="s">
        <v>167</v>
      </c>
      <c r="F960" s="1209" t="s">
        <v>331</v>
      </c>
      <c r="G960" s="1210" t="s">
        <v>179</v>
      </c>
      <c r="H960" s="1210" t="s">
        <v>136</v>
      </c>
      <c r="I960" s="1209" t="s">
        <v>274</v>
      </c>
      <c r="J960" s="1209" t="s">
        <v>1311</v>
      </c>
      <c r="K960" s="1210" t="s">
        <v>3022</v>
      </c>
      <c r="L960" s="1209" t="s">
        <v>2768</v>
      </c>
      <c r="M960" s="1209" t="s">
        <v>2677</v>
      </c>
      <c r="N960" s="1210" t="s">
        <v>82</v>
      </c>
      <c r="O960" s="1209" t="s">
        <v>310</v>
      </c>
      <c r="P960" s="1209" t="s">
        <v>291</v>
      </c>
      <c r="Q960" s="1209" t="s">
        <v>294</v>
      </c>
      <c r="R960" s="1209">
        <v>1000000.01</v>
      </c>
      <c r="S960" s="1209">
        <v>1500000</v>
      </c>
      <c r="T960" s="1209">
        <v>0</v>
      </c>
      <c r="U960" s="1209">
        <v>0</v>
      </c>
      <c r="V960" s="1209">
        <v>0</v>
      </c>
      <c r="W960" s="1209">
        <v>50</v>
      </c>
      <c r="X960" s="1209">
        <v>0</v>
      </c>
      <c r="Y960" s="1209">
        <v>999</v>
      </c>
      <c r="Z960" s="1211">
        <v>680</v>
      </c>
      <c r="AA960" s="1211">
        <v>699</v>
      </c>
      <c r="AB960" s="1211">
        <v>6</v>
      </c>
      <c r="AC960" s="1211">
        <v>999999</v>
      </c>
      <c r="AD960" s="1209">
        <v>0</v>
      </c>
      <c r="AE960" s="1212">
        <v>75</v>
      </c>
      <c r="AF960" s="170">
        <v>0</v>
      </c>
      <c r="AG960" s="171">
        <v>1</v>
      </c>
      <c r="AH960" s="171">
        <v>1</v>
      </c>
      <c r="AI960" s="171">
        <v>1</v>
      </c>
      <c r="AJ960" s="171">
        <v>0</v>
      </c>
      <c r="AK960" s="171">
        <v>1</v>
      </c>
      <c r="AL960" s="171">
        <v>0</v>
      </c>
      <c r="AM960" s="171">
        <v>1</v>
      </c>
      <c r="AN960" s="171">
        <v>1</v>
      </c>
      <c r="AO960" s="171">
        <v>1</v>
      </c>
      <c r="AP960" s="171">
        <v>1</v>
      </c>
      <c r="AQ960" s="171">
        <v>1</v>
      </c>
      <c r="AR960" s="171">
        <v>1</v>
      </c>
      <c r="AS960" s="171">
        <v>1</v>
      </c>
      <c r="AT960" s="171">
        <v>1</v>
      </c>
      <c r="AU960" s="171">
        <f t="shared" si="379"/>
        <v>0</v>
      </c>
      <c r="AV960" s="171">
        <f t="shared" si="380"/>
        <v>0</v>
      </c>
      <c r="AW960" s="171">
        <f t="shared" si="381"/>
        <v>1</v>
      </c>
      <c r="AX960" s="171">
        <f t="shared" si="388"/>
        <v>1</v>
      </c>
      <c r="AY960" s="171">
        <f t="shared" si="382"/>
        <v>0</v>
      </c>
      <c r="AZ960" s="171">
        <f t="shared" si="383"/>
        <v>1</v>
      </c>
      <c r="BA960" s="172">
        <f t="shared" si="384"/>
        <v>1</v>
      </c>
      <c r="BB960" s="175">
        <f t="shared" si="385"/>
        <v>16</v>
      </c>
      <c r="BC960" s="176">
        <f t="shared" si="386"/>
        <v>15</v>
      </c>
      <c r="BD960" s="176">
        <f t="shared" si="387"/>
        <v>16</v>
      </c>
      <c r="BE960" s="240" t="str">
        <f t="shared" si="378"/>
        <v/>
      </c>
      <c r="BF960" s="990"/>
      <c r="BG960" s="990"/>
      <c r="BH960" s="991">
        <f>IF(AND(Input_Product=Elig!$C960,Elig_MatchAll_Ct&lt;22,$BC960=(Elig_MatchAll_Ct-1),AF960=0),C960,0)</f>
        <v>0</v>
      </c>
      <c r="BI960" s="991">
        <f>IF(AND(Input_Product=Elig!$C960,Elig_MatchAll_Ct&lt;22,$BC960=(Elig_MatchAll_Ct-1),AG960=0),D960,0)</f>
        <v>0</v>
      </c>
      <c r="BJ960" s="991">
        <f>IF(AND(Input_Product=Elig!$C960,Elig_MatchAll_Ct&lt;22,$BC960=(Elig_MatchAll_Ct-1),AH960=0),E960,0)</f>
        <v>0</v>
      </c>
      <c r="BK960" s="991">
        <f>IF(AND(Input_Product=Elig!$C960,Elig_MatchAll_Ct&lt;22,$BC960=(Elig_MatchAll_Ct-1),AI960=0),F960,0)</f>
        <v>0</v>
      </c>
      <c r="BL960" s="991">
        <f>IF(AND(Input_Product=Elig!$C960,Elig_MatchAll_Ct&lt;22,$BC960=(Elig_MatchAll_Ct-1),AJ960=0),G960,0)</f>
        <v>0</v>
      </c>
      <c r="BM960" s="991">
        <f>IF(AND(Input_Product=Elig!$C960,Elig_MatchAll_Ct&lt;22,$BC960=(Elig_MatchAll_Ct-1),AK960=0),H960,0)</f>
        <v>0</v>
      </c>
      <c r="BN960" s="991">
        <f>IF(AND(Input_Product=Elig!$C960,Elig_MatchAll_Ct&lt;22,$BC960=(Elig_MatchAll_Ct-1),AL960=0),I960,0)</f>
        <v>0</v>
      </c>
      <c r="BO960" s="991">
        <f>IF(AND(Input_Product=Elig!$C960,Elig_MatchAll_Ct&lt;22,$BC960=(Elig_MatchAll_Ct-1),AM960=0),J960,0)</f>
        <v>0</v>
      </c>
      <c r="BP960" s="991">
        <f>IF(AND(Input_Product=Elig!$C960,Elig_MatchAll_Ct&lt;22,$BC960=(Elig_MatchAll_Ct-1),AN960=0),K960,0)</f>
        <v>0</v>
      </c>
      <c r="BQ960" s="991">
        <f>IF(AND(Input_Product=Elig!$C960,Elig_MatchAll_Ct&lt;22,$BC960=(Elig_MatchAll_Ct-1),AP960=0),L960,0)</f>
        <v>0</v>
      </c>
      <c r="BR960" s="991">
        <f>IF(AND(Input_Product=Elig!$C960,Elig_MatchAll_Ct&lt;22,$BC960=(Elig_MatchAll_Ct-1),AO960=0),M960,0)</f>
        <v>0</v>
      </c>
      <c r="BS960" s="991">
        <f>IF(AND(Input_Product=Elig!$C960,Elig_MatchAll_Ct&lt;22,$BC960=(Elig_MatchAll_Ct-1),AQ960=0),N960,0)</f>
        <v>0</v>
      </c>
      <c r="BT960" s="991">
        <f>IF(AND(Input_Product=Elig!$C960,Elig_MatchAll_Ct&lt;22,$BC960=(Elig_MatchAll_Ct-1),AR960=0),O960,0)</f>
        <v>0</v>
      </c>
      <c r="BU960" s="991">
        <f>IF(AND(Input_Product=Elig!$C960,Elig_MatchAll_Ct&lt;22,$BC960=(Elig_MatchAll_Ct-1),AS960=0),P960,0)</f>
        <v>0</v>
      </c>
      <c r="BV960" s="992">
        <f>IF(AND(Input_Product=Elig!$C960,Elig_MatchAll_Ct&lt;22,$BC960=(Elig_MatchAll_Ct-1),AT960=0),Q960,0)</f>
        <v>0</v>
      </c>
      <c r="BW960" s="993">
        <f>IF(AND(Input_Product=Elig!$C960,Elig_MatchAll_Ct&lt;22,$BC960=(Elig_MatchAll_Ct-1),AU960=0),R960,0)</f>
        <v>0</v>
      </c>
      <c r="BX960" s="994">
        <f>IF(AND(Input_Product=Elig!$C960,Elig_MatchAll_Ct&lt;22,$BC960=(Elig_MatchAll_Ct-1),AU960=0),S960,0)</f>
        <v>0</v>
      </c>
      <c r="BY960" s="993">
        <f>IF(AND(Input_Product=Elig!$C960,Elig_MatchAll_Ct&lt;22,$BC960=(Elig_MatchAll_Ct-1),AV960=0),T960,0)</f>
        <v>0</v>
      </c>
      <c r="BZ960" s="994">
        <f>IF(AND(Input_Product=Elig!$C960,Elig_MatchAll_Ct&lt;22,$BC960=(Elig_MatchAll_Ct-1),AV960=0),U960,0)</f>
        <v>0</v>
      </c>
      <c r="CA960" s="993">
        <f>IF(AND(Input_Product=Elig!$C960,Elig_MatchAll_Ct&lt;22,$BC960=(Elig_MatchAll_Ct-1),AW960=0),V960,0)</f>
        <v>0</v>
      </c>
      <c r="CB960" s="994">
        <f>IF(AND(Input_Product=Elig!$C960,Elig_MatchAll_Ct&lt;22,$BC960=(Elig_MatchAll_Ct-1),AW960=0),W960,0)</f>
        <v>0</v>
      </c>
      <c r="CC960" s="993">
        <f>IF(AND(Input_Product=Elig!$C960,Elig_MatchAll_Ct&lt;22,$BC960=(Elig_MatchAll_Ct-1),AX960=0),X960,0)</f>
        <v>0</v>
      </c>
      <c r="CD960" s="994">
        <f>IF(AND(Input_Product=Elig!$C960,Elig_MatchAll_Ct&lt;22,$BC960=(Elig_MatchAll_Ct-1),AX960=0),Y960,0)</f>
        <v>0</v>
      </c>
      <c r="CE960" s="993">
        <f>IF(AND(Input_LTV&lt;=AE960,Input_Product=Elig!$C960,Elig_MatchAll_Ct&lt;22,$BC960=(Elig_MatchAll_Ct-1),AY960=0),Z960,0)</f>
        <v>0</v>
      </c>
      <c r="CF960" s="994">
        <f>IF(AND(Input_LTV&lt;=AE960,Input_Product=Elig!$C960,Elig_MatchAll_Ct&lt;22,$BC960=(Elig_MatchAll_Ct-1),AY960=0),AA960,0)</f>
        <v>0</v>
      </c>
      <c r="CG960" s="993">
        <f>IF(AND(Input_Product=Elig!$C960,Elig_MatchAll_Ct&lt;22,$BC960=(Elig_MatchAll_Ct-1),AZ960=0),AB960,0)</f>
        <v>0</v>
      </c>
      <c r="CH960" s="994">
        <f>IF(AND(Input_Product=Elig!$C960,Elig_MatchAll_Ct&lt;22,$BC960=(Elig_MatchAll_Ct-1),AZ960=0),AC960,0)</f>
        <v>0</v>
      </c>
      <c r="CI960" s="993">
        <f>IF(AND(Input_Product=Elig!$C960,Elig_MatchAll_Ct&lt;22,$BC960=(Elig_MatchAll_Ct-1),BA960=0),AD960,0)</f>
        <v>0</v>
      </c>
      <c r="CJ960" s="994">
        <f>IF(AND(Input_Product=Elig!$C960,Elig_MatchAll_Ct&lt;22,$BC960=(Elig_MatchAll_Ct-1),BA960=0),AE960,0)</f>
        <v>0</v>
      </c>
    </row>
    <row r="961" spans="2:88" ht="10.15" customHeight="1" x14ac:dyDescent="0.25">
      <c r="B961" s="1916" t="s">
        <v>2297</v>
      </c>
      <c r="C961" s="1213" t="str">
        <f t="shared" si="389"/>
        <v xml:space="preserve">  </v>
      </c>
      <c r="D961" s="1214" t="s">
        <v>2218</v>
      </c>
      <c r="E961" s="1214" t="s">
        <v>167</v>
      </c>
      <c r="F961" s="1214" t="s">
        <v>331</v>
      </c>
      <c r="G961" s="1215" t="s">
        <v>179</v>
      </c>
      <c r="H961" s="1215" t="s">
        <v>136</v>
      </c>
      <c r="I961" s="1214" t="s">
        <v>274</v>
      </c>
      <c r="J961" s="1214" t="s">
        <v>1311</v>
      </c>
      <c r="K961" s="1215" t="s">
        <v>3022</v>
      </c>
      <c r="L961" s="1214" t="s">
        <v>2768</v>
      </c>
      <c r="M961" s="1214" t="s">
        <v>2677</v>
      </c>
      <c r="N961" s="1215" t="s">
        <v>82</v>
      </c>
      <c r="O961" s="1214" t="s">
        <v>310</v>
      </c>
      <c r="P961" s="1214" t="s">
        <v>291</v>
      </c>
      <c r="Q961" s="1214" t="s">
        <v>294</v>
      </c>
      <c r="R961" s="1214">
        <v>1000000.01</v>
      </c>
      <c r="S961" s="1214">
        <v>1500000</v>
      </c>
      <c r="T961" s="1214">
        <v>0</v>
      </c>
      <c r="U961" s="1214">
        <v>0</v>
      </c>
      <c r="V961" s="1214">
        <v>0</v>
      </c>
      <c r="W961" s="1214">
        <v>50</v>
      </c>
      <c r="X961" s="1214">
        <v>0</v>
      </c>
      <c r="Y961" s="1214">
        <v>999</v>
      </c>
      <c r="Z961" s="1216">
        <v>660</v>
      </c>
      <c r="AA961" s="1216">
        <v>679</v>
      </c>
      <c r="AB961" s="1216">
        <v>6</v>
      </c>
      <c r="AC961" s="1216">
        <v>999999</v>
      </c>
      <c r="AD961" s="1214">
        <v>0</v>
      </c>
      <c r="AE961" s="1217">
        <v>70</v>
      </c>
      <c r="AF961" s="170">
        <v>0</v>
      </c>
      <c r="AG961" s="171">
        <v>1</v>
      </c>
      <c r="AH961" s="171">
        <v>1</v>
      </c>
      <c r="AI961" s="171">
        <v>1</v>
      </c>
      <c r="AJ961" s="171">
        <v>0</v>
      </c>
      <c r="AK961" s="171">
        <v>1</v>
      </c>
      <c r="AL961" s="171">
        <v>0</v>
      </c>
      <c r="AM961" s="171">
        <v>1</v>
      </c>
      <c r="AN961" s="171">
        <v>1</v>
      </c>
      <c r="AO961" s="171">
        <v>1</v>
      </c>
      <c r="AP961" s="171">
        <v>1</v>
      </c>
      <c r="AQ961" s="171">
        <v>1</v>
      </c>
      <c r="AR961" s="171">
        <v>1</v>
      </c>
      <c r="AS961" s="171">
        <v>1</v>
      </c>
      <c r="AT961" s="171">
        <v>1</v>
      </c>
      <c r="AU961" s="171">
        <f t="shared" si="379"/>
        <v>0</v>
      </c>
      <c r="AV961" s="171">
        <f t="shared" si="380"/>
        <v>0</v>
      </c>
      <c r="AW961" s="171">
        <f t="shared" si="381"/>
        <v>1</v>
      </c>
      <c r="AX961" s="171">
        <f t="shared" si="388"/>
        <v>1</v>
      </c>
      <c r="AY961" s="171">
        <f t="shared" si="382"/>
        <v>0</v>
      </c>
      <c r="AZ961" s="171">
        <f t="shared" si="383"/>
        <v>1</v>
      </c>
      <c r="BA961" s="172">
        <f t="shared" si="384"/>
        <v>1</v>
      </c>
      <c r="BB961" s="175">
        <f t="shared" si="385"/>
        <v>16</v>
      </c>
      <c r="BC961" s="176">
        <f t="shared" si="386"/>
        <v>15</v>
      </c>
      <c r="BD961" s="176">
        <f t="shared" si="387"/>
        <v>16</v>
      </c>
      <c r="BE961" s="240" t="str">
        <f t="shared" si="378"/>
        <v/>
      </c>
      <c r="BF961" s="990"/>
      <c r="BG961" s="990"/>
      <c r="BH961" s="991">
        <f>IF(AND(Input_Product=Elig!$C961,Elig_MatchAll_Ct&lt;22,$BC961=(Elig_MatchAll_Ct-1),AF961=0),C961,0)</f>
        <v>0</v>
      </c>
      <c r="BI961" s="991">
        <f>IF(AND(Input_Product=Elig!$C961,Elig_MatchAll_Ct&lt;22,$BC961=(Elig_MatchAll_Ct-1),AG961=0),D961,0)</f>
        <v>0</v>
      </c>
      <c r="BJ961" s="991">
        <f>IF(AND(Input_Product=Elig!$C961,Elig_MatchAll_Ct&lt;22,$BC961=(Elig_MatchAll_Ct-1),AH961=0),E961,0)</f>
        <v>0</v>
      </c>
      <c r="BK961" s="991">
        <f>IF(AND(Input_Product=Elig!$C961,Elig_MatchAll_Ct&lt;22,$BC961=(Elig_MatchAll_Ct-1),AI961=0),F961,0)</f>
        <v>0</v>
      </c>
      <c r="BL961" s="991">
        <f>IF(AND(Input_Product=Elig!$C961,Elig_MatchAll_Ct&lt;22,$BC961=(Elig_MatchAll_Ct-1),AJ961=0),G961,0)</f>
        <v>0</v>
      </c>
      <c r="BM961" s="991">
        <f>IF(AND(Input_Product=Elig!$C961,Elig_MatchAll_Ct&lt;22,$BC961=(Elig_MatchAll_Ct-1),AK961=0),H961,0)</f>
        <v>0</v>
      </c>
      <c r="BN961" s="991">
        <f>IF(AND(Input_Product=Elig!$C961,Elig_MatchAll_Ct&lt;22,$BC961=(Elig_MatchAll_Ct-1),AL961=0),I961,0)</f>
        <v>0</v>
      </c>
      <c r="BO961" s="991">
        <f>IF(AND(Input_Product=Elig!$C961,Elig_MatchAll_Ct&lt;22,$BC961=(Elig_MatchAll_Ct-1),AM961=0),J961,0)</f>
        <v>0</v>
      </c>
      <c r="BP961" s="991">
        <f>IF(AND(Input_Product=Elig!$C961,Elig_MatchAll_Ct&lt;22,$BC961=(Elig_MatchAll_Ct-1),AN961=0),K961,0)</f>
        <v>0</v>
      </c>
      <c r="BQ961" s="991">
        <f>IF(AND(Input_Product=Elig!$C961,Elig_MatchAll_Ct&lt;22,$BC961=(Elig_MatchAll_Ct-1),AP961=0),L961,0)</f>
        <v>0</v>
      </c>
      <c r="BR961" s="991">
        <f>IF(AND(Input_Product=Elig!$C961,Elig_MatchAll_Ct&lt;22,$BC961=(Elig_MatchAll_Ct-1),AO961=0),M961,0)</f>
        <v>0</v>
      </c>
      <c r="BS961" s="991">
        <f>IF(AND(Input_Product=Elig!$C961,Elig_MatchAll_Ct&lt;22,$BC961=(Elig_MatchAll_Ct-1),AQ961=0),N961,0)</f>
        <v>0</v>
      </c>
      <c r="BT961" s="991">
        <f>IF(AND(Input_Product=Elig!$C961,Elig_MatchAll_Ct&lt;22,$BC961=(Elig_MatchAll_Ct-1),AR961=0),O961,0)</f>
        <v>0</v>
      </c>
      <c r="BU961" s="991">
        <f>IF(AND(Input_Product=Elig!$C961,Elig_MatchAll_Ct&lt;22,$BC961=(Elig_MatchAll_Ct-1),AS961=0),P961,0)</f>
        <v>0</v>
      </c>
      <c r="BV961" s="992">
        <f>IF(AND(Input_Product=Elig!$C961,Elig_MatchAll_Ct&lt;22,$BC961=(Elig_MatchAll_Ct-1),AT961=0),Q961,0)</f>
        <v>0</v>
      </c>
      <c r="BW961" s="993">
        <f>IF(AND(Input_Product=Elig!$C961,Elig_MatchAll_Ct&lt;22,$BC961=(Elig_MatchAll_Ct-1),AU961=0),R961,0)</f>
        <v>0</v>
      </c>
      <c r="BX961" s="994">
        <f>IF(AND(Input_Product=Elig!$C961,Elig_MatchAll_Ct&lt;22,$BC961=(Elig_MatchAll_Ct-1),AU961=0),S961,0)</f>
        <v>0</v>
      </c>
      <c r="BY961" s="993">
        <f>IF(AND(Input_Product=Elig!$C961,Elig_MatchAll_Ct&lt;22,$BC961=(Elig_MatchAll_Ct-1),AV961=0),T961,0)</f>
        <v>0</v>
      </c>
      <c r="BZ961" s="994">
        <f>IF(AND(Input_Product=Elig!$C961,Elig_MatchAll_Ct&lt;22,$BC961=(Elig_MatchAll_Ct-1),AV961=0),U961,0)</f>
        <v>0</v>
      </c>
      <c r="CA961" s="993">
        <f>IF(AND(Input_Product=Elig!$C961,Elig_MatchAll_Ct&lt;22,$BC961=(Elig_MatchAll_Ct-1),AW961=0),V961,0)</f>
        <v>0</v>
      </c>
      <c r="CB961" s="994">
        <f>IF(AND(Input_Product=Elig!$C961,Elig_MatchAll_Ct&lt;22,$BC961=(Elig_MatchAll_Ct-1),AW961=0),W961,0)</f>
        <v>0</v>
      </c>
      <c r="CC961" s="993">
        <f>IF(AND(Input_Product=Elig!$C961,Elig_MatchAll_Ct&lt;22,$BC961=(Elig_MatchAll_Ct-1),AX961=0),X961,0)</f>
        <v>0</v>
      </c>
      <c r="CD961" s="994">
        <f>IF(AND(Input_Product=Elig!$C961,Elig_MatchAll_Ct&lt;22,$BC961=(Elig_MatchAll_Ct-1),AX961=0),Y961,0)</f>
        <v>0</v>
      </c>
      <c r="CE961" s="993">
        <f>IF(AND(Input_LTV&lt;=AE961,Input_Product=Elig!$C961,Elig_MatchAll_Ct&lt;22,$BC961=(Elig_MatchAll_Ct-1),AY961=0),Z961,0)</f>
        <v>0</v>
      </c>
      <c r="CF961" s="994">
        <f>IF(AND(Input_LTV&lt;=AE961,Input_Product=Elig!$C961,Elig_MatchAll_Ct&lt;22,$BC961=(Elig_MatchAll_Ct-1),AY961=0),AA961,0)</f>
        <v>0</v>
      </c>
      <c r="CG961" s="993">
        <f>IF(AND(Input_Product=Elig!$C961,Elig_MatchAll_Ct&lt;22,$BC961=(Elig_MatchAll_Ct-1),AZ961=0),AB961,0)</f>
        <v>0</v>
      </c>
      <c r="CH961" s="994">
        <f>IF(AND(Input_Product=Elig!$C961,Elig_MatchAll_Ct&lt;22,$BC961=(Elig_MatchAll_Ct-1),AZ961=0),AC961,0)</f>
        <v>0</v>
      </c>
      <c r="CI961" s="993">
        <f>IF(AND(Input_Product=Elig!$C961,Elig_MatchAll_Ct&lt;22,$BC961=(Elig_MatchAll_Ct-1),BA961=0),AD961,0)</f>
        <v>0</v>
      </c>
      <c r="CJ961" s="994">
        <f>IF(AND(Input_Product=Elig!$C961,Elig_MatchAll_Ct&lt;22,$BC961=(Elig_MatchAll_Ct-1),BA961=0),AE961,0)</f>
        <v>0</v>
      </c>
    </row>
    <row r="962" spans="2:88" ht="10.15" customHeight="1" x14ac:dyDescent="0.25">
      <c r="B962" s="1916" t="s">
        <v>2298</v>
      </c>
      <c r="C962" s="1203" t="str">
        <f t="shared" si="389"/>
        <v xml:space="preserve">  </v>
      </c>
      <c r="D962" s="1204" t="s">
        <v>2218</v>
      </c>
      <c r="E962" s="1204" t="s">
        <v>167</v>
      </c>
      <c r="F962" s="1204" t="s">
        <v>331</v>
      </c>
      <c r="G962" s="1205" t="s">
        <v>179</v>
      </c>
      <c r="H962" s="1205" t="s">
        <v>136</v>
      </c>
      <c r="I962" s="1204" t="s">
        <v>274</v>
      </c>
      <c r="J962" s="1204" t="s">
        <v>1311</v>
      </c>
      <c r="K962" s="1205" t="s">
        <v>3022</v>
      </c>
      <c r="L962" s="1204" t="s">
        <v>2768</v>
      </c>
      <c r="M962" s="1204" t="s">
        <v>2677</v>
      </c>
      <c r="N962" s="1205" t="s">
        <v>82</v>
      </c>
      <c r="O962" s="1204" t="s">
        <v>310</v>
      </c>
      <c r="P962" s="1204" t="s">
        <v>291</v>
      </c>
      <c r="Q962" s="1204" t="s">
        <v>294</v>
      </c>
      <c r="R962" s="1204">
        <v>1500000.01</v>
      </c>
      <c r="S962" s="1204">
        <v>2000000</v>
      </c>
      <c r="T962" s="1204">
        <v>0</v>
      </c>
      <c r="U962" s="1204">
        <v>0</v>
      </c>
      <c r="V962" s="1204">
        <v>0</v>
      </c>
      <c r="W962" s="1204">
        <v>50</v>
      </c>
      <c r="X962" s="1204">
        <v>0</v>
      </c>
      <c r="Y962" s="1204">
        <v>999</v>
      </c>
      <c r="Z962" s="1206">
        <v>720</v>
      </c>
      <c r="AA962" s="1206">
        <v>999</v>
      </c>
      <c r="AB962" s="1206">
        <v>6</v>
      </c>
      <c r="AC962" s="1206">
        <v>999999</v>
      </c>
      <c r="AD962" s="1204">
        <v>0</v>
      </c>
      <c r="AE962" s="1207">
        <v>80</v>
      </c>
      <c r="AF962" s="170">
        <v>0</v>
      </c>
      <c r="AG962" s="171">
        <v>1</v>
      </c>
      <c r="AH962" s="171">
        <v>1</v>
      </c>
      <c r="AI962" s="171">
        <v>1</v>
      </c>
      <c r="AJ962" s="171">
        <v>0</v>
      </c>
      <c r="AK962" s="171">
        <v>1</v>
      </c>
      <c r="AL962" s="171">
        <v>0</v>
      </c>
      <c r="AM962" s="171">
        <v>1</v>
      </c>
      <c r="AN962" s="171">
        <v>1</v>
      </c>
      <c r="AO962" s="171">
        <v>1</v>
      </c>
      <c r="AP962" s="171">
        <v>1</v>
      </c>
      <c r="AQ962" s="171">
        <v>1</v>
      </c>
      <c r="AR962" s="171">
        <v>1</v>
      </c>
      <c r="AS962" s="171">
        <v>1</v>
      </c>
      <c r="AT962" s="171">
        <v>1</v>
      </c>
      <c r="AU962" s="171">
        <f t="shared" si="379"/>
        <v>0</v>
      </c>
      <c r="AV962" s="171">
        <f t="shared" si="380"/>
        <v>0</v>
      </c>
      <c r="AW962" s="171">
        <f t="shared" si="381"/>
        <v>1</v>
      </c>
      <c r="AX962" s="171">
        <f t="shared" si="388"/>
        <v>1</v>
      </c>
      <c r="AY962" s="171">
        <f t="shared" si="382"/>
        <v>1</v>
      </c>
      <c r="AZ962" s="171">
        <f t="shared" si="383"/>
        <v>1</v>
      </c>
      <c r="BA962" s="172">
        <f t="shared" si="384"/>
        <v>1</v>
      </c>
      <c r="BB962" s="175">
        <f t="shared" si="385"/>
        <v>17</v>
      </c>
      <c r="BC962" s="176">
        <f t="shared" si="386"/>
        <v>16</v>
      </c>
      <c r="BD962" s="176">
        <f t="shared" si="387"/>
        <v>17</v>
      </c>
      <c r="BE962" s="240" t="str">
        <f t="shared" si="378"/>
        <v/>
      </c>
      <c r="BF962" s="990"/>
      <c r="BG962" s="990"/>
      <c r="BH962" s="991">
        <f>IF(AND(Input_Product=Elig!$C962,Elig_MatchAll_Ct&lt;22,$BC962=(Elig_MatchAll_Ct-1),AF962=0),C962,0)</f>
        <v>0</v>
      </c>
      <c r="BI962" s="991">
        <f>IF(AND(Input_Product=Elig!$C962,Elig_MatchAll_Ct&lt;22,$BC962=(Elig_MatchAll_Ct-1),AG962=0),D962,0)</f>
        <v>0</v>
      </c>
      <c r="BJ962" s="991">
        <f>IF(AND(Input_Product=Elig!$C962,Elig_MatchAll_Ct&lt;22,$BC962=(Elig_MatchAll_Ct-1),AH962=0),E962,0)</f>
        <v>0</v>
      </c>
      <c r="BK962" s="991">
        <f>IF(AND(Input_Product=Elig!$C962,Elig_MatchAll_Ct&lt;22,$BC962=(Elig_MatchAll_Ct-1),AI962=0),F962,0)</f>
        <v>0</v>
      </c>
      <c r="BL962" s="991">
        <f>IF(AND(Input_Product=Elig!$C962,Elig_MatchAll_Ct&lt;22,$BC962=(Elig_MatchAll_Ct-1),AJ962=0),G962,0)</f>
        <v>0</v>
      </c>
      <c r="BM962" s="991">
        <f>IF(AND(Input_Product=Elig!$C962,Elig_MatchAll_Ct&lt;22,$BC962=(Elig_MatchAll_Ct-1),AK962=0),H962,0)</f>
        <v>0</v>
      </c>
      <c r="BN962" s="991">
        <f>IF(AND(Input_Product=Elig!$C962,Elig_MatchAll_Ct&lt;22,$BC962=(Elig_MatchAll_Ct-1),AL962=0),I962,0)</f>
        <v>0</v>
      </c>
      <c r="BO962" s="991">
        <f>IF(AND(Input_Product=Elig!$C962,Elig_MatchAll_Ct&lt;22,$BC962=(Elig_MatchAll_Ct-1),AM962=0),J962,0)</f>
        <v>0</v>
      </c>
      <c r="BP962" s="991">
        <f>IF(AND(Input_Product=Elig!$C962,Elig_MatchAll_Ct&lt;22,$BC962=(Elig_MatchAll_Ct-1),AN962=0),K962,0)</f>
        <v>0</v>
      </c>
      <c r="BQ962" s="991">
        <f>IF(AND(Input_Product=Elig!$C962,Elig_MatchAll_Ct&lt;22,$BC962=(Elig_MatchAll_Ct-1),AP962=0),L962,0)</f>
        <v>0</v>
      </c>
      <c r="BR962" s="991">
        <f>IF(AND(Input_Product=Elig!$C962,Elig_MatchAll_Ct&lt;22,$BC962=(Elig_MatchAll_Ct-1),AO962=0),M962,0)</f>
        <v>0</v>
      </c>
      <c r="BS962" s="991">
        <f>IF(AND(Input_Product=Elig!$C962,Elig_MatchAll_Ct&lt;22,$BC962=(Elig_MatchAll_Ct-1),AQ962=0),N962,0)</f>
        <v>0</v>
      </c>
      <c r="BT962" s="991">
        <f>IF(AND(Input_Product=Elig!$C962,Elig_MatchAll_Ct&lt;22,$BC962=(Elig_MatchAll_Ct-1),AR962=0),O962,0)</f>
        <v>0</v>
      </c>
      <c r="BU962" s="991">
        <f>IF(AND(Input_Product=Elig!$C962,Elig_MatchAll_Ct&lt;22,$BC962=(Elig_MatchAll_Ct-1),AS962=0),P962,0)</f>
        <v>0</v>
      </c>
      <c r="BV962" s="992">
        <f>IF(AND(Input_Product=Elig!$C962,Elig_MatchAll_Ct&lt;22,$BC962=(Elig_MatchAll_Ct-1),AT962=0),Q962,0)</f>
        <v>0</v>
      </c>
      <c r="BW962" s="993">
        <f>IF(AND(Input_Product=Elig!$C962,Elig_MatchAll_Ct&lt;22,$BC962=(Elig_MatchAll_Ct-1),AU962=0),R962,0)</f>
        <v>0</v>
      </c>
      <c r="BX962" s="994">
        <f>IF(AND(Input_Product=Elig!$C962,Elig_MatchAll_Ct&lt;22,$BC962=(Elig_MatchAll_Ct-1),AU962=0),S962,0)</f>
        <v>0</v>
      </c>
      <c r="BY962" s="993">
        <f>IF(AND(Input_Product=Elig!$C962,Elig_MatchAll_Ct&lt;22,$BC962=(Elig_MatchAll_Ct-1),AV962=0),T962,0)</f>
        <v>0</v>
      </c>
      <c r="BZ962" s="994">
        <f>IF(AND(Input_Product=Elig!$C962,Elig_MatchAll_Ct&lt;22,$BC962=(Elig_MatchAll_Ct-1),AV962=0),U962,0)</f>
        <v>0</v>
      </c>
      <c r="CA962" s="993">
        <f>IF(AND(Input_Product=Elig!$C962,Elig_MatchAll_Ct&lt;22,$BC962=(Elig_MatchAll_Ct-1),AW962=0),V962,0)</f>
        <v>0</v>
      </c>
      <c r="CB962" s="994">
        <f>IF(AND(Input_Product=Elig!$C962,Elig_MatchAll_Ct&lt;22,$BC962=(Elig_MatchAll_Ct-1),AW962=0),W962,0)</f>
        <v>0</v>
      </c>
      <c r="CC962" s="993">
        <f>IF(AND(Input_Product=Elig!$C962,Elig_MatchAll_Ct&lt;22,$BC962=(Elig_MatchAll_Ct-1),AX962=0),X962,0)</f>
        <v>0</v>
      </c>
      <c r="CD962" s="994">
        <f>IF(AND(Input_Product=Elig!$C962,Elig_MatchAll_Ct&lt;22,$BC962=(Elig_MatchAll_Ct-1),AX962=0),Y962,0)</f>
        <v>0</v>
      </c>
      <c r="CE962" s="993">
        <f>IF(AND(Input_LTV&lt;=AE962,Input_Product=Elig!$C962,Elig_MatchAll_Ct&lt;22,$BC962=(Elig_MatchAll_Ct-1),AY962=0),Z962,0)</f>
        <v>0</v>
      </c>
      <c r="CF962" s="994">
        <f>IF(AND(Input_LTV&lt;=AE962,Input_Product=Elig!$C962,Elig_MatchAll_Ct&lt;22,$BC962=(Elig_MatchAll_Ct-1),AY962=0),AA962,0)</f>
        <v>0</v>
      </c>
      <c r="CG962" s="993">
        <f>IF(AND(Input_Product=Elig!$C962,Elig_MatchAll_Ct&lt;22,$BC962=(Elig_MatchAll_Ct-1),AZ962=0),AB962,0)</f>
        <v>0</v>
      </c>
      <c r="CH962" s="994">
        <f>IF(AND(Input_Product=Elig!$C962,Elig_MatchAll_Ct&lt;22,$BC962=(Elig_MatchAll_Ct-1),AZ962=0),AC962,0)</f>
        <v>0</v>
      </c>
      <c r="CI962" s="993">
        <f>IF(AND(Input_Product=Elig!$C962,Elig_MatchAll_Ct&lt;22,$BC962=(Elig_MatchAll_Ct-1),BA962=0),AD962,0)</f>
        <v>0</v>
      </c>
      <c r="CJ962" s="994">
        <f>IF(AND(Input_Product=Elig!$C962,Elig_MatchAll_Ct&lt;22,$BC962=(Elig_MatchAll_Ct-1),BA962=0),AE962,0)</f>
        <v>0</v>
      </c>
    </row>
    <row r="963" spans="2:88" ht="10.15" customHeight="1" x14ac:dyDescent="0.25">
      <c r="B963" s="1916" t="s">
        <v>2299</v>
      </c>
      <c r="C963" s="1208" t="str">
        <f t="shared" si="389"/>
        <v xml:space="preserve">  </v>
      </c>
      <c r="D963" s="1209" t="s">
        <v>2218</v>
      </c>
      <c r="E963" s="1209" t="s">
        <v>167</v>
      </c>
      <c r="F963" s="1209" t="s">
        <v>331</v>
      </c>
      <c r="G963" s="1210" t="s">
        <v>179</v>
      </c>
      <c r="H963" s="1210" t="s">
        <v>136</v>
      </c>
      <c r="I963" s="1209" t="s">
        <v>274</v>
      </c>
      <c r="J963" s="1209" t="s">
        <v>1311</v>
      </c>
      <c r="K963" s="1210" t="s">
        <v>3022</v>
      </c>
      <c r="L963" s="1209" t="s">
        <v>2768</v>
      </c>
      <c r="M963" s="1209" t="s">
        <v>2677</v>
      </c>
      <c r="N963" s="1210" t="s">
        <v>82</v>
      </c>
      <c r="O963" s="1209" t="s">
        <v>310</v>
      </c>
      <c r="P963" s="1209" t="s">
        <v>291</v>
      </c>
      <c r="Q963" s="1209" t="s">
        <v>294</v>
      </c>
      <c r="R963" s="1209">
        <v>1500000.01</v>
      </c>
      <c r="S963" s="1209">
        <v>2000000</v>
      </c>
      <c r="T963" s="1209">
        <v>0</v>
      </c>
      <c r="U963" s="1209">
        <v>0</v>
      </c>
      <c r="V963" s="1209">
        <v>0</v>
      </c>
      <c r="W963" s="1209">
        <v>50</v>
      </c>
      <c r="X963" s="1209">
        <v>0</v>
      </c>
      <c r="Y963" s="1209">
        <v>999</v>
      </c>
      <c r="Z963" s="1211">
        <v>700</v>
      </c>
      <c r="AA963" s="1211">
        <v>719</v>
      </c>
      <c r="AB963" s="1211">
        <v>6</v>
      </c>
      <c r="AC963" s="1211">
        <v>999999</v>
      </c>
      <c r="AD963" s="1209">
        <v>0</v>
      </c>
      <c r="AE963" s="1212">
        <v>75</v>
      </c>
      <c r="AF963" s="170">
        <v>0</v>
      </c>
      <c r="AG963" s="171">
        <v>1</v>
      </c>
      <c r="AH963" s="171">
        <v>1</v>
      </c>
      <c r="AI963" s="171">
        <v>1</v>
      </c>
      <c r="AJ963" s="171">
        <v>0</v>
      </c>
      <c r="AK963" s="171">
        <v>1</v>
      </c>
      <c r="AL963" s="171">
        <v>0</v>
      </c>
      <c r="AM963" s="171">
        <v>1</v>
      </c>
      <c r="AN963" s="171">
        <v>1</v>
      </c>
      <c r="AO963" s="171">
        <v>1</v>
      </c>
      <c r="AP963" s="171">
        <v>1</v>
      </c>
      <c r="AQ963" s="171">
        <v>1</v>
      </c>
      <c r="AR963" s="171">
        <v>1</v>
      </c>
      <c r="AS963" s="171">
        <v>1</v>
      </c>
      <c r="AT963" s="171">
        <v>1</v>
      </c>
      <c r="AU963" s="171">
        <f t="shared" si="379"/>
        <v>0</v>
      </c>
      <c r="AV963" s="171">
        <f t="shared" si="380"/>
        <v>0</v>
      </c>
      <c r="AW963" s="171">
        <f t="shared" si="381"/>
        <v>1</v>
      </c>
      <c r="AX963" s="171">
        <f t="shared" si="388"/>
        <v>1</v>
      </c>
      <c r="AY963" s="171">
        <f t="shared" si="382"/>
        <v>0</v>
      </c>
      <c r="AZ963" s="171">
        <f t="shared" si="383"/>
        <v>1</v>
      </c>
      <c r="BA963" s="172">
        <f t="shared" si="384"/>
        <v>1</v>
      </c>
      <c r="BB963" s="175">
        <f t="shared" si="385"/>
        <v>16</v>
      </c>
      <c r="BC963" s="176">
        <f t="shared" si="386"/>
        <v>15</v>
      </c>
      <c r="BD963" s="176">
        <f t="shared" si="387"/>
        <v>16</v>
      </c>
      <c r="BE963" s="240" t="str">
        <f t="shared" si="378"/>
        <v/>
      </c>
      <c r="BF963" s="990"/>
      <c r="BG963" s="990"/>
      <c r="BH963" s="991">
        <f>IF(AND(Input_Product=Elig!$C963,Elig_MatchAll_Ct&lt;22,$BC963=(Elig_MatchAll_Ct-1),AF963=0),C963,0)</f>
        <v>0</v>
      </c>
      <c r="BI963" s="991">
        <f>IF(AND(Input_Product=Elig!$C963,Elig_MatchAll_Ct&lt;22,$BC963=(Elig_MatchAll_Ct-1),AG963=0),D963,0)</f>
        <v>0</v>
      </c>
      <c r="BJ963" s="991">
        <f>IF(AND(Input_Product=Elig!$C963,Elig_MatchAll_Ct&lt;22,$BC963=(Elig_MatchAll_Ct-1),AH963=0),E963,0)</f>
        <v>0</v>
      </c>
      <c r="BK963" s="991">
        <f>IF(AND(Input_Product=Elig!$C963,Elig_MatchAll_Ct&lt;22,$BC963=(Elig_MatchAll_Ct-1),AI963=0),F963,0)</f>
        <v>0</v>
      </c>
      <c r="BL963" s="991">
        <f>IF(AND(Input_Product=Elig!$C963,Elig_MatchAll_Ct&lt;22,$BC963=(Elig_MatchAll_Ct-1),AJ963=0),G963,0)</f>
        <v>0</v>
      </c>
      <c r="BM963" s="991">
        <f>IF(AND(Input_Product=Elig!$C963,Elig_MatchAll_Ct&lt;22,$BC963=(Elig_MatchAll_Ct-1),AK963=0),H963,0)</f>
        <v>0</v>
      </c>
      <c r="BN963" s="991">
        <f>IF(AND(Input_Product=Elig!$C963,Elig_MatchAll_Ct&lt;22,$BC963=(Elig_MatchAll_Ct-1),AL963=0),I963,0)</f>
        <v>0</v>
      </c>
      <c r="BO963" s="991">
        <f>IF(AND(Input_Product=Elig!$C963,Elig_MatchAll_Ct&lt;22,$BC963=(Elig_MatchAll_Ct-1),AM963=0),J963,0)</f>
        <v>0</v>
      </c>
      <c r="BP963" s="991">
        <f>IF(AND(Input_Product=Elig!$C963,Elig_MatchAll_Ct&lt;22,$BC963=(Elig_MatchAll_Ct-1),AN963=0),K963,0)</f>
        <v>0</v>
      </c>
      <c r="BQ963" s="991">
        <f>IF(AND(Input_Product=Elig!$C963,Elig_MatchAll_Ct&lt;22,$BC963=(Elig_MatchAll_Ct-1),AP963=0),L963,0)</f>
        <v>0</v>
      </c>
      <c r="BR963" s="991">
        <f>IF(AND(Input_Product=Elig!$C963,Elig_MatchAll_Ct&lt;22,$BC963=(Elig_MatchAll_Ct-1),AO963=0),M963,0)</f>
        <v>0</v>
      </c>
      <c r="BS963" s="991">
        <f>IF(AND(Input_Product=Elig!$C963,Elig_MatchAll_Ct&lt;22,$BC963=(Elig_MatchAll_Ct-1),AQ963=0),N963,0)</f>
        <v>0</v>
      </c>
      <c r="BT963" s="991">
        <f>IF(AND(Input_Product=Elig!$C963,Elig_MatchAll_Ct&lt;22,$BC963=(Elig_MatchAll_Ct-1),AR963=0),O963,0)</f>
        <v>0</v>
      </c>
      <c r="BU963" s="991">
        <f>IF(AND(Input_Product=Elig!$C963,Elig_MatchAll_Ct&lt;22,$BC963=(Elig_MatchAll_Ct-1),AS963=0),P963,0)</f>
        <v>0</v>
      </c>
      <c r="BV963" s="992">
        <f>IF(AND(Input_Product=Elig!$C963,Elig_MatchAll_Ct&lt;22,$BC963=(Elig_MatchAll_Ct-1),AT963=0),Q963,0)</f>
        <v>0</v>
      </c>
      <c r="BW963" s="993">
        <f>IF(AND(Input_Product=Elig!$C963,Elig_MatchAll_Ct&lt;22,$BC963=(Elig_MatchAll_Ct-1),AU963=0),R963,0)</f>
        <v>0</v>
      </c>
      <c r="BX963" s="994">
        <f>IF(AND(Input_Product=Elig!$C963,Elig_MatchAll_Ct&lt;22,$BC963=(Elig_MatchAll_Ct-1),AU963=0),S963,0)</f>
        <v>0</v>
      </c>
      <c r="BY963" s="993">
        <f>IF(AND(Input_Product=Elig!$C963,Elig_MatchAll_Ct&lt;22,$BC963=(Elig_MatchAll_Ct-1),AV963=0),T963,0)</f>
        <v>0</v>
      </c>
      <c r="BZ963" s="994">
        <f>IF(AND(Input_Product=Elig!$C963,Elig_MatchAll_Ct&lt;22,$BC963=(Elig_MatchAll_Ct-1),AV963=0),U963,0)</f>
        <v>0</v>
      </c>
      <c r="CA963" s="993">
        <f>IF(AND(Input_Product=Elig!$C963,Elig_MatchAll_Ct&lt;22,$BC963=(Elig_MatchAll_Ct-1),AW963=0),V963,0)</f>
        <v>0</v>
      </c>
      <c r="CB963" s="994">
        <f>IF(AND(Input_Product=Elig!$C963,Elig_MatchAll_Ct&lt;22,$BC963=(Elig_MatchAll_Ct-1),AW963=0),W963,0)</f>
        <v>0</v>
      </c>
      <c r="CC963" s="993">
        <f>IF(AND(Input_Product=Elig!$C963,Elig_MatchAll_Ct&lt;22,$BC963=(Elig_MatchAll_Ct-1),AX963=0),X963,0)</f>
        <v>0</v>
      </c>
      <c r="CD963" s="994">
        <f>IF(AND(Input_Product=Elig!$C963,Elig_MatchAll_Ct&lt;22,$BC963=(Elig_MatchAll_Ct-1),AX963=0),Y963,0)</f>
        <v>0</v>
      </c>
      <c r="CE963" s="993">
        <f>IF(AND(Input_LTV&lt;=AE963,Input_Product=Elig!$C963,Elig_MatchAll_Ct&lt;22,$BC963=(Elig_MatchAll_Ct-1),AY963=0),Z963,0)</f>
        <v>0</v>
      </c>
      <c r="CF963" s="994">
        <f>IF(AND(Input_LTV&lt;=AE963,Input_Product=Elig!$C963,Elig_MatchAll_Ct&lt;22,$BC963=(Elig_MatchAll_Ct-1),AY963=0),AA963,0)</f>
        <v>0</v>
      </c>
      <c r="CG963" s="993">
        <f>IF(AND(Input_Product=Elig!$C963,Elig_MatchAll_Ct&lt;22,$BC963=(Elig_MatchAll_Ct-1),AZ963=0),AB963,0)</f>
        <v>0</v>
      </c>
      <c r="CH963" s="994">
        <f>IF(AND(Input_Product=Elig!$C963,Elig_MatchAll_Ct&lt;22,$BC963=(Elig_MatchAll_Ct-1),AZ963=0),AC963,0)</f>
        <v>0</v>
      </c>
      <c r="CI963" s="993">
        <f>IF(AND(Input_Product=Elig!$C963,Elig_MatchAll_Ct&lt;22,$BC963=(Elig_MatchAll_Ct-1),BA963=0),AD963,0)</f>
        <v>0</v>
      </c>
      <c r="CJ963" s="994">
        <f>IF(AND(Input_Product=Elig!$C963,Elig_MatchAll_Ct&lt;22,$BC963=(Elig_MatchAll_Ct-1),BA963=0),AE963,0)</f>
        <v>0</v>
      </c>
    </row>
    <row r="964" spans="2:88" ht="10.15" customHeight="1" x14ac:dyDescent="0.25">
      <c r="B964" s="1916" t="s">
        <v>2300</v>
      </c>
      <c r="C964" s="1208" t="str">
        <f t="shared" si="389"/>
        <v xml:space="preserve">  </v>
      </c>
      <c r="D964" s="1209" t="s">
        <v>2218</v>
      </c>
      <c r="E964" s="1209" t="s">
        <v>167</v>
      </c>
      <c r="F964" s="1209" t="s">
        <v>331</v>
      </c>
      <c r="G964" s="1210" t="s">
        <v>179</v>
      </c>
      <c r="H964" s="1210" t="s">
        <v>136</v>
      </c>
      <c r="I964" s="1209" t="s">
        <v>274</v>
      </c>
      <c r="J964" s="1209" t="s">
        <v>1311</v>
      </c>
      <c r="K964" s="1210" t="s">
        <v>3022</v>
      </c>
      <c r="L964" s="1209" t="s">
        <v>2768</v>
      </c>
      <c r="M964" s="1209" t="s">
        <v>2677</v>
      </c>
      <c r="N964" s="1210" t="s">
        <v>82</v>
      </c>
      <c r="O964" s="1209" t="s">
        <v>310</v>
      </c>
      <c r="P964" s="1209" t="s">
        <v>291</v>
      </c>
      <c r="Q964" s="1209" t="s">
        <v>294</v>
      </c>
      <c r="R964" s="1209">
        <v>1500000.01</v>
      </c>
      <c r="S964" s="1209">
        <v>2000000</v>
      </c>
      <c r="T964" s="1209">
        <v>0</v>
      </c>
      <c r="U964" s="1209">
        <v>0</v>
      </c>
      <c r="V964" s="1209">
        <v>0</v>
      </c>
      <c r="W964" s="1209">
        <v>50</v>
      </c>
      <c r="X964" s="1209">
        <v>0</v>
      </c>
      <c r="Y964" s="1209">
        <v>999</v>
      </c>
      <c r="Z964" s="1211">
        <v>680</v>
      </c>
      <c r="AA964" s="1211">
        <v>699</v>
      </c>
      <c r="AB964" s="1211">
        <v>6</v>
      </c>
      <c r="AC964" s="1211">
        <v>999999</v>
      </c>
      <c r="AD964" s="1209">
        <v>0</v>
      </c>
      <c r="AE964" s="1212">
        <v>75</v>
      </c>
      <c r="AF964" s="170">
        <v>0</v>
      </c>
      <c r="AG964" s="171">
        <v>1</v>
      </c>
      <c r="AH964" s="171">
        <v>1</v>
      </c>
      <c r="AI964" s="171">
        <v>1</v>
      </c>
      <c r="AJ964" s="171">
        <v>0</v>
      </c>
      <c r="AK964" s="171">
        <v>1</v>
      </c>
      <c r="AL964" s="171">
        <v>0</v>
      </c>
      <c r="AM964" s="171">
        <v>1</v>
      </c>
      <c r="AN964" s="171">
        <v>1</v>
      </c>
      <c r="AO964" s="171">
        <v>1</v>
      </c>
      <c r="AP964" s="171">
        <v>1</v>
      </c>
      <c r="AQ964" s="171">
        <v>1</v>
      </c>
      <c r="AR964" s="171">
        <v>1</v>
      </c>
      <c r="AS964" s="171">
        <v>1</v>
      </c>
      <c r="AT964" s="171">
        <v>1</v>
      </c>
      <c r="AU964" s="171">
        <f t="shared" si="379"/>
        <v>0</v>
      </c>
      <c r="AV964" s="171">
        <f t="shared" si="380"/>
        <v>0</v>
      </c>
      <c r="AW964" s="171">
        <f t="shared" si="381"/>
        <v>1</v>
      </c>
      <c r="AX964" s="171">
        <f t="shared" si="388"/>
        <v>1</v>
      </c>
      <c r="AY964" s="171">
        <f t="shared" si="382"/>
        <v>0</v>
      </c>
      <c r="AZ964" s="171">
        <f t="shared" si="383"/>
        <v>1</v>
      </c>
      <c r="BA964" s="172">
        <f t="shared" si="384"/>
        <v>1</v>
      </c>
      <c r="BB964" s="175">
        <f t="shared" si="385"/>
        <v>16</v>
      </c>
      <c r="BC964" s="176">
        <f t="shared" si="386"/>
        <v>15</v>
      </c>
      <c r="BD964" s="176">
        <f t="shared" si="387"/>
        <v>16</v>
      </c>
      <c r="BE964" s="240" t="str">
        <f t="shared" si="378"/>
        <v/>
      </c>
      <c r="BF964" s="990"/>
      <c r="BG964" s="990"/>
      <c r="BH964" s="991">
        <f>IF(AND(Input_Product=Elig!$C964,Elig_MatchAll_Ct&lt;22,$BC964=(Elig_MatchAll_Ct-1),AF964=0),C964,0)</f>
        <v>0</v>
      </c>
      <c r="BI964" s="991">
        <f>IF(AND(Input_Product=Elig!$C964,Elig_MatchAll_Ct&lt;22,$BC964=(Elig_MatchAll_Ct-1),AG964=0),D964,0)</f>
        <v>0</v>
      </c>
      <c r="BJ964" s="991">
        <f>IF(AND(Input_Product=Elig!$C964,Elig_MatchAll_Ct&lt;22,$BC964=(Elig_MatchAll_Ct-1),AH964=0),E964,0)</f>
        <v>0</v>
      </c>
      <c r="BK964" s="991">
        <f>IF(AND(Input_Product=Elig!$C964,Elig_MatchAll_Ct&lt;22,$BC964=(Elig_MatchAll_Ct-1),AI964=0),F964,0)</f>
        <v>0</v>
      </c>
      <c r="BL964" s="991">
        <f>IF(AND(Input_Product=Elig!$C964,Elig_MatchAll_Ct&lt;22,$BC964=(Elig_MatchAll_Ct-1),AJ964=0),G964,0)</f>
        <v>0</v>
      </c>
      <c r="BM964" s="991">
        <f>IF(AND(Input_Product=Elig!$C964,Elig_MatchAll_Ct&lt;22,$BC964=(Elig_MatchAll_Ct-1),AK964=0),H964,0)</f>
        <v>0</v>
      </c>
      <c r="BN964" s="991">
        <f>IF(AND(Input_Product=Elig!$C964,Elig_MatchAll_Ct&lt;22,$BC964=(Elig_MatchAll_Ct-1),AL964=0),I964,0)</f>
        <v>0</v>
      </c>
      <c r="BO964" s="991">
        <f>IF(AND(Input_Product=Elig!$C964,Elig_MatchAll_Ct&lt;22,$BC964=(Elig_MatchAll_Ct-1),AM964=0),J964,0)</f>
        <v>0</v>
      </c>
      <c r="BP964" s="991">
        <f>IF(AND(Input_Product=Elig!$C964,Elig_MatchAll_Ct&lt;22,$BC964=(Elig_MatchAll_Ct-1),AN964=0),K964,0)</f>
        <v>0</v>
      </c>
      <c r="BQ964" s="991">
        <f>IF(AND(Input_Product=Elig!$C964,Elig_MatchAll_Ct&lt;22,$BC964=(Elig_MatchAll_Ct-1),AP964=0),L964,0)</f>
        <v>0</v>
      </c>
      <c r="BR964" s="991">
        <f>IF(AND(Input_Product=Elig!$C964,Elig_MatchAll_Ct&lt;22,$BC964=(Elig_MatchAll_Ct-1),AO964=0),M964,0)</f>
        <v>0</v>
      </c>
      <c r="BS964" s="991">
        <f>IF(AND(Input_Product=Elig!$C964,Elig_MatchAll_Ct&lt;22,$BC964=(Elig_MatchAll_Ct-1),AQ964=0),N964,0)</f>
        <v>0</v>
      </c>
      <c r="BT964" s="991">
        <f>IF(AND(Input_Product=Elig!$C964,Elig_MatchAll_Ct&lt;22,$BC964=(Elig_MatchAll_Ct-1),AR964=0),O964,0)</f>
        <v>0</v>
      </c>
      <c r="BU964" s="991">
        <f>IF(AND(Input_Product=Elig!$C964,Elig_MatchAll_Ct&lt;22,$BC964=(Elig_MatchAll_Ct-1),AS964=0),P964,0)</f>
        <v>0</v>
      </c>
      <c r="BV964" s="992">
        <f>IF(AND(Input_Product=Elig!$C964,Elig_MatchAll_Ct&lt;22,$BC964=(Elig_MatchAll_Ct-1),AT964=0),Q964,0)</f>
        <v>0</v>
      </c>
      <c r="BW964" s="993">
        <f>IF(AND(Input_Product=Elig!$C964,Elig_MatchAll_Ct&lt;22,$BC964=(Elig_MatchAll_Ct-1),AU964=0),R964,0)</f>
        <v>0</v>
      </c>
      <c r="BX964" s="994">
        <f>IF(AND(Input_Product=Elig!$C964,Elig_MatchAll_Ct&lt;22,$BC964=(Elig_MatchAll_Ct-1),AU964=0),S964,0)</f>
        <v>0</v>
      </c>
      <c r="BY964" s="993">
        <f>IF(AND(Input_Product=Elig!$C964,Elig_MatchAll_Ct&lt;22,$BC964=(Elig_MatchAll_Ct-1),AV964=0),T964,0)</f>
        <v>0</v>
      </c>
      <c r="BZ964" s="994">
        <f>IF(AND(Input_Product=Elig!$C964,Elig_MatchAll_Ct&lt;22,$BC964=(Elig_MatchAll_Ct-1),AV964=0),U964,0)</f>
        <v>0</v>
      </c>
      <c r="CA964" s="993">
        <f>IF(AND(Input_Product=Elig!$C964,Elig_MatchAll_Ct&lt;22,$BC964=(Elig_MatchAll_Ct-1),AW964=0),V964,0)</f>
        <v>0</v>
      </c>
      <c r="CB964" s="994">
        <f>IF(AND(Input_Product=Elig!$C964,Elig_MatchAll_Ct&lt;22,$BC964=(Elig_MatchAll_Ct-1),AW964=0),W964,0)</f>
        <v>0</v>
      </c>
      <c r="CC964" s="993">
        <f>IF(AND(Input_Product=Elig!$C964,Elig_MatchAll_Ct&lt;22,$BC964=(Elig_MatchAll_Ct-1),AX964=0),X964,0)</f>
        <v>0</v>
      </c>
      <c r="CD964" s="994">
        <f>IF(AND(Input_Product=Elig!$C964,Elig_MatchAll_Ct&lt;22,$BC964=(Elig_MatchAll_Ct-1),AX964=0),Y964,0)</f>
        <v>0</v>
      </c>
      <c r="CE964" s="993">
        <f>IF(AND(Input_LTV&lt;=AE964,Input_Product=Elig!$C964,Elig_MatchAll_Ct&lt;22,$BC964=(Elig_MatchAll_Ct-1),AY964=0),Z964,0)</f>
        <v>0</v>
      </c>
      <c r="CF964" s="994">
        <f>IF(AND(Input_LTV&lt;=AE964,Input_Product=Elig!$C964,Elig_MatchAll_Ct&lt;22,$BC964=(Elig_MatchAll_Ct-1),AY964=0),AA964,0)</f>
        <v>0</v>
      </c>
      <c r="CG964" s="993">
        <f>IF(AND(Input_Product=Elig!$C964,Elig_MatchAll_Ct&lt;22,$BC964=(Elig_MatchAll_Ct-1),AZ964=0),AB964,0)</f>
        <v>0</v>
      </c>
      <c r="CH964" s="994">
        <f>IF(AND(Input_Product=Elig!$C964,Elig_MatchAll_Ct&lt;22,$BC964=(Elig_MatchAll_Ct-1),AZ964=0),AC964,0)</f>
        <v>0</v>
      </c>
      <c r="CI964" s="993">
        <f>IF(AND(Input_Product=Elig!$C964,Elig_MatchAll_Ct&lt;22,$BC964=(Elig_MatchAll_Ct-1),BA964=0),AD964,0)</f>
        <v>0</v>
      </c>
      <c r="CJ964" s="994">
        <f>IF(AND(Input_Product=Elig!$C964,Elig_MatchAll_Ct&lt;22,$BC964=(Elig_MatchAll_Ct-1),BA964=0),AE964,0)</f>
        <v>0</v>
      </c>
    </row>
    <row r="965" spans="2:88" ht="10.15" customHeight="1" x14ac:dyDescent="0.25">
      <c r="B965" s="1916" t="s">
        <v>2301</v>
      </c>
      <c r="C965" s="1213" t="str">
        <f t="shared" si="389"/>
        <v xml:space="preserve">  </v>
      </c>
      <c r="D965" s="1214" t="s">
        <v>2218</v>
      </c>
      <c r="E965" s="1214" t="s">
        <v>167</v>
      </c>
      <c r="F965" s="1214" t="s">
        <v>331</v>
      </c>
      <c r="G965" s="1215" t="s">
        <v>179</v>
      </c>
      <c r="H965" s="1215" t="s">
        <v>136</v>
      </c>
      <c r="I965" s="1214" t="s">
        <v>274</v>
      </c>
      <c r="J965" s="1214" t="s">
        <v>1311</v>
      </c>
      <c r="K965" s="1215" t="s">
        <v>3022</v>
      </c>
      <c r="L965" s="1214" t="s">
        <v>2768</v>
      </c>
      <c r="M965" s="1214" t="s">
        <v>2677</v>
      </c>
      <c r="N965" s="1215" t="s">
        <v>82</v>
      </c>
      <c r="O965" s="1214" t="s">
        <v>310</v>
      </c>
      <c r="P965" s="1214" t="s">
        <v>291</v>
      </c>
      <c r="Q965" s="1214" t="s">
        <v>294</v>
      </c>
      <c r="R965" s="1214">
        <v>1500000.01</v>
      </c>
      <c r="S965" s="1214">
        <v>2000000</v>
      </c>
      <c r="T965" s="1214">
        <v>0</v>
      </c>
      <c r="U965" s="1214">
        <v>0</v>
      </c>
      <c r="V965" s="1214">
        <v>0</v>
      </c>
      <c r="W965" s="1214">
        <v>50</v>
      </c>
      <c r="X965" s="1214">
        <v>0</v>
      </c>
      <c r="Y965" s="1214">
        <v>999</v>
      </c>
      <c r="Z965" s="1216">
        <v>660</v>
      </c>
      <c r="AA965" s="1216">
        <v>679</v>
      </c>
      <c r="AB965" s="1216">
        <v>6</v>
      </c>
      <c r="AC965" s="1216">
        <v>999999</v>
      </c>
      <c r="AD965" s="1214">
        <v>0</v>
      </c>
      <c r="AE965" s="1217">
        <v>70</v>
      </c>
      <c r="AF965" s="170">
        <v>0</v>
      </c>
      <c r="AG965" s="171">
        <v>1</v>
      </c>
      <c r="AH965" s="171">
        <v>1</v>
      </c>
      <c r="AI965" s="171">
        <v>1</v>
      </c>
      <c r="AJ965" s="171">
        <v>0</v>
      </c>
      <c r="AK965" s="171">
        <v>1</v>
      </c>
      <c r="AL965" s="171">
        <v>0</v>
      </c>
      <c r="AM965" s="171">
        <v>1</v>
      </c>
      <c r="AN965" s="171">
        <v>1</v>
      </c>
      <c r="AO965" s="171">
        <v>1</v>
      </c>
      <c r="AP965" s="171">
        <v>1</v>
      </c>
      <c r="AQ965" s="171">
        <v>1</v>
      </c>
      <c r="AR965" s="171">
        <v>1</v>
      </c>
      <c r="AS965" s="171">
        <v>1</v>
      </c>
      <c r="AT965" s="171">
        <v>1</v>
      </c>
      <c r="AU965" s="171">
        <f t="shared" si="379"/>
        <v>0</v>
      </c>
      <c r="AV965" s="171">
        <f t="shared" si="380"/>
        <v>0</v>
      </c>
      <c r="AW965" s="171">
        <f t="shared" si="381"/>
        <v>1</v>
      </c>
      <c r="AX965" s="171">
        <f t="shared" si="388"/>
        <v>1</v>
      </c>
      <c r="AY965" s="171">
        <f t="shared" si="382"/>
        <v>0</v>
      </c>
      <c r="AZ965" s="171">
        <f t="shared" si="383"/>
        <v>1</v>
      </c>
      <c r="BA965" s="172">
        <f t="shared" si="384"/>
        <v>1</v>
      </c>
      <c r="BB965" s="175">
        <f t="shared" si="385"/>
        <v>16</v>
      </c>
      <c r="BC965" s="176">
        <f t="shared" si="386"/>
        <v>15</v>
      </c>
      <c r="BD965" s="176">
        <f t="shared" si="387"/>
        <v>16</v>
      </c>
      <c r="BE965" s="240" t="str">
        <f t="shared" si="378"/>
        <v/>
      </c>
      <c r="BF965" s="990"/>
      <c r="BG965" s="990"/>
      <c r="BH965" s="991">
        <f>IF(AND(Input_Product=Elig!$C965,Elig_MatchAll_Ct&lt;22,$BC965=(Elig_MatchAll_Ct-1),AF965=0),C965,0)</f>
        <v>0</v>
      </c>
      <c r="BI965" s="991">
        <f>IF(AND(Input_Product=Elig!$C965,Elig_MatchAll_Ct&lt;22,$BC965=(Elig_MatchAll_Ct-1),AG965=0),D965,0)</f>
        <v>0</v>
      </c>
      <c r="BJ965" s="991">
        <f>IF(AND(Input_Product=Elig!$C965,Elig_MatchAll_Ct&lt;22,$BC965=(Elig_MatchAll_Ct-1),AH965=0),E965,0)</f>
        <v>0</v>
      </c>
      <c r="BK965" s="991">
        <f>IF(AND(Input_Product=Elig!$C965,Elig_MatchAll_Ct&lt;22,$BC965=(Elig_MatchAll_Ct-1),AI965=0),F965,0)</f>
        <v>0</v>
      </c>
      <c r="BL965" s="991">
        <f>IF(AND(Input_Product=Elig!$C965,Elig_MatchAll_Ct&lt;22,$BC965=(Elig_MatchAll_Ct-1),AJ965=0),G965,0)</f>
        <v>0</v>
      </c>
      <c r="BM965" s="991">
        <f>IF(AND(Input_Product=Elig!$C965,Elig_MatchAll_Ct&lt;22,$BC965=(Elig_MatchAll_Ct-1),AK965=0),H965,0)</f>
        <v>0</v>
      </c>
      <c r="BN965" s="991">
        <f>IF(AND(Input_Product=Elig!$C965,Elig_MatchAll_Ct&lt;22,$BC965=(Elig_MatchAll_Ct-1),AL965=0),I965,0)</f>
        <v>0</v>
      </c>
      <c r="BO965" s="991">
        <f>IF(AND(Input_Product=Elig!$C965,Elig_MatchAll_Ct&lt;22,$BC965=(Elig_MatchAll_Ct-1),AM965=0),J965,0)</f>
        <v>0</v>
      </c>
      <c r="BP965" s="991">
        <f>IF(AND(Input_Product=Elig!$C965,Elig_MatchAll_Ct&lt;22,$BC965=(Elig_MatchAll_Ct-1),AN965=0),K965,0)</f>
        <v>0</v>
      </c>
      <c r="BQ965" s="991">
        <f>IF(AND(Input_Product=Elig!$C965,Elig_MatchAll_Ct&lt;22,$BC965=(Elig_MatchAll_Ct-1),AP965=0),L965,0)</f>
        <v>0</v>
      </c>
      <c r="BR965" s="991">
        <f>IF(AND(Input_Product=Elig!$C965,Elig_MatchAll_Ct&lt;22,$BC965=(Elig_MatchAll_Ct-1),AO965=0),M965,0)</f>
        <v>0</v>
      </c>
      <c r="BS965" s="991">
        <f>IF(AND(Input_Product=Elig!$C965,Elig_MatchAll_Ct&lt;22,$BC965=(Elig_MatchAll_Ct-1),AQ965=0),N965,0)</f>
        <v>0</v>
      </c>
      <c r="BT965" s="991">
        <f>IF(AND(Input_Product=Elig!$C965,Elig_MatchAll_Ct&lt;22,$BC965=(Elig_MatchAll_Ct-1),AR965=0),O965,0)</f>
        <v>0</v>
      </c>
      <c r="BU965" s="991">
        <f>IF(AND(Input_Product=Elig!$C965,Elig_MatchAll_Ct&lt;22,$BC965=(Elig_MatchAll_Ct-1),AS965=0),P965,0)</f>
        <v>0</v>
      </c>
      <c r="BV965" s="992">
        <f>IF(AND(Input_Product=Elig!$C965,Elig_MatchAll_Ct&lt;22,$BC965=(Elig_MatchAll_Ct-1),AT965=0),Q965,0)</f>
        <v>0</v>
      </c>
      <c r="BW965" s="993">
        <f>IF(AND(Input_Product=Elig!$C965,Elig_MatchAll_Ct&lt;22,$BC965=(Elig_MatchAll_Ct-1),AU965=0),R965,0)</f>
        <v>0</v>
      </c>
      <c r="BX965" s="994">
        <f>IF(AND(Input_Product=Elig!$C965,Elig_MatchAll_Ct&lt;22,$BC965=(Elig_MatchAll_Ct-1),AU965=0),S965,0)</f>
        <v>0</v>
      </c>
      <c r="BY965" s="993">
        <f>IF(AND(Input_Product=Elig!$C965,Elig_MatchAll_Ct&lt;22,$BC965=(Elig_MatchAll_Ct-1),AV965=0),T965,0)</f>
        <v>0</v>
      </c>
      <c r="BZ965" s="994">
        <f>IF(AND(Input_Product=Elig!$C965,Elig_MatchAll_Ct&lt;22,$BC965=(Elig_MatchAll_Ct-1),AV965=0),U965,0)</f>
        <v>0</v>
      </c>
      <c r="CA965" s="993">
        <f>IF(AND(Input_Product=Elig!$C965,Elig_MatchAll_Ct&lt;22,$BC965=(Elig_MatchAll_Ct-1),AW965=0),V965,0)</f>
        <v>0</v>
      </c>
      <c r="CB965" s="994">
        <f>IF(AND(Input_Product=Elig!$C965,Elig_MatchAll_Ct&lt;22,$BC965=(Elig_MatchAll_Ct-1),AW965=0),W965,0)</f>
        <v>0</v>
      </c>
      <c r="CC965" s="993">
        <f>IF(AND(Input_Product=Elig!$C965,Elig_MatchAll_Ct&lt;22,$BC965=(Elig_MatchAll_Ct-1),AX965=0),X965,0)</f>
        <v>0</v>
      </c>
      <c r="CD965" s="994">
        <f>IF(AND(Input_Product=Elig!$C965,Elig_MatchAll_Ct&lt;22,$BC965=(Elig_MatchAll_Ct-1),AX965=0),Y965,0)</f>
        <v>0</v>
      </c>
      <c r="CE965" s="993">
        <f>IF(AND(Input_LTV&lt;=AE965,Input_Product=Elig!$C965,Elig_MatchAll_Ct&lt;22,$BC965=(Elig_MatchAll_Ct-1),AY965=0),Z965,0)</f>
        <v>0</v>
      </c>
      <c r="CF965" s="994">
        <f>IF(AND(Input_LTV&lt;=AE965,Input_Product=Elig!$C965,Elig_MatchAll_Ct&lt;22,$BC965=(Elig_MatchAll_Ct-1),AY965=0),AA965,0)</f>
        <v>0</v>
      </c>
      <c r="CG965" s="993">
        <f>IF(AND(Input_Product=Elig!$C965,Elig_MatchAll_Ct&lt;22,$BC965=(Elig_MatchAll_Ct-1),AZ965=0),AB965,0)</f>
        <v>0</v>
      </c>
      <c r="CH965" s="994">
        <f>IF(AND(Input_Product=Elig!$C965,Elig_MatchAll_Ct&lt;22,$BC965=(Elig_MatchAll_Ct-1),AZ965=0),AC965,0)</f>
        <v>0</v>
      </c>
      <c r="CI965" s="993">
        <f>IF(AND(Input_Product=Elig!$C965,Elig_MatchAll_Ct&lt;22,$BC965=(Elig_MatchAll_Ct-1),BA965=0),AD965,0)</f>
        <v>0</v>
      </c>
      <c r="CJ965" s="994">
        <f>IF(AND(Input_Product=Elig!$C965,Elig_MatchAll_Ct&lt;22,$BC965=(Elig_MatchAll_Ct-1),BA965=0),AE965,0)</f>
        <v>0</v>
      </c>
    </row>
    <row r="966" spans="2:88" ht="10.15" customHeight="1" x14ac:dyDescent="0.25">
      <c r="B966" s="1916" t="s">
        <v>2302</v>
      </c>
      <c r="C966" s="1203" t="str">
        <f t="shared" si="389"/>
        <v xml:space="preserve">  </v>
      </c>
      <c r="D966" s="1204" t="s">
        <v>2218</v>
      </c>
      <c r="E966" s="1204" t="s">
        <v>167</v>
      </c>
      <c r="F966" s="1204" t="s">
        <v>331</v>
      </c>
      <c r="G966" s="1205" t="s">
        <v>179</v>
      </c>
      <c r="H966" s="1205" t="s">
        <v>136</v>
      </c>
      <c r="I966" s="1204" t="s">
        <v>274</v>
      </c>
      <c r="J966" s="1204" t="s">
        <v>1311</v>
      </c>
      <c r="K966" s="1205" t="s">
        <v>3022</v>
      </c>
      <c r="L966" s="1204" t="s">
        <v>2768</v>
      </c>
      <c r="M966" s="1204" t="s">
        <v>2677</v>
      </c>
      <c r="N966" s="1205" t="s">
        <v>82</v>
      </c>
      <c r="O966" s="1204" t="s">
        <v>310</v>
      </c>
      <c r="P966" s="1204" t="s">
        <v>291</v>
      </c>
      <c r="Q966" s="1204" t="s">
        <v>294</v>
      </c>
      <c r="R966" s="1204">
        <v>2000000.01</v>
      </c>
      <c r="S966" s="1204">
        <v>2500000</v>
      </c>
      <c r="T966" s="1204">
        <v>0</v>
      </c>
      <c r="U966" s="1204">
        <v>0</v>
      </c>
      <c r="V966" s="1204">
        <v>0</v>
      </c>
      <c r="W966" s="1204">
        <v>50</v>
      </c>
      <c r="X966" s="1204">
        <v>0</v>
      </c>
      <c r="Y966" s="1204">
        <v>999</v>
      </c>
      <c r="Z966" s="1206">
        <v>720</v>
      </c>
      <c r="AA966" s="1206">
        <v>999</v>
      </c>
      <c r="AB966" s="1206">
        <v>6</v>
      </c>
      <c r="AC966" s="1206">
        <v>999999</v>
      </c>
      <c r="AD966" s="1204">
        <v>0</v>
      </c>
      <c r="AE966" s="1207">
        <v>80</v>
      </c>
      <c r="AF966" s="170">
        <v>0</v>
      </c>
      <c r="AG966" s="171">
        <v>1</v>
      </c>
      <c r="AH966" s="171">
        <v>1</v>
      </c>
      <c r="AI966" s="171">
        <v>1</v>
      </c>
      <c r="AJ966" s="171">
        <v>0</v>
      </c>
      <c r="AK966" s="171">
        <v>1</v>
      </c>
      <c r="AL966" s="171">
        <v>0</v>
      </c>
      <c r="AM966" s="171">
        <v>1</v>
      </c>
      <c r="AN966" s="171">
        <v>1</v>
      </c>
      <c r="AO966" s="171">
        <v>1</v>
      </c>
      <c r="AP966" s="171">
        <v>1</v>
      </c>
      <c r="AQ966" s="171">
        <v>1</v>
      </c>
      <c r="AR966" s="171">
        <v>1</v>
      </c>
      <c r="AS966" s="171">
        <v>1</v>
      </c>
      <c r="AT966" s="171">
        <v>1</v>
      </c>
      <c r="AU966" s="171">
        <f t="shared" si="379"/>
        <v>0</v>
      </c>
      <c r="AV966" s="171">
        <f t="shared" si="380"/>
        <v>0</v>
      </c>
      <c r="AW966" s="171">
        <f t="shared" si="381"/>
        <v>1</v>
      </c>
      <c r="AX966" s="171">
        <f t="shared" si="388"/>
        <v>1</v>
      </c>
      <c r="AY966" s="171">
        <f t="shared" si="382"/>
        <v>1</v>
      </c>
      <c r="AZ966" s="171">
        <f t="shared" si="383"/>
        <v>1</v>
      </c>
      <c r="BA966" s="172">
        <f t="shared" si="384"/>
        <v>1</v>
      </c>
      <c r="BB966" s="175">
        <f t="shared" si="385"/>
        <v>17</v>
      </c>
      <c r="BC966" s="176">
        <f t="shared" si="386"/>
        <v>16</v>
      </c>
      <c r="BD966" s="176">
        <f t="shared" si="387"/>
        <v>17</v>
      </c>
      <c r="BE966" s="240" t="str">
        <f t="shared" si="378"/>
        <v/>
      </c>
      <c r="BF966" s="990"/>
      <c r="BG966" s="990"/>
      <c r="BH966" s="991">
        <f>IF(AND(Input_Product=Elig!$C966,Elig_MatchAll_Ct&lt;22,$BC966=(Elig_MatchAll_Ct-1),AF966=0),C966,0)</f>
        <v>0</v>
      </c>
      <c r="BI966" s="991">
        <f>IF(AND(Input_Product=Elig!$C966,Elig_MatchAll_Ct&lt;22,$BC966=(Elig_MatchAll_Ct-1),AG966=0),D966,0)</f>
        <v>0</v>
      </c>
      <c r="BJ966" s="991">
        <f>IF(AND(Input_Product=Elig!$C966,Elig_MatchAll_Ct&lt;22,$BC966=(Elig_MatchAll_Ct-1),AH966=0),E966,0)</f>
        <v>0</v>
      </c>
      <c r="BK966" s="991">
        <f>IF(AND(Input_Product=Elig!$C966,Elig_MatchAll_Ct&lt;22,$BC966=(Elig_MatchAll_Ct-1),AI966=0),F966,0)</f>
        <v>0</v>
      </c>
      <c r="BL966" s="991">
        <f>IF(AND(Input_Product=Elig!$C966,Elig_MatchAll_Ct&lt;22,$BC966=(Elig_MatchAll_Ct-1),AJ966=0),G966,0)</f>
        <v>0</v>
      </c>
      <c r="BM966" s="991">
        <f>IF(AND(Input_Product=Elig!$C966,Elig_MatchAll_Ct&lt;22,$BC966=(Elig_MatchAll_Ct-1),AK966=0),H966,0)</f>
        <v>0</v>
      </c>
      <c r="BN966" s="991">
        <f>IF(AND(Input_Product=Elig!$C966,Elig_MatchAll_Ct&lt;22,$BC966=(Elig_MatchAll_Ct-1),AL966=0),I966,0)</f>
        <v>0</v>
      </c>
      <c r="BO966" s="991">
        <f>IF(AND(Input_Product=Elig!$C966,Elig_MatchAll_Ct&lt;22,$BC966=(Elig_MatchAll_Ct-1),AM966=0),J966,0)</f>
        <v>0</v>
      </c>
      <c r="BP966" s="991">
        <f>IF(AND(Input_Product=Elig!$C966,Elig_MatchAll_Ct&lt;22,$BC966=(Elig_MatchAll_Ct-1),AN966=0),K966,0)</f>
        <v>0</v>
      </c>
      <c r="BQ966" s="991">
        <f>IF(AND(Input_Product=Elig!$C966,Elig_MatchAll_Ct&lt;22,$BC966=(Elig_MatchAll_Ct-1),AP966=0),L966,0)</f>
        <v>0</v>
      </c>
      <c r="BR966" s="991">
        <f>IF(AND(Input_Product=Elig!$C966,Elig_MatchAll_Ct&lt;22,$BC966=(Elig_MatchAll_Ct-1),AO966=0),M966,0)</f>
        <v>0</v>
      </c>
      <c r="BS966" s="991">
        <f>IF(AND(Input_Product=Elig!$C966,Elig_MatchAll_Ct&lt;22,$BC966=(Elig_MatchAll_Ct-1),AQ966=0),N966,0)</f>
        <v>0</v>
      </c>
      <c r="BT966" s="991">
        <f>IF(AND(Input_Product=Elig!$C966,Elig_MatchAll_Ct&lt;22,$BC966=(Elig_MatchAll_Ct-1),AR966=0),O966,0)</f>
        <v>0</v>
      </c>
      <c r="BU966" s="991">
        <f>IF(AND(Input_Product=Elig!$C966,Elig_MatchAll_Ct&lt;22,$BC966=(Elig_MatchAll_Ct-1),AS966=0),P966,0)</f>
        <v>0</v>
      </c>
      <c r="BV966" s="992">
        <f>IF(AND(Input_Product=Elig!$C966,Elig_MatchAll_Ct&lt;22,$BC966=(Elig_MatchAll_Ct-1),AT966=0),Q966,0)</f>
        <v>0</v>
      </c>
      <c r="BW966" s="993">
        <f>IF(AND(Input_Product=Elig!$C966,Elig_MatchAll_Ct&lt;22,$BC966=(Elig_MatchAll_Ct-1),AU966=0),R966,0)</f>
        <v>0</v>
      </c>
      <c r="BX966" s="994">
        <f>IF(AND(Input_Product=Elig!$C966,Elig_MatchAll_Ct&lt;22,$BC966=(Elig_MatchAll_Ct-1),AU966=0),S966,0)</f>
        <v>0</v>
      </c>
      <c r="BY966" s="993">
        <f>IF(AND(Input_Product=Elig!$C966,Elig_MatchAll_Ct&lt;22,$BC966=(Elig_MatchAll_Ct-1),AV966=0),T966,0)</f>
        <v>0</v>
      </c>
      <c r="BZ966" s="994">
        <f>IF(AND(Input_Product=Elig!$C966,Elig_MatchAll_Ct&lt;22,$BC966=(Elig_MatchAll_Ct-1),AV966=0),U966,0)</f>
        <v>0</v>
      </c>
      <c r="CA966" s="993">
        <f>IF(AND(Input_Product=Elig!$C966,Elig_MatchAll_Ct&lt;22,$BC966=(Elig_MatchAll_Ct-1),AW966=0),V966,0)</f>
        <v>0</v>
      </c>
      <c r="CB966" s="994">
        <f>IF(AND(Input_Product=Elig!$C966,Elig_MatchAll_Ct&lt;22,$BC966=(Elig_MatchAll_Ct-1),AW966=0),W966,0)</f>
        <v>0</v>
      </c>
      <c r="CC966" s="993">
        <f>IF(AND(Input_Product=Elig!$C966,Elig_MatchAll_Ct&lt;22,$BC966=(Elig_MatchAll_Ct-1),AX966=0),X966,0)</f>
        <v>0</v>
      </c>
      <c r="CD966" s="994">
        <f>IF(AND(Input_Product=Elig!$C966,Elig_MatchAll_Ct&lt;22,$BC966=(Elig_MatchAll_Ct-1),AX966=0),Y966,0)</f>
        <v>0</v>
      </c>
      <c r="CE966" s="993">
        <f>IF(AND(Input_LTV&lt;=AE966,Input_Product=Elig!$C966,Elig_MatchAll_Ct&lt;22,$BC966=(Elig_MatchAll_Ct-1),AY966=0),Z966,0)</f>
        <v>0</v>
      </c>
      <c r="CF966" s="994">
        <f>IF(AND(Input_LTV&lt;=AE966,Input_Product=Elig!$C966,Elig_MatchAll_Ct&lt;22,$BC966=(Elig_MatchAll_Ct-1),AY966=0),AA966,0)</f>
        <v>0</v>
      </c>
      <c r="CG966" s="993">
        <f>IF(AND(Input_Product=Elig!$C966,Elig_MatchAll_Ct&lt;22,$BC966=(Elig_MatchAll_Ct-1),AZ966=0),AB966,0)</f>
        <v>0</v>
      </c>
      <c r="CH966" s="994">
        <f>IF(AND(Input_Product=Elig!$C966,Elig_MatchAll_Ct&lt;22,$BC966=(Elig_MatchAll_Ct-1),AZ966=0),AC966,0)</f>
        <v>0</v>
      </c>
      <c r="CI966" s="993">
        <f>IF(AND(Input_Product=Elig!$C966,Elig_MatchAll_Ct&lt;22,$BC966=(Elig_MatchAll_Ct-1),BA966=0),AD966,0)</f>
        <v>0</v>
      </c>
      <c r="CJ966" s="994">
        <f>IF(AND(Input_Product=Elig!$C966,Elig_MatchAll_Ct&lt;22,$BC966=(Elig_MatchAll_Ct-1),BA966=0),AE966,0)</f>
        <v>0</v>
      </c>
    </row>
    <row r="967" spans="2:88" ht="10.15" customHeight="1" x14ac:dyDescent="0.25">
      <c r="B967" s="1916" t="s">
        <v>2303</v>
      </c>
      <c r="C967" s="1208" t="str">
        <f t="shared" si="389"/>
        <v xml:space="preserve">  </v>
      </c>
      <c r="D967" s="1209" t="s">
        <v>2218</v>
      </c>
      <c r="E967" s="1209" t="s">
        <v>167</v>
      </c>
      <c r="F967" s="1209" t="s">
        <v>331</v>
      </c>
      <c r="G967" s="1210" t="s">
        <v>179</v>
      </c>
      <c r="H967" s="1210" t="s">
        <v>136</v>
      </c>
      <c r="I967" s="1209" t="s">
        <v>274</v>
      </c>
      <c r="J967" s="1209" t="s">
        <v>1311</v>
      </c>
      <c r="K967" s="1210" t="s">
        <v>3022</v>
      </c>
      <c r="L967" s="1209" t="s">
        <v>2768</v>
      </c>
      <c r="M967" s="1209" t="s">
        <v>2677</v>
      </c>
      <c r="N967" s="1210" t="s">
        <v>82</v>
      </c>
      <c r="O967" s="1209" t="s">
        <v>310</v>
      </c>
      <c r="P967" s="1209" t="s">
        <v>291</v>
      </c>
      <c r="Q967" s="1209" t="s">
        <v>294</v>
      </c>
      <c r="R967" s="1209">
        <v>2000000.01</v>
      </c>
      <c r="S967" s="1209">
        <v>2500000</v>
      </c>
      <c r="T967" s="1209">
        <v>0</v>
      </c>
      <c r="U967" s="1209">
        <v>0</v>
      </c>
      <c r="V967" s="1209">
        <v>0</v>
      </c>
      <c r="W967" s="1209">
        <v>50</v>
      </c>
      <c r="X967" s="1209">
        <v>0</v>
      </c>
      <c r="Y967" s="1209">
        <v>999</v>
      </c>
      <c r="Z967" s="1211">
        <v>700</v>
      </c>
      <c r="AA967" s="1211">
        <v>719</v>
      </c>
      <c r="AB967" s="1211">
        <v>6</v>
      </c>
      <c r="AC967" s="1211">
        <v>999999</v>
      </c>
      <c r="AD967" s="1209">
        <v>0</v>
      </c>
      <c r="AE967" s="1212">
        <v>75</v>
      </c>
      <c r="AF967" s="170">
        <v>0</v>
      </c>
      <c r="AG967" s="171">
        <v>1</v>
      </c>
      <c r="AH967" s="171">
        <v>1</v>
      </c>
      <c r="AI967" s="171">
        <v>1</v>
      </c>
      <c r="AJ967" s="171">
        <v>0</v>
      </c>
      <c r="AK967" s="171">
        <v>1</v>
      </c>
      <c r="AL967" s="171">
        <v>0</v>
      </c>
      <c r="AM967" s="171">
        <v>1</v>
      </c>
      <c r="AN967" s="171">
        <v>1</v>
      </c>
      <c r="AO967" s="171">
        <v>1</v>
      </c>
      <c r="AP967" s="171">
        <v>1</v>
      </c>
      <c r="AQ967" s="171">
        <v>1</v>
      </c>
      <c r="AR967" s="171">
        <v>1</v>
      </c>
      <c r="AS967" s="171">
        <v>1</v>
      </c>
      <c r="AT967" s="171">
        <v>1</v>
      </c>
      <c r="AU967" s="171">
        <f t="shared" si="379"/>
        <v>0</v>
      </c>
      <c r="AV967" s="171">
        <f t="shared" si="380"/>
        <v>0</v>
      </c>
      <c r="AW967" s="171">
        <f t="shared" si="381"/>
        <v>1</v>
      </c>
      <c r="AX967" s="171">
        <f t="shared" si="388"/>
        <v>1</v>
      </c>
      <c r="AY967" s="171">
        <f t="shared" si="382"/>
        <v>0</v>
      </c>
      <c r="AZ967" s="171">
        <f t="shared" si="383"/>
        <v>1</v>
      </c>
      <c r="BA967" s="172">
        <f t="shared" si="384"/>
        <v>1</v>
      </c>
      <c r="BB967" s="175">
        <f t="shared" si="385"/>
        <v>16</v>
      </c>
      <c r="BC967" s="176">
        <f t="shared" si="386"/>
        <v>15</v>
      </c>
      <c r="BD967" s="176">
        <f t="shared" si="387"/>
        <v>16</v>
      </c>
      <c r="BE967" s="240" t="str">
        <f t="shared" ref="BE967:BE1030" si="390">IF(BD967=21,C967,"")</f>
        <v/>
      </c>
      <c r="BF967" s="990"/>
      <c r="BG967" s="990"/>
      <c r="BH967" s="991">
        <f>IF(AND(Input_Product=Elig!$C967,Elig_MatchAll_Ct&lt;22,$BC967=(Elig_MatchAll_Ct-1),AF967=0),C967,0)</f>
        <v>0</v>
      </c>
      <c r="BI967" s="991">
        <f>IF(AND(Input_Product=Elig!$C967,Elig_MatchAll_Ct&lt;22,$BC967=(Elig_MatchAll_Ct-1),AG967=0),D967,0)</f>
        <v>0</v>
      </c>
      <c r="BJ967" s="991">
        <f>IF(AND(Input_Product=Elig!$C967,Elig_MatchAll_Ct&lt;22,$BC967=(Elig_MatchAll_Ct-1),AH967=0),E967,0)</f>
        <v>0</v>
      </c>
      <c r="BK967" s="991">
        <f>IF(AND(Input_Product=Elig!$C967,Elig_MatchAll_Ct&lt;22,$BC967=(Elig_MatchAll_Ct-1),AI967=0),F967,0)</f>
        <v>0</v>
      </c>
      <c r="BL967" s="991">
        <f>IF(AND(Input_Product=Elig!$C967,Elig_MatchAll_Ct&lt;22,$BC967=(Elig_MatchAll_Ct-1),AJ967=0),G967,0)</f>
        <v>0</v>
      </c>
      <c r="BM967" s="991">
        <f>IF(AND(Input_Product=Elig!$C967,Elig_MatchAll_Ct&lt;22,$BC967=(Elig_MatchAll_Ct-1),AK967=0),H967,0)</f>
        <v>0</v>
      </c>
      <c r="BN967" s="991">
        <f>IF(AND(Input_Product=Elig!$C967,Elig_MatchAll_Ct&lt;22,$BC967=(Elig_MatchAll_Ct-1),AL967=0),I967,0)</f>
        <v>0</v>
      </c>
      <c r="BO967" s="991">
        <f>IF(AND(Input_Product=Elig!$C967,Elig_MatchAll_Ct&lt;22,$BC967=(Elig_MatchAll_Ct-1),AM967=0),J967,0)</f>
        <v>0</v>
      </c>
      <c r="BP967" s="991">
        <f>IF(AND(Input_Product=Elig!$C967,Elig_MatchAll_Ct&lt;22,$BC967=(Elig_MatchAll_Ct-1),AN967=0),K967,0)</f>
        <v>0</v>
      </c>
      <c r="BQ967" s="991">
        <f>IF(AND(Input_Product=Elig!$C967,Elig_MatchAll_Ct&lt;22,$BC967=(Elig_MatchAll_Ct-1),AP967=0),L967,0)</f>
        <v>0</v>
      </c>
      <c r="BR967" s="991">
        <f>IF(AND(Input_Product=Elig!$C967,Elig_MatchAll_Ct&lt;22,$BC967=(Elig_MatchAll_Ct-1),AO967=0),M967,0)</f>
        <v>0</v>
      </c>
      <c r="BS967" s="991">
        <f>IF(AND(Input_Product=Elig!$C967,Elig_MatchAll_Ct&lt;22,$BC967=(Elig_MatchAll_Ct-1),AQ967=0),N967,0)</f>
        <v>0</v>
      </c>
      <c r="BT967" s="991">
        <f>IF(AND(Input_Product=Elig!$C967,Elig_MatchAll_Ct&lt;22,$BC967=(Elig_MatchAll_Ct-1),AR967=0),O967,0)</f>
        <v>0</v>
      </c>
      <c r="BU967" s="991">
        <f>IF(AND(Input_Product=Elig!$C967,Elig_MatchAll_Ct&lt;22,$BC967=(Elig_MatchAll_Ct-1),AS967=0),P967,0)</f>
        <v>0</v>
      </c>
      <c r="BV967" s="992">
        <f>IF(AND(Input_Product=Elig!$C967,Elig_MatchAll_Ct&lt;22,$BC967=(Elig_MatchAll_Ct-1),AT967=0),Q967,0)</f>
        <v>0</v>
      </c>
      <c r="BW967" s="993">
        <f>IF(AND(Input_Product=Elig!$C967,Elig_MatchAll_Ct&lt;22,$BC967=(Elig_MatchAll_Ct-1),AU967=0),R967,0)</f>
        <v>0</v>
      </c>
      <c r="BX967" s="994">
        <f>IF(AND(Input_Product=Elig!$C967,Elig_MatchAll_Ct&lt;22,$BC967=(Elig_MatchAll_Ct-1),AU967=0),S967,0)</f>
        <v>0</v>
      </c>
      <c r="BY967" s="993">
        <f>IF(AND(Input_Product=Elig!$C967,Elig_MatchAll_Ct&lt;22,$BC967=(Elig_MatchAll_Ct-1),AV967=0),T967,0)</f>
        <v>0</v>
      </c>
      <c r="BZ967" s="994">
        <f>IF(AND(Input_Product=Elig!$C967,Elig_MatchAll_Ct&lt;22,$BC967=(Elig_MatchAll_Ct-1),AV967=0),U967,0)</f>
        <v>0</v>
      </c>
      <c r="CA967" s="993">
        <f>IF(AND(Input_Product=Elig!$C967,Elig_MatchAll_Ct&lt;22,$BC967=(Elig_MatchAll_Ct-1),AW967=0),V967,0)</f>
        <v>0</v>
      </c>
      <c r="CB967" s="994">
        <f>IF(AND(Input_Product=Elig!$C967,Elig_MatchAll_Ct&lt;22,$BC967=(Elig_MatchAll_Ct-1),AW967=0),W967,0)</f>
        <v>0</v>
      </c>
      <c r="CC967" s="993">
        <f>IF(AND(Input_Product=Elig!$C967,Elig_MatchAll_Ct&lt;22,$BC967=(Elig_MatchAll_Ct-1),AX967=0),X967,0)</f>
        <v>0</v>
      </c>
      <c r="CD967" s="994">
        <f>IF(AND(Input_Product=Elig!$C967,Elig_MatchAll_Ct&lt;22,$BC967=(Elig_MatchAll_Ct-1),AX967=0),Y967,0)</f>
        <v>0</v>
      </c>
      <c r="CE967" s="993">
        <f>IF(AND(Input_LTV&lt;=AE967,Input_Product=Elig!$C967,Elig_MatchAll_Ct&lt;22,$BC967=(Elig_MatchAll_Ct-1),AY967=0),Z967,0)</f>
        <v>0</v>
      </c>
      <c r="CF967" s="994">
        <f>IF(AND(Input_LTV&lt;=AE967,Input_Product=Elig!$C967,Elig_MatchAll_Ct&lt;22,$BC967=(Elig_MatchAll_Ct-1),AY967=0),AA967,0)</f>
        <v>0</v>
      </c>
      <c r="CG967" s="993">
        <f>IF(AND(Input_Product=Elig!$C967,Elig_MatchAll_Ct&lt;22,$BC967=(Elig_MatchAll_Ct-1),AZ967=0),AB967,0)</f>
        <v>0</v>
      </c>
      <c r="CH967" s="994">
        <f>IF(AND(Input_Product=Elig!$C967,Elig_MatchAll_Ct&lt;22,$BC967=(Elig_MatchAll_Ct-1),AZ967=0),AC967,0)</f>
        <v>0</v>
      </c>
      <c r="CI967" s="993">
        <f>IF(AND(Input_Product=Elig!$C967,Elig_MatchAll_Ct&lt;22,$BC967=(Elig_MatchAll_Ct-1),BA967=0),AD967,0)</f>
        <v>0</v>
      </c>
      <c r="CJ967" s="994">
        <f>IF(AND(Input_Product=Elig!$C967,Elig_MatchAll_Ct&lt;22,$BC967=(Elig_MatchAll_Ct-1),BA967=0),AE967,0)</f>
        <v>0</v>
      </c>
    </row>
    <row r="968" spans="2:88" ht="10.15" customHeight="1" x14ac:dyDescent="0.25">
      <c r="B968" s="1916" t="s">
        <v>2304</v>
      </c>
      <c r="C968" s="1213" t="str">
        <f t="shared" si="389"/>
        <v xml:space="preserve">  </v>
      </c>
      <c r="D968" s="1214" t="s">
        <v>2218</v>
      </c>
      <c r="E968" s="1214" t="s">
        <v>167</v>
      </c>
      <c r="F968" s="1214" t="s">
        <v>331</v>
      </c>
      <c r="G968" s="1215" t="s">
        <v>179</v>
      </c>
      <c r="H968" s="1215" t="s">
        <v>136</v>
      </c>
      <c r="I968" s="1214" t="s">
        <v>274</v>
      </c>
      <c r="J968" s="1214" t="s">
        <v>1311</v>
      </c>
      <c r="K968" s="1215" t="s">
        <v>3022</v>
      </c>
      <c r="L968" s="1214" t="s">
        <v>2768</v>
      </c>
      <c r="M968" s="1214" t="s">
        <v>2677</v>
      </c>
      <c r="N968" s="1215" t="s">
        <v>82</v>
      </c>
      <c r="O968" s="1214" t="s">
        <v>310</v>
      </c>
      <c r="P968" s="1214" t="s">
        <v>291</v>
      </c>
      <c r="Q968" s="1214" t="s">
        <v>294</v>
      </c>
      <c r="R968" s="1214">
        <v>2000000.01</v>
      </c>
      <c r="S968" s="1214">
        <v>2500000</v>
      </c>
      <c r="T968" s="1214">
        <v>0</v>
      </c>
      <c r="U968" s="1214">
        <v>0</v>
      </c>
      <c r="V968" s="1214">
        <v>0</v>
      </c>
      <c r="W968" s="1214">
        <v>50</v>
      </c>
      <c r="X968" s="1214">
        <v>0</v>
      </c>
      <c r="Y968" s="1214">
        <v>999</v>
      </c>
      <c r="Z968" s="1216">
        <v>680</v>
      </c>
      <c r="AA968" s="1216">
        <v>699</v>
      </c>
      <c r="AB968" s="1216">
        <v>6</v>
      </c>
      <c r="AC968" s="1216">
        <v>999999</v>
      </c>
      <c r="AD968" s="1214">
        <v>0</v>
      </c>
      <c r="AE968" s="1217">
        <v>75</v>
      </c>
      <c r="AF968" s="170">
        <v>0</v>
      </c>
      <c r="AG968" s="171">
        <v>1</v>
      </c>
      <c r="AH968" s="171">
        <v>1</v>
      </c>
      <c r="AI968" s="171">
        <v>1</v>
      </c>
      <c r="AJ968" s="171">
        <v>0</v>
      </c>
      <c r="AK968" s="171">
        <v>1</v>
      </c>
      <c r="AL968" s="171">
        <v>0</v>
      </c>
      <c r="AM968" s="171">
        <v>1</v>
      </c>
      <c r="AN968" s="171">
        <v>1</v>
      </c>
      <c r="AO968" s="171">
        <v>1</v>
      </c>
      <c r="AP968" s="171">
        <v>1</v>
      </c>
      <c r="AQ968" s="171">
        <v>1</v>
      </c>
      <c r="AR968" s="171">
        <v>1</v>
      </c>
      <c r="AS968" s="171">
        <v>1</v>
      </c>
      <c r="AT968" s="171">
        <v>1</v>
      </c>
      <c r="AU968" s="171">
        <f t="shared" si="379"/>
        <v>0</v>
      </c>
      <c r="AV968" s="171">
        <f t="shared" si="380"/>
        <v>0</v>
      </c>
      <c r="AW968" s="171">
        <f t="shared" si="381"/>
        <v>1</v>
      </c>
      <c r="AX968" s="171">
        <f t="shared" si="388"/>
        <v>1</v>
      </c>
      <c r="AY968" s="171">
        <f t="shared" si="382"/>
        <v>0</v>
      </c>
      <c r="AZ968" s="171">
        <f t="shared" si="383"/>
        <v>1</v>
      </c>
      <c r="BA968" s="172">
        <f t="shared" si="384"/>
        <v>1</v>
      </c>
      <c r="BB968" s="175">
        <f t="shared" si="385"/>
        <v>16</v>
      </c>
      <c r="BC968" s="176">
        <f t="shared" si="386"/>
        <v>15</v>
      </c>
      <c r="BD968" s="176">
        <f t="shared" si="387"/>
        <v>16</v>
      </c>
      <c r="BE968" s="240" t="str">
        <f t="shared" si="390"/>
        <v/>
      </c>
      <c r="BF968" s="990"/>
      <c r="BG968" s="990"/>
      <c r="BH968" s="991">
        <f>IF(AND(Input_Product=Elig!$C968,Elig_MatchAll_Ct&lt;22,$BC968=(Elig_MatchAll_Ct-1),AF968=0),C968,0)</f>
        <v>0</v>
      </c>
      <c r="BI968" s="991">
        <f>IF(AND(Input_Product=Elig!$C968,Elig_MatchAll_Ct&lt;22,$BC968=(Elig_MatchAll_Ct-1),AG968=0),D968,0)</f>
        <v>0</v>
      </c>
      <c r="BJ968" s="991">
        <f>IF(AND(Input_Product=Elig!$C968,Elig_MatchAll_Ct&lt;22,$BC968=(Elig_MatchAll_Ct-1),AH968=0),E968,0)</f>
        <v>0</v>
      </c>
      <c r="BK968" s="991">
        <f>IF(AND(Input_Product=Elig!$C968,Elig_MatchAll_Ct&lt;22,$BC968=(Elig_MatchAll_Ct-1),AI968=0),F968,0)</f>
        <v>0</v>
      </c>
      <c r="BL968" s="991">
        <f>IF(AND(Input_Product=Elig!$C968,Elig_MatchAll_Ct&lt;22,$BC968=(Elig_MatchAll_Ct-1),AJ968=0),G968,0)</f>
        <v>0</v>
      </c>
      <c r="BM968" s="991">
        <f>IF(AND(Input_Product=Elig!$C968,Elig_MatchAll_Ct&lt;22,$BC968=(Elig_MatchAll_Ct-1),AK968=0),H968,0)</f>
        <v>0</v>
      </c>
      <c r="BN968" s="991">
        <f>IF(AND(Input_Product=Elig!$C968,Elig_MatchAll_Ct&lt;22,$BC968=(Elig_MatchAll_Ct-1),AL968=0),I968,0)</f>
        <v>0</v>
      </c>
      <c r="BO968" s="991">
        <f>IF(AND(Input_Product=Elig!$C968,Elig_MatchAll_Ct&lt;22,$BC968=(Elig_MatchAll_Ct-1),AM968=0),J968,0)</f>
        <v>0</v>
      </c>
      <c r="BP968" s="991">
        <f>IF(AND(Input_Product=Elig!$C968,Elig_MatchAll_Ct&lt;22,$BC968=(Elig_MatchAll_Ct-1),AN968=0),K968,0)</f>
        <v>0</v>
      </c>
      <c r="BQ968" s="991">
        <f>IF(AND(Input_Product=Elig!$C968,Elig_MatchAll_Ct&lt;22,$BC968=(Elig_MatchAll_Ct-1),AP968=0),L968,0)</f>
        <v>0</v>
      </c>
      <c r="BR968" s="991">
        <f>IF(AND(Input_Product=Elig!$C968,Elig_MatchAll_Ct&lt;22,$BC968=(Elig_MatchAll_Ct-1),AO968=0),M968,0)</f>
        <v>0</v>
      </c>
      <c r="BS968" s="991">
        <f>IF(AND(Input_Product=Elig!$C968,Elig_MatchAll_Ct&lt;22,$BC968=(Elig_MatchAll_Ct-1),AQ968=0),N968,0)</f>
        <v>0</v>
      </c>
      <c r="BT968" s="991">
        <f>IF(AND(Input_Product=Elig!$C968,Elig_MatchAll_Ct&lt;22,$BC968=(Elig_MatchAll_Ct-1),AR968=0),O968,0)</f>
        <v>0</v>
      </c>
      <c r="BU968" s="991">
        <f>IF(AND(Input_Product=Elig!$C968,Elig_MatchAll_Ct&lt;22,$BC968=(Elig_MatchAll_Ct-1),AS968=0),P968,0)</f>
        <v>0</v>
      </c>
      <c r="BV968" s="992">
        <f>IF(AND(Input_Product=Elig!$C968,Elig_MatchAll_Ct&lt;22,$BC968=(Elig_MatchAll_Ct-1),AT968=0),Q968,0)</f>
        <v>0</v>
      </c>
      <c r="BW968" s="993">
        <f>IF(AND(Input_Product=Elig!$C968,Elig_MatchAll_Ct&lt;22,$BC968=(Elig_MatchAll_Ct-1),AU968=0),R968,0)</f>
        <v>0</v>
      </c>
      <c r="BX968" s="994">
        <f>IF(AND(Input_Product=Elig!$C968,Elig_MatchAll_Ct&lt;22,$BC968=(Elig_MatchAll_Ct-1),AU968=0),S968,0)</f>
        <v>0</v>
      </c>
      <c r="BY968" s="993">
        <f>IF(AND(Input_Product=Elig!$C968,Elig_MatchAll_Ct&lt;22,$BC968=(Elig_MatchAll_Ct-1),AV968=0),T968,0)</f>
        <v>0</v>
      </c>
      <c r="BZ968" s="994">
        <f>IF(AND(Input_Product=Elig!$C968,Elig_MatchAll_Ct&lt;22,$BC968=(Elig_MatchAll_Ct-1),AV968=0),U968,0)</f>
        <v>0</v>
      </c>
      <c r="CA968" s="993">
        <f>IF(AND(Input_Product=Elig!$C968,Elig_MatchAll_Ct&lt;22,$BC968=(Elig_MatchAll_Ct-1),AW968=0),V968,0)</f>
        <v>0</v>
      </c>
      <c r="CB968" s="994">
        <f>IF(AND(Input_Product=Elig!$C968,Elig_MatchAll_Ct&lt;22,$BC968=(Elig_MatchAll_Ct-1),AW968=0),W968,0)</f>
        <v>0</v>
      </c>
      <c r="CC968" s="993">
        <f>IF(AND(Input_Product=Elig!$C968,Elig_MatchAll_Ct&lt;22,$BC968=(Elig_MatchAll_Ct-1),AX968=0),X968,0)</f>
        <v>0</v>
      </c>
      <c r="CD968" s="994">
        <f>IF(AND(Input_Product=Elig!$C968,Elig_MatchAll_Ct&lt;22,$BC968=(Elig_MatchAll_Ct-1),AX968=0),Y968,0)</f>
        <v>0</v>
      </c>
      <c r="CE968" s="993">
        <f>IF(AND(Input_LTV&lt;=AE968,Input_Product=Elig!$C968,Elig_MatchAll_Ct&lt;22,$BC968=(Elig_MatchAll_Ct-1),AY968=0),Z968,0)</f>
        <v>0</v>
      </c>
      <c r="CF968" s="994">
        <f>IF(AND(Input_LTV&lt;=AE968,Input_Product=Elig!$C968,Elig_MatchAll_Ct&lt;22,$BC968=(Elig_MatchAll_Ct-1),AY968=0),AA968,0)</f>
        <v>0</v>
      </c>
      <c r="CG968" s="993">
        <f>IF(AND(Input_Product=Elig!$C968,Elig_MatchAll_Ct&lt;22,$BC968=(Elig_MatchAll_Ct-1),AZ968=0),AB968,0)</f>
        <v>0</v>
      </c>
      <c r="CH968" s="994">
        <f>IF(AND(Input_Product=Elig!$C968,Elig_MatchAll_Ct&lt;22,$BC968=(Elig_MatchAll_Ct-1),AZ968=0),AC968,0)</f>
        <v>0</v>
      </c>
      <c r="CI968" s="993">
        <f>IF(AND(Input_Product=Elig!$C968,Elig_MatchAll_Ct&lt;22,$BC968=(Elig_MatchAll_Ct-1),BA968=0),AD968,0)</f>
        <v>0</v>
      </c>
      <c r="CJ968" s="994">
        <f>IF(AND(Input_Product=Elig!$C968,Elig_MatchAll_Ct&lt;22,$BC968=(Elig_MatchAll_Ct-1),BA968=0),AE968,0)</f>
        <v>0</v>
      </c>
    </row>
    <row r="969" spans="2:88" ht="10.15" customHeight="1" x14ac:dyDescent="0.25">
      <c r="B969" s="1916" t="s">
        <v>2305</v>
      </c>
      <c r="C969" s="1203" t="str">
        <f t="shared" si="389"/>
        <v xml:space="preserve">  </v>
      </c>
      <c r="D969" s="1204" t="s">
        <v>2218</v>
      </c>
      <c r="E969" s="1204" t="s">
        <v>167</v>
      </c>
      <c r="F969" s="1204" t="s">
        <v>331</v>
      </c>
      <c r="G969" s="1205" t="s">
        <v>179</v>
      </c>
      <c r="H969" s="1205" t="s">
        <v>136</v>
      </c>
      <c r="I969" s="1204" t="s">
        <v>274</v>
      </c>
      <c r="J969" s="1204" t="s">
        <v>1311</v>
      </c>
      <c r="K969" s="1205" t="s">
        <v>3022</v>
      </c>
      <c r="L969" s="1204" t="s">
        <v>2768</v>
      </c>
      <c r="M969" s="1204" t="s">
        <v>2677</v>
      </c>
      <c r="N969" s="1205" t="s">
        <v>82</v>
      </c>
      <c r="O969" s="1204" t="s">
        <v>310</v>
      </c>
      <c r="P969" s="1204" t="s">
        <v>291</v>
      </c>
      <c r="Q969" s="1204" t="s">
        <v>294</v>
      </c>
      <c r="R969" s="1204">
        <v>2500000.0099999998</v>
      </c>
      <c r="S969" s="1204">
        <v>3000000</v>
      </c>
      <c r="T969" s="1204">
        <v>0</v>
      </c>
      <c r="U969" s="1204">
        <v>0</v>
      </c>
      <c r="V969" s="1204">
        <v>0</v>
      </c>
      <c r="W969" s="1204">
        <v>50</v>
      </c>
      <c r="X969" s="1204">
        <v>0</v>
      </c>
      <c r="Y969" s="1204">
        <v>999</v>
      </c>
      <c r="Z969" s="1206">
        <v>720</v>
      </c>
      <c r="AA969" s="1206">
        <v>999</v>
      </c>
      <c r="AB969" s="1206">
        <v>6</v>
      </c>
      <c r="AC969" s="1206">
        <v>999999</v>
      </c>
      <c r="AD969" s="1204">
        <v>0</v>
      </c>
      <c r="AE969" s="1207">
        <v>75</v>
      </c>
      <c r="AF969" s="170">
        <v>0</v>
      </c>
      <c r="AG969" s="171">
        <v>1</v>
      </c>
      <c r="AH969" s="171">
        <v>1</v>
      </c>
      <c r="AI969" s="171">
        <v>1</v>
      </c>
      <c r="AJ969" s="171">
        <v>0</v>
      </c>
      <c r="AK969" s="171">
        <v>1</v>
      </c>
      <c r="AL969" s="171">
        <v>0</v>
      </c>
      <c r="AM969" s="171">
        <v>1</v>
      </c>
      <c r="AN969" s="171">
        <v>1</v>
      </c>
      <c r="AO969" s="171">
        <v>1</v>
      </c>
      <c r="AP969" s="171">
        <v>1</v>
      </c>
      <c r="AQ969" s="171">
        <v>1</v>
      </c>
      <c r="AR969" s="171">
        <v>1</v>
      </c>
      <c r="AS969" s="171">
        <v>1</v>
      </c>
      <c r="AT969" s="171">
        <v>1</v>
      </c>
      <c r="AU969" s="171">
        <f t="shared" si="379"/>
        <v>0</v>
      </c>
      <c r="AV969" s="171">
        <f t="shared" si="380"/>
        <v>0</v>
      </c>
      <c r="AW969" s="171">
        <f t="shared" si="381"/>
        <v>1</v>
      </c>
      <c r="AX969" s="171">
        <f t="shared" si="388"/>
        <v>1</v>
      </c>
      <c r="AY969" s="171">
        <f t="shared" si="382"/>
        <v>1</v>
      </c>
      <c r="AZ969" s="171">
        <f t="shared" si="383"/>
        <v>1</v>
      </c>
      <c r="BA969" s="172">
        <f t="shared" si="384"/>
        <v>1</v>
      </c>
      <c r="BB969" s="175">
        <f t="shared" si="385"/>
        <v>17</v>
      </c>
      <c r="BC969" s="176">
        <f t="shared" si="386"/>
        <v>16</v>
      </c>
      <c r="BD969" s="176">
        <f t="shared" si="387"/>
        <v>17</v>
      </c>
      <c r="BE969" s="240" t="str">
        <f t="shared" si="390"/>
        <v/>
      </c>
      <c r="BF969" s="990"/>
      <c r="BG969" s="990"/>
      <c r="BH969" s="991">
        <f>IF(AND(Input_Product=Elig!$C969,Elig_MatchAll_Ct&lt;22,$BC969=(Elig_MatchAll_Ct-1),AF969=0),C969,0)</f>
        <v>0</v>
      </c>
      <c r="BI969" s="991">
        <f>IF(AND(Input_Product=Elig!$C969,Elig_MatchAll_Ct&lt;22,$BC969=(Elig_MatchAll_Ct-1),AG969=0),D969,0)</f>
        <v>0</v>
      </c>
      <c r="BJ969" s="991">
        <f>IF(AND(Input_Product=Elig!$C969,Elig_MatchAll_Ct&lt;22,$BC969=(Elig_MatchAll_Ct-1),AH969=0),E969,0)</f>
        <v>0</v>
      </c>
      <c r="BK969" s="991">
        <f>IF(AND(Input_Product=Elig!$C969,Elig_MatchAll_Ct&lt;22,$BC969=(Elig_MatchAll_Ct-1),AI969=0),F969,0)</f>
        <v>0</v>
      </c>
      <c r="BL969" s="991">
        <f>IF(AND(Input_Product=Elig!$C969,Elig_MatchAll_Ct&lt;22,$BC969=(Elig_MatchAll_Ct-1),AJ969=0),G969,0)</f>
        <v>0</v>
      </c>
      <c r="BM969" s="991">
        <f>IF(AND(Input_Product=Elig!$C969,Elig_MatchAll_Ct&lt;22,$BC969=(Elig_MatchAll_Ct-1),AK969=0),H969,0)</f>
        <v>0</v>
      </c>
      <c r="BN969" s="991">
        <f>IF(AND(Input_Product=Elig!$C969,Elig_MatchAll_Ct&lt;22,$BC969=(Elig_MatchAll_Ct-1),AL969=0),I969,0)</f>
        <v>0</v>
      </c>
      <c r="BO969" s="991">
        <f>IF(AND(Input_Product=Elig!$C969,Elig_MatchAll_Ct&lt;22,$BC969=(Elig_MatchAll_Ct-1),AM969=0),J969,0)</f>
        <v>0</v>
      </c>
      <c r="BP969" s="991">
        <f>IF(AND(Input_Product=Elig!$C969,Elig_MatchAll_Ct&lt;22,$BC969=(Elig_MatchAll_Ct-1),AN969=0),K969,0)</f>
        <v>0</v>
      </c>
      <c r="BQ969" s="991">
        <f>IF(AND(Input_Product=Elig!$C969,Elig_MatchAll_Ct&lt;22,$BC969=(Elig_MatchAll_Ct-1),AP969=0),L969,0)</f>
        <v>0</v>
      </c>
      <c r="BR969" s="991">
        <f>IF(AND(Input_Product=Elig!$C969,Elig_MatchAll_Ct&lt;22,$BC969=(Elig_MatchAll_Ct-1),AO969=0),M969,0)</f>
        <v>0</v>
      </c>
      <c r="BS969" s="991">
        <f>IF(AND(Input_Product=Elig!$C969,Elig_MatchAll_Ct&lt;22,$BC969=(Elig_MatchAll_Ct-1),AQ969=0),N969,0)</f>
        <v>0</v>
      </c>
      <c r="BT969" s="991">
        <f>IF(AND(Input_Product=Elig!$C969,Elig_MatchAll_Ct&lt;22,$BC969=(Elig_MatchAll_Ct-1),AR969=0),O969,0)</f>
        <v>0</v>
      </c>
      <c r="BU969" s="991">
        <f>IF(AND(Input_Product=Elig!$C969,Elig_MatchAll_Ct&lt;22,$BC969=(Elig_MatchAll_Ct-1),AS969=0),P969,0)</f>
        <v>0</v>
      </c>
      <c r="BV969" s="992">
        <f>IF(AND(Input_Product=Elig!$C969,Elig_MatchAll_Ct&lt;22,$BC969=(Elig_MatchAll_Ct-1),AT969=0),Q969,0)</f>
        <v>0</v>
      </c>
      <c r="BW969" s="993">
        <f>IF(AND(Input_Product=Elig!$C969,Elig_MatchAll_Ct&lt;22,$BC969=(Elig_MatchAll_Ct-1),AU969=0),R969,0)</f>
        <v>0</v>
      </c>
      <c r="BX969" s="994">
        <f>IF(AND(Input_Product=Elig!$C969,Elig_MatchAll_Ct&lt;22,$BC969=(Elig_MatchAll_Ct-1),AU969=0),S969,0)</f>
        <v>0</v>
      </c>
      <c r="BY969" s="993">
        <f>IF(AND(Input_Product=Elig!$C969,Elig_MatchAll_Ct&lt;22,$BC969=(Elig_MatchAll_Ct-1),AV969=0),T969,0)</f>
        <v>0</v>
      </c>
      <c r="BZ969" s="994">
        <f>IF(AND(Input_Product=Elig!$C969,Elig_MatchAll_Ct&lt;22,$BC969=(Elig_MatchAll_Ct-1),AV969=0),U969,0)</f>
        <v>0</v>
      </c>
      <c r="CA969" s="993">
        <f>IF(AND(Input_Product=Elig!$C969,Elig_MatchAll_Ct&lt;22,$BC969=(Elig_MatchAll_Ct-1),AW969=0),V969,0)</f>
        <v>0</v>
      </c>
      <c r="CB969" s="994">
        <f>IF(AND(Input_Product=Elig!$C969,Elig_MatchAll_Ct&lt;22,$BC969=(Elig_MatchAll_Ct-1),AW969=0),W969,0)</f>
        <v>0</v>
      </c>
      <c r="CC969" s="993">
        <f>IF(AND(Input_Product=Elig!$C969,Elig_MatchAll_Ct&lt;22,$BC969=(Elig_MatchAll_Ct-1),AX969=0),X969,0)</f>
        <v>0</v>
      </c>
      <c r="CD969" s="994">
        <f>IF(AND(Input_Product=Elig!$C969,Elig_MatchAll_Ct&lt;22,$BC969=(Elig_MatchAll_Ct-1),AX969=0),Y969,0)</f>
        <v>0</v>
      </c>
      <c r="CE969" s="993">
        <f>IF(AND(Input_LTV&lt;=AE969,Input_Product=Elig!$C969,Elig_MatchAll_Ct&lt;22,$BC969=(Elig_MatchAll_Ct-1),AY969=0),Z969,0)</f>
        <v>0</v>
      </c>
      <c r="CF969" s="994">
        <f>IF(AND(Input_LTV&lt;=AE969,Input_Product=Elig!$C969,Elig_MatchAll_Ct&lt;22,$BC969=(Elig_MatchAll_Ct-1),AY969=0),AA969,0)</f>
        <v>0</v>
      </c>
      <c r="CG969" s="993">
        <f>IF(AND(Input_Product=Elig!$C969,Elig_MatchAll_Ct&lt;22,$BC969=(Elig_MatchAll_Ct-1),AZ969=0),AB969,0)</f>
        <v>0</v>
      </c>
      <c r="CH969" s="994">
        <f>IF(AND(Input_Product=Elig!$C969,Elig_MatchAll_Ct&lt;22,$BC969=(Elig_MatchAll_Ct-1),AZ969=0),AC969,0)</f>
        <v>0</v>
      </c>
      <c r="CI969" s="993">
        <f>IF(AND(Input_Product=Elig!$C969,Elig_MatchAll_Ct&lt;22,$BC969=(Elig_MatchAll_Ct-1),BA969=0),AD969,0)</f>
        <v>0</v>
      </c>
      <c r="CJ969" s="994">
        <f>IF(AND(Input_Product=Elig!$C969,Elig_MatchAll_Ct&lt;22,$BC969=(Elig_MatchAll_Ct-1),BA969=0),AE969,0)</f>
        <v>0</v>
      </c>
    </row>
    <row r="970" spans="2:88" ht="10.15" customHeight="1" x14ac:dyDescent="0.25">
      <c r="B970" s="1916" t="s">
        <v>2306</v>
      </c>
      <c r="C970" s="1208" t="str">
        <f t="shared" si="389"/>
        <v xml:space="preserve">  </v>
      </c>
      <c r="D970" s="1209" t="s">
        <v>2218</v>
      </c>
      <c r="E970" s="1209" t="s">
        <v>167</v>
      </c>
      <c r="F970" s="1209" t="s">
        <v>331</v>
      </c>
      <c r="G970" s="1210" t="s">
        <v>179</v>
      </c>
      <c r="H970" s="1210" t="s">
        <v>136</v>
      </c>
      <c r="I970" s="1209" t="s">
        <v>274</v>
      </c>
      <c r="J970" s="1209" t="s">
        <v>1311</v>
      </c>
      <c r="K970" s="1210" t="s">
        <v>3022</v>
      </c>
      <c r="L970" s="1209" t="s">
        <v>2768</v>
      </c>
      <c r="M970" s="1209" t="s">
        <v>2677</v>
      </c>
      <c r="N970" s="1210" t="s">
        <v>82</v>
      </c>
      <c r="O970" s="1209" t="s">
        <v>310</v>
      </c>
      <c r="P970" s="1209" t="s">
        <v>291</v>
      </c>
      <c r="Q970" s="1209" t="s">
        <v>294</v>
      </c>
      <c r="R970" s="1209">
        <v>2500000.0099999998</v>
      </c>
      <c r="S970" s="1209">
        <v>3000000</v>
      </c>
      <c r="T970" s="1209">
        <v>0</v>
      </c>
      <c r="U970" s="1209">
        <v>0</v>
      </c>
      <c r="V970" s="1209">
        <v>0</v>
      </c>
      <c r="W970" s="1209">
        <v>50</v>
      </c>
      <c r="X970" s="1209">
        <v>0</v>
      </c>
      <c r="Y970" s="1209">
        <v>999</v>
      </c>
      <c r="Z970" s="1211">
        <v>700</v>
      </c>
      <c r="AA970" s="1211">
        <v>719</v>
      </c>
      <c r="AB970" s="1211">
        <v>6</v>
      </c>
      <c r="AC970" s="1211">
        <v>999999</v>
      </c>
      <c r="AD970" s="1209">
        <v>0</v>
      </c>
      <c r="AE970" s="1212">
        <v>75</v>
      </c>
      <c r="AF970" s="170">
        <v>0</v>
      </c>
      <c r="AG970" s="171">
        <v>1</v>
      </c>
      <c r="AH970" s="171">
        <v>1</v>
      </c>
      <c r="AI970" s="171">
        <v>1</v>
      </c>
      <c r="AJ970" s="171">
        <v>0</v>
      </c>
      <c r="AK970" s="171">
        <v>1</v>
      </c>
      <c r="AL970" s="171">
        <v>0</v>
      </c>
      <c r="AM970" s="171">
        <v>1</v>
      </c>
      <c r="AN970" s="171">
        <v>1</v>
      </c>
      <c r="AO970" s="171">
        <v>1</v>
      </c>
      <c r="AP970" s="171">
        <v>1</v>
      </c>
      <c r="AQ970" s="171">
        <v>1</v>
      </c>
      <c r="AR970" s="171">
        <v>1</v>
      </c>
      <c r="AS970" s="171">
        <v>1</v>
      </c>
      <c r="AT970" s="171">
        <v>1</v>
      </c>
      <c r="AU970" s="171">
        <f t="shared" si="379"/>
        <v>0</v>
      </c>
      <c r="AV970" s="171">
        <f t="shared" si="380"/>
        <v>0</v>
      </c>
      <c r="AW970" s="171">
        <f t="shared" si="381"/>
        <v>1</v>
      </c>
      <c r="AX970" s="171">
        <f t="shared" si="388"/>
        <v>1</v>
      </c>
      <c r="AY970" s="171">
        <f t="shared" si="382"/>
        <v>0</v>
      </c>
      <c r="AZ970" s="171">
        <f t="shared" si="383"/>
        <v>1</v>
      </c>
      <c r="BA970" s="172">
        <f t="shared" si="384"/>
        <v>1</v>
      </c>
      <c r="BB970" s="175">
        <f t="shared" si="385"/>
        <v>16</v>
      </c>
      <c r="BC970" s="176">
        <f t="shared" si="386"/>
        <v>15</v>
      </c>
      <c r="BD970" s="176">
        <f t="shared" si="387"/>
        <v>16</v>
      </c>
      <c r="BE970" s="240" t="str">
        <f t="shared" si="390"/>
        <v/>
      </c>
      <c r="BF970" s="990"/>
      <c r="BG970" s="990"/>
      <c r="BH970" s="991">
        <f>IF(AND(Input_Product=Elig!$C970,Elig_MatchAll_Ct&lt;22,$BC970=(Elig_MatchAll_Ct-1),AF970=0),C970,0)</f>
        <v>0</v>
      </c>
      <c r="BI970" s="991">
        <f>IF(AND(Input_Product=Elig!$C970,Elig_MatchAll_Ct&lt;22,$BC970=(Elig_MatchAll_Ct-1),AG970=0),D970,0)</f>
        <v>0</v>
      </c>
      <c r="BJ970" s="991">
        <f>IF(AND(Input_Product=Elig!$C970,Elig_MatchAll_Ct&lt;22,$BC970=(Elig_MatchAll_Ct-1),AH970=0),E970,0)</f>
        <v>0</v>
      </c>
      <c r="BK970" s="991">
        <f>IF(AND(Input_Product=Elig!$C970,Elig_MatchAll_Ct&lt;22,$BC970=(Elig_MatchAll_Ct-1),AI970=0),F970,0)</f>
        <v>0</v>
      </c>
      <c r="BL970" s="991">
        <f>IF(AND(Input_Product=Elig!$C970,Elig_MatchAll_Ct&lt;22,$BC970=(Elig_MatchAll_Ct-1),AJ970=0),G970,0)</f>
        <v>0</v>
      </c>
      <c r="BM970" s="991">
        <f>IF(AND(Input_Product=Elig!$C970,Elig_MatchAll_Ct&lt;22,$BC970=(Elig_MatchAll_Ct-1),AK970=0),H970,0)</f>
        <v>0</v>
      </c>
      <c r="BN970" s="991">
        <f>IF(AND(Input_Product=Elig!$C970,Elig_MatchAll_Ct&lt;22,$BC970=(Elig_MatchAll_Ct-1),AL970=0),I970,0)</f>
        <v>0</v>
      </c>
      <c r="BO970" s="991">
        <f>IF(AND(Input_Product=Elig!$C970,Elig_MatchAll_Ct&lt;22,$BC970=(Elig_MatchAll_Ct-1),AM970=0),J970,0)</f>
        <v>0</v>
      </c>
      <c r="BP970" s="991">
        <f>IF(AND(Input_Product=Elig!$C970,Elig_MatchAll_Ct&lt;22,$BC970=(Elig_MatchAll_Ct-1),AN970=0),K970,0)</f>
        <v>0</v>
      </c>
      <c r="BQ970" s="991">
        <f>IF(AND(Input_Product=Elig!$C970,Elig_MatchAll_Ct&lt;22,$BC970=(Elig_MatchAll_Ct-1),AP970=0),L970,0)</f>
        <v>0</v>
      </c>
      <c r="BR970" s="991">
        <f>IF(AND(Input_Product=Elig!$C970,Elig_MatchAll_Ct&lt;22,$BC970=(Elig_MatchAll_Ct-1),AO970=0),M970,0)</f>
        <v>0</v>
      </c>
      <c r="BS970" s="991">
        <f>IF(AND(Input_Product=Elig!$C970,Elig_MatchAll_Ct&lt;22,$BC970=(Elig_MatchAll_Ct-1),AQ970=0),N970,0)</f>
        <v>0</v>
      </c>
      <c r="BT970" s="991">
        <f>IF(AND(Input_Product=Elig!$C970,Elig_MatchAll_Ct&lt;22,$BC970=(Elig_MatchAll_Ct-1),AR970=0),O970,0)</f>
        <v>0</v>
      </c>
      <c r="BU970" s="991">
        <f>IF(AND(Input_Product=Elig!$C970,Elig_MatchAll_Ct&lt;22,$BC970=(Elig_MatchAll_Ct-1),AS970=0),P970,0)</f>
        <v>0</v>
      </c>
      <c r="BV970" s="992">
        <f>IF(AND(Input_Product=Elig!$C970,Elig_MatchAll_Ct&lt;22,$BC970=(Elig_MatchAll_Ct-1),AT970=0),Q970,0)</f>
        <v>0</v>
      </c>
      <c r="BW970" s="993">
        <f>IF(AND(Input_Product=Elig!$C970,Elig_MatchAll_Ct&lt;22,$BC970=(Elig_MatchAll_Ct-1),AU970=0),R970,0)</f>
        <v>0</v>
      </c>
      <c r="BX970" s="994">
        <f>IF(AND(Input_Product=Elig!$C970,Elig_MatchAll_Ct&lt;22,$BC970=(Elig_MatchAll_Ct-1),AU970=0),S970,0)</f>
        <v>0</v>
      </c>
      <c r="BY970" s="993">
        <f>IF(AND(Input_Product=Elig!$C970,Elig_MatchAll_Ct&lt;22,$BC970=(Elig_MatchAll_Ct-1),AV970=0),T970,0)</f>
        <v>0</v>
      </c>
      <c r="BZ970" s="994">
        <f>IF(AND(Input_Product=Elig!$C970,Elig_MatchAll_Ct&lt;22,$BC970=(Elig_MatchAll_Ct-1),AV970=0),U970,0)</f>
        <v>0</v>
      </c>
      <c r="CA970" s="993">
        <f>IF(AND(Input_Product=Elig!$C970,Elig_MatchAll_Ct&lt;22,$BC970=(Elig_MatchAll_Ct-1),AW970=0),V970,0)</f>
        <v>0</v>
      </c>
      <c r="CB970" s="994">
        <f>IF(AND(Input_Product=Elig!$C970,Elig_MatchAll_Ct&lt;22,$BC970=(Elig_MatchAll_Ct-1),AW970=0),W970,0)</f>
        <v>0</v>
      </c>
      <c r="CC970" s="993">
        <f>IF(AND(Input_Product=Elig!$C970,Elig_MatchAll_Ct&lt;22,$BC970=(Elig_MatchAll_Ct-1),AX970=0),X970,0)</f>
        <v>0</v>
      </c>
      <c r="CD970" s="994">
        <f>IF(AND(Input_Product=Elig!$C970,Elig_MatchAll_Ct&lt;22,$BC970=(Elig_MatchAll_Ct-1),AX970=0),Y970,0)</f>
        <v>0</v>
      </c>
      <c r="CE970" s="993">
        <f>IF(AND(Input_LTV&lt;=AE970,Input_Product=Elig!$C970,Elig_MatchAll_Ct&lt;22,$BC970=(Elig_MatchAll_Ct-1),AY970=0),Z970,0)</f>
        <v>0</v>
      </c>
      <c r="CF970" s="994">
        <f>IF(AND(Input_LTV&lt;=AE970,Input_Product=Elig!$C970,Elig_MatchAll_Ct&lt;22,$BC970=(Elig_MatchAll_Ct-1),AY970=0),AA970,0)</f>
        <v>0</v>
      </c>
      <c r="CG970" s="993">
        <f>IF(AND(Input_Product=Elig!$C970,Elig_MatchAll_Ct&lt;22,$BC970=(Elig_MatchAll_Ct-1),AZ970=0),AB970,0)</f>
        <v>0</v>
      </c>
      <c r="CH970" s="994">
        <f>IF(AND(Input_Product=Elig!$C970,Elig_MatchAll_Ct&lt;22,$BC970=(Elig_MatchAll_Ct-1),AZ970=0),AC970,0)</f>
        <v>0</v>
      </c>
      <c r="CI970" s="993">
        <f>IF(AND(Input_Product=Elig!$C970,Elig_MatchAll_Ct&lt;22,$BC970=(Elig_MatchAll_Ct-1),BA970=0),AD970,0)</f>
        <v>0</v>
      </c>
      <c r="CJ970" s="994">
        <f>IF(AND(Input_Product=Elig!$C970,Elig_MatchAll_Ct&lt;22,$BC970=(Elig_MatchAll_Ct-1),BA970=0),AE970,0)</f>
        <v>0</v>
      </c>
    </row>
    <row r="971" spans="2:88" ht="10.15" customHeight="1" x14ac:dyDescent="0.25">
      <c r="B971" s="1916" t="s">
        <v>2307</v>
      </c>
      <c r="C971" s="1213" t="str">
        <f t="shared" si="389"/>
        <v xml:space="preserve">  </v>
      </c>
      <c r="D971" s="1214" t="s">
        <v>2218</v>
      </c>
      <c r="E971" s="1214" t="s">
        <v>167</v>
      </c>
      <c r="F971" s="1214" t="s">
        <v>331</v>
      </c>
      <c r="G971" s="1215" t="s">
        <v>179</v>
      </c>
      <c r="H971" s="1215" t="s">
        <v>136</v>
      </c>
      <c r="I971" s="1214" t="s">
        <v>274</v>
      </c>
      <c r="J971" s="1214" t="s">
        <v>1311</v>
      </c>
      <c r="K971" s="1215" t="s">
        <v>3022</v>
      </c>
      <c r="L971" s="1214" t="s">
        <v>2768</v>
      </c>
      <c r="M971" s="1214" t="s">
        <v>2677</v>
      </c>
      <c r="N971" s="1215" t="s">
        <v>82</v>
      </c>
      <c r="O971" s="1214" t="s">
        <v>310</v>
      </c>
      <c r="P971" s="1214" t="s">
        <v>291</v>
      </c>
      <c r="Q971" s="1214" t="s">
        <v>294</v>
      </c>
      <c r="R971" s="1214">
        <v>2500000.0099999998</v>
      </c>
      <c r="S971" s="1214">
        <v>3000000</v>
      </c>
      <c r="T971" s="1214">
        <v>0</v>
      </c>
      <c r="U971" s="1214">
        <v>0</v>
      </c>
      <c r="V971" s="1214">
        <v>0</v>
      </c>
      <c r="W971" s="1214">
        <v>50</v>
      </c>
      <c r="X971" s="1214">
        <v>0</v>
      </c>
      <c r="Y971" s="1214">
        <v>999</v>
      </c>
      <c r="Z971" s="1216">
        <v>680</v>
      </c>
      <c r="AA971" s="1216">
        <v>699</v>
      </c>
      <c r="AB971" s="1216">
        <v>6</v>
      </c>
      <c r="AC971" s="1216">
        <v>999999</v>
      </c>
      <c r="AD971" s="1214">
        <v>0</v>
      </c>
      <c r="AE971" s="1217">
        <v>75</v>
      </c>
      <c r="AF971" s="170">
        <v>0</v>
      </c>
      <c r="AG971" s="171">
        <v>1</v>
      </c>
      <c r="AH971" s="171">
        <v>1</v>
      </c>
      <c r="AI971" s="171">
        <v>1</v>
      </c>
      <c r="AJ971" s="171">
        <v>0</v>
      </c>
      <c r="AK971" s="171">
        <v>1</v>
      </c>
      <c r="AL971" s="171">
        <v>0</v>
      </c>
      <c r="AM971" s="171">
        <v>1</v>
      </c>
      <c r="AN971" s="171">
        <v>1</v>
      </c>
      <c r="AO971" s="171">
        <v>1</v>
      </c>
      <c r="AP971" s="171">
        <v>1</v>
      </c>
      <c r="AQ971" s="171">
        <v>1</v>
      </c>
      <c r="AR971" s="171">
        <v>1</v>
      </c>
      <c r="AS971" s="171">
        <v>1</v>
      </c>
      <c r="AT971" s="171">
        <v>1</v>
      </c>
      <c r="AU971" s="171">
        <f t="shared" si="379"/>
        <v>0</v>
      </c>
      <c r="AV971" s="171">
        <f t="shared" si="380"/>
        <v>0</v>
      </c>
      <c r="AW971" s="171">
        <f t="shared" si="381"/>
        <v>1</v>
      </c>
      <c r="AX971" s="171">
        <f t="shared" si="388"/>
        <v>1</v>
      </c>
      <c r="AY971" s="171">
        <f t="shared" si="382"/>
        <v>0</v>
      </c>
      <c r="AZ971" s="171">
        <f t="shared" si="383"/>
        <v>1</v>
      </c>
      <c r="BA971" s="172">
        <f t="shared" si="384"/>
        <v>1</v>
      </c>
      <c r="BB971" s="175">
        <f t="shared" si="385"/>
        <v>16</v>
      </c>
      <c r="BC971" s="176">
        <f t="shared" si="386"/>
        <v>15</v>
      </c>
      <c r="BD971" s="176">
        <f t="shared" si="387"/>
        <v>16</v>
      </c>
      <c r="BE971" s="240" t="str">
        <f t="shared" si="390"/>
        <v/>
      </c>
      <c r="BF971" s="990"/>
      <c r="BG971" s="990"/>
      <c r="BH971" s="991">
        <f>IF(AND(Input_Product=Elig!$C971,Elig_MatchAll_Ct&lt;22,$BC971=(Elig_MatchAll_Ct-1),AF971=0),C971,0)</f>
        <v>0</v>
      </c>
      <c r="BI971" s="991">
        <f>IF(AND(Input_Product=Elig!$C971,Elig_MatchAll_Ct&lt;22,$BC971=(Elig_MatchAll_Ct-1),AG971=0),D971,0)</f>
        <v>0</v>
      </c>
      <c r="BJ971" s="991">
        <f>IF(AND(Input_Product=Elig!$C971,Elig_MatchAll_Ct&lt;22,$BC971=(Elig_MatchAll_Ct-1),AH971=0),E971,0)</f>
        <v>0</v>
      </c>
      <c r="BK971" s="991">
        <f>IF(AND(Input_Product=Elig!$C971,Elig_MatchAll_Ct&lt;22,$BC971=(Elig_MatchAll_Ct-1),AI971=0),F971,0)</f>
        <v>0</v>
      </c>
      <c r="BL971" s="991">
        <f>IF(AND(Input_Product=Elig!$C971,Elig_MatchAll_Ct&lt;22,$BC971=(Elig_MatchAll_Ct-1),AJ971=0),G971,0)</f>
        <v>0</v>
      </c>
      <c r="BM971" s="991">
        <f>IF(AND(Input_Product=Elig!$C971,Elig_MatchAll_Ct&lt;22,$BC971=(Elig_MatchAll_Ct-1),AK971=0),H971,0)</f>
        <v>0</v>
      </c>
      <c r="BN971" s="991">
        <f>IF(AND(Input_Product=Elig!$C971,Elig_MatchAll_Ct&lt;22,$BC971=(Elig_MatchAll_Ct-1),AL971=0),I971,0)</f>
        <v>0</v>
      </c>
      <c r="BO971" s="991">
        <f>IF(AND(Input_Product=Elig!$C971,Elig_MatchAll_Ct&lt;22,$BC971=(Elig_MatchAll_Ct-1),AM971=0),J971,0)</f>
        <v>0</v>
      </c>
      <c r="BP971" s="991">
        <f>IF(AND(Input_Product=Elig!$C971,Elig_MatchAll_Ct&lt;22,$BC971=(Elig_MatchAll_Ct-1),AN971=0),K971,0)</f>
        <v>0</v>
      </c>
      <c r="BQ971" s="991">
        <f>IF(AND(Input_Product=Elig!$C971,Elig_MatchAll_Ct&lt;22,$BC971=(Elig_MatchAll_Ct-1),AP971=0),L971,0)</f>
        <v>0</v>
      </c>
      <c r="BR971" s="991">
        <f>IF(AND(Input_Product=Elig!$C971,Elig_MatchAll_Ct&lt;22,$BC971=(Elig_MatchAll_Ct-1),AO971=0),M971,0)</f>
        <v>0</v>
      </c>
      <c r="BS971" s="991">
        <f>IF(AND(Input_Product=Elig!$C971,Elig_MatchAll_Ct&lt;22,$BC971=(Elig_MatchAll_Ct-1),AQ971=0),N971,0)</f>
        <v>0</v>
      </c>
      <c r="BT971" s="991">
        <f>IF(AND(Input_Product=Elig!$C971,Elig_MatchAll_Ct&lt;22,$BC971=(Elig_MatchAll_Ct-1),AR971=0),O971,0)</f>
        <v>0</v>
      </c>
      <c r="BU971" s="991">
        <f>IF(AND(Input_Product=Elig!$C971,Elig_MatchAll_Ct&lt;22,$BC971=(Elig_MatchAll_Ct-1),AS971=0),P971,0)</f>
        <v>0</v>
      </c>
      <c r="BV971" s="992">
        <f>IF(AND(Input_Product=Elig!$C971,Elig_MatchAll_Ct&lt;22,$BC971=(Elig_MatchAll_Ct-1),AT971=0),Q971,0)</f>
        <v>0</v>
      </c>
      <c r="BW971" s="993">
        <f>IF(AND(Input_Product=Elig!$C971,Elig_MatchAll_Ct&lt;22,$BC971=(Elig_MatchAll_Ct-1),AU971=0),R971,0)</f>
        <v>0</v>
      </c>
      <c r="BX971" s="994">
        <f>IF(AND(Input_Product=Elig!$C971,Elig_MatchAll_Ct&lt;22,$BC971=(Elig_MatchAll_Ct-1),AU971=0),S971,0)</f>
        <v>0</v>
      </c>
      <c r="BY971" s="993">
        <f>IF(AND(Input_Product=Elig!$C971,Elig_MatchAll_Ct&lt;22,$BC971=(Elig_MatchAll_Ct-1),AV971=0),T971,0)</f>
        <v>0</v>
      </c>
      <c r="BZ971" s="994">
        <f>IF(AND(Input_Product=Elig!$C971,Elig_MatchAll_Ct&lt;22,$BC971=(Elig_MatchAll_Ct-1),AV971=0),U971,0)</f>
        <v>0</v>
      </c>
      <c r="CA971" s="993">
        <f>IF(AND(Input_Product=Elig!$C971,Elig_MatchAll_Ct&lt;22,$BC971=(Elig_MatchAll_Ct-1),AW971=0),V971,0)</f>
        <v>0</v>
      </c>
      <c r="CB971" s="994">
        <f>IF(AND(Input_Product=Elig!$C971,Elig_MatchAll_Ct&lt;22,$BC971=(Elig_MatchAll_Ct-1),AW971=0),W971,0)</f>
        <v>0</v>
      </c>
      <c r="CC971" s="993">
        <f>IF(AND(Input_Product=Elig!$C971,Elig_MatchAll_Ct&lt;22,$BC971=(Elig_MatchAll_Ct-1),AX971=0),X971,0)</f>
        <v>0</v>
      </c>
      <c r="CD971" s="994">
        <f>IF(AND(Input_Product=Elig!$C971,Elig_MatchAll_Ct&lt;22,$BC971=(Elig_MatchAll_Ct-1),AX971=0),Y971,0)</f>
        <v>0</v>
      </c>
      <c r="CE971" s="993">
        <f>IF(AND(Input_LTV&lt;=AE971,Input_Product=Elig!$C971,Elig_MatchAll_Ct&lt;22,$BC971=(Elig_MatchAll_Ct-1),AY971=0),Z971,0)</f>
        <v>0</v>
      </c>
      <c r="CF971" s="994">
        <f>IF(AND(Input_LTV&lt;=AE971,Input_Product=Elig!$C971,Elig_MatchAll_Ct&lt;22,$BC971=(Elig_MatchAll_Ct-1),AY971=0),AA971,0)</f>
        <v>0</v>
      </c>
      <c r="CG971" s="993">
        <f>IF(AND(Input_Product=Elig!$C971,Elig_MatchAll_Ct&lt;22,$BC971=(Elig_MatchAll_Ct-1),AZ971=0),AB971,0)</f>
        <v>0</v>
      </c>
      <c r="CH971" s="994">
        <f>IF(AND(Input_Product=Elig!$C971,Elig_MatchAll_Ct&lt;22,$BC971=(Elig_MatchAll_Ct-1),AZ971=0),AC971,0)</f>
        <v>0</v>
      </c>
      <c r="CI971" s="993">
        <f>IF(AND(Input_Product=Elig!$C971,Elig_MatchAll_Ct&lt;22,$BC971=(Elig_MatchAll_Ct-1),BA971=0),AD971,0)</f>
        <v>0</v>
      </c>
      <c r="CJ971" s="994">
        <f>IF(AND(Input_Product=Elig!$C971,Elig_MatchAll_Ct&lt;22,$BC971=(Elig_MatchAll_Ct-1),BA971=0),AE971,0)</f>
        <v>0</v>
      </c>
    </row>
    <row r="972" spans="2:88" ht="10.15" customHeight="1" x14ac:dyDescent="0.25">
      <c r="B972" s="1916" t="s">
        <v>2308</v>
      </c>
      <c r="C972" s="1203" t="str">
        <f t="shared" si="389"/>
        <v xml:space="preserve">  </v>
      </c>
      <c r="D972" s="1204" t="s">
        <v>2218</v>
      </c>
      <c r="E972" s="1204" t="s">
        <v>167</v>
      </c>
      <c r="F972" s="1204" t="s">
        <v>331</v>
      </c>
      <c r="G972" s="1205" t="s">
        <v>472</v>
      </c>
      <c r="H972" s="1205" t="s">
        <v>136</v>
      </c>
      <c r="I972" s="1204" t="s">
        <v>274</v>
      </c>
      <c r="J972" s="1204" t="s">
        <v>1311</v>
      </c>
      <c r="K972" s="1205" t="s">
        <v>3022</v>
      </c>
      <c r="L972" s="1204" t="s">
        <v>2768</v>
      </c>
      <c r="M972" s="1204" t="s">
        <v>2677</v>
      </c>
      <c r="N972" s="1205" t="s">
        <v>82</v>
      </c>
      <c r="O972" s="1204" t="s">
        <v>310</v>
      </c>
      <c r="P972" s="1204" t="s">
        <v>291</v>
      </c>
      <c r="Q972" s="1204" t="s">
        <v>294</v>
      </c>
      <c r="R972" s="1204">
        <v>125000</v>
      </c>
      <c r="S972" s="1204">
        <v>1000000</v>
      </c>
      <c r="T972" s="1204">
        <v>0</v>
      </c>
      <c r="U972" s="1204">
        <v>0</v>
      </c>
      <c r="V972" s="1204">
        <v>0</v>
      </c>
      <c r="W972" s="1204">
        <v>50</v>
      </c>
      <c r="X972" s="1204">
        <v>0</v>
      </c>
      <c r="Y972" s="1204">
        <v>999</v>
      </c>
      <c r="Z972" s="1206">
        <v>720</v>
      </c>
      <c r="AA972" s="1206">
        <v>999</v>
      </c>
      <c r="AB972" s="1206">
        <v>3</v>
      </c>
      <c r="AC972" s="1206">
        <v>999999</v>
      </c>
      <c r="AD972" s="1204">
        <v>0</v>
      </c>
      <c r="AE972" s="1207">
        <v>80</v>
      </c>
      <c r="AF972" s="170">
        <v>0</v>
      </c>
      <c r="AG972" s="171">
        <v>1</v>
      </c>
      <c r="AH972" s="171">
        <v>1</v>
      </c>
      <c r="AI972" s="171">
        <v>1</v>
      </c>
      <c r="AJ972" s="171">
        <v>0</v>
      </c>
      <c r="AK972" s="171">
        <v>1</v>
      </c>
      <c r="AL972" s="171">
        <v>0</v>
      </c>
      <c r="AM972" s="171">
        <v>1</v>
      </c>
      <c r="AN972" s="171">
        <v>1</v>
      </c>
      <c r="AO972" s="171">
        <v>1</v>
      </c>
      <c r="AP972" s="171">
        <v>1</v>
      </c>
      <c r="AQ972" s="171">
        <v>1</v>
      </c>
      <c r="AR972" s="171">
        <v>1</v>
      </c>
      <c r="AS972" s="171">
        <v>1</v>
      </c>
      <c r="AT972" s="171">
        <v>1</v>
      </c>
      <c r="AU972" s="171">
        <f t="shared" si="379"/>
        <v>1</v>
      </c>
      <c r="AV972" s="171">
        <f t="shared" si="380"/>
        <v>0</v>
      </c>
      <c r="AW972" s="171">
        <f t="shared" si="381"/>
        <v>1</v>
      </c>
      <c r="AX972" s="171">
        <f t="shared" si="388"/>
        <v>1</v>
      </c>
      <c r="AY972" s="171">
        <f t="shared" si="382"/>
        <v>1</v>
      </c>
      <c r="AZ972" s="171">
        <f t="shared" si="383"/>
        <v>1</v>
      </c>
      <c r="BA972" s="172">
        <f t="shared" si="384"/>
        <v>1</v>
      </c>
      <c r="BB972" s="175">
        <f t="shared" si="385"/>
        <v>18</v>
      </c>
      <c r="BC972" s="176">
        <f t="shared" si="386"/>
        <v>17</v>
      </c>
      <c r="BD972" s="176">
        <f t="shared" si="387"/>
        <v>18</v>
      </c>
      <c r="BE972" s="240" t="str">
        <f t="shared" si="390"/>
        <v/>
      </c>
      <c r="BF972" s="990"/>
      <c r="BG972" s="990"/>
      <c r="BH972" s="991">
        <f>IF(AND(Input_Product=Elig!$C972,Elig_MatchAll_Ct&lt;22,$BC972=(Elig_MatchAll_Ct-1),AF972=0),C972,0)</f>
        <v>0</v>
      </c>
      <c r="BI972" s="991">
        <f>IF(AND(Input_Product=Elig!$C972,Elig_MatchAll_Ct&lt;22,$BC972=(Elig_MatchAll_Ct-1),AG972=0),D972,0)</f>
        <v>0</v>
      </c>
      <c r="BJ972" s="991">
        <f>IF(AND(Input_Product=Elig!$C972,Elig_MatchAll_Ct&lt;22,$BC972=(Elig_MatchAll_Ct-1),AH972=0),E972,0)</f>
        <v>0</v>
      </c>
      <c r="BK972" s="991">
        <f>IF(AND(Input_Product=Elig!$C972,Elig_MatchAll_Ct&lt;22,$BC972=(Elig_MatchAll_Ct-1),AI972=0),F972,0)</f>
        <v>0</v>
      </c>
      <c r="BL972" s="991">
        <f>IF(AND(Input_Product=Elig!$C972,Elig_MatchAll_Ct&lt;22,$BC972=(Elig_MatchAll_Ct-1),AJ972=0),G972,0)</f>
        <v>0</v>
      </c>
      <c r="BM972" s="991">
        <f>IF(AND(Input_Product=Elig!$C972,Elig_MatchAll_Ct&lt;22,$BC972=(Elig_MatchAll_Ct-1),AK972=0),H972,0)</f>
        <v>0</v>
      </c>
      <c r="BN972" s="991">
        <f>IF(AND(Input_Product=Elig!$C972,Elig_MatchAll_Ct&lt;22,$BC972=(Elig_MatchAll_Ct-1),AL972=0),I972,0)</f>
        <v>0</v>
      </c>
      <c r="BO972" s="991">
        <f>IF(AND(Input_Product=Elig!$C972,Elig_MatchAll_Ct&lt;22,$BC972=(Elig_MatchAll_Ct-1),AM972=0),J972,0)</f>
        <v>0</v>
      </c>
      <c r="BP972" s="991">
        <f>IF(AND(Input_Product=Elig!$C972,Elig_MatchAll_Ct&lt;22,$BC972=(Elig_MatchAll_Ct-1),AN972=0),K972,0)</f>
        <v>0</v>
      </c>
      <c r="BQ972" s="991">
        <f>IF(AND(Input_Product=Elig!$C972,Elig_MatchAll_Ct&lt;22,$BC972=(Elig_MatchAll_Ct-1),AP972=0),L972,0)</f>
        <v>0</v>
      </c>
      <c r="BR972" s="991">
        <f>IF(AND(Input_Product=Elig!$C972,Elig_MatchAll_Ct&lt;22,$BC972=(Elig_MatchAll_Ct-1),AO972=0),M972,0)</f>
        <v>0</v>
      </c>
      <c r="BS972" s="991">
        <f>IF(AND(Input_Product=Elig!$C972,Elig_MatchAll_Ct&lt;22,$BC972=(Elig_MatchAll_Ct-1),AQ972=0),N972,0)</f>
        <v>0</v>
      </c>
      <c r="BT972" s="991">
        <f>IF(AND(Input_Product=Elig!$C972,Elig_MatchAll_Ct&lt;22,$BC972=(Elig_MatchAll_Ct-1),AR972=0),O972,0)</f>
        <v>0</v>
      </c>
      <c r="BU972" s="991">
        <f>IF(AND(Input_Product=Elig!$C972,Elig_MatchAll_Ct&lt;22,$BC972=(Elig_MatchAll_Ct-1),AS972=0),P972,0)</f>
        <v>0</v>
      </c>
      <c r="BV972" s="992">
        <f>IF(AND(Input_Product=Elig!$C972,Elig_MatchAll_Ct&lt;22,$BC972=(Elig_MatchAll_Ct-1),AT972=0),Q972,0)</f>
        <v>0</v>
      </c>
      <c r="BW972" s="993">
        <f>IF(AND(Input_Product=Elig!$C972,Elig_MatchAll_Ct&lt;22,$BC972=(Elig_MatchAll_Ct-1),AU972=0),R972,0)</f>
        <v>0</v>
      </c>
      <c r="BX972" s="994">
        <f>IF(AND(Input_Product=Elig!$C972,Elig_MatchAll_Ct&lt;22,$BC972=(Elig_MatchAll_Ct-1),AU972=0),S972,0)</f>
        <v>0</v>
      </c>
      <c r="BY972" s="993">
        <f>IF(AND(Input_Product=Elig!$C972,Elig_MatchAll_Ct&lt;22,$BC972=(Elig_MatchAll_Ct-1),AV972=0),T972,0)</f>
        <v>0</v>
      </c>
      <c r="BZ972" s="994">
        <f>IF(AND(Input_Product=Elig!$C972,Elig_MatchAll_Ct&lt;22,$BC972=(Elig_MatchAll_Ct-1),AV972=0),U972,0)</f>
        <v>0</v>
      </c>
      <c r="CA972" s="993">
        <f>IF(AND(Input_Product=Elig!$C972,Elig_MatchAll_Ct&lt;22,$BC972=(Elig_MatchAll_Ct-1),AW972=0),V972,0)</f>
        <v>0</v>
      </c>
      <c r="CB972" s="994">
        <f>IF(AND(Input_Product=Elig!$C972,Elig_MatchAll_Ct&lt;22,$BC972=(Elig_MatchAll_Ct-1),AW972=0),W972,0)</f>
        <v>0</v>
      </c>
      <c r="CC972" s="993">
        <f>IF(AND(Input_Product=Elig!$C972,Elig_MatchAll_Ct&lt;22,$BC972=(Elig_MatchAll_Ct-1),AX972=0),X972,0)</f>
        <v>0</v>
      </c>
      <c r="CD972" s="994">
        <f>IF(AND(Input_Product=Elig!$C972,Elig_MatchAll_Ct&lt;22,$BC972=(Elig_MatchAll_Ct-1),AX972=0),Y972,0)</f>
        <v>0</v>
      </c>
      <c r="CE972" s="993">
        <f>IF(AND(Input_LTV&lt;=AE972,Input_Product=Elig!$C972,Elig_MatchAll_Ct&lt;22,$BC972=(Elig_MatchAll_Ct-1),AY972=0),Z972,0)</f>
        <v>0</v>
      </c>
      <c r="CF972" s="994">
        <f>IF(AND(Input_LTV&lt;=AE972,Input_Product=Elig!$C972,Elig_MatchAll_Ct&lt;22,$BC972=(Elig_MatchAll_Ct-1),AY972=0),AA972,0)</f>
        <v>0</v>
      </c>
      <c r="CG972" s="993">
        <f>IF(AND(Input_Product=Elig!$C972,Elig_MatchAll_Ct&lt;22,$BC972=(Elig_MatchAll_Ct-1),AZ972=0),AB972,0)</f>
        <v>0</v>
      </c>
      <c r="CH972" s="994">
        <f>IF(AND(Input_Product=Elig!$C972,Elig_MatchAll_Ct&lt;22,$BC972=(Elig_MatchAll_Ct-1),AZ972=0),AC972,0)</f>
        <v>0</v>
      </c>
      <c r="CI972" s="993">
        <f>IF(AND(Input_Product=Elig!$C972,Elig_MatchAll_Ct&lt;22,$BC972=(Elig_MatchAll_Ct-1),BA972=0),AD972,0)</f>
        <v>0</v>
      </c>
      <c r="CJ972" s="994">
        <f>IF(AND(Input_Product=Elig!$C972,Elig_MatchAll_Ct&lt;22,$BC972=(Elig_MatchAll_Ct-1),BA972=0),AE972,0)</f>
        <v>0</v>
      </c>
    </row>
    <row r="973" spans="2:88" ht="10.15" customHeight="1" x14ac:dyDescent="0.25">
      <c r="B973" s="1916" t="s">
        <v>2309</v>
      </c>
      <c r="C973" s="1208" t="str">
        <f t="shared" si="389"/>
        <v xml:space="preserve">  </v>
      </c>
      <c r="D973" s="1209" t="s">
        <v>2218</v>
      </c>
      <c r="E973" s="1209" t="s">
        <v>167</v>
      </c>
      <c r="F973" s="1209" t="s">
        <v>331</v>
      </c>
      <c r="G973" s="1210" t="s">
        <v>472</v>
      </c>
      <c r="H973" s="1210" t="s">
        <v>136</v>
      </c>
      <c r="I973" s="1209" t="s">
        <v>274</v>
      </c>
      <c r="J973" s="1209" t="s">
        <v>1311</v>
      </c>
      <c r="K973" s="1210" t="s">
        <v>3022</v>
      </c>
      <c r="L973" s="1209" t="s">
        <v>2768</v>
      </c>
      <c r="M973" s="1209" t="s">
        <v>2677</v>
      </c>
      <c r="N973" s="1210" t="s">
        <v>82</v>
      </c>
      <c r="O973" s="1209" t="s">
        <v>310</v>
      </c>
      <c r="P973" s="1209" t="s">
        <v>291</v>
      </c>
      <c r="Q973" s="1209" t="s">
        <v>294</v>
      </c>
      <c r="R973" s="1209">
        <v>125000</v>
      </c>
      <c r="S973" s="1209">
        <v>1000000</v>
      </c>
      <c r="T973" s="1209">
        <v>0</v>
      </c>
      <c r="U973" s="1209">
        <v>0</v>
      </c>
      <c r="V973" s="1209">
        <v>0</v>
      </c>
      <c r="W973" s="1209">
        <v>50</v>
      </c>
      <c r="X973" s="1209">
        <v>0</v>
      </c>
      <c r="Y973" s="1209">
        <v>999</v>
      </c>
      <c r="Z973" s="1211">
        <v>700</v>
      </c>
      <c r="AA973" s="1211">
        <v>719</v>
      </c>
      <c r="AB973" s="1211">
        <v>3</v>
      </c>
      <c r="AC973" s="1211">
        <v>999999</v>
      </c>
      <c r="AD973" s="1209">
        <v>0</v>
      </c>
      <c r="AE973" s="1212">
        <v>75</v>
      </c>
      <c r="AF973" s="170">
        <v>0</v>
      </c>
      <c r="AG973" s="171">
        <v>1</v>
      </c>
      <c r="AH973" s="171">
        <v>1</v>
      </c>
      <c r="AI973" s="171">
        <v>1</v>
      </c>
      <c r="AJ973" s="171">
        <v>0</v>
      </c>
      <c r="AK973" s="171">
        <v>1</v>
      </c>
      <c r="AL973" s="171">
        <v>0</v>
      </c>
      <c r="AM973" s="171">
        <v>1</v>
      </c>
      <c r="AN973" s="171">
        <v>1</v>
      </c>
      <c r="AO973" s="171">
        <v>1</v>
      </c>
      <c r="AP973" s="171">
        <v>1</v>
      </c>
      <c r="AQ973" s="171">
        <v>1</v>
      </c>
      <c r="AR973" s="171">
        <v>1</v>
      </c>
      <c r="AS973" s="171">
        <v>1</v>
      </c>
      <c r="AT973" s="171">
        <v>1</v>
      </c>
      <c r="AU973" s="171">
        <f t="shared" ref="AU973:AU1036" si="391">IF(AND(Input_LoanAmt&gt;=Elig_LoanAmt_Min,Input_LoanAmt&lt;=Elig_LoanAmt_Max),1,0)</f>
        <v>1</v>
      </c>
      <c r="AV973" s="171">
        <f t="shared" ref="AV973:AV1036" si="392">IF(AND(Input_CashoutAmt&gt;=Elig_CashoutAmt_Min,Input_CashoutAmt&lt;=Elig_CashoutAmt_Max),1,0)</f>
        <v>0</v>
      </c>
      <c r="AW973" s="171">
        <f t="shared" ref="AW973:AW1036" si="393">IF(AND(Input_DTI&gt;=Elig_DTI_Min,Input_DTI&lt;=Elig_DTI_Max),1,0)</f>
        <v>1</v>
      </c>
      <c r="AX973" s="171">
        <f t="shared" si="388"/>
        <v>1</v>
      </c>
      <c r="AY973" s="171">
        <f t="shared" ref="AY973:AY1036" si="394">IF(AND(Input_CreditScore&gt;=Elig_CreditScore_Min,Input_CreditScore&lt;=Elig_CreditScore_Max),1,0)</f>
        <v>0</v>
      </c>
      <c r="AZ973" s="171">
        <f t="shared" ref="AZ973:AZ1036" si="395">IF(AND(Input_ReservesMonths&gt;=Elig_Reserves_Min,Input_ReservesMonths&lt;=Elig_Reserves_Max),1,0)</f>
        <v>1</v>
      </c>
      <c r="BA973" s="172">
        <f t="shared" ref="BA973:BA1036" si="396">IF(AND(Input_LTV&gt;=Elig_LTV_Min,Input_LTV&lt;=Elig_LTV_Max),1,0)</f>
        <v>1</v>
      </c>
      <c r="BB973" s="175">
        <f t="shared" si="385"/>
        <v>17</v>
      </c>
      <c r="BC973" s="176">
        <f t="shared" si="386"/>
        <v>16</v>
      </c>
      <c r="BD973" s="176">
        <f t="shared" si="387"/>
        <v>17</v>
      </c>
      <c r="BE973" s="240" t="str">
        <f t="shared" si="390"/>
        <v/>
      </c>
      <c r="BF973" s="990"/>
      <c r="BG973" s="990"/>
      <c r="BH973" s="991">
        <f>IF(AND(Input_Product=Elig!$C973,Elig_MatchAll_Ct&lt;22,$BC973=(Elig_MatchAll_Ct-1),AF973=0),C973,0)</f>
        <v>0</v>
      </c>
      <c r="BI973" s="991">
        <f>IF(AND(Input_Product=Elig!$C973,Elig_MatchAll_Ct&lt;22,$BC973=(Elig_MatchAll_Ct-1),AG973=0),D973,0)</f>
        <v>0</v>
      </c>
      <c r="BJ973" s="991">
        <f>IF(AND(Input_Product=Elig!$C973,Elig_MatchAll_Ct&lt;22,$BC973=(Elig_MatchAll_Ct-1),AH973=0),E973,0)</f>
        <v>0</v>
      </c>
      <c r="BK973" s="991">
        <f>IF(AND(Input_Product=Elig!$C973,Elig_MatchAll_Ct&lt;22,$BC973=(Elig_MatchAll_Ct-1),AI973=0),F973,0)</f>
        <v>0</v>
      </c>
      <c r="BL973" s="991">
        <f>IF(AND(Input_Product=Elig!$C973,Elig_MatchAll_Ct&lt;22,$BC973=(Elig_MatchAll_Ct-1),AJ973=0),G973,0)</f>
        <v>0</v>
      </c>
      <c r="BM973" s="991">
        <f>IF(AND(Input_Product=Elig!$C973,Elig_MatchAll_Ct&lt;22,$BC973=(Elig_MatchAll_Ct-1),AK973=0),H973,0)</f>
        <v>0</v>
      </c>
      <c r="BN973" s="991">
        <f>IF(AND(Input_Product=Elig!$C973,Elig_MatchAll_Ct&lt;22,$BC973=(Elig_MatchAll_Ct-1),AL973=0),I973,0)</f>
        <v>0</v>
      </c>
      <c r="BO973" s="991">
        <f>IF(AND(Input_Product=Elig!$C973,Elig_MatchAll_Ct&lt;22,$BC973=(Elig_MatchAll_Ct-1),AM973=0),J973,0)</f>
        <v>0</v>
      </c>
      <c r="BP973" s="991">
        <f>IF(AND(Input_Product=Elig!$C973,Elig_MatchAll_Ct&lt;22,$BC973=(Elig_MatchAll_Ct-1),AN973=0),K973,0)</f>
        <v>0</v>
      </c>
      <c r="BQ973" s="991">
        <f>IF(AND(Input_Product=Elig!$C973,Elig_MatchAll_Ct&lt;22,$BC973=(Elig_MatchAll_Ct-1),AP973=0),L973,0)</f>
        <v>0</v>
      </c>
      <c r="BR973" s="991">
        <f>IF(AND(Input_Product=Elig!$C973,Elig_MatchAll_Ct&lt;22,$BC973=(Elig_MatchAll_Ct-1),AO973=0),M973,0)</f>
        <v>0</v>
      </c>
      <c r="BS973" s="991">
        <f>IF(AND(Input_Product=Elig!$C973,Elig_MatchAll_Ct&lt;22,$BC973=(Elig_MatchAll_Ct-1),AQ973=0),N973,0)</f>
        <v>0</v>
      </c>
      <c r="BT973" s="991">
        <f>IF(AND(Input_Product=Elig!$C973,Elig_MatchAll_Ct&lt;22,$BC973=(Elig_MatchAll_Ct-1),AR973=0),O973,0)</f>
        <v>0</v>
      </c>
      <c r="BU973" s="991">
        <f>IF(AND(Input_Product=Elig!$C973,Elig_MatchAll_Ct&lt;22,$BC973=(Elig_MatchAll_Ct-1),AS973=0),P973,0)</f>
        <v>0</v>
      </c>
      <c r="BV973" s="992">
        <f>IF(AND(Input_Product=Elig!$C973,Elig_MatchAll_Ct&lt;22,$BC973=(Elig_MatchAll_Ct-1),AT973=0),Q973,0)</f>
        <v>0</v>
      </c>
      <c r="BW973" s="993">
        <f>IF(AND(Input_Product=Elig!$C973,Elig_MatchAll_Ct&lt;22,$BC973=(Elig_MatchAll_Ct-1),AU973=0),R973,0)</f>
        <v>0</v>
      </c>
      <c r="BX973" s="994">
        <f>IF(AND(Input_Product=Elig!$C973,Elig_MatchAll_Ct&lt;22,$BC973=(Elig_MatchAll_Ct-1),AU973=0),S973,0)</f>
        <v>0</v>
      </c>
      <c r="BY973" s="993">
        <f>IF(AND(Input_Product=Elig!$C973,Elig_MatchAll_Ct&lt;22,$BC973=(Elig_MatchAll_Ct-1),AV973=0),T973,0)</f>
        <v>0</v>
      </c>
      <c r="BZ973" s="994">
        <f>IF(AND(Input_Product=Elig!$C973,Elig_MatchAll_Ct&lt;22,$BC973=(Elig_MatchAll_Ct-1),AV973=0),U973,0)</f>
        <v>0</v>
      </c>
      <c r="CA973" s="993">
        <f>IF(AND(Input_Product=Elig!$C973,Elig_MatchAll_Ct&lt;22,$BC973=(Elig_MatchAll_Ct-1),AW973=0),V973,0)</f>
        <v>0</v>
      </c>
      <c r="CB973" s="994">
        <f>IF(AND(Input_Product=Elig!$C973,Elig_MatchAll_Ct&lt;22,$BC973=(Elig_MatchAll_Ct-1),AW973=0),W973,0)</f>
        <v>0</v>
      </c>
      <c r="CC973" s="993">
        <f>IF(AND(Input_Product=Elig!$C973,Elig_MatchAll_Ct&lt;22,$BC973=(Elig_MatchAll_Ct-1),AX973=0),X973,0)</f>
        <v>0</v>
      </c>
      <c r="CD973" s="994">
        <f>IF(AND(Input_Product=Elig!$C973,Elig_MatchAll_Ct&lt;22,$BC973=(Elig_MatchAll_Ct-1),AX973=0),Y973,0)</f>
        <v>0</v>
      </c>
      <c r="CE973" s="993">
        <f>IF(AND(Input_LTV&lt;=AE973,Input_Product=Elig!$C973,Elig_MatchAll_Ct&lt;22,$BC973=(Elig_MatchAll_Ct-1),AY973=0),Z973,0)</f>
        <v>0</v>
      </c>
      <c r="CF973" s="994">
        <f>IF(AND(Input_LTV&lt;=AE973,Input_Product=Elig!$C973,Elig_MatchAll_Ct&lt;22,$BC973=(Elig_MatchAll_Ct-1),AY973=0),AA973,0)</f>
        <v>0</v>
      </c>
      <c r="CG973" s="993">
        <f>IF(AND(Input_Product=Elig!$C973,Elig_MatchAll_Ct&lt;22,$BC973=(Elig_MatchAll_Ct-1),AZ973=0),AB973,0)</f>
        <v>0</v>
      </c>
      <c r="CH973" s="994">
        <f>IF(AND(Input_Product=Elig!$C973,Elig_MatchAll_Ct&lt;22,$BC973=(Elig_MatchAll_Ct-1),AZ973=0),AC973,0)</f>
        <v>0</v>
      </c>
      <c r="CI973" s="993">
        <f>IF(AND(Input_Product=Elig!$C973,Elig_MatchAll_Ct&lt;22,$BC973=(Elig_MatchAll_Ct-1),BA973=0),AD973,0)</f>
        <v>0</v>
      </c>
      <c r="CJ973" s="994">
        <f>IF(AND(Input_Product=Elig!$C973,Elig_MatchAll_Ct&lt;22,$BC973=(Elig_MatchAll_Ct-1),BA973=0),AE973,0)</f>
        <v>0</v>
      </c>
    </row>
    <row r="974" spans="2:88" ht="10.15" customHeight="1" x14ac:dyDescent="0.25">
      <c r="B974" s="1916" t="s">
        <v>2310</v>
      </c>
      <c r="C974" s="1213" t="str">
        <f t="shared" si="389"/>
        <v xml:space="preserve">  </v>
      </c>
      <c r="D974" s="1214" t="s">
        <v>2218</v>
      </c>
      <c r="E974" s="1214" t="s">
        <v>167</v>
      </c>
      <c r="F974" s="1214" t="s">
        <v>331</v>
      </c>
      <c r="G974" s="1215" t="s">
        <v>472</v>
      </c>
      <c r="H974" s="1215" t="s">
        <v>136</v>
      </c>
      <c r="I974" s="1214" t="s">
        <v>274</v>
      </c>
      <c r="J974" s="1214" t="s">
        <v>1311</v>
      </c>
      <c r="K974" s="1215" t="s">
        <v>3022</v>
      </c>
      <c r="L974" s="1214" t="s">
        <v>2768</v>
      </c>
      <c r="M974" s="1214" t="s">
        <v>2677</v>
      </c>
      <c r="N974" s="1215" t="s">
        <v>82</v>
      </c>
      <c r="O974" s="1214" t="s">
        <v>310</v>
      </c>
      <c r="P974" s="1214" t="s">
        <v>291</v>
      </c>
      <c r="Q974" s="1214" t="s">
        <v>294</v>
      </c>
      <c r="R974" s="1214">
        <v>125000</v>
      </c>
      <c r="S974" s="1214">
        <v>1000000</v>
      </c>
      <c r="T974" s="1214">
        <v>0</v>
      </c>
      <c r="U974" s="1214">
        <v>0</v>
      </c>
      <c r="V974" s="1214">
        <v>0</v>
      </c>
      <c r="W974" s="1214">
        <v>50</v>
      </c>
      <c r="X974" s="1214">
        <v>0</v>
      </c>
      <c r="Y974" s="1214">
        <v>999</v>
      </c>
      <c r="Z974" s="1216">
        <v>680</v>
      </c>
      <c r="AA974" s="1216">
        <v>699</v>
      </c>
      <c r="AB974" s="1216">
        <v>3</v>
      </c>
      <c r="AC974" s="1216">
        <v>999999</v>
      </c>
      <c r="AD974" s="1214">
        <v>0</v>
      </c>
      <c r="AE974" s="1217">
        <v>75</v>
      </c>
      <c r="AF974" s="170">
        <v>0</v>
      </c>
      <c r="AG974" s="171">
        <v>1</v>
      </c>
      <c r="AH974" s="171">
        <v>1</v>
      </c>
      <c r="AI974" s="171">
        <v>1</v>
      </c>
      <c r="AJ974" s="171">
        <v>0</v>
      </c>
      <c r="AK974" s="171">
        <v>1</v>
      </c>
      <c r="AL974" s="171">
        <v>0</v>
      </c>
      <c r="AM974" s="171">
        <v>1</v>
      </c>
      <c r="AN974" s="171">
        <v>1</v>
      </c>
      <c r="AO974" s="171">
        <v>1</v>
      </c>
      <c r="AP974" s="171">
        <v>1</v>
      </c>
      <c r="AQ974" s="171">
        <v>1</v>
      </c>
      <c r="AR974" s="171">
        <v>1</v>
      </c>
      <c r="AS974" s="171">
        <v>1</v>
      </c>
      <c r="AT974" s="171">
        <v>1</v>
      </c>
      <c r="AU974" s="171">
        <f t="shared" si="391"/>
        <v>1</v>
      </c>
      <c r="AV974" s="171">
        <f t="shared" si="392"/>
        <v>0</v>
      </c>
      <c r="AW974" s="171">
        <f t="shared" si="393"/>
        <v>1</v>
      </c>
      <c r="AX974" s="171">
        <f t="shared" si="388"/>
        <v>1</v>
      </c>
      <c r="AY974" s="171">
        <f t="shared" si="394"/>
        <v>0</v>
      </c>
      <c r="AZ974" s="171">
        <f t="shared" si="395"/>
        <v>1</v>
      </c>
      <c r="BA974" s="172">
        <f t="shared" si="396"/>
        <v>1</v>
      </c>
      <c r="BB974" s="175">
        <f t="shared" si="385"/>
        <v>17</v>
      </c>
      <c r="BC974" s="176">
        <f t="shared" si="386"/>
        <v>16</v>
      </c>
      <c r="BD974" s="176">
        <f t="shared" si="387"/>
        <v>17</v>
      </c>
      <c r="BE974" s="240" t="str">
        <f t="shared" si="390"/>
        <v/>
      </c>
      <c r="BF974" s="990"/>
      <c r="BG974" s="990"/>
      <c r="BH974" s="991">
        <f>IF(AND(Input_Product=Elig!$C974,Elig_MatchAll_Ct&lt;22,$BC974=(Elig_MatchAll_Ct-1),AF974=0),C974,0)</f>
        <v>0</v>
      </c>
      <c r="BI974" s="991">
        <f>IF(AND(Input_Product=Elig!$C974,Elig_MatchAll_Ct&lt;22,$BC974=(Elig_MatchAll_Ct-1),AG974=0),D974,0)</f>
        <v>0</v>
      </c>
      <c r="BJ974" s="991">
        <f>IF(AND(Input_Product=Elig!$C974,Elig_MatchAll_Ct&lt;22,$BC974=(Elig_MatchAll_Ct-1),AH974=0),E974,0)</f>
        <v>0</v>
      </c>
      <c r="BK974" s="991">
        <f>IF(AND(Input_Product=Elig!$C974,Elig_MatchAll_Ct&lt;22,$BC974=(Elig_MatchAll_Ct-1),AI974=0),F974,0)</f>
        <v>0</v>
      </c>
      <c r="BL974" s="991">
        <f>IF(AND(Input_Product=Elig!$C974,Elig_MatchAll_Ct&lt;22,$BC974=(Elig_MatchAll_Ct-1),AJ974=0),G974,0)</f>
        <v>0</v>
      </c>
      <c r="BM974" s="991">
        <f>IF(AND(Input_Product=Elig!$C974,Elig_MatchAll_Ct&lt;22,$BC974=(Elig_MatchAll_Ct-1),AK974=0),H974,0)</f>
        <v>0</v>
      </c>
      <c r="BN974" s="991">
        <f>IF(AND(Input_Product=Elig!$C974,Elig_MatchAll_Ct&lt;22,$BC974=(Elig_MatchAll_Ct-1),AL974=0),I974,0)</f>
        <v>0</v>
      </c>
      <c r="BO974" s="991">
        <f>IF(AND(Input_Product=Elig!$C974,Elig_MatchAll_Ct&lt;22,$BC974=(Elig_MatchAll_Ct-1),AM974=0),J974,0)</f>
        <v>0</v>
      </c>
      <c r="BP974" s="991">
        <f>IF(AND(Input_Product=Elig!$C974,Elig_MatchAll_Ct&lt;22,$BC974=(Elig_MatchAll_Ct-1),AN974=0),K974,0)</f>
        <v>0</v>
      </c>
      <c r="BQ974" s="991">
        <f>IF(AND(Input_Product=Elig!$C974,Elig_MatchAll_Ct&lt;22,$BC974=(Elig_MatchAll_Ct-1),AP974=0),L974,0)</f>
        <v>0</v>
      </c>
      <c r="BR974" s="991">
        <f>IF(AND(Input_Product=Elig!$C974,Elig_MatchAll_Ct&lt;22,$BC974=(Elig_MatchAll_Ct-1),AO974=0),M974,0)</f>
        <v>0</v>
      </c>
      <c r="BS974" s="991">
        <f>IF(AND(Input_Product=Elig!$C974,Elig_MatchAll_Ct&lt;22,$BC974=(Elig_MatchAll_Ct-1),AQ974=0),N974,0)</f>
        <v>0</v>
      </c>
      <c r="BT974" s="991">
        <f>IF(AND(Input_Product=Elig!$C974,Elig_MatchAll_Ct&lt;22,$BC974=(Elig_MatchAll_Ct-1),AR974=0),O974,0)</f>
        <v>0</v>
      </c>
      <c r="BU974" s="991">
        <f>IF(AND(Input_Product=Elig!$C974,Elig_MatchAll_Ct&lt;22,$BC974=(Elig_MatchAll_Ct-1),AS974=0),P974,0)</f>
        <v>0</v>
      </c>
      <c r="BV974" s="992">
        <f>IF(AND(Input_Product=Elig!$C974,Elig_MatchAll_Ct&lt;22,$BC974=(Elig_MatchAll_Ct-1),AT974=0),Q974,0)</f>
        <v>0</v>
      </c>
      <c r="BW974" s="993">
        <f>IF(AND(Input_Product=Elig!$C974,Elig_MatchAll_Ct&lt;22,$BC974=(Elig_MatchAll_Ct-1),AU974=0),R974,0)</f>
        <v>0</v>
      </c>
      <c r="BX974" s="994">
        <f>IF(AND(Input_Product=Elig!$C974,Elig_MatchAll_Ct&lt;22,$BC974=(Elig_MatchAll_Ct-1),AU974=0),S974,0)</f>
        <v>0</v>
      </c>
      <c r="BY974" s="993">
        <f>IF(AND(Input_Product=Elig!$C974,Elig_MatchAll_Ct&lt;22,$BC974=(Elig_MatchAll_Ct-1),AV974=0),T974,0)</f>
        <v>0</v>
      </c>
      <c r="BZ974" s="994">
        <f>IF(AND(Input_Product=Elig!$C974,Elig_MatchAll_Ct&lt;22,$BC974=(Elig_MatchAll_Ct-1),AV974=0),U974,0)</f>
        <v>0</v>
      </c>
      <c r="CA974" s="993">
        <f>IF(AND(Input_Product=Elig!$C974,Elig_MatchAll_Ct&lt;22,$BC974=(Elig_MatchAll_Ct-1),AW974=0),V974,0)</f>
        <v>0</v>
      </c>
      <c r="CB974" s="994">
        <f>IF(AND(Input_Product=Elig!$C974,Elig_MatchAll_Ct&lt;22,$BC974=(Elig_MatchAll_Ct-1),AW974=0),W974,0)</f>
        <v>0</v>
      </c>
      <c r="CC974" s="993">
        <f>IF(AND(Input_Product=Elig!$C974,Elig_MatchAll_Ct&lt;22,$BC974=(Elig_MatchAll_Ct-1),AX974=0),X974,0)</f>
        <v>0</v>
      </c>
      <c r="CD974" s="994">
        <f>IF(AND(Input_Product=Elig!$C974,Elig_MatchAll_Ct&lt;22,$BC974=(Elig_MatchAll_Ct-1),AX974=0),Y974,0)</f>
        <v>0</v>
      </c>
      <c r="CE974" s="993">
        <f>IF(AND(Input_LTV&lt;=AE974,Input_Product=Elig!$C974,Elig_MatchAll_Ct&lt;22,$BC974=(Elig_MatchAll_Ct-1),AY974=0),Z974,0)</f>
        <v>0</v>
      </c>
      <c r="CF974" s="994">
        <f>IF(AND(Input_LTV&lt;=AE974,Input_Product=Elig!$C974,Elig_MatchAll_Ct&lt;22,$BC974=(Elig_MatchAll_Ct-1),AY974=0),AA974,0)</f>
        <v>0</v>
      </c>
      <c r="CG974" s="993">
        <f>IF(AND(Input_Product=Elig!$C974,Elig_MatchAll_Ct&lt;22,$BC974=(Elig_MatchAll_Ct-1),AZ974=0),AB974,0)</f>
        <v>0</v>
      </c>
      <c r="CH974" s="994">
        <f>IF(AND(Input_Product=Elig!$C974,Elig_MatchAll_Ct&lt;22,$BC974=(Elig_MatchAll_Ct-1),AZ974=0),AC974,0)</f>
        <v>0</v>
      </c>
      <c r="CI974" s="993">
        <f>IF(AND(Input_Product=Elig!$C974,Elig_MatchAll_Ct&lt;22,$BC974=(Elig_MatchAll_Ct-1),BA974=0),AD974,0)</f>
        <v>0</v>
      </c>
      <c r="CJ974" s="994">
        <f>IF(AND(Input_Product=Elig!$C974,Elig_MatchAll_Ct&lt;22,$BC974=(Elig_MatchAll_Ct-1),BA974=0),AE974,0)</f>
        <v>0</v>
      </c>
    </row>
    <row r="975" spans="2:88" ht="10.15" customHeight="1" x14ac:dyDescent="0.25">
      <c r="B975" s="1916" t="s">
        <v>2311</v>
      </c>
      <c r="C975" s="1203" t="str">
        <f t="shared" si="389"/>
        <v xml:space="preserve">  </v>
      </c>
      <c r="D975" s="1204" t="s">
        <v>2218</v>
      </c>
      <c r="E975" s="1204" t="s">
        <v>167</v>
      </c>
      <c r="F975" s="1204" t="s">
        <v>331</v>
      </c>
      <c r="G975" s="1205" t="s">
        <v>472</v>
      </c>
      <c r="H975" s="1205" t="s">
        <v>136</v>
      </c>
      <c r="I975" s="1204" t="s">
        <v>274</v>
      </c>
      <c r="J975" s="1204" t="s">
        <v>1311</v>
      </c>
      <c r="K975" s="1205" t="s">
        <v>3022</v>
      </c>
      <c r="L975" s="1204" t="s">
        <v>2768</v>
      </c>
      <c r="M975" s="1204" t="s">
        <v>2677</v>
      </c>
      <c r="N975" s="1205" t="s">
        <v>82</v>
      </c>
      <c r="O975" s="1204" t="s">
        <v>310</v>
      </c>
      <c r="P975" s="1204" t="s">
        <v>291</v>
      </c>
      <c r="Q975" s="1204" t="s">
        <v>294</v>
      </c>
      <c r="R975" s="1204">
        <v>1000000.01</v>
      </c>
      <c r="S975" s="1204">
        <v>1500000</v>
      </c>
      <c r="T975" s="1204">
        <v>0</v>
      </c>
      <c r="U975" s="1204">
        <v>0</v>
      </c>
      <c r="V975" s="1204">
        <v>0</v>
      </c>
      <c r="W975" s="1204">
        <v>50</v>
      </c>
      <c r="X975" s="1204">
        <v>0</v>
      </c>
      <c r="Y975" s="1204">
        <v>999</v>
      </c>
      <c r="Z975" s="1206">
        <v>720</v>
      </c>
      <c r="AA975" s="1206">
        <v>999</v>
      </c>
      <c r="AB975" s="1206">
        <v>6</v>
      </c>
      <c r="AC975" s="1206">
        <v>999999</v>
      </c>
      <c r="AD975" s="1204">
        <v>0</v>
      </c>
      <c r="AE975" s="1207">
        <v>80</v>
      </c>
      <c r="AF975" s="170">
        <v>0</v>
      </c>
      <c r="AG975" s="171">
        <v>1</v>
      </c>
      <c r="AH975" s="171">
        <v>1</v>
      </c>
      <c r="AI975" s="171">
        <v>1</v>
      </c>
      <c r="AJ975" s="171">
        <v>0</v>
      </c>
      <c r="AK975" s="171">
        <v>1</v>
      </c>
      <c r="AL975" s="171">
        <v>0</v>
      </c>
      <c r="AM975" s="171">
        <v>1</v>
      </c>
      <c r="AN975" s="171">
        <v>1</v>
      </c>
      <c r="AO975" s="171">
        <v>1</v>
      </c>
      <c r="AP975" s="171">
        <v>1</v>
      </c>
      <c r="AQ975" s="171">
        <v>1</v>
      </c>
      <c r="AR975" s="171">
        <v>1</v>
      </c>
      <c r="AS975" s="171">
        <v>1</v>
      </c>
      <c r="AT975" s="171">
        <v>1</v>
      </c>
      <c r="AU975" s="171">
        <f t="shared" si="391"/>
        <v>0</v>
      </c>
      <c r="AV975" s="171">
        <f t="shared" si="392"/>
        <v>0</v>
      </c>
      <c r="AW975" s="171">
        <f t="shared" si="393"/>
        <v>1</v>
      </c>
      <c r="AX975" s="171">
        <f t="shared" si="388"/>
        <v>1</v>
      </c>
      <c r="AY975" s="171">
        <f t="shared" si="394"/>
        <v>1</v>
      </c>
      <c r="AZ975" s="171">
        <f t="shared" si="395"/>
        <v>1</v>
      </c>
      <c r="BA975" s="172">
        <f t="shared" si="396"/>
        <v>1</v>
      </c>
      <c r="BB975" s="175">
        <f t="shared" si="385"/>
        <v>17</v>
      </c>
      <c r="BC975" s="176">
        <f t="shared" si="386"/>
        <v>16</v>
      </c>
      <c r="BD975" s="176">
        <f t="shared" si="387"/>
        <v>17</v>
      </c>
      <c r="BE975" s="240" t="str">
        <f t="shared" si="390"/>
        <v/>
      </c>
      <c r="BF975" s="990"/>
      <c r="BG975" s="990"/>
      <c r="BH975" s="991">
        <f>IF(AND(Input_Product=Elig!$C975,Elig_MatchAll_Ct&lt;22,$BC975=(Elig_MatchAll_Ct-1),AF975=0),C975,0)</f>
        <v>0</v>
      </c>
      <c r="BI975" s="991">
        <f>IF(AND(Input_Product=Elig!$C975,Elig_MatchAll_Ct&lt;22,$BC975=(Elig_MatchAll_Ct-1),AG975=0),D975,0)</f>
        <v>0</v>
      </c>
      <c r="BJ975" s="991">
        <f>IF(AND(Input_Product=Elig!$C975,Elig_MatchAll_Ct&lt;22,$BC975=(Elig_MatchAll_Ct-1),AH975=0),E975,0)</f>
        <v>0</v>
      </c>
      <c r="BK975" s="991">
        <f>IF(AND(Input_Product=Elig!$C975,Elig_MatchAll_Ct&lt;22,$BC975=(Elig_MatchAll_Ct-1),AI975=0),F975,0)</f>
        <v>0</v>
      </c>
      <c r="BL975" s="991">
        <f>IF(AND(Input_Product=Elig!$C975,Elig_MatchAll_Ct&lt;22,$BC975=(Elig_MatchAll_Ct-1),AJ975=0),G975,0)</f>
        <v>0</v>
      </c>
      <c r="BM975" s="991">
        <f>IF(AND(Input_Product=Elig!$C975,Elig_MatchAll_Ct&lt;22,$BC975=(Elig_MatchAll_Ct-1),AK975=0),H975,0)</f>
        <v>0</v>
      </c>
      <c r="BN975" s="991">
        <f>IF(AND(Input_Product=Elig!$C975,Elig_MatchAll_Ct&lt;22,$BC975=(Elig_MatchAll_Ct-1),AL975=0),I975,0)</f>
        <v>0</v>
      </c>
      <c r="BO975" s="991">
        <f>IF(AND(Input_Product=Elig!$C975,Elig_MatchAll_Ct&lt;22,$BC975=(Elig_MatchAll_Ct-1),AM975=0),J975,0)</f>
        <v>0</v>
      </c>
      <c r="BP975" s="991">
        <f>IF(AND(Input_Product=Elig!$C975,Elig_MatchAll_Ct&lt;22,$BC975=(Elig_MatchAll_Ct-1),AN975=0),K975,0)</f>
        <v>0</v>
      </c>
      <c r="BQ975" s="991">
        <f>IF(AND(Input_Product=Elig!$C975,Elig_MatchAll_Ct&lt;22,$BC975=(Elig_MatchAll_Ct-1),AP975=0),L975,0)</f>
        <v>0</v>
      </c>
      <c r="BR975" s="991">
        <f>IF(AND(Input_Product=Elig!$C975,Elig_MatchAll_Ct&lt;22,$BC975=(Elig_MatchAll_Ct-1),AO975=0),M975,0)</f>
        <v>0</v>
      </c>
      <c r="BS975" s="991">
        <f>IF(AND(Input_Product=Elig!$C975,Elig_MatchAll_Ct&lt;22,$BC975=(Elig_MatchAll_Ct-1),AQ975=0),N975,0)</f>
        <v>0</v>
      </c>
      <c r="BT975" s="991">
        <f>IF(AND(Input_Product=Elig!$C975,Elig_MatchAll_Ct&lt;22,$BC975=(Elig_MatchAll_Ct-1),AR975=0),O975,0)</f>
        <v>0</v>
      </c>
      <c r="BU975" s="991">
        <f>IF(AND(Input_Product=Elig!$C975,Elig_MatchAll_Ct&lt;22,$BC975=(Elig_MatchAll_Ct-1),AS975=0),P975,0)</f>
        <v>0</v>
      </c>
      <c r="BV975" s="992">
        <f>IF(AND(Input_Product=Elig!$C975,Elig_MatchAll_Ct&lt;22,$BC975=(Elig_MatchAll_Ct-1),AT975=0),Q975,0)</f>
        <v>0</v>
      </c>
      <c r="BW975" s="993">
        <f>IF(AND(Input_Product=Elig!$C975,Elig_MatchAll_Ct&lt;22,$BC975=(Elig_MatchAll_Ct-1),AU975=0),R975,0)</f>
        <v>0</v>
      </c>
      <c r="BX975" s="994">
        <f>IF(AND(Input_Product=Elig!$C975,Elig_MatchAll_Ct&lt;22,$BC975=(Elig_MatchAll_Ct-1),AU975=0),S975,0)</f>
        <v>0</v>
      </c>
      <c r="BY975" s="993">
        <f>IF(AND(Input_Product=Elig!$C975,Elig_MatchAll_Ct&lt;22,$BC975=(Elig_MatchAll_Ct-1),AV975=0),T975,0)</f>
        <v>0</v>
      </c>
      <c r="BZ975" s="994">
        <f>IF(AND(Input_Product=Elig!$C975,Elig_MatchAll_Ct&lt;22,$BC975=(Elig_MatchAll_Ct-1),AV975=0),U975,0)</f>
        <v>0</v>
      </c>
      <c r="CA975" s="993">
        <f>IF(AND(Input_Product=Elig!$C975,Elig_MatchAll_Ct&lt;22,$BC975=(Elig_MatchAll_Ct-1),AW975=0),V975,0)</f>
        <v>0</v>
      </c>
      <c r="CB975" s="994">
        <f>IF(AND(Input_Product=Elig!$C975,Elig_MatchAll_Ct&lt;22,$BC975=(Elig_MatchAll_Ct-1),AW975=0),W975,0)</f>
        <v>0</v>
      </c>
      <c r="CC975" s="993">
        <f>IF(AND(Input_Product=Elig!$C975,Elig_MatchAll_Ct&lt;22,$BC975=(Elig_MatchAll_Ct-1),AX975=0),X975,0)</f>
        <v>0</v>
      </c>
      <c r="CD975" s="994">
        <f>IF(AND(Input_Product=Elig!$C975,Elig_MatchAll_Ct&lt;22,$BC975=(Elig_MatchAll_Ct-1),AX975=0),Y975,0)</f>
        <v>0</v>
      </c>
      <c r="CE975" s="993">
        <f>IF(AND(Input_LTV&lt;=AE975,Input_Product=Elig!$C975,Elig_MatchAll_Ct&lt;22,$BC975=(Elig_MatchAll_Ct-1),AY975=0),Z975,0)</f>
        <v>0</v>
      </c>
      <c r="CF975" s="994">
        <f>IF(AND(Input_LTV&lt;=AE975,Input_Product=Elig!$C975,Elig_MatchAll_Ct&lt;22,$BC975=(Elig_MatchAll_Ct-1),AY975=0),AA975,0)</f>
        <v>0</v>
      </c>
      <c r="CG975" s="993">
        <f>IF(AND(Input_Product=Elig!$C975,Elig_MatchAll_Ct&lt;22,$BC975=(Elig_MatchAll_Ct-1),AZ975=0),AB975,0)</f>
        <v>0</v>
      </c>
      <c r="CH975" s="994">
        <f>IF(AND(Input_Product=Elig!$C975,Elig_MatchAll_Ct&lt;22,$BC975=(Elig_MatchAll_Ct-1),AZ975=0),AC975,0)</f>
        <v>0</v>
      </c>
      <c r="CI975" s="993">
        <f>IF(AND(Input_Product=Elig!$C975,Elig_MatchAll_Ct&lt;22,$BC975=(Elig_MatchAll_Ct-1),BA975=0),AD975,0)</f>
        <v>0</v>
      </c>
      <c r="CJ975" s="994">
        <f>IF(AND(Input_Product=Elig!$C975,Elig_MatchAll_Ct&lt;22,$BC975=(Elig_MatchAll_Ct-1),BA975=0),AE975,0)</f>
        <v>0</v>
      </c>
    </row>
    <row r="976" spans="2:88" ht="10.15" customHeight="1" x14ac:dyDescent="0.25">
      <c r="B976" s="1916" t="s">
        <v>2312</v>
      </c>
      <c r="C976" s="1208" t="str">
        <f t="shared" si="389"/>
        <v xml:space="preserve">  </v>
      </c>
      <c r="D976" s="1209" t="s">
        <v>2218</v>
      </c>
      <c r="E976" s="1209" t="s">
        <v>167</v>
      </c>
      <c r="F976" s="1209" t="s">
        <v>331</v>
      </c>
      <c r="G976" s="1210" t="s">
        <v>472</v>
      </c>
      <c r="H976" s="1210" t="s">
        <v>136</v>
      </c>
      <c r="I976" s="1209" t="s">
        <v>274</v>
      </c>
      <c r="J976" s="1209" t="s">
        <v>1311</v>
      </c>
      <c r="K976" s="1210" t="s">
        <v>3022</v>
      </c>
      <c r="L976" s="1209" t="s">
        <v>2768</v>
      </c>
      <c r="M976" s="1209" t="s">
        <v>2677</v>
      </c>
      <c r="N976" s="1210" t="s">
        <v>82</v>
      </c>
      <c r="O976" s="1209" t="s">
        <v>310</v>
      </c>
      <c r="P976" s="1209" t="s">
        <v>291</v>
      </c>
      <c r="Q976" s="1209" t="s">
        <v>294</v>
      </c>
      <c r="R976" s="1209">
        <v>1000000.01</v>
      </c>
      <c r="S976" s="1209">
        <v>1500000</v>
      </c>
      <c r="T976" s="1209">
        <v>0</v>
      </c>
      <c r="U976" s="1209">
        <v>0</v>
      </c>
      <c r="V976" s="1209">
        <v>0</v>
      </c>
      <c r="W976" s="1209">
        <v>50</v>
      </c>
      <c r="X976" s="1209">
        <v>0</v>
      </c>
      <c r="Y976" s="1209">
        <v>999</v>
      </c>
      <c r="Z976" s="1211">
        <v>700</v>
      </c>
      <c r="AA976" s="1211">
        <v>719</v>
      </c>
      <c r="AB976" s="1211">
        <v>6</v>
      </c>
      <c r="AC976" s="1211">
        <v>999999</v>
      </c>
      <c r="AD976" s="1209">
        <v>0</v>
      </c>
      <c r="AE976" s="1212">
        <v>75</v>
      </c>
      <c r="AF976" s="170">
        <v>0</v>
      </c>
      <c r="AG976" s="171">
        <v>1</v>
      </c>
      <c r="AH976" s="171">
        <v>1</v>
      </c>
      <c r="AI976" s="171">
        <v>1</v>
      </c>
      <c r="AJ976" s="171">
        <v>0</v>
      </c>
      <c r="AK976" s="171">
        <v>1</v>
      </c>
      <c r="AL976" s="171">
        <v>0</v>
      </c>
      <c r="AM976" s="171">
        <v>1</v>
      </c>
      <c r="AN976" s="171">
        <v>1</v>
      </c>
      <c r="AO976" s="171">
        <v>1</v>
      </c>
      <c r="AP976" s="171">
        <v>1</v>
      </c>
      <c r="AQ976" s="171">
        <v>1</v>
      </c>
      <c r="AR976" s="171">
        <v>1</v>
      </c>
      <c r="AS976" s="171">
        <v>1</v>
      </c>
      <c r="AT976" s="171">
        <v>1</v>
      </c>
      <c r="AU976" s="171">
        <f t="shared" si="391"/>
        <v>0</v>
      </c>
      <c r="AV976" s="171">
        <f t="shared" si="392"/>
        <v>0</v>
      </c>
      <c r="AW976" s="171">
        <f t="shared" si="393"/>
        <v>1</v>
      </c>
      <c r="AX976" s="171">
        <f t="shared" si="388"/>
        <v>1</v>
      </c>
      <c r="AY976" s="171">
        <f t="shared" si="394"/>
        <v>0</v>
      </c>
      <c r="AZ976" s="171">
        <f t="shared" si="395"/>
        <v>1</v>
      </c>
      <c r="BA976" s="172">
        <f t="shared" si="396"/>
        <v>1</v>
      </c>
      <c r="BB976" s="175">
        <f t="shared" si="385"/>
        <v>16</v>
      </c>
      <c r="BC976" s="176">
        <f t="shared" si="386"/>
        <v>15</v>
      </c>
      <c r="BD976" s="176">
        <f t="shared" si="387"/>
        <v>16</v>
      </c>
      <c r="BE976" s="240" t="str">
        <f t="shared" si="390"/>
        <v/>
      </c>
      <c r="BF976" s="990"/>
      <c r="BG976" s="990"/>
      <c r="BH976" s="991">
        <f>IF(AND(Input_Product=Elig!$C976,Elig_MatchAll_Ct&lt;22,$BC976=(Elig_MatchAll_Ct-1),AF976=0),C976,0)</f>
        <v>0</v>
      </c>
      <c r="BI976" s="991">
        <f>IF(AND(Input_Product=Elig!$C976,Elig_MatchAll_Ct&lt;22,$BC976=(Elig_MatchAll_Ct-1),AG976=0),D976,0)</f>
        <v>0</v>
      </c>
      <c r="BJ976" s="991">
        <f>IF(AND(Input_Product=Elig!$C976,Elig_MatchAll_Ct&lt;22,$BC976=(Elig_MatchAll_Ct-1),AH976=0),E976,0)</f>
        <v>0</v>
      </c>
      <c r="BK976" s="991">
        <f>IF(AND(Input_Product=Elig!$C976,Elig_MatchAll_Ct&lt;22,$BC976=(Elig_MatchAll_Ct-1),AI976=0),F976,0)</f>
        <v>0</v>
      </c>
      <c r="BL976" s="991">
        <f>IF(AND(Input_Product=Elig!$C976,Elig_MatchAll_Ct&lt;22,$BC976=(Elig_MatchAll_Ct-1),AJ976=0),G976,0)</f>
        <v>0</v>
      </c>
      <c r="BM976" s="991">
        <f>IF(AND(Input_Product=Elig!$C976,Elig_MatchAll_Ct&lt;22,$BC976=(Elig_MatchAll_Ct-1),AK976=0),H976,0)</f>
        <v>0</v>
      </c>
      <c r="BN976" s="991">
        <f>IF(AND(Input_Product=Elig!$C976,Elig_MatchAll_Ct&lt;22,$BC976=(Elig_MatchAll_Ct-1),AL976=0),I976,0)</f>
        <v>0</v>
      </c>
      <c r="BO976" s="991">
        <f>IF(AND(Input_Product=Elig!$C976,Elig_MatchAll_Ct&lt;22,$BC976=(Elig_MatchAll_Ct-1),AM976=0),J976,0)</f>
        <v>0</v>
      </c>
      <c r="BP976" s="991">
        <f>IF(AND(Input_Product=Elig!$C976,Elig_MatchAll_Ct&lt;22,$BC976=(Elig_MatchAll_Ct-1),AN976=0),K976,0)</f>
        <v>0</v>
      </c>
      <c r="BQ976" s="991">
        <f>IF(AND(Input_Product=Elig!$C976,Elig_MatchAll_Ct&lt;22,$BC976=(Elig_MatchAll_Ct-1),AP976=0),L976,0)</f>
        <v>0</v>
      </c>
      <c r="BR976" s="991">
        <f>IF(AND(Input_Product=Elig!$C976,Elig_MatchAll_Ct&lt;22,$BC976=(Elig_MatchAll_Ct-1),AO976=0),M976,0)</f>
        <v>0</v>
      </c>
      <c r="BS976" s="991">
        <f>IF(AND(Input_Product=Elig!$C976,Elig_MatchAll_Ct&lt;22,$BC976=(Elig_MatchAll_Ct-1),AQ976=0),N976,0)</f>
        <v>0</v>
      </c>
      <c r="BT976" s="991">
        <f>IF(AND(Input_Product=Elig!$C976,Elig_MatchAll_Ct&lt;22,$BC976=(Elig_MatchAll_Ct-1),AR976=0),O976,0)</f>
        <v>0</v>
      </c>
      <c r="BU976" s="991">
        <f>IF(AND(Input_Product=Elig!$C976,Elig_MatchAll_Ct&lt;22,$BC976=(Elig_MatchAll_Ct-1),AS976=0),P976,0)</f>
        <v>0</v>
      </c>
      <c r="BV976" s="992">
        <f>IF(AND(Input_Product=Elig!$C976,Elig_MatchAll_Ct&lt;22,$BC976=(Elig_MatchAll_Ct-1),AT976=0),Q976,0)</f>
        <v>0</v>
      </c>
      <c r="BW976" s="993">
        <f>IF(AND(Input_Product=Elig!$C976,Elig_MatchAll_Ct&lt;22,$BC976=(Elig_MatchAll_Ct-1),AU976=0),R976,0)</f>
        <v>0</v>
      </c>
      <c r="BX976" s="994">
        <f>IF(AND(Input_Product=Elig!$C976,Elig_MatchAll_Ct&lt;22,$BC976=(Elig_MatchAll_Ct-1),AU976=0),S976,0)</f>
        <v>0</v>
      </c>
      <c r="BY976" s="993">
        <f>IF(AND(Input_Product=Elig!$C976,Elig_MatchAll_Ct&lt;22,$BC976=(Elig_MatchAll_Ct-1),AV976=0),T976,0)</f>
        <v>0</v>
      </c>
      <c r="BZ976" s="994">
        <f>IF(AND(Input_Product=Elig!$C976,Elig_MatchAll_Ct&lt;22,$BC976=(Elig_MatchAll_Ct-1),AV976=0),U976,0)</f>
        <v>0</v>
      </c>
      <c r="CA976" s="993">
        <f>IF(AND(Input_Product=Elig!$C976,Elig_MatchAll_Ct&lt;22,$BC976=(Elig_MatchAll_Ct-1),AW976=0),V976,0)</f>
        <v>0</v>
      </c>
      <c r="CB976" s="994">
        <f>IF(AND(Input_Product=Elig!$C976,Elig_MatchAll_Ct&lt;22,$BC976=(Elig_MatchAll_Ct-1),AW976=0),W976,0)</f>
        <v>0</v>
      </c>
      <c r="CC976" s="993">
        <f>IF(AND(Input_Product=Elig!$C976,Elig_MatchAll_Ct&lt;22,$BC976=(Elig_MatchAll_Ct-1),AX976=0),X976,0)</f>
        <v>0</v>
      </c>
      <c r="CD976" s="994">
        <f>IF(AND(Input_Product=Elig!$C976,Elig_MatchAll_Ct&lt;22,$BC976=(Elig_MatchAll_Ct-1),AX976=0),Y976,0)</f>
        <v>0</v>
      </c>
      <c r="CE976" s="993">
        <f>IF(AND(Input_LTV&lt;=AE976,Input_Product=Elig!$C976,Elig_MatchAll_Ct&lt;22,$BC976=(Elig_MatchAll_Ct-1),AY976=0),Z976,0)</f>
        <v>0</v>
      </c>
      <c r="CF976" s="994">
        <f>IF(AND(Input_LTV&lt;=AE976,Input_Product=Elig!$C976,Elig_MatchAll_Ct&lt;22,$BC976=(Elig_MatchAll_Ct-1),AY976=0),AA976,0)</f>
        <v>0</v>
      </c>
      <c r="CG976" s="993">
        <f>IF(AND(Input_Product=Elig!$C976,Elig_MatchAll_Ct&lt;22,$BC976=(Elig_MatchAll_Ct-1),AZ976=0),AB976,0)</f>
        <v>0</v>
      </c>
      <c r="CH976" s="994">
        <f>IF(AND(Input_Product=Elig!$C976,Elig_MatchAll_Ct&lt;22,$BC976=(Elig_MatchAll_Ct-1),AZ976=0),AC976,0)</f>
        <v>0</v>
      </c>
      <c r="CI976" s="993">
        <f>IF(AND(Input_Product=Elig!$C976,Elig_MatchAll_Ct&lt;22,$BC976=(Elig_MatchAll_Ct-1),BA976=0),AD976,0)</f>
        <v>0</v>
      </c>
      <c r="CJ976" s="994">
        <f>IF(AND(Input_Product=Elig!$C976,Elig_MatchAll_Ct&lt;22,$BC976=(Elig_MatchAll_Ct-1),BA976=0),AE976,0)</f>
        <v>0</v>
      </c>
    </row>
    <row r="977" spans="2:88" ht="10.15" customHeight="1" x14ac:dyDescent="0.25">
      <c r="B977" s="1916" t="s">
        <v>2313</v>
      </c>
      <c r="C977" s="1213" t="str">
        <f t="shared" si="389"/>
        <v xml:space="preserve">  </v>
      </c>
      <c r="D977" s="1214" t="s">
        <v>2218</v>
      </c>
      <c r="E977" s="1214" t="s">
        <v>167</v>
      </c>
      <c r="F977" s="1214" t="s">
        <v>331</v>
      </c>
      <c r="G977" s="1215" t="s">
        <v>472</v>
      </c>
      <c r="H977" s="1215" t="s">
        <v>136</v>
      </c>
      <c r="I977" s="1214" t="s">
        <v>274</v>
      </c>
      <c r="J977" s="1214" t="s">
        <v>1311</v>
      </c>
      <c r="K977" s="1215" t="s">
        <v>3022</v>
      </c>
      <c r="L977" s="1214" t="s">
        <v>2768</v>
      </c>
      <c r="M977" s="1214" t="s">
        <v>2677</v>
      </c>
      <c r="N977" s="1215" t="s">
        <v>82</v>
      </c>
      <c r="O977" s="1214" t="s">
        <v>310</v>
      </c>
      <c r="P977" s="1214" t="s">
        <v>291</v>
      </c>
      <c r="Q977" s="1214" t="s">
        <v>294</v>
      </c>
      <c r="R977" s="1214">
        <v>1000000.01</v>
      </c>
      <c r="S977" s="1214">
        <v>1500000</v>
      </c>
      <c r="T977" s="1214">
        <v>0</v>
      </c>
      <c r="U977" s="1214">
        <v>0</v>
      </c>
      <c r="V977" s="1214">
        <v>0</v>
      </c>
      <c r="W977" s="1214">
        <v>50</v>
      </c>
      <c r="X977" s="1214">
        <v>0</v>
      </c>
      <c r="Y977" s="1214">
        <v>999</v>
      </c>
      <c r="Z977" s="1216">
        <v>680</v>
      </c>
      <c r="AA977" s="1216">
        <v>699</v>
      </c>
      <c r="AB977" s="1216">
        <v>6</v>
      </c>
      <c r="AC977" s="1216">
        <v>999999</v>
      </c>
      <c r="AD977" s="1214">
        <v>0</v>
      </c>
      <c r="AE977" s="1217">
        <v>75</v>
      </c>
      <c r="AF977" s="170">
        <v>0</v>
      </c>
      <c r="AG977" s="171">
        <v>1</v>
      </c>
      <c r="AH977" s="171">
        <v>1</v>
      </c>
      <c r="AI977" s="171">
        <v>1</v>
      </c>
      <c r="AJ977" s="171">
        <v>0</v>
      </c>
      <c r="AK977" s="171">
        <v>1</v>
      </c>
      <c r="AL977" s="171">
        <v>0</v>
      </c>
      <c r="AM977" s="171">
        <v>1</v>
      </c>
      <c r="AN977" s="171">
        <v>1</v>
      </c>
      <c r="AO977" s="171">
        <v>1</v>
      </c>
      <c r="AP977" s="171">
        <v>1</v>
      </c>
      <c r="AQ977" s="171">
        <v>1</v>
      </c>
      <c r="AR977" s="171">
        <v>1</v>
      </c>
      <c r="AS977" s="171">
        <v>1</v>
      </c>
      <c r="AT977" s="171">
        <v>1</v>
      </c>
      <c r="AU977" s="171">
        <f t="shared" si="391"/>
        <v>0</v>
      </c>
      <c r="AV977" s="171">
        <f t="shared" si="392"/>
        <v>0</v>
      </c>
      <c r="AW977" s="171">
        <f t="shared" si="393"/>
        <v>1</v>
      </c>
      <c r="AX977" s="171">
        <f t="shared" si="388"/>
        <v>1</v>
      </c>
      <c r="AY977" s="171">
        <f t="shared" si="394"/>
        <v>0</v>
      </c>
      <c r="AZ977" s="171">
        <f t="shared" si="395"/>
        <v>1</v>
      </c>
      <c r="BA977" s="172">
        <f t="shared" si="396"/>
        <v>1</v>
      </c>
      <c r="BB977" s="175">
        <f t="shared" si="385"/>
        <v>16</v>
      </c>
      <c r="BC977" s="176">
        <f t="shared" si="386"/>
        <v>15</v>
      </c>
      <c r="BD977" s="176">
        <f t="shared" si="387"/>
        <v>16</v>
      </c>
      <c r="BE977" s="240" t="str">
        <f t="shared" si="390"/>
        <v/>
      </c>
      <c r="BF977" s="990"/>
      <c r="BG977" s="990"/>
      <c r="BH977" s="991">
        <f>IF(AND(Input_Product=Elig!$C977,Elig_MatchAll_Ct&lt;22,$BC977=(Elig_MatchAll_Ct-1),AF977=0),C977,0)</f>
        <v>0</v>
      </c>
      <c r="BI977" s="991">
        <f>IF(AND(Input_Product=Elig!$C977,Elig_MatchAll_Ct&lt;22,$BC977=(Elig_MatchAll_Ct-1),AG977=0),D977,0)</f>
        <v>0</v>
      </c>
      <c r="BJ977" s="991">
        <f>IF(AND(Input_Product=Elig!$C977,Elig_MatchAll_Ct&lt;22,$BC977=(Elig_MatchAll_Ct-1),AH977=0),E977,0)</f>
        <v>0</v>
      </c>
      <c r="BK977" s="991">
        <f>IF(AND(Input_Product=Elig!$C977,Elig_MatchAll_Ct&lt;22,$BC977=(Elig_MatchAll_Ct-1),AI977=0),F977,0)</f>
        <v>0</v>
      </c>
      <c r="BL977" s="991">
        <f>IF(AND(Input_Product=Elig!$C977,Elig_MatchAll_Ct&lt;22,$BC977=(Elig_MatchAll_Ct-1),AJ977=0),G977,0)</f>
        <v>0</v>
      </c>
      <c r="BM977" s="991">
        <f>IF(AND(Input_Product=Elig!$C977,Elig_MatchAll_Ct&lt;22,$BC977=(Elig_MatchAll_Ct-1),AK977=0),H977,0)</f>
        <v>0</v>
      </c>
      <c r="BN977" s="991">
        <f>IF(AND(Input_Product=Elig!$C977,Elig_MatchAll_Ct&lt;22,$BC977=(Elig_MatchAll_Ct-1),AL977=0),I977,0)</f>
        <v>0</v>
      </c>
      <c r="BO977" s="991">
        <f>IF(AND(Input_Product=Elig!$C977,Elig_MatchAll_Ct&lt;22,$BC977=(Elig_MatchAll_Ct-1),AM977=0),J977,0)</f>
        <v>0</v>
      </c>
      <c r="BP977" s="991">
        <f>IF(AND(Input_Product=Elig!$C977,Elig_MatchAll_Ct&lt;22,$BC977=(Elig_MatchAll_Ct-1),AN977=0),K977,0)</f>
        <v>0</v>
      </c>
      <c r="BQ977" s="991">
        <f>IF(AND(Input_Product=Elig!$C977,Elig_MatchAll_Ct&lt;22,$BC977=(Elig_MatchAll_Ct-1),AP977=0),L977,0)</f>
        <v>0</v>
      </c>
      <c r="BR977" s="991">
        <f>IF(AND(Input_Product=Elig!$C977,Elig_MatchAll_Ct&lt;22,$BC977=(Elig_MatchAll_Ct-1),AO977=0),M977,0)</f>
        <v>0</v>
      </c>
      <c r="BS977" s="991">
        <f>IF(AND(Input_Product=Elig!$C977,Elig_MatchAll_Ct&lt;22,$BC977=(Elig_MatchAll_Ct-1),AQ977=0),N977,0)</f>
        <v>0</v>
      </c>
      <c r="BT977" s="991">
        <f>IF(AND(Input_Product=Elig!$C977,Elig_MatchAll_Ct&lt;22,$BC977=(Elig_MatchAll_Ct-1),AR977=0),O977,0)</f>
        <v>0</v>
      </c>
      <c r="BU977" s="991">
        <f>IF(AND(Input_Product=Elig!$C977,Elig_MatchAll_Ct&lt;22,$BC977=(Elig_MatchAll_Ct-1),AS977=0),P977,0)</f>
        <v>0</v>
      </c>
      <c r="BV977" s="992">
        <f>IF(AND(Input_Product=Elig!$C977,Elig_MatchAll_Ct&lt;22,$BC977=(Elig_MatchAll_Ct-1),AT977=0),Q977,0)</f>
        <v>0</v>
      </c>
      <c r="BW977" s="993">
        <f>IF(AND(Input_Product=Elig!$C977,Elig_MatchAll_Ct&lt;22,$BC977=(Elig_MatchAll_Ct-1),AU977=0),R977,0)</f>
        <v>0</v>
      </c>
      <c r="BX977" s="994">
        <f>IF(AND(Input_Product=Elig!$C977,Elig_MatchAll_Ct&lt;22,$BC977=(Elig_MatchAll_Ct-1),AU977=0),S977,0)</f>
        <v>0</v>
      </c>
      <c r="BY977" s="993">
        <f>IF(AND(Input_Product=Elig!$C977,Elig_MatchAll_Ct&lt;22,$BC977=(Elig_MatchAll_Ct-1),AV977=0),T977,0)</f>
        <v>0</v>
      </c>
      <c r="BZ977" s="994">
        <f>IF(AND(Input_Product=Elig!$C977,Elig_MatchAll_Ct&lt;22,$BC977=(Elig_MatchAll_Ct-1),AV977=0),U977,0)</f>
        <v>0</v>
      </c>
      <c r="CA977" s="993">
        <f>IF(AND(Input_Product=Elig!$C977,Elig_MatchAll_Ct&lt;22,$BC977=(Elig_MatchAll_Ct-1),AW977=0),V977,0)</f>
        <v>0</v>
      </c>
      <c r="CB977" s="994">
        <f>IF(AND(Input_Product=Elig!$C977,Elig_MatchAll_Ct&lt;22,$BC977=(Elig_MatchAll_Ct-1),AW977=0),W977,0)</f>
        <v>0</v>
      </c>
      <c r="CC977" s="993">
        <f>IF(AND(Input_Product=Elig!$C977,Elig_MatchAll_Ct&lt;22,$BC977=(Elig_MatchAll_Ct-1),AX977=0),X977,0)</f>
        <v>0</v>
      </c>
      <c r="CD977" s="994">
        <f>IF(AND(Input_Product=Elig!$C977,Elig_MatchAll_Ct&lt;22,$BC977=(Elig_MatchAll_Ct-1),AX977=0),Y977,0)</f>
        <v>0</v>
      </c>
      <c r="CE977" s="993">
        <f>IF(AND(Input_LTV&lt;=AE977,Input_Product=Elig!$C977,Elig_MatchAll_Ct&lt;22,$BC977=(Elig_MatchAll_Ct-1),AY977=0),Z977,0)</f>
        <v>0</v>
      </c>
      <c r="CF977" s="994">
        <f>IF(AND(Input_LTV&lt;=AE977,Input_Product=Elig!$C977,Elig_MatchAll_Ct&lt;22,$BC977=(Elig_MatchAll_Ct-1),AY977=0),AA977,0)</f>
        <v>0</v>
      </c>
      <c r="CG977" s="993">
        <f>IF(AND(Input_Product=Elig!$C977,Elig_MatchAll_Ct&lt;22,$BC977=(Elig_MatchAll_Ct-1),AZ977=0),AB977,0)</f>
        <v>0</v>
      </c>
      <c r="CH977" s="994">
        <f>IF(AND(Input_Product=Elig!$C977,Elig_MatchAll_Ct&lt;22,$BC977=(Elig_MatchAll_Ct-1),AZ977=0),AC977,0)</f>
        <v>0</v>
      </c>
      <c r="CI977" s="993">
        <f>IF(AND(Input_Product=Elig!$C977,Elig_MatchAll_Ct&lt;22,$BC977=(Elig_MatchAll_Ct-1),BA977=0),AD977,0)</f>
        <v>0</v>
      </c>
      <c r="CJ977" s="994">
        <f>IF(AND(Input_Product=Elig!$C977,Elig_MatchAll_Ct&lt;22,$BC977=(Elig_MatchAll_Ct-1),BA977=0),AE977,0)</f>
        <v>0</v>
      </c>
    </row>
    <row r="978" spans="2:88" ht="10.15" customHeight="1" x14ac:dyDescent="0.25">
      <c r="B978" s="1916" t="s">
        <v>2314</v>
      </c>
      <c r="C978" s="1203" t="str">
        <f t="shared" si="389"/>
        <v xml:space="preserve">  </v>
      </c>
      <c r="D978" s="1204" t="s">
        <v>2218</v>
      </c>
      <c r="E978" s="1204" t="s">
        <v>167</v>
      </c>
      <c r="F978" s="1204" t="s">
        <v>331</v>
      </c>
      <c r="G978" s="1205" t="s">
        <v>472</v>
      </c>
      <c r="H978" s="1205" t="s">
        <v>136</v>
      </c>
      <c r="I978" s="1204" t="s">
        <v>274</v>
      </c>
      <c r="J978" s="1204" t="s">
        <v>1311</v>
      </c>
      <c r="K978" s="1205" t="s">
        <v>3022</v>
      </c>
      <c r="L978" s="1204" t="s">
        <v>2768</v>
      </c>
      <c r="M978" s="1204" t="s">
        <v>2677</v>
      </c>
      <c r="N978" s="1205" t="s">
        <v>82</v>
      </c>
      <c r="O978" s="1204" t="s">
        <v>310</v>
      </c>
      <c r="P978" s="1204" t="s">
        <v>291</v>
      </c>
      <c r="Q978" s="1204" t="s">
        <v>294</v>
      </c>
      <c r="R978" s="1204">
        <v>1500000.01</v>
      </c>
      <c r="S978" s="1204">
        <v>2000000</v>
      </c>
      <c r="T978" s="1204">
        <v>0</v>
      </c>
      <c r="U978" s="1204">
        <v>0</v>
      </c>
      <c r="V978" s="1204">
        <v>0</v>
      </c>
      <c r="W978" s="1204">
        <v>50</v>
      </c>
      <c r="X978" s="1204">
        <v>0</v>
      </c>
      <c r="Y978" s="1204">
        <v>999</v>
      </c>
      <c r="Z978" s="1206">
        <v>720</v>
      </c>
      <c r="AA978" s="1206">
        <v>999</v>
      </c>
      <c r="AB978" s="1206">
        <v>6</v>
      </c>
      <c r="AC978" s="1206">
        <v>999999</v>
      </c>
      <c r="AD978" s="1204">
        <v>0</v>
      </c>
      <c r="AE978" s="1207">
        <v>80</v>
      </c>
      <c r="AF978" s="170">
        <v>0</v>
      </c>
      <c r="AG978" s="171">
        <v>1</v>
      </c>
      <c r="AH978" s="171">
        <v>1</v>
      </c>
      <c r="AI978" s="171">
        <v>1</v>
      </c>
      <c r="AJ978" s="171">
        <v>0</v>
      </c>
      <c r="AK978" s="171">
        <v>1</v>
      </c>
      <c r="AL978" s="171">
        <v>0</v>
      </c>
      <c r="AM978" s="171">
        <v>1</v>
      </c>
      <c r="AN978" s="171">
        <v>1</v>
      </c>
      <c r="AO978" s="171">
        <v>1</v>
      </c>
      <c r="AP978" s="171">
        <v>1</v>
      </c>
      <c r="AQ978" s="171">
        <v>1</v>
      </c>
      <c r="AR978" s="171">
        <v>1</v>
      </c>
      <c r="AS978" s="171">
        <v>1</v>
      </c>
      <c r="AT978" s="171">
        <v>1</v>
      </c>
      <c r="AU978" s="171">
        <f t="shared" si="391"/>
        <v>0</v>
      </c>
      <c r="AV978" s="171">
        <f t="shared" si="392"/>
        <v>0</v>
      </c>
      <c r="AW978" s="171">
        <f t="shared" si="393"/>
        <v>1</v>
      </c>
      <c r="AX978" s="171">
        <f t="shared" si="388"/>
        <v>1</v>
      </c>
      <c r="AY978" s="171">
        <f t="shared" si="394"/>
        <v>1</v>
      </c>
      <c r="AZ978" s="171">
        <f t="shared" si="395"/>
        <v>1</v>
      </c>
      <c r="BA978" s="172">
        <f t="shared" si="396"/>
        <v>1</v>
      </c>
      <c r="BB978" s="175">
        <f t="shared" si="385"/>
        <v>17</v>
      </c>
      <c r="BC978" s="176">
        <f t="shared" si="386"/>
        <v>16</v>
      </c>
      <c r="BD978" s="176">
        <f t="shared" si="387"/>
        <v>17</v>
      </c>
      <c r="BE978" s="240" t="str">
        <f t="shared" si="390"/>
        <v/>
      </c>
      <c r="BF978" s="990"/>
      <c r="BG978" s="990"/>
      <c r="BH978" s="991">
        <f>IF(AND(Input_Product=Elig!$C978,Elig_MatchAll_Ct&lt;22,$BC978=(Elig_MatchAll_Ct-1),AF978=0),C978,0)</f>
        <v>0</v>
      </c>
      <c r="BI978" s="991">
        <f>IF(AND(Input_Product=Elig!$C978,Elig_MatchAll_Ct&lt;22,$BC978=(Elig_MatchAll_Ct-1),AG978=0),D978,0)</f>
        <v>0</v>
      </c>
      <c r="BJ978" s="991">
        <f>IF(AND(Input_Product=Elig!$C978,Elig_MatchAll_Ct&lt;22,$BC978=(Elig_MatchAll_Ct-1),AH978=0),E978,0)</f>
        <v>0</v>
      </c>
      <c r="BK978" s="991">
        <f>IF(AND(Input_Product=Elig!$C978,Elig_MatchAll_Ct&lt;22,$BC978=(Elig_MatchAll_Ct-1),AI978=0),F978,0)</f>
        <v>0</v>
      </c>
      <c r="BL978" s="991">
        <f>IF(AND(Input_Product=Elig!$C978,Elig_MatchAll_Ct&lt;22,$BC978=(Elig_MatchAll_Ct-1),AJ978=0),G978,0)</f>
        <v>0</v>
      </c>
      <c r="BM978" s="991">
        <f>IF(AND(Input_Product=Elig!$C978,Elig_MatchAll_Ct&lt;22,$BC978=(Elig_MatchAll_Ct-1),AK978=0),H978,0)</f>
        <v>0</v>
      </c>
      <c r="BN978" s="991">
        <f>IF(AND(Input_Product=Elig!$C978,Elig_MatchAll_Ct&lt;22,$BC978=(Elig_MatchAll_Ct-1),AL978=0),I978,0)</f>
        <v>0</v>
      </c>
      <c r="BO978" s="991">
        <f>IF(AND(Input_Product=Elig!$C978,Elig_MatchAll_Ct&lt;22,$BC978=(Elig_MatchAll_Ct-1),AM978=0),J978,0)</f>
        <v>0</v>
      </c>
      <c r="BP978" s="991">
        <f>IF(AND(Input_Product=Elig!$C978,Elig_MatchAll_Ct&lt;22,$BC978=(Elig_MatchAll_Ct-1),AN978=0),K978,0)</f>
        <v>0</v>
      </c>
      <c r="BQ978" s="991">
        <f>IF(AND(Input_Product=Elig!$C978,Elig_MatchAll_Ct&lt;22,$BC978=(Elig_MatchAll_Ct-1),AP978=0),L978,0)</f>
        <v>0</v>
      </c>
      <c r="BR978" s="991">
        <f>IF(AND(Input_Product=Elig!$C978,Elig_MatchAll_Ct&lt;22,$BC978=(Elig_MatchAll_Ct-1),AO978=0),M978,0)</f>
        <v>0</v>
      </c>
      <c r="BS978" s="991">
        <f>IF(AND(Input_Product=Elig!$C978,Elig_MatchAll_Ct&lt;22,$BC978=(Elig_MatchAll_Ct-1),AQ978=0),N978,0)</f>
        <v>0</v>
      </c>
      <c r="BT978" s="991">
        <f>IF(AND(Input_Product=Elig!$C978,Elig_MatchAll_Ct&lt;22,$BC978=(Elig_MatchAll_Ct-1),AR978=0),O978,0)</f>
        <v>0</v>
      </c>
      <c r="BU978" s="991">
        <f>IF(AND(Input_Product=Elig!$C978,Elig_MatchAll_Ct&lt;22,$BC978=(Elig_MatchAll_Ct-1),AS978=0),P978,0)</f>
        <v>0</v>
      </c>
      <c r="BV978" s="992">
        <f>IF(AND(Input_Product=Elig!$C978,Elig_MatchAll_Ct&lt;22,$BC978=(Elig_MatchAll_Ct-1),AT978=0),Q978,0)</f>
        <v>0</v>
      </c>
      <c r="BW978" s="993">
        <f>IF(AND(Input_Product=Elig!$C978,Elig_MatchAll_Ct&lt;22,$BC978=(Elig_MatchAll_Ct-1),AU978=0),R978,0)</f>
        <v>0</v>
      </c>
      <c r="BX978" s="994">
        <f>IF(AND(Input_Product=Elig!$C978,Elig_MatchAll_Ct&lt;22,$BC978=(Elig_MatchAll_Ct-1),AU978=0),S978,0)</f>
        <v>0</v>
      </c>
      <c r="BY978" s="993">
        <f>IF(AND(Input_Product=Elig!$C978,Elig_MatchAll_Ct&lt;22,$BC978=(Elig_MatchAll_Ct-1),AV978=0),T978,0)</f>
        <v>0</v>
      </c>
      <c r="BZ978" s="994">
        <f>IF(AND(Input_Product=Elig!$C978,Elig_MatchAll_Ct&lt;22,$BC978=(Elig_MatchAll_Ct-1),AV978=0),U978,0)</f>
        <v>0</v>
      </c>
      <c r="CA978" s="993">
        <f>IF(AND(Input_Product=Elig!$C978,Elig_MatchAll_Ct&lt;22,$BC978=(Elig_MatchAll_Ct-1),AW978=0),V978,0)</f>
        <v>0</v>
      </c>
      <c r="CB978" s="994">
        <f>IF(AND(Input_Product=Elig!$C978,Elig_MatchAll_Ct&lt;22,$BC978=(Elig_MatchAll_Ct-1),AW978=0),W978,0)</f>
        <v>0</v>
      </c>
      <c r="CC978" s="993">
        <f>IF(AND(Input_Product=Elig!$C978,Elig_MatchAll_Ct&lt;22,$BC978=(Elig_MatchAll_Ct-1),AX978=0),X978,0)</f>
        <v>0</v>
      </c>
      <c r="CD978" s="994">
        <f>IF(AND(Input_Product=Elig!$C978,Elig_MatchAll_Ct&lt;22,$BC978=(Elig_MatchAll_Ct-1),AX978=0),Y978,0)</f>
        <v>0</v>
      </c>
      <c r="CE978" s="993">
        <f>IF(AND(Input_LTV&lt;=AE978,Input_Product=Elig!$C978,Elig_MatchAll_Ct&lt;22,$BC978=(Elig_MatchAll_Ct-1),AY978=0),Z978,0)</f>
        <v>0</v>
      </c>
      <c r="CF978" s="994">
        <f>IF(AND(Input_LTV&lt;=AE978,Input_Product=Elig!$C978,Elig_MatchAll_Ct&lt;22,$BC978=(Elig_MatchAll_Ct-1),AY978=0),AA978,0)</f>
        <v>0</v>
      </c>
      <c r="CG978" s="993">
        <f>IF(AND(Input_Product=Elig!$C978,Elig_MatchAll_Ct&lt;22,$BC978=(Elig_MatchAll_Ct-1),AZ978=0),AB978,0)</f>
        <v>0</v>
      </c>
      <c r="CH978" s="994">
        <f>IF(AND(Input_Product=Elig!$C978,Elig_MatchAll_Ct&lt;22,$BC978=(Elig_MatchAll_Ct-1),AZ978=0),AC978,0)</f>
        <v>0</v>
      </c>
      <c r="CI978" s="993">
        <f>IF(AND(Input_Product=Elig!$C978,Elig_MatchAll_Ct&lt;22,$BC978=(Elig_MatchAll_Ct-1),BA978=0),AD978,0)</f>
        <v>0</v>
      </c>
      <c r="CJ978" s="994">
        <f>IF(AND(Input_Product=Elig!$C978,Elig_MatchAll_Ct&lt;22,$BC978=(Elig_MatchAll_Ct-1),BA978=0),AE978,0)</f>
        <v>0</v>
      </c>
    </row>
    <row r="979" spans="2:88" ht="10.15" customHeight="1" x14ac:dyDescent="0.25">
      <c r="B979" s="1916" t="s">
        <v>2315</v>
      </c>
      <c r="C979" s="1208" t="str">
        <f t="shared" si="389"/>
        <v xml:space="preserve">  </v>
      </c>
      <c r="D979" s="1209" t="s">
        <v>2218</v>
      </c>
      <c r="E979" s="1209" t="s">
        <v>167</v>
      </c>
      <c r="F979" s="1209" t="s">
        <v>331</v>
      </c>
      <c r="G979" s="1210" t="s">
        <v>472</v>
      </c>
      <c r="H979" s="1210" t="s">
        <v>136</v>
      </c>
      <c r="I979" s="1209" t="s">
        <v>274</v>
      </c>
      <c r="J979" s="1209" t="s">
        <v>1311</v>
      </c>
      <c r="K979" s="1210" t="s">
        <v>3022</v>
      </c>
      <c r="L979" s="1209" t="s">
        <v>2768</v>
      </c>
      <c r="M979" s="1209" t="s">
        <v>2677</v>
      </c>
      <c r="N979" s="1210" t="s">
        <v>82</v>
      </c>
      <c r="O979" s="1209" t="s">
        <v>310</v>
      </c>
      <c r="P979" s="1209" t="s">
        <v>291</v>
      </c>
      <c r="Q979" s="1209" t="s">
        <v>294</v>
      </c>
      <c r="R979" s="1209">
        <v>1500000.01</v>
      </c>
      <c r="S979" s="1209">
        <v>2000000</v>
      </c>
      <c r="T979" s="1209">
        <v>0</v>
      </c>
      <c r="U979" s="1209">
        <v>0</v>
      </c>
      <c r="V979" s="1209">
        <v>0</v>
      </c>
      <c r="W979" s="1209">
        <v>50</v>
      </c>
      <c r="X979" s="1209">
        <v>0</v>
      </c>
      <c r="Y979" s="1209">
        <v>999</v>
      </c>
      <c r="Z979" s="1211">
        <v>700</v>
      </c>
      <c r="AA979" s="1211">
        <v>719</v>
      </c>
      <c r="AB979" s="1211">
        <v>6</v>
      </c>
      <c r="AC979" s="1211">
        <v>999999</v>
      </c>
      <c r="AD979" s="1209">
        <v>0</v>
      </c>
      <c r="AE979" s="1212">
        <v>75</v>
      </c>
      <c r="AF979" s="170">
        <v>0</v>
      </c>
      <c r="AG979" s="171">
        <v>1</v>
      </c>
      <c r="AH979" s="171">
        <v>1</v>
      </c>
      <c r="AI979" s="171">
        <v>1</v>
      </c>
      <c r="AJ979" s="171">
        <v>0</v>
      </c>
      <c r="AK979" s="171">
        <v>1</v>
      </c>
      <c r="AL979" s="171">
        <v>0</v>
      </c>
      <c r="AM979" s="171">
        <v>1</v>
      </c>
      <c r="AN979" s="171">
        <v>1</v>
      </c>
      <c r="AO979" s="171">
        <v>1</v>
      </c>
      <c r="AP979" s="171">
        <v>1</v>
      </c>
      <c r="AQ979" s="171">
        <v>1</v>
      </c>
      <c r="AR979" s="171">
        <v>1</v>
      </c>
      <c r="AS979" s="171">
        <v>1</v>
      </c>
      <c r="AT979" s="171">
        <v>1</v>
      </c>
      <c r="AU979" s="171">
        <f t="shared" si="391"/>
        <v>0</v>
      </c>
      <c r="AV979" s="171">
        <f t="shared" si="392"/>
        <v>0</v>
      </c>
      <c r="AW979" s="171">
        <f t="shared" si="393"/>
        <v>1</v>
      </c>
      <c r="AX979" s="171">
        <f t="shared" si="388"/>
        <v>1</v>
      </c>
      <c r="AY979" s="171">
        <f t="shared" si="394"/>
        <v>0</v>
      </c>
      <c r="AZ979" s="171">
        <f t="shared" si="395"/>
        <v>1</v>
      </c>
      <c r="BA979" s="172">
        <f t="shared" si="396"/>
        <v>1</v>
      </c>
      <c r="BB979" s="175">
        <f t="shared" si="385"/>
        <v>16</v>
      </c>
      <c r="BC979" s="176">
        <f t="shared" si="386"/>
        <v>15</v>
      </c>
      <c r="BD979" s="176">
        <f t="shared" si="387"/>
        <v>16</v>
      </c>
      <c r="BE979" s="240" t="str">
        <f t="shared" si="390"/>
        <v/>
      </c>
      <c r="BF979" s="990"/>
      <c r="BG979" s="990"/>
      <c r="BH979" s="991">
        <f>IF(AND(Input_Product=Elig!$C979,Elig_MatchAll_Ct&lt;22,$BC979=(Elig_MatchAll_Ct-1),AF979=0),C979,0)</f>
        <v>0</v>
      </c>
      <c r="BI979" s="991">
        <f>IF(AND(Input_Product=Elig!$C979,Elig_MatchAll_Ct&lt;22,$BC979=(Elig_MatchAll_Ct-1),AG979=0),D979,0)</f>
        <v>0</v>
      </c>
      <c r="BJ979" s="991">
        <f>IF(AND(Input_Product=Elig!$C979,Elig_MatchAll_Ct&lt;22,$BC979=(Elig_MatchAll_Ct-1),AH979=0),E979,0)</f>
        <v>0</v>
      </c>
      <c r="BK979" s="991">
        <f>IF(AND(Input_Product=Elig!$C979,Elig_MatchAll_Ct&lt;22,$BC979=(Elig_MatchAll_Ct-1),AI979=0),F979,0)</f>
        <v>0</v>
      </c>
      <c r="BL979" s="991">
        <f>IF(AND(Input_Product=Elig!$C979,Elig_MatchAll_Ct&lt;22,$BC979=(Elig_MatchAll_Ct-1),AJ979=0),G979,0)</f>
        <v>0</v>
      </c>
      <c r="BM979" s="991">
        <f>IF(AND(Input_Product=Elig!$C979,Elig_MatchAll_Ct&lt;22,$BC979=(Elig_MatchAll_Ct-1),AK979=0),H979,0)</f>
        <v>0</v>
      </c>
      <c r="BN979" s="991">
        <f>IF(AND(Input_Product=Elig!$C979,Elig_MatchAll_Ct&lt;22,$BC979=(Elig_MatchAll_Ct-1),AL979=0),I979,0)</f>
        <v>0</v>
      </c>
      <c r="BO979" s="991">
        <f>IF(AND(Input_Product=Elig!$C979,Elig_MatchAll_Ct&lt;22,$BC979=(Elig_MatchAll_Ct-1),AM979=0),J979,0)</f>
        <v>0</v>
      </c>
      <c r="BP979" s="991">
        <f>IF(AND(Input_Product=Elig!$C979,Elig_MatchAll_Ct&lt;22,$BC979=(Elig_MatchAll_Ct-1),AN979=0),K979,0)</f>
        <v>0</v>
      </c>
      <c r="BQ979" s="991">
        <f>IF(AND(Input_Product=Elig!$C979,Elig_MatchAll_Ct&lt;22,$BC979=(Elig_MatchAll_Ct-1),AP979=0),L979,0)</f>
        <v>0</v>
      </c>
      <c r="BR979" s="991">
        <f>IF(AND(Input_Product=Elig!$C979,Elig_MatchAll_Ct&lt;22,$BC979=(Elig_MatchAll_Ct-1),AO979=0),M979,0)</f>
        <v>0</v>
      </c>
      <c r="BS979" s="991">
        <f>IF(AND(Input_Product=Elig!$C979,Elig_MatchAll_Ct&lt;22,$BC979=(Elig_MatchAll_Ct-1),AQ979=0),N979,0)</f>
        <v>0</v>
      </c>
      <c r="BT979" s="991">
        <f>IF(AND(Input_Product=Elig!$C979,Elig_MatchAll_Ct&lt;22,$BC979=(Elig_MatchAll_Ct-1),AR979=0),O979,0)</f>
        <v>0</v>
      </c>
      <c r="BU979" s="991">
        <f>IF(AND(Input_Product=Elig!$C979,Elig_MatchAll_Ct&lt;22,$BC979=(Elig_MatchAll_Ct-1),AS979=0),P979,0)</f>
        <v>0</v>
      </c>
      <c r="BV979" s="992">
        <f>IF(AND(Input_Product=Elig!$C979,Elig_MatchAll_Ct&lt;22,$BC979=(Elig_MatchAll_Ct-1),AT979=0),Q979,0)</f>
        <v>0</v>
      </c>
      <c r="BW979" s="993">
        <f>IF(AND(Input_Product=Elig!$C979,Elig_MatchAll_Ct&lt;22,$BC979=(Elig_MatchAll_Ct-1),AU979=0),R979,0)</f>
        <v>0</v>
      </c>
      <c r="BX979" s="994">
        <f>IF(AND(Input_Product=Elig!$C979,Elig_MatchAll_Ct&lt;22,$BC979=(Elig_MatchAll_Ct-1),AU979=0),S979,0)</f>
        <v>0</v>
      </c>
      <c r="BY979" s="993">
        <f>IF(AND(Input_Product=Elig!$C979,Elig_MatchAll_Ct&lt;22,$BC979=(Elig_MatchAll_Ct-1),AV979=0),T979,0)</f>
        <v>0</v>
      </c>
      <c r="BZ979" s="994">
        <f>IF(AND(Input_Product=Elig!$C979,Elig_MatchAll_Ct&lt;22,$BC979=(Elig_MatchAll_Ct-1),AV979=0),U979,0)</f>
        <v>0</v>
      </c>
      <c r="CA979" s="993">
        <f>IF(AND(Input_Product=Elig!$C979,Elig_MatchAll_Ct&lt;22,$BC979=(Elig_MatchAll_Ct-1),AW979=0),V979,0)</f>
        <v>0</v>
      </c>
      <c r="CB979" s="994">
        <f>IF(AND(Input_Product=Elig!$C979,Elig_MatchAll_Ct&lt;22,$BC979=(Elig_MatchAll_Ct-1),AW979=0),W979,0)</f>
        <v>0</v>
      </c>
      <c r="CC979" s="993">
        <f>IF(AND(Input_Product=Elig!$C979,Elig_MatchAll_Ct&lt;22,$BC979=(Elig_MatchAll_Ct-1),AX979=0),X979,0)</f>
        <v>0</v>
      </c>
      <c r="CD979" s="994">
        <f>IF(AND(Input_Product=Elig!$C979,Elig_MatchAll_Ct&lt;22,$BC979=(Elig_MatchAll_Ct-1),AX979=0),Y979,0)</f>
        <v>0</v>
      </c>
      <c r="CE979" s="993">
        <f>IF(AND(Input_LTV&lt;=AE979,Input_Product=Elig!$C979,Elig_MatchAll_Ct&lt;22,$BC979=(Elig_MatchAll_Ct-1),AY979=0),Z979,0)</f>
        <v>0</v>
      </c>
      <c r="CF979" s="994">
        <f>IF(AND(Input_LTV&lt;=AE979,Input_Product=Elig!$C979,Elig_MatchAll_Ct&lt;22,$BC979=(Elig_MatchAll_Ct-1),AY979=0),AA979,0)</f>
        <v>0</v>
      </c>
      <c r="CG979" s="993">
        <f>IF(AND(Input_Product=Elig!$C979,Elig_MatchAll_Ct&lt;22,$BC979=(Elig_MatchAll_Ct-1),AZ979=0),AB979,0)</f>
        <v>0</v>
      </c>
      <c r="CH979" s="994">
        <f>IF(AND(Input_Product=Elig!$C979,Elig_MatchAll_Ct&lt;22,$BC979=(Elig_MatchAll_Ct-1),AZ979=0),AC979,0)</f>
        <v>0</v>
      </c>
      <c r="CI979" s="993">
        <f>IF(AND(Input_Product=Elig!$C979,Elig_MatchAll_Ct&lt;22,$BC979=(Elig_MatchAll_Ct-1),BA979=0),AD979,0)</f>
        <v>0</v>
      </c>
      <c r="CJ979" s="994">
        <f>IF(AND(Input_Product=Elig!$C979,Elig_MatchAll_Ct&lt;22,$BC979=(Elig_MatchAll_Ct-1),BA979=0),AE979,0)</f>
        <v>0</v>
      </c>
    </row>
    <row r="980" spans="2:88" ht="10.15" customHeight="1" x14ac:dyDescent="0.25">
      <c r="B980" s="1916" t="s">
        <v>2316</v>
      </c>
      <c r="C980" s="1213" t="str">
        <f t="shared" si="389"/>
        <v xml:space="preserve">  </v>
      </c>
      <c r="D980" s="1214" t="s">
        <v>2218</v>
      </c>
      <c r="E980" s="1214" t="s">
        <v>167</v>
      </c>
      <c r="F980" s="1214" t="s">
        <v>331</v>
      </c>
      <c r="G980" s="1215" t="s">
        <v>472</v>
      </c>
      <c r="H980" s="1215" t="s">
        <v>136</v>
      </c>
      <c r="I980" s="1214" t="s">
        <v>274</v>
      </c>
      <c r="J980" s="1214" t="s">
        <v>1311</v>
      </c>
      <c r="K980" s="1215" t="s">
        <v>3022</v>
      </c>
      <c r="L980" s="1214" t="s">
        <v>2768</v>
      </c>
      <c r="M980" s="1214" t="s">
        <v>2677</v>
      </c>
      <c r="N980" s="1215" t="s">
        <v>82</v>
      </c>
      <c r="O980" s="1214" t="s">
        <v>310</v>
      </c>
      <c r="P980" s="1214" t="s">
        <v>291</v>
      </c>
      <c r="Q980" s="1214" t="s">
        <v>294</v>
      </c>
      <c r="R980" s="1214">
        <v>1500000.01</v>
      </c>
      <c r="S980" s="1214">
        <v>2000000</v>
      </c>
      <c r="T980" s="1214">
        <v>0</v>
      </c>
      <c r="U980" s="1214">
        <v>0</v>
      </c>
      <c r="V980" s="1214">
        <v>0</v>
      </c>
      <c r="W980" s="1214">
        <v>50</v>
      </c>
      <c r="X980" s="1214">
        <v>0</v>
      </c>
      <c r="Y980" s="1214">
        <v>999</v>
      </c>
      <c r="Z980" s="1216">
        <v>680</v>
      </c>
      <c r="AA980" s="1216">
        <v>699</v>
      </c>
      <c r="AB980" s="1216">
        <v>6</v>
      </c>
      <c r="AC980" s="1216">
        <v>999999</v>
      </c>
      <c r="AD980" s="1214">
        <v>0</v>
      </c>
      <c r="AE980" s="1217">
        <v>75</v>
      </c>
      <c r="AF980" s="170">
        <v>0</v>
      </c>
      <c r="AG980" s="171">
        <v>1</v>
      </c>
      <c r="AH980" s="171">
        <v>1</v>
      </c>
      <c r="AI980" s="171">
        <v>1</v>
      </c>
      <c r="AJ980" s="171">
        <v>0</v>
      </c>
      <c r="AK980" s="171">
        <v>1</v>
      </c>
      <c r="AL980" s="171">
        <v>0</v>
      </c>
      <c r="AM980" s="171">
        <v>1</v>
      </c>
      <c r="AN980" s="171">
        <v>1</v>
      </c>
      <c r="AO980" s="171">
        <v>1</v>
      </c>
      <c r="AP980" s="171">
        <v>1</v>
      </c>
      <c r="AQ980" s="171">
        <v>1</v>
      </c>
      <c r="AR980" s="171">
        <v>1</v>
      </c>
      <c r="AS980" s="171">
        <v>1</v>
      </c>
      <c r="AT980" s="171">
        <v>1</v>
      </c>
      <c r="AU980" s="171">
        <f t="shared" si="391"/>
        <v>0</v>
      </c>
      <c r="AV980" s="171">
        <f t="shared" si="392"/>
        <v>0</v>
      </c>
      <c r="AW980" s="171">
        <f t="shared" si="393"/>
        <v>1</v>
      </c>
      <c r="AX980" s="171">
        <f t="shared" si="388"/>
        <v>1</v>
      </c>
      <c r="AY980" s="171">
        <f t="shared" si="394"/>
        <v>0</v>
      </c>
      <c r="AZ980" s="171">
        <f t="shared" si="395"/>
        <v>1</v>
      </c>
      <c r="BA980" s="172">
        <f t="shared" si="396"/>
        <v>1</v>
      </c>
      <c r="BB980" s="175">
        <f t="shared" ref="BB980:BB1043" si="397">SUM(AF980:BA980)</f>
        <v>16</v>
      </c>
      <c r="BC980" s="176">
        <f t="shared" ref="BC980:BC1043" si="398">SUM(AF980:AZ980)</f>
        <v>15</v>
      </c>
      <c r="BD980" s="176">
        <f t="shared" ref="BD980:BD1043" si="399">SUM(AG980:BA980)</f>
        <v>16</v>
      </c>
      <c r="BE980" s="240" t="str">
        <f t="shared" si="390"/>
        <v/>
      </c>
      <c r="BF980" s="990"/>
      <c r="BG980" s="990"/>
      <c r="BH980" s="991">
        <f>IF(AND(Input_Product=Elig!$C980,Elig_MatchAll_Ct&lt;22,$BC980=(Elig_MatchAll_Ct-1),AF980=0),C980,0)</f>
        <v>0</v>
      </c>
      <c r="BI980" s="991">
        <f>IF(AND(Input_Product=Elig!$C980,Elig_MatchAll_Ct&lt;22,$BC980=(Elig_MatchAll_Ct-1),AG980=0),D980,0)</f>
        <v>0</v>
      </c>
      <c r="BJ980" s="991">
        <f>IF(AND(Input_Product=Elig!$C980,Elig_MatchAll_Ct&lt;22,$BC980=(Elig_MatchAll_Ct-1),AH980=0),E980,0)</f>
        <v>0</v>
      </c>
      <c r="BK980" s="991">
        <f>IF(AND(Input_Product=Elig!$C980,Elig_MatchAll_Ct&lt;22,$BC980=(Elig_MatchAll_Ct-1),AI980=0),F980,0)</f>
        <v>0</v>
      </c>
      <c r="BL980" s="991">
        <f>IF(AND(Input_Product=Elig!$C980,Elig_MatchAll_Ct&lt;22,$BC980=(Elig_MatchAll_Ct-1),AJ980=0),G980,0)</f>
        <v>0</v>
      </c>
      <c r="BM980" s="991">
        <f>IF(AND(Input_Product=Elig!$C980,Elig_MatchAll_Ct&lt;22,$BC980=(Elig_MatchAll_Ct-1),AK980=0),H980,0)</f>
        <v>0</v>
      </c>
      <c r="BN980" s="991">
        <f>IF(AND(Input_Product=Elig!$C980,Elig_MatchAll_Ct&lt;22,$BC980=(Elig_MatchAll_Ct-1),AL980=0),I980,0)</f>
        <v>0</v>
      </c>
      <c r="BO980" s="991">
        <f>IF(AND(Input_Product=Elig!$C980,Elig_MatchAll_Ct&lt;22,$BC980=(Elig_MatchAll_Ct-1),AM980=0),J980,0)</f>
        <v>0</v>
      </c>
      <c r="BP980" s="991">
        <f>IF(AND(Input_Product=Elig!$C980,Elig_MatchAll_Ct&lt;22,$BC980=(Elig_MatchAll_Ct-1),AN980=0),K980,0)</f>
        <v>0</v>
      </c>
      <c r="BQ980" s="991">
        <f>IF(AND(Input_Product=Elig!$C980,Elig_MatchAll_Ct&lt;22,$BC980=(Elig_MatchAll_Ct-1),AP980=0),L980,0)</f>
        <v>0</v>
      </c>
      <c r="BR980" s="991">
        <f>IF(AND(Input_Product=Elig!$C980,Elig_MatchAll_Ct&lt;22,$BC980=(Elig_MatchAll_Ct-1),AO980=0),M980,0)</f>
        <v>0</v>
      </c>
      <c r="BS980" s="991">
        <f>IF(AND(Input_Product=Elig!$C980,Elig_MatchAll_Ct&lt;22,$BC980=(Elig_MatchAll_Ct-1),AQ980=0),N980,0)</f>
        <v>0</v>
      </c>
      <c r="BT980" s="991">
        <f>IF(AND(Input_Product=Elig!$C980,Elig_MatchAll_Ct&lt;22,$BC980=(Elig_MatchAll_Ct-1),AR980=0),O980,0)</f>
        <v>0</v>
      </c>
      <c r="BU980" s="991">
        <f>IF(AND(Input_Product=Elig!$C980,Elig_MatchAll_Ct&lt;22,$BC980=(Elig_MatchAll_Ct-1),AS980=0),P980,0)</f>
        <v>0</v>
      </c>
      <c r="BV980" s="992">
        <f>IF(AND(Input_Product=Elig!$C980,Elig_MatchAll_Ct&lt;22,$BC980=(Elig_MatchAll_Ct-1),AT980=0),Q980,0)</f>
        <v>0</v>
      </c>
      <c r="BW980" s="993">
        <f>IF(AND(Input_Product=Elig!$C980,Elig_MatchAll_Ct&lt;22,$BC980=(Elig_MatchAll_Ct-1),AU980=0),R980,0)</f>
        <v>0</v>
      </c>
      <c r="BX980" s="994">
        <f>IF(AND(Input_Product=Elig!$C980,Elig_MatchAll_Ct&lt;22,$BC980=(Elig_MatchAll_Ct-1),AU980=0),S980,0)</f>
        <v>0</v>
      </c>
      <c r="BY980" s="993">
        <f>IF(AND(Input_Product=Elig!$C980,Elig_MatchAll_Ct&lt;22,$BC980=(Elig_MatchAll_Ct-1),AV980=0),T980,0)</f>
        <v>0</v>
      </c>
      <c r="BZ980" s="994">
        <f>IF(AND(Input_Product=Elig!$C980,Elig_MatchAll_Ct&lt;22,$BC980=(Elig_MatchAll_Ct-1),AV980=0),U980,0)</f>
        <v>0</v>
      </c>
      <c r="CA980" s="993">
        <f>IF(AND(Input_Product=Elig!$C980,Elig_MatchAll_Ct&lt;22,$BC980=(Elig_MatchAll_Ct-1),AW980=0),V980,0)</f>
        <v>0</v>
      </c>
      <c r="CB980" s="994">
        <f>IF(AND(Input_Product=Elig!$C980,Elig_MatchAll_Ct&lt;22,$BC980=(Elig_MatchAll_Ct-1),AW980=0),W980,0)</f>
        <v>0</v>
      </c>
      <c r="CC980" s="993">
        <f>IF(AND(Input_Product=Elig!$C980,Elig_MatchAll_Ct&lt;22,$BC980=(Elig_MatchAll_Ct-1),AX980=0),X980,0)</f>
        <v>0</v>
      </c>
      <c r="CD980" s="994">
        <f>IF(AND(Input_Product=Elig!$C980,Elig_MatchAll_Ct&lt;22,$BC980=(Elig_MatchAll_Ct-1),AX980=0),Y980,0)</f>
        <v>0</v>
      </c>
      <c r="CE980" s="993">
        <f>IF(AND(Input_LTV&lt;=AE980,Input_Product=Elig!$C980,Elig_MatchAll_Ct&lt;22,$BC980=(Elig_MatchAll_Ct-1),AY980=0),Z980,0)</f>
        <v>0</v>
      </c>
      <c r="CF980" s="994">
        <f>IF(AND(Input_LTV&lt;=AE980,Input_Product=Elig!$C980,Elig_MatchAll_Ct&lt;22,$BC980=(Elig_MatchAll_Ct-1),AY980=0),AA980,0)</f>
        <v>0</v>
      </c>
      <c r="CG980" s="993">
        <f>IF(AND(Input_Product=Elig!$C980,Elig_MatchAll_Ct&lt;22,$BC980=(Elig_MatchAll_Ct-1),AZ980=0),AB980,0)</f>
        <v>0</v>
      </c>
      <c r="CH980" s="994">
        <f>IF(AND(Input_Product=Elig!$C980,Elig_MatchAll_Ct&lt;22,$BC980=(Elig_MatchAll_Ct-1),AZ980=0),AC980,0)</f>
        <v>0</v>
      </c>
      <c r="CI980" s="993">
        <f>IF(AND(Input_Product=Elig!$C980,Elig_MatchAll_Ct&lt;22,$BC980=(Elig_MatchAll_Ct-1),BA980=0),AD980,0)</f>
        <v>0</v>
      </c>
      <c r="CJ980" s="994">
        <f>IF(AND(Input_Product=Elig!$C980,Elig_MatchAll_Ct&lt;22,$BC980=(Elig_MatchAll_Ct-1),BA980=0),AE980,0)</f>
        <v>0</v>
      </c>
    </row>
    <row r="981" spans="2:88" ht="10.15" customHeight="1" x14ac:dyDescent="0.25">
      <c r="B981" s="1916" t="s">
        <v>2317</v>
      </c>
      <c r="C981" s="1203" t="str">
        <f t="shared" si="389"/>
        <v xml:space="preserve">  </v>
      </c>
      <c r="D981" s="1204" t="s">
        <v>2218</v>
      </c>
      <c r="E981" s="1204" t="s">
        <v>167</v>
      </c>
      <c r="F981" s="1204" t="s">
        <v>331</v>
      </c>
      <c r="G981" s="1205" t="s">
        <v>472</v>
      </c>
      <c r="H981" s="1205" t="s">
        <v>136</v>
      </c>
      <c r="I981" s="1204" t="s">
        <v>274</v>
      </c>
      <c r="J981" s="1204" t="s">
        <v>1311</v>
      </c>
      <c r="K981" s="1205" t="s">
        <v>3022</v>
      </c>
      <c r="L981" s="1204" t="s">
        <v>2768</v>
      </c>
      <c r="M981" s="1204" t="s">
        <v>2677</v>
      </c>
      <c r="N981" s="1205" t="s">
        <v>82</v>
      </c>
      <c r="O981" s="1204" t="s">
        <v>310</v>
      </c>
      <c r="P981" s="1204" t="s">
        <v>291</v>
      </c>
      <c r="Q981" s="1204" t="s">
        <v>294</v>
      </c>
      <c r="R981" s="1204">
        <v>2000000.01</v>
      </c>
      <c r="S981" s="1204">
        <v>2500000</v>
      </c>
      <c r="T981" s="1204">
        <v>0</v>
      </c>
      <c r="U981" s="1204">
        <v>0</v>
      </c>
      <c r="V981" s="1204">
        <v>0</v>
      </c>
      <c r="W981" s="1204">
        <v>50</v>
      </c>
      <c r="X981" s="1204">
        <v>0</v>
      </c>
      <c r="Y981" s="1204">
        <v>999</v>
      </c>
      <c r="Z981" s="1206">
        <v>720</v>
      </c>
      <c r="AA981" s="1206">
        <v>999</v>
      </c>
      <c r="AB981" s="1206">
        <v>6</v>
      </c>
      <c r="AC981" s="1206">
        <v>999999</v>
      </c>
      <c r="AD981" s="1204">
        <v>0</v>
      </c>
      <c r="AE981" s="1207">
        <v>80</v>
      </c>
      <c r="AF981" s="170">
        <v>0</v>
      </c>
      <c r="AG981" s="171">
        <v>1</v>
      </c>
      <c r="AH981" s="171">
        <v>1</v>
      </c>
      <c r="AI981" s="171">
        <v>1</v>
      </c>
      <c r="AJ981" s="171">
        <v>0</v>
      </c>
      <c r="AK981" s="171">
        <v>1</v>
      </c>
      <c r="AL981" s="171">
        <v>0</v>
      </c>
      <c r="AM981" s="171">
        <v>1</v>
      </c>
      <c r="AN981" s="171">
        <v>1</v>
      </c>
      <c r="AO981" s="171">
        <v>1</v>
      </c>
      <c r="AP981" s="171">
        <v>1</v>
      </c>
      <c r="AQ981" s="171">
        <v>1</v>
      </c>
      <c r="AR981" s="171">
        <v>1</v>
      </c>
      <c r="AS981" s="171">
        <v>1</v>
      </c>
      <c r="AT981" s="171">
        <v>1</v>
      </c>
      <c r="AU981" s="171">
        <f t="shared" si="391"/>
        <v>0</v>
      </c>
      <c r="AV981" s="171">
        <f t="shared" si="392"/>
        <v>0</v>
      </c>
      <c r="AW981" s="171">
        <f t="shared" si="393"/>
        <v>1</v>
      </c>
      <c r="AX981" s="171">
        <f t="shared" si="388"/>
        <v>1</v>
      </c>
      <c r="AY981" s="171">
        <f t="shared" si="394"/>
        <v>1</v>
      </c>
      <c r="AZ981" s="171">
        <f t="shared" si="395"/>
        <v>1</v>
      </c>
      <c r="BA981" s="172">
        <f t="shared" si="396"/>
        <v>1</v>
      </c>
      <c r="BB981" s="175">
        <f t="shared" si="397"/>
        <v>17</v>
      </c>
      <c r="BC981" s="176">
        <f t="shared" si="398"/>
        <v>16</v>
      </c>
      <c r="BD981" s="176">
        <f t="shared" si="399"/>
        <v>17</v>
      </c>
      <c r="BE981" s="240" t="str">
        <f t="shared" si="390"/>
        <v/>
      </c>
      <c r="BF981" s="990"/>
      <c r="BG981" s="990"/>
      <c r="BH981" s="991">
        <f>IF(AND(Input_Product=Elig!$C981,Elig_MatchAll_Ct&lt;22,$BC981=(Elig_MatchAll_Ct-1),AF981=0),C981,0)</f>
        <v>0</v>
      </c>
      <c r="BI981" s="991">
        <f>IF(AND(Input_Product=Elig!$C981,Elig_MatchAll_Ct&lt;22,$BC981=(Elig_MatchAll_Ct-1),AG981=0),D981,0)</f>
        <v>0</v>
      </c>
      <c r="BJ981" s="991">
        <f>IF(AND(Input_Product=Elig!$C981,Elig_MatchAll_Ct&lt;22,$BC981=(Elig_MatchAll_Ct-1),AH981=0),E981,0)</f>
        <v>0</v>
      </c>
      <c r="BK981" s="991">
        <f>IF(AND(Input_Product=Elig!$C981,Elig_MatchAll_Ct&lt;22,$BC981=(Elig_MatchAll_Ct-1),AI981=0),F981,0)</f>
        <v>0</v>
      </c>
      <c r="BL981" s="991">
        <f>IF(AND(Input_Product=Elig!$C981,Elig_MatchAll_Ct&lt;22,$BC981=(Elig_MatchAll_Ct-1),AJ981=0),G981,0)</f>
        <v>0</v>
      </c>
      <c r="BM981" s="991">
        <f>IF(AND(Input_Product=Elig!$C981,Elig_MatchAll_Ct&lt;22,$BC981=(Elig_MatchAll_Ct-1),AK981=0),H981,0)</f>
        <v>0</v>
      </c>
      <c r="BN981" s="991">
        <f>IF(AND(Input_Product=Elig!$C981,Elig_MatchAll_Ct&lt;22,$BC981=(Elig_MatchAll_Ct-1),AL981=0),I981,0)</f>
        <v>0</v>
      </c>
      <c r="BO981" s="991">
        <f>IF(AND(Input_Product=Elig!$C981,Elig_MatchAll_Ct&lt;22,$BC981=(Elig_MatchAll_Ct-1),AM981=0),J981,0)</f>
        <v>0</v>
      </c>
      <c r="BP981" s="991">
        <f>IF(AND(Input_Product=Elig!$C981,Elig_MatchAll_Ct&lt;22,$BC981=(Elig_MatchAll_Ct-1),AN981=0),K981,0)</f>
        <v>0</v>
      </c>
      <c r="BQ981" s="991">
        <f>IF(AND(Input_Product=Elig!$C981,Elig_MatchAll_Ct&lt;22,$BC981=(Elig_MatchAll_Ct-1),AP981=0),L981,0)</f>
        <v>0</v>
      </c>
      <c r="BR981" s="991">
        <f>IF(AND(Input_Product=Elig!$C981,Elig_MatchAll_Ct&lt;22,$BC981=(Elig_MatchAll_Ct-1),AO981=0),M981,0)</f>
        <v>0</v>
      </c>
      <c r="BS981" s="991">
        <f>IF(AND(Input_Product=Elig!$C981,Elig_MatchAll_Ct&lt;22,$BC981=(Elig_MatchAll_Ct-1),AQ981=0),N981,0)</f>
        <v>0</v>
      </c>
      <c r="BT981" s="991">
        <f>IF(AND(Input_Product=Elig!$C981,Elig_MatchAll_Ct&lt;22,$BC981=(Elig_MatchAll_Ct-1),AR981=0),O981,0)</f>
        <v>0</v>
      </c>
      <c r="BU981" s="991">
        <f>IF(AND(Input_Product=Elig!$C981,Elig_MatchAll_Ct&lt;22,$BC981=(Elig_MatchAll_Ct-1),AS981=0),P981,0)</f>
        <v>0</v>
      </c>
      <c r="BV981" s="992">
        <f>IF(AND(Input_Product=Elig!$C981,Elig_MatchAll_Ct&lt;22,$BC981=(Elig_MatchAll_Ct-1),AT981=0),Q981,0)</f>
        <v>0</v>
      </c>
      <c r="BW981" s="993">
        <f>IF(AND(Input_Product=Elig!$C981,Elig_MatchAll_Ct&lt;22,$BC981=(Elig_MatchAll_Ct-1),AU981=0),R981,0)</f>
        <v>0</v>
      </c>
      <c r="BX981" s="994">
        <f>IF(AND(Input_Product=Elig!$C981,Elig_MatchAll_Ct&lt;22,$BC981=(Elig_MatchAll_Ct-1),AU981=0),S981,0)</f>
        <v>0</v>
      </c>
      <c r="BY981" s="993">
        <f>IF(AND(Input_Product=Elig!$C981,Elig_MatchAll_Ct&lt;22,$BC981=(Elig_MatchAll_Ct-1),AV981=0),T981,0)</f>
        <v>0</v>
      </c>
      <c r="BZ981" s="994">
        <f>IF(AND(Input_Product=Elig!$C981,Elig_MatchAll_Ct&lt;22,$BC981=(Elig_MatchAll_Ct-1),AV981=0),U981,0)</f>
        <v>0</v>
      </c>
      <c r="CA981" s="993">
        <f>IF(AND(Input_Product=Elig!$C981,Elig_MatchAll_Ct&lt;22,$BC981=(Elig_MatchAll_Ct-1),AW981=0),V981,0)</f>
        <v>0</v>
      </c>
      <c r="CB981" s="994">
        <f>IF(AND(Input_Product=Elig!$C981,Elig_MatchAll_Ct&lt;22,$BC981=(Elig_MatchAll_Ct-1),AW981=0),W981,0)</f>
        <v>0</v>
      </c>
      <c r="CC981" s="993">
        <f>IF(AND(Input_Product=Elig!$C981,Elig_MatchAll_Ct&lt;22,$BC981=(Elig_MatchAll_Ct-1),AX981=0),X981,0)</f>
        <v>0</v>
      </c>
      <c r="CD981" s="994">
        <f>IF(AND(Input_Product=Elig!$C981,Elig_MatchAll_Ct&lt;22,$BC981=(Elig_MatchAll_Ct-1),AX981=0),Y981,0)</f>
        <v>0</v>
      </c>
      <c r="CE981" s="993">
        <f>IF(AND(Input_LTV&lt;=AE981,Input_Product=Elig!$C981,Elig_MatchAll_Ct&lt;22,$BC981=(Elig_MatchAll_Ct-1),AY981=0),Z981,0)</f>
        <v>0</v>
      </c>
      <c r="CF981" s="994">
        <f>IF(AND(Input_LTV&lt;=AE981,Input_Product=Elig!$C981,Elig_MatchAll_Ct&lt;22,$BC981=(Elig_MatchAll_Ct-1),AY981=0),AA981,0)</f>
        <v>0</v>
      </c>
      <c r="CG981" s="993">
        <f>IF(AND(Input_Product=Elig!$C981,Elig_MatchAll_Ct&lt;22,$BC981=(Elig_MatchAll_Ct-1),AZ981=0),AB981,0)</f>
        <v>0</v>
      </c>
      <c r="CH981" s="994">
        <f>IF(AND(Input_Product=Elig!$C981,Elig_MatchAll_Ct&lt;22,$BC981=(Elig_MatchAll_Ct-1),AZ981=0),AC981,0)</f>
        <v>0</v>
      </c>
      <c r="CI981" s="993">
        <f>IF(AND(Input_Product=Elig!$C981,Elig_MatchAll_Ct&lt;22,$BC981=(Elig_MatchAll_Ct-1),BA981=0),AD981,0)</f>
        <v>0</v>
      </c>
      <c r="CJ981" s="994">
        <f>IF(AND(Input_Product=Elig!$C981,Elig_MatchAll_Ct&lt;22,$BC981=(Elig_MatchAll_Ct-1),BA981=0),AE981,0)</f>
        <v>0</v>
      </c>
    </row>
    <row r="982" spans="2:88" ht="10.15" customHeight="1" x14ac:dyDescent="0.25">
      <c r="B982" s="1916" t="s">
        <v>2318</v>
      </c>
      <c r="C982" s="1208" t="str">
        <f t="shared" si="389"/>
        <v xml:space="preserve">  </v>
      </c>
      <c r="D982" s="1209" t="s">
        <v>2218</v>
      </c>
      <c r="E982" s="1209" t="s">
        <v>167</v>
      </c>
      <c r="F982" s="1209" t="s">
        <v>331</v>
      </c>
      <c r="G982" s="1210" t="s">
        <v>472</v>
      </c>
      <c r="H982" s="1210" t="s">
        <v>136</v>
      </c>
      <c r="I982" s="1209" t="s">
        <v>274</v>
      </c>
      <c r="J982" s="1209" t="s">
        <v>1311</v>
      </c>
      <c r="K982" s="1210" t="s">
        <v>3022</v>
      </c>
      <c r="L982" s="1209" t="s">
        <v>2768</v>
      </c>
      <c r="M982" s="1209" t="s">
        <v>2677</v>
      </c>
      <c r="N982" s="1210" t="s">
        <v>82</v>
      </c>
      <c r="O982" s="1209" t="s">
        <v>310</v>
      </c>
      <c r="P982" s="1209" t="s">
        <v>291</v>
      </c>
      <c r="Q982" s="1209" t="s">
        <v>294</v>
      </c>
      <c r="R982" s="1209">
        <v>2000000.01</v>
      </c>
      <c r="S982" s="1209">
        <v>2500000</v>
      </c>
      <c r="T982" s="1209">
        <v>0</v>
      </c>
      <c r="U982" s="1209">
        <v>0</v>
      </c>
      <c r="V982" s="1209">
        <v>0</v>
      </c>
      <c r="W982" s="1209">
        <v>50</v>
      </c>
      <c r="X982" s="1209">
        <v>0</v>
      </c>
      <c r="Y982" s="1209">
        <v>999</v>
      </c>
      <c r="Z982" s="1211">
        <v>700</v>
      </c>
      <c r="AA982" s="1211">
        <v>719</v>
      </c>
      <c r="AB982" s="1211">
        <v>6</v>
      </c>
      <c r="AC982" s="1211">
        <v>999999</v>
      </c>
      <c r="AD982" s="1209">
        <v>0</v>
      </c>
      <c r="AE982" s="1212">
        <v>75</v>
      </c>
      <c r="AF982" s="170">
        <v>0</v>
      </c>
      <c r="AG982" s="171">
        <v>1</v>
      </c>
      <c r="AH982" s="171">
        <v>1</v>
      </c>
      <c r="AI982" s="171">
        <v>1</v>
      </c>
      <c r="AJ982" s="171">
        <v>0</v>
      </c>
      <c r="AK982" s="171">
        <v>1</v>
      </c>
      <c r="AL982" s="171">
        <v>0</v>
      </c>
      <c r="AM982" s="171">
        <v>1</v>
      </c>
      <c r="AN982" s="171">
        <v>1</v>
      </c>
      <c r="AO982" s="171">
        <v>1</v>
      </c>
      <c r="AP982" s="171">
        <v>1</v>
      </c>
      <c r="AQ982" s="171">
        <v>1</v>
      </c>
      <c r="AR982" s="171">
        <v>1</v>
      </c>
      <c r="AS982" s="171">
        <v>1</v>
      </c>
      <c r="AT982" s="171">
        <v>1</v>
      </c>
      <c r="AU982" s="171">
        <f t="shared" si="391"/>
        <v>0</v>
      </c>
      <c r="AV982" s="171">
        <f t="shared" si="392"/>
        <v>0</v>
      </c>
      <c r="AW982" s="171">
        <f t="shared" si="393"/>
        <v>1</v>
      </c>
      <c r="AX982" s="171">
        <f t="shared" si="388"/>
        <v>1</v>
      </c>
      <c r="AY982" s="171">
        <f t="shared" si="394"/>
        <v>0</v>
      </c>
      <c r="AZ982" s="171">
        <f t="shared" si="395"/>
        <v>1</v>
      </c>
      <c r="BA982" s="172">
        <f t="shared" si="396"/>
        <v>1</v>
      </c>
      <c r="BB982" s="175">
        <f t="shared" si="397"/>
        <v>16</v>
      </c>
      <c r="BC982" s="176">
        <f t="shared" si="398"/>
        <v>15</v>
      </c>
      <c r="BD982" s="176">
        <f t="shared" si="399"/>
        <v>16</v>
      </c>
      <c r="BE982" s="240" t="str">
        <f t="shared" si="390"/>
        <v/>
      </c>
      <c r="BF982" s="990"/>
      <c r="BG982" s="990"/>
      <c r="BH982" s="991">
        <f>IF(AND(Input_Product=Elig!$C982,Elig_MatchAll_Ct&lt;22,$BC982=(Elig_MatchAll_Ct-1),AF982=0),C982,0)</f>
        <v>0</v>
      </c>
      <c r="BI982" s="991">
        <f>IF(AND(Input_Product=Elig!$C982,Elig_MatchAll_Ct&lt;22,$BC982=(Elig_MatchAll_Ct-1),AG982=0),D982,0)</f>
        <v>0</v>
      </c>
      <c r="BJ982" s="991">
        <f>IF(AND(Input_Product=Elig!$C982,Elig_MatchAll_Ct&lt;22,$BC982=(Elig_MatchAll_Ct-1),AH982=0),E982,0)</f>
        <v>0</v>
      </c>
      <c r="BK982" s="991">
        <f>IF(AND(Input_Product=Elig!$C982,Elig_MatchAll_Ct&lt;22,$BC982=(Elig_MatchAll_Ct-1),AI982=0),F982,0)</f>
        <v>0</v>
      </c>
      <c r="BL982" s="991">
        <f>IF(AND(Input_Product=Elig!$C982,Elig_MatchAll_Ct&lt;22,$BC982=(Elig_MatchAll_Ct-1),AJ982=0),G982,0)</f>
        <v>0</v>
      </c>
      <c r="BM982" s="991">
        <f>IF(AND(Input_Product=Elig!$C982,Elig_MatchAll_Ct&lt;22,$BC982=(Elig_MatchAll_Ct-1),AK982=0),H982,0)</f>
        <v>0</v>
      </c>
      <c r="BN982" s="991">
        <f>IF(AND(Input_Product=Elig!$C982,Elig_MatchAll_Ct&lt;22,$BC982=(Elig_MatchAll_Ct-1),AL982=0),I982,0)</f>
        <v>0</v>
      </c>
      <c r="BO982" s="991">
        <f>IF(AND(Input_Product=Elig!$C982,Elig_MatchAll_Ct&lt;22,$BC982=(Elig_MatchAll_Ct-1),AM982=0),J982,0)</f>
        <v>0</v>
      </c>
      <c r="BP982" s="991">
        <f>IF(AND(Input_Product=Elig!$C982,Elig_MatchAll_Ct&lt;22,$BC982=(Elig_MatchAll_Ct-1),AN982=0),K982,0)</f>
        <v>0</v>
      </c>
      <c r="BQ982" s="991">
        <f>IF(AND(Input_Product=Elig!$C982,Elig_MatchAll_Ct&lt;22,$BC982=(Elig_MatchAll_Ct-1),AP982=0),L982,0)</f>
        <v>0</v>
      </c>
      <c r="BR982" s="991">
        <f>IF(AND(Input_Product=Elig!$C982,Elig_MatchAll_Ct&lt;22,$BC982=(Elig_MatchAll_Ct-1),AO982=0),M982,0)</f>
        <v>0</v>
      </c>
      <c r="BS982" s="991">
        <f>IF(AND(Input_Product=Elig!$C982,Elig_MatchAll_Ct&lt;22,$BC982=(Elig_MatchAll_Ct-1),AQ982=0),N982,0)</f>
        <v>0</v>
      </c>
      <c r="BT982" s="991">
        <f>IF(AND(Input_Product=Elig!$C982,Elig_MatchAll_Ct&lt;22,$BC982=(Elig_MatchAll_Ct-1),AR982=0),O982,0)</f>
        <v>0</v>
      </c>
      <c r="BU982" s="991">
        <f>IF(AND(Input_Product=Elig!$C982,Elig_MatchAll_Ct&lt;22,$BC982=(Elig_MatchAll_Ct-1),AS982=0),P982,0)</f>
        <v>0</v>
      </c>
      <c r="BV982" s="992">
        <f>IF(AND(Input_Product=Elig!$C982,Elig_MatchAll_Ct&lt;22,$BC982=(Elig_MatchAll_Ct-1),AT982=0),Q982,0)</f>
        <v>0</v>
      </c>
      <c r="BW982" s="993">
        <f>IF(AND(Input_Product=Elig!$C982,Elig_MatchAll_Ct&lt;22,$BC982=(Elig_MatchAll_Ct-1),AU982=0),R982,0)</f>
        <v>0</v>
      </c>
      <c r="BX982" s="994">
        <f>IF(AND(Input_Product=Elig!$C982,Elig_MatchAll_Ct&lt;22,$BC982=(Elig_MatchAll_Ct-1),AU982=0),S982,0)</f>
        <v>0</v>
      </c>
      <c r="BY982" s="993">
        <f>IF(AND(Input_Product=Elig!$C982,Elig_MatchAll_Ct&lt;22,$BC982=(Elig_MatchAll_Ct-1),AV982=0),T982,0)</f>
        <v>0</v>
      </c>
      <c r="BZ982" s="994">
        <f>IF(AND(Input_Product=Elig!$C982,Elig_MatchAll_Ct&lt;22,$BC982=(Elig_MatchAll_Ct-1),AV982=0),U982,0)</f>
        <v>0</v>
      </c>
      <c r="CA982" s="993">
        <f>IF(AND(Input_Product=Elig!$C982,Elig_MatchAll_Ct&lt;22,$BC982=(Elig_MatchAll_Ct-1),AW982=0),V982,0)</f>
        <v>0</v>
      </c>
      <c r="CB982" s="994">
        <f>IF(AND(Input_Product=Elig!$C982,Elig_MatchAll_Ct&lt;22,$BC982=(Elig_MatchAll_Ct-1),AW982=0),W982,0)</f>
        <v>0</v>
      </c>
      <c r="CC982" s="993">
        <f>IF(AND(Input_Product=Elig!$C982,Elig_MatchAll_Ct&lt;22,$BC982=(Elig_MatchAll_Ct-1),AX982=0),X982,0)</f>
        <v>0</v>
      </c>
      <c r="CD982" s="994">
        <f>IF(AND(Input_Product=Elig!$C982,Elig_MatchAll_Ct&lt;22,$BC982=(Elig_MatchAll_Ct-1),AX982=0),Y982,0)</f>
        <v>0</v>
      </c>
      <c r="CE982" s="993">
        <f>IF(AND(Input_LTV&lt;=AE982,Input_Product=Elig!$C982,Elig_MatchAll_Ct&lt;22,$BC982=(Elig_MatchAll_Ct-1),AY982=0),Z982,0)</f>
        <v>0</v>
      </c>
      <c r="CF982" s="994">
        <f>IF(AND(Input_LTV&lt;=AE982,Input_Product=Elig!$C982,Elig_MatchAll_Ct&lt;22,$BC982=(Elig_MatchAll_Ct-1),AY982=0),AA982,0)</f>
        <v>0</v>
      </c>
      <c r="CG982" s="993">
        <f>IF(AND(Input_Product=Elig!$C982,Elig_MatchAll_Ct&lt;22,$BC982=(Elig_MatchAll_Ct-1),AZ982=0),AB982,0)</f>
        <v>0</v>
      </c>
      <c r="CH982" s="994">
        <f>IF(AND(Input_Product=Elig!$C982,Elig_MatchAll_Ct&lt;22,$BC982=(Elig_MatchAll_Ct-1),AZ982=0),AC982,0)</f>
        <v>0</v>
      </c>
      <c r="CI982" s="993">
        <f>IF(AND(Input_Product=Elig!$C982,Elig_MatchAll_Ct&lt;22,$BC982=(Elig_MatchAll_Ct-1),BA982=0),AD982,0)</f>
        <v>0</v>
      </c>
      <c r="CJ982" s="994">
        <f>IF(AND(Input_Product=Elig!$C982,Elig_MatchAll_Ct&lt;22,$BC982=(Elig_MatchAll_Ct-1),BA982=0),AE982,0)</f>
        <v>0</v>
      </c>
    </row>
    <row r="983" spans="2:88" ht="10.15" customHeight="1" x14ac:dyDescent="0.25">
      <c r="B983" s="1916" t="s">
        <v>2319</v>
      </c>
      <c r="C983" s="1213" t="str">
        <f t="shared" si="389"/>
        <v xml:space="preserve">  </v>
      </c>
      <c r="D983" s="1214" t="s">
        <v>2218</v>
      </c>
      <c r="E983" s="1214" t="s">
        <v>167</v>
      </c>
      <c r="F983" s="1214" t="s">
        <v>331</v>
      </c>
      <c r="G983" s="1215" t="s">
        <v>472</v>
      </c>
      <c r="H983" s="1215" t="s">
        <v>136</v>
      </c>
      <c r="I983" s="1214" t="s">
        <v>274</v>
      </c>
      <c r="J983" s="1214" t="s">
        <v>1311</v>
      </c>
      <c r="K983" s="1215" t="s">
        <v>3022</v>
      </c>
      <c r="L983" s="1214" t="s">
        <v>2768</v>
      </c>
      <c r="M983" s="1214" t="s">
        <v>2677</v>
      </c>
      <c r="N983" s="1215" t="s">
        <v>82</v>
      </c>
      <c r="O983" s="1214" t="s">
        <v>310</v>
      </c>
      <c r="P983" s="1214" t="s">
        <v>291</v>
      </c>
      <c r="Q983" s="1214" t="s">
        <v>294</v>
      </c>
      <c r="R983" s="1214">
        <v>2000000.01</v>
      </c>
      <c r="S983" s="1214">
        <v>2500000</v>
      </c>
      <c r="T983" s="1214">
        <v>0</v>
      </c>
      <c r="U983" s="1214">
        <v>0</v>
      </c>
      <c r="V983" s="1214">
        <v>0</v>
      </c>
      <c r="W983" s="1214">
        <v>50</v>
      </c>
      <c r="X983" s="1214">
        <v>0</v>
      </c>
      <c r="Y983" s="1214">
        <v>999</v>
      </c>
      <c r="Z983" s="1216">
        <v>680</v>
      </c>
      <c r="AA983" s="1216">
        <v>699</v>
      </c>
      <c r="AB983" s="1216">
        <v>6</v>
      </c>
      <c r="AC983" s="1216">
        <v>999999</v>
      </c>
      <c r="AD983" s="1214">
        <v>0</v>
      </c>
      <c r="AE983" s="1217">
        <v>75</v>
      </c>
      <c r="AF983" s="170">
        <v>0</v>
      </c>
      <c r="AG983" s="171">
        <v>1</v>
      </c>
      <c r="AH983" s="171">
        <v>1</v>
      </c>
      <c r="AI983" s="171">
        <v>1</v>
      </c>
      <c r="AJ983" s="171">
        <v>0</v>
      </c>
      <c r="AK983" s="171">
        <v>1</v>
      </c>
      <c r="AL983" s="171">
        <v>0</v>
      </c>
      <c r="AM983" s="171">
        <v>1</v>
      </c>
      <c r="AN983" s="171">
        <v>1</v>
      </c>
      <c r="AO983" s="171">
        <v>1</v>
      </c>
      <c r="AP983" s="171">
        <v>1</v>
      </c>
      <c r="AQ983" s="171">
        <v>1</v>
      </c>
      <c r="AR983" s="171">
        <v>1</v>
      </c>
      <c r="AS983" s="171">
        <v>1</v>
      </c>
      <c r="AT983" s="171">
        <v>1</v>
      </c>
      <c r="AU983" s="171">
        <f t="shared" si="391"/>
        <v>0</v>
      </c>
      <c r="AV983" s="171">
        <f t="shared" si="392"/>
        <v>0</v>
      </c>
      <c r="AW983" s="171">
        <f t="shared" si="393"/>
        <v>1</v>
      </c>
      <c r="AX983" s="171">
        <f t="shared" si="388"/>
        <v>1</v>
      </c>
      <c r="AY983" s="171">
        <f t="shared" si="394"/>
        <v>0</v>
      </c>
      <c r="AZ983" s="171">
        <f t="shared" si="395"/>
        <v>1</v>
      </c>
      <c r="BA983" s="172">
        <f t="shared" si="396"/>
        <v>1</v>
      </c>
      <c r="BB983" s="175">
        <f t="shared" si="397"/>
        <v>16</v>
      </c>
      <c r="BC983" s="176">
        <f t="shared" si="398"/>
        <v>15</v>
      </c>
      <c r="BD983" s="176">
        <f t="shared" si="399"/>
        <v>16</v>
      </c>
      <c r="BE983" s="240" t="str">
        <f t="shared" si="390"/>
        <v/>
      </c>
      <c r="BF983" s="990"/>
      <c r="BG983" s="990"/>
      <c r="BH983" s="991">
        <f>IF(AND(Input_Product=Elig!$C983,Elig_MatchAll_Ct&lt;22,$BC983=(Elig_MatchAll_Ct-1),AF983=0),C983,0)</f>
        <v>0</v>
      </c>
      <c r="BI983" s="991">
        <f>IF(AND(Input_Product=Elig!$C983,Elig_MatchAll_Ct&lt;22,$BC983=(Elig_MatchAll_Ct-1),AG983=0),D983,0)</f>
        <v>0</v>
      </c>
      <c r="BJ983" s="991">
        <f>IF(AND(Input_Product=Elig!$C983,Elig_MatchAll_Ct&lt;22,$BC983=(Elig_MatchAll_Ct-1),AH983=0),E983,0)</f>
        <v>0</v>
      </c>
      <c r="BK983" s="991">
        <f>IF(AND(Input_Product=Elig!$C983,Elig_MatchAll_Ct&lt;22,$BC983=(Elig_MatchAll_Ct-1),AI983=0),F983,0)</f>
        <v>0</v>
      </c>
      <c r="BL983" s="991">
        <f>IF(AND(Input_Product=Elig!$C983,Elig_MatchAll_Ct&lt;22,$BC983=(Elig_MatchAll_Ct-1),AJ983=0),G983,0)</f>
        <v>0</v>
      </c>
      <c r="BM983" s="991">
        <f>IF(AND(Input_Product=Elig!$C983,Elig_MatchAll_Ct&lt;22,$BC983=(Elig_MatchAll_Ct-1),AK983=0),H983,0)</f>
        <v>0</v>
      </c>
      <c r="BN983" s="991">
        <f>IF(AND(Input_Product=Elig!$C983,Elig_MatchAll_Ct&lt;22,$BC983=(Elig_MatchAll_Ct-1),AL983=0),I983,0)</f>
        <v>0</v>
      </c>
      <c r="BO983" s="991">
        <f>IF(AND(Input_Product=Elig!$C983,Elig_MatchAll_Ct&lt;22,$BC983=(Elig_MatchAll_Ct-1),AM983=0),J983,0)</f>
        <v>0</v>
      </c>
      <c r="BP983" s="991">
        <f>IF(AND(Input_Product=Elig!$C983,Elig_MatchAll_Ct&lt;22,$BC983=(Elig_MatchAll_Ct-1),AN983=0),K983,0)</f>
        <v>0</v>
      </c>
      <c r="BQ983" s="991">
        <f>IF(AND(Input_Product=Elig!$C983,Elig_MatchAll_Ct&lt;22,$BC983=(Elig_MatchAll_Ct-1),AP983=0),L983,0)</f>
        <v>0</v>
      </c>
      <c r="BR983" s="991">
        <f>IF(AND(Input_Product=Elig!$C983,Elig_MatchAll_Ct&lt;22,$BC983=(Elig_MatchAll_Ct-1),AO983=0),M983,0)</f>
        <v>0</v>
      </c>
      <c r="BS983" s="991">
        <f>IF(AND(Input_Product=Elig!$C983,Elig_MatchAll_Ct&lt;22,$BC983=(Elig_MatchAll_Ct-1),AQ983=0),N983,0)</f>
        <v>0</v>
      </c>
      <c r="BT983" s="991">
        <f>IF(AND(Input_Product=Elig!$C983,Elig_MatchAll_Ct&lt;22,$BC983=(Elig_MatchAll_Ct-1),AR983=0),O983,0)</f>
        <v>0</v>
      </c>
      <c r="BU983" s="991">
        <f>IF(AND(Input_Product=Elig!$C983,Elig_MatchAll_Ct&lt;22,$BC983=(Elig_MatchAll_Ct-1),AS983=0),P983,0)</f>
        <v>0</v>
      </c>
      <c r="BV983" s="992">
        <f>IF(AND(Input_Product=Elig!$C983,Elig_MatchAll_Ct&lt;22,$BC983=(Elig_MatchAll_Ct-1),AT983=0),Q983,0)</f>
        <v>0</v>
      </c>
      <c r="BW983" s="993">
        <f>IF(AND(Input_Product=Elig!$C983,Elig_MatchAll_Ct&lt;22,$BC983=(Elig_MatchAll_Ct-1),AU983=0),R983,0)</f>
        <v>0</v>
      </c>
      <c r="BX983" s="994">
        <f>IF(AND(Input_Product=Elig!$C983,Elig_MatchAll_Ct&lt;22,$BC983=(Elig_MatchAll_Ct-1),AU983=0),S983,0)</f>
        <v>0</v>
      </c>
      <c r="BY983" s="993">
        <f>IF(AND(Input_Product=Elig!$C983,Elig_MatchAll_Ct&lt;22,$BC983=(Elig_MatchAll_Ct-1),AV983=0),T983,0)</f>
        <v>0</v>
      </c>
      <c r="BZ983" s="994">
        <f>IF(AND(Input_Product=Elig!$C983,Elig_MatchAll_Ct&lt;22,$BC983=(Elig_MatchAll_Ct-1),AV983=0),U983,0)</f>
        <v>0</v>
      </c>
      <c r="CA983" s="993">
        <f>IF(AND(Input_Product=Elig!$C983,Elig_MatchAll_Ct&lt;22,$BC983=(Elig_MatchAll_Ct-1),AW983=0),V983,0)</f>
        <v>0</v>
      </c>
      <c r="CB983" s="994">
        <f>IF(AND(Input_Product=Elig!$C983,Elig_MatchAll_Ct&lt;22,$BC983=(Elig_MatchAll_Ct-1),AW983=0),W983,0)</f>
        <v>0</v>
      </c>
      <c r="CC983" s="993">
        <f>IF(AND(Input_Product=Elig!$C983,Elig_MatchAll_Ct&lt;22,$BC983=(Elig_MatchAll_Ct-1),AX983=0),X983,0)</f>
        <v>0</v>
      </c>
      <c r="CD983" s="994">
        <f>IF(AND(Input_Product=Elig!$C983,Elig_MatchAll_Ct&lt;22,$BC983=(Elig_MatchAll_Ct-1),AX983=0),Y983,0)</f>
        <v>0</v>
      </c>
      <c r="CE983" s="993">
        <f>IF(AND(Input_LTV&lt;=AE983,Input_Product=Elig!$C983,Elig_MatchAll_Ct&lt;22,$BC983=(Elig_MatchAll_Ct-1),AY983=0),Z983,0)</f>
        <v>0</v>
      </c>
      <c r="CF983" s="994">
        <f>IF(AND(Input_LTV&lt;=AE983,Input_Product=Elig!$C983,Elig_MatchAll_Ct&lt;22,$BC983=(Elig_MatchAll_Ct-1),AY983=0),AA983,0)</f>
        <v>0</v>
      </c>
      <c r="CG983" s="993">
        <f>IF(AND(Input_Product=Elig!$C983,Elig_MatchAll_Ct&lt;22,$BC983=(Elig_MatchAll_Ct-1),AZ983=0),AB983,0)</f>
        <v>0</v>
      </c>
      <c r="CH983" s="994">
        <f>IF(AND(Input_Product=Elig!$C983,Elig_MatchAll_Ct&lt;22,$BC983=(Elig_MatchAll_Ct-1),AZ983=0),AC983,0)</f>
        <v>0</v>
      </c>
      <c r="CI983" s="993">
        <f>IF(AND(Input_Product=Elig!$C983,Elig_MatchAll_Ct&lt;22,$BC983=(Elig_MatchAll_Ct-1),BA983=0),AD983,0)</f>
        <v>0</v>
      </c>
      <c r="CJ983" s="994">
        <f>IF(AND(Input_Product=Elig!$C983,Elig_MatchAll_Ct&lt;22,$BC983=(Elig_MatchAll_Ct-1),BA983=0),AE983,0)</f>
        <v>0</v>
      </c>
    </row>
    <row r="984" spans="2:88" ht="10.15" customHeight="1" x14ac:dyDescent="0.25">
      <c r="B984" s="1916" t="s">
        <v>2320</v>
      </c>
      <c r="C984" s="1203" t="str">
        <f t="shared" si="389"/>
        <v xml:space="preserve">  </v>
      </c>
      <c r="D984" s="1204" t="s">
        <v>2218</v>
      </c>
      <c r="E984" s="1204" t="s">
        <v>167</v>
      </c>
      <c r="F984" s="1204" t="s">
        <v>331</v>
      </c>
      <c r="G984" s="1205" t="s">
        <v>472</v>
      </c>
      <c r="H984" s="1205" t="s">
        <v>136</v>
      </c>
      <c r="I984" s="1204" t="s">
        <v>274</v>
      </c>
      <c r="J984" s="1204" t="s">
        <v>1311</v>
      </c>
      <c r="K984" s="1205" t="s">
        <v>3022</v>
      </c>
      <c r="L984" s="1204" t="s">
        <v>2768</v>
      </c>
      <c r="M984" s="1204" t="s">
        <v>2677</v>
      </c>
      <c r="N984" s="1205" t="s">
        <v>82</v>
      </c>
      <c r="O984" s="1204" t="s">
        <v>310</v>
      </c>
      <c r="P984" s="1204" t="s">
        <v>291</v>
      </c>
      <c r="Q984" s="1204" t="s">
        <v>294</v>
      </c>
      <c r="R984" s="1204">
        <v>2500000.0099999998</v>
      </c>
      <c r="S984" s="1204">
        <v>3000000</v>
      </c>
      <c r="T984" s="1204">
        <v>0</v>
      </c>
      <c r="U984" s="1204">
        <v>0</v>
      </c>
      <c r="V984" s="1204">
        <v>0</v>
      </c>
      <c r="W984" s="1204">
        <v>50</v>
      </c>
      <c r="X984" s="1204">
        <v>0</v>
      </c>
      <c r="Y984" s="1204">
        <v>999</v>
      </c>
      <c r="Z984" s="1206">
        <v>720</v>
      </c>
      <c r="AA984" s="1206">
        <v>999</v>
      </c>
      <c r="AB984" s="1206">
        <v>6</v>
      </c>
      <c r="AC984" s="1206">
        <v>999999</v>
      </c>
      <c r="AD984" s="1204">
        <v>0</v>
      </c>
      <c r="AE984" s="1207">
        <v>75</v>
      </c>
      <c r="AF984" s="170">
        <v>0</v>
      </c>
      <c r="AG984" s="171">
        <v>1</v>
      </c>
      <c r="AH984" s="171">
        <v>1</v>
      </c>
      <c r="AI984" s="171">
        <v>1</v>
      </c>
      <c r="AJ984" s="171">
        <v>0</v>
      </c>
      <c r="AK984" s="171">
        <v>1</v>
      </c>
      <c r="AL984" s="171">
        <v>0</v>
      </c>
      <c r="AM984" s="171">
        <v>1</v>
      </c>
      <c r="AN984" s="171">
        <v>1</v>
      </c>
      <c r="AO984" s="171">
        <v>1</v>
      </c>
      <c r="AP984" s="171">
        <v>1</v>
      </c>
      <c r="AQ984" s="171">
        <v>1</v>
      </c>
      <c r="AR984" s="171">
        <v>1</v>
      </c>
      <c r="AS984" s="171">
        <v>1</v>
      </c>
      <c r="AT984" s="171">
        <v>1</v>
      </c>
      <c r="AU984" s="171">
        <f t="shared" si="391"/>
        <v>0</v>
      </c>
      <c r="AV984" s="171">
        <f t="shared" si="392"/>
        <v>0</v>
      </c>
      <c r="AW984" s="171">
        <f t="shared" si="393"/>
        <v>1</v>
      </c>
      <c r="AX984" s="171">
        <f t="shared" si="388"/>
        <v>1</v>
      </c>
      <c r="AY984" s="171">
        <f t="shared" si="394"/>
        <v>1</v>
      </c>
      <c r="AZ984" s="171">
        <f t="shared" si="395"/>
        <v>1</v>
      </c>
      <c r="BA984" s="172">
        <f t="shared" si="396"/>
        <v>1</v>
      </c>
      <c r="BB984" s="175">
        <f t="shared" si="397"/>
        <v>17</v>
      </c>
      <c r="BC984" s="176">
        <f t="shared" si="398"/>
        <v>16</v>
      </c>
      <c r="BD984" s="176">
        <f t="shared" si="399"/>
        <v>17</v>
      </c>
      <c r="BE984" s="240" t="str">
        <f t="shared" si="390"/>
        <v/>
      </c>
      <c r="BF984" s="990"/>
      <c r="BG984" s="990"/>
      <c r="BH984" s="991">
        <f>IF(AND(Input_Product=Elig!$C984,Elig_MatchAll_Ct&lt;22,$BC984=(Elig_MatchAll_Ct-1),AF984=0),C984,0)</f>
        <v>0</v>
      </c>
      <c r="BI984" s="991">
        <f>IF(AND(Input_Product=Elig!$C984,Elig_MatchAll_Ct&lt;22,$BC984=(Elig_MatchAll_Ct-1),AG984=0),D984,0)</f>
        <v>0</v>
      </c>
      <c r="BJ984" s="991">
        <f>IF(AND(Input_Product=Elig!$C984,Elig_MatchAll_Ct&lt;22,$BC984=(Elig_MatchAll_Ct-1),AH984=0),E984,0)</f>
        <v>0</v>
      </c>
      <c r="BK984" s="991">
        <f>IF(AND(Input_Product=Elig!$C984,Elig_MatchAll_Ct&lt;22,$BC984=(Elig_MatchAll_Ct-1),AI984=0),F984,0)</f>
        <v>0</v>
      </c>
      <c r="BL984" s="991">
        <f>IF(AND(Input_Product=Elig!$C984,Elig_MatchAll_Ct&lt;22,$BC984=(Elig_MatchAll_Ct-1),AJ984=0),G984,0)</f>
        <v>0</v>
      </c>
      <c r="BM984" s="991">
        <f>IF(AND(Input_Product=Elig!$C984,Elig_MatchAll_Ct&lt;22,$BC984=(Elig_MatchAll_Ct-1),AK984=0),H984,0)</f>
        <v>0</v>
      </c>
      <c r="BN984" s="991">
        <f>IF(AND(Input_Product=Elig!$C984,Elig_MatchAll_Ct&lt;22,$BC984=(Elig_MatchAll_Ct-1),AL984=0),I984,0)</f>
        <v>0</v>
      </c>
      <c r="BO984" s="991">
        <f>IF(AND(Input_Product=Elig!$C984,Elig_MatchAll_Ct&lt;22,$BC984=(Elig_MatchAll_Ct-1),AM984=0),J984,0)</f>
        <v>0</v>
      </c>
      <c r="BP984" s="991">
        <f>IF(AND(Input_Product=Elig!$C984,Elig_MatchAll_Ct&lt;22,$BC984=(Elig_MatchAll_Ct-1),AN984=0),K984,0)</f>
        <v>0</v>
      </c>
      <c r="BQ984" s="991">
        <f>IF(AND(Input_Product=Elig!$C984,Elig_MatchAll_Ct&lt;22,$BC984=(Elig_MatchAll_Ct-1),AP984=0),L984,0)</f>
        <v>0</v>
      </c>
      <c r="BR984" s="991">
        <f>IF(AND(Input_Product=Elig!$C984,Elig_MatchAll_Ct&lt;22,$BC984=(Elig_MatchAll_Ct-1),AO984=0),M984,0)</f>
        <v>0</v>
      </c>
      <c r="BS984" s="991">
        <f>IF(AND(Input_Product=Elig!$C984,Elig_MatchAll_Ct&lt;22,$BC984=(Elig_MatchAll_Ct-1),AQ984=0),N984,0)</f>
        <v>0</v>
      </c>
      <c r="BT984" s="991">
        <f>IF(AND(Input_Product=Elig!$C984,Elig_MatchAll_Ct&lt;22,$BC984=(Elig_MatchAll_Ct-1),AR984=0),O984,0)</f>
        <v>0</v>
      </c>
      <c r="BU984" s="991">
        <f>IF(AND(Input_Product=Elig!$C984,Elig_MatchAll_Ct&lt;22,$BC984=(Elig_MatchAll_Ct-1),AS984=0),P984,0)</f>
        <v>0</v>
      </c>
      <c r="BV984" s="992">
        <f>IF(AND(Input_Product=Elig!$C984,Elig_MatchAll_Ct&lt;22,$BC984=(Elig_MatchAll_Ct-1),AT984=0),Q984,0)</f>
        <v>0</v>
      </c>
      <c r="BW984" s="993">
        <f>IF(AND(Input_Product=Elig!$C984,Elig_MatchAll_Ct&lt;22,$BC984=(Elig_MatchAll_Ct-1),AU984=0),R984,0)</f>
        <v>0</v>
      </c>
      <c r="BX984" s="994">
        <f>IF(AND(Input_Product=Elig!$C984,Elig_MatchAll_Ct&lt;22,$BC984=(Elig_MatchAll_Ct-1),AU984=0),S984,0)</f>
        <v>0</v>
      </c>
      <c r="BY984" s="993">
        <f>IF(AND(Input_Product=Elig!$C984,Elig_MatchAll_Ct&lt;22,$BC984=(Elig_MatchAll_Ct-1),AV984=0),T984,0)</f>
        <v>0</v>
      </c>
      <c r="BZ984" s="994">
        <f>IF(AND(Input_Product=Elig!$C984,Elig_MatchAll_Ct&lt;22,$BC984=(Elig_MatchAll_Ct-1),AV984=0),U984,0)</f>
        <v>0</v>
      </c>
      <c r="CA984" s="993">
        <f>IF(AND(Input_Product=Elig!$C984,Elig_MatchAll_Ct&lt;22,$BC984=(Elig_MatchAll_Ct-1),AW984=0),V984,0)</f>
        <v>0</v>
      </c>
      <c r="CB984" s="994">
        <f>IF(AND(Input_Product=Elig!$C984,Elig_MatchAll_Ct&lt;22,$BC984=(Elig_MatchAll_Ct-1),AW984=0),W984,0)</f>
        <v>0</v>
      </c>
      <c r="CC984" s="993">
        <f>IF(AND(Input_Product=Elig!$C984,Elig_MatchAll_Ct&lt;22,$BC984=(Elig_MatchAll_Ct-1),AX984=0),X984,0)</f>
        <v>0</v>
      </c>
      <c r="CD984" s="994">
        <f>IF(AND(Input_Product=Elig!$C984,Elig_MatchAll_Ct&lt;22,$BC984=(Elig_MatchAll_Ct-1),AX984=0),Y984,0)</f>
        <v>0</v>
      </c>
      <c r="CE984" s="993">
        <f>IF(AND(Input_LTV&lt;=AE984,Input_Product=Elig!$C984,Elig_MatchAll_Ct&lt;22,$BC984=(Elig_MatchAll_Ct-1),AY984=0),Z984,0)</f>
        <v>0</v>
      </c>
      <c r="CF984" s="994">
        <f>IF(AND(Input_LTV&lt;=AE984,Input_Product=Elig!$C984,Elig_MatchAll_Ct&lt;22,$BC984=(Elig_MatchAll_Ct-1),AY984=0),AA984,0)</f>
        <v>0</v>
      </c>
      <c r="CG984" s="993">
        <f>IF(AND(Input_Product=Elig!$C984,Elig_MatchAll_Ct&lt;22,$BC984=(Elig_MatchAll_Ct-1),AZ984=0),AB984,0)</f>
        <v>0</v>
      </c>
      <c r="CH984" s="994">
        <f>IF(AND(Input_Product=Elig!$C984,Elig_MatchAll_Ct&lt;22,$BC984=(Elig_MatchAll_Ct-1),AZ984=0),AC984,0)</f>
        <v>0</v>
      </c>
      <c r="CI984" s="993">
        <f>IF(AND(Input_Product=Elig!$C984,Elig_MatchAll_Ct&lt;22,$BC984=(Elig_MatchAll_Ct-1),BA984=0),AD984,0)</f>
        <v>0</v>
      </c>
      <c r="CJ984" s="994">
        <f>IF(AND(Input_Product=Elig!$C984,Elig_MatchAll_Ct&lt;22,$BC984=(Elig_MatchAll_Ct-1),BA984=0),AE984,0)</f>
        <v>0</v>
      </c>
    </row>
    <row r="985" spans="2:88" ht="10.15" customHeight="1" x14ac:dyDescent="0.25">
      <c r="B985" s="1916" t="s">
        <v>2321</v>
      </c>
      <c r="C985" s="1208" t="str">
        <f t="shared" si="389"/>
        <v xml:space="preserve">  </v>
      </c>
      <c r="D985" s="1209" t="s">
        <v>2218</v>
      </c>
      <c r="E985" s="1209" t="s">
        <v>167</v>
      </c>
      <c r="F985" s="1209" t="s">
        <v>331</v>
      </c>
      <c r="G985" s="1210" t="s">
        <v>472</v>
      </c>
      <c r="H985" s="1210" t="s">
        <v>136</v>
      </c>
      <c r="I985" s="1209" t="s">
        <v>274</v>
      </c>
      <c r="J985" s="1209" t="s">
        <v>1311</v>
      </c>
      <c r="K985" s="1210" t="s">
        <v>3022</v>
      </c>
      <c r="L985" s="1209" t="s">
        <v>2768</v>
      </c>
      <c r="M985" s="1209" t="s">
        <v>2677</v>
      </c>
      <c r="N985" s="1210" t="s">
        <v>82</v>
      </c>
      <c r="O985" s="1209" t="s">
        <v>310</v>
      </c>
      <c r="P985" s="1209" t="s">
        <v>291</v>
      </c>
      <c r="Q985" s="1209" t="s">
        <v>294</v>
      </c>
      <c r="R985" s="1209">
        <v>2500000.0099999998</v>
      </c>
      <c r="S985" s="1209">
        <v>3000000</v>
      </c>
      <c r="T985" s="1209">
        <v>0</v>
      </c>
      <c r="U985" s="1209">
        <v>0</v>
      </c>
      <c r="V985" s="1209">
        <v>0</v>
      </c>
      <c r="W985" s="1209">
        <v>50</v>
      </c>
      <c r="X985" s="1209">
        <v>0</v>
      </c>
      <c r="Y985" s="1209">
        <v>999</v>
      </c>
      <c r="Z985" s="1211">
        <v>700</v>
      </c>
      <c r="AA985" s="1211">
        <v>719</v>
      </c>
      <c r="AB985" s="1211">
        <v>6</v>
      </c>
      <c r="AC985" s="1211">
        <v>999999</v>
      </c>
      <c r="AD985" s="1209">
        <v>0</v>
      </c>
      <c r="AE985" s="1212">
        <v>75</v>
      </c>
      <c r="AF985" s="170">
        <v>0</v>
      </c>
      <c r="AG985" s="171">
        <v>1</v>
      </c>
      <c r="AH985" s="171">
        <v>1</v>
      </c>
      <c r="AI985" s="171">
        <v>1</v>
      </c>
      <c r="AJ985" s="171">
        <v>0</v>
      </c>
      <c r="AK985" s="171">
        <v>1</v>
      </c>
      <c r="AL985" s="171">
        <v>0</v>
      </c>
      <c r="AM985" s="171">
        <v>1</v>
      </c>
      <c r="AN985" s="171">
        <v>1</v>
      </c>
      <c r="AO985" s="171">
        <v>1</v>
      </c>
      <c r="AP985" s="171">
        <v>1</v>
      </c>
      <c r="AQ985" s="171">
        <v>1</v>
      </c>
      <c r="AR985" s="171">
        <v>1</v>
      </c>
      <c r="AS985" s="171">
        <v>1</v>
      </c>
      <c r="AT985" s="171">
        <v>1</v>
      </c>
      <c r="AU985" s="171">
        <f t="shared" si="391"/>
        <v>0</v>
      </c>
      <c r="AV985" s="171">
        <f t="shared" si="392"/>
        <v>0</v>
      </c>
      <c r="AW985" s="171">
        <f t="shared" si="393"/>
        <v>1</v>
      </c>
      <c r="AX985" s="171">
        <f t="shared" si="388"/>
        <v>1</v>
      </c>
      <c r="AY985" s="171">
        <f t="shared" si="394"/>
        <v>0</v>
      </c>
      <c r="AZ985" s="171">
        <f t="shared" si="395"/>
        <v>1</v>
      </c>
      <c r="BA985" s="172">
        <f t="shared" si="396"/>
        <v>1</v>
      </c>
      <c r="BB985" s="175">
        <f t="shared" si="397"/>
        <v>16</v>
      </c>
      <c r="BC985" s="176">
        <f t="shared" si="398"/>
        <v>15</v>
      </c>
      <c r="BD985" s="176">
        <f t="shared" si="399"/>
        <v>16</v>
      </c>
      <c r="BE985" s="240" t="str">
        <f t="shared" si="390"/>
        <v/>
      </c>
      <c r="BF985" s="990"/>
      <c r="BG985" s="990"/>
      <c r="BH985" s="991">
        <f>IF(AND(Input_Product=Elig!$C985,Elig_MatchAll_Ct&lt;22,$BC985=(Elig_MatchAll_Ct-1),AF985=0),C985,0)</f>
        <v>0</v>
      </c>
      <c r="BI985" s="991">
        <f>IF(AND(Input_Product=Elig!$C985,Elig_MatchAll_Ct&lt;22,$BC985=(Elig_MatchAll_Ct-1),AG985=0),D985,0)</f>
        <v>0</v>
      </c>
      <c r="BJ985" s="991">
        <f>IF(AND(Input_Product=Elig!$C985,Elig_MatchAll_Ct&lt;22,$BC985=(Elig_MatchAll_Ct-1),AH985=0),E985,0)</f>
        <v>0</v>
      </c>
      <c r="BK985" s="991">
        <f>IF(AND(Input_Product=Elig!$C985,Elig_MatchAll_Ct&lt;22,$BC985=(Elig_MatchAll_Ct-1),AI985=0),F985,0)</f>
        <v>0</v>
      </c>
      <c r="BL985" s="991">
        <f>IF(AND(Input_Product=Elig!$C985,Elig_MatchAll_Ct&lt;22,$BC985=(Elig_MatchAll_Ct-1),AJ985=0),G985,0)</f>
        <v>0</v>
      </c>
      <c r="BM985" s="991">
        <f>IF(AND(Input_Product=Elig!$C985,Elig_MatchAll_Ct&lt;22,$BC985=(Elig_MatchAll_Ct-1),AK985=0),H985,0)</f>
        <v>0</v>
      </c>
      <c r="BN985" s="991">
        <f>IF(AND(Input_Product=Elig!$C985,Elig_MatchAll_Ct&lt;22,$BC985=(Elig_MatchAll_Ct-1),AL985=0),I985,0)</f>
        <v>0</v>
      </c>
      <c r="BO985" s="991">
        <f>IF(AND(Input_Product=Elig!$C985,Elig_MatchAll_Ct&lt;22,$BC985=(Elig_MatchAll_Ct-1),AM985=0),J985,0)</f>
        <v>0</v>
      </c>
      <c r="BP985" s="991">
        <f>IF(AND(Input_Product=Elig!$C985,Elig_MatchAll_Ct&lt;22,$BC985=(Elig_MatchAll_Ct-1),AN985=0),K985,0)</f>
        <v>0</v>
      </c>
      <c r="BQ985" s="991">
        <f>IF(AND(Input_Product=Elig!$C985,Elig_MatchAll_Ct&lt;22,$BC985=(Elig_MatchAll_Ct-1),AP985=0),L985,0)</f>
        <v>0</v>
      </c>
      <c r="BR985" s="991">
        <f>IF(AND(Input_Product=Elig!$C985,Elig_MatchAll_Ct&lt;22,$BC985=(Elig_MatchAll_Ct-1),AO985=0),M985,0)</f>
        <v>0</v>
      </c>
      <c r="BS985" s="991">
        <f>IF(AND(Input_Product=Elig!$C985,Elig_MatchAll_Ct&lt;22,$BC985=(Elig_MatchAll_Ct-1),AQ985=0),N985,0)</f>
        <v>0</v>
      </c>
      <c r="BT985" s="991">
        <f>IF(AND(Input_Product=Elig!$C985,Elig_MatchAll_Ct&lt;22,$BC985=(Elig_MatchAll_Ct-1),AR985=0),O985,0)</f>
        <v>0</v>
      </c>
      <c r="BU985" s="991">
        <f>IF(AND(Input_Product=Elig!$C985,Elig_MatchAll_Ct&lt;22,$BC985=(Elig_MatchAll_Ct-1),AS985=0),P985,0)</f>
        <v>0</v>
      </c>
      <c r="BV985" s="992">
        <f>IF(AND(Input_Product=Elig!$C985,Elig_MatchAll_Ct&lt;22,$BC985=(Elig_MatchAll_Ct-1),AT985=0),Q985,0)</f>
        <v>0</v>
      </c>
      <c r="BW985" s="993">
        <f>IF(AND(Input_Product=Elig!$C985,Elig_MatchAll_Ct&lt;22,$BC985=(Elig_MatchAll_Ct-1),AU985=0),R985,0)</f>
        <v>0</v>
      </c>
      <c r="BX985" s="994">
        <f>IF(AND(Input_Product=Elig!$C985,Elig_MatchAll_Ct&lt;22,$BC985=(Elig_MatchAll_Ct-1),AU985=0),S985,0)</f>
        <v>0</v>
      </c>
      <c r="BY985" s="993">
        <f>IF(AND(Input_Product=Elig!$C985,Elig_MatchAll_Ct&lt;22,$BC985=(Elig_MatchAll_Ct-1),AV985=0),T985,0)</f>
        <v>0</v>
      </c>
      <c r="BZ985" s="994">
        <f>IF(AND(Input_Product=Elig!$C985,Elig_MatchAll_Ct&lt;22,$BC985=(Elig_MatchAll_Ct-1),AV985=0),U985,0)</f>
        <v>0</v>
      </c>
      <c r="CA985" s="993">
        <f>IF(AND(Input_Product=Elig!$C985,Elig_MatchAll_Ct&lt;22,$BC985=(Elig_MatchAll_Ct-1),AW985=0),V985,0)</f>
        <v>0</v>
      </c>
      <c r="CB985" s="994">
        <f>IF(AND(Input_Product=Elig!$C985,Elig_MatchAll_Ct&lt;22,$BC985=(Elig_MatchAll_Ct-1),AW985=0),W985,0)</f>
        <v>0</v>
      </c>
      <c r="CC985" s="993">
        <f>IF(AND(Input_Product=Elig!$C985,Elig_MatchAll_Ct&lt;22,$BC985=(Elig_MatchAll_Ct-1),AX985=0),X985,0)</f>
        <v>0</v>
      </c>
      <c r="CD985" s="994">
        <f>IF(AND(Input_Product=Elig!$C985,Elig_MatchAll_Ct&lt;22,$BC985=(Elig_MatchAll_Ct-1),AX985=0),Y985,0)</f>
        <v>0</v>
      </c>
      <c r="CE985" s="993">
        <f>IF(AND(Input_LTV&lt;=AE985,Input_Product=Elig!$C985,Elig_MatchAll_Ct&lt;22,$BC985=(Elig_MatchAll_Ct-1),AY985=0),Z985,0)</f>
        <v>0</v>
      </c>
      <c r="CF985" s="994">
        <f>IF(AND(Input_LTV&lt;=AE985,Input_Product=Elig!$C985,Elig_MatchAll_Ct&lt;22,$BC985=(Elig_MatchAll_Ct-1),AY985=0),AA985,0)</f>
        <v>0</v>
      </c>
      <c r="CG985" s="993">
        <f>IF(AND(Input_Product=Elig!$C985,Elig_MatchAll_Ct&lt;22,$BC985=(Elig_MatchAll_Ct-1),AZ985=0),AB985,0)</f>
        <v>0</v>
      </c>
      <c r="CH985" s="994">
        <f>IF(AND(Input_Product=Elig!$C985,Elig_MatchAll_Ct&lt;22,$BC985=(Elig_MatchAll_Ct-1),AZ985=0),AC985,0)</f>
        <v>0</v>
      </c>
      <c r="CI985" s="993">
        <f>IF(AND(Input_Product=Elig!$C985,Elig_MatchAll_Ct&lt;22,$BC985=(Elig_MatchAll_Ct-1),BA985=0),AD985,0)</f>
        <v>0</v>
      </c>
      <c r="CJ985" s="994">
        <f>IF(AND(Input_Product=Elig!$C985,Elig_MatchAll_Ct&lt;22,$BC985=(Elig_MatchAll_Ct-1),BA985=0),AE985,0)</f>
        <v>0</v>
      </c>
    </row>
    <row r="986" spans="2:88" ht="10.15" customHeight="1" x14ac:dyDescent="0.25">
      <c r="B986" s="1916" t="s">
        <v>2322</v>
      </c>
      <c r="C986" s="1213" t="str">
        <f t="shared" si="389"/>
        <v xml:space="preserve">  </v>
      </c>
      <c r="D986" s="1214" t="s">
        <v>2218</v>
      </c>
      <c r="E986" s="1214" t="s">
        <v>167</v>
      </c>
      <c r="F986" s="1214" t="s">
        <v>331</v>
      </c>
      <c r="G986" s="1215" t="s">
        <v>472</v>
      </c>
      <c r="H986" s="1215" t="s">
        <v>136</v>
      </c>
      <c r="I986" s="1214" t="s">
        <v>274</v>
      </c>
      <c r="J986" s="1214" t="s">
        <v>1311</v>
      </c>
      <c r="K986" s="1215" t="s">
        <v>3022</v>
      </c>
      <c r="L986" s="1214" t="s">
        <v>2768</v>
      </c>
      <c r="M986" s="1214" t="s">
        <v>2677</v>
      </c>
      <c r="N986" s="1215" t="s">
        <v>82</v>
      </c>
      <c r="O986" s="1214" t="s">
        <v>310</v>
      </c>
      <c r="P986" s="1214" t="s">
        <v>291</v>
      </c>
      <c r="Q986" s="1214" t="s">
        <v>294</v>
      </c>
      <c r="R986" s="1214">
        <v>2500000.0099999998</v>
      </c>
      <c r="S986" s="1214">
        <v>3000000</v>
      </c>
      <c r="T986" s="1214">
        <v>0</v>
      </c>
      <c r="U986" s="1214">
        <v>0</v>
      </c>
      <c r="V986" s="1214">
        <v>0</v>
      </c>
      <c r="W986" s="1214">
        <v>50</v>
      </c>
      <c r="X986" s="1214">
        <v>0</v>
      </c>
      <c r="Y986" s="1214">
        <v>999</v>
      </c>
      <c r="Z986" s="1216">
        <v>680</v>
      </c>
      <c r="AA986" s="1216">
        <v>699</v>
      </c>
      <c r="AB986" s="1216">
        <v>6</v>
      </c>
      <c r="AC986" s="1216">
        <v>999999</v>
      </c>
      <c r="AD986" s="1214">
        <v>0</v>
      </c>
      <c r="AE986" s="1217">
        <v>75</v>
      </c>
      <c r="AF986" s="170">
        <v>0</v>
      </c>
      <c r="AG986" s="171">
        <v>1</v>
      </c>
      <c r="AH986" s="171">
        <v>1</v>
      </c>
      <c r="AI986" s="171">
        <v>1</v>
      </c>
      <c r="AJ986" s="171">
        <v>0</v>
      </c>
      <c r="AK986" s="171">
        <v>1</v>
      </c>
      <c r="AL986" s="171">
        <v>0</v>
      </c>
      <c r="AM986" s="171">
        <v>1</v>
      </c>
      <c r="AN986" s="171">
        <v>1</v>
      </c>
      <c r="AO986" s="171">
        <v>1</v>
      </c>
      <c r="AP986" s="171">
        <v>1</v>
      </c>
      <c r="AQ986" s="171">
        <v>1</v>
      </c>
      <c r="AR986" s="171">
        <v>1</v>
      </c>
      <c r="AS986" s="171">
        <v>1</v>
      </c>
      <c r="AT986" s="171">
        <v>1</v>
      </c>
      <c r="AU986" s="171">
        <f t="shared" si="391"/>
        <v>0</v>
      </c>
      <c r="AV986" s="171">
        <f t="shared" si="392"/>
        <v>0</v>
      </c>
      <c r="AW986" s="171">
        <f t="shared" si="393"/>
        <v>1</v>
      </c>
      <c r="AX986" s="171">
        <f t="shared" si="388"/>
        <v>1</v>
      </c>
      <c r="AY986" s="171">
        <f t="shared" si="394"/>
        <v>0</v>
      </c>
      <c r="AZ986" s="171">
        <f t="shared" si="395"/>
        <v>1</v>
      </c>
      <c r="BA986" s="172">
        <f t="shared" si="396"/>
        <v>1</v>
      </c>
      <c r="BB986" s="175">
        <f t="shared" si="397"/>
        <v>16</v>
      </c>
      <c r="BC986" s="176">
        <f t="shared" si="398"/>
        <v>15</v>
      </c>
      <c r="BD986" s="176">
        <f t="shared" si="399"/>
        <v>16</v>
      </c>
      <c r="BE986" s="240" t="str">
        <f t="shared" si="390"/>
        <v/>
      </c>
      <c r="BF986" s="990"/>
      <c r="BG986" s="990"/>
      <c r="BH986" s="991">
        <f>IF(AND(Input_Product=Elig!$C986,Elig_MatchAll_Ct&lt;22,$BC986=(Elig_MatchAll_Ct-1),AF986=0),C986,0)</f>
        <v>0</v>
      </c>
      <c r="BI986" s="991">
        <f>IF(AND(Input_Product=Elig!$C986,Elig_MatchAll_Ct&lt;22,$BC986=(Elig_MatchAll_Ct-1),AG986=0),D986,0)</f>
        <v>0</v>
      </c>
      <c r="BJ986" s="991">
        <f>IF(AND(Input_Product=Elig!$C986,Elig_MatchAll_Ct&lt;22,$BC986=(Elig_MatchAll_Ct-1),AH986=0),E986,0)</f>
        <v>0</v>
      </c>
      <c r="BK986" s="991">
        <f>IF(AND(Input_Product=Elig!$C986,Elig_MatchAll_Ct&lt;22,$BC986=(Elig_MatchAll_Ct-1),AI986=0),F986,0)</f>
        <v>0</v>
      </c>
      <c r="BL986" s="991">
        <f>IF(AND(Input_Product=Elig!$C986,Elig_MatchAll_Ct&lt;22,$BC986=(Elig_MatchAll_Ct-1),AJ986=0),G986,0)</f>
        <v>0</v>
      </c>
      <c r="BM986" s="991">
        <f>IF(AND(Input_Product=Elig!$C986,Elig_MatchAll_Ct&lt;22,$BC986=(Elig_MatchAll_Ct-1),AK986=0),H986,0)</f>
        <v>0</v>
      </c>
      <c r="BN986" s="991">
        <f>IF(AND(Input_Product=Elig!$C986,Elig_MatchAll_Ct&lt;22,$BC986=(Elig_MatchAll_Ct-1),AL986=0),I986,0)</f>
        <v>0</v>
      </c>
      <c r="BO986" s="991">
        <f>IF(AND(Input_Product=Elig!$C986,Elig_MatchAll_Ct&lt;22,$BC986=(Elig_MatchAll_Ct-1),AM986=0),J986,0)</f>
        <v>0</v>
      </c>
      <c r="BP986" s="991">
        <f>IF(AND(Input_Product=Elig!$C986,Elig_MatchAll_Ct&lt;22,$BC986=(Elig_MatchAll_Ct-1),AN986=0),K986,0)</f>
        <v>0</v>
      </c>
      <c r="BQ986" s="991">
        <f>IF(AND(Input_Product=Elig!$C986,Elig_MatchAll_Ct&lt;22,$BC986=(Elig_MatchAll_Ct-1),AP986=0),L986,0)</f>
        <v>0</v>
      </c>
      <c r="BR986" s="991">
        <f>IF(AND(Input_Product=Elig!$C986,Elig_MatchAll_Ct&lt;22,$BC986=(Elig_MatchAll_Ct-1),AO986=0),M986,0)</f>
        <v>0</v>
      </c>
      <c r="BS986" s="991">
        <f>IF(AND(Input_Product=Elig!$C986,Elig_MatchAll_Ct&lt;22,$BC986=(Elig_MatchAll_Ct-1),AQ986=0),N986,0)</f>
        <v>0</v>
      </c>
      <c r="BT986" s="991">
        <f>IF(AND(Input_Product=Elig!$C986,Elig_MatchAll_Ct&lt;22,$BC986=(Elig_MatchAll_Ct-1),AR986=0),O986,0)</f>
        <v>0</v>
      </c>
      <c r="BU986" s="991">
        <f>IF(AND(Input_Product=Elig!$C986,Elig_MatchAll_Ct&lt;22,$BC986=(Elig_MatchAll_Ct-1),AS986=0),P986,0)</f>
        <v>0</v>
      </c>
      <c r="BV986" s="992">
        <f>IF(AND(Input_Product=Elig!$C986,Elig_MatchAll_Ct&lt;22,$BC986=(Elig_MatchAll_Ct-1),AT986=0),Q986,0)</f>
        <v>0</v>
      </c>
      <c r="BW986" s="993">
        <f>IF(AND(Input_Product=Elig!$C986,Elig_MatchAll_Ct&lt;22,$BC986=(Elig_MatchAll_Ct-1),AU986=0),R986,0)</f>
        <v>0</v>
      </c>
      <c r="BX986" s="994">
        <f>IF(AND(Input_Product=Elig!$C986,Elig_MatchAll_Ct&lt;22,$BC986=(Elig_MatchAll_Ct-1),AU986=0),S986,0)</f>
        <v>0</v>
      </c>
      <c r="BY986" s="993">
        <f>IF(AND(Input_Product=Elig!$C986,Elig_MatchAll_Ct&lt;22,$BC986=(Elig_MatchAll_Ct-1),AV986=0),T986,0)</f>
        <v>0</v>
      </c>
      <c r="BZ986" s="994">
        <f>IF(AND(Input_Product=Elig!$C986,Elig_MatchAll_Ct&lt;22,$BC986=(Elig_MatchAll_Ct-1),AV986=0),U986,0)</f>
        <v>0</v>
      </c>
      <c r="CA986" s="993">
        <f>IF(AND(Input_Product=Elig!$C986,Elig_MatchAll_Ct&lt;22,$BC986=(Elig_MatchAll_Ct-1),AW986=0),V986,0)</f>
        <v>0</v>
      </c>
      <c r="CB986" s="994">
        <f>IF(AND(Input_Product=Elig!$C986,Elig_MatchAll_Ct&lt;22,$BC986=(Elig_MatchAll_Ct-1),AW986=0),W986,0)</f>
        <v>0</v>
      </c>
      <c r="CC986" s="993">
        <f>IF(AND(Input_Product=Elig!$C986,Elig_MatchAll_Ct&lt;22,$BC986=(Elig_MatchAll_Ct-1),AX986=0),X986,0)</f>
        <v>0</v>
      </c>
      <c r="CD986" s="994">
        <f>IF(AND(Input_Product=Elig!$C986,Elig_MatchAll_Ct&lt;22,$BC986=(Elig_MatchAll_Ct-1),AX986=0),Y986,0)</f>
        <v>0</v>
      </c>
      <c r="CE986" s="993">
        <f>IF(AND(Input_LTV&lt;=AE986,Input_Product=Elig!$C986,Elig_MatchAll_Ct&lt;22,$BC986=(Elig_MatchAll_Ct-1),AY986=0),Z986,0)</f>
        <v>0</v>
      </c>
      <c r="CF986" s="994">
        <f>IF(AND(Input_LTV&lt;=AE986,Input_Product=Elig!$C986,Elig_MatchAll_Ct&lt;22,$BC986=(Elig_MatchAll_Ct-1),AY986=0),AA986,0)</f>
        <v>0</v>
      </c>
      <c r="CG986" s="993">
        <f>IF(AND(Input_Product=Elig!$C986,Elig_MatchAll_Ct&lt;22,$BC986=(Elig_MatchAll_Ct-1),AZ986=0),AB986,0)</f>
        <v>0</v>
      </c>
      <c r="CH986" s="994">
        <f>IF(AND(Input_Product=Elig!$C986,Elig_MatchAll_Ct&lt;22,$BC986=(Elig_MatchAll_Ct-1),AZ986=0),AC986,0)</f>
        <v>0</v>
      </c>
      <c r="CI986" s="993">
        <f>IF(AND(Input_Product=Elig!$C986,Elig_MatchAll_Ct&lt;22,$BC986=(Elig_MatchAll_Ct-1),BA986=0),AD986,0)</f>
        <v>0</v>
      </c>
      <c r="CJ986" s="994">
        <f>IF(AND(Input_Product=Elig!$C986,Elig_MatchAll_Ct&lt;22,$BC986=(Elig_MatchAll_Ct-1),BA986=0),AE986,0)</f>
        <v>0</v>
      </c>
    </row>
    <row r="987" spans="2:88" ht="10.15" customHeight="1" x14ac:dyDescent="0.25">
      <c r="B987" s="1916" t="s">
        <v>2323</v>
      </c>
      <c r="C987" s="1203" t="str">
        <f t="shared" si="389"/>
        <v xml:space="preserve">  </v>
      </c>
      <c r="D987" s="1204" t="s">
        <v>2218</v>
      </c>
      <c r="E987" s="1204" t="s">
        <v>167</v>
      </c>
      <c r="F987" s="1204" t="s">
        <v>331</v>
      </c>
      <c r="G987" s="1205" t="s">
        <v>303</v>
      </c>
      <c r="H987" s="1205" t="s">
        <v>136</v>
      </c>
      <c r="I987" s="1204" t="s">
        <v>16</v>
      </c>
      <c r="J987" s="1204" t="s">
        <v>1311</v>
      </c>
      <c r="K987" s="1205" t="s">
        <v>3022</v>
      </c>
      <c r="L987" s="1204" t="s">
        <v>2768</v>
      </c>
      <c r="M987" s="1204" t="s">
        <v>2677</v>
      </c>
      <c r="N987" s="1205" t="s">
        <v>82</v>
      </c>
      <c r="O987" s="1204" t="s">
        <v>310</v>
      </c>
      <c r="P987" s="1204" t="s">
        <v>291</v>
      </c>
      <c r="Q987" s="1204" t="s">
        <v>294</v>
      </c>
      <c r="R987" s="1204">
        <v>125000</v>
      </c>
      <c r="S987" s="1204">
        <v>1000000</v>
      </c>
      <c r="T987" s="1204">
        <v>0</v>
      </c>
      <c r="U987" s="1204">
        <f>S987</f>
        <v>1000000</v>
      </c>
      <c r="V987" s="1204">
        <v>0</v>
      </c>
      <c r="W987" s="1204">
        <v>50</v>
      </c>
      <c r="X987" s="1204">
        <v>0</v>
      </c>
      <c r="Y987" s="1204">
        <v>999</v>
      </c>
      <c r="Z987" s="1206">
        <v>720</v>
      </c>
      <c r="AA987" s="1206">
        <v>999</v>
      </c>
      <c r="AB987" s="1206">
        <v>3</v>
      </c>
      <c r="AC987" s="1206">
        <v>999999</v>
      </c>
      <c r="AD987" s="1204">
        <v>0</v>
      </c>
      <c r="AE987" s="1207">
        <v>80</v>
      </c>
      <c r="AF987" s="170">
        <v>0</v>
      </c>
      <c r="AG987" s="171">
        <v>1</v>
      </c>
      <c r="AH987" s="171">
        <v>1</v>
      </c>
      <c r="AI987" s="171">
        <v>1</v>
      </c>
      <c r="AJ987" s="171">
        <v>1</v>
      </c>
      <c r="AK987" s="171">
        <v>1</v>
      </c>
      <c r="AL987" s="171">
        <v>1</v>
      </c>
      <c r="AM987" s="171">
        <v>1</v>
      </c>
      <c r="AN987" s="171">
        <v>1</v>
      </c>
      <c r="AO987" s="171">
        <v>1</v>
      </c>
      <c r="AP987" s="171">
        <v>1</v>
      </c>
      <c r="AQ987" s="171">
        <v>1</v>
      </c>
      <c r="AR987" s="171">
        <v>1</v>
      </c>
      <c r="AS987" s="171">
        <v>1</v>
      </c>
      <c r="AT987" s="171">
        <v>1</v>
      </c>
      <c r="AU987" s="171">
        <f t="shared" si="391"/>
        <v>1</v>
      </c>
      <c r="AV987" s="171">
        <f t="shared" si="392"/>
        <v>1</v>
      </c>
      <c r="AW987" s="171">
        <f t="shared" si="393"/>
        <v>1</v>
      </c>
      <c r="AX987" s="171">
        <f t="shared" si="388"/>
        <v>1</v>
      </c>
      <c r="AY987" s="171">
        <f t="shared" si="394"/>
        <v>1</v>
      </c>
      <c r="AZ987" s="171">
        <f t="shared" si="395"/>
        <v>1</v>
      </c>
      <c r="BA987" s="172">
        <f t="shared" si="396"/>
        <v>1</v>
      </c>
      <c r="BB987" s="175">
        <f t="shared" si="397"/>
        <v>21</v>
      </c>
      <c r="BC987" s="176">
        <f t="shared" si="398"/>
        <v>20</v>
      </c>
      <c r="BD987" s="176">
        <f t="shared" si="399"/>
        <v>21</v>
      </c>
      <c r="BE987" s="240" t="str">
        <f t="shared" si="390"/>
        <v xml:space="preserve">  </v>
      </c>
      <c r="BF987" s="990"/>
      <c r="BG987" s="990"/>
      <c r="BH987" s="991">
        <f>IF(AND(Input_Product=Elig!$C987,Elig_MatchAll_Ct&lt;22,$BC987=(Elig_MatchAll_Ct-1),AF987=0),C987,0)</f>
        <v>0</v>
      </c>
      <c r="BI987" s="991">
        <f>IF(AND(Input_Product=Elig!$C987,Elig_MatchAll_Ct&lt;22,$BC987=(Elig_MatchAll_Ct-1),AG987=0),D987,0)</f>
        <v>0</v>
      </c>
      <c r="BJ987" s="991">
        <f>IF(AND(Input_Product=Elig!$C987,Elig_MatchAll_Ct&lt;22,$BC987=(Elig_MatchAll_Ct-1),AH987=0),E987,0)</f>
        <v>0</v>
      </c>
      <c r="BK987" s="991">
        <f>IF(AND(Input_Product=Elig!$C987,Elig_MatchAll_Ct&lt;22,$BC987=(Elig_MatchAll_Ct-1),AI987=0),F987,0)</f>
        <v>0</v>
      </c>
      <c r="BL987" s="991">
        <f>IF(AND(Input_Product=Elig!$C987,Elig_MatchAll_Ct&lt;22,$BC987=(Elig_MatchAll_Ct-1),AJ987=0),G987,0)</f>
        <v>0</v>
      </c>
      <c r="BM987" s="991">
        <f>IF(AND(Input_Product=Elig!$C987,Elig_MatchAll_Ct&lt;22,$BC987=(Elig_MatchAll_Ct-1),AK987=0),H987,0)</f>
        <v>0</v>
      </c>
      <c r="BN987" s="991">
        <f>IF(AND(Input_Product=Elig!$C987,Elig_MatchAll_Ct&lt;22,$BC987=(Elig_MatchAll_Ct-1),AL987=0),I987,0)</f>
        <v>0</v>
      </c>
      <c r="BO987" s="991">
        <f>IF(AND(Input_Product=Elig!$C987,Elig_MatchAll_Ct&lt;22,$BC987=(Elig_MatchAll_Ct-1),AM987=0),J987,0)</f>
        <v>0</v>
      </c>
      <c r="BP987" s="991">
        <f>IF(AND(Input_Product=Elig!$C987,Elig_MatchAll_Ct&lt;22,$BC987=(Elig_MatchAll_Ct-1),AN987=0),K987,0)</f>
        <v>0</v>
      </c>
      <c r="BQ987" s="991">
        <f>IF(AND(Input_Product=Elig!$C987,Elig_MatchAll_Ct&lt;22,$BC987=(Elig_MatchAll_Ct-1),AP987=0),L987,0)</f>
        <v>0</v>
      </c>
      <c r="BR987" s="991">
        <f>IF(AND(Input_Product=Elig!$C987,Elig_MatchAll_Ct&lt;22,$BC987=(Elig_MatchAll_Ct-1),AO987=0),M987,0)</f>
        <v>0</v>
      </c>
      <c r="BS987" s="991">
        <f>IF(AND(Input_Product=Elig!$C987,Elig_MatchAll_Ct&lt;22,$BC987=(Elig_MatchAll_Ct-1),AQ987=0),N987,0)</f>
        <v>0</v>
      </c>
      <c r="BT987" s="991">
        <f>IF(AND(Input_Product=Elig!$C987,Elig_MatchAll_Ct&lt;22,$BC987=(Elig_MatchAll_Ct-1),AR987=0),O987,0)</f>
        <v>0</v>
      </c>
      <c r="BU987" s="991">
        <f>IF(AND(Input_Product=Elig!$C987,Elig_MatchAll_Ct&lt;22,$BC987=(Elig_MatchAll_Ct-1),AS987=0),P987,0)</f>
        <v>0</v>
      </c>
      <c r="BV987" s="992">
        <f>IF(AND(Input_Product=Elig!$C987,Elig_MatchAll_Ct&lt;22,$BC987=(Elig_MatchAll_Ct-1),AT987=0),Q987,0)</f>
        <v>0</v>
      </c>
      <c r="BW987" s="993">
        <f>IF(AND(Input_Product=Elig!$C987,Elig_MatchAll_Ct&lt;22,$BC987=(Elig_MatchAll_Ct-1),AU987=0),R987,0)</f>
        <v>0</v>
      </c>
      <c r="BX987" s="994">
        <f>IF(AND(Input_Product=Elig!$C987,Elig_MatchAll_Ct&lt;22,$BC987=(Elig_MatchAll_Ct-1),AU987=0),S987,0)</f>
        <v>0</v>
      </c>
      <c r="BY987" s="993">
        <f>IF(AND(Input_Product=Elig!$C987,Elig_MatchAll_Ct&lt;22,$BC987=(Elig_MatchAll_Ct-1),AV987=0),T987,0)</f>
        <v>0</v>
      </c>
      <c r="BZ987" s="994">
        <f>IF(AND(Input_Product=Elig!$C987,Elig_MatchAll_Ct&lt;22,$BC987=(Elig_MatchAll_Ct-1),AV987=0),U987,0)</f>
        <v>0</v>
      </c>
      <c r="CA987" s="993">
        <f>IF(AND(Input_Product=Elig!$C987,Elig_MatchAll_Ct&lt;22,$BC987=(Elig_MatchAll_Ct-1),AW987=0),V987,0)</f>
        <v>0</v>
      </c>
      <c r="CB987" s="994">
        <f>IF(AND(Input_Product=Elig!$C987,Elig_MatchAll_Ct&lt;22,$BC987=(Elig_MatchAll_Ct-1),AW987=0),W987,0)</f>
        <v>0</v>
      </c>
      <c r="CC987" s="993">
        <f>IF(AND(Input_Product=Elig!$C987,Elig_MatchAll_Ct&lt;22,$BC987=(Elig_MatchAll_Ct-1),AX987=0),X987,0)</f>
        <v>0</v>
      </c>
      <c r="CD987" s="994">
        <f>IF(AND(Input_Product=Elig!$C987,Elig_MatchAll_Ct&lt;22,$BC987=(Elig_MatchAll_Ct-1),AX987=0),Y987,0)</f>
        <v>0</v>
      </c>
      <c r="CE987" s="993">
        <f>IF(AND(Input_LTV&lt;=AE987,Input_Product=Elig!$C987,Elig_MatchAll_Ct&lt;22,$BC987=(Elig_MatchAll_Ct-1),AY987=0),Z987,0)</f>
        <v>0</v>
      </c>
      <c r="CF987" s="994">
        <f>IF(AND(Input_LTV&lt;=AE987,Input_Product=Elig!$C987,Elig_MatchAll_Ct&lt;22,$BC987=(Elig_MatchAll_Ct-1),AY987=0),AA987,0)</f>
        <v>0</v>
      </c>
      <c r="CG987" s="993">
        <f>IF(AND(Input_Product=Elig!$C987,Elig_MatchAll_Ct&lt;22,$BC987=(Elig_MatchAll_Ct-1),AZ987=0),AB987,0)</f>
        <v>0</v>
      </c>
      <c r="CH987" s="994">
        <f>IF(AND(Input_Product=Elig!$C987,Elig_MatchAll_Ct&lt;22,$BC987=(Elig_MatchAll_Ct-1),AZ987=0),AC987,0)</f>
        <v>0</v>
      </c>
      <c r="CI987" s="993">
        <f>IF(AND(Input_Product=Elig!$C987,Elig_MatchAll_Ct&lt;22,$BC987=(Elig_MatchAll_Ct-1),BA987=0),AD987,0)</f>
        <v>0</v>
      </c>
      <c r="CJ987" s="994">
        <f>IF(AND(Input_Product=Elig!$C987,Elig_MatchAll_Ct&lt;22,$BC987=(Elig_MatchAll_Ct-1),BA987=0),AE987,0)</f>
        <v>0</v>
      </c>
    </row>
    <row r="988" spans="2:88" ht="10.15" customHeight="1" x14ac:dyDescent="0.25">
      <c r="B988" s="1916" t="s">
        <v>2324</v>
      </c>
      <c r="C988" s="1208" t="str">
        <f t="shared" si="389"/>
        <v xml:space="preserve">  </v>
      </c>
      <c r="D988" s="1209" t="s">
        <v>2218</v>
      </c>
      <c r="E988" s="1209" t="s">
        <v>167</v>
      </c>
      <c r="F988" s="1209" t="s">
        <v>331</v>
      </c>
      <c r="G988" s="1210" t="s">
        <v>303</v>
      </c>
      <c r="H988" s="1210" t="s">
        <v>136</v>
      </c>
      <c r="I988" s="1209" t="s">
        <v>16</v>
      </c>
      <c r="J988" s="1209" t="s">
        <v>1311</v>
      </c>
      <c r="K988" s="1210" t="s">
        <v>3022</v>
      </c>
      <c r="L988" s="1209" t="s">
        <v>2768</v>
      </c>
      <c r="M988" s="1209" t="s">
        <v>2677</v>
      </c>
      <c r="N988" s="1210" t="s">
        <v>82</v>
      </c>
      <c r="O988" s="1209" t="s">
        <v>310</v>
      </c>
      <c r="P988" s="1209" t="s">
        <v>291</v>
      </c>
      <c r="Q988" s="1209" t="s">
        <v>294</v>
      </c>
      <c r="R988" s="1209">
        <v>125000</v>
      </c>
      <c r="S988" s="1209">
        <v>1000000</v>
      </c>
      <c r="T988" s="1209">
        <v>0</v>
      </c>
      <c r="U988" s="1209">
        <f t="shared" ref="U988:U1069" si="400">S988</f>
        <v>1000000</v>
      </c>
      <c r="V988" s="1209">
        <v>0</v>
      </c>
      <c r="W988" s="1209">
        <v>50</v>
      </c>
      <c r="X988" s="1209">
        <v>0</v>
      </c>
      <c r="Y988" s="1209">
        <v>999</v>
      </c>
      <c r="Z988" s="1211">
        <v>700</v>
      </c>
      <c r="AA988" s="1211">
        <v>719</v>
      </c>
      <c r="AB988" s="1211">
        <v>3</v>
      </c>
      <c r="AC988" s="1211">
        <v>999999</v>
      </c>
      <c r="AD988" s="1209">
        <v>0</v>
      </c>
      <c r="AE988" s="1212">
        <v>80</v>
      </c>
      <c r="AF988" s="170">
        <v>0</v>
      </c>
      <c r="AG988" s="171">
        <v>1</v>
      </c>
      <c r="AH988" s="171">
        <v>1</v>
      </c>
      <c r="AI988" s="171">
        <v>1</v>
      </c>
      <c r="AJ988" s="171">
        <v>1</v>
      </c>
      <c r="AK988" s="171">
        <v>1</v>
      </c>
      <c r="AL988" s="171">
        <v>1</v>
      </c>
      <c r="AM988" s="171">
        <v>1</v>
      </c>
      <c r="AN988" s="171">
        <v>1</v>
      </c>
      <c r="AO988" s="171">
        <v>1</v>
      </c>
      <c r="AP988" s="171">
        <v>1</v>
      </c>
      <c r="AQ988" s="171">
        <v>1</v>
      </c>
      <c r="AR988" s="171">
        <v>1</v>
      </c>
      <c r="AS988" s="171">
        <v>1</v>
      </c>
      <c r="AT988" s="171">
        <v>1</v>
      </c>
      <c r="AU988" s="171">
        <f t="shared" si="391"/>
        <v>1</v>
      </c>
      <c r="AV988" s="171">
        <f t="shared" si="392"/>
        <v>1</v>
      </c>
      <c r="AW988" s="171">
        <f t="shared" si="393"/>
        <v>1</v>
      </c>
      <c r="AX988" s="171">
        <f t="shared" si="388"/>
        <v>1</v>
      </c>
      <c r="AY988" s="171">
        <f t="shared" si="394"/>
        <v>0</v>
      </c>
      <c r="AZ988" s="171">
        <f t="shared" si="395"/>
        <v>1</v>
      </c>
      <c r="BA988" s="172">
        <f t="shared" si="396"/>
        <v>1</v>
      </c>
      <c r="BB988" s="175">
        <f t="shared" si="397"/>
        <v>20</v>
      </c>
      <c r="BC988" s="176">
        <f t="shared" si="398"/>
        <v>19</v>
      </c>
      <c r="BD988" s="176">
        <f t="shared" si="399"/>
        <v>20</v>
      </c>
      <c r="BE988" s="240" t="str">
        <f t="shared" si="390"/>
        <v/>
      </c>
      <c r="BF988" s="990"/>
      <c r="BG988" s="990"/>
      <c r="BH988" s="991">
        <f>IF(AND(Input_Product=Elig!$C988,Elig_MatchAll_Ct&lt;22,$BC988=(Elig_MatchAll_Ct-1),AF988=0),C988,0)</f>
        <v>0</v>
      </c>
      <c r="BI988" s="991">
        <f>IF(AND(Input_Product=Elig!$C988,Elig_MatchAll_Ct&lt;22,$BC988=(Elig_MatchAll_Ct-1),AG988=0),D988,0)</f>
        <v>0</v>
      </c>
      <c r="BJ988" s="991">
        <f>IF(AND(Input_Product=Elig!$C988,Elig_MatchAll_Ct&lt;22,$BC988=(Elig_MatchAll_Ct-1),AH988=0),E988,0)</f>
        <v>0</v>
      </c>
      <c r="BK988" s="991">
        <f>IF(AND(Input_Product=Elig!$C988,Elig_MatchAll_Ct&lt;22,$BC988=(Elig_MatchAll_Ct-1),AI988=0),F988,0)</f>
        <v>0</v>
      </c>
      <c r="BL988" s="991">
        <f>IF(AND(Input_Product=Elig!$C988,Elig_MatchAll_Ct&lt;22,$BC988=(Elig_MatchAll_Ct-1),AJ988=0),G988,0)</f>
        <v>0</v>
      </c>
      <c r="BM988" s="991">
        <f>IF(AND(Input_Product=Elig!$C988,Elig_MatchAll_Ct&lt;22,$BC988=(Elig_MatchAll_Ct-1),AK988=0),H988,0)</f>
        <v>0</v>
      </c>
      <c r="BN988" s="991">
        <f>IF(AND(Input_Product=Elig!$C988,Elig_MatchAll_Ct&lt;22,$BC988=(Elig_MatchAll_Ct-1),AL988=0),I988,0)</f>
        <v>0</v>
      </c>
      <c r="BO988" s="991">
        <f>IF(AND(Input_Product=Elig!$C988,Elig_MatchAll_Ct&lt;22,$BC988=(Elig_MatchAll_Ct-1),AM988=0),J988,0)</f>
        <v>0</v>
      </c>
      <c r="BP988" s="991">
        <f>IF(AND(Input_Product=Elig!$C988,Elig_MatchAll_Ct&lt;22,$BC988=(Elig_MatchAll_Ct-1),AN988=0),K988,0)</f>
        <v>0</v>
      </c>
      <c r="BQ988" s="991">
        <f>IF(AND(Input_Product=Elig!$C988,Elig_MatchAll_Ct&lt;22,$BC988=(Elig_MatchAll_Ct-1),AP988=0),L988,0)</f>
        <v>0</v>
      </c>
      <c r="BR988" s="991">
        <f>IF(AND(Input_Product=Elig!$C988,Elig_MatchAll_Ct&lt;22,$BC988=(Elig_MatchAll_Ct-1),AO988=0),M988,0)</f>
        <v>0</v>
      </c>
      <c r="BS988" s="991">
        <f>IF(AND(Input_Product=Elig!$C988,Elig_MatchAll_Ct&lt;22,$BC988=(Elig_MatchAll_Ct-1),AQ988=0),N988,0)</f>
        <v>0</v>
      </c>
      <c r="BT988" s="991">
        <f>IF(AND(Input_Product=Elig!$C988,Elig_MatchAll_Ct&lt;22,$BC988=(Elig_MatchAll_Ct-1),AR988=0),O988,0)</f>
        <v>0</v>
      </c>
      <c r="BU988" s="991">
        <f>IF(AND(Input_Product=Elig!$C988,Elig_MatchAll_Ct&lt;22,$BC988=(Elig_MatchAll_Ct-1),AS988=0),P988,0)</f>
        <v>0</v>
      </c>
      <c r="BV988" s="992">
        <f>IF(AND(Input_Product=Elig!$C988,Elig_MatchAll_Ct&lt;22,$BC988=(Elig_MatchAll_Ct-1),AT988=0),Q988,0)</f>
        <v>0</v>
      </c>
      <c r="BW988" s="993">
        <f>IF(AND(Input_Product=Elig!$C988,Elig_MatchAll_Ct&lt;22,$BC988=(Elig_MatchAll_Ct-1),AU988=0),R988,0)</f>
        <v>0</v>
      </c>
      <c r="BX988" s="994">
        <f>IF(AND(Input_Product=Elig!$C988,Elig_MatchAll_Ct&lt;22,$BC988=(Elig_MatchAll_Ct-1),AU988=0),S988,0)</f>
        <v>0</v>
      </c>
      <c r="BY988" s="993">
        <f>IF(AND(Input_Product=Elig!$C988,Elig_MatchAll_Ct&lt;22,$BC988=(Elig_MatchAll_Ct-1),AV988=0),T988,0)</f>
        <v>0</v>
      </c>
      <c r="BZ988" s="994">
        <f>IF(AND(Input_Product=Elig!$C988,Elig_MatchAll_Ct&lt;22,$BC988=(Elig_MatchAll_Ct-1),AV988=0),U988,0)</f>
        <v>0</v>
      </c>
      <c r="CA988" s="993">
        <f>IF(AND(Input_Product=Elig!$C988,Elig_MatchAll_Ct&lt;22,$BC988=(Elig_MatchAll_Ct-1),AW988=0),V988,0)</f>
        <v>0</v>
      </c>
      <c r="CB988" s="994">
        <f>IF(AND(Input_Product=Elig!$C988,Elig_MatchAll_Ct&lt;22,$BC988=(Elig_MatchAll_Ct-1),AW988=0),W988,0)</f>
        <v>0</v>
      </c>
      <c r="CC988" s="993">
        <f>IF(AND(Input_Product=Elig!$C988,Elig_MatchAll_Ct&lt;22,$BC988=(Elig_MatchAll_Ct-1),AX988=0),X988,0)</f>
        <v>0</v>
      </c>
      <c r="CD988" s="994">
        <f>IF(AND(Input_Product=Elig!$C988,Elig_MatchAll_Ct&lt;22,$BC988=(Elig_MatchAll_Ct-1),AX988=0),Y988,0)</f>
        <v>0</v>
      </c>
      <c r="CE988" s="993">
        <f>IF(AND(Input_LTV&lt;=AE988,Input_Product=Elig!$C988,Elig_MatchAll_Ct&lt;22,$BC988=(Elig_MatchAll_Ct-1),AY988=0),Z988,0)</f>
        <v>0</v>
      </c>
      <c r="CF988" s="994">
        <f>IF(AND(Input_LTV&lt;=AE988,Input_Product=Elig!$C988,Elig_MatchAll_Ct&lt;22,$BC988=(Elig_MatchAll_Ct-1),AY988=0),AA988,0)</f>
        <v>0</v>
      </c>
      <c r="CG988" s="993">
        <f>IF(AND(Input_Product=Elig!$C988,Elig_MatchAll_Ct&lt;22,$BC988=(Elig_MatchAll_Ct-1),AZ988=0),AB988,0)</f>
        <v>0</v>
      </c>
      <c r="CH988" s="994">
        <f>IF(AND(Input_Product=Elig!$C988,Elig_MatchAll_Ct&lt;22,$BC988=(Elig_MatchAll_Ct-1),AZ988=0),AC988,0)</f>
        <v>0</v>
      </c>
      <c r="CI988" s="993">
        <f>IF(AND(Input_Product=Elig!$C988,Elig_MatchAll_Ct&lt;22,$BC988=(Elig_MatchAll_Ct-1),BA988=0),AD988,0)</f>
        <v>0</v>
      </c>
      <c r="CJ988" s="994">
        <f>IF(AND(Input_Product=Elig!$C988,Elig_MatchAll_Ct&lt;22,$BC988=(Elig_MatchAll_Ct-1),BA988=0),AE988,0)</f>
        <v>0</v>
      </c>
    </row>
    <row r="989" spans="2:88" ht="10.15" customHeight="1" x14ac:dyDescent="0.25">
      <c r="B989" s="1916" t="s">
        <v>2325</v>
      </c>
      <c r="C989" s="1208" t="str">
        <f t="shared" si="389"/>
        <v xml:space="preserve">  </v>
      </c>
      <c r="D989" s="1209" t="s">
        <v>2218</v>
      </c>
      <c r="E989" s="1209" t="s">
        <v>167</v>
      </c>
      <c r="F989" s="1209" t="s">
        <v>331</v>
      </c>
      <c r="G989" s="1210" t="s">
        <v>303</v>
      </c>
      <c r="H989" s="1210" t="s">
        <v>136</v>
      </c>
      <c r="I989" s="1209" t="s">
        <v>16</v>
      </c>
      <c r="J989" s="1209" t="s">
        <v>1311</v>
      </c>
      <c r="K989" s="1210" t="s">
        <v>3022</v>
      </c>
      <c r="L989" s="1209" t="s">
        <v>2768</v>
      </c>
      <c r="M989" s="1209" t="s">
        <v>2677</v>
      </c>
      <c r="N989" s="1210" t="s">
        <v>82</v>
      </c>
      <c r="O989" s="1209" t="s">
        <v>310</v>
      </c>
      <c r="P989" s="1209" t="s">
        <v>291</v>
      </c>
      <c r="Q989" s="1209" t="s">
        <v>294</v>
      </c>
      <c r="R989" s="1209">
        <v>125000</v>
      </c>
      <c r="S989" s="1209">
        <v>1000000</v>
      </c>
      <c r="T989" s="1209">
        <v>0</v>
      </c>
      <c r="U989" s="1209">
        <f t="shared" si="400"/>
        <v>1000000</v>
      </c>
      <c r="V989" s="1209">
        <v>0</v>
      </c>
      <c r="W989" s="1209">
        <v>50</v>
      </c>
      <c r="X989" s="1209">
        <v>0</v>
      </c>
      <c r="Y989" s="1209">
        <v>999</v>
      </c>
      <c r="Z989" s="1211">
        <v>680</v>
      </c>
      <c r="AA989" s="1211">
        <v>699</v>
      </c>
      <c r="AB989" s="1211">
        <v>3</v>
      </c>
      <c r="AC989" s="1211">
        <v>999999</v>
      </c>
      <c r="AD989" s="1209">
        <v>0</v>
      </c>
      <c r="AE989" s="1212">
        <v>75</v>
      </c>
      <c r="AF989" s="170">
        <v>0</v>
      </c>
      <c r="AG989" s="171">
        <v>1</v>
      </c>
      <c r="AH989" s="171">
        <v>1</v>
      </c>
      <c r="AI989" s="171">
        <v>1</v>
      </c>
      <c r="AJ989" s="171">
        <v>1</v>
      </c>
      <c r="AK989" s="171">
        <v>1</v>
      </c>
      <c r="AL989" s="171">
        <v>1</v>
      </c>
      <c r="AM989" s="171">
        <v>1</v>
      </c>
      <c r="AN989" s="171">
        <v>1</v>
      </c>
      <c r="AO989" s="171">
        <v>1</v>
      </c>
      <c r="AP989" s="171">
        <v>1</v>
      </c>
      <c r="AQ989" s="171">
        <v>1</v>
      </c>
      <c r="AR989" s="171">
        <v>1</v>
      </c>
      <c r="AS989" s="171">
        <v>1</v>
      </c>
      <c r="AT989" s="171">
        <v>1</v>
      </c>
      <c r="AU989" s="171">
        <f t="shared" si="391"/>
        <v>1</v>
      </c>
      <c r="AV989" s="171">
        <f t="shared" si="392"/>
        <v>1</v>
      </c>
      <c r="AW989" s="171">
        <f t="shared" si="393"/>
        <v>1</v>
      </c>
      <c r="AX989" s="171">
        <f t="shared" si="388"/>
        <v>1</v>
      </c>
      <c r="AY989" s="171">
        <f t="shared" si="394"/>
        <v>0</v>
      </c>
      <c r="AZ989" s="171">
        <f t="shared" si="395"/>
        <v>1</v>
      </c>
      <c r="BA989" s="172">
        <f t="shared" si="396"/>
        <v>1</v>
      </c>
      <c r="BB989" s="175">
        <f t="shared" si="397"/>
        <v>20</v>
      </c>
      <c r="BC989" s="176">
        <f t="shared" si="398"/>
        <v>19</v>
      </c>
      <c r="BD989" s="176">
        <f t="shared" si="399"/>
        <v>20</v>
      </c>
      <c r="BE989" s="240" t="str">
        <f t="shared" si="390"/>
        <v/>
      </c>
      <c r="BF989" s="990"/>
      <c r="BG989" s="990"/>
      <c r="BH989" s="991">
        <f>IF(AND(Input_Product=Elig!$C989,Elig_MatchAll_Ct&lt;22,$BC989=(Elig_MatchAll_Ct-1),AF989=0),C989,0)</f>
        <v>0</v>
      </c>
      <c r="BI989" s="991">
        <f>IF(AND(Input_Product=Elig!$C989,Elig_MatchAll_Ct&lt;22,$BC989=(Elig_MatchAll_Ct-1),AG989=0),D989,0)</f>
        <v>0</v>
      </c>
      <c r="BJ989" s="991">
        <f>IF(AND(Input_Product=Elig!$C989,Elig_MatchAll_Ct&lt;22,$BC989=(Elig_MatchAll_Ct-1),AH989=0),E989,0)</f>
        <v>0</v>
      </c>
      <c r="BK989" s="991">
        <f>IF(AND(Input_Product=Elig!$C989,Elig_MatchAll_Ct&lt;22,$BC989=(Elig_MatchAll_Ct-1),AI989=0),F989,0)</f>
        <v>0</v>
      </c>
      <c r="BL989" s="991">
        <f>IF(AND(Input_Product=Elig!$C989,Elig_MatchAll_Ct&lt;22,$BC989=(Elig_MatchAll_Ct-1),AJ989=0),G989,0)</f>
        <v>0</v>
      </c>
      <c r="BM989" s="991">
        <f>IF(AND(Input_Product=Elig!$C989,Elig_MatchAll_Ct&lt;22,$BC989=(Elig_MatchAll_Ct-1),AK989=0),H989,0)</f>
        <v>0</v>
      </c>
      <c r="BN989" s="991">
        <f>IF(AND(Input_Product=Elig!$C989,Elig_MatchAll_Ct&lt;22,$BC989=(Elig_MatchAll_Ct-1),AL989=0),I989,0)</f>
        <v>0</v>
      </c>
      <c r="BO989" s="991">
        <f>IF(AND(Input_Product=Elig!$C989,Elig_MatchAll_Ct&lt;22,$BC989=(Elig_MatchAll_Ct-1),AM989=0),J989,0)</f>
        <v>0</v>
      </c>
      <c r="BP989" s="991">
        <f>IF(AND(Input_Product=Elig!$C989,Elig_MatchAll_Ct&lt;22,$BC989=(Elig_MatchAll_Ct-1),AN989=0),K989,0)</f>
        <v>0</v>
      </c>
      <c r="BQ989" s="991">
        <f>IF(AND(Input_Product=Elig!$C989,Elig_MatchAll_Ct&lt;22,$BC989=(Elig_MatchAll_Ct-1),AP989=0),L989,0)</f>
        <v>0</v>
      </c>
      <c r="BR989" s="991">
        <f>IF(AND(Input_Product=Elig!$C989,Elig_MatchAll_Ct&lt;22,$BC989=(Elig_MatchAll_Ct-1),AO989=0),M989,0)</f>
        <v>0</v>
      </c>
      <c r="BS989" s="991">
        <f>IF(AND(Input_Product=Elig!$C989,Elig_MatchAll_Ct&lt;22,$BC989=(Elig_MatchAll_Ct-1),AQ989=0),N989,0)</f>
        <v>0</v>
      </c>
      <c r="BT989" s="991">
        <f>IF(AND(Input_Product=Elig!$C989,Elig_MatchAll_Ct&lt;22,$BC989=(Elig_MatchAll_Ct-1),AR989=0),O989,0)</f>
        <v>0</v>
      </c>
      <c r="BU989" s="991">
        <f>IF(AND(Input_Product=Elig!$C989,Elig_MatchAll_Ct&lt;22,$BC989=(Elig_MatchAll_Ct-1),AS989=0),P989,0)</f>
        <v>0</v>
      </c>
      <c r="BV989" s="992">
        <f>IF(AND(Input_Product=Elig!$C989,Elig_MatchAll_Ct&lt;22,$BC989=(Elig_MatchAll_Ct-1),AT989=0),Q989,0)</f>
        <v>0</v>
      </c>
      <c r="BW989" s="993">
        <f>IF(AND(Input_Product=Elig!$C989,Elig_MatchAll_Ct&lt;22,$BC989=(Elig_MatchAll_Ct-1),AU989=0),R989,0)</f>
        <v>0</v>
      </c>
      <c r="BX989" s="994">
        <f>IF(AND(Input_Product=Elig!$C989,Elig_MatchAll_Ct&lt;22,$BC989=(Elig_MatchAll_Ct-1),AU989=0),S989,0)</f>
        <v>0</v>
      </c>
      <c r="BY989" s="993">
        <f>IF(AND(Input_Product=Elig!$C989,Elig_MatchAll_Ct&lt;22,$BC989=(Elig_MatchAll_Ct-1),AV989=0),T989,0)</f>
        <v>0</v>
      </c>
      <c r="BZ989" s="994">
        <f>IF(AND(Input_Product=Elig!$C989,Elig_MatchAll_Ct&lt;22,$BC989=(Elig_MatchAll_Ct-1),AV989=0),U989,0)</f>
        <v>0</v>
      </c>
      <c r="CA989" s="993">
        <f>IF(AND(Input_Product=Elig!$C989,Elig_MatchAll_Ct&lt;22,$BC989=(Elig_MatchAll_Ct-1),AW989=0),V989,0)</f>
        <v>0</v>
      </c>
      <c r="CB989" s="994">
        <f>IF(AND(Input_Product=Elig!$C989,Elig_MatchAll_Ct&lt;22,$BC989=(Elig_MatchAll_Ct-1),AW989=0),W989,0)</f>
        <v>0</v>
      </c>
      <c r="CC989" s="993">
        <f>IF(AND(Input_Product=Elig!$C989,Elig_MatchAll_Ct&lt;22,$BC989=(Elig_MatchAll_Ct-1),AX989=0),X989,0)</f>
        <v>0</v>
      </c>
      <c r="CD989" s="994">
        <f>IF(AND(Input_Product=Elig!$C989,Elig_MatchAll_Ct&lt;22,$BC989=(Elig_MatchAll_Ct-1),AX989=0),Y989,0)</f>
        <v>0</v>
      </c>
      <c r="CE989" s="993">
        <f>IF(AND(Input_LTV&lt;=AE989,Input_Product=Elig!$C989,Elig_MatchAll_Ct&lt;22,$BC989=(Elig_MatchAll_Ct-1),AY989=0),Z989,0)</f>
        <v>0</v>
      </c>
      <c r="CF989" s="994">
        <f>IF(AND(Input_LTV&lt;=AE989,Input_Product=Elig!$C989,Elig_MatchAll_Ct&lt;22,$BC989=(Elig_MatchAll_Ct-1),AY989=0),AA989,0)</f>
        <v>0</v>
      </c>
      <c r="CG989" s="993">
        <f>IF(AND(Input_Product=Elig!$C989,Elig_MatchAll_Ct&lt;22,$BC989=(Elig_MatchAll_Ct-1),AZ989=0),AB989,0)</f>
        <v>0</v>
      </c>
      <c r="CH989" s="994">
        <f>IF(AND(Input_Product=Elig!$C989,Elig_MatchAll_Ct&lt;22,$BC989=(Elig_MatchAll_Ct-1),AZ989=0),AC989,0)</f>
        <v>0</v>
      </c>
      <c r="CI989" s="993">
        <f>IF(AND(Input_Product=Elig!$C989,Elig_MatchAll_Ct&lt;22,$BC989=(Elig_MatchAll_Ct-1),BA989=0),AD989,0)</f>
        <v>0</v>
      </c>
      <c r="CJ989" s="994">
        <f>IF(AND(Input_Product=Elig!$C989,Elig_MatchAll_Ct&lt;22,$BC989=(Elig_MatchAll_Ct-1),BA989=0),AE989,0)</f>
        <v>0</v>
      </c>
    </row>
    <row r="990" spans="2:88" ht="10.15" customHeight="1" x14ac:dyDescent="0.25">
      <c r="B990" s="1916" t="s">
        <v>2326</v>
      </c>
      <c r="C990" s="1213" t="str">
        <f t="shared" si="389"/>
        <v xml:space="preserve">  </v>
      </c>
      <c r="D990" s="1214" t="s">
        <v>2218</v>
      </c>
      <c r="E990" s="1214" t="s">
        <v>167</v>
      </c>
      <c r="F990" s="1214" t="s">
        <v>331</v>
      </c>
      <c r="G990" s="1215" t="s">
        <v>303</v>
      </c>
      <c r="H990" s="1215" t="s">
        <v>136</v>
      </c>
      <c r="I990" s="1214" t="s">
        <v>16</v>
      </c>
      <c r="J990" s="1214" t="s">
        <v>1311</v>
      </c>
      <c r="K990" s="1215" t="s">
        <v>3022</v>
      </c>
      <c r="L990" s="1214" t="s">
        <v>2768</v>
      </c>
      <c r="M990" s="1214" t="s">
        <v>2677</v>
      </c>
      <c r="N990" s="1215" t="s">
        <v>82</v>
      </c>
      <c r="O990" s="1214" t="s">
        <v>310</v>
      </c>
      <c r="P990" s="1214" t="s">
        <v>291</v>
      </c>
      <c r="Q990" s="1214" t="s">
        <v>294</v>
      </c>
      <c r="R990" s="1214">
        <v>125000</v>
      </c>
      <c r="S990" s="1214">
        <v>1000000</v>
      </c>
      <c r="T990" s="1214">
        <v>0</v>
      </c>
      <c r="U990" s="1214">
        <f t="shared" si="400"/>
        <v>1000000</v>
      </c>
      <c r="V990" s="1214">
        <v>0</v>
      </c>
      <c r="W990" s="1214">
        <v>50</v>
      </c>
      <c r="X990" s="1214">
        <v>0</v>
      </c>
      <c r="Y990" s="1214">
        <v>999</v>
      </c>
      <c r="Z990" s="1216">
        <v>660</v>
      </c>
      <c r="AA990" s="1216">
        <v>679</v>
      </c>
      <c r="AB990" s="1216">
        <v>3</v>
      </c>
      <c r="AC990" s="1216">
        <v>999999</v>
      </c>
      <c r="AD990" s="1214">
        <v>0</v>
      </c>
      <c r="AE990" s="1217">
        <v>70</v>
      </c>
      <c r="AF990" s="170">
        <v>0</v>
      </c>
      <c r="AG990" s="171">
        <v>1</v>
      </c>
      <c r="AH990" s="171">
        <v>1</v>
      </c>
      <c r="AI990" s="171">
        <v>1</v>
      </c>
      <c r="AJ990" s="171">
        <v>1</v>
      </c>
      <c r="AK990" s="171">
        <v>1</v>
      </c>
      <c r="AL990" s="171">
        <v>1</v>
      </c>
      <c r="AM990" s="171">
        <v>1</v>
      </c>
      <c r="AN990" s="171">
        <v>1</v>
      </c>
      <c r="AO990" s="171">
        <v>1</v>
      </c>
      <c r="AP990" s="171">
        <v>1</v>
      </c>
      <c r="AQ990" s="171">
        <v>1</v>
      </c>
      <c r="AR990" s="171">
        <v>1</v>
      </c>
      <c r="AS990" s="171">
        <v>1</v>
      </c>
      <c r="AT990" s="171">
        <v>1</v>
      </c>
      <c r="AU990" s="171">
        <f t="shared" si="391"/>
        <v>1</v>
      </c>
      <c r="AV990" s="171">
        <f t="shared" si="392"/>
        <v>1</v>
      </c>
      <c r="AW990" s="171">
        <f t="shared" si="393"/>
        <v>1</v>
      </c>
      <c r="AX990" s="171">
        <f t="shared" si="388"/>
        <v>1</v>
      </c>
      <c r="AY990" s="171">
        <f t="shared" si="394"/>
        <v>0</v>
      </c>
      <c r="AZ990" s="171">
        <f t="shared" si="395"/>
        <v>1</v>
      </c>
      <c r="BA990" s="172">
        <f t="shared" si="396"/>
        <v>1</v>
      </c>
      <c r="BB990" s="175">
        <f t="shared" si="397"/>
        <v>20</v>
      </c>
      <c r="BC990" s="176">
        <f t="shared" si="398"/>
        <v>19</v>
      </c>
      <c r="BD990" s="176">
        <f t="shared" si="399"/>
        <v>20</v>
      </c>
      <c r="BE990" s="240" t="str">
        <f t="shared" si="390"/>
        <v/>
      </c>
      <c r="BF990" s="990"/>
      <c r="BG990" s="990"/>
      <c r="BH990" s="991">
        <f>IF(AND(Input_Product=Elig!$C990,Elig_MatchAll_Ct&lt;22,$BC990=(Elig_MatchAll_Ct-1),AF990=0),C990,0)</f>
        <v>0</v>
      </c>
      <c r="BI990" s="991">
        <f>IF(AND(Input_Product=Elig!$C990,Elig_MatchAll_Ct&lt;22,$BC990=(Elig_MatchAll_Ct-1),AG990=0),D990,0)</f>
        <v>0</v>
      </c>
      <c r="BJ990" s="991">
        <f>IF(AND(Input_Product=Elig!$C990,Elig_MatchAll_Ct&lt;22,$BC990=(Elig_MatchAll_Ct-1),AH990=0),E990,0)</f>
        <v>0</v>
      </c>
      <c r="BK990" s="991">
        <f>IF(AND(Input_Product=Elig!$C990,Elig_MatchAll_Ct&lt;22,$BC990=(Elig_MatchAll_Ct-1),AI990=0),F990,0)</f>
        <v>0</v>
      </c>
      <c r="BL990" s="991">
        <f>IF(AND(Input_Product=Elig!$C990,Elig_MatchAll_Ct&lt;22,$BC990=(Elig_MatchAll_Ct-1),AJ990=0),G990,0)</f>
        <v>0</v>
      </c>
      <c r="BM990" s="991">
        <f>IF(AND(Input_Product=Elig!$C990,Elig_MatchAll_Ct&lt;22,$BC990=(Elig_MatchAll_Ct-1),AK990=0),H990,0)</f>
        <v>0</v>
      </c>
      <c r="BN990" s="991">
        <f>IF(AND(Input_Product=Elig!$C990,Elig_MatchAll_Ct&lt;22,$BC990=(Elig_MatchAll_Ct-1),AL990=0),I990,0)</f>
        <v>0</v>
      </c>
      <c r="BO990" s="991">
        <f>IF(AND(Input_Product=Elig!$C990,Elig_MatchAll_Ct&lt;22,$BC990=(Elig_MatchAll_Ct-1),AM990=0),J990,0)</f>
        <v>0</v>
      </c>
      <c r="BP990" s="991">
        <f>IF(AND(Input_Product=Elig!$C990,Elig_MatchAll_Ct&lt;22,$BC990=(Elig_MatchAll_Ct-1),AN990=0),K990,0)</f>
        <v>0</v>
      </c>
      <c r="BQ990" s="991">
        <f>IF(AND(Input_Product=Elig!$C990,Elig_MatchAll_Ct&lt;22,$BC990=(Elig_MatchAll_Ct-1),AP990=0),L990,0)</f>
        <v>0</v>
      </c>
      <c r="BR990" s="991">
        <f>IF(AND(Input_Product=Elig!$C990,Elig_MatchAll_Ct&lt;22,$BC990=(Elig_MatchAll_Ct-1),AO990=0),M990,0)</f>
        <v>0</v>
      </c>
      <c r="BS990" s="991">
        <f>IF(AND(Input_Product=Elig!$C990,Elig_MatchAll_Ct&lt;22,$BC990=(Elig_MatchAll_Ct-1),AQ990=0),N990,0)</f>
        <v>0</v>
      </c>
      <c r="BT990" s="991">
        <f>IF(AND(Input_Product=Elig!$C990,Elig_MatchAll_Ct&lt;22,$BC990=(Elig_MatchAll_Ct-1),AR990=0),O990,0)</f>
        <v>0</v>
      </c>
      <c r="BU990" s="991">
        <f>IF(AND(Input_Product=Elig!$C990,Elig_MatchAll_Ct&lt;22,$BC990=(Elig_MatchAll_Ct-1),AS990=0),P990,0)</f>
        <v>0</v>
      </c>
      <c r="BV990" s="992">
        <f>IF(AND(Input_Product=Elig!$C990,Elig_MatchAll_Ct&lt;22,$BC990=(Elig_MatchAll_Ct-1),AT990=0),Q990,0)</f>
        <v>0</v>
      </c>
      <c r="BW990" s="993">
        <f>IF(AND(Input_Product=Elig!$C990,Elig_MatchAll_Ct&lt;22,$BC990=(Elig_MatchAll_Ct-1),AU990=0),R990,0)</f>
        <v>0</v>
      </c>
      <c r="BX990" s="994">
        <f>IF(AND(Input_Product=Elig!$C990,Elig_MatchAll_Ct&lt;22,$BC990=(Elig_MatchAll_Ct-1),AU990=0),S990,0)</f>
        <v>0</v>
      </c>
      <c r="BY990" s="993">
        <f>IF(AND(Input_Product=Elig!$C990,Elig_MatchAll_Ct&lt;22,$BC990=(Elig_MatchAll_Ct-1),AV990=0),T990,0)</f>
        <v>0</v>
      </c>
      <c r="BZ990" s="994">
        <f>IF(AND(Input_Product=Elig!$C990,Elig_MatchAll_Ct&lt;22,$BC990=(Elig_MatchAll_Ct-1),AV990=0),U990,0)</f>
        <v>0</v>
      </c>
      <c r="CA990" s="993">
        <f>IF(AND(Input_Product=Elig!$C990,Elig_MatchAll_Ct&lt;22,$BC990=(Elig_MatchAll_Ct-1),AW990=0),V990,0)</f>
        <v>0</v>
      </c>
      <c r="CB990" s="994">
        <f>IF(AND(Input_Product=Elig!$C990,Elig_MatchAll_Ct&lt;22,$BC990=(Elig_MatchAll_Ct-1),AW990=0),W990,0)</f>
        <v>0</v>
      </c>
      <c r="CC990" s="993">
        <f>IF(AND(Input_Product=Elig!$C990,Elig_MatchAll_Ct&lt;22,$BC990=(Elig_MatchAll_Ct-1),AX990=0),X990,0)</f>
        <v>0</v>
      </c>
      <c r="CD990" s="994">
        <f>IF(AND(Input_Product=Elig!$C990,Elig_MatchAll_Ct&lt;22,$BC990=(Elig_MatchAll_Ct-1),AX990=0),Y990,0)</f>
        <v>0</v>
      </c>
      <c r="CE990" s="993">
        <f>IF(AND(Input_LTV&lt;=AE990,Input_Product=Elig!$C990,Elig_MatchAll_Ct&lt;22,$BC990=(Elig_MatchAll_Ct-1),AY990=0),Z990,0)</f>
        <v>0</v>
      </c>
      <c r="CF990" s="994">
        <f>IF(AND(Input_LTV&lt;=AE990,Input_Product=Elig!$C990,Elig_MatchAll_Ct&lt;22,$BC990=(Elig_MatchAll_Ct-1),AY990=0),AA990,0)</f>
        <v>0</v>
      </c>
      <c r="CG990" s="993">
        <f>IF(AND(Input_Product=Elig!$C990,Elig_MatchAll_Ct&lt;22,$BC990=(Elig_MatchAll_Ct-1),AZ990=0),AB990,0)</f>
        <v>0</v>
      </c>
      <c r="CH990" s="994">
        <f>IF(AND(Input_Product=Elig!$C990,Elig_MatchAll_Ct&lt;22,$BC990=(Elig_MatchAll_Ct-1),AZ990=0),AC990,0)</f>
        <v>0</v>
      </c>
      <c r="CI990" s="993">
        <f>IF(AND(Input_Product=Elig!$C990,Elig_MatchAll_Ct&lt;22,$BC990=(Elig_MatchAll_Ct-1),BA990=0),AD990,0)</f>
        <v>0</v>
      </c>
      <c r="CJ990" s="994">
        <f>IF(AND(Input_Product=Elig!$C990,Elig_MatchAll_Ct&lt;22,$BC990=(Elig_MatchAll_Ct-1),BA990=0),AE990,0)</f>
        <v>0</v>
      </c>
    </row>
    <row r="991" spans="2:88" ht="10.15" customHeight="1" x14ac:dyDescent="0.25">
      <c r="B991" s="1916" t="s">
        <v>2327</v>
      </c>
      <c r="C991" s="1203" t="str">
        <f t="shared" si="389"/>
        <v xml:space="preserve">  </v>
      </c>
      <c r="D991" s="1204" t="s">
        <v>2218</v>
      </c>
      <c r="E991" s="1204" t="s">
        <v>167</v>
      </c>
      <c r="F991" s="1204" t="s">
        <v>331</v>
      </c>
      <c r="G991" s="1205" t="s">
        <v>303</v>
      </c>
      <c r="H991" s="1205" t="s">
        <v>136</v>
      </c>
      <c r="I991" s="1204" t="s">
        <v>16</v>
      </c>
      <c r="J991" s="1204" t="s">
        <v>1311</v>
      </c>
      <c r="K991" s="1205" t="s">
        <v>3022</v>
      </c>
      <c r="L991" s="1204" t="s">
        <v>2768</v>
      </c>
      <c r="M991" s="1204" t="s">
        <v>2677</v>
      </c>
      <c r="N991" s="1205" t="s">
        <v>82</v>
      </c>
      <c r="O991" s="1204" t="s">
        <v>310</v>
      </c>
      <c r="P991" s="1204" t="s">
        <v>291</v>
      </c>
      <c r="Q991" s="1204" t="s">
        <v>294</v>
      </c>
      <c r="R991" s="1204">
        <v>1000000.01</v>
      </c>
      <c r="S991" s="1204">
        <v>1500000</v>
      </c>
      <c r="T991" s="1204">
        <v>0</v>
      </c>
      <c r="U991" s="1204">
        <f t="shared" si="400"/>
        <v>1500000</v>
      </c>
      <c r="V991" s="1204">
        <v>0</v>
      </c>
      <c r="W991" s="1204">
        <v>50</v>
      </c>
      <c r="X991" s="1204">
        <v>0</v>
      </c>
      <c r="Y991" s="1204">
        <v>999</v>
      </c>
      <c r="Z991" s="1206">
        <v>720</v>
      </c>
      <c r="AA991" s="1206">
        <v>999</v>
      </c>
      <c r="AB991" s="1206">
        <v>6</v>
      </c>
      <c r="AC991" s="1206">
        <v>999999</v>
      </c>
      <c r="AD991" s="1204">
        <v>0</v>
      </c>
      <c r="AE991" s="1207">
        <v>80</v>
      </c>
      <c r="AF991" s="170">
        <v>0</v>
      </c>
      <c r="AG991" s="171">
        <v>1</v>
      </c>
      <c r="AH991" s="171">
        <v>1</v>
      </c>
      <c r="AI991" s="171">
        <v>1</v>
      </c>
      <c r="AJ991" s="171">
        <v>1</v>
      </c>
      <c r="AK991" s="171">
        <v>1</v>
      </c>
      <c r="AL991" s="171">
        <v>1</v>
      </c>
      <c r="AM991" s="171">
        <v>1</v>
      </c>
      <c r="AN991" s="171">
        <v>1</v>
      </c>
      <c r="AO991" s="171">
        <v>1</v>
      </c>
      <c r="AP991" s="171">
        <v>1</v>
      </c>
      <c r="AQ991" s="171">
        <v>1</v>
      </c>
      <c r="AR991" s="171">
        <v>1</v>
      </c>
      <c r="AS991" s="171">
        <v>1</v>
      </c>
      <c r="AT991" s="171">
        <v>1</v>
      </c>
      <c r="AU991" s="171">
        <f t="shared" si="391"/>
        <v>0</v>
      </c>
      <c r="AV991" s="171">
        <f t="shared" si="392"/>
        <v>1</v>
      </c>
      <c r="AW991" s="171">
        <f t="shared" si="393"/>
        <v>1</v>
      </c>
      <c r="AX991" s="171">
        <f t="shared" si="388"/>
        <v>1</v>
      </c>
      <c r="AY991" s="171">
        <f t="shared" si="394"/>
        <v>1</v>
      </c>
      <c r="AZ991" s="171">
        <f t="shared" si="395"/>
        <v>1</v>
      </c>
      <c r="BA991" s="172">
        <f t="shared" si="396"/>
        <v>1</v>
      </c>
      <c r="BB991" s="175">
        <f t="shared" si="397"/>
        <v>20</v>
      </c>
      <c r="BC991" s="176">
        <f t="shared" si="398"/>
        <v>19</v>
      </c>
      <c r="BD991" s="176">
        <f t="shared" si="399"/>
        <v>20</v>
      </c>
      <c r="BE991" s="240" t="str">
        <f t="shared" si="390"/>
        <v/>
      </c>
      <c r="BF991" s="990"/>
      <c r="BG991" s="990"/>
      <c r="BH991" s="991">
        <f>IF(AND(Input_Product=Elig!$C991,Elig_MatchAll_Ct&lt;22,$BC991=(Elig_MatchAll_Ct-1),AF991=0),C991,0)</f>
        <v>0</v>
      </c>
      <c r="BI991" s="991">
        <f>IF(AND(Input_Product=Elig!$C991,Elig_MatchAll_Ct&lt;22,$BC991=(Elig_MatchAll_Ct-1),AG991=0),D991,0)</f>
        <v>0</v>
      </c>
      <c r="BJ991" s="991">
        <f>IF(AND(Input_Product=Elig!$C991,Elig_MatchAll_Ct&lt;22,$BC991=(Elig_MatchAll_Ct-1),AH991=0),E991,0)</f>
        <v>0</v>
      </c>
      <c r="BK991" s="991">
        <f>IF(AND(Input_Product=Elig!$C991,Elig_MatchAll_Ct&lt;22,$BC991=(Elig_MatchAll_Ct-1),AI991=0),F991,0)</f>
        <v>0</v>
      </c>
      <c r="BL991" s="991">
        <f>IF(AND(Input_Product=Elig!$C991,Elig_MatchAll_Ct&lt;22,$BC991=(Elig_MatchAll_Ct-1),AJ991=0),G991,0)</f>
        <v>0</v>
      </c>
      <c r="BM991" s="991">
        <f>IF(AND(Input_Product=Elig!$C991,Elig_MatchAll_Ct&lt;22,$BC991=(Elig_MatchAll_Ct-1),AK991=0),H991,0)</f>
        <v>0</v>
      </c>
      <c r="BN991" s="991">
        <f>IF(AND(Input_Product=Elig!$C991,Elig_MatchAll_Ct&lt;22,$BC991=(Elig_MatchAll_Ct-1),AL991=0),I991,0)</f>
        <v>0</v>
      </c>
      <c r="BO991" s="991">
        <f>IF(AND(Input_Product=Elig!$C991,Elig_MatchAll_Ct&lt;22,$BC991=(Elig_MatchAll_Ct-1),AM991=0),J991,0)</f>
        <v>0</v>
      </c>
      <c r="BP991" s="991">
        <f>IF(AND(Input_Product=Elig!$C991,Elig_MatchAll_Ct&lt;22,$BC991=(Elig_MatchAll_Ct-1),AN991=0),K991,0)</f>
        <v>0</v>
      </c>
      <c r="BQ991" s="991">
        <f>IF(AND(Input_Product=Elig!$C991,Elig_MatchAll_Ct&lt;22,$BC991=(Elig_MatchAll_Ct-1),AP991=0),L991,0)</f>
        <v>0</v>
      </c>
      <c r="BR991" s="991">
        <f>IF(AND(Input_Product=Elig!$C991,Elig_MatchAll_Ct&lt;22,$BC991=(Elig_MatchAll_Ct-1),AO991=0),M991,0)</f>
        <v>0</v>
      </c>
      <c r="BS991" s="991">
        <f>IF(AND(Input_Product=Elig!$C991,Elig_MatchAll_Ct&lt;22,$BC991=(Elig_MatchAll_Ct-1),AQ991=0),N991,0)</f>
        <v>0</v>
      </c>
      <c r="BT991" s="991">
        <f>IF(AND(Input_Product=Elig!$C991,Elig_MatchAll_Ct&lt;22,$BC991=(Elig_MatchAll_Ct-1),AR991=0),O991,0)</f>
        <v>0</v>
      </c>
      <c r="BU991" s="991">
        <f>IF(AND(Input_Product=Elig!$C991,Elig_MatchAll_Ct&lt;22,$BC991=(Elig_MatchAll_Ct-1),AS991=0),P991,0)</f>
        <v>0</v>
      </c>
      <c r="BV991" s="992">
        <f>IF(AND(Input_Product=Elig!$C991,Elig_MatchAll_Ct&lt;22,$BC991=(Elig_MatchAll_Ct-1),AT991=0),Q991,0)</f>
        <v>0</v>
      </c>
      <c r="BW991" s="993">
        <f>IF(AND(Input_Product=Elig!$C991,Elig_MatchAll_Ct&lt;22,$BC991=(Elig_MatchAll_Ct-1),AU991=0),R991,0)</f>
        <v>0</v>
      </c>
      <c r="BX991" s="994">
        <f>IF(AND(Input_Product=Elig!$C991,Elig_MatchAll_Ct&lt;22,$BC991=(Elig_MatchAll_Ct-1),AU991=0),S991,0)</f>
        <v>0</v>
      </c>
      <c r="BY991" s="993">
        <f>IF(AND(Input_Product=Elig!$C991,Elig_MatchAll_Ct&lt;22,$BC991=(Elig_MatchAll_Ct-1),AV991=0),T991,0)</f>
        <v>0</v>
      </c>
      <c r="BZ991" s="994">
        <f>IF(AND(Input_Product=Elig!$C991,Elig_MatchAll_Ct&lt;22,$BC991=(Elig_MatchAll_Ct-1),AV991=0),U991,0)</f>
        <v>0</v>
      </c>
      <c r="CA991" s="993">
        <f>IF(AND(Input_Product=Elig!$C991,Elig_MatchAll_Ct&lt;22,$BC991=(Elig_MatchAll_Ct-1),AW991=0),V991,0)</f>
        <v>0</v>
      </c>
      <c r="CB991" s="994">
        <f>IF(AND(Input_Product=Elig!$C991,Elig_MatchAll_Ct&lt;22,$BC991=(Elig_MatchAll_Ct-1),AW991=0),W991,0)</f>
        <v>0</v>
      </c>
      <c r="CC991" s="993">
        <f>IF(AND(Input_Product=Elig!$C991,Elig_MatchAll_Ct&lt;22,$BC991=(Elig_MatchAll_Ct-1),AX991=0),X991,0)</f>
        <v>0</v>
      </c>
      <c r="CD991" s="994">
        <f>IF(AND(Input_Product=Elig!$C991,Elig_MatchAll_Ct&lt;22,$BC991=(Elig_MatchAll_Ct-1),AX991=0),Y991,0)</f>
        <v>0</v>
      </c>
      <c r="CE991" s="993">
        <f>IF(AND(Input_LTV&lt;=AE991,Input_Product=Elig!$C991,Elig_MatchAll_Ct&lt;22,$BC991=(Elig_MatchAll_Ct-1),AY991=0),Z991,0)</f>
        <v>0</v>
      </c>
      <c r="CF991" s="994">
        <f>IF(AND(Input_LTV&lt;=AE991,Input_Product=Elig!$C991,Elig_MatchAll_Ct&lt;22,$BC991=(Elig_MatchAll_Ct-1),AY991=0),AA991,0)</f>
        <v>0</v>
      </c>
      <c r="CG991" s="993">
        <f>IF(AND(Input_Product=Elig!$C991,Elig_MatchAll_Ct&lt;22,$BC991=(Elig_MatchAll_Ct-1),AZ991=0),AB991,0)</f>
        <v>0</v>
      </c>
      <c r="CH991" s="994">
        <f>IF(AND(Input_Product=Elig!$C991,Elig_MatchAll_Ct&lt;22,$BC991=(Elig_MatchAll_Ct-1),AZ991=0),AC991,0)</f>
        <v>0</v>
      </c>
      <c r="CI991" s="993">
        <f>IF(AND(Input_Product=Elig!$C991,Elig_MatchAll_Ct&lt;22,$BC991=(Elig_MatchAll_Ct-1),BA991=0),AD991,0)</f>
        <v>0</v>
      </c>
      <c r="CJ991" s="994">
        <f>IF(AND(Input_Product=Elig!$C991,Elig_MatchAll_Ct&lt;22,$BC991=(Elig_MatchAll_Ct-1),BA991=0),AE991,0)</f>
        <v>0</v>
      </c>
    </row>
    <row r="992" spans="2:88" ht="10.15" customHeight="1" x14ac:dyDescent="0.25">
      <c r="B992" s="1916" t="s">
        <v>2328</v>
      </c>
      <c r="C992" s="1208" t="str">
        <f t="shared" si="389"/>
        <v xml:space="preserve">  </v>
      </c>
      <c r="D992" s="1209" t="s">
        <v>2218</v>
      </c>
      <c r="E992" s="1209" t="s">
        <v>167</v>
      </c>
      <c r="F992" s="1209" t="s">
        <v>331</v>
      </c>
      <c r="G992" s="1210" t="s">
        <v>303</v>
      </c>
      <c r="H992" s="1210" t="s">
        <v>136</v>
      </c>
      <c r="I992" s="1209" t="s">
        <v>16</v>
      </c>
      <c r="J992" s="1209" t="s">
        <v>1311</v>
      </c>
      <c r="K992" s="1210" t="s">
        <v>3022</v>
      </c>
      <c r="L992" s="1209" t="s">
        <v>2768</v>
      </c>
      <c r="M992" s="1209" t="s">
        <v>2677</v>
      </c>
      <c r="N992" s="1210" t="s">
        <v>82</v>
      </c>
      <c r="O992" s="1209" t="s">
        <v>310</v>
      </c>
      <c r="P992" s="1209" t="s">
        <v>291</v>
      </c>
      <c r="Q992" s="1209" t="s">
        <v>294</v>
      </c>
      <c r="R992" s="1209">
        <v>1000000.01</v>
      </c>
      <c r="S992" s="1209">
        <v>1500000</v>
      </c>
      <c r="T992" s="1209">
        <v>0</v>
      </c>
      <c r="U992" s="1209">
        <f t="shared" si="400"/>
        <v>1500000</v>
      </c>
      <c r="V992" s="1209">
        <v>0</v>
      </c>
      <c r="W992" s="1209">
        <v>50</v>
      </c>
      <c r="X992" s="1209">
        <v>0</v>
      </c>
      <c r="Y992" s="1209">
        <v>999</v>
      </c>
      <c r="Z992" s="1211">
        <v>700</v>
      </c>
      <c r="AA992" s="1211">
        <v>719</v>
      </c>
      <c r="AB992" s="1211">
        <v>6</v>
      </c>
      <c r="AC992" s="1211">
        <v>999999</v>
      </c>
      <c r="AD992" s="1209">
        <v>0</v>
      </c>
      <c r="AE992" s="1212">
        <v>80</v>
      </c>
      <c r="AF992" s="170">
        <v>0</v>
      </c>
      <c r="AG992" s="171">
        <v>1</v>
      </c>
      <c r="AH992" s="171">
        <v>1</v>
      </c>
      <c r="AI992" s="171">
        <v>1</v>
      </c>
      <c r="AJ992" s="171">
        <v>1</v>
      </c>
      <c r="AK992" s="171">
        <v>1</v>
      </c>
      <c r="AL992" s="171">
        <v>1</v>
      </c>
      <c r="AM992" s="171">
        <v>1</v>
      </c>
      <c r="AN992" s="171">
        <v>1</v>
      </c>
      <c r="AO992" s="171">
        <v>1</v>
      </c>
      <c r="AP992" s="171">
        <v>1</v>
      </c>
      <c r="AQ992" s="171">
        <v>1</v>
      </c>
      <c r="AR992" s="171">
        <v>1</v>
      </c>
      <c r="AS992" s="171">
        <v>1</v>
      </c>
      <c r="AT992" s="171">
        <v>1</v>
      </c>
      <c r="AU992" s="171">
        <f t="shared" si="391"/>
        <v>0</v>
      </c>
      <c r="AV992" s="171">
        <f t="shared" si="392"/>
        <v>1</v>
      </c>
      <c r="AW992" s="171">
        <f t="shared" si="393"/>
        <v>1</v>
      </c>
      <c r="AX992" s="171">
        <f t="shared" si="388"/>
        <v>1</v>
      </c>
      <c r="AY992" s="171">
        <f t="shared" si="394"/>
        <v>0</v>
      </c>
      <c r="AZ992" s="171">
        <f t="shared" si="395"/>
        <v>1</v>
      </c>
      <c r="BA992" s="172">
        <f t="shared" si="396"/>
        <v>1</v>
      </c>
      <c r="BB992" s="175">
        <f t="shared" si="397"/>
        <v>19</v>
      </c>
      <c r="BC992" s="176">
        <f t="shared" si="398"/>
        <v>18</v>
      </c>
      <c r="BD992" s="176">
        <f t="shared" si="399"/>
        <v>19</v>
      </c>
      <c r="BE992" s="240" t="str">
        <f t="shared" si="390"/>
        <v/>
      </c>
      <c r="BF992" s="990"/>
      <c r="BG992" s="990"/>
      <c r="BH992" s="991">
        <f>IF(AND(Input_Product=Elig!$C992,Elig_MatchAll_Ct&lt;22,$BC992=(Elig_MatchAll_Ct-1),AF992=0),C992,0)</f>
        <v>0</v>
      </c>
      <c r="BI992" s="991">
        <f>IF(AND(Input_Product=Elig!$C992,Elig_MatchAll_Ct&lt;22,$BC992=(Elig_MatchAll_Ct-1),AG992=0),D992,0)</f>
        <v>0</v>
      </c>
      <c r="BJ992" s="991">
        <f>IF(AND(Input_Product=Elig!$C992,Elig_MatchAll_Ct&lt;22,$BC992=(Elig_MatchAll_Ct-1),AH992=0),E992,0)</f>
        <v>0</v>
      </c>
      <c r="BK992" s="991">
        <f>IF(AND(Input_Product=Elig!$C992,Elig_MatchAll_Ct&lt;22,$BC992=(Elig_MatchAll_Ct-1),AI992=0),F992,0)</f>
        <v>0</v>
      </c>
      <c r="BL992" s="991">
        <f>IF(AND(Input_Product=Elig!$C992,Elig_MatchAll_Ct&lt;22,$BC992=(Elig_MatchAll_Ct-1),AJ992=0),G992,0)</f>
        <v>0</v>
      </c>
      <c r="BM992" s="991">
        <f>IF(AND(Input_Product=Elig!$C992,Elig_MatchAll_Ct&lt;22,$BC992=(Elig_MatchAll_Ct-1),AK992=0),H992,0)</f>
        <v>0</v>
      </c>
      <c r="BN992" s="991">
        <f>IF(AND(Input_Product=Elig!$C992,Elig_MatchAll_Ct&lt;22,$BC992=(Elig_MatchAll_Ct-1),AL992=0),I992,0)</f>
        <v>0</v>
      </c>
      <c r="BO992" s="991">
        <f>IF(AND(Input_Product=Elig!$C992,Elig_MatchAll_Ct&lt;22,$BC992=(Elig_MatchAll_Ct-1),AM992=0),J992,0)</f>
        <v>0</v>
      </c>
      <c r="BP992" s="991">
        <f>IF(AND(Input_Product=Elig!$C992,Elig_MatchAll_Ct&lt;22,$BC992=(Elig_MatchAll_Ct-1),AN992=0),K992,0)</f>
        <v>0</v>
      </c>
      <c r="BQ992" s="991">
        <f>IF(AND(Input_Product=Elig!$C992,Elig_MatchAll_Ct&lt;22,$BC992=(Elig_MatchAll_Ct-1),AP992=0),L992,0)</f>
        <v>0</v>
      </c>
      <c r="BR992" s="991">
        <f>IF(AND(Input_Product=Elig!$C992,Elig_MatchAll_Ct&lt;22,$BC992=(Elig_MatchAll_Ct-1),AO992=0),M992,0)</f>
        <v>0</v>
      </c>
      <c r="BS992" s="991">
        <f>IF(AND(Input_Product=Elig!$C992,Elig_MatchAll_Ct&lt;22,$BC992=(Elig_MatchAll_Ct-1),AQ992=0),N992,0)</f>
        <v>0</v>
      </c>
      <c r="BT992" s="991">
        <f>IF(AND(Input_Product=Elig!$C992,Elig_MatchAll_Ct&lt;22,$BC992=(Elig_MatchAll_Ct-1),AR992=0),O992,0)</f>
        <v>0</v>
      </c>
      <c r="BU992" s="991">
        <f>IF(AND(Input_Product=Elig!$C992,Elig_MatchAll_Ct&lt;22,$BC992=(Elig_MatchAll_Ct-1),AS992=0),P992,0)</f>
        <v>0</v>
      </c>
      <c r="BV992" s="992">
        <f>IF(AND(Input_Product=Elig!$C992,Elig_MatchAll_Ct&lt;22,$BC992=(Elig_MatchAll_Ct-1),AT992=0),Q992,0)</f>
        <v>0</v>
      </c>
      <c r="BW992" s="993">
        <f>IF(AND(Input_Product=Elig!$C992,Elig_MatchAll_Ct&lt;22,$BC992=(Elig_MatchAll_Ct-1),AU992=0),R992,0)</f>
        <v>0</v>
      </c>
      <c r="BX992" s="994">
        <f>IF(AND(Input_Product=Elig!$C992,Elig_MatchAll_Ct&lt;22,$BC992=(Elig_MatchAll_Ct-1),AU992=0),S992,0)</f>
        <v>0</v>
      </c>
      <c r="BY992" s="993">
        <f>IF(AND(Input_Product=Elig!$C992,Elig_MatchAll_Ct&lt;22,$BC992=(Elig_MatchAll_Ct-1),AV992=0),T992,0)</f>
        <v>0</v>
      </c>
      <c r="BZ992" s="994">
        <f>IF(AND(Input_Product=Elig!$C992,Elig_MatchAll_Ct&lt;22,$BC992=(Elig_MatchAll_Ct-1),AV992=0),U992,0)</f>
        <v>0</v>
      </c>
      <c r="CA992" s="993">
        <f>IF(AND(Input_Product=Elig!$C992,Elig_MatchAll_Ct&lt;22,$BC992=(Elig_MatchAll_Ct-1),AW992=0),V992,0)</f>
        <v>0</v>
      </c>
      <c r="CB992" s="994">
        <f>IF(AND(Input_Product=Elig!$C992,Elig_MatchAll_Ct&lt;22,$BC992=(Elig_MatchAll_Ct-1),AW992=0),W992,0)</f>
        <v>0</v>
      </c>
      <c r="CC992" s="993">
        <f>IF(AND(Input_Product=Elig!$C992,Elig_MatchAll_Ct&lt;22,$BC992=(Elig_MatchAll_Ct-1),AX992=0),X992,0)</f>
        <v>0</v>
      </c>
      <c r="CD992" s="994">
        <f>IF(AND(Input_Product=Elig!$C992,Elig_MatchAll_Ct&lt;22,$BC992=(Elig_MatchAll_Ct-1),AX992=0),Y992,0)</f>
        <v>0</v>
      </c>
      <c r="CE992" s="993">
        <f>IF(AND(Input_LTV&lt;=AE992,Input_Product=Elig!$C992,Elig_MatchAll_Ct&lt;22,$BC992=(Elig_MatchAll_Ct-1),AY992=0),Z992,0)</f>
        <v>0</v>
      </c>
      <c r="CF992" s="994">
        <f>IF(AND(Input_LTV&lt;=AE992,Input_Product=Elig!$C992,Elig_MatchAll_Ct&lt;22,$BC992=(Elig_MatchAll_Ct-1),AY992=0),AA992,0)</f>
        <v>0</v>
      </c>
      <c r="CG992" s="993">
        <f>IF(AND(Input_Product=Elig!$C992,Elig_MatchAll_Ct&lt;22,$BC992=(Elig_MatchAll_Ct-1),AZ992=0),AB992,0)</f>
        <v>0</v>
      </c>
      <c r="CH992" s="994">
        <f>IF(AND(Input_Product=Elig!$C992,Elig_MatchAll_Ct&lt;22,$BC992=(Elig_MatchAll_Ct-1),AZ992=0),AC992,0)</f>
        <v>0</v>
      </c>
      <c r="CI992" s="993">
        <f>IF(AND(Input_Product=Elig!$C992,Elig_MatchAll_Ct&lt;22,$BC992=(Elig_MatchAll_Ct-1),BA992=0),AD992,0)</f>
        <v>0</v>
      </c>
      <c r="CJ992" s="994">
        <f>IF(AND(Input_Product=Elig!$C992,Elig_MatchAll_Ct&lt;22,$BC992=(Elig_MatchAll_Ct-1),BA992=0),AE992,0)</f>
        <v>0</v>
      </c>
    </row>
    <row r="993" spans="2:88" ht="10.15" customHeight="1" x14ac:dyDescent="0.25">
      <c r="B993" s="1916" t="s">
        <v>2329</v>
      </c>
      <c r="C993" s="1208" t="str">
        <f t="shared" si="389"/>
        <v xml:space="preserve">  </v>
      </c>
      <c r="D993" s="1209" t="s">
        <v>2218</v>
      </c>
      <c r="E993" s="1209" t="s">
        <v>167</v>
      </c>
      <c r="F993" s="1209" t="s">
        <v>331</v>
      </c>
      <c r="G993" s="1210" t="s">
        <v>303</v>
      </c>
      <c r="H993" s="1210" t="s">
        <v>136</v>
      </c>
      <c r="I993" s="1209" t="s">
        <v>16</v>
      </c>
      <c r="J993" s="1209" t="s">
        <v>1311</v>
      </c>
      <c r="K993" s="1210" t="s">
        <v>3022</v>
      </c>
      <c r="L993" s="1209" t="s">
        <v>2768</v>
      </c>
      <c r="M993" s="1209" t="s">
        <v>2677</v>
      </c>
      <c r="N993" s="1210" t="s">
        <v>82</v>
      </c>
      <c r="O993" s="1209" t="s">
        <v>310</v>
      </c>
      <c r="P993" s="1209" t="s">
        <v>291</v>
      </c>
      <c r="Q993" s="1209" t="s">
        <v>294</v>
      </c>
      <c r="R993" s="1209">
        <v>1000000.01</v>
      </c>
      <c r="S993" s="1209">
        <v>1500000</v>
      </c>
      <c r="T993" s="1209">
        <v>0</v>
      </c>
      <c r="U993" s="1209">
        <f t="shared" si="400"/>
        <v>1500000</v>
      </c>
      <c r="V993" s="1209">
        <v>0</v>
      </c>
      <c r="W993" s="1209">
        <v>50</v>
      </c>
      <c r="X993" s="1209">
        <v>0</v>
      </c>
      <c r="Y993" s="1209">
        <v>999</v>
      </c>
      <c r="Z993" s="1211">
        <v>680</v>
      </c>
      <c r="AA993" s="1211">
        <v>699</v>
      </c>
      <c r="AB993" s="1211">
        <v>6</v>
      </c>
      <c r="AC993" s="1211">
        <v>999999</v>
      </c>
      <c r="AD993" s="1209">
        <v>0</v>
      </c>
      <c r="AE993" s="1212">
        <v>75</v>
      </c>
      <c r="AF993" s="170">
        <v>0</v>
      </c>
      <c r="AG993" s="171">
        <v>1</v>
      </c>
      <c r="AH993" s="171">
        <v>1</v>
      </c>
      <c r="AI993" s="171">
        <v>1</v>
      </c>
      <c r="AJ993" s="171">
        <v>1</v>
      </c>
      <c r="AK993" s="171">
        <v>1</v>
      </c>
      <c r="AL993" s="171">
        <v>1</v>
      </c>
      <c r="AM993" s="171">
        <v>1</v>
      </c>
      <c r="AN993" s="171">
        <v>1</v>
      </c>
      <c r="AO993" s="171">
        <v>1</v>
      </c>
      <c r="AP993" s="171">
        <v>1</v>
      </c>
      <c r="AQ993" s="171">
        <v>1</v>
      </c>
      <c r="AR993" s="171">
        <v>1</v>
      </c>
      <c r="AS993" s="171">
        <v>1</v>
      </c>
      <c r="AT993" s="171">
        <v>1</v>
      </c>
      <c r="AU993" s="171">
        <f t="shared" si="391"/>
        <v>0</v>
      </c>
      <c r="AV993" s="171">
        <f t="shared" si="392"/>
        <v>1</v>
      </c>
      <c r="AW993" s="171">
        <f t="shared" si="393"/>
        <v>1</v>
      </c>
      <c r="AX993" s="171">
        <f t="shared" si="388"/>
        <v>1</v>
      </c>
      <c r="AY993" s="171">
        <f t="shared" si="394"/>
        <v>0</v>
      </c>
      <c r="AZ993" s="171">
        <f t="shared" si="395"/>
        <v>1</v>
      </c>
      <c r="BA993" s="172">
        <f t="shared" si="396"/>
        <v>1</v>
      </c>
      <c r="BB993" s="175">
        <f t="shared" si="397"/>
        <v>19</v>
      </c>
      <c r="BC993" s="176">
        <f t="shared" si="398"/>
        <v>18</v>
      </c>
      <c r="BD993" s="176">
        <f t="shared" si="399"/>
        <v>19</v>
      </c>
      <c r="BE993" s="240" t="str">
        <f t="shared" si="390"/>
        <v/>
      </c>
      <c r="BF993" s="990"/>
      <c r="BG993" s="990"/>
      <c r="BH993" s="991">
        <f>IF(AND(Input_Product=Elig!$C993,Elig_MatchAll_Ct&lt;22,$BC993=(Elig_MatchAll_Ct-1),AF993=0),C993,0)</f>
        <v>0</v>
      </c>
      <c r="BI993" s="991">
        <f>IF(AND(Input_Product=Elig!$C993,Elig_MatchAll_Ct&lt;22,$BC993=(Elig_MatchAll_Ct-1),AG993=0),D993,0)</f>
        <v>0</v>
      </c>
      <c r="BJ993" s="991">
        <f>IF(AND(Input_Product=Elig!$C993,Elig_MatchAll_Ct&lt;22,$BC993=(Elig_MatchAll_Ct-1),AH993=0),E993,0)</f>
        <v>0</v>
      </c>
      <c r="BK993" s="991">
        <f>IF(AND(Input_Product=Elig!$C993,Elig_MatchAll_Ct&lt;22,$BC993=(Elig_MatchAll_Ct-1),AI993=0),F993,0)</f>
        <v>0</v>
      </c>
      <c r="BL993" s="991">
        <f>IF(AND(Input_Product=Elig!$C993,Elig_MatchAll_Ct&lt;22,$BC993=(Elig_MatchAll_Ct-1),AJ993=0),G993,0)</f>
        <v>0</v>
      </c>
      <c r="BM993" s="991">
        <f>IF(AND(Input_Product=Elig!$C993,Elig_MatchAll_Ct&lt;22,$BC993=(Elig_MatchAll_Ct-1),AK993=0),H993,0)</f>
        <v>0</v>
      </c>
      <c r="BN993" s="991">
        <f>IF(AND(Input_Product=Elig!$C993,Elig_MatchAll_Ct&lt;22,$BC993=(Elig_MatchAll_Ct-1),AL993=0),I993,0)</f>
        <v>0</v>
      </c>
      <c r="BO993" s="991">
        <f>IF(AND(Input_Product=Elig!$C993,Elig_MatchAll_Ct&lt;22,$BC993=(Elig_MatchAll_Ct-1),AM993=0),J993,0)</f>
        <v>0</v>
      </c>
      <c r="BP993" s="991">
        <f>IF(AND(Input_Product=Elig!$C993,Elig_MatchAll_Ct&lt;22,$BC993=(Elig_MatchAll_Ct-1),AN993=0),K993,0)</f>
        <v>0</v>
      </c>
      <c r="BQ993" s="991">
        <f>IF(AND(Input_Product=Elig!$C993,Elig_MatchAll_Ct&lt;22,$BC993=(Elig_MatchAll_Ct-1),AP993=0),L993,0)</f>
        <v>0</v>
      </c>
      <c r="BR993" s="991">
        <f>IF(AND(Input_Product=Elig!$C993,Elig_MatchAll_Ct&lt;22,$BC993=(Elig_MatchAll_Ct-1),AO993=0),M993,0)</f>
        <v>0</v>
      </c>
      <c r="BS993" s="991">
        <f>IF(AND(Input_Product=Elig!$C993,Elig_MatchAll_Ct&lt;22,$BC993=(Elig_MatchAll_Ct-1),AQ993=0),N993,0)</f>
        <v>0</v>
      </c>
      <c r="BT993" s="991">
        <f>IF(AND(Input_Product=Elig!$C993,Elig_MatchAll_Ct&lt;22,$BC993=(Elig_MatchAll_Ct-1),AR993=0),O993,0)</f>
        <v>0</v>
      </c>
      <c r="BU993" s="991">
        <f>IF(AND(Input_Product=Elig!$C993,Elig_MatchAll_Ct&lt;22,$BC993=(Elig_MatchAll_Ct-1),AS993=0),P993,0)</f>
        <v>0</v>
      </c>
      <c r="BV993" s="992">
        <f>IF(AND(Input_Product=Elig!$C993,Elig_MatchAll_Ct&lt;22,$BC993=(Elig_MatchAll_Ct-1),AT993=0),Q993,0)</f>
        <v>0</v>
      </c>
      <c r="BW993" s="993">
        <f>IF(AND(Input_Product=Elig!$C993,Elig_MatchAll_Ct&lt;22,$BC993=(Elig_MatchAll_Ct-1),AU993=0),R993,0)</f>
        <v>0</v>
      </c>
      <c r="BX993" s="994">
        <f>IF(AND(Input_Product=Elig!$C993,Elig_MatchAll_Ct&lt;22,$BC993=(Elig_MatchAll_Ct-1),AU993=0),S993,0)</f>
        <v>0</v>
      </c>
      <c r="BY993" s="993">
        <f>IF(AND(Input_Product=Elig!$C993,Elig_MatchAll_Ct&lt;22,$BC993=(Elig_MatchAll_Ct-1),AV993=0),T993,0)</f>
        <v>0</v>
      </c>
      <c r="BZ993" s="994">
        <f>IF(AND(Input_Product=Elig!$C993,Elig_MatchAll_Ct&lt;22,$BC993=(Elig_MatchAll_Ct-1),AV993=0),U993,0)</f>
        <v>0</v>
      </c>
      <c r="CA993" s="993">
        <f>IF(AND(Input_Product=Elig!$C993,Elig_MatchAll_Ct&lt;22,$BC993=(Elig_MatchAll_Ct-1),AW993=0),V993,0)</f>
        <v>0</v>
      </c>
      <c r="CB993" s="994">
        <f>IF(AND(Input_Product=Elig!$C993,Elig_MatchAll_Ct&lt;22,$BC993=(Elig_MatchAll_Ct-1),AW993=0),W993,0)</f>
        <v>0</v>
      </c>
      <c r="CC993" s="993">
        <f>IF(AND(Input_Product=Elig!$C993,Elig_MatchAll_Ct&lt;22,$BC993=(Elig_MatchAll_Ct-1),AX993=0),X993,0)</f>
        <v>0</v>
      </c>
      <c r="CD993" s="994">
        <f>IF(AND(Input_Product=Elig!$C993,Elig_MatchAll_Ct&lt;22,$BC993=(Elig_MatchAll_Ct-1),AX993=0),Y993,0)</f>
        <v>0</v>
      </c>
      <c r="CE993" s="993">
        <f>IF(AND(Input_LTV&lt;=AE993,Input_Product=Elig!$C993,Elig_MatchAll_Ct&lt;22,$BC993=(Elig_MatchAll_Ct-1),AY993=0),Z993,0)</f>
        <v>0</v>
      </c>
      <c r="CF993" s="994">
        <f>IF(AND(Input_LTV&lt;=AE993,Input_Product=Elig!$C993,Elig_MatchAll_Ct&lt;22,$BC993=(Elig_MatchAll_Ct-1),AY993=0),AA993,0)</f>
        <v>0</v>
      </c>
      <c r="CG993" s="993">
        <f>IF(AND(Input_Product=Elig!$C993,Elig_MatchAll_Ct&lt;22,$BC993=(Elig_MatchAll_Ct-1),AZ993=0),AB993,0)</f>
        <v>0</v>
      </c>
      <c r="CH993" s="994">
        <f>IF(AND(Input_Product=Elig!$C993,Elig_MatchAll_Ct&lt;22,$BC993=(Elig_MatchAll_Ct-1),AZ993=0),AC993,0)</f>
        <v>0</v>
      </c>
      <c r="CI993" s="993">
        <f>IF(AND(Input_Product=Elig!$C993,Elig_MatchAll_Ct&lt;22,$BC993=(Elig_MatchAll_Ct-1),BA993=0),AD993,0)</f>
        <v>0</v>
      </c>
      <c r="CJ993" s="994">
        <f>IF(AND(Input_Product=Elig!$C993,Elig_MatchAll_Ct&lt;22,$BC993=(Elig_MatchAll_Ct-1),BA993=0),AE993,0)</f>
        <v>0</v>
      </c>
    </row>
    <row r="994" spans="2:88" ht="10.15" customHeight="1" x14ac:dyDescent="0.25">
      <c r="B994" s="1916" t="s">
        <v>2330</v>
      </c>
      <c r="C994" s="1213" t="str">
        <f t="shared" si="389"/>
        <v xml:space="preserve">  </v>
      </c>
      <c r="D994" s="1214" t="s">
        <v>2218</v>
      </c>
      <c r="E994" s="1214" t="s">
        <v>167</v>
      </c>
      <c r="F994" s="1214" t="s">
        <v>331</v>
      </c>
      <c r="G994" s="1215" t="s">
        <v>303</v>
      </c>
      <c r="H994" s="1215" t="s">
        <v>136</v>
      </c>
      <c r="I994" s="1214" t="s">
        <v>16</v>
      </c>
      <c r="J994" s="1214" t="s">
        <v>1311</v>
      </c>
      <c r="K994" s="1215" t="s">
        <v>3022</v>
      </c>
      <c r="L994" s="1214" t="s">
        <v>2768</v>
      </c>
      <c r="M994" s="1214" t="s">
        <v>2677</v>
      </c>
      <c r="N994" s="1215" t="s">
        <v>82</v>
      </c>
      <c r="O994" s="1214" t="s">
        <v>310</v>
      </c>
      <c r="P994" s="1214" t="s">
        <v>291</v>
      </c>
      <c r="Q994" s="1214" t="s">
        <v>294</v>
      </c>
      <c r="R994" s="1214">
        <v>1000000.01</v>
      </c>
      <c r="S994" s="1214">
        <v>1500000</v>
      </c>
      <c r="T994" s="1214">
        <v>0</v>
      </c>
      <c r="U994" s="1214">
        <f t="shared" si="400"/>
        <v>1500000</v>
      </c>
      <c r="V994" s="1214">
        <v>0</v>
      </c>
      <c r="W994" s="1214">
        <v>50</v>
      </c>
      <c r="X994" s="1214">
        <v>0</v>
      </c>
      <c r="Y994" s="1214">
        <v>999</v>
      </c>
      <c r="Z994" s="1216">
        <v>660</v>
      </c>
      <c r="AA994" s="1216">
        <v>679</v>
      </c>
      <c r="AB994" s="1216">
        <v>6</v>
      </c>
      <c r="AC994" s="1216">
        <v>999999</v>
      </c>
      <c r="AD994" s="1214">
        <v>0</v>
      </c>
      <c r="AE994" s="1217">
        <v>70</v>
      </c>
      <c r="AF994" s="170">
        <v>0</v>
      </c>
      <c r="AG994" s="171">
        <v>1</v>
      </c>
      <c r="AH994" s="171">
        <v>1</v>
      </c>
      <c r="AI994" s="171">
        <v>1</v>
      </c>
      <c r="AJ994" s="171">
        <v>1</v>
      </c>
      <c r="AK994" s="171">
        <v>1</v>
      </c>
      <c r="AL994" s="171">
        <v>1</v>
      </c>
      <c r="AM994" s="171">
        <v>1</v>
      </c>
      <c r="AN994" s="171">
        <v>1</v>
      </c>
      <c r="AO994" s="171">
        <v>1</v>
      </c>
      <c r="AP994" s="171">
        <v>1</v>
      </c>
      <c r="AQ994" s="171">
        <v>1</v>
      </c>
      <c r="AR994" s="171">
        <v>1</v>
      </c>
      <c r="AS994" s="171">
        <v>1</v>
      </c>
      <c r="AT994" s="171">
        <v>1</v>
      </c>
      <c r="AU994" s="171">
        <f t="shared" si="391"/>
        <v>0</v>
      </c>
      <c r="AV994" s="171">
        <f t="shared" si="392"/>
        <v>1</v>
      </c>
      <c r="AW994" s="171">
        <f t="shared" si="393"/>
        <v>1</v>
      </c>
      <c r="AX994" s="171">
        <f t="shared" si="388"/>
        <v>1</v>
      </c>
      <c r="AY994" s="171">
        <f t="shared" si="394"/>
        <v>0</v>
      </c>
      <c r="AZ994" s="171">
        <f t="shared" si="395"/>
        <v>1</v>
      </c>
      <c r="BA994" s="172">
        <f t="shared" si="396"/>
        <v>1</v>
      </c>
      <c r="BB994" s="175">
        <f t="shared" si="397"/>
        <v>19</v>
      </c>
      <c r="BC994" s="176">
        <f t="shared" si="398"/>
        <v>18</v>
      </c>
      <c r="BD994" s="176">
        <f t="shared" si="399"/>
        <v>19</v>
      </c>
      <c r="BE994" s="240" t="str">
        <f t="shared" si="390"/>
        <v/>
      </c>
      <c r="BF994" s="990"/>
      <c r="BG994" s="990"/>
      <c r="BH994" s="991">
        <f>IF(AND(Input_Product=Elig!$C994,Elig_MatchAll_Ct&lt;22,$BC994=(Elig_MatchAll_Ct-1),AF994=0),C994,0)</f>
        <v>0</v>
      </c>
      <c r="BI994" s="991">
        <f>IF(AND(Input_Product=Elig!$C994,Elig_MatchAll_Ct&lt;22,$BC994=(Elig_MatchAll_Ct-1),AG994=0),D994,0)</f>
        <v>0</v>
      </c>
      <c r="BJ994" s="991">
        <f>IF(AND(Input_Product=Elig!$C994,Elig_MatchAll_Ct&lt;22,$BC994=(Elig_MatchAll_Ct-1),AH994=0),E994,0)</f>
        <v>0</v>
      </c>
      <c r="BK994" s="991">
        <f>IF(AND(Input_Product=Elig!$C994,Elig_MatchAll_Ct&lt;22,$BC994=(Elig_MatchAll_Ct-1),AI994=0),F994,0)</f>
        <v>0</v>
      </c>
      <c r="BL994" s="991">
        <f>IF(AND(Input_Product=Elig!$C994,Elig_MatchAll_Ct&lt;22,$BC994=(Elig_MatchAll_Ct-1),AJ994=0),G994,0)</f>
        <v>0</v>
      </c>
      <c r="BM994" s="991">
        <f>IF(AND(Input_Product=Elig!$C994,Elig_MatchAll_Ct&lt;22,$BC994=(Elig_MatchAll_Ct-1),AK994=0),H994,0)</f>
        <v>0</v>
      </c>
      <c r="BN994" s="991">
        <f>IF(AND(Input_Product=Elig!$C994,Elig_MatchAll_Ct&lt;22,$BC994=(Elig_MatchAll_Ct-1),AL994=0),I994,0)</f>
        <v>0</v>
      </c>
      <c r="BO994" s="991">
        <f>IF(AND(Input_Product=Elig!$C994,Elig_MatchAll_Ct&lt;22,$BC994=(Elig_MatchAll_Ct-1),AM994=0),J994,0)</f>
        <v>0</v>
      </c>
      <c r="BP994" s="991">
        <f>IF(AND(Input_Product=Elig!$C994,Elig_MatchAll_Ct&lt;22,$BC994=(Elig_MatchAll_Ct-1),AN994=0),K994,0)</f>
        <v>0</v>
      </c>
      <c r="BQ994" s="991">
        <f>IF(AND(Input_Product=Elig!$C994,Elig_MatchAll_Ct&lt;22,$BC994=(Elig_MatchAll_Ct-1),AP994=0),L994,0)</f>
        <v>0</v>
      </c>
      <c r="BR994" s="991">
        <f>IF(AND(Input_Product=Elig!$C994,Elig_MatchAll_Ct&lt;22,$BC994=(Elig_MatchAll_Ct-1),AO994=0),M994,0)</f>
        <v>0</v>
      </c>
      <c r="BS994" s="991">
        <f>IF(AND(Input_Product=Elig!$C994,Elig_MatchAll_Ct&lt;22,$BC994=(Elig_MatchAll_Ct-1),AQ994=0),N994,0)</f>
        <v>0</v>
      </c>
      <c r="BT994" s="991">
        <f>IF(AND(Input_Product=Elig!$C994,Elig_MatchAll_Ct&lt;22,$BC994=(Elig_MatchAll_Ct-1),AR994=0),O994,0)</f>
        <v>0</v>
      </c>
      <c r="BU994" s="991">
        <f>IF(AND(Input_Product=Elig!$C994,Elig_MatchAll_Ct&lt;22,$BC994=(Elig_MatchAll_Ct-1),AS994=0),P994,0)</f>
        <v>0</v>
      </c>
      <c r="BV994" s="992">
        <f>IF(AND(Input_Product=Elig!$C994,Elig_MatchAll_Ct&lt;22,$BC994=(Elig_MatchAll_Ct-1),AT994=0),Q994,0)</f>
        <v>0</v>
      </c>
      <c r="BW994" s="993">
        <f>IF(AND(Input_Product=Elig!$C994,Elig_MatchAll_Ct&lt;22,$BC994=(Elig_MatchAll_Ct-1),AU994=0),R994,0)</f>
        <v>0</v>
      </c>
      <c r="BX994" s="994">
        <f>IF(AND(Input_Product=Elig!$C994,Elig_MatchAll_Ct&lt;22,$BC994=(Elig_MatchAll_Ct-1),AU994=0),S994,0)</f>
        <v>0</v>
      </c>
      <c r="BY994" s="993">
        <f>IF(AND(Input_Product=Elig!$C994,Elig_MatchAll_Ct&lt;22,$BC994=(Elig_MatchAll_Ct-1),AV994=0),T994,0)</f>
        <v>0</v>
      </c>
      <c r="BZ994" s="994">
        <f>IF(AND(Input_Product=Elig!$C994,Elig_MatchAll_Ct&lt;22,$BC994=(Elig_MatchAll_Ct-1),AV994=0),U994,0)</f>
        <v>0</v>
      </c>
      <c r="CA994" s="993">
        <f>IF(AND(Input_Product=Elig!$C994,Elig_MatchAll_Ct&lt;22,$BC994=(Elig_MatchAll_Ct-1),AW994=0),V994,0)</f>
        <v>0</v>
      </c>
      <c r="CB994" s="994">
        <f>IF(AND(Input_Product=Elig!$C994,Elig_MatchAll_Ct&lt;22,$BC994=(Elig_MatchAll_Ct-1),AW994=0),W994,0)</f>
        <v>0</v>
      </c>
      <c r="CC994" s="993">
        <f>IF(AND(Input_Product=Elig!$C994,Elig_MatchAll_Ct&lt;22,$BC994=(Elig_MatchAll_Ct-1),AX994=0),X994,0)</f>
        <v>0</v>
      </c>
      <c r="CD994" s="994">
        <f>IF(AND(Input_Product=Elig!$C994,Elig_MatchAll_Ct&lt;22,$BC994=(Elig_MatchAll_Ct-1),AX994=0),Y994,0)</f>
        <v>0</v>
      </c>
      <c r="CE994" s="993">
        <f>IF(AND(Input_LTV&lt;=AE994,Input_Product=Elig!$C994,Elig_MatchAll_Ct&lt;22,$BC994=(Elig_MatchAll_Ct-1),AY994=0),Z994,0)</f>
        <v>0</v>
      </c>
      <c r="CF994" s="994">
        <f>IF(AND(Input_LTV&lt;=AE994,Input_Product=Elig!$C994,Elig_MatchAll_Ct&lt;22,$BC994=(Elig_MatchAll_Ct-1),AY994=0),AA994,0)</f>
        <v>0</v>
      </c>
      <c r="CG994" s="993">
        <f>IF(AND(Input_Product=Elig!$C994,Elig_MatchAll_Ct&lt;22,$BC994=(Elig_MatchAll_Ct-1),AZ994=0),AB994,0)</f>
        <v>0</v>
      </c>
      <c r="CH994" s="994">
        <f>IF(AND(Input_Product=Elig!$C994,Elig_MatchAll_Ct&lt;22,$BC994=(Elig_MatchAll_Ct-1),AZ994=0),AC994,0)</f>
        <v>0</v>
      </c>
      <c r="CI994" s="993">
        <f>IF(AND(Input_Product=Elig!$C994,Elig_MatchAll_Ct&lt;22,$BC994=(Elig_MatchAll_Ct-1),BA994=0),AD994,0)</f>
        <v>0</v>
      </c>
      <c r="CJ994" s="994">
        <f>IF(AND(Input_Product=Elig!$C994,Elig_MatchAll_Ct&lt;22,$BC994=(Elig_MatchAll_Ct-1),BA994=0),AE994,0)</f>
        <v>0</v>
      </c>
    </row>
    <row r="995" spans="2:88" ht="10.15" customHeight="1" x14ac:dyDescent="0.25">
      <c r="B995" s="1916" t="s">
        <v>2331</v>
      </c>
      <c r="C995" s="1203" t="str">
        <f t="shared" si="389"/>
        <v xml:space="preserve">  </v>
      </c>
      <c r="D995" s="1204" t="s">
        <v>2218</v>
      </c>
      <c r="E995" s="1204" t="s">
        <v>167</v>
      </c>
      <c r="F995" s="1204" t="s">
        <v>331</v>
      </c>
      <c r="G995" s="1205" t="s">
        <v>303</v>
      </c>
      <c r="H995" s="1205" t="s">
        <v>136</v>
      </c>
      <c r="I995" s="1204" t="s">
        <v>16</v>
      </c>
      <c r="J995" s="1204" t="s">
        <v>1311</v>
      </c>
      <c r="K995" s="1205" t="s">
        <v>3022</v>
      </c>
      <c r="L995" s="1204" t="s">
        <v>2768</v>
      </c>
      <c r="M995" s="1204" t="s">
        <v>2677</v>
      </c>
      <c r="N995" s="1205" t="s">
        <v>82</v>
      </c>
      <c r="O995" s="1204" t="s">
        <v>310</v>
      </c>
      <c r="P995" s="1204" t="s">
        <v>291</v>
      </c>
      <c r="Q995" s="1204" t="s">
        <v>294</v>
      </c>
      <c r="R995" s="1204">
        <v>1500000.01</v>
      </c>
      <c r="S995" s="1204">
        <v>2000000</v>
      </c>
      <c r="T995" s="1204">
        <v>0</v>
      </c>
      <c r="U995" s="1204">
        <f t="shared" si="400"/>
        <v>2000000</v>
      </c>
      <c r="V995" s="1204">
        <v>0</v>
      </c>
      <c r="W995" s="1204">
        <v>50</v>
      </c>
      <c r="X995" s="1204">
        <v>0</v>
      </c>
      <c r="Y995" s="1204">
        <v>999</v>
      </c>
      <c r="Z995" s="1206">
        <v>720</v>
      </c>
      <c r="AA995" s="1206">
        <v>999</v>
      </c>
      <c r="AB995" s="1206">
        <v>6</v>
      </c>
      <c r="AC995" s="1206">
        <v>999999</v>
      </c>
      <c r="AD995" s="1204">
        <v>0</v>
      </c>
      <c r="AE995" s="1207">
        <v>80</v>
      </c>
      <c r="AF995" s="170">
        <v>0</v>
      </c>
      <c r="AG995" s="171">
        <v>1</v>
      </c>
      <c r="AH995" s="171">
        <v>1</v>
      </c>
      <c r="AI995" s="171">
        <v>1</v>
      </c>
      <c r="AJ995" s="171">
        <v>1</v>
      </c>
      <c r="AK995" s="171">
        <v>1</v>
      </c>
      <c r="AL995" s="171">
        <v>1</v>
      </c>
      <c r="AM995" s="171">
        <v>1</v>
      </c>
      <c r="AN995" s="171">
        <v>1</v>
      </c>
      <c r="AO995" s="171">
        <v>1</v>
      </c>
      <c r="AP995" s="171">
        <v>1</v>
      </c>
      <c r="AQ995" s="171">
        <v>1</v>
      </c>
      <c r="AR995" s="171">
        <v>1</v>
      </c>
      <c r="AS995" s="171">
        <v>1</v>
      </c>
      <c r="AT995" s="171">
        <v>1</v>
      </c>
      <c r="AU995" s="171">
        <f t="shared" si="391"/>
        <v>0</v>
      </c>
      <c r="AV995" s="171">
        <f t="shared" si="392"/>
        <v>1</v>
      </c>
      <c r="AW995" s="171">
        <f t="shared" si="393"/>
        <v>1</v>
      </c>
      <c r="AX995" s="171">
        <f t="shared" si="388"/>
        <v>1</v>
      </c>
      <c r="AY995" s="171">
        <f t="shared" si="394"/>
        <v>1</v>
      </c>
      <c r="AZ995" s="171">
        <f t="shared" si="395"/>
        <v>1</v>
      </c>
      <c r="BA995" s="172">
        <f t="shared" si="396"/>
        <v>1</v>
      </c>
      <c r="BB995" s="175">
        <f t="shared" si="397"/>
        <v>20</v>
      </c>
      <c r="BC995" s="176">
        <f t="shared" si="398"/>
        <v>19</v>
      </c>
      <c r="BD995" s="176">
        <f t="shared" si="399"/>
        <v>20</v>
      </c>
      <c r="BE995" s="240" t="str">
        <f t="shared" si="390"/>
        <v/>
      </c>
      <c r="BF995" s="990"/>
      <c r="BG995" s="990"/>
      <c r="BH995" s="991">
        <f>IF(AND(Input_Product=Elig!$C995,Elig_MatchAll_Ct&lt;22,$BC995=(Elig_MatchAll_Ct-1),AF995=0),C995,0)</f>
        <v>0</v>
      </c>
      <c r="BI995" s="991">
        <f>IF(AND(Input_Product=Elig!$C995,Elig_MatchAll_Ct&lt;22,$BC995=(Elig_MatchAll_Ct-1),AG995=0),D995,0)</f>
        <v>0</v>
      </c>
      <c r="BJ995" s="991">
        <f>IF(AND(Input_Product=Elig!$C995,Elig_MatchAll_Ct&lt;22,$BC995=(Elig_MatchAll_Ct-1),AH995=0),E995,0)</f>
        <v>0</v>
      </c>
      <c r="BK995" s="991">
        <f>IF(AND(Input_Product=Elig!$C995,Elig_MatchAll_Ct&lt;22,$BC995=(Elig_MatchAll_Ct-1),AI995=0),F995,0)</f>
        <v>0</v>
      </c>
      <c r="BL995" s="991">
        <f>IF(AND(Input_Product=Elig!$C995,Elig_MatchAll_Ct&lt;22,$BC995=(Elig_MatchAll_Ct-1),AJ995=0),G995,0)</f>
        <v>0</v>
      </c>
      <c r="BM995" s="991">
        <f>IF(AND(Input_Product=Elig!$C995,Elig_MatchAll_Ct&lt;22,$BC995=(Elig_MatchAll_Ct-1),AK995=0),H995,0)</f>
        <v>0</v>
      </c>
      <c r="BN995" s="991">
        <f>IF(AND(Input_Product=Elig!$C995,Elig_MatchAll_Ct&lt;22,$BC995=(Elig_MatchAll_Ct-1),AL995=0),I995,0)</f>
        <v>0</v>
      </c>
      <c r="BO995" s="991">
        <f>IF(AND(Input_Product=Elig!$C995,Elig_MatchAll_Ct&lt;22,$BC995=(Elig_MatchAll_Ct-1),AM995=0),J995,0)</f>
        <v>0</v>
      </c>
      <c r="BP995" s="991">
        <f>IF(AND(Input_Product=Elig!$C995,Elig_MatchAll_Ct&lt;22,$BC995=(Elig_MatchAll_Ct-1),AN995=0),K995,0)</f>
        <v>0</v>
      </c>
      <c r="BQ995" s="991">
        <f>IF(AND(Input_Product=Elig!$C995,Elig_MatchAll_Ct&lt;22,$BC995=(Elig_MatchAll_Ct-1),AP995=0),L995,0)</f>
        <v>0</v>
      </c>
      <c r="BR995" s="991">
        <f>IF(AND(Input_Product=Elig!$C995,Elig_MatchAll_Ct&lt;22,$BC995=(Elig_MatchAll_Ct-1),AO995=0),M995,0)</f>
        <v>0</v>
      </c>
      <c r="BS995" s="991">
        <f>IF(AND(Input_Product=Elig!$C995,Elig_MatchAll_Ct&lt;22,$BC995=(Elig_MatchAll_Ct-1),AQ995=0),N995,0)</f>
        <v>0</v>
      </c>
      <c r="BT995" s="991">
        <f>IF(AND(Input_Product=Elig!$C995,Elig_MatchAll_Ct&lt;22,$BC995=(Elig_MatchAll_Ct-1),AR995=0),O995,0)</f>
        <v>0</v>
      </c>
      <c r="BU995" s="991">
        <f>IF(AND(Input_Product=Elig!$C995,Elig_MatchAll_Ct&lt;22,$BC995=(Elig_MatchAll_Ct-1),AS995=0),P995,0)</f>
        <v>0</v>
      </c>
      <c r="BV995" s="992">
        <f>IF(AND(Input_Product=Elig!$C995,Elig_MatchAll_Ct&lt;22,$BC995=(Elig_MatchAll_Ct-1),AT995=0),Q995,0)</f>
        <v>0</v>
      </c>
      <c r="BW995" s="993">
        <f>IF(AND(Input_Product=Elig!$C995,Elig_MatchAll_Ct&lt;22,$BC995=(Elig_MatchAll_Ct-1),AU995=0),R995,0)</f>
        <v>0</v>
      </c>
      <c r="BX995" s="994">
        <f>IF(AND(Input_Product=Elig!$C995,Elig_MatchAll_Ct&lt;22,$BC995=(Elig_MatchAll_Ct-1),AU995=0),S995,0)</f>
        <v>0</v>
      </c>
      <c r="BY995" s="993">
        <f>IF(AND(Input_Product=Elig!$C995,Elig_MatchAll_Ct&lt;22,$BC995=(Elig_MatchAll_Ct-1),AV995=0),T995,0)</f>
        <v>0</v>
      </c>
      <c r="BZ995" s="994">
        <f>IF(AND(Input_Product=Elig!$C995,Elig_MatchAll_Ct&lt;22,$BC995=(Elig_MatchAll_Ct-1),AV995=0),U995,0)</f>
        <v>0</v>
      </c>
      <c r="CA995" s="993">
        <f>IF(AND(Input_Product=Elig!$C995,Elig_MatchAll_Ct&lt;22,$BC995=(Elig_MatchAll_Ct-1),AW995=0),V995,0)</f>
        <v>0</v>
      </c>
      <c r="CB995" s="994">
        <f>IF(AND(Input_Product=Elig!$C995,Elig_MatchAll_Ct&lt;22,$BC995=(Elig_MatchAll_Ct-1),AW995=0),W995,0)</f>
        <v>0</v>
      </c>
      <c r="CC995" s="993">
        <f>IF(AND(Input_Product=Elig!$C995,Elig_MatchAll_Ct&lt;22,$BC995=(Elig_MatchAll_Ct-1),AX995=0),X995,0)</f>
        <v>0</v>
      </c>
      <c r="CD995" s="994">
        <f>IF(AND(Input_Product=Elig!$C995,Elig_MatchAll_Ct&lt;22,$BC995=(Elig_MatchAll_Ct-1),AX995=0),Y995,0)</f>
        <v>0</v>
      </c>
      <c r="CE995" s="993">
        <f>IF(AND(Input_LTV&lt;=AE995,Input_Product=Elig!$C995,Elig_MatchAll_Ct&lt;22,$BC995=(Elig_MatchAll_Ct-1),AY995=0),Z995,0)</f>
        <v>0</v>
      </c>
      <c r="CF995" s="994">
        <f>IF(AND(Input_LTV&lt;=AE995,Input_Product=Elig!$C995,Elig_MatchAll_Ct&lt;22,$BC995=(Elig_MatchAll_Ct-1),AY995=0),AA995,0)</f>
        <v>0</v>
      </c>
      <c r="CG995" s="993">
        <f>IF(AND(Input_Product=Elig!$C995,Elig_MatchAll_Ct&lt;22,$BC995=(Elig_MatchAll_Ct-1),AZ995=0),AB995,0)</f>
        <v>0</v>
      </c>
      <c r="CH995" s="994">
        <f>IF(AND(Input_Product=Elig!$C995,Elig_MatchAll_Ct&lt;22,$BC995=(Elig_MatchAll_Ct-1),AZ995=0),AC995,0)</f>
        <v>0</v>
      </c>
      <c r="CI995" s="993">
        <f>IF(AND(Input_Product=Elig!$C995,Elig_MatchAll_Ct&lt;22,$BC995=(Elig_MatchAll_Ct-1),BA995=0),AD995,0)</f>
        <v>0</v>
      </c>
      <c r="CJ995" s="994">
        <f>IF(AND(Input_Product=Elig!$C995,Elig_MatchAll_Ct&lt;22,$BC995=(Elig_MatchAll_Ct-1),BA995=0),AE995,0)</f>
        <v>0</v>
      </c>
    </row>
    <row r="996" spans="2:88" ht="10.15" customHeight="1" x14ac:dyDescent="0.25">
      <c r="B996" s="1916" t="s">
        <v>2332</v>
      </c>
      <c r="C996" s="1208" t="str">
        <f t="shared" si="389"/>
        <v xml:space="preserve">  </v>
      </c>
      <c r="D996" s="1209" t="s">
        <v>2218</v>
      </c>
      <c r="E996" s="1209" t="s">
        <v>167</v>
      </c>
      <c r="F996" s="1209" t="s">
        <v>331</v>
      </c>
      <c r="G996" s="1210" t="s">
        <v>303</v>
      </c>
      <c r="H996" s="1210" t="s">
        <v>136</v>
      </c>
      <c r="I996" s="1209" t="s">
        <v>16</v>
      </c>
      <c r="J996" s="1209" t="s">
        <v>1311</v>
      </c>
      <c r="K996" s="1210" t="s">
        <v>3022</v>
      </c>
      <c r="L996" s="1209" t="s">
        <v>2768</v>
      </c>
      <c r="M996" s="1209" t="s">
        <v>2677</v>
      </c>
      <c r="N996" s="1210" t="s">
        <v>82</v>
      </c>
      <c r="O996" s="1209" t="s">
        <v>310</v>
      </c>
      <c r="P996" s="1209" t="s">
        <v>291</v>
      </c>
      <c r="Q996" s="1209" t="s">
        <v>294</v>
      </c>
      <c r="R996" s="1209">
        <v>1500000.01</v>
      </c>
      <c r="S996" s="1209">
        <v>2000000</v>
      </c>
      <c r="T996" s="1209">
        <v>0</v>
      </c>
      <c r="U996" s="1209">
        <f t="shared" si="400"/>
        <v>2000000</v>
      </c>
      <c r="V996" s="1209">
        <v>0</v>
      </c>
      <c r="W996" s="1209">
        <v>50</v>
      </c>
      <c r="X996" s="1209">
        <v>0</v>
      </c>
      <c r="Y996" s="1209">
        <v>999</v>
      </c>
      <c r="Z996" s="1211">
        <v>700</v>
      </c>
      <c r="AA996" s="1211">
        <v>719</v>
      </c>
      <c r="AB996" s="1211">
        <v>6</v>
      </c>
      <c r="AC996" s="1211">
        <v>999999</v>
      </c>
      <c r="AD996" s="1209">
        <v>0</v>
      </c>
      <c r="AE996" s="1212">
        <v>80</v>
      </c>
      <c r="AF996" s="170">
        <v>0</v>
      </c>
      <c r="AG996" s="171">
        <v>1</v>
      </c>
      <c r="AH996" s="171">
        <v>1</v>
      </c>
      <c r="AI996" s="171">
        <v>1</v>
      </c>
      <c r="AJ996" s="171">
        <v>1</v>
      </c>
      <c r="AK996" s="171">
        <v>1</v>
      </c>
      <c r="AL996" s="171">
        <v>1</v>
      </c>
      <c r="AM996" s="171">
        <v>1</v>
      </c>
      <c r="AN996" s="171">
        <v>1</v>
      </c>
      <c r="AO996" s="171">
        <v>1</v>
      </c>
      <c r="AP996" s="171">
        <v>1</v>
      </c>
      <c r="AQ996" s="171">
        <v>1</v>
      </c>
      <c r="AR996" s="171">
        <v>1</v>
      </c>
      <c r="AS996" s="171">
        <v>1</v>
      </c>
      <c r="AT996" s="171">
        <v>1</v>
      </c>
      <c r="AU996" s="171">
        <f t="shared" si="391"/>
        <v>0</v>
      </c>
      <c r="AV996" s="171">
        <f t="shared" si="392"/>
        <v>1</v>
      </c>
      <c r="AW996" s="171">
        <f t="shared" si="393"/>
        <v>1</v>
      </c>
      <c r="AX996" s="171">
        <f t="shared" si="388"/>
        <v>1</v>
      </c>
      <c r="AY996" s="171">
        <f t="shared" si="394"/>
        <v>0</v>
      </c>
      <c r="AZ996" s="171">
        <f t="shared" si="395"/>
        <v>1</v>
      </c>
      <c r="BA996" s="172">
        <f t="shared" si="396"/>
        <v>1</v>
      </c>
      <c r="BB996" s="175">
        <f t="shared" si="397"/>
        <v>19</v>
      </c>
      <c r="BC996" s="176">
        <f t="shared" si="398"/>
        <v>18</v>
      </c>
      <c r="BD996" s="176">
        <f t="shared" si="399"/>
        <v>19</v>
      </c>
      <c r="BE996" s="240" t="str">
        <f t="shared" si="390"/>
        <v/>
      </c>
      <c r="BF996" s="990"/>
      <c r="BG996" s="990"/>
      <c r="BH996" s="991">
        <f>IF(AND(Input_Product=Elig!$C996,Elig_MatchAll_Ct&lt;22,$BC996=(Elig_MatchAll_Ct-1),AF996=0),C996,0)</f>
        <v>0</v>
      </c>
      <c r="BI996" s="991">
        <f>IF(AND(Input_Product=Elig!$C996,Elig_MatchAll_Ct&lt;22,$BC996=(Elig_MatchAll_Ct-1),AG996=0),D996,0)</f>
        <v>0</v>
      </c>
      <c r="BJ996" s="991">
        <f>IF(AND(Input_Product=Elig!$C996,Elig_MatchAll_Ct&lt;22,$BC996=(Elig_MatchAll_Ct-1),AH996=0),E996,0)</f>
        <v>0</v>
      </c>
      <c r="BK996" s="991">
        <f>IF(AND(Input_Product=Elig!$C996,Elig_MatchAll_Ct&lt;22,$BC996=(Elig_MatchAll_Ct-1),AI996=0),F996,0)</f>
        <v>0</v>
      </c>
      <c r="BL996" s="991">
        <f>IF(AND(Input_Product=Elig!$C996,Elig_MatchAll_Ct&lt;22,$BC996=(Elig_MatchAll_Ct-1),AJ996=0),G996,0)</f>
        <v>0</v>
      </c>
      <c r="BM996" s="991">
        <f>IF(AND(Input_Product=Elig!$C996,Elig_MatchAll_Ct&lt;22,$BC996=(Elig_MatchAll_Ct-1),AK996=0),H996,0)</f>
        <v>0</v>
      </c>
      <c r="BN996" s="991">
        <f>IF(AND(Input_Product=Elig!$C996,Elig_MatchAll_Ct&lt;22,$BC996=(Elig_MatchAll_Ct-1),AL996=0),I996,0)</f>
        <v>0</v>
      </c>
      <c r="BO996" s="991">
        <f>IF(AND(Input_Product=Elig!$C996,Elig_MatchAll_Ct&lt;22,$BC996=(Elig_MatchAll_Ct-1),AM996=0),J996,0)</f>
        <v>0</v>
      </c>
      <c r="BP996" s="991">
        <f>IF(AND(Input_Product=Elig!$C996,Elig_MatchAll_Ct&lt;22,$BC996=(Elig_MatchAll_Ct-1),AN996=0),K996,0)</f>
        <v>0</v>
      </c>
      <c r="BQ996" s="991">
        <f>IF(AND(Input_Product=Elig!$C996,Elig_MatchAll_Ct&lt;22,$BC996=(Elig_MatchAll_Ct-1),AP996=0),L996,0)</f>
        <v>0</v>
      </c>
      <c r="BR996" s="991">
        <f>IF(AND(Input_Product=Elig!$C996,Elig_MatchAll_Ct&lt;22,$BC996=(Elig_MatchAll_Ct-1),AO996=0),M996,0)</f>
        <v>0</v>
      </c>
      <c r="BS996" s="991">
        <f>IF(AND(Input_Product=Elig!$C996,Elig_MatchAll_Ct&lt;22,$BC996=(Elig_MatchAll_Ct-1),AQ996=0),N996,0)</f>
        <v>0</v>
      </c>
      <c r="BT996" s="991">
        <f>IF(AND(Input_Product=Elig!$C996,Elig_MatchAll_Ct&lt;22,$BC996=(Elig_MatchAll_Ct-1),AR996=0),O996,0)</f>
        <v>0</v>
      </c>
      <c r="BU996" s="991">
        <f>IF(AND(Input_Product=Elig!$C996,Elig_MatchAll_Ct&lt;22,$BC996=(Elig_MatchAll_Ct-1),AS996=0),P996,0)</f>
        <v>0</v>
      </c>
      <c r="BV996" s="992">
        <f>IF(AND(Input_Product=Elig!$C996,Elig_MatchAll_Ct&lt;22,$BC996=(Elig_MatchAll_Ct-1),AT996=0),Q996,0)</f>
        <v>0</v>
      </c>
      <c r="BW996" s="993">
        <f>IF(AND(Input_Product=Elig!$C996,Elig_MatchAll_Ct&lt;22,$BC996=(Elig_MatchAll_Ct-1),AU996=0),R996,0)</f>
        <v>0</v>
      </c>
      <c r="BX996" s="994">
        <f>IF(AND(Input_Product=Elig!$C996,Elig_MatchAll_Ct&lt;22,$BC996=(Elig_MatchAll_Ct-1),AU996=0),S996,0)</f>
        <v>0</v>
      </c>
      <c r="BY996" s="993">
        <f>IF(AND(Input_Product=Elig!$C996,Elig_MatchAll_Ct&lt;22,$BC996=(Elig_MatchAll_Ct-1),AV996=0),T996,0)</f>
        <v>0</v>
      </c>
      <c r="BZ996" s="994">
        <f>IF(AND(Input_Product=Elig!$C996,Elig_MatchAll_Ct&lt;22,$BC996=(Elig_MatchAll_Ct-1),AV996=0),U996,0)</f>
        <v>0</v>
      </c>
      <c r="CA996" s="993">
        <f>IF(AND(Input_Product=Elig!$C996,Elig_MatchAll_Ct&lt;22,$BC996=(Elig_MatchAll_Ct-1),AW996=0),V996,0)</f>
        <v>0</v>
      </c>
      <c r="CB996" s="994">
        <f>IF(AND(Input_Product=Elig!$C996,Elig_MatchAll_Ct&lt;22,$BC996=(Elig_MatchAll_Ct-1),AW996=0),W996,0)</f>
        <v>0</v>
      </c>
      <c r="CC996" s="993">
        <f>IF(AND(Input_Product=Elig!$C996,Elig_MatchAll_Ct&lt;22,$BC996=(Elig_MatchAll_Ct-1),AX996=0),X996,0)</f>
        <v>0</v>
      </c>
      <c r="CD996" s="994">
        <f>IF(AND(Input_Product=Elig!$C996,Elig_MatchAll_Ct&lt;22,$BC996=(Elig_MatchAll_Ct-1),AX996=0),Y996,0)</f>
        <v>0</v>
      </c>
      <c r="CE996" s="993">
        <f>IF(AND(Input_LTV&lt;=AE996,Input_Product=Elig!$C996,Elig_MatchAll_Ct&lt;22,$BC996=(Elig_MatchAll_Ct-1),AY996=0),Z996,0)</f>
        <v>0</v>
      </c>
      <c r="CF996" s="994">
        <f>IF(AND(Input_LTV&lt;=AE996,Input_Product=Elig!$C996,Elig_MatchAll_Ct&lt;22,$BC996=(Elig_MatchAll_Ct-1),AY996=0),AA996,0)</f>
        <v>0</v>
      </c>
      <c r="CG996" s="993">
        <f>IF(AND(Input_Product=Elig!$C996,Elig_MatchAll_Ct&lt;22,$BC996=(Elig_MatchAll_Ct-1),AZ996=0),AB996,0)</f>
        <v>0</v>
      </c>
      <c r="CH996" s="994">
        <f>IF(AND(Input_Product=Elig!$C996,Elig_MatchAll_Ct&lt;22,$BC996=(Elig_MatchAll_Ct-1),AZ996=0),AC996,0)</f>
        <v>0</v>
      </c>
      <c r="CI996" s="993">
        <f>IF(AND(Input_Product=Elig!$C996,Elig_MatchAll_Ct&lt;22,$BC996=(Elig_MatchAll_Ct-1),BA996=0),AD996,0)</f>
        <v>0</v>
      </c>
      <c r="CJ996" s="994">
        <f>IF(AND(Input_Product=Elig!$C996,Elig_MatchAll_Ct&lt;22,$BC996=(Elig_MatchAll_Ct-1),BA996=0),AE996,0)</f>
        <v>0</v>
      </c>
    </row>
    <row r="997" spans="2:88" ht="10.15" customHeight="1" x14ac:dyDescent="0.25">
      <c r="B997" s="1916" t="s">
        <v>2333</v>
      </c>
      <c r="C997" s="1208" t="str">
        <f t="shared" si="389"/>
        <v xml:space="preserve">  </v>
      </c>
      <c r="D997" s="1209" t="s">
        <v>2218</v>
      </c>
      <c r="E997" s="1209" t="s">
        <v>167</v>
      </c>
      <c r="F997" s="1209" t="s">
        <v>331</v>
      </c>
      <c r="G997" s="1210" t="s">
        <v>303</v>
      </c>
      <c r="H997" s="1210" t="s">
        <v>136</v>
      </c>
      <c r="I997" s="1209" t="s">
        <v>16</v>
      </c>
      <c r="J997" s="1209" t="s">
        <v>1311</v>
      </c>
      <c r="K997" s="1210" t="s">
        <v>3022</v>
      </c>
      <c r="L997" s="1209" t="s">
        <v>2768</v>
      </c>
      <c r="M997" s="1209" t="s">
        <v>2677</v>
      </c>
      <c r="N997" s="1210" t="s">
        <v>82</v>
      </c>
      <c r="O997" s="1209" t="s">
        <v>310</v>
      </c>
      <c r="P997" s="1209" t="s">
        <v>291</v>
      </c>
      <c r="Q997" s="1209" t="s">
        <v>294</v>
      </c>
      <c r="R997" s="1209">
        <v>1500000.01</v>
      </c>
      <c r="S997" s="1209">
        <v>2000000</v>
      </c>
      <c r="T997" s="1209">
        <v>0</v>
      </c>
      <c r="U997" s="1209">
        <f t="shared" si="400"/>
        <v>2000000</v>
      </c>
      <c r="V997" s="1209">
        <v>0</v>
      </c>
      <c r="W997" s="1209">
        <v>50</v>
      </c>
      <c r="X997" s="1209">
        <v>0</v>
      </c>
      <c r="Y997" s="1209">
        <v>999</v>
      </c>
      <c r="Z997" s="1211">
        <v>680</v>
      </c>
      <c r="AA997" s="1211">
        <v>699</v>
      </c>
      <c r="AB997" s="1211">
        <v>6</v>
      </c>
      <c r="AC997" s="1211">
        <v>999999</v>
      </c>
      <c r="AD997" s="1209">
        <v>0</v>
      </c>
      <c r="AE997" s="1212">
        <v>75</v>
      </c>
      <c r="AF997" s="170">
        <v>0</v>
      </c>
      <c r="AG997" s="171">
        <v>1</v>
      </c>
      <c r="AH997" s="171">
        <v>1</v>
      </c>
      <c r="AI997" s="171">
        <v>1</v>
      </c>
      <c r="AJ997" s="171">
        <v>1</v>
      </c>
      <c r="AK997" s="171">
        <v>1</v>
      </c>
      <c r="AL997" s="171">
        <v>1</v>
      </c>
      <c r="AM997" s="171">
        <v>1</v>
      </c>
      <c r="AN997" s="171">
        <v>1</v>
      </c>
      <c r="AO997" s="171">
        <v>1</v>
      </c>
      <c r="AP997" s="171">
        <v>1</v>
      </c>
      <c r="AQ997" s="171">
        <v>1</v>
      </c>
      <c r="AR997" s="171">
        <v>1</v>
      </c>
      <c r="AS997" s="171">
        <v>1</v>
      </c>
      <c r="AT997" s="171">
        <v>1</v>
      </c>
      <c r="AU997" s="171">
        <f t="shared" si="391"/>
        <v>0</v>
      </c>
      <c r="AV997" s="171">
        <f t="shared" si="392"/>
        <v>1</v>
      </c>
      <c r="AW997" s="171">
        <f t="shared" si="393"/>
        <v>1</v>
      </c>
      <c r="AX997" s="171">
        <f t="shared" ref="AX997:AX1060" si="401">IF(AND(Input_DSCR&gt;=Elig_DSCR_Min,Input_DSCR&lt;=Elig_DSCR_Max),1,0)</f>
        <v>1</v>
      </c>
      <c r="AY997" s="171">
        <f t="shared" si="394"/>
        <v>0</v>
      </c>
      <c r="AZ997" s="171">
        <f t="shared" si="395"/>
        <v>1</v>
      </c>
      <c r="BA997" s="172">
        <f t="shared" si="396"/>
        <v>1</v>
      </c>
      <c r="BB997" s="175">
        <f t="shared" si="397"/>
        <v>19</v>
      </c>
      <c r="BC997" s="176">
        <f t="shared" si="398"/>
        <v>18</v>
      </c>
      <c r="BD997" s="176">
        <f t="shared" si="399"/>
        <v>19</v>
      </c>
      <c r="BE997" s="240" t="str">
        <f t="shared" si="390"/>
        <v/>
      </c>
      <c r="BF997" s="990"/>
      <c r="BG997" s="990"/>
      <c r="BH997" s="991">
        <f>IF(AND(Input_Product=Elig!$C997,Elig_MatchAll_Ct&lt;22,$BC997=(Elig_MatchAll_Ct-1),AF997=0),C997,0)</f>
        <v>0</v>
      </c>
      <c r="BI997" s="991">
        <f>IF(AND(Input_Product=Elig!$C997,Elig_MatchAll_Ct&lt;22,$BC997=(Elig_MatchAll_Ct-1),AG997=0),D997,0)</f>
        <v>0</v>
      </c>
      <c r="BJ997" s="991">
        <f>IF(AND(Input_Product=Elig!$C997,Elig_MatchAll_Ct&lt;22,$BC997=(Elig_MatchAll_Ct-1),AH997=0),E997,0)</f>
        <v>0</v>
      </c>
      <c r="BK997" s="991">
        <f>IF(AND(Input_Product=Elig!$C997,Elig_MatchAll_Ct&lt;22,$BC997=(Elig_MatchAll_Ct-1),AI997=0),F997,0)</f>
        <v>0</v>
      </c>
      <c r="BL997" s="991">
        <f>IF(AND(Input_Product=Elig!$C997,Elig_MatchAll_Ct&lt;22,$BC997=(Elig_MatchAll_Ct-1),AJ997=0),G997,0)</f>
        <v>0</v>
      </c>
      <c r="BM997" s="991">
        <f>IF(AND(Input_Product=Elig!$C997,Elig_MatchAll_Ct&lt;22,$BC997=(Elig_MatchAll_Ct-1),AK997=0),H997,0)</f>
        <v>0</v>
      </c>
      <c r="BN997" s="991">
        <f>IF(AND(Input_Product=Elig!$C997,Elig_MatchAll_Ct&lt;22,$BC997=(Elig_MatchAll_Ct-1),AL997=0),I997,0)</f>
        <v>0</v>
      </c>
      <c r="BO997" s="991">
        <f>IF(AND(Input_Product=Elig!$C997,Elig_MatchAll_Ct&lt;22,$BC997=(Elig_MatchAll_Ct-1),AM997=0),J997,0)</f>
        <v>0</v>
      </c>
      <c r="BP997" s="991">
        <f>IF(AND(Input_Product=Elig!$C997,Elig_MatchAll_Ct&lt;22,$BC997=(Elig_MatchAll_Ct-1),AN997=0),K997,0)</f>
        <v>0</v>
      </c>
      <c r="BQ997" s="991">
        <f>IF(AND(Input_Product=Elig!$C997,Elig_MatchAll_Ct&lt;22,$BC997=(Elig_MatchAll_Ct-1),AP997=0),L997,0)</f>
        <v>0</v>
      </c>
      <c r="BR997" s="991">
        <f>IF(AND(Input_Product=Elig!$C997,Elig_MatchAll_Ct&lt;22,$BC997=(Elig_MatchAll_Ct-1),AO997=0),M997,0)</f>
        <v>0</v>
      </c>
      <c r="BS997" s="991">
        <f>IF(AND(Input_Product=Elig!$C997,Elig_MatchAll_Ct&lt;22,$BC997=(Elig_MatchAll_Ct-1),AQ997=0),N997,0)</f>
        <v>0</v>
      </c>
      <c r="BT997" s="991">
        <f>IF(AND(Input_Product=Elig!$C997,Elig_MatchAll_Ct&lt;22,$BC997=(Elig_MatchAll_Ct-1),AR997=0),O997,0)</f>
        <v>0</v>
      </c>
      <c r="BU997" s="991">
        <f>IF(AND(Input_Product=Elig!$C997,Elig_MatchAll_Ct&lt;22,$BC997=(Elig_MatchAll_Ct-1),AS997=0),P997,0)</f>
        <v>0</v>
      </c>
      <c r="BV997" s="992">
        <f>IF(AND(Input_Product=Elig!$C997,Elig_MatchAll_Ct&lt;22,$BC997=(Elig_MatchAll_Ct-1),AT997=0),Q997,0)</f>
        <v>0</v>
      </c>
      <c r="BW997" s="993">
        <f>IF(AND(Input_Product=Elig!$C997,Elig_MatchAll_Ct&lt;22,$BC997=(Elig_MatchAll_Ct-1),AU997=0),R997,0)</f>
        <v>0</v>
      </c>
      <c r="BX997" s="994">
        <f>IF(AND(Input_Product=Elig!$C997,Elig_MatchAll_Ct&lt;22,$BC997=(Elig_MatchAll_Ct-1),AU997=0),S997,0)</f>
        <v>0</v>
      </c>
      <c r="BY997" s="993">
        <f>IF(AND(Input_Product=Elig!$C997,Elig_MatchAll_Ct&lt;22,$BC997=(Elig_MatchAll_Ct-1),AV997=0),T997,0)</f>
        <v>0</v>
      </c>
      <c r="BZ997" s="994">
        <f>IF(AND(Input_Product=Elig!$C997,Elig_MatchAll_Ct&lt;22,$BC997=(Elig_MatchAll_Ct-1),AV997=0),U997,0)</f>
        <v>0</v>
      </c>
      <c r="CA997" s="993">
        <f>IF(AND(Input_Product=Elig!$C997,Elig_MatchAll_Ct&lt;22,$BC997=(Elig_MatchAll_Ct-1),AW997=0),V997,0)</f>
        <v>0</v>
      </c>
      <c r="CB997" s="994">
        <f>IF(AND(Input_Product=Elig!$C997,Elig_MatchAll_Ct&lt;22,$BC997=(Elig_MatchAll_Ct-1),AW997=0),W997,0)</f>
        <v>0</v>
      </c>
      <c r="CC997" s="993">
        <f>IF(AND(Input_Product=Elig!$C997,Elig_MatchAll_Ct&lt;22,$BC997=(Elig_MatchAll_Ct-1),AX997=0),X997,0)</f>
        <v>0</v>
      </c>
      <c r="CD997" s="994">
        <f>IF(AND(Input_Product=Elig!$C997,Elig_MatchAll_Ct&lt;22,$BC997=(Elig_MatchAll_Ct-1),AX997=0),Y997,0)</f>
        <v>0</v>
      </c>
      <c r="CE997" s="993">
        <f>IF(AND(Input_LTV&lt;=AE997,Input_Product=Elig!$C997,Elig_MatchAll_Ct&lt;22,$BC997=(Elig_MatchAll_Ct-1),AY997=0),Z997,0)</f>
        <v>0</v>
      </c>
      <c r="CF997" s="994">
        <f>IF(AND(Input_LTV&lt;=AE997,Input_Product=Elig!$C997,Elig_MatchAll_Ct&lt;22,$BC997=(Elig_MatchAll_Ct-1),AY997=0),AA997,0)</f>
        <v>0</v>
      </c>
      <c r="CG997" s="993">
        <f>IF(AND(Input_Product=Elig!$C997,Elig_MatchAll_Ct&lt;22,$BC997=(Elig_MatchAll_Ct-1),AZ997=0),AB997,0)</f>
        <v>0</v>
      </c>
      <c r="CH997" s="994">
        <f>IF(AND(Input_Product=Elig!$C997,Elig_MatchAll_Ct&lt;22,$BC997=(Elig_MatchAll_Ct-1),AZ997=0),AC997,0)</f>
        <v>0</v>
      </c>
      <c r="CI997" s="993">
        <f>IF(AND(Input_Product=Elig!$C997,Elig_MatchAll_Ct&lt;22,$BC997=(Elig_MatchAll_Ct-1),BA997=0),AD997,0)</f>
        <v>0</v>
      </c>
      <c r="CJ997" s="994">
        <f>IF(AND(Input_Product=Elig!$C997,Elig_MatchAll_Ct&lt;22,$BC997=(Elig_MatchAll_Ct-1),BA997=0),AE997,0)</f>
        <v>0</v>
      </c>
    </row>
    <row r="998" spans="2:88" ht="10.15" customHeight="1" x14ac:dyDescent="0.25">
      <c r="B998" s="1916" t="s">
        <v>2334</v>
      </c>
      <c r="C998" s="1213" t="str">
        <f t="shared" si="389"/>
        <v xml:space="preserve">  </v>
      </c>
      <c r="D998" s="1214" t="s">
        <v>2218</v>
      </c>
      <c r="E998" s="1214" t="s">
        <v>167</v>
      </c>
      <c r="F998" s="1214" t="s">
        <v>331</v>
      </c>
      <c r="G998" s="1215" t="s">
        <v>303</v>
      </c>
      <c r="H998" s="1215" t="s">
        <v>136</v>
      </c>
      <c r="I998" s="1214" t="s">
        <v>16</v>
      </c>
      <c r="J998" s="1214" t="s">
        <v>1311</v>
      </c>
      <c r="K998" s="1215" t="s">
        <v>3022</v>
      </c>
      <c r="L998" s="1214" t="s">
        <v>2768</v>
      </c>
      <c r="M998" s="1214" t="s">
        <v>2677</v>
      </c>
      <c r="N998" s="1215" t="s">
        <v>82</v>
      </c>
      <c r="O998" s="1214" t="s">
        <v>310</v>
      </c>
      <c r="P998" s="1214" t="s">
        <v>291</v>
      </c>
      <c r="Q998" s="1214" t="s">
        <v>294</v>
      </c>
      <c r="R998" s="1214">
        <v>1500000.01</v>
      </c>
      <c r="S998" s="1214">
        <v>2000000</v>
      </c>
      <c r="T998" s="1214">
        <v>0</v>
      </c>
      <c r="U998" s="1214">
        <f t="shared" si="400"/>
        <v>2000000</v>
      </c>
      <c r="V998" s="1214">
        <v>0</v>
      </c>
      <c r="W998" s="1214">
        <v>50</v>
      </c>
      <c r="X998" s="1214">
        <v>0</v>
      </c>
      <c r="Y998" s="1214">
        <v>999</v>
      </c>
      <c r="Z998" s="1216">
        <v>660</v>
      </c>
      <c r="AA998" s="1216">
        <v>679</v>
      </c>
      <c r="AB998" s="1216">
        <v>6</v>
      </c>
      <c r="AC998" s="1216">
        <v>999999</v>
      </c>
      <c r="AD998" s="1214">
        <v>0</v>
      </c>
      <c r="AE998" s="1217">
        <v>70</v>
      </c>
      <c r="AF998" s="170">
        <v>0</v>
      </c>
      <c r="AG998" s="171">
        <v>1</v>
      </c>
      <c r="AH998" s="171">
        <v>1</v>
      </c>
      <c r="AI998" s="171">
        <v>1</v>
      </c>
      <c r="AJ998" s="171">
        <v>1</v>
      </c>
      <c r="AK998" s="171">
        <v>1</v>
      </c>
      <c r="AL998" s="171">
        <v>1</v>
      </c>
      <c r="AM998" s="171">
        <v>1</v>
      </c>
      <c r="AN998" s="171">
        <v>1</v>
      </c>
      <c r="AO998" s="171">
        <v>1</v>
      </c>
      <c r="AP998" s="171">
        <v>1</v>
      </c>
      <c r="AQ998" s="171">
        <v>1</v>
      </c>
      <c r="AR998" s="171">
        <v>1</v>
      </c>
      <c r="AS998" s="171">
        <v>1</v>
      </c>
      <c r="AT998" s="171">
        <v>1</v>
      </c>
      <c r="AU998" s="171">
        <f t="shared" si="391"/>
        <v>0</v>
      </c>
      <c r="AV998" s="171">
        <f t="shared" si="392"/>
        <v>1</v>
      </c>
      <c r="AW998" s="171">
        <f t="shared" si="393"/>
        <v>1</v>
      </c>
      <c r="AX998" s="171">
        <f t="shared" si="401"/>
        <v>1</v>
      </c>
      <c r="AY998" s="171">
        <f t="shared" si="394"/>
        <v>0</v>
      </c>
      <c r="AZ998" s="171">
        <f t="shared" si="395"/>
        <v>1</v>
      </c>
      <c r="BA998" s="172">
        <f t="shared" si="396"/>
        <v>1</v>
      </c>
      <c r="BB998" s="175">
        <f t="shared" si="397"/>
        <v>19</v>
      </c>
      <c r="BC998" s="176">
        <f t="shared" si="398"/>
        <v>18</v>
      </c>
      <c r="BD998" s="176">
        <f t="shared" si="399"/>
        <v>19</v>
      </c>
      <c r="BE998" s="240" t="str">
        <f t="shared" si="390"/>
        <v/>
      </c>
      <c r="BF998" s="990"/>
      <c r="BG998" s="990"/>
      <c r="BH998" s="991">
        <f>IF(AND(Input_Product=Elig!$C998,Elig_MatchAll_Ct&lt;22,$BC998=(Elig_MatchAll_Ct-1),AF998=0),C998,0)</f>
        <v>0</v>
      </c>
      <c r="BI998" s="991">
        <f>IF(AND(Input_Product=Elig!$C998,Elig_MatchAll_Ct&lt;22,$BC998=(Elig_MatchAll_Ct-1),AG998=0),D998,0)</f>
        <v>0</v>
      </c>
      <c r="BJ998" s="991">
        <f>IF(AND(Input_Product=Elig!$C998,Elig_MatchAll_Ct&lt;22,$BC998=(Elig_MatchAll_Ct-1),AH998=0),E998,0)</f>
        <v>0</v>
      </c>
      <c r="BK998" s="991">
        <f>IF(AND(Input_Product=Elig!$C998,Elig_MatchAll_Ct&lt;22,$BC998=(Elig_MatchAll_Ct-1),AI998=0),F998,0)</f>
        <v>0</v>
      </c>
      <c r="BL998" s="991">
        <f>IF(AND(Input_Product=Elig!$C998,Elig_MatchAll_Ct&lt;22,$BC998=(Elig_MatchAll_Ct-1),AJ998=0),G998,0)</f>
        <v>0</v>
      </c>
      <c r="BM998" s="991">
        <f>IF(AND(Input_Product=Elig!$C998,Elig_MatchAll_Ct&lt;22,$BC998=(Elig_MatchAll_Ct-1),AK998=0),H998,0)</f>
        <v>0</v>
      </c>
      <c r="BN998" s="991">
        <f>IF(AND(Input_Product=Elig!$C998,Elig_MatchAll_Ct&lt;22,$BC998=(Elig_MatchAll_Ct-1),AL998=0),I998,0)</f>
        <v>0</v>
      </c>
      <c r="BO998" s="991">
        <f>IF(AND(Input_Product=Elig!$C998,Elig_MatchAll_Ct&lt;22,$BC998=(Elig_MatchAll_Ct-1),AM998=0),J998,0)</f>
        <v>0</v>
      </c>
      <c r="BP998" s="991">
        <f>IF(AND(Input_Product=Elig!$C998,Elig_MatchAll_Ct&lt;22,$BC998=(Elig_MatchAll_Ct-1),AN998=0),K998,0)</f>
        <v>0</v>
      </c>
      <c r="BQ998" s="991">
        <f>IF(AND(Input_Product=Elig!$C998,Elig_MatchAll_Ct&lt;22,$BC998=(Elig_MatchAll_Ct-1),AP998=0),L998,0)</f>
        <v>0</v>
      </c>
      <c r="BR998" s="991">
        <f>IF(AND(Input_Product=Elig!$C998,Elig_MatchAll_Ct&lt;22,$BC998=(Elig_MatchAll_Ct-1),AO998=0),M998,0)</f>
        <v>0</v>
      </c>
      <c r="BS998" s="991">
        <f>IF(AND(Input_Product=Elig!$C998,Elig_MatchAll_Ct&lt;22,$BC998=(Elig_MatchAll_Ct-1),AQ998=0),N998,0)</f>
        <v>0</v>
      </c>
      <c r="BT998" s="991">
        <f>IF(AND(Input_Product=Elig!$C998,Elig_MatchAll_Ct&lt;22,$BC998=(Elig_MatchAll_Ct-1),AR998=0),O998,0)</f>
        <v>0</v>
      </c>
      <c r="BU998" s="991">
        <f>IF(AND(Input_Product=Elig!$C998,Elig_MatchAll_Ct&lt;22,$BC998=(Elig_MatchAll_Ct-1),AS998=0),P998,0)</f>
        <v>0</v>
      </c>
      <c r="BV998" s="992">
        <f>IF(AND(Input_Product=Elig!$C998,Elig_MatchAll_Ct&lt;22,$BC998=(Elig_MatchAll_Ct-1),AT998=0),Q998,0)</f>
        <v>0</v>
      </c>
      <c r="BW998" s="993">
        <f>IF(AND(Input_Product=Elig!$C998,Elig_MatchAll_Ct&lt;22,$BC998=(Elig_MatchAll_Ct-1),AU998=0),R998,0)</f>
        <v>0</v>
      </c>
      <c r="BX998" s="994">
        <f>IF(AND(Input_Product=Elig!$C998,Elig_MatchAll_Ct&lt;22,$BC998=(Elig_MatchAll_Ct-1),AU998=0),S998,0)</f>
        <v>0</v>
      </c>
      <c r="BY998" s="993">
        <f>IF(AND(Input_Product=Elig!$C998,Elig_MatchAll_Ct&lt;22,$BC998=(Elig_MatchAll_Ct-1),AV998=0),T998,0)</f>
        <v>0</v>
      </c>
      <c r="BZ998" s="994">
        <f>IF(AND(Input_Product=Elig!$C998,Elig_MatchAll_Ct&lt;22,$BC998=(Elig_MatchAll_Ct-1),AV998=0),U998,0)</f>
        <v>0</v>
      </c>
      <c r="CA998" s="993">
        <f>IF(AND(Input_Product=Elig!$C998,Elig_MatchAll_Ct&lt;22,$BC998=(Elig_MatchAll_Ct-1),AW998=0),V998,0)</f>
        <v>0</v>
      </c>
      <c r="CB998" s="994">
        <f>IF(AND(Input_Product=Elig!$C998,Elig_MatchAll_Ct&lt;22,$BC998=(Elig_MatchAll_Ct-1),AW998=0),W998,0)</f>
        <v>0</v>
      </c>
      <c r="CC998" s="993">
        <f>IF(AND(Input_Product=Elig!$C998,Elig_MatchAll_Ct&lt;22,$BC998=(Elig_MatchAll_Ct-1),AX998=0),X998,0)</f>
        <v>0</v>
      </c>
      <c r="CD998" s="994">
        <f>IF(AND(Input_Product=Elig!$C998,Elig_MatchAll_Ct&lt;22,$BC998=(Elig_MatchAll_Ct-1),AX998=0),Y998,0)</f>
        <v>0</v>
      </c>
      <c r="CE998" s="993">
        <f>IF(AND(Input_LTV&lt;=AE998,Input_Product=Elig!$C998,Elig_MatchAll_Ct&lt;22,$BC998=(Elig_MatchAll_Ct-1),AY998=0),Z998,0)</f>
        <v>0</v>
      </c>
      <c r="CF998" s="994">
        <f>IF(AND(Input_LTV&lt;=AE998,Input_Product=Elig!$C998,Elig_MatchAll_Ct&lt;22,$BC998=(Elig_MatchAll_Ct-1),AY998=0),AA998,0)</f>
        <v>0</v>
      </c>
      <c r="CG998" s="993">
        <f>IF(AND(Input_Product=Elig!$C998,Elig_MatchAll_Ct&lt;22,$BC998=(Elig_MatchAll_Ct-1),AZ998=0),AB998,0)</f>
        <v>0</v>
      </c>
      <c r="CH998" s="994">
        <f>IF(AND(Input_Product=Elig!$C998,Elig_MatchAll_Ct&lt;22,$BC998=(Elig_MatchAll_Ct-1),AZ998=0),AC998,0)</f>
        <v>0</v>
      </c>
      <c r="CI998" s="993">
        <f>IF(AND(Input_Product=Elig!$C998,Elig_MatchAll_Ct&lt;22,$BC998=(Elig_MatchAll_Ct-1),BA998=0),AD998,0)</f>
        <v>0</v>
      </c>
      <c r="CJ998" s="994">
        <f>IF(AND(Input_Product=Elig!$C998,Elig_MatchAll_Ct&lt;22,$BC998=(Elig_MatchAll_Ct-1),BA998=0),AE998,0)</f>
        <v>0</v>
      </c>
    </row>
    <row r="999" spans="2:88" ht="10.15" customHeight="1" x14ac:dyDescent="0.25">
      <c r="B999" s="1916" t="s">
        <v>2335</v>
      </c>
      <c r="C999" s="1203" t="str">
        <f t="shared" si="389"/>
        <v xml:space="preserve">  </v>
      </c>
      <c r="D999" s="1204" t="s">
        <v>2218</v>
      </c>
      <c r="E999" s="1204" t="s">
        <v>167</v>
      </c>
      <c r="F999" s="1204" t="s">
        <v>331</v>
      </c>
      <c r="G999" s="1205" t="s">
        <v>303</v>
      </c>
      <c r="H999" s="1205" t="s">
        <v>136</v>
      </c>
      <c r="I999" s="1204" t="s">
        <v>16</v>
      </c>
      <c r="J999" s="1204" t="s">
        <v>1311</v>
      </c>
      <c r="K999" s="1205" t="s">
        <v>3022</v>
      </c>
      <c r="L999" s="1204" t="s">
        <v>2768</v>
      </c>
      <c r="M999" s="1204" t="s">
        <v>2677</v>
      </c>
      <c r="N999" s="1205" t="s">
        <v>82</v>
      </c>
      <c r="O999" s="1204" t="s">
        <v>310</v>
      </c>
      <c r="P999" s="1204" t="s">
        <v>291</v>
      </c>
      <c r="Q999" s="1204" t="s">
        <v>294</v>
      </c>
      <c r="R999" s="1204">
        <v>2000000.01</v>
      </c>
      <c r="S999" s="1204">
        <v>2500000</v>
      </c>
      <c r="T999" s="1204">
        <v>0</v>
      </c>
      <c r="U999" s="1204">
        <f t="shared" si="400"/>
        <v>2500000</v>
      </c>
      <c r="V999" s="1204">
        <v>0</v>
      </c>
      <c r="W999" s="1204">
        <v>50</v>
      </c>
      <c r="X999" s="1204">
        <v>0</v>
      </c>
      <c r="Y999" s="1204">
        <v>999</v>
      </c>
      <c r="Z999" s="1206">
        <v>720</v>
      </c>
      <c r="AA999" s="1206">
        <v>999</v>
      </c>
      <c r="AB999" s="1206">
        <v>6</v>
      </c>
      <c r="AC999" s="1206">
        <v>999999</v>
      </c>
      <c r="AD999" s="1204">
        <v>0</v>
      </c>
      <c r="AE999" s="1207">
        <v>80</v>
      </c>
      <c r="AF999" s="170">
        <v>0</v>
      </c>
      <c r="AG999" s="171">
        <v>1</v>
      </c>
      <c r="AH999" s="171">
        <v>1</v>
      </c>
      <c r="AI999" s="171">
        <v>1</v>
      </c>
      <c r="AJ999" s="171">
        <v>1</v>
      </c>
      <c r="AK999" s="171">
        <v>1</v>
      </c>
      <c r="AL999" s="171">
        <v>1</v>
      </c>
      <c r="AM999" s="171">
        <v>1</v>
      </c>
      <c r="AN999" s="171">
        <v>1</v>
      </c>
      <c r="AO999" s="171">
        <v>1</v>
      </c>
      <c r="AP999" s="171">
        <v>1</v>
      </c>
      <c r="AQ999" s="171">
        <v>1</v>
      </c>
      <c r="AR999" s="171">
        <v>1</v>
      </c>
      <c r="AS999" s="171">
        <v>1</v>
      </c>
      <c r="AT999" s="171">
        <v>1</v>
      </c>
      <c r="AU999" s="171">
        <f t="shared" si="391"/>
        <v>0</v>
      </c>
      <c r="AV999" s="171">
        <f t="shared" si="392"/>
        <v>1</v>
      </c>
      <c r="AW999" s="171">
        <f t="shared" si="393"/>
        <v>1</v>
      </c>
      <c r="AX999" s="171">
        <f t="shared" si="401"/>
        <v>1</v>
      </c>
      <c r="AY999" s="171">
        <f t="shared" si="394"/>
        <v>1</v>
      </c>
      <c r="AZ999" s="171">
        <f t="shared" si="395"/>
        <v>1</v>
      </c>
      <c r="BA999" s="172">
        <f t="shared" si="396"/>
        <v>1</v>
      </c>
      <c r="BB999" s="175">
        <f t="shared" si="397"/>
        <v>20</v>
      </c>
      <c r="BC999" s="176">
        <f t="shared" si="398"/>
        <v>19</v>
      </c>
      <c r="BD999" s="176">
        <f t="shared" si="399"/>
        <v>20</v>
      </c>
      <c r="BE999" s="240" t="str">
        <f t="shared" si="390"/>
        <v/>
      </c>
      <c r="BF999" s="990"/>
      <c r="BG999" s="990"/>
      <c r="BH999" s="991">
        <f>IF(AND(Input_Product=Elig!$C999,Elig_MatchAll_Ct&lt;22,$BC999=(Elig_MatchAll_Ct-1),AF999=0),C999,0)</f>
        <v>0</v>
      </c>
      <c r="BI999" s="991">
        <f>IF(AND(Input_Product=Elig!$C999,Elig_MatchAll_Ct&lt;22,$BC999=(Elig_MatchAll_Ct-1),AG999=0),D999,0)</f>
        <v>0</v>
      </c>
      <c r="BJ999" s="991">
        <f>IF(AND(Input_Product=Elig!$C999,Elig_MatchAll_Ct&lt;22,$BC999=(Elig_MatchAll_Ct-1),AH999=0),E999,0)</f>
        <v>0</v>
      </c>
      <c r="BK999" s="991">
        <f>IF(AND(Input_Product=Elig!$C999,Elig_MatchAll_Ct&lt;22,$BC999=(Elig_MatchAll_Ct-1),AI999=0),F999,0)</f>
        <v>0</v>
      </c>
      <c r="BL999" s="991">
        <f>IF(AND(Input_Product=Elig!$C999,Elig_MatchAll_Ct&lt;22,$BC999=(Elig_MatchAll_Ct-1),AJ999=0),G999,0)</f>
        <v>0</v>
      </c>
      <c r="BM999" s="991">
        <f>IF(AND(Input_Product=Elig!$C999,Elig_MatchAll_Ct&lt;22,$BC999=(Elig_MatchAll_Ct-1),AK999=0),H999,0)</f>
        <v>0</v>
      </c>
      <c r="BN999" s="991">
        <f>IF(AND(Input_Product=Elig!$C999,Elig_MatchAll_Ct&lt;22,$BC999=(Elig_MatchAll_Ct-1),AL999=0),I999,0)</f>
        <v>0</v>
      </c>
      <c r="BO999" s="991">
        <f>IF(AND(Input_Product=Elig!$C999,Elig_MatchAll_Ct&lt;22,$BC999=(Elig_MatchAll_Ct-1),AM999=0),J999,0)</f>
        <v>0</v>
      </c>
      <c r="BP999" s="991">
        <f>IF(AND(Input_Product=Elig!$C999,Elig_MatchAll_Ct&lt;22,$BC999=(Elig_MatchAll_Ct-1),AN999=0),K999,0)</f>
        <v>0</v>
      </c>
      <c r="BQ999" s="991">
        <f>IF(AND(Input_Product=Elig!$C999,Elig_MatchAll_Ct&lt;22,$BC999=(Elig_MatchAll_Ct-1),AP999=0),L999,0)</f>
        <v>0</v>
      </c>
      <c r="BR999" s="991">
        <f>IF(AND(Input_Product=Elig!$C999,Elig_MatchAll_Ct&lt;22,$BC999=(Elig_MatchAll_Ct-1),AO999=0),M999,0)</f>
        <v>0</v>
      </c>
      <c r="BS999" s="991">
        <f>IF(AND(Input_Product=Elig!$C999,Elig_MatchAll_Ct&lt;22,$BC999=(Elig_MatchAll_Ct-1),AQ999=0),N999,0)</f>
        <v>0</v>
      </c>
      <c r="BT999" s="991">
        <f>IF(AND(Input_Product=Elig!$C999,Elig_MatchAll_Ct&lt;22,$BC999=(Elig_MatchAll_Ct-1),AR999=0),O999,0)</f>
        <v>0</v>
      </c>
      <c r="BU999" s="991">
        <f>IF(AND(Input_Product=Elig!$C999,Elig_MatchAll_Ct&lt;22,$BC999=(Elig_MatchAll_Ct-1),AS999=0),P999,0)</f>
        <v>0</v>
      </c>
      <c r="BV999" s="992">
        <f>IF(AND(Input_Product=Elig!$C999,Elig_MatchAll_Ct&lt;22,$BC999=(Elig_MatchAll_Ct-1),AT999=0),Q999,0)</f>
        <v>0</v>
      </c>
      <c r="BW999" s="993">
        <f>IF(AND(Input_Product=Elig!$C999,Elig_MatchAll_Ct&lt;22,$BC999=(Elig_MatchAll_Ct-1),AU999=0),R999,0)</f>
        <v>0</v>
      </c>
      <c r="BX999" s="994">
        <f>IF(AND(Input_Product=Elig!$C999,Elig_MatchAll_Ct&lt;22,$BC999=(Elig_MatchAll_Ct-1),AU999=0),S999,0)</f>
        <v>0</v>
      </c>
      <c r="BY999" s="993">
        <f>IF(AND(Input_Product=Elig!$C999,Elig_MatchAll_Ct&lt;22,$BC999=(Elig_MatchAll_Ct-1),AV999=0),T999,0)</f>
        <v>0</v>
      </c>
      <c r="BZ999" s="994">
        <f>IF(AND(Input_Product=Elig!$C999,Elig_MatchAll_Ct&lt;22,$BC999=(Elig_MatchAll_Ct-1),AV999=0),U999,0)</f>
        <v>0</v>
      </c>
      <c r="CA999" s="993">
        <f>IF(AND(Input_Product=Elig!$C999,Elig_MatchAll_Ct&lt;22,$BC999=(Elig_MatchAll_Ct-1),AW999=0),V999,0)</f>
        <v>0</v>
      </c>
      <c r="CB999" s="994">
        <f>IF(AND(Input_Product=Elig!$C999,Elig_MatchAll_Ct&lt;22,$BC999=(Elig_MatchAll_Ct-1),AW999=0),W999,0)</f>
        <v>0</v>
      </c>
      <c r="CC999" s="993">
        <f>IF(AND(Input_Product=Elig!$C999,Elig_MatchAll_Ct&lt;22,$BC999=(Elig_MatchAll_Ct-1),AX999=0),X999,0)</f>
        <v>0</v>
      </c>
      <c r="CD999" s="994">
        <f>IF(AND(Input_Product=Elig!$C999,Elig_MatchAll_Ct&lt;22,$BC999=(Elig_MatchAll_Ct-1),AX999=0),Y999,0)</f>
        <v>0</v>
      </c>
      <c r="CE999" s="993">
        <f>IF(AND(Input_LTV&lt;=AE999,Input_Product=Elig!$C999,Elig_MatchAll_Ct&lt;22,$BC999=(Elig_MatchAll_Ct-1),AY999=0),Z999,0)</f>
        <v>0</v>
      </c>
      <c r="CF999" s="994">
        <f>IF(AND(Input_LTV&lt;=AE999,Input_Product=Elig!$C999,Elig_MatchAll_Ct&lt;22,$BC999=(Elig_MatchAll_Ct-1),AY999=0),AA999,0)</f>
        <v>0</v>
      </c>
      <c r="CG999" s="993">
        <f>IF(AND(Input_Product=Elig!$C999,Elig_MatchAll_Ct&lt;22,$BC999=(Elig_MatchAll_Ct-1),AZ999=0),AB999,0)</f>
        <v>0</v>
      </c>
      <c r="CH999" s="994">
        <f>IF(AND(Input_Product=Elig!$C999,Elig_MatchAll_Ct&lt;22,$BC999=(Elig_MatchAll_Ct-1),AZ999=0),AC999,0)</f>
        <v>0</v>
      </c>
      <c r="CI999" s="993">
        <f>IF(AND(Input_Product=Elig!$C999,Elig_MatchAll_Ct&lt;22,$BC999=(Elig_MatchAll_Ct-1),BA999=0),AD999,0)</f>
        <v>0</v>
      </c>
      <c r="CJ999" s="994">
        <f>IF(AND(Input_Product=Elig!$C999,Elig_MatchAll_Ct&lt;22,$BC999=(Elig_MatchAll_Ct-1),BA999=0),AE999,0)</f>
        <v>0</v>
      </c>
    </row>
    <row r="1000" spans="2:88" ht="10.15" customHeight="1" x14ac:dyDescent="0.25">
      <c r="B1000" s="1916" t="s">
        <v>2336</v>
      </c>
      <c r="C1000" s="1208" t="str">
        <f t="shared" si="389"/>
        <v xml:space="preserve">  </v>
      </c>
      <c r="D1000" s="1209" t="s">
        <v>2218</v>
      </c>
      <c r="E1000" s="1209" t="s">
        <v>167</v>
      </c>
      <c r="F1000" s="1209" t="s">
        <v>331</v>
      </c>
      <c r="G1000" s="1210" t="s">
        <v>303</v>
      </c>
      <c r="H1000" s="1210" t="s">
        <v>136</v>
      </c>
      <c r="I1000" s="1209" t="s">
        <v>16</v>
      </c>
      <c r="J1000" s="1209" t="s">
        <v>1311</v>
      </c>
      <c r="K1000" s="1210" t="s">
        <v>3022</v>
      </c>
      <c r="L1000" s="1209" t="s">
        <v>2768</v>
      </c>
      <c r="M1000" s="1209" t="s">
        <v>2677</v>
      </c>
      <c r="N1000" s="1210" t="s">
        <v>82</v>
      </c>
      <c r="O1000" s="1209" t="s">
        <v>310</v>
      </c>
      <c r="P1000" s="1209" t="s">
        <v>291</v>
      </c>
      <c r="Q1000" s="1209" t="s">
        <v>294</v>
      </c>
      <c r="R1000" s="1209">
        <v>2000000.01</v>
      </c>
      <c r="S1000" s="1209">
        <v>2500000</v>
      </c>
      <c r="T1000" s="1209">
        <v>0</v>
      </c>
      <c r="U1000" s="1209">
        <f t="shared" si="400"/>
        <v>2500000</v>
      </c>
      <c r="V1000" s="1209">
        <v>0</v>
      </c>
      <c r="W1000" s="1209">
        <v>50</v>
      </c>
      <c r="X1000" s="1209">
        <v>0</v>
      </c>
      <c r="Y1000" s="1209">
        <v>999</v>
      </c>
      <c r="Z1000" s="1211">
        <v>700</v>
      </c>
      <c r="AA1000" s="1211">
        <v>719</v>
      </c>
      <c r="AB1000" s="1211">
        <v>6</v>
      </c>
      <c r="AC1000" s="1211">
        <v>999999</v>
      </c>
      <c r="AD1000" s="1209">
        <v>0</v>
      </c>
      <c r="AE1000" s="1212">
        <v>80</v>
      </c>
      <c r="AF1000" s="170">
        <v>0</v>
      </c>
      <c r="AG1000" s="171">
        <v>1</v>
      </c>
      <c r="AH1000" s="171">
        <v>1</v>
      </c>
      <c r="AI1000" s="171">
        <v>1</v>
      </c>
      <c r="AJ1000" s="171">
        <v>1</v>
      </c>
      <c r="AK1000" s="171">
        <v>1</v>
      </c>
      <c r="AL1000" s="171">
        <v>1</v>
      </c>
      <c r="AM1000" s="171">
        <v>1</v>
      </c>
      <c r="AN1000" s="171">
        <v>1</v>
      </c>
      <c r="AO1000" s="171">
        <v>1</v>
      </c>
      <c r="AP1000" s="171">
        <v>1</v>
      </c>
      <c r="AQ1000" s="171">
        <v>1</v>
      </c>
      <c r="AR1000" s="171">
        <v>1</v>
      </c>
      <c r="AS1000" s="171">
        <v>1</v>
      </c>
      <c r="AT1000" s="171">
        <v>1</v>
      </c>
      <c r="AU1000" s="171">
        <f t="shared" si="391"/>
        <v>0</v>
      </c>
      <c r="AV1000" s="171">
        <f t="shared" si="392"/>
        <v>1</v>
      </c>
      <c r="AW1000" s="171">
        <f t="shared" si="393"/>
        <v>1</v>
      </c>
      <c r="AX1000" s="171">
        <f t="shared" si="401"/>
        <v>1</v>
      </c>
      <c r="AY1000" s="171">
        <f t="shared" si="394"/>
        <v>0</v>
      </c>
      <c r="AZ1000" s="171">
        <f t="shared" si="395"/>
        <v>1</v>
      </c>
      <c r="BA1000" s="172">
        <f t="shared" si="396"/>
        <v>1</v>
      </c>
      <c r="BB1000" s="175">
        <f t="shared" si="397"/>
        <v>19</v>
      </c>
      <c r="BC1000" s="176">
        <f t="shared" si="398"/>
        <v>18</v>
      </c>
      <c r="BD1000" s="176">
        <f t="shared" si="399"/>
        <v>19</v>
      </c>
      <c r="BE1000" s="240" t="str">
        <f t="shared" si="390"/>
        <v/>
      </c>
      <c r="BF1000" s="990"/>
      <c r="BG1000" s="990"/>
      <c r="BH1000" s="991">
        <f>IF(AND(Input_Product=Elig!$C1000,Elig_MatchAll_Ct&lt;22,$BC1000=(Elig_MatchAll_Ct-1),AF1000=0),C1000,0)</f>
        <v>0</v>
      </c>
      <c r="BI1000" s="991">
        <f>IF(AND(Input_Product=Elig!$C1000,Elig_MatchAll_Ct&lt;22,$BC1000=(Elig_MatchAll_Ct-1),AG1000=0),D1000,0)</f>
        <v>0</v>
      </c>
      <c r="BJ1000" s="991">
        <f>IF(AND(Input_Product=Elig!$C1000,Elig_MatchAll_Ct&lt;22,$BC1000=(Elig_MatchAll_Ct-1),AH1000=0),E1000,0)</f>
        <v>0</v>
      </c>
      <c r="BK1000" s="991">
        <f>IF(AND(Input_Product=Elig!$C1000,Elig_MatchAll_Ct&lt;22,$BC1000=(Elig_MatchAll_Ct-1),AI1000=0),F1000,0)</f>
        <v>0</v>
      </c>
      <c r="BL1000" s="991">
        <f>IF(AND(Input_Product=Elig!$C1000,Elig_MatchAll_Ct&lt;22,$BC1000=(Elig_MatchAll_Ct-1),AJ1000=0),G1000,0)</f>
        <v>0</v>
      </c>
      <c r="BM1000" s="991">
        <f>IF(AND(Input_Product=Elig!$C1000,Elig_MatchAll_Ct&lt;22,$BC1000=(Elig_MatchAll_Ct-1),AK1000=0),H1000,0)</f>
        <v>0</v>
      </c>
      <c r="BN1000" s="991">
        <f>IF(AND(Input_Product=Elig!$C1000,Elig_MatchAll_Ct&lt;22,$BC1000=(Elig_MatchAll_Ct-1),AL1000=0),I1000,0)</f>
        <v>0</v>
      </c>
      <c r="BO1000" s="991">
        <f>IF(AND(Input_Product=Elig!$C1000,Elig_MatchAll_Ct&lt;22,$BC1000=(Elig_MatchAll_Ct-1),AM1000=0),J1000,0)</f>
        <v>0</v>
      </c>
      <c r="BP1000" s="991">
        <f>IF(AND(Input_Product=Elig!$C1000,Elig_MatchAll_Ct&lt;22,$BC1000=(Elig_MatchAll_Ct-1),AN1000=0),K1000,0)</f>
        <v>0</v>
      </c>
      <c r="BQ1000" s="991">
        <f>IF(AND(Input_Product=Elig!$C1000,Elig_MatchAll_Ct&lt;22,$BC1000=(Elig_MatchAll_Ct-1),AP1000=0),L1000,0)</f>
        <v>0</v>
      </c>
      <c r="BR1000" s="991">
        <f>IF(AND(Input_Product=Elig!$C1000,Elig_MatchAll_Ct&lt;22,$BC1000=(Elig_MatchAll_Ct-1),AO1000=0),M1000,0)</f>
        <v>0</v>
      </c>
      <c r="BS1000" s="991">
        <f>IF(AND(Input_Product=Elig!$C1000,Elig_MatchAll_Ct&lt;22,$BC1000=(Elig_MatchAll_Ct-1),AQ1000=0),N1000,0)</f>
        <v>0</v>
      </c>
      <c r="BT1000" s="991">
        <f>IF(AND(Input_Product=Elig!$C1000,Elig_MatchAll_Ct&lt;22,$BC1000=(Elig_MatchAll_Ct-1),AR1000=0),O1000,0)</f>
        <v>0</v>
      </c>
      <c r="BU1000" s="991">
        <f>IF(AND(Input_Product=Elig!$C1000,Elig_MatchAll_Ct&lt;22,$BC1000=(Elig_MatchAll_Ct-1),AS1000=0),P1000,0)</f>
        <v>0</v>
      </c>
      <c r="BV1000" s="992">
        <f>IF(AND(Input_Product=Elig!$C1000,Elig_MatchAll_Ct&lt;22,$BC1000=(Elig_MatchAll_Ct-1),AT1000=0),Q1000,0)</f>
        <v>0</v>
      </c>
      <c r="BW1000" s="993">
        <f>IF(AND(Input_Product=Elig!$C1000,Elig_MatchAll_Ct&lt;22,$BC1000=(Elig_MatchAll_Ct-1),AU1000=0),R1000,0)</f>
        <v>0</v>
      </c>
      <c r="BX1000" s="994">
        <f>IF(AND(Input_Product=Elig!$C1000,Elig_MatchAll_Ct&lt;22,$BC1000=(Elig_MatchAll_Ct-1),AU1000=0),S1000,0)</f>
        <v>0</v>
      </c>
      <c r="BY1000" s="993">
        <f>IF(AND(Input_Product=Elig!$C1000,Elig_MatchAll_Ct&lt;22,$BC1000=(Elig_MatchAll_Ct-1),AV1000=0),T1000,0)</f>
        <v>0</v>
      </c>
      <c r="BZ1000" s="994">
        <f>IF(AND(Input_Product=Elig!$C1000,Elig_MatchAll_Ct&lt;22,$BC1000=(Elig_MatchAll_Ct-1),AV1000=0),U1000,0)</f>
        <v>0</v>
      </c>
      <c r="CA1000" s="993">
        <f>IF(AND(Input_Product=Elig!$C1000,Elig_MatchAll_Ct&lt;22,$BC1000=(Elig_MatchAll_Ct-1),AW1000=0),V1000,0)</f>
        <v>0</v>
      </c>
      <c r="CB1000" s="994">
        <f>IF(AND(Input_Product=Elig!$C1000,Elig_MatchAll_Ct&lt;22,$BC1000=(Elig_MatchAll_Ct-1),AW1000=0),W1000,0)</f>
        <v>0</v>
      </c>
      <c r="CC1000" s="993">
        <f>IF(AND(Input_Product=Elig!$C1000,Elig_MatchAll_Ct&lt;22,$BC1000=(Elig_MatchAll_Ct-1),AX1000=0),X1000,0)</f>
        <v>0</v>
      </c>
      <c r="CD1000" s="994">
        <f>IF(AND(Input_Product=Elig!$C1000,Elig_MatchAll_Ct&lt;22,$BC1000=(Elig_MatchAll_Ct-1),AX1000=0),Y1000,0)</f>
        <v>0</v>
      </c>
      <c r="CE1000" s="993">
        <f>IF(AND(Input_LTV&lt;=AE1000,Input_Product=Elig!$C1000,Elig_MatchAll_Ct&lt;22,$BC1000=(Elig_MatchAll_Ct-1),AY1000=0),Z1000,0)</f>
        <v>0</v>
      </c>
      <c r="CF1000" s="994">
        <f>IF(AND(Input_LTV&lt;=AE1000,Input_Product=Elig!$C1000,Elig_MatchAll_Ct&lt;22,$BC1000=(Elig_MatchAll_Ct-1),AY1000=0),AA1000,0)</f>
        <v>0</v>
      </c>
      <c r="CG1000" s="993">
        <f>IF(AND(Input_Product=Elig!$C1000,Elig_MatchAll_Ct&lt;22,$BC1000=(Elig_MatchAll_Ct-1),AZ1000=0),AB1000,0)</f>
        <v>0</v>
      </c>
      <c r="CH1000" s="994">
        <f>IF(AND(Input_Product=Elig!$C1000,Elig_MatchAll_Ct&lt;22,$BC1000=(Elig_MatchAll_Ct-1),AZ1000=0),AC1000,0)</f>
        <v>0</v>
      </c>
      <c r="CI1000" s="993">
        <f>IF(AND(Input_Product=Elig!$C1000,Elig_MatchAll_Ct&lt;22,$BC1000=(Elig_MatchAll_Ct-1),BA1000=0),AD1000,0)</f>
        <v>0</v>
      </c>
      <c r="CJ1000" s="994">
        <f>IF(AND(Input_Product=Elig!$C1000,Elig_MatchAll_Ct&lt;22,$BC1000=(Elig_MatchAll_Ct-1),BA1000=0),AE1000,0)</f>
        <v>0</v>
      </c>
    </row>
    <row r="1001" spans="2:88" ht="10.15" customHeight="1" x14ac:dyDescent="0.25">
      <c r="B1001" s="1916" t="s">
        <v>2337</v>
      </c>
      <c r="C1001" s="1213" t="str">
        <f t="shared" si="389"/>
        <v xml:space="preserve">  </v>
      </c>
      <c r="D1001" s="1214" t="s">
        <v>2218</v>
      </c>
      <c r="E1001" s="1214" t="s">
        <v>167</v>
      </c>
      <c r="F1001" s="1214" t="s">
        <v>331</v>
      </c>
      <c r="G1001" s="1215" t="s">
        <v>303</v>
      </c>
      <c r="H1001" s="1215" t="s">
        <v>136</v>
      </c>
      <c r="I1001" s="1214" t="s">
        <v>16</v>
      </c>
      <c r="J1001" s="1214" t="s">
        <v>1311</v>
      </c>
      <c r="K1001" s="1215" t="s">
        <v>3022</v>
      </c>
      <c r="L1001" s="1214" t="s">
        <v>2768</v>
      </c>
      <c r="M1001" s="1214" t="s">
        <v>2677</v>
      </c>
      <c r="N1001" s="1215" t="s">
        <v>82</v>
      </c>
      <c r="O1001" s="1214" t="s">
        <v>310</v>
      </c>
      <c r="P1001" s="1214" t="s">
        <v>291</v>
      </c>
      <c r="Q1001" s="1214" t="s">
        <v>294</v>
      </c>
      <c r="R1001" s="1214">
        <v>2000000.01</v>
      </c>
      <c r="S1001" s="1214">
        <v>2500000</v>
      </c>
      <c r="T1001" s="1214">
        <v>0</v>
      </c>
      <c r="U1001" s="1214">
        <f t="shared" si="400"/>
        <v>2500000</v>
      </c>
      <c r="V1001" s="1214">
        <v>0</v>
      </c>
      <c r="W1001" s="1214">
        <v>50</v>
      </c>
      <c r="X1001" s="1214">
        <v>0</v>
      </c>
      <c r="Y1001" s="1214">
        <v>999</v>
      </c>
      <c r="Z1001" s="1216">
        <v>680</v>
      </c>
      <c r="AA1001" s="1216">
        <v>699</v>
      </c>
      <c r="AB1001" s="1216">
        <v>6</v>
      </c>
      <c r="AC1001" s="1216">
        <v>999999</v>
      </c>
      <c r="AD1001" s="1214">
        <v>0</v>
      </c>
      <c r="AE1001" s="1217">
        <v>75</v>
      </c>
      <c r="AF1001" s="170">
        <v>0</v>
      </c>
      <c r="AG1001" s="171">
        <v>1</v>
      </c>
      <c r="AH1001" s="171">
        <v>1</v>
      </c>
      <c r="AI1001" s="171">
        <v>1</v>
      </c>
      <c r="AJ1001" s="171">
        <v>1</v>
      </c>
      <c r="AK1001" s="171">
        <v>1</v>
      </c>
      <c r="AL1001" s="171">
        <v>1</v>
      </c>
      <c r="AM1001" s="171">
        <v>1</v>
      </c>
      <c r="AN1001" s="171">
        <v>1</v>
      </c>
      <c r="AO1001" s="171">
        <v>1</v>
      </c>
      <c r="AP1001" s="171">
        <v>1</v>
      </c>
      <c r="AQ1001" s="171">
        <v>1</v>
      </c>
      <c r="AR1001" s="171">
        <v>1</v>
      </c>
      <c r="AS1001" s="171">
        <v>1</v>
      </c>
      <c r="AT1001" s="171">
        <v>1</v>
      </c>
      <c r="AU1001" s="171">
        <f t="shared" si="391"/>
        <v>0</v>
      </c>
      <c r="AV1001" s="171">
        <f t="shared" si="392"/>
        <v>1</v>
      </c>
      <c r="AW1001" s="171">
        <f t="shared" si="393"/>
        <v>1</v>
      </c>
      <c r="AX1001" s="171">
        <f t="shared" si="401"/>
        <v>1</v>
      </c>
      <c r="AY1001" s="171">
        <f t="shared" si="394"/>
        <v>0</v>
      </c>
      <c r="AZ1001" s="171">
        <f t="shared" si="395"/>
        <v>1</v>
      </c>
      <c r="BA1001" s="172">
        <f t="shared" si="396"/>
        <v>1</v>
      </c>
      <c r="BB1001" s="175">
        <f t="shared" si="397"/>
        <v>19</v>
      </c>
      <c r="BC1001" s="176">
        <f t="shared" si="398"/>
        <v>18</v>
      </c>
      <c r="BD1001" s="176">
        <f t="shared" si="399"/>
        <v>19</v>
      </c>
      <c r="BE1001" s="240" t="str">
        <f t="shared" si="390"/>
        <v/>
      </c>
      <c r="BF1001" s="990"/>
      <c r="BG1001" s="990"/>
      <c r="BH1001" s="991">
        <f>IF(AND(Input_Product=Elig!$C1001,Elig_MatchAll_Ct&lt;22,$BC1001=(Elig_MatchAll_Ct-1),AF1001=0),C1001,0)</f>
        <v>0</v>
      </c>
      <c r="BI1001" s="991">
        <f>IF(AND(Input_Product=Elig!$C1001,Elig_MatchAll_Ct&lt;22,$BC1001=(Elig_MatchAll_Ct-1),AG1001=0),D1001,0)</f>
        <v>0</v>
      </c>
      <c r="BJ1001" s="991">
        <f>IF(AND(Input_Product=Elig!$C1001,Elig_MatchAll_Ct&lt;22,$BC1001=(Elig_MatchAll_Ct-1),AH1001=0),E1001,0)</f>
        <v>0</v>
      </c>
      <c r="BK1001" s="991">
        <f>IF(AND(Input_Product=Elig!$C1001,Elig_MatchAll_Ct&lt;22,$BC1001=(Elig_MatchAll_Ct-1),AI1001=0),F1001,0)</f>
        <v>0</v>
      </c>
      <c r="BL1001" s="991">
        <f>IF(AND(Input_Product=Elig!$C1001,Elig_MatchAll_Ct&lt;22,$BC1001=(Elig_MatchAll_Ct-1),AJ1001=0),G1001,0)</f>
        <v>0</v>
      </c>
      <c r="BM1001" s="991">
        <f>IF(AND(Input_Product=Elig!$C1001,Elig_MatchAll_Ct&lt;22,$BC1001=(Elig_MatchAll_Ct-1),AK1001=0),H1001,0)</f>
        <v>0</v>
      </c>
      <c r="BN1001" s="991">
        <f>IF(AND(Input_Product=Elig!$C1001,Elig_MatchAll_Ct&lt;22,$BC1001=(Elig_MatchAll_Ct-1),AL1001=0),I1001,0)</f>
        <v>0</v>
      </c>
      <c r="BO1001" s="991">
        <f>IF(AND(Input_Product=Elig!$C1001,Elig_MatchAll_Ct&lt;22,$BC1001=(Elig_MatchAll_Ct-1),AM1001=0),J1001,0)</f>
        <v>0</v>
      </c>
      <c r="BP1001" s="991">
        <f>IF(AND(Input_Product=Elig!$C1001,Elig_MatchAll_Ct&lt;22,$BC1001=(Elig_MatchAll_Ct-1),AN1001=0),K1001,0)</f>
        <v>0</v>
      </c>
      <c r="BQ1001" s="991">
        <f>IF(AND(Input_Product=Elig!$C1001,Elig_MatchAll_Ct&lt;22,$BC1001=(Elig_MatchAll_Ct-1),AP1001=0),L1001,0)</f>
        <v>0</v>
      </c>
      <c r="BR1001" s="991">
        <f>IF(AND(Input_Product=Elig!$C1001,Elig_MatchAll_Ct&lt;22,$BC1001=(Elig_MatchAll_Ct-1),AO1001=0),M1001,0)</f>
        <v>0</v>
      </c>
      <c r="BS1001" s="991">
        <f>IF(AND(Input_Product=Elig!$C1001,Elig_MatchAll_Ct&lt;22,$BC1001=(Elig_MatchAll_Ct-1),AQ1001=0),N1001,0)</f>
        <v>0</v>
      </c>
      <c r="BT1001" s="991">
        <f>IF(AND(Input_Product=Elig!$C1001,Elig_MatchAll_Ct&lt;22,$BC1001=(Elig_MatchAll_Ct-1),AR1001=0),O1001,0)</f>
        <v>0</v>
      </c>
      <c r="BU1001" s="991">
        <f>IF(AND(Input_Product=Elig!$C1001,Elig_MatchAll_Ct&lt;22,$BC1001=(Elig_MatchAll_Ct-1),AS1001=0),P1001,0)</f>
        <v>0</v>
      </c>
      <c r="BV1001" s="992">
        <f>IF(AND(Input_Product=Elig!$C1001,Elig_MatchAll_Ct&lt;22,$BC1001=(Elig_MatchAll_Ct-1),AT1001=0),Q1001,0)</f>
        <v>0</v>
      </c>
      <c r="BW1001" s="993">
        <f>IF(AND(Input_Product=Elig!$C1001,Elig_MatchAll_Ct&lt;22,$BC1001=(Elig_MatchAll_Ct-1),AU1001=0),R1001,0)</f>
        <v>0</v>
      </c>
      <c r="BX1001" s="994">
        <f>IF(AND(Input_Product=Elig!$C1001,Elig_MatchAll_Ct&lt;22,$BC1001=(Elig_MatchAll_Ct-1),AU1001=0),S1001,0)</f>
        <v>0</v>
      </c>
      <c r="BY1001" s="993">
        <f>IF(AND(Input_Product=Elig!$C1001,Elig_MatchAll_Ct&lt;22,$BC1001=(Elig_MatchAll_Ct-1),AV1001=0),T1001,0)</f>
        <v>0</v>
      </c>
      <c r="BZ1001" s="994">
        <f>IF(AND(Input_Product=Elig!$C1001,Elig_MatchAll_Ct&lt;22,$BC1001=(Elig_MatchAll_Ct-1),AV1001=0),U1001,0)</f>
        <v>0</v>
      </c>
      <c r="CA1001" s="993">
        <f>IF(AND(Input_Product=Elig!$C1001,Elig_MatchAll_Ct&lt;22,$BC1001=(Elig_MatchAll_Ct-1),AW1001=0),V1001,0)</f>
        <v>0</v>
      </c>
      <c r="CB1001" s="994">
        <f>IF(AND(Input_Product=Elig!$C1001,Elig_MatchAll_Ct&lt;22,$BC1001=(Elig_MatchAll_Ct-1),AW1001=0),W1001,0)</f>
        <v>0</v>
      </c>
      <c r="CC1001" s="993">
        <f>IF(AND(Input_Product=Elig!$C1001,Elig_MatchAll_Ct&lt;22,$BC1001=(Elig_MatchAll_Ct-1),AX1001=0),X1001,0)</f>
        <v>0</v>
      </c>
      <c r="CD1001" s="994">
        <f>IF(AND(Input_Product=Elig!$C1001,Elig_MatchAll_Ct&lt;22,$BC1001=(Elig_MatchAll_Ct-1),AX1001=0),Y1001,0)</f>
        <v>0</v>
      </c>
      <c r="CE1001" s="993">
        <f>IF(AND(Input_LTV&lt;=AE1001,Input_Product=Elig!$C1001,Elig_MatchAll_Ct&lt;22,$BC1001=(Elig_MatchAll_Ct-1),AY1001=0),Z1001,0)</f>
        <v>0</v>
      </c>
      <c r="CF1001" s="994">
        <f>IF(AND(Input_LTV&lt;=AE1001,Input_Product=Elig!$C1001,Elig_MatchAll_Ct&lt;22,$BC1001=(Elig_MatchAll_Ct-1),AY1001=0),AA1001,0)</f>
        <v>0</v>
      </c>
      <c r="CG1001" s="993">
        <f>IF(AND(Input_Product=Elig!$C1001,Elig_MatchAll_Ct&lt;22,$BC1001=(Elig_MatchAll_Ct-1),AZ1001=0),AB1001,0)</f>
        <v>0</v>
      </c>
      <c r="CH1001" s="994">
        <f>IF(AND(Input_Product=Elig!$C1001,Elig_MatchAll_Ct&lt;22,$BC1001=(Elig_MatchAll_Ct-1),AZ1001=0),AC1001,0)</f>
        <v>0</v>
      </c>
      <c r="CI1001" s="993">
        <f>IF(AND(Input_Product=Elig!$C1001,Elig_MatchAll_Ct&lt;22,$BC1001=(Elig_MatchAll_Ct-1),BA1001=0),AD1001,0)</f>
        <v>0</v>
      </c>
      <c r="CJ1001" s="994">
        <f>IF(AND(Input_Product=Elig!$C1001,Elig_MatchAll_Ct&lt;22,$BC1001=(Elig_MatchAll_Ct-1),BA1001=0),AE1001,0)</f>
        <v>0</v>
      </c>
    </row>
    <row r="1002" spans="2:88" ht="10.15" customHeight="1" x14ac:dyDescent="0.25">
      <c r="B1002" s="1916" t="s">
        <v>2338</v>
      </c>
      <c r="C1002" s="1203" t="str">
        <f t="shared" si="389"/>
        <v xml:space="preserve">  </v>
      </c>
      <c r="D1002" s="1204" t="s">
        <v>2218</v>
      </c>
      <c r="E1002" s="1204" t="s">
        <v>167</v>
      </c>
      <c r="F1002" s="1204" t="s">
        <v>331</v>
      </c>
      <c r="G1002" s="1205" t="s">
        <v>303</v>
      </c>
      <c r="H1002" s="1205" t="s">
        <v>136</v>
      </c>
      <c r="I1002" s="1204" t="s">
        <v>16</v>
      </c>
      <c r="J1002" s="1204" t="s">
        <v>1311</v>
      </c>
      <c r="K1002" s="1205" t="s">
        <v>3022</v>
      </c>
      <c r="L1002" s="1204" t="s">
        <v>2768</v>
      </c>
      <c r="M1002" s="1204" t="s">
        <v>2677</v>
      </c>
      <c r="N1002" s="1205" t="s">
        <v>82</v>
      </c>
      <c r="O1002" s="1204" t="s">
        <v>310</v>
      </c>
      <c r="P1002" s="1204" t="s">
        <v>291</v>
      </c>
      <c r="Q1002" s="1204" t="s">
        <v>294</v>
      </c>
      <c r="R1002" s="1204">
        <v>2500000.0099999998</v>
      </c>
      <c r="S1002" s="1204">
        <v>3000000</v>
      </c>
      <c r="T1002" s="1204">
        <v>0</v>
      </c>
      <c r="U1002" s="1204">
        <f t="shared" si="400"/>
        <v>3000000</v>
      </c>
      <c r="V1002" s="1204">
        <v>0</v>
      </c>
      <c r="W1002" s="1204">
        <v>50</v>
      </c>
      <c r="X1002" s="1204">
        <v>0</v>
      </c>
      <c r="Y1002" s="1204">
        <v>999</v>
      </c>
      <c r="Z1002" s="1206">
        <v>720</v>
      </c>
      <c r="AA1002" s="1206">
        <v>999</v>
      </c>
      <c r="AB1002" s="1206">
        <v>6</v>
      </c>
      <c r="AC1002" s="1206">
        <v>999999</v>
      </c>
      <c r="AD1002" s="1204">
        <v>0</v>
      </c>
      <c r="AE1002" s="1207">
        <v>75</v>
      </c>
      <c r="AF1002" s="170">
        <v>0</v>
      </c>
      <c r="AG1002" s="171">
        <v>1</v>
      </c>
      <c r="AH1002" s="171">
        <v>1</v>
      </c>
      <c r="AI1002" s="171">
        <v>1</v>
      </c>
      <c r="AJ1002" s="171">
        <v>1</v>
      </c>
      <c r="AK1002" s="171">
        <v>1</v>
      </c>
      <c r="AL1002" s="171">
        <v>1</v>
      </c>
      <c r="AM1002" s="171">
        <v>1</v>
      </c>
      <c r="AN1002" s="171">
        <v>1</v>
      </c>
      <c r="AO1002" s="171">
        <v>1</v>
      </c>
      <c r="AP1002" s="171">
        <v>1</v>
      </c>
      <c r="AQ1002" s="171">
        <v>1</v>
      </c>
      <c r="AR1002" s="171">
        <v>1</v>
      </c>
      <c r="AS1002" s="171">
        <v>1</v>
      </c>
      <c r="AT1002" s="171">
        <v>1</v>
      </c>
      <c r="AU1002" s="171">
        <f t="shared" si="391"/>
        <v>0</v>
      </c>
      <c r="AV1002" s="171">
        <f t="shared" si="392"/>
        <v>1</v>
      </c>
      <c r="AW1002" s="171">
        <f t="shared" si="393"/>
        <v>1</v>
      </c>
      <c r="AX1002" s="171">
        <f t="shared" si="401"/>
        <v>1</v>
      </c>
      <c r="AY1002" s="171">
        <f t="shared" si="394"/>
        <v>1</v>
      </c>
      <c r="AZ1002" s="171">
        <f t="shared" si="395"/>
        <v>1</v>
      </c>
      <c r="BA1002" s="172">
        <f t="shared" si="396"/>
        <v>1</v>
      </c>
      <c r="BB1002" s="175">
        <f t="shared" si="397"/>
        <v>20</v>
      </c>
      <c r="BC1002" s="176">
        <f t="shared" si="398"/>
        <v>19</v>
      </c>
      <c r="BD1002" s="176">
        <f t="shared" si="399"/>
        <v>20</v>
      </c>
      <c r="BE1002" s="240" t="str">
        <f t="shared" si="390"/>
        <v/>
      </c>
      <c r="BF1002" s="990"/>
      <c r="BG1002" s="990"/>
      <c r="BH1002" s="991">
        <f>IF(AND(Input_Product=Elig!$C1002,Elig_MatchAll_Ct&lt;22,$BC1002=(Elig_MatchAll_Ct-1),AF1002=0),C1002,0)</f>
        <v>0</v>
      </c>
      <c r="BI1002" s="991">
        <f>IF(AND(Input_Product=Elig!$C1002,Elig_MatchAll_Ct&lt;22,$BC1002=(Elig_MatchAll_Ct-1),AG1002=0),D1002,0)</f>
        <v>0</v>
      </c>
      <c r="BJ1002" s="991">
        <f>IF(AND(Input_Product=Elig!$C1002,Elig_MatchAll_Ct&lt;22,$BC1002=(Elig_MatchAll_Ct-1),AH1002=0),E1002,0)</f>
        <v>0</v>
      </c>
      <c r="BK1002" s="991">
        <f>IF(AND(Input_Product=Elig!$C1002,Elig_MatchAll_Ct&lt;22,$BC1002=(Elig_MatchAll_Ct-1),AI1002=0),F1002,0)</f>
        <v>0</v>
      </c>
      <c r="BL1002" s="991">
        <f>IF(AND(Input_Product=Elig!$C1002,Elig_MatchAll_Ct&lt;22,$BC1002=(Elig_MatchAll_Ct-1),AJ1002=0),G1002,0)</f>
        <v>0</v>
      </c>
      <c r="BM1002" s="991">
        <f>IF(AND(Input_Product=Elig!$C1002,Elig_MatchAll_Ct&lt;22,$BC1002=(Elig_MatchAll_Ct-1),AK1002=0),H1002,0)</f>
        <v>0</v>
      </c>
      <c r="BN1002" s="991">
        <f>IF(AND(Input_Product=Elig!$C1002,Elig_MatchAll_Ct&lt;22,$BC1002=(Elig_MatchAll_Ct-1),AL1002=0),I1002,0)</f>
        <v>0</v>
      </c>
      <c r="BO1002" s="991">
        <f>IF(AND(Input_Product=Elig!$C1002,Elig_MatchAll_Ct&lt;22,$BC1002=(Elig_MatchAll_Ct-1),AM1002=0),J1002,0)</f>
        <v>0</v>
      </c>
      <c r="BP1002" s="991">
        <f>IF(AND(Input_Product=Elig!$C1002,Elig_MatchAll_Ct&lt;22,$BC1002=(Elig_MatchAll_Ct-1),AN1002=0),K1002,0)</f>
        <v>0</v>
      </c>
      <c r="BQ1002" s="991">
        <f>IF(AND(Input_Product=Elig!$C1002,Elig_MatchAll_Ct&lt;22,$BC1002=(Elig_MatchAll_Ct-1),AP1002=0),L1002,0)</f>
        <v>0</v>
      </c>
      <c r="BR1002" s="991">
        <f>IF(AND(Input_Product=Elig!$C1002,Elig_MatchAll_Ct&lt;22,$BC1002=(Elig_MatchAll_Ct-1),AO1002=0),M1002,0)</f>
        <v>0</v>
      </c>
      <c r="BS1002" s="991">
        <f>IF(AND(Input_Product=Elig!$C1002,Elig_MatchAll_Ct&lt;22,$BC1002=(Elig_MatchAll_Ct-1),AQ1002=0),N1002,0)</f>
        <v>0</v>
      </c>
      <c r="BT1002" s="991">
        <f>IF(AND(Input_Product=Elig!$C1002,Elig_MatchAll_Ct&lt;22,$BC1002=(Elig_MatchAll_Ct-1),AR1002=0),O1002,0)</f>
        <v>0</v>
      </c>
      <c r="BU1002" s="991">
        <f>IF(AND(Input_Product=Elig!$C1002,Elig_MatchAll_Ct&lt;22,$BC1002=(Elig_MatchAll_Ct-1),AS1002=0),P1002,0)</f>
        <v>0</v>
      </c>
      <c r="BV1002" s="992">
        <f>IF(AND(Input_Product=Elig!$C1002,Elig_MatchAll_Ct&lt;22,$BC1002=(Elig_MatchAll_Ct-1),AT1002=0),Q1002,0)</f>
        <v>0</v>
      </c>
      <c r="BW1002" s="993">
        <f>IF(AND(Input_Product=Elig!$C1002,Elig_MatchAll_Ct&lt;22,$BC1002=(Elig_MatchAll_Ct-1),AU1002=0),R1002,0)</f>
        <v>0</v>
      </c>
      <c r="BX1002" s="994">
        <f>IF(AND(Input_Product=Elig!$C1002,Elig_MatchAll_Ct&lt;22,$BC1002=(Elig_MatchAll_Ct-1),AU1002=0),S1002,0)</f>
        <v>0</v>
      </c>
      <c r="BY1002" s="993">
        <f>IF(AND(Input_Product=Elig!$C1002,Elig_MatchAll_Ct&lt;22,$BC1002=(Elig_MatchAll_Ct-1),AV1002=0),T1002,0)</f>
        <v>0</v>
      </c>
      <c r="BZ1002" s="994">
        <f>IF(AND(Input_Product=Elig!$C1002,Elig_MatchAll_Ct&lt;22,$BC1002=(Elig_MatchAll_Ct-1),AV1002=0),U1002,0)</f>
        <v>0</v>
      </c>
      <c r="CA1002" s="993">
        <f>IF(AND(Input_Product=Elig!$C1002,Elig_MatchAll_Ct&lt;22,$BC1002=(Elig_MatchAll_Ct-1),AW1002=0),V1002,0)</f>
        <v>0</v>
      </c>
      <c r="CB1002" s="994">
        <f>IF(AND(Input_Product=Elig!$C1002,Elig_MatchAll_Ct&lt;22,$BC1002=(Elig_MatchAll_Ct-1),AW1002=0),W1002,0)</f>
        <v>0</v>
      </c>
      <c r="CC1002" s="993">
        <f>IF(AND(Input_Product=Elig!$C1002,Elig_MatchAll_Ct&lt;22,$BC1002=(Elig_MatchAll_Ct-1),AX1002=0),X1002,0)</f>
        <v>0</v>
      </c>
      <c r="CD1002" s="994">
        <f>IF(AND(Input_Product=Elig!$C1002,Elig_MatchAll_Ct&lt;22,$BC1002=(Elig_MatchAll_Ct-1),AX1002=0),Y1002,0)</f>
        <v>0</v>
      </c>
      <c r="CE1002" s="993">
        <f>IF(AND(Input_LTV&lt;=AE1002,Input_Product=Elig!$C1002,Elig_MatchAll_Ct&lt;22,$BC1002=(Elig_MatchAll_Ct-1),AY1002=0),Z1002,0)</f>
        <v>0</v>
      </c>
      <c r="CF1002" s="994">
        <f>IF(AND(Input_LTV&lt;=AE1002,Input_Product=Elig!$C1002,Elig_MatchAll_Ct&lt;22,$BC1002=(Elig_MatchAll_Ct-1),AY1002=0),AA1002,0)</f>
        <v>0</v>
      </c>
      <c r="CG1002" s="993">
        <f>IF(AND(Input_Product=Elig!$C1002,Elig_MatchAll_Ct&lt;22,$BC1002=(Elig_MatchAll_Ct-1),AZ1002=0),AB1002,0)</f>
        <v>0</v>
      </c>
      <c r="CH1002" s="994">
        <f>IF(AND(Input_Product=Elig!$C1002,Elig_MatchAll_Ct&lt;22,$BC1002=(Elig_MatchAll_Ct-1),AZ1002=0),AC1002,0)</f>
        <v>0</v>
      </c>
      <c r="CI1002" s="993">
        <f>IF(AND(Input_Product=Elig!$C1002,Elig_MatchAll_Ct&lt;22,$BC1002=(Elig_MatchAll_Ct-1),BA1002=0),AD1002,0)</f>
        <v>0</v>
      </c>
      <c r="CJ1002" s="994">
        <f>IF(AND(Input_Product=Elig!$C1002,Elig_MatchAll_Ct&lt;22,$BC1002=(Elig_MatchAll_Ct-1),BA1002=0),AE1002,0)</f>
        <v>0</v>
      </c>
    </row>
    <row r="1003" spans="2:88" ht="10.15" customHeight="1" x14ac:dyDescent="0.25">
      <c r="B1003" s="1916" t="s">
        <v>2339</v>
      </c>
      <c r="C1003" s="1208" t="str">
        <f t="shared" si="389"/>
        <v xml:space="preserve">  </v>
      </c>
      <c r="D1003" s="1209" t="s">
        <v>2218</v>
      </c>
      <c r="E1003" s="1209" t="s">
        <v>167</v>
      </c>
      <c r="F1003" s="1209" t="s">
        <v>331</v>
      </c>
      <c r="G1003" s="1210" t="s">
        <v>303</v>
      </c>
      <c r="H1003" s="1210" t="s">
        <v>136</v>
      </c>
      <c r="I1003" s="1209" t="s">
        <v>16</v>
      </c>
      <c r="J1003" s="1209" t="s">
        <v>1311</v>
      </c>
      <c r="K1003" s="1210" t="s">
        <v>3022</v>
      </c>
      <c r="L1003" s="1209" t="s">
        <v>2768</v>
      </c>
      <c r="M1003" s="1209" t="s">
        <v>2677</v>
      </c>
      <c r="N1003" s="1210" t="s">
        <v>82</v>
      </c>
      <c r="O1003" s="1209" t="s">
        <v>310</v>
      </c>
      <c r="P1003" s="1209" t="s">
        <v>291</v>
      </c>
      <c r="Q1003" s="1209" t="s">
        <v>294</v>
      </c>
      <c r="R1003" s="1209">
        <v>2500000.0099999998</v>
      </c>
      <c r="S1003" s="1209">
        <v>3000000</v>
      </c>
      <c r="T1003" s="1209">
        <v>0</v>
      </c>
      <c r="U1003" s="1209">
        <f t="shared" si="400"/>
        <v>3000000</v>
      </c>
      <c r="V1003" s="1209">
        <v>0</v>
      </c>
      <c r="W1003" s="1209">
        <v>50</v>
      </c>
      <c r="X1003" s="1209">
        <v>0</v>
      </c>
      <c r="Y1003" s="1209">
        <v>999</v>
      </c>
      <c r="Z1003" s="1211">
        <v>700</v>
      </c>
      <c r="AA1003" s="1211">
        <v>719</v>
      </c>
      <c r="AB1003" s="1211">
        <v>6</v>
      </c>
      <c r="AC1003" s="1211">
        <v>999999</v>
      </c>
      <c r="AD1003" s="1209">
        <v>0</v>
      </c>
      <c r="AE1003" s="1212">
        <v>75</v>
      </c>
      <c r="AF1003" s="170">
        <v>0</v>
      </c>
      <c r="AG1003" s="171">
        <v>1</v>
      </c>
      <c r="AH1003" s="171">
        <v>1</v>
      </c>
      <c r="AI1003" s="171">
        <v>1</v>
      </c>
      <c r="AJ1003" s="171">
        <v>1</v>
      </c>
      <c r="AK1003" s="171">
        <v>1</v>
      </c>
      <c r="AL1003" s="171">
        <v>1</v>
      </c>
      <c r="AM1003" s="171">
        <v>1</v>
      </c>
      <c r="AN1003" s="171">
        <v>1</v>
      </c>
      <c r="AO1003" s="171">
        <v>1</v>
      </c>
      <c r="AP1003" s="171">
        <v>1</v>
      </c>
      <c r="AQ1003" s="171">
        <v>1</v>
      </c>
      <c r="AR1003" s="171">
        <v>1</v>
      </c>
      <c r="AS1003" s="171">
        <v>1</v>
      </c>
      <c r="AT1003" s="171">
        <v>1</v>
      </c>
      <c r="AU1003" s="171">
        <f t="shared" si="391"/>
        <v>0</v>
      </c>
      <c r="AV1003" s="171">
        <f t="shared" si="392"/>
        <v>1</v>
      </c>
      <c r="AW1003" s="171">
        <f t="shared" si="393"/>
        <v>1</v>
      </c>
      <c r="AX1003" s="171">
        <f t="shared" si="401"/>
        <v>1</v>
      </c>
      <c r="AY1003" s="171">
        <f t="shared" si="394"/>
        <v>0</v>
      </c>
      <c r="AZ1003" s="171">
        <f t="shared" si="395"/>
        <v>1</v>
      </c>
      <c r="BA1003" s="172">
        <f t="shared" si="396"/>
        <v>1</v>
      </c>
      <c r="BB1003" s="175">
        <f t="shared" si="397"/>
        <v>19</v>
      </c>
      <c r="BC1003" s="176">
        <f t="shared" si="398"/>
        <v>18</v>
      </c>
      <c r="BD1003" s="176">
        <f t="shared" si="399"/>
        <v>19</v>
      </c>
      <c r="BE1003" s="240" t="str">
        <f t="shared" si="390"/>
        <v/>
      </c>
      <c r="BF1003" s="990"/>
      <c r="BG1003" s="990"/>
      <c r="BH1003" s="991">
        <f>IF(AND(Input_Product=Elig!$C1003,Elig_MatchAll_Ct&lt;22,$BC1003=(Elig_MatchAll_Ct-1),AF1003=0),C1003,0)</f>
        <v>0</v>
      </c>
      <c r="BI1003" s="991">
        <f>IF(AND(Input_Product=Elig!$C1003,Elig_MatchAll_Ct&lt;22,$BC1003=(Elig_MatchAll_Ct-1),AG1003=0),D1003,0)</f>
        <v>0</v>
      </c>
      <c r="BJ1003" s="991">
        <f>IF(AND(Input_Product=Elig!$C1003,Elig_MatchAll_Ct&lt;22,$BC1003=(Elig_MatchAll_Ct-1),AH1003=0),E1003,0)</f>
        <v>0</v>
      </c>
      <c r="BK1003" s="991">
        <f>IF(AND(Input_Product=Elig!$C1003,Elig_MatchAll_Ct&lt;22,$BC1003=(Elig_MatchAll_Ct-1),AI1003=0),F1003,0)</f>
        <v>0</v>
      </c>
      <c r="BL1003" s="991">
        <f>IF(AND(Input_Product=Elig!$C1003,Elig_MatchAll_Ct&lt;22,$BC1003=(Elig_MatchAll_Ct-1),AJ1003=0),G1003,0)</f>
        <v>0</v>
      </c>
      <c r="BM1003" s="991">
        <f>IF(AND(Input_Product=Elig!$C1003,Elig_MatchAll_Ct&lt;22,$BC1003=(Elig_MatchAll_Ct-1),AK1003=0),H1003,0)</f>
        <v>0</v>
      </c>
      <c r="BN1003" s="991">
        <f>IF(AND(Input_Product=Elig!$C1003,Elig_MatchAll_Ct&lt;22,$BC1003=(Elig_MatchAll_Ct-1),AL1003=0),I1003,0)</f>
        <v>0</v>
      </c>
      <c r="BO1003" s="991">
        <f>IF(AND(Input_Product=Elig!$C1003,Elig_MatchAll_Ct&lt;22,$BC1003=(Elig_MatchAll_Ct-1),AM1003=0),J1003,0)</f>
        <v>0</v>
      </c>
      <c r="BP1003" s="991">
        <f>IF(AND(Input_Product=Elig!$C1003,Elig_MatchAll_Ct&lt;22,$BC1003=(Elig_MatchAll_Ct-1),AN1003=0),K1003,0)</f>
        <v>0</v>
      </c>
      <c r="BQ1003" s="991">
        <f>IF(AND(Input_Product=Elig!$C1003,Elig_MatchAll_Ct&lt;22,$BC1003=(Elig_MatchAll_Ct-1),AP1003=0),L1003,0)</f>
        <v>0</v>
      </c>
      <c r="BR1003" s="991">
        <f>IF(AND(Input_Product=Elig!$C1003,Elig_MatchAll_Ct&lt;22,$BC1003=(Elig_MatchAll_Ct-1),AO1003=0),M1003,0)</f>
        <v>0</v>
      </c>
      <c r="BS1003" s="991">
        <f>IF(AND(Input_Product=Elig!$C1003,Elig_MatchAll_Ct&lt;22,$BC1003=(Elig_MatchAll_Ct-1),AQ1003=0),N1003,0)</f>
        <v>0</v>
      </c>
      <c r="BT1003" s="991">
        <f>IF(AND(Input_Product=Elig!$C1003,Elig_MatchAll_Ct&lt;22,$BC1003=(Elig_MatchAll_Ct-1),AR1003=0),O1003,0)</f>
        <v>0</v>
      </c>
      <c r="BU1003" s="991">
        <f>IF(AND(Input_Product=Elig!$C1003,Elig_MatchAll_Ct&lt;22,$BC1003=(Elig_MatchAll_Ct-1),AS1003=0),P1003,0)</f>
        <v>0</v>
      </c>
      <c r="BV1003" s="992">
        <f>IF(AND(Input_Product=Elig!$C1003,Elig_MatchAll_Ct&lt;22,$BC1003=(Elig_MatchAll_Ct-1),AT1003=0),Q1003,0)</f>
        <v>0</v>
      </c>
      <c r="BW1003" s="993">
        <f>IF(AND(Input_Product=Elig!$C1003,Elig_MatchAll_Ct&lt;22,$BC1003=(Elig_MatchAll_Ct-1),AU1003=0),R1003,0)</f>
        <v>0</v>
      </c>
      <c r="BX1003" s="994">
        <f>IF(AND(Input_Product=Elig!$C1003,Elig_MatchAll_Ct&lt;22,$BC1003=(Elig_MatchAll_Ct-1),AU1003=0),S1003,0)</f>
        <v>0</v>
      </c>
      <c r="BY1003" s="993">
        <f>IF(AND(Input_Product=Elig!$C1003,Elig_MatchAll_Ct&lt;22,$BC1003=(Elig_MatchAll_Ct-1),AV1003=0),T1003,0)</f>
        <v>0</v>
      </c>
      <c r="BZ1003" s="994">
        <f>IF(AND(Input_Product=Elig!$C1003,Elig_MatchAll_Ct&lt;22,$BC1003=(Elig_MatchAll_Ct-1),AV1003=0),U1003,0)</f>
        <v>0</v>
      </c>
      <c r="CA1003" s="993">
        <f>IF(AND(Input_Product=Elig!$C1003,Elig_MatchAll_Ct&lt;22,$BC1003=(Elig_MatchAll_Ct-1),AW1003=0),V1003,0)</f>
        <v>0</v>
      </c>
      <c r="CB1003" s="994">
        <f>IF(AND(Input_Product=Elig!$C1003,Elig_MatchAll_Ct&lt;22,$BC1003=(Elig_MatchAll_Ct-1),AW1003=0),W1003,0)</f>
        <v>0</v>
      </c>
      <c r="CC1003" s="993">
        <f>IF(AND(Input_Product=Elig!$C1003,Elig_MatchAll_Ct&lt;22,$BC1003=(Elig_MatchAll_Ct-1),AX1003=0),X1003,0)</f>
        <v>0</v>
      </c>
      <c r="CD1003" s="994">
        <f>IF(AND(Input_Product=Elig!$C1003,Elig_MatchAll_Ct&lt;22,$BC1003=(Elig_MatchAll_Ct-1),AX1003=0),Y1003,0)</f>
        <v>0</v>
      </c>
      <c r="CE1003" s="993">
        <f>IF(AND(Input_LTV&lt;=AE1003,Input_Product=Elig!$C1003,Elig_MatchAll_Ct&lt;22,$BC1003=(Elig_MatchAll_Ct-1),AY1003=0),Z1003,0)</f>
        <v>0</v>
      </c>
      <c r="CF1003" s="994">
        <f>IF(AND(Input_LTV&lt;=AE1003,Input_Product=Elig!$C1003,Elig_MatchAll_Ct&lt;22,$BC1003=(Elig_MatchAll_Ct-1),AY1003=0),AA1003,0)</f>
        <v>0</v>
      </c>
      <c r="CG1003" s="993">
        <f>IF(AND(Input_Product=Elig!$C1003,Elig_MatchAll_Ct&lt;22,$BC1003=(Elig_MatchAll_Ct-1),AZ1003=0),AB1003,0)</f>
        <v>0</v>
      </c>
      <c r="CH1003" s="994">
        <f>IF(AND(Input_Product=Elig!$C1003,Elig_MatchAll_Ct&lt;22,$BC1003=(Elig_MatchAll_Ct-1),AZ1003=0),AC1003,0)</f>
        <v>0</v>
      </c>
      <c r="CI1003" s="993">
        <f>IF(AND(Input_Product=Elig!$C1003,Elig_MatchAll_Ct&lt;22,$BC1003=(Elig_MatchAll_Ct-1),BA1003=0),AD1003,0)</f>
        <v>0</v>
      </c>
      <c r="CJ1003" s="994">
        <f>IF(AND(Input_Product=Elig!$C1003,Elig_MatchAll_Ct&lt;22,$BC1003=(Elig_MatchAll_Ct-1),BA1003=0),AE1003,0)</f>
        <v>0</v>
      </c>
    </row>
    <row r="1004" spans="2:88" ht="10.15" customHeight="1" x14ac:dyDescent="0.25">
      <c r="B1004" s="1916" t="s">
        <v>2340</v>
      </c>
      <c r="C1004" s="1213" t="str">
        <f t="shared" si="389"/>
        <v xml:space="preserve">  </v>
      </c>
      <c r="D1004" s="1214" t="s">
        <v>2218</v>
      </c>
      <c r="E1004" s="1214" t="s">
        <v>167</v>
      </c>
      <c r="F1004" s="1214" t="s">
        <v>331</v>
      </c>
      <c r="G1004" s="1215" t="s">
        <v>303</v>
      </c>
      <c r="H1004" s="1215" t="s">
        <v>136</v>
      </c>
      <c r="I1004" s="1214" t="s">
        <v>16</v>
      </c>
      <c r="J1004" s="1214" t="s">
        <v>1311</v>
      </c>
      <c r="K1004" s="1215" t="s">
        <v>3022</v>
      </c>
      <c r="L1004" s="1214" t="s">
        <v>2768</v>
      </c>
      <c r="M1004" s="1214" t="s">
        <v>2677</v>
      </c>
      <c r="N1004" s="1215" t="s">
        <v>82</v>
      </c>
      <c r="O1004" s="1214" t="s">
        <v>310</v>
      </c>
      <c r="P1004" s="1214" t="s">
        <v>291</v>
      </c>
      <c r="Q1004" s="1214" t="s">
        <v>294</v>
      </c>
      <c r="R1004" s="1214">
        <v>2500000.0099999998</v>
      </c>
      <c r="S1004" s="1214">
        <v>3000000</v>
      </c>
      <c r="T1004" s="1214">
        <v>0</v>
      </c>
      <c r="U1004" s="1214">
        <f t="shared" si="400"/>
        <v>3000000</v>
      </c>
      <c r="V1004" s="1214">
        <v>0</v>
      </c>
      <c r="W1004" s="1214">
        <v>50</v>
      </c>
      <c r="X1004" s="1214">
        <v>0</v>
      </c>
      <c r="Y1004" s="1214">
        <v>999</v>
      </c>
      <c r="Z1004" s="1216">
        <v>680</v>
      </c>
      <c r="AA1004" s="1216">
        <v>699</v>
      </c>
      <c r="AB1004" s="1216">
        <v>6</v>
      </c>
      <c r="AC1004" s="1216">
        <v>999999</v>
      </c>
      <c r="AD1004" s="1214">
        <v>0</v>
      </c>
      <c r="AE1004" s="1217">
        <v>75</v>
      </c>
      <c r="AF1004" s="170">
        <v>0</v>
      </c>
      <c r="AG1004" s="171">
        <v>1</v>
      </c>
      <c r="AH1004" s="171">
        <v>1</v>
      </c>
      <c r="AI1004" s="171">
        <v>1</v>
      </c>
      <c r="AJ1004" s="171">
        <v>1</v>
      </c>
      <c r="AK1004" s="171">
        <v>1</v>
      </c>
      <c r="AL1004" s="171">
        <v>1</v>
      </c>
      <c r="AM1004" s="171">
        <v>1</v>
      </c>
      <c r="AN1004" s="171">
        <v>1</v>
      </c>
      <c r="AO1004" s="171">
        <v>1</v>
      </c>
      <c r="AP1004" s="171">
        <v>1</v>
      </c>
      <c r="AQ1004" s="171">
        <v>1</v>
      </c>
      <c r="AR1004" s="171">
        <v>1</v>
      </c>
      <c r="AS1004" s="171">
        <v>1</v>
      </c>
      <c r="AT1004" s="171">
        <v>1</v>
      </c>
      <c r="AU1004" s="171">
        <f t="shared" si="391"/>
        <v>0</v>
      </c>
      <c r="AV1004" s="171">
        <f t="shared" si="392"/>
        <v>1</v>
      </c>
      <c r="AW1004" s="171">
        <f t="shared" si="393"/>
        <v>1</v>
      </c>
      <c r="AX1004" s="171">
        <f t="shared" si="401"/>
        <v>1</v>
      </c>
      <c r="AY1004" s="171">
        <f t="shared" si="394"/>
        <v>0</v>
      </c>
      <c r="AZ1004" s="171">
        <f t="shared" si="395"/>
        <v>1</v>
      </c>
      <c r="BA1004" s="172">
        <f t="shared" si="396"/>
        <v>1</v>
      </c>
      <c r="BB1004" s="175">
        <f t="shared" si="397"/>
        <v>19</v>
      </c>
      <c r="BC1004" s="176">
        <f t="shared" si="398"/>
        <v>18</v>
      </c>
      <c r="BD1004" s="176">
        <f t="shared" si="399"/>
        <v>19</v>
      </c>
      <c r="BE1004" s="240" t="str">
        <f t="shared" si="390"/>
        <v/>
      </c>
      <c r="BF1004" s="990"/>
      <c r="BG1004" s="990"/>
      <c r="BH1004" s="991">
        <f>IF(AND(Input_Product=Elig!$C1004,Elig_MatchAll_Ct&lt;22,$BC1004=(Elig_MatchAll_Ct-1),AF1004=0),C1004,0)</f>
        <v>0</v>
      </c>
      <c r="BI1004" s="991">
        <f>IF(AND(Input_Product=Elig!$C1004,Elig_MatchAll_Ct&lt;22,$BC1004=(Elig_MatchAll_Ct-1),AG1004=0),D1004,0)</f>
        <v>0</v>
      </c>
      <c r="BJ1004" s="991">
        <f>IF(AND(Input_Product=Elig!$C1004,Elig_MatchAll_Ct&lt;22,$BC1004=(Elig_MatchAll_Ct-1),AH1004=0),E1004,0)</f>
        <v>0</v>
      </c>
      <c r="BK1004" s="991">
        <f>IF(AND(Input_Product=Elig!$C1004,Elig_MatchAll_Ct&lt;22,$BC1004=(Elig_MatchAll_Ct-1),AI1004=0),F1004,0)</f>
        <v>0</v>
      </c>
      <c r="BL1004" s="991">
        <f>IF(AND(Input_Product=Elig!$C1004,Elig_MatchAll_Ct&lt;22,$BC1004=(Elig_MatchAll_Ct-1),AJ1004=0),G1004,0)</f>
        <v>0</v>
      </c>
      <c r="BM1004" s="991">
        <f>IF(AND(Input_Product=Elig!$C1004,Elig_MatchAll_Ct&lt;22,$BC1004=(Elig_MatchAll_Ct-1),AK1004=0),H1004,0)</f>
        <v>0</v>
      </c>
      <c r="BN1004" s="991">
        <f>IF(AND(Input_Product=Elig!$C1004,Elig_MatchAll_Ct&lt;22,$BC1004=(Elig_MatchAll_Ct-1),AL1004=0),I1004,0)</f>
        <v>0</v>
      </c>
      <c r="BO1004" s="991">
        <f>IF(AND(Input_Product=Elig!$C1004,Elig_MatchAll_Ct&lt;22,$BC1004=(Elig_MatchAll_Ct-1),AM1004=0),J1004,0)</f>
        <v>0</v>
      </c>
      <c r="BP1004" s="991">
        <f>IF(AND(Input_Product=Elig!$C1004,Elig_MatchAll_Ct&lt;22,$BC1004=(Elig_MatchAll_Ct-1),AN1004=0),K1004,0)</f>
        <v>0</v>
      </c>
      <c r="BQ1004" s="991">
        <f>IF(AND(Input_Product=Elig!$C1004,Elig_MatchAll_Ct&lt;22,$BC1004=(Elig_MatchAll_Ct-1),AP1004=0),L1004,0)</f>
        <v>0</v>
      </c>
      <c r="BR1004" s="991">
        <f>IF(AND(Input_Product=Elig!$C1004,Elig_MatchAll_Ct&lt;22,$BC1004=(Elig_MatchAll_Ct-1),AO1004=0),M1004,0)</f>
        <v>0</v>
      </c>
      <c r="BS1004" s="991">
        <f>IF(AND(Input_Product=Elig!$C1004,Elig_MatchAll_Ct&lt;22,$BC1004=(Elig_MatchAll_Ct-1),AQ1004=0),N1004,0)</f>
        <v>0</v>
      </c>
      <c r="BT1004" s="991">
        <f>IF(AND(Input_Product=Elig!$C1004,Elig_MatchAll_Ct&lt;22,$BC1004=(Elig_MatchAll_Ct-1),AR1004=0),O1004,0)</f>
        <v>0</v>
      </c>
      <c r="BU1004" s="991">
        <f>IF(AND(Input_Product=Elig!$C1004,Elig_MatchAll_Ct&lt;22,$BC1004=(Elig_MatchAll_Ct-1),AS1004=0),P1004,0)</f>
        <v>0</v>
      </c>
      <c r="BV1004" s="992">
        <f>IF(AND(Input_Product=Elig!$C1004,Elig_MatchAll_Ct&lt;22,$BC1004=(Elig_MatchAll_Ct-1),AT1004=0),Q1004,0)</f>
        <v>0</v>
      </c>
      <c r="BW1004" s="993">
        <f>IF(AND(Input_Product=Elig!$C1004,Elig_MatchAll_Ct&lt;22,$BC1004=(Elig_MatchAll_Ct-1),AU1004=0),R1004,0)</f>
        <v>0</v>
      </c>
      <c r="BX1004" s="994">
        <f>IF(AND(Input_Product=Elig!$C1004,Elig_MatchAll_Ct&lt;22,$BC1004=(Elig_MatchAll_Ct-1),AU1004=0),S1004,0)</f>
        <v>0</v>
      </c>
      <c r="BY1004" s="993">
        <f>IF(AND(Input_Product=Elig!$C1004,Elig_MatchAll_Ct&lt;22,$BC1004=(Elig_MatchAll_Ct-1),AV1004=0),T1004,0)</f>
        <v>0</v>
      </c>
      <c r="BZ1004" s="994">
        <f>IF(AND(Input_Product=Elig!$C1004,Elig_MatchAll_Ct&lt;22,$BC1004=(Elig_MatchAll_Ct-1),AV1004=0),U1004,0)</f>
        <v>0</v>
      </c>
      <c r="CA1004" s="993">
        <f>IF(AND(Input_Product=Elig!$C1004,Elig_MatchAll_Ct&lt;22,$BC1004=(Elig_MatchAll_Ct-1),AW1004=0),V1004,0)</f>
        <v>0</v>
      </c>
      <c r="CB1004" s="994">
        <f>IF(AND(Input_Product=Elig!$C1004,Elig_MatchAll_Ct&lt;22,$BC1004=(Elig_MatchAll_Ct-1),AW1004=0),W1004,0)</f>
        <v>0</v>
      </c>
      <c r="CC1004" s="993">
        <f>IF(AND(Input_Product=Elig!$C1004,Elig_MatchAll_Ct&lt;22,$BC1004=(Elig_MatchAll_Ct-1),AX1004=0),X1004,0)</f>
        <v>0</v>
      </c>
      <c r="CD1004" s="994">
        <f>IF(AND(Input_Product=Elig!$C1004,Elig_MatchAll_Ct&lt;22,$BC1004=(Elig_MatchAll_Ct-1),AX1004=0),Y1004,0)</f>
        <v>0</v>
      </c>
      <c r="CE1004" s="993">
        <f>IF(AND(Input_LTV&lt;=AE1004,Input_Product=Elig!$C1004,Elig_MatchAll_Ct&lt;22,$BC1004=(Elig_MatchAll_Ct-1),AY1004=0),Z1004,0)</f>
        <v>0</v>
      </c>
      <c r="CF1004" s="994">
        <f>IF(AND(Input_LTV&lt;=AE1004,Input_Product=Elig!$C1004,Elig_MatchAll_Ct&lt;22,$BC1004=(Elig_MatchAll_Ct-1),AY1004=0),AA1004,0)</f>
        <v>0</v>
      </c>
      <c r="CG1004" s="993">
        <f>IF(AND(Input_Product=Elig!$C1004,Elig_MatchAll_Ct&lt;22,$BC1004=(Elig_MatchAll_Ct-1),AZ1004=0),AB1004,0)</f>
        <v>0</v>
      </c>
      <c r="CH1004" s="994">
        <f>IF(AND(Input_Product=Elig!$C1004,Elig_MatchAll_Ct&lt;22,$BC1004=(Elig_MatchAll_Ct-1),AZ1004=0),AC1004,0)</f>
        <v>0</v>
      </c>
      <c r="CI1004" s="993">
        <f>IF(AND(Input_Product=Elig!$C1004,Elig_MatchAll_Ct&lt;22,$BC1004=(Elig_MatchAll_Ct-1),BA1004=0),AD1004,0)</f>
        <v>0</v>
      </c>
      <c r="CJ1004" s="994">
        <f>IF(AND(Input_Product=Elig!$C1004,Elig_MatchAll_Ct&lt;22,$BC1004=(Elig_MatchAll_Ct-1),BA1004=0),AE1004,0)</f>
        <v>0</v>
      </c>
    </row>
    <row r="1005" spans="2:88" ht="10.15" customHeight="1" x14ac:dyDescent="0.25">
      <c r="B1005" s="1916" t="s">
        <v>2341</v>
      </c>
      <c r="C1005" s="1203" t="str">
        <f t="shared" si="389"/>
        <v xml:space="preserve">  </v>
      </c>
      <c r="D1005" s="1204" t="s">
        <v>2218</v>
      </c>
      <c r="E1005" s="1204" t="s">
        <v>167</v>
      </c>
      <c r="F1005" s="1204" t="s">
        <v>331</v>
      </c>
      <c r="G1005" s="1205" t="s">
        <v>175</v>
      </c>
      <c r="H1005" s="1205" t="s">
        <v>446</v>
      </c>
      <c r="I1005" s="1204" t="s">
        <v>16</v>
      </c>
      <c r="J1005" s="1204" t="s">
        <v>1311</v>
      </c>
      <c r="K1005" s="1205" t="s">
        <v>3022</v>
      </c>
      <c r="L1005" s="1204" t="s">
        <v>2768</v>
      </c>
      <c r="M1005" s="1204" t="s">
        <v>2677</v>
      </c>
      <c r="N1005" s="1205" t="s">
        <v>82</v>
      </c>
      <c r="O1005" s="1204" t="s">
        <v>310</v>
      </c>
      <c r="P1005" s="1204" t="s">
        <v>291</v>
      </c>
      <c r="Q1005" s="1204" t="s">
        <v>294</v>
      </c>
      <c r="R1005" s="1204">
        <v>125000</v>
      </c>
      <c r="S1005" s="1204">
        <v>1000000</v>
      </c>
      <c r="T1005" s="1204">
        <v>0</v>
      </c>
      <c r="U1005" s="1204">
        <f t="shared" si="400"/>
        <v>1000000</v>
      </c>
      <c r="V1005" s="1204">
        <v>0</v>
      </c>
      <c r="W1005" s="1204">
        <v>50</v>
      </c>
      <c r="X1005" s="1204">
        <v>0</v>
      </c>
      <c r="Y1005" s="1204">
        <v>999</v>
      </c>
      <c r="Z1005" s="1206">
        <v>720</v>
      </c>
      <c r="AA1005" s="1206">
        <v>999</v>
      </c>
      <c r="AB1005" s="1206">
        <v>3</v>
      </c>
      <c r="AC1005" s="1206">
        <v>999999</v>
      </c>
      <c r="AD1005" s="1204">
        <v>0</v>
      </c>
      <c r="AE1005" s="1207">
        <v>80</v>
      </c>
      <c r="AF1005" s="170">
        <v>0</v>
      </c>
      <c r="AG1005" s="171">
        <v>1</v>
      </c>
      <c r="AH1005" s="171">
        <v>1</v>
      </c>
      <c r="AI1005" s="171">
        <v>1</v>
      </c>
      <c r="AJ1005" s="171">
        <v>0</v>
      </c>
      <c r="AK1005" s="171">
        <v>0</v>
      </c>
      <c r="AL1005" s="171">
        <v>1</v>
      </c>
      <c r="AM1005" s="171">
        <v>1</v>
      </c>
      <c r="AN1005" s="171">
        <v>1</v>
      </c>
      <c r="AO1005" s="171">
        <v>1</v>
      </c>
      <c r="AP1005" s="171">
        <v>1</v>
      </c>
      <c r="AQ1005" s="171">
        <v>1</v>
      </c>
      <c r="AR1005" s="171">
        <v>1</v>
      </c>
      <c r="AS1005" s="171">
        <v>1</v>
      </c>
      <c r="AT1005" s="171">
        <v>1</v>
      </c>
      <c r="AU1005" s="171">
        <f t="shared" si="391"/>
        <v>1</v>
      </c>
      <c r="AV1005" s="171">
        <f t="shared" si="392"/>
        <v>1</v>
      </c>
      <c r="AW1005" s="171">
        <f t="shared" si="393"/>
        <v>1</v>
      </c>
      <c r="AX1005" s="171">
        <f t="shared" si="401"/>
        <v>1</v>
      </c>
      <c r="AY1005" s="171">
        <f t="shared" si="394"/>
        <v>1</v>
      </c>
      <c r="AZ1005" s="171">
        <f t="shared" si="395"/>
        <v>1</v>
      </c>
      <c r="BA1005" s="172">
        <f t="shared" si="396"/>
        <v>1</v>
      </c>
      <c r="BB1005" s="175">
        <f t="shared" si="397"/>
        <v>19</v>
      </c>
      <c r="BC1005" s="176">
        <f t="shared" si="398"/>
        <v>18</v>
      </c>
      <c r="BD1005" s="176">
        <f t="shared" si="399"/>
        <v>19</v>
      </c>
      <c r="BE1005" s="240" t="str">
        <f t="shared" si="390"/>
        <v/>
      </c>
      <c r="BF1005" s="990"/>
      <c r="BG1005" s="990"/>
      <c r="BH1005" s="991">
        <f>IF(AND(Input_Product=Elig!$C1005,Elig_MatchAll_Ct&lt;22,$BC1005=(Elig_MatchAll_Ct-1),AF1005=0),C1005,0)</f>
        <v>0</v>
      </c>
      <c r="BI1005" s="991">
        <f>IF(AND(Input_Product=Elig!$C1005,Elig_MatchAll_Ct&lt;22,$BC1005=(Elig_MatchAll_Ct-1),AG1005=0),D1005,0)</f>
        <v>0</v>
      </c>
      <c r="BJ1005" s="991">
        <f>IF(AND(Input_Product=Elig!$C1005,Elig_MatchAll_Ct&lt;22,$BC1005=(Elig_MatchAll_Ct-1),AH1005=0),E1005,0)</f>
        <v>0</v>
      </c>
      <c r="BK1005" s="991">
        <f>IF(AND(Input_Product=Elig!$C1005,Elig_MatchAll_Ct&lt;22,$BC1005=(Elig_MatchAll_Ct-1),AI1005=0),F1005,0)</f>
        <v>0</v>
      </c>
      <c r="BL1005" s="991">
        <f>IF(AND(Input_Product=Elig!$C1005,Elig_MatchAll_Ct&lt;22,$BC1005=(Elig_MatchAll_Ct-1),AJ1005=0),G1005,0)</f>
        <v>0</v>
      </c>
      <c r="BM1005" s="991">
        <f>IF(AND(Input_Product=Elig!$C1005,Elig_MatchAll_Ct&lt;22,$BC1005=(Elig_MatchAll_Ct-1),AK1005=0),H1005,0)</f>
        <v>0</v>
      </c>
      <c r="BN1005" s="991">
        <f>IF(AND(Input_Product=Elig!$C1005,Elig_MatchAll_Ct&lt;22,$BC1005=(Elig_MatchAll_Ct-1),AL1005=0),I1005,0)</f>
        <v>0</v>
      </c>
      <c r="BO1005" s="991">
        <f>IF(AND(Input_Product=Elig!$C1005,Elig_MatchAll_Ct&lt;22,$BC1005=(Elig_MatchAll_Ct-1),AM1005=0),J1005,0)</f>
        <v>0</v>
      </c>
      <c r="BP1005" s="991">
        <f>IF(AND(Input_Product=Elig!$C1005,Elig_MatchAll_Ct&lt;22,$BC1005=(Elig_MatchAll_Ct-1),AN1005=0),K1005,0)</f>
        <v>0</v>
      </c>
      <c r="BQ1005" s="991">
        <f>IF(AND(Input_Product=Elig!$C1005,Elig_MatchAll_Ct&lt;22,$BC1005=(Elig_MatchAll_Ct-1),AP1005=0),L1005,0)</f>
        <v>0</v>
      </c>
      <c r="BR1005" s="991">
        <f>IF(AND(Input_Product=Elig!$C1005,Elig_MatchAll_Ct&lt;22,$BC1005=(Elig_MatchAll_Ct-1),AO1005=0),M1005,0)</f>
        <v>0</v>
      </c>
      <c r="BS1005" s="991">
        <f>IF(AND(Input_Product=Elig!$C1005,Elig_MatchAll_Ct&lt;22,$BC1005=(Elig_MatchAll_Ct-1),AQ1005=0),N1005,0)</f>
        <v>0</v>
      </c>
      <c r="BT1005" s="991">
        <f>IF(AND(Input_Product=Elig!$C1005,Elig_MatchAll_Ct&lt;22,$BC1005=(Elig_MatchAll_Ct-1),AR1005=0),O1005,0)</f>
        <v>0</v>
      </c>
      <c r="BU1005" s="991">
        <f>IF(AND(Input_Product=Elig!$C1005,Elig_MatchAll_Ct&lt;22,$BC1005=(Elig_MatchAll_Ct-1),AS1005=0),P1005,0)</f>
        <v>0</v>
      </c>
      <c r="BV1005" s="992">
        <f>IF(AND(Input_Product=Elig!$C1005,Elig_MatchAll_Ct&lt;22,$BC1005=(Elig_MatchAll_Ct-1),AT1005=0),Q1005,0)</f>
        <v>0</v>
      </c>
      <c r="BW1005" s="993">
        <f>IF(AND(Input_Product=Elig!$C1005,Elig_MatchAll_Ct&lt;22,$BC1005=(Elig_MatchAll_Ct-1),AU1005=0),R1005,0)</f>
        <v>0</v>
      </c>
      <c r="BX1005" s="994">
        <f>IF(AND(Input_Product=Elig!$C1005,Elig_MatchAll_Ct&lt;22,$BC1005=(Elig_MatchAll_Ct-1),AU1005=0),S1005,0)</f>
        <v>0</v>
      </c>
      <c r="BY1005" s="993">
        <f>IF(AND(Input_Product=Elig!$C1005,Elig_MatchAll_Ct&lt;22,$BC1005=(Elig_MatchAll_Ct-1),AV1005=0),T1005,0)</f>
        <v>0</v>
      </c>
      <c r="BZ1005" s="994">
        <f>IF(AND(Input_Product=Elig!$C1005,Elig_MatchAll_Ct&lt;22,$BC1005=(Elig_MatchAll_Ct-1),AV1005=0),U1005,0)</f>
        <v>0</v>
      </c>
      <c r="CA1005" s="993">
        <f>IF(AND(Input_Product=Elig!$C1005,Elig_MatchAll_Ct&lt;22,$BC1005=(Elig_MatchAll_Ct-1),AW1005=0),V1005,0)</f>
        <v>0</v>
      </c>
      <c r="CB1005" s="994">
        <f>IF(AND(Input_Product=Elig!$C1005,Elig_MatchAll_Ct&lt;22,$BC1005=(Elig_MatchAll_Ct-1),AW1005=0),W1005,0)</f>
        <v>0</v>
      </c>
      <c r="CC1005" s="993">
        <f>IF(AND(Input_Product=Elig!$C1005,Elig_MatchAll_Ct&lt;22,$BC1005=(Elig_MatchAll_Ct-1),AX1005=0),X1005,0)</f>
        <v>0</v>
      </c>
      <c r="CD1005" s="994">
        <f>IF(AND(Input_Product=Elig!$C1005,Elig_MatchAll_Ct&lt;22,$BC1005=(Elig_MatchAll_Ct-1),AX1005=0),Y1005,0)</f>
        <v>0</v>
      </c>
      <c r="CE1005" s="993">
        <f>IF(AND(Input_LTV&lt;=AE1005,Input_Product=Elig!$C1005,Elig_MatchAll_Ct&lt;22,$BC1005=(Elig_MatchAll_Ct-1),AY1005=0),Z1005,0)</f>
        <v>0</v>
      </c>
      <c r="CF1005" s="994">
        <f>IF(AND(Input_LTV&lt;=AE1005,Input_Product=Elig!$C1005,Elig_MatchAll_Ct&lt;22,$BC1005=(Elig_MatchAll_Ct-1),AY1005=0),AA1005,0)</f>
        <v>0</v>
      </c>
      <c r="CG1005" s="993">
        <f>IF(AND(Input_Product=Elig!$C1005,Elig_MatchAll_Ct&lt;22,$BC1005=(Elig_MatchAll_Ct-1),AZ1005=0),AB1005,0)</f>
        <v>0</v>
      </c>
      <c r="CH1005" s="994">
        <f>IF(AND(Input_Product=Elig!$C1005,Elig_MatchAll_Ct&lt;22,$BC1005=(Elig_MatchAll_Ct-1),AZ1005=0),AC1005,0)</f>
        <v>0</v>
      </c>
      <c r="CI1005" s="993">
        <f>IF(AND(Input_Product=Elig!$C1005,Elig_MatchAll_Ct&lt;22,$BC1005=(Elig_MatchAll_Ct-1),BA1005=0),AD1005,0)</f>
        <v>0</v>
      </c>
      <c r="CJ1005" s="994">
        <f>IF(AND(Input_Product=Elig!$C1005,Elig_MatchAll_Ct&lt;22,$BC1005=(Elig_MatchAll_Ct-1),BA1005=0),AE1005,0)</f>
        <v>0</v>
      </c>
    </row>
    <row r="1006" spans="2:88" ht="10.15" customHeight="1" x14ac:dyDescent="0.25">
      <c r="B1006" s="1916" t="s">
        <v>2342</v>
      </c>
      <c r="C1006" s="1208" t="str">
        <f t="shared" si="389"/>
        <v xml:space="preserve">  </v>
      </c>
      <c r="D1006" s="1209" t="s">
        <v>2218</v>
      </c>
      <c r="E1006" s="1209" t="s">
        <v>167</v>
      </c>
      <c r="F1006" s="1209" t="s">
        <v>331</v>
      </c>
      <c r="G1006" s="1210" t="s">
        <v>175</v>
      </c>
      <c r="H1006" s="1210" t="s">
        <v>446</v>
      </c>
      <c r="I1006" s="1209" t="s">
        <v>16</v>
      </c>
      <c r="J1006" s="1209" t="s">
        <v>1311</v>
      </c>
      <c r="K1006" s="1210" t="s">
        <v>3022</v>
      </c>
      <c r="L1006" s="1209" t="s">
        <v>2768</v>
      </c>
      <c r="M1006" s="1209" t="s">
        <v>2677</v>
      </c>
      <c r="N1006" s="1210" t="s">
        <v>82</v>
      </c>
      <c r="O1006" s="1209" t="s">
        <v>310</v>
      </c>
      <c r="P1006" s="1209" t="s">
        <v>291</v>
      </c>
      <c r="Q1006" s="1209" t="s">
        <v>294</v>
      </c>
      <c r="R1006" s="1209">
        <v>125000</v>
      </c>
      <c r="S1006" s="1209">
        <v>1000000</v>
      </c>
      <c r="T1006" s="1209">
        <v>0</v>
      </c>
      <c r="U1006" s="1209">
        <f t="shared" si="400"/>
        <v>1000000</v>
      </c>
      <c r="V1006" s="1209">
        <v>0</v>
      </c>
      <c r="W1006" s="1209">
        <v>50</v>
      </c>
      <c r="X1006" s="1209">
        <v>0</v>
      </c>
      <c r="Y1006" s="1209">
        <v>999</v>
      </c>
      <c r="Z1006" s="1211">
        <v>700</v>
      </c>
      <c r="AA1006" s="1211">
        <v>719</v>
      </c>
      <c r="AB1006" s="1211">
        <v>3</v>
      </c>
      <c r="AC1006" s="1211">
        <v>999999</v>
      </c>
      <c r="AD1006" s="1209">
        <v>0</v>
      </c>
      <c r="AE1006" s="1212">
        <v>80</v>
      </c>
      <c r="AF1006" s="170">
        <v>0</v>
      </c>
      <c r="AG1006" s="171">
        <v>1</v>
      </c>
      <c r="AH1006" s="171">
        <v>1</v>
      </c>
      <c r="AI1006" s="171">
        <v>1</v>
      </c>
      <c r="AJ1006" s="171">
        <v>0</v>
      </c>
      <c r="AK1006" s="171">
        <v>0</v>
      </c>
      <c r="AL1006" s="171">
        <v>1</v>
      </c>
      <c r="AM1006" s="171">
        <v>1</v>
      </c>
      <c r="AN1006" s="171">
        <v>1</v>
      </c>
      <c r="AO1006" s="171">
        <v>1</v>
      </c>
      <c r="AP1006" s="171">
        <v>1</v>
      </c>
      <c r="AQ1006" s="171">
        <v>1</v>
      </c>
      <c r="AR1006" s="171">
        <v>1</v>
      </c>
      <c r="AS1006" s="171">
        <v>1</v>
      </c>
      <c r="AT1006" s="171">
        <v>1</v>
      </c>
      <c r="AU1006" s="171">
        <f t="shared" si="391"/>
        <v>1</v>
      </c>
      <c r="AV1006" s="171">
        <f t="shared" si="392"/>
        <v>1</v>
      </c>
      <c r="AW1006" s="171">
        <f t="shared" si="393"/>
        <v>1</v>
      </c>
      <c r="AX1006" s="171">
        <f t="shared" si="401"/>
        <v>1</v>
      </c>
      <c r="AY1006" s="171">
        <f t="shared" si="394"/>
        <v>0</v>
      </c>
      <c r="AZ1006" s="171">
        <f t="shared" si="395"/>
        <v>1</v>
      </c>
      <c r="BA1006" s="172">
        <f t="shared" si="396"/>
        <v>1</v>
      </c>
      <c r="BB1006" s="175">
        <f t="shared" si="397"/>
        <v>18</v>
      </c>
      <c r="BC1006" s="176">
        <f t="shared" si="398"/>
        <v>17</v>
      </c>
      <c r="BD1006" s="176">
        <f t="shared" si="399"/>
        <v>18</v>
      </c>
      <c r="BE1006" s="240" t="str">
        <f t="shared" si="390"/>
        <v/>
      </c>
      <c r="BF1006" s="990"/>
      <c r="BG1006" s="990"/>
      <c r="BH1006" s="991">
        <f>IF(AND(Input_Product=Elig!$C1006,Elig_MatchAll_Ct&lt;22,$BC1006=(Elig_MatchAll_Ct-1),AF1006=0),C1006,0)</f>
        <v>0</v>
      </c>
      <c r="BI1006" s="991">
        <f>IF(AND(Input_Product=Elig!$C1006,Elig_MatchAll_Ct&lt;22,$BC1006=(Elig_MatchAll_Ct-1),AG1006=0),D1006,0)</f>
        <v>0</v>
      </c>
      <c r="BJ1006" s="991">
        <f>IF(AND(Input_Product=Elig!$C1006,Elig_MatchAll_Ct&lt;22,$BC1006=(Elig_MatchAll_Ct-1),AH1006=0),E1006,0)</f>
        <v>0</v>
      </c>
      <c r="BK1006" s="991">
        <f>IF(AND(Input_Product=Elig!$C1006,Elig_MatchAll_Ct&lt;22,$BC1006=(Elig_MatchAll_Ct-1),AI1006=0),F1006,0)</f>
        <v>0</v>
      </c>
      <c r="BL1006" s="991">
        <f>IF(AND(Input_Product=Elig!$C1006,Elig_MatchAll_Ct&lt;22,$BC1006=(Elig_MatchAll_Ct-1),AJ1006=0),G1006,0)</f>
        <v>0</v>
      </c>
      <c r="BM1006" s="991">
        <f>IF(AND(Input_Product=Elig!$C1006,Elig_MatchAll_Ct&lt;22,$BC1006=(Elig_MatchAll_Ct-1),AK1006=0),H1006,0)</f>
        <v>0</v>
      </c>
      <c r="BN1006" s="991">
        <f>IF(AND(Input_Product=Elig!$C1006,Elig_MatchAll_Ct&lt;22,$BC1006=(Elig_MatchAll_Ct-1),AL1006=0),I1006,0)</f>
        <v>0</v>
      </c>
      <c r="BO1006" s="991">
        <f>IF(AND(Input_Product=Elig!$C1006,Elig_MatchAll_Ct&lt;22,$BC1006=(Elig_MatchAll_Ct-1),AM1006=0),J1006,0)</f>
        <v>0</v>
      </c>
      <c r="BP1006" s="991">
        <f>IF(AND(Input_Product=Elig!$C1006,Elig_MatchAll_Ct&lt;22,$BC1006=(Elig_MatchAll_Ct-1),AN1006=0),K1006,0)</f>
        <v>0</v>
      </c>
      <c r="BQ1006" s="991">
        <f>IF(AND(Input_Product=Elig!$C1006,Elig_MatchAll_Ct&lt;22,$BC1006=(Elig_MatchAll_Ct-1),AP1006=0),L1006,0)</f>
        <v>0</v>
      </c>
      <c r="BR1006" s="991">
        <f>IF(AND(Input_Product=Elig!$C1006,Elig_MatchAll_Ct&lt;22,$BC1006=(Elig_MatchAll_Ct-1),AO1006=0),M1006,0)</f>
        <v>0</v>
      </c>
      <c r="BS1006" s="991">
        <f>IF(AND(Input_Product=Elig!$C1006,Elig_MatchAll_Ct&lt;22,$BC1006=(Elig_MatchAll_Ct-1),AQ1006=0),N1006,0)</f>
        <v>0</v>
      </c>
      <c r="BT1006" s="991">
        <f>IF(AND(Input_Product=Elig!$C1006,Elig_MatchAll_Ct&lt;22,$BC1006=(Elig_MatchAll_Ct-1),AR1006=0),O1006,0)</f>
        <v>0</v>
      </c>
      <c r="BU1006" s="991">
        <f>IF(AND(Input_Product=Elig!$C1006,Elig_MatchAll_Ct&lt;22,$BC1006=(Elig_MatchAll_Ct-1),AS1006=0),P1006,0)</f>
        <v>0</v>
      </c>
      <c r="BV1006" s="992">
        <f>IF(AND(Input_Product=Elig!$C1006,Elig_MatchAll_Ct&lt;22,$BC1006=(Elig_MatchAll_Ct-1),AT1006=0),Q1006,0)</f>
        <v>0</v>
      </c>
      <c r="BW1006" s="993">
        <f>IF(AND(Input_Product=Elig!$C1006,Elig_MatchAll_Ct&lt;22,$BC1006=(Elig_MatchAll_Ct-1),AU1006=0),R1006,0)</f>
        <v>0</v>
      </c>
      <c r="BX1006" s="994">
        <f>IF(AND(Input_Product=Elig!$C1006,Elig_MatchAll_Ct&lt;22,$BC1006=(Elig_MatchAll_Ct-1),AU1006=0),S1006,0)</f>
        <v>0</v>
      </c>
      <c r="BY1006" s="993">
        <f>IF(AND(Input_Product=Elig!$C1006,Elig_MatchAll_Ct&lt;22,$BC1006=(Elig_MatchAll_Ct-1),AV1006=0),T1006,0)</f>
        <v>0</v>
      </c>
      <c r="BZ1006" s="994">
        <f>IF(AND(Input_Product=Elig!$C1006,Elig_MatchAll_Ct&lt;22,$BC1006=(Elig_MatchAll_Ct-1),AV1006=0),U1006,0)</f>
        <v>0</v>
      </c>
      <c r="CA1006" s="993">
        <f>IF(AND(Input_Product=Elig!$C1006,Elig_MatchAll_Ct&lt;22,$BC1006=(Elig_MatchAll_Ct-1),AW1006=0),V1006,0)</f>
        <v>0</v>
      </c>
      <c r="CB1006" s="994">
        <f>IF(AND(Input_Product=Elig!$C1006,Elig_MatchAll_Ct&lt;22,$BC1006=(Elig_MatchAll_Ct-1),AW1006=0),W1006,0)</f>
        <v>0</v>
      </c>
      <c r="CC1006" s="993">
        <f>IF(AND(Input_Product=Elig!$C1006,Elig_MatchAll_Ct&lt;22,$BC1006=(Elig_MatchAll_Ct-1),AX1006=0),X1006,0)</f>
        <v>0</v>
      </c>
      <c r="CD1006" s="994">
        <f>IF(AND(Input_Product=Elig!$C1006,Elig_MatchAll_Ct&lt;22,$BC1006=(Elig_MatchAll_Ct-1),AX1006=0),Y1006,0)</f>
        <v>0</v>
      </c>
      <c r="CE1006" s="993">
        <f>IF(AND(Input_LTV&lt;=AE1006,Input_Product=Elig!$C1006,Elig_MatchAll_Ct&lt;22,$BC1006=(Elig_MatchAll_Ct-1),AY1006=0),Z1006,0)</f>
        <v>0</v>
      </c>
      <c r="CF1006" s="994">
        <f>IF(AND(Input_LTV&lt;=AE1006,Input_Product=Elig!$C1006,Elig_MatchAll_Ct&lt;22,$BC1006=(Elig_MatchAll_Ct-1),AY1006=0),AA1006,0)</f>
        <v>0</v>
      </c>
      <c r="CG1006" s="993">
        <f>IF(AND(Input_Product=Elig!$C1006,Elig_MatchAll_Ct&lt;22,$BC1006=(Elig_MatchAll_Ct-1),AZ1006=0),AB1006,0)</f>
        <v>0</v>
      </c>
      <c r="CH1006" s="994">
        <f>IF(AND(Input_Product=Elig!$C1006,Elig_MatchAll_Ct&lt;22,$BC1006=(Elig_MatchAll_Ct-1),AZ1006=0),AC1006,0)</f>
        <v>0</v>
      </c>
      <c r="CI1006" s="993">
        <f>IF(AND(Input_Product=Elig!$C1006,Elig_MatchAll_Ct&lt;22,$BC1006=(Elig_MatchAll_Ct-1),BA1006=0),AD1006,0)</f>
        <v>0</v>
      </c>
      <c r="CJ1006" s="994">
        <f>IF(AND(Input_Product=Elig!$C1006,Elig_MatchAll_Ct&lt;22,$BC1006=(Elig_MatchAll_Ct-1),BA1006=0),AE1006,0)</f>
        <v>0</v>
      </c>
    </row>
    <row r="1007" spans="2:88" ht="10.15" customHeight="1" x14ac:dyDescent="0.25">
      <c r="B1007" s="1916" t="s">
        <v>2343</v>
      </c>
      <c r="C1007" s="1208" t="str">
        <f t="shared" si="389"/>
        <v xml:space="preserve">  </v>
      </c>
      <c r="D1007" s="1209" t="s">
        <v>2218</v>
      </c>
      <c r="E1007" s="1209" t="s">
        <v>167</v>
      </c>
      <c r="F1007" s="1209" t="s">
        <v>331</v>
      </c>
      <c r="G1007" s="1210" t="s">
        <v>175</v>
      </c>
      <c r="H1007" s="1210" t="s">
        <v>446</v>
      </c>
      <c r="I1007" s="1209" t="s">
        <v>16</v>
      </c>
      <c r="J1007" s="1209" t="s">
        <v>1311</v>
      </c>
      <c r="K1007" s="1210" t="s">
        <v>3022</v>
      </c>
      <c r="L1007" s="1209" t="s">
        <v>2768</v>
      </c>
      <c r="M1007" s="1209" t="s">
        <v>2677</v>
      </c>
      <c r="N1007" s="1210" t="s">
        <v>82</v>
      </c>
      <c r="O1007" s="1209" t="s">
        <v>310</v>
      </c>
      <c r="P1007" s="1209" t="s">
        <v>291</v>
      </c>
      <c r="Q1007" s="1209" t="s">
        <v>294</v>
      </c>
      <c r="R1007" s="1209">
        <v>125000</v>
      </c>
      <c r="S1007" s="1209">
        <v>1000000</v>
      </c>
      <c r="T1007" s="1209">
        <v>0</v>
      </c>
      <c r="U1007" s="1209">
        <f t="shared" si="400"/>
        <v>1000000</v>
      </c>
      <c r="V1007" s="1209">
        <v>0</v>
      </c>
      <c r="W1007" s="1209">
        <v>50</v>
      </c>
      <c r="X1007" s="1209">
        <v>0</v>
      </c>
      <c r="Y1007" s="1209">
        <v>999</v>
      </c>
      <c r="Z1007" s="1211">
        <v>680</v>
      </c>
      <c r="AA1007" s="1211">
        <v>699</v>
      </c>
      <c r="AB1007" s="1211">
        <v>3</v>
      </c>
      <c r="AC1007" s="1211">
        <v>999999</v>
      </c>
      <c r="AD1007" s="1209">
        <v>0</v>
      </c>
      <c r="AE1007" s="1212">
        <v>75</v>
      </c>
      <c r="AF1007" s="170">
        <v>0</v>
      </c>
      <c r="AG1007" s="171">
        <v>1</v>
      </c>
      <c r="AH1007" s="171">
        <v>1</v>
      </c>
      <c r="AI1007" s="171">
        <v>1</v>
      </c>
      <c r="AJ1007" s="171">
        <v>0</v>
      </c>
      <c r="AK1007" s="171">
        <v>0</v>
      </c>
      <c r="AL1007" s="171">
        <v>1</v>
      </c>
      <c r="AM1007" s="171">
        <v>1</v>
      </c>
      <c r="AN1007" s="171">
        <v>1</v>
      </c>
      <c r="AO1007" s="171">
        <v>1</v>
      </c>
      <c r="AP1007" s="171">
        <v>1</v>
      </c>
      <c r="AQ1007" s="171">
        <v>1</v>
      </c>
      <c r="AR1007" s="171">
        <v>1</v>
      </c>
      <c r="AS1007" s="171">
        <v>1</v>
      </c>
      <c r="AT1007" s="171">
        <v>1</v>
      </c>
      <c r="AU1007" s="171">
        <f t="shared" si="391"/>
        <v>1</v>
      </c>
      <c r="AV1007" s="171">
        <f t="shared" si="392"/>
        <v>1</v>
      </c>
      <c r="AW1007" s="171">
        <f t="shared" si="393"/>
        <v>1</v>
      </c>
      <c r="AX1007" s="171">
        <f t="shared" si="401"/>
        <v>1</v>
      </c>
      <c r="AY1007" s="171">
        <f t="shared" si="394"/>
        <v>0</v>
      </c>
      <c r="AZ1007" s="171">
        <f t="shared" si="395"/>
        <v>1</v>
      </c>
      <c r="BA1007" s="172">
        <f t="shared" si="396"/>
        <v>1</v>
      </c>
      <c r="BB1007" s="175">
        <f t="shared" si="397"/>
        <v>18</v>
      </c>
      <c r="BC1007" s="176">
        <f t="shared" si="398"/>
        <v>17</v>
      </c>
      <c r="BD1007" s="176">
        <f t="shared" si="399"/>
        <v>18</v>
      </c>
      <c r="BE1007" s="240" t="str">
        <f t="shared" si="390"/>
        <v/>
      </c>
      <c r="BF1007" s="990"/>
      <c r="BG1007" s="990"/>
      <c r="BH1007" s="991">
        <f>IF(AND(Input_Product=Elig!$C1007,Elig_MatchAll_Ct&lt;22,$BC1007=(Elig_MatchAll_Ct-1),AF1007=0),C1007,0)</f>
        <v>0</v>
      </c>
      <c r="BI1007" s="991">
        <f>IF(AND(Input_Product=Elig!$C1007,Elig_MatchAll_Ct&lt;22,$BC1007=(Elig_MatchAll_Ct-1),AG1007=0),D1007,0)</f>
        <v>0</v>
      </c>
      <c r="BJ1007" s="991">
        <f>IF(AND(Input_Product=Elig!$C1007,Elig_MatchAll_Ct&lt;22,$BC1007=(Elig_MatchAll_Ct-1),AH1007=0),E1007,0)</f>
        <v>0</v>
      </c>
      <c r="BK1007" s="991">
        <f>IF(AND(Input_Product=Elig!$C1007,Elig_MatchAll_Ct&lt;22,$BC1007=(Elig_MatchAll_Ct-1),AI1007=0),F1007,0)</f>
        <v>0</v>
      </c>
      <c r="BL1007" s="991">
        <f>IF(AND(Input_Product=Elig!$C1007,Elig_MatchAll_Ct&lt;22,$BC1007=(Elig_MatchAll_Ct-1),AJ1007=0),G1007,0)</f>
        <v>0</v>
      </c>
      <c r="BM1007" s="991">
        <f>IF(AND(Input_Product=Elig!$C1007,Elig_MatchAll_Ct&lt;22,$BC1007=(Elig_MatchAll_Ct-1),AK1007=0),H1007,0)</f>
        <v>0</v>
      </c>
      <c r="BN1007" s="991">
        <f>IF(AND(Input_Product=Elig!$C1007,Elig_MatchAll_Ct&lt;22,$BC1007=(Elig_MatchAll_Ct-1),AL1007=0),I1007,0)</f>
        <v>0</v>
      </c>
      <c r="BO1007" s="991">
        <f>IF(AND(Input_Product=Elig!$C1007,Elig_MatchAll_Ct&lt;22,$BC1007=(Elig_MatchAll_Ct-1),AM1007=0),J1007,0)</f>
        <v>0</v>
      </c>
      <c r="BP1007" s="991">
        <f>IF(AND(Input_Product=Elig!$C1007,Elig_MatchAll_Ct&lt;22,$BC1007=(Elig_MatchAll_Ct-1),AN1007=0),K1007,0)</f>
        <v>0</v>
      </c>
      <c r="BQ1007" s="991">
        <f>IF(AND(Input_Product=Elig!$C1007,Elig_MatchAll_Ct&lt;22,$BC1007=(Elig_MatchAll_Ct-1),AP1007=0),L1007,0)</f>
        <v>0</v>
      </c>
      <c r="BR1007" s="991">
        <f>IF(AND(Input_Product=Elig!$C1007,Elig_MatchAll_Ct&lt;22,$BC1007=(Elig_MatchAll_Ct-1),AO1007=0),M1007,0)</f>
        <v>0</v>
      </c>
      <c r="BS1007" s="991">
        <f>IF(AND(Input_Product=Elig!$C1007,Elig_MatchAll_Ct&lt;22,$BC1007=(Elig_MatchAll_Ct-1),AQ1007=0),N1007,0)</f>
        <v>0</v>
      </c>
      <c r="BT1007" s="991">
        <f>IF(AND(Input_Product=Elig!$C1007,Elig_MatchAll_Ct&lt;22,$BC1007=(Elig_MatchAll_Ct-1),AR1007=0),O1007,0)</f>
        <v>0</v>
      </c>
      <c r="BU1007" s="991">
        <f>IF(AND(Input_Product=Elig!$C1007,Elig_MatchAll_Ct&lt;22,$BC1007=(Elig_MatchAll_Ct-1),AS1007=0),P1007,0)</f>
        <v>0</v>
      </c>
      <c r="BV1007" s="992">
        <f>IF(AND(Input_Product=Elig!$C1007,Elig_MatchAll_Ct&lt;22,$BC1007=(Elig_MatchAll_Ct-1),AT1007=0),Q1007,0)</f>
        <v>0</v>
      </c>
      <c r="BW1007" s="993">
        <f>IF(AND(Input_Product=Elig!$C1007,Elig_MatchAll_Ct&lt;22,$BC1007=(Elig_MatchAll_Ct-1),AU1007=0),R1007,0)</f>
        <v>0</v>
      </c>
      <c r="BX1007" s="994">
        <f>IF(AND(Input_Product=Elig!$C1007,Elig_MatchAll_Ct&lt;22,$BC1007=(Elig_MatchAll_Ct-1),AU1007=0),S1007,0)</f>
        <v>0</v>
      </c>
      <c r="BY1007" s="993">
        <f>IF(AND(Input_Product=Elig!$C1007,Elig_MatchAll_Ct&lt;22,$BC1007=(Elig_MatchAll_Ct-1),AV1007=0),T1007,0)</f>
        <v>0</v>
      </c>
      <c r="BZ1007" s="994">
        <f>IF(AND(Input_Product=Elig!$C1007,Elig_MatchAll_Ct&lt;22,$BC1007=(Elig_MatchAll_Ct-1),AV1007=0),U1007,0)</f>
        <v>0</v>
      </c>
      <c r="CA1007" s="993">
        <f>IF(AND(Input_Product=Elig!$C1007,Elig_MatchAll_Ct&lt;22,$BC1007=(Elig_MatchAll_Ct-1),AW1007=0),V1007,0)</f>
        <v>0</v>
      </c>
      <c r="CB1007" s="994">
        <f>IF(AND(Input_Product=Elig!$C1007,Elig_MatchAll_Ct&lt;22,$BC1007=(Elig_MatchAll_Ct-1),AW1007=0),W1007,0)</f>
        <v>0</v>
      </c>
      <c r="CC1007" s="993">
        <f>IF(AND(Input_Product=Elig!$C1007,Elig_MatchAll_Ct&lt;22,$BC1007=(Elig_MatchAll_Ct-1),AX1007=0),X1007,0)</f>
        <v>0</v>
      </c>
      <c r="CD1007" s="994">
        <f>IF(AND(Input_Product=Elig!$C1007,Elig_MatchAll_Ct&lt;22,$BC1007=(Elig_MatchAll_Ct-1),AX1007=0),Y1007,0)</f>
        <v>0</v>
      </c>
      <c r="CE1007" s="993">
        <f>IF(AND(Input_LTV&lt;=AE1007,Input_Product=Elig!$C1007,Elig_MatchAll_Ct&lt;22,$BC1007=(Elig_MatchAll_Ct-1),AY1007=0),Z1007,0)</f>
        <v>0</v>
      </c>
      <c r="CF1007" s="994">
        <f>IF(AND(Input_LTV&lt;=AE1007,Input_Product=Elig!$C1007,Elig_MatchAll_Ct&lt;22,$BC1007=(Elig_MatchAll_Ct-1),AY1007=0),AA1007,0)</f>
        <v>0</v>
      </c>
      <c r="CG1007" s="993">
        <f>IF(AND(Input_Product=Elig!$C1007,Elig_MatchAll_Ct&lt;22,$BC1007=(Elig_MatchAll_Ct-1),AZ1007=0),AB1007,0)</f>
        <v>0</v>
      </c>
      <c r="CH1007" s="994">
        <f>IF(AND(Input_Product=Elig!$C1007,Elig_MatchAll_Ct&lt;22,$BC1007=(Elig_MatchAll_Ct-1),AZ1007=0),AC1007,0)</f>
        <v>0</v>
      </c>
      <c r="CI1007" s="993">
        <f>IF(AND(Input_Product=Elig!$C1007,Elig_MatchAll_Ct&lt;22,$BC1007=(Elig_MatchAll_Ct-1),BA1007=0),AD1007,0)</f>
        <v>0</v>
      </c>
      <c r="CJ1007" s="994">
        <f>IF(AND(Input_Product=Elig!$C1007,Elig_MatchAll_Ct&lt;22,$BC1007=(Elig_MatchAll_Ct-1),BA1007=0),AE1007,0)</f>
        <v>0</v>
      </c>
    </row>
    <row r="1008" spans="2:88" ht="10.15" customHeight="1" x14ac:dyDescent="0.25">
      <c r="B1008" s="1916" t="s">
        <v>2344</v>
      </c>
      <c r="C1008" s="1213" t="str">
        <f t="shared" si="389"/>
        <v xml:space="preserve">  </v>
      </c>
      <c r="D1008" s="1214" t="s">
        <v>2218</v>
      </c>
      <c r="E1008" s="1214" t="s">
        <v>167</v>
      </c>
      <c r="F1008" s="1214" t="s">
        <v>331</v>
      </c>
      <c r="G1008" s="1215" t="s">
        <v>175</v>
      </c>
      <c r="H1008" s="1215" t="s">
        <v>446</v>
      </c>
      <c r="I1008" s="1214" t="s">
        <v>16</v>
      </c>
      <c r="J1008" s="1214" t="s">
        <v>1311</v>
      </c>
      <c r="K1008" s="1215" t="s">
        <v>3022</v>
      </c>
      <c r="L1008" s="1214" t="s">
        <v>2768</v>
      </c>
      <c r="M1008" s="1214" t="s">
        <v>2677</v>
      </c>
      <c r="N1008" s="1215" t="s">
        <v>82</v>
      </c>
      <c r="O1008" s="1214" t="s">
        <v>310</v>
      </c>
      <c r="P1008" s="1214" t="s">
        <v>291</v>
      </c>
      <c r="Q1008" s="1214" t="s">
        <v>294</v>
      </c>
      <c r="R1008" s="1214">
        <v>125000</v>
      </c>
      <c r="S1008" s="1214">
        <v>1000000</v>
      </c>
      <c r="T1008" s="1214">
        <v>0</v>
      </c>
      <c r="U1008" s="1214">
        <f t="shared" si="400"/>
        <v>1000000</v>
      </c>
      <c r="V1008" s="1214">
        <v>0</v>
      </c>
      <c r="W1008" s="1214">
        <v>50</v>
      </c>
      <c r="X1008" s="1214">
        <v>0</v>
      </c>
      <c r="Y1008" s="1214">
        <v>999</v>
      </c>
      <c r="Z1008" s="1216">
        <v>660</v>
      </c>
      <c r="AA1008" s="1216">
        <v>679</v>
      </c>
      <c r="AB1008" s="1216">
        <v>3</v>
      </c>
      <c r="AC1008" s="1216">
        <v>999999</v>
      </c>
      <c r="AD1008" s="1214">
        <v>0</v>
      </c>
      <c r="AE1008" s="1217">
        <v>70</v>
      </c>
      <c r="AF1008" s="170">
        <v>0</v>
      </c>
      <c r="AG1008" s="171">
        <v>1</v>
      </c>
      <c r="AH1008" s="171">
        <v>1</v>
      </c>
      <c r="AI1008" s="171">
        <v>1</v>
      </c>
      <c r="AJ1008" s="171">
        <v>0</v>
      </c>
      <c r="AK1008" s="171">
        <v>0</v>
      </c>
      <c r="AL1008" s="171">
        <v>1</v>
      </c>
      <c r="AM1008" s="171">
        <v>1</v>
      </c>
      <c r="AN1008" s="171">
        <v>1</v>
      </c>
      <c r="AO1008" s="171">
        <v>1</v>
      </c>
      <c r="AP1008" s="171">
        <v>1</v>
      </c>
      <c r="AQ1008" s="171">
        <v>1</v>
      </c>
      <c r="AR1008" s="171">
        <v>1</v>
      </c>
      <c r="AS1008" s="171">
        <v>1</v>
      </c>
      <c r="AT1008" s="171">
        <v>1</v>
      </c>
      <c r="AU1008" s="171">
        <f t="shared" si="391"/>
        <v>1</v>
      </c>
      <c r="AV1008" s="171">
        <f t="shared" si="392"/>
        <v>1</v>
      </c>
      <c r="AW1008" s="171">
        <f t="shared" si="393"/>
        <v>1</v>
      </c>
      <c r="AX1008" s="171">
        <f t="shared" si="401"/>
        <v>1</v>
      </c>
      <c r="AY1008" s="171">
        <f t="shared" si="394"/>
        <v>0</v>
      </c>
      <c r="AZ1008" s="171">
        <f t="shared" si="395"/>
        <v>1</v>
      </c>
      <c r="BA1008" s="172">
        <f t="shared" si="396"/>
        <v>1</v>
      </c>
      <c r="BB1008" s="175">
        <f t="shared" si="397"/>
        <v>18</v>
      </c>
      <c r="BC1008" s="176">
        <f t="shared" si="398"/>
        <v>17</v>
      </c>
      <c r="BD1008" s="176">
        <f t="shared" si="399"/>
        <v>18</v>
      </c>
      <c r="BE1008" s="240" t="str">
        <f t="shared" si="390"/>
        <v/>
      </c>
      <c r="BF1008" s="990"/>
      <c r="BG1008" s="990"/>
      <c r="BH1008" s="991">
        <f>IF(AND(Input_Product=Elig!$C1008,Elig_MatchAll_Ct&lt;22,$BC1008=(Elig_MatchAll_Ct-1),AF1008=0),C1008,0)</f>
        <v>0</v>
      </c>
      <c r="BI1008" s="991">
        <f>IF(AND(Input_Product=Elig!$C1008,Elig_MatchAll_Ct&lt;22,$BC1008=(Elig_MatchAll_Ct-1),AG1008=0),D1008,0)</f>
        <v>0</v>
      </c>
      <c r="BJ1008" s="991">
        <f>IF(AND(Input_Product=Elig!$C1008,Elig_MatchAll_Ct&lt;22,$BC1008=(Elig_MatchAll_Ct-1),AH1008=0),E1008,0)</f>
        <v>0</v>
      </c>
      <c r="BK1008" s="991">
        <f>IF(AND(Input_Product=Elig!$C1008,Elig_MatchAll_Ct&lt;22,$BC1008=(Elig_MatchAll_Ct-1),AI1008=0),F1008,0)</f>
        <v>0</v>
      </c>
      <c r="BL1008" s="991">
        <f>IF(AND(Input_Product=Elig!$C1008,Elig_MatchAll_Ct&lt;22,$BC1008=(Elig_MatchAll_Ct-1),AJ1008=0),G1008,0)</f>
        <v>0</v>
      </c>
      <c r="BM1008" s="991">
        <f>IF(AND(Input_Product=Elig!$C1008,Elig_MatchAll_Ct&lt;22,$BC1008=(Elig_MatchAll_Ct-1),AK1008=0),H1008,0)</f>
        <v>0</v>
      </c>
      <c r="BN1008" s="991">
        <f>IF(AND(Input_Product=Elig!$C1008,Elig_MatchAll_Ct&lt;22,$BC1008=(Elig_MatchAll_Ct-1),AL1008=0),I1008,0)</f>
        <v>0</v>
      </c>
      <c r="BO1008" s="991">
        <f>IF(AND(Input_Product=Elig!$C1008,Elig_MatchAll_Ct&lt;22,$BC1008=(Elig_MatchAll_Ct-1),AM1008=0),J1008,0)</f>
        <v>0</v>
      </c>
      <c r="BP1008" s="991">
        <f>IF(AND(Input_Product=Elig!$C1008,Elig_MatchAll_Ct&lt;22,$BC1008=(Elig_MatchAll_Ct-1),AN1008=0),K1008,0)</f>
        <v>0</v>
      </c>
      <c r="BQ1008" s="991">
        <f>IF(AND(Input_Product=Elig!$C1008,Elig_MatchAll_Ct&lt;22,$BC1008=(Elig_MatchAll_Ct-1),AP1008=0),L1008,0)</f>
        <v>0</v>
      </c>
      <c r="BR1008" s="991">
        <f>IF(AND(Input_Product=Elig!$C1008,Elig_MatchAll_Ct&lt;22,$BC1008=(Elig_MatchAll_Ct-1),AO1008=0),M1008,0)</f>
        <v>0</v>
      </c>
      <c r="BS1008" s="991">
        <f>IF(AND(Input_Product=Elig!$C1008,Elig_MatchAll_Ct&lt;22,$BC1008=(Elig_MatchAll_Ct-1),AQ1008=0),N1008,0)</f>
        <v>0</v>
      </c>
      <c r="BT1008" s="991">
        <f>IF(AND(Input_Product=Elig!$C1008,Elig_MatchAll_Ct&lt;22,$BC1008=(Elig_MatchAll_Ct-1),AR1008=0),O1008,0)</f>
        <v>0</v>
      </c>
      <c r="BU1008" s="991">
        <f>IF(AND(Input_Product=Elig!$C1008,Elig_MatchAll_Ct&lt;22,$BC1008=(Elig_MatchAll_Ct-1),AS1008=0),P1008,0)</f>
        <v>0</v>
      </c>
      <c r="BV1008" s="992">
        <f>IF(AND(Input_Product=Elig!$C1008,Elig_MatchAll_Ct&lt;22,$BC1008=(Elig_MatchAll_Ct-1),AT1008=0),Q1008,0)</f>
        <v>0</v>
      </c>
      <c r="BW1008" s="993">
        <f>IF(AND(Input_Product=Elig!$C1008,Elig_MatchAll_Ct&lt;22,$BC1008=(Elig_MatchAll_Ct-1),AU1008=0),R1008,0)</f>
        <v>0</v>
      </c>
      <c r="BX1008" s="994">
        <f>IF(AND(Input_Product=Elig!$C1008,Elig_MatchAll_Ct&lt;22,$BC1008=(Elig_MatchAll_Ct-1),AU1008=0),S1008,0)</f>
        <v>0</v>
      </c>
      <c r="BY1008" s="993">
        <f>IF(AND(Input_Product=Elig!$C1008,Elig_MatchAll_Ct&lt;22,$BC1008=(Elig_MatchAll_Ct-1),AV1008=0),T1008,0)</f>
        <v>0</v>
      </c>
      <c r="BZ1008" s="994">
        <f>IF(AND(Input_Product=Elig!$C1008,Elig_MatchAll_Ct&lt;22,$BC1008=(Elig_MatchAll_Ct-1),AV1008=0),U1008,0)</f>
        <v>0</v>
      </c>
      <c r="CA1008" s="993">
        <f>IF(AND(Input_Product=Elig!$C1008,Elig_MatchAll_Ct&lt;22,$BC1008=(Elig_MatchAll_Ct-1),AW1008=0),V1008,0)</f>
        <v>0</v>
      </c>
      <c r="CB1008" s="994">
        <f>IF(AND(Input_Product=Elig!$C1008,Elig_MatchAll_Ct&lt;22,$BC1008=(Elig_MatchAll_Ct-1),AW1008=0),W1008,0)</f>
        <v>0</v>
      </c>
      <c r="CC1008" s="993">
        <f>IF(AND(Input_Product=Elig!$C1008,Elig_MatchAll_Ct&lt;22,$BC1008=(Elig_MatchAll_Ct-1),AX1008=0),X1008,0)</f>
        <v>0</v>
      </c>
      <c r="CD1008" s="994">
        <f>IF(AND(Input_Product=Elig!$C1008,Elig_MatchAll_Ct&lt;22,$BC1008=(Elig_MatchAll_Ct-1),AX1008=0),Y1008,0)</f>
        <v>0</v>
      </c>
      <c r="CE1008" s="993">
        <f>IF(AND(Input_LTV&lt;=AE1008,Input_Product=Elig!$C1008,Elig_MatchAll_Ct&lt;22,$BC1008=(Elig_MatchAll_Ct-1),AY1008=0),Z1008,0)</f>
        <v>0</v>
      </c>
      <c r="CF1008" s="994">
        <f>IF(AND(Input_LTV&lt;=AE1008,Input_Product=Elig!$C1008,Elig_MatchAll_Ct&lt;22,$BC1008=(Elig_MatchAll_Ct-1),AY1008=0),AA1008,0)</f>
        <v>0</v>
      </c>
      <c r="CG1008" s="993">
        <f>IF(AND(Input_Product=Elig!$C1008,Elig_MatchAll_Ct&lt;22,$BC1008=(Elig_MatchAll_Ct-1),AZ1008=0),AB1008,0)</f>
        <v>0</v>
      </c>
      <c r="CH1008" s="994">
        <f>IF(AND(Input_Product=Elig!$C1008,Elig_MatchAll_Ct&lt;22,$BC1008=(Elig_MatchAll_Ct-1),AZ1008=0),AC1008,0)</f>
        <v>0</v>
      </c>
      <c r="CI1008" s="993">
        <f>IF(AND(Input_Product=Elig!$C1008,Elig_MatchAll_Ct&lt;22,$BC1008=(Elig_MatchAll_Ct-1),BA1008=0),AD1008,0)</f>
        <v>0</v>
      </c>
      <c r="CJ1008" s="994">
        <f>IF(AND(Input_Product=Elig!$C1008,Elig_MatchAll_Ct&lt;22,$BC1008=(Elig_MatchAll_Ct-1),BA1008=0),AE1008,0)</f>
        <v>0</v>
      </c>
    </row>
    <row r="1009" spans="2:88" ht="10.15" customHeight="1" x14ac:dyDescent="0.25">
      <c r="B1009" s="1916" t="s">
        <v>2345</v>
      </c>
      <c r="C1009" s="1203" t="str">
        <f t="shared" si="389"/>
        <v xml:space="preserve">  </v>
      </c>
      <c r="D1009" s="1204" t="s">
        <v>2218</v>
      </c>
      <c r="E1009" s="1204" t="s">
        <v>167</v>
      </c>
      <c r="F1009" s="1204" t="s">
        <v>331</v>
      </c>
      <c r="G1009" s="1205" t="s">
        <v>175</v>
      </c>
      <c r="H1009" s="1205" t="s">
        <v>446</v>
      </c>
      <c r="I1009" s="1204" t="s">
        <v>16</v>
      </c>
      <c r="J1009" s="1204" t="s">
        <v>1311</v>
      </c>
      <c r="K1009" s="1205" t="s">
        <v>3022</v>
      </c>
      <c r="L1009" s="1204" t="s">
        <v>2768</v>
      </c>
      <c r="M1009" s="1204" t="s">
        <v>2677</v>
      </c>
      <c r="N1009" s="1205" t="s">
        <v>82</v>
      </c>
      <c r="O1009" s="1204" t="s">
        <v>310</v>
      </c>
      <c r="P1009" s="1204" t="s">
        <v>291</v>
      </c>
      <c r="Q1009" s="1204" t="s">
        <v>294</v>
      </c>
      <c r="R1009" s="1204">
        <v>1000000.01</v>
      </c>
      <c r="S1009" s="1204">
        <v>1500000</v>
      </c>
      <c r="T1009" s="1204">
        <v>0</v>
      </c>
      <c r="U1009" s="1204">
        <f t="shared" si="400"/>
        <v>1500000</v>
      </c>
      <c r="V1009" s="1204">
        <v>0</v>
      </c>
      <c r="W1009" s="1204">
        <v>50</v>
      </c>
      <c r="X1009" s="1204">
        <v>0</v>
      </c>
      <c r="Y1009" s="1204">
        <v>999</v>
      </c>
      <c r="Z1009" s="1206">
        <v>720</v>
      </c>
      <c r="AA1009" s="1206">
        <v>999</v>
      </c>
      <c r="AB1009" s="1206">
        <v>6</v>
      </c>
      <c r="AC1009" s="1206">
        <v>999999</v>
      </c>
      <c r="AD1009" s="1204">
        <v>0</v>
      </c>
      <c r="AE1009" s="1207">
        <v>80</v>
      </c>
      <c r="AF1009" s="170">
        <v>0</v>
      </c>
      <c r="AG1009" s="171">
        <v>1</v>
      </c>
      <c r="AH1009" s="171">
        <v>1</v>
      </c>
      <c r="AI1009" s="171">
        <v>1</v>
      </c>
      <c r="AJ1009" s="171">
        <v>0</v>
      </c>
      <c r="AK1009" s="171">
        <v>0</v>
      </c>
      <c r="AL1009" s="171">
        <v>1</v>
      </c>
      <c r="AM1009" s="171">
        <v>1</v>
      </c>
      <c r="AN1009" s="171">
        <v>1</v>
      </c>
      <c r="AO1009" s="171">
        <v>1</v>
      </c>
      <c r="AP1009" s="171">
        <v>1</v>
      </c>
      <c r="AQ1009" s="171">
        <v>1</v>
      </c>
      <c r="AR1009" s="171">
        <v>1</v>
      </c>
      <c r="AS1009" s="171">
        <v>1</v>
      </c>
      <c r="AT1009" s="171">
        <v>1</v>
      </c>
      <c r="AU1009" s="171">
        <f t="shared" si="391"/>
        <v>0</v>
      </c>
      <c r="AV1009" s="171">
        <f t="shared" si="392"/>
        <v>1</v>
      </c>
      <c r="AW1009" s="171">
        <f t="shared" si="393"/>
        <v>1</v>
      </c>
      <c r="AX1009" s="171">
        <f t="shared" si="401"/>
        <v>1</v>
      </c>
      <c r="AY1009" s="171">
        <f t="shared" si="394"/>
        <v>1</v>
      </c>
      <c r="AZ1009" s="171">
        <f t="shared" si="395"/>
        <v>1</v>
      </c>
      <c r="BA1009" s="172">
        <f t="shared" si="396"/>
        <v>1</v>
      </c>
      <c r="BB1009" s="175">
        <f t="shared" si="397"/>
        <v>18</v>
      </c>
      <c r="BC1009" s="176">
        <f t="shared" si="398"/>
        <v>17</v>
      </c>
      <c r="BD1009" s="176">
        <f t="shared" si="399"/>
        <v>18</v>
      </c>
      <c r="BE1009" s="240" t="str">
        <f t="shared" si="390"/>
        <v/>
      </c>
      <c r="BF1009" s="990"/>
      <c r="BG1009" s="990"/>
      <c r="BH1009" s="991">
        <f>IF(AND(Input_Product=Elig!$C1009,Elig_MatchAll_Ct&lt;22,$BC1009=(Elig_MatchAll_Ct-1),AF1009=0),C1009,0)</f>
        <v>0</v>
      </c>
      <c r="BI1009" s="991">
        <f>IF(AND(Input_Product=Elig!$C1009,Elig_MatchAll_Ct&lt;22,$BC1009=(Elig_MatchAll_Ct-1),AG1009=0),D1009,0)</f>
        <v>0</v>
      </c>
      <c r="BJ1009" s="991">
        <f>IF(AND(Input_Product=Elig!$C1009,Elig_MatchAll_Ct&lt;22,$BC1009=(Elig_MatchAll_Ct-1),AH1009=0),E1009,0)</f>
        <v>0</v>
      </c>
      <c r="BK1009" s="991">
        <f>IF(AND(Input_Product=Elig!$C1009,Elig_MatchAll_Ct&lt;22,$BC1009=(Elig_MatchAll_Ct-1),AI1009=0),F1009,0)</f>
        <v>0</v>
      </c>
      <c r="BL1009" s="991">
        <f>IF(AND(Input_Product=Elig!$C1009,Elig_MatchAll_Ct&lt;22,$BC1009=(Elig_MatchAll_Ct-1),AJ1009=0),G1009,0)</f>
        <v>0</v>
      </c>
      <c r="BM1009" s="991">
        <f>IF(AND(Input_Product=Elig!$C1009,Elig_MatchAll_Ct&lt;22,$BC1009=(Elig_MatchAll_Ct-1),AK1009=0),H1009,0)</f>
        <v>0</v>
      </c>
      <c r="BN1009" s="991">
        <f>IF(AND(Input_Product=Elig!$C1009,Elig_MatchAll_Ct&lt;22,$BC1009=(Elig_MatchAll_Ct-1),AL1009=0),I1009,0)</f>
        <v>0</v>
      </c>
      <c r="BO1009" s="991">
        <f>IF(AND(Input_Product=Elig!$C1009,Elig_MatchAll_Ct&lt;22,$BC1009=(Elig_MatchAll_Ct-1),AM1009=0),J1009,0)</f>
        <v>0</v>
      </c>
      <c r="BP1009" s="991">
        <f>IF(AND(Input_Product=Elig!$C1009,Elig_MatchAll_Ct&lt;22,$BC1009=(Elig_MatchAll_Ct-1),AN1009=0),K1009,0)</f>
        <v>0</v>
      </c>
      <c r="BQ1009" s="991">
        <f>IF(AND(Input_Product=Elig!$C1009,Elig_MatchAll_Ct&lt;22,$BC1009=(Elig_MatchAll_Ct-1),AP1009=0),L1009,0)</f>
        <v>0</v>
      </c>
      <c r="BR1009" s="991">
        <f>IF(AND(Input_Product=Elig!$C1009,Elig_MatchAll_Ct&lt;22,$BC1009=(Elig_MatchAll_Ct-1),AO1009=0),M1009,0)</f>
        <v>0</v>
      </c>
      <c r="BS1009" s="991">
        <f>IF(AND(Input_Product=Elig!$C1009,Elig_MatchAll_Ct&lt;22,$BC1009=(Elig_MatchAll_Ct-1),AQ1009=0),N1009,0)</f>
        <v>0</v>
      </c>
      <c r="BT1009" s="991">
        <f>IF(AND(Input_Product=Elig!$C1009,Elig_MatchAll_Ct&lt;22,$BC1009=(Elig_MatchAll_Ct-1),AR1009=0),O1009,0)</f>
        <v>0</v>
      </c>
      <c r="BU1009" s="991">
        <f>IF(AND(Input_Product=Elig!$C1009,Elig_MatchAll_Ct&lt;22,$BC1009=(Elig_MatchAll_Ct-1),AS1009=0),P1009,0)</f>
        <v>0</v>
      </c>
      <c r="BV1009" s="992">
        <f>IF(AND(Input_Product=Elig!$C1009,Elig_MatchAll_Ct&lt;22,$BC1009=(Elig_MatchAll_Ct-1),AT1009=0),Q1009,0)</f>
        <v>0</v>
      </c>
      <c r="BW1009" s="993">
        <f>IF(AND(Input_Product=Elig!$C1009,Elig_MatchAll_Ct&lt;22,$BC1009=(Elig_MatchAll_Ct-1),AU1009=0),R1009,0)</f>
        <v>0</v>
      </c>
      <c r="BX1009" s="994">
        <f>IF(AND(Input_Product=Elig!$C1009,Elig_MatchAll_Ct&lt;22,$BC1009=(Elig_MatchAll_Ct-1),AU1009=0),S1009,0)</f>
        <v>0</v>
      </c>
      <c r="BY1009" s="993">
        <f>IF(AND(Input_Product=Elig!$C1009,Elig_MatchAll_Ct&lt;22,$BC1009=(Elig_MatchAll_Ct-1),AV1009=0),T1009,0)</f>
        <v>0</v>
      </c>
      <c r="BZ1009" s="994">
        <f>IF(AND(Input_Product=Elig!$C1009,Elig_MatchAll_Ct&lt;22,$BC1009=(Elig_MatchAll_Ct-1),AV1009=0),U1009,0)</f>
        <v>0</v>
      </c>
      <c r="CA1009" s="993">
        <f>IF(AND(Input_Product=Elig!$C1009,Elig_MatchAll_Ct&lt;22,$BC1009=(Elig_MatchAll_Ct-1),AW1009=0),V1009,0)</f>
        <v>0</v>
      </c>
      <c r="CB1009" s="994">
        <f>IF(AND(Input_Product=Elig!$C1009,Elig_MatchAll_Ct&lt;22,$BC1009=(Elig_MatchAll_Ct-1),AW1009=0),W1009,0)</f>
        <v>0</v>
      </c>
      <c r="CC1009" s="993">
        <f>IF(AND(Input_Product=Elig!$C1009,Elig_MatchAll_Ct&lt;22,$BC1009=(Elig_MatchAll_Ct-1),AX1009=0),X1009,0)</f>
        <v>0</v>
      </c>
      <c r="CD1009" s="994">
        <f>IF(AND(Input_Product=Elig!$C1009,Elig_MatchAll_Ct&lt;22,$BC1009=(Elig_MatchAll_Ct-1),AX1009=0),Y1009,0)</f>
        <v>0</v>
      </c>
      <c r="CE1009" s="993">
        <f>IF(AND(Input_LTV&lt;=AE1009,Input_Product=Elig!$C1009,Elig_MatchAll_Ct&lt;22,$BC1009=(Elig_MatchAll_Ct-1),AY1009=0),Z1009,0)</f>
        <v>0</v>
      </c>
      <c r="CF1009" s="994">
        <f>IF(AND(Input_LTV&lt;=AE1009,Input_Product=Elig!$C1009,Elig_MatchAll_Ct&lt;22,$BC1009=(Elig_MatchAll_Ct-1),AY1009=0),AA1009,0)</f>
        <v>0</v>
      </c>
      <c r="CG1009" s="993">
        <f>IF(AND(Input_Product=Elig!$C1009,Elig_MatchAll_Ct&lt;22,$BC1009=(Elig_MatchAll_Ct-1),AZ1009=0),AB1009,0)</f>
        <v>0</v>
      </c>
      <c r="CH1009" s="994">
        <f>IF(AND(Input_Product=Elig!$C1009,Elig_MatchAll_Ct&lt;22,$BC1009=(Elig_MatchAll_Ct-1),AZ1009=0),AC1009,0)</f>
        <v>0</v>
      </c>
      <c r="CI1009" s="993">
        <f>IF(AND(Input_Product=Elig!$C1009,Elig_MatchAll_Ct&lt;22,$BC1009=(Elig_MatchAll_Ct-1),BA1009=0),AD1009,0)</f>
        <v>0</v>
      </c>
      <c r="CJ1009" s="994">
        <f>IF(AND(Input_Product=Elig!$C1009,Elig_MatchAll_Ct&lt;22,$BC1009=(Elig_MatchAll_Ct-1),BA1009=0),AE1009,0)</f>
        <v>0</v>
      </c>
    </row>
    <row r="1010" spans="2:88" ht="10.15" customHeight="1" x14ac:dyDescent="0.25">
      <c r="B1010" s="1916" t="s">
        <v>2346</v>
      </c>
      <c r="C1010" s="1208" t="str">
        <f t="shared" ref="C1010:C1073" si="402">Input_Name_Product13</f>
        <v xml:space="preserve">  </v>
      </c>
      <c r="D1010" s="1209" t="s">
        <v>2218</v>
      </c>
      <c r="E1010" s="1209" t="s">
        <v>167</v>
      </c>
      <c r="F1010" s="1209" t="s">
        <v>331</v>
      </c>
      <c r="G1010" s="1210" t="s">
        <v>175</v>
      </c>
      <c r="H1010" s="1210" t="s">
        <v>446</v>
      </c>
      <c r="I1010" s="1209" t="s">
        <v>16</v>
      </c>
      <c r="J1010" s="1209" t="s">
        <v>1311</v>
      </c>
      <c r="K1010" s="1210" t="s">
        <v>3022</v>
      </c>
      <c r="L1010" s="1209" t="s">
        <v>2768</v>
      </c>
      <c r="M1010" s="1209" t="s">
        <v>2677</v>
      </c>
      <c r="N1010" s="1210" t="s">
        <v>82</v>
      </c>
      <c r="O1010" s="1209" t="s">
        <v>310</v>
      </c>
      <c r="P1010" s="1209" t="s">
        <v>291</v>
      </c>
      <c r="Q1010" s="1209" t="s">
        <v>294</v>
      </c>
      <c r="R1010" s="1209">
        <v>1000000.01</v>
      </c>
      <c r="S1010" s="1209">
        <v>1500000</v>
      </c>
      <c r="T1010" s="1209">
        <v>0</v>
      </c>
      <c r="U1010" s="1209">
        <f t="shared" si="400"/>
        <v>1500000</v>
      </c>
      <c r="V1010" s="1209">
        <v>0</v>
      </c>
      <c r="W1010" s="1209">
        <v>50</v>
      </c>
      <c r="X1010" s="1209">
        <v>0</v>
      </c>
      <c r="Y1010" s="1209">
        <v>999</v>
      </c>
      <c r="Z1010" s="1211">
        <v>700</v>
      </c>
      <c r="AA1010" s="1211">
        <v>719</v>
      </c>
      <c r="AB1010" s="1211">
        <v>6</v>
      </c>
      <c r="AC1010" s="1211">
        <v>999999</v>
      </c>
      <c r="AD1010" s="1209">
        <v>0</v>
      </c>
      <c r="AE1010" s="1212">
        <v>80</v>
      </c>
      <c r="AF1010" s="170">
        <v>0</v>
      </c>
      <c r="AG1010" s="171">
        <v>1</v>
      </c>
      <c r="AH1010" s="171">
        <v>1</v>
      </c>
      <c r="AI1010" s="171">
        <v>1</v>
      </c>
      <c r="AJ1010" s="171">
        <v>0</v>
      </c>
      <c r="AK1010" s="171">
        <v>0</v>
      </c>
      <c r="AL1010" s="171">
        <v>1</v>
      </c>
      <c r="AM1010" s="171">
        <v>1</v>
      </c>
      <c r="AN1010" s="171">
        <v>1</v>
      </c>
      <c r="AO1010" s="171">
        <v>1</v>
      </c>
      <c r="AP1010" s="171">
        <v>1</v>
      </c>
      <c r="AQ1010" s="171">
        <v>1</v>
      </c>
      <c r="AR1010" s="171">
        <v>1</v>
      </c>
      <c r="AS1010" s="171">
        <v>1</v>
      </c>
      <c r="AT1010" s="171">
        <v>1</v>
      </c>
      <c r="AU1010" s="171">
        <f t="shared" si="391"/>
        <v>0</v>
      </c>
      <c r="AV1010" s="171">
        <f t="shared" si="392"/>
        <v>1</v>
      </c>
      <c r="AW1010" s="171">
        <f t="shared" si="393"/>
        <v>1</v>
      </c>
      <c r="AX1010" s="171">
        <f t="shared" si="401"/>
        <v>1</v>
      </c>
      <c r="AY1010" s="171">
        <f t="shared" si="394"/>
        <v>0</v>
      </c>
      <c r="AZ1010" s="171">
        <f t="shared" si="395"/>
        <v>1</v>
      </c>
      <c r="BA1010" s="172">
        <f t="shared" si="396"/>
        <v>1</v>
      </c>
      <c r="BB1010" s="175">
        <f t="shared" si="397"/>
        <v>17</v>
      </c>
      <c r="BC1010" s="176">
        <f t="shared" si="398"/>
        <v>16</v>
      </c>
      <c r="BD1010" s="176">
        <f t="shared" si="399"/>
        <v>17</v>
      </c>
      <c r="BE1010" s="240" t="str">
        <f t="shared" si="390"/>
        <v/>
      </c>
      <c r="BF1010" s="990"/>
      <c r="BG1010" s="990"/>
      <c r="BH1010" s="991">
        <f>IF(AND(Input_Product=Elig!$C1010,Elig_MatchAll_Ct&lt;22,$BC1010=(Elig_MatchAll_Ct-1),AF1010=0),C1010,0)</f>
        <v>0</v>
      </c>
      <c r="BI1010" s="991">
        <f>IF(AND(Input_Product=Elig!$C1010,Elig_MatchAll_Ct&lt;22,$BC1010=(Elig_MatchAll_Ct-1),AG1010=0),D1010,0)</f>
        <v>0</v>
      </c>
      <c r="BJ1010" s="991">
        <f>IF(AND(Input_Product=Elig!$C1010,Elig_MatchAll_Ct&lt;22,$BC1010=(Elig_MatchAll_Ct-1),AH1010=0),E1010,0)</f>
        <v>0</v>
      </c>
      <c r="BK1010" s="991">
        <f>IF(AND(Input_Product=Elig!$C1010,Elig_MatchAll_Ct&lt;22,$BC1010=(Elig_MatchAll_Ct-1),AI1010=0),F1010,0)</f>
        <v>0</v>
      </c>
      <c r="BL1010" s="991">
        <f>IF(AND(Input_Product=Elig!$C1010,Elig_MatchAll_Ct&lt;22,$BC1010=(Elig_MatchAll_Ct-1),AJ1010=0),G1010,0)</f>
        <v>0</v>
      </c>
      <c r="BM1010" s="991">
        <f>IF(AND(Input_Product=Elig!$C1010,Elig_MatchAll_Ct&lt;22,$BC1010=(Elig_MatchAll_Ct-1),AK1010=0),H1010,0)</f>
        <v>0</v>
      </c>
      <c r="BN1010" s="991">
        <f>IF(AND(Input_Product=Elig!$C1010,Elig_MatchAll_Ct&lt;22,$BC1010=(Elig_MatchAll_Ct-1),AL1010=0),I1010,0)</f>
        <v>0</v>
      </c>
      <c r="BO1010" s="991">
        <f>IF(AND(Input_Product=Elig!$C1010,Elig_MatchAll_Ct&lt;22,$BC1010=(Elig_MatchAll_Ct-1),AM1010=0),J1010,0)</f>
        <v>0</v>
      </c>
      <c r="BP1010" s="991">
        <f>IF(AND(Input_Product=Elig!$C1010,Elig_MatchAll_Ct&lt;22,$BC1010=(Elig_MatchAll_Ct-1),AN1010=0),K1010,0)</f>
        <v>0</v>
      </c>
      <c r="BQ1010" s="991">
        <f>IF(AND(Input_Product=Elig!$C1010,Elig_MatchAll_Ct&lt;22,$BC1010=(Elig_MatchAll_Ct-1),AP1010=0),L1010,0)</f>
        <v>0</v>
      </c>
      <c r="BR1010" s="991">
        <f>IF(AND(Input_Product=Elig!$C1010,Elig_MatchAll_Ct&lt;22,$BC1010=(Elig_MatchAll_Ct-1),AO1010=0),M1010,0)</f>
        <v>0</v>
      </c>
      <c r="BS1010" s="991">
        <f>IF(AND(Input_Product=Elig!$C1010,Elig_MatchAll_Ct&lt;22,$BC1010=(Elig_MatchAll_Ct-1),AQ1010=0),N1010,0)</f>
        <v>0</v>
      </c>
      <c r="BT1010" s="991">
        <f>IF(AND(Input_Product=Elig!$C1010,Elig_MatchAll_Ct&lt;22,$BC1010=(Elig_MatchAll_Ct-1),AR1010=0),O1010,0)</f>
        <v>0</v>
      </c>
      <c r="BU1010" s="991">
        <f>IF(AND(Input_Product=Elig!$C1010,Elig_MatchAll_Ct&lt;22,$BC1010=(Elig_MatchAll_Ct-1),AS1010=0),P1010,0)</f>
        <v>0</v>
      </c>
      <c r="BV1010" s="992">
        <f>IF(AND(Input_Product=Elig!$C1010,Elig_MatchAll_Ct&lt;22,$BC1010=(Elig_MatchAll_Ct-1),AT1010=0),Q1010,0)</f>
        <v>0</v>
      </c>
      <c r="BW1010" s="993">
        <f>IF(AND(Input_Product=Elig!$C1010,Elig_MatchAll_Ct&lt;22,$BC1010=(Elig_MatchAll_Ct-1),AU1010=0),R1010,0)</f>
        <v>0</v>
      </c>
      <c r="BX1010" s="994">
        <f>IF(AND(Input_Product=Elig!$C1010,Elig_MatchAll_Ct&lt;22,$BC1010=(Elig_MatchAll_Ct-1),AU1010=0),S1010,0)</f>
        <v>0</v>
      </c>
      <c r="BY1010" s="993">
        <f>IF(AND(Input_Product=Elig!$C1010,Elig_MatchAll_Ct&lt;22,$BC1010=(Elig_MatchAll_Ct-1),AV1010=0),T1010,0)</f>
        <v>0</v>
      </c>
      <c r="BZ1010" s="994">
        <f>IF(AND(Input_Product=Elig!$C1010,Elig_MatchAll_Ct&lt;22,$BC1010=(Elig_MatchAll_Ct-1),AV1010=0),U1010,0)</f>
        <v>0</v>
      </c>
      <c r="CA1010" s="993">
        <f>IF(AND(Input_Product=Elig!$C1010,Elig_MatchAll_Ct&lt;22,$BC1010=(Elig_MatchAll_Ct-1),AW1010=0),V1010,0)</f>
        <v>0</v>
      </c>
      <c r="CB1010" s="994">
        <f>IF(AND(Input_Product=Elig!$C1010,Elig_MatchAll_Ct&lt;22,$BC1010=(Elig_MatchAll_Ct-1),AW1010=0),W1010,0)</f>
        <v>0</v>
      </c>
      <c r="CC1010" s="993">
        <f>IF(AND(Input_Product=Elig!$C1010,Elig_MatchAll_Ct&lt;22,$BC1010=(Elig_MatchAll_Ct-1),AX1010=0),X1010,0)</f>
        <v>0</v>
      </c>
      <c r="CD1010" s="994">
        <f>IF(AND(Input_Product=Elig!$C1010,Elig_MatchAll_Ct&lt;22,$BC1010=(Elig_MatchAll_Ct-1),AX1010=0),Y1010,0)</f>
        <v>0</v>
      </c>
      <c r="CE1010" s="993">
        <f>IF(AND(Input_LTV&lt;=AE1010,Input_Product=Elig!$C1010,Elig_MatchAll_Ct&lt;22,$BC1010=(Elig_MatchAll_Ct-1),AY1010=0),Z1010,0)</f>
        <v>0</v>
      </c>
      <c r="CF1010" s="994">
        <f>IF(AND(Input_LTV&lt;=AE1010,Input_Product=Elig!$C1010,Elig_MatchAll_Ct&lt;22,$BC1010=(Elig_MatchAll_Ct-1),AY1010=0),AA1010,0)</f>
        <v>0</v>
      </c>
      <c r="CG1010" s="993">
        <f>IF(AND(Input_Product=Elig!$C1010,Elig_MatchAll_Ct&lt;22,$BC1010=(Elig_MatchAll_Ct-1),AZ1010=0),AB1010,0)</f>
        <v>0</v>
      </c>
      <c r="CH1010" s="994">
        <f>IF(AND(Input_Product=Elig!$C1010,Elig_MatchAll_Ct&lt;22,$BC1010=(Elig_MatchAll_Ct-1),AZ1010=0),AC1010,0)</f>
        <v>0</v>
      </c>
      <c r="CI1010" s="993">
        <f>IF(AND(Input_Product=Elig!$C1010,Elig_MatchAll_Ct&lt;22,$BC1010=(Elig_MatchAll_Ct-1),BA1010=0),AD1010,0)</f>
        <v>0</v>
      </c>
      <c r="CJ1010" s="994">
        <f>IF(AND(Input_Product=Elig!$C1010,Elig_MatchAll_Ct&lt;22,$BC1010=(Elig_MatchAll_Ct-1),BA1010=0),AE1010,0)</f>
        <v>0</v>
      </c>
    </row>
    <row r="1011" spans="2:88" ht="10.15" customHeight="1" x14ac:dyDescent="0.25">
      <c r="B1011" s="1916" t="s">
        <v>2347</v>
      </c>
      <c r="C1011" s="1208" t="str">
        <f t="shared" si="402"/>
        <v xml:space="preserve">  </v>
      </c>
      <c r="D1011" s="1209" t="s">
        <v>2218</v>
      </c>
      <c r="E1011" s="1209" t="s">
        <v>167</v>
      </c>
      <c r="F1011" s="1209" t="s">
        <v>331</v>
      </c>
      <c r="G1011" s="1210" t="s">
        <v>175</v>
      </c>
      <c r="H1011" s="1210" t="s">
        <v>446</v>
      </c>
      <c r="I1011" s="1209" t="s">
        <v>16</v>
      </c>
      <c r="J1011" s="1209" t="s">
        <v>1311</v>
      </c>
      <c r="K1011" s="1210" t="s">
        <v>3022</v>
      </c>
      <c r="L1011" s="1209" t="s">
        <v>2768</v>
      </c>
      <c r="M1011" s="1209" t="s">
        <v>2677</v>
      </c>
      <c r="N1011" s="1210" t="s">
        <v>82</v>
      </c>
      <c r="O1011" s="1209" t="s">
        <v>310</v>
      </c>
      <c r="P1011" s="1209" t="s">
        <v>291</v>
      </c>
      <c r="Q1011" s="1209" t="s">
        <v>294</v>
      </c>
      <c r="R1011" s="1209">
        <v>1000000.01</v>
      </c>
      <c r="S1011" s="1209">
        <v>1500000</v>
      </c>
      <c r="T1011" s="1209">
        <v>0</v>
      </c>
      <c r="U1011" s="1209">
        <f t="shared" si="400"/>
        <v>1500000</v>
      </c>
      <c r="V1011" s="1209">
        <v>0</v>
      </c>
      <c r="W1011" s="1209">
        <v>50</v>
      </c>
      <c r="X1011" s="1209">
        <v>0</v>
      </c>
      <c r="Y1011" s="1209">
        <v>999</v>
      </c>
      <c r="Z1011" s="1211">
        <v>680</v>
      </c>
      <c r="AA1011" s="1211">
        <v>699</v>
      </c>
      <c r="AB1011" s="1211">
        <v>6</v>
      </c>
      <c r="AC1011" s="1211">
        <v>999999</v>
      </c>
      <c r="AD1011" s="1209">
        <v>0</v>
      </c>
      <c r="AE1011" s="1212">
        <v>75</v>
      </c>
      <c r="AF1011" s="170">
        <v>0</v>
      </c>
      <c r="AG1011" s="171">
        <v>1</v>
      </c>
      <c r="AH1011" s="171">
        <v>1</v>
      </c>
      <c r="AI1011" s="171">
        <v>1</v>
      </c>
      <c r="AJ1011" s="171">
        <v>0</v>
      </c>
      <c r="AK1011" s="171">
        <v>0</v>
      </c>
      <c r="AL1011" s="171">
        <v>1</v>
      </c>
      <c r="AM1011" s="171">
        <v>1</v>
      </c>
      <c r="AN1011" s="171">
        <v>1</v>
      </c>
      <c r="AO1011" s="171">
        <v>1</v>
      </c>
      <c r="AP1011" s="171">
        <v>1</v>
      </c>
      <c r="AQ1011" s="171">
        <v>1</v>
      </c>
      <c r="AR1011" s="171">
        <v>1</v>
      </c>
      <c r="AS1011" s="171">
        <v>1</v>
      </c>
      <c r="AT1011" s="171">
        <v>1</v>
      </c>
      <c r="AU1011" s="171">
        <f t="shared" si="391"/>
        <v>0</v>
      </c>
      <c r="AV1011" s="171">
        <f t="shared" si="392"/>
        <v>1</v>
      </c>
      <c r="AW1011" s="171">
        <f t="shared" si="393"/>
        <v>1</v>
      </c>
      <c r="AX1011" s="171">
        <f t="shared" si="401"/>
        <v>1</v>
      </c>
      <c r="AY1011" s="171">
        <f t="shared" si="394"/>
        <v>0</v>
      </c>
      <c r="AZ1011" s="171">
        <f t="shared" si="395"/>
        <v>1</v>
      </c>
      <c r="BA1011" s="172">
        <f t="shared" si="396"/>
        <v>1</v>
      </c>
      <c r="BB1011" s="175">
        <f t="shared" si="397"/>
        <v>17</v>
      </c>
      <c r="BC1011" s="176">
        <f t="shared" si="398"/>
        <v>16</v>
      </c>
      <c r="BD1011" s="176">
        <f t="shared" si="399"/>
        <v>17</v>
      </c>
      <c r="BE1011" s="240" t="str">
        <f t="shared" si="390"/>
        <v/>
      </c>
      <c r="BF1011" s="990"/>
      <c r="BG1011" s="990"/>
      <c r="BH1011" s="991">
        <f>IF(AND(Input_Product=Elig!$C1011,Elig_MatchAll_Ct&lt;22,$BC1011=(Elig_MatchAll_Ct-1),AF1011=0),C1011,0)</f>
        <v>0</v>
      </c>
      <c r="BI1011" s="991">
        <f>IF(AND(Input_Product=Elig!$C1011,Elig_MatchAll_Ct&lt;22,$BC1011=(Elig_MatchAll_Ct-1),AG1011=0),D1011,0)</f>
        <v>0</v>
      </c>
      <c r="BJ1011" s="991">
        <f>IF(AND(Input_Product=Elig!$C1011,Elig_MatchAll_Ct&lt;22,$BC1011=(Elig_MatchAll_Ct-1),AH1011=0),E1011,0)</f>
        <v>0</v>
      </c>
      <c r="BK1011" s="991">
        <f>IF(AND(Input_Product=Elig!$C1011,Elig_MatchAll_Ct&lt;22,$BC1011=(Elig_MatchAll_Ct-1),AI1011=0),F1011,0)</f>
        <v>0</v>
      </c>
      <c r="BL1011" s="991">
        <f>IF(AND(Input_Product=Elig!$C1011,Elig_MatchAll_Ct&lt;22,$BC1011=(Elig_MatchAll_Ct-1),AJ1011=0),G1011,0)</f>
        <v>0</v>
      </c>
      <c r="BM1011" s="991">
        <f>IF(AND(Input_Product=Elig!$C1011,Elig_MatchAll_Ct&lt;22,$BC1011=(Elig_MatchAll_Ct-1),AK1011=0),H1011,0)</f>
        <v>0</v>
      </c>
      <c r="BN1011" s="991">
        <f>IF(AND(Input_Product=Elig!$C1011,Elig_MatchAll_Ct&lt;22,$BC1011=(Elig_MatchAll_Ct-1),AL1011=0),I1011,0)</f>
        <v>0</v>
      </c>
      <c r="BO1011" s="991">
        <f>IF(AND(Input_Product=Elig!$C1011,Elig_MatchAll_Ct&lt;22,$BC1011=(Elig_MatchAll_Ct-1),AM1011=0),J1011,0)</f>
        <v>0</v>
      </c>
      <c r="BP1011" s="991">
        <f>IF(AND(Input_Product=Elig!$C1011,Elig_MatchAll_Ct&lt;22,$BC1011=(Elig_MatchAll_Ct-1),AN1011=0),K1011,0)</f>
        <v>0</v>
      </c>
      <c r="BQ1011" s="991">
        <f>IF(AND(Input_Product=Elig!$C1011,Elig_MatchAll_Ct&lt;22,$BC1011=(Elig_MatchAll_Ct-1),AP1011=0),L1011,0)</f>
        <v>0</v>
      </c>
      <c r="BR1011" s="991">
        <f>IF(AND(Input_Product=Elig!$C1011,Elig_MatchAll_Ct&lt;22,$BC1011=(Elig_MatchAll_Ct-1),AO1011=0),M1011,0)</f>
        <v>0</v>
      </c>
      <c r="BS1011" s="991">
        <f>IF(AND(Input_Product=Elig!$C1011,Elig_MatchAll_Ct&lt;22,$BC1011=(Elig_MatchAll_Ct-1),AQ1011=0),N1011,0)</f>
        <v>0</v>
      </c>
      <c r="BT1011" s="991">
        <f>IF(AND(Input_Product=Elig!$C1011,Elig_MatchAll_Ct&lt;22,$BC1011=(Elig_MatchAll_Ct-1),AR1011=0),O1011,0)</f>
        <v>0</v>
      </c>
      <c r="BU1011" s="991">
        <f>IF(AND(Input_Product=Elig!$C1011,Elig_MatchAll_Ct&lt;22,$BC1011=(Elig_MatchAll_Ct-1),AS1011=0),P1011,0)</f>
        <v>0</v>
      </c>
      <c r="BV1011" s="992">
        <f>IF(AND(Input_Product=Elig!$C1011,Elig_MatchAll_Ct&lt;22,$BC1011=(Elig_MatchAll_Ct-1),AT1011=0),Q1011,0)</f>
        <v>0</v>
      </c>
      <c r="BW1011" s="993">
        <f>IF(AND(Input_Product=Elig!$C1011,Elig_MatchAll_Ct&lt;22,$BC1011=(Elig_MatchAll_Ct-1),AU1011=0),R1011,0)</f>
        <v>0</v>
      </c>
      <c r="BX1011" s="994">
        <f>IF(AND(Input_Product=Elig!$C1011,Elig_MatchAll_Ct&lt;22,$BC1011=(Elig_MatchAll_Ct-1),AU1011=0),S1011,0)</f>
        <v>0</v>
      </c>
      <c r="BY1011" s="993">
        <f>IF(AND(Input_Product=Elig!$C1011,Elig_MatchAll_Ct&lt;22,$BC1011=(Elig_MatchAll_Ct-1),AV1011=0),T1011,0)</f>
        <v>0</v>
      </c>
      <c r="BZ1011" s="994">
        <f>IF(AND(Input_Product=Elig!$C1011,Elig_MatchAll_Ct&lt;22,$BC1011=(Elig_MatchAll_Ct-1),AV1011=0),U1011,0)</f>
        <v>0</v>
      </c>
      <c r="CA1011" s="993">
        <f>IF(AND(Input_Product=Elig!$C1011,Elig_MatchAll_Ct&lt;22,$BC1011=(Elig_MatchAll_Ct-1),AW1011=0),V1011,0)</f>
        <v>0</v>
      </c>
      <c r="CB1011" s="994">
        <f>IF(AND(Input_Product=Elig!$C1011,Elig_MatchAll_Ct&lt;22,$BC1011=(Elig_MatchAll_Ct-1),AW1011=0),W1011,0)</f>
        <v>0</v>
      </c>
      <c r="CC1011" s="993">
        <f>IF(AND(Input_Product=Elig!$C1011,Elig_MatchAll_Ct&lt;22,$BC1011=(Elig_MatchAll_Ct-1),AX1011=0),X1011,0)</f>
        <v>0</v>
      </c>
      <c r="CD1011" s="994">
        <f>IF(AND(Input_Product=Elig!$C1011,Elig_MatchAll_Ct&lt;22,$BC1011=(Elig_MatchAll_Ct-1),AX1011=0),Y1011,0)</f>
        <v>0</v>
      </c>
      <c r="CE1011" s="993">
        <f>IF(AND(Input_LTV&lt;=AE1011,Input_Product=Elig!$C1011,Elig_MatchAll_Ct&lt;22,$BC1011=(Elig_MatchAll_Ct-1),AY1011=0),Z1011,0)</f>
        <v>0</v>
      </c>
      <c r="CF1011" s="994">
        <f>IF(AND(Input_LTV&lt;=AE1011,Input_Product=Elig!$C1011,Elig_MatchAll_Ct&lt;22,$BC1011=(Elig_MatchAll_Ct-1),AY1011=0),AA1011,0)</f>
        <v>0</v>
      </c>
      <c r="CG1011" s="993">
        <f>IF(AND(Input_Product=Elig!$C1011,Elig_MatchAll_Ct&lt;22,$BC1011=(Elig_MatchAll_Ct-1),AZ1011=0),AB1011,0)</f>
        <v>0</v>
      </c>
      <c r="CH1011" s="994">
        <f>IF(AND(Input_Product=Elig!$C1011,Elig_MatchAll_Ct&lt;22,$BC1011=(Elig_MatchAll_Ct-1),AZ1011=0),AC1011,0)</f>
        <v>0</v>
      </c>
      <c r="CI1011" s="993">
        <f>IF(AND(Input_Product=Elig!$C1011,Elig_MatchAll_Ct&lt;22,$BC1011=(Elig_MatchAll_Ct-1),BA1011=0),AD1011,0)</f>
        <v>0</v>
      </c>
      <c r="CJ1011" s="994">
        <f>IF(AND(Input_Product=Elig!$C1011,Elig_MatchAll_Ct&lt;22,$BC1011=(Elig_MatchAll_Ct-1),BA1011=0),AE1011,0)</f>
        <v>0</v>
      </c>
    </row>
    <row r="1012" spans="2:88" ht="10.15" customHeight="1" x14ac:dyDescent="0.25">
      <c r="B1012" s="1916" t="s">
        <v>2348</v>
      </c>
      <c r="C1012" s="1213" t="str">
        <f t="shared" si="402"/>
        <v xml:space="preserve">  </v>
      </c>
      <c r="D1012" s="1214" t="s">
        <v>2218</v>
      </c>
      <c r="E1012" s="1214" t="s">
        <v>167</v>
      </c>
      <c r="F1012" s="1214" t="s">
        <v>331</v>
      </c>
      <c r="G1012" s="1215" t="s">
        <v>175</v>
      </c>
      <c r="H1012" s="1215" t="s">
        <v>446</v>
      </c>
      <c r="I1012" s="1214" t="s">
        <v>16</v>
      </c>
      <c r="J1012" s="1214" t="s">
        <v>1311</v>
      </c>
      <c r="K1012" s="1215" t="s">
        <v>3022</v>
      </c>
      <c r="L1012" s="1214" t="s">
        <v>2768</v>
      </c>
      <c r="M1012" s="1214" t="s">
        <v>2677</v>
      </c>
      <c r="N1012" s="1215" t="s">
        <v>82</v>
      </c>
      <c r="O1012" s="1214" t="s">
        <v>310</v>
      </c>
      <c r="P1012" s="1214" t="s">
        <v>291</v>
      </c>
      <c r="Q1012" s="1214" t="s">
        <v>294</v>
      </c>
      <c r="R1012" s="1214">
        <v>1000000.01</v>
      </c>
      <c r="S1012" s="1214">
        <v>1500000</v>
      </c>
      <c r="T1012" s="1214">
        <v>0</v>
      </c>
      <c r="U1012" s="1214">
        <f t="shared" si="400"/>
        <v>1500000</v>
      </c>
      <c r="V1012" s="1214">
        <v>0</v>
      </c>
      <c r="W1012" s="1214">
        <v>50</v>
      </c>
      <c r="X1012" s="1214">
        <v>0</v>
      </c>
      <c r="Y1012" s="1214">
        <v>999</v>
      </c>
      <c r="Z1012" s="1216">
        <v>660</v>
      </c>
      <c r="AA1012" s="1216">
        <v>679</v>
      </c>
      <c r="AB1012" s="1216">
        <v>6</v>
      </c>
      <c r="AC1012" s="1216">
        <v>999999</v>
      </c>
      <c r="AD1012" s="1214">
        <v>0</v>
      </c>
      <c r="AE1012" s="1217">
        <v>70</v>
      </c>
      <c r="AF1012" s="170">
        <v>0</v>
      </c>
      <c r="AG1012" s="171">
        <v>1</v>
      </c>
      <c r="AH1012" s="171">
        <v>1</v>
      </c>
      <c r="AI1012" s="171">
        <v>1</v>
      </c>
      <c r="AJ1012" s="171">
        <v>0</v>
      </c>
      <c r="AK1012" s="171">
        <v>0</v>
      </c>
      <c r="AL1012" s="171">
        <v>1</v>
      </c>
      <c r="AM1012" s="171">
        <v>1</v>
      </c>
      <c r="AN1012" s="171">
        <v>1</v>
      </c>
      <c r="AO1012" s="171">
        <v>1</v>
      </c>
      <c r="AP1012" s="171">
        <v>1</v>
      </c>
      <c r="AQ1012" s="171">
        <v>1</v>
      </c>
      <c r="AR1012" s="171">
        <v>1</v>
      </c>
      <c r="AS1012" s="171">
        <v>1</v>
      </c>
      <c r="AT1012" s="171">
        <v>1</v>
      </c>
      <c r="AU1012" s="171">
        <f t="shared" si="391"/>
        <v>0</v>
      </c>
      <c r="AV1012" s="171">
        <f t="shared" si="392"/>
        <v>1</v>
      </c>
      <c r="AW1012" s="171">
        <f t="shared" si="393"/>
        <v>1</v>
      </c>
      <c r="AX1012" s="171">
        <f t="shared" si="401"/>
        <v>1</v>
      </c>
      <c r="AY1012" s="171">
        <f t="shared" si="394"/>
        <v>0</v>
      </c>
      <c r="AZ1012" s="171">
        <f t="shared" si="395"/>
        <v>1</v>
      </c>
      <c r="BA1012" s="172">
        <f t="shared" si="396"/>
        <v>1</v>
      </c>
      <c r="BB1012" s="175">
        <f t="shared" si="397"/>
        <v>17</v>
      </c>
      <c r="BC1012" s="176">
        <f t="shared" si="398"/>
        <v>16</v>
      </c>
      <c r="BD1012" s="176">
        <f t="shared" si="399"/>
        <v>17</v>
      </c>
      <c r="BE1012" s="240" t="str">
        <f t="shared" si="390"/>
        <v/>
      </c>
      <c r="BF1012" s="990"/>
      <c r="BG1012" s="990"/>
      <c r="BH1012" s="991">
        <f>IF(AND(Input_Product=Elig!$C1012,Elig_MatchAll_Ct&lt;22,$BC1012=(Elig_MatchAll_Ct-1),AF1012=0),C1012,0)</f>
        <v>0</v>
      </c>
      <c r="BI1012" s="991">
        <f>IF(AND(Input_Product=Elig!$C1012,Elig_MatchAll_Ct&lt;22,$BC1012=(Elig_MatchAll_Ct-1),AG1012=0),D1012,0)</f>
        <v>0</v>
      </c>
      <c r="BJ1012" s="991">
        <f>IF(AND(Input_Product=Elig!$C1012,Elig_MatchAll_Ct&lt;22,$BC1012=(Elig_MatchAll_Ct-1),AH1012=0),E1012,0)</f>
        <v>0</v>
      </c>
      <c r="BK1012" s="991">
        <f>IF(AND(Input_Product=Elig!$C1012,Elig_MatchAll_Ct&lt;22,$BC1012=(Elig_MatchAll_Ct-1),AI1012=0),F1012,0)</f>
        <v>0</v>
      </c>
      <c r="BL1012" s="991">
        <f>IF(AND(Input_Product=Elig!$C1012,Elig_MatchAll_Ct&lt;22,$BC1012=(Elig_MatchAll_Ct-1),AJ1012=0),G1012,0)</f>
        <v>0</v>
      </c>
      <c r="BM1012" s="991">
        <f>IF(AND(Input_Product=Elig!$C1012,Elig_MatchAll_Ct&lt;22,$BC1012=(Elig_MatchAll_Ct-1),AK1012=0),H1012,0)</f>
        <v>0</v>
      </c>
      <c r="BN1012" s="991">
        <f>IF(AND(Input_Product=Elig!$C1012,Elig_MatchAll_Ct&lt;22,$BC1012=(Elig_MatchAll_Ct-1),AL1012=0),I1012,0)</f>
        <v>0</v>
      </c>
      <c r="BO1012" s="991">
        <f>IF(AND(Input_Product=Elig!$C1012,Elig_MatchAll_Ct&lt;22,$BC1012=(Elig_MatchAll_Ct-1),AM1012=0),J1012,0)</f>
        <v>0</v>
      </c>
      <c r="BP1012" s="991">
        <f>IF(AND(Input_Product=Elig!$C1012,Elig_MatchAll_Ct&lt;22,$BC1012=(Elig_MatchAll_Ct-1),AN1012=0),K1012,0)</f>
        <v>0</v>
      </c>
      <c r="BQ1012" s="991">
        <f>IF(AND(Input_Product=Elig!$C1012,Elig_MatchAll_Ct&lt;22,$BC1012=(Elig_MatchAll_Ct-1),AP1012=0),L1012,0)</f>
        <v>0</v>
      </c>
      <c r="BR1012" s="991">
        <f>IF(AND(Input_Product=Elig!$C1012,Elig_MatchAll_Ct&lt;22,$BC1012=(Elig_MatchAll_Ct-1),AO1012=0),M1012,0)</f>
        <v>0</v>
      </c>
      <c r="BS1012" s="991">
        <f>IF(AND(Input_Product=Elig!$C1012,Elig_MatchAll_Ct&lt;22,$BC1012=(Elig_MatchAll_Ct-1),AQ1012=0),N1012,0)</f>
        <v>0</v>
      </c>
      <c r="BT1012" s="991">
        <f>IF(AND(Input_Product=Elig!$C1012,Elig_MatchAll_Ct&lt;22,$BC1012=(Elig_MatchAll_Ct-1),AR1012=0),O1012,0)</f>
        <v>0</v>
      </c>
      <c r="BU1012" s="991">
        <f>IF(AND(Input_Product=Elig!$C1012,Elig_MatchAll_Ct&lt;22,$BC1012=(Elig_MatchAll_Ct-1),AS1012=0),P1012,0)</f>
        <v>0</v>
      </c>
      <c r="BV1012" s="992">
        <f>IF(AND(Input_Product=Elig!$C1012,Elig_MatchAll_Ct&lt;22,$BC1012=(Elig_MatchAll_Ct-1),AT1012=0),Q1012,0)</f>
        <v>0</v>
      </c>
      <c r="BW1012" s="993">
        <f>IF(AND(Input_Product=Elig!$C1012,Elig_MatchAll_Ct&lt;22,$BC1012=(Elig_MatchAll_Ct-1),AU1012=0),R1012,0)</f>
        <v>0</v>
      </c>
      <c r="BX1012" s="994">
        <f>IF(AND(Input_Product=Elig!$C1012,Elig_MatchAll_Ct&lt;22,$BC1012=(Elig_MatchAll_Ct-1),AU1012=0),S1012,0)</f>
        <v>0</v>
      </c>
      <c r="BY1012" s="993">
        <f>IF(AND(Input_Product=Elig!$C1012,Elig_MatchAll_Ct&lt;22,$BC1012=(Elig_MatchAll_Ct-1),AV1012=0),T1012,0)</f>
        <v>0</v>
      </c>
      <c r="BZ1012" s="994">
        <f>IF(AND(Input_Product=Elig!$C1012,Elig_MatchAll_Ct&lt;22,$BC1012=(Elig_MatchAll_Ct-1),AV1012=0),U1012,0)</f>
        <v>0</v>
      </c>
      <c r="CA1012" s="993">
        <f>IF(AND(Input_Product=Elig!$C1012,Elig_MatchAll_Ct&lt;22,$BC1012=(Elig_MatchAll_Ct-1),AW1012=0),V1012,0)</f>
        <v>0</v>
      </c>
      <c r="CB1012" s="994">
        <f>IF(AND(Input_Product=Elig!$C1012,Elig_MatchAll_Ct&lt;22,$BC1012=(Elig_MatchAll_Ct-1),AW1012=0),W1012,0)</f>
        <v>0</v>
      </c>
      <c r="CC1012" s="993">
        <f>IF(AND(Input_Product=Elig!$C1012,Elig_MatchAll_Ct&lt;22,$BC1012=(Elig_MatchAll_Ct-1),AX1012=0),X1012,0)</f>
        <v>0</v>
      </c>
      <c r="CD1012" s="994">
        <f>IF(AND(Input_Product=Elig!$C1012,Elig_MatchAll_Ct&lt;22,$BC1012=(Elig_MatchAll_Ct-1),AX1012=0),Y1012,0)</f>
        <v>0</v>
      </c>
      <c r="CE1012" s="993">
        <f>IF(AND(Input_LTV&lt;=AE1012,Input_Product=Elig!$C1012,Elig_MatchAll_Ct&lt;22,$BC1012=(Elig_MatchAll_Ct-1),AY1012=0),Z1012,0)</f>
        <v>0</v>
      </c>
      <c r="CF1012" s="994">
        <f>IF(AND(Input_LTV&lt;=AE1012,Input_Product=Elig!$C1012,Elig_MatchAll_Ct&lt;22,$BC1012=(Elig_MatchAll_Ct-1),AY1012=0),AA1012,0)</f>
        <v>0</v>
      </c>
      <c r="CG1012" s="993">
        <f>IF(AND(Input_Product=Elig!$C1012,Elig_MatchAll_Ct&lt;22,$BC1012=(Elig_MatchAll_Ct-1),AZ1012=0),AB1012,0)</f>
        <v>0</v>
      </c>
      <c r="CH1012" s="994">
        <f>IF(AND(Input_Product=Elig!$C1012,Elig_MatchAll_Ct&lt;22,$BC1012=(Elig_MatchAll_Ct-1),AZ1012=0),AC1012,0)</f>
        <v>0</v>
      </c>
      <c r="CI1012" s="993">
        <f>IF(AND(Input_Product=Elig!$C1012,Elig_MatchAll_Ct&lt;22,$BC1012=(Elig_MatchAll_Ct-1),BA1012=0),AD1012,0)</f>
        <v>0</v>
      </c>
      <c r="CJ1012" s="994">
        <f>IF(AND(Input_Product=Elig!$C1012,Elig_MatchAll_Ct&lt;22,$BC1012=(Elig_MatchAll_Ct-1),BA1012=0),AE1012,0)</f>
        <v>0</v>
      </c>
    </row>
    <row r="1013" spans="2:88" ht="10.15" customHeight="1" x14ac:dyDescent="0.25">
      <c r="B1013" s="1916" t="s">
        <v>2349</v>
      </c>
      <c r="C1013" s="1203" t="str">
        <f t="shared" si="402"/>
        <v xml:space="preserve">  </v>
      </c>
      <c r="D1013" s="1204" t="s">
        <v>2218</v>
      </c>
      <c r="E1013" s="1204" t="s">
        <v>167</v>
      </c>
      <c r="F1013" s="1204" t="s">
        <v>331</v>
      </c>
      <c r="G1013" s="1205" t="s">
        <v>175</v>
      </c>
      <c r="H1013" s="1205" t="s">
        <v>446</v>
      </c>
      <c r="I1013" s="1204" t="s">
        <v>16</v>
      </c>
      <c r="J1013" s="1204" t="s">
        <v>1311</v>
      </c>
      <c r="K1013" s="1205" t="s">
        <v>3022</v>
      </c>
      <c r="L1013" s="1204" t="s">
        <v>2768</v>
      </c>
      <c r="M1013" s="1204" t="s">
        <v>2677</v>
      </c>
      <c r="N1013" s="1205" t="s">
        <v>82</v>
      </c>
      <c r="O1013" s="1204" t="s">
        <v>310</v>
      </c>
      <c r="P1013" s="1204" t="s">
        <v>291</v>
      </c>
      <c r="Q1013" s="1204" t="s">
        <v>294</v>
      </c>
      <c r="R1013" s="1204">
        <v>1500000.01</v>
      </c>
      <c r="S1013" s="1204">
        <v>2000000</v>
      </c>
      <c r="T1013" s="1204">
        <v>0</v>
      </c>
      <c r="U1013" s="1204">
        <f t="shared" si="400"/>
        <v>2000000</v>
      </c>
      <c r="V1013" s="1204">
        <v>0</v>
      </c>
      <c r="W1013" s="1204">
        <v>50</v>
      </c>
      <c r="X1013" s="1204">
        <v>0</v>
      </c>
      <c r="Y1013" s="1204">
        <v>999</v>
      </c>
      <c r="Z1013" s="1206">
        <v>720</v>
      </c>
      <c r="AA1013" s="1206">
        <v>999</v>
      </c>
      <c r="AB1013" s="1206">
        <v>6</v>
      </c>
      <c r="AC1013" s="1206">
        <v>999999</v>
      </c>
      <c r="AD1013" s="1204">
        <v>0</v>
      </c>
      <c r="AE1013" s="1207">
        <v>80</v>
      </c>
      <c r="AF1013" s="170">
        <v>0</v>
      </c>
      <c r="AG1013" s="171">
        <v>1</v>
      </c>
      <c r="AH1013" s="171">
        <v>1</v>
      </c>
      <c r="AI1013" s="171">
        <v>1</v>
      </c>
      <c r="AJ1013" s="171">
        <v>0</v>
      </c>
      <c r="AK1013" s="171">
        <v>0</v>
      </c>
      <c r="AL1013" s="171">
        <v>1</v>
      </c>
      <c r="AM1013" s="171">
        <v>1</v>
      </c>
      <c r="AN1013" s="171">
        <v>1</v>
      </c>
      <c r="AO1013" s="171">
        <v>1</v>
      </c>
      <c r="AP1013" s="171">
        <v>1</v>
      </c>
      <c r="AQ1013" s="171">
        <v>1</v>
      </c>
      <c r="AR1013" s="171">
        <v>1</v>
      </c>
      <c r="AS1013" s="171">
        <v>1</v>
      </c>
      <c r="AT1013" s="171">
        <v>1</v>
      </c>
      <c r="AU1013" s="171">
        <f t="shared" si="391"/>
        <v>0</v>
      </c>
      <c r="AV1013" s="171">
        <f t="shared" si="392"/>
        <v>1</v>
      </c>
      <c r="AW1013" s="171">
        <f t="shared" si="393"/>
        <v>1</v>
      </c>
      <c r="AX1013" s="171">
        <f t="shared" si="401"/>
        <v>1</v>
      </c>
      <c r="AY1013" s="171">
        <f t="shared" si="394"/>
        <v>1</v>
      </c>
      <c r="AZ1013" s="171">
        <f t="shared" si="395"/>
        <v>1</v>
      </c>
      <c r="BA1013" s="172">
        <f t="shared" si="396"/>
        <v>1</v>
      </c>
      <c r="BB1013" s="175">
        <f t="shared" si="397"/>
        <v>18</v>
      </c>
      <c r="BC1013" s="176">
        <f t="shared" si="398"/>
        <v>17</v>
      </c>
      <c r="BD1013" s="176">
        <f t="shared" si="399"/>
        <v>18</v>
      </c>
      <c r="BE1013" s="240" t="str">
        <f t="shared" si="390"/>
        <v/>
      </c>
      <c r="BF1013" s="990"/>
      <c r="BG1013" s="990"/>
      <c r="BH1013" s="991">
        <f>IF(AND(Input_Product=Elig!$C1013,Elig_MatchAll_Ct&lt;22,$BC1013=(Elig_MatchAll_Ct-1),AF1013=0),C1013,0)</f>
        <v>0</v>
      </c>
      <c r="BI1013" s="991">
        <f>IF(AND(Input_Product=Elig!$C1013,Elig_MatchAll_Ct&lt;22,$BC1013=(Elig_MatchAll_Ct-1),AG1013=0),D1013,0)</f>
        <v>0</v>
      </c>
      <c r="BJ1013" s="991">
        <f>IF(AND(Input_Product=Elig!$C1013,Elig_MatchAll_Ct&lt;22,$BC1013=(Elig_MatchAll_Ct-1),AH1013=0),E1013,0)</f>
        <v>0</v>
      </c>
      <c r="BK1013" s="991">
        <f>IF(AND(Input_Product=Elig!$C1013,Elig_MatchAll_Ct&lt;22,$BC1013=(Elig_MatchAll_Ct-1),AI1013=0),F1013,0)</f>
        <v>0</v>
      </c>
      <c r="BL1013" s="991">
        <f>IF(AND(Input_Product=Elig!$C1013,Elig_MatchAll_Ct&lt;22,$BC1013=(Elig_MatchAll_Ct-1),AJ1013=0),G1013,0)</f>
        <v>0</v>
      </c>
      <c r="BM1013" s="991">
        <f>IF(AND(Input_Product=Elig!$C1013,Elig_MatchAll_Ct&lt;22,$BC1013=(Elig_MatchAll_Ct-1),AK1013=0),H1013,0)</f>
        <v>0</v>
      </c>
      <c r="BN1013" s="991">
        <f>IF(AND(Input_Product=Elig!$C1013,Elig_MatchAll_Ct&lt;22,$BC1013=(Elig_MatchAll_Ct-1),AL1013=0),I1013,0)</f>
        <v>0</v>
      </c>
      <c r="BO1013" s="991">
        <f>IF(AND(Input_Product=Elig!$C1013,Elig_MatchAll_Ct&lt;22,$BC1013=(Elig_MatchAll_Ct-1),AM1013=0),J1013,0)</f>
        <v>0</v>
      </c>
      <c r="BP1013" s="991">
        <f>IF(AND(Input_Product=Elig!$C1013,Elig_MatchAll_Ct&lt;22,$BC1013=(Elig_MatchAll_Ct-1),AN1013=0),K1013,0)</f>
        <v>0</v>
      </c>
      <c r="BQ1013" s="991">
        <f>IF(AND(Input_Product=Elig!$C1013,Elig_MatchAll_Ct&lt;22,$BC1013=(Elig_MatchAll_Ct-1),AP1013=0),L1013,0)</f>
        <v>0</v>
      </c>
      <c r="BR1013" s="991">
        <f>IF(AND(Input_Product=Elig!$C1013,Elig_MatchAll_Ct&lt;22,$BC1013=(Elig_MatchAll_Ct-1),AO1013=0),M1013,0)</f>
        <v>0</v>
      </c>
      <c r="BS1013" s="991">
        <f>IF(AND(Input_Product=Elig!$C1013,Elig_MatchAll_Ct&lt;22,$BC1013=(Elig_MatchAll_Ct-1),AQ1013=0),N1013,0)</f>
        <v>0</v>
      </c>
      <c r="BT1013" s="991">
        <f>IF(AND(Input_Product=Elig!$C1013,Elig_MatchAll_Ct&lt;22,$BC1013=(Elig_MatchAll_Ct-1),AR1013=0),O1013,0)</f>
        <v>0</v>
      </c>
      <c r="BU1013" s="991">
        <f>IF(AND(Input_Product=Elig!$C1013,Elig_MatchAll_Ct&lt;22,$BC1013=(Elig_MatchAll_Ct-1),AS1013=0),P1013,0)</f>
        <v>0</v>
      </c>
      <c r="BV1013" s="992">
        <f>IF(AND(Input_Product=Elig!$C1013,Elig_MatchAll_Ct&lt;22,$BC1013=(Elig_MatchAll_Ct-1),AT1013=0),Q1013,0)</f>
        <v>0</v>
      </c>
      <c r="BW1013" s="993">
        <f>IF(AND(Input_Product=Elig!$C1013,Elig_MatchAll_Ct&lt;22,$BC1013=(Elig_MatchAll_Ct-1),AU1013=0),R1013,0)</f>
        <v>0</v>
      </c>
      <c r="BX1013" s="994">
        <f>IF(AND(Input_Product=Elig!$C1013,Elig_MatchAll_Ct&lt;22,$BC1013=(Elig_MatchAll_Ct-1),AU1013=0),S1013,0)</f>
        <v>0</v>
      </c>
      <c r="BY1013" s="993">
        <f>IF(AND(Input_Product=Elig!$C1013,Elig_MatchAll_Ct&lt;22,$BC1013=(Elig_MatchAll_Ct-1),AV1013=0),T1013,0)</f>
        <v>0</v>
      </c>
      <c r="BZ1013" s="994">
        <f>IF(AND(Input_Product=Elig!$C1013,Elig_MatchAll_Ct&lt;22,$BC1013=(Elig_MatchAll_Ct-1),AV1013=0),U1013,0)</f>
        <v>0</v>
      </c>
      <c r="CA1013" s="993">
        <f>IF(AND(Input_Product=Elig!$C1013,Elig_MatchAll_Ct&lt;22,$BC1013=(Elig_MatchAll_Ct-1),AW1013=0),V1013,0)</f>
        <v>0</v>
      </c>
      <c r="CB1013" s="994">
        <f>IF(AND(Input_Product=Elig!$C1013,Elig_MatchAll_Ct&lt;22,$BC1013=(Elig_MatchAll_Ct-1),AW1013=0),W1013,0)</f>
        <v>0</v>
      </c>
      <c r="CC1013" s="993">
        <f>IF(AND(Input_Product=Elig!$C1013,Elig_MatchAll_Ct&lt;22,$BC1013=(Elig_MatchAll_Ct-1),AX1013=0),X1013,0)</f>
        <v>0</v>
      </c>
      <c r="CD1013" s="994">
        <f>IF(AND(Input_Product=Elig!$C1013,Elig_MatchAll_Ct&lt;22,$BC1013=(Elig_MatchAll_Ct-1),AX1013=0),Y1013,0)</f>
        <v>0</v>
      </c>
      <c r="CE1013" s="993">
        <f>IF(AND(Input_LTV&lt;=AE1013,Input_Product=Elig!$C1013,Elig_MatchAll_Ct&lt;22,$BC1013=(Elig_MatchAll_Ct-1),AY1013=0),Z1013,0)</f>
        <v>0</v>
      </c>
      <c r="CF1013" s="994">
        <f>IF(AND(Input_LTV&lt;=AE1013,Input_Product=Elig!$C1013,Elig_MatchAll_Ct&lt;22,$BC1013=(Elig_MatchAll_Ct-1),AY1013=0),AA1013,0)</f>
        <v>0</v>
      </c>
      <c r="CG1013" s="993">
        <f>IF(AND(Input_Product=Elig!$C1013,Elig_MatchAll_Ct&lt;22,$BC1013=(Elig_MatchAll_Ct-1),AZ1013=0),AB1013,0)</f>
        <v>0</v>
      </c>
      <c r="CH1013" s="994">
        <f>IF(AND(Input_Product=Elig!$C1013,Elig_MatchAll_Ct&lt;22,$BC1013=(Elig_MatchAll_Ct-1),AZ1013=0),AC1013,0)</f>
        <v>0</v>
      </c>
      <c r="CI1013" s="993">
        <f>IF(AND(Input_Product=Elig!$C1013,Elig_MatchAll_Ct&lt;22,$BC1013=(Elig_MatchAll_Ct-1),BA1013=0),AD1013,0)</f>
        <v>0</v>
      </c>
      <c r="CJ1013" s="994">
        <f>IF(AND(Input_Product=Elig!$C1013,Elig_MatchAll_Ct&lt;22,$BC1013=(Elig_MatchAll_Ct-1),BA1013=0),AE1013,0)</f>
        <v>0</v>
      </c>
    </row>
    <row r="1014" spans="2:88" ht="10.15" customHeight="1" x14ac:dyDescent="0.25">
      <c r="B1014" s="1916" t="s">
        <v>2350</v>
      </c>
      <c r="C1014" s="1208" t="str">
        <f t="shared" si="402"/>
        <v xml:space="preserve">  </v>
      </c>
      <c r="D1014" s="1209" t="s">
        <v>2218</v>
      </c>
      <c r="E1014" s="1209" t="s">
        <v>167</v>
      </c>
      <c r="F1014" s="1209" t="s">
        <v>331</v>
      </c>
      <c r="G1014" s="1210" t="s">
        <v>175</v>
      </c>
      <c r="H1014" s="1210" t="s">
        <v>446</v>
      </c>
      <c r="I1014" s="1209" t="s">
        <v>16</v>
      </c>
      <c r="J1014" s="1209" t="s">
        <v>1311</v>
      </c>
      <c r="K1014" s="1210" t="s">
        <v>3022</v>
      </c>
      <c r="L1014" s="1209" t="s">
        <v>2768</v>
      </c>
      <c r="M1014" s="1209" t="s">
        <v>2677</v>
      </c>
      <c r="N1014" s="1210" t="s">
        <v>82</v>
      </c>
      <c r="O1014" s="1209" t="s">
        <v>310</v>
      </c>
      <c r="P1014" s="1209" t="s">
        <v>291</v>
      </c>
      <c r="Q1014" s="1209" t="s">
        <v>294</v>
      </c>
      <c r="R1014" s="1209">
        <v>1500000.01</v>
      </c>
      <c r="S1014" s="1209">
        <v>2000000</v>
      </c>
      <c r="T1014" s="1209">
        <v>0</v>
      </c>
      <c r="U1014" s="1209">
        <f t="shared" si="400"/>
        <v>2000000</v>
      </c>
      <c r="V1014" s="1209">
        <v>0</v>
      </c>
      <c r="W1014" s="1209">
        <v>50</v>
      </c>
      <c r="X1014" s="1209">
        <v>0</v>
      </c>
      <c r="Y1014" s="1209">
        <v>999</v>
      </c>
      <c r="Z1014" s="1211">
        <v>700</v>
      </c>
      <c r="AA1014" s="1211">
        <v>719</v>
      </c>
      <c r="AB1014" s="1211">
        <v>6</v>
      </c>
      <c r="AC1014" s="1211">
        <v>999999</v>
      </c>
      <c r="AD1014" s="1209">
        <v>0</v>
      </c>
      <c r="AE1014" s="1212">
        <v>80</v>
      </c>
      <c r="AF1014" s="170">
        <v>0</v>
      </c>
      <c r="AG1014" s="171">
        <v>1</v>
      </c>
      <c r="AH1014" s="171">
        <v>1</v>
      </c>
      <c r="AI1014" s="171">
        <v>1</v>
      </c>
      <c r="AJ1014" s="171">
        <v>0</v>
      </c>
      <c r="AK1014" s="171">
        <v>0</v>
      </c>
      <c r="AL1014" s="171">
        <v>1</v>
      </c>
      <c r="AM1014" s="171">
        <v>1</v>
      </c>
      <c r="AN1014" s="171">
        <v>1</v>
      </c>
      <c r="AO1014" s="171">
        <v>1</v>
      </c>
      <c r="AP1014" s="171">
        <v>1</v>
      </c>
      <c r="AQ1014" s="171">
        <v>1</v>
      </c>
      <c r="AR1014" s="171">
        <v>1</v>
      </c>
      <c r="AS1014" s="171">
        <v>1</v>
      </c>
      <c r="AT1014" s="171">
        <v>1</v>
      </c>
      <c r="AU1014" s="171">
        <f t="shared" si="391"/>
        <v>0</v>
      </c>
      <c r="AV1014" s="171">
        <f t="shared" si="392"/>
        <v>1</v>
      </c>
      <c r="AW1014" s="171">
        <f t="shared" si="393"/>
        <v>1</v>
      </c>
      <c r="AX1014" s="171">
        <f t="shared" si="401"/>
        <v>1</v>
      </c>
      <c r="AY1014" s="171">
        <f t="shared" si="394"/>
        <v>0</v>
      </c>
      <c r="AZ1014" s="171">
        <f t="shared" si="395"/>
        <v>1</v>
      </c>
      <c r="BA1014" s="172">
        <f t="shared" si="396"/>
        <v>1</v>
      </c>
      <c r="BB1014" s="175">
        <f t="shared" si="397"/>
        <v>17</v>
      </c>
      <c r="BC1014" s="176">
        <f t="shared" si="398"/>
        <v>16</v>
      </c>
      <c r="BD1014" s="176">
        <f t="shared" si="399"/>
        <v>17</v>
      </c>
      <c r="BE1014" s="240" t="str">
        <f t="shared" si="390"/>
        <v/>
      </c>
      <c r="BF1014" s="990"/>
      <c r="BG1014" s="990"/>
      <c r="BH1014" s="991">
        <f>IF(AND(Input_Product=Elig!$C1014,Elig_MatchAll_Ct&lt;22,$BC1014=(Elig_MatchAll_Ct-1),AF1014=0),C1014,0)</f>
        <v>0</v>
      </c>
      <c r="BI1014" s="991">
        <f>IF(AND(Input_Product=Elig!$C1014,Elig_MatchAll_Ct&lt;22,$BC1014=(Elig_MatchAll_Ct-1),AG1014=0),D1014,0)</f>
        <v>0</v>
      </c>
      <c r="BJ1014" s="991">
        <f>IF(AND(Input_Product=Elig!$C1014,Elig_MatchAll_Ct&lt;22,$BC1014=(Elig_MatchAll_Ct-1),AH1014=0),E1014,0)</f>
        <v>0</v>
      </c>
      <c r="BK1014" s="991">
        <f>IF(AND(Input_Product=Elig!$C1014,Elig_MatchAll_Ct&lt;22,$BC1014=(Elig_MatchAll_Ct-1),AI1014=0),F1014,0)</f>
        <v>0</v>
      </c>
      <c r="BL1014" s="991">
        <f>IF(AND(Input_Product=Elig!$C1014,Elig_MatchAll_Ct&lt;22,$BC1014=(Elig_MatchAll_Ct-1),AJ1014=0),G1014,0)</f>
        <v>0</v>
      </c>
      <c r="BM1014" s="991">
        <f>IF(AND(Input_Product=Elig!$C1014,Elig_MatchAll_Ct&lt;22,$BC1014=(Elig_MatchAll_Ct-1),AK1014=0),H1014,0)</f>
        <v>0</v>
      </c>
      <c r="BN1014" s="991">
        <f>IF(AND(Input_Product=Elig!$C1014,Elig_MatchAll_Ct&lt;22,$BC1014=(Elig_MatchAll_Ct-1),AL1014=0),I1014,0)</f>
        <v>0</v>
      </c>
      <c r="BO1014" s="991">
        <f>IF(AND(Input_Product=Elig!$C1014,Elig_MatchAll_Ct&lt;22,$BC1014=(Elig_MatchAll_Ct-1),AM1014=0),J1014,0)</f>
        <v>0</v>
      </c>
      <c r="BP1014" s="991">
        <f>IF(AND(Input_Product=Elig!$C1014,Elig_MatchAll_Ct&lt;22,$BC1014=(Elig_MatchAll_Ct-1),AN1014=0),K1014,0)</f>
        <v>0</v>
      </c>
      <c r="BQ1014" s="991">
        <f>IF(AND(Input_Product=Elig!$C1014,Elig_MatchAll_Ct&lt;22,$BC1014=(Elig_MatchAll_Ct-1),AP1014=0),L1014,0)</f>
        <v>0</v>
      </c>
      <c r="BR1014" s="991">
        <f>IF(AND(Input_Product=Elig!$C1014,Elig_MatchAll_Ct&lt;22,$BC1014=(Elig_MatchAll_Ct-1),AO1014=0),M1014,0)</f>
        <v>0</v>
      </c>
      <c r="BS1014" s="991">
        <f>IF(AND(Input_Product=Elig!$C1014,Elig_MatchAll_Ct&lt;22,$BC1014=(Elig_MatchAll_Ct-1),AQ1014=0),N1014,0)</f>
        <v>0</v>
      </c>
      <c r="BT1014" s="991">
        <f>IF(AND(Input_Product=Elig!$C1014,Elig_MatchAll_Ct&lt;22,$BC1014=(Elig_MatchAll_Ct-1),AR1014=0),O1014,0)</f>
        <v>0</v>
      </c>
      <c r="BU1014" s="991">
        <f>IF(AND(Input_Product=Elig!$C1014,Elig_MatchAll_Ct&lt;22,$BC1014=(Elig_MatchAll_Ct-1),AS1014=0),P1014,0)</f>
        <v>0</v>
      </c>
      <c r="BV1014" s="992">
        <f>IF(AND(Input_Product=Elig!$C1014,Elig_MatchAll_Ct&lt;22,$BC1014=(Elig_MatchAll_Ct-1),AT1014=0),Q1014,0)</f>
        <v>0</v>
      </c>
      <c r="BW1014" s="993">
        <f>IF(AND(Input_Product=Elig!$C1014,Elig_MatchAll_Ct&lt;22,$BC1014=(Elig_MatchAll_Ct-1),AU1014=0),R1014,0)</f>
        <v>0</v>
      </c>
      <c r="BX1014" s="994">
        <f>IF(AND(Input_Product=Elig!$C1014,Elig_MatchAll_Ct&lt;22,$BC1014=(Elig_MatchAll_Ct-1),AU1014=0),S1014,0)</f>
        <v>0</v>
      </c>
      <c r="BY1014" s="993">
        <f>IF(AND(Input_Product=Elig!$C1014,Elig_MatchAll_Ct&lt;22,$BC1014=(Elig_MatchAll_Ct-1),AV1014=0),T1014,0)</f>
        <v>0</v>
      </c>
      <c r="BZ1014" s="994">
        <f>IF(AND(Input_Product=Elig!$C1014,Elig_MatchAll_Ct&lt;22,$BC1014=(Elig_MatchAll_Ct-1),AV1014=0),U1014,0)</f>
        <v>0</v>
      </c>
      <c r="CA1014" s="993">
        <f>IF(AND(Input_Product=Elig!$C1014,Elig_MatchAll_Ct&lt;22,$BC1014=(Elig_MatchAll_Ct-1),AW1014=0),V1014,0)</f>
        <v>0</v>
      </c>
      <c r="CB1014" s="994">
        <f>IF(AND(Input_Product=Elig!$C1014,Elig_MatchAll_Ct&lt;22,$BC1014=(Elig_MatchAll_Ct-1),AW1014=0),W1014,0)</f>
        <v>0</v>
      </c>
      <c r="CC1014" s="993">
        <f>IF(AND(Input_Product=Elig!$C1014,Elig_MatchAll_Ct&lt;22,$BC1014=(Elig_MatchAll_Ct-1),AX1014=0),X1014,0)</f>
        <v>0</v>
      </c>
      <c r="CD1014" s="994">
        <f>IF(AND(Input_Product=Elig!$C1014,Elig_MatchAll_Ct&lt;22,$BC1014=(Elig_MatchAll_Ct-1),AX1014=0),Y1014,0)</f>
        <v>0</v>
      </c>
      <c r="CE1014" s="993">
        <f>IF(AND(Input_LTV&lt;=AE1014,Input_Product=Elig!$C1014,Elig_MatchAll_Ct&lt;22,$BC1014=(Elig_MatchAll_Ct-1),AY1014=0),Z1014,0)</f>
        <v>0</v>
      </c>
      <c r="CF1014" s="994">
        <f>IF(AND(Input_LTV&lt;=AE1014,Input_Product=Elig!$C1014,Elig_MatchAll_Ct&lt;22,$BC1014=(Elig_MatchAll_Ct-1),AY1014=0),AA1014,0)</f>
        <v>0</v>
      </c>
      <c r="CG1014" s="993">
        <f>IF(AND(Input_Product=Elig!$C1014,Elig_MatchAll_Ct&lt;22,$BC1014=(Elig_MatchAll_Ct-1),AZ1014=0),AB1014,0)</f>
        <v>0</v>
      </c>
      <c r="CH1014" s="994">
        <f>IF(AND(Input_Product=Elig!$C1014,Elig_MatchAll_Ct&lt;22,$BC1014=(Elig_MatchAll_Ct-1),AZ1014=0),AC1014,0)</f>
        <v>0</v>
      </c>
      <c r="CI1014" s="993">
        <f>IF(AND(Input_Product=Elig!$C1014,Elig_MatchAll_Ct&lt;22,$BC1014=(Elig_MatchAll_Ct-1),BA1014=0),AD1014,0)</f>
        <v>0</v>
      </c>
      <c r="CJ1014" s="994">
        <f>IF(AND(Input_Product=Elig!$C1014,Elig_MatchAll_Ct&lt;22,$BC1014=(Elig_MatchAll_Ct-1),BA1014=0),AE1014,0)</f>
        <v>0</v>
      </c>
    </row>
    <row r="1015" spans="2:88" ht="10.15" customHeight="1" x14ac:dyDescent="0.25">
      <c r="B1015" s="1916" t="s">
        <v>2351</v>
      </c>
      <c r="C1015" s="1208" t="str">
        <f t="shared" si="402"/>
        <v xml:space="preserve">  </v>
      </c>
      <c r="D1015" s="1209" t="s">
        <v>2218</v>
      </c>
      <c r="E1015" s="1209" t="s">
        <v>167</v>
      </c>
      <c r="F1015" s="1209" t="s">
        <v>331</v>
      </c>
      <c r="G1015" s="1210" t="s">
        <v>175</v>
      </c>
      <c r="H1015" s="1210" t="s">
        <v>446</v>
      </c>
      <c r="I1015" s="1209" t="s">
        <v>16</v>
      </c>
      <c r="J1015" s="1209" t="s">
        <v>1311</v>
      </c>
      <c r="K1015" s="1210" t="s">
        <v>3022</v>
      </c>
      <c r="L1015" s="1209" t="s">
        <v>2768</v>
      </c>
      <c r="M1015" s="1209" t="s">
        <v>2677</v>
      </c>
      <c r="N1015" s="1210" t="s">
        <v>82</v>
      </c>
      <c r="O1015" s="1209" t="s">
        <v>310</v>
      </c>
      <c r="P1015" s="1209" t="s">
        <v>291</v>
      </c>
      <c r="Q1015" s="1209" t="s">
        <v>294</v>
      </c>
      <c r="R1015" s="1209">
        <v>1500000.01</v>
      </c>
      <c r="S1015" s="1209">
        <v>2000000</v>
      </c>
      <c r="T1015" s="1209">
        <v>0</v>
      </c>
      <c r="U1015" s="1209">
        <f t="shared" si="400"/>
        <v>2000000</v>
      </c>
      <c r="V1015" s="1209">
        <v>0</v>
      </c>
      <c r="W1015" s="1209">
        <v>50</v>
      </c>
      <c r="X1015" s="1209">
        <v>0</v>
      </c>
      <c r="Y1015" s="1209">
        <v>999</v>
      </c>
      <c r="Z1015" s="1211">
        <v>680</v>
      </c>
      <c r="AA1015" s="1211">
        <v>699</v>
      </c>
      <c r="AB1015" s="1211">
        <v>6</v>
      </c>
      <c r="AC1015" s="1211">
        <v>999999</v>
      </c>
      <c r="AD1015" s="1209">
        <v>0</v>
      </c>
      <c r="AE1015" s="1212">
        <v>75</v>
      </c>
      <c r="AF1015" s="170">
        <v>0</v>
      </c>
      <c r="AG1015" s="171">
        <v>1</v>
      </c>
      <c r="AH1015" s="171">
        <v>1</v>
      </c>
      <c r="AI1015" s="171">
        <v>1</v>
      </c>
      <c r="AJ1015" s="171">
        <v>0</v>
      </c>
      <c r="AK1015" s="171">
        <v>0</v>
      </c>
      <c r="AL1015" s="171">
        <v>1</v>
      </c>
      <c r="AM1015" s="171">
        <v>1</v>
      </c>
      <c r="AN1015" s="171">
        <v>1</v>
      </c>
      <c r="AO1015" s="171">
        <v>1</v>
      </c>
      <c r="AP1015" s="171">
        <v>1</v>
      </c>
      <c r="AQ1015" s="171">
        <v>1</v>
      </c>
      <c r="AR1015" s="171">
        <v>1</v>
      </c>
      <c r="AS1015" s="171">
        <v>1</v>
      </c>
      <c r="AT1015" s="171">
        <v>1</v>
      </c>
      <c r="AU1015" s="171">
        <f t="shared" si="391"/>
        <v>0</v>
      </c>
      <c r="AV1015" s="171">
        <f t="shared" si="392"/>
        <v>1</v>
      </c>
      <c r="AW1015" s="171">
        <f t="shared" si="393"/>
        <v>1</v>
      </c>
      <c r="AX1015" s="171">
        <f t="shared" si="401"/>
        <v>1</v>
      </c>
      <c r="AY1015" s="171">
        <f t="shared" si="394"/>
        <v>0</v>
      </c>
      <c r="AZ1015" s="171">
        <f t="shared" si="395"/>
        <v>1</v>
      </c>
      <c r="BA1015" s="172">
        <f t="shared" si="396"/>
        <v>1</v>
      </c>
      <c r="BB1015" s="175">
        <f t="shared" si="397"/>
        <v>17</v>
      </c>
      <c r="BC1015" s="176">
        <f t="shared" si="398"/>
        <v>16</v>
      </c>
      <c r="BD1015" s="176">
        <f t="shared" si="399"/>
        <v>17</v>
      </c>
      <c r="BE1015" s="240" t="str">
        <f t="shared" si="390"/>
        <v/>
      </c>
      <c r="BF1015" s="990"/>
      <c r="BG1015" s="990"/>
      <c r="BH1015" s="991">
        <f>IF(AND(Input_Product=Elig!$C1015,Elig_MatchAll_Ct&lt;22,$BC1015=(Elig_MatchAll_Ct-1),AF1015=0),C1015,0)</f>
        <v>0</v>
      </c>
      <c r="BI1015" s="991">
        <f>IF(AND(Input_Product=Elig!$C1015,Elig_MatchAll_Ct&lt;22,$BC1015=(Elig_MatchAll_Ct-1),AG1015=0),D1015,0)</f>
        <v>0</v>
      </c>
      <c r="BJ1015" s="991">
        <f>IF(AND(Input_Product=Elig!$C1015,Elig_MatchAll_Ct&lt;22,$BC1015=(Elig_MatchAll_Ct-1),AH1015=0),E1015,0)</f>
        <v>0</v>
      </c>
      <c r="BK1015" s="991">
        <f>IF(AND(Input_Product=Elig!$C1015,Elig_MatchAll_Ct&lt;22,$BC1015=(Elig_MatchAll_Ct-1),AI1015=0),F1015,0)</f>
        <v>0</v>
      </c>
      <c r="BL1015" s="991">
        <f>IF(AND(Input_Product=Elig!$C1015,Elig_MatchAll_Ct&lt;22,$BC1015=(Elig_MatchAll_Ct-1),AJ1015=0),G1015,0)</f>
        <v>0</v>
      </c>
      <c r="BM1015" s="991">
        <f>IF(AND(Input_Product=Elig!$C1015,Elig_MatchAll_Ct&lt;22,$BC1015=(Elig_MatchAll_Ct-1),AK1015=0),H1015,0)</f>
        <v>0</v>
      </c>
      <c r="BN1015" s="991">
        <f>IF(AND(Input_Product=Elig!$C1015,Elig_MatchAll_Ct&lt;22,$BC1015=(Elig_MatchAll_Ct-1),AL1015=0),I1015,0)</f>
        <v>0</v>
      </c>
      <c r="BO1015" s="991">
        <f>IF(AND(Input_Product=Elig!$C1015,Elig_MatchAll_Ct&lt;22,$BC1015=(Elig_MatchAll_Ct-1),AM1015=0),J1015,0)</f>
        <v>0</v>
      </c>
      <c r="BP1015" s="991">
        <f>IF(AND(Input_Product=Elig!$C1015,Elig_MatchAll_Ct&lt;22,$BC1015=(Elig_MatchAll_Ct-1),AN1015=0),K1015,0)</f>
        <v>0</v>
      </c>
      <c r="BQ1015" s="991">
        <f>IF(AND(Input_Product=Elig!$C1015,Elig_MatchAll_Ct&lt;22,$BC1015=(Elig_MatchAll_Ct-1),AP1015=0),L1015,0)</f>
        <v>0</v>
      </c>
      <c r="BR1015" s="991">
        <f>IF(AND(Input_Product=Elig!$C1015,Elig_MatchAll_Ct&lt;22,$BC1015=(Elig_MatchAll_Ct-1),AO1015=0),M1015,0)</f>
        <v>0</v>
      </c>
      <c r="BS1015" s="991">
        <f>IF(AND(Input_Product=Elig!$C1015,Elig_MatchAll_Ct&lt;22,$BC1015=(Elig_MatchAll_Ct-1),AQ1015=0),N1015,0)</f>
        <v>0</v>
      </c>
      <c r="BT1015" s="991">
        <f>IF(AND(Input_Product=Elig!$C1015,Elig_MatchAll_Ct&lt;22,$BC1015=(Elig_MatchAll_Ct-1),AR1015=0),O1015,0)</f>
        <v>0</v>
      </c>
      <c r="BU1015" s="991">
        <f>IF(AND(Input_Product=Elig!$C1015,Elig_MatchAll_Ct&lt;22,$BC1015=(Elig_MatchAll_Ct-1),AS1015=0),P1015,0)</f>
        <v>0</v>
      </c>
      <c r="BV1015" s="992">
        <f>IF(AND(Input_Product=Elig!$C1015,Elig_MatchAll_Ct&lt;22,$BC1015=(Elig_MatchAll_Ct-1),AT1015=0),Q1015,0)</f>
        <v>0</v>
      </c>
      <c r="BW1015" s="993">
        <f>IF(AND(Input_Product=Elig!$C1015,Elig_MatchAll_Ct&lt;22,$BC1015=(Elig_MatchAll_Ct-1),AU1015=0),R1015,0)</f>
        <v>0</v>
      </c>
      <c r="BX1015" s="994">
        <f>IF(AND(Input_Product=Elig!$C1015,Elig_MatchAll_Ct&lt;22,$BC1015=(Elig_MatchAll_Ct-1),AU1015=0),S1015,0)</f>
        <v>0</v>
      </c>
      <c r="BY1015" s="993">
        <f>IF(AND(Input_Product=Elig!$C1015,Elig_MatchAll_Ct&lt;22,$BC1015=(Elig_MatchAll_Ct-1),AV1015=0),T1015,0)</f>
        <v>0</v>
      </c>
      <c r="BZ1015" s="994">
        <f>IF(AND(Input_Product=Elig!$C1015,Elig_MatchAll_Ct&lt;22,$BC1015=(Elig_MatchAll_Ct-1),AV1015=0),U1015,0)</f>
        <v>0</v>
      </c>
      <c r="CA1015" s="993">
        <f>IF(AND(Input_Product=Elig!$C1015,Elig_MatchAll_Ct&lt;22,$BC1015=(Elig_MatchAll_Ct-1),AW1015=0),V1015,0)</f>
        <v>0</v>
      </c>
      <c r="CB1015" s="994">
        <f>IF(AND(Input_Product=Elig!$C1015,Elig_MatchAll_Ct&lt;22,$BC1015=(Elig_MatchAll_Ct-1),AW1015=0),W1015,0)</f>
        <v>0</v>
      </c>
      <c r="CC1015" s="993">
        <f>IF(AND(Input_Product=Elig!$C1015,Elig_MatchAll_Ct&lt;22,$BC1015=(Elig_MatchAll_Ct-1),AX1015=0),X1015,0)</f>
        <v>0</v>
      </c>
      <c r="CD1015" s="994">
        <f>IF(AND(Input_Product=Elig!$C1015,Elig_MatchAll_Ct&lt;22,$BC1015=(Elig_MatchAll_Ct-1),AX1015=0),Y1015,0)</f>
        <v>0</v>
      </c>
      <c r="CE1015" s="993">
        <f>IF(AND(Input_LTV&lt;=AE1015,Input_Product=Elig!$C1015,Elig_MatchAll_Ct&lt;22,$BC1015=(Elig_MatchAll_Ct-1),AY1015=0),Z1015,0)</f>
        <v>0</v>
      </c>
      <c r="CF1015" s="994">
        <f>IF(AND(Input_LTV&lt;=AE1015,Input_Product=Elig!$C1015,Elig_MatchAll_Ct&lt;22,$BC1015=(Elig_MatchAll_Ct-1),AY1015=0),AA1015,0)</f>
        <v>0</v>
      </c>
      <c r="CG1015" s="993">
        <f>IF(AND(Input_Product=Elig!$C1015,Elig_MatchAll_Ct&lt;22,$BC1015=(Elig_MatchAll_Ct-1),AZ1015=0),AB1015,0)</f>
        <v>0</v>
      </c>
      <c r="CH1015" s="994">
        <f>IF(AND(Input_Product=Elig!$C1015,Elig_MatchAll_Ct&lt;22,$BC1015=(Elig_MatchAll_Ct-1),AZ1015=0),AC1015,0)</f>
        <v>0</v>
      </c>
      <c r="CI1015" s="993">
        <f>IF(AND(Input_Product=Elig!$C1015,Elig_MatchAll_Ct&lt;22,$BC1015=(Elig_MatchAll_Ct-1),BA1015=0),AD1015,0)</f>
        <v>0</v>
      </c>
      <c r="CJ1015" s="994">
        <f>IF(AND(Input_Product=Elig!$C1015,Elig_MatchAll_Ct&lt;22,$BC1015=(Elig_MatchAll_Ct-1),BA1015=0),AE1015,0)</f>
        <v>0</v>
      </c>
    </row>
    <row r="1016" spans="2:88" ht="10.15" customHeight="1" x14ac:dyDescent="0.25">
      <c r="B1016" s="1916" t="s">
        <v>2352</v>
      </c>
      <c r="C1016" s="1213" t="str">
        <f t="shared" si="402"/>
        <v xml:space="preserve">  </v>
      </c>
      <c r="D1016" s="1214" t="s">
        <v>2218</v>
      </c>
      <c r="E1016" s="1214" t="s">
        <v>167</v>
      </c>
      <c r="F1016" s="1214" t="s">
        <v>331</v>
      </c>
      <c r="G1016" s="1215" t="s">
        <v>175</v>
      </c>
      <c r="H1016" s="1215" t="s">
        <v>446</v>
      </c>
      <c r="I1016" s="1214" t="s">
        <v>16</v>
      </c>
      <c r="J1016" s="1214" t="s">
        <v>1311</v>
      </c>
      <c r="K1016" s="1215" t="s">
        <v>3022</v>
      </c>
      <c r="L1016" s="1214" t="s">
        <v>2768</v>
      </c>
      <c r="M1016" s="1214" t="s">
        <v>2677</v>
      </c>
      <c r="N1016" s="1215" t="s">
        <v>82</v>
      </c>
      <c r="O1016" s="1214" t="s">
        <v>310</v>
      </c>
      <c r="P1016" s="1214" t="s">
        <v>291</v>
      </c>
      <c r="Q1016" s="1214" t="s">
        <v>294</v>
      </c>
      <c r="R1016" s="1214">
        <v>1500000.01</v>
      </c>
      <c r="S1016" s="1214">
        <v>2000000</v>
      </c>
      <c r="T1016" s="1214">
        <v>0</v>
      </c>
      <c r="U1016" s="1214">
        <f t="shared" si="400"/>
        <v>2000000</v>
      </c>
      <c r="V1016" s="1214">
        <v>0</v>
      </c>
      <c r="W1016" s="1214">
        <v>50</v>
      </c>
      <c r="X1016" s="1214">
        <v>0</v>
      </c>
      <c r="Y1016" s="1214">
        <v>999</v>
      </c>
      <c r="Z1016" s="1216">
        <v>660</v>
      </c>
      <c r="AA1016" s="1216">
        <v>679</v>
      </c>
      <c r="AB1016" s="1216">
        <v>6</v>
      </c>
      <c r="AC1016" s="1216">
        <v>999999</v>
      </c>
      <c r="AD1016" s="1214">
        <v>0</v>
      </c>
      <c r="AE1016" s="1217">
        <v>70</v>
      </c>
      <c r="AF1016" s="170">
        <v>0</v>
      </c>
      <c r="AG1016" s="171">
        <v>1</v>
      </c>
      <c r="AH1016" s="171">
        <v>1</v>
      </c>
      <c r="AI1016" s="171">
        <v>1</v>
      </c>
      <c r="AJ1016" s="171">
        <v>0</v>
      </c>
      <c r="AK1016" s="171">
        <v>0</v>
      </c>
      <c r="AL1016" s="171">
        <v>1</v>
      </c>
      <c r="AM1016" s="171">
        <v>1</v>
      </c>
      <c r="AN1016" s="171">
        <v>1</v>
      </c>
      <c r="AO1016" s="171">
        <v>1</v>
      </c>
      <c r="AP1016" s="171">
        <v>1</v>
      </c>
      <c r="AQ1016" s="171">
        <v>1</v>
      </c>
      <c r="AR1016" s="171">
        <v>1</v>
      </c>
      <c r="AS1016" s="171">
        <v>1</v>
      </c>
      <c r="AT1016" s="171">
        <v>1</v>
      </c>
      <c r="AU1016" s="171">
        <f t="shared" si="391"/>
        <v>0</v>
      </c>
      <c r="AV1016" s="171">
        <f t="shared" si="392"/>
        <v>1</v>
      </c>
      <c r="AW1016" s="171">
        <f t="shared" si="393"/>
        <v>1</v>
      </c>
      <c r="AX1016" s="171">
        <f t="shared" si="401"/>
        <v>1</v>
      </c>
      <c r="AY1016" s="171">
        <f t="shared" si="394"/>
        <v>0</v>
      </c>
      <c r="AZ1016" s="171">
        <f t="shared" si="395"/>
        <v>1</v>
      </c>
      <c r="BA1016" s="172">
        <f t="shared" si="396"/>
        <v>1</v>
      </c>
      <c r="BB1016" s="175">
        <f t="shared" si="397"/>
        <v>17</v>
      </c>
      <c r="BC1016" s="176">
        <f t="shared" si="398"/>
        <v>16</v>
      </c>
      <c r="BD1016" s="176">
        <f t="shared" si="399"/>
        <v>17</v>
      </c>
      <c r="BE1016" s="240" t="str">
        <f t="shared" si="390"/>
        <v/>
      </c>
      <c r="BF1016" s="990"/>
      <c r="BG1016" s="990"/>
      <c r="BH1016" s="991">
        <f>IF(AND(Input_Product=Elig!$C1016,Elig_MatchAll_Ct&lt;22,$BC1016=(Elig_MatchAll_Ct-1),AF1016=0),C1016,0)</f>
        <v>0</v>
      </c>
      <c r="BI1016" s="991">
        <f>IF(AND(Input_Product=Elig!$C1016,Elig_MatchAll_Ct&lt;22,$BC1016=(Elig_MatchAll_Ct-1),AG1016=0),D1016,0)</f>
        <v>0</v>
      </c>
      <c r="BJ1016" s="991">
        <f>IF(AND(Input_Product=Elig!$C1016,Elig_MatchAll_Ct&lt;22,$BC1016=(Elig_MatchAll_Ct-1),AH1016=0),E1016,0)</f>
        <v>0</v>
      </c>
      <c r="BK1016" s="991">
        <f>IF(AND(Input_Product=Elig!$C1016,Elig_MatchAll_Ct&lt;22,$BC1016=(Elig_MatchAll_Ct-1),AI1016=0),F1016,0)</f>
        <v>0</v>
      </c>
      <c r="BL1016" s="991">
        <f>IF(AND(Input_Product=Elig!$C1016,Elig_MatchAll_Ct&lt;22,$BC1016=(Elig_MatchAll_Ct-1),AJ1016=0),G1016,0)</f>
        <v>0</v>
      </c>
      <c r="BM1016" s="991">
        <f>IF(AND(Input_Product=Elig!$C1016,Elig_MatchAll_Ct&lt;22,$BC1016=(Elig_MatchAll_Ct-1),AK1016=0),H1016,0)</f>
        <v>0</v>
      </c>
      <c r="BN1016" s="991">
        <f>IF(AND(Input_Product=Elig!$C1016,Elig_MatchAll_Ct&lt;22,$BC1016=(Elig_MatchAll_Ct-1),AL1016=0),I1016,0)</f>
        <v>0</v>
      </c>
      <c r="BO1016" s="991">
        <f>IF(AND(Input_Product=Elig!$C1016,Elig_MatchAll_Ct&lt;22,$BC1016=(Elig_MatchAll_Ct-1),AM1016=0),J1016,0)</f>
        <v>0</v>
      </c>
      <c r="BP1016" s="991">
        <f>IF(AND(Input_Product=Elig!$C1016,Elig_MatchAll_Ct&lt;22,$BC1016=(Elig_MatchAll_Ct-1),AN1016=0),K1016,0)</f>
        <v>0</v>
      </c>
      <c r="BQ1016" s="991">
        <f>IF(AND(Input_Product=Elig!$C1016,Elig_MatchAll_Ct&lt;22,$BC1016=(Elig_MatchAll_Ct-1),AP1016=0),L1016,0)</f>
        <v>0</v>
      </c>
      <c r="BR1016" s="991">
        <f>IF(AND(Input_Product=Elig!$C1016,Elig_MatchAll_Ct&lt;22,$BC1016=(Elig_MatchAll_Ct-1),AO1016=0),M1016,0)</f>
        <v>0</v>
      </c>
      <c r="BS1016" s="991">
        <f>IF(AND(Input_Product=Elig!$C1016,Elig_MatchAll_Ct&lt;22,$BC1016=(Elig_MatchAll_Ct-1),AQ1016=0),N1016,0)</f>
        <v>0</v>
      </c>
      <c r="BT1016" s="991">
        <f>IF(AND(Input_Product=Elig!$C1016,Elig_MatchAll_Ct&lt;22,$BC1016=(Elig_MatchAll_Ct-1),AR1016=0),O1016,0)</f>
        <v>0</v>
      </c>
      <c r="BU1016" s="991">
        <f>IF(AND(Input_Product=Elig!$C1016,Elig_MatchAll_Ct&lt;22,$BC1016=(Elig_MatchAll_Ct-1),AS1016=0),P1016,0)</f>
        <v>0</v>
      </c>
      <c r="BV1016" s="992">
        <f>IF(AND(Input_Product=Elig!$C1016,Elig_MatchAll_Ct&lt;22,$BC1016=(Elig_MatchAll_Ct-1),AT1016=0),Q1016,0)</f>
        <v>0</v>
      </c>
      <c r="BW1016" s="993">
        <f>IF(AND(Input_Product=Elig!$C1016,Elig_MatchAll_Ct&lt;22,$BC1016=(Elig_MatchAll_Ct-1),AU1016=0),R1016,0)</f>
        <v>0</v>
      </c>
      <c r="BX1016" s="994">
        <f>IF(AND(Input_Product=Elig!$C1016,Elig_MatchAll_Ct&lt;22,$BC1016=(Elig_MatchAll_Ct-1),AU1016=0),S1016,0)</f>
        <v>0</v>
      </c>
      <c r="BY1016" s="993">
        <f>IF(AND(Input_Product=Elig!$C1016,Elig_MatchAll_Ct&lt;22,$BC1016=(Elig_MatchAll_Ct-1),AV1016=0),T1016,0)</f>
        <v>0</v>
      </c>
      <c r="BZ1016" s="994">
        <f>IF(AND(Input_Product=Elig!$C1016,Elig_MatchAll_Ct&lt;22,$BC1016=(Elig_MatchAll_Ct-1),AV1016=0),U1016,0)</f>
        <v>0</v>
      </c>
      <c r="CA1016" s="993">
        <f>IF(AND(Input_Product=Elig!$C1016,Elig_MatchAll_Ct&lt;22,$BC1016=(Elig_MatchAll_Ct-1),AW1016=0),V1016,0)</f>
        <v>0</v>
      </c>
      <c r="CB1016" s="994">
        <f>IF(AND(Input_Product=Elig!$C1016,Elig_MatchAll_Ct&lt;22,$BC1016=(Elig_MatchAll_Ct-1),AW1016=0),W1016,0)</f>
        <v>0</v>
      </c>
      <c r="CC1016" s="993">
        <f>IF(AND(Input_Product=Elig!$C1016,Elig_MatchAll_Ct&lt;22,$BC1016=(Elig_MatchAll_Ct-1),AX1016=0),X1016,0)</f>
        <v>0</v>
      </c>
      <c r="CD1016" s="994">
        <f>IF(AND(Input_Product=Elig!$C1016,Elig_MatchAll_Ct&lt;22,$BC1016=(Elig_MatchAll_Ct-1),AX1016=0),Y1016,0)</f>
        <v>0</v>
      </c>
      <c r="CE1016" s="993">
        <f>IF(AND(Input_LTV&lt;=AE1016,Input_Product=Elig!$C1016,Elig_MatchAll_Ct&lt;22,$BC1016=(Elig_MatchAll_Ct-1),AY1016=0),Z1016,0)</f>
        <v>0</v>
      </c>
      <c r="CF1016" s="994">
        <f>IF(AND(Input_LTV&lt;=AE1016,Input_Product=Elig!$C1016,Elig_MatchAll_Ct&lt;22,$BC1016=(Elig_MatchAll_Ct-1),AY1016=0),AA1016,0)</f>
        <v>0</v>
      </c>
      <c r="CG1016" s="993">
        <f>IF(AND(Input_Product=Elig!$C1016,Elig_MatchAll_Ct&lt;22,$BC1016=(Elig_MatchAll_Ct-1),AZ1016=0),AB1016,0)</f>
        <v>0</v>
      </c>
      <c r="CH1016" s="994">
        <f>IF(AND(Input_Product=Elig!$C1016,Elig_MatchAll_Ct&lt;22,$BC1016=(Elig_MatchAll_Ct-1),AZ1016=0),AC1016,0)</f>
        <v>0</v>
      </c>
      <c r="CI1016" s="993">
        <f>IF(AND(Input_Product=Elig!$C1016,Elig_MatchAll_Ct&lt;22,$BC1016=(Elig_MatchAll_Ct-1),BA1016=0),AD1016,0)</f>
        <v>0</v>
      </c>
      <c r="CJ1016" s="994">
        <f>IF(AND(Input_Product=Elig!$C1016,Elig_MatchAll_Ct&lt;22,$BC1016=(Elig_MatchAll_Ct-1),BA1016=0),AE1016,0)</f>
        <v>0</v>
      </c>
    </row>
    <row r="1017" spans="2:88" ht="10.15" customHeight="1" x14ac:dyDescent="0.25">
      <c r="B1017" s="1916" t="s">
        <v>2353</v>
      </c>
      <c r="C1017" s="1203" t="str">
        <f t="shared" si="402"/>
        <v xml:space="preserve">  </v>
      </c>
      <c r="D1017" s="1204" t="s">
        <v>2218</v>
      </c>
      <c r="E1017" s="1204" t="s">
        <v>167</v>
      </c>
      <c r="F1017" s="1204" t="s">
        <v>331</v>
      </c>
      <c r="G1017" s="1205" t="s">
        <v>175</v>
      </c>
      <c r="H1017" s="1205" t="s">
        <v>446</v>
      </c>
      <c r="I1017" s="1204" t="s">
        <v>16</v>
      </c>
      <c r="J1017" s="1204" t="s">
        <v>1311</v>
      </c>
      <c r="K1017" s="1205" t="s">
        <v>3022</v>
      </c>
      <c r="L1017" s="1204" t="s">
        <v>2768</v>
      </c>
      <c r="M1017" s="1204" t="s">
        <v>2677</v>
      </c>
      <c r="N1017" s="1205" t="s">
        <v>82</v>
      </c>
      <c r="O1017" s="1204" t="s">
        <v>310</v>
      </c>
      <c r="P1017" s="1204" t="s">
        <v>291</v>
      </c>
      <c r="Q1017" s="1204" t="s">
        <v>294</v>
      </c>
      <c r="R1017" s="1204">
        <v>2000000.01</v>
      </c>
      <c r="S1017" s="1204">
        <v>2500000</v>
      </c>
      <c r="T1017" s="1204">
        <v>0</v>
      </c>
      <c r="U1017" s="1204">
        <f t="shared" si="400"/>
        <v>2500000</v>
      </c>
      <c r="V1017" s="1204">
        <v>0</v>
      </c>
      <c r="W1017" s="1204">
        <v>50</v>
      </c>
      <c r="X1017" s="1204">
        <v>0</v>
      </c>
      <c r="Y1017" s="1204">
        <v>999</v>
      </c>
      <c r="Z1017" s="1206">
        <v>720</v>
      </c>
      <c r="AA1017" s="1206">
        <v>999</v>
      </c>
      <c r="AB1017" s="1206">
        <v>6</v>
      </c>
      <c r="AC1017" s="1206">
        <v>999999</v>
      </c>
      <c r="AD1017" s="1204">
        <v>0</v>
      </c>
      <c r="AE1017" s="1207">
        <v>80</v>
      </c>
      <c r="AF1017" s="170">
        <v>0</v>
      </c>
      <c r="AG1017" s="171">
        <v>1</v>
      </c>
      <c r="AH1017" s="171">
        <v>1</v>
      </c>
      <c r="AI1017" s="171">
        <v>1</v>
      </c>
      <c r="AJ1017" s="171">
        <v>0</v>
      </c>
      <c r="AK1017" s="171">
        <v>0</v>
      </c>
      <c r="AL1017" s="171">
        <v>1</v>
      </c>
      <c r="AM1017" s="171">
        <v>1</v>
      </c>
      <c r="AN1017" s="171">
        <v>1</v>
      </c>
      <c r="AO1017" s="171">
        <v>1</v>
      </c>
      <c r="AP1017" s="171">
        <v>1</v>
      </c>
      <c r="AQ1017" s="171">
        <v>1</v>
      </c>
      <c r="AR1017" s="171">
        <v>1</v>
      </c>
      <c r="AS1017" s="171">
        <v>1</v>
      </c>
      <c r="AT1017" s="171">
        <v>1</v>
      </c>
      <c r="AU1017" s="171">
        <f t="shared" si="391"/>
        <v>0</v>
      </c>
      <c r="AV1017" s="171">
        <f t="shared" si="392"/>
        <v>1</v>
      </c>
      <c r="AW1017" s="171">
        <f t="shared" si="393"/>
        <v>1</v>
      </c>
      <c r="AX1017" s="171">
        <f t="shared" si="401"/>
        <v>1</v>
      </c>
      <c r="AY1017" s="171">
        <f t="shared" si="394"/>
        <v>1</v>
      </c>
      <c r="AZ1017" s="171">
        <f t="shared" si="395"/>
        <v>1</v>
      </c>
      <c r="BA1017" s="172">
        <f t="shared" si="396"/>
        <v>1</v>
      </c>
      <c r="BB1017" s="175">
        <f t="shared" si="397"/>
        <v>18</v>
      </c>
      <c r="BC1017" s="176">
        <f t="shared" si="398"/>
        <v>17</v>
      </c>
      <c r="BD1017" s="176">
        <f t="shared" si="399"/>
        <v>18</v>
      </c>
      <c r="BE1017" s="240" t="str">
        <f t="shared" si="390"/>
        <v/>
      </c>
      <c r="BF1017" s="990"/>
      <c r="BG1017" s="990"/>
      <c r="BH1017" s="991">
        <f>IF(AND(Input_Product=Elig!$C1017,Elig_MatchAll_Ct&lt;22,$BC1017=(Elig_MatchAll_Ct-1),AF1017=0),C1017,0)</f>
        <v>0</v>
      </c>
      <c r="BI1017" s="991">
        <f>IF(AND(Input_Product=Elig!$C1017,Elig_MatchAll_Ct&lt;22,$BC1017=(Elig_MatchAll_Ct-1),AG1017=0),D1017,0)</f>
        <v>0</v>
      </c>
      <c r="BJ1017" s="991">
        <f>IF(AND(Input_Product=Elig!$C1017,Elig_MatchAll_Ct&lt;22,$BC1017=(Elig_MatchAll_Ct-1),AH1017=0),E1017,0)</f>
        <v>0</v>
      </c>
      <c r="BK1017" s="991">
        <f>IF(AND(Input_Product=Elig!$C1017,Elig_MatchAll_Ct&lt;22,$BC1017=(Elig_MatchAll_Ct-1),AI1017=0),F1017,0)</f>
        <v>0</v>
      </c>
      <c r="BL1017" s="991">
        <f>IF(AND(Input_Product=Elig!$C1017,Elig_MatchAll_Ct&lt;22,$BC1017=(Elig_MatchAll_Ct-1),AJ1017=0),G1017,0)</f>
        <v>0</v>
      </c>
      <c r="BM1017" s="991">
        <f>IF(AND(Input_Product=Elig!$C1017,Elig_MatchAll_Ct&lt;22,$BC1017=(Elig_MatchAll_Ct-1),AK1017=0),H1017,0)</f>
        <v>0</v>
      </c>
      <c r="BN1017" s="991">
        <f>IF(AND(Input_Product=Elig!$C1017,Elig_MatchAll_Ct&lt;22,$BC1017=(Elig_MatchAll_Ct-1),AL1017=0),I1017,0)</f>
        <v>0</v>
      </c>
      <c r="BO1017" s="991">
        <f>IF(AND(Input_Product=Elig!$C1017,Elig_MatchAll_Ct&lt;22,$BC1017=(Elig_MatchAll_Ct-1),AM1017=0),J1017,0)</f>
        <v>0</v>
      </c>
      <c r="BP1017" s="991">
        <f>IF(AND(Input_Product=Elig!$C1017,Elig_MatchAll_Ct&lt;22,$BC1017=(Elig_MatchAll_Ct-1),AN1017=0),K1017,0)</f>
        <v>0</v>
      </c>
      <c r="BQ1017" s="991">
        <f>IF(AND(Input_Product=Elig!$C1017,Elig_MatchAll_Ct&lt;22,$BC1017=(Elig_MatchAll_Ct-1),AP1017=0),L1017,0)</f>
        <v>0</v>
      </c>
      <c r="BR1017" s="991">
        <f>IF(AND(Input_Product=Elig!$C1017,Elig_MatchAll_Ct&lt;22,$BC1017=(Elig_MatchAll_Ct-1),AO1017=0),M1017,0)</f>
        <v>0</v>
      </c>
      <c r="BS1017" s="991">
        <f>IF(AND(Input_Product=Elig!$C1017,Elig_MatchAll_Ct&lt;22,$BC1017=(Elig_MatchAll_Ct-1),AQ1017=0),N1017,0)</f>
        <v>0</v>
      </c>
      <c r="BT1017" s="991">
        <f>IF(AND(Input_Product=Elig!$C1017,Elig_MatchAll_Ct&lt;22,$BC1017=(Elig_MatchAll_Ct-1),AR1017=0),O1017,0)</f>
        <v>0</v>
      </c>
      <c r="BU1017" s="991">
        <f>IF(AND(Input_Product=Elig!$C1017,Elig_MatchAll_Ct&lt;22,$BC1017=(Elig_MatchAll_Ct-1),AS1017=0),P1017,0)</f>
        <v>0</v>
      </c>
      <c r="BV1017" s="992">
        <f>IF(AND(Input_Product=Elig!$C1017,Elig_MatchAll_Ct&lt;22,$BC1017=(Elig_MatchAll_Ct-1),AT1017=0),Q1017,0)</f>
        <v>0</v>
      </c>
      <c r="BW1017" s="993">
        <f>IF(AND(Input_Product=Elig!$C1017,Elig_MatchAll_Ct&lt;22,$BC1017=(Elig_MatchAll_Ct-1),AU1017=0),R1017,0)</f>
        <v>0</v>
      </c>
      <c r="BX1017" s="994">
        <f>IF(AND(Input_Product=Elig!$C1017,Elig_MatchAll_Ct&lt;22,$BC1017=(Elig_MatchAll_Ct-1),AU1017=0),S1017,0)</f>
        <v>0</v>
      </c>
      <c r="BY1017" s="993">
        <f>IF(AND(Input_Product=Elig!$C1017,Elig_MatchAll_Ct&lt;22,$BC1017=(Elig_MatchAll_Ct-1),AV1017=0),T1017,0)</f>
        <v>0</v>
      </c>
      <c r="BZ1017" s="994">
        <f>IF(AND(Input_Product=Elig!$C1017,Elig_MatchAll_Ct&lt;22,$BC1017=(Elig_MatchAll_Ct-1),AV1017=0),U1017,0)</f>
        <v>0</v>
      </c>
      <c r="CA1017" s="993">
        <f>IF(AND(Input_Product=Elig!$C1017,Elig_MatchAll_Ct&lt;22,$BC1017=(Elig_MatchAll_Ct-1),AW1017=0),V1017,0)</f>
        <v>0</v>
      </c>
      <c r="CB1017" s="994">
        <f>IF(AND(Input_Product=Elig!$C1017,Elig_MatchAll_Ct&lt;22,$BC1017=(Elig_MatchAll_Ct-1),AW1017=0),W1017,0)</f>
        <v>0</v>
      </c>
      <c r="CC1017" s="993">
        <f>IF(AND(Input_Product=Elig!$C1017,Elig_MatchAll_Ct&lt;22,$BC1017=(Elig_MatchAll_Ct-1),AX1017=0),X1017,0)</f>
        <v>0</v>
      </c>
      <c r="CD1017" s="994">
        <f>IF(AND(Input_Product=Elig!$C1017,Elig_MatchAll_Ct&lt;22,$BC1017=(Elig_MatchAll_Ct-1),AX1017=0),Y1017,0)</f>
        <v>0</v>
      </c>
      <c r="CE1017" s="993">
        <f>IF(AND(Input_LTV&lt;=AE1017,Input_Product=Elig!$C1017,Elig_MatchAll_Ct&lt;22,$BC1017=(Elig_MatchAll_Ct-1),AY1017=0),Z1017,0)</f>
        <v>0</v>
      </c>
      <c r="CF1017" s="994">
        <f>IF(AND(Input_LTV&lt;=AE1017,Input_Product=Elig!$C1017,Elig_MatchAll_Ct&lt;22,$BC1017=(Elig_MatchAll_Ct-1),AY1017=0),AA1017,0)</f>
        <v>0</v>
      </c>
      <c r="CG1017" s="993">
        <f>IF(AND(Input_Product=Elig!$C1017,Elig_MatchAll_Ct&lt;22,$BC1017=(Elig_MatchAll_Ct-1),AZ1017=0),AB1017,0)</f>
        <v>0</v>
      </c>
      <c r="CH1017" s="994">
        <f>IF(AND(Input_Product=Elig!$C1017,Elig_MatchAll_Ct&lt;22,$BC1017=(Elig_MatchAll_Ct-1),AZ1017=0),AC1017,0)</f>
        <v>0</v>
      </c>
      <c r="CI1017" s="993">
        <f>IF(AND(Input_Product=Elig!$C1017,Elig_MatchAll_Ct&lt;22,$BC1017=(Elig_MatchAll_Ct-1),BA1017=0),AD1017,0)</f>
        <v>0</v>
      </c>
      <c r="CJ1017" s="994">
        <f>IF(AND(Input_Product=Elig!$C1017,Elig_MatchAll_Ct&lt;22,$BC1017=(Elig_MatchAll_Ct-1),BA1017=0),AE1017,0)</f>
        <v>0</v>
      </c>
    </row>
    <row r="1018" spans="2:88" ht="10.15" customHeight="1" x14ac:dyDescent="0.25">
      <c r="B1018" s="1916" t="s">
        <v>2354</v>
      </c>
      <c r="C1018" s="1208" t="str">
        <f t="shared" si="402"/>
        <v xml:space="preserve">  </v>
      </c>
      <c r="D1018" s="1209" t="s">
        <v>2218</v>
      </c>
      <c r="E1018" s="1209" t="s">
        <v>167</v>
      </c>
      <c r="F1018" s="1209" t="s">
        <v>331</v>
      </c>
      <c r="G1018" s="1210" t="s">
        <v>175</v>
      </c>
      <c r="H1018" s="1210" t="s">
        <v>446</v>
      </c>
      <c r="I1018" s="1209" t="s">
        <v>16</v>
      </c>
      <c r="J1018" s="1209" t="s">
        <v>1311</v>
      </c>
      <c r="K1018" s="1210" t="s">
        <v>3022</v>
      </c>
      <c r="L1018" s="1209" t="s">
        <v>2768</v>
      </c>
      <c r="M1018" s="1209" t="s">
        <v>2677</v>
      </c>
      <c r="N1018" s="1210" t="s">
        <v>82</v>
      </c>
      <c r="O1018" s="1209" t="s">
        <v>310</v>
      </c>
      <c r="P1018" s="1209" t="s">
        <v>291</v>
      </c>
      <c r="Q1018" s="1209" t="s">
        <v>294</v>
      </c>
      <c r="R1018" s="1209">
        <v>2000000.01</v>
      </c>
      <c r="S1018" s="1209">
        <v>2500000</v>
      </c>
      <c r="T1018" s="1209">
        <v>0</v>
      </c>
      <c r="U1018" s="1209">
        <f t="shared" si="400"/>
        <v>2500000</v>
      </c>
      <c r="V1018" s="1209">
        <v>0</v>
      </c>
      <c r="W1018" s="1209">
        <v>50</v>
      </c>
      <c r="X1018" s="1209">
        <v>0</v>
      </c>
      <c r="Y1018" s="1209">
        <v>999</v>
      </c>
      <c r="Z1018" s="1211">
        <v>700</v>
      </c>
      <c r="AA1018" s="1211">
        <v>719</v>
      </c>
      <c r="AB1018" s="1211">
        <v>6</v>
      </c>
      <c r="AC1018" s="1211">
        <v>999999</v>
      </c>
      <c r="AD1018" s="1209">
        <v>0</v>
      </c>
      <c r="AE1018" s="1212">
        <v>80</v>
      </c>
      <c r="AF1018" s="170">
        <v>0</v>
      </c>
      <c r="AG1018" s="171">
        <v>1</v>
      </c>
      <c r="AH1018" s="171">
        <v>1</v>
      </c>
      <c r="AI1018" s="171">
        <v>1</v>
      </c>
      <c r="AJ1018" s="171">
        <v>0</v>
      </c>
      <c r="AK1018" s="171">
        <v>0</v>
      </c>
      <c r="AL1018" s="171">
        <v>1</v>
      </c>
      <c r="AM1018" s="171">
        <v>1</v>
      </c>
      <c r="AN1018" s="171">
        <v>1</v>
      </c>
      <c r="AO1018" s="171">
        <v>1</v>
      </c>
      <c r="AP1018" s="171">
        <v>1</v>
      </c>
      <c r="AQ1018" s="171">
        <v>1</v>
      </c>
      <c r="AR1018" s="171">
        <v>1</v>
      </c>
      <c r="AS1018" s="171">
        <v>1</v>
      </c>
      <c r="AT1018" s="171">
        <v>1</v>
      </c>
      <c r="AU1018" s="171">
        <f t="shared" si="391"/>
        <v>0</v>
      </c>
      <c r="AV1018" s="171">
        <f t="shared" si="392"/>
        <v>1</v>
      </c>
      <c r="AW1018" s="171">
        <f t="shared" si="393"/>
        <v>1</v>
      </c>
      <c r="AX1018" s="171">
        <f t="shared" si="401"/>
        <v>1</v>
      </c>
      <c r="AY1018" s="171">
        <f t="shared" si="394"/>
        <v>0</v>
      </c>
      <c r="AZ1018" s="171">
        <f t="shared" si="395"/>
        <v>1</v>
      </c>
      <c r="BA1018" s="172">
        <f t="shared" si="396"/>
        <v>1</v>
      </c>
      <c r="BB1018" s="175">
        <f t="shared" si="397"/>
        <v>17</v>
      </c>
      <c r="BC1018" s="176">
        <f t="shared" si="398"/>
        <v>16</v>
      </c>
      <c r="BD1018" s="176">
        <f t="shared" si="399"/>
        <v>17</v>
      </c>
      <c r="BE1018" s="240" t="str">
        <f t="shared" si="390"/>
        <v/>
      </c>
      <c r="BF1018" s="990"/>
      <c r="BG1018" s="990"/>
      <c r="BH1018" s="991">
        <f>IF(AND(Input_Product=Elig!$C1018,Elig_MatchAll_Ct&lt;22,$BC1018=(Elig_MatchAll_Ct-1),AF1018=0),C1018,0)</f>
        <v>0</v>
      </c>
      <c r="BI1018" s="991">
        <f>IF(AND(Input_Product=Elig!$C1018,Elig_MatchAll_Ct&lt;22,$BC1018=(Elig_MatchAll_Ct-1),AG1018=0),D1018,0)</f>
        <v>0</v>
      </c>
      <c r="BJ1018" s="991">
        <f>IF(AND(Input_Product=Elig!$C1018,Elig_MatchAll_Ct&lt;22,$BC1018=(Elig_MatchAll_Ct-1),AH1018=0),E1018,0)</f>
        <v>0</v>
      </c>
      <c r="BK1018" s="991">
        <f>IF(AND(Input_Product=Elig!$C1018,Elig_MatchAll_Ct&lt;22,$BC1018=(Elig_MatchAll_Ct-1),AI1018=0),F1018,0)</f>
        <v>0</v>
      </c>
      <c r="BL1018" s="991">
        <f>IF(AND(Input_Product=Elig!$C1018,Elig_MatchAll_Ct&lt;22,$BC1018=(Elig_MatchAll_Ct-1),AJ1018=0),G1018,0)</f>
        <v>0</v>
      </c>
      <c r="BM1018" s="991">
        <f>IF(AND(Input_Product=Elig!$C1018,Elig_MatchAll_Ct&lt;22,$BC1018=(Elig_MatchAll_Ct-1),AK1018=0),H1018,0)</f>
        <v>0</v>
      </c>
      <c r="BN1018" s="991">
        <f>IF(AND(Input_Product=Elig!$C1018,Elig_MatchAll_Ct&lt;22,$BC1018=(Elig_MatchAll_Ct-1),AL1018=0),I1018,0)</f>
        <v>0</v>
      </c>
      <c r="BO1018" s="991">
        <f>IF(AND(Input_Product=Elig!$C1018,Elig_MatchAll_Ct&lt;22,$BC1018=(Elig_MatchAll_Ct-1),AM1018=0),J1018,0)</f>
        <v>0</v>
      </c>
      <c r="BP1018" s="991">
        <f>IF(AND(Input_Product=Elig!$C1018,Elig_MatchAll_Ct&lt;22,$BC1018=(Elig_MatchAll_Ct-1),AN1018=0),K1018,0)</f>
        <v>0</v>
      </c>
      <c r="BQ1018" s="991">
        <f>IF(AND(Input_Product=Elig!$C1018,Elig_MatchAll_Ct&lt;22,$BC1018=(Elig_MatchAll_Ct-1),AP1018=0),L1018,0)</f>
        <v>0</v>
      </c>
      <c r="BR1018" s="991">
        <f>IF(AND(Input_Product=Elig!$C1018,Elig_MatchAll_Ct&lt;22,$BC1018=(Elig_MatchAll_Ct-1),AO1018=0),M1018,0)</f>
        <v>0</v>
      </c>
      <c r="BS1018" s="991">
        <f>IF(AND(Input_Product=Elig!$C1018,Elig_MatchAll_Ct&lt;22,$BC1018=(Elig_MatchAll_Ct-1),AQ1018=0),N1018,0)</f>
        <v>0</v>
      </c>
      <c r="BT1018" s="991">
        <f>IF(AND(Input_Product=Elig!$C1018,Elig_MatchAll_Ct&lt;22,$BC1018=(Elig_MatchAll_Ct-1),AR1018=0),O1018,0)</f>
        <v>0</v>
      </c>
      <c r="BU1018" s="991">
        <f>IF(AND(Input_Product=Elig!$C1018,Elig_MatchAll_Ct&lt;22,$BC1018=(Elig_MatchAll_Ct-1),AS1018=0),P1018,0)</f>
        <v>0</v>
      </c>
      <c r="BV1018" s="992">
        <f>IF(AND(Input_Product=Elig!$C1018,Elig_MatchAll_Ct&lt;22,$BC1018=(Elig_MatchAll_Ct-1),AT1018=0),Q1018,0)</f>
        <v>0</v>
      </c>
      <c r="BW1018" s="993">
        <f>IF(AND(Input_Product=Elig!$C1018,Elig_MatchAll_Ct&lt;22,$BC1018=(Elig_MatchAll_Ct-1),AU1018=0),R1018,0)</f>
        <v>0</v>
      </c>
      <c r="BX1018" s="994">
        <f>IF(AND(Input_Product=Elig!$C1018,Elig_MatchAll_Ct&lt;22,$BC1018=(Elig_MatchAll_Ct-1),AU1018=0),S1018,0)</f>
        <v>0</v>
      </c>
      <c r="BY1018" s="993">
        <f>IF(AND(Input_Product=Elig!$C1018,Elig_MatchAll_Ct&lt;22,$BC1018=(Elig_MatchAll_Ct-1),AV1018=0),T1018,0)</f>
        <v>0</v>
      </c>
      <c r="BZ1018" s="994">
        <f>IF(AND(Input_Product=Elig!$C1018,Elig_MatchAll_Ct&lt;22,$BC1018=(Elig_MatchAll_Ct-1),AV1018=0),U1018,0)</f>
        <v>0</v>
      </c>
      <c r="CA1018" s="993">
        <f>IF(AND(Input_Product=Elig!$C1018,Elig_MatchAll_Ct&lt;22,$BC1018=(Elig_MatchAll_Ct-1),AW1018=0),V1018,0)</f>
        <v>0</v>
      </c>
      <c r="CB1018" s="994">
        <f>IF(AND(Input_Product=Elig!$C1018,Elig_MatchAll_Ct&lt;22,$BC1018=(Elig_MatchAll_Ct-1),AW1018=0),W1018,0)</f>
        <v>0</v>
      </c>
      <c r="CC1018" s="993">
        <f>IF(AND(Input_Product=Elig!$C1018,Elig_MatchAll_Ct&lt;22,$BC1018=(Elig_MatchAll_Ct-1),AX1018=0),X1018,0)</f>
        <v>0</v>
      </c>
      <c r="CD1018" s="994">
        <f>IF(AND(Input_Product=Elig!$C1018,Elig_MatchAll_Ct&lt;22,$BC1018=(Elig_MatchAll_Ct-1),AX1018=0),Y1018,0)</f>
        <v>0</v>
      </c>
      <c r="CE1018" s="993">
        <f>IF(AND(Input_LTV&lt;=AE1018,Input_Product=Elig!$C1018,Elig_MatchAll_Ct&lt;22,$BC1018=(Elig_MatchAll_Ct-1),AY1018=0),Z1018,0)</f>
        <v>0</v>
      </c>
      <c r="CF1018" s="994">
        <f>IF(AND(Input_LTV&lt;=AE1018,Input_Product=Elig!$C1018,Elig_MatchAll_Ct&lt;22,$BC1018=(Elig_MatchAll_Ct-1),AY1018=0),AA1018,0)</f>
        <v>0</v>
      </c>
      <c r="CG1018" s="993">
        <f>IF(AND(Input_Product=Elig!$C1018,Elig_MatchAll_Ct&lt;22,$BC1018=(Elig_MatchAll_Ct-1),AZ1018=0),AB1018,0)</f>
        <v>0</v>
      </c>
      <c r="CH1018" s="994">
        <f>IF(AND(Input_Product=Elig!$C1018,Elig_MatchAll_Ct&lt;22,$BC1018=(Elig_MatchAll_Ct-1),AZ1018=0),AC1018,0)</f>
        <v>0</v>
      </c>
      <c r="CI1018" s="993">
        <f>IF(AND(Input_Product=Elig!$C1018,Elig_MatchAll_Ct&lt;22,$BC1018=(Elig_MatchAll_Ct-1),BA1018=0),AD1018,0)</f>
        <v>0</v>
      </c>
      <c r="CJ1018" s="994">
        <f>IF(AND(Input_Product=Elig!$C1018,Elig_MatchAll_Ct&lt;22,$BC1018=(Elig_MatchAll_Ct-1),BA1018=0),AE1018,0)</f>
        <v>0</v>
      </c>
    </row>
    <row r="1019" spans="2:88" ht="10.15" customHeight="1" x14ac:dyDescent="0.25">
      <c r="B1019" s="1916" t="s">
        <v>2355</v>
      </c>
      <c r="C1019" s="1213" t="str">
        <f t="shared" si="402"/>
        <v xml:space="preserve">  </v>
      </c>
      <c r="D1019" s="1214" t="s">
        <v>2218</v>
      </c>
      <c r="E1019" s="1214" t="s">
        <v>167</v>
      </c>
      <c r="F1019" s="1214" t="s">
        <v>331</v>
      </c>
      <c r="G1019" s="1215" t="s">
        <v>175</v>
      </c>
      <c r="H1019" s="1215" t="s">
        <v>446</v>
      </c>
      <c r="I1019" s="1214" t="s">
        <v>16</v>
      </c>
      <c r="J1019" s="1214" t="s">
        <v>1311</v>
      </c>
      <c r="K1019" s="1215" t="s">
        <v>3022</v>
      </c>
      <c r="L1019" s="1214" t="s">
        <v>2768</v>
      </c>
      <c r="M1019" s="1214" t="s">
        <v>2677</v>
      </c>
      <c r="N1019" s="1215" t="s">
        <v>82</v>
      </c>
      <c r="O1019" s="1214" t="s">
        <v>310</v>
      </c>
      <c r="P1019" s="1214" t="s">
        <v>291</v>
      </c>
      <c r="Q1019" s="1214" t="s">
        <v>294</v>
      </c>
      <c r="R1019" s="1214">
        <v>2000000.01</v>
      </c>
      <c r="S1019" s="1214">
        <v>2500000</v>
      </c>
      <c r="T1019" s="1214">
        <v>0</v>
      </c>
      <c r="U1019" s="1214">
        <f t="shared" si="400"/>
        <v>2500000</v>
      </c>
      <c r="V1019" s="1214">
        <v>0</v>
      </c>
      <c r="W1019" s="1214">
        <v>50</v>
      </c>
      <c r="X1019" s="1214">
        <v>0</v>
      </c>
      <c r="Y1019" s="1214">
        <v>999</v>
      </c>
      <c r="Z1019" s="1216">
        <v>680</v>
      </c>
      <c r="AA1019" s="1216">
        <v>699</v>
      </c>
      <c r="AB1019" s="1216">
        <v>6</v>
      </c>
      <c r="AC1019" s="1216">
        <v>999999</v>
      </c>
      <c r="AD1019" s="1214">
        <v>0</v>
      </c>
      <c r="AE1019" s="1217">
        <v>75</v>
      </c>
      <c r="AF1019" s="170">
        <v>0</v>
      </c>
      <c r="AG1019" s="171">
        <v>1</v>
      </c>
      <c r="AH1019" s="171">
        <v>1</v>
      </c>
      <c r="AI1019" s="171">
        <v>1</v>
      </c>
      <c r="AJ1019" s="171">
        <v>0</v>
      </c>
      <c r="AK1019" s="171">
        <v>0</v>
      </c>
      <c r="AL1019" s="171">
        <v>1</v>
      </c>
      <c r="AM1019" s="171">
        <v>1</v>
      </c>
      <c r="AN1019" s="171">
        <v>1</v>
      </c>
      <c r="AO1019" s="171">
        <v>1</v>
      </c>
      <c r="AP1019" s="171">
        <v>1</v>
      </c>
      <c r="AQ1019" s="171">
        <v>1</v>
      </c>
      <c r="AR1019" s="171">
        <v>1</v>
      </c>
      <c r="AS1019" s="171">
        <v>1</v>
      </c>
      <c r="AT1019" s="171">
        <v>1</v>
      </c>
      <c r="AU1019" s="171">
        <f t="shared" si="391"/>
        <v>0</v>
      </c>
      <c r="AV1019" s="171">
        <f t="shared" si="392"/>
        <v>1</v>
      </c>
      <c r="AW1019" s="171">
        <f t="shared" si="393"/>
        <v>1</v>
      </c>
      <c r="AX1019" s="171">
        <f t="shared" si="401"/>
        <v>1</v>
      </c>
      <c r="AY1019" s="171">
        <f t="shared" si="394"/>
        <v>0</v>
      </c>
      <c r="AZ1019" s="171">
        <f t="shared" si="395"/>
        <v>1</v>
      </c>
      <c r="BA1019" s="172">
        <f t="shared" si="396"/>
        <v>1</v>
      </c>
      <c r="BB1019" s="175">
        <f t="shared" si="397"/>
        <v>17</v>
      </c>
      <c r="BC1019" s="176">
        <f t="shared" si="398"/>
        <v>16</v>
      </c>
      <c r="BD1019" s="176">
        <f t="shared" si="399"/>
        <v>17</v>
      </c>
      <c r="BE1019" s="240" t="str">
        <f t="shared" si="390"/>
        <v/>
      </c>
      <c r="BF1019" s="990"/>
      <c r="BG1019" s="990"/>
      <c r="BH1019" s="991">
        <f>IF(AND(Input_Product=Elig!$C1019,Elig_MatchAll_Ct&lt;22,$BC1019=(Elig_MatchAll_Ct-1),AF1019=0),C1019,0)</f>
        <v>0</v>
      </c>
      <c r="BI1019" s="991">
        <f>IF(AND(Input_Product=Elig!$C1019,Elig_MatchAll_Ct&lt;22,$BC1019=(Elig_MatchAll_Ct-1),AG1019=0),D1019,0)</f>
        <v>0</v>
      </c>
      <c r="BJ1019" s="991">
        <f>IF(AND(Input_Product=Elig!$C1019,Elig_MatchAll_Ct&lt;22,$BC1019=(Elig_MatchAll_Ct-1),AH1019=0),E1019,0)</f>
        <v>0</v>
      </c>
      <c r="BK1019" s="991">
        <f>IF(AND(Input_Product=Elig!$C1019,Elig_MatchAll_Ct&lt;22,$BC1019=(Elig_MatchAll_Ct-1),AI1019=0),F1019,0)</f>
        <v>0</v>
      </c>
      <c r="BL1019" s="991">
        <f>IF(AND(Input_Product=Elig!$C1019,Elig_MatchAll_Ct&lt;22,$BC1019=(Elig_MatchAll_Ct-1),AJ1019=0),G1019,0)</f>
        <v>0</v>
      </c>
      <c r="BM1019" s="991">
        <f>IF(AND(Input_Product=Elig!$C1019,Elig_MatchAll_Ct&lt;22,$BC1019=(Elig_MatchAll_Ct-1),AK1019=0),H1019,0)</f>
        <v>0</v>
      </c>
      <c r="BN1019" s="991">
        <f>IF(AND(Input_Product=Elig!$C1019,Elig_MatchAll_Ct&lt;22,$BC1019=(Elig_MatchAll_Ct-1),AL1019=0),I1019,0)</f>
        <v>0</v>
      </c>
      <c r="BO1019" s="991">
        <f>IF(AND(Input_Product=Elig!$C1019,Elig_MatchAll_Ct&lt;22,$BC1019=(Elig_MatchAll_Ct-1),AM1019=0),J1019,0)</f>
        <v>0</v>
      </c>
      <c r="BP1019" s="991">
        <f>IF(AND(Input_Product=Elig!$C1019,Elig_MatchAll_Ct&lt;22,$BC1019=(Elig_MatchAll_Ct-1),AN1019=0),K1019,0)</f>
        <v>0</v>
      </c>
      <c r="BQ1019" s="991">
        <f>IF(AND(Input_Product=Elig!$C1019,Elig_MatchAll_Ct&lt;22,$BC1019=(Elig_MatchAll_Ct-1),AP1019=0),L1019,0)</f>
        <v>0</v>
      </c>
      <c r="BR1019" s="991">
        <f>IF(AND(Input_Product=Elig!$C1019,Elig_MatchAll_Ct&lt;22,$BC1019=(Elig_MatchAll_Ct-1),AO1019=0),M1019,0)</f>
        <v>0</v>
      </c>
      <c r="BS1019" s="991">
        <f>IF(AND(Input_Product=Elig!$C1019,Elig_MatchAll_Ct&lt;22,$BC1019=(Elig_MatchAll_Ct-1),AQ1019=0),N1019,0)</f>
        <v>0</v>
      </c>
      <c r="BT1019" s="991">
        <f>IF(AND(Input_Product=Elig!$C1019,Elig_MatchAll_Ct&lt;22,$BC1019=(Elig_MatchAll_Ct-1),AR1019=0),O1019,0)</f>
        <v>0</v>
      </c>
      <c r="BU1019" s="991">
        <f>IF(AND(Input_Product=Elig!$C1019,Elig_MatchAll_Ct&lt;22,$BC1019=(Elig_MatchAll_Ct-1),AS1019=0),P1019,0)</f>
        <v>0</v>
      </c>
      <c r="BV1019" s="992">
        <f>IF(AND(Input_Product=Elig!$C1019,Elig_MatchAll_Ct&lt;22,$BC1019=(Elig_MatchAll_Ct-1),AT1019=0),Q1019,0)</f>
        <v>0</v>
      </c>
      <c r="BW1019" s="993">
        <f>IF(AND(Input_Product=Elig!$C1019,Elig_MatchAll_Ct&lt;22,$BC1019=(Elig_MatchAll_Ct-1),AU1019=0),R1019,0)</f>
        <v>0</v>
      </c>
      <c r="BX1019" s="994">
        <f>IF(AND(Input_Product=Elig!$C1019,Elig_MatchAll_Ct&lt;22,$BC1019=(Elig_MatchAll_Ct-1),AU1019=0),S1019,0)</f>
        <v>0</v>
      </c>
      <c r="BY1019" s="993">
        <f>IF(AND(Input_Product=Elig!$C1019,Elig_MatchAll_Ct&lt;22,$BC1019=(Elig_MatchAll_Ct-1),AV1019=0),T1019,0)</f>
        <v>0</v>
      </c>
      <c r="BZ1019" s="994">
        <f>IF(AND(Input_Product=Elig!$C1019,Elig_MatchAll_Ct&lt;22,$BC1019=(Elig_MatchAll_Ct-1),AV1019=0),U1019,0)</f>
        <v>0</v>
      </c>
      <c r="CA1019" s="993">
        <f>IF(AND(Input_Product=Elig!$C1019,Elig_MatchAll_Ct&lt;22,$BC1019=(Elig_MatchAll_Ct-1),AW1019=0),V1019,0)</f>
        <v>0</v>
      </c>
      <c r="CB1019" s="994">
        <f>IF(AND(Input_Product=Elig!$C1019,Elig_MatchAll_Ct&lt;22,$BC1019=(Elig_MatchAll_Ct-1),AW1019=0),W1019,0)</f>
        <v>0</v>
      </c>
      <c r="CC1019" s="993">
        <f>IF(AND(Input_Product=Elig!$C1019,Elig_MatchAll_Ct&lt;22,$BC1019=(Elig_MatchAll_Ct-1),AX1019=0),X1019,0)</f>
        <v>0</v>
      </c>
      <c r="CD1019" s="994">
        <f>IF(AND(Input_Product=Elig!$C1019,Elig_MatchAll_Ct&lt;22,$BC1019=(Elig_MatchAll_Ct-1),AX1019=0),Y1019,0)</f>
        <v>0</v>
      </c>
      <c r="CE1019" s="993">
        <f>IF(AND(Input_LTV&lt;=AE1019,Input_Product=Elig!$C1019,Elig_MatchAll_Ct&lt;22,$BC1019=(Elig_MatchAll_Ct-1),AY1019=0),Z1019,0)</f>
        <v>0</v>
      </c>
      <c r="CF1019" s="994">
        <f>IF(AND(Input_LTV&lt;=AE1019,Input_Product=Elig!$C1019,Elig_MatchAll_Ct&lt;22,$BC1019=(Elig_MatchAll_Ct-1),AY1019=0),AA1019,0)</f>
        <v>0</v>
      </c>
      <c r="CG1019" s="993">
        <f>IF(AND(Input_Product=Elig!$C1019,Elig_MatchAll_Ct&lt;22,$BC1019=(Elig_MatchAll_Ct-1),AZ1019=0),AB1019,0)</f>
        <v>0</v>
      </c>
      <c r="CH1019" s="994">
        <f>IF(AND(Input_Product=Elig!$C1019,Elig_MatchAll_Ct&lt;22,$BC1019=(Elig_MatchAll_Ct-1),AZ1019=0),AC1019,0)</f>
        <v>0</v>
      </c>
      <c r="CI1019" s="993">
        <f>IF(AND(Input_Product=Elig!$C1019,Elig_MatchAll_Ct&lt;22,$BC1019=(Elig_MatchAll_Ct-1),BA1019=0),AD1019,0)</f>
        <v>0</v>
      </c>
      <c r="CJ1019" s="994">
        <f>IF(AND(Input_Product=Elig!$C1019,Elig_MatchAll_Ct&lt;22,$BC1019=(Elig_MatchAll_Ct-1),BA1019=0),AE1019,0)</f>
        <v>0</v>
      </c>
    </row>
    <row r="1020" spans="2:88" ht="10.15" customHeight="1" x14ac:dyDescent="0.25">
      <c r="B1020" s="1916" t="s">
        <v>2356</v>
      </c>
      <c r="C1020" s="1203" t="str">
        <f t="shared" si="402"/>
        <v xml:space="preserve">  </v>
      </c>
      <c r="D1020" s="1204" t="s">
        <v>2218</v>
      </c>
      <c r="E1020" s="1204" t="s">
        <v>167</v>
      </c>
      <c r="F1020" s="1204" t="s">
        <v>331</v>
      </c>
      <c r="G1020" s="1205" t="s">
        <v>175</v>
      </c>
      <c r="H1020" s="1205" t="s">
        <v>446</v>
      </c>
      <c r="I1020" s="1204" t="s">
        <v>16</v>
      </c>
      <c r="J1020" s="1204" t="s">
        <v>1311</v>
      </c>
      <c r="K1020" s="1205" t="s">
        <v>3022</v>
      </c>
      <c r="L1020" s="1204" t="s">
        <v>2768</v>
      </c>
      <c r="M1020" s="1204" t="s">
        <v>2677</v>
      </c>
      <c r="N1020" s="1205" t="s">
        <v>82</v>
      </c>
      <c r="O1020" s="1204" t="s">
        <v>310</v>
      </c>
      <c r="P1020" s="1204" t="s">
        <v>291</v>
      </c>
      <c r="Q1020" s="1204" t="s">
        <v>294</v>
      </c>
      <c r="R1020" s="1204">
        <v>2500000.0099999998</v>
      </c>
      <c r="S1020" s="1204">
        <v>3000000</v>
      </c>
      <c r="T1020" s="1204">
        <v>0</v>
      </c>
      <c r="U1020" s="1204">
        <f t="shared" si="400"/>
        <v>3000000</v>
      </c>
      <c r="V1020" s="1204">
        <v>0</v>
      </c>
      <c r="W1020" s="1204">
        <v>50</v>
      </c>
      <c r="X1020" s="1204">
        <v>0</v>
      </c>
      <c r="Y1020" s="1204">
        <v>999</v>
      </c>
      <c r="Z1020" s="1206">
        <v>720</v>
      </c>
      <c r="AA1020" s="1206">
        <v>999</v>
      </c>
      <c r="AB1020" s="1206">
        <v>6</v>
      </c>
      <c r="AC1020" s="1206">
        <v>999999</v>
      </c>
      <c r="AD1020" s="1204">
        <v>0</v>
      </c>
      <c r="AE1020" s="1207">
        <v>75</v>
      </c>
      <c r="AF1020" s="170">
        <v>0</v>
      </c>
      <c r="AG1020" s="171">
        <v>1</v>
      </c>
      <c r="AH1020" s="171">
        <v>1</v>
      </c>
      <c r="AI1020" s="171">
        <v>1</v>
      </c>
      <c r="AJ1020" s="171">
        <v>0</v>
      </c>
      <c r="AK1020" s="171">
        <v>0</v>
      </c>
      <c r="AL1020" s="171">
        <v>1</v>
      </c>
      <c r="AM1020" s="171">
        <v>1</v>
      </c>
      <c r="AN1020" s="171">
        <v>1</v>
      </c>
      <c r="AO1020" s="171">
        <v>1</v>
      </c>
      <c r="AP1020" s="171">
        <v>1</v>
      </c>
      <c r="AQ1020" s="171">
        <v>1</v>
      </c>
      <c r="AR1020" s="171">
        <v>1</v>
      </c>
      <c r="AS1020" s="171">
        <v>1</v>
      </c>
      <c r="AT1020" s="171">
        <v>1</v>
      </c>
      <c r="AU1020" s="171">
        <f t="shared" si="391"/>
        <v>0</v>
      </c>
      <c r="AV1020" s="171">
        <f t="shared" si="392"/>
        <v>1</v>
      </c>
      <c r="AW1020" s="171">
        <f t="shared" si="393"/>
        <v>1</v>
      </c>
      <c r="AX1020" s="171">
        <f t="shared" si="401"/>
        <v>1</v>
      </c>
      <c r="AY1020" s="171">
        <f t="shared" si="394"/>
        <v>1</v>
      </c>
      <c r="AZ1020" s="171">
        <f t="shared" si="395"/>
        <v>1</v>
      </c>
      <c r="BA1020" s="172">
        <f t="shared" si="396"/>
        <v>1</v>
      </c>
      <c r="BB1020" s="175">
        <f t="shared" si="397"/>
        <v>18</v>
      </c>
      <c r="BC1020" s="176">
        <f t="shared" si="398"/>
        <v>17</v>
      </c>
      <c r="BD1020" s="176">
        <f t="shared" si="399"/>
        <v>18</v>
      </c>
      <c r="BE1020" s="240" t="str">
        <f t="shared" si="390"/>
        <v/>
      </c>
      <c r="BF1020" s="990"/>
      <c r="BG1020" s="990"/>
      <c r="BH1020" s="991">
        <f>IF(AND(Input_Product=Elig!$C1020,Elig_MatchAll_Ct&lt;22,$BC1020=(Elig_MatchAll_Ct-1),AF1020=0),C1020,0)</f>
        <v>0</v>
      </c>
      <c r="BI1020" s="991">
        <f>IF(AND(Input_Product=Elig!$C1020,Elig_MatchAll_Ct&lt;22,$BC1020=(Elig_MatchAll_Ct-1),AG1020=0),D1020,0)</f>
        <v>0</v>
      </c>
      <c r="BJ1020" s="991">
        <f>IF(AND(Input_Product=Elig!$C1020,Elig_MatchAll_Ct&lt;22,$BC1020=(Elig_MatchAll_Ct-1),AH1020=0),E1020,0)</f>
        <v>0</v>
      </c>
      <c r="BK1020" s="991">
        <f>IF(AND(Input_Product=Elig!$C1020,Elig_MatchAll_Ct&lt;22,$BC1020=(Elig_MatchAll_Ct-1),AI1020=0),F1020,0)</f>
        <v>0</v>
      </c>
      <c r="BL1020" s="991">
        <f>IF(AND(Input_Product=Elig!$C1020,Elig_MatchAll_Ct&lt;22,$BC1020=(Elig_MatchAll_Ct-1),AJ1020=0),G1020,0)</f>
        <v>0</v>
      </c>
      <c r="BM1020" s="991">
        <f>IF(AND(Input_Product=Elig!$C1020,Elig_MatchAll_Ct&lt;22,$BC1020=(Elig_MatchAll_Ct-1),AK1020=0),H1020,0)</f>
        <v>0</v>
      </c>
      <c r="BN1020" s="991">
        <f>IF(AND(Input_Product=Elig!$C1020,Elig_MatchAll_Ct&lt;22,$BC1020=(Elig_MatchAll_Ct-1),AL1020=0),I1020,0)</f>
        <v>0</v>
      </c>
      <c r="BO1020" s="991">
        <f>IF(AND(Input_Product=Elig!$C1020,Elig_MatchAll_Ct&lt;22,$BC1020=(Elig_MatchAll_Ct-1),AM1020=0),J1020,0)</f>
        <v>0</v>
      </c>
      <c r="BP1020" s="991">
        <f>IF(AND(Input_Product=Elig!$C1020,Elig_MatchAll_Ct&lt;22,$BC1020=(Elig_MatchAll_Ct-1),AN1020=0),K1020,0)</f>
        <v>0</v>
      </c>
      <c r="BQ1020" s="991">
        <f>IF(AND(Input_Product=Elig!$C1020,Elig_MatchAll_Ct&lt;22,$BC1020=(Elig_MatchAll_Ct-1),AP1020=0),L1020,0)</f>
        <v>0</v>
      </c>
      <c r="BR1020" s="991">
        <f>IF(AND(Input_Product=Elig!$C1020,Elig_MatchAll_Ct&lt;22,$BC1020=(Elig_MatchAll_Ct-1),AO1020=0),M1020,0)</f>
        <v>0</v>
      </c>
      <c r="BS1020" s="991">
        <f>IF(AND(Input_Product=Elig!$C1020,Elig_MatchAll_Ct&lt;22,$BC1020=(Elig_MatchAll_Ct-1),AQ1020=0),N1020,0)</f>
        <v>0</v>
      </c>
      <c r="BT1020" s="991">
        <f>IF(AND(Input_Product=Elig!$C1020,Elig_MatchAll_Ct&lt;22,$BC1020=(Elig_MatchAll_Ct-1),AR1020=0),O1020,0)</f>
        <v>0</v>
      </c>
      <c r="BU1020" s="991">
        <f>IF(AND(Input_Product=Elig!$C1020,Elig_MatchAll_Ct&lt;22,$BC1020=(Elig_MatchAll_Ct-1),AS1020=0),P1020,0)</f>
        <v>0</v>
      </c>
      <c r="BV1020" s="992">
        <f>IF(AND(Input_Product=Elig!$C1020,Elig_MatchAll_Ct&lt;22,$BC1020=(Elig_MatchAll_Ct-1),AT1020=0),Q1020,0)</f>
        <v>0</v>
      </c>
      <c r="BW1020" s="993">
        <f>IF(AND(Input_Product=Elig!$C1020,Elig_MatchAll_Ct&lt;22,$BC1020=(Elig_MatchAll_Ct-1),AU1020=0),R1020,0)</f>
        <v>0</v>
      </c>
      <c r="BX1020" s="994">
        <f>IF(AND(Input_Product=Elig!$C1020,Elig_MatchAll_Ct&lt;22,$BC1020=(Elig_MatchAll_Ct-1),AU1020=0),S1020,0)</f>
        <v>0</v>
      </c>
      <c r="BY1020" s="993">
        <f>IF(AND(Input_Product=Elig!$C1020,Elig_MatchAll_Ct&lt;22,$BC1020=(Elig_MatchAll_Ct-1),AV1020=0),T1020,0)</f>
        <v>0</v>
      </c>
      <c r="BZ1020" s="994">
        <f>IF(AND(Input_Product=Elig!$C1020,Elig_MatchAll_Ct&lt;22,$BC1020=(Elig_MatchAll_Ct-1),AV1020=0),U1020,0)</f>
        <v>0</v>
      </c>
      <c r="CA1020" s="993">
        <f>IF(AND(Input_Product=Elig!$C1020,Elig_MatchAll_Ct&lt;22,$BC1020=(Elig_MatchAll_Ct-1),AW1020=0),V1020,0)</f>
        <v>0</v>
      </c>
      <c r="CB1020" s="994">
        <f>IF(AND(Input_Product=Elig!$C1020,Elig_MatchAll_Ct&lt;22,$BC1020=(Elig_MatchAll_Ct-1),AW1020=0),W1020,0)</f>
        <v>0</v>
      </c>
      <c r="CC1020" s="993">
        <f>IF(AND(Input_Product=Elig!$C1020,Elig_MatchAll_Ct&lt;22,$BC1020=(Elig_MatchAll_Ct-1),AX1020=0),X1020,0)</f>
        <v>0</v>
      </c>
      <c r="CD1020" s="994">
        <f>IF(AND(Input_Product=Elig!$C1020,Elig_MatchAll_Ct&lt;22,$BC1020=(Elig_MatchAll_Ct-1),AX1020=0),Y1020,0)</f>
        <v>0</v>
      </c>
      <c r="CE1020" s="993">
        <f>IF(AND(Input_LTV&lt;=AE1020,Input_Product=Elig!$C1020,Elig_MatchAll_Ct&lt;22,$BC1020=(Elig_MatchAll_Ct-1),AY1020=0),Z1020,0)</f>
        <v>0</v>
      </c>
      <c r="CF1020" s="994">
        <f>IF(AND(Input_LTV&lt;=AE1020,Input_Product=Elig!$C1020,Elig_MatchAll_Ct&lt;22,$BC1020=(Elig_MatchAll_Ct-1),AY1020=0),AA1020,0)</f>
        <v>0</v>
      </c>
      <c r="CG1020" s="993">
        <f>IF(AND(Input_Product=Elig!$C1020,Elig_MatchAll_Ct&lt;22,$BC1020=(Elig_MatchAll_Ct-1),AZ1020=0),AB1020,0)</f>
        <v>0</v>
      </c>
      <c r="CH1020" s="994">
        <f>IF(AND(Input_Product=Elig!$C1020,Elig_MatchAll_Ct&lt;22,$BC1020=(Elig_MatchAll_Ct-1),AZ1020=0),AC1020,0)</f>
        <v>0</v>
      </c>
      <c r="CI1020" s="993">
        <f>IF(AND(Input_Product=Elig!$C1020,Elig_MatchAll_Ct&lt;22,$BC1020=(Elig_MatchAll_Ct-1),BA1020=0),AD1020,0)</f>
        <v>0</v>
      </c>
      <c r="CJ1020" s="994">
        <f>IF(AND(Input_Product=Elig!$C1020,Elig_MatchAll_Ct&lt;22,$BC1020=(Elig_MatchAll_Ct-1),BA1020=0),AE1020,0)</f>
        <v>0</v>
      </c>
    </row>
    <row r="1021" spans="2:88" ht="10.15" customHeight="1" x14ac:dyDescent="0.25">
      <c r="B1021" s="1916" t="s">
        <v>2357</v>
      </c>
      <c r="C1021" s="1208" t="str">
        <f t="shared" si="402"/>
        <v xml:space="preserve">  </v>
      </c>
      <c r="D1021" s="1209" t="s">
        <v>2218</v>
      </c>
      <c r="E1021" s="1209" t="s">
        <v>167</v>
      </c>
      <c r="F1021" s="1209" t="s">
        <v>331</v>
      </c>
      <c r="G1021" s="1210" t="s">
        <v>175</v>
      </c>
      <c r="H1021" s="1210" t="s">
        <v>446</v>
      </c>
      <c r="I1021" s="1209" t="s">
        <v>16</v>
      </c>
      <c r="J1021" s="1209" t="s">
        <v>1311</v>
      </c>
      <c r="K1021" s="1210" t="s">
        <v>3022</v>
      </c>
      <c r="L1021" s="1209" t="s">
        <v>2768</v>
      </c>
      <c r="M1021" s="1209" t="s">
        <v>2677</v>
      </c>
      <c r="N1021" s="1210" t="s">
        <v>82</v>
      </c>
      <c r="O1021" s="1209" t="s">
        <v>310</v>
      </c>
      <c r="P1021" s="1209" t="s">
        <v>291</v>
      </c>
      <c r="Q1021" s="1209" t="s">
        <v>294</v>
      </c>
      <c r="R1021" s="1209">
        <v>2500000.0099999998</v>
      </c>
      <c r="S1021" s="1209">
        <v>3000000</v>
      </c>
      <c r="T1021" s="1209">
        <v>0</v>
      </c>
      <c r="U1021" s="1209">
        <f t="shared" si="400"/>
        <v>3000000</v>
      </c>
      <c r="V1021" s="1209">
        <v>0</v>
      </c>
      <c r="W1021" s="1209">
        <v>50</v>
      </c>
      <c r="X1021" s="1209">
        <v>0</v>
      </c>
      <c r="Y1021" s="1209">
        <v>999</v>
      </c>
      <c r="Z1021" s="1211">
        <v>700</v>
      </c>
      <c r="AA1021" s="1211">
        <v>719</v>
      </c>
      <c r="AB1021" s="1211">
        <v>6</v>
      </c>
      <c r="AC1021" s="1211">
        <v>999999</v>
      </c>
      <c r="AD1021" s="1209">
        <v>0</v>
      </c>
      <c r="AE1021" s="1212">
        <v>75</v>
      </c>
      <c r="AF1021" s="170">
        <v>0</v>
      </c>
      <c r="AG1021" s="171">
        <v>1</v>
      </c>
      <c r="AH1021" s="171">
        <v>1</v>
      </c>
      <c r="AI1021" s="171">
        <v>1</v>
      </c>
      <c r="AJ1021" s="171">
        <v>0</v>
      </c>
      <c r="AK1021" s="171">
        <v>0</v>
      </c>
      <c r="AL1021" s="171">
        <v>1</v>
      </c>
      <c r="AM1021" s="171">
        <v>1</v>
      </c>
      <c r="AN1021" s="171">
        <v>1</v>
      </c>
      <c r="AO1021" s="171">
        <v>1</v>
      </c>
      <c r="AP1021" s="171">
        <v>1</v>
      </c>
      <c r="AQ1021" s="171">
        <v>1</v>
      </c>
      <c r="AR1021" s="171">
        <v>1</v>
      </c>
      <c r="AS1021" s="171">
        <v>1</v>
      </c>
      <c r="AT1021" s="171">
        <v>1</v>
      </c>
      <c r="AU1021" s="171">
        <f t="shared" si="391"/>
        <v>0</v>
      </c>
      <c r="AV1021" s="171">
        <f t="shared" si="392"/>
        <v>1</v>
      </c>
      <c r="AW1021" s="171">
        <f t="shared" si="393"/>
        <v>1</v>
      </c>
      <c r="AX1021" s="171">
        <f t="shared" si="401"/>
        <v>1</v>
      </c>
      <c r="AY1021" s="171">
        <f t="shared" si="394"/>
        <v>0</v>
      </c>
      <c r="AZ1021" s="171">
        <f t="shared" si="395"/>
        <v>1</v>
      </c>
      <c r="BA1021" s="172">
        <f t="shared" si="396"/>
        <v>1</v>
      </c>
      <c r="BB1021" s="175">
        <f t="shared" si="397"/>
        <v>17</v>
      </c>
      <c r="BC1021" s="176">
        <f t="shared" si="398"/>
        <v>16</v>
      </c>
      <c r="BD1021" s="176">
        <f t="shared" si="399"/>
        <v>17</v>
      </c>
      <c r="BE1021" s="240" t="str">
        <f t="shared" si="390"/>
        <v/>
      </c>
      <c r="BF1021" s="990"/>
      <c r="BG1021" s="990"/>
      <c r="BH1021" s="991">
        <f>IF(AND(Input_Product=Elig!$C1021,Elig_MatchAll_Ct&lt;22,$BC1021=(Elig_MatchAll_Ct-1),AF1021=0),C1021,0)</f>
        <v>0</v>
      </c>
      <c r="BI1021" s="991">
        <f>IF(AND(Input_Product=Elig!$C1021,Elig_MatchAll_Ct&lt;22,$BC1021=(Elig_MatchAll_Ct-1),AG1021=0),D1021,0)</f>
        <v>0</v>
      </c>
      <c r="BJ1021" s="991">
        <f>IF(AND(Input_Product=Elig!$C1021,Elig_MatchAll_Ct&lt;22,$BC1021=(Elig_MatchAll_Ct-1),AH1021=0),E1021,0)</f>
        <v>0</v>
      </c>
      <c r="BK1021" s="991">
        <f>IF(AND(Input_Product=Elig!$C1021,Elig_MatchAll_Ct&lt;22,$BC1021=(Elig_MatchAll_Ct-1),AI1021=0),F1021,0)</f>
        <v>0</v>
      </c>
      <c r="BL1021" s="991">
        <f>IF(AND(Input_Product=Elig!$C1021,Elig_MatchAll_Ct&lt;22,$BC1021=(Elig_MatchAll_Ct-1),AJ1021=0),G1021,0)</f>
        <v>0</v>
      </c>
      <c r="BM1021" s="991">
        <f>IF(AND(Input_Product=Elig!$C1021,Elig_MatchAll_Ct&lt;22,$BC1021=(Elig_MatchAll_Ct-1),AK1021=0),H1021,0)</f>
        <v>0</v>
      </c>
      <c r="BN1021" s="991">
        <f>IF(AND(Input_Product=Elig!$C1021,Elig_MatchAll_Ct&lt;22,$BC1021=(Elig_MatchAll_Ct-1),AL1021=0),I1021,0)</f>
        <v>0</v>
      </c>
      <c r="BO1021" s="991">
        <f>IF(AND(Input_Product=Elig!$C1021,Elig_MatchAll_Ct&lt;22,$BC1021=(Elig_MatchAll_Ct-1),AM1021=0),J1021,0)</f>
        <v>0</v>
      </c>
      <c r="BP1021" s="991">
        <f>IF(AND(Input_Product=Elig!$C1021,Elig_MatchAll_Ct&lt;22,$BC1021=(Elig_MatchAll_Ct-1),AN1021=0),K1021,0)</f>
        <v>0</v>
      </c>
      <c r="BQ1021" s="991">
        <f>IF(AND(Input_Product=Elig!$C1021,Elig_MatchAll_Ct&lt;22,$BC1021=(Elig_MatchAll_Ct-1),AP1021=0),L1021,0)</f>
        <v>0</v>
      </c>
      <c r="BR1021" s="991">
        <f>IF(AND(Input_Product=Elig!$C1021,Elig_MatchAll_Ct&lt;22,$BC1021=(Elig_MatchAll_Ct-1),AO1021=0),M1021,0)</f>
        <v>0</v>
      </c>
      <c r="BS1021" s="991">
        <f>IF(AND(Input_Product=Elig!$C1021,Elig_MatchAll_Ct&lt;22,$BC1021=(Elig_MatchAll_Ct-1),AQ1021=0),N1021,0)</f>
        <v>0</v>
      </c>
      <c r="BT1021" s="991">
        <f>IF(AND(Input_Product=Elig!$C1021,Elig_MatchAll_Ct&lt;22,$BC1021=(Elig_MatchAll_Ct-1),AR1021=0),O1021,0)</f>
        <v>0</v>
      </c>
      <c r="BU1021" s="991">
        <f>IF(AND(Input_Product=Elig!$C1021,Elig_MatchAll_Ct&lt;22,$BC1021=(Elig_MatchAll_Ct-1),AS1021=0),P1021,0)</f>
        <v>0</v>
      </c>
      <c r="BV1021" s="992">
        <f>IF(AND(Input_Product=Elig!$C1021,Elig_MatchAll_Ct&lt;22,$BC1021=(Elig_MatchAll_Ct-1),AT1021=0),Q1021,0)</f>
        <v>0</v>
      </c>
      <c r="BW1021" s="993">
        <f>IF(AND(Input_Product=Elig!$C1021,Elig_MatchAll_Ct&lt;22,$BC1021=(Elig_MatchAll_Ct-1),AU1021=0),R1021,0)</f>
        <v>0</v>
      </c>
      <c r="BX1021" s="994">
        <f>IF(AND(Input_Product=Elig!$C1021,Elig_MatchAll_Ct&lt;22,$BC1021=(Elig_MatchAll_Ct-1),AU1021=0),S1021,0)</f>
        <v>0</v>
      </c>
      <c r="BY1021" s="993">
        <f>IF(AND(Input_Product=Elig!$C1021,Elig_MatchAll_Ct&lt;22,$BC1021=(Elig_MatchAll_Ct-1),AV1021=0),T1021,0)</f>
        <v>0</v>
      </c>
      <c r="BZ1021" s="994">
        <f>IF(AND(Input_Product=Elig!$C1021,Elig_MatchAll_Ct&lt;22,$BC1021=(Elig_MatchAll_Ct-1),AV1021=0),U1021,0)</f>
        <v>0</v>
      </c>
      <c r="CA1021" s="993">
        <f>IF(AND(Input_Product=Elig!$C1021,Elig_MatchAll_Ct&lt;22,$BC1021=(Elig_MatchAll_Ct-1),AW1021=0),V1021,0)</f>
        <v>0</v>
      </c>
      <c r="CB1021" s="994">
        <f>IF(AND(Input_Product=Elig!$C1021,Elig_MatchAll_Ct&lt;22,$BC1021=(Elig_MatchAll_Ct-1),AW1021=0),W1021,0)</f>
        <v>0</v>
      </c>
      <c r="CC1021" s="993">
        <f>IF(AND(Input_Product=Elig!$C1021,Elig_MatchAll_Ct&lt;22,$BC1021=(Elig_MatchAll_Ct-1),AX1021=0),X1021,0)</f>
        <v>0</v>
      </c>
      <c r="CD1021" s="994">
        <f>IF(AND(Input_Product=Elig!$C1021,Elig_MatchAll_Ct&lt;22,$BC1021=(Elig_MatchAll_Ct-1),AX1021=0),Y1021,0)</f>
        <v>0</v>
      </c>
      <c r="CE1021" s="993">
        <f>IF(AND(Input_LTV&lt;=AE1021,Input_Product=Elig!$C1021,Elig_MatchAll_Ct&lt;22,$BC1021=(Elig_MatchAll_Ct-1),AY1021=0),Z1021,0)</f>
        <v>0</v>
      </c>
      <c r="CF1021" s="994">
        <f>IF(AND(Input_LTV&lt;=AE1021,Input_Product=Elig!$C1021,Elig_MatchAll_Ct&lt;22,$BC1021=(Elig_MatchAll_Ct-1),AY1021=0),AA1021,0)</f>
        <v>0</v>
      </c>
      <c r="CG1021" s="993">
        <f>IF(AND(Input_Product=Elig!$C1021,Elig_MatchAll_Ct&lt;22,$BC1021=(Elig_MatchAll_Ct-1),AZ1021=0),AB1021,0)</f>
        <v>0</v>
      </c>
      <c r="CH1021" s="994">
        <f>IF(AND(Input_Product=Elig!$C1021,Elig_MatchAll_Ct&lt;22,$BC1021=(Elig_MatchAll_Ct-1),AZ1021=0),AC1021,0)</f>
        <v>0</v>
      </c>
      <c r="CI1021" s="993">
        <f>IF(AND(Input_Product=Elig!$C1021,Elig_MatchAll_Ct&lt;22,$BC1021=(Elig_MatchAll_Ct-1),BA1021=0),AD1021,0)</f>
        <v>0</v>
      </c>
      <c r="CJ1021" s="994">
        <f>IF(AND(Input_Product=Elig!$C1021,Elig_MatchAll_Ct&lt;22,$BC1021=(Elig_MatchAll_Ct-1),BA1021=0),AE1021,0)</f>
        <v>0</v>
      </c>
    </row>
    <row r="1022" spans="2:88" ht="10.15" customHeight="1" x14ac:dyDescent="0.25">
      <c r="B1022" s="1916" t="s">
        <v>2358</v>
      </c>
      <c r="C1022" s="1213" t="str">
        <f t="shared" si="402"/>
        <v xml:space="preserve">  </v>
      </c>
      <c r="D1022" s="1214" t="s">
        <v>2218</v>
      </c>
      <c r="E1022" s="1214" t="s">
        <v>167</v>
      </c>
      <c r="F1022" s="1214" t="s">
        <v>331</v>
      </c>
      <c r="G1022" s="1215" t="s">
        <v>175</v>
      </c>
      <c r="H1022" s="1215" t="s">
        <v>446</v>
      </c>
      <c r="I1022" s="1214" t="s">
        <v>16</v>
      </c>
      <c r="J1022" s="1214" t="s">
        <v>1311</v>
      </c>
      <c r="K1022" s="1215" t="s">
        <v>3022</v>
      </c>
      <c r="L1022" s="1214" t="s">
        <v>2768</v>
      </c>
      <c r="M1022" s="1214" t="s">
        <v>2677</v>
      </c>
      <c r="N1022" s="1215" t="s">
        <v>82</v>
      </c>
      <c r="O1022" s="1214" t="s">
        <v>310</v>
      </c>
      <c r="P1022" s="1214" t="s">
        <v>291</v>
      </c>
      <c r="Q1022" s="1214" t="s">
        <v>294</v>
      </c>
      <c r="R1022" s="1214">
        <v>2500000.0099999998</v>
      </c>
      <c r="S1022" s="1214">
        <v>3000000</v>
      </c>
      <c r="T1022" s="1214">
        <v>0</v>
      </c>
      <c r="U1022" s="1214">
        <f t="shared" si="400"/>
        <v>3000000</v>
      </c>
      <c r="V1022" s="1214">
        <v>0</v>
      </c>
      <c r="W1022" s="1214">
        <v>50</v>
      </c>
      <c r="X1022" s="1214">
        <v>0</v>
      </c>
      <c r="Y1022" s="1214">
        <v>999</v>
      </c>
      <c r="Z1022" s="1216">
        <v>680</v>
      </c>
      <c r="AA1022" s="1216">
        <v>699</v>
      </c>
      <c r="AB1022" s="1216">
        <v>6</v>
      </c>
      <c r="AC1022" s="1216">
        <v>999999</v>
      </c>
      <c r="AD1022" s="1214">
        <v>0</v>
      </c>
      <c r="AE1022" s="1217">
        <v>75</v>
      </c>
      <c r="AF1022" s="170">
        <v>0</v>
      </c>
      <c r="AG1022" s="171">
        <v>1</v>
      </c>
      <c r="AH1022" s="171">
        <v>1</v>
      </c>
      <c r="AI1022" s="171">
        <v>1</v>
      </c>
      <c r="AJ1022" s="171">
        <v>0</v>
      </c>
      <c r="AK1022" s="171">
        <v>0</v>
      </c>
      <c r="AL1022" s="171">
        <v>1</v>
      </c>
      <c r="AM1022" s="171">
        <v>1</v>
      </c>
      <c r="AN1022" s="171">
        <v>1</v>
      </c>
      <c r="AO1022" s="171">
        <v>1</v>
      </c>
      <c r="AP1022" s="171">
        <v>1</v>
      </c>
      <c r="AQ1022" s="171">
        <v>1</v>
      </c>
      <c r="AR1022" s="171">
        <v>1</v>
      </c>
      <c r="AS1022" s="171">
        <v>1</v>
      </c>
      <c r="AT1022" s="171">
        <v>1</v>
      </c>
      <c r="AU1022" s="171">
        <f t="shared" si="391"/>
        <v>0</v>
      </c>
      <c r="AV1022" s="171">
        <f t="shared" si="392"/>
        <v>1</v>
      </c>
      <c r="AW1022" s="171">
        <f t="shared" si="393"/>
        <v>1</v>
      </c>
      <c r="AX1022" s="171">
        <f t="shared" si="401"/>
        <v>1</v>
      </c>
      <c r="AY1022" s="171">
        <f t="shared" si="394"/>
        <v>0</v>
      </c>
      <c r="AZ1022" s="171">
        <f t="shared" si="395"/>
        <v>1</v>
      </c>
      <c r="BA1022" s="172">
        <f t="shared" si="396"/>
        <v>1</v>
      </c>
      <c r="BB1022" s="175">
        <f t="shared" si="397"/>
        <v>17</v>
      </c>
      <c r="BC1022" s="176">
        <f t="shared" si="398"/>
        <v>16</v>
      </c>
      <c r="BD1022" s="176">
        <f t="shared" si="399"/>
        <v>17</v>
      </c>
      <c r="BE1022" s="240" t="str">
        <f t="shared" si="390"/>
        <v/>
      </c>
      <c r="BF1022" s="990"/>
      <c r="BG1022" s="990"/>
      <c r="BH1022" s="991">
        <f>IF(AND(Input_Product=Elig!$C1022,Elig_MatchAll_Ct&lt;22,$BC1022=(Elig_MatchAll_Ct-1),AF1022=0),C1022,0)</f>
        <v>0</v>
      </c>
      <c r="BI1022" s="991">
        <f>IF(AND(Input_Product=Elig!$C1022,Elig_MatchAll_Ct&lt;22,$BC1022=(Elig_MatchAll_Ct-1),AG1022=0),D1022,0)</f>
        <v>0</v>
      </c>
      <c r="BJ1022" s="991">
        <f>IF(AND(Input_Product=Elig!$C1022,Elig_MatchAll_Ct&lt;22,$BC1022=(Elig_MatchAll_Ct-1),AH1022=0),E1022,0)</f>
        <v>0</v>
      </c>
      <c r="BK1022" s="991">
        <f>IF(AND(Input_Product=Elig!$C1022,Elig_MatchAll_Ct&lt;22,$BC1022=(Elig_MatchAll_Ct-1),AI1022=0),F1022,0)</f>
        <v>0</v>
      </c>
      <c r="BL1022" s="991">
        <f>IF(AND(Input_Product=Elig!$C1022,Elig_MatchAll_Ct&lt;22,$BC1022=(Elig_MatchAll_Ct-1),AJ1022=0),G1022,0)</f>
        <v>0</v>
      </c>
      <c r="BM1022" s="991">
        <f>IF(AND(Input_Product=Elig!$C1022,Elig_MatchAll_Ct&lt;22,$BC1022=(Elig_MatchAll_Ct-1),AK1022=0),H1022,0)</f>
        <v>0</v>
      </c>
      <c r="BN1022" s="991">
        <f>IF(AND(Input_Product=Elig!$C1022,Elig_MatchAll_Ct&lt;22,$BC1022=(Elig_MatchAll_Ct-1),AL1022=0),I1022,0)</f>
        <v>0</v>
      </c>
      <c r="BO1022" s="991">
        <f>IF(AND(Input_Product=Elig!$C1022,Elig_MatchAll_Ct&lt;22,$BC1022=(Elig_MatchAll_Ct-1),AM1022=0),J1022,0)</f>
        <v>0</v>
      </c>
      <c r="BP1022" s="991">
        <f>IF(AND(Input_Product=Elig!$C1022,Elig_MatchAll_Ct&lt;22,$BC1022=(Elig_MatchAll_Ct-1),AN1022=0),K1022,0)</f>
        <v>0</v>
      </c>
      <c r="BQ1022" s="991">
        <f>IF(AND(Input_Product=Elig!$C1022,Elig_MatchAll_Ct&lt;22,$BC1022=(Elig_MatchAll_Ct-1),AP1022=0),L1022,0)</f>
        <v>0</v>
      </c>
      <c r="BR1022" s="991">
        <f>IF(AND(Input_Product=Elig!$C1022,Elig_MatchAll_Ct&lt;22,$BC1022=(Elig_MatchAll_Ct-1),AO1022=0),M1022,0)</f>
        <v>0</v>
      </c>
      <c r="BS1022" s="991">
        <f>IF(AND(Input_Product=Elig!$C1022,Elig_MatchAll_Ct&lt;22,$BC1022=(Elig_MatchAll_Ct-1),AQ1022=0),N1022,0)</f>
        <v>0</v>
      </c>
      <c r="BT1022" s="991">
        <f>IF(AND(Input_Product=Elig!$C1022,Elig_MatchAll_Ct&lt;22,$BC1022=(Elig_MatchAll_Ct-1),AR1022=0),O1022,0)</f>
        <v>0</v>
      </c>
      <c r="BU1022" s="991">
        <f>IF(AND(Input_Product=Elig!$C1022,Elig_MatchAll_Ct&lt;22,$BC1022=(Elig_MatchAll_Ct-1),AS1022=0),P1022,0)</f>
        <v>0</v>
      </c>
      <c r="BV1022" s="992">
        <f>IF(AND(Input_Product=Elig!$C1022,Elig_MatchAll_Ct&lt;22,$BC1022=(Elig_MatchAll_Ct-1),AT1022=0),Q1022,0)</f>
        <v>0</v>
      </c>
      <c r="BW1022" s="993">
        <f>IF(AND(Input_Product=Elig!$C1022,Elig_MatchAll_Ct&lt;22,$BC1022=(Elig_MatchAll_Ct-1),AU1022=0),R1022,0)</f>
        <v>0</v>
      </c>
      <c r="BX1022" s="994">
        <f>IF(AND(Input_Product=Elig!$C1022,Elig_MatchAll_Ct&lt;22,$BC1022=(Elig_MatchAll_Ct-1),AU1022=0),S1022,0)</f>
        <v>0</v>
      </c>
      <c r="BY1022" s="993">
        <f>IF(AND(Input_Product=Elig!$C1022,Elig_MatchAll_Ct&lt;22,$BC1022=(Elig_MatchAll_Ct-1),AV1022=0),T1022,0)</f>
        <v>0</v>
      </c>
      <c r="BZ1022" s="994">
        <f>IF(AND(Input_Product=Elig!$C1022,Elig_MatchAll_Ct&lt;22,$BC1022=(Elig_MatchAll_Ct-1),AV1022=0),U1022,0)</f>
        <v>0</v>
      </c>
      <c r="CA1022" s="993">
        <f>IF(AND(Input_Product=Elig!$C1022,Elig_MatchAll_Ct&lt;22,$BC1022=(Elig_MatchAll_Ct-1),AW1022=0),V1022,0)</f>
        <v>0</v>
      </c>
      <c r="CB1022" s="994">
        <f>IF(AND(Input_Product=Elig!$C1022,Elig_MatchAll_Ct&lt;22,$BC1022=(Elig_MatchAll_Ct-1),AW1022=0),W1022,0)</f>
        <v>0</v>
      </c>
      <c r="CC1022" s="993">
        <f>IF(AND(Input_Product=Elig!$C1022,Elig_MatchAll_Ct&lt;22,$BC1022=(Elig_MatchAll_Ct-1),AX1022=0),X1022,0)</f>
        <v>0</v>
      </c>
      <c r="CD1022" s="994">
        <f>IF(AND(Input_Product=Elig!$C1022,Elig_MatchAll_Ct&lt;22,$BC1022=(Elig_MatchAll_Ct-1),AX1022=0),Y1022,0)</f>
        <v>0</v>
      </c>
      <c r="CE1022" s="993">
        <f>IF(AND(Input_LTV&lt;=AE1022,Input_Product=Elig!$C1022,Elig_MatchAll_Ct&lt;22,$BC1022=(Elig_MatchAll_Ct-1),AY1022=0),Z1022,0)</f>
        <v>0</v>
      </c>
      <c r="CF1022" s="994">
        <f>IF(AND(Input_LTV&lt;=AE1022,Input_Product=Elig!$C1022,Elig_MatchAll_Ct&lt;22,$BC1022=(Elig_MatchAll_Ct-1),AY1022=0),AA1022,0)</f>
        <v>0</v>
      </c>
      <c r="CG1022" s="993">
        <f>IF(AND(Input_Product=Elig!$C1022,Elig_MatchAll_Ct&lt;22,$BC1022=(Elig_MatchAll_Ct-1),AZ1022=0),AB1022,0)</f>
        <v>0</v>
      </c>
      <c r="CH1022" s="994">
        <f>IF(AND(Input_Product=Elig!$C1022,Elig_MatchAll_Ct&lt;22,$BC1022=(Elig_MatchAll_Ct-1),AZ1022=0),AC1022,0)</f>
        <v>0</v>
      </c>
      <c r="CI1022" s="993">
        <f>IF(AND(Input_Product=Elig!$C1022,Elig_MatchAll_Ct&lt;22,$BC1022=(Elig_MatchAll_Ct-1),BA1022=0),AD1022,0)</f>
        <v>0</v>
      </c>
      <c r="CJ1022" s="994">
        <f>IF(AND(Input_Product=Elig!$C1022,Elig_MatchAll_Ct&lt;22,$BC1022=(Elig_MatchAll_Ct-1),BA1022=0),AE1022,0)</f>
        <v>0</v>
      </c>
    </row>
    <row r="1023" spans="2:88" ht="10.15" customHeight="1" x14ac:dyDescent="0.25">
      <c r="B1023" s="1916" t="s">
        <v>2359</v>
      </c>
      <c r="C1023" s="1203" t="str">
        <f t="shared" si="402"/>
        <v xml:space="preserve">  </v>
      </c>
      <c r="D1023" s="1204" t="s">
        <v>2218</v>
      </c>
      <c r="E1023" s="1204" t="s">
        <v>167</v>
      </c>
      <c r="F1023" s="1204" t="s">
        <v>331</v>
      </c>
      <c r="G1023" s="1205" t="s">
        <v>468</v>
      </c>
      <c r="H1023" s="1205" t="s">
        <v>136</v>
      </c>
      <c r="I1023" s="1204" t="s">
        <v>16</v>
      </c>
      <c r="J1023" s="1204" t="s">
        <v>1311</v>
      </c>
      <c r="K1023" s="1205" t="s">
        <v>3022</v>
      </c>
      <c r="L1023" s="1204" t="s">
        <v>2768</v>
      </c>
      <c r="M1023" s="1204" t="s">
        <v>2677</v>
      </c>
      <c r="N1023" s="1205" t="s">
        <v>82</v>
      </c>
      <c r="O1023" s="1204" t="s">
        <v>310</v>
      </c>
      <c r="P1023" s="1204" t="s">
        <v>291</v>
      </c>
      <c r="Q1023" s="1204" t="s">
        <v>294</v>
      </c>
      <c r="R1023" s="1204">
        <v>125000</v>
      </c>
      <c r="S1023" s="1204">
        <v>1000000</v>
      </c>
      <c r="T1023" s="1204">
        <v>0</v>
      </c>
      <c r="U1023" s="1204">
        <f t="shared" si="400"/>
        <v>1000000</v>
      </c>
      <c r="V1023" s="1204">
        <v>0</v>
      </c>
      <c r="W1023" s="1204">
        <v>50</v>
      </c>
      <c r="X1023" s="1204">
        <v>0</v>
      </c>
      <c r="Y1023" s="1204">
        <v>999</v>
      </c>
      <c r="Z1023" s="1206">
        <v>720</v>
      </c>
      <c r="AA1023" s="1206">
        <v>999</v>
      </c>
      <c r="AB1023" s="1206">
        <v>3</v>
      </c>
      <c r="AC1023" s="1206">
        <v>999999</v>
      </c>
      <c r="AD1023" s="1204">
        <v>0</v>
      </c>
      <c r="AE1023" s="1207">
        <v>80</v>
      </c>
      <c r="AF1023" s="170">
        <v>0</v>
      </c>
      <c r="AG1023" s="171">
        <v>1</v>
      </c>
      <c r="AH1023" s="171">
        <v>1</v>
      </c>
      <c r="AI1023" s="171">
        <v>1</v>
      </c>
      <c r="AJ1023" s="171">
        <v>0</v>
      </c>
      <c r="AK1023" s="171">
        <v>1</v>
      </c>
      <c r="AL1023" s="171">
        <v>1</v>
      </c>
      <c r="AM1023" s="171">
        <v>1</v>
      </c>
      <c r="AN1023" s="171">
        <v>1</v>
      </c>
      <c r="AO1023" s="171">
        <v>1</v>
      </c>
      <c r="AP1023" s="171">
        <v>1</v>
      </c>
      <c r="AQ1023" s="171">
        <v>1</v>
      </c>
      <c r="AR1023" s="171">
        <v>1</v>
      </c>
      <c r="AS1023" s="171">
        <v>1</v>
      </c>
      <c r="AT1023" s="171">
        <v>1</v>
      </c>
      <c r="AU1023" s="171">
        <f t="shared" si="391"/>
        <v>1</v>
      </c>
      <c r="AV1023" s="171">
        <f t="shared" si="392"/>
        <v>1</v>
      </c>
      <c r="AW1023" s="171">
        <f t="shared" si="393"/>
        <v>1</v>
      </c>
      <c r="AX1023" s="171">
        <f t="shared" si="401"/>
        <v>1</v>
      </c>
      <c r="AY1023" s="171">
        <f t="shared" si="394"/>
        <v>1</v>
      </c>
      <c r="AZ1023" s="171">
        <f t="shared" si="395"/>
        <v>1</v>
      </c>
      <c r="BA1023" s="172">
        <f t="shared" si="396"/>
        <v>1</v>
      </c>
      <c r="BB1023" s="175">
        <f t="shared" si="397"/>
        <v>20</v>
      </c>
      <c r="BC1023" s="176">
        <f t="shared" si="398"/>
        <v>19</v>
      </c>
      <c r="BD1023" s="176">
        <f t="shared" si="399"/>
        <v>20</v>
      </c>
      <c r="BE1023" s="240" t="str">
        <f t="shared" si="390"/>
        <v/>
      </c>
      <c r="BF1023" s="990"/>
      <c r="BG1023" s="990"/>
      <c r="BH1023" s="991">
        <f>IF(AND(Input_Product=Elig!$C1023,Elig_MatchAll_Ct&lt;22,$BC1023=(Elig_MatchAll_Ct-1),AF1023=0),C1023,0)</f>
        <v>0</v>
      </c>
      <c r="BI1023" s="991">
        <f>IF(AND(Input_Product=Elig!$C1023,Elig_MatchAll_Ct&lt;22,$BC1023=(Elig_MatchAll_Ct-1),AG1023=0),D1023,0)</f>
        <v>0</v>
      </c>
      <c r="BJ1023" s="991">
        <f>IF(AND(Input_Product=Elig!$C1023,Elig_MatchAll_Ct&lt;22,$BC1023=(Elig_MatchAll_Ct-1),AH1023=0),E1023,0)</f>
        <v>0</v>
      </c>
      <c r="BK1023" s="991">
        <f>IF(AND(Input_Product=Elig!$C1023,Elig_MatchAll_Ct&lt;22,$BC1023=(Elig_MatchAll_Ct-1),AI1023=0),F1023,0)</f>
        <v>0</v>
      </c>
      <c r="BL1023" s="991">
        <f>IF(AND(Input_Product=Elig!$C1023,Elig_MatchAll_Ct&lt;22,$BC1023=(Elig_MatchAll_Ct-1),AJ1023=0),G1023,0)</f>
        <v>0</v>
      </c>
      <c r="BM1023" s="991">
        <f>IF(AND(Input_Product=Elig!$C1023,Elig_MatchAll_Ct&lt;22,$BC1023=(Elig_MatchAll_Ct-1),AK1023=0),H1023,0)</f>
        <v>0</v>
      </c>
      <c r="BN1023" s="991">
        <f>IF(AND(Input_Product=Elig!$C1023,Elig_MatchAll_Ct&lt;22,$BC1023=(Elig_MatchAll_Ct-1),AL1023=0),I1023,0)</f>
        <v>0</v>
      </c>
      <c r="BO1023" s="991">
        <f>IF(AND(Input_Product=Elig!$C1023,Elig_MatchAll_Ct&lt;22,$BC1023=(Elig_MatchAll_Ct-1),AM1023=0),J1023,0)</f>
        <v>0</v>
      </c>
      <c r="BP1023" s="991">
        <f>IF(AND(Input_Product=Elig!$C1023,Elig_MatchAll_Ct&lt;22,$BC1023=(Elig_MatchAll_Ct-1),AN1023=0),K1023,0)</f>
        <v>0</v>
      </c>
      <c r="BQ1023" s="991">
        <f>IF(AND(Input_Product=Elig!$C1023,Elig_MatchAll_Ct&lt;22,$BC1023=(Elig_MatchAll_Ct-1),AP1023=0),L1023,0)</f>
        <v>0</v>
      </c>
      <c r="BR1023" s="991">
        <f>IF(AND(Input_Product=Elig!$C1023,Elig_MatchAll_Ct&lt;22,$BC1023=(Elig_MatchAll_Ct-1),AO1023=0),M1023,0)</f>
        <v>0</v>
      </c>
      <c r="BS1023" s="991">
        <f>IF(AND(Input_Product=Elig!$C1023,Elig_MatchAll_Ct&lt;22,$BC1023=(Elig_MatchAll_Ct-1),AQ1023=0),N1023,0)</f>
        <v>0</v>
      </c>
      <c r="BT1023" s="991">
        <f>IF(AND(Input_Product=Elig!$C1023,Elig_MatchAll_Ct&lt;22,$BC1023=(Elig_MatchAll_Ct-1),AR1023=0),O1023,0)</f>
        <v>0</v>
      </c>
      <c r="BU1023" s="991">
        <f>IF(AND(Input_Product=Elig!$C1023,Elig_MatchAll_Ct&lt;22,$BC1023=(Elig_MatchAll_Ct-1),AS1023=0),P1023,0)</f>
        <v>0</v>
      </c>
      <c r="BV1023" s="992">
        <f>IF(AND(Input_Product=Elig!$C1023,Elig_MatchAll_Ct&lt;22,$BC1023=(Elig_MatchAll_Ct-1),AT1023=0),Q1023,0)</f>
        <v>0</v>
      </c>
      <c r="BW1023" s="993">
        <f>IF(AND(Input_Product=Elig!$C1023,Elig_MatchAll_Ct&lt;22,$BC1023=(Elig_MatchAll_Ct-1),AU1023=0),R1023,0)</f>
        <v>0</v>
      </c>
      <c r="BX1023" s="994">
        <f>IF(AND(Input_Product=Elig!$C1023,Elig_MatchAll_Ct&lt;22,$BC1023=(Elig_MatchAll_Ct-1),AU1023=0),S1023,0)</f>
        <v>0</v>
      </c>
      <c r="BY1023" s="993">
        <f>IF(AND(Input_Product=Elig!$C1023,Elig_MatchAll_Ct&lt;22,$BC1023=(Elig_MatchAll_Ct-1),AV1023=0),T1023,0)</f>
        <v>0</v>
      </c>
      <c r="BZ1023" s="994">
        <f>IF(AND(Input_Product=Elig!$C1023,Elig_MatchAll_Ct&lt;22,$BC1023=(Elig_MatchAll_Ct-1),AV1023=0),U1023,0)</f>
        <v>0</v>
      </c>
      <c r="CA1023" s="993">
        <f>IF(AND(Input_Product=Elig!$C1023,Elig_MatchAll_Ct&lt;22,$BC1023=(Elig_MatchAll_Ct-1),AW1023=0),V1023,0)</f>
        <v>0</v>
      </c>
      <c r="CB1023" s="994">
        <f>IF(AND(Input_Product=Elig!$C1023,Elig_MatchAll_Ct&lt;22,$BC1023=(Elig_MatchAll_Ct-1),AW1023=0),W1023,0)</f>
        <v>0</v>
      </c>
      <c r="CC1023" s="993">
        <f>IF(AND(Input_Product=Elig!$C1023,Elig_MatchAll_Ct&lt;22,$BC1023=(Elig_MatchAll_Ct-1),AX1023=0),X1023,0)</f>
        <v>0</v>
      </c>
      <c r="CD1023" s="994">
        <f>IF(AND(Input_Product=Elig!$C1023,Elig_MatchAll_Ct&lt;22,$BC1023=(Elig_MatchAll_Ct-1),AX1023=0),Y1023,0)</f>
        <v>0</v>
      </c>
      <c r="CE1023" s="993">
        <f>IF(AND(Input_LTV&lt;=AE1023,Input_Product=Elig!$C1023,Elig_MatchAll_Ct&lt;22,$BC1023=(Elig_MatchAll_Ct-1),AY1023=0),Z1023,0)</f>
        <v>0</v>
      </c>
      <c r="CF1023" s="994">
        <f>IF(AND(Input_LTV&lt;=AE1023,Input_Product=Elig!$C1023,Elig_MatchAll_Ct&lt;22,$BC1023=(Elig_MatchAll_Ct-1),AY1023=0),AA1023,0)</f>
        <v>0</v>
      </c>
      <c r="CG1023" s="993">
        <f>IF(AND(Input_Product=Elig!$C1023,Elig_MatchAll_Ct&lt;22,$BC1023=(Elig_MatchAll_Ct-1),AZ1023=0),AB1023,0)</f>
        <v>0</v>
      </c>
      <c r="CH1023" s="994">
        <f>IF(AND(Input_Product=Elig!$C1023,Elig_MatchAll_Ct&lt;22,$BC1023=(Elig_MatchAll_Ct-1),AZ1023=0),AC1023,0)</f>
        <v>0</v>
      </c>
      <c r="CI1023" s="993">
        <f>IF(AND(Input_Product=Elig!$C1023,Elig_MatchAll_Ct&lt;22,$BC1023=(Elig_MatchAll_Ct-1),BA1023=0),AD1023,0)</f>
        <v>0</v>
      </c>
      <c r="CJ1023" s="994">
        <f>IF(AND(Input_Product=Elig!$C1023,Elig_MatchAll_Ct&lt;22,$BC1023=(Elig_MatchAll_Ct-1),BA1023=0),AE1023,0)</f>
        <v>0</v>
      </c>
    </row>
    <row r="1024" spans="2:88" ht="10.15" customHeight="1" x14ac:dyDescent="0.25">
      <c r="B1024" s="1916" t="s">
        <v>2360</v>
      </c>
      <c r="C1024" s="1208" t="str">
        <f t="shared" si="402"/>
        <v xml:space="preserve">  </v>
      </c>
      <c r="D1024" s="1209" t="s">
        <v>2218</v>
      </c>
      <c r="E1024" s="1209" t="s">
        <v>167</v>
      </c>
      <c r="F1024" s="1209" t="s">
        <v>331</v>
      </c>
      <c r="G1024" s="1210" t="s">
        <v>468</v>
      </c>
      <c r="H1024" s="1210" t="s">
        <v>136</v>
      </c>
      <c r="I1024" s="1209" t="s">
        <v>16</v>
      </c>
      <c r="J1024" s="1209" t="s">
        <v>1311</v>
      </c>
      <c r="K1024" s="1210" t="s">
        <v>3022</v>
      </c>
      <c r="L1024" s="1209" t="s">
        <v>2768</v>
      </c>
      <c r="M1024" s="1209" t="s">
        <v>2677</v>
      </c>
      <c r="N1024" s="1210" t="s">
        <v>82</v>
      </c>
      <c r="O1024" s="1209" t="s">
        <v>310</v>
      </c>
      <c r="P1024" s="1209" t="s">
        <v>291</v>
      </c>
      <c r="Q1024" s="1209" t="s">
        <v>294</v>
      </c>
      <c r="R1024" s="1209">
        <v>125000</v>
      </c>
      <c r="S1024" s="1209">
        <v>1000000</v>
      </c>
      <c r="T1024" s="1209">
        <v>0</v>
      </c>
      <c r="U1024" s="1209">
        <f t="shared" si="400"/>
        <v>1000000</v>
      </c>
      <c r="V1024" s="1209">
        <v>0</v>
      </c>
      <c r="W1024" s="1209">
        <v>50</v>
      </c>
      <c r="X1024" s="1209">
        <v>0</v>
      </c>
      <c r="Y1024" s="1209">
        <v>999</v>
      </c>
      <c r="Z1024" s="1211">
        <v>700</v>
      </c>
      <c r="AA1024" s="1211">
        <v>719</v>
      </c>
      <c r="AB1024" s="1211">
        <v>3</v>
      </c>
      <c r="AC1024" s="1211">
        <v>999999</v>
      </c>
      <c r="AD1024" s="1209">
        <v>0</v>
      </c>
      <c r="AE1024" s="1212">
        <v>80</v>
      </c>
      <c r="AF1024" s="170">
        <v>0</v>
      </c>
      <c r="AG1024" s="171">
        <v>1</v>
      </c>
      <c r="AH1024" s="171">
        <v>1</v>
      </c>
      <c r="AI1024" s="171">
        <v>1</v>
      </c>
      <c r="AJ1024" s="171">
        <v>0</v>
      </c>
      <c r="AK1024" s="171">
        <v>1</v>
      </c>
      <c r="AL1024" s="171">
        <v>1</v>
      </c>
      <c r="AM1024" s="171">
        <v>1</v>
      </c>
      <c r="AN1024" s="171">
        <v>1</v>
      </c>
      <c r="AO1024" s="171">
        <v>1</v>
      </c>
      <c r="AP1024" s="171">
        <v>1</v>
      </c>
      <c r="AQ1024" s="171">
        <v>1</v>
      </c>
      <c r="AR1024" s="171">
        <v>1</v>
      </c>
      <c r="AS1024" s="171">
        <v>1</v>
      </c>
      <c r="AT1024" s="171">
        <v>1</v>
      </c>
      <c r="AU1024" s="171">
        <f t="shared" si="391"/>
        <v>1</v>
      </c>
      <c r="AV1024" s="171">
        <f t="shared" si="392"/>
        <v>1</v>
      </c>
      <c r="AW1024" s="171">
        <f t="shared" si="393"/>
        <v>1</v>
      </c>
      <c r="AX1024" s="171">
        <f t="shared" si="401"/>
        <v>1</v>
      </c>
      <c r="AY1024" s="171">
        <f t="shared" si="394"/>
        <v>0</v>
      </c>
      <c r="AZ1024" s="171">
        <f t="shared" si="395"/>
        <v>1</v>
      </c>
      <c r="BA1024" s="172">
        <f t="shared" si="396"/>
        <v>1</v>
      </c>
      <c r="BB1024" s="175">
        <f t="shared" si="397"/>
        <v>19</v>
      </c>
      <c r="BC1024" s="176">
        <f t="shared" si="398"/>
        <v>18</v>
      </c>
      <c r="BD1024" s="176">
        <f t="shared" si="399"/>
        <v>19</v>
      </c>
      <c r="BE1024" s="240" t="str">
        <f t="shared" si="390"/>
        <v/>
      </c>
      <c r="BF1024" s="990"/>
      <c r="BG1024" s="990"/>
      <c r="BH1024" s="991">
        <f>IF(AND(Input_Product=Elig!$C1024,Elig_MatchAll_Ct&lt;22,$BC1024=(Elig_MatchAll_Ct-1),AF1024=0),C1024,0)</f>
        <v>0</v>
      </c>
      <c r="BI1024" s="991">
        <f>IF(AND(Input_Product=Elig!$C1024,Elig_MatchAll_Ct&lt;22,$BC1024=(Elig_MatchAll_Ct-1),AG1024=0),D1024,0)</f>
        <v>0</v>
      </c>
      <c r="BJ1024" s="991">
        <f>IF(AND(Input_Product=Elig!$C1024,Elig_MatchAll_Ct&lt;22,$BC1024=(Elig_MatchAll_Ct-1),AH1024=0),E1024,0)</f>
        <v>0</v>
      </c>
      <c r="BK1024" s="991">
        <f>IF(AND(Input_Product=Elig!$C1024,Elig_MatchAll_Ct&lt;22,$BC1024=(Elig_MatchAll_Ct-1),AI1024=0),F1024,0)</f>
        <v>0</v>
      </c>
      <c r="BL1024" s="991">
        <f>IF(AND(Input_Product=Elig!$C1024,Elig_MatchAll_Ct&lt;22,$BC1024=(Elig_MatchAll_Ct-1),AJ1024=0),G1024,0)</f>
        <v>0</v>
      </c>
      <c r="BM1024" s="991">
        <f>IF(AND(Input_Product=Elig!$C1024,Elig_MatchAll_Ct&lt;22,$BC1024=(Elig_MatchAll_Ct-1),AK1024=0),H1024,0)</f>
        <v>0</v>
      </c>
      <c r="BN1024" s="991">
        <f>IF(AND(Input_Product=Elig!$C1024,Elig_MatchAll_Ct&lt;22,$BC1024=(Elig_MatchAll_Ct-1),AL1024=0),I1024,0)</f>
        <v>0</v>
      </c>
      <c r="BO1024" s="991">
        <f>IF(AND(Input_Product=Elig!$C1024,Elig_MatchAll_Ct&lt;22,$BC1024=(Elig_MatchAll_Ct-1),AM1024=0),J1024,0)</f>
        <v>0</v>
      </c>
      <c r="BP1024" s="991">
        <f>IF(AND(Input_Product=Elig!$C1024,Elig_MatchAll_Ct&lt;22,$BC1024=(Elig_MatchAll_Ct-1),AN1024=0),K1024,0)</f>
        <v>0</v>
      </c>
      <c r="BQ1024" s="991">
        <f>IF(AND(Input_Product=Elig!$C1024,Elig_MatchAll_Ct&lt;22,$BC1024=(Elig_MatchAll_Ct-1),AP1024=0),L1024,0)</f>
        <v>0</v>
      </c>
      <c r="BR1024" s="991">
        <f>IF(AND(Input_Product=Elig!$C1024,Elig_MatchAll_Ct&lt;22,$BC1024=(Elig_MatchAll_Ct-1),AO1024=0),M1024,0)</f>
        <v>0</v>
      </c>
      <c r="BS1024" s="991">
        <f>IF(AND(Input_Product=Elig!$C1024,Elig_MatchAll_Ct&lt;22,$BC1024=(Elig_MatchAll_Ct-1),AQ1024=0),N1024,0)</f>
        <v>0</v>
      </c>
      <c r="BT1024" s="991">
        <f>IF(AND(Input_Product=Elig!$C1024,Elig_MatchAll_Ct&lt;22,$BC1024=(Elig_MatchAll_Ct-1),AR1024=0),O1024,0)</f>
        <v>0</v>
      </c>
      <c r="BU1024" s="991">
        <f>IF(AND(Input_Product=Elig!$C1024,Elig_MatchAll_Ct&lt;22,$BC1024=(Elig_MatchAll_Ct-1),AS1024=0),P1024,0)</f>
        <v>0</v>
      </c>
      <c r="BV1024" s="992">
        <f>IF(AND(Input_Product=Elig!$C1024,Elig_MatchAll_Ct&lt;22,$BC1024=(Elig_MatchAll_Ct-1),AT1024=0),Q1024,0)</f>
        <v>0</v>
      </c>
      <c r="BW1024" s="993">
        <f>IF(AND(Input_Product=Elig!$C1024,Elig_MatchAll_Ct&lt;22,$BC1024=(Elig_MatchAll_Ct-1),AU1024=0),R1024,0)</f>
        <v>0</v>
      </c>
      <c r="BX1024" s="994">
        <f>IF(AND(Input_Product=Elig!$C1024,Elig_MatchAll_Ct&lt;22,$BC1024=(Elig_MatchAll_Ct-1),AU1024=0),S1024,0)</f>
        <v>0</v>
      </c>
      <c r="BY1024" s="993">
        <f>IF(AND(Input_Product=Elig!$C1024,Elig_MatchAll_Ct&lt;22,$BC1024=(Elig_MatchAll_Ct-1),AV1024=0),T1024,0)</f>
        <v>0</v>
      </c>
      <c r="BZ1024" s="994">
        <f>IF(AND(Input_Product=Elig!$C1024,Elig_MatchAll_Ct&lt;22,$BC1024=(Elig_MatchAll_Ct-1),AV1024=0),U1024,0)</f>
        <v>0</v>
      </c>
      <c r="CA1024" s="993">
        <f>IF(AND(Input_Product=Elig!$C1024,Elig_MatchAll_Ct&lt;22,$BC1024=(Elig_MatchAll_Ct-1),AW1024=0),V1024,0)</f>
        <v>0</v>
      </c>
      <c r="CB1024" s="994">
        <f>IF(AND(Input_Product=Elig!$C1024,Elig_MatchAll_Ct&lt;22,$BC1024=(Elig_MatchAll_Ct-1),AW1024=0),W1024,0)</f>
        <v>0</v>
      </c>
      <c r="CC1024" s="993">
        <f>IF(AND(Input_Product=Elig!$C1024,Elig_MatchAll_Ct&lt;22,$BC1024=(Elig_MatchAll_Ct-1),AX1024=0),X1024,0)</f>
        <v>0</v>
      </c>
      <c r="CD1024" s="994">
        <f>IF(AND(Input_Product=Elig!$C1024,Elig_MatchAll_Ct&lt;22,$BC1024=(Elig_MatchAll_Ct-1),AX1024=0),Y1024,0)</f>
        <v>0</v>
      </c>
      <c r="CE1024" s="993">
        <f>IF(AND(Input_LTV&lt;=AE1024,Input_Product=Elig!$C1024,Elig_MatchAll_Ct&lt;22,$BC1024=(Elig_MatchAll_Ct-1),AY1024=0),Z1024,0)</f>
        <v>0</v>
      </c>
      <c r="CF1024" s="994">
        <f>IF(AND(Input_LTV&lt;=AE1024,Input_Product=Elig!$C1024,Elig_MatchAll_Ct&lt;22,$BC1024=(Elig_MatchAll_Ct-1),AY1024=0),AA1024,0)</f>
        <v>0</v>
      </c>
      <c r="CG1024" s="993">
        <f>IF(AND(Input_Product=Elig!$C1024,Elig_MatchAll_Ct&lt;22,$BC1024=(Elig_MatchAll_Ct-1),AZ1024=0),AB1024,0)</f>
        <v>0</v>
      </c>
      <c r="CH1024" s="994">
        <f>IF(AND(Input_Product=Elig!$C1024,Elig_MatchAll_Ct&lt;22,$BC1024=(Elig_MatchAll_Ct-1),AZ1024=0),AC1024,0)</f>
        <v>0</v>
      </c>
      <c r="CI1024" s="993">
        <f>IF(AND(Input_Product=Elig!$C1024,Elig_MatchAll_Ct&lt;22,$BC1024=(Elig_MatchAll_Ct-1),BA1024=0),AD1024,0)</f>
        <v>0</v>
      </c>
      <c r="CJ1024" s="994">
        <f>IF(AND(Input_Product=Elig!$C1024,Elig_MatchAll_Ct&lt;22,$BC1024=(Elig_MatchAll_Ct-1),BA1024=0),AE1024,0)</f>
        <v>0</v>
      </c>
    </row>
    <row r="1025" spans="2:88" ht="10.15" customHeight="1" x14ac:dyDescent="0.25">
      <c r="B1025" s="1916" t="s">
        <v>2361</v>
      </c>
      <c r="C1025" s="1208" t="str">
        <f t="shared" si="402"/>
        <v xml:space="preserve">  </v>
      </c>
      <c r="D1025" s="1209" t="s">
        <v>2218</v>
      </c>
      <c r="E1025" s="1209" t="s">
        <v>167</v>
      </c>
      <c r="F1025" s="1209" t="s">
        <v>331</v>
      </c>
      <c r="G1025" s="1210" t="s">
        <v>468</v>
      </c>
      <c r="H1025" s="1210" t="s">
        <v>136</v>
      </c>
      <c r="I1025" s="1209" t="s">
        <v>16</v>
      </c>
      <c r="J1025" s="1209" t="s">
        <v>1311</v>
      </c>
      <c r="K1025" s="1210" t="s">
        <v>3022</v>
      </c>
      <c r="L1025" s="1209" t="s">
        <v>2768</v>
      </c>
      <c r="M1025" s="1209" t="s">
        <v>2677</v>
      </c>
      <c r="N1025" s="1210" t="s">
        <v>82</v>
      </c>
      <c r="O1025" s="1209" t="s">
        <v>310</v>
      </c>
      <c r="P1025" s="1209" t="s">
        <v>291</v>
      </c>
      <c r="Q1025" s="1209" t="s">
        <v>294</v>
      </c>
      <c r="R1025" s="1209">
        <v>125000</v>
      </c>
      <c r="S1025" s="1209">
        <v>1000000</v>
      </c>
      <c r="T1025" s="1209">
        <v>0</v>
      </c>
      <c r="U1025" s="1209">
        <f t="shared" si="400"/>
        <v>1000000</v>
      </c>
      <c r="V1025" s="1209">
        <v>0</v>
      </c>
      <c r="W1025" s="1209">
        <v>50</v>
      </c>
      <c r="X1025" s="1209">
        <v>0</v>
      </c>
      <c r="Y1025" s="1209">
        <v>999</v>
      </c>
      <c r="Z1025" s="1211">
        <v>680</v>
      </c>
      <c r="AA1025" s="1211">
        <v>699</v>
      </c>
      <c r="AB1025" s="1211">
        <v>3</v>
      </c>
      <c r="AC1025" s="1211">
        <v>999999</v>
      </c>
      <c r="AD1025" s="1209">
        <v>0</v>
      </c>
      <c r="AE1025" s="1212">
        <v>75</v>
      </c>
      <c r="AF1025" s="170">
        <v>0</v>
      </c>
      <c r="AG1025" s="171">
        <v>1</v>
      </c>
      <c r="AH1025" s="171">
        <v>1</v>
      </c>
      <c r="AI1025" s="171">
        <v>1</v>
      </c>
      <c r="AJ1025" s="171">
        <v>0</v>
      </c>
      <c r="AK1025" s="171">
        <v>1</v>
      </c>
      <c r="AL1025" s="171">
        <v>1</v>
      </c>
      <c r="AM1025" s="171">
        <v>1</v>
      </c>
      <c r="AN1025" s="171">
        <v>1</v>
      </c>
      <c r="AO1025" s="171">
        <v>1</v>
      </c>
      <c r="AP1025" s="171">
        <v>1</v>
      </c>
      <c r="AQ1025" s="171">
        <v>1</v>
      </c>
      <c r="AR1025" s="171">
        <v>1</v>
      </c>
      <c r="AS1025" s="171">
        <v>1</v>
      </c>
      <c r="AT1025" s="171">
        <v>1</v>
      </c>
      <c r="AU1025" s="171">
        <f t="shared" si="391"/>
        <v>1</v>
      </c>
      <c r="AV1025" s="171">
        <f t="shared" si="392"/>
        <v>1</v>
      </c>
      <c r="AW1025" s="171">
        <f t="shared" si="393"/>
        <v>1</v>
      </c>
      <c r="AX1025" s="171">
        <f t="shared" si="401"/>
        <v>1</v>
      </c>
      <c r="AY1025" s="171">
        <f t="shared" si="394"/>
        <v>0</v>
      </c>
      <c r="AZ1025" s="171">
        <f t="shared" si="395"/>
        <v>1</v>
      </c>
      <c r="BA1025" s="172">
        <f t="shared" si="396"/>
        <v>1</v>
      </c>
      <c r="BB1025" s="175">
        <f t="shared" si="397"/>
        <v>19</v>
      </c>
      <c r="BC1025" s="176">
        <f t="shared" si="398"/>
        <v>18</v>
      </c>
      <c r="BD1025" s="176">
        <f t="shared" si="399"/>
        <v>19</v>
      </c>
      <c r="BE1025" s="240" t="str">
        <f t="shared" si="390"/>
        <v/>
      </c>
      <c r="BF1025" s="990"/>
      <c r="BG1025" s="990"/>
      <c r="BH1025" s="991">
        <f>IF(AND(Input_Product=Elig!$C1025,Elig_MatchAll_Ct&lt;22,$BC1025=(Elig_MatchAll_Ct-1),AF1025=0),C1025,0)</f>
        <v>0</v>
      </c>
      <c r="BI1025" s="991">
        <f>IF(AND(Input_Product=Elig!$C1025,Elig_MatchAll_Ct&lt;22,$BC1025=(Elig_MatchAll_Ct-1),AG1025=0),D1025,0)</f>
        <v>0</v>
      </c>
      <c r="BJ1025" s="991">
        <f>IF(AND(Input_Product=Elig!$C1025,Elig_MatchAll_Ct&lt;22,$BC1025=(Elig_MatchAll_Ct-1),AH1025=0),E1025,0)</f>
        <v>0</v>
      </c>
      <c r="BK1025" s="991">
        <f>IF(AND(Input_Product=Elig!$C1025,Elig_MatchAll_Ct&lt;22,$BC1025=(Elig_MatchAll_Ct-1),AI1025=0),F1025,0)</f>
        <v>0</v>
      </c>
      <c r="BL1025" s="991">
        <f>IF(AND(Input_Product=Elig!$C1025,Elig_MatchAll_Ct&lt;22,$BC1025=(Elig_MatchAll_Ct-1),AJ1025=0),G1025,0)</f>
        <v>0</v>
      </c>
      <c r="BM1025" s="991">
        <f>IF(AND(Input_Product=Elig!$C1025,Elig_MatchAll_Ct&lt;22,$BC1025=(Elig_MatchAll_Ct-1),AK1025=0),H1025,0)</f>
        <v>0</v>
      </c>
      <c r="BN1025" s="991">
        <f>IF(AND(Input_Product=Elig!$C1025,Elig_MatchAll_Ct&lt;22,$BC1025=(Elig_MatchAll_Ct-1),AL1025=0),I1025,0)</f>
        <v>0</v>
      </c>
      <c r="BO1025" s="991">
        <f>IF(AND(Input_Product=Elig!$C1025,Elig_MatchAll_Ct&lt;22,$BC1025=(Elig_MatchAll_Ct-1),AM1025=0),J1025,0)</f>
        <v>0</v>
      </c>
      <c r="BP1025" s="991">
        <f>IF(AND(Input_Product=Elig!$C1025,Elig_MatchAll_Ct&lt;22,$BC1025=(Elig_MatchAll_Ct-1),AN1025=0),K1025,0)</f>
        <v>0</v>
      </c>
      <c r="BQ1025" s="991">
        <f>IF(AND(Input_Product=Elig!$C1025,Elig_MatchAll_Ct&lt;22,$BC1025=(Elig_MatchAll_Ct-1),AP1025=0),L1025,0)</f>
        <v>0</v>
      </c>
      <c r="BR1025" s="991">
        <f>IF(AND(Input_Product=Elig!$C1025,Elig_MatchAll_Ct&lt;22,$BC1025=(Elig_MatchAll_Ct-1),AO1025=0),M1025,0)</f>
        <v>0</v>
      </c>
      <c r="BS1025" s="991">
        <f>IF(AND(Input_Product=Elig!$C1025,Elig_MatchAll_Ct&lt;22,$BC1025=(Elig_MatchAll_Ct-1),AQ1025=0),N1025,0)</f>
        <v>0</v>
      </c>
      <c r="BT1025" s="991">
        <f>IF(AND(Input_Product=Elig!$C1025,Elig_MatchAll_Ct&lt;22,$BC1025=(Elig_MatchAll_Ct-1),AR1025=0),O1025,0)</f>
        <v>0</v>
      </c>
      <c r="BU1025" s="991">
        <f>IF(AND(Input_Product=Elig!$C1025,Elig_MatchAll_Ct&lt;22,$BC1025=(Elig_MatchAll_Ct-1),AS1025=0),P1025,0)</f>
        <v>0</v>
      </c>
      <c r="BV1025" s="992">
        <f>IF(AND(Input_Product=Elig!$C1025,Elig_MatchAll_Ct&lt;22,$BC1025=(Elig_MatchAll_Ct-1),AT1025=0),Q1025,0)</f>
        <v>0</v>
      </c>
      <c r="BW1025" s="993">
        <f>IF(AND(Input_Product=Elig!$C1025,Elig_MatchAll_Ct&lt;22,$BC1025=(Elig_MatchAll_Ct-1),AU1025=0),R1025,0)</f>
        <v>0</v>
      </c>
      <c r="BX1025" s="994">
        <f>IF(AND(Input_Product=Elig!$C1025,Elig_MatchAll_Ct&lt;22,$BC1025=(Elig_MatchAll_Ct-1),AU1025=0),S1025,0)</f>
        <v>0</v>
      </c>
      <c r="BY1025" s="993">
        <f>IF(AND(Input_Product=Elig!$C1025,Elig_MatchAll_Ct&lt;22,$BC1025=(Elig_MatchAll_Ct-1),AV1025=0),T1025,0)</f>
        <v>0</v>
      </c>
      <c r="BZ1025" s="994">
        <f>IF(AND(Input_Product=Elig!$C1025,Elig_MatchAll_Ct&lt;22,$BC1025=(Elig_MatchAll_Ct-1),AV1025=0),U1025,0)</f>
        <v>0</v>
      </c>
      <c r="CA1025" s="993">
        <f>IF(AND(Input_Product=Elig!$C1025,Elig_MatchAll_Ct&lt;22,$BC1025=(Elig_MatchAll_Ct-1),AW1025=0),V1025,0)</f>
        <v>0</v>
      </c>
      <c r="CB1025" s="994">
        <f>IF(AND(Input_Product=Elig!$C1025,Elig_MatchAll_Ct&lt;22,$BC1025=(Elig_MatchAll_Ct-1),AW1025=0),W1025,0)</f>
        <v>0</v>
      </c>
      <c r="CC1025" s="993">
        <f>IF(AND(Input_Product=Elig!$C1025,Elig_MatchAll_Ct&lt;22,$BC1025=(Elig_MatchAll_Ct-1),AX1025=0),X1025,0)</f>
        <v>0</v>
      </c>
      <c r="CD1025" s="994">
        <f>IF(AND(Input_Product=Elig!$C1025,Elig_MatchAll_Ct&lt;22,$BC1025=(Elig_MatchAll_Ct-1),AX1025=0),Y1025,0)</f>
        <v>0</v>
      </c>
      <c r="CE1025" s="993">
        <f>IF(AND(Input_LTV&lt;=AE1025,Input_Product=Elig!$C1025,Elig_MatchAll_Ct&lt;22,$BC1025=(Elig_MatchAll_Ct-1),AY1025=0),Z1025,0)</f>
        <v>0</v>
      </c>
      <c r="CF1025" s="994">
        <f>IF(AND(Input_LTV&lt;=AE1025,Input_Product=Elig!$C1025,Elig_MatchAll_Ct&lt;22,$BC1025=(Elig_MatchAll_Ct-1),AY1025=0),AA1025,0)</f>
        <v>0</v>
      </c>
      <c r="CG1025" s="993">
        <f>IF(AND(Input_Product=Elig!$C1025,Elig_MatchAll_Ct&lt;22,$BC1025=(Elig_MatchAll_Ct-1),AZ1025=0),AB1025,0)</f>
        <v>0</v>
      </c>
      <c r="CH1025" s="994">
        <f>IF(AND(Input_Product=Elig!$C1025,Elig_MatchAll_Ct&lt;22,$BC1025=(Elig_MatchAll_Ct-1),AZ1025=0),AC1025,0)</f>
        <v>0</v>
      </c>
      <c r="CI1025" s="993">
        <f>IF(AND(Input_Product=Elig!$C1025,Elig_MatchAll_Ct&lt;22,$BC1025=(Elig_MatchAll_Ct-1),BA1025=0),AD1025,0)</f>
        <v>0</v>
      </c>
      <c r="CJ1025" s="994">
        <f>IF(AND(Input_Product=Elig!$C1025,Elig_MatchAll_Ct&lt;22,$BC1025=(Elig_MatchAll_Ct-1),BA1025=0),AE1025,0)</f>
        <v>0</v>
      </c>
    </row>
    <row r="1026" spans="2:88" ht="10.15" customHeight="1" x14ac:dyDescent="0.25">
      <c r="B1026" s="1916" t="s">
        <v>2362</v>
      </c>
      <c r="C1026" s="1213" t="str">
        <f t="shared" si="402"/>
        <v xml:space="preserve">  </v>
      </c>
      <c r="D1026" s="1214" t="s">
        <v>2218</v>
      </c>
      <c r="E1026" s="1214" t="s">
        <v>167</v>
      </c>
      <c r="F1026" s="1214" t="s">
        <v>331</v>
      </c>
      <c r="G1026" s="1215" t="s">
        <v>468</v>
      </c>
      <c r="H1026" s="1215" t="s">
        <v>136</v>
      </c>
      <c r="I1026" s="1214" t="s">
        <v>16</v>
      </c>
      <c r="J1026" s="1214" t="s">
        <v>1311</v>
      </c>
      <c r="K1026" s="1215" t="s">
        <v>3022</v>
      </c>
      <c r="L1026" s="1214" t="s">
        <v>2768</v>
      </c>
      <c r="M1026" s="1214" t="s">
        <v>2677</v>
      </c>
      <c r="N1026" s="1215" t="s">
        <v>82</v>
      </c>
      <c r="O1026" s="1214" t="s">
        <v>310</v>
      </c>
      <c r="P1026" s="1214" t="s">
        <v>291</v>
      </c>
      <c r="Q1026" s="1214" t="s">
        <v>294</v>
      </c>
      <c r="R1026" s="1214">
        <v>125000</v>
      </c>
      <c r="S1026" s="1214">
        <v>1000000</v>
      </c>
      <c r="T1026" s="1214">
        <v>0</v>
      </c>
      <c r="U1026" s="1214">
        <f t="shared" si="400"/>
        <v>1000000</v>
      </c>
      <c r="V1026" s="1214">
        <v>0</v>
      </c>
      <c r="W1026" s="1214">
        <v>50</v>
      </c>
      <c r="X1026" s="1214">
        <v>0</v>
      </c>
      <c r="Y1026" s="1214">
        <v>999</v>
      </c>
      <c r="Z1026" s="1216">
        <v>660</v>
      </c>
      <c r="AA1026" s="1216">
        <v>679</v>
      </c>
      <c r="AB1026" s="1216">
        <v>3</v>
      </c>
      <c r="AC1026" s="1216">
        <v>999999</v>
      </c>
      <c r="AD1026" s="1214">
        <v>0</v>
      </c>
      <c r="AE1026" s="1217">
        <v>70</v>
      </c>
      <c r="AF1026" s="170">
        <v>0</v>
      </c>
      <c r="AG1026" s="171">
        <v>1</v>
      </c>
      <c r="AH1026" s="171">
        <v>1</v>
      </c>
      <c r="AI1026" s="171">
        <v>1</v>
      </c>
      <c r="AJ1026" s="171">
        <v>0</v>
      </c>
      <c r="AK1026" s="171">
        <v>1</v>
      </c>
      <c r="AL1026" s="171">
        <v>1</v>
      </c>
      <c r="AM1026" s="171">
        <v>1</v>
      </c>
      <c r="AN1026" s="171">
        <v>1</v>
      </c>
      <c r="AO1026" s="171">
        <v>1</v>
      </c>
      <c r="AP1026" s="171">
        <v>1</v>
      </c>
      <c r="AQ1026" s="171">
        <v>1</v>
      </c>
      <c r="AR1026" s="171">
        <v>1</v>
      </c>
      <c r="AS1026" s="171">
        <v>1</v>
      </c>
      <c r="AT1026" s="171">
        <v>1</v>
      </c>
      <c r="AU1026" s="171">
        <f t="shared" si="391"/>
        <v>1</v>
      </c>
      <c r="AV1026" s="171">
        <f t="shared" si="392"/>
        <v>1</v>
      </c>
      <c r="AW1026" s="171">
        <f t="shared" si="393"/>
        <v>1</v>
      </c>
      <c r="AX1026" s="171">
        <f t="shared" si="401"/>
        <v>1</v>
      </c>
      <c r="AY1026" s="171">
        <f t="shared" si="394"/>
        <v>0</v>
      </c>
      <c r="AZ1026" s="171">
        <f t="shared" si="395"/>
        <v>1</v>
      </c>
      <c r="BA1026" s="172">
        <f t="shared" si="396"/>
        <v>1</v>
      </c>
      <c r="BB1026" s="175">
        <f t="shared" si="397"/>
        <v>19</v>
      </c>
      <c r="BC1026" s="176">
        <f t="shared" si="398"/>
        <v>18</v>
      </c>
      <c r="BD1026" s="176">
        <f t="shared" si="399"/>
        <v>19</v>
      </c>
      <c r="BE1026" s="240" t="str">
        <f t="shared" si="390"/>
        <v/>
      </c>
      <c r="BF1026" s="990"/>
      <c r="BG1026" s="990"/>
      <c r="BH1026" s="991">
        <f>IF(AND(Input_Product=Elig!$C1026,Elig_MatchAll_Ct&lt;22,$BC1026=(Elig_MatchAll_Ct-1),AF1026=0),C1026,0)</f>
        <v>0</v>
      </c>
      <c r="BI1026" s="991">
        <f>IF(AND(Input_Product=Elig!$C1026,Elig_MatchAll_Ct&lt;22,$BC1026=(Elig_MatchAll_Ct-1),AG1026=0),D1026,0)</f>
        <v>0</v>
      </c>
      <c r="BJ1026" s="991">
        <f>IF(AND(Input_Product=Elig!$C1026,Elig_MatchAll_Ct&lt;22,$BC1026=(Elig_MatchAll_Ct-1),AH1026=0),E1026,0)</f>
        <v>0</v>
      </c>
      <c r="BK1026" s="991">
        <f>IF(AND(Input_Product=Elig!$C1026,Elig_MatchAll_Ct&lt;22,$BC1026=(Elig_MatchAll_Ct-1),AI1026=0),F1026,0)</f>
        <v>0</v>
      </c>
      <c r="BL1026" s="991">
        <f>IF(AND(Input_Product=Elig!$C1026,Elig_MatchAll_Ct&lt;22,$BC1026=(Elig_MatchAll_Ct-1),AJ1026=0),G1026,0)</f>
        <v>0</v>
      </c>
      <c r="BM1026" s="991">
        <f>IF(AND(Input_Product=Elig!$C1026,Elig_MatchAll_Ct&lt;22,$BC1026=(Elig_MatchAll_Ct-1),AK1026=0),H1026,0)</f>
        <v>0</v>
      </c>
      <c r="BN1026" s="991">
        <f>IF(AND(Input_Product=Elig!$C1026,Elig_MatchAll_Ct&lt;22,$BC1026=(Elig_MatchAll_Ct-1),AL1026=0),I1026,0)</f>
        <v>0</v>
      </c>
      <c r="BO1026" s="991">
        <f>IF(AND(Input_Product=Elig!$C1026,Elig_MatchAll_Ct&lt;22,$BC1026=(Elig_MatchAll_Ct-1),AM1026=0),J1026,0)</f>
        <v>0</v>
      </c>
      <c r="BP1026" s="991">
        <f>IF(AND(Input_Product=Elig!$C1026,Elig_MatchAll_Ct&lt;22,$BC1026=(Elig_MatchAll_Ct-1),AN1026=0),K1026,0)</f>
        <v>0</v>
      </c>
      <c r="BQ1026" s="991">
        <f>IF(AND(Input_Product=Elig!$C1026,Elig_MatchAll_Ct&lt;22,$BC1026=(Elig_MatchAll_Ct-1),AP1026=0),L1026,0)</f>
        <v>0</v>
      </c>
      <c r="BR1026" s="991">
        <f>IF(AND(Input_Product=Elig!$C1026,Elig_MatchAll_Ct&lt;22,$BC1026=(Elig_MatchAll_Ct-1),AO1026=0),M1026,0)</f>
        <v>0</v>
      </c>
      <c r="BS1026" s="991">
        <f>IF(AND(Input_Product=Elig!$C1026,Elig_MatchAll_Ct&lt;22,$BC1026=(Elig_MatchAll_Ct-1),AQ1026=0),N1026,0)</f>
        <v>0</v>
      </c>
      <c r="BT1026" s="991">
        <f>IF(AND(Input_Product=Elig!$C1026,Elig_MatchAll_Ct&lt;22,$BC1026=(Elig_MatchAll_Ct-1),AR1026=0),O1026,0)</f>
        <v>0</v>
      </c>
      <c r="BU1026" s="991">
        <f>IF(AND(Input_Product=Elig!$C1026,Elig_MatchAll_Ct&lt;22,$BC1026=(Elig_MatchAll_Ct-1),AS1026=0),P1026,0)</f>
        <v>0</v>
      </c>
      <c r="BV1026" s="992">
        <f>IF(AND(Input_Product=Elig!$C1026,Elig_MatchAll_Ct&lt;22,$BC1026=(Elig_MatchAll_Ct-1),AT1026=0),Q1026,0)</f>
        <v>0</v>
      </c>
      <c r="BW1026" s="993">
        <f>IF(AND(Input_Product=Elig!$C1026,Elig_MatchAll_Ct&lt;22,$BC1026=(Elig_MatchAll_Ct-1),AU1026=0),R1026,0)</f>
        <v>0</v>
      </c>
      <c r="BX1026" s="994">
        <f>IF(AND(Input_Product=Elig!$C1026,Elig_MatchAll_Ct&lt;22,$BC1026=(Elig_MatchAll_Ct-1),AU1026=0),S1026,0)</f>
        <v>0</v>
      </c>
      <c r="BY1026" s="993">
        <f>IF(AND(Input_Product=Elig!$C1026,Elig_MatchAll_Ct&lt;22,$BC1026=(Elig_MatchAll_Ct-1),AV1026=0),T1026,0)</f>
        <v>0</v>
      </c>
      <c r="BZ1026" s="994">
        <f>IF(AND(Input_Product=Elig!$C1026,Elig_MatchAll_Ct&lt;22,$BC1026=(Elig_MatchAll_Ct-1),AV1026=0),U1026,0)</f>
        <v>0</v>
      </c>
      <c r="CA1026" s="993">
        <f>IF(AND(Input_Product=Elig!$C1026,Elig_MatchAll_Ct&lt;22,$BC1026=(Elig_MatchAll_Ct-1),AW1026=0),V1026,0)</f>
        <v>0</v>
      </c>
      <c r="CB1026" s="994">
        <f>IF(AND(Input_Product=Elig!$C1026,Elig_MatchAll_Ct&lt;22,$BC1026=(Elig_MatchAll_Ct-1),AW1026=0),W1026,0)</f>
        <v>0</v>
      </c>
      <c r="CC1026" s="993">
        <f>IF(AND(Input_Product=Elig!$C1026,Elig_MatchAll_Ct&lt;22,$BC1026=(Elig_MatchAll_Ct-1),AX1026=0),X1026,0)</f>
        <v>0</v>
      </c>
      <c r="CD1026" s="994">
        <f>IF(AND(Input_Product=Elig!$C1026,Elig_MatchAll_Ct&lt;22,$BC1026=(Elig_MatchAll_Ct-1),AX1026=0),Y1026,0)</f>
        <v>0</v>
      </c>
      <c r="CE1026" s="993">
        <f>IF(AND(Input_LTV&lt;=AE1026,Input_Product=Elig!$C1026,Elig_MatchAll_Ct&lt;22,$BC1026=(Elig_MatchAll_Ct-1),AY1026=0),Z1026,0)</f>
        <v>0</v>
      </c>
      <c r="CF1026" s="994">
        <f>IF(AND(Input_LTV&lt;=AE1026,Input_Product=Elig!$C1026,Elig_MatchAll_Ct&lt;22,$BC1026=(Elig_MatchAll_Ct-1),AY1026=0),AA1026,0)</f>
        <v>0</v>
      </c>
      <c r="CG1026" s="993">
        <f>IF(AND(Input_Product=Elig!$C1026,Elig_MatchAll_Ct&lt;22,$BC1026=(Elig_MatchAll_Ct-1),AZ1026=0),AB1026,0)</f>
        <v>0</v>
      </c>
      <c r="CH1026" s="994">
        <f>IF(AND(Input_Product=Elig!$C1026,Elig_MatchAll_Ct&lt;22,$BC1026=(Elig_MatchAll_Ct-1),AZ1026=0),AC1026,0)</f>
        <v>0</v>
      </c>
      <c r="CI1026" s="993">
        <f>IF(AND(Input_Product=Elig!$C1026,Elig_MatchAll_Ct&lt;22,$BC1026=(Elig_MatchAll_Ct-1),BA1026=0),AD1026,0)</f>
        <v>0</v>
      </c>
      <c r="CJ1026" s="994">
        <f>IF(AND(Input_Product=Elig!$C1026,Elig_MatchAll_Ct&lt;22,$BC1026=(Elig_MatchAll_Ct-1),BA1026=0),AE1026,0)</f>
        <v>0</v>
      </c>
    </row>
    <row r="1027" spans="2:88" ht="10.15" customHeight="1" x14ac:dyDescent="0.25">
      <c r="B1027" s="1916" t="s">
        <v>2363</v>
      </c>
      <c r="C1027" s="1203" t="str">
        <f t="shared" si="402"/>
        <v xml:space="preserve">  </v>
      </c>
      <c r="D1027" s="1204" t="s">
        <v>2218</v>
      </c>
      <c r="E1027" s="1204" t="s">
        <v>167</v>
      </c>
      <c r="F1027" s="1204" t="s">
        <v>331</v>
      </c>
      <c r="G1027" s="1205" t="s">
        <v>468</v>
      </c>
      <c r="H1027" s="1205" t="s">
        <v>136</v>
      </c>
      <c r="I1027" s="1204" t="s">
        <v>16</v>
      </c>
      <c r="J1027" s="1204" t="s">
        <v>1311</v>
      </c>
      <c r="K1027" s="1205" t="s">
        <v>3022</v>
      </c>
      <c r="L1027" s="1204" t="s">
        <v>2768</v>
      </c>
      <c r="M1027" s="1204" t="s">
        <v>2677</v>
      </c>
      <c r="N1027" s="1205" t="s">
        <v>82</v>
      </c>
      <c r="O1027" s="1204" t="s">
        <v>310</v>
      </c>
      <c r="P1027" s="1204" t="s">
        <v>291</v>
      </c>
      <c r="Q1027" s="1204" t="s">
        <v>294</v>
      </c>
      <c r="R1027" s="1204">
        <v>1000000.01</v>
      </c>
      <c r="S1027" s="1204">
        <v>1500000</v>
      </c>
      <c r="T1027" s="1204">
        <v>0</v>
      </c>
      <c r="U1027" s="1204">
        <f t="shared" si="400"/>
        <v>1500000</v>
      </c>
      <c r="V1027" s="1204">
        <v>0</v>
      </c>
      <c r="W1027" s="1204">
        <v>50</v>
      </c>
      <c r="X1027" s="1204">
        <v>0</v>
      </c>
      <c r="Y1027" s="1204">
        <v>999</v>
      </c>
      <c r="Z1027" s="1206">
        <v>720</v>
      </c>
      <c r="AA1027" s="1206">
        <v>999</v>
      </c>
      <c r="AB1027" s="1206">
        <v>6</v>
      </c>
      <c r="AC1027" s="1206">
        <v>999999</v>
      </c>
      <c r="AD1027" s="1204">
        <v>0</v>
      </c>
      <c r="AE1027" s="1207">
        <v>80</v>
      </c>
      <c r="AF1027" s="170">
        <v>0</v>
      </c>
      <c r="AG1027" s="171">
        <v>1</v>
      </c>
      <c r="AH1027" s="171">
        <v>1</v>
      </c>
      <c r="AI1027" s="171">
        <v>1</v>
      </c>
      <c r="AJ1027" s="171">
        <v>0</v>
      </c>
      <c r="AK1027" s="171">
        <v>1</v>
      </c>
      <c r="AL1027" s="171">
        <v>1</v>
      </c>
      <c r="AM1027" s="171">
        <v>1</v>
      </c>
      <c r="AN1027" s="171">
        <v>1</v>
      </c>
      <c r="AO1027" s="171">
        <v>1</v>
      </c>
      <c r="AP1027" s="171">
        <v>1</v>
      </c>
      <c r="AQ1027" s="171">
        <v>1</v>
      </c>
      <c r="AR1027" s="171">
        <v>1</v>
      </c>
      <c r="AS1027" s="171">
        <v>1</v>
      </c>
      <c r="AT1027" s="171">
        <v>1</v>
      </c>
      <c r="AU1027" s="171">
        <f t="shared" si="391"/>
        <v>0</v>
      </c>
      <c r="AV1027" s="171">
        <f t="shared" si="392"/>
        <v>1</v>
      </c>
      <c r="AW1027" s="171">
        <f t="shared" si="393"/>
        <v>1</v>
      </c>
      <c r="AX1027" s="171">
        <f t="shared" si="401"/>
        <v>1</v>
      </c>
      <c r="AY1027" s="171">
        <f t="shared" si="394"/>
        <v>1</v>
      </c>
      <c r="AZ1027" s="171">
        <f t="shared" si="395"/>
        <v>1</v>
      </c>
      <c r="BA1027" s="172">
        <f t="shared" si="396"/>
        <v>1</v>
      </c>
      <c r="BB1027" s="175">
        <f t="shared" si="397"/>
        <v>19</v>
      </c>
      <c r="BC1027" s="176">
        <f t="shared" si="398"/>
        <v>18</v>
      </c>
      <c r="BD1027" s="176">
        <f t="shared" si="399"/>
        <v>19</v>
      </c>
      <c r="BE1027" s="240" t="str">
        <f t="shared" si="390"/>
        <v/>
      </c>
      <c r="BF1027" s="990"/>
      <c r="BG1027" s="990"/>
      <c r="BH1027" s="991">
        <f>IF(AND(Input_Product=Elig!$C1027,Elig_MatchAll_Ct&lt;22,$BC1027=(Elig_MatchAll_Ct-1),AF1027=0),C1027,0)</f>
        <v>0</v>
      </c>
      <c r="BI1027" s="991">
        <f>IF(AND(Input_Product=Elig!$C1027,Elig_MatchAll_Ct&lt;22,$BC1027=(Elig_MatchAll_Ct-1),AG1027=0),D1027,0)</f>
        <v>0</v>
      </c>
      <c r="BJ1027" s="991">
        <f>IF(AND(Input_Product=Elig!$C1027,Elig_MatchAll_Ct&lt;22,$BC1027=(Elig_MatchAll_Ct-1),AH1027=0),E1027,0)</f>
        <v>0</v>
      </c>
      <c r="BK1027" s="991">
        <f>IF(AND(Input_Product=Elig!$C1027,Elig_MatchAll_Ct&lt;22,$BC1027=(Elig_MatchAll_Ct-1),AI1027=0),F1027,0)</f>
        <v>0</v>
      </c>
      <c r="BL1027" s="991">
        <f>IF(AND(Input_Product=Elig!$C1027,Elig_MatchAll_Ct&lt;22,$BC1027=(Elig_MatchAll_Ct-1),AJ1027=0),G1027,0)</f>
        <v>0</v>
      </c>
      <c r="BM1027" s="991">
        <f>IF(AND(Input_Product=Elig!$C1027,Elig_MatchAll_Ct&lt;22,$BC1027=(Elig_MatchAll_Ct-1),AK1027=0),H1027,0)</f>
        <v>0</v>
      </c>
      <c r="BN1027" s="991">
        <f>IF(AND(Input_Product=Elig!$C1027,Elig_MatchAll_Ct&lt;22,$BC1027=(Elig_MatchAll_Ct-1),AL1027=0),I1027,0)</f>
        <v>0</v>
      </c>
      <c r="BO1027" s="991">
        <f>IF(AND(Input_Product=Elig!$C1027,Elig_MatchAll_Ct&lt;22,$BC1027=(Elig_MatchAll_Ct-1),AM1027=0),J1027,0)</f>
        <v>0</v>
      </c>
      <c r="BP1027" s="991">
        <f>IF(AND(Input_Product=Elig!$C1027,Elig_MatchAll_Ct&lt;22,$BC1027=(Elig_MatchAll_Ct-1),AN1027=0),K1027,0)</f>
        <v>0</v>
      </c>
      <c r="BQ1027" s="991">
        <f>IF(AND(Input_Product=Elig!$C1027,Elig_MatchAll_Ct&lt;22,$BC1027=(Elig_MatchAll_Ct-1),AP1027=0),L1027,0)</f>
        <v>0</v>
      </c>
      <c r="BR1027" s="991">
        <f>IF(AND(Input_Product=Elig!$C1027,Elig_MatchAll_Ct&lt;22,$BC1027=(Elig_MatchAll_Ct-1),AO1027=0),M1027,0)</f>
        <v>0</v>
      </c>
      <c r="BS1027" s="991">
        <f>IF(AND(Input_Product=Elig!$C1027,Elig_MatchAll_Ct&lt;22,$BC1027=(Elig_MatchAll_Ct-1),AQ1027=0),N1027,0)</f>
        <v>0</v>
      </c>
      <c r="BT1027" s="991">
        <f>IF(AND(Input_Product=Elig!$C1027,Elig_MatchAll_Ct&lt;22,$BC1027=(Elig_MatchAll_Ct-1),AR1027=0),O1027,0)</f>
        <v>0</v>
      </c>
      <c r="BU1027" s="991">
        <f>IF(AND(Input_Product=Elig!$C1027,Elig_MatchAll_Ct&lt;22,$BC1027=(Elig_MatchAll_Ct-1),AS1027=0),P1027,0)</f>
        <v>0</v>
      </c>
      <c r="BV1027" s="992">
        <f>IF(AND(Input_Product=Elig!$C1027,Elig_MatchAll_Ct&lt;22,$BC1027=(Elig_MatchAll_Ct-1),AT1027=0),Q1027,0)</f>
        <v>0</v>
      </c>
      <c r="BW1027" s="993">
        <f>IF(AND(Input_Product=Elig!$C1027,Elig_MatchAll_Ct&lt;22,$BC1027=(Elig_MatchAll_Ct-1),AU1027=0),R1027,0)</f>
        <v>0</v>
      </c>
      <c r="BX1027" s="994">
        <f>IF(AND(Input_Product=Elig!$C1027,Elig_MatchAll_Ct&lt;22,$BC1027=(Elig_MatchAll_Ct-1),AU1027=0),S1027,0)</f>
        <v>0</v>
      </c>
      <c r="BY1027" s="993">
        <f>IF(AND(Input_Product=Elig!$C1027,Elig_MatchAll_Ct&lt;22,$BC1027=(Elig_MatchAll_Ct-1),AV1027=0),T1027,0)</f>
        <v>0</v>
      </c>
      <c r="BZ1027" s="994">
        <f>IF(AND(Input_Product=Elig!$C1027,Elig_MatchAll_Ct&lt;22,$BC1027=(Elig_MatchAll_Ct-1),AV1027=0),U1027,0)</f>
        <v>0</v>
      </c>
      <c r="CA1027" s="993">
        <f>IF(AND(Input_Product=Elig!$C1027,Elig_MatchAll_Ct&lt;22,$BC1027=(Elig_MatchAll_Ct-1),AW1027=0),V1027,0)</f>
        <v>0</v>
      </c>
      <c r="CB1027" s="994">
        <f>IF(AND(Input_Product=Elig!$C1027,Elig_MatchAll_Ct&lt;22,$BC1027=(Elig_MatchAll_Ct-1),AW1027=0),W1027,0)</f>
        <v>0</v>
      </c>
      <c r="CC1027" s="993">
        <f>IF(AND(Input_Product=Elig!$C1027,Elig_MatchAll_Ct&lt;22,$BC1027=(Elig_MatchAll_Ct-1),AX1027=0),X1027,0)</f>
        <v>0</v>
      </c>
      <c r="CD1027" s="994">
        <f>IF(AND(Input_Product=Elig!$C1027,Elig_MatchAll_Ct&lt;22,$BC1027=(Elig_MatchAll_Ct-1),AX1027=0),Y1027,0)</f>
        <v>0</v>
      </c>
      <c r="CE1027" s="993">
        <f>IF(AND(Input_LTV&lt;=AE1027,Input_Product=Elig!$C1027,Elig_MatchAll_Ct&lt;22,$BC1027=(Elig_MatchAll_Ct-1),AY1027=0),Z1027,0)</f>
        <v>0</v>
      </c>
      <c r="CF1027" s="994">
        <f>IF(AND(Input_LTV&lt;=AE1027,Input_Product=Elig!$C1027,Elig_MatchAll_Ct&lt;22,$BC1027=(Elig_MatchAll_Ct-1),AY1027=0),AA1027,0)</f>
        <v>0</v>
      </c>
      <c r="CG1027" s="993">
        <f>IF(AND(Input_Product=Elig!$C1027,Elig_MatchAll_Ct&lt;22,$BC1027=(Elig_MatchAll_Ct-1),AZ1027=0),AB1027,0)</f>
        <v>0</v>
      </c>
      <c r="CH1027" s="994">
        <f>IF(AND(Input_Product=Elig!$C1027,Elig_MatchAll_Ct&lt;22,$BC1027=(Elig_MatchAll_Ct-1),AZ1027=0),AC1027,0)</f>
        <v>0</v>
      </c>
      <c r="CI1027" s="993">
        <f>IF(AND(Input_Product=Elig!$C1027,Elig_MatchAll_Ct&lt;22,$BC1027=(Elig_MatchAll_Ct-1),BA1027=0),AD1027,0)</f>
        <v>0</v>
      </c>
      <c r="CJ1027" s="994">
        <f>IF(AND(Input_Product=Elig!$C1027,Elig_MatchAll_Ct&lt;22,$BC1027=(Elig_MatchAll_Ct-1),BA1027=0),AE1027,0)</f>
        <v>0</v>
      </c>
    </row>
    <row r="1028" spans="2:88" ht="10.15" customHeight="1" x14ac:dyDescent="0.25">
      <c r="B1028" s="1916" t="s">
        <v>2364</v>
      </c>
      <c r="C1028" s="1208" t="str">
        <f t="shared" si="402"/>
        <v xml:space="preserve">  </v>
      </c>
      <c r="D1028" s="1209" t="s">
        <v>2218</v>
      </c>
      <c r="E1028" s="1209" t="s">
        <v>167</v>
      </c>
      <c r="F1028" s="1209" t="s">
        <v>331</v>
      </c>
      <c r="G1028" s="1210" t="s">
        <v>468</v>
      </c>
      <c r="H1028" s="1210" t="s">
        <v>136</v>
      </c>
      <c r="I1028" s="1209" t="s">
        <v>16</v>
      </c>
      <c r="J1028" s="1209" t="s">
        <v>1311</v>
      </c>
      <c r="K1028" s="1210" t="s">
        <v>3022</v>
      </c>
      <c r="L1028" s="1209" t="s">
        <v>2768</v>
      </c>
      <c r="M1028" s="1209" t="s">
        <v>2677</v>
      </c>
      <c r="N1028" s="1210" t="s">
        <v>82</v>
      </c>
      <c r="O1028" s="1209" t="s">
        <v>310</v>
      </c>
      <c r="P1028" s="1209" t="s">
        <v>291</v>
      </c>
      <c r="Q1028" s="1209" t="s">
        <v>294</v>
      </c>
      <c r="R1028" s="1209">
        <v>1000000.01</v>
      </c>
      <c r="S1028" s="1209">
        <v>1500000</v>
      </c>
      <c r="T1028" s="1209">
        <v>0</v>
      </c>
      <c r="U1028" s="1209">
        <f t="shared" si="400"/>
        <v>1500000</v>
      </c>
      <c r="V1028" s="1209">
        <v>0</v>
      </c>
      <c r="W1028" s="1209">
        <v>50</v>
      </c>
      <c r="X1028" s="1209">
        <v>0</v>
      </c>
      <c r="Y1028" s="1209">
        <v>999</v>
      </c>
      <c r="Z1028" s="1211">
        <v>700</v>
      </c>
      <c r="AA1028" s="1211">
        <v>719</v>
      </c>
      <c r="AB1028" s="1211">
        <v>6</v>
      </c>
      <c r="AC1028" s="1211">
        <v>999999</v>
      </c>
      <c r="AD1028" s="1209">
        <v>0</v>
      </c>
      <c r="AE1028" s="1212">
        <v>80</v>
      </c>
      <c r="AF1028" s="170">
        <v>0</v>
      </c>
      <c r="AG1028" s="171">
        <v>1</v>
      </c>
      <c r="AH1028" s="171">
        <v>1</v>
      </c>
      <c r="AI1028" s="171">
        <v>1</v>
      </c>
      <c r="AJ1028" s="171">
        <v>0</v>
      </c>
      <c r="AK1028" s="171">
        <v>1</v>
      </c>
      <c r="AL1028" s="171">
        <v>1</v>
      </c>
      <c r="AM1028" s="171">
        <v>1</v>
      </c>
      <c r="AN1028" s="171">
        <v>1</v>
      </c>
      <c r="AO1028" s="171">
        <v>1</v>
      </c>
      <c r="AP1028" s="171">
        <v>1</v>
      </c>
      <c r="AQ1028" s="171">
        <v>1</v>
      </c>
      <c r="AR1028" s="171">
        <v>1</v>
      </c>
      <c r="AS1028" s="171">
        <v>1</v>
      </c>
      <c r="AT1028" s="171">
        <v>1</v>
      </c>
      <c r="AU1028" s="171">
        <f t="shared" si="391"/>
        <v>0</v>
      </c>
      <c r="AV1028" s="171">
        <f t="shared" si="392"/>
        <v>1</v>
      </c>
      <c r="AW1028" s="171">
        <f t="shared" si="393"/>
        <v>1</v>
      </c>
      <c r="AX1028" s="171">
        <f t="shared" si="401"/>
        <v>1</v>
      </c>
      <c r="AY1028" s="171">
        <f t="shared" si="394"/>
        <v>0</v>
      </c>
      <c r="AZ1028" s="171">
        <f t="shared" si="395"/>
        <v>1</v>
      </c>
      <c r="BA1028" s="172">
        <f t="shared" si="396"/>
        <v>1</v>
      </c>
      <c r="BB1028" s="175">
        <f t="shared" si="397"/>
        <v>18</v>
      </c>
      <c r="BC1028" s="176">
        <f t="shared" si="398"/>
        <v>17</v>
      </c>
      <c r="BD1028" s="176">
        <f t="shared" si="399"/>
        <v>18</v>
      </c>
      <c r="BE1028" s="240" t="str">
        <f t="shared" si="390"/>
        <v/>
      </c>
      <c r="BF1028" s="990"/>
      <c r="BG1028" s="990"/>
      <c r="BH1028" s="991">
        <f>IF(AND(Input_Product=Elig!$C1028,Elig_MatchAll_Ct&lt;22,$BC1028=(Elig_MatchAll_Ct-1),AF1028=0),C1028,0)</f>
        <v>0</v>
      </c>
      <c r="BI1028" s="991">
        <f>IF(AND(Input_Product=Elig!$C1028,Elig_MatchAll_Ct&lt;22,$BC1028=(Elig_MatchAll_Ct-1),AG1028=0),D1028,0)</f>
        <v>0</v>
      </c>
      <c r="BJ1028" s="991">
        <f>IF(AND(Input_Product=Elig!$C1028,Elig_MatchAll_Ct&lt;22,$BC1028=(Elig_MatchAll_Ct-1),AH1028=0),E1028,0)</f>
        <v>0</v>
      </c>
      <c r="BK1028" s="991">
        <f>IF(AND(Input_Product=Elig!$C1028,Elig_MatchAll_Ct&lt;22,$BC1028=(Elig_MatchAll_Ct-1),AI1028=0),F1028,0)</f>
        <v>0</v>
      </c>
      <c r="BL1028" s="991">
        <f>IF(AND(Input_Product=Elig!$C1028,Elig_MatchAll_Ct&lt;22,$BC1028=(Elig_MatchAll_Ct-1),AJ1028=0),G1028,0)</f>
        <v>0</v>
      </c>
      <c r="BM1028" s="991">
        <f>IF(AND(Input_Product=Elig!$C1028,Elig_MatchAll_Ct&lt;22,$BC1028=(Elig_MatchAll_Ct-1),AK1028=0),H1028,0)</f>
        <v>0</v>
      </c>
      <c r="BN1028" s="991">
        <f>IF(AND(Input_Product=Elig!$C1028,Elig_MatchAll_Ct&lt;22,$BC1028=(Elig_MatchAll_Ct-1),AL1028=0),I1028,0)</f>
        <v>0</v>
      </c>
      <c r="BO1028" s="991">
        <f>IF(AND(Input_Product=Elig!$C1028,Elig_MatchAll_Ct&lt;22,$BC1028=(Elig_MatchAll_Ct-1),AM1028=0),J1028,0)</f>
        <v>0</v>
      </c>
      <c r="BP1028" s="991">
        <f>IF(AND(Input_Product=Elig!$C1028,Elig_MatchAll_Ct&lt;22,$BC1028=(Elig_MatchAll_Ct-1),AN1028=0),K1028,0)</f>
        <v>0</v>
      </c>
      <c r="BQ1028" s="991">
        <f>IF(AND(Input_Product=Elig!$C1028,Elig_MatchAll_Ct&lt;22,$BC1028=(Elig_MatchAll_Ct-1),AP1028=0),L1028,0)</f>
        <v>0</v>
      </c>
      <c r="BR1028" s="991">
        <f>IF(AND(Input_Product=Elig!$C1028,Elig_MatchAll_Ct&lt;22,$BC1028=(Elig_MatchAll_Ct-1),AO1028=0),M1028,0)</f>
        <v>0</v>
      </c>
      <c r="BS1028" s="991">
        <f>IF(AND(Input_Product=Elig!$C1028,Elig_MatchAll_Ct&lt;22,$BC1028=(Elig_MatchAll_Ct-1),AQ1028=0),N1028,0)</f>
        <v>0</v>
      </c>
      <c r="BT1028" s="991">
        <f>IF(AND(Input_Product=Elig!$C1028,Elig_MatchAll_Ct&lt;22,$BC1028=(Elig_MatchAll_Ct-1),AR1028=0),O1028,0)</f>
        <v>0</v>
      </c>
      <c r="BU1028" s="991">
        <f>IF(AND(Input_Product=Elig!$C1028,Elig_MatchAll_Ct&lt;22,$BC1028=(Elig_MatchAll_Ct-1),AS1028=0),P1028,0)</f>
        <v>0</v>
      </c>
      <c r="BV1028" s="992">
        <f>IF(AND(Input_Product=Elig!$C1028,Elig_MatchAll_Ct&lt;22,$BC1028=(Elig_MatchAll_Ct-1),AT1028=0),Q1028,0)</f>
        <v>0</v>
      </c>
      <c r="BW1028" s="993">
        <f>IF(AND(Input_Product=Elig!$C1028,Elig_MatchAll_Ct&lt;22,$BC1028=(Elig_MatchAll_Ct-1),AU1028=0),R1028,0)</f>
        <v>0</v>
      </c>
      <c r="BX1028" s="994">
        <f>IF(AND(Input_Product=Elig!$C1028,Elig_MatchAll_Ct&lt;22,$BC1028=(Elig_MatchAll_Ct-1),AU1028=0),S1028,0)</f>
        <v>0</v>
      </c>
      <c r="BY1028" s="993">
        <f>IF(AND(Input_Product=Elig!$C1028,Elig_MatchAll_Ct&lt;22,$BC1028=(Elig_MatchAll_Ct-1),AV1028=0),T1028,0)</f>
        <v>0</v>
      </c>
      <c r="BZ1028" s="994">
        <f>IF(AND(Input_Product=Elig!$C1028,Elig_MatchAll_Ct&lt;22,$BC1028=(Elig_MatchAll_Ct-1),AV1028=0),U1028,0)</f>
        <v>0</v>
      </c>
      <c r="CA1028" s="993">
        <f>IF(AND(Input_Product=Elig!$C1028,Elig_MatchAll_Ct&lt;22,$BC1028=(Elig_MatchAll_Ct-1),AW1028=0),V1028,0)</f>
        <v>0</v>
      </c>
      <c r="CB1028" s="994">
        <f>IF(AND(Input_Product=Elig!$C1028,Elig_MatchAll_Ct&lt;22,$BC1028=(Elig_MatchAll_Ct-1),AW1028=0),W1028,0)</f>
        <v>0</v>
      </c>
      <c r="CC1028" s="993">
        <f>IF(AND(Input_Product=Elig!$C1028,Elig_MatchAll_Ct&lt;22,$BC1028=(Elig_MatchAll_Ct-1),AX1028=0),X1028,0)</f>
        <v>0</v>
      </c>
      <c r="CD1028" s="994">
        <f>IF(AND(Input_Product=Elig!$C1028,Elig_MatchAll_Ct&lt;22,$BC1028=(Elig_MatchAll_Ct-1),AX1028=0),Y1028,0)</f>
        <v>0</v>
      </c>
      <c r="CE1028" s="993">
        <f>IF(AND(Input_LTV&lt;=AE1028,Input_Product=Elig!$C1028,Elig_MatchAll_Ct&lt;22,$BC1028=(Elig_MatchAll_Ct-1),AY1028=0),Z1028,0)</f>
        <v>0</v>
      </c>
      <c r="CF1028" s="994">
        <f>IF(AND(Input_LTV&lt;=AE1028,Input_Product=Elig!$C1028,Elig_MatchAll_Ct&lt;22,$BC1028=(Elig_MatchAll_Ct-1),AY1028=0),AA1028,0)</f>
        <v>0</v>
      </c>
      <c r="CG1028" s="993">
        <f>IF(AND(Input_Product=Elig!$C1028,Elig_MatchAll_Ct&lt;22,$BC1028=(Elig_MatchAll_Ct-1),AZ1028=0),AB1028,0)</f>
        <v>0</v>
      </c>
      <c r="CH1028" s="994">
        <f>IF(AND(Input_Product=Elig!$C1028,Elig_MatchAll_Ct&lt;22,$BC1028=(Elig_MatchAll_Ct-1),AZ1028=0),AC1028,0)</f>
        <v>0</v>
      </c>
      <c r="CI1028" s="993">
        <f>IF(AND(Input_Product=Elig!$C1028,Elig_MatchAll_Ct&lt;22,$BC1028=(Elig_MatchAll_Ct-1),BA1028=0),AD1028,0)</f>
        <v>0</v>
      </c>
      <c r="CJ1028" s="994">
        <f>IF(AND(Input_Product=Elig!$C1028,Elig_MatchAll_Ct&lt;22,$BC1028=(Elig_MatchAll_Ct-1),BA1028=0),AE1028,0)</f>
        <v>0</v>
      </c>
    </row>
    <row r="1029" spans="2:88" ht="10.15" customHeight="1" x14ac:dyDescent="0.25">
      <c r="B1029" s="1916" t="s">
        <v>2365</v>
      </c>
      <c r="C1029" s="1208" t="str">
        <f t="shared" si="402"/>
        <v xml:space="preserve">  </v>
      </c>
      <c r="D1029" s="1209" t="s">
        <v>2218</v>
      </c>
      <c r="E1029" s="1209" t="s">
        <v>167</v>
      </c>
      <c r="F1029" s="1209" t="s">
        <v>331</v>
      </c>
      <c r="G1029" s="1210" t="s">
        <v>468</v>
      </c>
      <c r="H1029" s="1210" t="s">
        <v>136</v>
      </c>
      <c r="I1029" s="1209" t="s">
        <v>16</v>
      </c>
      <c r="J1029" s="1209" t="s">
        <v>1311</v>
      </c>
      <c r="K1029" s="1210" t="s">
        <v>3022</v>
      </c>
      <c r="L1029" s="1209" t="s">
        <v>2768</v>
      </c>
      <c r="M1029" s="1209" t="s">
        <v>2677</v>
      </c>
      <c r="N1029" s="1210" t="s">
        <v>82</v>
      </c>
      <c r="O1029" s="1209" t="s">
        <v>310</v>
      </c>
      <c r="P1029" s="1209" t="s">
        <v>291</v>
      </c>
      <c r="Q1029" s="1209" t="s">
        <v>294</v>
      </c>
      <c r="R1029" s="1209">
        <v>1000000.01</v>
      </c>
      <c r="S1029" s="1209">
        <v>1500000</v>
      </c>
      <c r="T1029" s="1209">
        <v>0</v>
      </c>
      <c r="U1029" s="1209">
        <f t="shared" si="400"/>
        <v>1500000</v>
      </c>
      <c r="V1029" s="1209">
        <v>0</v>
      </c>
      <c r="W1029" s="1209">
        <v>50</v>
      </c>
      <c r="X1029" s="1209">
        <v>0</v>
      </c>
      <c r="Y1029" s="1209">
        <v>999</v>
      </c>
      <c r="Z1029" s="1211">
        <v>680</v>
      </c>
      <c r="AA1029" s="1211">
        <v>699</v>
      </c>
      <c r="AB1029" s="1211">
        <v>6</v>
      </c>
      <c r="AC1029" s="1211">
        <v>999999</v>
      </c>
      <c r="AD1029" s="1209">
        <v>0</v>
      </c>
      <c r="AE1029" s="1212">
        <v>75</v>
      </c>
      <c r="AF1029" s="170">
        <v>0</v>
      </c>
      <c r="AG1029" s="171">
        <v>1</v>
      </c>
      <c r="AH1029" s="171">
        <v>1</v>
      </c>
      <c r="AI1029" s="171">
        <v>1</v>
      </c>
      <c r="AJ1029" s="171">
        <v>0</v>
      </c>
      <c r="AK1029" s="171">
        <v>1</v>
      </c>
      <c r="AL1029" s="171">
        <v>1</v>
      </c>
      <c r="AM1029" s="171">
        <v>1</v>
      </c>
      <c r="AN1029" s="171">
        <v>1</v>
      </c>
      <c r="AO1029" s="171">
        <v>1</v>
      </c>
      <c r="AP1029" s="171">
        <v>1</v>
      </c>
      <c r="AQ1029" s="171">
        <v>1</v>
      </c>
      <c r="AR1029" s="171">
        <v>1</v>
      </c>
      <c r="AS1029" s="171">
        <v>1</v>
      </c>
      <c r="AT1029" s="171">
        <v>1</v>
      </c>
      <c r="AU1029" s="171">
        <f t="shared" si="391"/>
        <v>0</v>
      </c>
      <c r="AV1029" s="171">
        <f t="shared" si="392"/>
        <v>1</v>
      </c>
      <c r="AW1029" s="171">
        <f t="shared" si="393"/>
        <v>1</v>
      </c>
      <c r="AX1029" s="171">
        <f t="shared" si="401"/>
        <v>1</v>
      </c>
      <c r="AY1029" s="171">
        <f t="shared" si="394"/>
        <v>0</v>
      </c>
      <c r="AZ1029" s="171">
        <f t="shared" si="395"/>
        <v>1</v>
      </c>
      <c r="BA1029" s="172">
        <f t="shared" si="396"/>
        <v>1</v>
      </c>
      <c r="BB1029" s="175">
        <f t="shared" si="397"/>
        <v>18</v>
      </c>
      <c r="BC1029" s="176">
        <f t="shared" si="398"/>
        <v>17</v>
      </c>
      <c r="BD1029" s="176">
        <f t="shared" si="399"/>
        <v>18</v>
      </c>
      <c r="BE1029" s="240" t="str">
        <f t="shared" si="390"/>
        <v/>
      </c>
      <c r="BF1029" s="990"/>
      <c r="BG1029" s="990"/>
      <c r="BH1029" s="991">
        <f>IF(AND(Input_Product=Elig!$C1029,Elig_MatchAll_Ct&lt;22,$BC1029=(Elig_MatchAll_Ct-1),AF1029=0),C1029,0)</f>
        <v>0</v>
      </c>
      <c r="BI1029" s="991">
        <f>IF(AND(Input_Product=Elig!$C1029,Elig_MatchAll_Ct&lt;22,$BC1029=(Elig_MatchAll_Ct-1),AG1029=0),D1029,0)</f>
        <v>0</v>
      </c>
      <c r="BJ1029" s="991">
        <f>IF(AND(Input_Product=Elig!$C1029,Elig_MatchAll_Ct&lt;22,$BC1029=(Elig_MatchAll_Ct-1),AH1029=0),E1029,0)</f>
        <v>0</v>
      </c>
      <c r="BK1029" s="991">
        <f>IF(AND(Input_Product=Elig!$C1029,Elig_MatchAll_Ct&lt;22,$BC1029=(Elig_MatchAll_Ct-1),AI1029=0),F1029,0)</f>
        <v>0</v>
      </c>
      <c r="BL1029" s="991">
        <f>IF(AND(Input_Product=Elig!$C1029,Elig_MatchAll_Ct&lt;22,$BC1029=(Elig_MatchAll_Ct-1),AJ1029=0),G1029,0)</f>
        <v>0</v>
      </c>
      <c r="BM1029" s="991">
        <f>IF(AND(Input_Product=Elig!$C1029,Elig_MatchAll_Ct&lt;22,$BC1029=(Elig_MatchAll_Ct-1),AK1029=0),H1029,0)</f>
        <v>0</v>
      </c>
      <c r="BN1029" s="991">
        <f>IF(AND(Input_Product=Elig!$C1029,Elig_MatchAll_Ct&lt;22,$BC1029=(Elig_MatchAll_Ct-1),AL1029=0),I1029,0)</f>
        <v>0</v>
      </c>
      <c r="BO1029" s="991">
        <f>IF(AND(Input_Product=Elig!$C1029,Elig_MatchAll_Ct&lt;22,$BC1029=(Elig_MatchAll_Ct-1),AM1029=0),J1029,0)</f>
        <v>0</v>
      </c>
      <c r="BP1029" s="991">
        <f>IF(AND(Input_Product=Elig!$C1029,Elig_MatchAll_Ct&lt;22,$BC1029=(Elig_MatchAll_Ct-1),AN1029=0),K1029,0)</f>
        <v>0</v>
      </c>
      <c r="BQ1029" s="991">
        <f>IF(AND(Input_Product=Elig!$C1029,Elig_MatchAll_Ct&lt;22,$BC1029=(Elig_MatchAll_Ct-1),AP1029=0),L1029,0)</f>
        <v>0</v>
      </c>
      <c r="BR1029" s="991">
        <f>IF(AND(Input_Product=Elig!$C1029,Elig_MatchAll_Ct&lt;22,$BC1029=(Elig_MatchAll_Ct-1),AO1029=0),M1029,0)</f>
        <v>0</v>
      </c>
      <c r="BS1029" s="991">
        <f>IF(AND(Input_Product=Elig!$C1029,Elig_MatchAll_Ct&lt;22,$BC1029=(Elig_MatchAll_Ct-1),AQ1029=0),N1029,0)</f>
        <v>0</v>
      </c>
      <c r="BT1029" s="991">
        <f>IF(AND(Input_Product=Elig!$C1029,Elig_MatchAll_Ct&lt;22,$BC1029=(Elig_MatchAll_Ct-1),AR1029=0),O1029,0)</f>
        <v>0</v>
      </c>
      <c r="BU1029" s="991">
        <f>IF(AND(Input_Product=Elig!$C1029,Elig_MatchAll_Ct&lt;22,$BC1029=(Elig_MatchAll_Ct-1),AS1029=0),P1029,0)</f>
        <v>0</v>
      </c>
      <c r="BV1029" s="992">
        <f>IF(AND(Input_Product=Elig!$C1029,Elig_MatchAll_Ct&lt;22,$BC1029=(Elig_MatchAll_Ct-1),AT1029=0),Q1029,0)</f>
        <v>0</v>
      </c>
      <c r="BW1029" s="993">
        <f>IF(AND(Input_Product=Elig!$C1029,Elig_MatchAll_Ct&lt;22,$BC1029=(Elig_MatchAll_Ct-1),AU1029=0),R1029,0)</f>
        <v>0</v>
      </c>
      <c r="BX1029" s="994">
        <f>IF(AND(Input_Product=Elig!$C1029,Elig_MatchAll_Ct&lt;22,$BC1029=(Elig_MatchAll_Ct-1),AU1029=0),S1029,0)</f>
        <v>0</v>
      </c>
      <c r="BY1029" s="993">
        <f>IF(AND(Input_Product=Elig!$C1029,Elig_MatchAll_Ct&lt;22,$BC1029=(Elig_MatchAll_Ct-1),AV1029=0),T1029,0)</f>
        <v>0</v>
      </c>
      <c r="BZ1029" s="994">
        <f>IF(AND(Input_Product=Elig!$C1029,Elig_MatchAll_Ct&lt;22,$BC1029=(Elig_MatchAll_Ct-1),AV1029=0),U1029,0)</f>
        <v>0</v>
      </c>
      <c r="CA1029" s="993">
        <f>IF(AND(Input_Product=Elig!$C1029,Elig_MatchAll_Ct&lt;22,$BC1029=(Elig_MatchAll_Ct-1),AW1029=0),V1029,0)</f>
        <v>0</v>
      </c>
      <c r="CB1029" s="994">
        <f>IF(AND(Input_Product=Elig!$C1029,Elig_MatchAll_Ct&lt;22,$BC1029=(Elig_MatchAll_Ct-1),AW1029=0),W1029,0)</f>
        <v>0</v>
      </c>
      <c r="CC1029" s="993">
        <f>IF(AND(Input_Product=Elig!$C1029,Elig_MatchAll_Ct&lt;22,$BC1029=(Elig_MatchAll_Ct-1),AX1029=0),X1029,0)</f>
        <v>0</v>
      </c>
      <c r="CD1029" s="994">
        <f>IF(AND(Input_Product=Elig!$C1029,Elig_MatchAll_Ct&lt;22,$BC1029=(Elig_MatchAll_Ct-1),AX1029=0),Y1029,0)</f>
        <v>0</v>
      </c>
      <c r="CE1029" s="993">
        <f>IF(AND(Input_LTV&lt;=AE1029,Input_Product=Elig!$C1029,Elig_MatchAll_Ct&lt;22,$BC1029=(Elig_MatchAll_Ct-1),AY1029=0),Z1029,0)</f>
        <v>0</v>
      </c>
      <c r="CF1029" s="994">
        <f>IF(AND(Input_LTV&lt;=AE1029,Input_Product=Elig!$C1029,Elig_MatchAll_Ct&lt;22,$BC1029=(Elig_MatchAll_Ct-1),AY1029=0),AA1029,0)</f>
        <v>0</v>
      </c>
      <c r="CG1029" s="993">
        <f>IF(AND(Input_Product=Elig!$C1029,Elig_MatchAll_Ct&lt;22,$BC1029=(Elig_MatchAll_Ct-1),AZ1029=0),AB1029,0)</f>
        <v>0</v>
      </c>
      <c r="CH1029" s="994">
        <f>IF(AND(Input_Product=Elig!$C1029,Elig_MatchAll_Ct&lt;22,$BC1029=(Elig_MatchAll_Ct-1),AZ1029=0),AC1029,0)</f>
        <v>0</v>
      </c>
      <c r="CI1029" s="993">
        <f>IF(AND(Input_Product=Elig!$C1029,Elig_MatchAll_Ct&lt;22,$BC1029=(Elig_MatchAll_Ct-1),BA1029=0),AD1029,0)</f>
        <v>0</v>
      </c>
      <c r="CJ1029" s="994">
        <f>IF(AND(Input_Product=Elig!$C1029,Elig_MatchAll_Ct&lt;22,$BC1029=(Elig_MatchAll_Ct-1),BA1029=0),AE1029,0)</f>
        <v>0</v>
      </c>
    </row>
    <row r="1030" spans="2:88" ht="10.15" customHeight="1" x14ac:dyDescent="0.25">
      <c r="B1030" s="1916" t="s">
        <v>2366</v>
      </c>
      <c r="C1030" s="1213" t="str">
        <f t="shared" si="402"/>
        <v xml:space="preserve">  </v>
      </c>
      <c r="D1030" s="1214" t="s">
        <v>2218</v>
      </c>
      <c r="E1030" s="1214" t="s">
        <v>167</v>
      </c>
      <c r="F1030" s="1214" t="s">
        <v>331</v>
      </c>
      <c r="G1030" s="1215" t="s">
        <v>468</v>
      </c>
      <c r="H1030" s="1215" t="s">
        <v>136</v>
      </c>
      <c r="I1030" s="1214" t="s">
        <v>16</v>
      </c>
      <c r="J1030" s="1214" t="s">
        <v>1311</v>
      </c>
      <c r="K1030" s="1215" t="s">
        <v>3022</v>
      </c>
      <c r="L1030" s="1214" t="s">
        <v>2768</v>
      </c>
      <c r="M1030" s="1214" t="s">
        <v>2677</v>
      </c>
      <c r="N1030" s="1215" t="s">
        <v>82</v>
      </c>
      <c r="O1030" s="1214" t="s">
        <v>310</v>
      </c>
      <c r="P1030" s="1214" t="s">
        <v>291</v>
      </c>
      <c r="Q1030" s="1214" t="s">
        <v>294</v>
      </c>
      <c r="R1030" s="1214">
        <v>1000000.01</v>
      </c>
      <c r="S1030" s="1214">
        <v>1500000</v>
      </c>
      <c r="T1030" s="1214">
        <v>0</v>
      </c>
      <c r="U1030" s="1214">
        <f t="shared" si="400"/>
        <v>1500000</v>
      </c>
      <c r="V1030" s="1214">
        <v>0</v>
      </c>
      <c r="W1030" s="1214">
        <v>50</v>
      </c>
      <c r="X1030" s="1214">
        <v>0</v>
      </c>
      <c r="Y1030" s="1214">
        <v>999</v>
      </c>
      <c r="Z1030" s="1216">
        <v>660</v>
      </c>
      <c r="AA1030" s="1216">
        <v>679</v>
      </c>
      <c r="AB1030" s="1216">
        <v>6</v>
      </c>
      <c r="AC1030" s="1216">
        <v>999999</v>
      </c>
      <c r="AD1030" s="1214">
        <v>0</v>
      </c>
      <c r="AE1030" s="1217">
        <v>70</v>
      </c>
      <c r="AF1030" s="170">
        <v>0</v>
      </c>
      <c r="AG1030" s="171">
        <v>1</v>
      </c>
      <c r="AH1030" s="171">
        <v>1</v>
      </c>
      <c r="AI1030" s="171">
        <v>1</v>
      </c>
      <c r="AJ1030" s="171">
        <v>0</v>
      </c>
      <c r="AK1030" s="171">
        <v>1</v>
      </c>
      <c r="AL1030" s="171">
        <v>1</v>
      </c>
      <c r="AM1030" s="171">
        <v>1</v>
      </c>
      <c r="AN1030" s="171">
        <v>1</v>
      </c>
      <c r="AO1030" s="171">
        <v>1</v>
      </c>
      <c r="AP1030" s="171">
        <v>1</v>
      </c>
      <c r="AQ1030" s="171">
        <v>1</v>
      </c>
      <c r="AR1030" s="171">
        <v>1</v>
      </c>
      <c r="AS1030" s="171">
        <v>1</v>
      </c>
      <c r="AT1030" s="171">
        <v>1</v>
      </c>
      <c r="AU1030" s="171">
        <f t="shared" si="391"/>
        <v>0</v>
      </c>
      <c r="AV1030" s="171">
        <f t="shared" si="392"/>
        <v>1</v>
      </c>
      <c r="AW1030" s="171">
        <f t="shared" si="393"/>
        <v>1</v>
      </c>
      <c r="AX1030" s="171">
        <f t="shared" si="401"/>
        <v>1</v>
      </c>
      <c r="AY1030" s="171">
        <f t="shared" si="394"/>
        <v>0</v>
      </c>
      <c r="AZ1030" s="171">
        <f t="shared" si="395"/>
        <v>1</v>
      </c>
      <c r="BA1030" s="172">
        <f t="shared" si="396"/>
        <v>1</v>
      </c>
      <c r="BB1030" s="175">
        <f t="shared" si="397"/>
        <v>18</v>
      </c>
      <c r="BC1030" s="176">
        <f t="shared" si="398"/>
        <v>17</v>
      </c>
      <c r="BD1030" s="176">
        <f t="shared" si="399"/>
        <v>18</v>
      </c>
      <c r="BE1030" s="240" t="str">
        <f t="shared" si="390"/>
        <v/>
      </c>
      <c r="BF1030" s="990"/>
      <c r="BG1030" s="990"/>
      <c r="BH1030" s="991">
        <f>IF(AND(Input_Product=Elig!$C1030,Elig_MatchAll_Ct&lt;22,$BC1030=(Elig_MatchAll_Ct-1),AF1030=0),C1030,0)</f>
        <v>0</v>
      </c>
      <c r="BI1030" s="991">
        <f>IF(AND(Input_Product=Elig!$C1030,Elig_MatchAll_Ct&lt;22,$BC1030=(Elig_MatchAll_Ct-1),AG1030=0),D1030,0)</f>
        <v>0</v>
      </c>
      <c r="BJ1030" s="991">
        <f>IF(AND(Input_Product=Elig!$C1030,Elig_MatchAll_Ct&lt;22,$BC1030=(Elig_MatchAll_Ct-1),AH1030=0),E1030,0)</f>
        <v>0</v>
      </c>
      <c r="BK1030" s="991">
        <f>IF(AND(Input_Product=Elig!$C1030,Elig_MatchAll_Ct&lt;22,$BC1030=(Elig_MatchAll_Ct-1),AI1030=0),F1030,0)</f>
        <v>0</v>
      </c>
      <c r="BL1030" s="991">
        <f>IF(AND(Input_Product=Elig!$C1030,Elig_MatchAll_Ct&lt;22,$BC1030=(Elig_MatchAll_Ct-1),AJ1030=0),G1030,0)</f>
        <v>0</v>
      </c>
      <c r="BM1030" s="991">
        <f>IF(AND(Input_Product=Elig!$C1030,Elig_MatchAll_Ct&lt;22,$BC1030=(Elig_MatchAll_Ct-1),AK1030=0),H1030,0)</f>
        <v>0</v>
      </c>
      <c r="BN1030" s="991">
        <f>IF(AND(Input_Product=Elig!$C1030,Elig_MatchAll_Ct&lt;22,$BC1030=(Elig_MatchAll_Ct-1),AL1030=0),I1030,0)</f>
        <v>0</v>
      </c>
      <c r="BO1030" s="991">
        <f>IF(AND(Input_Product=Elig!$C1030,Elig_MatchAll_Ct&lt;22,$BC1030=(Elig_MatchAll_Ct-1),AM1030=0),J1030,0)</f>
        <v>0</v>
      </c>
      <c r="BP1030" s="991">
        <f>IF(AND(Input_Product=Elig!$C1030,Elig_MatchAll_Ct&lt;22,$BC1030=(Elig_MatchAll_Ct-1),AN1030=0),K1030,0)</f>
        <v>0</v>
      </c>
      <c r="BQ1030" s="991">
        <f>IF(AND(Input_Product=Elig!$C1030,Elig_MatchAll_Ct&lt;22,$BC1030=(Elig_MatchAll_Ct-1),AP1030=0),L1030,0)</f>
        <v>0</v>
      </c>
      <c r="BR1030" s="991">
        <f>IF(AND(Input_Product=Elig!$C1030,Elig_MatchAll_Ct&lt;22,$BC1030=(Elig_MatchAll_Ct-1),AO1030=0),M1030,0)</f>
        <v>0</v>
      </c>
      <c r="BS1030" s="991">
        <f>IF(AND(Input_Product=Elig!$C1030,Elig_MatchAll_Ct&lt;22,$BC1030=(Elig_MatchAll_Ct-1),AQ1030=0),N1030,0)</f>
        <v>0</v>
      </c>
      <c r="BT1030" s="991">
        <f>IF(AND(Input_Product=Elig!$C1030,Elig_MatchAll_Ct&lt;22,$BC1030=(Elig_MatchAll_Ct-1),AR1030=0),O1030,0)</f>
        <v>0</v>
      </c>
      <c r="BU1030" s="991">
        <f>IF(AND(Input_Product=Elig!$C1030,Elig_MatchAll_Ct&lt;22,$BC1030=(Elig_MatchAll_Ct-1),AS1030=0),P1030,0)</f>
        <v>0</v>
      </c>
      <c r="BV1030" s="992">
        <f>IF(AND(Input_Product=Elig!$C1030,Elig_MatchAll_Ct&lt;22,$BC1030=(Elig_MatchAll_Ct-1),AT1030=0),Q1030,0)</f>
        <v>0</v>
      </c>
      <c r="BW1030" s="993">
        <f>IF(AND(Input_Product=Elig!$C1030,Elig_MatchAll_Ct&lt;22,$BC1030=(Elig_MatchAll_Ct-1),AU1030=0),R1030,0)</f>
        <v>0</v>
      </c>
      <c r="BX1030" s="994">
        <f>IF(AND(Input_Product=Elig!$C1030,Elig_MatchAll_Ct&lt;22,$BC1030=(Elig_MatchAll_Ct-1),AU1030=0),S1030,0)</f>
        <v>0</v>
      </c>
      <c r="BY1030" s="993">
        <f>IF(AND(Input_Product=Elig!$C1030,Elig_MatchAll_Ct&lt;22,$BC1030=(Elig_MatchAll_Ct-1),AV1030=0),T1030,0)</f>
        <v>0</v>
      </c>
      <c r="BZ1030" s="994">
        <f>IF(AND(Input_Product=Elig!$C1030,Elig_MatchAll_Ct&lt;22,$BC1030=(Elig_MatchAll_Ct-1),AV1030=0),U1030,0)</f>
        <v>0</v>
      </c>
      <c r="CA1030" s="993">
        <f>IF(AND(Input_Product=Elig!$C1030,Elig_MatchAll_Ct&lt;22,$BC1030=(Elig_MatchAll_Ct-1),AW1030=0),V1030,0)</f>
        <v>0</v>
      </c>
      <c r="CB1030" s="994">
        <f>IF(AND(Input_Product=Elig!$C1030,Elig_MatchAll_Ct&lt;22,$BC1030=(Elig_MatchAll_Ct-1),AW1030=0),W1030,0)</f>
        <v>0</v>
      </c>
      <c r="CC1030" s="993">
        <f>IF(AND(Input_Product=Elig!$C1030,Elig_MatchAll_Ct&lt;22,$BC1030=(Elig_MatchAll_Ct-1),AX1030=0),X1030,0)</f>
        <v>0</v>
      </c>
      <c r="CD1030" s="994">
        <f>IF(AND(Input_Product=Elig!$C1030,Elig_MatchAll_Ct&lt;22,$BC1030=(Elig_MatchAll_Ct-1),AX1030=0),Y1030,0)</f>
        <v>0</v>
      </c>
      <c r="CE1030" s="993">
        <f>IF(AND(Input_LTV&lt;=AE1030,Input_Product=Elig!$C1030,Elig_MatchAll_Ct&lt;22,$BC1030=(Elig_MatchAll_Ct-1),AY1030=0),Z1030,0)</f>
        <v>0</v>
      </c>
      <c r="CF1030" s="994">
        <f>IF(AND(Input_LTV&lt;=AE1030,Input_Product=Elig!$C1030,Elig_MatchAll_Ct&lt;22,$BC1030=(Elig_MatchAll_Ct-1),AY1030=0),AA1030,0)</f>
        <v>0</v>
      </c>
      <c r="CG1030" s="993">
        <f>IF(AND(Input_Product=Elig!$C1030,Elig_MatchAll_Ct&lt;22,$BC1030=(Elig_MatchAll_Ct-1),AZ1030=0),AB1030,0)</f>
        <v>0</v>
      </c>
      <c r="CH1030" s="994">
        <f>IF(AND(Input_Product=Elig!$C1030,Elig_MatchAll_Ct&lt;22,$BC1030=(Elig_MatchAll_Ct-1),AZ1030=0),AC1030,0)</f>
        <v>0</v>
      </c>
      <c r="CI1030" s="993">
        <f>IF(AND(Input_Product=Elig!$C1030,Elig_MatchAll_Ct&lt;22,$BC1030=(Elig_MatchAll_Ct-1),BA1030=0),AD1030,0)</f>
        <v>0</v>
      </c>
      <c r="CJ1030" s="994">
        <f>IF(AND(Input_Product=Elig!$C1030,Elig_MatchAll_Ct&lt;22,$BC1030=(Elig_MatchAll_Ct-1),BA1030=0),AE1030,0)</f>
        <v>0</v>
      </c>
    </row>
    <row r="1031" spans="2:88" ht="10.15" customHeight="1" x14ac:dyDescent="0.25">
      <c r="B1031" s="1916" t="s">
        <v>2367</v>
      </c>
      <c r="C1031" s="1203" t="str">
        <f t="shared" si="402"/>
        <v xml:space="preserve">  </v>
      </c>
      <c r="D1031" s="1204" t="s">
        <v>2218</v>
      </c>
      <c r="E1031" s="1204" t="s">
        <v>167</v>
      </c>
      <c r="F1031" s="1204" t="s">
        <v>331</v>
      </c>
      <c r="G1031" s="1205" t="s">
        <v>468</v>
      </c>
      <c r="H1031" s="1205" t="s">
        <v>136</v>
      </c>
      <c r="I1031" s="1204" t="s">
        <v>16</v>
      </c>
      <c r="J1031" s="1204" t="s">
        <v>1311</v>
      </c>
      <c r="K1031" s="1205" t="s">
        <v>3022</v>
      </c>
      <c r="L1031" s="1204" t="s">
        <v>2768</v>
      </c>
      <c r="M1031" s="1204" t="s">
        <v>2677</v>
      </c>
      <c r="N1031" s="1205" t="s">
        <v>82</v>
      </c>
      <c r="O1031" s="1204" t="s">
        <v>310</v>
      </c>
      <c r="P1031" s="1204" t="s">
        <v>291</v>
      </c>
      <c r="Q1031" s="1204" t="s">
        <v>294</v>
      </c>
      <c r="R1031" s="1204">
        <v>1500000.01</v>
      </c>
      <c r="S1031" s="1204">
        <v>2000000</v>
      </c>
      <c r="T1031" s="1204">
        <v>0</v>
      </c>
      <c r="U1031" s="1204">
        <f t="shared" si="400"/>
        <v>2000000</v>
      </c>
      <c r="V1031" s="1204">
        <v>0</v>
      </c>
      <c r="W1031" s="1204">
        <v>50</v>
      </c>
      <c r="X1031" s="1204">
        <v>0</v>
      </c>
      <c r="Y1031" s="1204">
        <v>999</v>
      </c>
      <c r="Z1031" s="1206">
        <v>720</v>
      </c>
      <c r="AA1031" s="1206">
        <v>999</v>
      </c>
      <c r="AB1031" s="1206">
        <v>6</v>
      </c>
      <c r="AC1031" s="1206">
        <v>999999</v>
      </c>
      <c r="AD1031" s="1204">
        <v>0</v>
      </c>
      <c r="AE1031" s="1207">
        <v>80</v>
      </c>
      <c r="AF1031" s="170">
        <v>0</v>
      </c>
      <c r="AG1031" s="171">
        <v>1</v>
      </c>
      <c r="AH1031" s="171">
        <v>1</v>
      </c>
      <c r="AI1031" s="171">
        <v>1</v>
      </c>
      <c r="AJ1031" s="171">
        <v>0</v>
      </c>
      <c r="AK1031" s="171">
        <v>1</v>
      </c>
      <c r="AL1031" s="171">
        <v>1</v>
      </c>
      <c r="AM1031" s="171">
        <v>1</v>
      </c>
      <c r="AN1031" s="171">
        <v>1</v>
      </c>
      <c r="AO1031" s="171">
        <v>1</v>
      </c>
      <c r="AP1031" s="171">
        <v>1</v>
      </c>
      <c r="AQ1031" s="171">
        <v>1</v>
      </c>
      <c r="AR1031" s="171">
        <v>1</v>
      </c>
      <c r="AS1031" s="171">
        <v>1</v>
      </c>
      <c r="AT1031" s="171">
        <v>1</v>
      </c>
      <c r="AU1031" s="171">
        <f t="shared" si="391"/>
        <v>0</v>
      </c>
      <c r="AV1031" s="171">
        <f t="shared" si="392"/>
        <v>1</v>
      </c>
      <c r="AW1031" s="171">
        <f t="shared" si="393"/>
        <v>1</v>
      </c>
      <c r="AX1031" s="171">
        <f t="shared" si="401"/>
        <v>1</v>
      </c>
      <c r="AY1031" s="171">
        <f t="shared" si="394"/>
        <v>1</v>
      </c>
      <c r="AZ1031" s="171">
        <f t="shared" si="395"/>
        <v>1</v>
      </c>
      <c r="BA1031" s="172">
        <f t="shared" si="396"/>
        <v>1</v>
      </c>
      <c r="BB1031" s="175">
        <f t="shared" si="397"/>
        <v>19</v>
      </c>
      <c r="BC1031" s="176">
        <f t="shared" si="398"/>
        <v>18</v>
      </c>
      <c r="BD1031" s="176">
        <f t="shared" si="399"/>
        <v>19</v>
      </c>
      <c r="BE1031" s="240" t="str">
        <f t="shared" ref="BE1031:BE1094" si="403">IF(BD1031=21,C1031,"")</f>
        <v/>
      </c>
      <c r="BF1031" s="990"/>
      <c r="BG1031" s="990"/>
      <c r="BH1031" s="991">
        <f>IF(AND(Input_Product=Elig!$C1031,Elig_MatchAll_Ct&lt;22,$BC1031=(Elig_MatchAll_Ct-1),AF1031=0),C1031,0)</f>
        <v>0</v>
      </c>
      <c r="BI1031" s="991">
        <f>IF(AND(Input_Product=Elig!$C1031,Elig_MatchAll_Ct&lt;22,$BC1031=(Elig_MatchAll_Ct-1),AG1031=0),D1031,0)</f>
        <v>0</v>
      </c>
      <c r="BJ1031" s="991">
        <f>IF(AND(Input_Product=Elig!$C1031,Elig_MatchAll_Ct&lt;22,$BC1031=(Elig_MatchAll_Ct-1),AH1031=0),E1031,0)</f>
        <v>0</v>
      </c>
      <c r="BK1031" s="991">
        <f>IF(AND(Input_Product=Elig!$C1031,Elig_MatchAll_Ct&lt;22,$BC1031=(Elig_MatchAll_Ct-1),AI1031=0),F1031,0)</f>
        <v>0</v>
      </c>
      <c r="BL1031" s="991">
        <f>IF(AND(Input_Product=Elig!$C1031,Elig_MatchAll_Ct&lt;22,$BC1031=(Elig_MatchAll_Ct-1),AJ1031=0),G1031,0)</f>
        <v>0</v>
      </c>
      <c r="BM1031" s="991">
        <f>IF(AND(Input_Product=Elig!$C1031,Elig_MatchAll_Ct&lt;22,$BC1031=(Elig_MatchAll_Ct-1),AK1031=0),H1031,0)</f>
        <v>0</v>
      </c>
      <c r="BN1031" s="991">
        <f>IF(AND(Input_Product=Elig!$C1031,Elig_MatchAll_Ct&lt;22,$BC1031=(Elig_MatchAll_Ct-1),AL1031=0),I1031,0)</f>
        <v>0</v>
      </c>
      <c r="BO1031" s="991">
        <f>IF(AND(Input_Product=Elig!$C1031,Elig_MatchAll_Ct&lt;22,$BC1031=(Elig_MatchAll_Ct-1),AM1031=0),J1031,0)</f>
        <v>0</v>
      </c>
      <c r="BP1031" s="991">
        <f>IF(AND(Input_Product=Elig!$C1031,Elig_MatchAll_Ct&lt;22,$BC1031=(Elig_MatchAll_Ct-1),AN1031=0),K1031,0)</f>
        <v>0</v>
      </c>
      <c r="BQ1031" s="991">
        <f>IF(AND(Input_Product=Elig!$C1031,Elig_MatchAll_Ct&lt;22,$BC1031=(Elig_MatchAll_Ct-1),AP1031=0),L1031,0)</f>
        <v>0</v>
      </c>
      <c r="BR1031" s="991">
        <f>IF(AND(Input_Product=Elig!$C1031,Elig_MatchAll_Ct&lt;22,$BC1031=(Elig_MatchAll_Ct-1),AO1031=0),M1031,0)</f>
        <v>0</v>
      </c>
      <c r="BS1031" s="991">
        <f>IF(AND(Input_Product=Elig!$C1031,Elig_MatchAll_Ct&lt;22,$BC1031=(Elig_MatchAll_Ct-1),AQ1031=0),N1031,0)</f>
        <v>0</v>
      </c>
      <c r="BT1031" s="991">
        <f>IF(AND(Input_Product=Elig!$C1031,Elig_MatchAll_Ct&lt;22,$BC1031=(Elig_MatchAll_Ct-1),AR1031=0),O1031,0)</f>
        <v>0</v>
      </c>
      <c r="BU1031" s="991">
        <f>IF(AND(Input_Product=Elig!$C1031,Elig_MatchAll_Ct&lt;22,$BC1031=(Elig_MatchAll_Ct-1),AS1031=0),P1031,0)</f>
        <v>0</v>
      </c>
      <c r="BV1031" s="992">
        <f>IF(AND(Input_Product=Elig!$C1031,Elig_MatchAll_Ct&lt;22,$BC1031=(Elig_MatchAll_Ct-1),AT1031=0),Q1031,0)</f>
        <v>0</v>
      </c>
      <c r="BW1031" s="993">
        <f>IF(AND(Input_Product=Elig!$C1031,Elig_MatchAll_Ct&lt;22,$BC1031=(Elig_MatchAll_Ct-1),AU1031=0),R1031,0)</f>
        <v>0</v>
      </c>
      <c r="BX1031" s="994">
        <f>IF(AND(Input_Product=Elig!$C1031,Elig_MatchAll_Ct&lt;22,$BC1031=(Elig_MatchAll_Ct-1),AU1031=0),S1031,0)</f>
        <v>0</v>
      </c>
      <c r="BY1031" s="993">
        <f>IF(AND(Input_Product=Elig!$C1031,Elig_MatchAll_Ct&lt;22,$BC1031=(Elig_MatchAll_Ct-1),AV1031=0),T1031,0)</f>
        <v>0</v>
      </c>
      <c r="BZ1031" s="994">
        <f>IF(AND(Input_Product=Elig!$C1031,Elig_MatchAll_Ct&lt;22,$BC1031=(Elig_MatchAll_Ct-1),AV1031=0),U1031,0)</f>
        <v>0</v>
      </c>
      <c r="CA1031" s="993">
        <f>IF(AND(Input_Product=Elig!$C1031,Elig_MatchAll_Ct&lt;22,$BC1031=(Elig_MatchAll_Ct-1),AW1031=0),V1031,0)</f>
        <v>0</v>
      </c>
      <c r="CB1031" s="994">
        <f>IF(AND(Input_Product=Elig!$C1031,Elig_MatchAll_Ct&lt;22,$BC1031=(Elig_MatchAll_Ct-1),AW1031=0),W1031,0)</f>
        <v>0</v>
      </c>
      <c r="CC1031" s="993">
        <f>IF(AND(Input_Product=Elig!$C1031,Elig_MatchAll_Ct&lt;22,$BC1031=(Elig_MatchAll_Ct-1),AX1031=0),X1031,0)</f>
        <v>0</v>
      </c>
      <c r="CD1031" s="994">
        <f>IF(AND(Input_Product=Elig!$C1031,Elig_MatchAll_Ct&lt;22,$BC1031=(Elig_MatchAll_Ct-1),AX1031=0),Y1031,0)</f>
        <v>0</v>
      </c>
      <c r="CE1031" s="993">
        <f>IF(AND(Input_LTV&lt;=AE1031,Input_Product=Elig!$C1031,Elig_MatchAll_Ct&lt;22,$BC1031=(Elig_MatchAll_Ct-1),AY1031=0),Z1031,0)</f>
        <v>0</v>
      </c>
      <c r="CF1031" s="994">
        <f>IF(AND(Input_LTV&lt;=AE1031,Input_Product=Elig!$C1031,Elig_MatchAll_Ct&lt;22,$BC1031=(Elig_MatchAll_Ct-1),AY1031=0),AA1031,0)</f>
        <v>0</v>
      </c>
      <c r="CG1031" s="993">
        <f>IF(AND(Input_Product=Elig!$C1031,Elig_MatchAll_Ct&lt;22,$BC1031=(Elig_MatchAll_Ct-1),AZ1031=0),AB1031,0)</f>
        <v>0</v>
      </c>
      <c r="CH1031" s="994">
        <f>IF(AND(Input_Product=Elig!$C1031,Elig_MatchAll_Ct&lt;22,$BC1031=(Elig_MatchAll_Ct-1),AZ1031=0),AC1031,0)</f>
        <v>0</v>
      </c>
      <c r="CI1031" s="993">
        <f>IF(AND(Input_Product=Elig!$C1031,Elig_MatchAll_Ct&lt;22,$BC1031=(Elig_MatchAll_Ct-1),BA1031=0),AD1031,0)</f>
        <v>0</v>
      </c>
      <c r="CJ1031" s="994">
        <f>IF(AND(Input_Product=Elig!$C1031,Elig_MatchAll_Ct&lt;22,$BC1031=(Elig_MatchAll_Ct-1),BA1031=0),AE1031,0)</f>
        <v>0</v>
      </c>
    </row>
    <row r="1032" spans="2:88" ht="10.15" customHeight="1" x14ac:dyDescent="0.25">
      <c r="B1032" s="1916" t="s">
        <v>2368</v>
      </c>
      <c r="C1032" s="1208" t="str">
        <f t="shared" si="402"/>
        <v xml:space="preserve">  </v>
      </c>
      <c r="D1032" s="1209" t="s">
        <v>2218</v>
      </c>
      <c r="E1032" s="1209" t="s">
        <v>167</v>
      </c>
      <c r="F1032" s="1209" t="s">
        <v>331</v>
      </c>
      <c r="G1032" s="1210" t="s">
        <v>468</v>
      </c>
      <c r="H1032" s="1210" t="s">
        <v>136</v>
      </c>
      <c r="I1032" s="1209" t="s">
        <v>16</v>
      </c>
      <c r="J1032" s="1209" t="s">
        <v>1311</v>
      </c>
      <c r="K1032" s="1210" t="s">
        <v>3022</v>
      </c>
      <c r="L1032" s="1209" t="s">
        <v>2768</v>
      </c>
      <c r="M1032" s="1209" t="s">
        <v>2677</v>
      </c>
      <c r="N1032" s="1210" t="s">
        <v>82</v>
      </c>
      <c r="O1032" s="1209" t="s">
        <v>310</v>
      </c>
      <c r="P1032" s="1209" t="s">
        <v>291</v>
      </c>
      <c r="Q1032" s="1209" t="s">
        <v>294</v>
      </c>
      <c r="R1032" s="1209">
        <v>1500000.01</v>
      </c>
      <c r="S1032" s="1209">
        <v>2000000</v>
      </c>
      <c r="T1032" s="1209">
        <v>0</v>
      </c>
      <c r="U1032" s="1209">
        <f t="shared" si="400"/>
        <v>2000000</v>
      </c>
      <c r="V1032" s="1209">
        <v>0</v>
      </c>
      <c r="W1032" s="1209">
        <v>50</v>
      </c>
      <c r="X1032" s="1209">
        <v>0</v>
      </c>
      <c r="Y1032" s="1209">
        <v>999</v>
      </c>
      <c r="Z1032" s="1211">
        <v>700</v>
      </c>
      <c r="AA1032" s="1211">
        <v>719</v>
      </c>
      <c r="AB1032" s="1211">
        <v>6</v>
      </c>
      <c r="AC1032" s="1211">
        <v>999999</v>
      </c>
      <c r="AD1032" s="1209">
        <v>0</v>
      </c>
      <c r="AE1032" s="1212">
        <v>80</v>
      </c>
      <c r="AF1032" s="170">
        <v>0</v>
      </c>
      <c r="AG1032" s="171">
        <v>1</v>
      </c>
      <c r="AH1032" s="171">
        <v>1</v>
      </c>
      <c r="AI1032" s="171">
        <v>1</v>
      </c>
      <c r="AJ1032" s="171">
        <v>0</v>
      </c>
      <c r="AK1032" s="171">
        <v>1</v>
      </c>
      <c r="AL1032" s="171">
        <v>1</v>
      </c>
      <c r="AM1032" s="171">
        <v>1</v>
      </c>
      <c r="AN1032" s="171">
        <v>1</v>
      </c>
      <c r="AO1032" s="171">
        <v>1</v>
      </c>
      <c r="AP1032" s="171">
        <v>1</v>
      </c>
      <c r="AQ1032" s="171">
        <v>1</v>
      </c>
      <c r="AR1032" s="171">
        <v>1</v>
      </c>
      <c r="AS1032" s="171">
        <v>1</v>
      </c>
      <c r="AT1032" s="171">
        <v>1</v>
      </c>
      <c r="AU1032" s="171">
        <f t="shared" si="391"/>
        <v>0</v>
      </c>
      <c r="AV1032" s="171">
        <f t="shared" si="392"/>
        <v>1</v>
      </c>
      <c r="AW1032" s="171">
        <f t="shared" si="393"/>
        <v>1</v>
      </c>
      <c r="AX1032" s="171">
        <f t="shared" si="401"/>
        <v>1</v>
      </c>
      <c r="AY1032" s="171">
        <f t="shared" si="394"/>
        <v>0</v>
      </c>
      <c r="AZ1032" s="171">
        <f t="shared" si="395"/>
        <v>1</v>
      </c>
      <c r="BA1032" s="172">
        <f t="shared" si="396"/>
        <v>1</v>
      </c>
      <c r="BB1032" s="175">
        <f t="shared" si="397"/>
        <v>18</v>
      </c>
      <c r="BC1032" s="176">
        <f t="shared" si="398"/>
        <v>17</v>
      </c>
      <c r="BD1032" s="176">
        <f t="shared" si="399"/>
        <v>18</v>
      </c>
      <c r="BE1032" s="240" t="str">
        <f t="shared" si="403"/>
        <v/>
      </c>
      <c r="BF1032" s="990"/>
      <c r="BG1032" s="990"/>
      <c r="BH1032" s="991">
        <f>IF(AND(Input_Product=Elig!$C1032,Elig_MatchAll_Ct&lt;22,$BC1032=(Elig_MatchAll_Ct-1),AF1032=0),C1032,0)</f>
        <v>0</v>
      </c>
      <c r="BI1032" s="991">
        <f>IF(AND(Input_Product=Elig!$C1032,Elig_MatchAll_Ct&lt;22,$BC1032=(Elig_MatchAll_Ct-1),AG1032=0),D1032,0)</f>
        <v>0</v>
      </c>
      <c r="BJ1032" s="991">
        <f>IF(AND(Input_Product=Elig!$C1032,Elig_MatchAll_Ct&lt;22,$BC1032=(Elig_MatchAll_Ct-1),AH1032=0),E1032,0)</f>
        <v>0</v>
      </c>
      <c r="BK1032" s="991">
        <f>IF(AND(Input_Product=Elig!$C1032,Elig_MatchAll_Ct&lt;22,$BC1032=(Elig_MatchAll_Ct-1),AI1032=0),F1032,0)</f>
        <v>0</v>
      </c>
      <c r="BL1032" s="991">
        <f>IF(AND(Input_Product=Elig!$C1032,Elig_MatchAll_Ct&lt;22,$BC1032=(Elig_MatchAll_Ct-1),AJ1032=0),G1032,0)</f>
        <v>0</v>
      </c>
      <c r="BM1032" s="991">
        <f>IF(AND(Input_Product=Elig!$C1032,Elig_MatchAll_Ct&lt;22,$BC1032=(Elig_MatchAll_Ct-1),AK1032=0),H1032,0)</f>
        <v>0</v>
      </c>
      <c r="BN1032" s="991">
        <f>IF(AND(Input_Product=Elig!$C1032,Elig_MatchAll_Ct&lt;22,$BC1032=(Elig_MatchAll_Ct-1),AL1032=0),I1032,0)</f>
        <v>0</v>
      </c>
      <c r="BO1032" s="991">
        <f>IF(AND(Input_Product=Elig!$C1032,Elig_MatchAll_Ct&lt;22,$BC1032=(Elig_MatchAll_Ct-1),AM1032=0),J1032,0)</f>
        <v>0</v>
      </c>
      <c r="BP1032" s="991">
        <f>IF(AND(Input_Product=Elig!$C1032,Elig_MatchAll_Ct&lt;22,$BC1032=(Elig_MatchAll_Ct-1),AN1032=0),K1032,0)</f>
        <v>0</v>
      </c>
      <c r="BQ1032" s="991">
        <f>IF(AND(Input_Product=Elig!$C1032,Elig_MatchAll_Ct&lt;22,$BC1032=(Elig_MatchAll_Ct-1),AP1032=0),L1032,0)</f>
        <v>0</v>
      </c>
      <c r="BR1032" s="991">
        <f>IF(AND(Input_Product=Elig!$C1032,Elig_MatchAll_Ct&lt;22,$BC1032=(Elig_MatchAll_Ct-1),AO1032=0),M1032,0)</f>
        <v>0</v>
      </c>
      <c r="BS1032" s="991">
        <f>IF(AND(Input_Product=Elig!$C1032,Elig_MatchAll_Ct&lt;22,$BC1032=(Elig_MatchAll_Ct-1),AQ1032=0),N1032,0)</f>
        <v>0</v>
      </c>
      <c r="BT1032" s="991">
        <f>IF(AND(Input_Product=Elig!$C1032,Elig_MatchAll_Ct&lt;22,$BC1032=(Elig_MatchAll_Ct-1),AR1032=0),O1032,0)</f>
        <v>0</v>
      </c>
      <c r="BU1032" s="991">
        <f>IF(AND(Input_Product=Elig!$C1032,Elig_MatchAll_Ct&lt;22,$BC1032=(Elig_MatchAll_Ct-1),AS1032=0),P1032,0)</f>
        <v>0</v>
      </c>
      <c r="BV1032" s="992">
        <f>IF(AND(Input_Product=Elig!$C1032,Elig_MatchAll_Ct&lt;22,$BC1032=(Elig_MatchAll_Ct-1),AT1032=0),Q1032,0)</f>
        <v>0</v>
      </c>
      <c r="BW1032" s="993">
        <f>IF(AND(Input_Product=Elig!$C1032,Elig_MatchAll_Ct&lt;22,$BC1032=(Elig_MatchAll_Ct-1),AU1032=0),R1032,0)</f>
        <v>0</v>
      </c>
      <c r="BX1032" s="994">
        <f>IF(AND(Input_Product=Elig!$C1032,Elig_MatchAll_Ct&lt;22,$BC1032=(Elig_MatchAll_Ct-1),AU1032=0),S1032,0)</f>
        <v>0</v>
      </c>
      <c r="BY1032" s="993">
        <f>IF(AND(Input_Product=Elig!$C1032,Elig_MatchAll_Ct&lt;22,$BC1032=(Elig_MatchAll_Ct-1),AV1032=0),T1032,0)</f>
        <v>0</v>
      </c>
      <c r="BZ1032" s="994">
        <f>IF(AND(Input_Product=Elig!$C1032,Elig_MatchAll_Ct&lt;22,$BC1032=(Elig_MatchAll_Ct-1),AV1032=0),U1032,0)</f>
        <v>0</v>
      </c>
      <c r="CA1032" s="993">
        <f>IF(AND(Input_Product=Elig!$C1032,Elig_MatchAll_Ct&lt;22,$BC1032=(Elig_MatchAll_Ct-1),AW1032=0),V1032,0)</f>
        <v>0</v>
      </c>
      <c r="CB1032" s="994">
        <f>IF(AND(Input_Product=Elig!$C1032,Elig_MatchAll_Ct&lt;22,$BC1032=(Elig_MatchAll_Ct-1),AW1032=0),W1032,0)</f>
        <v>0</v>
      </c>
      <c r="CC1032" s="993">
        <f>IF(AND(Input_Product=Elig!$C1032,Elig_MatchAll_Ct&lt;22,$BC1032=(Elig_MatchAll_Ct-1),AX1032=0),X1032,0)</f>
        <v>0</v>
      </c>
      <c r="CD1032" s="994">
        <f>IF(AND(Input_Product=Elig!$C1032,Elig_MatchAll_Ct&lt;22,$BC1032=(Elig_MatchAll_Ct-1),AX1032=0),Y1032,0)</f>
        <v>0</v>
      </c>
      <c r="CE1032" s="993">
        <f>IF(AND(Input_LTV&lt;=AE1032,Input_Product=Elig!$C1032,Elig_MatchAll_Ct&lt;22,$BC1032=(Elig_MatchAll_Ct-1),AY1032=0),Z1032,0)</f>
        <v>0</v>
      </c>
      <c r="CF1032" s="994">
        <f>IF(AND(Input_LTV&lt;=AE1032,Input_Product=Elig!$C1032,Elig_MatchAll_Ct&lt;22,$BC1032=(Elig_MatchAll_Ct-1),AY1032=0),AA1032,0)</f>
        <v>0</v>
      </c>
      <c r="CG1032" s="993">
        <f>IF(AND(Input_Product=Elig!$C1032,Elig_MatchAll_Ct&lt;22,$BC1032=(Elig_MatchAll_Ct-1),AZ1032=0),AB1032,0)</f>
        <v>0</v>
      </c>
      <c r="CH1032" s="994">
        <f>IF(AND(Input_Product=Elig!$C1032,Elig_MatchAll_Ct&lt;22,$BC1032=(Elig_MatchAll_Ct-1),AZ1032=0),AC1032,0)</f>
        <v>0</v>
      </c>
      <c r="CI1032" s="993">
        <f>IF(AND(Input_Product=Elig!$C1032,Elig_MatchAll_Ct&lt;22,$BC1032=(Elig_MatchAll_Ct-1),BA1032=0),AD1032,0)</f>
        <v>0</v>
      </c>
      <c r="CJ1032" s="994">
        <f>IF(AND(Input_Product=Elig!$C1032,Elig_MatchAll_Ct&lt;22,$BC1032=(Elig_MatchAll_Ct-1),BA1032=0),AE1032,0)</f>
        <v>0</v>
      </c>
    </row>
    <row r="1033" spans="2:88" ht="10.15" customHeight="1" x14ac:dyDescent="0.25">
      <c r="B1033" s="1916" t="s">
        <v>2369</v>
      </c>
      <c r="C1033" s="1208" t="str">
        <f t="shared" si="402"/>
        <v xml:space="preserve">  </v>
      </c>
      <c r="D1033" s="1209" t="s">
        <v>2218</v>
      </c>
      <c r="E1033" s="1209" t="s">
        <v>167</v>
      </c>
      <c r="F1033" s="1209" t="s">
        <v>331</v>
      </c>
      <c r="G1033" s="1210" t="s">
        <v>468</v>
      </c>
      <c r="H1033" s="1210" t="s">
        <v>136</v>
      </c>
      <c r="I1033" s="1209" t="s">
        <v>16</v>
      </c>
      <c r="J1033" s="1209" t="s">
        <v>1311</v>
      </c>
      <c r="K1033" s="1210" t="s">
        <v>3022</v>
      </c>
      <c r="L1033" s="1209" t="s">
        <v>2768</v>
      </c>
      <c r="M1033" s="1209" t="s">
        <v>2677</v>
      </c>
      <c r="N1033" s="1210" t="s">
        <v>82</v>
      </c>
      <c r="O1033" s="1209" t="s">
        <v>310</v>
      </c>
      <c r="P1033" s="1209" t="s">
        <v>291</v>
      </c>
      <c r="Q1033" s="1209" t="s">
        <v>294</v>
      </c>
      <c r="R1033" s="1209">
        <v>1500000.01</v>
      </c>
      <c r="S1033" s="1209">
        <v>2000000</v>
      </c>
      <c r="T1033" s="1209">
        <v>0</v>
      </c>
      <c r="U1033" s="1209">
        <f t="shared" si="400"/>
        <v>2000000</v>
      </c>
      <c r="V1033" s="1209">
        <v>0</v>
      </c>
      <c r="W1033" s="1209">
        <v>50</v>
      </c>
      <c r="X1033" s="1209">
        <v>0</v>
      </c>
      <c r="Y1033" s="1209">
        <v>999</v>
      </c>
      <c r="Z1033" s="1211">
        <v>680</v>
      </c>
      <c r="AA1033" s="1211">
        <v>699</v>
      </c>
      <c r="AB1033" s="1211">
        <v>6</v>
      </c>
      <c r="AC1033" s="1211">
        <v>999999</v>
      </c>
      <c r="AD1033" s="1209">
        <v>0</v>
      </c>
      <c r="AE1033" s="1212">
        <v>75</v>
      </c>
      <c r="AF1033" s="170">
        <v>0</v>
      </c>
      <c r="AG1033" s="171">
        <v>1</v>
      </c>
      <c r="AH1033" s="171">
        <v>1</v>
      </c>
      <c r="AI1033" s="171">
        <v>1</v>
      </c>
      <c r="AJ1033" s="171">
        <v>0</v>
      </c>
      <c r="AK1033" s="171">
        <v>1</v>
      </c>
      <c r="AL1033" s="171">
        <v>1</v>
      </c>
      <c r="AM1033" s="171">
        <v>1</v>
      </c>
      <c r="AN1033" s="171">
        <v>1</v>
      </c>
      <c r="AO1033" s="171">
        <v>1</v>
      </c>
      <c r="AP1033" s="171">
        <v>1</v>
      </c>
      <c r="AQ1033" s="171">
        <v>1</v>
      </c>
      <c r="AR1033" s="171">
        <v>1</v>
      </c>
      <c r="AS1033" s="171">
        <v>1</v>
      </c>
      <c r="AT1033" s="171">
        <v>1</v>
      </c>
      <c r="AU1033" s="171">
        <f t="shared" si="391"/>
        <v>0</v>
      </c>
      <c r="AV1033" s="171">
        <f t="shared" si="392"/>
        <v>1</v>
      </c>
      <c r="AW1033" s="171">
        <f t="shared" si="393"/>
        <v>1</v>
      </c>
      <c r="AX1033" s="171">
        <f t="shared" si="401"/>
        <v>1</v>
      </c>
      <c r="AY1033" s="171">
        <f t="shared" si="394"/>
        <v>0</v>
      </c>
      <c r="AZ1033" s="171">
        <f t="shared" si="395"/>
        <v>1</v>
      </c>
      <c r="BA1033" s="172">
        <f t="shared" si="396"/>
        <v>1</v>
      </c>
      <c r="BB1033" s="175">
        <f t="shared" si="397"/>
        <v>18</v>
      </c>
      <c r="BC1033" s="176">
        <f t="shared" si="398"/>
        <v>17</v>
      </c>
      <c r="BD1033" s="176">
        <f t="shared" si="399"/>
        <v>18</v>
      </c>
      <c r="BE1033" s="240" t="str">
        <f t="shared" si="403"/>
        <v/>
      </c>
      <c r="BF1033" s="990"/>
      <c r="BG1033" s="990"/>
      <c r="BH1033" s="991">
        <f>IF(AND(Input_Product=Elig!$C1033,Elig_MatchAll_Ct&lt;22,$BC1033=(Elig_MatchAll_Ct-1),AF1033=0),C1033,0)</f>
        <v>0</v>
      </c>
      <c r="BI1033" s="991">
        <f>IF(AND(Input_Product=Elig!$C1033,Elig_MatchAll_Ct&lt;22,$BC1033=(Elig_MatchAll_Ct-1),AG1033=0),D1033,0)</f>
        <v>0</v>
      </c>
      <c r="BJ1033" s="991">
        <f>IF(AND(Input_Product=Elig!$C1033,Elig_MatchAll_Ct&lt;22,$BC1033=(Elig_MatchAll_Ct-1),AH1033=0),E1033,0)</f>
        <v>0</v>
      </c>
      <c r="BK1033" s="991">
        <f>IF(AND(Input_Product=Elig!$C1033,Elig_MatchAll_Ct&lt;22,$BC1033=(Elig_MatchAll_Ct-1),AI1033=0),F1033,0)</f>
        <v>0</v>
      </c>
      <c r="BL1033" s="991">
        <f>IF(AND(Input_Product=Elig!$C1033,Elig_MatchAll_Ct&lt;22,$BC1033=(Elig_MatchAll_Ct-1),AJ1033=0),G1033,0)</f>
        <v>0</v>
      </c>
      <c r="BM1033" s="991">
        <f>IF(AND(Input_Product=Elig!$C1033,Elig_MatchAll_Ct&lt;22,$BC1033=(Elig_MatchAll_Ct-1),AK1033=0),H1033,0)</f>
        <v>0</v>
      </c>
      <c r="BN1033" s="991">
        <f>IF(AND(Input_Product=Elig!$C1033,Elig_MatchAll_Ct&lt;22,$BC1033=(Elig_MatchAll_Ct-1),AL1033=0),I1033,0)</f>
        <v>0</v>
      </c>
      <c r="BO1033" s="991">
        <f>IF(AND(Input_Product=Elig!$C1033,Elig_MatchAll_Ct&lt;22,$BC1033=(Elig_MatchAll_Ct-1),AM1033=0),J1033,0)</f>
        <v>0</v>
      </c>
      <c r="BP1033" s="991">
        <f>IF(AND(Input_Product=Elig!$C1033,Elig_MatchAll_Ct&lt;22,$BC1033=(Elig_MatchAll_Ct-1),AN1033=0),K1033,0)</f>
        <v>0</v>
      </c>
      <c r="BQ1033" s="991">
        <f>IF(AND(Input_Product=Elig!$C1033,Elig_MatchAll_Ct&lt;22,$BC1033=(Elig_MatchAll_Ct-1),AP1033=0),L1033,0)</f>
        <v>0</v>
      </c>
      <c r="BR1033" s="991">
        <f>IF(AND(Input_Product=Elig!$C1033,Elig_MatchAll_Ct&lt;22,$BC1033=(Elig_MatchAll_Ct-1),AO1033=0),M1033,0)</f>
        <v>0</v>
      </c>
      <c r="BS1033" s="991">
        <f>IF(AND(Input_Product=Elig!$C1033,Elig_MatchAll_Ct&lt;22,$BC1033=(Elig_MatchAll_Ct-1),AQ1033=0),N1033,0)</f>
        <v>0</v>
      </c>
      <c r="BT1033" s="991">
        <f>IF(AND(Input_Product=Elig!$C1033,Elig_MatchAll_Ct&lt;22,$BC1033=(Elig_MatchAll_Ct-1),AR1033=0),O1033,0)</f>
        <v>0</v>
      </c>
      <c r="BU1033" s="991">
        <f>IF(AND(Input_Product=Elig!$C1033,Elig_MatchAll_Ct&lt;22,$BC1033=(Elig_MatchAll_Ct-1),AS1033=0),P1033,0)</f>
        <v>0</v>
      </c>
      <c r="BV1033" s="992">
        <f>IF(AND(Input_Product=Elig!$C1033,Elig_MatchAll_Ct&lt;22,$BC1033=(Elig_MatchAll_Ct-1),AT1033=0),Q1033,0)</f>
        <v>0</v>
      </c>
      <c r="BW1033" s="993">
        <f>IF(AND(Input_Product=Elig!$C1033,Elig_MatchAll_Ct&lt;22,$BC1033=(Elig_MatchAll_Ct-1),AU1033=0),R1033,0)</f>
        <v>0</v>
      </c>
      <c r="BX1033" s="994">
        <f>IF(AND(Input_Product=Elig!$C1033,Elig_MatchAll_Ct&lt;22,$BC1033=(Elig_MatchAll_Ct-1),AU1033=0),S1033,0)</f>
        <v>0</v>
      </c>
      <c r="BY1033" s="993">
        <f>IF(AND(Input_Product=Elig!$C1033,Elig_MatchAll_Ct&lt;22,$BC1033=(Elig_MatchAll_Ct-1),AV1033=0),T1033,0)</f>
        <v>0</v>
      </c>
      <c r="BZ1033" s="994">
        <f>IF(AND(Input_Product=Elig!$C1033,Elig_MatchAll_Ct&lt;22,$BC1033=(Elig_MatchAll_Ct-1),AV1033=0),U1033,0)</f>
        <v>0</v>
      </c>
      <c r="CA1033" s="993">
        <f>IF(AND(Input_Product=Elig!$C1033,Elig_MatchAll_Ct&lt;22,$BC1033=(Elig_MatchAll_Ct-1),AW1033=0),V1033,0)</f>
        <v>0</v>
      </c>
      <c r="CB1033" s="994">
        <f>IF(AND(Input_Product=Elig!$C1033,Elig_MatchAll_Ct&lt;22,$BC1033=(Elig_MatchAll_Ct-1),AW1033=0),W1033,0)</f>
        <v>0</v>
      </c>
      <c r="CC1033" s="993">
        <f>IF(AND(Input_Product=Elig!$C1033,Elig_MatchAll_Ct&lt;22,$BC1033=(Elig_MatchAll_Ct-1),AX1033=0),X1033,0)</f>
        <v>0</v>
      </c>
      <c r="CD1033" s="994">
        <f>IF(AND(Input_Product=Elig!$C1033,Elig_MatchAll_Ct&lt;22,$BC1033=(Elig_MatchAll_Ct-1),AX1033=0),Y1033,0)</f>
        <v>0</v>
      </c>
      <c r="CE1033" s="993">
        <f>IF(AND(Input_LTV&lt;=AE1033,Input_Product=Elig!$C1033,Elig_MatchAll_Ct&lt;22,$BC1033=(Elig_MatchAll_Ct-1),AY1033=0),Z1033,0)</f>
        <v>0</v>
      </c>
      <c r="CF1033" s="994">
        <f>IF(AND(Input_LTV&lt;=AE1033,Input_Product=Elig!$C1033,Elig_MatchAll_Ct&lt;22,$BC1033=(Elig_MatchAll_Ct-1),AY1033=0),AA1033,0)</f>
        <v>0</v>
      </c>
      <c r="CG1033" s="993">
        <f>IF(AND(Input_Product=Elig!$C1033,Elig_MatchAll_Ct&lt;22,$BC1033=(Elig_MatchAll_Ct-1),AZ1033=0),AB1033,0)</f>
        <v>0</v>
      </c>
      <c r="CH1033" s="994">
        <f>IF(AND(Input_Product=Elig!$C1033,Elig_MatchAll_Ct&lt;22,$BC1033=(Elig_MatchAll_Ct-1),AZ1033=0),AC1033,0)</f>
        <v>0</v>
      </c>
      <c r="CI1033" s="993">
        <f>IF(AND(Input_Product=Elig!$C1033,Elig_MatchAll_Ct&lt;22,$BC1033=(Elig_MatchAll_Ct-1),BA1033=0),AD1033,0)</f>
        <v>0</v>
      </c>
      <c r="CJ1033" s="994">
        <f>IF(AND(Input_Product=Elig!$C1033,Elig_MatchAll_Ct&lt;22,$BC1033=(Elig_MatchAll_Ct-1),BA1033=0),AE1033,0)</f>
        <v>0</v>
      </c>
    </row>
    <row r="1034" spans="2:88" ht="10.15" customHeight="1" x14ac:dyDescent="0.25">
      <c r="B1034" s="1916" t="s">
        <v>2370</v>
      </c>
      <c r="C1034" s="1213" t="str">
        <f t="shared" si="402"/>
        <v xml:space="preserve">  </v>
      </c>
      <c r="D1034" s="1214" t="s">
        <v>2218</v>
      </c>
      <c r="E1034" s="1214" t="s">
        <v>167</v>
      </c>
      <c r="F1034" s="1214" t="s">
        <v>331</v>
      </c>
      <c r="G1034" s="1215" t="s">
        <v>468</v>
      </c>
      <c r="H1034" s="1215" t="s">
        <v>136</v>
      </c>
      <c r="I1034" s="1214" t="s">
        <v>16</v>
      </c>
      <c r="J1034" s="1214" t="s">
        <v>1311</v>
      </c>
      <c r="K1034" s="1215" t="s">
        <v>3022</v>
      </c>
      <c r="L1034" s="1214" t="s">
        <v>2768</v>
      </c>
      <c r="M1034" s="1214" t="s">
        <v>2677</v>
      </c>
      <c r="N1034" s="1215" t="s">
        <v>82</v>
      </c>
      <c r="O1034" s="1214" t="s">
        <v>310</v>
      </c>
      <c r="P1034" s="1214" t="s">
        <v>291</v>
      </c>
      <c r="Q1034" s="1214" t="s">
        <v>294</v>
      </c>
      <c r="R1034" s="1214">
        <v>1500000.01</v>
      </c>
      <c r="S1034" s="1214">
        <v>2000000</v>
      </c>
      <c r="T1034" s="1214">
        <v>0</v>
      </c>
      <c r="U1034" s="1214">
        <f t="shared" si="400"/>
        <v>2000000</v>
      </c>
      <c r="V1034" s="1214">
        <v>0</v>
      </c>
      <c r="W1034" s="1214">
        <v>50</v>
      </c>
      <c r="X1034" s="1214">
        <v>0</v>
      </c>
      <c r="Y1034" s="1214">
        <v>999</v>
      </c>
      <c r="Z1034" s="1216">
        <v>660</v>
      </c>
      <c r="AA1034" s="1216">
        <v>679</v>
      </c>
      <c r="AB1034" s="1216">
        <v>6</v>
      </c>
      <c r="AC1034" s="1216">
        <v>999999</v>
      </c>
      <c r="AD1034" s="1214">
        <v>0</v>
      </c>
      <c r="AE1034" s="1217">
        <v>70</v>
      </c>
      <c r="AF1034" s="170">
        <v>0</v>
      </c>
      <c r="AG1034" s="171">
        <v>1</v>
      </c>
      <c r="AH1034" s="171">
        <v>1</v>
      </c>
      <c r="AI1034" s="171">
        <v>1</v>
      </c>
      <c r="AJ1034" s="171">
        <v>0</v>
      </c>
      <c r="AK1034" s="171">
        <v>1</v>
      </c>
      <c r="AL1034" s="171">
        <v>1</v>
      </c>
      <c r="AM1034" s="171">
        <v>1</v>
      </c>
      <c r="AN1034" s="171">
        <v>1</v>
      </c>
      <c r="AO1034" s="171">
        <v>1</v>
      </c>
      <c r="AP1034" s="171">
        <v>1</v>
      </c>
      <c r="AQ1034" s="171">
        <v>1</v>
      </c>
      <c r="AR1034" s="171">
        <v>1</v>
      </c>
      <c r="AS1034" s="171">
        <v>1</v>
      </c>
      <c r="AT1034" s="171">
        <v>1</v>
      </c>
      <c r="AU1034" s="171">
        <f t="shared" si="391"/>
        <v>0</v>
      </c>
      <c r="AV1034" s="171">
        <f t="shared" si="392"/>
        <v>1</v>
      </c>
      <c r="AW1034" s="171">
        <f t="shared" si="393"/>
        <v>1</v>
      </c>
      <c r="AX1034" s="171">
        <f t="shared" si="401"/>
        <v>1</v>
      </c>
      <c r="AY1034" s="171">
        <f t="shared" si="394"/>
        <v>0</v>
      </c>
      <c r="AZ1034" s="171">
        <f t="shared" si="395"/>
        <v>1</v>
      </c>
      <c r="BA1034" s="172">
        <f t="shared" si="396"/>
        <v>1</v>
      </c>
      <c r="BB1034" s="175">
        <f t="shared" si="397"/>
        <v>18</v>
      </c>
      <c r="BC1034" s="176">
        <f t="shared" si="398"/>
        <v>17</v>
      </c>
      <c r="BD1034" s="176">
        <f t="shared" si="399"/>
        <v>18</v>
      </c>
      <c r="BE1034" s="240" t="str">
        <f t="shared" si="403"/>
        <v/>
      </c>
      <c r="BF1034" s="990"/>
      <c r="BG1034" s="990"/>
      <c r="BH1034" s="991">
        <f>IF(AND(Input_Product=Elig!$C1034,Elig_MatchAll_Ct&lt;22,$BC1034=(Elig_MatchAll_Ct-1),AF1034=0),C1034,0)</f>
        <v>0</v>
      </c>
      <c r="BI1034" s="991">
        <f>IF(AND(Input_Product=Elig!$C1034,Elig_MatchAll_Ct&lt;22,$BC1034=(Elig_MatchAll_Ct-1),AG1034=0),D1034,0)</f>
        <v>0</v>
      </c>
      <c r="BJ1034" s="991">
        <f>IF(AND(Input_Product=Elig!$C1034,Elig_MatchAll_Ct&lt;22,$BC1034=(Elig_MatchAll_Ct-1),AH1034=0),E1034,0)</f>
        <v>0</v>
      </c>
      <c r="BK1034" s="991">
        <f>IF(AND(Input_Product=Elig!$C1034,Elig_MatchAll_Ct&lt;22,$BC1034=(Elig_MatchAll_Ct-1),AI1034=0),F1034,0)</f>
        <v>0</v>
      </c>
      <c r="BL1034" s="991">
        <f>IF(AND(Input_Product=Elig!$C1034,Elig_MatchAll_Ct&lt;22,$BC1034=(Elig_MatchAll_Ct-1),AJ1034=0),G1034,0)</f>
        <v>0</v>
      </c>
      <c r="BM1034" s="991">
        <f>IF(AND(Input_Product=Elig!$C1034,Elig_MatchAll_Ct&lt;22,$BC1034=(Elig_MatchAll_Ct-1),AK1034=0),H1034,0)</f>
        <v>0</v>
      </c>
      <c r="BN1034" s="991">
        <f>IF(AND(Input_Product=Elig!$C1034,Elig_MatchAll_Ct&lt;22,$BC1034=(Elig_MatchAll_Ct-1),AL1034=0),I1034,0)</f>
        <v>0</v>
      </c>
      <c r="BO1034" s="991">
        <f>IF(AND(Input_Product=Elig!$C1034,Elig_MatchAll_Ct&lt;22,$BC1034=(Elig_MatchAll_Ct-1),AM1034=0),J1034,0)</f>
        <v>0</v>
      </c>
      <c r="BP1034" s="991">
        <f>IF(AND(Input_Product=Elig!$C1034,Elig_MatchAll_Ct&lt;22,$BC1034=(Elig_MatchAll_Ct-1),AN1034=0),K1034,0)</f>
        <v>0</v>
      </c>
      <c r="BQ1034" s="991">
        <f>IF(AND(Input_Product=Elig!$C1034,Elig_MatchAll_Ct&lt;22,$BC1034=(Elig_MatchAll_Ct-1),AP1034=0),L1034,0)</f>
        <v>0</v>
      </c>
      <c r="BR1034" s="991">
        <f>IF(AND(Input_Product=Elig!$C1034,Elig_MatchAll_Ct&lt;22,$BC1034=(Elig_MatchAll_Ct-1),AO1034=0),M1034,0)</f>
        <v>0</v>
      </c>
      <c r="BS1034" s="991">
        <f>IF(AND(Input_Product=Elig!$C1034,Elig_MatchAll_Ct&lt;22,$BC1034=(Elig_MatchAll_Ct-1),AQ1034=0),N1034,0)</f>
        <v>0</v>
      </c>
      <c r="BT1034" s="991">
        <f>IF(AND(Input_Product=Elig!$C1034,Elig_MatchAll_Ct&lt;22,$BC1034=(Elig_MatchAll_Ct-1),AR1034=0),O1034,0)</f>
        <v>0</v>
      </c>
      <c r="BU1034" s="991">
        <f>IF(AND(Input_Product=Elig!$C1034,Elig_MatchAll_Ct&lt;22,$BC1034=(Elig_MatchAll_Ct-1),AS1034=0),P1034,0)</f>
        <v>0</v>
      </c>
      <c r="BV1034" s="992">
        <f>IF(AND(Input_Product=Elig!$C1034,Elig_MatchAll_Ct&lt;22,$BC1034=(Elig_MatchAll_Ct-1),AT1034=0),Q1034,0)</f>
        <v>0</v>
      </c>
      <c r="BW1034" s="993">
        <f>IF(AND(Input_Product=Elig!$C1034,Elig_MatchAll_Ct&lt;22,$BC1034=(Elig_MatchAll_Ct-1),AU1034=0),R1034,0)</f>
        <v>0</v>
      </c>
      <c r="BX1034" s="994">
        <f>IF(AND(Input_Product=Elig!$C1034,Elig_MatchAll_Ct&lt;22,$BC1034=(Elig_MatchAll_Ct-1),AU1034=0),S1034,0)</f>
        <v>0</v>
      </c>
      <c r="BY1034" s="993">
        <f>IF(AND(Input_Product=Elig!$C1034,Elig_MatchAll_Ct&lt;22,$BC1034=(Elig_MatchAll_Ct-1),AV1034=0),T1034,0)</f>
        <v>0</v>
      </c>
      <c r="BZ1034" s="994">
        <f>IF(AND(Input_Product=Elig!$C1034,Elig_MatchAll_Ct&lt;22,$BC1034=(Elig_MatchAll_Ct-1),AV1034=0),U1034,0)</f>
        <v>0</v>
      </c>
      <c r="CA1034" s="993">
        <f>IF(AND(Input_Product=Elig!$C1034,Elig_MatchAll_Ct&lt;22,$BC1034=(Elig_MatchAll_Ct-1),AW1034=0),V1034,0)</f>
        <v>0</v>
      </c>
      <c r="CB1034" s="994">
        <f>IF(AND(Input_Product=Elig!$C1034,Elig_MatchAll_Ct&lt;22,$BC1034=(Elig_MatchAll_Ct-1),AW1034=0),W1034,0)</f>
        <v>0</v>
      </c>
      <c r="CC1034" s="993">
        <f>IF(AND(Input_Product=Elig!$C1034,Elig_MatchAll_Ct&lt;22,$BC1034=(Elig_MatchAll_Ct-1),AX1034=0),X1034,0)</f>
        <v>0</v>
      </c>
      <c r="CD1034" s="994">
        <f>IF(AND(Input_Product=Elig!$C1034,Elig_MatchAll_Ct&lt;22,$BC1034=(Elig_MatchAll_Ct-1),AX1034=0),Y1034,0)</f>
        <v>0</v>
      </c>
      <c r="CE1034" s="993">
        <f>IF(AND(Input_LTV&lt;=AE1034,Input_Product=Elig!$C1034,Elig_MatchAll_Ct&lt;22,$BC1034=(Elig_MatchAll_Ct-1),AY1034=0),Z1034,0)</f>
        <v>0</v>
      </c>
      <c r="CF1034" s="994">
        <f>IF(AND(Input_LTV&lt;=AE1034,Input_Product=Elig!$C1034,Elig_MatchAll_Ct&lt;22,$BC1034=(Elig_MatchAll_Ct-1),AY1034=0),AA1034,0)</f>
        <v>0</v>
      </c>
      <c r="CG1034" s="993">
        <f>IF(AND(Input_Product=Elig!$C1034,Elig_MatchAll_Ct&lt;22,$BC1034=(Elig_MatchAll_Ct-1),AZ1034=0),AB1034,0)</f>
        <v>0</v>
      </c>
      <c r="CH1034" s="994">
        <f>IF(AND(Input_Product=Elig!$C1034,Elig_MatchAll_Ct&lt;22,$BC1034=(Elig_MatchAll_Ct-1),AZ1034=0),AC1034,0)</f>
        <v>0</v>
      </c>
      <c r="CI1034" s="993">
        <f>IF(AND(Input_Product=Elig!$C1034,Elig_MatchAll_Ct&lt;22,$BC1034=(Elig_MatchAll_Ct-1),BA1034=0),AD1034,0)</f>
        <v>0</v>
      </c>
      <c r="CJ1034" s="994">
        <f>IF(AND(Input_Product=Elig!$C1034,Elig_MatchAll_Ct&lt;22,$BC1034=(Elig_MatchAll_Ct-1),BA1034=0),AE1034,0)</f>
        <v>0</v>
      </c>
    </row>
    <row r="1035" spans="2:88" ht="10.15" customHeight="1" x14ac:dyDescent="0.25">
      <c r="B1035" s="1916" t="s">
        <v>2371</v>
      </c>
      <c r="C1035" s="1203" t="str">
        <f t="shared" si="402"/>
        <v xml:space="preserve">  </v>
      </c>
      <c r="D1035" s="1204" t="s">
        <v>2218</v>
      </c>
      <c r="E1035" s="1204" t="s">
        <v>167</v>
      </c>
      <c r="F1035" s="1204" t="s">
        <v>331</v>
      </c>
      <c r="G1035" s="1205" t="s">
        <v>468</v>
      </c>
      <c r="H1035" s="1205" t="s">
        <v>136</v>
      </c>
      <c r="I1035" s="1204" t="s">
        <v>16</v>
      </c>
      <c r="J1035" s="1204" t="s">
        <v>1311</v>
      </c>
      <c r="K1035" s="1205" t="s">
        <v>3022</v>
      </c>
      <c r="L1035" s="1204" t="s">
        <v>2768</v>
      </c>
      <c r="M1035" s="1204" t="s">
        <v>2677</v>
      </c>
      <c r="N1035" s="1205" t="s">
        <v>82</v>
      </c>
      <c r="O1035" s="1204" t="s">
        <v>310</v>
      </c>
      <c r="P1035" s="1204" t="s">
        <v>291</v>
      </c>
      <c r="Q1035" s="1204" t="s">
        <v>294</v>
      </c>
      <c r="R1035" s="1204">
        <v>2000000.01</v>
      </c>
      <c r="S1035" s="1204">
        <v>2500000</v>
      </c>
      <c r="T1035" s="1204">
        <v>0</v>
      </c>
      <c r="U1035" s="1204">
        <f t="shared" si="400"/>
        <v>2500000</v>
      </c>
      <c r="V1035" s="1204">
        <v>0</v>
      </c>
      <c r="W1035" s="1204">
        <v>50</v>
      </c>
      <c r="X1035" s="1204">
        <v>0</v>
      </c>
      <c r="Y1035" s="1204">
        <v>999</v>
      </c>
      <c r="Z1035" s="1206">
        <v>720</v>
      </c>
      <c r="AA1035" s="1206">
        <v>999</v>
      </c>
      <c r="AB1035" s="1206">
        <v>6</v>
      </c>
      <c r="AC1035" s="1206">
        <v>999999</v>
      </c>
      <c r="AD1035" s="1204">
        <v>0</v>
      </c>
      <c r="AE1035" s="1207">
        <v>80</v>
      </c>
      <c r="AF1035" s="170">
        <v>0</v>
      </c>
      <c r="AG1035" s="171">
        <v>1</v>
      </c>
      <c r="AH1035" s="171">
        <v>1</v>
      </c>
      <c r="AI1035" s="171">
        <v>1</v>
      </c>
      <c r="AJ1035" s="171">
        <v>0</v>
      </c>
      <c r="AK1035" s="171">
        <v>1</v>
      </c>
      <c r="AL1035" s="171">
        <v>1</v>
      </c>
      <c r="AM1035" s="171">
        <v>1</v>
      </c>
      <c r="AN1035" s="171">
        <v>1</v>
      </c>
      <c r="AO1035" s="171">
        <v>1</v>
      </c>
      <c r="AP1035" s="171">
        <v>1</v>
      </c>
      <c r="AQ1035" s="171">
        <v>1</v>
      </c>
      <c r="AR1035" s="171">
        <v>1</v>
      </c>
      <c r="AS1035" s="171">
        <v>1</v>
      </c>
      <c r="AT1035" s="171">
        <v>1</v>
      </c>
      <c r="AU1035" s="171">
        <f t="shared" si="391"/>
        <v>0</v>
      </c>
      <c r="AV1035" s="171">
        <f t="shared" si="392"/>
        <v>1</v>
      </c>
      <c r="AW1035" s="171">
        <f t="shared" si="393"/>
        <v>1</v>
      </c>
      <c r="AX1035" s="171">
        <f t="shared" si="401"/>
        <v>1</v>
      </c>
      <c r="AY1035" s="171">
        <f t="shared" si="394"/>
        <v>1</v>
      </c>
      <c r="AZ1035" s="171">
        <f t="shared" si="395"/>
        <v>1</v>
      </c>
      <c r="BA1035" s="172">
        <f t="shared" si="396"/>
        <v>1</v>
      </c>
      <c r="BB1035" s="175">
        <f t="shared" si="397"/>
        <v>19</v>
      </c>
      <c r="BC1035" s="176">
        <f t="shared" si="398"/>
        <v>18</v>
      </c>
      <c r="BD1035" s="176">
        <f t="shared" si="399"/>
        <v>19</v>
      </c>
      <c r="BE1035" s="240" t="str">
        <f t="shared" si="403"/>
        <v/>
      </c>
      <c r="BF1035" s="990"/>
      <c r="BG1035" s="990"/>
      <c r="BH1035" s="991">
        <f>IF(AND(Input_Product=Elig!$C1035,Elig_MatchAll_Ct&lt;22,$BC1035=(Elig_MatchAll_Ct-1),AF1035=0),C1035,0)</f>
        <v>0</v>
      </c>
      <c r="BI1035" s="991">
        <f>IF(AND(Input_Product=Elig!$C1035,Elig_MatchAll_Ct&lt;22,$BC1035=(Elig_MatchAll_Ct-1),AG1035=0),D1035,0)</f>
        <v>0</v>
      </c>
      <c r="BJ1035" s="991">
        <f>IF(AND(Input_Product=Elig!$C1035,Elig_MatchAll_Ct&lt;22,$BC1035=(Elig_MatchAll_Ct-1),AH1035=0),E1035,0)</f>
        <v>0</v>
      </c>
      <c r="BK1035" s="991">
        <f>IF(AND(Input_Product=Elig!$C1035,Elig_MatchAll_Ct&lt;22,$BC1035=(Elig_MatchAll_Ct-1),AI1035=0),F1035,0)</f>
        <v>0</v>
      </c>
      <c r="BL1035" s="991">
        <f>IF(AND(Input_Product=Elig!$C1035,Elig_MatchAll_Ct&lt;22,$BC1035=(Elig_MatchAll_Ct-1),AJ1035=0),G1035,0)</f>
        <v>0</v>
      </c>
      <c r="BM1035" s="991">
        <f>IF(AND(Input_Product=Elig!$C1035,Elig_MatchAll_Ct&lt;22,$BC1035=(Elig_MatchAll_Ct-1),AK1035=0),H1035,0)</f>
        <v>0</v>
      </c>
      <c r="BN1035" s="991">
        <f>IF(AND(Input_Product=Elig!$C1035,Elig_MatchAll_Ct&lt;22,$BC1035=(Elig_MatchAll_Ct-1),AL1035=0),I1035,0)</f>
        <v>0</v>
      </c>
      <c r="BO1035" s="991">
        <f>IF(AND(Input_Product=Elig!$C1035,Elig_MatchAll_Ct&lt;22,$BC1035=(Elig_MatchAll_Ct-1),AM1035=0),J1035,0)</f>
        <v>0</v>
      </c>
      <c r="BP1035" s="991">
        <f>IF(AND(Input_Product=Elig!$C1035,Elig_MatchAll_Ct&lt;22,$BC1035=(Elig_MatchAll_Ct-1),AN1035=0),K1035,0)</f>
        <v>0</v>
      </c>
      <c r="BQ1035" s="991">
        <f>IF(AND(Input_Product=Elig!$C1035,Elig_MatchAll_Ct&lt;22,$BC1035=(Elig_MatchAll_Ct-1),AP1035=0),L1035,0)</f>
        <v>0</v>
      </c>
      <c r="BR1035" s="991">
        <f>IF(AND(Input_Product=Elig!$C1035,Elig_MatchAll_Ct&lt;22,$BC1035=(Elig_MatchAll_Ct-1),AO1035=0),M1035,0)</f>
        <v>0</v>
      </c>
      <c r="BS1035" s="991">
        <f>IF(AND(Input_Product=Elig!$C1035,Elig_MatchAll_Ct&lt;22,$BC1035=(Elig_MatchAll_Ct-1),AQ1035=0),N1035,0)</f>
        <v>0</v>
      </c>
      <c r="BT1035" s="991">
        <f>IF(AND(Input_Product=Elig!$C1035,Elig_MatchAll_Ct&lt;22,$BC1035=(Elig_MatchAll_Ct-1),AR1035=0),O1035,0)</f>
        <v>0</v>
      </c>
      <c r="BU1035" s="991">
        <f>IF(AND(Input_Product=Elig!$C1035,Elig_MatchAll_Ct&lt;22,$BC1035=(Elig_MatchAll_Ct-1),AS1035=0),P1035,0)</f>
        <v>0</v>
      </c>
      <c r="BV1035" s="992">
        <f>IF(AND(Input_Product=Elig!$C1035,Elig_MatchAll_Ct&lt;22,$BC1035=(Elig_MatchAll_Ct-1),AT1035=0),Q1035,0)</f>
        <v>0</v>
      </c>
      <c r="BW1035" s="993">
        <f>IF(AND(Input_Product=Elig!$C1035,Elig_MatchAll_Ct&lt;22,$BC1035=(Elig_MatchAll_Ct-1),AU1035=0),R1035,0)</f>
        <v>0</v>
      </c>
      <c r="BX1035" s="994">
        <f>IF(AND(Input_Product=Elig!$C1035,Elig_MatchAll_Ct&lt;22,$BC1035=(Elig_MatchAll_Ct-1),AU1035=0),S1035,0)</f>
        <v>0</v>
      </c>
      <c r="BY1035" s="993">
        <f>IF(AND(Input_Product=Elig!$C1035,Elig_MatchAll_Ct&lt;22,$BC1035=(Elig_MatchAll_Ct-1),AV1035=0),T1035,0)</f>
        <v>0</v>
      </c>
      <c r="BZ1035" s="994">
        <f>IF(AND(Input_Product=Elig!$C1035,Elig_MatchAll_Ct&lt;22,$BC1035=(Elig_MatchAll_Ct-1),AV1035=0),U1035,0)</f>
        <v>0</v>
      </c>
      <c r="CA1035" s="993">
        <f>IF(AND(Input_Product=Elig!$C1035,Elig_MatchAll_Ct&lt;22,$BC1035=(Elig_MatchAll_Ct-1),AW1035=0),V1035,0)</f>
        <v>0</v>
      </c>
      <c r="CB1035" s="994">
        <f>IF(AND(Input_Product=Elig!$C1035,Elig_MatchAll_Ct&lt;22,$BC1035=(Elig_MatchAll_Ct-1),AW1035=0),W1035,0)</f>
        <v>0</v>
      </c>
      <c r="CC1035" s="993">
        <f>IF(AND(Input_Product=Elig!$C1035,Elig_MatchAll_Ct&lt;22,$BC1035=(Elig_MatchAll_Ct-1),AX1035=0),X1035,0)</f>
        <v>0</v>
      </c>
      <c r="CD1035" s="994">
        <f>IF(AND(Input_Product=Elig!$C1035,Elig_MatchAll_Ct&lt;22,$BC1035=(Elig_MatchAll_Ct-1),AX1035=0),Y1035,0)</f>
        <v>0</v>
      </c>
      <c r="CE1035" s="993">
        <f>IF(AND(Input_LTV&lt;=AE1035,Input_Product=Elig!$C1035,Elig_MatchAll_Ct&lt;22,$BC1035=(Elig_MatchAll_Ct-1),AY1035=0),Z1035,0)</f>
        <v>0</v>
      </c>
      <c r="CF1035" s="994">
        <f>IF(AND(Input_LTV&lt;=AE1035,Input_Product=Elig!$C1035,Elig_MatchAll_Ct&lt;22,$BC1035=(Elig_MatchAll_Ct-1),AY1035=0),AA1035,0)</f>
        <v>0</v>
      </c>
      <c r="CG1035" s="993">
        <f>IF(AND(Input_Product=Elig!$C1035,Elig_MatchAll_Ct&lt;22,$BC1035=(Elig_MatchAll_Ct-1),AZ1035=0),AB1035,0)</f>
        <v>0</v>
      </c>
      <c r="CH1035" s="994">
        <f>IF(AND(Input_Product=Elig!$C1035,Elig_MatchAll_Ct&lt;22,$BC1035=(Elig_MatchAll_Ct-1),AZ1035=0),AC1035,0)</f>
        <v>0</v>
      </c>
      <c r="CI1035" s="993">
        <f>IF(AND(Input_Product=Elig!$C1035,Elig_MatchAll_Ct&lt;22,$BC1035=(Elig_MatchAll_Ct-1),BA1035=0),AD1035,0)</f>
        <v>0</v>
      </c>
      <c r="CJ1035" s="994">
        <f>IF(AND(Input_Product=Elig!$C1035,Elig_MatchAll_Ct&lt;22,$BC1035=(Elig_MatchAll_Ct-1),BA1035=0),AE1035,0)</f>
        <v>0</v>
      </c>
    </row>
    <row r="1036" spans="2:88" ht="10.15" customHeight="1" x14ac:dyDescent="0.25">
      <c r="B1036" s="1916" t="s">
        <v>2372</v>
      </c>
      <c r="C1036" s="1208" t="str">
        <f t="shared" si="402"/>
        <v xml:space="preserve">  </v>
      </c>
      <c r="D1036" s="1209" t="s">
        <v>2218</v>
      </c>
      <c r="E1036" s="1209" t="s">
        <v>167</v>
      </c>
      <c r="F1036" s="1209" t="s">
        <v>331</v>
      </c>
      <c r="G1036" s="1210" t="s">
        <v>468</v>
      </c>
      <c r="H1036" s="1210" t="s">
        <v>136</v>
      </c>
      <c r="I1036" s="1209" t="s">
        <v>16</v>
      </c>
      <c r="J1036" s="1209" t="s">
        <v>1311</v>
      </c>
      <c r="K1036" s="1210" t="s">
        <v>3022</v>
      </c>
      <c r="L1036" s="1209" t="s">
        <v>2768</v>
      </c>
      <c r="M1036" s="1209" t="s">
        <v>2677</v>
      </c>
      <c r="N1036" s="1210" t="s">
        <v>82</v>
      </c>
      <c r="O1036" s="1209" t="s">
        <v>310</v>
      </c>
      <c r="P1036" s="1209" t="s">
        <v>291</v>
      </c>
      <c r="Q1036" s="1209" t="s">
        <v>294</v>
      </c>
      <c r="R1036" s="1209">
        <v>2000000.01</v>
      </c>
      <c r="S1036" s="1209">
        <v>2500000</v>
      </c>
      <c r="T1036" s="1209">
        <v>0</v>
      </c>
      <c r="U1036" s="1209">
        <f t="shared" si="400"/>
        <v>2500000</v>
      </c>
      <c r="V1036" s="1209">
        <v>0</v>
      </c>
      <c r="W1036" s="1209">
        <v>50</v>
      </c>
      <c r="X1036" s="1209">
        <v>0</v>
      </c>
      <c r="Y1036" s="1209">
        <v>999</v>
      </c>
      <c r="Z1036" s="1211">
        <v>700</v>
      </c>
      <c r="AA1036" s="1211">
        <v>719</v>
      </c>
      <c r="AB1036" s="1211">
        <v>6</v>
      </c>
      <c r="AC1036" s="1211">
        <v>999999</v>
      </c>
      <c r="AD1036" s="1209">
        <v>0</v>
      </c>
      <c r="AE1036" s="1212">
        <v>80</v>
      </c>
      <c r="AF1036" s="170">
        <v>0</v>
      </c>
      <c r="AG1036" s="171">
        <v>1</v>
      </c>
      <c r="AH1036" s="171">
        <v>1</v>
      </c>
      <c r="AI1036" s="171">
        <v>1</v>
      </c>
      <c r="AJ1036" s="171">
        <v>0</v>
      </c>
      <c r="AK1036" s="171">
        <v>1</v>
      </c>
      <c r="AL1036" s="171">
        <v>1</v>
      </c>
      <c r="AM1036" s="171">
        <v>1</v>
      </c>
      <c r="AN1036" s="171">
        <v>1</v>
      </c>
      <c r="AO1036" s="171">
        <v>1</v>
      </c>
      <c r="AP1036" s="171">
        <v>1</v>
      </c>
      <c r="AQ1036" s="171">
        <v>1</v>
      </c>
      <c r="AR1036" s="171">
        <v>1</v>
      </c>
      <c r="AS1036" s="171">
        <v>1</v>
      </c>
      <c r="AT1036" s="171">
        <v>1</v>
      </c>
      <c r="AU1036" s="171">
        <f t="shared" si="391"/>
        <v>0</v>
      </c>
      <c r="AV1036" s="171">
        <f t="shared" si="392"/>
        <v>1</v>
      </c>
      <c r="AW1036" s="171">
        <f t="shared" si="393"/>
        <v>1</v>
      </c>
      <c r="AX1036" s="171">
        <f t="shared" si="401"/>
        <v>1</v>
      </c>
      <c r="AY1036" s="171">
        <f t="shared" si="394"/>
        <v>0</v>
      </c>
      <c r="AZ1036" s="171">
        <f t="shared" si="395"/>
        <v>1</v>
      </c>
      <c r="BA1036" s="172">
        <f t="shared" si="396"/>
        <v>1</v>
      </c>
      <c r="BB1036" s="175">
        <f t="shared" si="397"/>
        <v>18</v>
      </c>
      <c r="BC1036" s="176">
        <f t="shared" si="398"/>
        <v>17</v>
      </c>
      <c r="BD1036" s="176">
        <f t="shared" si="399"/>
        <v>18</v>
      </c>
      <c r="BE1036" s="240" t="str">
        <f t="shared" si="403"/>
        <v/>
      </c>
      <c r="BF1036" s="990"/>
      <c r="BG1036" s="990"/>
      <c r="BH1036" s="991">
        <f>IF(AND(Input_Product=Elig!$C1036,Elig_MatchAll_Ct&lt;22,$BC1036=(Elig_MatchAll_Ct-1),AF1036=0),C1036,0)</f>
        <v>0</v>
      </c>
      <c r="BI1036" s="991">
        <f>IF(AND(Input_Product=Elig!$C1036,Elig_MatchAll_Ct&lt;22,$BC1036=(Elig_MatchAll_Ct-1),AG1036=0),D1036,0)</f>
        <v>0</v>
      </c>
      <c r="BJ1036" s="991">
        <f>IF(AND(Input_Product=Elig!$C1036,Elig_MatchAll_Ct&lt;22,$BC1036=(Elig_MatchAll_Ct-1),AH1036=0),E1036,0)</f>
        <v>0</v>
      </c>
      <c r="BK1036" s="991">
        <f>IF(AND(Input_Product=Elig!$C1036,Elig_MatchAll_Ct&lt;22,$BC1036=(Elig_MatchAll_Ct-1),AI1036=0),F1036,0)</f>
        <v>0</v>
      </c>
      <c r="BL1036" s="991">
        <f>IF(AND(Input_Product=Elig!$C1036,Elig_MatchAll_Ct&lt;22,$BC1036=(Elig_MatchAll_Ct-1),AJ1036=0),G1036,0)</f>
        <v>0</v>
      </c>
      <c r="BM1036" s="991">
        <f>IF(AND(Input_Product=Elig!$C1036,Elig_MatchAll_Ct&lt;22,$BC1036=(Elig_MatchAll_Ct-1),AK1036=0),H1036,0)</f>
        <v>0</v>
      </c>
      <c r="BN1036" s="991">
        <f>IF(AND(Input_Product=Elig!$C1036,Elig_MatchAll_Ct&lt;22,$BC1036=(Elig_MatchAll_Ct-1),AL1036=0),I1036,0)</f>
        <v>0</v>
      </c>
      <c r="BO1036" s="991">
        <f>IF(AND(Input_Product=Elig!$C1036,Elig_MatchAll_Ct&lt;22,$BC1036=(Elig_MatchAll_Ct-1),AM1036=0),J1036,0)</f>
        <v>0</v>
      </c>
      <c r="BP1036" s="991">
        <f>IF(AND(Input_Product=Elig!$C1036,Elig_MatchAll_Ct&lt;22,$BC1036=(Elig_MatchAll_Ct-1),AN1036=0),K1036,0)</f>
        <v>0</v>
      </c>
      <c r="BQ1036" s="991">
        <f>IF(AND(Input_Product=Elig!$C1036,Elig_MatchAll_Ct&lt;22,$BC1036=(Elig_MatchAll_Ct-1),AP1036=0),L1036,0)</f>
        <v>0</v>
      </c>
      <c r="BR1036" s="991">
        <f>IF(AND(Input_Product=Elig!$C1036,Elig_MatchAll_Ct&lt;22,$BC1036=(Elig_MatchAll_Ct-1),AO1036=0),M1036,0)</f>
        <v>0</v>
      </c>
      <c r="BS1036" s="991">
        <f>IF(AND(Input_Product=Elig!$C1036,Elig_MatchAll_Ct&lt;22,$BC1036=(Elig_MatchAll_Ct-1),AQ1036=0),N1036,0)</f>
        <v>0</v>
      </c>
      <c r="BT1036" s="991">
        <f>IF(AND(Input_Product=Elig!$C1036,Elig_MatchAll_Ct&lt;22,$BC1036=(Elig_MatchAll_Ct-1),AR1036=0),O1036,0)</f>
        <v>0</v>
      </c>
      <c r="BU1036" s="991">
        <f>IF(AND(Input_Product=Elig!$C1036,Elig_MatchAll_Ct&lt;22,$BC1036=(Elig_MatchAll_Ct-1),AS1036=0),P1036,0)</f>
        <v>0</v>
      </c>
      <c r="BV1036" s="992">
        <f>IF(AND(Input_Product=Elig!$C1036,Elig_MatchAll_Ct&lt;22,$BC1036=(Elig_MatchAll_Ct-1),AT1036=0),Q1036,0)</f>
        <v>0</v>
      </c>
      <c r="BW1036" s="993">
        <f>IF(AND(Input_Product=Elig!$C1036,Elig_MatchAll_Ct&lt;22,$BC1036=(Elig_MatchAll_Ct-1),AU1036=0),R1036,0)</f>
        <v>0</v>
      </c>
      <c r="BX1036" s="994">
        <f>IF(AND(Input_Product=Elig!$C1036,Elig_MatchAll_Ct&lt;22,$BC1036=(Elig_MatchAll_Ct-1),AU1036=0),S1036,0)</f>
        <v>0</v>
      </c>
      <c r="BY1036" s="993">
        <f>IF(AND(Input_Product=Elig!$C1036,Elig_MatchAll_Ct&lt;22,$BC1036=(Elig_MatchAll_Ct-1),AV1036=0),T1036,0)</f>
        <v>0</v>
      </c>
      <c r="BZ1036" s="994">
        <f>IF(AND(Input_Product=Elig!$C1036,Elig_MatchAll_Ct&lt;22,$BC1036=(Elig_MatchAll_Ct-1),AV1036=0),U1036,0)</f>
        <v>0</v>
      </c>
      <c r="CA1036" s="993">
        <f>IF(AND(Input_Product=Elig!$C1036,Elig_MatchAll_Ct&lt;22,$BC1036=(Elig_MatchAll_Ct-1),AW1036=0),V1036,0)</f>
        <v>0</v>
      </c>
      <c r="CB1036" s="994">
        <f>IF(AND(Input_Product=Elig!$C1036,Elig_MatchAll_Ct&lt;22,$BC1036=(Elig_MatchAll_Ct-1),AW1036=0),W1036,0)</f>
        <v>0</v>
      </c>
      <c r="CC1036" s="993">
        <f>IF(AND(Input_Product=Elig!$C1036,Elig_MatchAll_Ct&lt;22,$BC1036=(Elig_MatchAll_Ct-1),AX1036=0),X1036,0)</f>
        <v>0</v>
      </c>
      <c r="CD1036" s="994">
        <f>IF(AND(Input_Product=Elig!$C1036,Elig_MatchAll_Ct&lt;22,$BC1036=(Elig_MatchAll_Ct-1),AX1036=0),Y1036,0)</f>
        <v>0</v>
      </c>
      <c r="CE1036" s="993">
        <f>IF(AND(Input_LTV&lt;=AE1036,Input_Product=Elig!$C1036,Elig_MatchAll_Ct&lt;22,$BC1036=(Elig_MatchAll_Ct-1),AY1036=0),Z1036,0)</f>
        <v>0</v>
      </c>
      <c r="CF1036" s="994">
        <f>IF(AND(Input_LTV&lt;=AE1036,Input_Product=Elig!$C1036,Elig_MatchAll_Ct&lt;22,$BC1036=(Elig_MatchAll_Ct-1),AY1036=0),AA1036,0)</f>
        <v>0</v>
      </c>
      <c r="CG1036" s="993">
        <f>IF(AND(Input_Product=Elig!$C1036,Elig_MatchAll_Ct&lt;22,$BC1036=(Elig_MatchAll_Ct-1),AZ1036=0),AB1036,0)</f>
        <v>0</v>
      </c>
      <c r="CH1036" s="994">
        <f>IF(AND(Input_Product=Elig!$C1036,Elig_MatchAll_Ct&lt;22,$BC1036=(Elig_MatchAll_Ct-1),AZ1036=0),AC1036,0)</f>
        <v>0</v>
      </c>
      <c r="CI1036" s="993">
        <f>IF(AND(Input_Product=Elig!$C1036,Elig_MatchAll_Ct&lt;22,$BC1036=(Elig_MatchAll_Ct-1),BA1036=0),AD1036,0)</f>
        <v>0</v>
      </c>
      <c r="CJ1036" s="994">
        <f>IF(AND(Input_Product=Elig!$C1036,Elig_MatchAll_Ct&lt;22,$BC1036=(Elig_MatchAll_Ct-1),BA1036=0),AE1036,0)</f>
        <v>0</v>
      </c>
    </row>
    <row r="1037" spans="2:88" ht="10.15" customHeight="1" x14ac:dyDescent="0.25">
      <c r="B1037" s="1916" t="s">
        <v>2373</v>
      </c>
      <c r="C1037" s="1213" t="str">
        <f t="shared" si="402"/>
        <v xml:space="preserve">  </v>
      </c>
      <c r="D1037" s="1214" t="s">
        <v>2218</v>
      </c>
      <c r="E1037" s="1214" t="s">
        <v>167</v>
      </c>
      <c r="F1037" s="1214" t="s">
        <v>331</v>
      </c>
      <c r="G1037" s="1215" t="s">
        <v>468</v>
      </c>
      <c r="H1037" s="1215" t="s">
        <v>136</v>
      </c>
      <c r="I1037" s="1214" t="s">
        <v>16</v>
      </c>
      <c r="J1037" s="1214" t="s">
        <v>1311</v>
      </c>
      <c r="K1037" s="1215" t="s">
        <v>3022</v>
      </c>
      <c r="L1037" s="1214" t="s">
        <v>2768</v>
      </c>
      <c r="M1037" s="1214" t="s">
        <v>2677</v>
      </c>
      <c r="N1037" s="1215" t="s">
        <v>82</v>
      </c>
      <c r="O1037" s="1214" t="s">
        <v>310</v>
      </c>
      <c r="P1037" s="1214" t="s">
        <v>291</v>
      </c>
      <c r="Q1037" s="1214" t="s">
        <v>294</v>
      </c>
      <c r="R1037" s="1214">
        <v>2000000.01</v>
      </c>
      <c r="S1037" s="1214">
        <v>2500000</v>
      </c>
      <c r="T1037" s="1214">
        <v>0</v>
      </c>
      <c r="U1037" s="1214">
        <f t="shared" si="400"/>
        <v>2500000</v>
      </c>
      <c r="V1037" s="1214">
        <v>0</v>
      </c>
      <c r="W1037" s="1214">
        <v>50</v>
      </c>
      <c r="X1037" s="1214">
        <v>0</v>
      </c>
      <c r="Y1037" s="1214">
        <v>999</v>
      </c>
      <c r="Z1037" s="1216">
        <v>680</v>
      </c>
      <c r="AA1037" s="1216">
        <v>699</v>
      </c>
      <c r="AB1037" s="1216">
        <v>6</v>
      </c>
      <c r="AC1037" s="1216">
        <v>999999</v>
      </c>
      <c r="AD1037" s="1214">
        <v>0</v>
      </c>
      <c r="AE1037" s="1217">
        <v>75</v>
      </c>
      <c r="AF1037" s="170">
        <v>0</v>
      </c>
      <c r="AG1037" s="171">
        <v>1</v>
      </c>
      <c r="AH1037" s="171">
        <v>1</v>
      </c>
      <c r="AI1037" s="171">
        <v>1</v>
      </c>
      <c r="AJ1037" s="171">
        <v>0</v>
      </c>
      <c r="AK1037" s="171">
        <v>1</v>
      </c>
      <c r="AL1037" s="171">
        <v>1</v>
      </c>
      <c r="AM1037" s="171">
        <v>1</v>
      </c>
      <c r="AN1037" s="171">
        <v>1</v>
      </c>
      <c r="AO1037" s="171">
        <v>1</v>
      </c>
      <c r="AP1037" s="171">
        <v>1</v>
      </c>
      <c r="AQ1037" s="171">
        <v>1</v>
      </c>
      <c r="AR1037" s="171">
        <v>1</v>
      </c>
      <c r="AS1037" s="171">
        <v>1</v>
      </c>
      <c r="AT1037" s="171">
        <v>1</v>
      </c>
      <c r="AU1037" s="171">
        <f t="shared" ref="AU1037:AU1100" si="404">IF(AND(Input_LoanAmt&gt;=Elig_LoanAmt_Min,Input_LoanAmt&lt;=Elig_LoanAmt_Max),1,0)</f>
        <v>0</v>
      </c>
      <c r="AV1037" s="171">
        <f t="shared" ref="AV1037:AV1100" si="405">IF(AND(Input_CashoutAmt&gt;=Elig_CashoutAmt_Min,Input_CashoutAmt&lt;=Elig_CashoutAmt_Max),1,0)</f>
        <v>1</v>
      </c>
      <c r="AW1037" s="171">
        <f t="shared" ref="AW1037:AW1100" si="406">IF(AND(Input_DTI&gt;=Elig_DTI_Min,Input_DTI&lt;=Elig_DTI_Max),1,0)</f>
        <v>1</v>
      </c>
      <c r="AX1037" s="171">
        <f t="shared" si="401"/>
        <v>1</v>
      </c>
      <c r="AY1037" s="171">
        <f t="shared" ref="AY1037:AY1100" si="407">IF(AND(Input_CreditScore&gt;=Elig_CreditScore_Min,Input_CreditScore&lt;=Elig_CreditScore_Max),1,0)</f>
        <v>0</v>
      </c>
      <c r="AZ1037" s="171">
        <f t="shared" ref="AZ1037:AZ1100" si="408">IF(AND(Input_ReservesMonths&gt;=Elig_Reserves_Min,Input_ReservesMonths&lt;=Elig_Reserves_Max),1,0)</f>
        <v>1</v>
      </c>
      <c r="BA1037" s="172">
        <f t="shared" ref="BA1037:BA1100" si="409">IF(AND(Input_LTV&gt;=Elig_LTV_Min,Input_LTV&lt;=Elig_LTV_Max),1,0)</f>
        <v>1</v>
      </c>
      <c r="BB1037" s="175">
        <f t="shared" si="397"/>
        <v>18</v>
      </c>
      <c r="BC1037" s="176">
        <f t="shared" si="398"/>
        <v>17</v>
      </c>
      <c r="BD1037" s="176">
        <f t="shared" si="399"/>
        <v>18</v>
      </c>
      <c r="BE1037" s="240" t="str">
        <f t="shared" si="403"/>
        <v/>
      </c>
      <c r="BF1037" s="990"/>
      <c r="BG1037" s="990"/>
      <c r="BH1037" s="991">
        <f>IF(AND(Input_Product=Elig!$C1037,Elig_MatchAll_Ct&lt;22,$BC1037=(Elig_MatchAll_Ct-1),AF1037=0),C1037,0)</f>
        <v>0</v>
      </c>
      <c r="BI1037" s="991">
        <f>IF(AND(Input_Product=Elig!$C1037,Elig_MatchAll_Ct&lt;22,$BC1037=(Elig_MatchAll_Ct-1),AG1037=0),D1037,0)</f>
        <v>0</v>
      </c>
      <c r="BJ1037" s="991">
        <f>IF(AND(Input_Product=Elig!$C1037,Elig_MatchAll_Ct&lt;22,$BC1037=(Elig_MatchAll_Ct-1),AH1037=0),E1037,0)</f>
        <v>0</v>
      </c>
      <c r="BK1037" s="991">
        <f>IF(AND(Input_Product=Elig!$C1037,Elig_MatchAll_Ct&lt;22,$BC1037=(Elig_MatchAll_Ct-1),AI1037=0),F1037,0)</f>
        <v>0</v>
      </c>
      <c r="BL1037" s="991">
        <f>IF(AND(Input_Product=Elig!$C1037,Elig_MatchAll_Ct&lt;22,$BC1037=(Elig_MatchAll_Ct-1),AJ1037=0),G1037,0)</f>
        <v>0</v>
      </c>
      <c r="BM1037" s="991">
        <f>IF(AND(Input_Product=Elig!$C1037,Elig_MatchAll_Ct&lt;22,$BC1037=(Elig_MatchAll_Ct-1),AK1037=0),H1037,0)</f>
        <v>0</v>
      </c>
      <c r="BN1037" s="991">
        <f>IF(AND(Input_Product=Elig!$C1037,Elig_MatchAll_Ct&lt;22,$BC1037=(Elig_MatchAll_Ct-1),AL1037=0),I1037,0)</f>
        <v>0</v>
      </c>
      <c r="BO1037" s="991">
        <f>IF(AND(Input_Product=Elig!$C1037,Elig_MatchAll_Ct&lt;22,$BC1037=(Elig_MatchAll_Ct-1),AM1037=0),J1037,0)</f>
        <v>0</v>
      </c>
      <c r="BP1037" s="991">
        <f>IF(AND(Input_Product=Elig!$C1037,Elig_MatchAll_Ct&lt;22,$BC1037=(Elig_MatchAll_Ct-1),AN1037=0),K1037,0)</f>
        <v>0</v>
      </c>
      <c r="BQ1037" s="991">
        <f>IF(AND(Input_Product=Elig!$C1037,Elig_MatchAll_Ct&lt;22,$BC1037=(Elig_MatchAll_Ct-1),AP1037=0),L1037,0)</f>
        <v>0</v>
      </c>
      <c r="BR1037" s="991">
        <f>IF(AND(Input_Product=Elig!$C1037,Elig_MatchAll_Ct&lt;22,$BC1037=(Elig_MatchAll_Ct-1),AO1037=0),M1037,0)</f>
        <v>0</v>
      </c>
      <c r="BS1037" s="991">
        <f>IF(AND(Input_Product=Elig!$C1037,Elig_MatchAll_Ct&lt;22,$BC1037=(Elig_MatchAll_Ct-1),AQ1037=0),N1037,0)</f>
        <v>0</v>
      </c>
      <c r="BT1037" s="991">
        <f>IF(AND(Input_Product=Elig!$C1037,Elig_MatchAll_Ct&lt;22,$BC1037=(Elig_MatchAll_Ct-1),AR1037=0),O1037,0)</f>
        <v>0</v>
      </c>
      <c r="BU1037" s="991">
        <f>IF(AND(Input_Product=Elig!$C1037,Elig_MatchAll_Ct&lt;22,$BC1037=(Elig_MatchAll_Ct-1),AS1037=0),P1037,0)</f>
        <v>0</v>
      </c>
      <c r="BV1037" s="992">
        <f>IF(AND(Input_Product=Elig!$C1037,Elig_MatchAll_Ct&lt;22,$BC1037=(Elig_MatchAll_Ct-1),AT1037=0),Q1037,0)</f>
        <v>0</v>
      </c>
      <c r="BW1037" s="993">
        <f>IF(AND(Input_Product=Elig!$C1037,Elig_MatchAll_Ct&lt;22,$BC1037=(Elig_MatchAll_Ct-1),AU1037=0),R1037,0)</f>
        <v>0</v>
      </c>
      <c r="BX1037" s="994">
        <f>IF(AND(Input_Product=Elig!$C1037,Elig_MatchAll_Ct&lt;22,$BC1037=(Elig_MatchAll_Ct-1),AU1037=0),S1037,0)</f>
        <v>0</v>
      </c>
      <c r="BY1037" s="993">
        <f>IF(AND(Input_Product=Elig!$C1037,Elig_MatchAll_Ct&lt;22,$BC1037=(Elig_MatchAll_Ct-1),AV1037=0),T1037,0)</f>
        <v>0</v>
      </c>
      <c r="BZ1037" s="994">
        <f>IF(AND(Input_Product=Elig!$C1037,Elig_MatchAll_Ct&lt;22,$BC1037=(Elig_MatchAll_Ct-1),AV1037=0),U1037,0)</f>
        <v>0</v>
      </c>
      <c r="CA1037" s="993">
        <f>IF(AND(Input_Product=Elig!$C1037,Elig_MatchAll_Ct&lt;22,$BC1037=(Elig_MatchAll_Ct-1),AW1037=0),V1037,0)</f>
        <v>0</v>
      </c>
      <c r="CB1037" s="994">
        <f>IF(AND(Input_Product=Elig!$C1037,Elig_MatchAll_Ct&lt;22,$BC1037=(Elig_MatchAll_Ct-1),AW1037=0),W1037,0)</f>
        <v>0</v>
      </c>
      <c r="CC1037" s="993">
        <f>IF(AND(Input_Product=Elig!$C1037,Elig_MatchAll_Ct&lt;22,$BC1037=(Elig_MatchAll_Ct-1),AX1037=0),X1037,0)</f>
        <v>0</v>
      </c>
      <c r="CD1037" s="994">
        <f>IF(AND(Input_Product=Elig!$C1037,Elig_MatchAll_Ct&lt;22,$BC1037=(Elig_MatchAll_Ct-1),AX1037=0),Y1037,0)</f>
        <v>0</v>
      </c>
      <c r="CE1037" s="993">
        <f>IF(AND(Input_LTV&lt;=AE1037,Input_Product=Elig!$C1037,Elig_MatchAll_Ct&lt;22,$BC1037=(Elig_MatchAll_Ct-1),AY1037=0),Z1037,0)</f>
        <v>0</v>
      </c>
      <c r="CF1037" s="994">
        <f>IF(AND(Input_LTV&lt;=AE1037,Input_Product=Elig!$C1037,Elig_MatchAll_Ct&lt;22,$BC1037=(Elig_MatchAll_Ct-1),AY1037=0),AA1037,0)</f>
        <v>0</v>
      </c>
      <c r="CG1037" s="993">
        <f>IF(AND(Input_Product=Elig!$C1037,Elig_MatchAll_Ct&lt;22,$BC1037=(Elig_MatchAll_Ct-1),AZ1037=0),AB1037,0)</f>
        <v>0</v>
      </c>
      <c r="CH1037" s="994">
        <f>IF(AND(Input_Product=Elig!$C1037,Elig_MatchAll_Ct&lt;22,$BC1037=(Elig_MatchAll_Ct-1),AZ1037=0),AC1037,0)</f>
        <v>0</v>
      </c>
      <c r="CI1037" s="993">
        <f>IF(AND(Input_Product=Elig!$C1037,Elig_MatchAll_Ct&lt;22,$BC1037=(Elig_MatchAll_Ct-1),BA1037=0),AD1037,0)</f>
        <v>0</v>
      </c>
      <c r="CJ1037" s="994">
        <f>IF(AND(Input_Product=Elig!$C1037,Elig_MatchAll_Ct&lt;22,$BC1037=(Elig_MatchAll_Ct-1),BA1037=0),AE1037,0)</f>
        <v>0</v>
      </c>
    </row>
    <row r="1038" spans="2:88" ht="10.15" customHeight="1" x14ac:dyDescent="0.25">
      <c r="B1038" s="1916" t="s">
        <v>2374</v>
      </c>
      <c r="C1038" s="1203" t="str">
        <f t="shared" si="402"/>
        <v xml:space="preserve">  </v>
      </c>
      <c r="D1038" s="1204" t="s">
        <v>2218</v>
      </c>
      <c r="E1038" s="1204" t="s">
        <v>167</v>
      </c>
      <c r="F1038" s="1204" t="s">
        <v>331</v>
      </c>
      <c r="G1038" s="1205" t="s">
        <v>468</v>
      </c>
      <c r="H1038" s="1205" t="s">
        <v>136</v>
      </c>
      <c r="I1038" s="1204" t="s">
        <v>16</v>
      </c>
      <c r="J1038" s="1204" t="s">
        <v>1311</v>
      </c>
      <c r="K1038" s="1205" t="s">
        <v>3022</v>
      </c>
      <c r="L1038" s="1204" t="s">
        <v>2768</v>
      </c>
      <c r="M1038" s="1204" t="s">
        <v>2677</v>
      </c>
      <c r="N1038" s="1205" t="s">
        <v>82</v>
      </c>
      <c r="O1038" s="1204" t="s">
        <v>310</v>
      </c>
      <c r="P1038" s="1204" t="s">
        <v>291</v>
      </c>
      <c r="Q1038" s="1204" t="s">
        <v>294</v>
      </c>
      <c r="R1038" s="1204">
        <v>2500000.0099999998</v>
      </c>
      <c r="S1038" s="1204">
        <v>3000000</v>
      </c>
      <c r="T1038" s="1204">
        <v>0</v>
      </c>
      <c r="U1038" s="1204">
        <f t="shared" si="400"/>
        <v>3000000</v>
      </c>
      <c r="V1038" s="1204">
        <v>0</v>
      </c>
      <c r="W1038" s="1204">
        <v>50</v>
      </c>
      <c r="X1038" s="1204">
        <v>0</v>
      </c>
      <c r="Y1038" s="1204">
        <v>999</v>
      </c>
      <c r="Z1038" s="1206">
        <v>720</v>
      </c>
      <c r="AA1038" s="1206">
        <v>999</v>
      </c>
      <c r="AB1038" s="1206">
        <v>6</v>
      </c>
      <c r="AC1038" s="1206">
        <v>999999</v>
      </c>
      <c r="AD1038" s="1204">
        <v>0</v>
      </c>
      <c r="AE1038" s="1207">
        <v>75</v>
      </c>
      <c r="AF1038" s="170">
        <v>0</v>
      </c>
      <c r="AG1038" s="171">
        <v>1</v>
      </c>
      <c r="AH1038" s="171">
        <v>1</v>
      </c>
      <c r="AI1038" s="171">
        <v>1</v>
      </c>
      <c r="AJ1038" s="171">
        <v>0</v>
      </c>
      <c r="AK1038" s="171">
        <v>1</v>
      </c>
      <c r="AL1038" s="171">
        <v>1</v>
      </c>
      <c r="AM1038" s="171">
        <v>1</v>
      </c>
      <c r="AN1038" s="171">
        <v>1</v>
      </c>
      <c r="AO1038" s="171">
        <v>1</v>
      </c>
      <c r="AP1038" s="171">
        <v>1</v>
      </c>
      <c r="AQ1038" s="171">
        <v>1</v>
      </c>
      <c r="AR1038" s="171">
        <v>1</v>
      </c>
      <c r="AS1038" s="171">
        <v>1</v>
      </c>
      <c r="AT1038" s="171">
        <v>1</v>
      </c>
      <c r="AU1038" s="171">
        <f t="shared" si="404"/>
        <v>0</v>
      </c>
      <c r="AV1038" s="171">
        <f t="shared" si="405"/>
        <v>1</v>
      </c>
      <c r="AW1038" s="171">
        <f t="shared" si="406"/>
        <v>1</v>
      </c>
      <c r="AX1038" s="171">
        <f t="shared" si="401"/>
        <v>1</v>
      </c>
      <c r="AY1038" s="171">
        <f t="shared" si="407"/>
        <v>1</v>
      </c>
      <c r="AZ1038" s="171">
        <f t="shared" si="408"/>
        <v>1</v>
      </c>
      <c r="BA1038" s="172">
        <f t="shared" si="409"/>
        <v>1</v>
      </c>
      <c r="BB1038" s="175">
        <f t="shared" si="397"/>
        <v>19</v>
      </c>
      <c r="BC1038" s="176">
        <f t="shared" si="398"/>
        <v>18</v>
      </c>
      <c r="BD1038" s="176">
        <f t="shared" si="399"/>
        <v>19</v>
      </c>
      <c r="BE1038" s="240" t="str">
        <f t="shared" si="403"/>
        <v/>
      </c>
      <c r="BF1038" s="990"/>
      <c r="BG1038" s="990"/>
      <c r="BH1038" s="991">
        <f>IF(AND(Input_Product=Elig!$C1038,Elig_MatchAll_Ct&lt;22,$BC1038=(Elig_MatchAll_Ct-1),AF1038=0),C1038,0)</f>
        <v>0</v>
      </c>
      <c r="BI1038" s="991">
        <f>IF(AND(Input_Product=Elig!$C1038,Elig_MatchAll_Ct&lt;22,$BC1038=(Elig_MatchAll_Ct-1),AG1038=0),D1038,0)</f>
        <v>0</v>
      </c>
      <c r="BJ1038" s="991">
        <f>IF(AND(Input_Product=Elig!$C1038,Elig_MatchAll_Ct&lt;22,$BC1038=(Elig_MatchAll_Ct-1),AH1038=0),E1038,0)</f>
        <v>0</v>
      </c>
      <c r="BK1038" s="991">
        <f>IF(AND(Input_Product=Elig!$C1038,Elig_MatchAll_Ct&lt;22,$BC1038=(Elig_MatchAll_Ct-1),AI1038=0),F1038,0)</f>
        <v>0</v>
      </c>
      <c r="BL1038" s="991">
        <f>IF(AND(Input_Product=Elig!$C1038,Elig_MatchAll_Ct&lt;22,$BC1038=(Elig_MatchAll_Ct-1),AJ1038=0),G1038,0)</f>
        <v>0</v>
      </c>
      <c r="BM1038" s="991">
        <f>IF(AND(Input_Product=Elig!$C1038,Elig_MatchAll_Ct&lt;22,$BC1038=(Elig_MatchAll_Ct-1),AK1038=0),H1038,0)</f>
        <v>0</v>
      </c>
      <c r="BN1038" s="991">
        <f>IF(AND(Input_Product=Elig!$C1038,Elig_MatchAll_Ct&lt;22,$BC1038=(Elig_MatchAll_Ct-1),AL1038=0),I1038,0)</f>
        <v>0</v>
      </c>
      <c r="BO1038" s="991">
        <f>IF(AND(Input_Product=Elig!$C1038,Elig_MatchAll_Ct&lt;22,$BC1038=(Elig_MatchAll_Ct-1),AM1038=0),J1038,0)</f>
        <v>0</v>
      </c>
      <c r="BP1038" s="991">
        <f>IF(AND(Input_Product=Elig!$C1038,Elig_MatchAll_Ct&lt;22,$BC1038=(Elig_MatchAll_Ct-1),AN1038=0),K1038,0)</f>
        <v>0</v>
      </c>
      <c r="BQ1038" s="991">
        <f>IF(AND(Input_Product=Elig!$C1038,Elig_MatchAll_Ct&lt;22,$BC1038=(Elig_MatchAll_Ct-1),AP1038=0),L1038,0)</f>
        <v>0</v>
      </c>
      <c r="BR1038" s="991">
        <f>IF(AND(Input_Product=Elig!$C1038,Elig_MatchAll_Ct&lt;22,$BC1038=(Elig_MatchAll_Ct-1),AO1038=0),M1038,0)</f>
        <v>0</v>
      </c>
      <c r="BS1038" s="991">
        <f>IF(AND(Input_Product=Elig!$C1038,Elig_MatchAll_Ct&lt;22,$BC1038=(Elig_MatchAll_Ct-1),AQ1038=0),N1038,0)</f>
        <v>0</v>
      </c>
      <c r="BT1038" s="991">
        <f>IF(AND(Input_Product=Elig!$C1038,Elig_MatchAll_Ct&lt;22,$BC1038=(Elig_MatchAll_Ct-1),AR1038=0),O1038,0)</f>
        <v>0</v>
      </c>
      <c r="BU1038" s="991">
        <f>IF(AND(Input_Product=Elig!$C1038,Elig_MatchAll_Ct&lt;22,$BC1038=(Elig_MatchAll_Ct-1),AS1038=0),P1038,0)</f>
        <v>0</v>
      </c>
      <c r="BV1038" s="992">
        <f>IF(AND(Input_Product=Elig!$C1038,Elig_MatchAll_Ct&lt;22,$BC1038=(Elig_MatchAll_Ct-1),AT1038=0),Q1038,0)</f>
        <v>0</v>
      </c>
      <c r="BW1038" s="993">
        <f>IF(AND(Input_Product=Elig!$C1038,Elig_MatchAll_Ct&lt;22,$BC1038=(Elig_MatchAll_Ct-1),AU1038=0),R1038,0)</f>
        <v>0</v>
      </c>
      <c r="BX1038" s="994">
        <f>IF(AND(Input_Product=Elig!$C1038,Elig_MatchAll_Ct&lt;22,$BC1038=(Elig_MatchAll_Ct-1),AU1038=0),S1038,0)</f>
        <v>0</v>
      </c>
      <c r="BY1038" s="993">
        <f>IF(AND(Input_Product=Elig!$C1038,Elig_MatchAll_Ct&lt;22,$BC1038=(Elig_MatchAll_Ct-1),AV1038=0),T1038,0)</f>
        <v>0</v>
      </c>
      <c r="BZ1038" s="994">
        <f>IF(AND(Input_Product=Elig!$C1038,Elig_MatchAll_Ct&lt;22,$BC1038=(Elig_MatchAll_Ct-1),AV1038=0),U1038,0)</f>
        <v>0</v>
      </c>
      <c r="CA1038" s="993">
        <f>IF(AND(Input_Product=Elig!$C1038,Elig_MatchAll_Ct&lt;22,$BC1038=(Elig_MatchAll_Ct-1),AW1038=0),V1038,0)</f>
        <v>0</v>
      </c>
      <c r="CB1038" s="994">
        <f>IF(AND(Input_Product=Elig!$C1038,Elig_MatchAll_Ct&lt;22,$BC1038=(Elig_MatchAll_Ct-1),AW1038=0),W1038,0)</f>
        <v>0</v>
      </c>
      <c r="CC1038" s="993">
        <f>IF(AND(Input_Product=Elig!$C1038,Elig_MatchAll_Ct&lt;22,$BC1038=(Elig_MatchAll_Ct-1),AX1038=0),X1038,0)</f>
        <v>0</v>
      </c>
      <c r="CD1038" s="994">
        <f>IF(AND(Input_Product=Elig!$C1038,Elig_MatchAll_Ct&lt;22,$BC1038=(Elig_MatchAll_Ct-1),AX1038=0),Y1038,0)</f>
        <v>0</v>
      </c>
      <c r="CE1038" s="993">
        <f>IF(AND(Input_LTV&lt;=AE1038,Input_Product=Elig!$C1038,Elig_MatchAll_Ct&lt;22,$BC1038=(Elig_MatchAll_Ct-1),AY1038=0),Z1038,0)</f>
        <v>0</v>
      </c>
      <c r="CF1038" s="994">
        <f>IF(AND(Input_LTV&lt;=AE1038,Input_Product=Elig!$C1038,Elig_MatchAll_Ct&lt;22,$BC1038=(Elig_MatchAll_Ct-1),AY1038=0),AA1038,0)</f>
        <v>0</v>
      </c>
      <c r="CG1038" s="993">
        <f>IF(AND(Input_Product=Elig!$C1038,Elig_MatchAll_Ct&lt;22,$BC1038=(Elig_MatchAll_Ct-1),AZ1038=0),AB1038,0)</f>
        <v>0</v>
      </c>
      <c r="CH1038" s="994">
        <f>IF(AND(Input_Product=Elig!$C1038,Elig_MatchAll_Ct&lt;22,$BC1038=(Elig_MatchAll_Ct-1),AZ1038=0),AC1038,0)</f>
        <v>0</v>
      </c>
      <c r="CI1038" s="993">
        <f>IF(AND(Input_Product=Elig!$C1038,Elig_MatchAll_Ct&lt;22,$BC1038=(Elig_MatchAll_Ct-1),BA1038=0),AD1038,0)</f>
        <v>0</v>
      </c>
      <c r="CJ1038" s="994">
        <f>IF(AND(Input_Product=Elig!$C1038,Elig_MatchAll_Ct&lt;22,$BC1038=(Elig_MatchAll_Ct-1),BA1038=0),AE1038,0)</f>
        <v>0</v>
      </c>
    </row>
    <row r="1039" spans="2:88" ht="10.15" customHeight="1" x14ac:dyDescent="0.25">
      <c r="B1039" s="1916" t="s">
        <v>2375</v>
      </c>
      <c r="C1039" s="1208" t="str">
        <f t="shared" si="402"/>
        <v xml:space="preserve">  </v>
      </c>
      <c r="D1039" s="1209" t="s">
        <v>2218</v>
      </c>
      <c r="E1039" s="1209" t="s">
        <v>167</v>
      </c>
      <c r="F1039" s="1209" t="s">
        <v>331</v>
      </c>
      <c r="G1039" s="1210" t="s">
        <v>468</v>
      </c>
      <c r="H1039" s="1210" t="s">
        <v>136</v>
      </c>
      <c r="I1039" s="1209" t="s">
        <v>16</v>
      </c>
      <c r="J1039" s="1209" t="s">
        <v>1311</v>
      </c>
      <c r="K1039" s="1210" t="s">
        <v>3022</v>
      </c>
      <c r="L1039" s="1209" t="s">
        <v>2768</v>
      </c>
      <c r="M1039" s="1209" t="s">
        <v>2677</v>
      </c>
      <c r="N1039" s="1210" t="s">
        <v>82</v>
      </c>
      <c r="O1039" s="1209" t="s">
        <v>310</v>
      </c>
      <c r="P1039" s="1209" t="s">
        <v>291</v>
      </c>
      <c r="Q1039" s="1209" t="s">
        <v>294</v>
      </c>
      <c r="R1039" s="1209">
        <v>2500000.0099999998</v>
      </c>
      <c r="S1039" s="1209">
        <v>3000000</v>
      </c>
      <c r="T1039" s="1209">
        <v>0</v>
      </c>
      <c r="U1039" s="1209">
        <f t="shared" si="400"/>
        <v>3000000</v>
      </c>
      <c r="V1039" s="1209">
        <v>0</v>
      </c>
      <c r="W1039" s="1209">
        <v>50</v>
      </c>
      <c r="X1039" s="1209">
        <v>0</v>
      </c>
      <c r="Y1039" s="1209">
        <v>999</v>
      </c>
      <c r="Z1039" s="1211">
        <v>700</v>
      </c>
      <c r="AA1039" s="1211">
        <v>719</v>
      </c>
      <c r="AB1039" s="1211">
        <v>6</v>
      </c>
      <c r="AC1039" s="1211">
        <v>999999</v>
      </c>
      <c r="AD1039" s="1209">
        <v>0</v>
      </c>
      <c r="AE1039" s="1212">
        <v>75</v>
      </c>
      <c r="AF1039" s="170">
        <v>0</v>
      </c>
      <c r="AG1039" s="171">
        <v>1</v>
      </c>
      <c r="AH1039" s="171">
        <v>1</v>
      </c>
      <c r="AI1039" s="171">
        <v>1</v>
      </c>
      <c r="AJ1039" s="171">
        <v>0</v>
      </c>
      <c r="AK1039" s="171">
        <v>1</v>
      </c>
      <c r="AL1039" s="171">
        <v>1</v>
      </c>
      <c r="AM1039" s="171">
        <v>1</v>
      </c>
      <c r="AN1039" s="171">
        <v>1</v>
      </c>
      <c r="AO1039" s="171">
        <v>1</v>
      </c>
      <c r="AP1039" s="171">
        <v>1</v>
      </c>
      <c r="AQ1039" s="171">
        <v>1</v>
      </c>
      <c r="AR1039" s="171">
        <v>1</v>
      </c>
      <c r="AS1039" s="171">
        <v>1</v>
      </c>
      <c r="AT1039" s="171">
        <v>1</v>
      </c>
      <c r="AU1039" s="171">
        <f t="shared" si="404"/>
        <v>0</v>
      </c>
      <c r="AV1039" s="171">
        <f t="shared" si="405"/>
        <v>1</v>
      </c>
      <c r="AW1039" s="171">
        <f t="shared" si="406"/>
        <v>1</v>
      </c>
      <c r="AX1039" s="171">
        <f t="shared" si="401"/>
        <v>1</v>
      </c>
      <c r="AY1039" s="171">
        <f t="shared" si="407"/>
        <v>0</v>
      </c>
      <c r="AZ1039" s="171">
        <f t="shared" si="408"/>
        <v>1</v>
      </c>
      <c r="BA1039" s="172">
        <f t="shared" si="409"/>
        <v>1</v>
      </c>
      <c r="BB1039" s="175">
        <f t="shared" si="397"/>
        <v>18</v>
      </c>
      <c r="BC1039" s="176">
        <f t="shared" si="398"/>
        <v>17</v>
      </c>
      <c r="BD1039" s="176">
        <f t="shared" si="399"/>
        <v>18</v>
      </c>
      <c r="BE1039" s="240" t="str">
        <f t="shared" si="403"/>
        <v/>
      </c>
      <c r="BF1039" s="990"/>
      <c r="BG1039" s="990"/>
      <c r="BH1039" s="991">
        <f>IF(AND(Input_Product=Elig!$C1039,Elig_MatchAll_Ct&lt;22,$BC1039=(Elig_MatchAll_Ct-1),AF1039=0),C1039,0)</f>
        <v>0</v>
      </c>
      <c r="BI1039" s="991">
        <f>IF(AND(Input_Product=Elig!$C1039,Elig_MatchAll_Ct&lt;22,$BC1039=(Elig_MatchAll_Ct-1),AG1039=0),D1039,0)</f>
        <v>0</v>
      </c>
      <c r="BJ1039" s="991">
        <f>IF(AND(Input_Product=Elig!$C1039,Elig_MatchAll_Ct&lt;22,$BC1039=(Elig_MatchAll_Ct-1),AH1039=0),E1039,0)</f>
        <v>0</v>
      </c>
      <c r="BK1039" s="991">
        <f>IF(AND(Input_Product=Elig!$C1039,Elig_MatchAll_Ct&lt;22,$BC1039=(Elig_MatchAll_Ct-1),AI1039=0),F1039,0)</f>
        <v>0</v>
      </c>
      <c r="BL1039" s="991">
        <f>IF(AND(Input_Product=Elig!$C1039,Elig_MatchAll_Ct&lt;22,$BC1039=(Elig_MatchAll_Ct-1),AJ1039=0),G1039,0)</f>
        <v>0</v>
      </c>
      <c r="BM1039" s="991">
        <f>IF(AND(Input_Product=Elig!$C1039,Elig_MatchAll_Ct&lt;22,$BC1039=(Elig_MatchAll_Ct-1),AK1039=0),H1039,0)</f>
        <v>0</v>
      </c>
      <c r="BN1039" s="991">
        <f>IF(AND(Input_Product=Elig!$C1039,Elig_MatchAll_Ct&lt;22,$BC1039=(Elig_MatchAll_Ct-1),AL1039=0),I1039,0)</f>
        <v>0</v>
      </c>
      <c r="BO1039" s="991">
        <f>IF(AND(Input_Product=Elig!$C1039,Elig_MatchAll_Ct&lt;22,$BC1039=(Elig_MatchAll_Ct-1),AM1039=0),J1039,0)</f>
        <v>0</v>
      </c>
      <c r="BP1039" s="991">
        <f>IF(AND(Input_Product=Elig!$C1039,Elig_MatchAll_Ct&lt;22,$BC1039=(Elig_MatchAll_Ct-1),AN1039=0),K1039,0)</f>
        <v>0</v>
      </c>
      <c r="BQ1039" s="991">
        <f>IF(AND(Input_Product=Elig!$C1039,Elig_MatchAll_Ct&lt;22,$BC1039=(Elig_MatchAll_Ct-1),AP1039=0),L1039,0)</f>
        <v>0</v>
      </c>
      <c r="BR1039" s="991">
        <f>IF(AND(Input_Product=Elig!$C1039,Elig_MatchAll_Ct&lt;22,$BC1039=(Elig_MatchAll_Ct-1),AO1039=0),M1039,0)</f>
        <v>0</v>
      </c>
      <c r="BS1039" s="991">
        <f>IF(AND(Input_Product=Elig!$C1039,Elig_MatchAll_Ct&lt;22,$BC1039=(Elig_MatchAll_Ct-1),AQ1039=0),N1039,0)</f>
        <v>0</v>
      </c>
      <c r="BT1039" s="991">
        <f>IF(AND(Input_Product=Elig!$C1039,Elig_MatchAll_Ct&lt;22,$BC1039=(Elig_MatchAll_Ct-1),AR1039=0),O1039,0)</f>
        <v>0</v>
      </c>
      <c r="BU1039" s="991">
        <f>IF(AND(Input_Product=Elig!$C1039,Elig_MatchAll_Ct&lt;22,$BC1039=(Elig_MatchAll_Ct-1),AS1039=0),P1039,0)</f>
        <v>0</v>
      </c>
      <c r="BV1039" s="992">
        <f>IF(AND(Input_Product=Elig!$C1039,Elig_MatchAll_Ct&lt;22,$BC1039=(Elig_MatchAll_Ct-1),AT1039=0),Q1039,0)</f>
        <v>0</v>
      </c>
      <c r="BW1039" s="993">
        <f>IF(AND(Input_Product=Elig!$C1039,Elig_MatchAll_Ct&lt;22,$BC1039=(Elig_MatchAll_Ct-1),AU1039=0),R1039,0)</f>
        <v>0</v>
      </c>
      <c r="BX1039" s="994">
        <f>IF(AND(Input_Product=Elig!$C1039,Elig_MatchAll_Ct&lt;22,$BC1039=(Elig_MatchAll_Ct-1),AU1039=0),S1039,0)</f>
        <v>0</v>
      </c>
      <c r="BY1039" s="993">
        <f>IF(AND(Input_Product=Elig!$C1039,Elig_MatchAll_Ct&lt;22,$BC1039=(Elig_MatchAll_Ct-1),AV1039=0),T1039,0)</f>
        <v>0</v>
      </c>
      <c r="BZ1039" s="994">
        <f>IF(AND(Input_Product=Elig!$C1039,Elig_MatchAll_Ct&lt;22,$BC1039=(Elig_MatchAll_Ct-1),AV1039=0),U1039,0)</f>
        <v>0</v>
      </c>
      <c r="CA1039" s="993">
        <f>IF(AND(Input_Product=Elig!$C1039,Elig_MatchAll_Ct&lt;22,$BC1039=(Elig_MatchAll_Ct-1),AW1039=0),V1039,0)</f>
        <v>0</v>
      </c>
      <c r="CB1039" s="994">
        <f>IF(AND(Input_Product=Elig!$C1039,Elig_MatchAll_Ct&lt;22,$BC1039=(Elig_MatchAll_Ct-1),AW1039=0),W1039,0)</f>
        <v>0</v>
      </c>
      <c r="CC1039" s="993">
        <f>IF(AND(Input_Product=Elig!$C1039,Elig_MatchAll_Ct&lt;22,$BC1039=(Elig_MatchAll_Ct-1),AX1039=0),X1039,0)</f>
        <v>0</v>
      </c>
      <c r="CD1039" s="994">
        <f>IF(AND(Input_Product=Elig!$C1039,Elig_MatchAll_Ct&lt;22,$BC1039=(Elig_MatchAll_Ct-1),AX1039=0),Y1039,0)</f>
        <v>0</v>
      </c>
      <c r="CE1039" s="993">
        <f>IF(AND(Input_LTV&lt;=AE1039,Input_Product=Elig!$C1039,Elig_MatchAll_Ct&lt;22,$BC1039=(Elig_MatchAll_Ct-1),AY1039=0),Z1039,0)</f>
        <v>0</v>
      </c>
      <c r="CF1039" s="994">
        <f>IF(AND(Input_LTV&lt;=AE1039,Input_Product=Elig!$C1039,Elig_MatchAll_Ct&lt;22,$BC1039=(Elig_MatchAll_Ct-1),AY1039=0),AA1039,0)</f>
        <v>0</v>
      </c>
      <c r="CG1039" s="993">
        <f>IF(AND(Input_Product=Elig!$C1039,Elig_MatchAll_Ct&lt;22,$BC1039=(Elig_MatchAll_Ct-1),AZ1039=0),AB1039,0)</f>
        <v>0</v>
      </c>
      <c r="CH1039" s="994">
        <f>IF(AND(Input_Product=Elig!$C1039,Elig_MatchAll_Ct&lt;22,$BC1039=(Elig_MatchAll_Ct-1),AZ1039=0),AC1039,0)</f>
        <v>0</v>
      </c>
      <c r="CI1039" s="993">
        <f>IF(AND(Input_Product=Elig!$C1039,Elig_MatchAll_Ct&lt;22,$BC1039=(Elig_MatchAll_Ct-1),BA1039=0),AD1039,0)</f>
        <v>0</v>
      </c>
      <c r="CJ1039" s="994">
        <f>IF(AND(Input_Product=Elig!$C1039,Elig_MatchAll_Ct&lt;22,$BC1039=(Elig_MatchAll_Ct-1),BA1039=0),AE1039,0)</f>
        <v>0</v>
      </c>
    </row>
    <row r="1040" spans="2:88" ht="10.15" customHeight="1" x14ac:dyDescent="0.25">
      <c r="B1040" s="1916" t="s">
        <v>2376</v>
      </c>
      <c r="C1040" s="1213" t="str">
        <f t="shared" si="402"/>
        <v xml:space="preserve">  </v>
      </c>
      <c r="D1040" s="1214" t="s">
        <v>2218</v>
      </c>
      <c r="E1040" s="1214" t="s">
        <v>167</v>
      </c>
      <c r="F1040" s="1214" t="s">
        <v>331</v>
      </c>
      <c r="G1040" s="1215" t="s">
        <v>468</v>
      </c>
      <c r="H1040" s="1215" t="s">
        <v>136</v>
      </c>
      <c r="I1040" s="1214" t="s">
        <v>16</v>
      </c>
      <c r="J1040" s="1214" t="s">
        <v>1311</v>
      </c>
      <c r="K1040" s="1215" t="s">
        <v>3022</v>
      </c>
      <c r="L1040" s="1214" t="s">
        <v>2768</v>
      </c>
      <c r="M1040" s="1214" t="s">
        <v>2677</v>
      </c>
      <c r="N1040" s="1215" t="s">
        <v>82</v>
      </c>
      <c r="O1040" s="1214" t="s">
        <v>310</v>
      </c>
      <c r="P1040" s="1214" t="s">
        <v>291</v>
      </c>
      <c r="Q1040" s="1214" t="s">
        <v>294</v>
      </c>
      <c r="R1040" s="1214">
        <v>2500000.0099999998</v>
      </c>
      <c r="S1040" s="1214">
        <v>3000000</v>
      </c>
      <c r="T1040" s="1214">
        <v>0</v>
      </c>
      <c r="U1040" s="1214">
        <f t="shared" si="400"/>
        <v>3000000</v>
      </c>
      <c r="V1040" s="1214">
        <v>0</v>
      </c>
      <c r="W1040" s="1214">
        <v>50</v>
      </c>
      <c r="X1040" s="1214">
        <v>0</v>
      </c>
      <c r="Y1040" s="1214">
        <v>999</v>
      </c>
      <c r="Z1040" s="1216">
        <v>680</v>
      </c>
      <c r="AA1040" s="1216">
        <v>699</v>
      </c>
      <c r="AB1040" s="1216">
        <v>6</v>
      </c>
      <c r="AC1040" s="1216">
        <v>999999</v>
      </c>
      <c r="AD1040" s="1214">
        <v>0</v>
      </c>
      <c r="AE1040" s="1217">
        <v>75</v>
      </c>
      <c r="AF1040" s="170">
        <v>0</v>
      </c>
      <c r="AG1040" s="171">
        <v>1</v>
      </c>
      <c r="AH1040" s="171">
        <v>1</v>
      </c>
      <c r="AI1040" s="171">
        <v>1</v>
      </c>
      <c r="AJ1040" s="171">
        <v>0</v>
      </c>
      <c r="AK1040" s="171">
        <v>1</v>
      </c>
      <c r="AL1040" s="171">
        <v>1</v>
      </c>
      <c r="AM1040" s="171">
        <v>1</v>
      </c>
      <c r="AN1040" s="171">
        <v>1</v>
      </c>
      <c r="AO1040" s="171">
        <v>1</v>
      </c>
      <c r="AP1040" s="171">
        <v>1</v>
      </c>
      <c r="AQ1040" s="171">
        <v>1</v>
      </c>
      <c r="AR1040" s="171">
        <v>1</v>
      </c>
      <c r="AS1040" s="171">
        <v>1</v>
      </c>
      <c r="AT1040" s="171">
        <v>1</v>
      </c>
      <c r="AU1040" s="171">
        <f t="shared" si="404"/>
        <v>0</v>
      </c>
      <c r="AV1040" s="171">
        <f t="shared" si="405"/>
        <v>1</v>
      </c>
      <c r="AW1040" s="171">
        <f t="shared" si="406"/>
        <v>1</v>
      </c>
      <c r="AX1040" s="171">
        <f t="shared" si="401"/>
        <v>1</v>
      </c>
      <c r="AY1040" s="171">
        <f t="shared" si="407"/>
        <v>0</v>
      </c>
      <c r="AZ1040" s="171">
        <f t="shared" si="408"/>
        <v>1</v>
      </c>
      <c r="BA1040" s="172">
        <f t="shared" si="409"/>
        <v>1</v>
      </c>
      <c r="BB1040" s="175">
        <f t="shared" si="397"/>
        <v>18</v>
      </c>
      <c r="BC1040" s="176">
        <f t="shared" si="398"/>
        <v>17</v>
      </c>
      <c r="BD1040" s="176">
        <f t="shared" si="399"/>
        <v>18</v>
      </c>
      <c r="BE1040" s="240" t="str">
        <f t="shared" si="403"/>
        <v/>
      </c>
      <c r="BF1040" s="990"/>
      <c r="BG1040" s="990"/>
      <c r="BH1040" s="991">
        <f>IF(AND(Input_Product=Elig!$C1040,Elig_MatchAll_Ct&lt;22,$BC1040=(Elig_MatchAll_Ct-1),AF1040=0),C1040,0)</f>
        <v>0</v>
      </c>
      <c r="BI1040" s="991">
        <f>IF(AND(Input_Product=Elig!$C1040,Elig_MatchAll_Ct&lt;22,$BC1040=(Elig_MatchAll_Ct-1),AG1040=0),D1040,0)</f>
        <v>0</v>
      </c>
      <c r="BJ1040" s="991">
        <f>IF(AND(Input_Product=Elig!$C1040,Elig_MatchAll_Ct&lt;22,$BC1040=(Elig_MatchAll_Ct-1),AH1040=0),E1040,0)</f>
        <v>0</v>
      </c>
      <c r="BK1040" s="991">
        <f>IF(AND(Input_Product=Elig!$C1040,Elig_MatchAll_Ct&lt;22,$BC1040=(Elig_MatchAll_Ct-1),AI1040=0),F1040,0)</f>
        <v>0</v>
      </c>
      <c r="BL1040" s="991">
        <f>IF(AND(Input_Product=Elig!$C1040,Elig_MatchAll_Ct&lt;22,$BC1040=(Elig_MatchAll_Ct-1),AJ1040=0),G1040,0)</f>
        <v>0</v>
      </c>
      <c r="BM1040" s="991">
        <f>IF(AND(Input_Product=Elig!$C1040,Elig_MatchAll_Ct&lt;22,$BC1040=(Elig_MatchAll_Ct-1),AK1040=0),H1040,0)</f>
        <v>0</v>
      </c>
      <c r="BN1040" s="991">
        <f>IF(AND(Input_Product=Elig!$C1040,Elig_MatchAll_Ct&lt;22,$BC1040=(Elig_MatchAll_Ct-1),AL1040=0),I1040,0)</f>
        <v>0</v>
      </c>
      <c r="BO1040" s="991">
        <f>IF(AND(Input_Product=Elig!$C1040,Elig_MatchAll_Ct&lt;22,$BC1040=(Elig_MatchAll_Ct-1),AM1040=0),J1040,0)</f>
        <v>0</v>
      </c>
      <c r="BP1040" s="991">
        <f>IF(AND(Input_Product=Elig!$C1040,Elig_MatchAll_Ct&lt;22,$BC1040=(Elig_MatchAll_Ct-1),AN1040=0),K1040,0)</f>
        <v>0</v>
      </c>
      <c r="BQ1040" s="991">
        <f>IF(AND(Input_Product=Elig!$C1040,Elig_MatchAll_Ct&lt;22,$BC1040=(Elig_MatchAll_Ct-1),AP1040=0),L1040,0)</f>
        <v>0</v>
      </c>
      <c r="BR1040" s="991">
        <f>IF(AND(Input_Product=Elig!$C1040,Elig_MatchAll_Ct&lt;22,$BC1040=(Elig_MatchAll_Ct-1),AO1040=0),M1040,0)</f>
        <v>0</v>
      </c>
      <c r="BS1040" s="991">
        <f>IF(AND(Input_Product=Elig!$C1040,Elig_MatchAll_Ct&lt;22,$BC1040=(Elig_MatchAll_Ct-1),AQ1040=0),N1040,0)</f>
        <v>0</v>
      </c>
      <c r="BT1040" s="991">
        <f>IF(AND(Input_Product=Elig!$C1040,Elig_MatchAll_Ct&lt;22,$BC1040=(Elig_MatchAll_Ct-1),AR1040=0),O1040,0)</f>
        <v>0</v>
      </c>
      <c r="BU1040" s="991">
        <f>IF(AND(Input_Product=Elig!$C1040,Elig_MatchAll_Ct&lt;22,$BC1040=(Elig_MatchAll_Ct-1),AS1040=0),P1040,0)</f>
        <v>0</v>
      </c>
      <c r="BV1040" s="992">
        <f>IF(AND(Input_Product=Elig!$C1040,Elig_MatchAll_Ct&lt;22,$BC1040=(Elig_MatchAll_Ct-1),AT1040=0),Q1040,0)</f>
        <v>0</v>
      </c>
      <c r="BW1040" s="993">
        <f>IF(AND(Input_Product=Elig!$C1040,Elig_MatchAll_Ct&lt;22,$BC1040=(Elig_MatchAll_Ct-1),AU1040=0),R1040,0)</f>
        <v>0</v>
      </c>
      <c r="BX1040" s="994">
        <f>IF(AND(Input_Product=Elig!$C1040,Elig_MatchAll_Ct&lt;22,$BC1040=(Elig_MatchAll_Ct-1),AU1040=0),S1040,0)</f>
        <v>0</v>
      </c>
      <c r="BY1040" s="993">
        <f>IF(AND(Input_Product=Elig!$C1040,Elig_MatchAll_Ct&lt;22,$BC1040=(Elig_MatchAll_Ct-1),AV1040=0),T1040,0)</f>
        <v>0</v>
      </c>
      <c r="BZ1040" s="994">
        <f>IF(AND(Input_Product=Elig!$C1040,Elig_MatchAll_Ct&lt;22,$BC1040=(Elig_MatchAll_Ct-1),AV1040=0),U1040,0)</f>
        <v>0</v>
      </c>
      <c r="CA1040" s="993">
        <f>IF(AND(Input_Product=Elig!$C1040,Elig_MatchAll_Ct&lt;22,$BC1040=(Elig_MatchAll_Ct-1),AW1040=0),V1040,0)</f>
        <v>0</v>
      </c>
      <c r="CB1040" s="994">
        <f>IF(AND(Input_Product=Elig!$C1040,Elig_MatchAll_Ct&lt;22,$BC1040=(Elig_MatchAll_Ct-1),AW1040=0),W1040,0)</f>
        <v>0</v>
      </c>
      <c r="CC1040" s="993">
        <f>IF(AND(Input_Product=Elig!$C1040,Elig_MatchAll_Ct&lt;22,$BC1040=(Elig_MatchAll_Ct-1),AX1040=0),X1040,0)</f>
        <v>0</v>
      </c>
      <c r="CD1040" s="994">
        <f>IF(AND(Input_Product=Elig!$C1040,Elig_MatchAll_Ct&lt;22,$BC1040=(Elig_MatchAll_Ct-1),AX1040=0),Y1040,0)</f>
        <v>0</v>
      </c>
      <c r="CE1040" s="993">
        <f>IF(AND(Input_LTV&lt;=AE1040,Input_Product=Elig!$C1040,Elig_MatchAll_Ct&lt;22,$BC1040=(Elig_MatchAll_Ct-1),AY1040=0),Z1040,0)</f>
        <v>0</v>
      </c>
      <c r="CF1040" s="994">
        <f>IF(AND(Input_LTV&lt;=AE1040,Input_Product=Elig!$C1040,Elig_MatchAll_Ct&lt;22,$BC1040=(Elig_MatchAll_Ct-1),AY1040=0),AA1040,0)</f>
        <v>0</v>
      </c>
      <c r="CG1040" s="993">
        <f>IF(AND(Input_Product=Elig!$C1040,Elig_MatchAll_Ct&lt;22,$BC1040=(Elig_MatchAll_Ct-1),AZ1040=0),AB1040,0)</f>
        <v>0</v>
      </c>
      <c r="CH1040" s="994">
        <f>IF(AND(Input_Product=Elig!$C1040,Elig_MatchAll_Ct&lt;22,$BC1040=(Elig_MatchAll_Ct-1),AZ1040=0),AC1040,0)</f>
        <v>0</v>
      </c>
      <c r="CI1040" s="993">
        <f>IF(AND(Input_Product=Elig!$C1040,Elig_MatchAll_Ct&lt;22,$BC1040=(Elig_MatchAll_Ct-1),BA1040=0),AD1040,0)</f>
        <v>0</v>
      </c>
      <c r="CJ1040" s="994">
        <f>IF(AND(Input_Product=Elig!$C1040,Elig_MatchAll_Ct&lt;22,$BC1040=(Elig_MatchAll_Ct-1),BA1040=0),AE1040,0)</f>
        <v>0</v>
      </c>
    </row>
    <row r="1041" spans="2:88" ht="10.15" customHeight="1" x14ac:dyDescent="0.25">
      <c r="B1041" s="1916" t="s">
        <v>2377</v>
      </c>
      <c r="C1041" s="1203" t="str">
        <f t="shared" si="402"/>
        <v xml:space="preserve">  </v>
      </c>
      <c r="D1041" s="1204" t="s">
        <v>2218</v>
      </c>
      <c r="E1041" s="1204" t="s">
        <v>167</v>
      </c>
      <c r="F1041" s="1204" t="s">
        <v>331</v>
      </c>
      <c r="G1041" s="1205" t="s">
        <v>305</v>
      </c>
      <c r="H1041" s="1205" t="s">
        <v>136</v>
      </c>
      <c r="I1041" s="1204" t="s">
        <v>16</v>
      </c>
      <c r="J1041" s="1204" t="s">
        <v>1311</v>
      </c>
      <c r="K1041" s="1205" t="s">
        <v>3022</v>
      </c>
      <c r="L1041" s="1204" t="s">
        <v>2768</v>
      </c>
      <c r="M1041" s="1204" t="s">
        <v>2677</v>
      </c>
      <c r="N1041" s="1205" t="s">
        <v>82</v>
      </c>
      <c r="O1041" s="1204" t="s">
        <v>310</v>
      </c>
      <c r="P1041" s="1204" t="s">
        <v>291</v>
      </c>
      <c r="Q1041" s="1204" t="s">
        <v>294</v>
      </c>
      <c r="R1041" s="1204">
        <v>125000</v>
      </c>
      <c r="S1041" s="1204">
        <v>1000000</v>
      </c>
      <c r="T1041" s="1204">
        <v>0</v>
      </c>
      <c r="U1041" s="1204">
        <f t="shared" ref="U1041:U1058" si="410">S1041</f>
        <v>1000000</v>
      </c>
      <c r="V1041" s="1204">
        <v>0</v>
      </c>
      <c r="W1041" s="1204">
        <v>50</v>
      </c>
      <c r="X1041" s="1204">
        <v>0</v>
      </c>
      <c r="Y1041" s="1204">
        <v>999</v>
      </c>
      <c r="Z1041" s="1206">
        <v>720</v>
      </c>
      <c r="AA1041" s="1206">
        <v>999</v>
      </c>
      <c r="AB1041" s="1206">
        <v>3</v>
      </c>
      <c r="AC1041" s="1206">
        <v>999999</v>
      </c>
      <c r="AD1041" s="1204">
        <v>0</v>
      </c>
      <c r="AE1041" s="1207">
        <v>80</v>
      </c>
      <c r="AF1041" s="170">
        <v>0</v>
      </c>
      <c r="AG1041" s="171">
        <v>1</v>
      </c>
      <c r="AH1041" s="171">
        <v>1</v>
      </c>
      <c r="AI1041" s="171">
        <v>1</v>
      </c>
      <c r="AJ1041" s="171">
        <v>0</v>
      </c>
      <c r="AK1041" s="171">
        <v>1</v>
      </c>
      <c r="AL1041" s="171">
        <v>1</v>
      </c>
      <c r="AM1041" s="171">
        <v>1</v>
      </c>
      <c r="AN1041" s="171">
        <v>1</v>
      </c>
      <c r="AO1041" s="171">
        <v>1</v>
      </c>
      <c r="AP1041" s="171">
        <v>1</v>
      </c>
      <c r="AQ1041" s="171">
        <v>1</v>
      </c>
      <c r="AR1041" s="171">
        <v>1</v>
      </c>
      <c r="AS1041" s="171">
        <v>1</v>
      </c>
      <c r="AT1041" s="171">
        <v>1</v>
      </c>
      <c r="AU1041" s="171">
        <f t="shared" si="404"/>
        <v>1</v>
      </c>
      <c r="AV1041" s="171">
        <f t="shared" si="405"/>
        <v>1</v>
      </c>
      <c r="AW1041" s="171">
        <f t="shared" si="406"/>
        <v>1</v>
      </c>
      <c r="AX1041" s="171">
        <f t="shared" si="401"/>
        <v>1</v>
      </c>
      <c r="AY1041" s="171">
        <f t="shared" si="407"/>
        <v>1</v>
      </c>
      <c r="AZ1041" s="171">
        <f t="shared" si="408"/>
        <v>1</v>
      </c>
      <c r="BA1041" s="172">
        <f t="shared" si="409"/>
        <v>1</v>
      </c>
      <c r="BB1041" s="175">
        <f t="shared" si="397"/>
        <v>20</v>
      </c>
      <c r="BC1041" s="176">
        <f t="shared" si="398"/>
        <v>19</v>
      </c>
      <c r="BD1041" s="176">
        <f t="shared" si="399"/>
        <v>20</v>
      </c>
      <c r="BE1041" s="240" t="str">
        <f t="shared" si="403"/>
        <v/>
      </c>
      <c r="BF1041" s="990"/>
      <c r="BG1041" s="990"/>
      <c r="BH1041" s="991">
        <f>IF(AND(Input_Product=Elig!$C1041,Elig_MatchAll_Ct&lt;22,$BC1041=(Elig_MatchAll_Ct-1),AF1041=0),C1041,0)</f>
        <v>0</v>
      </c>
      <c r="BI1041" s="991">
        <f>IF(AND(Input_Product=Elig!$C1041,Elig_MatchAll_Ct&lt;22,$BC1041=(Elig_MatchAll_Ct-1),AG1041=0),D1041,0)</f>
        <v>0</v>
      </c>
      <c r="BJ1041" s="991">
        <f>IF(AND(Input_Product=Elig!$C1041,Elig_MatchAll_Ct&lt;22,$BC1041=(Elig_MatchAll_Ct-1),AH1041=0),E1041,0)</f>
        <v>0</v>
      </c>
      <c r="BK1041" s="991">
        <f>IF(AND(Input_Product=Elig!$C1041,Elig_MatchAll_Ct&lt;22,$BC1041=(Elig_MatchAll_Ct-1),AI1041=0),F1041,0)</f>
        <v>0</v>
      </c>
      <c r="BL1041" s="991">
        <f>IF(AND(Input_Product=Elig!$C1041,Elig_MatchAll_Ct&lt;22,$BC1041=(Elig_MatchAll_Ct-1),AJ1041=0),G1041,0)</f>
        <v>0</v>
      </c>
      <c r="BM1041" s="991">
        <f>IF(AND(Input_Product=Elig!$C1041,Elig_MatchAll_Ct&lt;22,$BC1041=(Elig_MatchAll_Ct-1),AK1041=0),H1041,0)</f>
        <v>0</v>
      </c>
      <c r="BN1041" s="991">
        <f>IF(AND(Input_Product=Elig!$C1041,Elig_MatchAll_Ct&lt;22,$BC1041=(Elig_MatchAll_Ct-1),AL1041=0),I1041,0)</f>
        <v>0</v>
      </c>
      <c r="BO1041" s="991">
        <f>IF(AND(Input_Product=Elig!$C1041,Elig_MatchAll_Ct&lt;22,$BC1041=(Elig_MatchAll_Ct-1),AM1041=0),J1041,0)</f>
        <v>0</v>
      </c>
      <c r="BP1041" s="991">
        <f>IF(AND(Input_Product=Elig!$C1041,Elig_MatchAll_Ct&lt;22,$BC1041=(Elig_MatchAll_Ct-1),AN1041=0),K1041,0)</f>
        <v>0</v>
      </c>
      <c r="BQ1041" s="991">
        <f>IF(AND(Input_Product=Elig!$C1041,Elig_MatchAll_Ct&lt;22,$BC1041=(Elig_MatchAll_Ct-1),AP1041=0),L1041,0)</f>
        <v>0</v>
      </c>
      <c r="BR1041" s="991">
        <f>IF(AND(Input_Product=Elig!$C1041,Elig_MatchAll_Ct&lt;22,$BC1041=(Elig_MatchAll_Ct-1),AO1041=0),M1041,0)</f>
        <v>0</v>
      </c>
      <c r="BS1041" s="991">
        <f>IF(AND(Input_Product=Elig!$C1041,Elig_MatchAll_Ct&lt;22,$BC1041=(Elig_MatchAll_Ct-1),AQ1041=0),N1041,0)</f>
        <v>0</v>
      </c>
      <c r="BT1041" s="991">
        <f>IF(AND(Input_Product=Elig!$C1041,Elig_MatchAll_Ct&lt;22,$BC1041=(Elig_MatchAll_Ct-1),AR1041=0),O1041,0)</f>
        <v>0</v>
      </c>
      <c r="BU1041" s="991">
        <f>IF(AND(Input_Product=Elig!$C1041,Elig_MatchAll_Ct&lt;22,$BC1041=(Elig_MatchAll_Ct-1),AS1041=0),P1041,0)</f>
        <v>0</v>
      </c>
      <c r="BV1041" s="992">
        <f>IF(AND(Input_Product=Elig!$C1041,Elig_MatchAll_Ct&lt;22,$BC1041=(Elig_MatchAll_Ct-1),AT1041=0),Q1041,0)</f>
        <v>0</v>
      </c>
      <c r="BW1041" s="993">
        <f>IF(AND(Input_Product=Elig!$C1041,Elig_MatchAll_Ct&lt;22,$BC1041=(Elig_MatchAll_Ct-1),AU1041=0),R1041,0)</f>
        <v>0</v>
      </c>
      <c r="BX1041" s="994">
        <f>IF(AND(Input_Product=Elig!$C1041,Elig_MatchAll_Ct&lt;22,$BC1041=(Elig_MatchAll_Ct-1),AU1041=0),S1041,0)</f>
        <v>0</v>
      </c>
      <c r="BY1041" s="993">
        <f>IF(AND(Input_Product=Elig!$C1041,Elig_MatchAll_Ct&lt;22,$BC1041=(Elig_MatchAll_Ct-1),AV1041=0),T1041,0)</f>
        <v>0</v>
      </c>
      <c r="BZ1041" s="994">
        <f>IF(AND(Input_Product=Elig!$C1041,Elig_MatchAll_Ct&lt;22,$BC1041=(Elig_MatchAll_Ct-1),AV1041=0),U1041,0)</f>
        <v>0</v>
      </c>
      <c r="CA1041" s="993">
        <f>IF(AND(Input_Product=Elig!$C1041,Elig_MatchAll_Ct&lt;22,$BC1041=(Elig_MatchAll_Ct-1),AW1041=0),V1041,0)</f>
        <v>0</v>
      </c>
      <c r="CB1041" s="994">
        <f>IF(AND(Input_Product=Elig!$C1041,Elig_MatchAll_Ct&lt;22,$BC1041=(Elig_MatchAll_Ct-1),AW1041=0),W1041,0)</f>
        <v>0</v>
      </c>
      <c r="CC1041" s="993">
        <f>IF(AND(Input_Product=Elig!$C1041,Elig_MatchAll_Ct&lt;22,$BC1041=(Elig_MatchAll_Ct-1),AX1041=0),X1041,0)</f>
        <v>0</v>
      </c>
      <c r="CD1041" s="994">
        <f>IF(AND(Input_Product=Elig!$C1041,Elig_MatchAll_Ct&lt;22,$BC1041=(Elig_MatchAll_Ct-1),AX1041=0),Y1041,0)</f>
        <v>0</v>
      </c>
      <c r="CE1041" s="993">
        <f>IF(AND(Input_LTV&lt;=AE1041,Input_Product=Elig!$C1041,Elig_MatchAll_Ct&lt;22,$BC1041=(Elig_MatchAll_Ct-1),AY1041=0),Z1041,0)</f>
        <v>0</v>
      </c>
      <c r="CF1041" s="994">
        <f>IF(AND(Input_LTV&lt;=AE1041,Input_Product=Elig!$C1041,Elig_MatchAll_Ct&lt;22,$BC1041=(Elig_MatchAll_Ct-1),AY1041=0),AA1041,0)</f>
        <v>0</v>
      </c>
      <c r="CG1041" s="993">
        <f>IF(AND(Input_Product=Elig!$C1041,Elig_MatchAll_Ct&lt;22,$BC1041=(Elig_MatchAll_Ct-1),AZ1041=0),AB1041,0)</f>
        <v>0</v>
      </c>
      <c r="CH1041" s="994">
        <f>IF(AND(Input_Product=Elig!$C1041,Elig_MatchAll_Ct&lt;22,$BC1041=(Elig_MatchAll_Ct-1),AZ1041=0),AC1041,0)</f>
        <v>0</v>
      </c>
      <c r="CI1041" s="993">
        <f>IF(AND(Input_Product=Elig!$C1041,Elig_MatchAll_Ct&lt;22,$BC1041=(Elig_MatchAll_Ct-1),BA1041=0),AD1041,0)</f>
        <v>0</v>
      </c>
      <c r="CJ1041" s="994">
        <f>IF(AND(Input_Product=Elig!$C1041,Elig_MatchAll_Ct&lt;22,$BC1041=(Elig_MatchAll_Ct-1),BA1041=0),AE1041,0)</f>
        <v>0</v>
      </c>
    </row>
    <row r="1042" spans="2:88" ht="10.15" customHeight="1" x14ac:dyDescent="0.25">
      <c r="B1042" s="1916" t="s">
        <v>2378</v>
      </c>
      <c r="C1042" s="1208" t="str">
        <f t="shared" si="402"/>
        <v xml:space="preserve">  </v>
      </c>
      <c r="D1042" s="1209" t="s">
        <v>2218</v>
      </c>
      <c r="E1042" s="1209" t="s">
        <v>167</v>
      </c>
      <c r="F1042" s="1209" t="s">
        <v>331</v>
      </c>
      <c r="G1042" s="1210" t="s">
        <v>305</v>
      </c>
      <c r="H1042" s="1210" t="s">
        <v>136</v>
      </c>
      <c r="I1042" s="1209" t="s">
        <v>16</v>
      </c>
      <c r="J1042" s="1209" t="s">
        <v>1311</v>
      </c>
      <c r="K1042" s="1210" t="s">
        <v>3022</v>
      </c>
      <c r="L1042" s="1209" t="s">
        <v>2768</v>
      </c>
      <c r="M1042" s="1209" t="s">
        <v>2677</v>
      </c>
      <c r="N1042" s="1210" t="s">
        <v>82</v>
      </c>
      <c r="O1042" s="1209" t="s">
        <v>310</v>
      </c>
      <c r="P1042" s="1209" t="s">
        <v>291</v>
      </c>
      <c r="Q1042" s="1209" t="s">
        <v>294</v>
      </c>
      <c r="R1042" s="1209">
        <v>125000</v>
      </c>
      <c r="S1042" s="1209">
        <v>1000000</v>
      </c>
      <c r="T1042" s="1209">
        <v>0</v>
      </c>
      <c r="U1042" s="1209">
        <f t="shared" si="410"/>
        <v>1000000</v>
      </c>
      <c r="V1042" s="1209">
        <v>0</v>
      </c>
      <c r="W1042" s="1209">
        <v>50</v>
      </c>
      <c r="X1042" s="1209">
        <v>0</v>
      </c>
      <c r="Y1042" s="1209">
        <v>999</v>
      </c>
      <c r="Z1042" s="1211">
        <v>700</v>
      </c>
      <c r="AA1042" s="1211">
        <v>719</v>
      </c>
      <c r="AB1042" s="1211">
        <v>3</v>
      </c>
      <c r="AC1042" s="1211">
        <v>999999</v>
      </c>
      <c r="AD1042" s="1209">
        <v>0</v>
      </c>
      <c r="AE1042" s="1212">
        <v>80</v>
      </c>
      <c r="AF1042" s="170">
        <v>0</v>
      </c>
      <c r="AG1042" s="171">
        <v>1</v>
      </c>
      <c r="AH1042" s="171">
        <v>1</v>
      </c>
      <c r="AI1042" s="171">
        <v>1</v>
      </c>
      <c r="AJ1042" s="171">
        <v>0</v>
      </c>
      <c r="AK1042" s="171">
        <v>1</v>
      </c>
      <c r="AL1042" s="171">
        <v>1</v>
      </c>
      <c r="AM1042" s="171">
        <v>1</v>
      </c>
      <c r="AN1042" s="171">
        <v>1</v>
      </c>
      <c r="AO1042" s="171">
        <v>1</v>
      </c>
      <c r="AP1042" s="171">
        <v>1</v>
      </c>
      <c r="AQ1042" s="171">
        <v>1</v>
      </c>
      <c r="AR1042" s="171">
        <v>1</v>
      </c>
      <c r="AS1042" s="171">
        <v>1</v>
      </c>
      <c r="AT1042" s="171">
        <v>1</v>
      </c>
      <c r="AU1042" s="171">
        <f t="shared" si="404"/>
        <v>1</v>
      </c>
      <c r="AV1042" s="171">
        <f t="shared" si="405"/>
        <v>1</v>
      </c>
      <c r="AW1042" s="171">
        <f t="shared" si="406"/>
        <v>1</v>
      </c>
      <c r="AX1042" s="171">
        <f t="shared" si="401"/>
        <v>1</v>
      </c>
      <c r="AY1042" s="171">
        <f t="shared" si="407"/>
        <v>0</v>
      </c>
      <c r="AZ1042" s="171">
        <f t="shared" si="408"/>
        <v>1</v>
      </c>
      <c r="BA1042" s="172">
        <f t="shared" si="409"/>
        <v>1</v>
      </c>
      <c r="BB1042" s="175">
        <f t="shared" si="397"/>
        <v>19</v>
      </c>
      <c r="BC1042" s="176">
        <f t="shared" si="398"/>
        <v>18</v>
      </c>
      <c r="BD1042" s="176">
        <f t="shared" si="399"/>
        <v>19</v>
      </c>
      <c r="BE1042" s="240" t="str">
        <f t="shared" si="403"/>
        <v/>
      </c>
      <c r="BF1042" s="990"/>
      <c r="BG1042" s="990"/>
      <c r="BH1042" s="991">
        <f>IF(AND(Input_Product=Elig!$C1042,Elig_MatchAll_Ct&lt;22,$BC1042=(Elig_MatchAll_Ct-1),AF1042=0),C1042,0)</f>
        <v>0</v>
      </c>
      <c r="BI1042" s="991">
        <f>IF(AND(Input_Product=Elig!$C1042,Elig_MatchAll_Ct&lt;22,$BC1042=(Elig_MatchAll_Ct-1),AG1042=0),D1042,0)</f>
        <v>0</v>
      </c>
      <c r="BJ1042" s="991">
        <f>IF(AND(Input_Product=Elig!$C1042,Elig_MatchAll_Ct&lt;22,$BC1042=(Elig_MatchAll_Ct-1),AH1042=0),E1042,0)</f>
        <v>0</v>
      </c>
      <c r="BK1042" s="991">
        <f>IF(AND(Input_Product=Elig!$C1042,Elig_MatchAll_Ct&lt;22,$BC1042=(Elig_MatchAll_Ct-1),AI1042=0),F1042,0)</f>
        <v>0</v>
      </c>
      <c r="BL1042" s="991">
        <f>IF(AND(Input_Product=Elig!$C1042,Elig_MatchAll_Ct&lt;22,$BC1042=(Elig_MatchAll_Ct-1),AJ1042=0),G1042,0)</f>
        <v>0</v>
      </c>
      <c r="BM1042" s="991">
        <f>IF(AND(Input_Product=Elig!$C1042,Elig_MatchAll_Ct&lt;22,$BC1042=(Elig_MatchAll_Ct-1),AK1042=0),H1042,0)</f>
        <v>0</v>
      </c>
      <c r="BN1042" s="991">
        <f>IF(AND(Input_Product=Elig!$C1042,Elig_MatchAll_Ct&lt;22,$BC1042=(Elig_MatchAll_Ct-1),AL1042=0),I1042,0)</f>
        <v>0</v>
      </c>
      <c r="BO1042" s="991">
        <f>IF(AND(Input_Product=Elig!$C1042,Elig_MatchAll_Ct&lt;22,$BC1042=(Elig_MatchAll_Ct-1),AM1042=0),J1042,0)</f>
        <v>0</v>
      </c>
      <c r="BP1042" s="991">
        <f>IF(AND(Input_Product=Elig!$C1042,Elig_MatchAll_Ct&lt;22,$BC1042=(Elig_MatchAll_Ct-1),AN1042=0),K1042,0)</f>
        <v>0</v>
      </c>
      <c r="BQ1042" s="991">
        <f>IF(AND(Input_Product=Elig!$C1042,Elig_MatchAll_Ct&lt;22,$BC1042=(Elig_MatchAll_Ct-1),AP1042=0),L1042,0)</f>
        <v>0</v>
      </c>
      <c r="BR1042" s="991">
        <f>IF(AND(Input_Product=Elig!$C1042,Elig_MatchAll_Ct&lt;22,$BC1042=(Elig_MatchAll_Ct-1),AO1042=0),M1042,0)</f>
        <v>0</v>
      </c>
      <c r="BS1042" s="991">
        <f>IF(AND(Input_Product=Elig!$C1042,Elig_MatchAll_Ct&lt;22,$BC1042=(Elig_MatchAll_Ct-1),AQ1042=0),N1042,0)</f>
        <v>0</v>
      </c>
      <c r="BT1042" s="991">
        <f>IF(AND(Input_Product=Elig!$C1042,Elig_MatchAll_Ct&lt;22,$BC1042=(Elig_MatchAll_Ct-1),AR1042=0),O1042,0)</f>
        <v>0</v>
      </c>
      <c r="BU1042" s="991">
        <f>IF(AND(Input_Product=Elig!$C1042,Elig_MatchAll_Ct&lt;22,$BC1042=(Elig_MatchAll_Ct-1),AS1042=0),P1042,0)</f>
        <v>0</v>
      </c>
      <c r="BV1042" s="992">
        <f>IF(AND(Input_Product=Elig!$C1042,Elig_MatchAll_Ct&lt;22,$BC1042=(Elig_MatchAll_Ct-1),AT1042=0),Q1042,0)</f>
        <v>0</v>
      </c>
      <c r="BW1042" s="993">
        <f>IF(AND(Input_Product=Elig!$C1042,Elig_MatchAll_Ct&lt;22,$BC1042=(Elig_MatchAll_Ct-1),AU1042=0),R1042,0)</f>
        <v>0</v>
      </c>
      <c r="BX1042" s="994">
        <f>IF(AND(Input_Product=Elig!$C1042,Elig_MatchAll_Ct&lt;22,$BC1042=(Elig_MatchAll_Ct-1),AU1042=0),S1042,0)</f>
        <v>0</v>
      </c>
      <c r="BY1042" s="993">
        <f>IF(AND(Input_Product=Elig!$C1042,Elig_MatchAll_Ct&lt;22,$BC1042=(Elig_MatchAll_Ct-1),AV1042=0),T1042,0)</f>
        <v>0</v>
      </c>
      <c r="BZ1042" s="994">
        <f>IF(AND(Input_Product=Elig!$C1042,Elig_MatchAll_Ct&lt;22,$BC1042=(Elig_MatchAll_Ct-1),AV1042=0),U1042,0)</f>
        <v>0</v>
      </c>
      <c r="CA1042" s="993">
        <f>IF(AND(Input_Product=Elig!$C1042,Elig_MatchAll_Ct&lt;22,$BC1042=(Elig_MatchAll_Ct-1),AW1042=0),V1042,0)</f>
        <v>0</v>
      </c>
      <c r="CB1042" s="994">
        <f>IF(AND(Input_Product=Elig!$C1042,Elig_MatchAll_Ct&lt;22,$BC1042=(Elig_MatchAll_Ct-1),AW1042=0),W1042,0)</f>
        <v>0</v>
      </c>
      <c r="CC1042" s="993">
        <f>IF(AND(Input_Product=Elig!$C1042,Elig_MatchAll_Ct&lt;22,$BC1042=(Elig_MatchAll_Ct-1),AX1042=0),X1042,0)</f>
        <v>0</v>
      </c>
      <c r="CD1042" s="994">
        <f>IF(AND(Input_Product=Elig!$C1042,Elig_MatchAll_Ct&lt;22,$BC1042=(Elig_MatchAll_Ct-1),AX1042=0),Y1042,0)</f>
        <v>0</v>
      </c>
      <c r="CE1042" s="993">
        <f>IF(AND(Input_LTV&lt;=AE1042,Input_Product=Elig!$C1042,Elig_MatchAll_Ct&lt;22,$BC1042=(Elig_MatchAll_Ct-1),AY1042=0),Z1042,0)</f>
        <v>0</v>
      </c>
      <c r="CF1042" s="994">
        <f>IF(AND(Input_LTV&lt;=AE1042,Input_Product=Elig!$C1042,Elig_MatchAll_Ct&lt;22,$BC1042=(Elig_MatchAll_Ct-1),AY1042=0),AA1042,0)</f>
        <v>0</v>
      </c>
      <c r="CG1042" s="993">
        <f>IF(AND(Input_Product=Elig!$C1042,Elig_MatchAll_Ct&lt;22,$BC1042=(Elig_MatchAll_Ct-1),AZ1042=0),AB1042,0)</f>
        <v>0</v>
      </c>
      <c r="CH1042" s="994">
        <f>IF(AND(Input_Product=Elig!$C1042,Elig_MatchAll_Ct&lt;22,$BC1042=(Elig_MatchAll_Ct-1),AZ1042=0),AC1042,0)</f>
        <v>0</v>
      </c>
      <c r="CI1042" s="993">
        <f>IF(AND(Input_Product=Elig!$C1042,Elig_MatchAll_Ct&lt;22,$BC1042=(Elig_MatchAll_Ct-1),BA1042=0),AD1042,0)</f>
        <v>0</v>
      </c>
      <c r="CJ1042" s="994">
        <f>IF(AND(Input_Product=Elig!$C1042,Elig_MatchAll_Ct&lt;22,$BC1042=(Elig_MatchAll_Ct-1),BA1042=0),AE1042,0)</f>
        <v>0</v>
      </c>
    </row>
    <row r="1043" spans="2:88" ht="10.15" customHeight="1" x14ac:dyDescent="0.25">
      <c r="B1043" s="1916" t="s">
        <v>2379</v>
      </c>
      <c r="C1043" s="1208" t="str">
        <f t="shared" si="402"/>
        <v xml:space="preserve">  </v>
      </c>
      <c r="D1043" s="1209" t="s">
        <v>2218</v>
      </c>
      <c r="E1043" s="1209" t="s">
        <v>167</v>
      </c>
      <c r="F1043" s="1209" t="s">
        <v>331</v>
      </c>
      <c r="G1043" s="1210" t="s">
        <v>305</v>
      </c>
      <c r="H1043" s="1210" t="s">
        <v>136</v>
      </c>
      <c r="I1043" s="1209" t="s">
        <v>16</v>
      </c>
      <c r="J1043" s="1209" t="s">
        <v>1311</v>
      </c>
      <c r="K1043" s="1210" t="s">
        <v>3022</v>
      </c>
      <c r="L1043" s="1209" t="s">
        <v>2768</v>
      </c>
      <c r="M1043" s="1209" t="s">
        <v>2677</v>
      </c>
      <c r="N1043" s="1210" t="s">
        <v>82</v>
      </c>
      <c r="O1043" s="1209" t="s">
        <v>310</v>
      </c>
      <c r="P1043" s="1209" t="s">
        <v>291</v>
      </c>
      <c r="Q1043" s="1209" t="s">
        <v>294</v>
      </c>
      <c r="R1043" s="1209">
        <v>125000</v>
      </c>
      <c r="S1043" s="1209">
        <v>1000000</v>
      </c>
      <c r="T1043" s="1209">
        <v>0</v>
      </c>
      <c r="U1043" s="1209">
        <f t="shared" si="410"/>
        <v>1000000</v>
      </c>
      <c r="V1043" s="1209">
        <v>0</v>
      </c>
      <c r="W1043" s="1209">
        <v>50</v>
      </c>
      <c r="X1043" s="1209">
        <v>0</v>
      </c>
      <c r="Y1043" s="1209">
        <v>999</v>
      </c>
      <c r="Z1043" s="1211">
        <v>680</v>
      </c>
      <c r="AA1043" s="1211">
        <v>699</v>
      </c>
      <c r="AB1043" s="1211">
        <v>3</v>
      </c>
      <c r="AC1043" s="1211">
        <v>999999</v>
      </c>
      <c r="AD1043" s="1209">
        <v>0</v>
      </c>
      <c r="AE1043" s="1212">
        <v>75</v>
      </c>
      <c r="AF1043" s="170">
        <v>0</v>
      </c>
      <c r="AG1043" s="171">
        <v>1</v>
      </c>
      <c r="AH1043" s="171">
        <v>1</v>
      </c>
      <c r="AI1043" s="171">
        <v>1</v>
      </c>
      <c r="AJ1043" s="171">
        <v>0</v>
      </c>
      <c r="AK1043" s="171">
        <v>1</v>
      </c>
      <c r="AL1043" s="171">
        <v>1</v>
      </c>
      <c r="AM1043" s="171">
        <v>1</v>
      </c>
      <c r="AN1043" s="171">
        <v>1</v>
      </c>
      <c r="AO1043" s="171">
        <v>1</v>
      </c>
      <c r="AP1043" s="171">
        <v>1</v>
      </c>
      <c r="AQ1043" s="171">
        <v>1</v>
      </c>
      <c r="AR1043" s="171">
        <v>1</v>
      </c>
      <c r="AS1043" s="171">
        <v>1</v>
      </c>
      <c r="AT1043" s="171">
        <v>1</v>
      </c>
      <c r="AU1043" s="171">
        <f t="shared" si="404"/>
        <v>1</v>
      </c>
      <c r="AV1043" s="171">
        <f t="shared" si="405"/>
        <v>1</v>
      </c>
      <c r="AW1043" s="171">
        <f t="shared" si="406"/>
        <v>1</v>
      </c>
      <c r="AX1043" s="171">
        <f t="shared" si="401"/>
        <v>1</v>
      </c>
      <c r="AY1043" s="171">
        <f t="shared" si="407"/>
        <v>0</v>
      </c>
      <c r="AZ1043" s="171">
        <f t="shared" si="408"/>
        <v>1</v>
      </c>
      <c r="BA1043" s="172">
        <f t="shared" si="409"/>
        <v>1</v>
      </c>
      <c r="BB1043" s="175">
        <f t="shared" si="397"/>
        <v>19</v>
      </c>
      <c r="BC1043" s="176">
        <f t="shared" si="398"/>
        <v>18</v>
      </c>
      <c r="BD1043" s="176">
        <f t="shared" si="399"/>
        <v>19</v>
      </c>
      <c r="BE1043" s="240" t="str">
        <f t="shared" si="403"/>
        <v/>
      </c>
      <c r="BF1043" s="990"/>
      <c r="BG1043" s="990"/>
      <c r="BH1043" s="991">
        <f>IF(AND(Input_Product=Elig!$C1043,Elig_MatchAll_Ct&lt;22,$BC1043=(Elig_MatchAll_Ct-1),AF1043=0),C1043,0)</f>
        <v>0</v>
      </c>
      <c r="BI1043" s="991">
        <f>IF(AND(Input_Product=Elig!$C1043,Elig_MatchAll_Ct&lt;22,$BC1043=(Elig_MatchAll_Ct-1),AG1043=0),D1043,0)</f>
        <v>0</v>
      </c>
      <c r="BJ1043" s="991">
        <f>IF(AND(Input_Product=Elig!$C1043,Elig_MatchAll_Ct&lt;22,$BC1043=(Elig_MatchAll_Ct-1),AH1043=0),E1043,0)</f>
        <v>0</v>
      </c>
      <c r="BK1043" s="991">
        <f>IF(AND(Input_Product=Elig!$C1043,Elig_MatchAll_Ct&lt;22,$BC1043=(Elig_MatchAll_Ct-1),AI1043=0),F1043,0)</f>
        <v>0</v>
      </c>
      <c r="BL1043" s="991">
        <f>IF(AND(Input_Product=Elig!$C1043,Elig_MatchAll_Ct&lt;22,$BC1043=(Elig_MatchAll_Ct-1),AJ1043=0),G1043,0)</f>
        <v>0</v>
      </c>
      <c r="BM1043" s="991">
        <f>IF(AND(Input_Product=Elig!$C1043,Elig_MatchAll_Ct&lt;22,$BC1043=(Elig_MatchAll_Ct-1),AK1043=0),H1043,0)</f>
        <v>0</v>
      </c>
      <c r="BN1043" s="991">
        <f>IF(AND(Input_Product=Elig!$C1043,Elig_MatchAll_Ct&lt;22,$BC1043=(Elig_MatchAll_Ct-1),AL1043=0),I1043,0)</f>
        <v>0</v>
      </c>
      <c r="BO1043" s="991">
        <f>IF(AND(Input_Product=Elig!$C1043,Elig_MatchAll_Ct&lt;22,$BC1043=(Elig_MatchAll_Ct-1),AM1043=0),J1043,0)</f>
        <v>0</v>
      </c>
      <c r="BP1043" s="991">
        <f>IF(AND(Input_Product=Elig!$C1043,Elig_MatchAll_Ct&lt;22,$BC1043=(Elig_MatchAll_Ct-1),AN1043=0),K1043,0)</f>
        <v>0</v>
      </c>
      <c r="BQ1043" s="991">
        <f>IF(AND(Input_Product=Elig!$C1043,Elig_MatchAll_Ct&lt;22,$BC1043=(Elig_MatchAll_Ct-1),AP1043=0),L1043,0)</f>
        <v>0</v>
      </c>
      <c r="BR1043" s="991">
        <f>IF(AND(Input_Product=Elig!$C1043,Elig_MatchAll_Ct&lt;22,$BC1043=(Elig_MatchAll_Ct-1),AO1043=0),M1043,0)</f>
        <v>0</v>
      </c>
      <c r="BS1043" s="991">
        <f>IF(AND(Input_Product=Elig!$C1043,Elig_MatchAll_Ct&lt;22,$BC1043=(Elig_MatchAll_Ct-1),AQ1043=0),N1043,0)</f>
        <v>0</v>
      </c>
      <c r="BT1043" s="991">
        <f>IF(AND(Input_Product=Elig!$C1043,Elig_MatchAll_Ct&lt;22,$BC1043=(Elig_MatchAll_Ct-1),AR1043=0),O1043,0)</f>
        <v>0</v>
      </c>
      <c r="BU1043" s="991">
        <f>IF(AND(Input_Product=Elig!$C1043,Elig_MatchAll_Ct&lt;22,$BC1043=(Elig_MatchAll_Ct-1),AS1043=0),P1043,0)</f>
        <v>0</v>
      </c>
      <c r="BV1043" s="992">
        <f>IF(AND(Input_Product=Elig!$C1043,Elig_MatchAll_Ct&lt;22,$BC1043=(Elig_MatchAll_Ct-1),AT1043=0),Q1043,0)</f>
        <v>0</v>
      </c>
      <c r="BW1043" s="993">
        <f>IF(AND(Input_Product=Elig!$C1043,Elig_MatchAll_Ct&lt;22,$BC1043=(Elig_MatchAll_Ct-1),AU1043=0),R1043,0)</f>
        <v>0</v>
      </c>
      <c r="BX1043" s="994">
        <f>IF(AND(Input_Product=Elig!$C1043,Elig_MatchAll_Ct&lt;22,$BC1043=(Elig_MatchAll_Ct-1),AU1043=0),S1043,0)</f>
        <v>0</v>
      </c>
      <c r="BY1043" s="993">
        <f>IF(AND(Input_Product=Elig!$C1043,Elig_MatchAll_Ct&lt;22,$BC1043=(Elig_MatchAll_Ct-1),AV1043=0),T1043,0)</f>
        <v>0</v>
      </c>
      <c r="BZ1043" s="994">
        <f>IF(AND(Input_Product=Elig!$C1043,Elig_MatchAll_Ct&lt;22,$BC1043=(Elig_MatchAll_Ct-1),AV1043=0),U1043,0)</f>
        <v>0</v>
      </c>
      <c r="CA1043" s="993">
        <f>IF(AND(Input_Product=Elig!$C1043,Elig_MatchAll_Ct&lt;22,$BC1043=(Elig_MatchAll_Ct-1),AW1043=0),V1043,0)</f>
        <v>0</v>
      </c>
      <c r="CB1043" s="994">
        <f>IF(AND(Input_Product=Elig!$C1043,Elig_MatchAll_Ct&lt;22,$BC1043=(Elig_MatchAll_Ct-1),AW1043=0),W1043,0)</f>
        <v>0</v>
      </c>
      <c r="CC1043" s="993">
        <f>IF(AND(Input_Product=Elig!$C1043,Elig_MatchAll_Ct&lt;22,$BC1043=(Elig_MatchAll_Ct-1),AX1043=0),X1043,0)</f>
        <v>0</v>
      </c>
      <c r="CD1043" s="994">
        <f>IF(AND(Input_Product=Elig!$C1043,Elig_MatchAll_Ct&lt;22,$BC1043=(Elig_MatchAll_Ct-1),AX1043=0),Y1043,0)</f>
        <v>0</v>
      </c>
      <c r="CE1043" s="993">
        <f>IF(AND(Input_LTV&lt;=AE1043,Input_Product=Elig!$C1043,Elig_MatchAll_Ct&lt;22,$BC1043=(Elig_MatchAll_Ct-1),AY1043=0),Z1043,0)</f>
        <v>0</v>
      </c>
      <c r="CF1043" s="994">
        <f>IF(AND(Input_LTV&lt;=AE1043,Input_Product=Elig!$C1043,Elig_MatchAll_Ct&lt;22,$BC1043=(Elig_MatchAll_Ct-1),AY1043=0),AA1043,0)</f>
        <v>0</v>
      </c>
      <c r="CG1043" s="993">
        <f>IF(AND(Input_Product=Elig!$C1043,Elig_MatchAll_Ct&lt;22,$BC1043=(Elig_MatchAll_Ct-1),AZ1043=0),AB1043,0)</f>
        <v>0</v>
      </c>
      <c r="CH1043" s="994">
        <f>IF(AND(Input_Product=Elig!$C1043,Elig_MatchAll_Ct&lt;22,$BC1043=(Elig_MatchAll_Ct-1),AZ1043=0),AC1043,0)</f>
        <v>0</v>
      </c>
      <c r="CI1043" s="993">
        <f>IF(AND(Input_Product=Elig!$C1043,Elig_MatchAll_Ct&lt;22,$BC1043=(Elig_MatchAll_Ct-1),BA1043=0),AD1043,0)</f>
        <v>0</v>
      </c>
      <c r="CJ1043" s="994">
        <f>IF(AND(Input_Product=Elig!$C1043,Elig_MatchAll_Ct&lt;22,$BC1043=(Elig_MatchAll_Ct-1),BA1043=0),AE1043,0)</f>
        <v>0</v>
      </c>
    </row>
    <row r="1044" spans="2:88" ht="10.15" customHeight="1" x14ac:dyDescent="0.25">
      <c r="B1044" s="1916" t="s">
        <v>2380</v>
      </c>
      <c r="C1044" s="1213" t="str">
        <f t="shared" si="402"/>
        <v xml:space="preserve">  </v>
      </c>
      <c r="D1044" s="1214" t="s">
        <v>2218</v>
      </c>
      <c r="E1044" s="1214" t="s">
        <v>167</v>
      </c>
      <c r="F1044" s="1214" t="s">
        <v>331</v>
      </c>
      <c r="G1044" s="1215" t="s">
        <v>305</v>
      </c>
      <c r="H1044" s="1215" t="s">
        <v>136</v>
      </c>
      <c r="I1044" s="1214" t="s">
        <v>16</v>
      </c>
      <c r="J1044" s="1214" t="s">
        <v>1311</v>
      </c>
      <c r="K1044" s="1215" t="s">
        <v>3022</v>
      </c>
      <c r="L1044" s="1214" t="s">
        <v>2768</v>
      </c>
      <c r="M1044" s="1214" t="s">
        <v>2677</v>
      </c>
      <c r="N1044" s="1215" t="s">
        <v>82</v>
      </c>
      <c r="O1044" s="1214" t="s">
        <v>310</v>
      </c>
      <c r="P1044" s="1214" t="s">
        <v>291</v>
      </c>
      <c r="Q1044" s="1214" t="s">
        <v>294</v>
      </c>
      <c r="R1044" s="1214">
        <v>125000</v>
      </c>
      <c r="S1044" s="1214">
        <v>1000000</v>
      </c>
      <c r="T1044" s="1214">
        <v>0</v>
      </c>
      <c r="U1044" s="1214">
        <f t="shared" si="410"/>
        <v>1000000</v>
      </c>
      <c r="V1044" s="1214">
        <v>0</v>
      </c>
      <c r="W1044" s="1214">
        <v>50</v>
      </c>
      <c r="X1044" s="1214">
        <v>0</v>
      </c>
      <c r="Y1044" s="1214">
        <v>999</v>
      </c>
      <c r="Z1044" s="1216">
        <v>660</v>
      </c>
      <c r="AA1044" s="1216">
        <v>679</v>
      </c>
      <c r="AB1044" s="1216">
        <v>3</v>
      </c>
      <c r="AC1044" s="1216">
        <v>999999</v>
      </c>
      <c r="AD1044" s="1214">
        <v>0</v>
      </c>
      <c r="AE1044" s="1217">
        <v>70</v>
      </c>
      <c r="AF1044" s="170">
        <v>0</v>
      </c>
      <c r="AG1044" s="171">
        <v>1</v>
      </c>
      <c r="AH1044" s="171">
        <v>1</v>
      </c>
      <c r="AI1044" s="171">
        <v>1</v>
      </c>
      <c r="AJ1044" s="171">
        <v>0</v>
      </c>
      <c r="AK1044" s="171">
        <v>1</v>
      </c>
      <c r="AL1044" s="171">
        <v>1</v>
      </c>
      <c r="AM1044" s="171">
        <v>1</v>
      </c>
      <c r="AN1044" s="171">
        <v>1</v>
      </c>
      <c r="AO1044" s="171">
        <v>1</v>
      </c>
      <c r="AP1044" s="171">
        <v>1</v>
      </c>
      <c r="AQ1044" s="171">
        <v>1</v>
      </c>
      <c r="AR1044" s="171">
        <v>1</v>
      </c>
      <c r="AS1044" s="171">
        <v>1</v>
      </c>
      <c r="AT1044" s="171">
        <v>1</v>
      </c>
      <c r="AU1044" s="171">
        <f t="shared" si="404"/>
        <v>1</v>
      </c>
      <c r="AV1044" s="171">
        <f t="shared" si="405"/>
        <v>1</v>
      </c>
      <c r="AW1044" s="171">
        <f t="shared" si="406"/>
        <v>1</v>
      </c>
      <c r="AX1044" s="171">
        <f t="shared" si="401"/>
        <v>1</v>
      </c>
      <c r="AY1044" s="171">
        <f t="shared" si="407"/>
        <v>0</v>
      </c>
      <c r="AZ1044" s="171">
        <f t="shared" si="408"/>
        <v>1</v>
      </c>
      <c r="BA1044" s="172">
        <f t="shared" si="409"/>
        <v>1</v>
      </c>
      <c r="BB1044" s="175">
        <f t="shared" ref="BB1044:BB1107" si="411">SUM(AF1044:BA1044)</f>
        <v>19</v>
      </c>
      <c r="BC1044" s="176">
        <f t="shared" ref="BC1044:BC1107" si="412">SUM(AF1044:AZ1044)</f>
        <v>18</v>
      </c>
      <c r="BD1044" s="176">
        <f t="shared" ref="BD1044:BD1107" si="413">SUM(AG1044:BA1044)</f>
        <v>19</v>
      </c>
      <c r="BE1044" s="240" t="str">
        <f t="shared" si="403"/>
        <v/>
      </c>
      <c r="BF1044" s="990"/>
      <c r="BG1044" s="990"/>
      <c r="BH1044" s="991">
        <f>IF(AND(Input_Product=Elig!$C1044,Elig_MatchAll_Ct&lt;22,$BC1044=(Elig_MatchAll_Ct-1),AF1044=0),C1044,0)</f>
        <v>0</v>
      </c>
      <c r="BI1044" s="991">
        <f>IF(AND(Input_Product=Elig!$C1044,Elig_MatchAll_Ct&lt;22,$BC1044=(Elig_MatchAll_Ct-1),AG1044=0),D1044,0)</f>
        <v>0</v>
      </c>
      <c r="BJ1044" s="991">
        <f>IF(AND(Input_Product=Elig!$C1044,Elig_MatchAll_Ct&lt;22,$BC1044=(Elig_MatchAll_Ct-1),AH1044=0),E1044,0)</f>
        <v>0</v>
      </c>
      <c r="BK1044" s="991">
        <f>IF(AND(Input_Product=Elig!$C1044,Elig_MatchAll_Ct&lt;22,$BC1044=(Elig_MatchAll_Ct-1),AI1044=0),F1044,0)</f>
        <v>0</v>
      </c>
      <c r="BL1044" s="991">
        <f>IF(AND(Input_Product=Elig!$C1044,Elig_MatchAll_Ct&lt;22,$BC1044=(Elig_MatchAll_Ct-1),AJ1044=0),G1044,0)</f>
        <v>0</v>
      </c>
      <c r="BM1044" s="991">
        <f>IF(AND(Input_Product=Elig!$C1044,Elig_MatchAll_Ct&lt;22,$BC1044=(Elig_MatchAll_Ct-1),AK1044=0),H1044,0)</f>
        <v>0</v>
      </c>
      <c r="BN1044" s="991">
        <f>IF(AND(Input_Product=Elig!$C1044,Elig_MatchAll_Ct&lt;22,$BC1044=(Elig_MatchAll_Ct-1),AL1044=0),I1044,0)</f>
        <v>0</v>
      </c>
      <c r="BO1044" s="991">
        <f>IF(AND(Input_Product=Elig!$C1044,Elig_MatchAll_Ct&lt;22,$BC1044=(Elig_MatchAll_Ct-1),AM1044=0),J1044,0)</f>
        <v>0</v>
      </c>
      <c r="BP1044" s="991">
        <f>IF(AND(Input_Product=Elig!$C1044,Elig_MatchAll_Ct&lt;22,$BC1044=(Elig_MatchAll_Ct-1),AN1044=0),K1044,0)</f>
        <v>0</v>
      </c>
      <c r="BQ1044" s="991">
        <f>IF(AND(Input_Product=Elig!$C1044,Elig_MatchAll_Ct&lt;22,$BC1044=(Elig_MatchAll_Ct-1),AP1044=0),L1044,0)</f>
        <v>0</v>
      </c>
      <c r="BR1044" s="991">
        <f>IF(AND(Input_Product=Elig!$C1044,Elig_MatchAll_Ct&lt;22,$BC1044=(Elig_MatchAll_Ct-1),AO1044=0),M1044,0)</f>
        <v>0</v>
      </c>
      <c r="BS1044" s="991">
        <f>IF(AND(Input_Product=Elig!$C1044,Elig_MatchAll_Ct&lt;22,$BC1044=(Elig_MatchAll_Ct-1),AQ1044=0),N1044,0)</f>
        <v>0</v>
      </c>
      <c r="BT1044" s="991">
        <f>IF(AND(Input_Product=Elig!$C1044,Elig_MatchAll_Ct&lt;22,$BC1044=(Elig_MatchAll_Ct-1),AR1044=0),O1044,0)</f>
        <v>0</v>
      </c>
      <c r="BU1044" s="991">
        <f>IF(AND(Input_Product=Elig!$C1044,Elig_MatchAll_Ct&lt;22,$BC1044=(Elig_MatchAll_Ct-1),AS1044=0),P1044,0)</f>
        <v>0</v>
      </c>
      <c r="BV1044" s="992">
        <f>IF(AND(Input_Product=Elig!$C1044,Elig_MatchAll_Ct&lt;22,$BC1044=(Elig_MatchAll_Ct-1),AT1044=0),Q1044,0)</f>
        <v>0</v>
      </c>
      <c r="BW1044" s="993">
        <f>IF(AND(Input_Product=Elig!$C1044,Elig_MatchAll_Ct&lt;22,$BC1044=(Elig_MatchAll_Ct-1),AU1044=0),R1044,0)</f>
        <v>0</v>
      </c>
      <c r="BX1044" s="994">
        <f>IF(AND(Input_Product=Elig!$C1044,Elig_MatchAll_Ct&lt;22,$BC1044=(Elig_MatchAll_Ct-1),AU1044=0),S1044,0)</f>
        <v>0</v>
      </c>
      <c r="BY1044" s="993">
        <f>IF(AND(Input_Product=Elig!$C1044,Elig_MatchAll_Ct&lt;22,$BC1044=(Elig_MatchAll_Ct-1),AV1044=0),T1044,0)</f>
        <v>0</v>
      </c>
      <c r="BZ1044" s="994">
        <f>IF(AND(Input_Product=Elig!$C1044,Elig_MatchAll_Ct&lt;22,$BC1044=(Elig_MatchAll_Ct-1),AV1044=0),U1044,0)</f>
        <v>0</v>
      </c>
      <c r="CA1044" s="993">
        <f>IF(AND(Input_Product=Elig!$C1044,Elig_MatchAll_Ct&lt;22,$BC1044=(Elig_MatchAll_Ct-1),AW1044=0),V1044,0)</f>
        <v>0</v>
      </c>
      <c r="CB1044" s="994">
        <f>IF(AND(Input_Product=Elig!$C1044,Elig_MatchAll_Ct&lt;22,$BC1044=(Elig_MatchAll_Ct-1),AW1044=0),W1044,0)</f>
        <v>0</v>
      </c>
      <c r="CC1044" s="993">
        <f>IF(AND(Input_Product=Elig!$C1044,Elig_MatchAll_Ct&lt;22,$BC1044=(Elig_MatchAll_Ct-1),AX1044=0),X1044,0)</f>
        <v>0</v>
      </c>
      <c r="CD1044" s="994">
        <f>IF(AND(Input_Product=Elig!$C1044,Elig_MatchAll_Ct&lt;22,$BC1044=(Elig_MatchAll_Ct-1),AX1044=0),Y1044,0)</f>
        <v>0</v>
      </c>
      <c r="CE1044" s="993">
        <f>IF(AND(Input_LTV&lt;=AE1044,Input_Product=Elig!$C1044,Elig_MatchAll_Ct&lt;22,$BC1044=(Elig_MatchAll_Ct-1),AY1044=0),Z1044,0)</f>
        <v>0</v>
      </c>
      <c r="CF1044" s="994">
        <f>IF(AND(Input_LTV&lt;=AE1044,Input_Product=Elig!$C1044,Elig_MatchAll_Ct&lt;22,$BC1044=(Elig_MatchAll_Ct-1),AY1044=0),AA1044,0)</f>
        <v>0</v>
      </c>
      <c r="CG1044" s="993">
        <f>IF(AND(Input_Product=Elig!$C1044,Elig_MatchAll_Ct&lt;22,$BC1044=(Elig_MatchAll_Ct-1),AZ1044=0),AB1044,0)</f>
        <v>0</v>
      </c>
      <c r="CH1044" s="994">
        <f>IF(AND(Input_Product=Elig!$C1044,Elig_MatchAll_Ct&lt;22,$BC1044=(Elig_MatchAll_Ct-1),AZ1044=0),AC1044,0)</f>
        <v>0</v>
      </c>
      <c r="CI1044" s="993">
        <f>IF(AND(Input_Product=Elig!$C1044,Elig_MatchAll_Ct&lt;22,$BC1044=(Elig_MatchAll_Ct-1),BA1044=0),AD1044,0)</f>
        <v>0</v>
      </c>
      <c r="CJ1044" s="994">
        <f>IF(AND(Input_Product=Elig!$C1044,Elig_MatchAll_Ct&lt;22,$BC1044=(Elig_MatchAll_Ct-1),BA1044=0),AE1044,0)</f>
        <v>0</v>
      </c>
    </row>
    <row r="1045" spans="2:88" ht="10.15" customHeight="1" x14ac:dyDescent="0.25">
      <c r="B1045" s="1916" t="s">
        <v>2381</v>
      </c>
      <c r="C1045" s="1203" t="str">
        <f t="shared" si="402"/>
        <v xml:space="preserve">  </v>
      </c>
      <c r="D1045" s="1204" t="s">
        <v>2218</v>
      </c>
      <c r="E1045" s="1204" t="s">
        <v>167</v>
      </c>
      <c r="F1045" s="1204" t="s">
        <v>331</v>
      </c>
      <c r="G1045" s="1205" t="s">
        <v>305</v>
      </c>
      <c r="H1045" s="1205" t="s">
        <v>136</v>
      </c>
      <c r="I1045" s="1204" t="s">
        <v>16</v>
      </c>
      <c r="J1045" s="1204" t="s">
        <v>1311</v>
      </c>
      <c r="K1045" s="1205" t="s">
        <v>3022</v>
      </c>
      <c r="L1045" s="1204" t="s">
        <v>2768</v>
      </c>
      <c r="M1045" s="1204" t="s">
        <v>2677</v>
      </c>
      <c r="N1045" s="1205" t="s">
        <v>82</v>
      </c>
      <c r="O1045" s="1204" t="s">
        <v>310</v>
      </c>
      <c r="P1045" s="1204" t="s">
        <v>291</v>
      </c>
      <c r="Q1045" s="1204" t="s">
        <v>294</v>
      </c>
      <c r="R1045" s="1204">
        <v>1000000.01</v>
      </c>
      <c r="S1045" s="1204">
        <v>1500000</v>
      </c>
      <c r="T1045" s="1204">
        <v>0</v>
      </c>
      <c r="U1045" s="1204">
        <f t="shared" si="410"/>
        <v>1500000</v>
      </c>
      <c r="V1045" s="1204">
        <v>0</v>
      </c>
      <c r="W1045" s="1204">
        <v>50</v>
      </c>
      <c r="X1045" s="1204">
        <v>0</v>
      </c>
      <c r="Y1045" s="1204">
        <v>999</v>
      </c>
      <c r="Z1045" s="1206">
        <v>720</v>
      </c>
      <c r="AA1045" s="1206">
        <v>999</v>
      </c>
      <c r="AB1045" s="1206">
        <v>6</v>
      </c>
      <c r="AC1045" s="1206">
        <v>999999</v>
      </c>
      <c r="AD1045" s="1204">
        <v>0</v>
      </c>
      <c r="AE1045" s="1207">
        <v>80</v>
      </c>
      <c r="AF1045" s="170">
        <v>0</v>
      </c>
      <c r="AG1045" s="171">
        <v>1</v>
      </c>
      <c r="AH1045" s="171">
        <v>1</v>
      </c>
      <c r="AI1045" s="171">
        <v>1</v>
      </c>
      <c r="AJ1045" s="171">
        <v>0</v>
      </c>
      <c r="AK1045" s="171">
        <v>1</v>
      </c>
      <c r="AL1045" s="171">
        <v>1</v>
      </c>
      <c r="AM1045" s="171">
        <v>1</v>
      </c>
      <c r="AN1045" s="171">
        <v>1</v>
      </c>
      <c r="AO1045" s="171">
        <v>1</v>
      </c>
      <c r="AP1045" s="171">
        <v>1</v>
      </c>
      <c r="AQ1045" s="171">
        <v>1</v>
      </c>
      <c r="AR1045" s="171">
        <v>1</v>
      </c>
      <c r="AS1045" s="171">
        <v>1</v>
      </c>
      <c r="AT1045" s="171">
        <v>1</v>
      </c>
      <c r="AU1045" s="171">
        <f t="shared" si="404"/>
        <v>0</v>
      </c>
      <c r="AV1045" s="171">
        <f t="shared" si="405"/>
        <v>1</v>
      </c>
      <c r="AW1045" s="171">
        <f t="shared" si="406"/>
        <v>1</v>
      </c>
      <c r="AX1045" s="171">
        <f t="shared" si="401"/>
        <v>1</v>
      </c>
      <c r="AY1045" s="171">
        <f t="shared" si="407"/>
        <v>1</v>
      </c>
      <c r="AZ1045" s="171">
        <f t="shared" si="408"/>
        <v>1</v>
      </c>
      <c r="BA1045" s="172">
        <f t="shared" si="409"/>
        <v>1</v>
      </c>
      <c r="BB1045" s="175">
        <f t="shared" si="411"/>
        <v>19</v>
      </c>
      <c r="BC1045" s="176">
        <f t="shared" si="412"/>
        <v>18</v>
      </c>
      <c r="BD1045" s="176">
        <f t="shared" si="413"/>
        <v>19</v>
      </c>
      <c r="BE1045" s="240" t="str">
        <f t="shared" si="403"/>
        <v/>
      </c>
      <c r="BF1045" s="990"/>
      <c r="BG1045" s="990"/>
      <c r="BH1045" s="991">
        <f>IF(AND(Input_Product=Elig!$C1045,Elig_MatchAll_Ct&lt;22,$BC1045=(Elig_MatchAll_Ct-1),AF1045=0),C1045,0)</f>
        <v>0</v>
      </c>
      <c r="BI1045" s="991">
        <f>IF(AND(Input_Product=Elig!$C1045,Elig_MatchAll_Ct&lt;22,$BC1045=(Elig_MatchAll_Ct-1),AG1045=0),D1045,0)</f>
        <v>0</v>
      </c>
      <c r="BJ1045" s="991">
        <f>IF(AND(Input_Product=Elig!$C1045,Elig_MatchAll_Ct&lt;22,$BC1045=(Elig_MatchAll_Ct-1),AH1045=0),E1045,0)</f>
        <v>0</v>
      </c>
      <c r="BK1045" s="991">
        <f>IF(AND(Input_Product=Elig!$C1045,Elig_MatchAll_Ct&lt;22,$BC1045=(Elig_MatchAll_Ct-1),AI1045=0),F1045,0)</f>
        <v>0</v>
      </c>
      <c r="BL1045" s="991">
        <f>IF(AND(Input_Product=Elig!$C1045,Elig_MatchAll_Ct&lt;22,$BC1045=(Elig_MatchAll_Ct-1),AJ1045=0),G1045,0)</f>
        <v>0</v>
      </c>
      <c r="BM1045" s="991">
        <f>IF(AND(Input_Product=Elig!$C1045,Elig_MatchAll_Ct&lt;22,$BC1045=(Elig_MatchAll_Ct-1),AK1045=0),H1045,0)</f>
        <v>0</v>
      </c>
      <c r="BN1045" s="991">
        <f>IF(AND(Input_Product=Elig!$C1045,Elig_MatchAll_Ct&lt;22,$BC1045=(Elig_MatchAll_Ct-1),AL1045=0),I1045,0)</f>
        <v>0</v>
      </c>
      <c r="BO1045" s="991">
        <f>IF(AND(Input_Product=Elig!$C1045,Elig_MatchAll_Ct&lt;22,$BC1045=(Elig_MatchAll_Ct-1),AM1045=0),J1045,0)</f>
        <v>0</v>
      </c>
      <c r="BP1045" s="991">
        <f>IF(AND(Input_Product=Elig!$C1045,Elig_MatchAll_Ct&lt;22,$BC1045=(Elig_MatchAll_Ct-1),AN1045=0),K1045,0)</f>
        <v>0</v>
      </c>
      <c r="BQ1045" s="991">
        <f>IF(AND(Input_Product=Elig!$C1045,Elig_MatchAll_Ct&lt;22,$BC1045=(Elig_MatchAll_Ct-1),AP1045=0),L1045,0)</f>
        <v>0</v>
      </c>
      <c r="BR1045" s="991">
        <f>IF(AND(Input_Product=Elig!$C1045,Elig_MatchAll_Ct&lt;22,$BC1045=(Elig_MatchAll_Ct-1),AO1045=0),M1045,0)</f>
        <v>0</v>
      </c>
      <c r="BS1045" s="991">
        <f>IF(AND(Input_Product=Elig!$C1045,Elig_MatchAll_Ct&lt;22,$BC1045=(Elig_MatchAll_Ct-1),AQ1045=0),N1045,0)</f>
        <v>0</v>
      </c>
      <c r="BT1045" s="991">
        <f>IF(AND(Input_Product=Elig!$C1045,Elig_MatchAll_Ct&lt;22,$BC1045=(Elig_MatchAll_Ct-1),AR1045=0),O1045,0)</f>
        <v>0</v>
      </c>
      <c r="BU1045" s="991">
        <f>IF(AND(Input_Product=Elig!$C1045,Elig_MatchAll_Ct&lt;22,$BC1045=(Elig_MatchAll_Ct-1),AS1045=0),P1045,0)</f>
        <v>0</v>
      </c>
      <c r="BV1045" s="992">
        <f>IF(AND(Input_Product=Elig!$C1045,Elig_MatchAll_Ct&lt;22,$BC1045=(Elig_MatchAll_Ct-1),AT1045=0),Q1045,0)</f>
        <v>0</v>
      </c>
      <c r="BW1045" s="993">
        <f>IF(AND(Input_Product=Elig!$C1045,Elig_MatchAll_Ct&lt;22,$BC1045=(Elig_MatchAll_Ct-1),AU1045=0),R1045,0)</f>
        <v>0</v>
      </c>
      <c r="BX1045" s="994">
        <f>IF(AND(Input_Product=Elig!$C1045,Elig_MatchAll_Ct&lt;22,$BC1045=(Elig_MatchAll_Ct-1),AU1045=0),S1045,0)</f>
        <v>0</v>
      </c>
      <c r="BY1045" s="993">
        <f>IF(AND(Input_Product=Elig!$C1045,Elig_MatchAll_Ct&lt;22,$BC1045=(Elig_MatchAll_Ct-1),AV1045=0),T1045,0)</f>
        <v>0</v>
      </c>
      <c r="BZ1045" s="994">
        <f>IF(AND(Input_Product=Elig!$C1045,Elig_MatchAll_Ct&lt;22,$BC1045=(Elig_MatchAll_Ct-1),AV1045=0),U1045,0)</f>
        <v>0</v>
      </c>
      <c r="CA1045" s="993">
        <f>IF(AND(Input_Product=Elig!$C1045,Elig_MatchAll_Ct&lt;22,$BC1045=(Elig_MatchAll_Ct-1),AW1045=0),V1045,0)</f>
        <v>0</v>
      </c>
      <c r="CB1045" s="994">
        <f>IF(AND(Input_Product=Elig!$C1045,Elig_MatchAll_Ct&lt;22,$BC1045=(Elig_MatchAll_Ct-1),AW1045=0),W1045,0)</f>
        <v>0</v>
      </c>
      <c r="CC1045" s="993">
        <f>IF(AND(Input_Product=Elig!$C1045,Elig_MatchAll_Ct&lt;22,$BC1045=(Elig_MatchAll_Ct-1),AX1045=0),X1045,0)</f>
        <v>0</v>
      </c>
      <c r="CD1045" s="994">
        <f>IF(AND(Input_Product=Elig!$C1045,Elig_MatchAll_Ct&lt;22,$BC1045=(Elig_MatchAll_Ct-1),AX1045=0),Y1045,0)</f>
        <v>0</v>
      </c>
      <c r="CE1045" s="993">
        <f>IF(AND(Input_LTV&lt;=AE1045,Input_Product=Elig!$C1045,Elig_MatchAll_Ct&lt;22,$BC1045=(Elig_MatchAll_Ct-1),AY1045=0),Z1045,0)</f>
        <v>0</v>
      </c>
      <c r="CF1045" s="994">
        <f>IF(AND(Input_LTV&lt;=AE1045,Input_Product=Elig!$C1045,Elig_MatchAll_Ct&lt;22,$BC1045=(Elig_MatchAll_Ct-1),AY1045=0),AA1045,0)</f>
        <v>0</v>
      </c>
      <c r="CG1045" s="993">
        <f>IF(AND(Input_Product=Elig!$C1045,Elig_MatchAll_Ct&lt;22,$BC1045=(Elig_MatchAll_Ct-1),AZ1045=0),AB1045,0)</f>
        <v>0</v>
      </c>
      <c r="CH1045" s="994">
        <f>IF(AND(Input_Product=Elig!$C1045,Elig_MatchAll_Ct&lt;22,$BC1045=(Elig_MatchAll_Ct-1),AZ1045=0),AC1045,0)</f>
        <v>0</v>
      </c>
      <c r="CI1045" s="993">
        <f>IF(AND(Input_Product=Elig!$C1045,Elig_MatchAll_Ct&lt;22,$BC1045=(Elig_MatchAll_Ct-1),BA1045=0),AD1045,0)</f>
        <v>0</v>
      </c>
      <c r="CJ1045" s="994">
        <f>IF(AND(Input_Product=Elig!$C1045,Elig_MatchAll_Ct&lt;22,$BC1045=(Elig_MatchAll_Ct-1),BA1045=0),AE1045,0)</f>
        <v>0</v>
      </c>
    </row>
    <row r="1046" spans="2:88" ht="10.15" customHeight="1" x14ac:dyDescent="0.25">
      <c r="B1046" s="1916" t="s">
        <v>2382</v>
      </c>
      <c r="C1046" s="1208" t="str">
        <f t="shared" si="402"/>
        <v xml:space="preserve">  </v>
      </c>
      <c r="D1046" s="1209" t="s">
        <v>2218</v>
      </c>
      <c r="E1046" s="1209" t="s">
        <v>167</v>
      </c>
      <c r="F1046" s="1209" t="s">
        <v>331</v>
      </c>
      <c r="G1046" s="1210" t="s">
        <v>305</v>
      </c>
      <c r="H1046" s="1210" t="s">
        <v>136</v>
      </c>
      <c r="I1046" s="1209" t="s">
        <v>16</v>
      </c>
      <c r="J1046" s="1209" t="s">
        <v>1311</v>
      </c>
      <c r="K1046" s="1210" t="s">
        <v>3022</v>
      </c>
      <c r="L1046" s="1209" t="s">
        <v>2768</v>
      </c>
      <c r="M1046" s="1209" t="s">
        <v>2677</v>
      </c>
      <c r="N1046" s="1210" t="s">
        <v>82</v>
      </c>
      <c r="O1046" s="1209" t="s">
        <v>310</v>
      </c>
      <c r="P1046" s="1209" t="s">
        <v>291</v>
      </c>
      <c r="Q1046" s="1209" t="s">
        <v>294</v>
      </c>
      <c r="R1046" s="1209">
        <v>1000000.01</v>
      </c>
      <c r="S1046" s="1209">
        <v>1500000</v>
      </c>
      <c r="T1046" s="1209">
        <v>0</v>
      </c>
      <c r="U1046" s="1209">
        <f t="shared" si="410"/>
        <v>1500000</v>
      </c>
      <c r="V1046" s="1209">
        <v>0</v>
      </c>
      <c r="W1046" s="1209">
        <v>50</v>
      </c>
      <c r="X1046" s="1209">
        <v>0</v>
      </c>
      <c r="Y1046" s="1209">
        <v>999</v>
      </c>
      <c r="Z1046" s="1211">
        <v>700</v>
      </c>
      <c r="AA1046" s="1211">
        <v>719</v>
      </c>
      <c r="AB1046" s="1211">
        <v>6</v>
      </c>
      <c r="AC1046" s="1211">
        <v>999999</v>
      </c>
      <c r="AD1046" s="1209">
        <v>0</v>
      </c>
      <c r="AE1046" s="1212">
        <v>80</v>
      </c>
      <c r="AF1046" s="170">
        <v>0</v>
      </c>
      <c r="AG1046" s="171">
        <v>1</v>
      </c>
      <c r="AH1046" s="171">
        <v>1</v>
      </c>
      <c r="AI1046" s="171">
        <v>1</v>
      </c>
      <c r="AJ1046" s="171">
        <v>0</v>
      </c>
      <c r="AK1046" s="171">
        <v>1</v>
      </c>
      <c r="AL1046" s="171">
        <v>1</v>
      </c>
      <c r="AM1046" s="171">
        <v>1</v>
      </c>
      <c r="AN1046" s="171">
        <v>1</v>
      </c>
      <c r="AO1046" s="171">
        <v>1</v>
      </c>
      <c r="AP1046" s="171">
        <v>1</v>
      </c>
      <c r="AQ1046" s="171">
        <v>1</v>
      </c>
      <c r="AR1046" s="171">
        <v>1</v>
      </c>
      <c r="AS1046" s="171">
        <v>1</v>
      </c>
      <c r="AT1046" s="171">
        <v>1</v>
      </c>
      <c r="AU1046" s="171">
        <f t="shared" si="404"/>
        <v>0</v>
      </c>
      <c r="AV1046" s="171">
        <f t="shared" si="405"/>
        <v>1</v>
      </c>
      <c r="AW1046" s="171">
        <f t="shared" si="406"/>
        <v>1</v>
      </c>
      <c r="AX1046" s="171">
        <f t="shared" si="401"/>
        <v>1</v>
      </c>
      <c r="AY1046" s="171">
        <f t="shared" si="407"/>
        <v>0</v>
      </c>
      <c r="AZ1046" s="171">
        <f t="shared" si="408"/>
        <v>1</v>
      </c>
      <c r="BA1046" s="172">
        <f t="shared" si="409"/>
        <v>1</v>
      </c>
      <c r="BB1046" s="175">
        <f t="shared" si="411"/>
        <v>18</v>
      </c>
      <c r="BC1046" s="176">
        <f t="shared" si="412"/>
        <v>17</v>
      </c>
      <c r="BD1046" s="176">
        <f t="shared" si="413"/>
        <v>18</v>
      </c>
      <c r="BE1046" s="240" t="str">
        <f t="shared" si="403"/>
        <v/>
      </c>
      <c r="BF1046" s="990"/>
      <c r="BG1046" s="990"/>
      <c r="BH1046" s="991">
        <f>IF(AND(Input_Product=Elig!$C1046,Elig_MatchAll_Ct&lt;22,$BC1046=(Elig_MatchAll_Ct-1),AF1046=0),C1046,0)</f>
        <v>0</v>
      </c>
      <c r="BI1046" s="991">
        <f>IF(AND(Input_Product=Elig!$C1046,Elig_MatchAll_Ct&lt;22,$BC1046=(Elig_MatchAll_Ct-1),AG1046=0),D1046,0)</f>
        <v>0</v>
      </c>
      <c r="BJ1046" s="991">
        <f>IF(AND(Input_Product=Elig!$C1046,Elig_MatchAll_Ct&lt;22,$BC1046=(Elig_MatchAll_Ct-1),AH1046=0),E1046,0)</f>
        <v>0</v>
      </c>
      <c r="BK1046" s="991">
        <f>IF(AND(Input_Product=Elig!$C1046,Elig_MatchAll_Ct&lt;22,$BC1046=(Elig_MatchAll_Ct-1),AI1046=0),F1046,0)</f>
        <v>0</v>
      </c>
      <c r="BL1046" s="991">
        <f>IF(AND(Input_Product=Elig!$C1046,Elig_MatchAll_Ct&lt;22,$BC1046=(Elig_MatchAll_Ct-1),AJ1046=0),G1046,0)</f>
        <v>0</v>
      </c>
      <c r="BM1046" s="991">
        <f>IF(AND(Input_Product=Elig!$C1046,Elig_MatchAll_Ct&lt;22,$BC1046=(Elig_MatchAll_Ct-1),AK1046=0),H1046,0)</f>
        <v>0</v>
      </c>
      <c r="BN1046" s="991">
        <f>IF(AND(Input_Product=Elig!$C1046,Elig_MatchAll_Ct&lt;22,$BC1046=(Elig_MatchAll_Ct-1),AL1046=0),I1046,0)</f>
        <v>0</v>
      </c>
      <c r="BO1046" s="991">
        <f>IF(AND(Input_Product=Elig!$C1046,Elig_MatchAll_Ct&lt;22,$BC1046=(Elig_MatchAll_Ct-1),AM1046=0),J1046,0)</f>
        <v>0</v>
      </c>
      <c r="BP1046" s="991">
        <f>IF(AND(Input_Product=Elig!$C1046,Elig_MatchAll_Ct&lt;22,$BC1046=(Elig_MatchAll_Ct-1),AN1046=0),K1046,0)</f>
        <v>0</v>
      </c>
      <c r="BQ1046" s="991">
        <f>IF(AND(Input_Product=Elig!$C1046,Elig_MatchAll_Ct&lt;22,$BC1046=(Elig_MatchAll_Ct-1),AP1046=0),L1046,0)</f>
        <v>0</v>
      </c>
      <c r="BR1046" s="991">
        <f>IF(AND(Input_Product=Elig!$C1046,Elig_MatchAll_Ct&lt;22,$BC1046=(Elig_MatchAll_Ct-1),AO1046=0),M1046,0)</f>
        <v>0</v>
      </c>
      <c r="BS1046" s="991">
        <f>IF(AND(Input_Product=Elig!$C1046,Elig_MatchAll_Ct&lt;22,$BC1046=(Elig_MatchAll_Ct-1),AQ1046=0),N1046,0)</f>
        <v>0</v>
      </c>
      <c r="BT1046" s="991">
        <f>IF(AND(Input_Product=Elig!$C1046,Elig_MatchAll_Ct&lt;22,$BC1046=(Elig_MatchAll_Ct-1),AR1046=0),O1046,0)</f>
        <v>0</v>
      </c>
      <c r="BU1046" s="991">
        <f>IF(AND(Input_Product=Elig!$C1046,Elig_MatchAll_Ct&lt;22,$BC1046=(Elig_MatchAll_Ct-1),AS1046=0),P1046,0)</f>
        <v>0</v>
      </c>
      <c r="BV1046" s="992">
        <f>IF(AND(Input_Product=Elig!$C1046,Elig_MatchAll_Ct&lt;22,$BC1046=(Elig_MatchAll_Ct-1),AT1046=0),Q1046,0)</f>
        <v>0</v>
      </c>
      <c r="BW1046" s="993">
        <f>IF(AND(Input_Product=Elig!$C1046,Elig_MatchAll_Ct&lt;22,$BC1046=(Elig_MatchAll_Ct-1),AU1046=0),R1046,0)</f>
        <v>0</v>
      </c>
      <c r="BX1046" s="994">
        <f>IF(AND(Input_Product=Elig!$C1046,Elig_MatchAll_Ct&lt;22,$BC1046=(Elig_MatchAll_Ct-1),AU1046=0),S1046,0)</f>
        <v>0</v>
      </c>
      <c r="BY1046" s="993">
        <f>IF(AND(Input_Product=Elig!$C1046,Elig_MatchAll_Ct&lt;22,$BC1046=(Elig_MatchAll_Ct-1),AV1046=0),T1046,0)</f>
        <v>0</v>
      </c>
      <c r="BZ1046" s="994">
        <f>IF(AND(Input_Product=Elig!$C1046,Elig_MatchAll_Ct&lt;22,$BC1046=(Elig_MatchAll_Ct-1),AV1046=0),U1046,0)</f>
        <v>0</v>
      </c>
      <c r="CA1046" s="993">
        <f>IF(AND(Input_Product=Elig!$C1046,Elig_MatchAll_Ct&lt;22,$BC1046=(Elig_MatchAll_Ct-1),AW1046=0),V1046,0)</f>
        <v>0</v>
      </c>
      <c r="CB1046" s="994">
        <f>IF(AND(Input_Product=Elig!$C1046,Elig_MatchAll_Ct&lt;22,$BC1046=(Elig_MatchAll_Ct-1),AW1046=0),W1046,0)</f>
        <v>0</v>
      </c>
      <c r="CC1046" s="993">
        <f>IF(AND(Input_Product=Elig!$C1046,Elig_MatchAll_Ct&lt;22,$BC1046=(Elig_MatchAll_Ct-1),AX1046=0),X1046,0)</f>
        <v>0</v>
      </c>
      <c r="CD1046" s="994">
        <f>IF(AND(Input_Product=Elig!$C1046,Elig_MatchAll_Ct&lt;22,$BC1046=(Elig_MatchAll_Ct-1),AX1046=0),Y1046,0)</f>
        <v>0</v>
      </c>
      <c r="CE1046" s="993">
        <f>IF(AND(Input_LTV&lt;=AE1046,Input_Product=Elig!$C1046,Elig_MatchAll_Ct&lt;22,$BC1046=(Elig_MatchAll_Ct-1),AY1046=0),Z1046,0)</f>
        <v>0</v>
      </c>
      <c r="CF1046" s="994">
        <f>IF(AND(Input_LTV&lt;=AE1046,Input_Product=Elig!$C1046,Elig_MatchAll_Ct&lt;22,$BC1046=(Elig_MatchAll_Ct-1),AY1046=0),AA1046,0)</f>
        <v>0</v>
      </c>
      <c r="CG1046" s="993">
        <f>IF(AND(Input_Product=Elig!$C1046,Elig_MatchAll_Ct&lt;22,$BC1046=(Elig_MatchAll_Ct-1),AZ1046=0),AB1046,0)</f>
        <v>0</v>
      </c>
      <c r="CH1046" s="994">
        <f>IF(AND(Input_Product=Elig!$C1046,Elig_MatchAll_Ct&lt;22,$BC1046=(Elig_MatchAll_Ct-1),AZ1046=0),AC1046,0)</f>
        <v>0</v>
      </c>
      <c r="CI1046" s="993">
        <f>IF(AND(Input_Product=Elig!$C1046,Elig_MatchAll_Ct&lt;22,$BC1046=(Elig_MatchAll_Ct-1),BA1046=0),AD1046,0)</f>
        <v>0</v>
      </c>
      <c r="CJ1046" s="994">
        <f>IF(AND(Input_Product=Elig!$C1046,Elig_MatchAll_Ct&lt;22,$BC1046=(Elig_MatchAll_Ct-1),BA1046=0),AE1046,0)</f>
        <v>0</v>
      </c>
    </row>
    <row r="1047" spans="2:88" ht="10.15" customHeight="1" x14ac:dyDescent="0.25">
      <c r="B1047" s="1916" t="s">
        <v>2383</v>
      </c>
      <c r="C1047" s="1208" t="str">
        <f t="shared" si="402"/>
        <v xml:space="preserve">  </v>
      </c>
      <c r="D1047" s="1209" t="s">
        <v>2218</v>
      </c>
      <c r="E1047" s="1209" t="s">
        <v>167</v>
      </c>
      <c r="F1047" s="1209" t="s">
        <v>331</v>
      </c>
      <c r="G1047" s="1210" t="s">
        <v>305</v>
      </c>
      <c r="H1047" s="1210" t="s">
        <v>136</v>
      </c>
      <c r="I1047" s="1209" t="s">
        <v>16</v>
      </c>
      <c r="J1047" s="1209" t="s">
        <v>1311</v>
      </c>
      <c r="K1047" s="1210" t="s">
        <v>3022</v>
      </c>
      <c r="L1047" s="1209" t="s">
        <v>2768</v>
      </c>
      <c r="M1047" s="1209" t="s">
        <v>2677</v>
      </c>
      <c r="N1047" s="1210" t="s">
        <v>82</v>
      </c>
      <c r="O1047" s="1209" t="s">
        <v>310</v>
      </c>
      <c r="P1047" s="1209" t="s">
        <v>291</v>
      </c>
      <c r="Q1047" s="1209" t="s">
        <v>294</v>
      </c>
      <c r="R1047" s="1209">
        <v>1000000.01</v>
      </c>
      <c r="S1047" s="1209">
        <v>1500000</v>
      </c>
      <c r="T1047" s="1209">
        <v>0</v>
      </c>
      <c r="U1047" s="1209">
        <f t="shared" si="410"/>
        <v>1500000</v>
      </c>
      <c r="V1047" s="1209">
        <v>0</v>
      </c>
      <c r="W1047" s="1209">
        <v>50</v>
      </c>
      <c r="X1047" s="1209">
        <v>0</v>
      </c>
      <c r="Y1047" s="1209">
        <v>999</v>
      </c>
      <c r="Z1047" s="1211">
        <v>680</v>
      </c>
      <c r="AA1047" s="1211">
        <v>699</v>
      </c>
      <c r="AB1047" s="1211">
        <v>6</v>
      </c>
      <c r="AC1047" s="1211">
        <v>999999</v>
      </c>
      <c r="AD1047" s="1209">
        <v>0</v>
      </c>
      <c r="AE1047" s="1212">
        <v>75</v>
      </c>
      <c r="AF1047" s="170">
        <v>0</v>
      </c>
      <c r="AG1047" s="171">
        <v>1</v>
      </c>
      <c r="AH1047" s="171">
        <v>1</v>
      </c>
      <c r="AI1047" s="171">
        <v>1</v>
      </c>
      <c r="AJ1047" s="171">
        <v>0</v>
      </c>
      <c r="AK1047" s="171">
        <v>1</v>
      </c>
      <c r="AL1047" s="171">
        <v>1</v>
      </c>
      <c r="AM1047" s="171">
        <v>1</v>
      </c>
      <c r="AN1047" s="171">
        <v>1</v>
      </c>
      <c r="AO1047" s="171">
        <v>1</v>
      </c>
      <c r="AP1047" s="171">
        <v>1</v>
      </c>
      <c r="AQ1047" s="171">
        <v>1</v>
      </c>
      <c r="AR1047" s="171">
        <v>1</v>
      </c>
      <c r="AS1047" s="171">
        <v>1</v>
      </c>
      <c r="AT1047" s="171">
        <v>1</v>
      </c>
      <c r="AU1047" s="171">
        <f t="shared" si="404"/>
        <v>0</v>
      </c>
      <c r="AV1047" s="171">
        <f t="shared" si="405"/>
        <v>1</v>
      </c>
      <c r="AW1047" s="171">
        <f t="shared" si="406"/>
        <v>1</v>
      </c>
      <c r="AX1047" s="171">
        <f t="shared" si="401"/>
        <v>1</v>
      </c>
      <c r="AY1047" s="171">
        <f t="shared" si="407"/>
        <v>0</v>
      </c>
      <c r="AZ1047" s="171">
        <f t="shared" si="408"/>
        <v>1</v>
      </c>
      <c r="BA1047" s="172">
        <f t="shared" si="409"/>
        <v>1</v>
      </c>
      <c r="BB1047" s="175">
        <f t="shared" si="411"/>
        <v>18</v>
      </c>
      <c r="BC1047" s="176">
        <f t="shared" si="412"/>
        <v>17</v>
      </c>
      <c r="BD1047" s="176">
        <f t="shared" si="413"/>
        <v>18</v>
      </c>
      <c r="BE1047" s="240" t="str">
        <f t="shared" si="403"/>
        <v/>
      </c>
      <c r="BF1047" s="990"/>
      <c r="BG1047" s="990"/>
      <c r="BH1047" s="991">
        <f>IF(AND(Input_Product=Elig!$C1047,Elig_MatchAll_Ct&lt;22,$BC1047=(Elig_MatchAll_Ct-1),AF1047=0),C1047,0)</f>
        <v>0</v>
      </c>
      <c r="BI1047" s="991">
        <f>IF(AND(Input_Product=Elig!$C1047,Elig_MatchAll_Ct&lt;22,$BC1047=(Elig_MatchAll_Ct-1),AG1047=0),D1047,0)</f>
        <v>0</v>
      </c>
      <c r="BJ1047" s="991">
        <f>IF(AND(Input_Product=Elig!$C1047,Elig_MatchAll_Ct&lt;22,$BC1047=(Elig_MatchAll_Ct-1),AH1047=0),E1047,0)</f>
        <v>0</v>
      </c>
      <c r="BK1047" s="991">
        <f>IF(AND(Input_Product=Elig!$C1047,Elig_MatchAll_Ct&lt;22,$BC1047=(Elig_MatchAll_Ct-1),AI1047=0),F1047,0)</f>
        <v>0</v>
      </c>
      <c r="BL1047" s="991">
        <f>IF(AND(Input_Product=Elig!$C1047,Elig_MatchAll_Ct&lt;22,$BC1047=(Elig_MatchAll_Ct-1),AJ1047=0),G1047,0)</f>
        <v>0</v>
      </c>
      <c r="BM1047" s="991">
        <f>IF(AND(Input_Product=Elig!$C1047,Elig_MatchAll_Ct&lt;22,$BC1047=(Elig_MatchAll_Ct-1),AK1047=0),H1047,0)</f>
        <v>0</v>
      </c>
      <c r="BN1047" s="991">
        <f>IF(AND(Input_Product=Elig!$C1047,Elig_MatchAll_Ct&lt;22,$BC1047=(Elig_MatchAll_Ct-1),AL1047=0),I1047,0)</f>
        <v>0</v>
      </c>
      <c r="BO1047" s="991">
        <f>IF(AND(Input_Product=Elig!$C1047,Elig_MatchAll_Ct&lt;22,$BC1047=(Elig_MatchAll_Ct-1),AM1047=0),J1047,0)</f>
        <v>0</v>
      </c>
      <c r="BP1047" s="991">
        <f>IF(AND(Input_Product=Elig!$C1047,Elig_MatchAll_Ct&lt;22,$BC1047=(Elig_MatchAll_Ct-1),AN1047=0),K1047,0)</f>
        <v>0</v>
      </c>
      <c r="BQ1047" s="991">
        <f>IF(AND(Input_Product=Elig!$C1047,Elig_MatchAll_Ct&lt;22,$BC1047=(Elig_MatchAll_Ct-1),AP1047=0),L1047,0)</f>
        <v>0</v>
      </c>
      <c r="BR1047" s="991">
        <f>IF(AND(Input_Product=Elig!$C1047,Elig_MatchAll_Ct&lt;22,$BC1047=(Elig_MatchAll_Ct-1),AO1047=0),M1047,0)</f>
        <v>0</v>
      </c>
      <c r="BS1047" s="991">
        <f>IF(AND(Input_Product=Elig!$C1047,Elig_MatchAll_Ct&lt;22,$BC1047=(Elig_MatchAll_Ct-1),AQ1047=0),N1047,0)</f>
        <v>0</v>
      </c>
      <c r="BT1047" s="991">
        <f>IF(AND(Input_Product=Elig!$C1047,Elig_MatchAll_Ct&lt;22,$BC1047=(Elig_MatchAll_Ct-1),AR1047=0),O1047,0)</f>
        <v>0</v>
      </c>
      <c r="BU1047" s="991">
        <f>IF(AND(Input_Product=Elig!$C1047,Elig_MatchAll_Ct&lt;22,$BC1047=(Elig_MatchAll_Ct-1),AS1047=0),P1047,0)</f>
        <v>0</v>
      </c>
      <c r="BV1047" s="992">
        <f>IF(AND(Input_Product=Elig!$C1047,Elig_MatchAll_Ct&lt;22,$BC1047=(Elig_MatchAll_Ct-1),AT1047=0),Q1047,0)</f>
        <v>0</v>
      </c>
      <c r="BW1047" s="993">
        <f>IF(AND(Input_Product=Elig!$C1047,Elig_MatchAll_Ct&lt;22,$BC1047=(Elig_MatchAll_Ct-1),AU1047=0),R1047,0)</f>
        <v>0</v>
      </c>
      <c r="BX1047" s="994">
        <f>IF(AND(Input_Product=Elig!$C1047,Elig_MatchAll_Ct&lt;22,$BC1047=(Elig_MatchAll_Ct-1),AU1047=0),S1047,0)</f>
        <v>0</v>
      </c>
      <c r="BY1047" s="993">
        <f>IF(AND(Input_Product=Elig!$C1047,Elig_MatchAll_Ct&lt;22,$BC1047=(Elig_MatchAll_Ct-1),AV1047=0),T1047,0)</f>
        <v>0</v>
      </c>
      <c r="BZ1047" s="994">
        <f>IF(AND(Input_Product=Elig!$C1047,Elig_MatchAll_Ct&lt;22,$BC1047=(Elig_MatchAll_Ct-1),AV1047=0),U1047,0)</f>
        <v>0</v>
      </c>
      <c r="CA1047" s="993">
        <f>IF(AND(Input_Product=Elig!$C1047,Elig_MatchAll_Ct&lt;22,$BC1047=(Elig_MatchAll_Ct-1),AW1047=0),V1047,0)</f>
        <v>0</v>
      </c>
      <c r="CB1047" s="994">
        <f>IF(AND(Input_Product=Elig!$C1047,Elig_MatchAll_Ct&lt;22,$BC1047=(Elig_MatchAll_Ct-1),AW1047=0),W1047,0)</f>
        <v>0</v>
      </c>
      <c r="CC1047" s="993">
        <f>IF(AND(Input_Product=Elig!$C1047,Elig_MatchAll_Ct&lt;22,$BC1047=(Elig_MatchAll_Ct-1),AX1047=0),X1047,0)</f>
        <v>0</v>
      </c>
      <c r="CD1047" s="994">
        <f>IF(AND(Input_Product=Elig!$C1047,Elig_MatchAll_Ct&lt;22,$BC1047=(Elig_MatchAll_Ct-1),AX1047=0),Y1047,0)</f>
        <v>0</v>
      </c>
      <c r="CE1047" s="993">
        <f>IF(AND(Input_LTV&lt;=AE1047,Input_Product=Elig!$C1047,Elig_MatchAll_Ct&lt;22,$BC1047=(Elig_MatchAll_Ct-1),AY1047=0),Z1047,0)</f>
        <v>0</v>
      </c>
      <c r="CF1047" s="994">
        <f>IF(AND(Input_LTV&lt;=AE1047,Input_Product=Elig!$C1047,Elig_MatchAll_Ct&lt;22,$BC1047=(Elig_MatchAll_Ct-1),AY1047=0),AA1047,0)</f>
        <v>0</v>
      </c>
      <c r="CG1047" s="993">
        <f>IF(AND(Input_Product=Elig!$C1047,Elig_MatchAll_Ct&lt;22,$BC1047=(Elig_MatchAll_Ct-1),AZ1047=0),AB1047,0)</f>
        <v>0</v>
      </c>
      <c r="CH1047" s="994">
        <f>IF(AND(Input_Product=Elig!$C1047,Elig_MatchAll_Ct&lt;22,$BC1047=(Elig_MatchAll_Ct-1),AZ1047=0),AC1047,0)</f>
        <v>0</v>
      </c>
      <c r="CI1047" s="993">
        <f>IF(AND(Input_Product=Elig!$C1047,Elig_MatchAll_Ct&lt;22,$BC1047=(Elig_MatchAll_Ct-1),BA1047=0),AD1047,0)</f>
        <v>0</v>
      </c>
      <c r="CJ1047" s="994">
        <f>IF(AND(Input_Product=Elig!$C1047,Elig_MatchAll_Ct&lt;22,$BC1047=(Elig_MatchAll_Ct-1),BA1047=0),AE1047,0)</f>
        <v>0</v>
      </c>
    </row>
    <row r="1048" spans="2:88" ht="10.15" customHeight="1" x14ac:dyDescent="0.25">
      <c r="B1048" s="1916" t="s">
        <v>2384</v>
      </c>
      <c r="C1048" s="1213" t="str">
        <f t="shared" si="402"/>
        <v xml:space="preserve">  </v>
      </c>
      <c r="D1048" s="1214" t="s">
        <v>2218</v>
      </c>
      <c r="E1048" s="1214" t="s">
        <v>167</v>
      </c>
      <c r="F1048" s="1214" t="s">
        <v>331</v>
      </c>
      <c r="G1048" s="1215" t="s">
        <v>305</v>
      </c>
      <c r="H1048" s="1215" t="s">
        <v>136</v>
      </c>
      <c r="I1048" s="1214" t="s">
        <v>16</v>
      </c>
      <c r="J1048" s="1214" t="s">
        <v>1311</v>
      </c>
      <c r="K1048" s="1215" t="s">
        <v>3022</v>
      </c>
      <c r="L1048" s="1214" t="s">
        <v>2768</v>
      </c>
      <c r="M1048" s="1214" t="s">
        <v>2677</v>
      </c>
      <c r="N1048" s="1215" t="s">
        <v>82</v>
      </c>
      <c r="O1048" s="1214" t="s">
        <v>310</v>
      </c>
      <c r="P1048" s="1214" t="s">
        <v>291</v>
      </c>
      <c r="Q1048" s="1214" t="s">
        <v>294</v>
      </c>
      <c r="R1048" s="1214">
        <v>1000000.01</v>
      </c>
      <c r="S1048" s="1214">
        <v>1500000</v>
      </c>
      <c r="T1048" s="1214">
        <v>0</v>
      </c>
      <c r="U1048" s="1214">
        <f t="shared" si="410"/>
        <v>1500000</v>
      </c>
      <c r="V1048" s="1214">
        <v>0</v>
      </c>
      <c r="W1048" s="1214">
        <v>50</v>
      </c>
      <c r="X1048" s="1214">
        <v>0</v>
      </c>
      <c r="Y1048" s="1214">
        <v>999</v>
      </c>
      <c r="Z1048" s="1216">
        <v>660</v>
      </c>
      <c r="AA1048" s="1216">
        <v>679</v>
      </c>
      <c r="AB1048" s="1216">
        <v>6</v>
      </c>
      <c r="AC1048" s="1216">
        <v>999999</v>
      </c>
      <c r="AD1048" s="1214">
        <v>0</v>
      </c>
      <c r="AE1048" s="1217">
        <v>70</v>
      </c>
      <c r="AF1048" s="170">
        <v>0</v>
      </c>
      <c r="AG1048" s="171">
        <v>1</v>
      </c>
      <c r="AH1048" s="171">
        <v>1</v>
      </c>
      <c r="AI1048" s="171">
        <v>1</v>
      </c>
      <c r="AJ1048" s="171">
        <v>0</v>
      </c>
      <c r="AK1048" s="171">
        <v>1</v>
      </c>
      <c r="AL1048" s="171">
        <v>1</v>
      </c>
      <c r="AM1048" s="171">
        <v>1</v>
      </c>
      <c r="AN1048" s="171">
        <v>1</v>
      </c>
      <c r="AO1048" s="171">
        <v>1</v>
      </c>
      <c r="AP1048" s="171">
        <v>1</v>
      </c>
      <c r="AQ1048" s="171">
        <v>1</v>
      </c>
      <c r="AR1048" s="171">
        <v>1</v>
      </c>
      <c r="AS1048" s="171">
        <v>1</v>
      </c>
      <c r="AT1048" s="171">
        <v>1</v>
      </c>
      <c r="AU1048" s="171">
        <f t="shared" si="404"/>
        <v>0</v>
      </c>
      <c r="AV1048" s="171">
        <f t="shared" si="405"/>
        <v>1</v>
      </c>
      <c r="AW1048" s="171">
        <f t="shared" si="406"/>
        <v>1</v>
      </c>
      <c r="AX1048" s="171">
        <f t="shared" si="401"/>
        <v>1</v>
      </c>
      <c r="AY1048" s="171">
        <f t="shared" si="407"/>
        <v>0</v>
      </c>
      <c r="AZ1048" s="171">
        <f t="shared" si="408"/>
        <v>1</v>
      </c>
      <c r="BA1048" s="172">
        <f t="shared" si="409"/>
        <v>1</v>
      </c>
      <c r="BB1048" s="175">
        <f t="shared" si="411"/>
        <v>18</v>
      </c>
      <c r="BC1048" s="176">
        <f t="shared" si="412"/>
        <v>17</v>
      </c>
      <c r="BD1048" s="176">
        <f t="shared" si="413"/>
        <v>18</v>
      </c>
      <c r="BE1048" s="240" t="str">
        <f t="shared" si="403"/>
        <v/>
      </c>
      <c r="BF1048" s="990"/>
      <c r="BG1048" s="990"/>
      <c r="BH1048" s="991">
        <f>IF(AND(Input_Product=Elig!$C1048,Elig_MatchAll_Ct&lt;22,$BC1048=(Elig_MatchAll_Ct-1),AF1048=0),C1048,0)</f>
        <v>0</v>
      </c>
      <c r="BI1048" s="991">
        <f>IF(AND(Input_Product=Elig!$C1048,Elig_MatchAll_Ct&lt;22,$BC1048=(Elig_MatchAll_Ct-1),AG1048=0),D1048,0)</f>
        <v>0</v>
      </c>
      <c r="BJ1048" s="991">
        <f>IF(AND(Input_Product=Elig!$C1048,Elig_MatchAll_Ct&lt;22,$BC1048=(Elig_MatchAll_Ct-1),AH1048=0),E1048,0)</f>
        <v>0</v>
      </c>
      <c r="BK1048" s="991">
        <f>IF(AND(Input_Product=Elig!$C1048,Elig_MatchAll_Ct&lt;22,$BC1048=(Elig_MatchAll_Ct-1),AI1048=0),F1048,0)</f>
        <v>0</v>
      </c>
      <c r="BL1048" s="991">
        <f>IF(AND(Input_Product=Elig!$C1048,Elig_MatchAll_Ct&lt;22,$BC1048=(Elig_MatchAll_Ct-1),AJ1048=0),G1048,0)</f>
        <v>0</v>
      </c>
      <c r="BM1048" s="991">
        <f>IF(AND(Input_Product=Elig!$C1048,Elig_MatchAll_Ct&lt;22,$BC1048=(Elig_MatchAll_Ct-1),AK1048=0),H1048,0)</f>
        <v>0</v>
      </c>
      <c r="BN1048" s="991">
        <f>IF(AND(Input_Product=Elig!$C1048,Elig_MatchAll_Ct&lt;22,$BC1048=(Elig_MatchAll_Ct-1),AL1048=0),I1048,0)</f>
        <v>0</v>
      </c>
      <c r="BO1048" s="991">
        <f>IF(AND(Input_Product=Elig!$C1048,Elig_MatchAll_Ct&lt;22,$BC1048=(Elig_MatchAll_Ct-1),AM1048=0),J1048,0)</f>
        <v>0</v>
      </c>
      <c r="BP1048" s="991">
        <f>IF(AND(Input_Product=Elig!$C1048,Elig_MatchAll_Ct&lt;22,$BC1048=(Elig_MatchAll_Ct-1),AN1048=0),K1048,0)</f>
        <v>0</v>
      </c>
      <c r="BQ1048" s="991">
        <f>IF(AND(Input_Product=Elig!$C1048,Elig_MatchAll_Ct&lt;22,$BC1048=(Elig_MatchAll_Ct-1),AP1048=0),L1048,0)</f>
        <v>0</v>
      </c>
      <c r="BR1048" s="991">
        <f>IF(AND(Input_Product=Elig!$C1048,Elig_MatchAll_Ct&lt;22,$BC1048=(Elig_MatchAll_Ct-1),AO1048=0),M1048,0)</f>
        <v>0</v>
      </c>
      <c r="BS1048" s="991">
        <f>IF(AND(Input_Product=Elig!$C1048,Elig_MatchAll_Ct&lt;22,$BC1048=(Elig_MatchAll_Ct-1),AQ1048=0),N1048,0)</f>
        <v>0</v>
      </c>
      <c r="BT1048" s="991">
        <f>IF(AND(Input_Product=Elig!$C1048,Elig_MatchAll_Ct&lt;22,$BC1048=(Elig_MatchAll_Ct-1),AR1048=0),O1048,0)</f>
        <v>0</v>
      </c>
      <c r="BU1048" s="991">
        <f>IF(AND(Input_Product=Elig!$C1048,Elig_MatchAll_Ct&lt;22,$BC1048=(Elig_MatchAll_Ct-1),AS1048=0),P1048,0)</f>
        <v>0</v>
      </c>
      <c r="BV1048" s="992">
        <f>IF(AND(Input_Product=Elig!$C1048,Elig_MatchAll_Ct&lt;22,$BC1048=(Elig_MatchAll_Ct-1),AT1048=0),Q1048,0)</f>
        <v>0</v>
      </c>
      <c r="BW1048" s="993">
        <f>IF(AND(Input_Product=Elig!$C1048,Elig_MatchAll_Ct&lt;22,$BC1048=(Elig_MatchAll_Ct-1),AU1048=0),R1048,0)</f>
        <v>0</v>
      </c>
      <c r="BX1048" s="994">
        <f>IF(AND(Input_Product=Elig!$C1048,Elig_MatchAll_Ct&lt;22,$BC1048=(Elig_MatchAll_Ct-1),AU1048=0),S1048,0)</f>
        <v>0</v>
      </c>
      <c r="BY1048" s="993">
        <f>IF(AND(Input_Product=Elig!$C1048,Elig_MatchAll_Ct&lt;22,$BC1048=(Elig_MatchAll_Ct-1),AV1048=0),T1048,0)</f>
        <v>0</v>
      </c>
      <c r="BZ1048" s="994">
        <f>IF(AND(Input_Product=Elig!$C1048,Elig_MatchAll_Ct&lt;22,$BC1048=(Elig_MatchAll_Ct-1),AV1048=0),U1048,0)</f>
        <v>0</v>
      </c>
      <c r="CA1048" s="993">
        <f>IF(AND(Input_Product=Elig!$C1048,Elig_MatchAll_Ct&lt;22,$BC1048=(Elig_MatchAll_Ct-1),AW1048=0),V1048,0)</f>
        <v>0</v>
      </c>
      <c r="CB1048" s="994">
        <f>IF(AND(Input_Product=Elig!$C1048,Elig_MatchAll_Ct&lt;22,$BC1048=(Elig_MatchAll_Ct-1),AW1048=0),W1048,0)</f>
        <v>0</v>
      </c>
      <c r="CC1048" s="993">
        <f>IF(AND(Input_Product=Elig!$C1048,Elig_MatchAll_Ct&lt;22,$BC1048=(Elig_MatchAll_Ct-1),AX1048=0),X1048,0)</f>
        <v>0</v>
      </c>
      <c r="CD1048" s="994">
        <f>IF(AND(Input_Product=Elig!$C1048,Elig_MatchAll_Ct&lt;22,$BC1048=(Elig_MatchAll_Ct-1),AX1048=0),Y1048,0)</f>
        <v>0</v>
      </c>
      <c r="CE1048" s="993">
        <f>IF(AND(Input_LTV&lt;=AE1048,Input_Product=Elig!$C1048,Elig_MatchAll_Ct&lt;22,$BC1048=(Elig_MatchAll_Ct-1),AY1048=0),Z1048,0)</f>
        <v>0</v>
      </c>
      <c r="CF1048" s="994">
        <f>IF(AND(Input_LTV&lt;=AE1048,Input_Product=Elig!$C1048,Elig_MatchAll_Ct&lt;22,$BC1048=(Elig_MatchAll_Ct-1),AY1048=0),AA1048,0)</f>
        <v>0</v>
      </c>
      <c r="CG1048" s="993">
        <f>IF(AND(Input_Product=Elig!$C1048,Elig_MatchAll_Ct&lt;22,$BC1048=(Elig_MatchAll_Ct-1),AZ1048=0),AB1048,0)</f>
        <v>0</v>
      </c>
      <c r="CH1048" s="994">
        <f>IF(AND(Input_Product=Elig!$C1048,Elig_MatchAll_Ct&lt;22,$BC1048=(Elig_MatchAll_Ct-1),AZ1048=0),AC1048,0)</f>
        <v>0</v>
      </c>
      <c r="CI1048" s="993">
        <f>IF(AND(Input_Product=Elig!$C1048,Elig_MatchAll_Ct&lt;22,$BC1048=(Elig_MatchAll_Ct-1),BA1048=0),AD1048,0)</f>
        <v>0</v>
      </c>
      <c r="CJ1048" s="994">
        <f>IF(AND(Input_Product=Elig!$C1048,Elig_MatchAll_Ct&lt;22,$BC1048=(Elig_MatchAll_Ct-1),BA1048=0),AE1048,0)</f>
        <v>0</v>
      </c>
    </row>
    <row r="1049" spans="2:88" ht="10.15" customHeight="1" x14ac:dyDescent="0.25">
      <c r="B1049" s="1916" t="s">
        <v>2385</v>
      </c>
      <c r="C1049" s="1203" t="str">
        <f t="shared" si="402"/>
        <v xml:space="preserve">  </v>
      </c>
      <c r="D1049" s="1204" t="s">
        <v>2218</v>
      </c>
      <c r="E1049" s="1204" t="s">
        <v>167</v>
      </c>
      <c r="F1049" s="1204" t="s">
        <v>331</v>
      </c>
      <c r="G1049" s="1205" t="s">
        <v>305</v>
      </c>
      <c r="H1049" s="1205" t="s">
        <v>136</v>
      </c>
      <c r="I1049" s="1204" t="s">
        <v>16</v>
      </c>
      <c r="J1049" s="1204" t="s">
        <v>1311</v>
      </c>
      <c r="K1049" s="1205" t="s">
        <v>3022</v>
      </c>
      <c r="L1049" s="1204" t="s">
        <v>2768</v>
      </c>
      <c r="M1049" s="1204" t="s">
        <v>2677</v>
      </c>
      <c r="N1049" s="1205" t="s">
        <v>82</v>
      </c>
      <c r="O1049" s="1204" t="s">
        <v>310</v>
      </c>
      <c r="P1049" s="1204" t="s">
        <v>291</v>
      </c>
      <c r="Q1049" s="1204" t="s">
        <v>294</v>
      </c>
      <c r="R1049" s="1204">
        <v>1500000.01</v>
      </c>
      <c r="S1049" s="1204">
        <v>2000000</v>
      </c>
      <c r="T1049" s="1204">
        <v>0</v>
      </c>
      <c r="U1049" s="1204">
        <f t="shared" si="410"/>
        <v>2000000</v>
      </c>
      <c r="V1049" s="1204">
        <v>0</v>
      </c>
      <c r="W1049" s="1204">
        <v>50</v>
      </c>
      <c r="X1049" s="1204">
        <v>0</v>
      </c>
      <c r="Y1049" s="1204">
        <v>999</v>
      </c>
      <c r="Z1049" s="1206">
        <v>720</v>
      </c>
      <c r="AA1049" s="1206">
        <v>999</v>
      </c>
      <c r="AB1049" s="1206">
        <v>6</v>
      </c>
      <c r="AC1049" s="1206">
        <v>999999</v>
      </c>
      <c r="AD1049" s="1204">
        <v>0</v>
      </c>
      <c r="AE1049" s="1207">
        <v>80</v>
      </c>
      <c r="AF1049" s="170">
        <v>0</v>
      </c>
      <c r="AG1049" s="171">
        <v>1</v>
      </c>
      <c r="AH1049" s="171">
        <v>1</v>
      </c>
      <c r="AI1049" s="171">
        <v>1</v>
      </c>
      <c r="AJ1049" s="171">
        <v>0</v>
      </c>
      <c r="AK1049" s="171">
        <v>1</v>
      </c>
      <c r="AL1049" s="171">
        <v>1</v>
      </c>
      <c r="AM1049" s="171">
        <v>1</v>
      </c>
      <c r="AN1049" s="171">
        <v>1</v>
      </c>
      <c r="AO1049" s="171">
        <v>1</v>
      </c>
      <c r="AP1049" s="171">
        <v>1</v>
      </c>
      <c r="AQ1049" s="171">
        <v>1</v>
      </c>
      <c r="AR1049" s="171">
        <v>1</v>
      </c>
      <c r="AS1049" s="171">
        <v>1</v>
      </c>
      <c r="AT1049" s="171">
        <v>1</v>
      </c>
      <c r="AU1049" s="171">
        <f t="shared" si="404"/>
        <v>0</v>
      </c>
      <c r="AV1049" s="171">
        <f t="shared" si="405"/>
        <v>1</v>
      </c>
      <c r="AW1049" s="171">
        <f t="shared" si="406"/>
        <v>1</v>
      </c>
      <c r="AX1049" s="171">
        <f t="shared" si="401"/>
        <v>1</v>
      </c>
      <c r="AY1049" s="171">
        <f t="shared" si="407"/>
        <v>1</v>
      </c>
      <c r="AZ1049" s="171">
        <f t="shared" si="408"/>
        <v>1</v>
      </c>
      <c r="BA1049" s="172">
        <f t="shared" si="409"/>
        <v>1</v>
      </c>
      <c r="BB1049" s="175">
        <f t="shared" si="411"/>
        <v>19</v>
      </c>
      <c r="BC1049" s="176">
        <f t="shared" si="412"/>
        <v>18</v>
      </c>
      <c r="BD1049" s="176">
        <f t="shared" si="413"/>
        <v>19</v>
      </c>
      <c r="BE1049" s="240" t="str">
        <f t="shared" si="403"/>
        <v/>
      </c>
      <c r="BF1049" s="990"/>
      <c r="BG1049" s="990"/>
      <c r="BH1049" s="991">
        <f>IF(AND(Input_Product=Elig!$C1049,Elig_MatchAll_Ct&lt;22,$BC1049=(Elig_MatchAll_Ct-1),AF1049=0),C1049,0)</f>
        <v>0</v>
      </c>
      <c r="BI1049" s="991">
        <f>IF(AND(Input_Product=Elig!$C1049,Elig_MatchAll_Ct&lt;22,$BC1049=(Elig_MatchAll_Ct-1),AG1049=0),D1049,0)</f>
        <v>0</v>
      </c>
      <c r="BJ1049" s="991">
        <f>IF(AND(Input_Product=Elig!$C1049,Elig_MatchAll_Ct&lt;22,$BC1049=(Elig_MatchAll_Ct-1),AH1049=0),E1049,0)</f>
        <v>0</v>
      </c>
      <c r="BK1049" s="991">
        <f>IF(AND(Input_Product=Elig!$C1049,Elig_MatchAll_Ct&lt;22,$BC1049=(Elig_MatchAll_Ct-1),AI1049=0),F1049,0)</f>
        <v>0</v>
      </c>
      <c r="BL1049" s="991">
        <f>IF(AND(Input_Product=Elig!$C1049,Elig_MatchAll_Ct&lt;22,$BC1049=(Elig_MatchAll_Ct-1),AJ1049=0),G1049,0)</f>
        <v>0</v>
      </c>
      <c r="BM1049" s="991">
        <f>IF(AND(Input_Product=Elig!$C1049,Elig_MatchAll_Ct&lt;22,$BC1049=(Elig_MatchAll_Ct-1),AK1049=0),H1049,0)</f>
        <v>0</v>
      </c>
      <c r="BN1049" s="991">
        <f>IF(AND(Input_Product=Elig!$C1049,Elig_MatchAll_Ct&lt;22,$BC1049=(Elig_MatchAll_Ct-1),AL1049=0),I1049,0)</f>
        <v>0</v>
      </c>
      <c r="BO1049" s="991">
        <f>IF(AND(Input_Product=Elig!$C1049,Elig_MatchAll_Ct&lt;22,$BC1049=(Elig_MatchAll_Ct-1),AM1049=0),J1049,0)</f>
        <v>0</v>
      </c>
      <c r="BP1049" s="991">
        <f>IF(AND(Input_Product=Elig!$C1049,Elig_MatchAll_Ct&lt;22,$BC1049=(Elig_MatchAll_Ct-1),AN1049=0),K1049,0)</f>
        <v>0</v>
      </c>
      <c r="BQ1049" s="991">
        <f>IF(AND(Input_Product=Elig!$C1049,Elig_MatchAll_Ct&lt;22,$BC1049=(Elig_MatchAll_Ct-1),AP1049=0),L1049,0)</f>
        <v>0</v>
      </c>
      <c r="BR1049" s="991">
        <f>IF(AND(Input_Product=Elig!$C1049,Elig_MatchAll_Ct&lt;22,$BC1049=(Elig_MatchAll_Ct-1),AO1049=0),M1049,0)</f>
        <v>0</v>
      </c>
      <c r="BS1049" s="991">
        <f>IF(AND(Input_Product=Elig!$C1049,Elig_MatchAll_Ct&lt;22,$BC1049=(Elig_MatchAll_Ct-1),AQ1049=0),N1049,0)</f>
        <v>0</v>
      </c>
      <c r="BT1049" s="991">
        <f>IF(AND(Input_Product=Elig!$C1049,Elig_MatchAll_Ct&lt;22,$BC1049=(Elig_MatchAll_Ct-1),AR1049=0),O1049,0)</f>
        <v>0</v>
      </c>
      <c r="BU1049" s="991">
        <f>IF(AND(Input_Product=Elig!$C1049,Elig_MatchAll_Ct&lt;22,$BC1049=(Elig_MatchAll_Ct-1),AS1049=0),P1049,0)</f>
        <v>0</v>
      </c>
      <c r="BV1049" s="992">
        <f>IF(AND(Input_Product=Elig!$C1049,Elig_MatchAll_Ct&lt;22,$BC1049=(Elig_MatchAll_Ct-1),AT1049=0),Q1049,0)</f>
        <v>0</v>
      </c>
      <c r="BW1049" s="993">
        <f>IF(AND(Input_Product=Elig!$C1049,Elig_MatchAll_Ct&lt;22,$BC1049=(Elig_MatchAll_Ct-1),AU1049=0),R1049,0)</f>
        <v>0</v>
      </c>
      <c r="BX1049" s="994">
        <f>IF(AND(Input_Product=Elig!$C1049,Elig_MatchAll_Ct&lt;22,$BC1049=(Elig_MatchAll_Ct-1),AU1049=0),S1049,0)</f>
        <v>0</v>
      </c>
      <c r="BY1049" s="993">
        <f>IF(AND(Input_Product=Elig!$C1049,Elig_MatchAll_Ct&lt;22,$BC1049=(Elig_MatchAll_Ct-1),AV1049=0),T1049,0)</f>
        <v>0</v>
      </c>
      <c r="BZ1049" s="994">
        <f>IF(AND(Input_Product=Elig!$C1049,Elig_MatchAll_Ct&lt;22,$BC1049=(Elig_MatchAll_Ct-1),AV1049=0),U1049,0)</f>
        <v>0</v>
      </c>
      <c r="CA1049" s="993">
        <f>IF(AND(Input_Product=Elig!$C1049,Elig_MatchAll_Ct&lt;22,$BC1049=(Elig_MatchAll_Ct-1),AW1049=0),V1049,0)</f>
        <v>0</v>
      </c>
      <c r="CB1049" s="994">
        <f>IF(AND(Input_Product=Elig!$C1049,Elig_MatchAll_Ct&lt;22,$BC1049=(Elig_MatchAll_Ct-1),AW1049=0),W1049,0)</f>
        <v>0</v>
      </c>
      <c r="CC1049" s="993">
        <f>IF(AND(Input_Product=Elig!$C1049,Elig_MatchAll_Ct&lt;22,$BC1049=(Elig_MatchAll_Ct-1),AX1049=0),X1049,0)</f>
        <v>0</v>
      </c>
      <c r="CD1049" s="994">
        <f>IF(AND(Input_Product=Elig!$C1049,Elig_MatchAll_Ct&lt;22,$BC1049=(Elig_MatchAll_Ct-1),AX1049=0),Y1049,0)</f>
        <v>0</v>
      </c>
      <c r="CE1049" s="993">
        <f>IF(AND(Input_LTV&lt;=AE1049,Input_Product=Elig!$C1049,Elig_MatchAll_Ct&lt;22,$BC1049=(Elig_MatchAll_Ct-1),AY1049=0),Z1049,0)</f>
        <v>0</v>
      </c>
      <c r="CF1049" s="994">
        <f>IF(AND(Input_LTV&lt;=AE1049,Input_Product=Elig!$C1049,Elig_MatchAll_Ct&lt;22,$BC1049=(Elig_MatchAll_Ct-1),AY1049=0),AA1049,0)</f>
        <v>0</v>
      </c>
      <c r="CG1049" s="993">
        <f>IF(AND(Input_Product=Elig!$C1049,Elig_MatchAll_Ct&lt;22,$BC1049=(Elig_MatchAll_Ct-1),AZ1049=0),AB1049,0)</f>
        <v>0</v>
      </c>
      <c r="CH1049" s="994">
        <f>IF(AND(Input_Product=Elig!$C1049,Elig_MatchAll_Ct&lt;22,$BC1049=(Elig_MatchAll_Ct-1),AZ1049=0),AC1049,0)</f>
        <v>0</v>
      </c>
      <c r="CI1049" s="993">
        <f>IF(AND(Input_Product=Elig!$C1049,Elig_MatchAll_Ct&lt;22,$BC1049=(Elig_MatchAll_Ct-1),BA1049=0),AD1049,0)</f>
        <v>0</v>
      </c>
      <c r="CJ1049" s="994">
        <f>IF(AND(Input_Product=Elig!$C1049,Elig_MatchAll_Ct&lt;22,$BC1049=(Elig_MatchAll_Ct-1),BA1049=0),AE1049,0)</f>
        <v>0</v>
      </c>
    </row>
    <row r="1050" spans="2:88" ht="10.15" customHeight="1" x14ac:dyDescent="0.25">
      <c r="B1050" s="1916" t="s">
        <v>2386</v>
      </c>
      <c r="C1050" s="1208" t="str">
        <f t="shared" si="402"/>
        <v xml:space="preserve">  </v>
      </c>
      <c r="D1050" s="1209" t="s">
        <v>2218</v>
      </c>
      <c r="E1050" s="1209" t="s">
        <v>167</v>
      </c>
      <c r="F1050" s="1209" t="s">
        <v>331</v>
      </c>
      <c r="G1050" s="1210" t="s">
        <v>305</v>
      </c>
      <c r="H1050" s="1210" t="s">
        <v>136</v>
      </c>
      <c r="I1050" s="1209" t="s">
        <v>16</v>
      </c>
      <c r="J1050" s="1209" t="s">
        <v>1311</v>
      </c>
      <c r="K1050" s="1210" t="s">
        <v>3022</v>
      </c>
      <c r="L1050" s="1209" t="s">
        <v>2768</v>
      </c>
      <c r="M1050" s="1209" t="s">
        <v>2677</v>
      </c>
      <c r="N1050" s="1210" t="s">
        <v>82</v>
      </c>
      <c r="O1050" s="1209" t="s">
        <v>310</v>
      </c>
      <c r="P1050" s="1209" t="s">
        <v>291</v>
      </c>
      <c r="Q1050" s="1209" t="s">
        <v>294</v>
      </c>
      <c r="R1050" s="1209">
        <v>1500000.01</v>
      </c>
      <c r="S1050" s="1209">
        <v>2000000</v>
      </c>
      <c r="T1050" s="1209">
        <v>0</v>
      </c>
      <c r="U1050" s="1209">
        <f t="shared" si="410"/>
        <v>2000000</v>
      </c>
      <c r="V1050" s="1209">
        <v>0</v>
      </c>
      <c r="W1050" s="1209">
        <v>50</v>
      </c>
      <c r="X1050" s="1209">
        <v>0</v>
      </c>
      <c r="Y1050" s="1209">
        <v>999</v>
      </c>
      <c r="Z1050" s="1211">
        <v>700</v>
      </c>
      <c r="AA1050" s="1211">
        <v>719</v>
      </c>
      <c r="AB1050" s="1211">
        <v>6</v>
      </c>
      <c r="AC1050" s="1211">
        <v>999999</v>
      </c>
      <c r="AD1050" s="1209">
        <v>0</v>
      </c>
      <c r="AE1050" s="1212">
        <v>80</v>
      </c>
      <c r="AF1050" s="170">
        <v>0</v>
      </c>
      <c r="AG1050" s="171">
        <v>1</v>
      </c>
      <c r="AH1050" s="171">
        <v>1</v>
      </c>
      <c r="AI1050" s="171">
        <v>1</v>
      </c>
      <c r="AJ1050" s="171">
        <v>0</v>
      </c>
      <c r="AK1050" s="171">
        <v>1</v>
      </c>
      <c r="AL1050" s="171">
        <v>1</v>
      </c>
      <c r="AM1050" s="171">
        <v>1</v>
      </c>
      <c r="AN1050" s="171">
        <v>1</v>
      </c>
      <c r="AO1050" s="171">
        <v>1</v>
      </c>
      <c r="AP1050" s="171">
        <v>1</v>
      </c>
      <c r="AQ1050" s="171">
        <v>1</v>
      </c>
      <c r="AR1050" s="171">
        <v>1</v>
      </c>
      <c r="AS1050" s="171">
        <v>1</v>
      </c>
      <c r="AT1050" s="171">
        <v>1</v>
      </c>
      <c r="AU1050" s="171">
        <f t="shared" si="404"/>
        <v>0</v>
      </c>
      <c r="AV1050" s="171">
        <f t="shared" si="405"/>
        <v>1</v>
      </c>
      <c r="AW1050" s="171">
        <f t="shared" si="406"/>
        <v>1</v>
      </c>
      <c r="AX1050" s="171">
        <f t="shared" si="401"/>
        <v>1</v>
      </c>
      <c r="AY1050" s="171">
        <f t="shared" si="407"/>
        <v>0</v>
      </c>
      <c r="AZ1050" s="171">
        <f t="shared" si="408"/>
        <v>1</v>
      </c>
      <c r="BA1050" s="172">
        <f t="shared" si="409"/>
        <v>1</v>
      </c>
      <c r="BB1050" s="175">
        <f t="shared" si="411"/>
        <v>18</v>
      </c>
      <c r="BC1050" s="176">
        <f t="shared" si="412"/>
        <v>17</v>
      </c>
      <c r="BD1050" s="176">
        <f t="shared" si="413"/>
        <v>18</v>
      </c>
      <c r="BE1050" s="240" t="str">
        <f t="shared" si="403"/>
        <v/>
      </c>
      <c r="BF1050" s="990"/>
      <c r="BG1050" s="990"/>
      <c r="BH1050" s="991">
        <f>IF(AND(Input_Product=Elig!$C1050,Elig_MatchAll_Ct&lt;22,$BC1050=(Elig_MatchAll_Ct-1),AF1050=0),C1050,0)</f>
        <v>0</v>
      </c>
      <c r="BI1050" s="991">
        <f>IF(AND(Input_Product=Elig!$C1050,Elig_MatchAll_Ct&lt;22,$BC1050=(Elig_MatchAll_Ct-1),AG1050=0),D1050,0)</f>
        <v>0</v>
      </c>
      <c r="BJ1050" s="991">
        <f>IF(AND(Input_Product=Elig!$C1050,Elig_MatchAll_Ct&lt;22,$BC1050=(Elig_MatchAll_Ct-1),AH1050=0),E1050,0)</f>
        <v>0</v>
      </c>
      <c r="BK1050" s="991">
        <f>IF(AND(Input_Product=Elig!$C1050,Elig_MatchAll_Ct&lt;22,$BC1050=(Elig_MatchAll_Ct-1),AI1050=0),F1050,0)</f>
        <v>0</v>
      </c>
      <c r="BL1050" s="991">
        <f>IF(AND(Input_Product=Elig!$C1050,Elig_MatchAll_Ct&lt;22,$BC1050=(Elig_MatchAll_Ct-1),AJ1050=0),G1050,0)</f>
        <v>0</v>
      </c>
      <c r="BM1050" s="991">
        <f>IF(AND(Input_Product=Elig!$C1050,Elig_MatchAll_Ct&lt;22,$BC1050=(Elig_MatchAll_Ct-1),AK1050=0),H1050,0)</f>
        <v>0</v>
      </c>
      <c r="BN1050" s="991">
        <f>IF(AND(Input_Product=Elig!$C1050,Elig_MatchAll_Ct&lt;22,$BC1050=(Elig_MatchAll_Ct-1),AL1050=0),I1050,0)</f>
        <v>0</v>
      </c>
      <c r="BO1050" s="991">
        <f>IF(AND(Input_Product=Elig!$C1050,Elig_MatchAll_Ct&lt;22,$BC1050=(Elig_MatchAll_Ct-1),AM1050=0),J1050,0)</f>
        <v>0</v>
      </c>
      <c r="BP1050" s="991">
        <f>IF(AND(Input_Product=Elig!$C1050,Elig_MatchAll_Ct&lt;22,$BC1050=(Elig_MatchAll_Ct-1),AN1050=0),K1050,0)</f>
        <v>0</v>
      </c>
      <c r="BQ1050" s="991">
        <f>IF(AND(Input_Product=Elig!$C1050,Elig_MatchAll_Ct&lt;22,$BC1050=(Elig_MatchAll_Ct-1),AP1050=0),L1050,0)</f>
        <v>0</v>
      </c>
      <c r="BR1050" s="991">
        <f>IF(AND(Input_Product=Elig!$C1050,Elig_MatchAll_Ct&lt;22,$BC1050=(Elig_MatchAll_Ct-1),AO1050=0),M1050,0)</f>
        <v>0</v>
      </c>
      <c r="BS1050" s="991">
        <f>IF(AND(Input_Product=Elig!$C1050,Elig_MatchAll_Ct&lt;22,$BC1050=(Elig_MatchAll_Ct-1),AQ1050=0),N1050,0)</f>
        <v>0</v>
      </c>
      <c r="BT1050" s="991">
        <f>IF(AND(Input_Product=Elig!$C1050,Elig_MatchAll_Ct&lt;22,$BC1050=(Elig_MatchAll_Ct-1),AR1050=0),O1050,0)</f>
        <v>0</v>
      </c>
      <c r="BU1050" s="991">
        <f>IF(AND(Input_Product=Elig!$C1050,Elig_MatchAll_Ct&lt;22,$BC1050=(Elig_MatchAll_Ct-1),AS1050=0),P1050,0)</f>
        <v>0</v>
      </c>
      <c r="BV1050" s="992">
        <f>IF(AND(Input_Product=Elig!$C1050,Elig_MatchAll_Ct&lt;22,$BC1050=(Elig_MatchAll_Ct-1),AT1050=0),Q1050,0)</f>
        <v>0</v>
      </c>
      <c r="BW1050" s="993">
        <f>IF(AND(Input_Product=Elig!$C1050,Elig_MatchAll_Ct&lt;22,$BC1050=(Elig_MatchAll_Ct-1),AU1050=0),R1050,0)</f>
        <v>0</v>
      </c>
      <c r="BX1050" s="994">
        <f>IF(AND(Input_Product=Elig!$C1050,Elig_MatchAll_Ct&lt;22,$BC1050=(Elig_MatchAll_Ct-1),AU1050=0),S1050,0)</f>
        <v>0</v>
      </c>
      <c r="BY1050" s="993">
        <f>IF(AND(Input_Product=Elig!$C1050,Elig_MatchAll_Ct&lt;22,$BC1050=(Elig_MatchAll_Ct-1),AV1050=0),T1050,0)</f>
        <v>0</v>
      </c>
      <c r="BZ1050" s="994">
        <f>IF(AND(Input_Product=Elig!$C1050,Elig_MatchAll_Ct&lt;22,$BC1050=(Elig_MatchAll_Ct-1),AV1050=0),U1050,0)</f>
        <v>0</v>
      </c>
      <c r="CA1050" s="993">
        <f>IF(AND(Input_Product=Elig!$C1050,Elig_MatchAll_Ct&lt;22,$BC1050=(Elig_MatchAll_Ct-1),AW1050=0),V1050,0)</f>
        <v>0</v>
      </c>
      <c r="CB1050" s="994">
        <f>IF(AND(Input_Product=Elig!$C1050,Elig_MatchAll_Ct&lt;22,$BC1050=(Elig_MatchAll_Ct-1),AW1050=0),W1050,0)</f>
        <v>0</v>
      </c>
      <c r="CC1050" s="993">
        <f>IF(AND(Input_Product=Elig!$C1050,Elig_MatchAll_Ct&lt;22,$BC1050=(Elig_MatchAll_Ct-1),AX1050=0),X1050,0)</f>
        <v>0</v>
      </c>
      <c r="CD1050" s="994">
        <f>IF(AND(Input_Product=Elig!$C1050,Elig_MatchAll_Ct&lt;22,$BC1050=(Elig_MatchAll_Ct-1),AX1050=0),Y1050,0)</f>
        <v>0</v>
      </c>
      <c r="CE1050" s="993">
        <f>IF(AND(Input_LTV&lt;=AE1050,Input_Product=Elig!$C1050,Elig_MatchAll_Ct&lt;22,$BC1050=(Elig_MatchAll_Ct-1),AY1050=0),Z1050,0)</f>
        <v>0</v>
      </c>
      <c r="CF1050" s="994">
        <f>IF(AND(Input_LTV&lt;=AE1050,Input_Product=Elig!$C1050,Elig_MatchAll_Ct&lt;22,$BC1050=(Elig_MatchAll_Ct-1),AY1050=0),AA1050,0)</f>
        <v>0</v>
      </c>
      <c r="CG1050" s="993">
        <f>IF(AND(Input_Product=Elig!$C1050,Elig_MatchAll_Ct&lt;22,$BC1050=(Elig_MatchAll_Ct-1),AZ1050=0),AB1050,0)</f>
        <v>0</v>
      </c>
      <c r="CH1050" s="994">
        <f>IF(AND(Input_Product=Elig!$C1050,Elig_MatchAll_Ct&lt;22,$BC1050=(Elig_MatchAll_Ct-1),AZ1050=0),AC1050,0)</f>
        <v>0</v>
      </c>
      <c r="CI1050" s="993">
        <f>IF(AND(Input_Product=Elig!$C1050,Elig_MatchAll_Ct&lt;22,$BC1050=(Elig_MatchAll_Ct-1),BA1050=0),AD1050,0)</f>
        <v>0</v>
      </c>
      <c r="CJ1050" s="994">
        <f>IF(AND(Input_Product=Elig!$C1050,Elig_MatchAll_Ct&lt;22,$BC1050=(Elig_MatchAll_Ct-1),BA1050=0),AE1050,0)</f>
        <v>0</v>
      </c>
    </row>
    <row r="1051" spans="2:88" ht="10.15" customHeight="1" x14ac:dyDescent="0.25">
      <c r="B1051" s="1916" t="s">
        <v>2387</v>
      </c>
      <c r="C1051" s="1208" t="str">
        <f t="shared" si="402"/>
        <v xml:space="preserve">  </v>
      </c>
      <c r="D1051" s="1209" t="s">
        <v>2218</v>
      </c>
      <c r="E1051" s="1209" t="s">
        <v>167</v>
      </c>
      <c r="F1051" s="1209" t="s">
        <v>331</v>
      </c>
      <c r="G1051" s="1210" t="s">
        <v>305</v>
      </c>
      <c r="H1051" s="1210" t="s">
        <v>136</v>
      </c>
      <c r="I1051" s="1209" t="s">
        <v>16</v>
      </c>
      <c r="J1051" s="1209" t="s">
        <v>1311</v>
      </c>
      <c r="K1051" s="1210" t="s">
        <v>3022</v>
      </c>
      <c r="L1051" s="1209" t="s">
        <v>2768</v>
      </c>
      <c r="M1051" s="1209" t="s">
        <v>2677</v>
      </c>
      <c r="N1051" s="1210" t="s">
        <v>82</v>
      </c>
      <c r="O1051" s="1209" t="s">
        <v>310</v>
      </c>
      <c r="P1051" s="1209" t="s">
        <v>291</v>
      </c>
      <c r="Q1051" s="1209" t="s">
        <v>294</v>
      </c>
      <c r="R1051" s="1209">
        <v>1500000.01</v>
      </c>
      <c r="S1051" s="1209">
        <v>2000000</v>
      </c>
      <c r="T1051" s="1209">
        <v>0</v>
      </c>
      <c r="U1051" s="1209">
        <f t="shared" si="410"/>
        <v>2000000</v>
      </c>
      <c r="V1051" s="1209">
        <v>0</v>
      </c>
      <c r="W1051" s="1209">
        <v>50</v>
      </c>
      <c r="X1051" s="1209">
        <v>0</v>
      </c>
      <c r="Y1051" s="1209">
        <v>999</v>
      </c>
      <c r="Z1051" s="1211">
        <v>680</v>
      </c>
      <c r="AA1051" s="1211">
        <v>699</v>
      </c>
      <c r="AB1051" s="1211">
        <v>6</v>
      </c>
      <c r="AC1051" s="1211">
        <v>999999</v>
      </c>
      <c r="AD1051" s="1209">
        <v>0</v>
      </c>
      <c r="AE1051" s="1212">
        <v>75</v>
      </c>
      <c r="AF1051" s="170">
        <v>0</v>
      </c>
      <c r="AG1051" s="171">
        <v>1</v>
      </c>
      <c r="AH1051" s="171">
        <v>1</v>
      </c>
      <c r="AI1051" s="171">
        <v>1</v>
      </c>
      <c r="AJ1051" s="171">
        <v>0</v>
      </c>
      <c r="AK1051" s="171">
        <v>1</v>
      </c>
      <c r="AL1051" s="171">
        <v>1</v>
      </c>
      <c r="AM1051" s="171">
        <v>1</v>
      </c>
      <c r="AN1051" s="171">
        <v>1</v>
      </c>
      <c r="AO1051" s="171">
        <v>1</v>
      </c>
      <c r="AP1051" s="171">
        <v>1</v>
      </c>
      <c r="AQ1051" s="171">
        <v>1</v>
      </c>
      <c r="AR1051" s="171">
        <v>1</v>
      </c>
      <c r="AS1051" s="171">
        <v>1</v>
      </c>
      <c r="AT1051" s="171">
        <v>1</v>
      </c>
      <c r="AU1051" s="171">
        <f t="shared" si="404"/>
        <v>0</v>
      </c>
      <c r="AV1051" s="171">
        <f t="shared" si="405"/>
        <v>1</v>
      </c>
      <c r="AW1051" s="171">
        <f t="shared" si="406"/>
        <v>1</v>
      </c>
      <c r="AX1051" s="171">
        <f t="shared" si="401"/>
        <v>1</v>
      </c>
      <c r="AY1051" s="171">
        <f t="shared" si="407"/>
        <v>0</v>
      </c>
      <c r="AZ1051" s="171">
        <f t="shared" si="408"/>
        <v>1</v>
      </c>
      <c r="BA1051" s="172">
        <f t="shared" si="409"/>
        <v>1</v>
      </c>
      <c r="BB1051" s="175">
        <f t="shared" si="411"/>
        <v>18</v>
      </c>
      <c r="BC1051" s="176">
        <f t="shared" si="412"/>
        <v>17</v>
      </c>
      <c r="BD1051" s="176">
        <f t="shared" si="413"/>
        <v>18</v>
      </c>
      <c r="BE1051" s="240" t="str">
        <f t="shared" si="403"/>
        <v/>
      </c>
      <c r="BF1051" s="990"/>
      <c r="BG1051" s="990"/>
      <c r="BH1051" s="991">
        <f>IF(AND(Input_Product=Elig!$C1051,Elig_MatchAll_Ct&lt;22,$BC1051=(Elig_MatchAll_Ct-1),AF1051=0),C1051,0)</f>
        <v>0</v>
      </c>
      <c r="BI1051" s="991">
        <f>IF(AND(Input_Product=Elig!$C1051,Elig_MatchAll_Ct&lt;22,$BC1051=(Elig_MatchAll_Ct-1),AG1051=0),D1051,0)</f>
        <v>0</v>
      </c>
      <c r="BJ1051" s="991">
        <f>IF(AND(Input_Product=Elig!$C1051,Elig_MatchAll_Ct&lt;22,$BC1051=(Elig_MatchAll_Ct-1),AH1051=0),E1051,0)</f>
        <v>0</v>
      </c>
      <c r="BK1051" s="991">
        <f>IF(AND(Input_Product=Elig!$C1051,Elig_MatchAll_Ct&lt;22,$BC1051=(Elig_MatchAll_Ct-1),AI1051=0),F1051,0)</f>
        <v>0</v>
      </c>
      <c r="BL1051" s="991">
        <f>IF(AND(Input_Product=Elig!$C1051,Elig_MatchAll_Ct&lt;22,$BC1051=(Elig_MatchAll_Ct-1),AJ1051=0),G1051,0)</f>
        <v>0</v>
      </c>
      <c r="BM1051" s="991">
        <f>IF(AND(Input_Product=Elig!$C1051,Elig_MatchAll_Ct&lt;22,$BC1051=(Elig_MatchAll_Ct-1),AK1051=0),H1051,0)</f>
        <v>0</v>
      </c>
      <c r="BN1051" s="991">
        <f>IF(AND(Input_Product=Elig!$C1051,Elig_MatchAll_Ct&lt;22,$BC1051=(Elig_MatchAll_Ct-1),AL1051=0),I1051,0)</f>
        <v>0</v>
      </c>
      <c r="BO1051" s="991">
        <f>IF(AND(Input_Product=Elig!$C1051,Elig_MatchAll_Ct&lt;22,$BC1051=(Elig_MatchAll_Ct-1),AM1051=0),J1051,0)</f>
        <v>0</v>
      </c>
      <c r="BP1051" s="991">
        <f>IF(AND(Input_Product=Elig!$C1051,Elig_MatchAll_Ct&lt;22,$BC1051=(Elig_MatchAll_Ct-1),AN1051=0),K1051,0)</f>
        <v>0</v>
      </c>
      <c r="BQ1051" s="991">
        <f>IF(AND(Input_Product=Elig!$C1051,Elig_MatchAll_Ct&lt;22,$BC1051=(Elig_MatchAll_Ct-1),AP1051=0),L1051,0)</f>
        <v>0</v>
      </c>
      <c r="BR1051" s="991">
        <f>IF(AND(Input_Product=Elig!$C1051,Elig_MatchAll_Ct&lt;22,$BC1051=(Elig_MatchAll_Ct-1),AO1051=0),M1051,0)</f>
        <v>0</v>
      </c>
      <c r="BS1051" s="991">
        <f>IF(AND(Input_Product=Elig!$C1051,Elig_MatchAll_Ct&lt;22,$BC1051=(Elig_MatchAll_Ct-1),AQ1051=0),N1051,0)</f>
        <v>0</v>
      </c>
      <c r="BT1051" s="991">
        <f>IF(AND(Input_Product=Elig!$C1051,Elig_MatchAll_Ct&lt;22,$BC1051=(Elig_MatchAll_Ct-1),AR1051=0),O1051,0)</f>
        <v>0</v>
      </c>
      <c r="BU1051" s="991">
        <f>IF(AND(Input_Product=Elig!$C1051,Elig_MatchAll_Ct&lt;22,$BC1051=(Elig_MatchAll_Ct-1),AS1051=0),P1051,0)</f>
        <v>0</v>
      </c>
      <c r="BV1051" s="992">
        <f>IF(AND(Input_Product=Elig!$C1051,Elig_MatchAll_Ct&lt;22,$BC1051=(Elig_MatchAll_Ct-1),AT1051=0),Q1051,0)</f>
        <v>0</v>
      </c>
      <c r="BW1051" s="993">
        <f>IF(AND(Input_Product=Elig!$C1051,Elig_MatchAll_Ct&lt;22,$BC1051=(Elig_MatchAll_Ct-1),AU1051=0),R1051,0)</f>
        <v>0</v>
      </c>
      <c r="BX1051" s="994">
        <f>IF(AND(Input_Product=Elig!$C1051,Elig_MatchAll_Ct&lt;22,$BC1051=(Elig_MatchAll_Ct-1),AU1051=0),S1051,0)</f>
        <v>0</v>
      </c>
      <c r="BY1051" s="993">
        <f>IF(AND(Input_Product=Elig!$C1051,Elig_MatchAll_Ct&lt;22,$BC1051=(Elig_MatchAll_Ct-1),AV1051=0),T1051,0)</f>
        <v>0</v>
      </c>
      <c r="BZ1051" s="994">
        <f>IF(AND(Input_Product=Elig!$C1051,Elig_MatchAll_Ct&lt;22,$BC1051=(Elig_MatchAll_Ct-1),AV1051=0),U1051,0)</f>
        <v>0</v>
      </c>
      <c r="CA1051" s="993">
        <f>IF(AND(Input_Product=Elig!$C1051,Elig_MatchAll_Ct&lt;22,$BC1051=(Elig_MatchAll_Ct-1),AW1051=0),V1051,0)</f>
        <v>0</v>
      </c>
      <c r="CB1051" s="994">
        <f>IF(AND(Input_Product=Elig!$C1051,Elig_MatchAll_Ct&lt;22,$BC1051=(Elig_MatchAll_Ct-1),AW1051=0),W1051,0)</f>
        <v>0</v>
      </c>
      <c r="CC1051" s="993">
        <f>IF(AND(Input_Product=Elig!$C1051,Elig_MatchAll_Ct&lt;22,$BC1051=(Elig_MatchAll_Ct-1),AX1051=0),X1051,0)</f>
        <v>0</v>
      </c>
      <c r="CD1051" s="994">
        <f>IF(AND(Input_Product=Elig!$C1051,Elig_MatchAll_Ct&lt;22,$BC1051=(Elig_MatchAll_Ct-1),AX1051=0),Y1051,0)</f>
        <v>0</v>
      </c>
      <c r="CE1051" s="993">
        <f>IF(AND(Input_LTV&lt;=AE1051,Input_Product=Elig!$C1051,Elig_MatchAll_Ct&lt;22,$BC1051=(Elig_MatchAll_Ct-1),AY1051=0),Z1051,0)</f>
        <v>0</v>
      </c>
      <c r="CF1051" s="994">
        <f>IF(AND(Input_LTV&lt;=AE1051,Input_Product=Elig!$C1051,Elig_MatchAll_Ct&lt;22,$BC1051=(Elig_MatchAll_Ct-1),AY1051=0),AA1051,0)</f>
        <v>0</v>
      </c>
      <c r="CG1051" s="993">
        <f>IF(AND(Input_Product=Elig!$C1051,Elig_MatchAll_Ct&lt;22,$BC1051=(Elig_MatchAll_Ct-1),AZ1051=0),AB1051,0)</f>
        <v>0</v>
      </c>
      <c r="CH1051" s="994">
        <f>IF(AND(Input_Product=Elig!$C1051,Elig_MatchAll_Ct&lt;22,$BC1051=(Elig_MatchAll_Ct-1),AZ1051=0),AC1051,0)</f>
        <v>0</v>
      </c>
      <c r="CI1051" s="993">
        <f>IF(AND(Input_Product=Elig!$C1051,Elig_MatchAll_Ct&lt;22,$BC1051=(Elig_MatchAll_Ct-1),BA1051=0),AD1051,0)</f>
        <v>0</v>
      </c>
      <c r="CJ1051" s="994">
        <f>IF(AND(Input_Product=Elig!$C1051,Elig_MatchAll_Ct&lt;22,$BC1051=(Elig_MatchAll_Ct-1),BA1051=0),AE1051,0)</f>
        <v>0</v>
      </c>
    </row>
    <row r="1052" spans="2:88" ht="10.15" customHeight="1" x14ac:dyDescent="0.25">
      <c r="B1052" s="1916" t="s">
        <v>2388</v>
      </c>
      <c r="C1052" s="1213" t="str">
        <f t="shared" si="402"/>
        <v xml:space="preserve">  </v>
      </c>
      <c r="D1052" s="1214" t="s">
        <v>2218</v>
      </c>
      <c r="E1052" s="1214" t="s">
        <v>167</v>
      </c>
      <c r="F1052" s="1214" t="s">
        <v>331</v>
      </c>
      <c r="G1052" s="1215" t="s">
        <v>305</v>
      </c>
      <c r="H1052" s="1215" t="s">
        <v>136</v>
      </c>
      <c r="I1052" s="1214" t="s">
        <v>16</v>
      </c>
      <c r="J1052" s="1214" t="s">
        <v>1311</v>
      </c>
      <c r="K1052" s="1215" t="s">
        <v>3022</v>
      </c>
      <c r="L1052" s="1214" t="s">
        <v>2768</v>
      </c>
      <c r="M1052" s="1214" t="s">
        <v>2677</v>
      </c>
      <c r="N1052" s="1215" t="s">
        <v>82</v>
      </c>
      <c r="O1052" s="1214" t="s">
        <v>310</v>
      </c>
      <c r="P1052" s="1214" t="s">
        <v>291</v>
      </c>
      <c r="Q1052" s="1214" t="s">
        <v>294</v>
      </c>
      <c r="R1052" s="1214">
        <v>1500000.01</v>
      </c>
      <c r="S1052" s="1214">
        <v>2000000</v>
      </c>
      <c r="T1052" s="1214">
        <v>0</v>
      </c>
      <c r="U1052" s="1214">
        <f t="shared" si="410"/>
        <v>2000000</v>
      </c>
      <c r="V1052" s="1214">
        <v>0</v>
      </c>
      <c r="W1052" s="1214">
        <v>50</v>
      </c>
      <c r="X1052" s="1214">
        <v>0</v>
      </c>
      <c r="Y1052" s="1214">
        <v>999</v>
      </c>
      <c r="Z1052" s="1216">
        <v>660</v>
      </c>
      <c r="AA1052" s="1216">
        <v>679</v>
      </c>
      <c r="AB1052" s="1216">
        <v>6</v>
      </c>
      <c r="AC1052" s="1216">
        <v>999999</v>
      </c>
      <c r="AD1052" s="1214">
        <v>0</v>
      </c>
      <c r="AE1052" s="1217">
        <v>70</v>
      </c>
      <c r="AF1052" s="170">
        <v>0</v>
      </c>
      <c r="AG1052" s="171">
        <v>1</v>
      </c>
      <c r="AH1052" s="171">
        <v>1</v>
      </c>
      <c r="AI1052" s="171">
        <v>1</v>
      </c>
      <c r="AJ1052" s="171">
        <v>0</v>
      </c>
      <c r="AK1052" s="171">
        <v>1</v>
      </c>
      <c r="AL1052" s="171">
        <v>1</v>
      </c>
      <c r="AM1052" s="171">
        <v>1</v>
      </c>
      <c r="AN1052" s="171">
        <v>1</v>
      </c>
      <c r="AO1052" s="171">
        <v>1</v>
      </c>
      <c r="AP1052" s="171">
        <v>1</v>
      </c>
      <c r="AQ1052" s="171">
        <v>1</v>
      </c>
      <c r="AR1052" s="171">
        <v>1</v>
      </c>
      <c r="AS1052" s="171">
        <v>1</v>
      </c>
      <c r="AT1052" s="171">
        <v>1</v>
      </c>
      <c r="AU1052" s="171">
        <f t="shared" si="404"/>
        <v>0</v>
      </c>
      <c r="AV1052" s="171">
        <f t="shared" si="405"/>
        <v>1</v>
      </c>
      <c r="AW1052" s="171">
        <f t="shared" si="406"/>
        <v>1</v>
      </c>
      <c r="AX1052" s="171">
        <f t="shared" si="401"/>
        <v>1</v>
      </c>
      <c r="AY1052" s="171">
        <f t="shared" si="407"/>
        <v>0</v>
      </c>
      <c r="AZ1052" s="171">
        <f t="shared" si="408"/>
        <v>1</v>
      </c>
      <c r="BA1052" s="172">
        <f t="shared" si="409"/>
        <v>1</v>
      </c>
      <c r="BB1052" s="175">
        <f t="shared" si="411"/>
        <v>18</v>
      </c>
      <c r="BC1052" s="176">
        <f t="shared" si="412"/>
        <v>17</v>
      </c>
      <c r="BD1052" s="176">
        <f t="shared" si="413"/>
        <v>18</v>
      </c>
      <c r="BE1052" s="240" t="str">
        <f t="shared" si="403"/>
        <v/>
      </c>
      <c r="BF1052" s="990"/>
      <c r="BG1052" s="990"/>
      <c r="BH1052" s="991">
        <f>IF(AND(Input_Product=Elig!$C1052,Elig_MatchAll_Ct&lt;22,$BC1052=(Elig_MatchAll_Ct-1),AF1052=0),C1052,0)</f>
        <v>0</v>
      </c>
      <c r="BI1052" s="991">
        <f>IF(AND(Input_Product=Elig!$C1052,Elig_MatchAll_Ct&lt;22,$BC1052=(Elig_MatchAll_Ct-1),AG1052=0),D1052,0)</f>
        <v>0</v>
      </c>
      <c r="BJ1052" s="991">
        <f>IF(AND(Input_Product=Elig!$C1052,Elig_MatchAll_Ct&lt;22,$BC1052=(Elig_MatchAll_Ct-1),AH1052=0),E1052,0)</f>
        <v>0</v>
      </c>
      <c r="BK1052" s="991">
        <f>IF(AND(Input_Product=Elig!$C1052,Elig_MatchAll_Ct&lt;22,$BC1052=(Elig_MatchAll_Ct-1),AI1052=0),F1052,0)</f>
        <v>0</v>
      </c>
      <c r="BL1052" s="991">
        <f>IF(AND(Input_Product=Elig!$C1052,Elig_MatchAll_Ct&lt;22,$BC1052=(Elig_MatchAll_Ct-1),AJ1052=0),G1052,0)</f>
        <v>0</v>
      </c>
      <c r="BM1052" s="991">
        <f>IF(AND(Input_Product=Elig!$C1052,Elig_MatchAll_Ct&lt;22,$BC1052=(Elig_MatchAll_Ct-1),AK1052=0),H1052,0)</f>
        <v>0</v>
      </c>
      <c r="BN1052" s="991">
        <f>IF(AND(Input_Product=Elig!$C1052,Elig_MatchAll_Ct&lt;22,$BC1052=(Elig_MatchAll_Ct-1),AL1052=0),I1052,0)</f>
        <v>0</v>
      </c>
      <c r="BO1052" s="991">
        <f>IF(AND(Input_Product=Elig!$C1052,Elig_MatchAll_Ct&lt;22,$BC1052=(Elig_MatchAll_Ct-1),AM1052=0),J1052,0)</f>
        <v>0</v>
      </c>
      <c r="BP1052" s="991">
        <f>IF(AND(Input_Product=Elig!$C1052,Elig_MatchAll_Ct&lt;22,$BC1052=(Elig_MatchAll_Ct-1),AN1052=0),K1052,0)</f>
        <v>0</v>
      </c>
      <c r="BQ1052" s="991">
        <f>IF(AND(Input_Product=Elig!$C1052,Elig_MatchAll_Ct&lt;22,$BC1052=(Elig_MatchAll_Ct-1),AP1052=0),L1052,0)</f>
        <v>0</v>
      </c>
      <c r="BR1052" s="991">
        <f>IF(AND(Input_Product=Elig!$C1052,Elig_MatchAll_Ct&lt;22,$BC1052=(Elig_MatchAll_Ct-1),AO1052=0),M1052,0)</f>
        <v>0</v>
      </c>
      <c r="BS1052" s="991">
        <f>IF(AND(Input_Product=Elig!$C1052,Elig_MatchAll_Ct&lt;22,$BC1052=(Elig_MatchAll_Ct-1),AQ1052=0),N1052,0)</f>
        <v>0</v>
      </c>
      <c r="BT1052" s="991">
        <f>IF(AND(Input_Product=Elig!$C1052,Elig_MatchAll_Ct&lt;22,$BC1052=(Elig_MatchAll_Ct-1),AR1052=0),O1052,0)</f>
        <v>0</v>
      </c>
      <c r="BU1052" s="991">
        <f>IF(AND(Input_Product=Elig!$C1052,Elig_MatchAll_Ct&lt;22,$BC1052=(Elig_MatchAll_Ct-1),AS1052=0),P1052,0)</f>
        <v>0</v>
      </c>
      <c r="BV1052" s="992">
        <f>IF(AND(Input_Product=Elig!$C1052,Elig_MatchAll_Ct&lt;22,$BC1052=(Elig_MatchAll_Ct-1),AT1052=0),Q1052,0)</f>
        <v>0</v>
      </c>
      <c r="BW1052" s="993">
        <f>IF(AND(Input_Product=Elig!$C1052,Elig_MatchAll_Ct&lt;22,$BC1052=(Elig_MatchAll_Ct-1),AU1052=0),R1052,0)</f>
        <v>0</v>
      </c>
      <c r="BX1052" s="994">
        <f>IF(AND(Input_Product=Elig!$C1052,Elig_MatchAll_Ct&lt;22,$BC1052=(Elig_MatchAll_Ct-1),AU1052=0),S1052,0)</f>
        <v>0</v>
      </c>
      <c r="BY1052" s="993">
        <f>IF(AND(Input_Product=Elig!$C1052,Elig_MatchAll_Ct&lt;22,$BC1052=(Elig_MatchAll_Ct-1),AV1052=0),T1052,0)</f>
        <v>0</v>
      </c>
      <c r="BZ1052" s="994">
        <f>IF(AND(Input_Product=Elig!$C1052,Elig_MatchAll_Ct&lt;22,$BC1052=(Elig_MatchAll_Ct-1),AV1052=0),U1052,0)</f>
        <v>0</v>
      </c>
      <c r="CA1052" s="993">
        <f>IF(AND(Input_Product=Elig!$C1052,Elig_MatchAll_Ct&lt;22,$BC1052=(Elig_MatchAll_Ct-1),AW1052=0),V1052,0)</f>
        <v>0</v>
      </c>
      <c r="CB1052" s="994">
        <f>IF(AND(Input_Product=Elig!$C1052,Elig_MatchAll_Ct&lt;22,$BC1052=(Elig_MatchAll_Ct-1),AW1052=0),W1052,0)</f>
        <v>0</v>
      </c>
      <c r="CC1052" s="993">
        <f>IF(AND(Input_Product=Elig!$C1052,Elig_MatchAll_Ct&lt;22,$BC1052=(Elig_MatchAll_Ct-1),AX1052=0),X1052,0)</f>
        <v>0</v>
      </c>
      <c r="CD1052" s="994">
        <f>IF(AND(Input_Product=Elig!$C1052,Elig_MatchAll_Ct&lt;22,$BC1052=(Elig_MatchAll_Ct-1),AX1052=0),Y1052,0)</f>
        <v>0</v>
      </c>
      <c r="CE1052" s="993">
        <f>IF(AND(Input_LTV&lt;=AE1052,Input_Product=Elig!$C1052,Elig_MatchAll_Ct&lt;22,$BC1052=(Elig_MatchAll_Ct-1),AY1052=0),Z1052,0)</f>
        <v>0</v>
      </c>
      <c r="CF1052" s="994">
        <f>IF(AND(Input_LTV&lt;=AE1052,Input_Product=Elig!$C1052,Elig_MatchAll_Ct&lt;22,$BC1052=(Elig_MatchAll_Ct-1),AY1052=0),AA1052,0)</f>
        <v>0</v>
      </c>
      <c r="CG1052" s="993">
        <f>IF(AND(Input_Product=Elig!$C1052,Elig_MatchAll_Ct&lt;22,$BC1052=(Elig_MatchAll_Ct-1),AZ1052=0),AB1052,0)</f>
        <v>0</v>
      </c>
      <c r="CH1052" s="994">
        <f>IF(AND(Input_Product=Elig!$C1052,Elig_MatchAll_Ct&lt;22,$BC1052=(Elig_MatchAll_Ct-1),AZ1052=0),AC1052,0)</f>
        <v>0</v>
      </c>
      <c r="CI1052" s="993">
        <f>IF(AND(Input_Product=Elig!$C1052,Elig_MatchAll_Ct&lt;22,$BC1052=(Elig_MatchAll_Ct-1),BA1052=0),AD1052,0)</f>
        <v>0</v>
      </c>
      <c r="CJ1052" s="994">
        <f>IF(AND(Input_Product=Elig!$C1052,Elig_MatchAll_Ct&lt;22,$BC1052=(Elig_MatchAll_Ct-1),BA1052=0),AE1052,0)</f>
        <v>0</v>
      </c>
    </row>
    <row r="1053" spans="2:88" ht="10.15" customHeight="1" x14ac:dyDescent="0.25">
      <c r="B1053" s="1916" t="s">
        <v>2389</v>
      </c>
      <c r="C1053" s="1203" t="str">
        <f t="shared" si="402"/>
        <v xml:space="preserve">  </v>
      </c>
      <c r="D1053" s="1204" t="s">
        <v>2218</v>
      </c>
      <c r="E1053" s="1204" t="s">
        <v>167</v>
      </c>
      <c r="F1053" s="1204" t="s">
        <v>331</v>
      </c>
      <c r="G1053" s="1205" t="s">
        <v>305</v>
      </c>
      <c r="H1053" s="1205" t="s">
        <v>136</v>
      </c>
      <c r="I1053" s="1204" t="s">
        <v>16</v>
      </c>
      <c r="J1053" s="1204" t="s">
        <v>1311</v>
      </c>
      <c r="K1053" s="1205" t="s">
        <v>3022</v>
      </c>
      <c r="L1053" s="1204" t="s">
        <v>2768</v>
      </c>
      <c r="M1053" s="1204" t="s">
        <v>2677</v>
      </c>
      <c r="N1053" s="1205" t="s">
        <v>82</v>
      </c>
      <c r="O1053" s="1204" t="s">
        <v>310</v>
      </c>
      <c r="P1053" s="1204" t="s">
        <v>291</v>
      </c>
      <c r="Q1053" s="1204" t="s">
        <v>294</v>
      </c>
      <c r="R1053" s="1204">
        <v>2000000.01</v>
      </c>
      <c r="S1053" s="1204">
        <v>2500000</v>
      </c>
      <c r="T1053" s="1204">
        <v>0</v>
      </c>
      <c r="U1053" s="1204">
        <f t="shared" si="410"/>
        <v>2500000</v>
      </c>
      <c r="V1053" s="1204">
        <v>0</v>
      </c>
      <c r="W1053" s="1204">
        <v>50</v>
      </c>
      <c r="X1053" s="1204">
        <v>0</v>
      </c>
      <c r="Y1053" s="1204">
        <v>999</v>
      </c>
      <c r="Z1053" s="1206">
        <v>720</v>
      </c>
      <c r="AA1053" s="1206">
        <v>999</v>
      </c>
      <c r="AB1053" s="1206">
        <v>6</v>
      </c>
      <c r="AC1053" s="1206">
        <v>999999</v>
      </c>
      <c r="AD1053" s="1204">
        <v>0</v>
      </c>
      <c r="AE1053" s="1207">
        <v>80</v>
      </c>
      <c r="AF1053" s="170">
        <v>0</v>
      </c>
      <c r="AG1053" s="171">
        <v>1</v>
      </c>
      <c r="AH1053" s="171">
        <v>1</v>
      </c>
      <c r="AI1053" s="171">
        <v>1</v>
      </c>
      <c r="AJ1053" s="171">
        <v>0</v>
      </c>
      <c r="AK1053" s="171">
        <v>1</v>
      </c>
      <c r="AL1053" s="171">
        <v>1</v>
      </c>
      <c r="AM1053" s="171">
        <v>1</v>
      </c>
      <c r="AN1053" s="171">
        <v>1</v>
      </c>
      <c r="AO1053" s="171">
        <v>1</v>
      </c>
      <c r="AP1053" s="171">
        <v>1</v>
      </c>
      <c r="AQ1053" s="171">
        <v>1</v>
      </c>
      <c r="AR1053" s="171">
        <v>1</v>
      </c>
      <c r="AS1053" s="171">
        <v>1</v>
      </c>
      <c r="AT1053" s="171">
        <v>1</v>
      </c>
      <c r="AU1053" s="171">
        <f t="shared" si="404"/>
        <v>0</v>
      </c>
      <c r="AV1053" s="171">
        <f t="shared" si="405"/>
        <v>1</v>
      </c>
      <c r="AW1053" s="171">
        <f t="shared" si="406"/>
        <v>1</v>
      </c>
      <c r="AX1053" s="171">
        <f t="shared" si="401"/>
        <v>1</v>
      </c>
      <c r="AY1053" s="171">
        <f t="shared" si="407"/>
        <v>1</v>
      </c>
      <c r="AZ1053" s="171">
        <f t="shared" si="408"/>
        <v>1</v>
      </c>
      <c r="BA1053" s="172">
        <f t="shared" si="409"/>
        <v>1</v>
      </c>
      <c r="BB1053" s="175">
        <f t="shared" si="411"/>
        <v>19</v>
      </c>
      <c r="BC1053" s="176">
        <f t="shared" si="412"/>
        <v>18</v>
      </c>
      <c r="BD1053" s="176">
        <f t="shared" si="413"/>
        <v>19</v>
      </c>
      <c r="BE1053" s="240" t="str">
        <f t="shared" si="403"/>
        <v/>
      </c>
      <c r="BF1053" s="990"/>
      <c r="BG1053" s="990"/>
      <c r="BH1053" s="991">
        <f>IF(AND(Input_Product=Elig!$C1053,Elig_MatchAll_Ct&lt;22,$BC1053=(Elig_MatchAll_Ct-1),AF1053=0),C1053,0)</f>
        <v>0</v>
      </c>
      <c r="BI1053" s="991">
        <f>IF(AND(Input_Product=Elig!$C1053,Elig_MatchAll_Ct&lt;22,$BC1053=(Elig_MatchAll_Ct-1),AG1053=0),D1053,0)</f>
        <v>0</v>
      </c>
      <c r="BJ1053" s="991">
        <f>IF(AND(Input_Product=Elig!$C1053,Elig_MatchAll_Ct&lt;22,$BC1053=(Elig_MatchAll_Ct-1),AH1053=0),E1053,0)</f>
        <v>0</v>
      </c>
      <c r="BK1053" s="991">
        <f>IF(AND(Input_Product=Elig!$C1053,Elig_MatchAll_Ct&lt;22,$BC1053=(Elig_MatchAll_Ct-1),AI1053=0),F1053,0)</f>
        <v>0</v>
      </c>
      <c r="BL1053" s="991">
        <f>IF(AND(Input_Product=Elig!$C1053,Elig_MatchAll_Ct&lt;22,$BC1053=(Elig_MatchAll_Ct-1),AJ1053=0),G1053,0)</f>
        <v>0</v>
      </c>
      <c r="BM1053" s="991">
        <f>IF(AND(Input_Product=Elig!$C1053,Elig_MatchAll_Ct&lt;22,$BC1053=(Elig_MatchAll_Ct-1),AK1053=0),H1053,0)</f>
        <v>0</v>
      </c>
      <c r="BN1053" s="991">
        <f>IF(AND(Input_Product=Elig!$C1053,Elig_MatchAll_Ct&lt;22,$BC1053=(Elig_MatchAll_Ct-1),AL1053=0),I1053,0)</f>
        <v>0</v>
      </c>
      <c r="BO1053" s="991">
        <f>IF(AND(Input_Product=Elig!$C1053,Elig_MatchAll_Ct&lt;22,$BC1053=(Elig_MatchAll_Ct-1),AM1053=0),J1053,0)</f>
        <v>0</v>
      </c>
      <c r="BP1053" s="991">
        <f>IF(AND(Input_Product=Elig!$C1053,Elig_MatchAll_Ct&lt;22,$BC1053=(Elig_MatchAll_Ct-1),AN1053=0),K1053,0)</f>
        <v>0</v>
      </c>
      <c r="BQ1053" s="991">
        <f>IF(AND(Input_Product=Elig!$C1053,Elig_MatchAll_Ct&lt;22,$BC1053=(Elig_MatchAll_Ct-1),AP1053=0),L1053,0)</f>
        <v>0</v>
      </c>
      <c r="BR1053" s="991">
        <f>IF(AND(Input_Product=Elig!$C1053,Elig_MatchAll_Ct&lt;22,$BC1053=(Elig_MatchAll_Ct-1),AO1053=0),M1053,0)</f>
        <v>0</v>
      </c>
      <c r="BS1053" s="991">
        <f>IF(AND(Input_Product=Elig!$C1053,Elig_MatchAll_Ct&lt;22,$BC1053=(Elig_MatchAll_Ct-1),AQ1053=0),N1053,0)</f>
        <v>0</v>
      </c>
      <c r="BT1053" s="991">
        <f>IF(AND(Input_Product=Elig!$C1053,Elig_MatchAll_Ct&lt;22,$BC1053=(Elig_MatchAll_Ct-1),AR1053=0),O1053,0)</f>
        <v>0</v>
      </c>
      <c r="BU1053" s="991">
        <f>IF(AND(Input_Product=Elig!$C1053,Elig_MatchAll_Ct&lt;22,$BC1053=(Elig_MatchAll_Ct-1),AS1053=0),P1053,0)</f>
        <v>0</v>
      </c>
      <c r="BV1053" s="992">
        <f>IF(AND(Input_Product=Elig!$C1053,Elig_MatchAll_Ct&lt;22,$BC1053=(Elig_MatchAll_Ct-1),AT1053=0),Q1053,0)</f>
        <v>0</v>
      </c>
      <c r="BW1053" s="993">
        <f>IF(AND(Input_Product=Elig!$C1053,Elig_MatchAll_Ct&lt;22,$BC1053=(Elig_MatchAll_Ct-1),AU1053=0),R1053,0)</f>
        <v>0</v>
      </c>
      <c r="BX1053" s="994">
        <f>IF(AND(Input_Product=Elig!$C1053,Elig_MatchAll_Ct&lt;22,$BC1053=(Elig_MatchAll_Ct-1),AU1053=0),S1053,0)</f>
        <v>0</v>
      </c>
      <c r="BY1053" s="993">
        <f>IF(AND(Input_Product=Elig!$C1053,Elig_MatchAll_Ct&lt;22,$BC1053=(Elig_MatchAll_Ct-1),AV1053=0),T1053,0)</f>
        <v>0</v>
      </c>
      <c r="BZ1053" s="994">
        <f>IF(AND(Input_Product=Elig!$C1053,Elig_MatchAll_Ct&lt;22,$BC1053=(Elig_MatchAll_Ct-1),AV1053=0),U1053,0)</f>
        <v>0</v>
      </c>
      <c r="CA1053" s="993">
        <f>IF(AND(Input_Product=Elig!$C1053,Elig_MatchAll_Ct&lt;22,$BC1053=(Elig_MatchAll_Ct-1),AW1053=0),V1053,0)</f>
        <v>0</v>
      </c>
      <c r="CB1053" s="994">
        <f>IF(AND(Input_Product=Elig!$C1053,Elig_MatchAll_Ct&lt;22,$BC1053=(Elig_MatchAll_Ct-1),AW1053=0),W1053,0)</f>
        <v>0</v>
      </c>
      <c r="CC1053" s="993">
        <f>IF(AND(Input_Product=Elig!$C1053,Elig_MatchAll_Ct&lt;22,$BC1053=(Elig_MatchAll_Ct-1),AX1053=0),X1053,0)</f>
        <v>0</v>
      </c>
      <c r="CD1053" s="994">
        <f>IF(AND(Input_Product=Elig!$C1053,Elig_MatchAll_Ct&lt;22,$BC1053=(Elig_MatchAll_Ct-1),AX1053=0),Y1053,0)</f>
        <v>0</v>
      </c>
      <c r="CE1053" s="993">
        <f>IF(AND(Input_LTV&lt;=AE1053,Input_Product=Elig!$C1053,Elig_MatchAll_Ct&lt;22,$BC1053=(Elig_MatchAll_Ct-1),AY1053=0),Z1053,0)</f>
        <v>0</v>
      </c>
      <c r="CF1053" s="994">
        <f>IF(AND(Input_LTV&lt;=AE1053,Input_Product=Elig!$C1053,Elig_MatchAll_Ct&lt;22,$BC1053=(Elig_MatchAll_Ct-1),AY1053=0),AA1053,0)</f>
        <v>0</v>
      </c>
      <c r="CG1053" s="993">
        <f>IF(AND(Input_Product=Elig!$C1053,Elig_MatchAll_Ct&lt;22,$BC1053=(Elig_MatchAll_Ct-1),AZ1053=0),AB1053,0)</f>
        <v>0</v>
      </c>
      <c r="CH1053" s="994">
        <f>IF(AND(Input_Product=Elig!$C1053,Elig_MatchAll_Ct&lt;22,$BC1053=(Elig_MatchAll_Ct-1),AZ1053=0),AC1053,0)</f>
        <v>0</v>
      </c>
      <c r="CI1053" s="993">
        <f>IF(AND(Input_Product=Elig!$C1053,Elig_MatchAll_Ct&lt;22,$BC1053=(Elig_MatchAll_Ct-1),BA1053=0),AD1053,0)</f>
        <v>0</v>
      </c>
      <c r="CJ1053" s="994">
        <f>IF(AND(Input_Product=Elig!$C1053,Elig_MatchAll_Ct&lt;22,$BC1053=(Elig_MatchAll_Ct-1),BA1053=0),AE1053,0)</f>
        <v>0</v>
      </c>
    </row>
    <row r="1054" spans="2:88" ht="10.15" customHeight="1" x14ac:dyDescent="0.25">
      <c r="B1054" s="1916" t="s">
        <v>2390</v>
      </c>
      <c r="C1054" s="1208" t="str">
        <f t="shared" si="402"/>
        <v xml:space="preserve">  </v>
      </c>
      <c r="D1054" s="1209" t="s">
        <v>2218</v>
      </c>
      <c r="E1054" s="1209" t="s">
        <v>167</v>
      </c>
      <c r="F1054" s="1209" t="s">
        <v>331</v>
      </c>
      <c r="G1054" s="1210" t="s">
        <v>305</v>
      </c>
      <c r="H1054" s="1210" t="s">
        <v>136</v>
      </c>
      <c r="I1054" s="1209" t="s">
        <v>16</v>
      </c>
      <c r="J1054" s="1209" t="s">
        <v>1311</v>
      </c>
      <c r="K1054" s="1210" t="s">
        <v>3022</v>
      </c>
      <c r="L1054" s="1209" t="s">
        <v>2768</v>
      </c>
      <c r="M1054" s="1209" t="s">
        <v>2677</v>
      </c>
      <c r="N1054" s="1210" t="s">
        <v>82</v>
      </c>
      <c r="O1054" s="1209" t="s">
        <v>310</v>
      </c>
      <c r="P1054" s="1209" t="s">
        <v>291</v>
      </c>
      <c r="Q1054" s="1209" t="s">
        <v>294</v>
      </c>
      <c r="R1054" s="1209">
        <v>2000000.01</v>
      </c>
      <c r="S1054" s="1209">
        <v>2500000</v>
      </c>
      <c r="T1054" s="1209">
        <v>0</v>
      </c>
      <c r="U1054" s="1209">
        <f t="shared" si="410"/>
        <v>2500000</v>
      </c>
      <c r="V1054" s="1209">
        <v>0</v>
      </c>
      <c r="W1054" s="1209">
        <v>50</v>
      </c>
      <c r="X1054" s="1209">
        <v>0</v>
      </c>
      <c r="Y1054" s="1209">
        <v>999</v>
      </c>
      <c r="Z1054" s="1211">
        <v>700</v>
      </c>
      <c r="AA1054" s="1211">
        <v>719</v>
      </c>
      <c r="AB1054" s="1211">
        <v>6</v>
      </c>
      <c r="AC1054" s="1211">
        <v>999999</v>
      </c>
      <c r="AD1054" s="1209">
        <v>0</v>
      </c>
      <c r="AE1054" s="1212">
        <v>80</v>
      </c>
      <c r="AF1054" s="170">
        <v>0</v>
      </c>
      <c r="AG1054" s="171">
        <v>1</v>
      </c>
      <c r="AH1054" s="171">
        <v>1</v>
      </c>
      <c r="AI1054" s="171">
        <v>1</v>
      </c>
      <c r="AJ1054" s="171">
        <v>0</v>
      </c>
      <c r="AK1054" s="171">
        <v>1</v>
      </c>
      <c r="AL1054" s="171">
        <v>1</v>
      </c>
      <c r="AM1054" s="171">
        <v>1</v>
      </c>
      <c r="AN1054" s="171">
        <v>1</v>
      </c>
      <c r="AO1054" s="171">
        <v>1</v>
      </c>
      <c r="AP1054" s="171">
        <v>1</v>
      </c>
      <c r="AQ1054" s="171">
        <v>1</v>
      </c>
      <c r="AR1054" s="171">
        <v>1</v>
      </c>
      <c r="AS1054" s="171">
        <v>1</v>
      </c>
      <c r="AT1054" s="171">
        <v>1</v>
      </c>
      <c r="AU1054" s="171">
        <f t="shared" si="404"/>
        <v>0</v>
      </c>
      <c r="AV1054" s="171">
        <f t="shared" si="405"/>
        <v>1</v>
      </c>
      <c r="AW1054" s="171">
        <f t="shared" si="406"/>
        <v>1</v>
      </c>
      <c r="AX1054" s="171">
        <f t="shared" si="401"/>
        <v>1</v>
      </c>
      <c r="AY1054" s="171">
        <f t="shared" si="407"/>
        <v>0</v>
      </c>
      <c r="AZ1054" s="171">
        <f t="shared" si="408"/>
        <v>1</v>
      </c>
      <c r="BA1054" s="172">
        <f t="shared" si="409"/>
        <v>1</v>
      </c>
      <c r="BB1054" s="175">
        <f t="shared" si="411"/>
        <v>18</v>
      </c>
      <c r="BC1054" s="176">
        <f t="shared" si="412"/>
        <v>17</v>
      </c>
      <c r="BD1054" s="176">
        <f t="shared" si="413"/>
        <v>18</v>
      </c>
      <c r="BE1054" s="240" t="str">
        <f t="shared" si="403"/>
        <v/>
      </c>
      <c r="BF1054" s="990"/>
      <c r="BG1054" s="990"/>
      <c r="BH1054" s="991">
        <f>IF(AND(Input_Product=Elig!$C1054,Elig_MatchAll_Ct&lt;22,$BC1054=(Elig_MatchAll_Ct-1),AF1054=0),C1054,0)</f>
        <v>0</v>
      </c>
      <c r="BI1054" s="991">
        <f>IF(AND(Input_Product=Elig!$C1054,Elig_MatchAll_Ct&lt;22,$BC1054=(Elig_MatchAll_Ct-1),AG1054=0),D1054,0)</f>
        <v>0</v>
      </c>
      <c r="BJ1054" s="991">
        <f>IF(AND(Input_Product=Elig!$C1054,Elig_MatchAll_Ct&lt;22,$BC1054=(Elig_MatchAll_Ct-1),AH1054=0),E1054,0)</f>
        <v>0</v>
      </c>
      <c r="BK1054" s="991">
        <f>IF(AND(Input_Product=Elig!$C1054,Elig_MatchAll_Ct&lt;22,$BC1054=(Elig_MatchAll_Ct-1),AI1054=0),F1054,0)</f>
        <v>0</v>
      </c>
      <c r="BL1054" s="991">
        <f>IF(AND(Input_Product=Elig!$C1054,Elig_MatchAll_Ct&lt;22,$BC1054=(Elig_MatchAll_Ct-1),AJ1054=0),G1054,0)</f>
        <v>0</v>
      </c>
      <c r="BM1054" s="991">
        <f>IF(AND(Input_Product=Elig!$C1054,Elig_MatchAll_Ct&lt;22,$BC1054=(Elig_MatchAll_Ct-1),AK1054=0),H1054,0)</f>
        <v>0</v>
      </c>
      <c r="BN1054" s="991">
        <f>IF(AND(Input_Product=Elig!$C1054,Elig_MatchAll_Ct&lt;22,$BC1054=(Elig_MatchAll_Ct-1),AL1054=0),I1054,0)</f>
        <v>0</v>
      </c>
      <c r="BO1054" s="991">
        <f>IF(AND(Input_Product=Elig!$C1054,Elig_MatchAll_Ct&lt;22,$BC1054=(Elig_MatchAll_Ct-1),AM1054=0),J1054,0)</f>
        <v>0</v>
      </c>
      <c r="BP1054" s="991">
        <f>IF(AND(Input_Product=Elig!$C1054,Elig_MatchAll_Ct&lt;22,$BC1054=(Elig_MatchAll_Ct-1),AN1054=0),K1054,0)</f>
        <v>0</v>
      </c>
      <c r="BQ1054" s="991">
        <f>IF(AND(Input_Product=Elig!$C1054,Elig_MatchAll_Ct&lt;22,$BC1054=(Elig_MatchAll_Ct-1),AP1054=0),L1054,0)</f>
        <v>0</v>
      </c>
      <c r="BR1054" s="991">
        <f>IF(AND(Input_Product=Elig!$C1054,Elig_MatchAll_Ct&lt;22,$BC1054=(Elig_MatchAll_Ct-1),AO1054=0),M1054,0)</f>
        <v>0</v>
      </c>
      <c r="BS1054" s="991">
        <f>IF(AND(Input_Product=Elig!$C1054,Elig_MatchAll_Ct&lt;22,$BC1054=(Elig_MatchAll_Ct-1),AQ1054=0),N1054,0)</f>
        <v>0</v>
      </c>
      <c r="BT1054" s="991">
        <f>IF(AND(Input_Product=Elig!$C1054,Elig_MatchAll_Ct&lt;22,$BC1054=(Elig_MatchAll_Ct-1),AR1054=0),O1054,0)</f>
        <v>0</v>
      </c>
      <c r="BU1054" s="991">
        <f>IF(AND(Input_Product=Elig!$C1054,Elig_MatchAll_Ct&lt;22,$BC1054=(Elig_MatchAll_Ct-1),AS1054=0),P1054,0)</f>
        <v>0</v>
      </c>
      <c r="BV1054" s="992">
        <f>IF(AND(Input_Product=Elig!$C1054,Elig_MatchAll_Ct&lt;22,$BC1054=(Elig_MatchAll_Ct-1),AT1054=0),Q1054,0)</f>
        <v>0</v>
      </c>
      <c r="BW1054" s="993">
        <f>IF(AND(Input_Product=Elig!$C1054,Elig_MatchAll_Ct&lt;22,$BC1054=(Elig_MatchAll_Ct-1),AU1054=0),R1054,0)</f>
        <v>0</v>
      </c>
      <c r="BX1054" s="994">
        <f>IF(AND(Input_Product=Elig!$C1054,Elig_MatchAll_Ct&lt;22,$BC1054=(Elig_MatchAll_Ct-1),AU1054=0),S1054,0)</f>
        <v>0</v>
      </c>
      <c r="BY1054" s="993">
        <f>IF(AND(Input_Product=Elig!$C1054,Elig_MatchAll_Ct&lt;22,$BC1054=(Elig_MatchAll_Ct-1),AV1054=0),T1054,0)</f>
        <v>0</v>
      </c>
      <c r="BZ1054" s="994">
        <f>IF(AND(Input_Product=Elig!$C1054,Elig_MatchAll_Ct&lt;22,$BC1054=(Elig_MatchAll_Ct-1),AV1054=0),U1054,0)</f>
        <v>0</v>
      </c>
      <c r="CA1054" s="993">
        <f>IF(AND(Input_Product=Elig!$C1054,Elig_MatchAll_Ct&lt;22,$BC1054=(Elig_MatchAll_Ct-1),AW1054=0),V1054,0)</f>
        <v>0</v>
      </c>
      <c r="CB1054" s="994">
        <f>IF(AND(Input_Product=Elig!$C1054,Elig_MatchAll_Ct&lt;22,$BC1054=(Elig_MatchAll_Ct-1),AW1054=0),W1054,0)</f>
        <v>0</v>
      </c>
      <c r="CC1054" s="993">
        <f>IF(AND(Input_Product=Elig!$C1054,Elig_MatchAll_Ct&lt;22,$BC1054=(Elig_MatchAll_Ct-1),AX1054=0),X1054,0)</f>
        <v>0</v>
      </c>
      <c r="CD1054" s="994">
        <f>IF(AND(Input_Product=Elig!$C1054,Elig_MatchAll_Ct&lt;22,$BC1054=(Elig_MatchAll_Ct-1),AX1054=0),Y1054,0)</f>
        <v>0</v>
      </c>
      <c r="CE1054" s="993">
        <f>IF(AND(Input_LTV&lt;=AE1054,Input_Product=Elig!$C1054,Elig_MatchAll_Ct&lt;22,$BC1054=(Elig_MatchAll_Ct-1),AY1054=0),Z1054,0)</f>
        <v>0</v>
      </c>
      <c r="CF1054" s="994">
        <f>IF(AND(Input_LTV&lt;=AE1054,Input_Product=Elig!$C1054,Elig_MatchAll_Ct&lt;22,$BC1054=(Elig_MatchAll_Ct-1),AY1054=0),AA1054,0)</f>
        <v>0</v>
      </c>
      <c r="CG1054" s="993">
        <f>IF(AND(Input_Product=Elig!$C1054,Elig_MatchAll_Ct&lt;22,$BC1054=(Elig_MatchAll_Ct-1),AZ1054=0),AB1054,0)</f>
        <v>0</v>
      </c>
      <c r="CH1054" s="994">
        <f>IF(AND(Input_Product=Elig!$C1054,Elig_MatchAll_Ct&lt;22,$BC1054=(Elig_MatchAll_Ct-1),AZ1054=0),AC1054,0)</f>
        <v>0</v>
      </c>
      <c r="CI1054" s="993">
        <f>IF(AND(Input_Product=Elig!$C1054,Elig_MatchAll_Ct&lt;22,$BC1054=(Elig_MatchAll_Ct-1),BA1054=0),AD1054,0)</f>
        <v>0</v>
      </c>
      <c r="CJ1054" s="994">
        <f>IF(AND(Input_Product=Elig!$C1054,Elig_MatchAll_Ct&lt;22,$BC1054=(Elig_MatchAll_Ct-1),BA1054=0),AE1054,0)</f>
        <v>0</v>
      </c>
    </row>
    <row r="1055" spans="2:88" ht="10.15" customHeight="1" x14ac:dyDescent="0.25">
      <c r="B1055" s="1916" t="s">
        <v>2391</v>
      </c>
      <c r="C1055" s="1213" t="str">
        <f t="shared" si="402"/>
        <v xml:space="preserve">  </v>
      </c>
      <c r="D1055" s="1214" t="s">
        <v>2218</v>
      </c>
      <c r="E1055" s="1214" t="s">
        <v>167</v>
      </c>
      <c r="F1055" s="1214" t="s">
        <v>331</v>
      </c>
      <c r="G1055" s="1215" t="s">
        <v>305</v>
      </c>
      <c r="H1055" s="1215" t="s">
        <v>136</v>
      </c>
      <c r="I1055" s="1214" t="s">
        <v>16</v>
      </c>
      <c r="J1055" s="1214" t="s">
        <v>1311</v>
      </c>
      <c r="K1055" s="1215" t="s">
        <v>3022</v>
      </c>
      <c r="L1055" s="1214" t="s">
        <v>2768</v>
      </c>
      <c r="M1055" s="1214" t="s">
        <v>2677</v>
      </c>
      <c r="N1055" s="1215" t="s">
        <v>82</v>
      </c>
      <c r="O1055" s="1214" t="s">
        <v>310</v>
      </c>
      <c r="P1055" s="1214" t="s">
        <v>291</v>
      </c>
      <c r="Q1055" s="1214" t="s">
        <v>294</v>
      </c>
      <c r="R1055" s="1214">
        <v>2000000.01</v>
      </c>
      <c r="S1055" s="1214">
        <v>2500000</v>
      </c>
      <c r="T1055" s="1214">
        <v>0</v>
      </c>
      <c r="U1055" s="1214">
        <f t="shared" si="410"/>
        <v>2500000</v>
      </c>
      <c r="V1055" s="1214">
        <v>0</v>
      </c>
      <c r="W1055" s="1214">
        <v>50</v>
      </c>
      <c r="X1055" s="1214">
        <v>0</v>
      </c>
      <c r="Y1055" s="1214">
        <v>999</v>
      </c>
      <c r="Z1055" s="1216">
        <v>680</v>
      </c>
      <c r="AA1055" s="1216">
        <v>699</v>
      </c>
      <c r="AB1055" s="1216">
        <v>6</v>
      </c>
      <c r="AC1055" s="1216">
        <v>999999</v>
      </c>
      <c r="AD1055" s="1214">
        <v>0</v>
      </c>
      <c r="AE1055" s="1217">
        <v>75</v>
      </c>
      <c r="AF1055" s="170">
        <v>0</v>
      </c>
      <c r="AG1055" s="171">
        <v>1</v>
      </c>
      <c r="AH1055" s="171">
        <v>1</v>
      </c>
      <c r="AI1055" s="171">
        <v>1</v>
      </c>
      <c r="AJ1055" s="171">
        <v>0</v>
      </c>
      <c r="AK1055" s="171">
        <v>1</v>
      </c>
      <c r="AL1055" s="171">
        <v>1</v>
      </c>
      <c r="AM1055" s="171">
        <v>1</v>
      </c>
      <c r="AN1055" s="171">
        <v>1</v>
      </c>
      <c r="AO1055" s="171">
        <v>1</v>
      </c>
      <c r="AP1055" s="171">
        <v>1</v>
      </c>
      <c r="AQ1055" s="171">
        <v>1</v>
      </c>
      <c r="AR1055" s="171">
        <v>1</v>
      </c>
      <c r="AS1055" s="171">
        <v>1</v>
      </c>
      <c r="AT1055" s="171">
        <v>1</v>
      </c>
      <c r="AU1055" s="171">
        <f t="shared" si="404"/>
        <v>0</v>
      </c>
      <c r="AV1055" s="171">
        <f t="shared" si="405"/>
        <v>1</v>
      </c>
      <c r="AW1055" s="171">
        <f t="shared" si="406"/>
        <v>1</v>
      </c>
      <c r="AX1055" s="171">
        <f t="shared" si="401"/>
        <v>1</v>
      </c>
      <c r="AY1055" s="171">
        <f t="shared" si="407"/>
        <v>0</v>
      </c>
      <c r="AZ1055" s="171">
        <f t="shared" si="408"/>
        <v>1</v>
      </c>
      <c r="BA1055" s="172">
        <f t="shared" si="409"/>
        <v>1</v>
      </c>
      <c r="BB1055" s="175">
        <f t="shared" si="411"/>
        <v>18</v>
      </c>
      <c r="BC1055" s="176">
        <f t="shared" si="412"/>
        <v>17</v>
      </c>
      <c r="BD1055" s="176">
        <f t="shared" si="413"/>
        <v>18</v>
      </c>
      <c r="BE1055" s="240" t="str">
        <f t="shared" si="403"/>
        <v/>
      </c>
      <c r="BF1055" s="990"/>
      <c r="BG1055" s="990"/>
      <c r="BH1055" s="991">
        <f>IF(AND(Input_Product=Elig!$C1055,Elig_MatchAll_Ct&lt;22,$BC1055=(Elig_MatchAll_Ct-1),AF1055=0),C1055,0)</f>
        <v>0</v>
      </c>
      <c r="BI1055" s="991">
        <f>IF(AND(Input_Product=Elig!$C1055,Elig_MatchAll_Ct&lt;22,$BC1055=(Elig_MatchAll_Ct-1),AG1055=0),D1055,0)</f>
        <v>0</v>
      </c>
      <c r="BJ1055" s="991">
        <f>IF(AND(Input_Product=Elig!$C1055,Elig_MatchAll_Ct&lt;22,$BC1055=(Elig_MatchAll_Ct-1),AH1055=0),E1055,0)</f>
        <v>0</v>
      </c>
      <c r="BK1055" s="991">
        <f>IF(AND(Input_Product=Elig!$C1055,Elig_MatchAll_Ct&lt;22,$BC1055=(Elig_MatchAll_Ct-1),AI1055=0),F1055,0)</f>
        <v>0</v>
      </c>
      <c r="BL1055" s="991">
        <f>IF(AND(Input_Product=Elig!$C1055,Elig_MatchAll_Ct&lt;22,$BC1055=(Elig_MatchAll_Ct-1),AJ1055=0),G1055,0)</f>
        <v>0</v>
      </c>
      <c r="BM1055" s="991">
        <f>IF(AND(Input_Product=Elig!$C1055,Elig_MatchAll_Ct&lt;22,$BC1055=(Elig_MatchAll_Ct-1),AK1055=0),H1055,0)</f>
        <v>0</v>
      </c>
      <c r="BN1055" s="991">
        <f>IF(AND(Input_Product=Elig!$C1055,Elig_MatchAll_Ct&lt;22,$BC1055=(Elig_MatchAll_Ct-1),AL1055=0),I1055,0)</f>
        <v>0</v>
      </c>
      <c r="BO1055" s="991">
        <f>IF(AND(Input_Product=Elig!$C1055,Elig_MatchAll_Ct&lt;22,$BC1055=(Elig_MatchAll_Ct-1),AM1055=0),J1055,0)</f>
        <v>0</v>
      </c>
      <c r="BP1055" s="991">
        <f>IF(AND(Input_Product=Elig!$C1055,Elig_MatchAll_Ct&lt;22,$BC1055=(Elig_MatchAll_Ct-1),AN1055=0),K1055,0)</f>
        <v>0</v>
      </c>
      <c r="BQ1055" s="991">
        <f>IF(AND(Input_Product=Elig!$C1055,Elig_MatchAll_Ct&lt;22,$BC1055=(Elig_MatchAll_Ct-1),AP1055=0),L1055,0)</f>
        <v>0</v>
      </c>
      <c r="BR1055" s="991">
        <f>IF(AND(Input_Product=Elig!$C1055,Elig_MatchAll_Ct&lt;22,$BC1055=(Elig_MatchAll_Ct-1),AO1055=0),M1055,0)</f>
        <v>0</v>
      </c>
      <c r="BS1055" s="991">
        <f>IF(AND(Input_Product=Elig!$C1055,Elig_MatchAll_Ct&lt;22,$BC1055=(Elig_MatchAll_Ct-1),AQ1055=0),N1055,0)</f>
        <v>0</v>
      </c>
      <c r="BT1055" s="991">
        <f>IF(AND(Input_Product=Elig!$C1055,Elig_MatchAll_Ct&lt;22,$BC1055=(Elig_MatchAll_Ct-1),AR1055=0),O1055,0)</f>
        <v>0</v>
      </c>
      <c r="BU1055" s="991">
        <f>IF(AND(Input_Product=Elig!$C1055,Elig_MatchAll_Ct&lt;22,$BC1055=(Elig_MatchAll_Ct-1),AS1055=0),P1055,0)</f>
        <v>0</v>
      </c>
      <c r="BV1055" s="992">
        <f>IF(AND(Input_Product=Elig!$C1055,Elig_MatchAll_Ct&lt;22,$BC1055=(Elig_MatchAll_Ct-1),AT1055=0),Q1055,0)</f>
        <v>0</v>
      </c>
      <c r="BW1055" s="993">
        <f>IF(AND(Input_Product=Elig!$C1055,Elig_MatchAll_Ct&lt;22,$BC1055=(Elig_MatchAll_Ct-1),AU1055=0),R1055,0)</f>
        <v>0</v>
      </c>
      <c r="BX1055" s="994">
        <f>IF(AND(Input_Product=Elig!$C1055,Elig_MatchAll_Ct&lt;22,$BC1055=(Elig_MatchAll_Ct-1),AU1055=0),S1055,0)</f>
        <v>0</v>
      </c>
      <c r="BY1055" s="993">
        <f>IF(AND(Input_Product=Elig!$C1055,Elig_MatchAll_Ct&lt;22,$BC1055=(Elig_MatchAll_Ct-1),AV1055=0),T1055,0)</f>
        <v>0</v>
      </c>
      <c r="BZ1055" s="994">
        <f>IF(AND(Input_Product=Elig!$C1055,Elig_MatchAll_Ct&lt;22,$BC1055=(Elig_MatchAll_Ct-1),AV1055=0),U1055,0)</f>
        <v>0</v>
      </c>
      <c r="CA1055" s="993">
        <f>IF(AND(Input_Product=Elig!$C1055,Elig_MatchAll_Ct&lt;22,$BC1055=(Elig_MatchAll_Ct-1),AW1055=0),V1055,0)</f>
        <v>0</v>
      </c>
      <c r="CB1055" s="994">
        <f>IF(AND(Input_Product=Elig!$C1055,Elig_MatchAll_Ct&lt;22,$BC1055=(Elig_MatchAll_Ct-1),AW1055=0),W1055,0)</f>
        <v>0</v>
      </c>
      <c r="CC1055" s="993">
        <f>IF(AND(Input_Product=Elig!$C1055,Elig_MatchAll_Ct&lt;22,$BC1055=(Elig_MatchAll_Ct-1),AX1055=0),X1055,0)</f>
        <v>0</v>
      </c>
      <c r="CD1055" s="994">
        <f>IF(AND(Input_Product=Elig!$C1055,Elig_MatchAll_Ct&lt;22,$BC1055=(Elig_MatchAll_Ct-1),AX1055=0),Y1055,0)</f>
        <v>0</v>
      </c>
      <c r="CE1055" s="993">
        <f>IF(AND(Input_LTV&lt;=AE1055,Input_Product=Elig!$C1055,Elig_MatchAll_Ct&lt;22,$BC1055=(Elig_MatchAll_Ct-1),AY1055=0),Z1055,0)</f>
        <v>0</v>
      </c>
      <c r="CF1055" s="994">
        <f>IF(AND(Input_LTV&lt;=AE1055,Input_Product=Elig!$C1055,Elig_MatchAll_Ct&lt;22,$BC1055=(Elig_MatchAll_Ct-1),AY1055=0),AA1055,0)</f>
        <v>0</v>
      </c>
      <c r="CG1055" s="993">
        <f>IF(AND(Input_Product=Elig!$C1055,Elig_MatchAll_Ct&lt;22,$BC1055=(Elig_MatchAll_Ct-1),AZ1055=0),AB1055,0)</f>
        <v>0</v>
      </c>
      <c r="CH1055" s="994">
        <f>IF(AND(Input_Product=Elig!$C1055,Elig_MatchAll_Ct&lt;22,$BC1055=(Elig_MatchAll_Ct-1),AZ1055=0),AC1055,0)</f>
        <v>0</v>
      </c>
      <c r="CI1055" s="993">
        <f>IF(AND(Input_Product=Elig!$C1055,Elig_MatchAll_Ct&lt;22,$BC1055=(Elig_MatchAll_Ct-1),BA1055=0),AD1055,0)</f>
        <v>0</v>
      </c>
      <c r="CJ1055" s="994">
        <f>IF(AND(Input_Product=Elig!$C1055,Elig_MatchAll_Ct&lt;22,$BC1055=(Elig_MatchAll_Ct-1),BA1055=0),AE1055,0)</f>
        <v>0</v>
      </c>
    </row>
    <row r="1056" spans="2:88" ht="10.15" customHeight="1" x14ac:dyDescent="0.25">
      <c r="B1056" s="1916" t="s">
        <v>2694</v>
      </c>
      <c r="C1056" s="1203" t="str">
        <f t="shared" si="402"/>
        <v xml:space="preserve">  </v>
      </c>
      <c r="D1056" s="1204" t="s">
        <v>2218</v>
      </c>
      <c r="E1056" s="1204" t="s">
        <v>167</v>
      </c>
      <c r="F1056" s="1204" t="s">
        <v>331</v>
      </c>
      <c r="G1056" s="1205" t="s">
        <v>305</v>
      </c>
      <c r="H1056" s="1205" t="s">
        <v>136</v>
      </c>
      <c r="I1056" s="1204" t="s">
        <v>16</v>
      </c>
      <c r="J1056" s="1204" t="s">
        <v>1311</v>
      </c>
      <c r="K1056" s="1205" t="s">
        <v>3022</v>
      </c>
      <c r="L1056" s="1204" t="s">
        <v>2768</v>
      </c>
      <c r="M1056" s="1204" t="s">
        <v>2677</v>
      </c>
      <c r="N1056" s="1205" t="s">
        <v>82</v>
      </c>
      <c r="O1056" s="1204" t="s">
        <v>310</v>
      </c>
      <c r="P1056" s="1204" t="s">
        <v>291</v>
      </c>
      <c r="Q1056" s="1204" t="s">
        <v>294</v>
      </c>
      <c r="R1056" s="1204">
        <v>2500000.0099999998</v>
      </c>
      <c r="S1056" s="1204">
        <v>3000000</v>
      </c>
      <c r="T1056" s="1204">
        <v>0</v>
      </c>
      <c r="U1056" s="1204">
        <f t="shared" si="410"/>
        <v>3000000</v>
      </c>
      <c r="V1056" s="1204">
        <v>0</v>
      </c>
      <c r="W1056" s="1204">
        <v>50</v>
      </c>
      <c r="X1056" s="1204">
        <v>0</v>
      </c>
      <c r="Y1056" s="1204">
        <v>999</v>
      </c>
      <c r="Z1056" s="1206">
        <v>720</v>
      </c>
      <c r="AA1056" s="1206">
        <v>999</v>
      </c>
      <c r="AB1056" s="1206">
        <v>6</v>
      </c>
      <c r="AC1056" s="1206">
        <v>999999</v>
      </c>
      <c r="AD1056" s="1204">
        <v>0</v>
      </c>
      <c r="AE1056" s="1207">
        <v>75</v>
      </c>
      <c r="AF1056" s="170">
        <v>0</v>
      </c>
      <c r="AG1056" s="171">
        <v>1</v>
      </c>
      <c r="AH1056" s="171">
        <v>1</v>
      </c>
      <c r="AI1056" s="171">
        <v>1</v>
      </c>
      <c r="AJ1056" s="171">
        <v>0</v>
      </c>
      <c r="AK1056" s="171">
        <v>1</v>
      </c>
      <c r="AL1056" s="171">
        <v>1</v>
      </c>
      <c r="AM1056" s="171">
        <v>1</v>
      </c>
      <c r="AN1056" s="171">
        <v>1</v>
      </c>
      <c r="AO1056" s="171">
        <v>1</v>
      </c>
      <c r="AP1056" s="171">
        <v>1</v>
      </c>
      <c r="AQ1056" s="171">
        <v>1</v>
      </c>
      <c r="AR1056" s="171">
        <v>1</v>
      </c>
      <c r="AS1056" s="171">
        <v>1</v>
      </c>
      <c r="AT1056" s="171">
        <v>1</v>
      </c>
      <c r="AU1056" s="171">
        <f t="shared" si="404"/>
        <v>0</v>
      </c>
      <c r="AV1056" s="171">
        <f t="shared" si="405"/>
        <v>1</v>
      </c>
      <c r="AW1056" s="171">
        <f t="shared" si="406"/>
        <v>1</v>
      </c>
      <c r="AX1056" s="171">
        <f t="shared" si="401"/>
        <v>1</v>
      </c>
      <c r="AY1056" s="171">
        <f t="shared" si="407"/>
        <v>1</v>
      </c>
      <c r="AZ1056" s="171">
        <f t="shared" si="408"/>
        <v>1</v>
      </c>
      <c r="BA1056" s="172">
        <f t="shared" si="409"/>
        <v>1</v>
      </c>
      <c r="BB1056" s="175">
        <f t="shared" si="411"/>
        <v>19</v>
      </c>
      <c r="BC1056" s="176">
        <f t="shared" si="412"/>
        <v>18</v>
      </c>
      <c r="BD1056" s="176">
        <f t="shared" si="413"/>
        <v>19</v>
      </c>
      <c r="BE1056" s="240" t="str">
        <f t="shared" si="403"/>
        <v/>
      </c>
      <c r="BF1056" s="990"/>
      <c r="BG1056" s="990"/>
      <c r="BH1056" s="991">
        <f>IF(AND(Input_Product=Elig!$C1056,Elig_MatchAll_Ct&lt;22,$BC1056=(Elig_MatchAll_Ct-1),AF1056=0),C1056,0)</f>
        <v>0</v>
      </c>
      <c r="BI1056" s="991">
        <f>IF(AND(Input_Product=Elig!$C1056,Elig_MatchAll_Ct&lt;22,$BC1056=(Elig_MatchAll_Ct-1),AG1056=0),D1056,0)</f>
        <v>0</v>
      </c>
      <c r="BJ1056" s="991">
        <f>IF(AND(Input_Product=Elig!$C1056,Elig_MatchAll_Ct&lt;22,$BC1056=(Elig_MatchAll_Ct-1),AH1056=0),E1056,0)</f>
        <v>0</v>
      </c>
      <c r="BK1056" s="991">
        <f>IF(AND(Input_Product=Elig!$C1056,Elig_MatchAll_Ct&lt;22,$BC1056=(Elig_MatchAll_Ct-1),AI1056=0),F1056,0)</f>
        <v>0</v>
      </c>
      <c r="BL1056" s="991">
        <f>IF(AND(Input_Product=Elig!$C1056,Elig_MatchAll_Ct&lt;22,$BC1056=(Elig_MatchAll_Ct-1),AJ1056=0),G1056,0)</f>
        <v>0</v>
      </c>
      <c r="BM1056" s="991">
        <f>IF(AND(Input_Product=Elig!$C1056,Elig_MatchAll_Ct&lt;22,$BC1056=(Elig_MatchAll_Ct-1),AK1056=0),H1056,0)</f>
        <v>0</v>
      </c>
      <c r="BN1056" s="991">
        <f>IF(AND(Input_Product=Elig!$C1056,Elig_MatchAll_Ct&lt;22,$BC1056=(Elig_MatchAll_Ct-1),AL1056=0),I1056,0)</f>
        <v>0</v>
      </c>
      <c r="BO1056" s="991">
        <f>IF(AND(Input_Product=Elig!$C1056,Elig_MatchAll_Ct&lt;22,$BC1056=(Elig_MatchAll_Ct-1),AM1056=0),J1056,0)</f>
        <v>0</v>
      </c>
      <c r="BP1056" s="991">
        <f>IF(AND(Input_Product=Elig!$C1056,Elig_MatchAll_Ct&lt;22,$BC1056=(Elig_MatchAll_Ct-1),AN1056=0),K1056,0)</f>
        <v>0</v>
      </c>
      <c r="BQ1056" s="991">
        <f>IF(AND(Input_Product=Elig!$C1056,Elig_MatchAll_Ct&lt;22,$BC1056=(Elig_MatchAll_Ct-1),AP1056=0),L1056,0)</f>
        <v>0</v>
      </c>
      <c r="BR1056" s="991">
        <f>IF(AND(Input_Product=Elig!$C1056,Elig_MatchAll_Ct&lt;22,$BC1056=(Elig_MatchAll_Ct-1),AO1056=0),M1056,0)</f>
        <v>0</v>
      </c>
      <c r="BS1056" s="991">
        <f>IF(AND(Input_Product=Elig!$C1056,Elig_MatchAll_Ct&lt;22,$BC1056=(Elig_MatchAll_Ct-1),AQ1056=0),N1056,0)</f>
        <v>0</v>
      </c>
      <c r="BT1056" s="991">
        <f>IF(AND(Input_Product=Elig!$C1056,Elig_MatchAll_Ct&lt;22,$BC1056=(Elig_MatchAll_Ct-1),AR1056=0),O1056,0)</f>
        <v>0</v>
      </c>
      <c r="BU1056" s="991">
        <f>IF(AND(Input_Product=Elig!$C1056,Elig_MatchAll_Ct&lt;22,$BC1056=(Elig_MatchAll_Ct-1),AS1056=0),P1056,0)</f>
        <v>0</v>
      </c>
      <c r="BV1056" s="992">
        <f>IF(AND(Input_Product=Elig!$C1056,Elig_MatchAll_Ct&lt;22,$BC1056=(Elig_MatchAll_Ct-1),AT1056=0),Q1056,0)</f>
        <v>0</v>
      </c>
      <c r="BW1056" s="993">
        <f>IF(AND(Input_Product=Elig!$C1056,Elig_MatchAll_Ct&lt;22,$BC1056=(Elig_MatchAll_Ct-1),AU1056=0),R1056,0)</f>
        <v>0</v>
      </c>
      <c r="BX1056" s="994">
        <f>IF(AND(Input_Product=Elig!$C1056,Elig_MatchAll_Ct&lt;22,$BC1056=(Elig_MatchAll_Ct-1),AU1056=0),S1056,0)</f>
        <v>0</v>
      </c>
      <c r="BY1056" s="993">
        <f>IF(AND(Input_Product=Elig!$C1056,Elig_MatchAll_Ct&lt;22,$BC1056=(Elig_MatchAll_Ct-1),AV1056=0),T1056,0)</f>
        <v>0</v>
      </c>
      <c r="BZ1056" s="994">
        <f>IF(AND(Input_Product=Elig!$C1056,Elig_MatchAll_Ct&lt;22,$BC1056=(Elig_MatchAll_Ct-1),AV1056=0),U1056,0)</f>
        <v>0</v>
      </c>
      <c r="CA1056" s="993">
        <f>IF(AND(Input_Product=Elig!$C1056,Elig_MatchAll_Ct&lt;22,$BC1056=(Elig_MatchAll_Ct-1),AW1056=0),V1056,0)</f>
        <v>0</v>
      </c>
      <c r="CB1056" s="994">
        <f>IF(AND(Input_Product=Elig!$C1056,Elig_MatchAll_Ct&lt;22,$BC1056=(Elig_MatchAll_Ct-1),AW1056=0),W1056,0)</f>
        <v>0</v>
      </c>
      <c r="CC1056" s="993">
        <f>IF(AND(Input_Product=Elig!$C1056,Elig_MatchAll_Ct&lt;22,$BC1056=(Elig_MatchAll_Ct-1),AX1056=0),X1056,0)</f>
        <v>0</v>
      </c>
      <c r="CD1056" s="994">
        <f>IF(AND(Input_Product=Elig!$C1056,Elig_MatchAll_Ct&lt;22,$BC1056=(Elig_MatchAll_Ct-1),AX1056=0),Y1056,0)</f>
        <v>0</v>
      </c>
      <c r="CE1056" s="993">
        <f>IF(AND(Input_LTV&lt;=AE1056,Input_Product=Elig!$C1056,Elig_MatchAll_Ct&lt;22,$BC1056=(Elig_MatchAll_Ct-1),AY1056=0),Z1056,0)</f>
        <v>0</v>
      </c>
      <c r="CF1056" s="994">
        <f>IF(AND(Input_LTV&lt;=AE1056,Input_Product=Elig!$C1056,Elig_MatchAll_Ct&lt;22,$BC1056=(Elig_MatchAll_Ct-1),AY1056=0),AA1056,0)</f>
        <v>0</v>
      </c>
      <c r="CG1056" s="993">
        <f>IF(AND(Input_Product=Elig!$C1056,Elig_MatchAll_Ct&lt;22,$BC1056=(Elig_MatchAll_Ct-1),AZ1056=0),AB1056,0)</f>
        <v>0</v>
      </c>
      <c r="CH1056" s="994">
        <f>IF(AND(Input_Product=Elig!$C1056,Elig_MatchAll_Ct&lt;22,$BC1056=(Elig_MatchAll_Ct-1),AZ1056=0),AC1056,0)</f>
        <v>0</v>
      </c>
      <c r="CI1056" s="993">
        <f>IF(AND(Input_Product=Elig!$C1056,Elig_MatchAll_Ct&lt;22,$BC1056=(Elig_MatchAll_Ct-1),BA1056=0),AD1056,0)</f>
        <v>0</v>
      </c>
      <c r="CJ1056" s="994">
        <f>IF(AND(Input_Product=Elig!$C1056,Elig_MatchAll_Ct&lt;22,$BC1056=(Elig_MatchAll_Ct-1),BA1056=0),AE1056,0)</f>
        <v>0</v>
      </c>
    </row>
    <row r="1057" spans="2:88" ht="10.15" customHeight="1" x14ac:dyDescent="0.25">
      <c r="B1057" s="1916" t="s">
        <v>2695</v>
      </c>
      <c r="C1057" s="1208" t="str">
        <f t="shared" si="402"/>
        <v xml:space="preserve">  </v>
      </c>
      <c r="D1057" s="1209" t="s">
        <v>2218</v>
      </c>
      <c r="E1057" s="1209" t="s">
        <v>167</v>
      </c>
      <c r="F1057" s="1209" t="s">
        <v>331</v>
      </c>
      <c r="G1057" s="1210" t="s">
        <v>305</v>
      </c>
      <c r="H1057" s="1210" t="s">
        <v>136</v>
      </c>
      <c r="I1057" s="1209" t="s">
        <v>16</v>
      </c>
      <c r="J1057" s="1209" t="s">
        <v>1311</v>
      </c>
      <c r="K1057" s="1210" t="s">
        <v>3022</v>
      </c>
      <c r="L1057" s="1209" t="s">
        <v>2768</v>
      </c>
      <c r="M1057" s="1209" t="s">
        <v>2677</v>
      </c>
      <c r="N1057" s="1210" t="s">
        <v>82</v>
      </c>
      <c r="O1057" s="1209" t="s">
        <v>310</v>
      </c>
      <c r="P1057" s="1209" t="s">
        <v>291</v>
      </c>
      <c r="Q1057" s="1209" t="s">
        <v>294</v>
      </c>
      <c r="R1057" s="1209">
        <v>2500000.0099999998</v>
      </c>
      <c r="S1057" s="1209">
        <v>3000000</v>
      </c>
      <c r="T1057" s="1209">
        <v>0</v>
      </c>
      <c r="U1057" s="1209">
        <f t="shared" si="410"/>
        <v>3000000</v>
      </c>
      <c r="V1057" s="1209">
        <v>0</v>
      </c>
      <c r="W1057" s="1209">
        <v>50</v>
      </c>
      <c r="X1057" s="1209">
        <v>0</v>
      </c>
      <c r="Y1057" s="1209">
        <v>999</v>
      </c>
      <c r="Z1057" s="1211">
        <v>700</v>
      </c>
      <c r="AA1057" s="1211">
        <v>719</v>
      </c>
      <c r="AB1057" s="1211">
        <v>6</v>
      </c>
      <c r="AC1057" s="1211">
        <v>999999</v>
      </c>
      <c r="AD1057" s="1209">
        <v>0</v>
      </c>
      <c r="AE1057" s="1212">
        <v>75</v>
      </c>
      <c r="AF1057" s="170">
        <v>0</v>
      </c>
      <c r="AG1057" s="171">
        <v>1</v>
      </c>
      <c r="AH1057" s="171">
        <v>1</v>
      </c>
      <c r="AI1057" s="171">
        <v>1</v>
      </c>
      <c r="AJ1057" s="171">
        <v>0</v>
      </c>
      <c r="AK1057" s="171">
        <v>1</v>
      </c>
      <c r="AL1057" s="171">
        <v>1</v>
      </c>
      <c r="AM1057" s="171">
        <v>1</v>
      </c>
      <c r="AN1057" s="171">
        <v>1</v>
      </c>
      <c r="AO1057" s="171">
        <v>1</v>
      </c>
      <c r="AP1057" s="171">
        <v>1</v>
      </c>
      <c r="AQ1057" s="171">
        <v>1</v>
      </c>
      <c r="AR1057" s="171">
        <v>1</v>
      </c>
      <c r="AS1057" s="171">
        <v>1</v>
      </c>
      <c r="AT1057" s="171">
        <v>1</v>
      </c>
      <c r="AU1057" s="171">
        <f t="shared" si="404"/>
        <v>0</v>
      </c>
      <c r="AV1057" s="171">
        <f t="shared" si="405"/>
        <v>1</v>
      </c>
      <c r="AW1057" s="171">
        <f t="shared" si="406"/>
        <v>1</v>
      </c>
      <c r="AX1057" s="171">
        <f t="shared" si="401"/>
        <v>1</v>
      </c>
      <c r="AY1057" s="171">
        <f t="shared" si="407"/>
        <v>0</v>
      </c>
      <c r="AZ1057" s="171">
        <f t="shared" si="408"/>
        <v>1</v>
      </c>
      <c r="BA1057" s="172">
        <f t="shared" si="409"/>
        <v>1</v>
      </c>
      <c r="BB1057" s="175">
        <f t="shared" si="411"/>
        <v>18</v>
      </c>
      <c r="BC1057" s="176">
        <f t="shared" si="412"/>
        <v>17</v>
      </c>
      <c r="BD1057" s="176">
        <f t="shared" si="413"/>
        <v>18</v>
      </c>
      <c r="BE1057" s="240" t="str">
        <f t="shared" si="403"/>
        <v/>
      </c>
      <c r="BF1057" s="990"/>
      <c r="BG1057" s="990"/>
      <c r="BH1057" s="991">
        <f>IF(AND(Input_Product=Elig!$C1057,Elig_MatchAll_Ct&lt;22,$BC1057=(Elig_MatchAll_Ct-1),AF1057=0),C1057,0)</f>
        <v>0</v>
      </c>
      <c r="BI1057" s="991">
        <f>IF(AND(Input_Product=Elig!$C1057,Elig_MatchAll_Ct&lt;22,$BC1057=(Elig_MatchAll_Ct-1),AG1057=0),D1057,0)</f>
        <v>0</v>
      </c>
      <c r="BJ1057" s="991">
        <f>IF(AND(Input_Product=Elig!$C1057,Elig_MatchAll_Ct&lt;22,$BC1057=(Elig_MatchAll_Ct-1),AH1057=0),E1057,0)</f>
        <v>0</v>
      </c>
      <c r="BK1057" s="991">
        <f>IF(AND(Input_Product=Elig!$C1057,Elig_MatchAll_Ct&lt;22,$BC1057=(Elig_MatchAll_Ct-1),AI1057=0),F1057,0)</f>
        <v>0</v>
      </c>
      <c r="BL1057" s="991">
        <f>IF(AND(Input_Product=Elig!$C1057,Elig_MatchAll_Ct&lt;22,$BC1057=(Elig_MatchAll_Ct-1),AJ1057=0),G1057,0)</f>
        <v>0</v>
      </c>
      <c r="BM1057" s="991">
        <f>IF(AND(Input_Product=Elig!$C1057,Elig_MatchAll_Ct&lt;22,$BC1057=(Elig_MatchAll_Ct-1),AK1057=0),H1057,0)</f>
        <v>0</v>
      </c>
      <c r="BN1057" s="991">
        <f>IF(AND(Input_Product=Elig!$C1057,Elig_MatchAll_Ct&lt;22,$BC1057=(Elig_MatchAll_Ct-1),AL1057=0),I1057,0)</f>
        <v>0</v>
      </c>
      <c r="BO1057" s="991">
        <f>IF(AND(Input_Product=Elig!$C1057,Elig_MatchAll_Ct&lt;22,$BC1057=(Elig_MatchAll_Ct-1),AM1057=0),J1057,0)</f>
        <v>0</v>
      </c>
      <c r="BP1057" s="991">
        <f>IF(AND(Input_Product=Elig!$C1057,Elig_MatchAll_Ct&lt;22,$BC1057=(Elig_MatchAll_Ct-1),AN1057=0),K1057,0)</f>
        <v>0</v>
      </c>
      <c r="BQ1057" s="991">
        <f>IF(AND(Input_Product=Elig!$C1057,Elig_MatchAll_Ct&lt;22,$BC1057=(Elig_MatchAll_Ct-1),AP1057=0),L1057,0)</f>
        <v>0</v>
      </c>
      <c r="BR1057" s="991">
        <f>IF(AND(Input_Product=Elig!$C1057,Elig_MatchAll_Ct&lt;22,$BC1057=(Elig_MatchAll_Ct-1),AO1057=0),M1057,0)</f>
        <v>0</v>
      </c>
      <c r="BS1057" s="991">
        <f>IF(AND(Input_Product=Elig!$C1057,Elig_MatchAll_Ct&lt;22,$BC1057=(Elig_MatchAll_Ct-1),AQ1057=0),N1057,0)</f>
        <v>0</v>
      </c>
      <c r="BT1057" s="991">
        <f>IF(AND(Input_Product=Elig!$C1057,Elig_MatchAll_Ct&lt;22,$BC1057=(Elig_MatchAll_Ct-1),AR1057=0),O1057,0)</f>
        <v>0</v>
      </c>
      <c r="BU1057" s="991">
        <f>IF(AND(Input_Product=Elig!$C1057,Elig_MatchAll_Ct&lt;22,$BC1057=(Elig_MatchAll_Ct-1),AS1057=0),P1057,0)</f>
        <v>0</v>
      </c>
      <c r="BV1057" s="992">
        <f>IF(AND(Input_Product=Elig!$C1057,Elig_MatchAll_Ct&lt;22,$BC1057=(Elig_MatchAll_Ct-1),AT1057=0),Q1057,0)</f>
        <v>0</v>
      </c>
      <c r="BW1057" s="993">
        <f>IF(AND(Input_Product=Elig!$C1057,Elig_MatchAll_Ct&lt;22,$BC1057=(Elig_MatchAll_Ct-1),AU1057=0),R1057,0)</f>
        <v>0</v>
      </c>
      <c r="BX1057" s="994">
        <f>IF(AND(Input_Product=Elig!$C1057,Elig_MatchAll_Ct&lt;22,$BC1057=(Elig_MatchAll_Ct-1),AU1057=0),S1057,0)</f>
        <v>0</v>
      </c>
      <c r="BY1057" s="993">
        <f>IF(AND(Input_Product=Elig!$C1057,Elig_MatchAll_Ct&lt;22,$BC1057=(Elig_MatchAll_Ct-1),AV1057=0),T1057,0)</f>
        <v>0</v>
      </c>
      <c r="BZ1057" s="994">
        <f>IF(AND(Input_Product=Elig!$C1057,Elig_MatchAll_Ct&lt;22,$BC1057=(Elig_MatchAll_Ct-1),AV1057=0),U1057,0)</f>
        <v>0</v>
      </c>
      <c r="CA1057" s="993">
        <f>IF(AND(Input_Product=Elig!$C1057,Elig_MatchAll_Ct&lt;22,$BC1057=(Elig_MatchAll_Ct-1),AW1057=0),V1057,0)</f>
        <v>0</v>
      </c>
      <c r="CB1057" s="994">
        <f>IF(AND(Input_Product=Elig!$C1057,Elig_MatchAll_Ct&lt;22,$BC1057=(Elig_MatchAll_Ct-1),AW1057=0),W1057,0)</f>
        <v>0</v>
      </c>
      <c r="CC1057" s="993">
        <f>IF(AND(Input_Product=Elig!$C1057,Elig_MatchAll_Ct&lt;22,$BC1057=(Elig_MatchAll_Ct-1),AX1057=0),X1057,0)</f>
        <v>0</v>
      </c>
      <c r="CD1057" s="994">
        <f>IF(AND(Input_Product=Elig!$C1057,Elig_MatchAll_Ct&lt;22,$BC1057=(Elig_MatchAll_Ct-1),AX1057=0),Y1057,0)</f>
        <v>0</v>
      </c>
      <c r="CE1057" s="993">
        <f>IF(AND(Input_LTV&lt;=AE1057,Input_Product=Elig!$C1057,Elig_MatchAll_Ct&lt;22,$BC1057=(Elig_MatchAll_Ct-1),AY1057=0),Z1057,0)</f>
        <v>0</v>
      </c>
      <c r="CF1057" s="994">
        <f>IF(AND(Input_LTV&lt;=AE1057,Input_Product=Elig!$C1057,Elig_MatchAll_Ct&lt;22,$BC1057=(Elig_MatchAll_Ct-1),AY1057=0),AA1057,0)</f>
        <v>0</v>
      </c>
      <c r="CG1057" s="993">
        <f>IF(AND(Input_Product=Elig!$C1057,Elig_MatchAll_Ct&lt;22,$BC1057=(Elig_MatchAll_Ct-1),AZ1057=0),AB1057,0)</f>
        <v>0</v>
      </c>
      <c r="CH1057" s="994">
        <f>IF(AND(Input_Product=Elig!$C1057,Elig_MatchAll_Ct&lt;22,$BC1057=(Elig_MatchAll_Ct-1),AZ1057=0),AC1057,0)</f>
        <v>0</v>
      </c>
      <c r="CI1057" s="993">
        <f>IF(AND(Input_Product=Elig!$C1057,Elig_MatchAll_Ct&lt;22,$BC1057=(Elig_MatchAll_Ct-1),BA1057=0),AD1057,0)</f>
        <v>0</v>
      </c>
      <c r="CJ1057" s="994">
        <f>IF(AND(Input_Product=Elig!$C1057,Elig_MatchAll_Ct&lt;22,$BC1057=(Elig_MatchAll_Ct-1),BA1057=0),AE1057,0)</f>
        <v>0</v>
      </c>
    </row>
    <row r="1058" spans="2:88" ht="10.15" customHeight="1" x14ac:dyDescent="0.25">
      <c r="B1058" s="1916" t="s">
        <v>2696</v>
      </c>
      <c r="C1058" s="1213" t="str">
        <f t="shared" si="402"/>
        <v xml:space="preserve">  </v>
      </c>
      <c r="D1058" s="1214" t="s">
        <v>2218</v>
      </c>
      <c r="E1058" s="1214" t="s">
        <v>167</v>
      </c>
      <c r="F1058" s="1214" t="s">
        <v>331</v>
      </c>
      <c r="G1058" s="1215" t="s">
        <v>305</v>
      </c>
      <c r="H1058" s="1215" t="s">
        <v>136</v>
      </c>
      <c r="I1058" s="1214" t="s">
        <v>16</v>
      </c>
      <c r="J1058" s="1214" t="s">
        <v>1311</v>
      </c>
      <c r="K1058" s="1215" t="s">
        <v>3022</v>
      </c>
      <c r="L1058" s="1214" t="s">
        <v>2768</v>
      </c>
      <c r="M1058" s="1214" t="s">
        <v>2677</v>
      </c>
      <c r="N1058" s="1215" t="s">
        <v>82</v>
      </c>
      <c r="O1058" s="1214" t="s">
        <v>310</v>
      </c>
      <c r="P1058" s="1214" t="s">
        <v>291</v>
      </c>
      <c r="Q1058" s="1214" t="s">
        <v>294</v>
      </c>
      <c r="R1058" s="1214">
        <v>2500000.0099999998</v>
      </c>
      <c r="S1058" s="1214">
        <v>3000000</v>
      </c>
      <c r="T1058" s="1214">
        <v>0</v>
      </c>
      <c r="U1058" s="1214">
        <f t="shared" si="410"/>
        <v>3000000</v>
      </c>
      <c r="V1058" s="1214">
        <v>0</v>
      </c>
      <c r="W1058" s="1214">
        <v>50</v>
      </c>
      <c r="X1058" s="1214">
        <v>0</v>
      </c>
      <c r="Y1058" s="1214">
        <v>999</v>
      </c>
      <c r="Z1058" s="1216">
        <v>680</v>
      </c>
      <c r="AA1058" s="1216">
        <v>699</v>
      </c>
      <c r="AB1058" s="1216">
        <v>6</v>
      </c>
      <c r="AC1058" s="1216">
        <v>999999</v>
      </c>
      <c r="AD1058" s="1214">
        <v>0</v>
      </c>
      <c r="AE1058" s="1217">
        <v>75</v>
      </c>
      <c r="AF1058" s="170">
        <v>0</v>
      </c>
      <c r="AG1058" s="171">
        <v>1</v>
      </c>
      <c r="AH1058" s="171">
        <v>1</v>
      </c>
      <c r="AI1058" s="171">
        <v>1</v>
      </c>
      <c r="AJ1058" s="171">
        <v>0</v>
      </c>
      <c r="AK1058" s="171">
        <v>1</v>
      </c>
      <c r="AL1058" s="171">
        <v>1</v>
      </c>
      <c r="AM1058" s="171">
        <v>1</v>
      </c>
      <c r="AN1058" s="171">
        <v>1</v>
      </c>
      <c r="AO1058" s="171">
        <v>1</v>
      </c>
      <c r="AP1058" s="171">
        <v>1</v>
      </c>
      <c r="AQ1058" s="171">
        <v>1</v>
      </c>
      <c r="AR1058" s="171">
        <v>1</v>
      </c>
      <c r="AS1058" s="171">
        <v>1</v>
      </c>
      <c r="AT1058" s="171">
        <v>1</v>
      </c>
      <c r="AU1058" s="171">
        <f t="shared" si="404"/>
        <v>0</v>
      </c>
      <c r="AV1058" s="171">
        <f t="shared" si="405"/>
        <v>1</v>
      </c>
      <c r="AW1058" s="171">
        <f t="shared" si="406"/>
        <v>1</v>
      </c>
      <c r="AX1058" s="171">
        <f t="shared" si="401"/>
        <v>1</v>
      </c>
      <c r="AY1058" s="171">
        <f t="shared" si="407"/>
        <v>0</v>
      </c>
      <c r="AZ1058" s="171">
        <f t="shared" si="408"/>
        <v>1</v>
      </c>
      <c r="BA1058" s="172">
        <f t="shared" si="409"/>
        <v>1</v>
      </c>
      <c r="BB1058" s="175">
        <f t="shared" si="411"/>
        <v>18</v>
      </c>
      <c r="BC1058" s="176">
        <f t="shared" si="412"/>
        <v>17</v>
      </c>
      <c r="BD1058" s="176">
        <f t="shared" si="413"/>
        <v>18</v>
      </c>
      <c r="BE1058" s="240" t="str">
        <f t="shared" si="403"/>
        <v/>
      </c>
      <c r="BF1058" s="990"/>
      <c r="BG1058" s="990"/>
      <c r="BH1058" s="991">
        <f>IF(AND(Input_Product=Elig!$C1058,Elig_MatchAll_Ct&lt;22,$BC1058=(Elig_MatchAll_Ct-1),AF1058=0),C1058,0)</f>
        <v>0</v>
      </c>
      <c r="BI1058" s="991">
        <f>IF(AND(Input_Product=Elig!$C1058,Elig_MatchAll_Ct&lt;22,$BC1058=(Elig_MatchAll_Ct-1),AG1058=0),D1058,0)</f>
        <v>0</v>
      </c>
      <c r="BJ1058" s="991">
        <f>IF(AND(Input_Product=Elig!$C1058,Elig_MatchAll_Ct&lt;22,$BC1058=(Elig_MatchAll_Ct-1),AH1058=0),E1058,0)</f>
        <v>0</v>
      </c>
      <c r="BK1058" s="991">
        <f>IF(AND(Input_Product=Elig!$C1058,Elig_MatchAll_Ct&lt;22,$BC1058=(Elig_MatchAll_Ct-1),AI1058=0),F1058,0)</f>
        <v>0</v>
      </c>
      <c r="BL1058" s="991">
        <f>IF(AND(Input_Product=Elig!$C1058,Elig_MatchAll_Ct&lt;22,$BC1058=(Elig_MatchAll_Ct-1),AJ1058=0),G1058,0)</f>
        <v>0</v>
      </c>
      <c r="BM1058" s="991">
        <f>IF(AND(Input_Product=Elig!$C1058,Elig_MatchAll_Ct&lt;22,$BC1058=(Elig_MatchAll_Ct-1),AK1058=0),H1058,0)</f>
        <v>0</v>
      </c>
      <c r="BN1058" s="991">
        <f>IF(AND(Input_Product=Elig!$C1058,Elig_MatchAll_Ct&lt;22,$BC1058=(Elig_MatchAll_Ct-1),AL1058=0),I1058,0)</f>
        <v>0</v>
      </c>
      <c r="BO1058" s="991">
        <f>IF(AND(Input_Product=Elig!$C1058,Elig_MatchAll_Ct&lt;22,$BC1058=(Elig_MatchAll_Ct-1),AM1058=0),J1058,0)</f>
        <v>0</v>
      </c>
      <c r="BP1058" s="991">
        <f>IF(AND(Input_Product=Elig!$C1058,Elig_MatchAll_Ct&lt;22,$BC1058=(Elig_MatchAll_Ct-1),AN1058=0),K1058,0)</f>
        <v>0</v>
      </c>
      <c r="BQ1058" s="991">
        <f>IF(AND(Input_Product=Elig!$C1058,Elig_MatchAll_Ct&lt;22,$BC1058=(Elig_MatchAll_Ct-1),AP1058=0),L1058,0)</f>
        <v>0</v>
      </c>
      <c r="BR1058" s="991">
        <f>IF(AND(Input_Product=Elig!$C1058,Elig_MatchAll_Ct&lt;22,$BC1058=(Elig_MatchAll_Ct-1),AO1058=0),M1058,0)</f>
        <v>0</v>
      </c>
      <c r="BS1058" s="991">
        <f>IF(AND(Input_Product=Elig!$C1058,Elig_MatchAll_Ct&lt;22,$BC1058=(Elig_MatchAll_Ct-1),AQ1058=0),N1058,0)</f>
        <v>0</v>
      </c>
      <c r="BT1058" s="991">
        <f>IF(AND(Input_Product=Elig!$C1058,Elig_MatchAll_Ct&lt;22,$BC1058=(Elig_MatchAll_Ct-1),AR1058=0),O1058,0)</f>
        <v>0</v>
      </c>
      <c r="BU1058" s="991">
        <f>IF(AND(Input_Product=Elig!$C1058,Elig_MatchAll_Ct&lt;22,$BC1058=(Elig_MatchAll_Ct-1),AS1058=0),P1058,0)</f>
        <v>0</v>
      </c>
      <c r="BV1058" s="992">
        <f>IF(AND(Input_Product=Elig!$C1058,Elig_MatchAll_Ct&lt;22,$BC1058=(Elig_MatchAll_Ct-1),AT1058=0),Q1058,0)</f>
        <v>0</v>
      </c>
      <c r="BW1058" s="993">
        <f>IF(AND(Input_Product=Elig!$C1058,Elig_MatchAll_Ct&lt;22,$BC1058=(Elig_MatchAll_Ct-1),AU1058=0),R1058,0)</f>
        <v>0</v>
      </c>
      <c r="BX1058" s="994">
        <f>IF(AND(Input_Product=Elig!$C1058,Elig_MatchAll_Ct&lt;22,$BC1058=(Elig_MatchAll_Ct-1),AU1058=0),S1058,0)</f>
        <v>0</v>
      </c>
      <c r="BY1058" s="993">
        <f>IF(AND(Input_Product=Elig!$C1058,Elig_MatchAll_Ct&lt;22,$BC1058=(Elig_MatchAll_Ct-1),AV1058=0),T1058,0)</f>
        <v>0</v>
      </c>
      <c r="BZ1058" s="994">
        <f>IF(AND(Input_Product=Elig!$C1058,Elig_MatchAll_Ct&lt;22,$BC1058=(Elig_MatchAll_Ct-1),AV1058=0),U1058,0)</f>
        <v>0</v>
      </c>
      <c r="CA1058" s="993">
        <f>IF(AND(Input_Product=Elig!$C1058,Elig_MatchAll_Ct&lt;22,$BC1058=(Elig_MatchAll_Ct-1),AW1058=0),V1058,0)</f>
        <v>0</v>
      </c>
      <c r="CB1058" s="994">
        <f>IF(AND(Input_Product=Elig!$C1058,Elig_MatchAll_Ct&lt;22,$BC1058=(Elig_MatchAll_Ct-1),AW1058=0),W1058,0)</f>
        <v>0</v>
      </c>
      <c r="CC1058" s="993">
        <f>IF(AND(Input_Product=Elig!$C1058,Elig_MatchAll_Ct&lt;22,$BC1058=(Elig_MatchAll_Ct-1),AX1058=0),X1058,0)</f>
        <v>0</v>
      </c>
      <c r="CD1058" s="994">
        <f>IF(AND(Input_Product=Elig!$C1058,Elig_MatchAll_Ct&lt;22,$BC1058=(Elig_MatchAll_Ct-1),AX1058=0),Y1058,0)</f>
        <v>0</v>
      </c>
      <c r="CE1058" s="993">
        <f>IF(AND(Input_LTV&lt;=AE1058,Input_Product=Elig!$C1058,Elig_MatchAll_Ct&lt;22,$BC1058=(Elig_MatchAll_Ct-1),AY1058=0),Z1058,0)</f>
        <v>0</v>
      </c>
      <c r="CF1058" s="994">
        <f>IF(AND(Input_LTV&lt;=AE1058,Input_Product=Elig!$C1058,Elig_MatchAll_Ct&lt;22,$BC1058=(Elig_MatchAll_Ct-1),AY1058=0),AA1058,0)</f>
        <v>0</v>
      </c>
      <c r="CG1058" s="993">
        <f>IF(AND(Input_Product=Elig!$C1058,Elig_MatchAll_Ct&lt;22,$BC1058=(Elig_MatchAll_Ct-1),AZ1058=0),AB1058,0)</f>
        <v>0</v>
      </c>
      <c r="CH1058" s="994">
        <f>IF(AND(Input_Product=Elig!$C1058,Elig_MatchAll_Ct&lt;22,$BC1058=(Elig_MatchAll_Ct-1),AZ1058=0),AC1058,0)</f>
        <v>0</v>
      </c>
      <c r="CI1058" s="993">
        <f>IF(AND(Input_Product=Elig!$C1058,Elig_MatchAll_Ct&lt;22,$BC1058=(Elig_MatchAll_Ct-1),BA1058=0),AD1058,0)</f>
        <v>0</v>
      </c>
      <c r="CJ1058" s="994">
        <f>IF(AND(Input_Product=Elig!$C1058,Elig_MatchAll_Ct&lt;22,$BC1058=(Elig_MatchAll_Ct-1),BA1058=0),AE1058,0)</f>
        <v>0</v>
      </c>
    </row>
    <row r="1059" spans="2:88" ht="10.15" customHeight="1" x14ac:dyDescent="0.25">
      <c r="B1059" s="1916" t="s">
        <v>2697</v>
      </c>
      <c r="C1059" s="1203" t="str">
        <f t="shared" si="402"/>
        <v xml:space="preserve">  </v>
      </c>
      <c r="D1059" s="1204" t="s">
        <v>2218</v>
      </c>
      <c r="E1059" s="1204" t="s">
        <v>167</v>
      </c>
      <c r="F1059" s="1204" t="s">
        <v>331</v>
      </c>
      <c r="G1059" s="1205" t="s">
        <v>179</v>
      </c>
      <c r="H1059" s="1205" t="s">
        <v>136</v>
      </c>
      <c r="I1059" s="1204" t="s">
        <v>16</v>
      </c>
      <c r="J1059" s="1204" t="s">
        <v>1311</v>
      </c>
      <c r="K1059" s="1205" t="s">
        <v>3022</v>
      </c>
      <c r="L1059" s="1204" t="s">
        <v>2768</v>
      </c>
      <c r="M1059" s="1204" t="s">
        <v>2677</v>
      </c>
      <c r="N1059" s="1205" t="s">
        <v>82</v>
      </c>
      <c r="O1059" s="1204" t="s">
        <v>310</v>
      </c>
      <c r="P1059" s="1204" t="s">
        <v>291</v>
      </c>
      <c r="Q1059" s="1204" t="s">
        <v>294</v>
      </c>
      <c r="R1059" s="1204">
        <v>125000</v>
      </c>
      <c r="S1059" s="1204">
        <v>1000000</v>
      </c>
      <c r="T1059" s="1204">
        <v>0</v>
      </c>
      <c r="U1059" s="1204">
        <f t="shared" si="400"/>
        <v>1000000</v>
      </c>
      <c r="V1059" s="1204">
        <v>0</v>
      </c>
      <c r="W1059" s="1204">
        <v>50</v>
      </c>
      <c r="X1059" s="1204">
        <v>0</v>
      </c>
      <c r="Y1059" s="1204">
        <v>999</v>
      </c>
      <c r="Z1059" s="1206">
        <v>720</v>
      </c>
      <c r="AA1059" s="1206">
        <v>999</v>
      </c>
      <c r="AB1059" s="1206">
        <v>3</v>
      </c>
      <c r="AC1059" s="1206">
        <v>999999</v>
      </c>
      <c r="AD1059" s="1204">
        <v>0</v>
      </c>
      <c r="AE1059" s="1207">
        <v>80</v>
      </c>
      <c r="AF1059" s="170">
        <v>0</v>
      </c>
      <c r="AG1059" s="171">
        <v>1</v>
      </c>
      <c r="AH1059" s="171">
        <v>1</v>
      </c>
      <c r="AI1059" s="171">
        <v>1</v>
      </c>
      <c r="AJ1059" s="171">
        <v>0</v>
      </c>
      <c r="AK1059" s="171">
        <v>1</v>
      </c>
      <c r="AL1059" s="171">
        <v>1</v>
      </c>
      <c r="AM1059" s="171">
        <v>1</v>
      </c>
      <c r="AN1059" s="171">
        <v>1</v>
      </c>
      <c r="AO1059" s="171">
        <v>1</v>
      </c>
      <c r="AP1059" s="171">
        <v>1</v>
      </c>
      <c r="AQ1059" s="171">
        <v>1</v>
      </c>
      <c r="AR1059" s="171">
        <v>1</v>
      </c>
      <c r="AS1059" s="171">
        <v>1</v>
      </c>
      <c r="AT1059" s="171">
        <v>1</v>
      </c>
      <c r="AU1059" s="171">
        <f t="shared" si="404"/>
        <v>1</v>
      </c>
      <c r="AV1059" s="171">
        <f t="shared" si="405"/>
        <v>1</v>
      </c>
      <c r="AW1059" s="171">
        <f t="shared" si="406"/>
        <v>1</v>
      </c>
      <c r="AX1059" s="171">
        <f t="shared" si="401"/>
        <v>1</v>
      </c>
      <c r="AY1059" s="171">
        <f t="shared" si="407"/>
        <v>1</v>
      </c>
      <c r="AZ1059" s="171">
        <f t="shared" si="408"/>
        <v>1</v>
      </c>
      <c r="BA1059" s="172">
        <f t="shared" si="409"/>
        <v>1</v>
      </c>
      <c r="BB1059" s="175">
        <f t="shared" si="411"/>
        <v>20</v>
      </c>
      <c r="BC1059" s="176">
        <f t="shared" si="412"/>
        <v>19</v>
      </c>
      <c r="BD1059" s="176">
        <f t="shared" si="413"/>
        <v>20</v>
      </c>
      <c r="BE1059" s="240" t="str">
        <f t="shared" si="403"/>
        <v/>
      </c>
      <c r="BF1059" s="990"/>
      <c r="BG1059" s="990"/>
      <c r="BH1059" s="991">
        <f>IF(AND(Input_Product=Elig!$C1059,Elig_MatchAll_Ct&lt;22,$BC1059=(Elig_MatchAll_Ct-1),AF1059=0),C1059,0)</f>
        <v>0</v>
      </c>
      <c r="BI1059" s="991">
        <f>IF(AND(Input_Product=Elig!$C1059,Elig_MatchAll_Ct&lt;22,$BC1059=(Elig_MatchAll_Ct-1),AG1059=0),D1059,0)</f>
        <v>0</v>
      </c>
      <c r="BJ1059" s="991">
        <f>IF(AND(Input_Product=Elig!$C1059,Elig_MatchAll_Ct&lt;22,$BC1059=(Elig_MatchAll_Ct-1),AH1059=0),E1059,0)</f>
        <v>0</v>
      </c>
      <c r="BK1059" s="991">
        <f>IF(AND(Input_Product=Elig!$C1059,Elig_MatchAll_Ct&lt;22,$BC1059=(Elig_MatchAll_Ct-1),AI1059=0),F1059,0)</f>
        <v>0</v>
      </c>
      <c r="BL1059" s="991">
        <f>IF(AND(Input_Product=Elig!$C1059,Elig_MatchAll_Ct&lt;22,$BC1059=(Elig_MatchAll_Ct-1),AJ1059=0),G1059,0)</f>
        <v>0</v>
      </c>
      <c r="BM1059" s="991">
        <f>IF(AND(Input_Product=Elig!$C1059,Elig_MatchAll_Ct&lt;22,$BC1059=(Elig_MatchAll_Ct-1),AK1059=0),H1059,0)</f>
        <v>0</v>
      </c>
      <c r="BN1059" s="991">
        <f>IF(AND(Input_Product=Elig!$C1059,Elig_MatchAll_Ct&lt;22,$BC1059=(Elig_MatchAll_Ct-1),AL1059=0),I1059,0)</f>
        <v>0</v>
      </c>
      <c r="BO1059" s="991">
        <f>IF(AND(Input_Product=Elig!$C1059,Elig_MatchAll_Ct&lt;22,$BC1059=(Elig_MatchAll_Ct-1),AM1059=0),J1059,0)</f>
        <v>0</v>
      </c>
      <c r="BP1059" s="991">
        <f>IF(AND(Input_Product=Elig!$C1059,Elig_MatchAll_Ct&lt;22,$BC1059=(Elig_MatchAll_Ct-1),AN1059=0),K1059,0)</f>
        <v>0</v>
      </c>
      <c r="BQ1059" s="991">
        <f>IF(AND(Input_Product=Elig!$C1059,Elig_MatchAll_Ct&lt;22,$BC1059=(Elig_MatchAll_Ct-1),AP1059=0),L1059,0)</f>
        <v>0</v>
      </c>
      <c r="BR1059" s="991">
        <f>IF(AND(Input_Product=Elig!$C1059,Elig_MatchAll_Ct&lt;22,$BC1059=(Elig_MatchAll_Ct-1),AO1059=0),M1059,0)</f>
        <v>0</v>
      </c>
      <c r="BS1059" s="991">
        <f>IF(AND(Input_Product=Elig!$C1059,Elig_MatchAll_Ct&lt;22,$BC1059=(Elig_MatchAll_Ct-1),AQ1059=0),N1059,0)</f>
        <v>0</v>
      </c>
      <c r="BT1059" s="991">
        <f>IF(AND(Input_Product=Elig!$C1059,Elig_MatchAll_Ct&lt;22,$BC1059=(Elig_MatchAll_Ct-1),AR1059=0),O1059,0)</f>
        <v>0</v>
      </c>
      <c r="BU1059" s="991">
        <f>IF(AND(Input_Product=Elig!$C1059,Elig_MatchAll_Ct&lt;22,$BC1059=(Elig_MatchAll_Ct-1),AS1059=0),P1059,0)</f>
        <v>0</v>
      </c>
      <c r="BV1059" s="992">
        <f>IF(AND(Input_Product=Elig!$C1059,Elig_MatchAll_Ct&lt;22,$BC1059=(Elig_MatchAll_Ct-1),AT1059=0),Q1059,0)</f>
        <v>0</v>
      </c>
      <c r="BW1059" s="993">
        <f>IF(AND(Input_Product=Elig!$C1059,Elig_MatchAll_Ct&lt;22,$BC1059=(Elig_MatchAll_Ct-1),AU1059=0),R1059,0)</f>
        <v>0</v>
      </c>
      <c r="BX1059" s="994">
        <f>IF(AND(Input_Product=Elig!$C1059,Elig_MatchAll_Ct&lt;22,$BC1059=(Elig_MatchAll_Ct-1),AU1059=0),S1059,0)</f>
        <v>0</v>
      </c>
      <c r="BY1059" s="993">
        <f>IF(AND(Input_Product=Elig!$C1059,Elig_MatchAll_Ct&lt;22,$BC1059=(Elig_MatchAll_Ct-1),AV1059=0),T1059,0)</f>
        <v>0</v>
      </c>
      <c r="BZ1059" s="994">
        <f>IF(AND(Input_Product=Elig!$C1059,Elig_MatchAll_Ct&lt;22,$BC1059=(Elig_MatchAll_Ct-1),AV1059=0),U1059,0)</f>
        <v>0</v>
      </c>
      <c r="CA1059" s="993">
        <f>IF(AND(Input_Product=Elig!$C1059,Elig_MatchAll_Ct&lt;22,$BC1059=(Elig_MatchAll_Ct-1),AW1059=0),V1059,0)</f>
        <v>0</v>
      </c>
      <c r="CB1059" s="994">
        <f>IF(AND(Input_Product=Elig!$C1059,Elig_MatchAll_Ct&lt;22,$BC1059=(Elig_MatchAll_Ct-1),AW1059=0),W1059,0)</f>
        <v>0</v>
      </c>
      <c r="CC1059" s="993">
        <f>IF(AND(Input_Product=Elig!$C1059,Elig_MatchAll_Ct&lt;22,$BC1059=(Elig_MatchAll_Ct-1),AX1059=0),X1059,0)</f>
        <v>0</v>
      </c>
      <c r="CD1059" s="994">
        <f>IF(AND(Input_Product=Elig!$C1059,Elig_MatchAll_Ct&lt;22,$BC1059=(Elig_MatchAll_Ct-1),AX1059=0),Y1059,0)</f>
        <v>0</v>
      </c>
      <c r="CE1059" s="993">
        <f>IF(AND(Input_LTV&lt;=AE1059,Input_Product=Elig!$C1059,Elig_MatchAll_Ct&lt;22,$BC1059=(Elig_MatchAll_Ct-1),AY1059=0),Z1059,0)</f>
        <v>0</v>
      </c>
      <c r="CF1059" s="994">
        <f>IF(AND(Input_LTV&lt;=AE1059,Input_Product=Elig!$C1059,Elig_MatchAll_Ct&lt;22,$BC1059=(Elig_MatchAll_Ct-1),AY1059=0),AA1059,0)</f>
        <v>0</v>
      </c>
      <c r="CG1059" s="993">
        <f>IF(AND(Input_Product=Elig!$C1059,Elig_MatchAll_Ct&lt;22,$BC1059=(Elig_MatchAll_Ct-1),AZ1059=0),AB1059,0)</f>
        <v>0</v>
      </c>
      <c r="CH1059" s="994">
        <f>IF(AND(Input_Product=Elig!$C1059,Elig_MatchAll_Ct&lt;22,$BC1059=(Elig_MatchAll_Ct-1),AZ1059=0),AC1059,0)</f>
        <v>0</v>
      </c>
      <c r="CI1059" s="993">
        <f>IF(AND(Input_Product=Elig!$C1059,Elig_MatchAll_Ct&lt;22,$BC1059=(Elig_MatchAll_Ct-1),BA1059=0),AD1059,0)</f>
        <v>0</v>
      </c>
      <c r="CJ1059" s="994">
        <f>IF(AND(Input_Product=Elig!$C1059,Elig_MatchAll_Ct&lt;22,$BC1059=(Elig_MatchAll_Ct-1),BA1059=0),AE1059,0)</f>
        <v>0</v>
      </c>
    </row>
    <row r="1060" spans="2:88" ht="10.15" customHeight="1" x14ac:dyDescent="0.25">
      <c r="B1060" s="1916" t="s">
        <v>2698</v>
      </c>
      <c r="C1060" s="1208" t="str">
        <f t="shared" si="402"/>
        <v xml:space="preserve">  </v>
      </c>
      <c r="D1060" s="1209" t="s">
        <v>2218</v>
      </c>
      <c r="E1060" s="1209" t="s">
        <v>167</v>
      </c>
      <c r="F1060" s="1209" t="s">
        <v>331</v>
      </c>
      <c r="G1060" s="1210" t="s">
        <v>179</v>
      </c>
      <c r="H1060" s="1210" t="s">
        <v>136</v>
      </c>
      <c r="I1060" s="1209" t="s">
        <v>16</v>
      </c>
      <c r="J1060" s="1209" t="s">
        <v>1311</v>
      </c>
      <c r="K1060" s="1210" t="s">
        <v>3022</v>
      </c>
      <c r="L1060" s="1209" t="s">
        <v>2768</v>
      </c>
      <c r="M1060" s="1209" t="s">
        <v>2677</v>
      </c>
      <c r="N1060" s="1210" t="s">
        <v>82</v>
      </c>
      <c r="O1060" s="1209" t="s">
        <v>310</v>
      </c>
      <c r="P1060" s="1209" t="s">
        <v>291</v>
      </c>
      <c r="Q1060" s="1209" t="s">
        <v>294</v>
      </c>
      <c r="R1060" s="1209">
        <v>125000</v>
      </c>
      <c r="S1060" s="1209">
        <v>1000000</v>
      </c>
      <c r="T1060" s="1209">
        <v>0</v>
      </c>
      <c r="U1060" s="1209">
        <f t="shared" si="400"/>
        <v>1000000</v>
      </c>
      <c r="V1060" s="1209">
        <v>0</v>
      </c>
      <c r="W1060" s="1209">
        <v>50</v>
      </c>
      <c r="X1060" s="1209">
        <v>0</v>
      </c>
      <c r="Y1060" s="1209">
        <v>999</v>
      </c>
      <c r="Z1060" s="1211">
        <v>700</v>
      </c>
      <c r="AA1060" s="1211">
        <v>719</v>
      </c>
      <c r="AB1060" s="1211">
        <v>3</v>
      </c>
      <c r="AC1060" s="1211">
        <v>999999</v>
      </c>
      <c r="AD1060" s="1209">
        <v>0</v>
      </c>
      <c r="AE1060" s="1212">
        <v>80</v>
      </c>
      <c r="AF1060" s="170">
        <v>0</v>
      </c>
      <c r="AG1060" s="171">
        <v>1</v>
      </c>
      <c r="AH1060" s="171">
        <v>1</v>
      </c>
      <c r="AI1060" s="171">
        <v>1</v>
      </c>
      <c r="AJ1060" s="171">
        <v>0</v>
      </c>
      <c r="AK1060" s="171">
        <v>1</v>
      </c>
      <c r="AL1060" s="171">
        <v>1</v>
      </c>
      <c r="AM1060" s="171">
        <v>1</v>
      </c>
      <c r="AN1060" s="171">
        <v>1</v>
      </c>
      <c r="AO1060" s="171">
        <v>1</v>
      </c>
      <c r="AP1060" s="171">
        <v>1</v>
      </c>
      <c r="AQ1060" s="171">
        <v>1</v>
      </c>
      <c r="AR1060" s="171">
        <v>1</v>
      </c>
      <c r="AS1060" s="171">
        <v>1</v>
      </c>
      <c r="AT1060" s="171">
        <v>1</v>
      </c>
      <c r="AU1060" s="171">
        <f t="shared" si="404"/>
        <v>1</v>
      </c>
      <c r="AV1060" s="171">
        <f t="shared" si="405"/>
        <v>1</v>
      </c>
      <c r="AW1060" s="171">
        <f t="shared" si="406"/>
        <v>1</v>
      </c>
      <c r="AX1060" s="171">
        <f t="shared" si="401"/>
        <v>1</v>
      </c>
      <c r="AY1060" s="171">
        <f t="shared" si="407"/>
        <v>0</v>
      </c>
      <c r="AZ1060" s="171">
        <f t="shared" si="408"/>
        <v>1</v>
      </c>
      <c r="BA1060" s="172">
        <f t="shared" si="409"/>
        <v>1</v>
      </c>
      <c r="BB1060" s="175">
        <f t="shared" si="411"/>
        <v>19</v>
      </c>
      <c r="BC1060" s="176">
        <f t="shared" si="412"/>
        <v>18</v>
      </c>
      <c r="BD1060" s="176">
        <f t="shared" si="413"/>
        <v>19</v>
      </c>
      <c r="BE1060" s="240" t="str">
        <f t="shared" si="403"/>
        <v/>
      </c>
      <c r="BF1060" s="990"/>
      <c r="BG1060" s="990"/>
      <c r="BH1060" s="991">
        <f>IF(AND(Input_Product=Elig!$C1060,Elig_MatchAll_Ct&lt;22,$BC1060=(Elig_MatchAll_Ct-1),AF1060=0),C1060,0)</f>
        <v>0</v>
      </c>
      <c r="BI1060" s="991">
        <f>IF(AND(Input_Product=Elig!$C1060,Elig_MatchAll_Ct&lt;22,$BC1060=(Elig_MatchAll_Ct-1),AG1060=0),D1060,0)</f>
        <v>0</v>
      </c>
      <c r="BJ1060" s="991">
        <f>IF(AND(Input_Product=Elig!$C1060,Elig_MatchAll_Ct&lt;22,$BC1060=(Elig_MatchAll_Ct-1),AH1060=0),E1060,0)</f>
        <v>0</v>
      </c>
      <c r="BK1060" s="991">
        <f>IF(AND(Input_Product=Elig!$C1060,Elig_MatchAll_Ct&lt;22,$BC1060=(Elig_MatchAll_Ct-1),AI1060=0),F1060,0)</f>
        <v>0</v>
      </c>
      <c r="BL1060" s="991">
        <f>IF(AND(Input_Product=Elig!$C1060,Elig_MatchAll_Ct&lt;22,$BC1060=(Elig_MatchAll_Ct-1),AJ1060=0),G1060,0)</f>
        <v>0</v>
      </c>
      <c r="BM1060" s="991">
        <f>IF(AND(Input_Product=Elig!$C1060,Elig_MatchAll_Ct&lt;22,$BC1060=(Elig_MatchAll_Ct-1),AK1060=0),H1060,0)</f>
        <v>0</v>
      </c>
      <c r="BN1060" s="991">
        <f>IF(AND(Input_Product=Elig!$C1060,Elig_MatchAll_Ct&lt;22,$BC1060=(Elig_MatchAll_Ct-1),AL1060=0),I1060,0)</f>
        <v>0</v>
      </c>
      <c r="BO1060" s="991">
        <f>IF(AND(Input_Product=Elig!$C1060,Elig_MatchAll_Ct&lt;22,$BC1060=(Elig_MatchAll_Ct-1),AM1060=0),J1060,0)</f>
        <v>0</v>
      </c>
      <c r="BP1060" s="991">
        <f>IF(AND(Input_Product=Elig!$C1060,Elig_MatchAll_Ct&lt;22,$BC1060=(Elig_MatchAll_Ct-1),AN1060=0),K1060,0)</f>
        <v>0</v>
      </c>
      <c r="BQ1060" s="991">
        <f>IF(AND(Input_Product=Elig!$C1060,Elig_MatchAll_Ct&lt;22,$BC1060=(Elig_MatchAll_Ct-1),AP1060=0),L1060,0)</f>
        <v>0</v>
      </c>
      <c r="BR1060" s="991">
        <f>IF(AND(Input_Product=Elig!$C1060,Elig_MatchAll_Ct&lt;22,$BC1060=(Elig_MatchAll_Ct-1),AO1060=0),M1060,0)</f>
        <v>0</v>
      </c>
      <c r="BS1060" s="991">
        <f>IF(AND(Input_Product=Elig!$C1060,Elig_MatchAll_Ct&lt;22,$BC1060=(Elig_MatchAll_Ct-1),AQ1060=0),N1060,0)</f>
        <v>0</v>
      </c>
      <c r="BT1060" s="991">
        <f>IF(AND(Input_Product=Elig!$C1060,Elig_MatchAll_Ct&lt;22,$BC1060=(Elig_MatchAll_Ct-1),AR1060=0),O1060,0)</f>
        <v>0</v>
      </c>
      <c r="BU1060" s="991">
        <f>IF(AND(Input_Product=Elig!$C1060,Elig_MatchAll_Ct&lt;22,$BC1060=(Elig_MatchAll_Ct-1),AS1060=0),P1060,0)</f>
        <v>0</v>
      </c>
      <c r="BV1060" s="992">
        <f>IF(AND(Input_Product=Elig!$C1060,Elig_MatchAll_Ct&lt;22,$BC1060=(Elig_MatchAll_Ct-1),AT1060=0),Q1060,0)</f>
        <v>0</v>
      </c>
      <c r="BW1060" s="993">
        <f>IF(AND(Input_Product=Elig!$C1060,Elig_MatchAll_Ct&lt;22,$BC1060=(Elig_MatchAll_Ct-1),AU1060=0),R1060,0)</f>
        <v>0</v>
      </c>
      <c r="BX1060" s="994">
        <f>IF(AND(Input_Product=Elig!$C1060,Elig_MatchAll_Ct&lt;22,$BC1060=(Elig_MatchAll_Ct-1),AU1060=0),S1060,0)</f>
        <v>0</v>
      </c>
      <c r="BY1060" s="993">
        <f>IF(AND(Input_Product=Elig!$C1060,Elig_MatchAll_Ct&lt;22,$BC1060=(Elig_MatchAll_Ct-1),AV1060=0),T1060,0)</f>
        <v>0</v>
      </c>
      <c r="BZ1060" s="994">
        <f>IF(AND(Input_Product=Elig!$C1060,Elig_MatchAll_Ct&lt;22,$BC1060=(Elig_MatchAll_Ct-1),AV1060=0),U1060,0)</f>
        <v>0</v>
      </c>
      <c r="CA1060" s="993">
        <f>IF(AND(Input_Product=Elig!$C1060,Elig_MatchAll_Ct&lt;22,$BC1060=(Elig_MatchAll_Ct-1),AW1060=0),V1060,0)</f>
        <v>0</v>
      </c>
      <c r="CB1060" s="994">
        <f>IF(AND(Input_Product=Elig!$C1060,Elig_MatchAll_Ct&lt;22,$BC1060=(Elig_MatchAll_Ct-1),AW1060=0),W1060,0)</f>
        <v>0</v>
      </c>
      <c r="CC1060" s="993">
        <f>IF(AND(Input_Product=Elig!$C1060,Elig_MatchAll_Ct&lt;22,$BC1060=(Elig_MatchAll_Ct-1),AX1060=0),X1060,0)</f>
        <v>0</v>
      </c>
      <c r="CD1060" s="994">
        <f>IF(AND(Input_Product=Elig!$C1060,Elig_MatchAll_Ct&lt;22,$BC1060=(Elig_MatchAll_Ct-1),AX1060=0),Y1060,0)</f>
        <v>0</v>
      </c>
      <c r="CE1060" s="993">
        <f>IF(AND(Input_LTV&lt;=AE1060,Input_Product=Elig!$C1060,Elig_MatchAll_Ct&lt;22,$BC1060=(Elig_MatchAll_Ct-1),AY1060=0),Z1060,0)</f>
        <v>0</v>
      </c>
      <c r="CF1060" s="994">
        <f>IF(AND(Input_LTV&lt;=AE1060,Input_Product=Elig!$C1060,Elig_MatchAll_Ct&lt;22,$BC1060=(Elig_MatchAll_Ct-1),AY1060=0),AA1060,0)</f>
        <v>0</v>
      </c>
      <c r="CG1060" s="993">
        <f>IF(AND(Input_Product=Elig!$C1060,Elig_MatchAll_Ct&lt;22,$BC1060=(Elig_MatchAll_Ct-1),AZ1060=0),AB1060,0)</f>
        <v>0</v>
      </c>
      <c r="CH1060" s="994">
        <f>IF(AND(Input_Product=Elig!$C1060,Elig_MatchAll_Ct&lt;22,$BC1060=(Elig_MatchAll_Ct-1),AZ1060=0),AC1060,0)</f>
        <v>0</v>
      </c>
      <c r="CI1060" s="993">
        <f>IF(AND(Input_Product=Elig!$C1060,Elig_MatchAll_Ct&lt;22,$BC1060=(Elig_MatchAll_Ct-1),BA1060=0),AD1060,0)</f>
        <v>0</v>
      </c>
      <c r="CJ1060" s="994">
        <f>IF(AND(Input_Product=Elig!$C1060,Elig_MatchAll_Ct&lt;22,$BC1060=(Elig_MatchAll_Ct-1),BA1060=0),AE1060,0)</f>
        <v>0</v>
      </c>
    </row>
    <row r="1061" spans="2:88" ht="10.15" customHeight="1" x14ac:dyDescent="0.25">
      <c r="B1061" s="1916" t="s">
        <v>2699</v>
      </c>
      <c r="C1061" s="1208" t="str">
        <f t="shared" si="402"/>
        <v xml:space="preserve">  </v>
      </c>
      <c r="D1061" s="1209" t="s">
        <v>2218</v>
      </c>
      <c r="E1061" s="1209" t="s">
        <v>167</v>
      </c>
      <c r="F1061" s="1209" t="s">
        <v>331</v>
      </c>
      <c r="G1061" s="1210" t="s">
        <v>179</v>
      </c>
      <c r="H1061" s="1210" t="s">
        <v>136</v>
      </c>
      <c r="I1061" s="1209" t="s">
        <v>16</v>
      </c>
      <c r="J1061" s="1209" t="s">
        <v>1311</v>
      </c>
      <c r="K1061" s="1210" t="s">
        <v>3022</v>
      </c>
      <c r="L1061" s="1209" t="s">
        <v>2768</v>
      </c>
      <c r="M1061" s="1209" t="s">
        <v>2677</v>
      </c>
      <c r="N1061" s="1210" t="s">
        <v>82</v>
      </c>
      <c r="O1061" s="1209" t="s">
        <v>310</v>
      </c>
      <c r="P1061" s="1209" t="s">
        <v>291</v>
      </c>
      <c r="Q1061" s="1209" t="s">
        <v>294</v>
      </c>
      <c r="R1061" s="1209">
        <v>125000</v>
      </c>
      <c r="S1061" s="1209">
        <v>1000000</v>
      </c>
      <c r="T1061" s="1209">
        <v>0</v>
      </c>
      <c r="U1061" s="1209">
        <f t="shared" si="400"/>
        <v>1000000</v>
      </c>
      <c r="V1061" s="1209">
        <v>0</v>
      </c>
      <c r="W1061" s="1209">
        <v>50</v>
      </c>
      <c r="X1061" s="1209">
        <v>0</v>
      </c>
      <c r="Y1061" s="1209">
        <v>999</v>
      </c>
      <c r="Z1061" s="1211">
        <v>680</v>
      </c>
      <c r="AA1061" s="1211">
        <v>699</v>
      </c>
      <c r="AB1061" s="1211">
        <v>3</v>
      </c>
      <c r="AC1061" s="1211">
        <v>999999</v>
      </c>
      <c r="AD1061" s="1209">
        <v>0</v>
      </c>
      <c r="AE1061" s="1212">
        <v>75</v>
      </c>
      <c r="AF1061" s="170">
        <v>0</v>
      </c>
      <c r="AG1061" s="171">
        <v>1</v>
      </c>
      <c r="AH1061" s="171">
        <v>1</v>
      </c>
      <c r="AI1061" s="171">
        <v>1</v>
      </c>
      <c r="AJ1061" s="171">
        <v>0</v>
      </c>
      <c r="AK1061" s="171">
        <v>1</v>
      </c>
      <c r="AL1061" s="171">
        <v>1</v>
      </c>
      <c r="AM1061" s="171">
        <v>1</v>
      </c>
      <c r="AN1061" s="171">
        <v>1</v>
      </c>
      <c r="AO1061" s="171">
        <v>1</v>
      </c>
      <c r="AP1061" s="171">
        <v>1</v>
      </c>
      <c r="AQ1061" s="171">
        <v>1</v>
      </c>
      <c r="AR1061" s="171">
        <v>1</v>
      </c>
      <c r="AS1061" s="171">
        <v>1</v>
      </c>
      <c r="AT1061" s="171">
        <v>1</v>
      </c>
      <c r="AU1061" s="171">
        <f t="shared" si="404"/>
        <v>1</v>
      </c>
      <c r="AV1061" s="171">
        <f t="shared" si="405"/>
        <v>1</v>
      </c>
      <c r="AW1061" s="171">
        <f t="shared" si="406"/>
        <v>1</v>
      </c>
      <c r="AX1061" s="171">
        <f t="shared" ref="AX1061:AX1124" si="414">IF(AND(Input_DSCR&gt;=Elig_DSCR_Min,Input_DSCR&lt;=Elig_DSCR_Max),1,0)</f>
        <v>1</v>
      </c>
      <c r="AY1061" s="171">
        <f t="shared" si="407"/>
        <v>0</v>
      </c>
      <c r="AZ1061" s="171">
        <f t="shared" si="408"/>
        <v>1</v>
      </c>
      <c r="BA1061" s="172">
        <f t="shared" si="409"/>
        <v>1</v>
      </c>
      <c r="BB1061" s="175">
        <f t="shared" si="411"/>
        <v>19</v>
      </c>
      <c r="BC1061" s="176">
        <f t="shared" si="412"/>
        <v>18</v>
      </c>
      <c r="BD1061" s="176">
        <f t="shared" si="413"/>
        <v>19</v>
      </c>
      <c r="BE1061" s="240" t="str">
        <f t="shared" si="403"/>
        <v/>
      </c>
      <c r="BF1061" s="990"/>
      <c r="BG1061" s="990"/>
      <c r="BH1061" s="991">
        <f>IF(AND(Input_Product=Elig!$C1061,Elig_MatchAll_Ct&lt;22,$BC1061=(Elig_MatchAll_Ct-1),AF1061=0),C1061,0)</f>
        <v>0</v>
      </c>
      <c r="BI1061" s="991">
        <f>IF(AND(Input_Product=Elig!$C1061,Elig_MatchAll_Ct&lt;22,$BC1061=(Elig_MatchAll_Ct-1),AG1061=0),D1061,0)</f>
        <v>0</v>
      </c>
      <c r="BJ1061" s="991">
        <f>IF(AND(Input_Product=Elig!$C1061,Elig_MatchAll_Ct&lt;22,$BC1061=(Elig_MatchAll_Ct-1),AH1061=0),E1061,0)</f>
        <v>0</v>
      </c>
      <c r="BK1061" s="991">
        <f>IF(AND(Input_Product=Elig!$C1061,Elig_MatchAll_Ct&lt;22,$BC1061=(Elig_MatchAll_Ct-1),AI1061=0),F1061,0)</f>
        <v>0</v>
      </c>
      <c r="BL1061" s="991">
        <f>IF(AND(Input_Product=Elig!$C1061,Elig_MatchAll_Ct&lt;22,$BC1061=(Elig_MatchAll_Ct-1),AJ1061=0),G1061,0)</f>
        <v>0</v>
      </c>
      <c r="BM1061" s="991">
        <f>IF(AND(Input_Product=Elig!$C1061,Elig_MatchAll_Ct&lt;22,$BC1061=(Elig_MatchAll_Ct-1),AK1061=0),H1061,0)</f>
        <v>0</v>
      </c>
      <c r="BN1061" s="991">
        <f>IF(AND(Input_Product=Elig!$C1061,Elig_MatchAll_Ct&lt;22,$BC1061=(Elig_MatchAll_Ct-1),AL1061=0),I1061,0)</f>
        <v>0</v>
      </c>
      <c r="BO1061" s="991">
        <f>IF(AND(Input_Product=Elig!$C1061,Elig_MatchAll_Ct&lt;22,$BC1061=(Elig_MatchAll_Ct-1),AM1061=0),J1061,0)</f>
        <v>0</v>
      </c>
      <c r="BP1061" s="991">
        <f>IF(AND(Input_Product=Elig!$C1061,Elig_MatchAll_Ct&lt;22,$BC1061=(Elig_MatchAll_Ct-1),AN1061=0),K1061,0)</f>
        <v>0</v>
      </c>
      <c r="BQ1061" s="991">
        <f>IF(AND(Input_Product=Elig!$C1061,Elig_MatchAll_Ct&lt;22,$BC1061=(Elig_MatchAll_Ct-1),AP1061=0),L1061,0)</f>
        <v>0</v>
      </c>
      <c r="BR1061" s="991">
        <f>IF(AND(Input_Product=Elig!$C1061,Elig_MatchAll_Ct&lt;22,$BC1061=(Elig_MatchAll_Ct-1),AO1061=0),M1061,0)</f>
        <v>0</v>
      </c>
      <c r="BS1061" s="991">
        <f>IF(AND(Input_Product=Elig!$C1061,Elig_MatchAll_Ct&lt;22,$BC1061=(Elig_MatchAll_Ct-1),AQ1061=0),N1061,0)</f>
        <v>0</v>
      </c>
      <c r="BT1061" s="991">
        <f>IF(AND(Input_Product=Elig!$C1061,Elig_MatchAll_Ct&lt;22,$BC1061=(Elig_MatchAll_Ct-1),AR1061=0),O1061,0)</f>
        <v>0</v>
      </c>
      <c r="BU1061" s="991">
        <f>IF(AND(Input_Product=Elig!$C1061,Elig_MatchAll_Ct&lt;22,$BC1061=(Elig_MatchAll_Ct-1),AS1061=0),P1061,0)</f>
        <v>0</v>
      </c>
      <c r="BV1061" s="992">
        <f>IF(AND(Input_Product=Elig!$C1061,Elig_MatchAll_Ct&lt;22,$BC1061=(Elig_MatchAll_Ct-1),AT1061=0),Q1061,0)</f>
        <v>0</v>
      </c>
      <c r="BW1061" s="993">
        <f>IF(AND(Input_Product=Elig!$C1061,Elig_MatchAll_Ct&lt;22,$BC1061=(Elig_MatchAll_Ct-1),AU1061=0),R1061,0)</f>
        <v>0</v>
      </c>
      <c r="BX1061" s="994">
        <f>IF(AND(Input_Product=Elig!$C1061,Elig_MatchAll_Ct&lt;22,$BC1061=(Elig_MatchAll_Ct-1),AU1061=0),S1061,0)</f>
        <v>0</v>
      </c>
      <c r="BY1061" s="993">
        <f>IF(AND(Input_Product=Elig!$C1061,Elig_MatchAll_Ct&lt;22,$BC1061=(Elig_MatchAll_Ct-1),AV1061=0),T1061,0)</f>
        <v>0</v>
      </c>
      <c r="BZ1061" s="994">
        <f>IF(AND(Input_Product=Elig!$C1061,Elig_MatchAll_Ct&lt;22,$BC1061=(Elig_MatchAll_Ct-1),AV1061=0),U1061,0)</f>
        <v>0</v>
      </c>
      <c r="CA1061" s="993">
        <f>IF(AND(Input_Product=Elig!$C1061,Elig_MatchAll_Ct&lt;22,$BC1061=(Elig_MatchAll_Ct-1),AW1061=0),V1061,0)</f>
        <v>0</v>
      </c>
      <c r="CB1061" s="994">
        <f>IF(AND(Input_Product=Elig!$C1061,Elig_MatchAll_Ct&lt;22,$BC1061=(Elig_MatchAll_Ct-1),AW1061=0),W1061,0)</f>
        <v>0</v>
      </c>
      <c r="CC1061" s="993">
        <f>IF(AND(Input_Product=Elig!$C1061,Elig_MatchAll_Ct&lt;22,$BC1061=(Elig_MatchAll_Ct-1),AX1061=0),X1061,0)</f>
        <v>0</v>
      </c>
      <c r="CD1061" s="994">
        <f>IF(AND(Input_Product=Elig!$C1061,Elig_MatchAll_Ct&lt;22,$BC1061=(Elig_MatchAll_Ct-1),AX1061=0),Y1061,0)</f>
        <v>0</v>
      </c>
      <c r="CE1061" s="993">
        <f>IF(AND(Input_LTV&lt;=AE1061,Input_Product=Elig!$C1061,Elig_MatchAll_Ct&lt;22,$BC1061=(Elig_MatchAll_Ct-1),AY1061=0),Z1061,0)</f>
        <v>0</v>
      </c>
      <c r="CF1061" s="994">
        <f>IF(AND(Input_LTV&lt;=AE1061,Input_Product=Elig!$C1061,Elig_MatchAll_Ct&lt;22,$BC1061=(Elig_MatchAll_Ct-1),AY1061=0),AA1061,0)</f>
        <v>0</v>
      </c>
      <c r="CG1061" s="993">
        <f>IF(AND(Input_Product=Elig!$C1061,Elig_MatchAll_Ct&lt;22,$BC1061=(Elig_MatchAll_Ct-1),AZ1061=0),AB1061,0)</f>
        <v>0</v>
      </c>
      <c r="CH1061" s="994">
        <f>IF(AND(Input_Product=Elig!$C1061,Elig_MatchAll_Ct&lt;22,$BC1061=(Elig_MatchAll_Ct-1),AZ1061=0),AC1061,0)</f>
        <v>0</v>
      </c>
      <c r="CI1061" s="993">
        <f>IF(AND(Input_Product=Elig!$C1061,Elig_MatchAll_Ct&lt;22,$BC1061=(Elig_MatchAll_Ct-1),BA1061=0),AD1061,0)</f>
        <v>0</v>
      </c>
      <c r="CJ1061" s="994">
        <f>IF(AND(Input_Product=Elig!$C1061,Elig_MatchAll_Ct&lt;22,$BC1061=(Elig_MatchAll_Ct-1),BA1061=0),AE1061,0)</f>
        <v>0</v>
      </c>
    </row>
    <row r="1062" spans="2:88" ht="10.15" customHeight="1" x14ac:dyDescent="0.25">
      <c r="B1062" s="1916" t="s">
        <v>2700</v>
      </c>
      <c r="C1062" s="1213" t="str">
        <f t="shared" si="402"/>
        <v xml:space="preserve">  </v>
      </c>
      <c r="D1062" s="1214" t="s">
        <v>2218</v>
      </c>
      <c r="E1062" s="1214" t="s">
        <v>167</v>
      </c>
      <c r="F1062" s="1214" t="s">
        <v>331</v>
      </c>
      <c r="G1062" s="1215" t="s">
        <v>179</v>
      </c>
      <c r="H1062" s="1215" t="s">
        <v>136</v>
      </c>
      <c r="I1062" s="1214" t="s">
        <v>16</v>
      </c>
      <c r="J1062" s="1214" t="s">
        <v>1311</v>
      </c>
      <c r="K1062" s="1215" t="s">
        <v>3022</v>
      </c>
      <c r="L1062" s="1214" t="s">
        <v>2768</v>
      </c>
      <c r="M1062" s="1214" t="s">
        <v>2677</v>
      </c>
      <c r="N1062" s="1215" t="s">
        <v>82</v>
      </c>
      <c r="O1062" s="1214" t="s">
        <v>310</v>
      </c>
      <c r="P1062" s="1214" t="s">
        <v>291</v>
      </c>
      <c r="Q1062" s="1214" t="s">
        <v>294</v>
      </c>
      <c r="R1062" s="1214">
        <v>125000</v>
      </c>
      <c r="S1062" s="1214">
        <v>1000000</v>
      </c>
      <c r="T1062" s="1214">
        <v>0</v>
      </c>
      <c r="U1062" s="1214">
        <f t="shared" si="400"/>
        <v>1000000</v>
      </c>
      <c r="V1062" s="1214">
        <v>0</v>
      </c>
      <c r="W1062" s="1214">
        <v>50</v>
      </c>
      <c r="X1062" s="1214">
        <v>0</v>
      </c>
      <c r="Y1062" s="1214">
        <v>999</v>
      </c>
      <c r="Z1062" s="1216">
        <v>660</v>
      </c>
      <c r="AA1062" s="1216">
        <v>679</v>
      </c>
      <c r="AB1062" s="1216">
        <v>3</v>
      </c>
      <c r="AC1062" s="1216">
        <v>999999</v>
      </c>
      <c r="AD1062" s="1214">
        <v>0</v>
      </c>
      <c r="AE1062" s="1217">
        <v>70</v>
      </c>
      <c r="AF1062" s="170">
        <v>0</v>
      </c>
      <c r="AG1062" s="171">
        <v>1</v>
      </c>
      <c r="AH1062" s="171">
        <v>1</v>
      </c>
      <c r="AI1062" s="171">
        <v>1</v>
      </c>
      <c r="AJ1062" s="171">
        <v>0</v>
      </c>
      <c r="AK1062" s="171">
        <v>1</v>
      </c>
      <c r="AL1062" s="171">
        <v>1</v>
      </c>
      <c r="AM1062" s="171">
        <v>1</v>
      </c>
      <c r="AN1062" s="171">
        <v>1</v>
      </c>
      <c r="AO1062" s="171">
        <v>1</v>
      </c>
      <c r="AP1062" s="171">
        <v>1</v>
      </c>
      <c r="AQ1062" s="171">
        <v>1</v>
      </c>
      <c r="AR1062" s="171">
        <v>1</v>
      </c>
      <c r="AS1062" s="171">
        <v>1</v>
      </c>
      <c r="AT1062" s="171">
        <v>1</v>
      </c>
      <c r="AU1062" s="171">
        <f t="shared" si="404"/>
        <v>1</v>
      </c>
      <c r="AV1062" s="171">
        <f t="shared" si="405"/>
        <v>1</v>
      </c>
      <c r="AW1062" s="171">
        <f t="shared" si="406"/>
        <v>1</v>
      </c>
      <c r="AX1062" s="171">
        <f t="shared" si="414"/>
        <v>1</v>
      </c>
      <c r="AY1062" s="171">
        <f t="shared" si="407"/>
        <v>0</v>
      </c>
      <c r="AZ1062" s="171">
        <f t="shared" si="408"/>
        <v>1</v>
      </c>
      <c r="BA1062" s="172">
        <f t="shared" si="409"/>
        <v>1</v>
      </c>
      <c r="BB1062" s="175">
        <f t="shared" si="411"/>
        <v>19</v>
      </c>
      <c r="BC1062" s="176">
        <f t="shared" si="412"/>
        <v>18</v>
      </c>
      <c r="BD1062" s="176">
        <f t="shared" si="413"/>
        <v>19</v>
      </c>
      <c r="BE1062" s="240" t="str">
        <f t="shared" si="403"/>
        <v/>
      </c>
      <c r="BF1062" s="990"/>
      <c r="BG1062" s="990"/>
      <c r="BH1062" s="991">
        <f>IF(AND(Input_Product=Elig!$C1062,Elig_MatchAll_Ct&lt;22,$BC1062=(Elig_MatchAll_Ct-1),AF1062=0),C1062,0)</f>
        <v>0</v>
      </c>
      <c r="BI1062" s="991">
        <f>IF(AND(Input_Product=Elig!$C1062,Elig_MatchAll_Ct&lt;22,$BC1062=(Elig_MatchAll_Ct-1),AG1062=0),D1062,0)</f>
        <v>0</v>
      </c>
      <c r="BJ1062" s="991">
        <f>IF(AND(Input_Product=Elig!$C1062,Elig_MatchAll_Ct&lt;22,$BC1062=(Elig_MatchAll_Ct-1),AH1062=0),E1062,0)</f>
        <v>0</v>
      </c>
      <c r="BK1062" s="991">
        <f>IF(AND(Input_Product=Elig!$C1062,Elig_MatchAll_Ct&lt;22,$BC1062=(Elig_MatchAll_Ct-1),AI1062=0),F1062,0)</f>
        <v>0</v>
      </c>
      <c r="BL1062" s="991">
        <f>IF(AND(Input_Product=Elig!$C1062,Elig_MatchAll_Ct&lt;22,$BC1062=(Elig_MatchAll_Ct-1),AJ1062=0),G1062,0)</f>
        <v>0</v>
      </c>
      <c r="BM1062" s="991">
        <f>IF(AND(Input_Product=Elig!$C1062,Elig_MatchAll_Ct&lt;22,$BC1062=(Elig_MatchAll_Ct-1),AK1062=0),H1062,0)</f>
        <v>0</v>
      </c>
      <c r="BN1062" s="991">
        <f>IF(AND(Input_Product=Elig!$C1062,Elig_MatchAll_Ct&lt;22,$BC1062=(Elig_MatchAll_Ct-1),AL1062=0),I1062,0)</f>
        <v>0</v>
      </c>
      <c r="BO1062" s="991">
        <f>IF(AND(Input_Product=Elig!$C1062,Elig_MatchAll_Ct&lt;22,$BC1062=(Elig_MatchAll_Ct-1),AM1062=0),J1062,0)</f>
        <v>0</v>
      </c>
      <c r="BP1062" s="991">
        <f>IF(AND(Input_Product=Elig!$C1062,Elig_MatchAll_Ct&lt;22,$BC1062=(Elig_MatchAll_Ct-1),AN1062=0),K1062,0)</f>
        <v>0</v>
      </c>
      <c r="BQ1062" s="991">
        <f>IF(AND(Input_Product=Elig!$C1062,Elig_MatchAll_Ct&lt;22,$BC1062=(Elig_MatchAll_Ct-1),AP1062=0),L1062,0)</f>
        <v>0</v>
      </c>
      <c r="BR1062" s="991">
        <f>IF(AND(Input_Product=Elig!$C1062,Elig_MatchAll_Ct&lt;22,$BC1062=(Elig_MatchAll_Ct-1),AO1062=0),M1062,0)</f>
        <v>0</v>
      </c>
      <c r="BS1062" s="991">
        <f>IF(AND(Input_Product=Elig!$C1062,Elig_MatchAll_Ct&lt;22,$BC1062=(Elig_MatchAll_Ct-1),AQ1062=0),N1062,0)</f>
        <v>0</v>
      </c>
      <c r="BT1062" s="991">
        <f>IF(AND(Input_Product=Elig!$C1062,Elig_MatchAll_Ct&lt;22,$BC1062=(Elig_MatchAll_Ct-1),AR1062=0),O1062,0)</f>
        <v>0</v>
      </c>
      <c r="BU1062" s="991">
        <f>IF(AND(Input_Product=Elig!$C1062,Elig_MatchAll_Ct&lt;22,$BC1062=(Elig_MatchAll_Ct-1),AS1062=0),P1062,0)</f>
        <v>0</v>
      </c>
      <c r="BV1062" s="992">
        <f>IF(AND(Input_Product=Elig!$C1062,Elig_MatchAll_Ct&lt;22,$BC1062=(Elig_MatchAll_Ct-1),AT1062=0),Q1062,0)</f>
        <v>0</v>
      </c>
      <c r="BW1062" s="993">
        <f>IF(AND(Input_Product=Elig!$C1062,Elig_MatchAll_Ct&lt;22,$BC1062=(Elig_MatchAll_Ct-1),AU1062=0),R1062,0)</f>
        <v>0</v>
      </c>
      <c r="BX1062" s="994">
        <f>IF(AND(Input_Product=Elig!$C1062,Elig_MatchAll_Ct&lt;22,$BC1062=(Elig_MatchAll_Ct-1),AU1062=0),S1062,0)</f>
        <v>0</v>
      </c>
      <c r="BY1062" s="993">
        <f>IF(AND(Input_Product=Elig!$C1062,Elig_MatchAll_Ct&lt;22,$BC1062=(Elig_MatchAll_Ct-1),AV1062=0),T1062,0)</f>
        <v>0</v>
      </c>
      <c r="BZ1062" s="994">
        <f>IF(AND(Input_Product=Elig!$C1062,Elig_MatchAll_Ct&lt;22,$BC1062=(Elig_MatchAll_Ct-1),AV1062=0),U1062,0)</f>
        <v>0</v>
      </c>
      <c r="CA1062" s="993">
        <f>IF(AND(Input_Product=Elig!$C1062,Elig_MatchAll_Ct&lt;22,$BC1062=(Elig_MatchAll_Ct-1),AW1062=0),V1062,0)</f>
        <v>0</v>
      </c>
      <c r="CB1062" s="994">
        <f>IF(AND(Input_Product=Elig!$C1062,Elig_MatchAll_Ct&lt;22,$BC1062=(Elig_MatchAll_Ct-1),AW1062=0),W1062,0)</f>
        <v>0</v>
      </c>
      <c r="CC1062" s="993">
        <f>IF(AND(Input_Product=Elig!$C1062,Elig_MatchAll_Ct&lt;22,$BC1062=(Elig_MatchAll_Ct-1),AX1062=0),X1062,0)</f>
        <v>0</v>
      </c>
      <c r="CD1062" s="994">
        <f>IF(AND(Input_Product=Elig!$C1062,Elig_MatchAll_Ct&lt;22,$BC1062=(Elig_MatchAll_Ct-1),AX1062=0),Y1062,0)</f>
        <v>0</v>
      </c>
      <c r="CE1062" s="993">
        <f>IF(AND(Input_LTV&lt;=AE1062,Input_Product=Elig!$C1062,Elig_MatchAll_Ct&lt;22,$BC1062=(Elig_MatchAll_Ct-1),AY1062=0),Z1062,0)</f>
        <v>0</v>
      </c>
      <c r="CF1062" s="994">
        <f>IF(AND(Input_LTV&lt;=AE1062,Input_Product=Elig!$C1062,Elig_MatchAll_Ct&lt;22,$BC1062=(Elig_MatchAll_Ct-1),AY1062=0),AA1062,0)</f>
        <v>0</v>
      </c>
      <c r="CG1062" s="993">
        <f>IF(AND(Input_Product=Elig!$C1062,Elig_MatchAll_Ct&lt;22,$BC1062=(Elig_MatchAll_Ct-1),AZ1062=0),AB1062,0)</f>
        <v>0</v>
      </c>
      <c r="CH1062" s="994">
        <f>IF(AND(Input_Product=Elig!$C1062,Elig_MatchAll_Ct&lt;22,$BC1062=(Elig_MatchAll_Ct-1),AZ1062=0),AC1062,0)</f>
        <v>0</v>
      </c>
      <c r="CI1062" s="993">
        <f>IF(AND(Input_Product=Elig!$C1062,Elig_MatchAll_Ct&lt;22,$BC1062=(Elig_MatchAll_Ct-1),BA1062=0),AD1062,0)</f>
        <v>0</v>
      </c>
      <c r="CJ1062" s="994">
        <f>IF(AND(Input_Product=Elig!$C1062,Elig_MatchAll_Ct&lt;22,$BC1062=(Elig_MatchAll_Ct-1),BA1062=0),AE1062,0)</f>
        <v>0</v>
      </c>
    </row>
    <row r="1063" spans="2:88" ht="10.15" customHeight="1" x14ac:dyDescent="0.25">
      <c r="B1063" s="1916" t="s">
        <v>2701</v>
      </c>
      <c r="C1063" s="1203" t="str">
        <f t="shared" si="402"/>
        <v xml:space="preserve">  </v>
      </c>
      <c r="D1063" s="1204" t="s">
        <v>2218</v>
      </c>
      <c r="E1063" s="1204" t="s">
        <v>167</v>
      </c>
      <c r="F1063" s="1204" t="s">
        <v>331</v>
      </c>
      <c r="G1063" s="1205" t="s">
        <v>179</v>
      </c>
      <c r="H1063" s="1205" t="s">
        <v>136</v>
      </c>
      <c r="I1063" s="1204" t="s">
        <v>16</v>
      </c>
      <c r="J1063" s="1204" t="s">
        <v>1311</v>
      </c>
      <c r="K1063" s="1205" t="s">
        <v>3022</v>
      </c>
      <c r="L1063" s="1204" t="s">
        <v>2768</v>
      </c>
      <c r="M1063" s="1204" t="s">
        <v>2677</v>
      </c>
      <c r="N1063" s="1205" t="s">
        <v>82</v>
      </c>
      <c r="O1063" s="1204" t="s">
        <v>310</v>
      </c>
      <c r="P1063" s="1204" t="s">
        <v>291</v>
      </c>
      <c r="Q1063" s="1204" t="s">
        <v>294</v>
      </c>
      <c r="R1063" s="1204">
        <v>1000000.01</v>
      </c>
      <c r="S1063" s="1204">
        <v>1500000</v>
      </c>
      <c r="T1063" s="1204">
        <v>0</v>
      </c>
      <c r="U1063" s="1204">
        <f t="shared" si="400"/>
        <v>1500000</v>
      </c>
      <c r="V1063" s="1204">
        <v>0</v>
      </c>
      <c r="W1063" s="1204">
        <v>50</v>
      </c>
      <c r="X1063" s="1204">
        <v>0</v>
      </c>
      <c r="Y1063" s="1204">
        <v>999</v>
      </c>
      <c r="Z1063" s="1206">
        <v>720</v>
      </c>
      <c r="AA1063" s="1206">
        <v>999</v>
      </c>
      <c r="AB1063" s="1206">
        <v>6</v>
      </c>
      <c r="AC1063" s="1206">
        <v>999999</v>
      </c>
      <c r="AD1063" s="1204">
        <v>0</v>
      </c>
      <c r="AE1063" s="1207">
        <v>80</v>
      </c>
      <c r="AF1063" s="170">
        <v>0</v>
      </c>
      <c r="AG1063" s="171">
        <v>1</v>
      </c>
      <c r="AH1063" s="171">
        <v>1</v>
      </c>
      <c r="AI1063" s="171">
        <v>1</v>
      </c>
      <c r="AJ1063" s="171">
        <v>0</v>
      </c>
      <c r="AK1063" s="171">
        <v>1</v>
      </c>
      <c r="AL1063" s="171">
        <v>1</v>
      </c>
      <c r="AM1063" s="171">
        <v>1</v>
      </c>
      <c r="AN1063" s="171">
        <v>1</v>
      </c>
      <c r="AO1063" s="171">
        <v>1</v>
      </c>
      <c r="AP1063" s="171">
        <v>1</v>
      </c>
      <c r="AQ1063" s="171">
        <v>1</v>
      </c>
      <c r="AR1063" s="171">
        <v>1</v>
      </c>
      <c r="AS1063" s="171">
        <v>1</v>
      </c>
      <c r="AT1063" s="171">
        <v>1</v>
      </c>
      <c r="AU1063" s="171">
        <f t="shared" si="404"/>
        <v>0</v>
      </c>
      <c r="AV1063" s="171">
        <f t="shared" si="405"/>
        <v>1</v>
      </c>
      <c r="AW1063" s="171">
        <f t="shared" si="406"/>
        <v>1</v>
      </c>
      <c r="AX1063" s="171">
        <f t="shared" si="414"/>
        <v>1</v>
      </c>
      <c r="AY1063" s="171">
        <f t="shared" si="407"/>
        <v>1</v>
      </c>
      <c r="AZ1063" s="171">
        <f t="shared" si="408"/>
        <v>1</v>
      </c>
      <c r="BA1063" s="172">
        <f t="shared" si="409"/>
        <v>1</v>
      </c>
      <c r="BB1063" s="175">
        <f t="shared" si="411"/>
        <v>19</v>
      </c>
      <c r="BC1063" s="176">
        <f t="shared" si="412"/>
        <v>18</v>
      </c>
      <c r="BD1063" s="176">
        <f t="shared" si="413"/>
        <v>19</v>
      </c>
      <c r="BE1063" s="240" t="str">
        <f t="shared" si="403"/>
        <v/>
      </c>
      <c r="BF1063" s="990"/>
      <c r="BG1063" s="990"/>
      <c r="BH1063" s="991">
        <f>IF(AND(Input_Product=Elig!$C1063,Elig_MatchAll_Ct&lt;22,$BC1063=(Elig_MatchAll_Ct-1),AF1063=0),C1063,0)</f>
        <v>0</v>
      </c>
      <c r="BI1063" s="991">
        <f>IF(AND(Input_Product=Elig!$C1063,Elig_MatchAll_Ct&lt;22,$BC1063=(Elig_MatchAll_Ct-1),AG1063=0),D1063,0)</f>
        <v>0</v>
      </c>
      <c r="BJ1063" s="991">
        <f>IF(AND(Input_Product=Elig!$C1063,Elig_MatchAll_Ct&lt;22,$BC1063=(Elig_MatchAll_Ct-1),AH1063=0),E1063,0)</f>
        <v>0</v>
      </c>
      <c r="BK1063" s="991">
        <f>IF(AND(Input_Product=Elig!$C1063,Elig_MatchAll_Ct&lt;22,$BC1063=(Elig_MatchAll_Ct-1),AI1063=0),F1063,0)</f>
        <v>0</v>
      </c>
      <c r="BL1063" s="991">
        <f>IF(AND(Input_Product=Elig!$C1063,Elig_MatchAll_Ct&lt;22,$BC1063=(Elig_MatchAll_Ct-1),AJ1063=0),G1063,0)</f>
        <v>0</v>
      </c>
      <c r="BM1063" s="991">
        <f>IF(AND(Input_Product=Elig!$C1063,Elig_MatchAll_Ct&lt;22,$BC1063=(Elig_MatchAll_Ct-1),AK1063=0),H1063,0)</f>
        <v>0</v>
      </c>
      <c r="BN1063" s="991">
        <f>IF(AND(Input_Product=Elig!$C1063,Elig_MatchAll_Ct&lt;22,$BC1063=(Elig_MatchAll_Ct-1),AL1063=0),I1063,0)</f>
        <v>0</v>
      </c>
      <c r="BO1063" s="991">
        <f>IF(AND(Input_Product=Elig!$C1063,Elig_MatchAll_Ct&lt;22,$BC1063=(Elig_MatchAll_Ct-1),AM1063=0),J1063,0)</f>
        <v>0</v>
      </c>
      <c r="BP1063" s="991">
        <f>IF(AND(Input_Product=Elig!$C1063,Elig_MatchAll_Ct&lt;22,$BC1063=(Elig_MatchAll_Ct-1),AN1063=0),K1063,0)</f>
        <v>0</v>
      </c>
      <c r="BQ1063" s="991">
        <f>IF(AND(Input_Product=Elig!$C1063,Elig_MatchAll_Ct&lt;22,$BC1063=(Elig_MatchAll_Ct-1),AP1063=0),L1063,0)</f>
        <v>0</v>
      </c>
      <c r="BR1063" s="991">
        <f>IF(AND(Input_Product=Elig!$C1063,Elig_MatchAll_Ct&lt;22,$BC1063=(Elig_MatchAll_Ct-1),AO1063=0),M1063,0)</f>
        <v>0</v>
      </c>
      <c r="BS1063" s="991">
        <f>IF(AND(Input_Product=Elig!$C1063,Elig_MatchAll_Ct&lt;22,$BC1063=(Elig_MatchAll_Ct-1),AQ1063=0),N1063,0)</f>
        <v>0</v>
      </c>
      <c r="BT1063" s="991">
        <f>IF(AND(Input_Product=Elig!$C1063,Elig_MatchAll_Ct&lt;22,$BC1063=(Elig_MatchAll_Ct-1),AR1063=0),O1063,0)</f>
        <v>0</v>
      </c>
      <c r="BU1063" s="991">
        <f>IF(AND(Input_Product=Elig!$C1063,Elig_MatchAll_Ct&lt;22,$BC1063=(Elig_MatchAll_Ct-1),AS1063=0),P1063,0)</f>
        <v>0</v>
      </c>
      <c r="BV1063" s="992">
        <f>IF(AND(Input_Product=Elig!$C1063,Elig_MatchAll_Ct&lt;22,$BC1063=(Elig_MatchAll_Ct-1),AT1063=0),Q1063,0)</f>
        <v>0</v>
      </c>
      <c r="BW1063" s="993">
        <f>IF(AND(Input_Product=Elig!$C1063,Elig_MatchAll_Ct&lt;22,$BC1063=(Elig_MatchAll_Ct-1),AU1063=0),R1063,0)</f>
        <v>0</v>
      </c>
      <c r="BX1063" s="994">
        <f>IF(AND(Input_Product=Elig!$C1063,Elig_MatchAll_Ct&lt;22,$BC1063=(Elig_MatchAll_Ct-1),AU1063=0),S1063,0)</f>
        <v>0</v>
      </c>
      <c r="BY1063" s="993">
        <f>IF(AND(Input_Product=Elig!$C1063,Elig_MatchAll_Ct&lt;22,$BC1063=(Elig_MatchAll_Ct-1),AV1063=0),T1063,0)</f>
        <v>0</v>
      </c>
      <c r="BZ1063" s="994">
        <f>IF(AND(Input_Product=Elig!$C1063,Elig_MatchAll_Ct&lt;22,$BC1063=(Elig_MatchAll_Ct-1),AV1063=0),U1063,0)</f>
        <v>0</v>
      </c>
      <c r="CA1063" s="993">
        <f>IF(AND(Input_Product=Elig!$C1063,Elig_MatchAll_Ct&lt;22,$BC1063=(Elig_MatchAll_Ct-1),AW1063=0),V1063,0)</f>
        <v>0</v>
      </c>
      <c r="CB1063" s="994">
        <f>IF(AND(Input_Product=Elig!$C1063,Elig_MatchAll_Ct&lt;22,$BC1063=(Elig_MatchAll_Ct-1),AW1063=0),W1063,0)</f>
        <v>0</v>
      </c>
      <c r="CC1063" s="993">
        <f>IF(AND(Input_Product=Elig!$C1063,Elig_MatchAll_Ct&lt;22,$BC1063=(Elig_MatchAll_Ct-1),AX1063=0),X1063,0)</f>
        <v>0</v>
      </c>
      <c r="CD1063" s="994">
        <f>IF(AND(Input_Product=Elig!$C1063,Elig_MatchAll_Ct&lt;22,$BC1063=(Elig_MatchAll_Ct-1),AX1063=0),Y1063,0)</f>
        <v>0</v>
      </c>
      <c r="CE1063" s="993">
        <f>IF(AND(Input_LTV&lt;=AE1063,Input_Product=Elig!$C1063,Elig_MatchAll_Ct&lt;22,$BC1063=(Elig_MatchAll_Ct-1),AY1063=0),Z1063,0)</f>
        <v>0</v>
      </c>
      <c r="CF1063" s="994">
        <f>IF(AND(Input_LTV&lt;=AE1063,Input_Product=Elig!$C1063,Elig_MatchAll_Ct&lt;22,$BC1063=(Elig_MatchAll_Ct-1),AY1063=0),AA1063,0)</f>
        <v>0</v>
      </c>
      <c r="CG1063" s="993">
        <f>IF(AND(Input_Product=Elig!$C1063,Elig_MatchAll_Ct&lt;22,$BC1063=(Elig_MatchAll_Ct-1),AZ1063=0),AB1063,0)</f>
        <v>0</v>
      </c>
      <c r="CH1063" s="994">
        <f>IF(AND(Input_Product=Elig!$C1063,Elig_MatchAll_Ct&lt;22,$BC1063=(Elig_MatchAll_Ct-1),AZ1063=0),AC1063,0)</f>
        <v>0</v>
      </c>
      <c r="CI1063" s="993">
        <f>IF(AND(Input_Product=Elig!$C1063,Elig_MatchAll_Ct&lt;22,$BC1063=(Elig_MatchAll_Ct-1),BA1063=0),AD1063,0)</f>
        <v>0</v>
      </c>
      <c r="CJ1063" s="994">
        <f>IF(AND(Input_Product=Elig!$C1063,Elig_MatchAll_Ct&lt;22,$BC1063=(Elig_MatchAll_Ct-1),BA1063=0),AE1063,0)</f>
        <v>0</v>
      </c>
    </row>
    <row r="1064" spans="2:88" ht="10.15" customHeight="1" x14ac:dyDescent="0.25">
      <c r="B1064" s="1916" t="s">
        <v>2702</v>
      </c>
      <c r="C1064" s="1208" t="str">
        <f t="shared" si="402"/>
        <v xml:space="preserve">  </v>
      </c>
      <c r="D1064" s="1209" t="s">
        <v>2218</v>
      </c>
      <c r="E1064" s="1209" t="s">
        <v>167</v>
      </c>
      <c r="F1064" s="1209" t="s">
        <v>331</v>
      </c>
      <c r="G1064" s="1210" t="s">
        <v>179</v>
      </c>
      <c r="H1064" s="1210" t="s">
        <v>136</v>
      </c>
      <c r="I1064" s="1209" t="s">
        <v>16</v>
      </c>
      <c r="J1064" s="1209" t="s">
        <v>1311</v>
      </c>
      <c r="K1064" s="1210" t="s">
        <v>3022</v>
      </c>
      <c r="L1064" s="1209" t="s">
        <v>2768</v>
      </c>
      <c r="M1064" s="1209" t="s">
        <v>2677</v>
      </c>
      <c r="N1064" s="1210" t="s">
        <v>82</v>
      </c>
      <c r="O1064" s="1209" t="s">
        <v>310</v>
      </c>
      <c r="P1064" s="1209" t="s">
        <v>291</v>
      </c>
      <c r="Q1064" s="1209" t="s">
        <v>294</v>
      </c>
      <c r="R1064" s="1209">
        <v>1000000.01</v>
      </c>
      <c r="S1064" s="1209">
        <v>1500000</v>
      </c>
      <c r="T1064" s="1209">
        <v>0</v>
      </c>
      <c r="U1064" s="1209">
        <f t="shared" si="400"/>
        <v>1500000</v>
      </c>
      <c r="V1064" s="1209">
        <v>0</v>
      </c>
      <c r="W1064" s="1209">
        <v>50</v>
      </c>
      <c r="X1064" s="1209">
        <v>0</v>
      </c>
      <c r="Y1064" s="1209">
        <v>999</v>
      </c>
      <c r="Z1064" s="1211">
        <v>700</v>
      </c>
      <c r="AA1064" s="1211">
        <v>719</v>
      </c>
      <c r="AB1064" s="1211">
        <v>6</v>
      </c>
      <c r="AC1064" s="1211">
        <v>999999</v>
      </c>
      <c r="AD1064" s="1209">
        <v>0</v>
      </c>
      <c r="AE1064" s="1212">
        <v>80</v>
      </c>
      <c r="AF1064" s="170">
        <v>0</v>
      </c>
      <c r="AG1064" s="171">
        <v>1</v>
      </c>
      <c r="AH1064" s="171">
        <v>1</v>
      </c>
      <c r="AI1064" s="171">
        <v>1</v>
      </c>
      <c r="AJ1064" s="171">
        <v>0</v>
      </c>
      <c r="AK1064" s="171">
        <v>1</v>
      </c>
      <c r="AL1064" s="171">
        <v>1</v>
      </c>
      <c r="AM1064" s="171">
        <v>1</v>
      </c>
      <c r="AN1064" s="171">
        <v>1</v>
      </c>
      <c r="AO1064" s="171">
        <v>1</v>
      </c>
      <c r="AP1064" s="171">
        <v>1</v>
      </c>
      <c r="AQ1064" s="171">
        <v>1</v>
      </c>
      <c r="AR1064" s="171">
        <v>1</v>
      </c>
      <c r="AS1064" s="171">
        <v>1</v>
      </c>
      <c r="AT1064" s="171">
        <v>1</v>
      </c>
      <c r="AU1064" s="171">
        <f t="shared" si="404"/>
        <v>0</v>
      </c>
      <c r="AV1064" s="171">
        <f t="shared" si="405"/>
        <v>1</v>
      </c>
      <c r="AW1064" s="171">
        <f t="shared" si="406"/>
        <v>1</v>
      </c>
      <c r="AX1064" s="171">
        <f t="shared" si="414"/>
        <v>1</v>
      </c>
      <c r="AY1064" s="171">
        <f t="shared" si="407"/>
        <v>0</v>
      </c>
      <c r="AZ1064" s="171">
        <f t="shared" si="408"/>
        <v>1</v>
      </c>
      <c r="BA1064" s="172">
        <f t="shared" si="409"/>
        <v>1</v>
      </c>
      <c r="BB1064" s="175">
        <f t="shared" si="411"/>
        <v>18</v>
      </c>
      <c r="BC1064" s="176">
        <f t="shared" si="412"/>
        <v>17</v>
      </c>
      <c r="BD1064" s="176">
        <f t="shared" si="413"/>
        <v>18</v>
      </c>
      <c r="BE1064" s="240" t="str">
        <f t="shared" si="403"/>
        <v/>
      </c>
      <c r="BF1064" s="990"/>
      <c r="BG1064" s="990"/>
      <c r="BH1064" s="991">
        <f>IF(AND(Input_Product=Elig!$C1064,Elig_MatchAll_Ct&lt;22,$BC1064=(Elig_MatchAll_Ct-1),AF1064=0),C1064,0)</f>
        <v>0</v>
      </c>
      <c r="BI1064" s="991">
        <f>IF(AND(Input_Product=Elig!$C1064,Elig_MatchAll_Ct&lt;22,$BC1064=(Elig_MatchAll_Ct-1),AG1064=0),D1064,0)</f>
        <v>0</v>
      </c>
      <c r="BJ1064" s="991">
        <f>IF(AND(Input_Product=Elig!$C1064,Elig_MatchAll_Ct&lt;22,$BC1064=(Elig_MatchAll_Ct-1),AH1064=0),E1064,0)</f>
        <v>0</v>
      </c>
      <c r="BK1064" s="991">
        <f>IF(AND(Input_Product=Elig!$C1064,Elig_MatchAll_Ct&lt;22,$BC1064=(Elig_MatchAll_Ct-1),AI1064=0),F1064,0)</f>
        <v>0</v>
      </c>
      <c r="BL1064" s="991">
        <f>IF(AND(Input_Product=Elig!$C1064,Elig_MatchAll_Ct&lt;22,$BC1064=(Elig_MatchAll_Ct-1),AJ1064=0),G1064,0)</f>
        <v>0</v>
      </c>
      <c r="BM1064" s="991">
        <f>IF(AND(Input_Product=Elig!$C1064,Elig_MatchAll_Ct&lt;22,$BC1064=(Elig_MatchAll_Ct-1),AK1064=0),H1064,0)</f>
        <v>0</v>
      </c>
      <c r="BN1064" s="991">
        <f>IF(AND(Input_Product=Elig!$C1064,Elig_MatchAll_Ct&lt;22,$BC1064=(Elig_MatchAll_Ct-1),AL1064=0),I1064,0)</f>
        <v>0</v>
      </c>
      <c r="BO1064" s="991">
        <f>IF(AND(Input_Product=Elig!$C1064,Elig_MatchAll_Ct&lt;22,$BC1064=(Elig_MatchAll_Ct-1),AM1064=0),J1064,0)</f>
        <v>0</v>
      </c>
      <c r="BP1064" s="991">
        <f>IF(AND(Input_Product=Elig!$C1064,Elig_MatchAll_Ct&lt;22,$BC1064=(Elig_MatchAll_Ct-1),AN1064=0),K1064,0)</f>
        <v>0</v>
      </c>
      <c r="BQ1064" s="991">
        <f>IF(AND(Input_Product=Elig!$C1064,Elig_MatchAll_Ct&lt;22,$BC1064=(Elig_MatchAll_Ct-1),AP1064=0),L1064,0)</f>
        <v>0</v>
      </c>
      <c r="BR1064" s="991">
        <f>IF(AND(Input_Product=Elig!$C1064,Elig_MatchAll_Ct&lt;22,$BC1064=(Elig_MatchAll_Ct-1),AO1064=0),M1064,0)</f>
        <v>0</v>
      </c>
      <c r="BS1064" s="991">
        <f>IF(AND(Input_Product=Elig!$C1064,Elig_MatchAll_Ct&lt;22,$BC1064=(Elig_MatchAll_Ct-1),AQ1064=0),N1064,0)</f>
        <v>0</v>
      </c>
      <c r="BT1064" s="991">
        <f>IF(AND(Input_Product=Elig!$C1064,Elig_MatchAll_Ct&lt;22,$BC1064=(Elig_MatchAll_Ct-1),AR1064=0),O1064,0)</f>
        <v>0</v>
      </c>
      <c r="BU1064" s="991">
        <f>IF(AND(Input_Product=Elig!$C1064,Elig_MatchAll_Ct&lt;22,$BC1064=(Elig_MatchAll_Ct-1),AS1064=0),P1064,0)</f>
        <v>0</v>
      </c>
      <c r="BV1064" s="992">
        <f>IF(AND(Input_Product=Elig!$C1064,Elig_MatchAll_Ct&lt;22,$BC1064=(Elig_MatchAll_Ct-1),AT1064=0),Q1064,0)</f>
        <v>0</v>
      </c>
      <c r="BW1064" s="993">
        <f>IF(AND(Input_Product=Elig!$C1064,Elig_MatchAll_Ct&lt;22,$BC1064=(Elig_MatchAll_Ct-1),AU1064=0),R1064,0)</f>
        <v>0</v>
      </c>
      <c r="BX1064" s="994">
        <f>IF(AND(Input_Product=Elig!$C1064,Elig_MatchAll_Ct&lt;22,$BC1064=(Elig_MatchAll_Ct-1),AU1064=0),S1064,0)</f>
        <v>0</v>
      </c>
      <c r="BY1064" s="993">
        <f>IF(AND(Input_Product=Elig!$C1064,Elig_MatchAll_Ct&lt;22,$BC1064=(Elig_MatchAll_Ct-1),AV1064=0),T1064,0)</f>
        <v>0</v>
      </c>
      <c r="BZ1064" s="994">
        <f>IF(AND(Input_Product=Elig!$C1064,Elig_MatchAll_Ct&lt;22,$BC1064=(Elig_MatchAll_Ct-1),AV1064=0),U1064,0)</f>
        <v>0</v>
      </c>
      <c r="CA1064" s="993">
        <f>IF(AND(Input_Product=Elig!$C1064,Elig_MatchAll_Ct&lt;22,$BC1064=(Elig_MatchAll_Ct-1),AW1064=0),V1064,0)</f>
        <v>0</v>
      </c>
      <c r="CB1064" s="994">
        <f>IF(AND(Input_Product=Elig!$C1064,Elig_MatchAll_Ct&lt;22,$BC1064=(Elig_MatchAll_Ct-1),AW1064=0),W1064,0)</f>
        <v>0</v>
      </c>
      <c r="CC1064" s="993">
        <f>IF(AND(Input_Product=Elig!$C1064,Elig_MatchAll_Ct&lt;22,$BC1064=(Elig_MatchAll_Ct-1),AX1064=0),X1064,0)</f>
        <v>0</v>
      </c>
      <c r="CD1064" s="994">
        <f>IF(AND(Input_Product=Elig!$C1064,Elig_MatchAll_Ct&lt;22,$BC1064=(Elig_MatchAll_Ct-1),AX1064=0),Y1064,0)</f>
        <v>0</v>
      </c>
      <c r="CE1064" s="993">
        <f>IF(AND(Input_LTV&lt;=AE1064,Input_Product=Elig!$C1064,Elig_MatchAll_Ct&lt;22,$BC1064=(Elig_MatchAll_Ct-1),AY1064=0),Z1064,0)</f>
        <v>0</v>
      </c>
      <c r="CF1064" s="994">
        <f>IF(AND(Input_LTV&lt;=AE1064,Input_Product=Elig!$C1064,Elig_MatchAll_Ct&lt;22,$BC1064=(Elig_MatchAll_Ct-1),AY1064=0),AA1064,0)</f>
        <v>0</v>
      </c>
      <c r="CG1064" s="993">
        <f>IF(AND(Input_Product=Elig!$C1064,Elig_MatchAll_Ct&lt;22,$BC1064=(Elig_MatchAll_Ct-1),AZ1064=0),AB1064,0)</f>
        <v>0</v>
      </c>
      <c r="CH1064" s="994">
        <f>IF(AND(Input_Product=Elig!$C1064,Elig_MatchAll_Ct&lt;22,$BC1064=(Elig_MatchAll_Ct-1),AZ1064=0),AC1064,0)</f>
        <v>0</v>
      </c>
      <c r="CI1064" s="993">
        <f>IF(AND(Input_Product=Elig!$C1064,Elig_MatchAll_Ct&lt;22,$BC1064=(Elig_MatchAll_Ct-1),BA1064=0),AD1064,0)</f>
        <v>0</v>
      </c>
      <c r="CJ1064" s="994">
        <f>IF(AND(Input_Product=Elig!$C1064,Elig_MatchAll_Ct&lt;22,$BC1064=(Elig_MatchAll_Ct-1),BA1064=0),AE1064,0)</f>
        <v>0</v>
      </c>
    </row>
    <row r="1065" spans="2:88" ht="10.15" customHeight="1" x14ac:dyDescent="0.25">
      <c r="B1065" s="1916" t="s">
        <v>2703</v>
      </c>
      <c r="C1065" s="1208" t="str">
        <f t="shared" si="402"/>
        <v xml:space="preserve">  </v>
      </c>
      <c r="D1065" s="1209" t="s">
        <v>2218</v>
      </c>
      <c r="E1065" s="1209" t="s">
        <v>167</v>
      </c>
      <c r="F1065" s="1209" t="s">
        <v>331</v>
      </c>
      <c r="G1065" s="1210" t="s">
        <v>179</v>
      </c>
      <c r="H1065" s="1210" t="s">
        <v>136</v>
      </c>
      <c r="I1065" s="1209" t="s">
        <v>16</v>
      </c>
      <c r="J1065" s="1209" t="s">
        <v>1311</v>
      </c>
      <c r="K1065" s="1210" t="s">
        <v>3022</v>
      </c>
      <c r="L1065" s="1209" t="s">
        <v>2768</v>
      </c>
      <c r="M1065" s="1209" t="s">
        <v>2677</v>
      </c>
      <c r="N1065" s="1210" t="s">
        <v>82</v>
      </c>
      <c r="O1065" s="1209" t="s">
        <v>310</v>
      </c>
      <c r="P1065" s="1209" t="s">
        <v>291</v>
      </c>
      <c r="Q1065" s="1209" t="s">
        <v>294</v>
      </c>
      <c r="R1065" s="1209">
        <v>1000000.01</v>
      </c>
      <c r="S1065" s="1209">
        <v>1500000</v>
      </c>
      <c r="T1065" s="1209">
        <v>0</v>
      </c>
      <c r="U1065" s="1209">
        <f t="shared" si="400"/>
        <v>1500000</v>
      </c>
      <c r="V1065" s="1209">
        <v>0</v>
      </c>
      <c r="W1065" s="1209">
        <v>50</v>
      </c>
      <c r="X1065" s="1209">
        <v>0</v>
      </c>
      <c r="Y1065" s="1209">
        <v>999</v>
      </c>
      <c r="Z1065" s="1211">
        <v>680</v>
      </c>
      <c r="AA1065" s="1211">
        <v>699</v>
      </c>
      <c r="AB1065" s="1211">
        <v>6</v>
      </c>
      <c r="AC1065" s="1211">
        <v>999999</v>
      </c>
      <c r="AD1065" s="1209">
        <v>0</v>
      </c>
      <c r="AE1065" s="1212">
        <v>75</v>
      </c>
      <c r="AF1065" s="170">
        <v>0</v>
      </c>
      <c r="AG1065" s="171">
        <v>1</v>
      </c>
      <c r="AH1065" s="171">
        <v>1</v>
      </c>
      <c r="AI1065" s="171">
        <v>1</v>
      </c>
      <c r="AJ1065" s="171">
        <v>0</v>
      </c>
      <c r="AK1065" s="171">
        <v>1</v>
      </c>
      <c r="AL1065" s="171">
        <v>1</v>
      </c>
      <c r="AM1065" s="171">
        <v>1</v>
      </c>
      <c r="AN1065" s="171">
        <v>1</v>
      </c>
      <c r="AO1065" s="171">
        <v>1</v>
      </c>
      <c r="AP1065" s="171">
        <v>1</v>
      </c>
      <c r="AQ1065" s="171">
        <v>1</v>
      </c>
      <c r="AR1065" s="171">
        <v>1</v>
      </c>
      <c r="AS1065" s="171">
        <v>1</v>
      </c>
      <c r="AT1065" s="171">
        <v>1</v>
      </c>
      <c r="AU1065" s="171">
        <f t="shared" si="404"/>
        <v>0</v>
      </c>
      <c r="AV1065" s="171">
        <f t="shared" si="405"/>
        <v>1</v>
      </c>
      <c r="AW1065" s="171">
        <f t="shared" si="406"/>
        <v>1</v>
      </c>
      <c r="AX1065" s="171">
        <f t="shared" si="414"/>
        <v>1</v>
      </c>
      <c r="AY1065" s="171">
        <f t="shared" si="407"/>
        <v>0</v>
      </c>
      <c r="AZ1065" s="171">
        <f t="shared" si="408"/>
        <v>1</v>
      </c>
      <c r="BA1065" s="172">
        <f t="shared" si="409"/>
        <v>1</v>
      </c>
      <c r="BB1065" s="175">
        <f t="shared" si="411"/>
        <v>18</v>
      </c>
      <c r="BC1065" s="176">
        <f t="shared" si="412"/>
        <v>17</v>
      </c>
      <c r="BD1065" s="176">
        <f t="shared" si="413"/>
        <v>18</v>
      </c>
      <c r="BE1065" s="240" t="str">
        <f t="shared" si="403"/>
        <v/>
      </c>
      <c r="BF1065" s="990"/>
      <c r="BG1065" s="990"/>
      <c r="BH1065" s="991">
        <f>IF(AND(Input_Product=Elig!$C1065,Elig_MatchAll_Ct&lt;22,$BC1065=(Elig_MatchAll_Ct-1),AF1065=0),C1065,0)</f>
        <v>0</v>
      </c>
      <c r="BI1065" s="991">
        <f>IF(AND(Input_Product=Elig!$C1065,Elig_MatchAll_Ct&lt;22,$BC1065=(Elig_MatchAll_Ct-1),AG1065=0),D1065,0)</f>
        <v>0</v>
      </c>
      <c r="BJ1065" s="991">
        <f>IF(AND(Input_Product=Elig!$C1065,Elig_MatchAll_Ct&lt;22,$BC1065=(Elig_MatchAll_Ct-1),AH1065=0),E1065,0)</f>
        <v>0</v>
      </c>
      <c r="BK1065" s="991">
        <f>IF(AND(Input_Product=Elig!$C1065,Elig_MatchAll_Ct&lt;22,$BC1065=(Elig_MatchAll_Ct-1),AI1065=0),F1065,0)</f>
        <v>0</v>
      </c>
      <c r="BL1065" s="991">
        <f>IF(AND(Input_Product=Elig!$C1065,Elig_MatchAll_Ct&lt;22,$BC1065=(Elig_MatchAll_Ct-1),AJ1065=0),G1065,0)</f>
        <v>0</v>
      </c>
      <c r="BM1065" s="991">
        <f>IF(AND(Input_Product=Elig!$C1065,Elig_MatchAll_Ct&lt;22,$BC1065=(Elig_MatchAll_Ct-1),AK1065=0),H1065,0)</f>
        <v>0</v>
      </c>
      <c r="BN1065" s="991">
        <f>IF(AND(Input_Product=Elig!$C1065,Elig_MatchAll_Ct&lt;22,$BC1065=(Elig_MatchAll_Ct-1),AL1065=0),I1065,0)</f>
        <v>0</v>
      </c>
      <c r="BO1065" s="991">
        <f>IF(AND(Input_Product=Elig!$C1065,Elig_MatchAll_Ct&lt;22,$BC1065=(Elig_MatchAll_Ct-1),AM1065=0),J1065,0)</f>
        <v>0</v>
      </c>
      <c r="BP1065" s="991">
        <f>IF(AND(Input_Product=Elig!$C1065,Elig_MatchAll_Ct&lt;22,$BC1065=(Elig_MatchAll_Ct-1),AN1065=0),K1065,0)</f>
        <v>0</v>
      </c>
      <c r="BQ1065" s="991">
        <f>IF(AND(Input_Product=Elig!$C1065,Elig_MatchAll_Ct&lt;22,$BC1065=(Elig_MatchAll_Ct-1),AP1065=0),L1065,0)</f>
        <v>0</v>
      </c>
      <c r="BR1065" s="991">
        <f>IF(AND(Input_Product=Elig!$C1065,Elig_MatchAll_Ct&lt;22,$BC1065=(Elig_MatchAll_Ct-1),AO1065=0),M1065,0)</f>
        <v>0</v>
      </c>
      <c r="BS1065" s="991">
        <f>IF(AND(Input_Product=Elig!$C1065,Elig_MatchAll_Ct&lt;22,$BC1065=(Elig_MatchAll_Ct-1),AQ1065=0),N1065,0)</f>
        <v>0</v>
      </c>
      <c r="BT1065" s="991">
        <f>IF(AND(Input_Product=Elig!$C1065,Elig_MatchAll_Ct&lt;22,$BC1065=(Elig_MatchAll_Ct-1),AR1065=0),O1065,0)</f>
        <v>0</v>
      </c>
      <c r="BU1065" s="991">
        <f>IF(AND(Input_Product=Elig!$C1065,Elig_MatchAll_Ct&lt;22,$BC1065=(Elig_MatchAll_Ct-1),AS1065=0),P1065,0)</f>
        <v>0</v>
      </c>
      <c r="BV1065" s="992">
        <f>IF(AND(Input_Product=Elig!$C1065,Elig_MatchAll_Ct&lt;22,$BC1065=(Elig_MatchAll_Ct-1),AT1065=0),Q1065,0)</f>
        <v>0</v>
      </c>
      <c r="BW1065" s="993">
        <f>IF(AND(Input_Product=Elig!$C1065,Elig_MatchAll_Ct&lt;22,$BC1065=(Elig_MatchAll_Ct-1),AU1065=0),R1065,0)</f>
        <v>0</v>
      </c>
      <c r="BX1065" s="994">
        <f>IF(AND(Input_Product=Elig!$C1065,Elig_MatchAll_Ct&lt;22,$BC1065=(Elig_MatchAll_Ct-1),AU1065=0),S1065,0)</f>
        <v>0</v>
      </c>
      <c r="BY1065" s="993">
        <f>IF(AND(Input_Product=Elig!$C1065,Elig_MatchAll_Ct&lt;22,$BC1065=(Elig_MatchAll_Ct-1),AV1065=0),T1065,0)</f>
        <v>0</v>
      </c>
      <c r="BZ1065" s="994">
        <f>IF(AND(Input_Product=Elig!$C1065,Elig_MatchAll_Ct&lt;22,$BC1065=(Elig_MatchAll_Ct-1),AV1065=0),U1065,0)</f>
        <v>0</v>
      </c>
      <c r="CA1065" s="993">
        <f>IF(AND(Input_Product=Elig!$C1065,Elig_MatchAll_Ct&lt;22,$BC1065=(Elig_MatchAll_Ct-1),AW1065=0),V1065,0)</f>
        <v>0</v>
      </c>
      <c r="CB1065" s="994">
        <f>IF(AND(Input_Product=Elig!$C1065,Elig_MatchAll_Ct&lt;22,$BC1065=(Elig_MatchAll_Ct-1),AW1065=0),W1065,0)</f>
        <v>0</v>
      </c>
      <c r="CC1065" s="993">
        <f>IF(AND(Input_Product=Elig!$C1065,Elig_MatchAll_Ct&lt;22,$BC1065=(Elig_MatchAll_Ct-1),AX1065=0),X1065,0)</f>
        <v>0</v>
      </c>
      <c r="CD1065" s="994">
        <f>IF(AND(Input_Product=Elig!$C1065,Elig_MatchAll_Ct&lt;22,$BC1065=(Elig_MatchAll_Ct-1),AX1065=0),Y1065,0)</f>
        <v>0</v>
      </c>
      <c r="CE1065" s="993">
        <f>IF(AND(Input_LTV&lt;=AE1065,Input_Product=Elig!$C1065,Elig_MatchAll_Ct&lt;22,$BC1065=(Elig_MatchAll_Ct-1),AY1065=0),Z1065,0)</f>
        <v>0</v>
      </c>
      <c r="CF1065" s="994">
        <f>IF(AND(Input_LTV&lt;=AE1065,Input_Product=Elig!$C1065,Elig_MatchAll_Ct&lt;22,$BC1065=(Elig_MatchAll_Ct-1),AY1065=0),AA1065,0)</f>
        <v>0</v>
      </c>
      <c r="CG1065" s="993">
        <f>IF(AND(Input_Product=Elig!$C1065,Elig_MatchAll_Ct&lt;22,$BC1065=(Elig_MatchAll_Ct-1),AZ1065=0),AB1065,0)</f>
        <v>0</v>
      </c>
      <c r="CH1065" s="994">
        <f>IF(AND(Input_Product=Elig!$C1065,Elig_MatchAll_Ct&lt;22,$BC1065=(Elig_MatchAll_Ct-1),AZ1065=0),AC1065,0)</f>
        <v>0</v>
      </c>
      <c r="CI1065" s="993">
        <f>IF(AND(Input_Product=Elig!$C1065,Elig_MatchAll_Ct&lt;22,$BC1065=(Elig_MatchAll_Ct-1),BA1065=0),AD1065,0)</f>
        <v>0</v>
      </c>
      <c r="CJ1065" s="994">
        <f>IF(AND(Input_Product=Elig!$C1065,Elig_MatchAll_Ct&lt;22,$BC1065=(Elig_MatchAll_Ct-1),BA1065=0),AE1065,0)</f>
        <v>0</v>
      </c>
    </row>
    <row r="1066" spans="2:88" ht="10.15" customHeight="1" x14ac:dyDescent="0.25">
      <c r="B1066" s="1916" t="s">
        <v>2704</v>
      </c>
      <c r="C1066" s="1213" t="str">
        <f t="shared" si="402"/>
        <v xml:space="preserve">  </v>
      </c>
      <c r="D1066" s="1214" t="s">
        <v>2218</v>
      </c>
      <c r="E1066" s="1214" t="s">
        <v>167</v>
      </c>
      <c r="F1066" s="1214" t="s">
        <v>331</v>
      </c>
      <c r="G1066" s="1215" t="s">
        <v>179</v>
      </c>
      <c r="H1066" s="1215" t="s">
        <v>136</v>
      </c>
      <c r="I1066" s="1214" t="s">
        <v>16</v>
      </c>
      <c r="J1066" s="1214" t="s">
        <v>1311</v>
      </c>
      <c r="K1066" s="1215" t="s">
        <v>3022</v>
      </c>
      <c r="L1066" s="1214" t="s">
        <v>2768</v>
      </c>
      <c r="M1066" s="1214" t="s">
        <v>2677</v>
      </c>
      <c r="N1066" s="1215" t="s">
        <v>82</v>
      </c>
      <c r="O1066" s="1214" t="s">
        <v>310</v>
      </c>
      <c r="P1066" s="1214" t="s">
        <v>291</v>
      </c>
      <c r="Q1066" s="1214" t="s">
        <v>294</v>
      </c>
      <c r="R1066" s="1214">
        <v>1000000.01</v>
      </c>
      <c r="S1066" s="1214">
        <v>1500000</v>
      </c>
      <c r="T1066" s="1214">
        <v>0</v>
      </c>
      <c r="U1066" s="1214">
        <f t="shared" si="400"/>
        <v>1500000</v>
      </c>
      <c r="V1066" s="1214">
        <v>0</v>
      </c>
      <c r="W1066" s="1214">
        <v>50</v>
      </c>
      <c r="X1066" s="1214">
        <v>0</v>
      </c>
      <c r="Y1066" s="1214">
        <v>999</v>
      </c>
      <c r="Z1066" s="1216">
        <v>660</v>
      </c>
      <c r="AA1066" s="1216">
        <v>679</v>
      </c>
      <c r="AB1066" s="1216">
        <v>6</v>
      </c>
      <c r="AC1066" s="1216">
        <v>999999</v>
      </c>
      <c r="AD1066" s="1214">
        <v>0</v>
      </c>
      <c r="AE1066" s="1217">
        <v>70</v>
      </c>
      <c r="AF1066" s="170">
        <v>0</v>
      </c>
      <c r="AG1066" s="171">
        <v>1</v>
      </c>
      <c r="AH1066" s="171">
        <v>1</v>
      </c>
      <c r="AI1066" s="171">
        <v>1</v>
      </c>
      <c r="AJ1066" s="171">
        <v>0</v>
      </c>
      <c r="AK1066" s="171">
        <v>1</v>
      </c>
      <c r="AL1066" s="171">
        <v>1</v>
      </c>
      <c r="AM1066" s="171">
        <v>1</v>
      </c>
      <c r="AN1066" s="171">
        <v>1</v>
      </c>
      <c r="AO1066" s="171">
        <v>1</v>
      </c>
      <c r="AP1066" s="171">
        <v>1</v>
      </c>
      <c r="AQ1066" s="171">
        <v>1</v>
      </c>
      <c r="AR1066" s="171">
        <v>1</v>
      </c>
      <c r="AS1066" s="171">
        <v>1</v>
      </c>
      <c r="AT1066" s="171">
        <v>1</v>
      </c>
      <c r="AU1066" s="171">
        <f t="shared" si="404"/>
        <v>0</v>
      </c>
      <c r="AV1066" s="171">
        <f t="shared" si="405"/>
        <v>1</v>
      </c>
      <c r="AW1066" s="171">
        <f t="shared" si="406"/>
        <v>1</v>
      </c>
      <c r="AX1066" s="171">
        <f t="shared" si="414"/>
        <v>1</v>
      </c>
      <c r="AY1066" s="171">
        <f t="shared" si="407"/>
        <v>0</v>
      </c>
      <c r="AZ1066" s="171">
        <f t="shared" si="408"/>
        <v>1</v>
      </c>
      <c r="BA1066" s="172">
        <f t="shared" si="409"/>
        <v>1</v>
      </c>
      <c r="BB1066" s="175">
        <f t="shared" si="411"/>
        <v>18</v>
      </c>
      <c r="BC1066" s="176">
        <f t="shared" si="412"/>
        <v>17</v>
      </c>
      <c r="BD1066" s="176">
        <f t="shared" si="413"/>
        <v>18</v>
      </c>
      <c r="BE1066" s="240" t="str">
        <f t="shared" si="403"/>
        <v/>
      </c>
      <c r="BF1066" s="990"/>
      <c r="BG1066" s="990"/>
      <c r="BH1066" s="991">
        <f>IF(AND(Input_Product=Elig!$C1066,Elig_MatchAll_Ct&lt;22,$BC1066=(Elig_MatchAll_Ct-1),AF1066=0),C1066,0)</f>
        <v>0</v>
      </c>
      <c r="BI1066" s="991">
        <f>IF(AND(Input_Product=Elig!$C1066,Elig_MatchAll_Ct&lt;22,$BC1066=(Elig_MatchAll_Ct-1),AG1066=0),D1066,0)</f>
        <v>0</v>
      </c>
      <c r="BJ1066" s="991">
        <f>IF(AND(Input_Product=Elig!$C1066,Elig_MatchAll_Ct&lt;22,$BC1066=(Elig_MatchAll_Ct-1),AH1066=0),E1066,0)</f>
        <v>0</v>
      </c>
      <c r="BK1066" s="991">
        <f>IF(AND(Input_Product=Elig!$C1066,Elig_MatchAll_Ct&lt;22,$BC1066=(Elig_MatchAll_Ct-1),AI1066=0),F1066,0)</f>
        <v>0</v>
      </c>
      <c r="BL1066" s="991">
        <f>IF(AND(Input_Product=Elig!$C1066,Elig_MatchAll_Ct&lt;22,$BC1066=(Elig_MatchAll_Ct-1),AJ1066=0),G1066,0)</f>
        <v>0</v>
      </c>
      <c r="BM1066" s="991">
        <f>IF(AND(Input_Product=Elig!$C1066,Elig_MatchAll_Ct&lt;22,$BC1066=(Elig_MatchAll_Ct-1),AK1066=0),H1066,0)</f>
        <v>0</v>
      </c>
      <c r="BN1066" s="991">
        <f>IF(AND(Input_Product=Elig!$C1066,Elig_MatchAll_Ct&lt;22,$BC1066=(Elig_MatchAll_Ct-1),AL1066=0),I1066,0)</f>
        <v>0</v>
      </c>
      <c r="BO1066" s="991">
        <f>IF(AND(Input_Product=Elig!$C1066,Elig_MatchAll_Ct&lt;22,$BC1066=(Elig_MatchAll_Ct-1),AM1066=0),J1066,0)</f>
        <v>0</v>
      </c>
      <c r="BP1066" s="991">
        <f>IF(AND(Input_Product=Elig!$C1066,Elig_MatchAll_Ct&lt;22,$BC1066=(Elig_MatchAll_Ct-1),AN1066=0),K1066,0)</f>
        <v>0</v>
      </c>
      <c r="BQ1066" s="991">
        <f>IF(AND(Input_Product=Elig!$C1066,Elig_MatchAll_Ct&lt;22,$BC1066=(Elig_MatchAll_Ct-1),AP1066=0),L1066,0)</f>
        <v>0</v>
      </c>
      <c r="BR1066" s="991">
        <f>IF(AND(Input_Product=Elig!$C1066,Elig_MatchAll_Ct&lt;22,$BC1066=(Elig_MatchAll_Ct-1),AO1066=0),M1066,0)</f>
        <v>0</v>
      </c>
      <c r="BS1066" s="991">
        <f>IF(AND(Input_Product=Elig!$C1066,Elig_MatchAll_Ct&lt;22,$BC1066=(Elig_MatchAll_Ct-1),AQ1066=0),N1066,0)</f>
        <v>0</v>
      </c>
      <c r="BT1066" s="991">
        <f>IF(AND(Input_Product=Elig!$C1066,Elig_MatchAll_Ct&lt;22,$BC1066=(Elig_MatchAll_Ct-1),AR1066=0),O1066,0)</f>
        <v>0</v>
      </c>
      <c r="BU1066" s="991">
        <f>IF(AND(Input_Product=Elig!$C1066,Elig_MatchAll_Ct&lt;22,$BC1066=(Elig_MatchAll_Ct-1),AS1066=0),P1066,0)</f>
        <v>0</v>
      </c>
      <c r="BV1066" s="992">
        <f>IF(AND(Input_Product=Elig!$C1066,Elig_MatchAll_Ct&lt;22,$BC1066=(Elig_MatchAll_Ct-1),AT1066=0),Q1066,0)</f>
        <v>0</v>
      </c>
      <c r="BW1066" s="993">
        <f>IF(AND(Input_Product=Elig!$C1066,Elig_MatchAll_Ct&lt;22,$BC1066=(Elig_MatchAll_Ct-1),AU1066=0),R1066,0)</f>
        <v>0</v>
      </c>
      <c r="BX1066" s="994">
        <f>IF(AND(Input_Product=Elig!$C1066,Elig_MatchAll_Ct&lt;22,$BC1066=(Elig_MatchAll_Ct-1),AU1066=0),S1066,0)</f>
        <v>0</v>
      </c>
      <c r="BY1066" s="993">
        <f>IF(AND(Input_Product=Elig!$C1066,Elig_MatchAll_Ct&lt;22,$BC1066=(Elig_MatchAll_Ct-1),AV1066=0),T1066,0)</f>
        <v>0</v>
      </c>
      <c r="BZ1066" s="994">
        <f>IF(AND(Input_Product=Elig!$C1066,Elig_MatchAll_Ct&lt;22,$BC1066=(Elig_MatchAll_Ct-1),AV1066=0),U1066,0)</f>
        <v>0</v>
      </c>
      <c r="CA1066" s="993">
        <f>IF(AND(Input_Product=Elig!$C1066,Elig_MatchAll_Ct&lt;22,$BC1066=(Elig_MatchAll_Ct-1),AW1066=0),V1066,0)</f>
        <v>0</v>
      </c>
      <c r="CB1066" s="994">
        <f>IF(AND(Input_Product=Elig!$C1066,Elig_MatchAll_Ct&lt;22,$BC1066=(Elig_MatchAll_Ct-1),AW1066=0),W1066,0)</f>
        <v>0</v>
      </c>
      <c r="CC1066" s="993">
        <f>IF(AND(Input_Product=Elig!$C1066,Elig_MatchAll_Ct&lt;22,$BC1066=(Elig_MatchAll_Ct-1),AX1066=0),X1066,0)</f>
        <v>0</v>
      </c>
      <c r="CD1066" s="994">
        <f>IF(AND(Input_Product=Elig!$C1066,Elig_MatchAll_Ct&lt;22,$BC1066=(Elig_MatchAll_Ct-1),AX1066=0),Y1066,0)</f>
        <v>0</v>
      </c>
      <c r="CE1066" s="993">
        <f>IF(AND(Input_LTV&lt;=AE1066,Input_Product=Elig!$C1066,Elig_MatchAll_Ct&lt;22,$BC1066=(Elig_MatchAll_Ct-1),AY1066=0),Z1066,0)</f>
        <v>0</v>
      </c>
      <c r="CF1066" s="994">
        <f>IF(AND(Input_LTV&lt;=AE1066,Input_Product=Elig!$C1066,Elig_MatchAll_Ct&lt;22,$BC1066=(Elig_MatchAll_Ct-1),AY1066=0),AA1066,0)</f>
        <v>0</v>
      </c>
      <c r="CG1066" s="993">
        <f>IF(AND(Input_Product=Elig!$C1066,Elig_MatchAll_Ct&lt;22,$BC1066=(Elig_MatchAll_Ct-1),AZ1066=0),AB1066,0)</f>
        <v>0</v>
      </c>
      <c r="CH1066" s="994">
        <f>IF(AND(Input_Product=Elig!$C1066,Elig_MatchAll_Ct&lt;22,$BC1066=(Elig_MatchAll_Ct-1),AZ1066=0),AC1066,0)</f>
        <v>0</v>
      </c>
      <c r="CI1066" s="993">
        <f>IF(AND(Input_Product=Elig!$C1066,Elig_MatchAll_Ct&lt;22,$BC1066=(Elig_MatchAll_Ct-1),BA1066=0),AD1066,0)</f>
        <v>0</v>
      </c>
      <c r="CJ1066" s="994">
        <f>IF(AND(Input_Product=Elig!$C1066,Elig_MatchAll_Ct&lt;22,$BC1066=(Elig_MatchAll_Ct-1),BA1066=0),AE1066,0)</f>
        <v>0</v>
      </c>
    </row>
    <row r="1067" spans="2:88" ht="10.15" customHeight="1" x14ac:dyDescent="0.25">
      <c r="B1067" s="1916" t="s">
        <v>2705</v>
      </c>
      <c r="C1067" s="1203" t="str">
        <f t="shared" si="402"/>
        <v xml:space="preserve">  </v>
      </c>
      <c r="D1067" s="1204" t="s">
        <v>2218</v>
      </c>
      <c r="E1067" s="1204" t="s">
        <v>167</v>
      </c>
      <c r="F1067" s="1204" t="s">
        <v>331</v>
      </c>
      <c r="G1067" s="1205" t="s">
        <v>179</v>
      </c>
      <c r="H1067" s="1205" t="s">
        <v>136</v>
      </c>
      <c r="I1067" s="1204" t="s">
        <v>16</v>
      </c>
      <c r="J1067" s="1204" t="s">
        <v>1311</v>
      </c>
      <c r="K1067" s="1205" t="s">
        <v>3022</v>
      </c>
      <c r="L1067" s="1204" t="s">
        <v>2768</v>
      </c>
      <c r="M1067" s="1204" t="s">
        <v>2677</v>
      </c>
      <c r="N1067" s="1205" t="s">
        <v>82</v>
      </c>
      <c r="O1067" s="1204" t="s">
        <v>310</v>
      </c>
      <c r="P1067" s="1204" t="s">
        <v>291</v>
      </c>
      <c r="Q1067" s="1204" t="s">
        <v>294</v>
      </c>
      <c r="R1067" s="1204">
        <v>1500000.01</v>
      </c>
      <c r="S1067" s="1204">
        <v>2000000</v>
      </c>
      <c r="T1067" s="1204">
        <v>0</v>
      </c>
      <c r="U1067" s="1204">
        <f t="shared" si="400"/>
        <v>2000000</v>
      </c>
      <c r="V1067" s="1204">
        <v>0</v>
      </c>
      <c r="W1067" s="1204">
        <v>50</v>
      </c>
      <c r="X1067" s="1204">
        <v>0</v>
      </c>
      <c r="Y1067" s="1204">
        <v>999</v>
      </c>
      <c r="Z1067" s="1206">
        <v>720</v>
      </c>
      <c r="AA1067" s="1206">
        <v>999</v>
      </c>
      <c r="AB1067" s="1206">
        <v>6</v>
      </c>
      <c r="AC1067" s="1206">
        <v>999999</v>
      </c>
      <c r="AD1067" s="1204">
        <v>0</v>
      </c>
      <c r="AE1067" s="1207">
        <v>80</v>
      </c>
      <c r="AF1067" s="170">
        <v>0</v>
      </c>
      <c r="AG1067" s="171">
        <v>1</v>
      </c>
      <c r="AH1067" s="171">
        <v>1</v>
      </c>
      <c r="AI1067" s="171">
        <v>1</v>
      </c>
      <c r="AJ1067" s="171">
        <v>0</v>
      </c>
      <c r="AK1067" s="171">
        <v>1</v>
      </c>
      <c r="AL1067" s="171">
        <v>1</v>
      </c>
      <c r="AM1067" s="171">
        <v>1</v>
      </c>
      <c r="AN1067" s="171">
        <v>1</v>
      </c>
      <c r="AO1067" s="171">
        <v>1</v>
      </c>
      <c r="AP1067" s="171">
        <v>1</v>
      </c>
      <c r="AQ1067" s="171">
        <v>1</v>
      </c>
      <c r="AR1067" s="171">
        <v>1</v>
      </c>
      <c r="AS1067" s="171">
        <v>1</v>
      </c>
      <c r="AT1067" s="171">
        <v>1</v>
      </c>
      <c r="AU1067" s="171">
        <f t="shared" si="404"/>
        <v>0</v>
      </c>
      <c r="AV1067" s="171">
        <f t="shared" si="405"/>
        <v>1</v>
      </c>
      <c r="AW1067" s="171">
        <f t="shared" si="406"/>
        <v>1</v>
      </c>
      <c r="AX1067" s="171">
        <f t="shared" si="414"/>
        <v>1</v>
      </c>
      <c r="AY1067" s="171">
        <f t="shared" si="407"/>
        <v>1</v>
      </c>
      <c r="AZ1067" s="171">
        <f t="shared" si="408"/>
        <v>1</v>
      </c>
      <c r="BA1067" s="172">
        <f t="shared" si="409"/>
        <v>1</v>
      </c>
      <c r="BB1067" s="175">
        <f t="shared" si="411"/>
        <v>19</v>
      </c>
      <c r="BC1067" s="176">
        <f t="shared" si="412"/>
        <v>18</v>
      </c>
      <c r="BD1067" s="176">
        <f t="shared" si="413"/>
        <v>19</v>
      </c>
      <c r="BE1067" s="240" t="str">
        <f t="shared" si="403"/>
        <v/>
      </c>
      <c r="BF1067" s="990"/>
      <c r="BG1067" s="990"/>
      <c r="BH1067" s="991">
        <f>IF(AND(Input_Product=Elig!$C1067,Elig_MatchAll_Ct&lt;22,$BC1067=(Elig_MatchAll_Ct-1),AF1067=0),C1067,0)</f>
        <v>0</v>
      </c>
      <c r="BI1067" s="991">
        <f>IF(AND(Input_Product=Elig!$C1067,Elig_MatchAll_Ct&lt;22,$BC1067=(Elig_MatchAll_Ct-1),AG1067=0),D1067,0)</f>
        <v>0</v>
      </c>
      <c r="BJ1067" s="991">
        <f>IF(AND(Input_Product=Elig!$C1067,Elig_MatchAll_Ct&lt;22,$BC1067=(Elig_MatchAll_Ct-1),AH1067=0),E1067,0)</f>
        <v>0</v>
      </c>
      <c r="BK1067" s="991">
        <f>IF(AND(Input_Product=Elig!$C1067,Elig_MatchAll_Ct&lt;22,$BC1067=(Elig_MatchAll_Ct-1),AI1067=0),F1067,0)</f>
        <v>0</v>
      </c>
      <c r="BL1067" s="991">
        <f>IF(AND(Input_Product=Elig!$C1067,Elig_MatchAll_Ct&lt;22,$BC1067=(Elig_MatchAll_Ct-1),AJ1067=0),G1067,0)</f>
        <v>0</v>
      </c>
      <c r="BM1067" s="991">
        <f>IF(AND(Input_Product=Elig!$C1067,Elig_MatchAll_Ct&lt;22,$BC1067=(Elig_MatchAll_Ct-1),AK1067=0),H1067,0)</f>
        <v>0</v>
      </c>
      <c r="BN1067" s="991">
        <f>IF(AND(Input_Product=Elig!$C1067,Elig_MatchAll_Ct&lt;22,$BC1067=(Elig_MatchAll_Ct-1),AL1067=0),I1067,0)</f>
        <v>0</v>
      </c>
      <c r="BO1067" s="991">
        <f>IF(AND(Input_Product=Elig!$C1067,Elig_MatchAll_Ct&lt;22,$BC1067=(Elig_MatchAll_Ct-1),AM1067=0),J1067,0)</f>
        <v>0</v>
      </c>
      <c r="BP1067" s="991">
        <f>IF(AND(Input_Product=Elig!$C1067,Elig_MatchAll_Ct&lt;22,$BC1067=(Elig_MatchAll_Ct-1),AN1067=0),K1067,0)</f>
        <v>0</v>
      </c>
      <c r="BQ1067" s="991">
        <f>IF(AND(Input_Product=Elig!$C1067,Elig_MatchAll_Ct&lt;22,$BC1067=(Elig_MatchAll_Ct-1),AP1067=0),L1067,0)</f>
        <v>0</v>
      </c>
      <c r="BR1067" s="991">
        <f>IF(AND(Input_Product=Elig!$C1067,Elig_MatchAll_Ct&lt;22,$BC1067=(Elig_MatchAll_Ct-1),AO1067=0),M1067,0)</f>
        <v>0</v>
      </c>
      <c r="BS1067" s="991">
        <f>IF(AND(Input_Product=Elig!$C1067,Elig_MatchAll_Ct&lt;22,$BC1067=(Elig_MatchAll_Ct-1),AQ1067=0),N1067,0)</f>
        <v>0</v>
      </c>
      <c r="BT1067" s="991">
        <f>IF(AND(Input_Product=Elig!$C1067,Elig_MatchAll_Ct&lt;22,$BC1067=(Elig_MatchAll_Ct-1),AR1067=0),O1067,0)</f>
        <v>0</v>
      </c>
      <c r="BU1067" s="991">
        <f>IF(AND(Input_Product=Elig!$C1067,Elig_MatchAll_Ct&lt;22,$BC1067=(Elig_MatchAll_Ct-1),AS1067=0),P1067,0)</f>
        <v>0</v>
      </c>
      <c r="BV1067" s="992">
        <f>IF(AND(Input_Product=Elig!$C1067,Elig_MatchAll_Ct&lt;22,$BC1067=(Elig_MatchAll_Ct-1),AT1067=0),Q1067,0)</f>
        <v>0</v>
      </c>
      <c r="BW1067" s="993">
        <f>IF(AND(Input_Product=Elig!$C1067,Elig_MatchAll_Ct&lt;22,$BC1067=(Elig_MatchAll_Ct-1),AU1067=0),R1067,0)</f>
        <v>0</v>
      </c>
      <c r="BX1067" s="994">
        <f>IF(AND(Input_Product=Elig!$C1067,Elig_MatchAll_Ct&lt;22,$BC1067=(Elig_MatchAll_Ct-1),AU1067=0),S1067,0)</f>
        <v>0</v>
      </c>
      <c r="BY1067" s="993">
        <f>IF(AND(Input_Product=Elig!$C1067,Elig_MatchAll_Ct&lt;22,$BC1067=(Elig_MatchAll_Ct-1),AV1067=0),T1067,0)</f>
        <v>0</v>
      </c>
      <c r="BZ1067" s="994">
        <f>IF(AND(Input_Product=Elig!$C1067,Elig_MatchAll_Ct&lt;22,$BC1067=(Elig_MatchAll_Ct-1),AV1067=0),U1067,0)</f>
        <v>0</v>
      </c>
      <c r="CA1067" s="993">
        <f>IF(AND(Input_Product=Elig!$C1067,Elig_MatchAll_Ct&lt;22,$BC1067=(Elig_MatchAll_Ct-1),AW1067=0),V1067,0)</f>
        <v>0</v>
      </c>
      <c r="CB1067" s="994">
        <f>IF(AND(Input_Product=Elig!$C1067,Elig_MatchAll_Ct&lt;22,$BC1067=(Elig_MatchAll_Ct-1),AW1067=0),W1067,0)</f>
        <v>0</v>
      </c>
      <c r="CC1067" s="993">
        <f>IF(AND(Input_Product=Elig!$C1067,Elig_MatchAll_Ct&lt;22,$BC1067=(Elig_MatchAll_Ct-1),AX1067=0),X1067,0)</f>
        <v>0</v>
      </c>
      <c r="CD1067" s="994">
        <f>IF(AND(Input_Product=Elig!$C1067,Elig_MatchAll_Ct&lt;22,$BC1067=(Elig_MatchAll_Ct-1),AX1067=0),Y1067,0)</f>
        <v>0</v>
      </c>
      <c r="CE1067" s="993">
        <f>IF(AND(Input_LTV&lt;=AE1067,Input_Product=Elig!$C1067,Elig_MatchAll_Ct&lt;22,$BC1067=(Elig_MatchAll_Ct-1),AY1067=0),Z1067,0)</f>
        <v>0</v>
      </c>
      <c r="CF1067" s="994">
        <f>IF(AND(Input_LTV&lt;=AE1067,Input_Product=Elig!$C1067,Elig_MatchAll_Ct&lt;22,$BC1067=(Elig_MatchAll_Ct-1),AY1067=0),AA1067,0)</f>
        <v>0</v>
      </c>
      <c r="CG1067" s="993">
        <f>IF(AND(Input_Product=Elig!$C1067,Elig_MatchAll_Ct&lt;22,$BC1067=(Elig_MatchAll_Ct-1),AZ1067=0),AB1067,0)</f>
        <v>0</v>
      </c>
      <c r="CH1067" s="994">
        <f>IF(AND(Input_Product=Elig!$C1067,Elig_MatchAll_Ct&lt;22,$BC1067=(Elig_MatchAll_Ct-1),AZ1067=0),AC1067,0)</f>
        <v>0</v>
      </c>
      <c r="CI1067" s="993">
        <f>IF(AND(Input_Product=Elig!$C1067,Elig_MatchAll_Ct&lt;22,$BC1067=(Elig_MatchAll_Ct-1),BA1067=0),AD1067,0)</f>
        <v>0</v>
      </c>
      <c r="CJ1067" s="994">
        <f>IF(AND(Input_Product=Elig!$C1067,Elig_MatchAll_Ct&lt;22,$BC1067=(Elig_MatchAll_Ct-1),BA1067=0),AE1067,0)</f>
        <v>0</v>
      </c>
    </row>
    <row r="1068" spans="2:88" ht="10.15" customHeight="1" x14ac:dyDescent="0.25">
      <c r="B1068" s="1916" t="s">
        <v>2706</v>
      </c>
      <c r="C1068" s="1208" t="str">
        <f t="shared" si="402"/>
        <v xml:space="preserve">  </v>
      </c>
      <c r="D1068" s="1209" t="s">
        <v>2218</v>
      </c>
      <c r="E1068" s="1209" t="s">
        <v>167</v>
      </c>
      <c r="F1068" s="1209" t="s">
        <v>331</v>
      </c>
      <c r="G1068" s="1210" t="s">
        <v>179</v>
      </c>
      <c r="H1068" s="1210" t="s">
        <v>136</v>
      </c>
      <c r="I1068" s="1209" t="s">
        <v>16</v>
      </c>
      <c r="J1068" s="1209" t="s">
        <v>1311</v>
      </c>
      <c r="K1068" s="1210" t="s">
        <v>3022</v>
      </c>
      <c r="L1068" s="1209" t="s">
        <v>2768</v>
      </c>
      <c r="M1068" s="1209" t="s">
        <v>2677</v>
      </c>
      <c r="N1068" s="1210" t="s">
        <v>82</v>
      </c>
      <c r="O1068" s="1209" t="s">
        <v>310</v>
      </c>
      <c r="P1068" s="1209" t="s">
        <v>291</v>
      </c>
      <c r="Q1068" s="1209" t="s">
        <v>294</v>
      </c>
      <c r="R1068" s="1209">
        <v>1500000.01</v>
      </c>
      <c r="S1068" s="1209">
        <v>2000000</v>
      </c>
      <c r="T1068" s="1209">
        <v>0</v>
      </c>
      <c r="U1068" s="1209">
        <f t="shared" si="400"/>
        <v>2000000</v>
      </c>
      <c r="V1068" s="1209">
        <v>0</v>
      </c>
      <c r="W1068" s="1209">
        <v>50</v>
      </c>
      <c r="X1068" s="1209">
        <v>0</v>
      </c>
      <c r="Y1068" s="1209">
        <v>999</v>
      </c>
      <c r="Z1068" s="1211">
        <v>700</v>
      </c>
      <c r="AA1068" s="1211">
        <v>719</v>
      </c>
      <c r="AB1068" s="1211">
        <v>6</v>
      </c>
      <c r="AC1068" s="1211">
        <v>999999</v>
      </c>
      <c r="AD1068" s="1209">
        <v>0</v>
      </c>
      <c r="AE1068" s="1212">
        <v>75</v>
      </c>
      <c r="AF1068" s="170">
        <v>0</v>
      </c>
      <c r="AG1068" s="171">
        <v>1</v>
      </c>
      <c r="AH1068" s="171">
        <v>1</v>
      </c>
      <c r="AI1068" s="171">
        <v>1</v>
      </c>
      <c r="AJ1068" s="171">
        <v>0</v>
      </c>
      <c r="AK1068" s="171">
        <v>1</v>
      </c>
      <c r="AL1068" s="171">
        <v>1</v>
      </c>
      <c r="AM1068" s="171">
        <v>1</v>
      </c>
      <c r="AN1068" s="171">
        <v>1</v>
      </c>
      <c r="AO1068" s="171">
        <v>1</v>
      </c>
      <c r="AP1068" s="171">
        <v>1</v>
      </c>
      <c r="AQ1068" s="171">
        <v>1</v>
      </c>
      <c r="AR1068" s="171">
        <v>1</v>
      </c>
      <c r="AS1068" s="171">
        <v>1</v>
      </c>
      <c r="AT1068" s="171">
        <v>1</v>
      </c>
      <c r="AU1068" s="171">
        <f t="shared" si="404"/>
        <v>0</v>
      </c>
      <c r="AV1068" s="171">
        <f t="shared" si="405"/>
        <v>1</v>
      </c>
      <c r="AW1068" s="171">
        <f t="shared" si="406"/>
        <v>1</v>
      </c>
      <c r="AX1068" s="171">
        <f t="shared" si="414"/>
        <v>1</v>
      </c>
      <c r="AY1068" s="171">
        <f t="shared" si="407"/>
        <v>0</v>
      </c>
      <c r="AZ1068" s="171">
        <f t="shared" si="408"/>
        <v>1</v>
      </c>
      <c r="BA1068" s="172">
        <f t="shared" si="409"/>
        <v>1</v>
      </c>
      <c r="BB1068" s="175">
        <f t="shared" si="411"/>
        <v>18</v>
      </c>
      <c r="BC1068" s="176">
        <f t="shared" si="412"/>
        <v>17</v>
      </c>
      <c r="BD1068" s="176">
        <f t="shared" si="413"/>
        <v>18</v>
      </c>
      <c r="BE1068" s="240" t="str">
        <f t="shared" si="403"/>
        <v/>
      </c>
      <c r="BF1068" s="990"/>
      <c r="BG1068" s="990"/>
      <c r="BH1068" s="991">
        <f>IF(AND(Input_Product=Elig!$C1068,Elig_MatchAll_Ct&lt;22,$BC1068=(Elig_MatchAll_Ct-1),AF1068=0),C1068,0)</f>
        <v>0</v>
      </c>
      <c r="BI1068" s="991">
        <f>IF(AND(Input_Product=Elig!$C1068,Elig_MatchAll_Ct&lt;22,$BC1068=(Elig_MatchAll_Ct-1),AG1068=0),D1068,0)</f>
        <v>0</v>
      </c>
      <c r="BJ1068" s="991">
        <f>IF(AND(Input_Product=Elig!$C1068,Elig_MatchAll_Ct&lt;22,$BC1068=(Elig_MatchAll_Ct-1),AH1068=0),E1068,0)</f>
        <v>0</v>
      </c>
      <c r="BK1068" s="991">
        <f>IF(AND(Input_Product=Elig!$C1068,Elig_MatchAll_Ct&lt;22,$BC1068=(Elig_MatchAll_Ct-1),AI1068=0),F1068,0)</f>
        <v>0</v>
      </c>
      <c r="BL1068" s="991">
        <f>IF(AND(Input_Product=Elig!$C1068,Elig_MatchAll_Ct&lt;22,$BC1068=(Elig_MatchAll_Ct-1),AJ1068=0),G1068,0)</f>
        <v>0</v>
      </c>
      <c r="BM1068" s="991">
        <f>IF(AND(Input_Product=Elig!$C1068,Elig_MatchAll_Ct&lt;22,$BC1068=(Elig_MatchAll_Ct-1),AK1068=0),H1068,0)</f>
        <v>0</v>
      </c>
      <c r="BN1068" s="991">
        <f>IF(AND(Input_Product=Elig!$C1068,Elig_MatchAll_Ct&lt;22,$BC1068=(Elig_MatchAll_Ct-1),AL1068=0),I1068,0)</f>
        <v>0</v>
      </c>
      <c r="BO1068" s="991">
        <f>IF(AND(Input_Product=Elig!$C1068,Elig_MatchAll_Ct&lt;22,$BC1068=(Elig_MatchAll_Ct-1),AM1068=0),J1068,0)</f>
        <v>0</v>
      </c>
      <c r="BP1068" s="991">
        <f>IF(AND(Input_Product=Elig!$C1068,Elig_MatchAll_Ct&lt;22,$BC1068=(Elig_MatchAll_Ct-1),AN1068=0),K1068,0)</f>
        <v>0</v>
      </c>
      <c r="BQ1068" s="991">
        <f>IF(AND(Input_Product=Elig!$C1068,Elig_MatchAll_Ct&lt;22,$BC1068=(Elig_MatchAll_Ct-1),AP1068=0),L1068,0)</f>
        <v>0</v>
      </c>
      <c r="BR1068" s="991">
        <f>IF(AND(Input_Product=Elig!$C1068,Elig_MatchAll_Ct&lt;22,$BC1068=(Elig_MatchAll_Ct-1),AO1068=0),M1068,0)</f>
        <v>0</v>
      </c>
      <c r="BS1068" s="991">
        <f>IF(AND(Input_Product=Elig!$C1068,Elig_MatchAll_Ct&lt;22,$BC1068=(Elig_MatchAll_Ct-1),AQ1068=0),N1068,0)</f>
        <v>0</v>
      </c>
      <c r="BT1068" s="991">
        <f>IF(AND(Input_Product=Elig!$C1068,Elig_MatchAll_Ct&lt;22,$BC1068=(Elig_MatchAll_Ct-1),AR1068=0),O1068,0)</f>
        <v>0</v>
      </c>
      <c r="BU1068" s="991">
        <f>IF(AND(Input_Product=Elig!$C1068,Elig_MatchAll_Ct&lt;22,$BC1068=(Elig_MatchAll_Ct-1),AS1068=0),P1068,0)</f>
        <v>0</v>
      </c>
      <c r="BV1068" s="992">
        <f>IF(AND(Input_Product=Elig!$C1068,Elig_MatchAll_Ct&lt;22,$BC1068=(Elig_MatchAll_Ct-1),AT1068=0),Q1068,0)</f>
        <v>0</v>
      </c>
      <c r="BW1068" s="993">
        <f>IF(AND(Input_Product=Elig!$C1068,Elig_MatchAll_Ct&lt;22,$BC1068=(Elig_MatchAll_Ct-1),AU1068=0),R1068,0)</f>
        <v>0</v>
      </c>
      <c r="BX1068" s="994">
        <f>IF(AND(Input_Product=Elig!$C1068,Elig_MatchAll_Ct&lt;22,$BC1068=(Elig_MatchAll_Ct-1),AU1068=0),S1068,0)</f>
        <v>0</v>
      </c>
      <c r="BY1068" s="993">
        <f>IF(AND(Input_Product=Elig!$C1068,Elig_MatchAll_Ct&lt;22,$BC1068=(Elig_MatchAll_Ct-1),AV1068=0),T1068,0)</f>
        <v>0</v>
      </c>
      <c r="BZ1068" s="994">
        <f>IF(AND(Input_Product=Elig!$C1068,Elig_MatchAll_Ct&lt;22,$BC1068=(Elig_MatchAll_Ct-1),AV1068=0),U1068,0)</f>
        <v>0</v>
      </c>
      <c r="CA1068" s="993">
        <f>IF(AND(Input_Product=Elig!$C1068,Elig_MatchAll_Ct&lt;22,$BC1068=(Elig_MatchAll_Ct-1),AW1068=0),V1068,0)</f>
        <v>0</v>
      </c>
      <c r="CB1068" s="994">
        <f>IF(AND(Input_Product=Elig!$C1068,Elig_MatchAll_Ct&lt;22,$BC1068=(Elig_MatchAll_Ct-1),AW1068=0),W1068,0)</f>
        <v>0</v>
      </c>
      <c r="CC1068" s="993">
        <f>IF(AND(Input_Product=Elig!$C1068,Elig_MatchAll_Ct&lt;22,$BC1068=(Elig_MatchAll_Ct-1),AX1068=0),X1068,0)</f>
        <v>0</v>
      </c>
      <c r="CD1068" s="994">
        <f>IF(AND(Input_Product=Elig!$C1068,Elig_MatchAll_Ct&lt;22,$BC1068=(Elig_MatchAll_Ct-1),AX1068=0),Y1068,0)</f>
        <v>0</v>
      </c>
      <c r="CE1068" s="993">
        <f>IF(AND(Input_LTV&lt;=AE1068,Input_Product=Elig!$C1068,Elig_MatchAll_Ct&lt;22,$BC1068=(Elig_MatchAll_Ct-1),AY1068=0),Z1068,0)</f>
        <v>0</v>
      </c>
      <c r="CF1068" s="994">
        <f>IF(AND(Input_LTV&lt;=AE1068,Input_Product=Elig!$C1068,Elig_MatchAll_Ct&lt;22,$BC1068=(Elig_MatchAll_Ct-1),AY1068=0),AA1068,0)</f>
        <v>0</v>
      </c>
      <c r="CG1068" s="993">
        <f>IF(AND(Input_Product=Elig!$C1068,Elig_MatchAll_Ct&lt;22,$BC1068=(Elig_MatchAll_Ct-1),AZ1068=0),AB1068,0)</f>
        <v>0</v>
      </c>
      <c r="CH1068" s="994">
        <f>IF(AND(Input_Product=Elig!$C1068,Elig_MatchAll_Ct&lt;22,$BC1068=(Elig_MatchAll_Ct-1),AZ1068=0),AC1068,0)</f>
        <v>0</v>
      </c>
      <c r="CI1068" s="993">
        <f>IF(AND(Input_Product=Elig!$C1068,Elig_MatchAll_Ct&lt;22,$BC1068=(Elig_MatchAll_Ct-1),BA1068=0),AD1068,0)</f>
        <v>0</v>
      </c>
      <c r="CJ1068" s="994">
        <f>IF(AND(Input_Product=Elig!$C1068,Elig_MatchAll_Ct&lt;22,$BC1068=(Elig_MatchAll_Ct-1),BA1068=0),AE1068,0)</f>
        <v>0</v>
      </c>
    </row>
    <row r="1069" spans="2:88" ht="10.15" customHeight="1" x14ac:dyDescent="0.25">
      <c r="B1069" s="1916" t="s">
        <v>2707</v>
      </c>
      <c r="C1069" s="1208" t="str">
        <f t="shared" si="402"/>
        <v xml:space="preserve">  </v>
      </c>
      <c r="D1069" s="1209" t="s">
        <v>2218</v>
      </c>
      <c r="E1069" s="1209" t="s">
        <v>167</v>
      </c>
      <c r="F1069" s="1209" t="s">
        <v>331</v>
      </c>
      <c r="G1069" s="1210" t="s">
        <v>179</v>
      </c>
      <c r="H1069" s="1210" t="s">
        <v>136</v>
      </c>
      <c r="I1069" s="1209" t="s">
        <v>16</v>
      </c>
      <c r="J1069" s="1209" t="s">
        <v>1311</v>
      </c>
      <c r="K1069" s="1210" t="s">
        <v>3022</v>
      </c>
      <c r="L1069" s="1209" t="s">
        <v>2768</v>
      </c>
      <c r="M1069" s="1209" t="s">
        <v>2677</v>
      </c>
      <c r="N1069" s="1210" t="s">
        <v>82</v>
      </c>
      <c r="O1069" s="1209" t="s">
        <v>310</v>
      </c>
      <c r="P1069" s="1209" t="s">
        <v>291</v>
      </c>
      <c r="Q1069" s="1209" t="s">
        <v>294</v>
      </c>
      <c r="R1069" s="1209">
        <v>1500000.01</v>
      </c>
      <c r="S1069" s="1209">
        <v>2000000</v>
      </c>
      <c r="T1069" s="1209">
        <v>0</v>
      </c>
      <c r="U1069" s="1209">
        <f t="shared" si="400"/>
        <v>2000000</v>
      </c>
      <c r="V1069" s="1209">
        <v>0</v>
      </c>
      <c r="W1069" s="1209">
        <v>50</v>
      </c>
      <c r="X1069" s="1209">
        <v>0</v>
      </c>
      <c r="Y1069" s="1209">
        <v>999</v>
      </c>
      <c r="Z1069" s="1211">
        <v>680</v>
      </c>
      <c r="AA1069" s="1211">
        <v>699</v>
      </c>
      <c r="AB1069" s="1211">
        <v>6</v>
      </c>
      <c r="AC1069" s="1211">
        <v>999999</v>
      </c>
      <c r="AD1069" s="1209">
        <v>0</v>
      </c>
      <c r="AE1069" s="1212">
        <v>75</v>
      </c>
      <c r="AF1069" s="170">
        <v>0</v>
      </c>
      <c r="AG1069" s="171">
        <v>1</v>
      </c>
      <c r="AH1069" s="171">
        <v>1</v>
      </c>
      <c r="AI1069" s="171">
        <v>1</v>
      </c>
      <c r="AJ1069" s="171">
        <v>0</v>
      </c>
      <c r="AK1069" s="171">
        <v>1</v>
      </c>
      <c r="AL1069" s="171">
        <v>1</v>
      </c>
      <c r="AM1069" s="171">
        <v>1</v>
      </c>
      <c r="AN1069" s="171">
        <v>1</v>
      </c>
      <c r="AO1069" s="171">
        <v>1</v>
      </c>
      <c r="AP1069" s="171">
        <v>1</v>
      </c>
      <c r="AQ1069" s="171">
        <v>1</v>
      </c>
      <c r="AR1069" s="171">
        <v>1</v>
      </c>
      <c r="AS1069" s="171">
        <v>1</v>
      </c>
      <c r="AT1069" s="171">
        <v>1</v>
      </c>
      <c r="AU1069" s="171">
        <f t="shared" si="404"/>
        <v>0</v>
      </c>
      <c r="AV1069" s="171">
        <f t="shared" si="405"/>
        <v>1</v>
      </c>
      <c r="AW1069" s="171">
        <f t="shared" si="406"/>
        <v>1</v>
      </c>
      <c r="AX1069" s="171">
        <f t="shared" si="414"/>
        <v>1</v>
      </c>
      <c r="AY1069" s="171">
        <f t="shared" si="407"/>
        <v>0</v>
      </c>
      <c r="AZ1069" s="171">
        <f t="shared" si="408"/>
        <v>1</v>
      </c>
      <c r="BA1069" s="172">
        <f t="shared" si="409"/>
        <v>1</v>
      </c>
      <c r="BB1069" s="175">
        <f t="shared" si="411"/>
        <v>18</v>
      </c>
      <c r="BC1069" s="176">
        <f t="shared" si="412"/>
        <v>17</v>
      </c>
      <c r="BD1069" s="176">
        <f t="shared" si="413"/>
        <v>18</v>
      </c>
      <c r="BE1069" s="240" t="str">
        <f t="shared" si="403"/>
        <v/>
      </c>
      <c r="BF1069" s="990"/>
      <c r="BG1069" s="990"/>
      <c r="BH1069" s="991">
        <f>IF(AND(Input_Product=Elig!$C1069,Elig_MatchAll_Ct&lt;22,$BC1069=(Elig_MatchAll_Ct-1),AF1069=0),C1069,0)</f>
        <v>0</v>
      </c>
      <c r="BI1069" s="991">
        <f>IF(AND(Input_Product=Elig!$C1069,Elig_MatchAll_Ct&lt;22,$BC1069=(Elig_MatchAll_Ct-1),AG1069=0),D1069,0)</f>
        <v>0</v>
      </c>
      <c r="BJ1069" s="991">
        <f>IF(AND(Input_Product=Elig!$C1069,Elig_MatchAll_Ct&lt;22,$BC1069=(Elig_MatchAll_Ct-1),AH1069=0),E1069,0)</f>
        <v>0</v>
      </c>
      <c r="BK1069" s="991">
        <f>IF(AND(Input_Product=Elig!$C1069,Elig_MatchAll_Ct&lt;22,$BC1069=(Elig_MatchAll_Ct-1),AI1069=0),F1069,0)</f>
        <v>0</v>
      </c>
      <c r="BL1069" s="991">
        <f>IF(AND(Input_Product=Elig!$C1069,Elig_MatchAll_Ct&lt;22,$BC1069=(Elig_MatchAll_Ct-1),AJ1069=0),G1069,0)</f>
        <v>0</v>
      </c>
      <c r="BM1069" s="991">
        <f>IF(AND(Input_Product=Elig!$C1069,Elig_MatchAll_Ct&lt;22,$BC1069=(Elig_MatchAll_Ct-1),AK1069=0),H1069,0)</f>
        <v>0</v>
      </c>
      <c r="BN1069" s="991">
        <f>IF(AND(Input_Product=Elig!$C1069,Elig_MatchAll_Ct&lt;22,$BC1069=(Elig_MatchAll_Ct-1),AL1069=0),I1069,0)</f>
        <v>0</v>
      </c>
      <c r="BO1069" s="991">
        <f>IF(AND(Input_Product=Elig!$C1069,Elig_MatchAll_Ct&lt;22,$BC1069=(Elig_MatchAll_Ct-1),AM1069=0),J1069,0)</f>
        <v>0</v>
      </c>
      <c r="BP1069" s="991">
        <f>IF(AND(Input_Product=Elig!$C1069,Elig_MatchAll_Ct&lt;22,$BC1069=(Elig_MatchAll_Ct-1),AN1069=0),K1069,0)</f>
        <v>0</v>
      </c>
      <c r="BQ1069" s="991">
        <f>IF(AND(Input_Product=Elig!$C1069,Elig_MatchAll_Ct&lt;22,$BC1069=(Elig_MatchAll_Ct-1),AP1069=0),L1069,0)</f>
        <v>0</v>
      </c>
      <c r="BR1069" s="991">
        <f>IF(AND(Input_Product=Elig!$C1069,Elig_MatchAll_Ct&lt;22,$BC1069=(Elig_MatchAll_Ct-1),AO1069=0),M1069,0)</f>
        <v>0</v>
      </c>
      <c r="BS1069" s="991">
        <f>IF(AND(Input_Product=Elig!$C1069,Elig_MatchAll_Ct&lt;22,$BC1069=(Elig_MatchAll_Ct-1),AQ1069=0),N1069,0)</f>
        <v>0</v>
      </c>
      <c r="BT1069" s="991">
        <f>IF(AND(Input_Product=Elig!$C1069,Elig_MatchAll_Ct&lt;22,$BC1069=(Elig_MatchAll_Ct-1),AR1069=0),O1069,0)</f>
        <v>0</v>
      </c>
      <c r="BU1069" s="991">
        <f>IF(AND(Input_Product=Elig!$C1069,Elig_MatchAll_Ct&lt;22,$BC1069=(Elig_MatchAll_Ct-1),AS1069=0),P1069,0)</f>
        <v>0</v>
      </c>
      <c r="BV1069" s="992">
        <f>IF(AND(Input_Product=Elig!$C1069,Elig_MatchAll_Ct&lt;22,$BC1069=(Elig_MatchAll_Ct-1),AT1069=0),Q1069,0)</f>
        <v>0</v>
      </c>
      <c r="BW1069" s="993">
        <f>IF(AND(Input_Product=Elig!$C1069,Elig_MatchAll_Ct&lt;22,$BC1069=(Elig_MatchAll_Ct-1),AU1069=0),R1069,0)</f>
        <v>0</v>
      </c>
      <c r="BX1069" s="994">
        <f>IF(AND(Input_Product=Elig!$C1069,Elig_MatchAll_Ct&lt;22,$BC1069=(Elig_MatchAll_Ct-1),AU1069=0),S1069,0)</f>
        <v>0</v>
      </c>
      <c r="BY1069" s="993">
        <f>IF(AND(Input_Product=Elig!$C1069,Elig_MatchAll_Ct&lt;22,$BC1069=(Elig_MatchAll_Ct-1),AV1069=0),T1069,0)</f>
        <v>0</v>
      </c>
      <c r="BZ1069" s="994">
        <f>IF(AND(Input_Product=Elig!$C1069,Elig_MatchAll_Ct&lt;22,$BC1069=(Elig_MatchAll_Ct-1),AV1069=0),U1069,0)</f>
        <v>0</v>
      </c>
      <c r="CA1069" s="993">
        <f>IF(AND(Input_Product=Elig!$C1069,Elig_MatchAll_Ct&lt;22,$BC1069=(Elig_MatchAll_Ct-1),AW1069=0),V1069,0)</f>
        <v>0</v>
      </c>
      <c r="CB1069" s="994">
        <f>IF(AND(Input_Product=Elig!$C1069,Elig_MatchAll_Ct&lt;22,$BC1069=(Elig_MatchAll_Ct-1),AW1069=0),W1069,0)</f>
        <v>0</v>
      </c>
      <c r="CC1069" s="993">
        <f>IF(AND(Input_Product=Elig!$C1069,Elig_MatchAll_Ct&lt;22,$BC1069=(Elig_MatchAll_Ct-1),AX1069=0),X1069,0)</f>
        <v>0</v>
      </c>
      <c r="CD1069" s="994">
        <f>IF(AND(Input_Product=Elig!$C1069,Elig_MatchAll_Ct&lt;22,$BC1069=(Elig_MatchAll_Ct-1),AX1069=0),Y1069,0)</f>
        <v>0</v>
      </c>
      <c r="CE1069" s="993">
        <f>IF(AND(Input_LTV&lt;=AE1069,Input_Product=Elig!$C1069,Elig_MatchAll_Ct&lt;22,$BC1069=(Elig_MatchAll_Ct-1),AY1069=0),Z1069,0)</f>
        <v>0</v>
      </c>
      <c r="CF1069" s="994">
        <f>IF(AND(Input_LTV&lt;=AE1069,Input_Product=Elig!$C1069,Elig_MatchAll_Ct&lt;22,$BC1069=(Elig_MatchAll_Ct-1),AY1069=0),AA1069,0)</f>
        <v>0</v>
      </c>
      <c r="CG1069" s="993">
        <f>IF(AND(Input_Product=Elig!$C1069,Elig_MatchAll_Ct&lt;22,$BC1069=(Elig_MatchAll_Ct-1),AZ1069=0),AB1069,0)</f>
        <v>0</v>
      </c>
      <c r="CH1069" s="994">
        <f>IF(AND(Input_Product=Elig!$C1069,Elig_MatchAll_Ct&lt;22,$BC1069=(Elig_MatchAll_Ct-1),AZ1069=0),AC1069,0)</f>
        <v>0</v>
      </c>
      <c r="CI1069" s="993">
        <f>IF(AND(Input_Product=Elig!$C1069,Elig_MatchAll_Ct&lt;22,$BC1069=(Elig_MatchAll_Ct-1),BA1069=0),AD1069,0)</f>
        <v>0</v>
      </c>
      <c r="CJ1069" s="994">
        <f>IF(AND(Input_Product=Elig!$C1069,Elig_MatchAll_Ct&lt;22,$BC1069=(Elig_MatchAll_Ct-1),BA1069=0),AE1069,0)</f>
        <v>0</v>
      </c>
    </row>
    <row r="1070" spans="2:88" ht="10.15" customHeight="1" x14ac:dyDescent="0.25">
      <c r="B1070" s="1916" t="s">
        <v>2708</v>
      </c>
      <c r="C1070" s="1213" t="str">
        <f t="shared" si="402"/>
        <v xml:space="preserve">  </v>
      </c>
      <c r="D1070" s="1214" t="s">
        <v>2218</v>
      </c>
      <c r="E1070" s="1214" t="s">
        <v>167</v>
      </c>
      <c r="F1070" s="1214" t="s">
        <v>331</v>
      </c>
      <c r="G1070" s="1215" t="s">
        <v>179</v>
      </c>
      <c r="H1070" s="1215" t="s">
        <v>136</v>
      </c>
      <c r="I1070" s="1214" t="s">
        <v>16</v>
      </c>
      <c r="J1070" s="1214" t="s">
        <v>1311</v>
      </c>
      <c r="K1070" s="1215" t="s">
        <v>3022</v>
      </c>
      <c r="L1070" s="1214" t="s">
        <v>2768</v>
      </c>
      <c r="M1070" s="1214" t="s">
        <v>2677</v>
      </c>
      <c r="N1070" s="1215" t="s">
        <v>82</v>
      </c>
      <c r="O1070" s="1214" t="s">
        <v>310</v>
      </c>
      <c r="P1070" s="1214" t="s">
        <v>291</v>
      </c>
      <c r="Q1070" s="1214" t="s">
        <v>294</v>
      </c>
      <c r="R1070" s="1214">
        <v>1500000.01</v>
      </c>
      <c r="S1070" s="1214">
        <v>2000000</v>
      </c>
      <c r="T1070" s="1214">
        <v>0</v>
      </c>
      <c r="U1070" s="1214">
        <f t="shared" ref="U1070:U1091" si="415">S1070</f>
        <v>2000000</v>
      </c>
      <c r="V1070" s="1214">
        <v>0</v>
      </c>
      <c r="W1070" s="1214">
        <v>50</v>
      </c>
      <c r="X1070" s="1214">
        <v>0</v>
      </c>
      <c r="Y1070" s="1214">
        <v>999</v>
      </c>
      <c r="Z1070" s="1216">
        <v>660</v>
      </c>
      <c r="AA1070" s="1216">
        <v>679</v>
      </c>
      <c r="AB1070" s="1216">
        <v>6</v>
      </c>
      <c r="AC1070" s="1216">
        <v>999999</v>
      </c>
      <c r="AD1070" s="1214">
        <v>0</v>
      </c>
      <c r="AE1070" s="1217">
        <v>70</v>
      </c>
      <c r="AF1070" s="170">
        <v>0</v>
      </c>
      <c r="AG1070" s="171">
        <v>1</v>
      </c>
      <c r="AH1070" s="171">
        <v>1</v>
      </c>
      <c r="AI1070" s="171">
        <v>1</v>
      </c>
      <c r="AJ1070" s="171">
        <v>0</v>
      </c>
      <c r="AK1070" s="171">
        <v>1</v>
      </c>
      <c r="AL1070" s="171">
        <v>1</v>
      </c>
      <c r="AM1070" s="171">
        <v>1</v>
      </c>
      <c r="AN1070" s="171">
        <v>1</v>
      </c>
      <c r="AO1070" s="171">
        <v>1</v>
      </c>
      <c r="AP1070" s="171">
        <v>1</v>
      </c>
      <c r="AQ1070" s="171">
        <v>1</v>
      </c>
      <c r="AR1070" s="171">
        <v>1</v>
      </c>
      <c r="AS1070" s="171">
        <v>1</v>
      </c>
      <c r="AT1070" s="171">
        <v>1</v>
      </c>
      <c r="AU1070" s="171">
        <f t="shared" si="404"/>
        <v>0</v>
      </c>
      <c r="AV1070" s="171">
        <f t="shared" si="405"/>
        <v>1</v>
      </c>
      <c r="AW1070" s="171">
        <f t="shared" si="406"/>
        <v>1</v>
      </c>
      <c r="AX1070" s="171">
        <f t="shared" si="414"/>
        <v>1</v>
      </c>
      <c r="AY1070" s="171">
        <f t="shared" si="407"/>
        <v>0</v>
      </c>
      <c r="AZ1070" s="171">
        <f t="shared" si="408"/>
        <v>1</v>
      </c>
      <c r="BA1070" s="172">
        <f t="shared" si="409"/>
        <v>1</v>
      </c>
      <c r="BB1070" s="175">
        <f t="shared" si="411"/>
        <v>18</v>
      </c>
      <c r="BC1070" s="176">
        <f t="shared" si="412"/>
        <v>17</v>
      </c>
      <c r="BD1070" s="176">
        <f t="shared" si="413"/>
        <v>18</v>
      </c>
      <c r="BE1070" s="240" t="str">
        <f t="shared" si="403"/>
        <v/>
      </c>
      <c r="BF1070" s="990"/>
      <c r="BG1070" s="990"/>
      <c r="BH1070" s="991">
        <f>IF(AND(Input_Product=Elig!$C1070,Elig_MatchAll_Ct&lt;22,$BC1070=(Elig_MatchAll_Ct-1),AF1070=0),C1070,0)</f>
        <v>0</v>
      </c>
      <c r="BI1070" s="991">
        <f>IF(AND(Input_Product=Elig!$C1070,Elig_MatchAll_Ct&lt;22,$BC1070=(Elig_MatchAll_Ct-1),AG1070=0),D1070,0)</f>
        <v>0</v>
      </c>
      <c r="BJ1070" s="991">
        <f>IF(AND(Input_Product=Elig!$C1070,Elig_MatchAll_Ct&lt;22,$BC1070=(Elig_MatchAll_Ct-1),AH1070=0),E1070,0)</f>
        <v>0</v>
      </c>
      <c r="BK1070" s="991">
        <f>IF(AND(Input_Product=Elig!$C1070,Elig_MatchAll_Ct&lt;22,$BC1070=(Elig_MatchAll_Ct-1),AI1070=0),F1070,0)</f>
        <v>0</v>
      </c>
      <c r="BL1070" s="991">
        <f>IF(AND(Input_Product=Elig!$C1070,Elig_MatchAll_Ct&lt;22,$BC1070=(Elig_MatchAll_Ct-1),AJ1070=0),G1070,0)</f>
        <v>0</v>
      </c>
      <c r="BM1070" s="991">
        <f>IF(AND(Input_Product=Elig!$C1070,Elig_MatchAll_Ct&lt;22,$BC1070=(Elig_MatchAll_Ct-1),AK1070=0),H1070,0)</f>
        <v>0</v>
      </c>
      <c r="BN1070" s="991">
        <f>IF(AND(Input_Product=Elig!$C1070,Elig_MatchAll_Ct&lt;22,$BC1070=(Elig_MatchAll_Ct-1),AL1070=0),I1070,0)</f>
        <v>0</v>
      </c>
      <c r="BO1070" s="991">
        <f>IF(AND(Input_Product=Elig!$C1070,Elig_MatchAll_Ct&lt;22,$BC1070=(Elig_MatchAll_Ct-1),AM1070=0),J1070,0)</f>
        <v>0</v>
      </c>
      <c r="BP1070" s="991">
        <f>IF(AND(Input_Product=Elig!$C1070,Elig_MatchAll_Ct&lt;22,$BC1070=(Elig_MatchAll_Ct-1),AN1070=0),K1070,0)</f>
        <v>0</v>
      </c>
      <c r="BQ1070" s="991">
        <f>IF(AND(Input_Product=Elig!$C1070,Elig_MatchAll_Ct&lt;22,$BC1070=(Elig_MatchAll_Ct-1),AP1070=0),L1070,0)</f>
        <v>0</v>
      </c>
      <c r="BR1070" s="991">
        <f>IF(AND(Input_Product=Elig!$C1070,Elig_MatchAll_Ct&lt;22,$BC1070=(Elig_MatchAll_Ct-1),AO1070=0),M1070,0)</f>
        <v>0</v>
      </c>
      <c r="BS1070" s="991">
        <f>IF(AND(Input_Product=Elig!$C1070,Elig_MatchAll_Ct&lt;22,$BC1070=(Elig_MatchAll_Ct-1),AQ1070=0),N1070,0)</f>
        <v>0</v>
      </c>
      <c r="BT1070" s="991">
        <f>IF(AND(Input_Product=Elig!$C1070,Elig_MatchAll_Ct&lt;22,$BC1070=(Elig_MatchAll_Ct-1),AR1070=0),O1070,0)</f>
        <v>0</v>
      </c>
      <c r="BU1070" s="991">
        <f>IF(AND(Input_Product=Elig!$C1070,Elig_MatchAll_Ct&lt;22,$BC1070=(Elig_MatchAll_Ct-1),AS1070=0),P1070,0)</f>
        <v>0</v>
      </c>
      <c r="BV1070" s="992">
        <f>IF(AND(Input_Product=Elig!$C1070,Elig_MatchAll_Ct&lt;22,$BC1070=(Elig_MatchAll_Ct-1),AT1070=0),Q1070,0)</f>
        <v>0</v>
      </c>
      <c r="BW1070" s="993">
        <f>IF(AND(Input_Product=Elig!$C1070,Elig_MatchAll_Ct&lt;22,$BC1070=(Elig_MatchAll_Ct-1),AU1070=0),R1070,0)</f>
        <v>0</v>
      </c>
      <c r="BX1070" s="994">
        <f>IF(AND(Input_Product=Elig!$C1070,Elig_MatchAll_Ct&lt;22,$BC1070=(Elig_MatchAll_Ct-1),AU1070=0),S1070,0)</f>
        <v>0</v>
      </c>
      <c r="BY1070" s="993">
        <f>IF(AND(Input_Product=Elig!$C1070,Elig_MatchAll_Ct&lt;22,$BC1070=(Elig_MatchAll_Ct-1),AV1070=0),T1070,0)</f>
        <v>0</v>
      </c>
      <c r="BZ1070" s="994">
        <f>IF(AND(Input_Product=Elig!$C1070,Elig_MatchAll_Ct&lt;22,$BC1070=(Elig_MatchAll_Ct-1),AV1070=0),U1070,0)</f>
        <v>0</v>
      </c>
      <c r="CA1070" s="993">
        <f>IF(AND(Input_Product=Elig!$C1070,Elig_MatchAll_Ct&lt;22,$BC1070=(Elig_MatchAll_Ct-1),AW1070=0),V1070,0)</f>
        <v>0</v>
      </c>
      <c r="CB1070" s="994">
        <f>IF(AND(Input_Product=Elig!$C1070,Elig_MatchAll_Ct&lt;22,$BC1070=(Elig_MatchAll_Ct-1),AW1070=0),W1070,0)</f>
        <v>0</v>
      </c>
      <c r="CC1070" s="993">
        <f>IF(AND(Input_Product=Elig!$C1070,Elig_MatchAll_Ct&lt;22,$BC1070=(Elig_MatchAll_Ct-1),AX1070=0),X1070,0)</f>
        <v>0</v>
      </c>
      <c r="CD1070" s="994">
        <f>IF(AND(Input_Product=Elig!$C1070,Elig_MatchAll_Ct&lt;22,$BC1070=(Elig_MatchAll_Ct-1),AX1070=0),Y1070,0)</f>
        <v>0</v>
      </c>
      <c r="CE1070" s="993">
        <f>IF(AND(Input_LTV&lt;=AE1070,Input_Product=Elig!$C1070,Elig_MatchAll_Ct&lt;22,$BC1070=(Elig_MatchAll_Ct-1),AY1070=0),Z1070,0)</f>
        <v>0</v>
      </c>
      <c r="CF1070" s="994">
        <f>IF(AND(Input_LTV&lt;=AE1070,Input_Product=Elig!$C1070,Elig_MatchAll_Ct&lt;22,$BC1070=(Elig_MatchAll_Ct-1),AY1070=0),AA1070,0)</f>
        <v>0</v>
      </c>
      <c r="CG1070" s="993">
        <f>IF(AND(Input_Product=Elig!$C1070,Elig_MatchAll_Ct&lt;22,$BC1070=(Elig_MatchAll_Ct-1),AZ1070=0),AB1070,0)</f>
        <v>0</v>
      </c>
      <c r="CH1070" s="994">
        <f>IF(AND(Input_Product=Elig!$C1070,Elig_MatchAll_Ct&lt;22,$BC1070=(Elig_MatchAll_Ct-1),AZ1070=0),AC1070,0)</f>
        <v>0</v>
      </c>
      <c r="CI1070" s="993">
        <f>IF(AND(Input_Product=Elig!$C1070,Elig_MatchAll_Ct&lt;22,$BC1070=(Elig_MatchAll_Ct-1),BA1070=0),AD1070,0)</f>
        <v>0</v>
      </c>
      <c r="CJ1070" s="994">
        <f>IF(AND(Input_Product=Elig!$C1070,Elig_MatchAll_Ct&lt;22,$BC1070=(Elig_MatchAll_Ct-1),BA1070=0),AE1070,0)</f>
        <v>0</v>
      </c>
    </row>
    <row r="1071" spans="2:88" ht="10.15" customHeight="1" x14ac:dyDescent="0.25">
      <c r="B1071" s="1916" t="s">
        <v>2709</v>
      </c>
      <c r="C1071" s="1203" t="str">
        <f t="shared" si="402"/>
        <v xml:space="preserve">  </v>
      </c>
      <c r="D1071" s="1204" t="s">
        <v>2218</v>
      </c>
      <c r="E1071" s="1204" t="s">
        <v>167</v>
      </c>
      <c r="F1071" s="1204" t="s">
        <v>331</v>
      </c>
      <c r="G1071" s="1205" t="s">
        <v>179</v>
      </c>
      <c r="H1071" s="1205" t="s">
        <v>136</v>
      </c>
      <c r="I1071" s="1204" t="s">
        <v>16</v>
      </c>
      <c r="J1071" s="1204" t="s">
        <v>1311</v>
      </c>
      <c r="K1071" s="1205" t="s">
        <v>3022</v>
      </c>
      <c r="L1071" s="1204" t="s">
        <v>2768</v>
      </c>
      <c r="M1071" s="1204" t="s">
        <v>2677</v>
      </c>
      <c r="N1071" s="1205" t="s">
        <v>82</v>
      </c>
      <c r="O1071" s="1204" t="s">
        <v>310</v>
      </c>
      <c r="P1071" s="1204" t="s">
        <v>291</v>
      </c>
      <c r="Q1071" s="1204" t="s">
        <v>294</v>
      </c>
      <c r="R1071" s="1204">
        <v>2000000.01</v>
      </c>
      <c r="S1071" s="1204">
        <v>2500000</v>
      </c>
      <c r="T1071" s="1204">
        <v>0</v>
      </c>
      <c r="U1071" s="1204">
        <f t="shared" si="415"/>
        <v>2500000</v>
      </c>
      <c r="V1071" s="1204">
        <v>0</v>
      </c>
      <c r="W1071" s="1204">
        <v>50</v>
      </c>
      <c r="X1071" s="1204">
        <v>0</v>
      </c>
      <c r="Y1071" s="1204">
        <v>999</v>
      </c>
      <c r="Z1071" s="1206">
        <v>720</v>
      </c>
      <c r="AA1071" s="1206">
        <v>999</v>
      </c>
      <c r="AB1071" s="1206">
        <v>6</v>
      </c>
      <c r="AC1071" s="1206">
        <v>999999</v>
      </c>
      <c r="AD1071" s="1204">
        <v>0</v>
      </c>
      <c r="AE1071" s="1207">
        <v>80</v>
      </c>
      <c r="AF1071" s="170">
        <v>0</v>
      </c>
      <c r="AG1071" s="171">
        <v>1</v>
      </c>
      <c r="AH1071" s="171">
        <v>1</v>
      </c>
      <c r="AI1071" s="171">
        <v>1</v>
      </c>
      <c r="AJ1071" s="171">
        <v>0</v>
      </c>
      <c r="AK1071" s="171">
        <v>1</v>
      </c>
      <c r="AL1071" s="171">
        <v>1</v>
      </c>
      <c r="AM1071" s="171">
        <v>1</v>
      </c>
      <c r="AN1071" s="171">
        <v>1</v>
      </c>
      <c r="AO1071" s="171">
        <v>1</v>
      </c>
      <c r="AP1071" s="171">
        <v>1</v>
      </c>
      <c r="AQ1071" s="171">
        <v>1</v>
      </c>
      <c r="AR1071" s="171">
        <v>1</v>
      </c>
      <c r="AS1071" s="171">
        <v>1</v>
      </c>
      <c r="AT1071" s="171">
        <v>1</v>
      </c>
      <c r="AU1071" s="171">
        <f t="shared" si="404"/>
        <v>0</v>
      </c>
      <c r="AV1071" s="171">
        <f t="shared" si="405"/>
        <v>1</v>
      </c>
      <c r="AW1071" s="171">
        <f t="shared" si="406"/>
        <v>1</v>
      </c>
      <c r="AX1071" s="171">
        <f t="shared" si="414"/>
        <v>1</v>
      </c>
      <c r="AY1071" s="171">
        <f t="shared" si="407"/>
        <v>1</v>
      </c>
      <c r="AZ1071" s="171">
        <f t="shared" si="408"/>
        <v>1</v>
      </c>
      <c r="BA1071" s="172">
        <f t="shared" si="409"/>
        <v>1</v>
      </c>
      <c r="BB1071" s="175">
        <f t="shared" si="411"/>
        <v>19</v>
      </c>
      <c r="BC1071" s="176">
        <f t="shared" si="412"/>
        <v>18</v>
      </c>
      <c r="BD1071" s="176">
        <f t="shared" si="413"/>
        <v>19</v>
      </c>
      <c r="BE1071" s="240" t="str">
        <f t="shared" si="403"/>
        <v/>
      </c>
      <c r="BF1071" s="990"/>
      <c r="BG1071" s="990"/>
      <c r="BH1071" s="991">
        <f>IF(AND(Input_Product=Elig!$C1071,Elig_MatchAll_Ct&lt;22,$BC1071=(Elig_MatchAll_Ct-1),AF1071=0),C1071,0)</f>
        <v>0</v>
      </c>
      <c r="BI1071" s="991">
        <f>IF(AND(Input_Product=Elig!$C1071,Elig_MatchAll_Ct&lt;22,$BC1071=(Elig_MatchAll_Ct-1),AG1071=0),D1071,0)</f>
        <v>0</v>
      </c>
      <c r="BJ1071" s="991">
        <f>IF(AND(Input_Product=Elig!$C1071,Elig_MatchAll_Ct&lt;22,$BC1071=(Elig_MatchAll_Ct-1),AH1071=0),E1071,0)</f>
        <v>0</v>
      </c>
      <c r="BK1071" s="991">
        <f>IF(AND(Input_Product=Elig!$C1071,Elig_MatchAll_Ct&lt;22,$BC1071=(Elig_MatchAll_Ct-1),AI1071=0),F1071,0)</f>
        <v>0</v>
      </c>
      <c r="BL1071" s="991">
        <f>IF(AND(Input_Product=Elig!$C1071,Elig_MatchAll_Ct&lt;22,$BC1071=(Elig_MatchAll_Ct-1),AJ1071=0),G1071,0)</f>
        <v>0</v>
      </c>
      <c r="BM1071" s="991">
        <f>IF(AND(Input_Product=Elig!$C1071,Elig_MatchAll_Ct&lt;22,$BC1071=(Elig_MatchAll_Ct-1),AK1071=0),H1071,0)</f>
        <v>0</v>
      </c>
      <c r="BN1071" s="991">
        <f>IF(AND(Input_Product=Elig!$C1071,Elig_MatchAll_Ct&lt;22,$BC1071=(Elig_MatchAll_Ct-1),AL1071=0),I1071,0)</f>
        <v>0</v>
      </c>
      <c r="BO1071" s="991">
        <f>IF(AND(Input_Product=Elig!$C1071,Elig_MatchAll_Ct&lt;22,$BC1071=(Elig_MatchAll_Ct-1),AM1071=0),J1071,0)</f>
        <v>0</v>
      </c>
      <c r="BP1071" s="991">
        <f>IF(AND(Input_Product=Elig!$C1071,Elig_MatchAll_Ct&lt;22,$BC1071=(Elig_MatchAll_Ct-1),AN1071=0),K1071,0)</f>
        <v>0</v>
      </c>
      <c r="BQ1071" s="991">
        <f>IF(AND(Input_Product=Elig!$C1071,Elig_MatchAll_Ct&lt;22,$BC1071=(Elig_MatchAll_Ct-1),AP1071=0),L1071,0)</f>
        <v>0</v>
      </c>
      <c r="BR1071" s="991">
        <f>IF(AND(Input_Product=Elig!$C1071,Elig_MatchAll_Ct&lt;22,$BC1071=(Elig_MatchAll_Ct-1),AO1071=0),M1071,0)</f>
        <v>0</v>
      </c>
      <c r="BS1071" s="991">
        <f>IF(AND(Input_Product=Elig!$C1071,Elig_MatchAll_Ct&lt;22,$BC1071=(Elig_MatchAll_Ct-1),AQ1071=0),N1071,0)</f>
        <v>0</v>
      </c>
      <c r="BT1071" s="991">
        <f>IF(AND(Input_Product=Elig!$C1071,Elig_MatchAll_Ct&lt;22,$BC1071=(Elig_MatchAll_Ct-1),AR1071=0),O1071,0)</f>
        <v>0</v>
      </c>
      <c r="BU1071" s="991">
        <f>IF(AND(Input_Product=Elig!$C1071,Elig_MatchAll_Ct&lt;22,$BC1071=(Elig_MatchAll_Ct-1),AS1071=0),P1071,0)</f>
        <v>0</v>
      </c>
      <c r="BV1071" s="992">
        <f>IF(AND(Input_Product=Elig!$C1071,Elig_MatchAll_Ct&lt;22,$BC1071=(Elig_MatchAll_Ct-1),AT1071=0),Q1071,0)</f>
        <v>0</v>
      </c>
      <c r="BW1071" s="993">
        <f>IF(AND(Input_Product=Elig!$C1071,Elig_MatchAll_Ct&lt;22,$BC1071=(Elig_MatchAll_Ct-1),AU1071=0),R1071,0)</f>
        <v>0</v>
      </c>
      <c r="BX1071" s="994">
        <f>IF(AND(Input_Product=Elig!$C1071,Elig_MatchAll_Ct&lt;22,$BC1071=(Elig_MatchAll_Ct-1),AU1071=0),S1071,0)</f>
        <v>0</v>
      </c>
      <c r="BY1071" s="993">
        <f>IF(AND(Input_Product=Elig!$C1071,Elig_MatchAll_Ct&lt;22,$BC1071=(Elig_MatchAll_Ct-1),AV1071=0),T1071,0)</f>
        <v>0</v>
      </c>
      <c r="BZ1071" s="994">
        <f>IF(AND(Input_Product=Elig!$C1071,Elig_MatchAll_Ct&lt;22,$BC1071=(Elig_MatchAll_Ct-1),AV1071=0),U1071,0)</f>
        <v>0</v>
      </c>
      <c r="CA1071" s="993">
        <f>IF(AND(Input_Product=Elig!$C1071,Elig_MatchAll_Ct&lt;22,$BC1071=(Elig_MatchAll_Ct-1),AW1071=0),V1071,0)</f>
        <v>0</v>
      </c>
      <c r="CB1071" s="994">
        <f>IF(AND(Input_Product=Elig!$C1071,Elig_MatchAll_Ct&lt;22,$BC1071=(Elig_MatchAll_Ct-1),AW1071=0),W1071,0)</f>
        <v>0</v>
      </c>
      <c r="CC1071" s="993">
        <f>IF(AND(Input_Product=Elig!$C1071,Elig_MatchAll_Ct&lt;22,$BC1071=(Elig_MatchAll_Ct-1),AX1071=0),X1071,0)</f>
        <v>0</v>
      </c>
      <c r="CD1071" s="994">
        <f>IF(AND(Input_Product=Elig!$C1071,Elig_MatchAll_Ct&lt;22,$BC1071=(Elig_MatchAll_Ct-1),AX1071=0),Y1071,0)</f>
        <v>0</v>
      </c>
      <c r="CE1071" s="993">
        <f>IF(AND(Input_LTV&lt;=AE1071,Input_Product=Elig!$C1071,Elig_MatchAll_Ct&lt;22,$BC1071=(Elig_MatchAll_Ct-1),AY1071=0),Z1071,0)</f>
        <v>0</v>
      </c>
      <c r="CF1071" s="994">
        <f>IF(AND(Input_LTV&lt;=AE1071,Input_Product=Elig!$C1071,Elig_MatchAll_Ct&lt;22,$BC1071=(Elig_MatchAll_Ct-1),AY1071=0),AA1071,0)</f>
        <v>0</v>
      </c>
      <c r="CG1071" s="993">
        <f>IF(AND(Input_Product=Elig!$C1071,Elig_MatchAll_Ct&lt;22,$BC1071=(Elig_MatchAll_Ct-1),AZ1071=0),AB1071,0)</f>
        <v>0</v>
      </c>
      <c r="CH1071" s="994">
        <f>IF(AND(Input_Product=Elig!$C1071,Elig_MatchAll_Ct&lt;22,$BC1071=(Elig_MatchAll_Ct-1),AZ1071=0),AC1071,0)</f>
        <v>0</v>
      </c>
      <c r="CI1071" s="993">
        <f>IF(AND(Input_Product=Elig!$C1071,Elig_MatchAll_Ct&lt;22,$BC1071=(Elig_MatchAll_Ct-1),BA1071=0),AD1071,0)</f>
        <v>0</v>
      </c>
      <c r="CJ1071" s="994">
        <f>IF(AND(Input_Product=Elig!$C1071,Elig_MatchAll_Ct&lt;22,$BC1071=(Elig_MatchAll_Ct-1),BA1071=0),AE1071,0)</f>
        <v>0</v>
      </c>
    </row>
    <row r="1072" spans="2:88" ht="10.15" customHeight="1" x14ac:dyDescent="0.25">
      <c r="B1072" s="1916" t="s">
        <v>2710</v>
      </c>
      <c r="C1072" s="1208" t="str">
        <f t="shared" si="402"/>
        <v xml:space="preserve">  </v>
      </c>
      <c r="D1072" s="1209" t="s">
        <v>2218</v>
      </c>
      <c r="E1072" s="1209" t="s">
        <v>167</v>
      </c>
      <c r="F1072" s="1209" t="s">
        <v>331</v>
      </c>
      <c r="G1072" s="1210" t="s">
        <v>179</v>
      </c>
      <c r="H1072" s="1210" t="s">
        <v>136</v>
      </c>
      <c r="I1072" s="1209" t="s">
        <v>16</v>
      </c>
      <c r="J1072" s="1209" t="s">
        <v>1311</v>
      </c>
      <c r="K1072" s="1210" t="s">
        <v>3022</v>
      </c>
      <c r="L1072" s="1209" t="s">
        <v>2768</v>
      </c>
      <c r="M1072" s="1209" t="s">
        <v>2677</v>
      </c>
      <c r="N1072" s="1210" t="s">
        <v>82</v>
      </c>
      <c r="O1072" s="1209" t="s">
        <v>310</v>
      </c>
      <c r="P1072" s="1209" t="s">
        <v>291</v>
      </c>
      <c r="Q1072" s="1209" t="s">
        <v>294</v>
      </c>
      <c r="R1072" s="1209">
        <v>2000000.01</v>
      </c>
      <c r="S1072" s="1209">
        <v>2500000</v>
      </c>
      <c r="T1072" s="1209">
        <v>0</v>
      </c>
      <c r="U1072" s="1209">
        <f t="shared" si="415"/>
        <v>2500000</v>
      </c>
      <c r="V1072" s="1209">
        <v>0</v>
      </c>
      <c r="W1072" s="1209">
        <v>50</v>
      </c>
      <c r="X1072" s="1209">
        <v>0</v>
      </c>
      <c r="Y1072" s="1209">
        <v>999</v>
      </c>
      <c r="Z1072" s="1211">
        <v>700</v>
      </c>
      <c r="AA1072" s="1211">
        <v>719</v>
      </c>
      <c r="AB1072" s="1211">
        <v>6</v>
      </c>
      <c r="AC1072" s="1211">
        <v>999999</v>
      </c>
      <c r="AD1072" s="1209">
        <v>0</v>
      </c>
      <c r="AE1072" s="1212">
        <v>75</v>
      </c>
      <c r="AF1072" s="170">
        <v>0</v>
      </c>
      <c r="AG1072" s="171">
        <v>1</v>
      </c>
      <c r="AH1072" s="171">
        <v>1</v>
      </c>
      <c r="AI1072" s="171">
        <v>1</v>
      </c>
      <c r="AJ1072" s="171">
        <v>0</v>
      </c>
      <c r="AK1072" s="171">
        <v>1</v>
      </c>
      <c r="AL1072" s="171">
        <v>1</v>
      </c>
      <c r="AM1072" s="171">
        <v>1</v>
      </c>
      <c r="AN1072" s="171">
        <v>1</v>
      </c>
      <c r="AO1072" s="171">
        <v>1</v>
      </c>
      <c r="AP1072" s="171">
        <v>1</v>
      </c>
      <c r="AQ1072" s="171">
        <v>1</v>
      </c>
      <c r="AR1072" s="171">
        <v>1</v>
      </c>
      <c r="AS1072" s="171">
        <v>1</v>
      </c>
      <c r="AT1072" s="171">
        <v>1</v>
      </c>
      <c r="AU1072" s="171">
        <f t="shared" si="404"/>
        <v>0</v>
      </c>
      <c r="AV1072" s="171">
        <f t="shared" si="405"/>
        <v>1</v>
      </c>
      <c r="AW1072" s="171">
        <f t="shared" si="406"/>
        <v>1</v>
      </c>
      <c r="AX1072" s="171">
        <f t="shared" si="414"/>
        <v>1</v>
      </c>
      <c r="AY1072" s="171">
        <f t="shared" si="407"/>
        <v>0</v>
      </c>
      <c r="AZ1072" s="171">
        <f t="shared" si="408"/>
        <v>1</v>
      </c>
      <c r="BA1072" s="172">
        <f t="shared" si="409"/>
        <v>1</v>
      </c>
      <c r="BB1072" s="175">
        <f t="shared" si="411"/>
        <v>18</v>
      </c>
      <c r="BC1072" s="176">
        <f t="shared" si="412"/>
        <v>17</v>
      </c>
      <c r="BD1072" s="176">
        <f t="shared" si="413"/>
        <v>18</v>
      </c>
      <c r="BE1072" s="240" t="str">
        <f t="shared" si="403"/>
        <v/>
      </c>
      <c r="BF1072" s="990"/>
      <c r="BG1072" s="990"/>
      <c r="BH1072" s="991">
        <f>IF(AND(Input_Product=Elig!$C1072,Elig_MatchAll_Ct&lt;22,$BC1072=(Elig_MatchAll_Ct-1),AF1072=0),C1072,0)</f>
        <v>0</v>
      </c>
      <c r="BI1072" s="991">
        <f>IF(AND(Input_Product=Elig!$C1072,Elig_MatchAll_Ct&lt;22,$BC1072=(Elig_MatchAll_Ct-1),AG1072=0),D1072,0)</f>
        <v>0</v>
      </c>
      <c r="BJ1072" s="991">
        <f>IF(AND(Input_Product=Elig!$C1072,Elig_MatchAll_Ct&lt;22,$BC1072=(Elig_MatchAll_Ct-1),AH1072=0),E1072,0)</f>
        <v>0</v>
      </c>
      <c r="BK1072" s="991">
        <f>IF(AND(Input_Product=Elig!$C1072,Elig_MatchAll_Ct&lt;22,$BC1072=(Elig_MatchAll_Ct-1),AI1072=0),F1072,0)</f>
        <v>0</v>
      </c>
      <c r="BL1072" s="991">
        <f>IF(AND(Input_Product=Elig!$C1072,Elig_MatchAll_Ct&lt;22,$BC1072=(Elig_MatchAll_Ct-1),AJ1072=0),G1072,0)</f>
        <v>0</v>
      </c>
      <c r="BM1072" s="991">
        <f>IF(AND(Input_Product=Elig!$C1072,Elig_MatchAll_Ct&lt;22,$BC1072=(Elig_MatchAll_Ct-1),AK1072=0),H1072,0)</f>
        <v>0</v>
      </c>
      <c r="BN1072" s="991">
        <f>IF(AND(Input_Product=Elig!$C1072,Elig_MatchAll_Ct&lt;22,$BC1072=(Elig_MatchAll_Ct-1),AL1072=0),I1072,0)</f>
        <v>0</v>
      </c>
      <c r="BO1072" s="991">
        <f>IF(AND(Input_Product=Elig!$C1072,Elig_MatchAll_Ct&lt;22,$BC1072=(Elig_MatchAll_Ct-1),AM1072=0),J1072,0)</f>
        <v>0</v>
      </c>
      <c r="BP1072" s="991">
        <f>IF(AND(Input_Product=Elig!$C1072,Elig_MatchAll_Ct&lt;22,$BC1072=(Elig_MatchAll_Ct-1),AN1072=0),K1072,0)</f>
        <v>0</v>
      </c>
      <c r="BQ1072" s="991">
        <f>IF(AND(Input_Product=Elig!$C1072,Elig_MatchAll_Ct&lt;22,$BC1072=(Elig_MatchAll_Ct-1),AP1072=0),L1072,0)</f>
        <v>0</v>
      </c>
      <c r="BR1072" s="991">
        <f>IF(AND(Input_Product=Elig!$C1072,Elig_MatchAll_Ct&lt;22,$BC1072=(Elig_MatchAll_Ct-1),AO1072=0),M1072,0)</f>
        <v>0</v>
      </c>
      <c r="BS1072" s="991">
        <f>IF(AND(Input_Product=Elig!$C1072,Elig_MatchAll_Ct&lt;22,$BC1072=(Elig_MatchAll_Ct-1),AQ1072=0),N1072,0)</f>
        <v>0</v>
      </c>
      <c r="BT1072" s="991">
        <f>IF(AND(Input_Product=Elig!$C1072,Elig_MatchAll_Ct&lt;22,$BC1072=(Elig_MatchAll_Ct-1),AR1072=0),O1072,0)</f>
        <v>0</v>
      </c>
      <c r="BU1072" s="991">
        <f>IF(AND(Input_Product=Elig!$C1072,Elig_MatchAll_Ct&lt;22,$BC1072=(Elig_MatchAll_Ct-1),AS1072=0),P1072,0)</f>
        <v>0</v>
      </c>
      <c r="BV1072" s="992">
        <f>IF(AND(Input_Product=Elig!$C1072,Elig_MatchAll_Ct&lt;22,$BC1072=(Elig_MatchAll_Ct-1),AT1072=0),Q1072,0)</f>
        <v>0</v>
      </c>
      <c r="BW1072" s="993">
        <f>IF(AND(Input_Product=Elig!$C1072,Elig_MatchAll_Ct&lt;22,$BC1072=(Elig_MatchAll_Ct-1),AU1072=0),R1072,0)</f>
        <v>0</v>
      </c>
      <c r="BX1072" s="994">
        <f>IF(AND(Input_Product=Elig!$C1072,Elig_MatchAll_Ct&lt;22,$BC1072=(Elig_MatchAll_Ct-1),AU1072=0),S1072,0)</f>
        <v>0</v>
      </c>
      <c r="BY1072" s="993">
        <f>IF(AND(Input_Product=Elig!$C1072,Elig_MatchAll_Ct&lt;22,$BC1072=(Elig_MatchAll_Ct-1),AV1072=0),T1072,0)</f>
        <v>0</v>
      </c>
      <c r="BZ1072" s="994">
        <f>IF(AND(Input_Product=Elig!$C1072,Elig_MatchAll_Ct&lt;22,$BC1072=(Elig_MatchAll_Ct-1),AV1072=0),U1072,0)</f>
        <v>0</v>
      </c>
      <c r="CA1072" s="993">
        <f>IF(AND(Input_Product=Elig!$C1072,Elig_MatchAll_Ct&lt;22,$BC1072=(Elig_MatchAll_Ct-1),AW1072=0),V1072,0)</f>
        <v>0</v>
      </c>
      <c r="CB1072" s="994">
        <f>IF(AND(Input_Product=Elig!$C1072,Elig_MatchAll_Ct&lt;22,$BC1072=(Elig_MatchAll_Ct-1),AW1072=0),W1072,0)</f>
        <v>0</v>
      </c>
      <c r="CC1072" s="993">
        <f>IF(AND(Input_Product=Elig!$C1072,Elig_MatchAll_Ct&lt;22,$BC1072=(Elig_MatchAll_Ct-1),AX1072=0),X1072,0)</f>
        <v>0</v>
      </c>
      <c r="CD1072" s="994">
        <f>IF(AND(Input_Product=Elig!$C1072,Elig_MatchAll_Ct&lt;22,$BC1072=(Elig_MatchAll_Ct-1),AX1072=0),Y1072,0)</f>
        <v>0</v>
      </c>
      <c r="CE1072" s="993">
        <f>IF(AND(Input_LTV&lt;=AE1072,Input_Product=Elig!$C1072,Elig_MatchAll_Ct&lt;22,$BC1072=(Elig_MatchAll_Ct-1),AY1072=0),Z1072,0)</f>
        <v>0</v>
      </c>
      <c r="CF1072" s="994">
        <f>IF(AND(Input_LTV&lt;=AE1072,Input_Product=Elig!$C1072,Elig_MatchAll_Ct&lt;22,$BC1072=(Elig_MatchAll_Ct-1),AY1072=0),AA1072,0)</f>
        <v>0</v>
      </c>
      <c r="CG1072" s="993">
        <f>IF(AND(Input_Product=Elig!$C1072,Elig_MatchAll_Ct&lt;22,$BC1072=(Elig_MatchAll_Ct-1),AZ1072=0),AB1072,0)</f>
        <v>0</v>
      </c>
      <c r="CH1072" s="994">
        <f>IF(AND(Input_Product=Elig!$C1072,Elig_MatchAll_Ct&lt;22,$BC1072=(Elig_MatchAll_Ct-1),AZ1072=0),AC1072,0)</f>
        <v>0</v>
      </c>
      <c r="CI1072" s="993">
        <f>IF(AND(Input_Product=Elig!$C1072,Elig_MatchAll_Ct&lt;22,$BC1072=(Elig_MatchAll_Ct-1),BA1072=0),AD1072,0)</f>
        <v>0</v>
      </c>
      <c r="CJ1072" s="994">
        <f>IF(AND(Input_Product=Elig!$C1072,Elig_MatchAll_Ct&lt;22,$BC1072=(Elig_MatchAll_Ct-1),BA1072=0),AE1072,0)</f>
        <v>0</v>
      </c>
    </row>
    <row r="1073" spans="2:88" ht="10.15" customHeight="1" x14ac:dyDescent="0.25">
      <c r="B1073" s="1916" t="s">
        <v>2711</v>
      </c>
      <c r="C1073" s="1213" t="str">
        <f t="shared" si="402"/>
        <v xml:space="preserve">  </v>
      </c>
      <c r="D1073" s="1214" t="s">
        <v>2218</v>
      </c>
      <c r="E1073" s="1214" t="s">
        <v>167</v>
      </c>
      <c r="F1073" s="1214" t="s">
        <v>331</v>
      </c>
      <c r="G1073" s="1215" t="s">
        <v>179</v>
      </c>
      <c r="H1073" s="1215" t="s">
        <v>136</v>
      </c>
      <c r="I1073" s="1214" t="s">
        <v>16</v>
      </c>
      <c r="J1073" s="1214" t="s">
        <v>1311</v>
      </c>
      <c r="K1073" s="1215" t="s">
        <v>3022</v>
      </c>
      <c r="L1073" s="1214" t="s">
        <v>2768</v>
      </c>
      <c r="M1073" s="1214" t="s">
        <v>2677</v>
      </c>
      <c r="N1073" s="1215" t="s">
        <v>82</v>
      </c>
      <c r="O1073" s="1214" t="s">
        <v>310</v>
      </c>
      <c r="P1073" s="1214" t="s">
        <v>291</v>
      </c>
      <c r="Q1073" s="1214" t="s">
        <v>294</v>
      </c>
      <c r="R1073" s="1214">
        <v>2000000.01</v>
      </c>
      <c r="S1073" s="1214">
        <v>2500000</v>
      </c>
      <c r="T1073" s="1214">
        <v>0</v>
      </c>
      <c r="U1073" s="1214">
        <f t="shared" si="415"/>
        <v>2500000</v>
      </c>
      <c r="V1073" s="1214">
        <v>0</v>
      </c>
      <c r="W1073" s="1214">
        <v>50</v>
      </c>
      <c r="X1073" s="1214">
        <v>0</v>
      </c>
      <c r="Y1073" s="1214">
        <v>999</v>
      </c>
      <c r="Z1073" s="1216">
        <v>680</v>
      </c>
      <c r="AA1073" s="1216">
        <v>699</v>
      </c>
      <c r="AB1073" s="1216">
        <v>6</v>
      </c>
      <c r="AC1073" s="1216">
        <v>999999</v>
      </c>
      <c r="AD1073" s="1214">
        <v>0</v>
      </c>
      <c r="AE1073" s="1217">
        <v>75</v>
      </c>
      <c r="AF1073" s="170">
        <v>0</v>
      </c>
      <c r="AG1073" s="171">
        <v>1</v>
      </c>
      <c r="AH1073" s="171">
        <v>1</v>
      </c>
      <c r="AI1073" s="171">
        <v>1</v>
      </c>
      <c r="AJ1073" s="171">
        <v>0</v>
      </c>
      <c r="AK1073" s="171">
        <v>1</v>
      </c>
      <c r="AL1073" s="171">
        <v>1</v>
      </c>
      <c r="AM1073" s="171">
        <v>1</v>
      </c>
      <c r="AN1073" s="171">
        <v>1</v>
      </c>
      <c r="AO1073" s="171">
        <v>1</v>
      </c>
      <c r="AP1073" s="171">
        <v>1</v>
      </c>
      <c r="AQ1073" s="171">
        <v>1</v>
      </c>
      <c r="AR1073" s="171">
        <v>1</v>
      </c>
      <c r="AS1073" s="171">
        <v>1</v>
      </c>
      <c r="AT1073" s="171">
        <v>1</v>
      </c>
      <c r="AU1073" s="171">
        <f t="shared" si="404"/>
        <v>0</v>
      </c>
      <c r="AV1073" s="171">
        <f t="shared" si="405"/>
        <v>1</v>
      </c>
      <c r="AW1073" s="171">
        <f t="shared" si="406"/>
        <v>1</v>
      </c>
      <c r="AX1073" s="171">
        <f t="shared" si="414"/>
        <v>1</v>
      </c>
      <c r="AY1073" s="171">
        <f t="shared" si="407"/>
        <v>0</v>
      </c>
      <c r="AZ1073" s="171">
        <f t="shared" si="408"/>
        <v>1</v>
      </c>
      <c r="BA1073" s="172">
        <f t="shared" si="409"/>
        <v>1</v>
      </c>
      <c r="BB1073" s="175">
        <f t="shared" si="411"/>
        <v>18</v>
      </c>
      <c r="BC1073" s="176">
        <f t="shared" si="412"/>
        <v>17</v>
      </c>
      <c r="BD1073" s="176">
        <f t="shared" si="413"/>
        <v>18</v>
      </c>
      <c r="BE1073" s="240" t="str">
        <f t="shared" si="403"/>
        <v/>
      </c>
      <c r="BF1073" s="990"/>
      <c r="BG1073" s="990"/>
      <c r="BH1073" s="991">
        <f>IF(AND(Input_Product=Elig!$C1073,Elig_MatchAll_Ct&lt;22,$BC1073=(Elig_MatchAll_Ct-1),AF1073=0),C1073,0)</f>
        <v>0</v>
      </c>
      <c r="BI1073" s="991">
        <f>IF(AND(Input_Product=Elig!$C1073,Elig_MatchAll_Ct&lt;22,$BC1073=(Elig_MatchAll_Ct-1),AG1073=0),D1073,0)</f>
        <v>0</v>
      </c>
      <c r="BJ1073" s="991">
        <f>IF(AND(Input_Product=Elig!$C1073,Elig_MatchAll_Ct&lt;22,$BC1073=(Elig_MatchAll_Ct-1),AH1073=0),E1073,0)</f>
        <v>0</v>
      </c>
      <c r="BK1073" s="991">
        <f>IF(AND(Input_Product=Elig!$C1073,Elig_MatchAll_Ct&lt;22,$BC1073=(Elig_MatchAll_Ct-1),AI1073=0),F1073,0)</f>
        <v>0</v>
      </c>
      <c r="BL1073" s="991">
        <f>IF(AND(Input_Product=Elig!$C1073,Elig_MatchAll_Ct&lt;22,$BC1073=(Elig_MatchAll_Ct-1),AJ1073=0),G1073,0)</f>
        <v>0</v>
      </c>
      <c r="BM1073" s="991">
        <f>IF(AND(Input_Product=Elig!$C1073,Elig_MatchAll_Ct&lt;22,$BC1073=(Elig_MatchAll_Ct-1),AK1073=0),H1073,0)</f>
        <v>0</v>
      </c>
      <c r="BN1073" s="991">
        <f>IF(AND(Input_Product=Elig!$C1073,Elig_MatchAll_Ct&lt;22,$BC1073=(Elig_MatchAll_Ct-1),AL1073=0),I1073,0)</f>
        <v>0</v>
      </c>
      <c r="BO1073" s="991">
        <f>IF(AND(Input_Product=Elig!$C1073,Elig_MatchAll_Ct&lt;22,$BC1073=(Elig_MatchAll_Ct-1),AM1073=0),J1073,0)</f>
        <v>0</v>
      </c>
      <c r="BP1073" s="991">
        <f>IF(AND(Input_Product=Elig!$C1073,Elig_MatchAll_Ct&lt;22,$BC1073=(Elig_MatchAll_Ct-1),AN1073=0),K1073,0)</f>
        <v>0</v>
      </c>
      <c r="BQ1073" s="991">
        <f>IF(AND(Input_Product=Elig!$C1073,Elig_MatchAll_Ct&lt;22,$BC1073=(Elig_MatchAll_Ct-1),AP1073=0),L1073,0)</f>
        <v>0</v>
      </c>
      <c r="BR1073" s="991">
        <f>IF(AND(Input_Product=Elig!$C1073,Elig_MatchAll_Ct&lt;22,$BC1073=(Elig_MatchAll_Ct-1),AO1073=0),M1073,0)</f>
        <v>0</v>
      </c>
      <c r="BS1073" s="991">
        <f>IF(AND(Input_Product=Elig!$C1073,Elig_MatchAll_Ct&lt;22,$BC1073=(Elig_MatchAll_Ct-1),AQ1073=0),N1073,0)</f>
        <v>0</v>
      </c>
      <c r="BT1073" s="991">
        <f>IF(AND(Input_Product=Elig!$C1073,Elig_MatchAll_Ct&lt;22,$BC1073=(Elig_MatchAll_Ct-1),AR1073=0),O1073,0)</f>
        <v>0</v>
      </c>
      <c r="BU1073" s="991">
        <f>IF(AND(Input_Product=Elig!$C1073,Elig_MatchAll_Ct&lt;22,$BC1073=(Elig_MatchAll_Ct-1),AS1073=0),P1073,0)</f>
        <v>0</v>
      </c>
      <c r="BV1073" s="992">
        <f>IF(AND(Input_Product=Elig!$C1073,Elig_MatchAll_Ct&lt;22,$BC1073=(Elig_MatchAll_Ct-1),AT1073=0),Q1073,0)</f>
        <v>0</v>
      </c>
      <c r="BW1073" s="993">
        <f>IF(AND(Input_Product=Elig!$C1073,Elig_MatchAll_Ct&lt;22,$BC1073=(Elig_MatchAll_Ct-1),AU1073=0),R1073,0)</f>
        <v>0</v>
      </c>
      <c r="BX1073" s="994">
        <f>IF(AND(Input_Product=Elig!$C1073,Elig_MatchAll_Ct&lt;22,$BC1073=(Elig_MatchAll_Ct-1),AU1073=0),S1073,0)</f>
        <v>0</v>
      </c>
      <c r="BY1073" s="993">
        <f>IF(AND(Input_Product=Elig!$C1073,Elig_MatchAll_Ct&lt;22,$BC1073=(Elig_MatchAll_Ct-1),AV1073=0),T1073,0)</f>
        <v>0</v>
      </c>
      <c r="BZ1073" s="994">
        <f>IF(AND(Input_Product=Elig!$C1073,Elig_MatchAll_Ct&lt;22,$BC1073=(Elig_MatchAll_Ct-1),AV1073=0),U1073,0)</f>
        <v>0</v>
      </c>
      <c r="CA1073" s="993">
        <f>IF(AND(Input_Product=Elig!$C1073,Elig_MatchAll_Ct&lt;22,$BC1073=(Elig_MatchAll_Ct-1),AW1073=0),V1073,0)</f>
        <v>0</v>
      </c>
      <c r="CB1073" s="994">
        <f>IF(AND(Input_Product=Elig!$C1073,Elig_MatchAll_Ct&lt;22,$BC1073=(Elig_MatchAll_Ct-1),AW1073=0),W1073,0)</f>
        <v>0</v>
      </c>
      <c r="CC1073" s="993">
        <f>IF(AND(Input_Product=Elig!$C1073,Elig_MatchAll_Ct&lt;22,$BC1073=(Elig_MatchAll_Ct-1),AX1073=0),X1073,0)</f>
        <v>0</v>
      </c>
      <c r="CD1073" s="994">
        <f>IF(AND(Input_Product=Elig!$C1073,Elig_MatchAll_Ct&lt;22,$BC1073=(Elig_MatchAll_Ct-1),AX1073=0),Y1073,0)</f>
        <v>0</v>
      </c>
      <c r="CE1073" s="993">
        <f>IF(AND(Input_LTV&lt;=AE1073,Input_Product=Elig!$C1073,Elig_MatchAll_Ct&lt;22,$BC1073=(Elig_MatchAll_Ct-1),AY1073=0),Z1073,0)</f>
        <v>0</v>
      </c>
      <c r="CF1073" s="994">
        <f>IF(AND(Input_LTV&lt;=AE1073,Input_Product=Elig!$C1073,Elig_MatchAll_Ct&lt;22,$BC1073=(Elig_MatchAll_Ct-1),AY1073=0),AA1073,0)</f>
        <v>0</v>
      </c>
      <c r="CG1073" s="993">
        <f>IF(AND(Input_Product=Elig!$C1073,Elig_MatchAll_Ct&lt;22,$BC1073=(Elig_MatchAll_Ct-1),AZ1073=0),AB1073,0)</f>
        <v>0</v>
      </c>
      <c r="CH1073" s="994">
        <f>IF(AND(Input_Product=Elig!$C1073,Elig_MatchAll_Ct&lt;22,$BC1073=(Elig_MatchAll_Ct-1),AZ1073=0),AC1073,0)</f>
        <v>0</v>
      </c>
      <c r="CI1073" s="993">
        <f>IF(AND(Input_Product=Elig!$C1073,Elig_MatchAll_Ct&lt;22,$BC1073=(Elig_MatchAll_Ct-1),BA1073=0),AD1073,0)</f>
        <v>0</v>
      </c>
      <c r="CJ1073" s="994">
        <f>IF(AND(Input_Product=Elig!$C1073,Elig_MatchAll_Ct&lt;22,$BC1073=(Elig_MatchAll_Ct-1),BA1073=0),AE1073,0)</f>
        <v>0</v>
      </c>
    </row>
    <row r="1074" spans="2:88" ht="10.15" customHeight="1" x14ac:dyDescent="0.25">
      <c r="B1074" s="1916" t="s">
        <v>2712</v>
      </c>
      <c r="C1074" s="1203" t="str">
        <f t="shared" ref="C1074:C1091" si="416">Input_Name_Product13</f>
        <v xml:space="preserve">  </v>
      </c>
      <c r="D1074" s="1204" t="s">
        <v>2218</v>
      </c>
      <c r="E1074" s="1204" t="s">
        <v>167</v>
      </c>
      <c r="F1074" s="1204" t="s">
        <v>331</v>
      </c>
      <c r="G1074" s="1205" t="s">
        <v>179</v>
      </c>
      <c r="H1074" s="1205" t="s">
        <v>136</v>
      </c>
      <c r="I1074" s="1204" t="s">
        <v>16</v>
      </c>
      <c r="J1074" s="1204" t="s">
        <v>1311</v>
      </c>
      <c r="K1074" s="1205" t="s">
        <v>3022</v>
      </c>
      <c r="L1074" s="1204" t="s">
        <v>2768</v>
      </c>
      <c r="M1074" s="1204" t="s">
        <v>2677</v>
      </c>
      <c r="N1074" s="1205" t="s">
        <v>82</v>
      </c>
      <c r="O1074" s="1204" t="s">
        <v>310</v>
      </c>
      <c r="P1074" s="1204" t="s">
        <v>291</v>
      </c>
      <c r="Q1074" s="1204" t="s">
        <v>294</v>
      </c>
      <c r="R1074" s="1204">
        <v>2500000.0099999998</v>
      </c>
      <c r="S1074" s="1204">
        <v>3000000</v>
      </c>
      <c r="T1074" s="1204">
        <v>0</v>
      </c>
      <c r="U1074" s="1204">
        <f t="shared" si="415"/>
        <v>3000000</v>
      </c>
      <c r="V1074" s="1204">
        <v>0</v>
      </c>
      <c r="W1074" s="1204">
        <v>50</v>
      </c>
      <c r="X1074" s="1204">
        <v>0</v>
      </c>
      <c r="Y1074" s="1204">
        <v>999</v>
      </c>
      <c r="Z1074" s="1206">
        <v>720</v>
      </c>
      <c r="AA1074" s="1206">
        <v>999</v>
      </c>
      <c r="AB1074" s="1206">
        <v>6</v>
      </c>
      <c r="AC1074" s="1206">
        <v>999999</v>
      </c>
      <c r="AD1074" s="1204">
        <v>0</v>
      </c>
      <c r="AE1074" s="1207">
        <v>75</v>
      </c>
      <c r="AF1074" s="170">
        <v>0</v>
      </c>
      <c r="AG1074" s="171">
        <v>1</v>
      </c>
      <c r="AH1074" s="171">
        <v>1</v>
      </c>
      <c r="AI1074" s="171">
        <v>1</v>
      </c>
      <c r="AJ1074" s="171">
        <v>0</v>
      </c>
      <c r="AK1074" s="171">
        <v>1</v>
      </c>
      <c r="AL1074" s="171">
        <v>1</v>
      </c>
      <c r="AM1074" s="171">
        <v>1</v>
      </c>
      <c r="AN1074" s="171">
        <v>1</v>
      </c>
      <c r="AO1074" s="171">
        <v>1</v>
      </c>
      <c r="AP1074" s="171">
        <v>1</v>
      </c>
      <c r="AQ1074" s="171">
        <v>1</v>
      </c>
      <c r="AR1074" s="171">
        <v>1</v>
      </c>
      <c r="AS1074" s="171">
        <v>1</v>
      </c>
      <c r="AT1074" s="171">
        <v>1</v>
      </c>
      <c r="AU1074" s="171">
        <f t="shared" si="404"/>
        <v>0</v>
      </c>
      <c r="AV1074" s="171">
        <f t="shared" si="405"/>
        <v>1</v>
      </c>
      <c r="AW1074" s="171">
        <f t="shared" si="406"/>
        <v>1</v>
      </c>
      <c r="AX1074" s="171">
        <f t="shared" si="414"/>
        <v>1</v>
      </c>
      <c r="AY1074" s="171">
        <f t="shared" si="407"/>
        <v>1</v>
      </c>
      <c r="AZ1074" s="171">
        <f t="shared" si="408"/>
        <v>1</v>
      </c>
      <c r="BA1074" s="172">
        <f t="shared" si="409"/>
        <v>1</v>
      </c>
      <c r="BB1074" s="175">
        <f t="shared" si="411"/>
        <v>19</v>
      </c>
      <c r="BC1074" s="176">
        <f t="shared" si="412"/>
        <v>18</v>
      </c>
      <c r="BD1074" s="176">
        <f t="shared" si="413"/>
        <v>19</v>
      </c>
      <c r="BE1074" s="240" t="str">
        <f t="shared" si="403"/>
        <v/>
      </c>
      <c r="BF1074" s="990"/>
      <c r="BG1074" s="990"/>
      <c r="BH1074" s="991">
        <f>IF(AND(Input_Product=Elig!$C1074,Elig_MatchAll_Ct&lt;22,$BC1074=(Elig_MatchAll_Ct-1),AF1074=0),C1074,0)</f>
        <v>0</v>
      </c>
      <c r="BI1074" s="991">
        <f>IF(AND(Input_Product=Elig!$C1074,Elig_MatchAll_Ct&lt;22,$BC1074=(Elig_MatchAll_Ct-1),AG1074=0),D1074,0)</f>
        <v>0</v>
      </c>
      <c r="BJ1074" s="991">
        <f>IF(AND(Input_Product=Elig!$C1074,Elig_MatchAll_Ct&lt;22,$BC1074=(Elig_MatchAll_Ct-1),AH1074=0),E1074,0)</f>
        <v>0</v>
      </c>
      <c r="BK1074" s="991">
        <f>IF(AND(Input_Product=Elig!$C1074,Elig_MatchAll_Ct&lt;22,$BC1074=(Elig_MatchAll_Ct-1),AI1074=0),F1074,0)</f>
        <v>0</v>
      </c>
      <c r="BL1074" s="991">
        <f>IF(AND(Input_Product=Elig!$C1074,Elig_MatchAll_Ct&lt;22,$BC1074=(Elig_MatchAll_Ct-1),AJ1074=0),G1074,0)</f>
        <v>0</v>
      </c>
      <c r="BM1074" s="991">
        <f>IF(AND(Input_Product=Elig!$C1074,Elig_MatchAll_Ct&lt;22,$BC1074=(Elig_MatchAll_Ct-1),AK1074=0),H1074,0)</f>
        <v>0</v>
      </c>
      <c r="BN1074" s="991">
        <f>IF(AND(Input_Product=Elig!$C1074,Elig_MatchAll_Ct&lt;22,$BC1074=(Elig_MatchAll_Ct-1),AL1074=0),I1074,0)</f>
        <v>0</v>
      </c>
      <c r="BO1074" s="991">
        <f>IF(AND(Input_Product=Elig!$C1074,Elig_MatchAll_Ct&lt;22,$BC1074=(Elig_MatchAll_Ct-1),AM1074=0),J1074,0)</f>
        <v>0</v>
      </c>
      <c r="BP1074" s="991">
        <f>IF(AND(Input_Product=Elig!$C1074,Elig_MatchAll_Ct&lt;22,$BC1074=(Elig_MatchAll_Ct-1),AN1074=0),K1074,0)</f>
        <v>0</v>
      </c>
      <c r="BQ1074" s="991">
        <f>IF(AND(Input_Product=Elig!$C1074,Elig_MatchAll_Ct&lt;22,$BC1074=(Elig_MatchAll_Ct-1),AP1074=0),L1074,0)</f>
        <v>0</v>
      </c>
      <c r="BR1074" s="991">
        <f>IF(AND(Input_Product=Elig!$C1074,Elig_MatchAll_Ct&lt;22,$BC1074=(Elig_MatchAll_Ct-1),AO1074=0),M1074,0)</f>
        <v>0</v>
      </c>
      <c r="BS1074" s="991">
        <f>IF(AND(Input_Product=Elig!$C1074,Elig_MatchAll_Ct&lt;22,$BC1074=(Elig_MatchAll_Ct-1),AQ1074=0),N1074,0)</f>
        <v>0</v>
      </c>
      <c r="BT1074" s="991">
        <f>IF(AND(Input_Product=Elig!$C1074,Elig_MatchAll_Ct&lt;22,$BC1074=(Elig_MatchAll_Ct-1),AR1074=0),O1074,0)</f>
        <v>0</v>
      </c>
      <c r="BU1074" s="991">
        <f>IF(AND(Input_Product=Elig!$C1074,Elig_MatchAll_Ct&lt;22,$BC1074=(Elig_MatchAll_Ct-1),AS1074=0),P1074,0)</f>
        <v>0</v>
      </c>
      <c r="BV1074" s="992">
        <f>IF(AND(Input_Product=Elig!$C1074,Elig_MatchAll_Ct&lt;22,$BC1074=(Elig_MatchAll_Ct-1),AT1074=0),Q1074,0)</f>
        <v>0</v>
      </c>
      <c r="BW1074" s="993">
        <f>IF(AND(Input_Product=Elig!$C1074,Elig_MatchAll_Ct&lt;22,$BC1074=(Elig_MatchAll_Ct-1),AU1074=0),R1074,0)</f>
        <v>0</v>
      </c>
      <c r="BX1074" s="994">
        <f>IF(AND(Input_Product=Elig!$C1074,Elig_MatchAll_Ct&lt;22,$BC1074=(Elig_MatchAll_Ct-1),AU1074=0),S1074,0)</f>
        <v>0</v>
      </c>
      <c r="BY1074" s="993">
        <f>IF(AND(Input_Product=Elig!$C1074,Elig_MatchAll_Ct&lt;22,$BC1074=(Elig_MatchAll_Ct-1),AV1074=0),T1074,0)</f>
        <v>0</v>
      </c>
      <c r="BZ1074" s="994">
        <f>IF(AND(Input_Product=Elig!$C1074,Elig_MatchAll_Ct&lt;22,$BC1074=(Elig_MatchAll_Ct-1),AV1074=0),U1074,0)</f>
        <v>0</v>
      </c>
      <c r="CA1074" s="993">
        <f>IF(AND(Input_Product=Elig!$C1074,Elig_MatchAll_Ct&lt;22,$BC1074=(Elig_MatchAll_Ct-1),AW1074=0),V1074,0)</f>
        <v>0</v>
      </c>
      <c r="CB1074" s="994">
        <f>IF(AND(Input_Product=Elig!$C1074,Elig_MatchAll_Ct&lt;22,$BC1074=(Elig_MatchAll_Ct-1),AW1074=0),W1074,0)</f>
        <v>0</v>
      </c>
      <c r="CC1074" s="993">
        <f>IF(AND(Input_Product=Elig!$C1074,Elig_MatchAll_Ct&lt;22,$BC1074=(Elig_MatchAll_Ct-1),AX1074=0),X1074,0)</f>
        <v>0</v>
      </c>
      <c r="CD1074" s="994">
        <f>IF(AND(Input_Product=Elig!$C1074,Elig_MatchAll_Ct&lt;22,$BC1074=(Elig_MatchAll_Ct-1),AX1074=0),Y1074,0)</f>
        <v>0</v>
      </c>
      <c r="CE1074" s="993">
        <f>IF(AND(Input_LTV&lt;=AE1074,Input_Product=Elig!$C1074,Elig_MatchAll_Ct&lt;22,$BC1074=(Elig_MatchAll_Ct-1),AY1074=0),Z1074,0)</f>
        <v>0</v>
      </c>
      <c r="CF1074" s="994">
        <f>IF(AND(Input_LTV&lt;=AE1074,Input_Product=Elig!$C1074,Elig_MatchAll_Ct&lt;22,$BC1074=(Elig_MatchAll_Ct-1),AY1074=0),AA1074,0)</f>
        <v>0</v>
      </c>
      <c r="CG1074" s="993">
        <f>IF(AND(Input_Product=Elig!$C1074,Elig_MatchAll_Ct&lt;22,$BC1074=(Elig_MatchAll_Ct-1),AZ1074=0),AB1074,0)</f>
        <v>0</v>
      </c>
      <c r="CH1074" s="994">
        <f>IF(AND(Input_Product=Elig!$C1074,Elig_MatchAll_Ct&lt;22,$BC1074=(Elig_MatchAll_Ct-1),AZ1074=0),AC1074,0)</f>
        <v>0</v>
      </c>
      <c r="CI1074" s="993">
        <f>IF(AND(Input_Product=Elig!$C1074,Elig_MatchAll_Ct&lt;22,$BC1074=(Elig_MatchAll_Ct-1),BA1074=0),AD1074,0)</f>
        <v>0</v>
      </c>
      <c r="CJ1074" s="994">
        <f>IF(AND(Input_Product=Elig!$C1074,Elig_MatchAll_Ct&lt;22,$BC1074=(Elig_MatchAll_Ct-1),BA1074=0),AE1074,0)</f>
        <v>0</v>
      </c>
    </row>
    <row r="1075" spans="2:88" ht="10.15" customHeight="1" x14ac:dyDescent="0.25">
      <c r="B1075" s="1916" t="s">
        <v>2713</v>
      </c>
      <c r="C1075" s="1208" t="str">
        <f t="shared" si="416"/>
        <v xml:space="preserve">  </v>
      </c>
      <c r="D1075" s="1209" t="s">
        <v>2218</v>
      </c>
      <c r="E1075" s="1209" t="s">
        <v>167</v>
      </c>
      <c r="F1075" s="1209" t="s">
        <v>331</v>
      </c>
      <c r="G1075" s="1210" t="s">
        <v>179</v>
      </c>
      <c r="H1075" s="1210" t="s">
        <v>136</v>
      </c>
      <c r="I1075" s="1209" t="s">
        <v>16</v>
      </c>
      <c r="J1075" s="1209" t="s">
        <v>1311</v>
      </c>
      <c r="K1075" s="1210" t="s">
        <v>3022</v>
      </c>
      <c r="L1075" s="1209" t="s">
        <v>2768</v>
      </c>
      <c r="M1075" s="1209" t="s">
        <v>2677</v>
      </c>
      <c r="N1075" s="1210" t="s">
        <v>82</v>
      </c>
      <c r="O1075" s="1209" t="s">
        <v>310</v>
      </c>
      <c r="P1075" s="1209" t="s">
        <v>291</v>
      </c>
      <c r="Q1075" s="1209" t="s">
        <v>294</v>
      </c>
      <c r="R1075" s="1209">
        <v>2500000.0099999998</v>
      </c>
      <c r="S1075" s="1209">
        <v>3000000</v>
      </c>
      <c r="T1075" s="1209">
        <v>0</v>
      </c>
      <c r="U1075" s="1209">
        <f t="shared" si="415"/>
        <v>3000000</v>
      </c>
      <c r="V1075" s="1209">
        <v>0</v>
      </c>
      <c r="W1075" s="1209">
        <v>50</v>
      </c>
      <c r="X1075" s="1209">
        <v>0</v>
      </c>
      <c r="Y1075" s="1209">
        <v>999</v>
      </c>
      <c r="Z1075" s="1211">
        <v>700</v>
      </c>
      <c r="AA1075" s="1211">
        <v>719</v>
      </c>
      <c r="AB1075" s="1211">
        <v>6</v>
      </c>
      <c r="AC1075" s="1211">
        <v>999999</v>
      </c>
      <c r="AD1075" s="1209">
        <v>0</v>
      </c>
      <c r="AE1075" s="1212">
        <v>75</v>
      </c>
      <c r="AF1075" s="170">
        <v>0</v>
      </c>
      <c r="AG1075" s="171">
        <v>1</v>
      </c>
      <c r="AH1075" s="171">
        <v>1</v>
      </c>
      <c r="AI1075" s="171">
        <v>1</v>
      </c>
      <c r="AJ1075" s="171">
        <v>0</v>
      </c>
      <c r="AK1075" s="171">
        <v>1</v>
      </c>
      <c r="AL1075" s="171">
        <v>1</v>
      </c>
      <c r="AM1075" s="171">
        <v>1</v>
      </c>
      <c r="AN1075" s="171">
        <v>1</v>
      </c>
      <c r="AO1075" s="171">
        <v>1</v>
      </c>
      <c r="AP1075" s="171">
        <v>1</v>
      </c>
      <c r="AQ1075" s="171">
        <v>1</v>
      </c>
      <c r="AR1075" s="171">
        <v>1</v>
      </c>
      <c r="AS1075" s="171">
        <v>1</v>
      </c>
      <c r="AT1075" s="171">
        <v>1</v>
      </c>
      <c r="AU1075" s="171">
        <f t="shared" si="404"/>
        <v>0</v>
      </c>
      <c r="AV1075" s="171">
        <f t="shared" si="405"/>
        <v>1</v>
      </c>
      <c r="AW1075" s="171">
        <f t="shared" si="406"/>
        <v>1</v>
      </c>
      <c r="AX1075" s="171">
        <f t="shared" si="414"/>
        <v>1</v>
      </c>
      <c r="AY1075" s="171">
        <f t="shared" si="407"/>
        <v>0</v>
      </c>
      <c r="AZ1075" s="171">
        <f t="shared" si="408"/>
        <v>1</v>
      </c>
      <c r="BA1075" s="172">
        <f t="shared" si="409"/>
        <v>1</v>
      </c>
      <c r="BB1075" s="175">
        <f t="shared" si="411"/>
        <v>18</v>
      </c>
      <c r="BC1075" s="176">
        <f t="shared" si="412"/>
        <v>17</v>
      </c>
      <c r="BD1075" s="176">
        <f t="shared" si="413"/>
        <v>18</v>
      </c>
      <c r="BE1075" s="240" t="str">
        <f t="shared" si="403"/>
        <v/>
      </c>
      <c r="BF1075" s="990"/>
      <c r="BG1075" s="990"/>
      <c r="BH1075" s="991">
        <f>IF(AND(Input_Product=Elig!$C1075,Elig_MatchAll_Ct&lt;22,$BC1075=(Elig_MatchAll_Ct-1),AF1075=0),C1075,0)</f>
        <v>0</v>
      </c>
      <c r="BI1075" s="991">
        <f>IF(AND(Input_Product=Elig!$C1075,Elig_MatchAll_Ct&lt;22,$BC1075=(Elig_MatchAll_Ct-1),AG1075=0),D1075,0)</f>
        <v>0</v>
      </c>
      <c r="BJ1075" s="991">
        <f>IF(AND(Input_Product=Elig!$C1075,Elig_MatchAll_Ct&lt;22,$BC1075=(Elig_MatchAll_Ct-1),AH1075=0),E1075,0)</f>
        <v>0</v>
      </c>
      <c r="BK1075" s="991">
        <f>IF(AND(Input_Product=Elig!$C1075,Elig_MatchAll_Ct&lt;22,$BC1075=(Elig_MatchAll_Ct-1),AI1075=0),F1075,0)</f>
        <v>0</v>
      </c>
      <c r="BL1075" s="991">
        <f>IF(AND(Input_Product=Elig!$C1075,Elig_MatchAll_Ct&lt;22,$BC1075=(Elig_MatchAll_Ct-1),AJ1075=0),G1075,0)</f>
        <v>0</v>
      </c>
      <c r="BM1075" s="991">
        <f>IF(AND(Input_Product=Elig!$C1075,Elig_MatchAll_Ct&lt;22,$BC1075=(Elig_MatchAll_Ct-1),AK1075=0),H1075,0)</f>
        <v>0</v>
      </c>
      <c r="BN1075" s="991">
        <f>IF(AND(Input_Product=Elig!$C1075,Elig_MatchAll_Ct&lt;22,$BC1075=(Elig_MatchAll_Ct-1),AL1075=0),I1075,0)</f>
        <v>0</v>
      </c>
      <c r="BO1075" s="991">
        <f>IF(AND(Input_Product=Elig!$C1075,Elig_MatchAll_Ct&lt;22,$BC1075=(Elig_MatchAll_Ct-1),AM1075=0),J1075,0)</f>
        <v>0</v>
      </c>
      <c r="BP1075" s="991">
        <f>IF(AND(Input_Product=Elig!$C1075,Elig_MatchAll_Ct&lt;22,$BC1075=(Elig_MatchAll_Ct-1),AN1075=0),K1075,0)</f>
        <v>0</v>
      </c>
      <c r="BQ1075" s="991">
        <f>IF(AND(Input_Product=Elig!$C1075,Elig_MatchAll_Ct&lt;22,$BC1075=(Elig_MatchAll_Ct-1),AP1075=0),L1075,0)</f>
        <v>0</v>
      </c>
      <c r="BR1075" s="991">
        <f>IF(AND(Input_Product=Elig!$C1075,Elig_MatchAll_Ct&lt;22,$BC1075=(Elig_MatchAll_Ct-1),AO1075=0),M1075,0)</f>
        <v>0</v>
      </c>
      <c r="BS1075" s="991">
        <f>IF(AND(Input_Product=Elig!$C1075,Elig_MatchAll_Ct&lt;22,$BC1075=(Elig_MatchAll_Ct-1),AQ1075=0),N1075,0)</f>
        <v>0</v>
      </c>
      <c r="BT1075" s="991">
        <f>IF(AND(Input_Product=Elig!$C1075,Elig_MatchAll_Ct&lt;22,$BC1075=(Elig_MatchAll_Ct-1),AR1075=0),O1075,0)</f>
        <v>0</v>
      </c>
      <c r="BU1075" s="991">
        <f>IF(AND(Input_Product=Elig!$C1075,Elig_MatchAll_Ct&lt;22,$BC1075=(Elig_MatchAll_Ct-1),AS1075=0),P1075,0)</f>
        <v>0</v>
      </c>
      <c r="BV1075" s="992">
        <f>IF(AND(Input_Product=Elig!$C1075,Elig_MatchAll_Ct&lt;22,$BC1075=(Elig_MatchAll_Ct-1),AT1075=0),Q1075,0)</f>
        <v>0</v>
      </c>
      <c r="BW1075" s="993">
        <f>IF(AND(Input_Product=Elig!$C1075,Elig_MatchAll_Ct&lt;22,$BC1075=(Elig_MatchAll_Ct-1),AU1075=0),R1075,0)</f>
        <v>0</v>
      </c>
      <c r="BX1075" s="994">
        <f>IF(AND(Input_Product=Elig!$C1075,Elig_MatchAll_Ct&lt;22,$BC1075=(Elig_MatchAll_Ct-1),AU1075=0),S1075,0)</f>
        <v>0</v>
      </c>
      <c r="BY1075" s="993">
        <f>IF(AND(Input_Product=Elig!$C1075,Elig_MatchAll_Ct&lt;22,$BC1075=(Elig_MatchAll_Ct-1),AV1075=0),T1075,0)</f>
        <v>0</v>
      </c>
      <c r="BZ1075" s="994">
        <f>IF(AND(Input_Product=Elig!$C1075,Elig_MatchAll_Ct&lt;22,$BC1075=(Elig_MatchAll_Ct-1),AV1075=0),U1075,0)</f>
        <v>0</v>
      </c>
      <c r="CA1075" s="993">
        <f>IF(AND(Input_Product=Elig!$C1075,Elig_MatchAll_Ct&lt;22,$BC1075=(Elig_MatchAll_Ct-1),AW1075=0),V1075,0)</f>
        <v>0</v>
      </c>
      <c r="CB1075" s="994">
        <f>IF(AND(Input_Product=Elig!$C1075,Elig_MatchAll_Ct&lt;22,$BC1075=(Elig_MatchAll_Ct-1),AW1075=0),W1075,0)</f>
        <v>0</v>
      </c>
      <c r="CC1075" s="993">
        <f>IF(AND(Input_Product=Elig!$C1075,Elig_MatchAll_Ct&lt;22,$BC1075=(Elig_MatchAll_Ct-1),AX1075=0),X1075,0)</f>
        <v>0</v>
      </c>
      <c r="CD1075" s="994">
        <f>IF(AND(Input_Product=Elig!$C1075,Elig_MatchAll_Ct&lt;22,$BC1075=(Elig_MatchAll_Ct-1),AX1075=0),Y1075,0)</f>
        <v>0</v>
      </c>
      <c r="CE1075" s="993">
        <f>IF(AND(Input_LTV&lt;=AE1075,Input_Product=Elig!$C1075,Elig_MatchAll_Ct&lt;22,$BC1075=(Elig_MatchAll_Ct-1),AY1075=0),Z1075,0)</f>
        <v>0</v>
      </c>
      <c r="CF1075" s="994">
        <f>IF(AND(Input_LTV&lt;=AE1075,Input_Product=Elig!$C1075,Elig_MatchAll_Ct&lt;22,$BC1075=(Elig_MatchAll_Ct-1),AY1075=0),AA1075,0)</f>
        <v>0</v>
      </c>
      <c r="CG1075" s="993">
        <f>IF(AND(Input_Product=Elig!$C1075,Elig_MatchAll_Ct&lt;22,$BC1075=(Elig_MatchAll_Ct-1),AZ1075=0),AB1075,0)</f>
        <v>0</v>
      </c>
      <c r="CH1075" s="994">
        <f>IF(AND(Input_Product=Elig!$C1075,Elig_MatchAll_Ct&lt;22,$BC1075=(Elig_MatchAll_Ct-1),AZ1075=0),AC1075,0)</f>
        <v>0</v>
      </c>
      <c r="CI1075" s="993">
        <f>IF(AND(Input_Product=Elig!$C1075,Elig_MatchAll_Ct&lt;22,$BC1075=(Elig_MatchAll_Ct-1),BA1075=0),AD1075,0)</f>
        <v>0</v>
      </c>
      <c r="CJ1075" s="994">
        <f>IF(AND(Input_Product=Elig!$C1075,Elig_MatchAll_Ct&lt;22,$BC1075=(Elig_MatchAll_Ct-1),BA1075=0),AE1075,0)</f>
        <v>0</v>
      </c>
    </row>
    <row r="1076" spans="2:88" ht="10.15" customHeight="1" x14ac:dyDescent="0.25">
      <c r="B1076" s="1916" t="s">
        <v>2714</v>
      </c>
      <c r="C1076" s="1213" t="str">
        <f t="shared" si="416"/>
        <v xml:space="preserve">  </v>
      </c>
      <c r="D1076" s="1214" t="s">
        <v>2218</v>
      </c>
      <c r="E1076" s="1214" t="s">
        <v>167</v>
      </c>
      <c r="F1076" s="1214" t="s">
        <v>331</v>
      </c>
      <c r="G1076" s="1215" t="s">
        <v>179</v>
      </c>
      <c r="H1076" s="1215" t="s">
        <v>136</v>
      </c>
      <c r="I1076" s="1214" t="s">
        <v>16</v>
      </c>
      <c r="J1076" s="1214" t="s">
        <v>1311</v>
      </c>
      <c r="K1076" s="1215" t="s">
        <v>3022</v>
      </c>
      <c r="L1076" s="1214" t="s">
        <v>2768</v>
      </c>
      <c r="M1076" s="1214" t="s">
        <v>2677</v>
      </c>
      <c r="N1076" s="1215" t="s">
        <v>82</v>
      </c>
      <c r="O1076" s="1214" t="s">
        <v>310</v>
      </c>
      <c r="P1076" s="1214" t="s">
        <v>291</v>
      </c>
      <c r="Q1076" s="1214" t="s">
        <v>294</v>
      </c>
      <c r="R1076" s="1214">
        <v>2500000.0099999998</v>
      </c>
      <c r="S1076" s="1214">
        <v>3000000</v>
      </c>
      <c r="T1076" s="1214">
        <v>0</v>
      </c>
      <c r="U1076" s="1214">
        <f t="shared" si="415"/>
        <v>3000000</v>
      </c>
      <c r="V1076" s="1214">
        <v>0</v>
      </c>
      <c r="W1076" s="1214">
        <v>50</v>
      </c>
      <c r="X1076" s="1214">
        <v>0</v>
      </c>
      <c r="Y1076" s="1214">
        <v>999</v>
      </c>
      <c r="Z1076" s="1216">
        <v>680</v>
      </c>
      <c r="AA1076" s="1216">
        <v>699</v>
      </c>
      <c r="AB1076" s="1216">
        <v>6</v>
      </c>
      <c r="AC1076" s="1216">
        <v>999999</v>
      </c>
      <c r="AD1076" s="1214">
        <v>0</v>
      </c>
      <c r="AE1076" s="1217">
        <v>75</v>
      </c>
      <c r="AF1076" s="170">
        <v>0</v>
      </c>
      <c r="AG1076" s="171">
        <v>1</v>
      </c>
      <c r="AH1076" s="171">
        <v>1</v>
      </c>
      <c r="AI1076" s="171">
        <v>1</v>
      </c>
      <c r="AJ1076" s="171">
        <v>0</v>
      </c>
      <c r="AK1076" s="171">
        <v>1</v>
      </c>
      <c r="AL1076" s="171">
        <v>1</v>
      </c>
      <c r="AM1076" s="171">
        <v>1</v>
      </c>
      <c r="AN1076" s="171">
        <v>1</v>
      </c>
      <c r="AO1076" s="171">
        <v>1</v>
      </c>
      <c r="AP1076" s="171">
        <v>1</v>
      </c>
      <c r="AQ1076" s="171">
        <v>1</v>
      </c>
      <c r="AR1076" s="171">
        <v>1</v>
      </c>
      <c r="AS1076" s="171">
        <v>1</v>
      </c>
      <c r="AT1076" s="171">
        <v>1</v>
      </c>
      <c r="AU1076" s="171">
        <f t="shared" si="404"/>
        <v>0</v>
      </c>
      <c r="AV1076" s="171">
        <f t="shared" si="405"/>
        <v>1</v>
      </c>
      <c r="AW1076" s="171">
        <f t="shared" si="406"/>
        <v>1</v>
      </c>
      <c r="AX1076" s="171">
        <f t="shared" si="414"/>
        <v>1</v>
      </c>
      <c r="AY1076" s="171">
        <f t="shared" si="407"/>
        <v>0</v>
      </c>
      <c r="AZ1076" s="171">
        <f t="shared" si="408"/>
        <v>1</v>
      </c>
      <c r="BA1076" s="172">
        <f t="shared" si="409"/>
        <v>1</v>
      </c>
      <c r="BB1076" s="175">
        <f t="shared" si="411"/>
        <v>18</v>
      </c>
      <c r="BC1076" s="176">
        <f t="shared" si="412"/>
        <v>17</v>
      </c>
      <c r="BD1076" s="176">
        <f t="shared" si="413"/>
        <v>18</v>
      </c>
      <c r="BE1076" s="240" t="str">
        <f t="shared" si="403"/>
        <v/>
      </c>
      <c r="BF1076" s="990"/>
      <c r="BG1076" s="990"/>
      <c r="BH1076" s="991">
        <f>IF(AND(Input_Product=Elig!$C1076,Elig_MatchAll_Ct&lt;22,$BC1076=(Elig_MatchAll_Ct-1),AF1076=0),C1076,0)</f>
        <v>0</v>
      </c>
      <c r="BI1076" s="991">
        <f>IF(AND(Input_Product=Elig!$C1076,Elig_MatchAll_Ct&lt;22,$BC1076=(Elig_MatchAll_Ct-1),AG1076=0),D1076,0)</f>
        <v>0</v>
      </c>
      <c r="BJ1076" s="991">
        <f>IF(AND(Input_Product=Elig!$C1076,Elig_MatchAll_Ct&lt;22,$BC1076=(Elig_MatchAll_Ct-1),AH1076=0),E1076,0)</f>
        <v>0</v>
      </c>
      <c r="BK1076" s="991">
        <f>IF(AND(Input_Product=Elig!$C1076,Elig_MatchAll_Ct&lt;22,$BC1076=(Elig_MatchAll_Ct-1),AI1076=0),F1076,0)</f>
        <v>0</v>
      </c>
      <c r="BL1076" s="991">
        <f>IF(AND(Input_Product=Elig!$C1076,Elig_MatchAll_Ct&lt;22,$BC1076=(Elig_MatchAll_Ct-1),AJ1076=0),G1076,0)</f>
        <v>0</v>
      </c>
      <c r="BM1076" s="991">
        <f>IF(AND(Input_Product=Elig!$C1076,Elig_MatchAll_Ct&lt;22,$BC1076=(Elig_MatchAll_Ct-1),AK1076=0),H1076,0)</f>
        <v>0</v>
      </c>
      <c r="BN1076" s="991">
        <f>IF(AND(Input_Product=Elig!$C1076,Elig_MatchAll_Ct&lt;22,$BC1076=(Elig_MatchAll_Ct-1),AL1076=0),I1076,0)</f>
        <v>0</v>
      </c>
      <c r="BO1076" s="991">
        <f>IF(AND(Input_Product=Elig!$C1076,Elig_MatchAll_Ct&lt;22,$BC1076=(Elig_MatchAll_Ct-1),AM1076=0),J1076,0)</f>
        <v>0</v>
      </c>
      <c r="BP1076" s="991">
        <f>IF(AND(Input_Product=Elig!$C1076,Elig_MatchAll_Ct&lt;22,$BC1076=(Elig_MatchAll_Ct-1),AN1076=0),K1076,0)</f>
        <v>0</v>
      </c>
      <c r="BQ1076" s="991">
        <f>IF(AND(Input_Product=Elig!$C1076,Elig_MatchAll_Ct&lt;22,$BC1076=(Elig_MatchAll_Ct-1),AP1076=0),L1076,0)</f>
        <v>0</v>
      </c>
      <c r="BR1076" s="991">
        <f>IF(AND(Input_Product=Elig!$C1076,Elig_MatchAll_Ct&lt;22,$BC1076=(Elig_MatchAll_Ct-1),AO1076=0),M1076,0)</f>
        <v>0</v>
      </c>
      <c r="BS1076" s="991">
        <f>IF(AND(Input_Product=Elig!$C1076,Elig_MatchAll_Ct&lt;22,$BC1076=(Elig_MatchAll_Ct-1),AQ1076=0),N1076,0)</f>
        <v>0</v>
      </c>
      <c r="BT1076" s="991">
        <f>IF(AND(Input_Product=Elig!$C1076,Elig_MatchAll_Ct&lt;22,$BC1076=(Elig_MatchAll_Ct-1),AR1076=0),O1076,0)</f>
        <v>0</v>
      </c>
      <c r="BU1076" s="991">
        <f>IF(AND(Input_Product=Elig!$C1076,Elig_MatchAll_Ct&lt;22,$BC1076=(Elig_MatchAll_Ct-1),AS1076=0),P1076,0)</f>
        <v>0</v>
      </c>
      <c r="BV1076" s="992">
        <f>IF(AND(Input_Product=Elig!$C1076,Elig_MatchAll_Ct&lt;22,$BC1076=(Elig_MatchAll_Ct-1),AT1076=0),Q1076,0)</f>
        <v>0</v>
      </c>
      <c r="BW1076" s="993">
        <f>IF(AND(Input_Product=Elig!$C1076,Elig_MatchAll_Ct&lt;22,$BC1076=(Elig_MatchAll_Ct-1),AU1076=0),R1076,0)</f>
        <v>0</v>
      </c>
      <c r="BX1076" s="994">
        <f>IF(AND(Input_Product=Elig!$C1076,Elig_MatchAll_Ct&lt;22,$BC1076=(Elig_MatchAll_Ct-1),AU1076=0),S1076,0)</f>
        <v>0</v>
      </c>
      <c r="BY1076" s="993">
        <f>IF(AND(Input_Product=Elig!$C1076,Elig_MatchAll_Ct&lt;22,$BC1076=(Elig_MatchAll_Ct-1),AV1076=0),T1076,0)</f>
        <v>0</v>
      </c>
      <c r="BZ1076" s="994">
        <f>IF(AND(Input_Product=Elig!$C1076,Elig_MatchAll_Ct&lt;22,$BC1076=(Elig_MatchAll_Ct-1),AV1076=0),U1076,0)</f>
        <v>0</v>
      </c>
      <c r="CA1076" s="993">
        <f>IF(AND(Input_Product=Elig!$C1076,Elig_MatchAll_Ct&lt;22,$BC1076=(Elig_MatchAll_Ct-1),AW1076=0),V1076,0)</f>
        <v>0</v>
      </c>
      <c r="CB1076" s="994">
        <f>IF(AND(Input_Product=Elig!$C1076,Elig_MatchAll_Ct&lt;22,$BC1076=(Elig_MatchAll_Ct-1),AW1076=0),W1076,0)</f>
        <v>0</v>
      </c>
      <c r="CC1076" s="993">
        <f>IF(AND(Input_Product=Elig!$C1076,Elig_MatchAll_Ct&lt;22,$BC1076=(Elig_MatchAll_Ct-1),AX1076=0),X1076,0)</f>
        <v>0</v>
      </c>
      <c r="CD1076" s="994">
        <f>IF(AND(Input_Product=Elig!$C1076,Elig_MatchAll_Ct&lt;22,$BC1076=(Elig_MatchAll_Ct-1),AX1076=0),Y1076,0)</f>
        <v>0</v>
      </c>
      <c r="CE1076" s="993">
        <f>IF(AND(Input_LTV&lt;=AE1076,Input_Product=Elig!$C1076,Elig_MatchAll_Ct&lt;22,$BC1076=(Elig_MatchAll_Ct-1),AY1076=0),Z1076,0)</f>
        <v>0</v>
      </c>
      <c r="CF1076" s="994">
        <f>IF(AND(Input_LTV&lt;=AE1076,Input_Product=Elig!$C1076,Elig_MatchAll_Ct&lt;22,$BC1076=(Elig_MatchAll_Ct-1),AY1076=0),AA1076,0)</f>
        <v>0</v>
      </c>
      <c r="CG1076" s="993">
        <f>IF(AND(Input_Product=Elig!$C1076,Elig_MatchAll_Ct&lt;22,$BC1076=(Elig_MatchAll_Ct-1),AZ1076=0),AB1076,0)</f>
        <v>0</v>
      </c>
      <c r="CH1076" s="994">
        <f>IF(AND(Input_Product=Elig!$C1076,Elig_MatchAll_Ct&lt;22,$BC1076=(Elig_MatchAll_Ct-1),AZ1076=0),AC1076,0)</f>
        <v>0</v>
      </c>
      <c r="CI1076" s="993">
        <f>IF(AND(Input_Product=Elig!$C1076,Elig_MatchAll_Ct&lt;22,$BC1076=(Elig_MatchAll_Ct-1),BA1076=0),AD1076,0)</f>
        <v>0</v>
      </c>
      <c r="CJ1076" s="994">
        <f>IF(AND(Input_Product=Elig!$C1076,Elig_MatchAll_Ct&lt;22,$BC1076=(Elig_MatchAll_Ct-1),BA1076=0),AE1076,0)</f>
        <v>0</v>
      </c>
    </row>
    <row r="1077" spans="2:88" ht="10.15" customHeight="1" x14ac:dyDescent="0.25">
      <c r="B1077" s="1916" t="s">
        <v>2715</v>
      </c>
      <c r="C1077" s="1203" t="str">
        <f t="shared" si="416"/>
        <v xml:space="preserve">  </v>
      </c>
      <c r="D1077" s="1204" t="s">
        <v>2218</v>
      </c>
      <c r="E1077" s="1204" t="s">
        <v>167</v>
      </c>
      <c r="F1077" s="1204" t="s">
        <v>331</v>
      </c>
      <c r="G1077" s="1205" t="s">
        <v>472</v>
      </c>
      <c r="H1077" s="1205" t="s">
        <v>136</v>
      </c>
      <c r="I1077" s="1204" t="s">
        <v>16</v>
      </c>
      <c r="J1077" s="1204" t="s">
        <v>1311</v>
      </c>
      <c r="K1077" s="1205" t="s">
        <v>3022</v>
      </c>
      <c r="L1077" s="1204" t="s">
        <v>2768</v>
      </c>
      <c r="M1077" s="1204" t="s">
        <v>2677</v>
      </c>
      <c r="N1077" s="1205" t="s">
        <v>82</v>
      </c>
      <c r="O1077" s="1204" t="s">
        <v>310</v>
      </c>
      <c r="P1077" s="1204" t="s">
        <v>291</v>
      </c>
      <c r="Q1077" s="1204" t="s">
        <v>294</v>
      </c>
      <c r="R1077" s="1204">
        <v>125000</v>
      </c>
      <c r="S1077" s="1204">
        <v>1000000</v>
      </c>
      <c r="T1077" s="1204">
        <v>0</v>
      </c>
      <c r="U1077" s="1204">
        <f t="shared" si="415"/>
        <v>1000000</v>
      </c>
      <c r="V1077" s="1204">
        <v>0</v>
      </c>
      <c r="W1077" s="1204">
        <v>50</v>
      </c>
      <c r="X1077" s="1204">
        <v>0</v>
      </c>
      <c r="Y1077" s="1204">
        <v>999</v>
      </c>
      <c r="Z1077" s="1206">
        <v>720</v>
      </c>
      <c r="AA1077" s="1206">
        <v>999</v>
      </c>
      <c r="AB1077" s="1206">
        <v>3</v>
      </c>
      <c r="AC1077" s="1206">
        <v>999999</v>
      </c>
      <c r="AD1077" s="1204">
        <v>0</v>
      </c>
      <c r="AE1077" s="1207">
        <v>70</v>
      </c>
      <c r="AF1077" s="170">
        <v>0</v>
      </c>
      <c r="AG1077" s="171">
        <v>1</v>
      </c>
      <c r="AH1077" s="171">
        <v>1</v>
      </c>
      <c r="AI1077" s="171">
        <v>1</v>
      </c>
      <c r="AJ1077" s="171">
        <v>0</v>
      </c>
      <c r="AK1077" s="171">
        <v>1</v>
      </c>
      <c r="AL1077" s="171">
        <v>1</v>
      </c>
      <c r="AM1077" s="171">
        <v>1</v>
      </c>
      <c r="AN1077" s="171">
        <v>1</v>
      </c>
      <c r="AO1077" s="171">
        <v>1</v>
      </c>
      <c r="AP1077" s="171">
        <v>1</v>
      </c>
      <c r="AQ1077" s="171">
        <v>1</v>
      </c>
      <c r="AR1077" s="171">
        <v>1</v>
      </c>
      <c r="AS1077" s="171">
        <v>1</v>
      </c>
      <c r="AT1077" s="171">
        <v>1</v>
      </c>
      <c r="AU1077" s="171">
        <f t="shared" si="404"/>
        <v>1</v>
      </c>
      <c r="AV1077" s="171">
        <f t="shared" si="405"/>
        <v>1</v>
      </c>
      <c r="AW1077" s="171">
        <f t="shared" si="406"/>
        <v>1</v>
      </c>
      <c r="AX1077" s="171">
        <f t="shared" si="414"/>
        <v>1</v>
      </c>
      <c r="AY1077" s="171">
        <f t="shared" si="407"/>
        <v>1</v>
      </c>
      <c r="AZ1077" s="171">
        <f t="shared" si="408"/>
        <v>1</v>
      </c>
      <c r="BA1077" s="172">
        <f t="shared" si="409"/>
        <v>1</v>
      </c>
      <c r="BB1077" s="175">
        <f t="shared" si="411"/>
        <v>20</v>
      </c>
      <c r="BC1077" s="176">
        <f t="shared" si="412"/>
        <v>19</v>
      </c>
      <c r="BD1077" s="176">
        <f t="shared" si="413"/>
        <v>20</v>
      </c>
      <c r="BE1077" s="240" t="str">
        <f t="shared" si="403"/>
        <v/>
      </c>
      <c r="BF1077" s="990"/>
      <c r="BG1077" s="990"/>
      <c r="BH1077" s="991">
        <f>IF(AND(Input_Product=Elig!$C1077,Elig_MatchAll_Ct&lt;22,$BC1077=(Elig_MatchAll_Ct-1),AF1077=0),C1077,0)</f>
        <v>0</v>
      </c>
      <c r="BI1077" s="991">
        <f>IF(AND(Input_Product=Elig!$C1077,Elig_MatchAll_Ct&lt;22,$BC1077=(Elig_MatchAll_Ct-1),AG1077=0),D1077,0)</f>
        <v>0</v>
      </c>
      <c r="BJ1077" s="991">
        <f>IF(AND(Input_Product=Elig!$C1077,Elig_MatchAll_Ct&lt;22,$BC1077=(Elig_MatchAll_Ct-1),AH1077=0),E1077,0)</f>
        <v>0</v>
      </c>
      <c r="BK1077" s="991">
        <f>IF(AND(Input_Product=Elig!$C1077,Elig_MatchAll_Ct&lt;22,$BC1077=(Elig_MatchAll_Ct-1),AI1077=0),F1077,0)</f>
        <v>0</v>
      </c>
      <c r="BL1077" s="991">
        <f>IF(AND(Input_Product=Elig!$C1077,Elig_MatchAll_Ct&lt;22,$BC1077=(Elig_MatchAll_Ct-1),AJ1077=0),G1077,0)</f>
        <v>0</v>
      </c>
      <c r="BM1077" s="991">
        <f>IF(AND(Input_Product=Elig!$C1077,Elig_MatchAll_Ct&lt;22,$BC1077=(Elig_MatchAll_Ct-1),AK1077=0),H1077,0)</f>
        <v>0</v>
      </c>
      <c r="BN1077" s="991">
        <f>IF(AND(Input_Product=Elig!$C1077,Elig_MatchAll_Ct&lt;22,$BC1077=(Elig_MatchAll_Ct-1),AL1077=0),I1077,0)</f>
        <v>0</v>
      </c>
      <c r="BO1077" s="991">
        <f>IF(AND(Input_Product=Elig!$C1077,Elig_MatchAll_Ct&lt;22,$BC1077=(Elig_MatchAll_Ct-1),AM1077=0),J1077,0)</f>
        <v>0</v>
      </c>
      <c r="BP1077" s="991">
        <f>IF(AND(Input_Product=Elig!$C1077,Elig_MatchAll_Ct&lt;22,$BC1077=(Elig_MatchAll_Ct-1),AN1077=0),K1077,0)</f>
        <v>0</v>
      </c>
      <c r="BQ1077" s="991">
        <f>IF(AND(Input_Product=Elig!$C1077,Elig_MatchAll_Ct&lt;22,$BC1077=(Elig_MatchAll_Ct-1),AP1077=0),L1077,0)</f>
        <v>0</v>
      </c>
      <c r="BR1077" s="991">
        <f>IF(AND(Input_Product=Elig!$C1077,Elig_MatchAll_Ct&lt;22,$BC1077=(Elig_MatchAll_Ct-1),AO1077=0),M1077,0)</f>
        <v>0</v>
      </c>
      <c r="BS1077" s="991">
        <f>IF(AND(Input_Product=Elig!$C1077,Elig_MatchAll_Ct&lt;22,$BC1077=(Elig_MatchAll_Ct-1),AQ1077=0),N1077,0)</f>
        <v>0</v>
      </c>
      <c r="BT1077" s="991">
        <f>IF(AND(Input_Product=Elig!$C1077,Elig_MatchAll_Ct&lt;22,$BC1077=(Elig_MatchAll_Ct-1),AR1077=0),O1077,0)</f>
        <v>0</v>
      </c>
      <c r="BU1077" s="991">
        <f>IF(AND(Input_Product=Elig!$C1077,Elig_MatchAll_Ct&lt;22,$BC1077=(Elig_MatchAll_Ct-1),AS1077=0),P1077,0)</f>
        <v>0</v>
      </c>
      <c r="BV1077" s="992">
        <f>IF(AND(Input_Product=Elig!$C1077,Elig_MatchAll_Ct&lt;22,$BC1077=(Elig_MatchAll_Ct-1),AT1077=0),Q1077,0)</f>
        <v>0</v>
      </c>
      <c r="BW1077" s="993">
        <f>IF(AND(Input_Product=Elig!$C1077,Elig_MatchAll_Ct&lt;22,$BC1077=(Elig_MatchAll_Ct-1),AU1077=0),R1077,0)</f>
        <v>0</v>
      </c>
      <c r="BX1077" s="994">
        <f>IF(AND(Input_Product=Elig!$C1077,Elig_MatchAll_Ct&lt;22,$BC1077=(Elig_MatchAll_Ct-1),AU1077=0),S1077,0)</f>
        <v>0</v>
      </c>
      <c r="BY1077" s="993">
        <f>IF(AND(Input_Product=Elig!$C1077,Elig_MatchAll_Ct&lt;22,$BC1077=(Elig_MatchAll_Ct-1),AV1077=0),T1077,0)</f>
        <v>0</v>
      </c>
      <c r="BZ1077" s="994">
        <f>IF(AND(Input_Product=Elig!$C1077,Elig_MatchAll_Ct&lt;22,$BC1077=(Elig_MatchAll_Ct-1),AV1077=0),U1077,0)</f>
        <v>0</v>
      </c>
      <c r="CA1077" s="993">
        <f>IF(AND(Input_Product=Elig!$C1077,Elig_MatchAll_Ct&lt;22,$BC1077=(Elig_MatchAll_Ct-1),AW1077=0),V1077,0)</f>
        <v>0</v>
      </c>
      <c r="CB1077" s="994">
        <f>IF(AND(Input_Product=Elig!$C1077,Elig_MatchAll_Ct&lt;22,$BC1077=(Elig_MatchAll_Ct-1),AW1077=0),W1077,0)</f>
        <v>0</v>
      </c>
      <c r="CC1077" s="993">
        <f>IF(AND(Input_Product=Elig!$C1077,Elig_MatchAll_Ct&lt;22,$BC1077=(Elig_MatchAll_Ct-1),AX1077=0),X1077,0)</f>
        <v>0</v>
      </c>
      <c r="CD1077" s="994">
        <f>IF(AND(Input_Product=Elig!$C1077,Elig_MatchAll_Ct&lt;22,$BC1077=(Elig_MatchAll_Ct-1),AX1077=0),Y1077,0)</f>
        <v>0</v>
      </c>
      <c r="CE1077" s="993">
        <f>IF(AND(Input_LTV&lt;=AE1077,Input_Product=Elig!$C1077,Elig_MatchAll_Ct&lt;22,$BC1077=(Elig_MatchAll_Ct-1),AY1077=0),Z1077,0)</f>
        <v>0</v>
      </c>
      <c r="CF1077" s="994">
        <f>IF(AND(Input_LTV&lt;=AE1077,Input_Product=Elig!$C1077,Elig_MatchAll_Ct&lt;22,$BC1077=(Elig_MatchAll_Ct-1),AY1077=0),AA1077,0)</f>
        <v>0</v>
      </c>
      <c r="CG1077" s="993">
        <f>IF(AND(Input_Product=Elig!$C1077,Elig_MatchAll_Ct&lt;22,$BC1077=(Elig_MatchAll_Ct-1),AZ1077=0),AB1077,0)</f>
        <v>0</v>
      </c>
      <c r="CH1077" s="994">
        <f>IF(AND(Input_Product=Elig!$C1077,Elig_MatchAll_Ct&lt;22,$BC1077=(Elig_MatchAll_Ct-1),AZ1077=0),AC1077,0)</f>
        <v>0</v>
      </c>
      <c r="CI1077" s="993">
        <f>IF(AND(Input_Product=Elig!$C1077,Elig_MatchAll_Ct&lt;22,$BC1077=(Elig_MatchAll_Ct-1),BA1077=0),AD1077,0)</f>
        <v>0</v>
      </c>
      <c r="CJ1077" s="994">
        <f>IF(AND(Input_Product=Elig!$C1077,Elig_MatchAll_Ct&lt;22,$BC1077=(Elig_MatchAll_Ct-1),BA1077=0),AE1077,0)</f>
        <v>0</v>
      </c>
    </row>
    <row r="1078" spans="2:88" ht="10.15" customHeight="1" x14ac:dyDescent="0.25">
      <c r="B1078" s="1916" t="s">
        <v>2716</v>
      </c>
      <c r="C1078" s="1208" t="str">
        <f t="shared" si="416"/>
        <v xml:space="preserve">  </v>
      </c>
      <c r="D1078" s="1209" t="s">
        <v>2218</v>
      </c>
      <c r="E1078" s="1209" t="s">
        <v>167</v>
      </c>
      <c r="F1078" s="1209" t="s">
        <v>331</v>
      </c>
      <c r="G1078" s="1210" t="s">
        <v>472</v>
      </c>
      <c r="H1078" s="1210" t="s">
        <v>136</v>
      </c>
      <c r="I1078" s="1209" t="s">
        <v>16</v>
      </c>
      <c r="J1078" s="1209" t="s">
        <v>1311</v>
      </c>
      <c r="K1078" s="1210" t="s">
        <v>3022</v>
      </c>
      <c r="L1078" s="1209" t="s">
        <v>2768</v>
      </c>
      <c r="M1078" s="1209" t="s">
        <v>2677</v>
      </c>
      <c r="N1078" s="1210" t="s">
        <v>82</v>
      </c>
      <c r="O1078" s="1209" t="s">
        <v>310</v>
      </c>
      <c r="P1078" s="1209" t="s">
        <v>291</v>
      </c>
      <c r="Q1078" s="1209" t="s">
        <v>294</v>
      </c>
      <c r="R1078" s="1209">
        <v>125000</v>
      </c>
      <c r="S1078" s="1209">
        <v>1000000</v>
      </c>
      <c r="T1078" s="1209">
        <v>0</v>
      </c>
      <c r="U1078" s="1209">
        <f t="shared" si="415"/>
        <v>1000000</v>
      </c>
      <c r="V1078" s="1209">
        <v>0</v>
      </c>
      <c r="W1078" s="1209">
        <v>50</v>
      </c>
      <c r="X1078" s="1209">
        <v>0</v>
      </c>
      <c r="Y1078" s="1209">
        <v>999</v>
      </c>
      <c r="Z1078" s="1211">
        <v>700</v>
      </c>
      <c r="AA1078" s="1211">
        <v>719</v>
      </c>
      <c r="AB1078" s="1211">
        <v>3</v>
      </c>
      <c r="AC1078" s="1211">
        <v>999999</v>
      </c>
      <c r="AD1078" s="1209">
        <v>0</v>
      </c>
      <c r="AE1078" s="1212">
        <v>70</v>
      </c>
      <c r="AF1078" s="170">
        <v>0</v>
      </c>
      <c r="AG1078" s="171">
        <v>1</v>
      </c>
      <c r="AH1078" s="171">
        <v>1</v>
      </c>
      <c r="AI1078" s="171">
        <v>1</v>
      </c>
      <c r="AJ1078" s="171">
        <v>0</v>
      </c>
      <c r="AK1078" s="171">
        <v>1</v>
      </c>
      <c r="AL1078" s="171">
        <v>1</v>
      </c>
      <c r="AM1078" s="171">
        <v>1</v>
      </c>
      <c r="AN1078" s="171">
        <v>1</v>
      </c>
      <c r="AO1078" s="171">
        <v>1</v>
      </c>
      <c r="AP1078" s="171">
        <v>1</v>
      </c>
      <c r="AQ1078" s="171">
        <v>1</v>
      </c>
      <c r="AR1078" s="171">
        <v>1</v>
      </c>
      <c r="AS1078" s="171">
        <v>1</v>
      </c>
      <c r="AT1078" s="171">
        <v>1</v>
      </c>
      <c r="AU1078" s="171">
        <f t="shared" si="404"/>
        <v>1</v>
      </c>
      <c r="AV1078" s="171">
        <f t="shared" si="405"/>
        <v>1</v>
      </c>
      <c r="AW1078" s="171">
        <f t="shared" si="406"/>
        <v>1</v>
      </c>
      <c r="AX1078" s="171">
        <f t="shared" si="414"/>
        <v>1</v>
      </c>
      <c r="AY1078" s="171">
        <f t="shared" si="407"/>
        <v>0</v>
      </c>
      <c r="AZ1078" s="171">
        <f t="shared" si="408"/>
        <v>1</v>
      </c>
      <c r="BA1078" s="172">
        <f t="shared" si="409"/>
        <v>1</v>
      </c>
      <c r="BB1078" s="175">
        <f t="shared" si="411"/>
        <v>19</v>
      </c>
      <c r="BC1078" s="176">
        <f t="shared" si="412"/>
        <v>18</v>
      </c>
      <c r="BD1078" s="176">
        <f t="shared" si="413"/>
        <v>19</v>
      </c>
      <c r="BE1078" s="240" t="str">
        <f t="shared" si="403"/>
        <v/>
      </c>
      <c r="BF1078" s="990"/>
      <c r="BG1078" s="990"/>
      <c r="BH1078" s="991">
        <f>IF(AND(Input_Product=Elig!$C1078,Elig_MatchAll_Ct&lt;22,$BC1078=(Elig_MatchAll_Ct-1),AF1078=0),C1078,0)</f>
        <v>0</v>
      </c>
      <c r="BI1078" s="991">
        <f>IF(AND(Input_Product=Elig!$C1078,Elig_MatchAll_Ct&lt;22,$BC1078=(Elig_MatchAll_Ct-1),AG1078=0),D1078,0)</f>
        <v>0</v>
      </c>
      <c r="BJ1078" s="991">
        <f>IF(AND(Input_Product=Elig!$C1078,Elig_MatchAll_Ct&lt;22,$BC1078=(Elig_MatchAll_Ct-1),AH1078=0),E1078,0)</f>
        <v>0</v>
      </c>
      <c r="BK1078" s="991">
        <f>IF(AND(Input_Product=Elig!$C1078,Elig_MatchAll_Ct&lt;22,$BC1078=(Elig_MatchAll_Ct-1),AI1078=0),F1078,0)</f>
        <v>0</v>
      </c>
      <c r="BL1078" s="991">
        <f>IF(AND(Input_Product=Elig!$C1078,Elig_MatchAll_Ct&lt;22,$BC1078=(Elig_MatchAll_Ct-1),AJ1078=0),G1078,0)</f>
        <v>0</v>
      </c>
      <c r="BM1078" s="991">
        <f>IF(AND(Input_Product=Elig!$C1078,Elig_MatchAll_Ct&lt;22,$BC1078=(Elig_MatchAll_Ct-1),AK1078=0),H1078,0)</f>
        <v>0</v>
      </c>
      <c r="BN1078" s="991">
        <f>IF(AND(Input_Product=Elig!$C1078,Elig_MatchAll_Ct&lt;22,$BC1078=(Elig_MatchAll_Ct-1),AL1078=0),I1078,0)</f>
        <v>0</v>
      </c>
      <c r="BO1078" s="991">
        <f>IF(AND(Input_Product=Elig!$C1078,Elig_MatchAll_Ct&lt;22,$BC1078=(Elig_MatchAll_Ct-1),AM1078=0),J1078,0)</f>
        <v>0</v>
      </c>
      <c r="BP1078" s="991">
        <f>IF(AND(Input_Product=Elig!$C1078,Elig_MatchAll_Ct&lt;22,$BC1078=(Elig_MatchAll_Ct-1),AN1078=0),K1078,0)</f>
        <v>0</v>
      </c>
      <c r="BQ1078" s="991">
        <f>IF(AND(Input_Product=Elig!$C1078,Elig_MatchAll_Ct&lt;22,$BC1078=(Elig_MatchAll_Ct-1),AP1078=0),L1078,0)</f>
        <v>0</v>
      </c>
      <c r="BR1078" s="991">
        <f>IF(AND(Input_Product=Elig!$C1078,Elig_MatchAll_Ct&lt;22,$BC1078=(Elig_MatchAll_Ct-1),AO1078=0),M1078,0)</f>
        <v>0</v>
      </c>
      <c r="BS1078" s="991">
        <f>IF(AND(Input_Product=Elig!$C1078,Elig_MatchAll_Ct&lt;22,$BC1078=(Elig_MatchAll_Ct-1),AQ1078=0),N1078,0)</f>
        <v>0</v>
      </c>
      <c r="BT1078" s="991">
        <f>IF(AND(Input_Product=Elig!$C1078,Elig_MatchAll_Ct&lt;22,$BC1078=(Elig_MatchAll_Ct-1),AR1078=0),O1078,0)</f>
        <v>0</v>
      </c>
      <c r="BU1078" s="991">
        <f>IF(AND(Input_Product=Elig!$C1078,Elig_MatchAll_Ct&lt;22,$BC1078=(Elig_MatchAll_Ct-1),AS1078=0),P1078,0)</f>
        <v>0</v>
      </c>
      <c r="BV1078" s="992">
        <f>IF(AND(Input_Product=Elig!$C1078,Elig_MatchAll_Ct&lt;22,$BC1078=(Elig_MatchAll_Ct-1),AT1078=0),Q1078,0)</f>
        <v>0</v>
      </c>
      <c r="BW1078" s="993">
        <f>IF(AND(Input_Product=Elig!$C1078,Elig_MatchAll_Ct&lt;22,$BC1078=(Elig_MatchAll_Ct-1),AU1078=0),R1078,0)</f>
        <v>0</v>
      </c>
      <c r="BX1078" s="994">
        <f>IF(AND(Input_Product=Elig!$C1078,Elig_MatchAll_Ct&lt;22,$BC1078=(Elig_MatchAll_Ct-1),AU1078=0),S1078,0)</f>
        <v>0</v>
      </c>
      <c r="BY1078" s="993">
        <f>IF(AND(Input_Product=Elig!$C1078,Elig_MatchAll_Ct&lt;22,$BC1078=(Elig_MatchAll_Ct-1),AV1078=0),T1078,0)</f>
        <v>0</v>
      </c>
      <c r="BZ1078" s="994">
        <f>IF(AND(Input_Product=Elig!$C1078,Elig_MatchAll_Ct&lt;22,$BC1078=(Elig_MatchAll_Ct-1),AV1078=0),U1078,0)</f>
        <v>0</v>
      </c>
      <c r="CA1078" s="993">
        <f>IF(AND(Input_Product=Elig!$C1078,Elig_MatchAll_Ct&lt;22,$BC1078=(Elig_MatchAll_Ct-1),AW1078=0),V1078,0)</f>
        <v>0</v>
      </c>
      <c r="CB1078" s="994">
        <f>IF(AND(Input_Product=Elig!$C1078,Elig_MatchAll_Ct&lt;22,$BC1078=(Elig_MatchAll_Ct-1),AW1078=0),W1078,0)</f>
        <v>0</v>
      </c>
      <c r="CC1078" s="993">
        <f>IF(AND(Input_Product=Elig!$C1078,Elig_MatchAll_Ct&lt;22,$BC1078=(Elig_MatchAll_Ct-1),AX1078=0),X1078,0)</f>
        <v>0</v>
      </c>
      <c r="CD1078" s="994">
        <f>IF(AND(Input_Product=Elig!$C1078,Elig_MatchAll_Ct&lt;22,$BC1078=(Elig_MatchAll_Ct-1),AX1078=0),Y1078,0)</f>
        <v>0</v>
      </c>
      <c r="CE1078" s="993">
        <f>IF(AND(Input_LTV&lt;=AE1078,Input_Product=Elig!$C1078,Elig_MatchAll_Ct&lt;22,$BC1078=(Elig_MatchAll_Ct-1),AY1078=0),Z1078,0)</f>
        <v>0</v>
      </c>
      <c r="CF1078" s="994">
        <f>IF(AND(Input_LTV&lt;=AE1078,Input_Product=Elig!$C1078,Elig_MatchAll_Ct&lt;22,$BC1078=(Elig_MatchAll_Ct-1),AY1078=0),AA1078,0)</f>
        <v>0</v>
      </c>
      <c r="CG1078" s="993">
        <f>IF(AND(Input_Product=Elig!$C1078,Elig_MatchAll_Ct&lt;22,$BC1078=(Elig_MatchAll_Ct-1),AZ1078=0),AB1078,0)</f>
        <v>0</v>
      </c>
      <c r="CH1078" s="994">
        <f>IF(AND(Input_Product=Elig!$C1078,Elig_MatchAll_Ct&lt;22,$BC1078=(Elig_MatchAll_Ct-1),AZ1078=0),AC1078,0)</f>
        <v>0</v>
      </c>
      <c r="CI1078" s="993">
        <f>IF(AND(Input_Product=Elig!$C1078,Elig_MatchAll_Ct&lt;22,$BC1078=(Elig_MatchAll_Ct-1),BA1078=0),AD1078,0)</f>
        <v>0</v>
      </c>
      <c r="CJ1078" s="994">
        <f>IF(AND(Input_Product=Elig!$C1078,Elig_MatchAll_Ct&lt;22,$BC1078=(Elig_MatchAll_Ct-1),BA1078=0),AE1078,0)</f>
        <v>0</v>
      </c>
    </row>
    <row r="1079" spans="2:88" ht="10.15" customHeight="1" x14ac:dyDescent="0.25">
      <c r="B1079" s="1916" t="s">
        <v>2717</v>
      </c>
      <c r="C1079" s="1213" t="str">
        <f t="shared" si="416"/>
        <v xml:space="preserve">  </v>
      </c>
      <c r="D1079" s="1214" t="s">
        <v>2218</v>
      </c>
      <c r="E1079" s="1214" t="s">
        <v>167</v>
      </c>
      <c r="F1079" s="1214" t="s">
        <v>331</v>
      </c>
      <c r="G1079" s="1215" t="s">
        <v>472</v>
      </c>
      <c r="H1079" s="1215" t="s">
        <v>136</v>
      </c>
      <c r="I1079" s="1214" t="s">
        <v>16</v>
      </c>
      <c r="J1079" s="1214" t="s">
        <v>1311</v>
      </c>
      <c r="K1079" s="1215" t="s">
        <v>3022</v>
      </c>
      <c r="L1079" s="1214" t="s">
        <v>2768</v>
      </c>
      <c r="M1079" s="1214" t="s">
        <v>2677</v>
      </c>
      <c r="N1079" s="1215" t="s">
        <v>82</v>
      </c>
      <c r="O1079" s="1214" t="s">
        <v>310</v>
      </c>
      <c r="P1079" s="1214" t="s">
        <v>291</v>
      </c>
      <c r="Q1079" s="1214" t="s">
        <v>294</v>
      </c>
      <c r="R1079" s="1214">
        <v>125000</v>
      </c>
      <c r="S1079" s="1214">
        <v>1000000</v>
      </c>
      <c r="T1079" s="1214">
        <v>0</v>
      </c>
      <c r="U1079" s="1214">
        <f t="shared" si="415"/>
        <v>1000000</v>
      </c>
      <c r="V1079" s="1214">
        <v>0</v>
      </c>
      <c r="W1079" s="1214">
        <v>50</v>
      </c>
      <c r="X1079" s="1214">
        <v>0</v>
      </c>
      <c r="Y1079" s="1214">
        <v>999</v>
      </c>
      <c r="Z1079" s="1216">
        <v>680</v>
      </c>
      <c r="AA1079" s="1216">
        <v>699</v>
      </c>
      <c r="AB1079" s="1216">
        <v>3</v>
      </c>
      <c r="AC1079" s="1216">
        <v>999999</v>
      </c>
      <c r="AD1079" s="1214">
        <v>0</v>
      </c>
      <c r="AE1079" s="1217">
        <v>70</v>
      </c>
      <c r="AF1079" s="170">
        <v>0</v>
      </c>
      <c r="AG1079" s="171">
        <v>1</v>
      </c>
      <c r="AH1079" s="171">
        <v>1</v>
      </c>
      <c r="AI1079" s="171">
        <v>1</v>
      </c>
      <c r="AJ1079" s="171">
        <v>0</v>
      </c>
      <c r="AK1079" s="171">
        <v>1</v>
      </c>
      <c r="AL1079" s="171">
        <v>1</v>
      </c>
      <c r="AM1079" s="171">
        <v>1</v>
      </c>
      <c r="AN1079" s="171">
        <v>1</v>
      </c>
      <c r="AO1079" s="171">
        <v>1</v>
      </c>
      <c r="AP1079" s="171">
        <v>1</v>
      </c>
      <c r="AQ1079" s="171">
        <v>1</v>
      </c>
      <c r="AR1079" s="171">
        <v>1</v>
      </c>
      <c r="AS1079" s="171">
        <v>1</v>
      </c>
      <c r="AT1079" s="171">
        <v>1</v>
      </c>
      <c r="AU1079" s="171">
        <f t="shared" si="404"/>
        <v>1</v>
      </c>
      <c r="AV1079" s="171">
        <f t="shared" si="405"/>
        <v>1</v>
      </c>
      <c r="AW1079" s="171">
        <f t="shared" si="406"/>
        <v>1</v>
      </c>
      <c r="AX1079" s="171">
        <f t="shared" si="414"/>
        <v>1</v>
      </c>
      <c r="AY1079" s="171">
        <f t="shared" si="407"/>
        <v>0</v>
      </c>
      <c r="AZ1079" s="171">
        <f t="shared" si="408"/>
        <v>1</v>
      </c>
      <c r="BA1079" s="172">
        <f t="shared" si="409"/>
        <v>1</v>
      </c>
      <c r="BB1079" s="175">
        <f t="shared" si="411"/>
        <v>19</v>
      </c>
      <c r="BC1079" s="176">
        <f t="shared" si="412"/>
        <v>18</v>
      </c>
      <c r="BD1079" s="176">
        <f t="shared" si="413"/>
        <v>19</v>
      </c>
      <c r="BE1079" s="240" t="str">
        <f t="shared" si="403"/>
        <v/>
      </c>
      <c r="BF1079" s="990"/>
      <c r="BG1079" s="990"/>
      <c r="BH1079" s="991">
        <f>IF(AND(Input_Product=Elig!$C1079,Elig_MatchAll_Ct&lt;22,$BC1079=(Elig_MatchAll_Ct-1),AF1079=0),C1079,0)</f>
        <v>0</v>
      </c>
      <c r="BI1079" s="991">
        <f>IF(AND(Input_Product=Elig!$C1079,Elig_MatchAll_Ct&lt;22,$BC1079=(Elig_MatchAll_Ct-1),AG1079=0),D1079,0)</f>
        <v>0</v>
      </c>
      <c r="BJ1079" s="991">
        <f>IF(AND(Input_Product=Elig!$C1079,Elig_MatchAll_Ct&lt;22,$BC1079=(Elig_MatchAll_Ct-1),AH1079=0),E1079,0)</f>
        <v>0</v>
      </c>
      <c r="BK1079" s="991">
        <f>IF(AND(Input_Product=Elig!$C1079,Elig_MatchAll_Ct&lt;22,$BC1079=(Elig_MatchAll_Ct-1),AI1079=0),F1079,0)</f>
        <v>0</v>
      </c>
      <c r="BL1079" s="991">
        <f>IF(AND(Input_Product=Elig!$C1079,Elig_MatchAll_Ct&lt;22,$BC1079=(Elig_MatchAll_Ct-1),AJ1079=0),G1079,0)</f>
        <v>0</v>
      </c>
      <c r="BM1079" s="991">
        <f>IF(AND(Input_Product=Elig!$C1079,Elig_MatchAll_Ct&lt;22,$BC1079=(Elig_MatchAll_Ct-1),AK1079=0),H1079,0)</f>
        <v>0</v>
      </c>
      <c r="BN1079" s="991">
        <f>IF(AND(Input_Product=Elig!$C1079,Elig_MatchAll_Ct&lt;22,$BC1079=(Elig_MatchAll_Ct-1),AL1079=0),I1079,0)</f>
        <v>0</v>
      </c>
      <c r="BO1079" s="991">
        <f>IF(AND(Input_Product=Elig!$C1079,Elig_MatchAll_Ct&lt;22,$BC1079=(Elig_MatchAll_Ct-1),AM1079=0),J1079,0)</f>
        <v>0</v>
      </c>
      <c r="BP1079" s="991">
        <f>IF(AND(Input_Product=Elig!$C1079,Elig_MatchAll_Ct&lt;22,$BC1079=(Elig_MatchAll_Ct-1),AN1079=0),K1079,0)</f>
        <v>0</v>
      </c>
      <c r="BQ1079" s="991">
        <f>IF(AND(Input_Product=Elig!$C1079,Elig_MatchAll_Ct&lt;22,$BC1079=(Elig_MatchAll_Ct-1),AP1079=0),L1079,0)</f>
        <v>0</v>
      </c>
      <c r="BR1079" s="991">
        <f>IF(AND(Input_Product=Elig!$C1079,Elig_MatchAll_Ct&lt;22,$BC1079=(Elig_MatchAll_Ct-1),AO1079=0),M1079,0)</f>
        <v>0</v>
      </c>
      <c r="BS1079" s="991">
        <f>IF(AND(Input_Product=Elig!$C1079,Elig_MatchAll_Ct&lt;22,$BC1079=(Elig_MatchAll_Ct-1),AQ1079=0),N1079,0)</f>
        <v>0</v>
      </c>
      <c r="BT1079" s="991">
        <f>IF(AND(Input_Product=Elig!$C1079,Elig_MatchAll_Ct&lt;22,$BC1079=(Elig_MatchAll_Ct-1),AR1079=0),O1079,0)</f>
        <v>0</v>
      </c>
      <c r="BU1079" s="991">
        <f>IF(AND(Input_Product=Elig!$C1079,Elig_MatchAll_Ct&lt;22,$BC1079=(Elig_MatchAll_Ct-1),AS1079=0),P1079,0)</f>
        <v>0</v>
      </c>
      <c r="BV1079" s="992">
        <f>IF(AND(Input_Product=Elig!$C1079,Elig_MatchAll_Ct&lt;22,$BC1079=(Elig_MatchAll_Ct-1),AT1079=0),Q1079,0)</f>
        <v>0</v>
      </c>
      <c r="BW1079" s="993">
        <f>IF(AND(Input_Product=Elig!$C1079,Elig_MatchAll_Ct&lt;22,$BC1079=(Elig_MatchAll_Ct-1),AU1079=0),R1079,0)</f>
        <v>0</v>
      </c>
      <c r="BX1079" s="994">
        <f>IF(AND(Input_Product=Elig!$C1079,Elig_MatchAll_Ct&lt;22,$BC1079=(Elig_MatchAll_Ct-1),AU1079=0),S1079,0)</f>
        <v>0</v>
      </c>
      <c r="BY1079" s="993">
        <f>IF(AND(Input_Product=Elig!$C1079,Elig_MatchAll_Ct&lt;22,$BC1079=(Elig_MatchAll_Ct-1),AV1079=0),T1079,0)</f>
        <v>0</v>
      </c>
      <c r="BZ1079" s="994">
        <f>IF(AND(Input_Product=Elig!$C1079,Elig_MatchAll_Ct&lt;22,$BC1079=(Elig_MatchAll_Ct-1),AV1079=0),U1079,0)</f>
        <v>0</v>
      </c>
      <c r="CA1079" s="993">
        <f>IF(AND(Input_Product=Elig!$C1079,Elig_MatchAll_Ct&lt;22,$BC1079=(Elig_MatchAll_Ct-1),AW1079=0),V1079,0)</f>
        <v>0</v>
      </c>
      <c r="CB1079" s="994">
        <f>IF(AND(Input_Product=Elig!$C1079,Elig_MatchAll_Ct&lt;22,$BC1079=(Elig_MatchAll_Ct-1),AW1079=0),W1079,0)</f>
        <v>0</v>
      </c>
      <c r="CC1079" s="993">
        <f>IF(AND(Input_Product=Elig!$C1079,Elig_MatchAll_Ct&lt;22,$BC1079=(Elig_MatchAll_Ct-1),AX1079=0),X1079,0)</f>
        <v>0</v>
      </c>
      <c r="CD1079" s="994">
        <f>IF(AND(Input_Product=Elig!$C1079,Elig_MatchAll_Ct&lt;22,$BC1079=(Elig_MatchAll_Ct-1),AX1079=0),Y1079,0)</f>
        <v>0</v>
      </c>
      <c r="CE1079" s="993">
        <f>IF(AND(Input_LTV&lt;=AE1079,Input_Product=Elig!$C1079,Elig_MatchAll_Ct&lt;22,$BC1079=(Elig_MatchAll_Ct-1),AY1079=0),Z1079,0)</f>
        <v>0</v>
      </c>
      <c r="CF1079" s="994">
        <f>IF(AND(Input_LTV&lt;=AE1079,Input_Product=Elig!$C1079,Elig_MatchAll_Ct&lt;22,$BC1079=(Elig_MatchAll_Ct-1),AY1079=0),AA1079,0)</f>
        <v>0</v>
      </c>
      <c r="CG1079" s="993">
        <f>IF(AND(Input_Product=Elig!$C1079,Elig_MatchAll_Ct&lt;22,$BC1079=(Elig_MatchAll_Ct-1),AZ1079=0),AB1079,0)</f>
        <v>0</v>
      </c>
      <c r="CH1079" s="994">
        <f>IF(AND(Input_Product=Elig!$C1079,Elig_MatchAll_Ct&lt;22,$BC1079=(Elig_MatchAll_Ct-1),AZ1079=0),AC1079,0)</f>
        <v>0</v>
      </c>
      <c r="CI1079" s="993">
        <f>IF(AND(Input_Product=Elig!$C1079,Elig_MatchAll_Ct&lt;22,$BC1079=(Elig_MatchAll_Ct-1),BA1079=0),AD1079,0)</f>
        <v>0</v>
      </c>
      <c r="CJ1079" s="994">
        <f>IF(AND(Input_Product=Elig!$C1079,Elig_MatchAll_Ct&lt;22,$BC1079=(Elig_MatchAll_Ct-1),BA1079=0),AE1079,0)</f>
        <v>0</v>
      </c>
    </row>
    <row r="1080" spans="2:88" ht="10.15" customHeight="1" x14ac:dyDescent="0.25">
      <c r="B1080" s="1916" t="s">
        <v>2718</v>
      </c>
      <c r="C1080" s="1203" t="str">
        <f t="shared" si="416"/>
        <v xml:space="preserve">  </v>
      </c>
      <c r="D1080" s="1204" t="s">
        <v>2218</v>
      </c>
      <c r="E1080" s="1204" t="s">
        <v>167</v>
      </c>
      <c r="F1080" s="1204" t="s">
        <v>331</v>
      </c>
      <c r="G1080" s="1205" t="s">
        <v>472</v>
      </c>
      <c r="H1080" s="1205" t="s">
        <v>136</v>
      </c>
      <c r="I1080" s="1204" t="s">
        <v>16</v>
      </c>
      <c r="J1080" s="1204" t="s">
        <v>1311</v>
      </c>
      <c r="K1080" s="1205" t="s">
        <v>3022</v>
      </c>
      <c r="L1080" s="1204" t="s">
        <v>2768</v>
      </c>
      <c r="M1080" s="1204" t="s">
        <v>2677</v>
      </c>
      <c r="N1080" s="1205" t="s">
        <v>82</v>
      </c>
      <c r="O1080" s="1204" t="s">
        <v>310</v>
      </c>
      <c r="P1080" s="1204" t="s">
        <v>291</v>
      </c>
      <c r="Q1080" s="1204" t="s">
        <v>294</v>
      </c>
      <c r="R1080" s="1204">
        <v>1000000.01</v>
      </c>
      <c r="S1080" s="1204">
        <v>1500000</v>
      </c>
      <c r="T1080" s="1204">
        <v>0</v>
      </c>
      <c r="U1080" s="1204">
        <f t="shared" si="415"/>
        <v>1500000</v>
      </c>
      <c r="V1080" s="1204">
        <v>0</v>
      </c>
      <c r="W1080" s="1204">
        <v>50</v>
      </c>
      <c r="X1080" s="1204">
        <v>0</v>
      </c>
      <c r="Y1080" s="1204">
        <v>999</v>
      </c>
      <c r="Z1080" s="1206">
        <v>720</v>
      </c>
      <c r="AA1080" s="1206">
        <v>999</v>
      </c>
      <c r="AB1080" s="1206">
        <v>6</v>
      </c>
      <c r="AC1080" s="1206">
        <v>999999</v>
      </c>
      <c r="AD1080" s="1204">
        <v>0</v>
      </c>
      <c r="AE1080" s="1207">
        <v>70</v>
      </c>
      <c r="AF1080" s="170">
        <v>0</v>
      </c>
      <c r="AG1080" s="171">
        <v>1</v>
      </c>
      <c r="AH1080" s="171">
        <v>1</v>
      </c>
      <c r="AI1080" s="171">
        <v>1</v>
      </c>
      <c r="AJ1080" s="171">
        <v>0</v>
      </c>
      <c r="AK1080" s="171">
        <v>1</v>
      </c>
      <c r="AL1080" s="171">
        <v>1</v>
      </c>
      <c r="AM1080" s="171">
        <v>1</v>
      </c>
      <c r="AN1080" s="171">
        <v>1</v>
      </c>
      <c r="AO1080" s="171">
        <v>1</v>
      </c>
      <c r="AP1080" s="171">
        <v>1</v>
      </c>
      <c r="AQ1080" s="171">
        <v>1</v>
      </c>
      <c r="AR1080" s="171">
        <v>1</v>
      </c>
      <c r="AS1080" s="171">
        <v>1</v>
      </c>
      <c r="AT1080" s="171">
        <v>1</v>
      </c>
      <c r="AU1080" s="171">
        <f t="shared" si="404"/>
        <v>0</v>
      </c>
      <c r="AV1080" s="171">
        <f t="shared" si="405"/>
        <v>1</v>
      </c>
      <c r="AW1080" s="171">
        <f t="shared" si="406"/>
        <v>1</v>
      </c>
      <c r="AX1080" s="171">
        <f t="shared" si="414"/>
        <v>1</v>
      </c>
      <c r="AY1080" s="171">
        <f t="shared" si="407"/>
        <v>1</v>
      </c>
      <c r="AZ1080" s="171">
        <f t="shared" si="408"/>
        <v>1</v>
      </c>
      <c r="BA1080" s="172">
        <f t="shared" si="409"/>
        <v>1</v>
      </c>
      <c r="BB1080" s="175">
        <f t="shared" si="411"/>
        <v>19</v>
      </c>
      <c r="BC1080" s="176">
        <f t="shared" si="412"/>
        <v>18</v>
      </c>
      <c r="BD1080" s="176">
        <f t="shared" si="413"/>
        <v>19</v>
      </c>
      <c r="BE1080" s="240" t="str">
        <f t="shared" si="403"/>
        <v/>
      </c>
      <c r="BF1080" s="990"/>
      <c r="BG1080" s="990"/>
      <c r="BH1080" s="991">
        <f>IF(AND(Input_Product=Elig!$C1080,Elig_MatchAll_Ct&lt;22,$BC1080=(Elig_MatchAll_Ct-1),AF1080=0),C1080,0)</f>
        <v>0</v>
      </c>
      <c r="BI1080" s="991">
        <f>IF(AND(Input_Product=Elig!$C1080,Elig_MatchAll_Ct&lt;22,$BC1080=(Elig_MatchAll_Ct-1),AG1080=0),D1080,0)</f>
        <v>0</v>
      </c>
      <c r="BJ1080" s="991">
        <f>IF(AND(Input_Product=Elig!$C1080,Elig_MatchAll_Ct&lt;22,$BC1080=(Elig_MatchAll_Ct-1),AH1080=0),E1080,0)</f>
        <v>0</v>
      </c>
      <c r="BK1080" s="991">
        <f>IF(AND(Input_Product=Elig!$C1080,Elig_MatchAll_Ct&lt;22,$BC1080=(Elig_MatchAll_Ct-1),AI1080=0),F1080,0)</f>
        <v>0</v>
      </c>
      <c r="BL1080" s="991">
        <f>IF(AND(Input_Product=Elig!$C1080,Elig_MatchAll_Ct&lt;22,$BC1080=(Elig_MatchAll_Ct-1),AJ1080=0),G1080,0)</f>
        <v>0</v>
      </c>
      <c r="BM1080" s="991">
        <f>IF(AND(Input_Product=Elig!$C1080,Elig_MatchAll_Ct&lt;22,$BC1080=(Elig_MatchAll_Ct-1),AK1080=0),H1080,0)</f>
        <v>0</v>
      </c>
      <c r="BN1080" s="991">
        <f>IF(AND(Input_Product=Elig!$C1080,Elig_MatchAll_Ct&lt;22,$BC1080=(Elig_MatchAll_Ct-1),AL1080=0),I1080,0)</f>
        <v>0</v>
      </c>
      <c r="BO1080" s="991">
        <f>IF(AND(Input_Product=Elig!$C1080,Elig_MatchAll_Ct&lt;22,$BC1080=(Elig_MatchAll_Ct-1),AM1080=0),J1080,0)</f>
        <v>0</v>
      </c>
      <c r="BP1080" s="991">
        <f>IF(AND(Input_Product=Elig!$C1080,Elig_MatchAll_Ct&lt;22,$BC1080=(Elig_MatchAll_Ct-1),AN1080=0),K1080,0)</f>
        <v>0</v>
      </c>
      <c r="BQ1080" s="991">
        <f>IF(AND(Input_Product=Elig!$C1080,Elig_MatchAll_Ct&lt;22,$BC1080=(Elig_MatchAll_Ct-1),AP1080=0),L1080,0)</f>
        <v>0</v>
      </c>
      <c r="BR1080" s="991">
        <f>IF(AND(Input_Product=Elig!$C1080,Elig_MatchAll_Ct&lt;22,$BC1080=(Elig_MatchAll_Ct-1),AO1080=0),M1080,0)</f>
        <v>0</v>
      </c>
      <c r="BS1080" s="991">
        <f>IF(AND(Input_Product=Elig!$C1080,Elig_MatchAll_Ct&lt;22,$BC1080=(Elig_MatchAll_Ct-1),AQ1080=0),N1080,0)</f>
        <v>0</v>
      </c>
      <c r="BT1080" s="991">
        <f>IF(AND(Input_Product=Elig!$C1080,Elig_MatchAll_Ct&lt;22,$BC1080=(Elig_MatchAll_Ct-1),AR1080=0),O1080,0)</f>
        <v>0</v>
      </c>
      <c r="BU1080" s="991">
        <f>IF(AND(Input_Product=Elig!$C1080,Elig_MatchAll_Ct&lt;22,$BC1080=(Elig_MatchAll_Ct-1),AS1080=0),P1080,0)</f>
        <v>0</v>
      </c>
      <c r="BV1080" s="992">
        <f>IF(AND(Input_Product=Elig!$C1080,Elig_MatchAll_Ct&lt;22,$BC1080=(Elig_MatchAll_Ct-1),AT1080=0),Q1080,0)</f>
        <v>0</v>
      </c>
      <c r="BW1080" s="993">
        <f>IF(AND(Input_Product=Elig!$C1080,Elig_MatchAll_Ct&lt;22,$BC1080=(Elig_MatchAll_Ct-1),AU1080=0),R1080,0)</f>
        <v>0</v>
      </c>
      <c r="BX1080" s="994">
        <f>IF(AND(Input_Product=Elig!$C1080,Elig_MatchAll_Ct&lt;22,$BC1080=(Elig_MatchAll_Ct-1),AU1080=0),S1080,0)</f>
        <v>0</v>
      </c>
      <c r="BY1080" s="993">
        <f>IF(AND(Input_Product=Elig!$C1080,Elig_MatchAll_Ct&lt;22,$BC1080=(Elig_MatchAll_Ct-1),AV1080=0),T1080,0)</f>
        <v>0</v>
      </c>
      <c r="BZ1080" s="994">
        <f>IF(AND(Input_Product=Elig!$C1080,Elig_MatchAll_Ct&lt;22,$BC1080=(Elig_MatchAll_Ct-1),AV1080=0),U1080,0)</f>
        <v>0</v>
      </c>
      <c r="CA1080" s="993">
        <f>IF(AND(Input_Product=Elig!$C1080,Elig_MatchAll_Ct&lt;22,$BC1080=(Elig_MatchAll_Ct-1),AW1080=0),V1080,0)</f>
        <v>0</v>
      </c>
      <c r="CB1080" s="994">
        <f>IF(AND(Input_Product=Elig!$C1080,Elig_MatchAll_Ct&lt;22,$BC1080=(Elig_MatchAll_Ct-1),AW1080=0),W1080,0)</f>
        <v>0</v>
      </c>
      <c r="CC1080" s="993">
        <f>IF(AND(Input_Product=Elig!$C1080,Elig_MatchAll_Ct&lt;22,$BC1080=(Elig_MatchAll_Ct-1),AX1080=0),X1080,0)</f>
        <v>0</v>
      </c>
      <c r="CD1080" s="994">
        <f>IF(AND(Input_Product=Elig!$C1080,Elig_MatchAll_Ct&lt;22,$BC1080=(Elig_MatchAll_Ct-1),AX1080=0),Y1080,0)</f>
        <v>0</v>
      </c>
      <c r="CE1080" s="993">
        <f>IF(AND(Input_LTV&lt;=AE1080,Input_Product=Elig!$C1080,Elig_MatchAll_Ct&lt;22,$BC1080=(Elig_MatchAll_Ct-1),AY1080=0),Z1080,0)</f>
        <v>0</v>
      </c>
      <c r="CF1080" s="994">
        <f>IF(AND(Input_LTV&lt;=AE1080,Input_Product=Elig!$C1080,Elig_MatchAll_Ct&lt;22,$BC1080=(Elig_MatchAll_Ct-1),AY1080=0),AA1080,0)</f>
        <v>0</v>
      </c>
      <c r="CG1080" s="993">
        <f>IF(AND(Input_Product=Elig!$C1080,Elig_MatchAll_Ct&lt;22,$BC1080=(Elig_MatchAll_Ct-1),AZ1080=0),AB1080,0)</f>
        <v>0</v>
      </c>
      <c r="CH1080" s="994">
        <f>IF(AND(Input_Product=Elig!$C1080,Elig_MatchAll_Ct&lt;22,$BC1080=(Elig_MatchAll_Ct-1),AZ1080=0),AC1080,0)</f>
        <v>0</v>
      </c>
      <c r="CI1080" s="993">
        <f>IF(AND(Input_Product=Elig!$C1080,Elig_MatchAll_Ct&lt;22,$BC1080=(Elig_MatchAll_Ct-1),BA1080=0),AD1080,0)</f>
        <v>0</v>
      </c>
      <c r="CJ1080" s="994">
        <f>IF(AND(Input_Product=Elig!$C1080,Elig_MatchAll_Ct&lt;22,$BC1080=(Elig_MatchAll_Ct-1),BA1080=0),AE1080,0)</f>
        <v>0</v>
      </c>
    </row>
    <row r="1081" spans="2:88" ht="10.15" customHeight="1" x14ac:dyDescent="0.25">
      <c r="B1081" s="1916" t="s">
        <v>2719</v>
      </c>
      <c r="C1081" s="1208" t="str">
        <f t="shared" si="416"/>
        <v xml:space="preserve">  </v>
      </c>
      <c r="D1081" s="1209" t="s">
        <v>2218</v>
      </c>
      <c r="E1081" s="1209" t="s">
        <v>167</v>
      </c>
      <c r="F1081" s="1209" t="s">
        <v>331</v>
      </c>
      <c r="G1081" s="1210" t="s">
        <v>472</v>
      </c>
      <c r="H1081" s="1210" t="s">
        <v>136</v>
      </c>
      <c r="I1081" s="1209" t="s">
        <v>16</v>
      </c>
      <c r="J1081" s="1209" t="s">
        <v>1311</v>
      </c>
      <c r="K1081" s="1210" t="s">
        <v>3022</v>
      </c>
      <c r="L1081" s="1209" t="s">
        <v>2768</v>
      </c>
      <c r="M1081" s="1209" t="s">
        <v>2677</v>
      </c>
      <c r="N1081" s="1210" t="s">
        <v>82</v>
      </c>
      <c r="O1081" s="1209" t="s">
        <v>310</v>
      </c>
      <c r="P1081" s="1209" t="s">
        <v>291</v>
      </c>
      <c r="Q1081" s="1209" t="s">
        <v>294</v>
      </c>
      <c r="R1081" s="1209">
        <v>1000000.01</v>
      </c>
      <c r="S1081" s="1209">
        <v>1500000</v>
      </c>
      <c r="T1081" s="1209">
        <v>0</v>
      </c>
      <c r="U1081" s="1209">
        <f t="shared" si="415"/>
        <v>1500000</v>
      </c>
      <c r="V1081" s="1209">
        <v>0</v>
      </c>
      <c r="W1081" s="1209">
        <v>50</v>
      </c>
      <c r="X1081" s="1209">
        <v>0</v>
      </c>
      <c r="Y1081" s="1209">
        <v>999</v>
      </c>
      <c r="Z1081" s="1211">
        <v>700</v>
      </c>
      <c r="AA1081" s="1211">
        <v>719</v>
      </c>
      <c r="AB1081" s="1211">
        <v>6</v>
      </c>
      <c r="AC1081" s="1211">
        <v>999999</v>
      </c>
      <c r="AD1081" s="1209">
        <v>0</v>
      </c>
      <c r="AE1081" s="1212">
        <v>70</v>
      </c>
      <c r="AF1081" s="170">
        <v>0</v>
      </c>
      <c r="AG1081" s="171">
        <v>1</v>
      </c>
      <c r="AH1081" s="171">
        <v>1</v>
      </c>
      <c r="AI1081" s="171">
        <v>1</v>
      </c>
      <c r="AJ1081" s="171">
        <v>0</v>
      </c>
      <c r="AK1081" s="171">
        <v>1</v>
      </c>
      <c r="AL1081" s="171">
        <v>1</v>
      </c>
      <c r="AM1081" s="171">
        <v>1</v>
      </c>
      <c r="AN1081" s="171">
        <v>1</v>
      </c>
      <c r="AO1081" s="171">
        <v>1</v>
      </c>
      <c r="AP1081" s="171">
        <v>1</v>
      </c>
      <c r="AQ1081" s="171">
        <v>1</v>
      </c>
      <c r="AR1081" s="171">
        <v>1</v>
      </c>
      <c r="AS1081" s="171">
        <v>1</v>
      </c>
      <c r="AT1081" s="171">
        <v>1</v>
      </c>
      <c r="AU1081" s="171">
        <f t="shared" si="404"/>
        <v>0</v>
      </c>
      <c r="AV1081" s="171">
        <f t="shared" si="405"/>
        <v>1</v>
      </c>
      <c r="AW1081" s="171">
        <f t="shared" si="406"/>
        <v>1</v>
      </c>
      <c r="AX1081" s="171">
        <f t="shared" si="414"/>
        <v>1</v>
      </c>
      <c r="AY1081" s="171">
        <f t="shared" si="407"/>
        <v>0</v>
      </c>
      <c r="AZ1081" s="171">
        <f t="shared" si="408"/>
        <v>1</v>
      </c>
      <c r="BA1081" s="172">
        <f t="shared" si="409"/>
        <v>1</v>
      </c>
      <c r="BB1081" s="175">
        <f t="shared" si="411"/>
        <v>18</v>
      </c>
      <c r="BC1081" s="176">
        <f t="shared" si="412"/>
        <v>17</v>
      </c>
      <c r="BD1081" s="176">
        <f t="shared" si="413"/>
        <v>18</v>
      </c>
      <c r="BE1081" s="240" t="str">
        <f t="shared" si="403"/>
        <v/>
      </c>
      <c r="BF1081" s="990"/>
      <c r="BG1081" s="990"/>
      <c r="BH1081" s="991">
        <f>IF(AND(Input_Product=Elig!$C1081,Elig_MatchAll_Ct&lt;22,$BC1081=(Elig_MatchAll_Ct-1),AF1081=0),C1081,0)</f>
        <v>0</v>
      </c>
      <c r="BI1081" s="991">
        <f>IF(AND(Input_Product=Elig!$C1081,Elig_MatchAll_Ct&lt;22,$BC1081=(Elig_MatchAll_Ct-1),AG1081=0),D1081,0)</f>
        <v>0</v>
      </c>
      <c r="BJ1081" s="991">
        <f>IF(AND(Input_Product=Elig!$C1081,Elig_MatchAll_Ct&lt;22,$BC1081=(Elig_MatchAll_Ct-1),AH1081=0),E1081,0)</f>
        <v>0</v>
      </c>
      <c r="BK1081" s="991">
        <f>IF(AND(Input_Product=Elig!$C1081,Elig_MatchAll_Ct&lt;22,$BC1081=(Elig_MatchAll_Ct-1),AI1081=0),F1081,0)</f>
        <v>0</v>
      </c>
      <c r="BL1081" s="991">
        <f>IF(AND(Input_Product=Elig!$C1081,Elig_MatchAll_Ct&lt;22,$BC1081=(Elig_MatchAll_Ct-1),AJ1081=0),G1081,0)</f>
        <v>0</v>
      </c>
      <c r="BM1081" s="991">
        <f>IF(AND(Input_Product=Elig!$C1081,Elig_MatchAll_Ct&lt;22,$BC1081=(Elig_MatchAll_Ct-1),AK1081=0),H1081,0)</f>
        <v>0</v>
      </c>
      <c r="BN1081" s="991">
        <f>IF(AND(Input_Product=Elig!$C1081,Elig_MatchAll_Ct&lt;22,$BC1081=(Elig_MatchAll_Ct-1),AL1081=0),I1081,0)</f>
        <v>0</v>
      </c>
      <c r="BO1081" s="991">
        <f>IF(AND(Input_Product=Elig!$C1081,Elig_MatchAll_Ct&lt;22,$BC1081=(Elig_MatchAll_Ct-1),AM1081=0),J1081,0)</f>
        <v>0</v>
      </c>
      <c r="BP1081" s="991">
        <f>IF(AND(Input_Product=Elig!$C1081,Elig_MatchAll_Ct&lt;22,$BC1081=(Elig_MatchAll_Ct-1),AN1081=0),K1081,0)</f>
        <v>0</v>
      </c>
      <c r="BQ1081" s="991">
        <f>IF(AND(Input_Product=Elig!$C1081,Elig_MatchAll_Ct&lt;22,$BC1081=(Elig_MatchAll_Ct-1),AP1081=0),L1081,0)</f>
        <v>0</v>
      </c>
      <c r="BR1081" s="991">
        <f>IF(AND(Input_Product=Elig!$C1081,Elig_MatchAll_Ct&lt;22,$BC1081=(Elig_MatchAll_Ct-1),AO1081=0),M1081,0)</f>
        <v>0</v>
      </c>
      <c r="BS1081" s="991">
        <f>IF(AND(Input_Product=Elig!$C1081,Elig_MatchAll_Ct&lt;22,$BC1081=(Elig_MatchAll_Ct-1),AQ1081=0),N1081,0)</f>
        <v>0</v>
      </c>
      <c r="BT1081" s="991">
        <f>IF(AND(Input_Product=Elig!$C1081,Elig_MatchAll_Ct&lt;22,$BC1081=(Elig_MatchAll_Ct-1),AR1081=0),O1081,0)</f>
        <v>0</v>
      </c>
      <c r="BU1081" s="991">
        <f>IF(AND(Input_Product=Elig!$C1081,Elig_MatchAll_Ct&lt;22,$BC1081=(Elig_MatchAll_Ct-1),AS1081=0),P1081,0)</f>
        <v>0</v>
      </c>
      <c r="BV1081" s="992">
        <f>IF(AND(Input_Product=Elig!$C1081,Elig_MatchAll_Ct&lt;22,$BC1081=(Elig_MatchAll_Ct-1),AT1081=0),Q1081,0)</f>
        <v>0</v>
      </c>
      <c r="BW1081" s="993">
        <f>IF(AND(Input_Product=Elig!$C1081,Elig_MatchAll_Ct&lt;22,$BC1081=(Elig_MatchAll_Ct-1),AU1081=0),R1081,0)</f>
        <v>0</v>
      </c>
      <c r="BX1081" s="994">
        <f>IF(AND(Input_Product=Elig!$C1081,Elig_MatchAll_Ct&lt;22,$BC1081=(Elig_MatchAll_Ct-1),AU1081=0),S1081,0)</f>
        <v>0</v>
      </c>
      <c r="BY1081" s="993">
        <f>IF(AND(Input_Product=Elig!$C1081,Elig_MatchAll_Ct&lt;22,$BC1081=(Elig_MatchAll_Ct-1),AV1081=0),T1081,0)</f>
        <v>0</v>
      </c>
      <c r="BZ1081" s="994">
        <f>IF(AND(Input_Product=Elig!$C1081,Elig_MatchAll_Ct&lt;22,$BC1081=(Elig_MatchAll_Ct-1),AV1081=0),U1081,0)</f>
        <v>0</v>
      </c>
      <c r="CA1081" s="993">
        <f>IF(AND(Input_Product=Elig!$C1081,Elig_MatchAll_Ct&lt;22,$BC1081=(Elig_MatchAll_Ct-1),AW1081=0),V1081,0)</f>
        <v>0</v>
      </c>
      <c r="CB1081" s="994">
        <f>IF(AND(Input_Product=Elig!$C1081,Elig_MatchAll_Ct&lt;22,$BC1081=(Elig_MatchAll_Ct-1),AW1081=0),W1081,0)</f>
        <v>0</v>
      </c>
      <c r="CC1081" s="993">
        <f>IF(AND(Input_Product=Elig!$C1081,Elig_MatchAll_Ct&lt;22,$BC1081=(Elig_MatchAll_Ct-1),AX1081=0),X1081,0)</f>
        <v>0</v>
      </c>
      <c r="CD1081" s="994">
        <f>IF(AND(Input_Product=Elig!$C1081,Elig_MatchAll_Ct&lt;22,$BC1081=(Elig_MatchAll_Ct-1),AX1081=0),Y1081,0)</f>
        <v>0</v>
      </c>
      <c r="CE1081" s="993">
        <f>IF(AND(Input_LTV&lt;=AE1081,Input_Product=Elig!$C1081,Elig_MatchAll_Ct&lt;22,$BC1081=(Elig_MatchAll_Ct-1),AY1081=0),Z1081,0)</f>
        <v>0</v>
      </c>
      <c r="CF1081" s="994">
        <f>IF(AND(Input_LTV&lt;=AE1081,Input_Product=Elig!$C1081,Elig_MatchAll_Ct&lt;22,$BC1081=(Elig_MatchAll_Ct-1),AY1081=0),AA1081,0)</f>
        <v>0</v>
      </c>
      <c r="CG1081" s="993">
        <f>IF(AND(Input_Product=Elig!$C1081,Elig_MatchAll_Ct&lt;22,$BC1081=(Elig_MatchAll_Ct-1),AZ1081=0),AB1081,0)</f>
        <v>0</v>
      </c>
      <c r="CH1081" s="994">
        <f>IF(AND(Input_Product=Elig!$C1081,Elig_MatchAll_Ct&lt;22,$BC1081=(Elig_MatchAll_Ct-1),AZ1081=0),AC1081,0)</f>
        <v>0</v>
      </c>
      <c r="CI1081" s="993">
        <f>IF(AND(Input_Product=Elig!$C1081,Elig_MatchAll_Ct&lt;22,$BC1081=(Elig_MatchAll_Ct-1),BA1081=0),AD1081,0)</f>
        <v>0</v>
      </c>
      <c r="CJ1081" s="994">
        <f>IF(AND(Input_Product=Elig!$C1081,Elig_MatchAll_Ct&lt;22,$BC1081=(Elig_MatchAll_Ct-1),BA1081=0),AE1081,0)</f>
        <v>0</v>
      </c>
    </row>
    <row r="1082" spans="2:88" ht="10.15" customHeight="1" x14ac:dyDescent="0.25">
      <c r="B1082" s="1916" t="s">
        <v>2720</v>
      </c>
      <c r="C1082" s="1213" t="str">
        <f t="shared" si="416"/>
        <v xml:space="preserve">  </v>
      </c>
      <c r="D1082" s="1214" t="s">
        <v>2218</v>
      </c>
      <c r="E1082" s="1214" t="s">
        <v>167</v>
      </c>
      <c r="F1082" s="1214" t="s">
        <v>331</v>
      </c>
      <c r="G1082" s="1215" t="s">
        <v>472</v>
      </c>
      <c r="H1082" s="1215" t="s">
        <v>136</v>
      </c>
      <c r="I1082" s="1214" t="s">
        <v>16</v>
      </c>
      <c r="J1082" s="1214" t="s">
        <v>1311</v>
      </c>
      <c r="K1082" s="1215" t="s">
        <v>3022</v>
      </c>
      <c r="L1082" s="1214" t="s">
        <v>2768</v>
      </c>
      <c r="M1082" s="1214" t="s">
        <v>2677</v>
      </c>
      <c r="N1082" s="1215" t="s">
        <v>82</v>
      </c>
      <c r="O1082" s="1214" t="s">
        <v>310</v>
      </c>
      <c r="P1082" s="1214" t="s">
        <v>291</v>
      </c>
      <c r="Q1082" s="1214" t="s">
        <v>294</v>
      </c>
      <c r="R1082" s="1214">
        <v>1000000.01</v>
      </c>
      <c r="S1082" s="1214">
        <v>1500000</v>
      </c>
      <c r="T1082" s="1214">
        <v>0</v>
      </c>
      <c r="U1082" s="1214">
        <f t="shared" si="415"/>
        <v>1500000</v>
      </c>
      <c r="V1082" s="1214">
        <v>0</v>
      </c>
      <c r="W1082" s="1214">
        <v>50</v>
      </c>
      <c r="X1082" s="1214">
        <v>0</v>
      </c>
      <c r="Y1082" s="1214">
        <v>999</v>
      </c>
      <c r="Z1082" s="1216">
        <v>680</v>
      </c>
      <c r="AA1082" s="1216">
        <v>699</v>
      </c>
      <c r="AB1082" s="1216">
        <v>6</v>
      </c>
      <c r="AC1082" s="1216">
        <v>999999</v>
      </c>
      <c r="AD1082" s="1214">
        <v>0</v>
      </c>
      <c r="AE1082" s="1217">
        <v>70</v>
      </c>
      <c r="AF1082" s="170">
        <v>0</v>
      </c>
      <c r="AG1082" s="171">
        <v>1</v>
      </c>
      <c r="AH1082" s="171">
        <v>1</v>
      </c>
      <c r="AI1082" s="171">
        <v>1</v>
      </c>
      <c r="AJ1082" s="171">
        <v>0</v>
      </c>
      <c r="AK1082" s="171">
        <v>1</v>
      </c>
      <c r="AL1082" s="171">
        <v>1</v>
      </c>
      <c r="AM1082" s="171">
        <v>1</v>
      </c>
      <c r="AN1082" s="171">
        <v>1</v>
      </c>
      <c r="AO1082" s="171">
        <v>1</v>
      </c>
      <c r="AP1082" s="171">
        <v>1</v>
      </c>
      <c r="AQ1082" s="171">
        <v>1</v>
      </c>
      <c r="AR1082" s="171">
        <v>1</v>
      </c>
      <c r="AS1082" s="171">
        <v>1</v>
      </c>
      <c r="AT1082" s="171">
        <v>1</v>
      </c>
      <c r="AU1082" s="171">
        <f t="shared" si="404"/>
        <v>0</v>
      </c>
      <c r="AV1082" s="171">
        <f t="shared" si="405"/>
        <v>1</v>
      </c>
      <c r="AW1082" s="171">
        <f t="shared" si="406"/>
        <v>1</v>
      </c>
      <c r="AX1082" s="171">
        <f t="shared" si="414"/>
        <v>1</v>
      </c>
      <c r="AY1082" s="171">
        <f t="shared" si="407"/>
        <v>0</v>
      </c>
      <c r="AZ1082" s="171">
        <f t="shared" si="408"/>
        <v>1</v>
      </c>
      <c r="BA1082" s="172">
        <f t="shared" si="409"/>
        <v>1</v>
      </c>
      <c r="BB1082" s="175">
        <f t="shared" si="411"/>
        <v>18</v>
      </c>
      <c r="BC1082" s="176">
        <f t="shared" si="412"/>
        <v>17</v>
      </c>
      <c r="BD1082" s="176">
        <f t="shared" si="413"/>
        <v>18</v>
      </c>
      <c r="BE1082" s="240" t="str">
        <f t="shared" si="403"/>
        <v/>
      </c>
      <c r="BF1082" s="990"/>
      <c r="BG1082" s="990"/>
      <c r="BH1082" s="991">
        <f>IF(AND(Input_Product=Elig!$C1082,Elig_MatchAll_Ct&lt;22,$BC1082=(Elig_MatchAll_Ct-1),AF1082=0),C1082,0)</f>
        <v>0</v>
      </c>
      <c r="BI1082" s="991">
        <f>IF(AND(Input_Product=Elig!$C1082,Elig_MatchAll_Ct&lt;22,$BC1082=(Elig_MatchAll_Ct-1),AG1082=0),D1082,0)</f>
        <v>0</v>
      </c>
      <c r="BJ1082" s="991">
        <f>IF(AND(Input_Product=Elig!$C1082,Elig_MatchAll_Ct&lt;22,$BC1082=(Elig_MatchAll_Ct-1),AH1082=0),E1082,0)</f>
        <v>0</v>
      </c>
      <c r="BK1082" s="991">
        <f>IF(AND(Input_Product=Elig!$C1082,Elig_MatchAll_Ct&lt;22,$BC1082=(Elig_MatchAll_Ct-1),AI1082=0),F1082,0)</f>
        <v>0</v>
      </c>
      <c r="BL1082" s="991">
        <f>IF(AND(Input_Product=Elig!$C1082,Elig_MatchAll_Ct&lt;22,$BC1082=(Elig_MatchAll_Ct-1),AJ1082=0),G1082,0)</f>
        <v>0</v>
      </c>
      <c r="BM1082" s="991">
        <f>IF(AND(Input_Product=Elig!$C1082,Elig_MatchAll_Ct&lt;22,$BC1082=(Elig_MatchAll_Ct-1),AK1082=0),H1082,0)</f>
        <v>0</v>
      </c>
      <c r="BN1082" s="991">
        <f>IF(AND(Input_Product=Elig!$C1082,Elig_MatchAll_Ct&lt;22,$BC1082=(Elig_MatchAll_Ct-1),AL1082=0),I1082,0)</f>
        <v>0</v>
      </c>
      <c r="BO1082" s="991">
        <f>IF(AND(Input_Product=Elig!$C1082,Elig_MatchAll_Ct&lt;22,$BC1082=(Elig_MatchAll_Ct-1),AM1082=0),J1082,0)</f>
        <v>0</v>
      </c>
      <c r="BP1082" s="991">
        <f>IF(AND(Input_Product=Elig!$C1082,Elig_MatchAll_Ct&lt;22,$BC1082=(Elig_MatchAll_Ct-1),AN1082=0),K1082,0)</f>
        <v>0</v>
      </c>
      <c r="BQ1082" s="991">
        <f>IF(AND(Input_Product=Elig!$C1082,Elig_MatchAll_Ct&lt;22,$BC1082=(Elig_MatchAll_Ct-1),AP1082=0),L1082,0)</f>
        <v>0</v>
      </c>
      <c r="BR1082" s="991">
        <f>IF(AND(Input_Product=Elig!$C1082,Elig_MatchAll_Ct&lt;22,$BC1082=(Elig_MatchAll_Ct-1),AO1082=0),M1082,0)</f>
        <v>0</v>
      </c>
      <c r="BS1082" s="991">
        <f>IF(AND(Input_Product=Elig!$C1082,Elig_MatchAll_Ct&lt;22,$BC1082=(Elig_MatchAll_Ct-1),AQ1082=0),N1082,0)</f>
        <v>0</v>
      </c>
      <c r="BT1082" s="991">
        <f>IF(AND(Input_Product=Elig!$C1082,Elig_MatchAll_Ct&lt;22,$BC1082=(Elig_MatchAll_Ct-1),AR1082=0),O1082,0)</f>
        <v>0</v>
      </c>
      <c r="BU1082" s="991">
        <f>IF(AND(Input_Product=Elig!$C1082,Elig_MatchAll_Ct&lt;22,$BC1082=(Elig_MatchAll_Ct-1),AS1082=0),P1082,0)</f>
        <v>0</v>
      </c>
      <c r="BV1082" s="992">
        <f>IF(AND(Input_Product=Elig!$C1082,Elig_MatchAll_Ct&lt;22,$BC1082=(Elig_MatchAll_Ct-1),AT1082=0),Q1082,0)</f>
        <v>0</v>
      </c>
      <c r="BW1082" s="993">
        <f>IF(AND(Input_Product=Elig!$C1082,Elig_MatchAll_Ct&lt;22,$BC1082=(Elig_MatchAll_Ct-1),AU1082=0),R1082,0)</f>
        <v>0</v>
      </c>
      <c r="BX1082" s="994">
        <f>IF(AND(Input_Product=Elig!$C1082,Elig_MatchAll_Ct&lt;22,$BC1082=(Elig_MatchAll_Ct-1),AU1082=0),S1082,0)</f>
        <v>0</v>
      </c>
      <c r="BY1082" s="993">
        <f>IF(AND(Input_Product=Elig!$C1082,Elig_MatchAll_Ct&lt;22,$BC1082=(Elig_MatchAll_Ct-1),AV1082=0),T1082,0)</f>
        <v>0</v>
      </c>
      <c r="BZ1082" s="994">
        <f>IF(AND(Input_Product=Elig!$C1082,Elig_MatchAll_Ct&lt;22,$BC1082=(Elig_MatchAll_Ct-1),AV1082=0),U1082,0)</f>
        <v>0</v>
      </c>
      <c r="CA1082" s="993">
        <f>IF(AND(Input_Product=Elig!$C1082,Elig_MatchAll_Ct&lt;22,$BC1082=(Elig_MatchAll_Ct-1),AW1082=0),V1082,0)</f>
        <v>0</v>
      </c>
      <c r="CB1082" s="994">
        <f>IF(AND(Input_Product=Elig!$C1082,Elig_MatchAll_Ct&lt;22,$BC1082=(Elig_MatchAll_Ct-1),AW1082=0),W1082,0)</f>
        <v>0</v>
      </c>
      <c r="CC1082" s="993">
        <f>IF(AND(Input_Product=Elig!$C1082,Elig_MatchAll_Ct&lt;22,$BC1082=(Elig_MatchAll_Ct-1),AX1082=0),X1082,0)</f>
        <v>0</v>
      </c>
      <c r="CD1082" s="994">
        <f>IF(AND(Input_Product=Elig!$C1082,Elig_MatchAll_Ct&lt;22,$BC1082=(Elig_MatchAll_Ct-1),AX1082=0),Y1082,0)</f>
        <v>0</v>
      </c>
      <c r="CE1082" s="993">
        <f>IF(AND(Input_LTV&lt;=AE1082,Input_Product=Elig!$C1082,Elig_MatchAll_Ct&lt;22,$BC1082=(Elig_MatchAll_Ct-1),AY1082=0),Z1082,0)</f>
        <v>0</v>
      </c>
      <c r="CF1082" s="994">
        <f>IF(AND(Input_LTV&lt;=AE1082,Input_Product=Elig!$C1082,Elig_MatchAll_Ct&lt;22,$BC1082=(Elig_MatchAll_Ct-1),AY1082=0),AA1082,0)</f>
        <v>0</v>
      </c>
      <c r="CG1082" s="993">
        <f>IF(AND(Input_Product=Elig!$C1082,Elig_MatchAll_Ct&lt;22,$BC1082=(Elig_MatchAll_Ct-1),AZ1082=0),AB1082,0)</f>
        <v>0</v>
      </c>
      <c r="CH1082" s="994">
        <f>IF(AND(Input_Product=Elig!$C1082,Elig_MatchAll_Ct&lt;22,$BC1082=(Elig_MatchAll_Ct-1),AZ1082=0),AC1082,0)</f>
        <v>0</v>
      </c>
      <c r="CI1082" s="993">
        <f>IF(AND(Input_Product=Elig!$C1082,Elig_MatchAll_Ct&lt;22,$BC1082=(Elig_MatchAll_Ct-1),BA1082=0),AD1082,0)</f>
        <v>0</v>
      </c>
      <c r="CJ1082" s="994">
        <f>IF(AND(Input_Product=Elig!$C1082,Elig_MatchAll_Ct&lt;22,$BC1082=(Elig_MatchAll_Ct-1),BA1082=0),AE1082,0)</f>
        <v>0</v>
      </c>
    </row>
    <row r="1083" spans="2:88" ht="10.15" customHeight="1" x14ac:dyDescent="0.25">
      <c r="B1083" s="1916" t="s">
        <v>2721</v>
      </c>
      <c r="C1083" s="1203" t="str">
        <f t="shared" si="416"/>
        <v xml:space="preserve">  </v>
      </c>
      <c r="D1083" s="1204" t="s">
        <v>2218</v>
      </c>
      <c r="E1083" s="1204" t="s">
        <v>167</v>
      </c>
      <c r="F1083" s="1204" t="s">
        <v>331</v>
      </c>
      <c r="G1083" s="1205" t="s">
        <v>472</v>
      </c>
      <c r="H1083" s="1205" t="s">
        <v>136</v>
      </c>
      <c r="I1083" s="1204" t="s">
        <v>16</v>
      </c>
      <c r="J1083" s="1204" t="s">
        <v>1311</v>
      </c>
      <c r="K1083" s="1205" t="s">
        <v>3022</v>
      </c>
      <c r="L1083" s="1204" t="s">
        <v>2768</v>
      </c>
      <c r="M1083" s="1204" t="s">
        <v>2677</v>
      </c>
      <c r="N1083" s="1205" t="s">
        <v>82</v>
      </c>
      <c r="O1083" s="1204" t="s">
        <v>310</v>
      </c>
      <c r="P1083" s="1204" t="s">
        <v>291</v>
      </c>
      <c r="Q1083" s="1204" t="s">
        <v>294</v>
      </c>
      <c r="R1083" s="1204">
        <v>1500000.01</v>
      </c>
      <c r="S1083" s="1204">
        <v>2000000</v>
      </c>
      <c r="T1083" s="1204">
        <v>0</v>
      </c>
      <c r="U1083" s="1204">
        <f t="shared" si="415"/>
        <v>2000000</v>
      </c>
      <c r="V1083" s="1204">
        <v>0</v>
      </c>
      <c r="W1083" s="1204">
        <v>50</v>
      </c>
      <c r="X1083" s="1204">
        <v>0</v>
      </c>
      <c r="Y1083" s="1204">
        <v>999</v>
      </c>
      <c r="Z1083" s="1206">
        <v>720</v>
      </c>
      <c r="AA1083" s="1206">
        <v>999</v>
      </c>
      <c r="AB1083" s="1206">
        <v>6</v>
      </c>
      <c r="AC1083" s="1206">
        <v>999999</v>
      </c>
      <c r="AD1083" s="1204">
        <v>0</v>
      </c>
      <c r="AE1083" s="1207">
        <v>70</v>
      </c>
      <c r="AF1083" s="170">
        <v>0</v>
      </c>
      <c r="AG1083" s="171">
        <v>1</v>
      </c>
      <c r="AH1083" s="171">
        <v>1</v>
      </c>
      <c r="AI1083" s="171">
        <v>1</v>
      </c>
      <c r="AJ1083" s="171">
        <v>0</v>
      </c>
      <c r="AK1083" s="171">
        <v>1</v>
      </c>
      <c r="AL1083" s="171">
        <v>1</v>
      </c>
      <c r="AM1083" s="171">
        <v>1</v>
      </c>
      <c r="AN1083" s="171">
        <v>1</v>
      </c>
      <c r="AO1083" s="171">
        <v>1</v>
      </c>
      <c r="AP1083" s="171">
        <v>1</v>
      </c>
      <c r="AQ1083" s="171">
        <v>1</v>
      </c>
      <c r="AR1083" s="171">
        <v>1</v>
      </c>
      <c r="AS1083" s="171">
        <v>1</v>
      </c>
      <c r="AT1083" s="171">
        <v>1</v>
      </c>
      <c r="AU1083" s="171">
        <f t="shared" si="404"/>
        <v>0</v>
      </c>
      <c r="AV1083" s="171">
        <f t="shared" si="405"/>
        <v>1</v>
      </c>
      <c r="AW1083" s="171">
        <f t="shared" si="406"/>
        <v>1</v>
      </c>
      <c r="AX1083" s="171">
        <f t="shared" si="414"/>
        <v>1</v>
      </c>
      <c r="AY1083" s="171">
        <f t="shared" si="407"/>
        <v>1</v>
      </c>
      <c r="AZ1083" s="171">
        <f t="shared" si="408"/>
        <v>1</v>
      </c>
      <c r="BA1083" s="172">
        <f t="shared" si="409"/>
        <v>1</v>
      </c>
      <c r="BB1083" s="175">
        <f t="shared" si="411"/>
        <v>19</v>
      </c>
      <c r="BC1083" s="176">
        <f t="shared" si="412"/>
        <v>18</v>
      </c>
      <c r="BD1083" s="176">
        <f t="shared" si="413"/>
        <v>19</v>
      </c>
      <c r="BE1083" s="240" t="str">
        <f t="shared" si="403"/>
        <v/>
      </c>
      <c r="BF1083" s="990"/>
      <c r="BG1083" s="990"/>
      <c r="BH1083" s="991">
        <f>IF(AND(Input_Product=Elig!$C1083,Elig_MatchAll_Ct&lt;22,$BC1083=(Elig_MatchAll_Ct-1),AF1083=0),C1083,0)</f>
        <v>0</v>
      </c>
      <c r="BI1083" s="991">
        <f>IF(AND(Input_Product=Elig!$C1083,Elig_MatchAll_Ct&lt;22,$BC1083=(Elig_MatchAll_Ct-1),AG1083=0),D1083,0)</f>
        <v>0</v>
      </c>
      <c r="BJ1083" s="991">
        <f>IF(AND(Input_Product=Elig!$C1083,Elig_MatchAll_Ct&lt;22,$BC1083=(Elig_MatchAll_Ct-1),AH1083=0),E1083,0)</f>
        <v>0</v>
      </c>
      <c r="BK1083" s="991">
        <f>IF(AND(Input_Product=Elig!$C1083,Elig_MatchAll_Ct&lt;22,$BC1083=(Elig_MatchAll_Ct-1),AI1083=0),F1083,0)</f>
        <v>0</v>
      </c>
      <c r="BL1083" s="991">
        <f>IF(AND(Input_Product=Elig!$C1083,Elig_MatchAll_Ct&lt;22,$BC1083=(Elig_MatchAll_Ct-1),AJ1083=0),G1083,0)</f>
        <v>0</v>
      </c>
      <c r="BM1083" s="991">
        <f>IF(AND(Input_Product=Elig!$C1083,Elig_MatchAll_Ct&lt;22,$BC1083=(Elig_MatchAll_Ct-1),AK1083=0),H1083,0)</f>
        <v>0</v>
      </c>
      <c r="BN1083" s="991">
        <f>IF(AND(Input_Product=Elig!$C1083,Elig_MatchAll_Ct&lt;22,$BC1083=(Elig_MatchAll_Ct-1),AL1083=0),I1083,0)</f>
        <v>0</v>
      </c>
      <c r="BO1083" s="991">
        <f>IF(AND(Input_Product=Elig!$C1083,Elig_MatchAll_Ct&lt;22,$BC1083=(Elig_MatchAll_Ct-1),AM1083=0),J1083,0)</f>
        <v>0</v>
      </c>
      <c r="BP1083" s="991">
        <f>IF(AND(Input_Product=Elig!$C1083,Elig_MatchAll_Ct&lt;22,$BC1083=(Elig_MatchAll_Ct-1),AN1083=0),K1083,0)</f>
        <v>0</v>
      </c>
      <c r="BQ1083" s="991">
        <f>IF(AND(Input_Product=Elig!$C1083,Elig_MatchAll_Ct&lt;22,$BC1083=(Elig_MatchAll_Ct-1),AP1083=0),L1083,0)</f>
        <v>0</v>
      </c>
      <c r="BR1083" s="991">
        <f>IF(AND(Input_Product=Elig!$C1083,Elig_MatchAll_Ct&lt;22,$BC1083=(Elig_MatchAll_Ct-1),AO1083=0),M1083,0)</f>
        <v>0</v>
      </c>
      <c r="BS1083" s="991">
        <f>IF(AND(Input_Product=Elig!$C1083,Elig_MatchAll_Ct&lt;22,$BC1083=(Elig_MatchAll_Ct-1),AQ1083=0),N1083,0)</f>
        <v>0</v>
      </c>
      <c r="BT1083" s="991">
        <f>IF(AND(Input_Product=Elig!$C1083,Elig_MatchAll_Ct&lt;22,$BC1083=(Elig_MatchAll_Ct-1),AR1083=0),O1083,0)</f>
        <v>0</v>
      </c>
      <c r="BU1083" s="991">
        <f>IF(AND(Input_Product=Elig!$C1083,Elig_MatchAll_Ct&lt;22,$BC1083=(Elig_MatchAll_Ct-1),AS1083=0),P1083,0)</f>
        <v>0</v>
      </c>
      <c r="BV1083" s="992">
        <f>IF(AND(Input_Product=Elig!$C1083,Elig_MatchAll_Ct&lt;22,$BC1083=(Elig_MatchAll_Ct-1),AT1083=0),Q1083,0)</f>
        <v>0</v>
      </c>
      <c r="BW1083" s="993">
        <f>IF(AND(Input_Product=Elig!$C1083,Elig_MatchAll_Ct&lt;22,$BC1083=(Elig_MatchAll_Ct-1),AU1083=0),R1083,0)</f>
        <v>0</v>
      </c>
      <c r="BX1083" s="994">
        <f>IF(AND(Input_Product=Elig!$C1083,Elig_MatchAll_Ct&lt;22,$BC1083=(Elig_MatchAll_Ct-1),AU1083=0),S1083,0)</f>
        <v>0</v>
      </c>
      <c r="BY1083" s="993">
        <f>IF(AND(Input_Product=Elig!$C1083,Elig_MatchAll_Ct&lt;22,$BC1083=(Elig_MatchAll_Ct-1),AV1083=0),T1083,0)</f>
        <v>0</v>
      </c>
      <c r="BZ1083" s="994">
        <f>IF(AND(Input_Product=Elig!$C1083,Elig_MatchAll_Ct&lt;22,$BC1083=(Elig_MatchAll_Ct-1),AV1083=0),U1083,0)</f>
        <v>0</v>
      </c>
      <c r="CA1083" s="993">
        <f>IF(AND(Input_Product=Elig!$C1083,Elig_MatchAll_Ct&lt;22,$BC1083=(Elig_MatchAll_Ct-1),AW1083=0),V1083,0)</f>
        <v>0</v>
      </c>
      <c r="CB1083" s="994">
        <f>IF(AND(Input_Product=Elig!$C1083,Elig_MatchAll_Ct&lt;22,$BC1083=(Elig_MatchAll_Ct-1),AW1083=0),W1083,0)</f>
        <v>0</v>
      </c>
      <c r="CC1083" s="993">
        <f>IF(AND(Input_Product=Elig!$C1083,Elig_MatchAll_Ct&lt;22,$BC1083=(Elig_MatchAll_Ct-1),AX1083=0),X1083,0)</f>
        <v>0</v>
      </c>
      <c r="CD1083" s="994">
        <f>IF(AND(Input_Product=Elig!$C1083,Elig_MatchAll_Ct&lt;22,$BC1083=(Elig_MatchAll_Ct-1),AX1083=0),Y1083,0)</f>
        <v>0</v>
      </c>
      <c r="CE1083" s="993">
        <f>IF(AND(Input_LTV&lt;=AE1083,Input_Product=Elig!$C1083,Elig_MatchAll_Ct&lt;22,$BC1083=(Elig_MatchAll_Ct-1),AY1083=0),Z1083,0)</f>
        <v>0</v>
      </c>
      <c r="CF1083" s="994">
        <f>IF(AND(Input_LTV&lt;=AE1083,Input_Product=Elig!$C1083,Elig_MatchAll_Ct&lt;22,$BC1083=(Elig_MatchAll_Ct-1),AY1083=0),AA1083,0)</f>
        <v>0</v>
      </c>
      <c r="CG1083" s="993">
        <f>IF(AND(Input_Product=Elig!$C1083,Elig_MatchAll_Ct&lt;22,$BC1083=(Elig_MatchAll_Ct-1),AZ1083=0),AB1083,0)</f>
        <v>0</v>
      </c>
      <c r="CH1083" s="994">
        <f>IF(AND(Input_Product=Elig!$C1083,Elig_MatchAll_Ct&lt;22,$BC1083=(Elig_MatchAll_Ct-1),AZ1083=0),AC1083,0)</f>
        <v>0</v>
      </c>
      <c r="CI1083" s="993">
        <f>IF(AND(Input_Product=Elig!$C1083,Elig_MatchAll_Ct&lt;22,$BC1083=(Elig_MatchAll_Ct-1),BA1083=0),AD1083,0)</f>
        <v>0</v>
      </c>
      <c r="CJ1083" s="994">
        <f>IF(AND(Input_Product=Elig!$C1083,Elig_MatchAll_Ct&lt;22,$BC1083=(Elig_MatchAll_Ct-1),BA1083=0),AE1083,0)</f>
        <v>0</v>
      </c>
    </row>
    <row r="1084" spans="2:88" ht="10.15" customHeight="1" x14ac:dyDescent="0.25">
      <c r="B1084" s="1916" t="s">
        <v>2722</v>
      </c>
      <c r="C1084" s="1208" t="str">
        <f t="shared" si="416"/>
        <v xml:space="preserve">  </v>
      </c>
      <c r="D1084" s="1209" t="s">
        <v>2218</v>
      </c>
      <c r="E1084" s="1209" t="s">
        <v>167</v>
      </c>
      <c r="F1084" s="1209" t="s">
        <v>331</v>
      </c>
      <c r="G1084" s="1210" t="s">
        <v>472</v>
      </c>
      <c r="H1084" s="1210" t="s">
        <v>136</v>
      </c>
      <c r="I1084" s="1209" t="s">
        <v>16</v>
      </c>
      <c r="J1084" s="1209" t="s">
        <v>1311</v>
      </c>
      <c r="K1084" s="1210" t="s">
        <v>3022</v>
      </c>
      <c r="L1084" s="1209" t="s">
        <v>2768</v>
      </c>
      <c r="M1084" s="1209" t="s">
        <v>2677</v>
      </c>
      <c r="N1084" s="1210" t="s">
        <v>82</v>
      </c>
      <c r="O1084" s="1209" t="s">
        <v>310</v>
      </c>
      <c r="P1084" s="1209" t="s">
        <v>291</v>
      </c>
      <c r="Q1084" s="1209" t="s">
        <v>294</v>
      </c>
      <c r="R1084" s="1209">
        <v>1500000.01</v>
      </c>
      <c r="S1084" s="1209">
        <v>2000000</v>
      </c>
      <c r="T1084" s="1209">
        <v>0</v>
      </c>
      <c r="U1084" s="1209">
        <f t="shared" si="415"/>
        <v>2000000</v>
      </c>
      <c r="V1084" s="1209">
        <v>0</v>
      </c>
      <c r="W1084" s="1209">
        <v>50</v>
      </c>
      <c r="X1084" s="1209">
        <v>0</v>
      </c>
      <c r="Y1084" s="1209">
        <v>999</v>
      </c>
      <c r="Z1084" s="1211">
        <v>700</v>
      </c>
      <c r="AA1084" s="1211">
        <v>719</v>
      </c>
      <c r="AB1084" s="1211">
        <v>6</v>
      </c>
      <c r="AC1084" s="1211">
        <v>999999</v>
      </c>
      <c r="AD1084" s="1209">
        <v>0</v>
      </c>
      <c r="AE1084" s="1212">
        <v>70</v>
      </c>
      <c r="AF1084" s="170">
        <v>0</v>
      </c>
      <c r="AG1084" s="171">
        <v>1</v>
      </c>
      <c r="AH1084" s="171">
        <v>1</v>
      </c>
      <c r="AI1084" s="171">
        <v>1</v>
      </c>
      <c r="AJ1084" s="171">
        <v>0</v>
      </c>
      <c r="AK1084" s="171">
        <v>1</v>
      </c>
      <c r="AL1084" s="171">
        <v>1</v>
      </c>
      <c r="AM1084" s="171">
        <v>1</v>
      </c>
      <c r="AN1084" s="171">
        <v>1</v>
      </c>
      <c r="AO1084" s="171">
        <v>1</v>
      </c>
      <c r="AP1084" s="171">
        <v>1</v>
      </c>
      <c r="AQ1084" s="171">
        <v>1</v>
      </c>
      <c r="AR1084" s="171">
        <v>1</v>
      </c>
      <c r="AS1084" s="171">
        <v>1</v>
      </c>
      <c r="AT1084" s="171">
        <v>1</v>
      </c>
      <c r="AU1084" s="171">
        <f t="shared" si="404"/>
        <v>0</v>
      </c>
      <c r="AV1084" s="171">
        <f t="shared" si="405"/>
        <v>1</v>
      </c>
      <c r="AW1084" s="171">
        <f t="shared" si="406"/>
        <v>1</v>
      </c>
      <c r="AX1084" s="171">
        <f t="shared" si="414"/>
        <v>1</v>
      </c>
      <c r="AY1084" s="171">
        <f t="shared" si="407"/>
        <v>0</v>
      </c>
      <c r="AZ1084" s="171">
        <f t="shared" si="408"/>
        <v>1</v>
      </c>
      <c r="BA1084" s="172">
        <f t="shared" si="409"/>
        <v>1</v>
      </c>
      <c r="BB1084" s="175">
        <f t="shared" si="411"/>
        <v>18</v>
      </c>
      <c r="BC1084" s="176">
        <f t="shared" si="412"/>
        <v>17</v>
      </c>
      <c r="BD1084" s="176">
        <f t="shared" si="413"/>
        <v>18</v>
      </c>
      <c r="BE1084" s="240" t="str">
        <f t="shared" si="403"/>
        <v/>
      </c>
      <c r="BF1084" s="990"/>
      <c r="BG1084" s="990"/>
      <c r="BH1084" s="991">
        <f>IF(AND(Input_Product=Elig!$C1084,Elig_MatchAll_Ct&lt;22,$BC1084=(Elig_MatchAll_Ct-1),AF1084=0),C1084,0)</f>
        <v>0</v>
      </c>
      <c r="BI1084" s="991">
        <f>IF(AND(Input_Product=Elig!$C1084,Elig_MatchAll_Ct&lt;22,$BC1084=(Elig_MatchAll_Ct-1),AG1084=0),D1084,0)</f>
        <v>0</v>
      </c>
      <c r="BJ1084" s="991">
        <f>IF(AND(Input_Product=Elig!$C1084,Elig_MatchAll_Ct&lt;22,$BC1084=(Elig_MatchAll_Ct-1),AH1084=0),E1084,0)</f>
        <v>0</v>
      </c>
      <c r="BK1084" s="991">
        <f>IF(AND(Input_Product=Elig!$C1084,Elig_MatchAll_Ct&lt;22,$BC1084=(Elig_MatchAll_Ct-1),AI1084=0),F1084,0)</f>
        <v>0</v>
      </c>
      <c r="BL1084" s="991">
        <f>IF(AND(Input_Product=Elig!$C1084,Elig_MatchAll_Ct&lt;22,$BC1084=(Elig_MatchAll_Ct-1),AJ1084=0),G1084,0)</f>
        <v>0</v>
      </c>
      <c r="BM1084" s="991">
        <f>IF(AND(Input_Product=Elig!$C1084,Elig_MatchAll_Ct&lt;22,$BC1084=(Elig_MatchAll_Ct-1),AK1084=0),H1084,0)</f>
        <v>0</v>
      </c>
      <c r="BN1084" s="991">
        <f>IF(AND(Input_Product=Elig!$C1084,Elig_MatchAll_Ct&lt;22,$BC1084=(Elig_MatchAll_Ct-1),AL1084=0),I1084,0)</f>
        <v>0</v>
      </c>
      <c r="BO1084" s="991">
        <f>IF(AND(Input_Product=Elig!$C1084,Elig_MatchAll_Ct&lt;22,$BC1084=(Elig_MatchAll_Ct-1),AM1084=0),J1084,0)</f>
        <v>0</v>
      </c>
      <c r="BP1084" s="991">
        <f>IF(AND(Input_Product=Elig!$C1084,Elig_MatchAll_Ct&lt;22,$BC1084=(Elig_MatchAll_Ct-1),AN1084=0),K1084,0)</f>
        <v>0</v>
      </c>
      <c r="BQ1084" s="991">
        <f>IF(AND(Input_Product=Elig!$C1084,Elig_MatchAll_Ct&lt;22,$BC1084=(Elig_MatchAll_Ct-1),AP1084=0),L1084,0)</f>
        <v>0</v>
      </c>
      <c r="BR1084" s="991">
        <f>IF(AND(Input_Product=Elig!$C1084,Elig_MatchAll_Ct&lt;22,$BC1084=(Elig_MatchAll_Ct-1),AO1084=0),M1084,0)</f>
        <v>0</v>
      </c>
      <c r="BS1084" s="991">
        <f>IF(AND(Input_Product=Elig!$C1084,Elig_MatchAll_Ct&lt;22,$BC1084=(Elig_MatchAll_Ct-1),AQ1084=0),N1084,0)</f>
        <v>0</v>
      </c>
      <c r="BT1084" s="991">
        <f>IF(AND(Input_Product=Elig!$C1084,Elig_MatchAll_Ct&lt;22,$BC1084=(Elig_MatchAll_Ct-1),AR1084=0),O1084,0)</f>
        <v>0</v>
      </c>
      <c r="BU1084" s="991">
        <f>IF(AND(Input_Product=Elig!$C1084,Elig_MatchAll_Ct&lt;22,$BC1084=(Elig_MatchAll_Ct-1),AS1084=0),P1084,0)</f>
        <v>0</v>
      </c>
      <c r="BV1084" s="992">
        <f>IF(AND(Input_Product=Elig!$C1084,Elig_MatchAll_Ct&lt;22,$BC1084=(Elig_MatchAll_Ct-1),AT1084=0),Q1084,0)</f>
        <v>0</v>
      </c>
      <c r="BW1084" s="993">
        <f>IF(AND(Input_Product=Elig!$C1084,Elig_MatchAll_Ct&lt;22,$BC1084=(Elig_MatchAll_Ct-1),AU1084=0),R1084,0)</f>
        <v>0</v>
      </c>
      <c r="BX1084" s="994">
        <f>IF(AND(Input_Product=Elig!$C1084,Elig_MatchAll_Ct&lt;22,$BC1084=(Elig_MatchAll_Ct-1),AU1084=0),S1084,0)</f>
        <v>0</v>
      </c>
      <c r="BY1084" s="993">
        <f>IF(AND(Input_Product=Elig!$C1084,Elig_MatchAll_Ct&lt;22,$BC1084=(Elig_MatchAll_Ct-1),AV1084=0),T1084,0)</f>
        <v>0</v>
      </c>
      <c r="BZ1084" s="994">
        <f>IF(AND(Input_Product=Elig!$C1084,Elig_MatchAll_Ct&lt;22,$BC1084=(Elig_MatchAll_Ct-1),AV1084=0),U1084,0)</f>
        <v>0</v>
      </c>
      <c r="CA1084" s="993">
        <f>IF(AND(Input_Product=Elig!$C1084,Elig_MatchAll_Ct&lt;22,$BC1084=(Elig_MatchAll_Ct-1),AW1084=0),V1084,0)</f>
        <v>0</v>
      </c>
      <c r="CB1084" s="994">
        <f>IF(AND(Input_Product=Elig!$C1084,Elig_MatchAll_Ct&lt;22,$BC1084=(Elig_MatchAll_Ct-1),AW1084=0),W1084,0)</f>
        <v>0</v>
      </c>
      <c r="CC1084" s="993">
        <f>IF(AND(Input_Product=Elig!$C1084,Elig_MatchAll_Ct&lt;22,$BC1084=(Elig_MatchAll_Ct-1),AX1084=0),X1084,0)</f>
        <v>0</v>
      </c>
      <c r="CD1084" s="994">
        <f>IF(AND(Input_Product=Elig!$C1084,Elig_MatchAll_Ct&lt;22,$BC1084=(Elig_MatchAll_Ct-1),AX1084=0),Y1084,0)</f>
        <v>0</v>
      </c>
      <c r="CE1084" s="993">
        <f>IF(AND(Input_LTV&lt;=AE1084,Input_Product=Elig!$C1084,Elig_MatchAll_Ct&lt;22,$BC1084=(Elig_MatchAll_Ct-1),AY1084=0),Z1084,0)</f>
        <v>0</v>
      </c>
      <c r="CF1084" s="994">
        <f>IF(AND(Input_LTV&lt;=AE1084,Input_Product=Elig!$C1084,Elig_MatchAll_Ct&lt;22,$BC1084=(Elig_MatchAll_Ct-1),AY1084=0),AA1084,0)</f>
        <v>0</v>
      </c>
      <c r="CG1084" s="993">
        <f>IF(AND(Input_Product=Elig!$C1084,Elig_MatchAll_Ct&lt;22,$BC1084=(Elig_MatchAll_Ct-1),AZ1084=0),AB1084,0)</f>
        <v>0</v>
      </c>
      <c r="CH1084" s="994">
        <f>IF(AND(Input_Product=Elig!$C1084,Elig_MatchAll_Ct&lt;22,$BC1084=(Elig_MatchAll_Ct-1),AZ1084=0),AC1084,0)</f>
        <v>0</v>
      </c>
      <c r="CI1084" s="993">
        <f>IF(AND(Input_Product=Elig!$C1084,Elig_MatchAll_Ct&lt;22,$BC1084=(Elig_MatchAll_Ct-1),BA1084=0),AD1084,0)</f>
        <v>0</v>
      </c>
      <c r="CJ1084" s="994">
        <f>IF(AND(Input_Product=Elig!$C1084,Elig_MatchAll_Ct&lt;22,$BC1084=(Elig_MatchAll_Ct-1),BA1084=0),AE1084,0)</f>
        <v>0</v>
      </c>
    </row>
    <row r="1085" spans="2:88" ht="10.15" customHeight="1" x14ac:dyDescent="0.25">
      <c r="B1085" s="1916" t="s">
        <v>2723</v>
      </c>
      <c r="C1085" s="1213" t="str">
        <f t="shared" si="416"/>
        <v xml:space="preserve">  </v>
      </c>
      <c r="D1085" s="1214" t="s">
        <v>2218</v>
      </c>
      <c r="E1085" s="1214" t="s">
        <v>167</v>
      </c>
      <c r="F1085" s="1214" t="s">
        <v>331</v>
      </c>
      <c r="G1085" s="1215" t="s">
        <v>472</v>
      </c>
      <c r="H1085" s="1215" t="s">
        <v>136</v>
      </c>
      <c r="I1085" s="1214" t="s">
        <v>16</v>
      </c>
      <c r="J1085" s="1214" t="s">
        <v>1311</v>
      </c>
      <c r="K1085" s="1215" t="s">
        <v>3022</v>
      </c>
      <c r="L1085" s="1214" t="s">
        <v>2768</v>
      </c>
      <c r="M1085" s="1214" t="s">
        <v>2677</v>
      </c>
      <c r="N1085" s="1215" t="s">
        <v>82</v>
      </c>
      <c r="O1085" s="1214" t="s">
        <v>310</v>
      </c>
      <c r="P1085" s="1214" t="s">
        <v>291</v>
      </c>
      <c r="Q1085" s="1214" t="s">
        <v>294</v>
      </c>
      <c r="R1085" s="1214">
        <v>1500000.01</v>
      </c>
      <c r="S1085" s="1214">
        <v>2000000</v>
      </c>
      <c r="T1085" s="1214">
        <v>0</v>
      </c>
      <c r="U1085" s="1214">
        <f t="shared" si="415"/>
        <v>2000000</v>
      </c>
      <c r="V1085" s="1214">
        <v>0</v>
      </c>
      <c r="W1085" s="1214">
        <v>50</v>
      </c>
      <c r="X1085" s="1214">
        <v>0</v>
      </c>
      <c r="Y1085" s="1214">
        <v>999</v>
      </c>
      <c r="Z1085" s="1216">
        <v>680</v>
      </c>
      <c r="AA1085" s="1216">
        <v>699</v>
      </c>
      <c r="AB1085" s="1216">
        <v>6</v>
      </c>
      <c r="AC1085" s="1216">
        <v>999999</v>
      </c>
      <c r="AD1085" s="1214">
        <v>0</v>
      </c>
      <c r="AE1085" s="1217">
        <v>70</v>
      </c>
      <c r="AF1085" s="170">
        <v>0</v>
      </c>
      <c r="AG1085" s="171">
        <v>1</v>
      </c>
      <c r="AH1085" s="171">
        <v>1</v>
      </c>
      <c r="AI1085" s="171">
        <v>1</v>
      </c>
      <c r="AJ1085" s="171">
        <v>0</v>
      </c>
      <c r="AK1085" s="171">
        <v>1</v>
      </c>
      <c r="AL1085" s="171">
        <v>1</v>
      </c>
      <c r="AM1085" s="171">
        <v>1</v>
      </c>
      <c r="AN1085" s="171">
        <v>1</v>
      </c>
      <c r="AO1085" s="171">
        <v>1</v>
      </c>
      <c r="AP1085" s="171">
        <v>1</v>
      </c>
      <c r="AQ1085" s="171">
        <v>1</v>
      </c>
      <c r="AR1085" s="171">
        <v>1</v>
      </c>
      <c r="AS1085" s="171">
        <v>1</v>
      </c>
      <c r="AT1085" s="171">
        <v>1</v>
      </c>
      <c r="AU1085" s="171">
        <f t="shared" si="404"/>
        <v>0</v>
      </c>
      <c r="AV1085" s="171">
        <f t="shared" si="405"/>
        <v>1</v>
      </c>
      <c r="AW1085" s="171">
        <f t="shared" si="406"/>
        <v>1</v>
      </c>
      <c r="AX1085" s="171">
        <f t="shared" si="414"/>
        <v>1</v>
      </c>
      <c r="AY1085" s="171">
        <f t="shared" si="407"/>
        <v>0</v>
      </c>
      <c r="AZ1085" s="171">
        <f t="shared" si="408"/>
        <v>1</v>
      </c>
      <c r="BA1085" s="172">
        <f t="shared" si="409"/>
        <v>1</v>
      </c>
      <c r="BB1085" s="175">
        <f t="shared" si="411"/>
        <v>18</v>
      </c>
      <c r="BC1085" s="176">
        <f t="shared" si="412"/>
        <v>17</v>
      </c>
      <c r="BD1085" s="176">
        <f t="shared" si="413"/>
        <v>18</v>
      </c>
      <c r="BE1085" s="240" t="str">
        <f t="shared" si="403"/>
        <v/>
      </c>
      <c r="BF1085" s="990"/>
      <c r="BG1085" s="990"/>
      <c r="BH1085" s="991">
        <f>IF(AND(Input_Product=Elig!$C1085,Elig_MatchAll_Ct&lt;22,$BC1085=(Elig_MatchAll_Ct-1),AF1085=0),C1085,0)</f>
        <v>0</v>
      </c>
      <c r="BI1085" s="991">
        <f>IF(AND(Input_Product=Elig!$C1085,Elig_MatchAll_Ct&lt;22,$BC1085=(Elig_MatchAll_Ct-1),AG1085=0),D1085,0)</f>
        <v>0</v>
      </c>
      <c r="BJ1085" s="991">
        <f>IF(AND(Input_Product=Elig!$C1085,Elig_MatchAll_Ct&lt;22,$BC1085=(Elig_MatchAll_Ct-1),AH1085=0),E1085,0)</f>
        <v>0</v>
      </c>
      <c r="BK1085" s="991">
        <f>IF(AND(Input_Product=Elig!$C1085,Elig_MatchAll_Ct&lt;22,$BC1085=(Elig_MatchAll_Ct-1),AI1085=0),F1085,0)</f>
        <v>0</v>
      </c>
      <c r="BL1085" s="991">
        <f>IF(AND(Input_Product=Elig!$C1085,Elig_MatchAll_Ct&lt;22,$BC1085=(Elig_MatchAll_Ct-1),AJ1085=0),G1085,0)</f>
        <v>0</v>
      </c>
      <c r="BM1085" s="991">
        <f>IF(AND(Input_Product=Elig!$C1085,Elig_MatchAll_Ct&lt;22,$BC1085=(Elig_MatchAll_Ct-1),AK1085=0),H1085,0)</f>
        <v>0</v>
      </c>
      <c r="BN1085" s="991">
        <f>IF(AND(Input_Product=Elig!$C1085,Elig_MatchAll_Ct&lt;22,$BC1085=(Elig_MatchAll_Ct-1),AL1085=0),I1085,0)</f>
        <v>0</v>
      </c>
      <c r="BO1085" s="991">
        <f>IF(AND(Input_Product=Elig!$C1085,Elig_MatchAll_Ct&lt;22,$BC1085=(Elig_MatchAll_Ct-1),AM1085=0),J1085,0)</f>
        <v>0</v>
      </c>
      <c r="BP1085" s="991">
        <f>IF(AND(Input_Product=Elig!$C1085,Elig_MatchAll_Ct&lt;22,$BC1085=(Elig_MatchAll_Ct-1),AN1085=0),K1085,0)</f>
        <v>0</v>
      </c>
      <c r="BQ1085" s="991">
        <f>IF(AND(Input_Product=Elig!$C1085,Elig_MatchAll_Ct&lt;22,$BC1085=(Elig_MatchAll_Ct-1),AP1085=0),L1085,0)</f>
        <v>0</v>
      </c>
      <c r="BR1085" s="991">
        <f>IF(AND(Input_Product=Elig!$C1085,Elig_MatchAll_Ct&lt;22,$BC1085=(Elig_MatchAll_Ct-1),AO1085=0),M1085,0)</f>
        <v>0</v>
      </c>
      <c r="BS1085" s="991">
        <f>IF(AND(Input_Product=Elig!$C1085,Elig_MatchAll_Ct&lt;22,$BC1085=(Elig_MatchAll_Ct-1),AQ1085=0),N1085,0)</f>
        <v>0</v>
      </c>
      <c r="BT1085" s="991">
        <f>IF(AND(Input_Product=Elig!$C1085,Elig_MatchAll_Ct&lt;22,$BC1085=(Elig_MatchAll_Ct-1),AR1085=0),O1085,0)</f>
        <v>0</v>
      </c>
      <c r="BU1085" s="991">
        <f>IF(AND(Input_Product=Elig!$C1085,Elig_MatchAll_Ct&lt;22,$BC1085=(Elig_MatchAll_Ct-1),AS1085=0),P1085,0)</f>
        <v>0</v>
      </c>
      <c r="BV1085" s="992">
        <f>IF(AND(Input_Product=Elig!$C1085,Elig_MatchAll_Ct&lt;22,$BC1085=(Elig_MatchAll_Ct-1),AT1085=0),Q1085,0)</f>
        <v>0</v>
      </c>
      <c r="BW1085" s="993">
        <f>IF(AND(Input_Product=Elig!$C1085,Elig_MatchAll_Ct&lt;22,$BC1085=(Elig_MatchAll_Ct-1),AU1085=0),R1085,0)</f>
        <v>0</v>
      </c>
      <c r="BX1085" s="994">
        <f>IF(AND(Input_Product=Elig!$C1085,Elig_MatchAll_Ct&lt;22,$BC1085=(Elig_MatchAll_Ct-1),AU1085=0),S1085,0)</f>
        <v>0</v>
      </c>
      <c r="BY1085" s="993">
        <f>IF(AND(Input_Product=Elig!$C1085,Elig_MatchAll_Ct&lt;22,$BC1085=(Elig_MatchAll_Ct-1),AV1085=0),T1085,0)</f>
        <v>0</v>
      </c>
      <c r="BZ1085" s="994">
        <f>IF(AND(Input_Product=Elig!$C1085,Elig_MatchAll_Ct&lt;22,$BC1085=(Elig_MatchAll_Ct-1),AV1085=0),U1085,0)</f>
        <v>0</v>
      </c>
      <c r="CA1085" s="993">
        <f>IF(AND(Input_Product=Elig!$C1085,Elig_MatchAll_Ct&lt;22,$BC1085=(Elig_MatchAll_Ct-1),AW1085=0),V1085,0)</f>
        <v>0</v>
      </c>
      <c r="CB1085" s="994">
        <f>IF(AND(Input_Product=Elig!$C1085,Elig_MatchAll_Ct&lt;22,$BC1085=(Elig_MatchAll_Ct-1),AW1085=0),W1085,0)</f>
        <v>0</v>
      </c>
      <c r="CC1085" s="993">
        <f>IF(AND(Input_Product=Elig!$C1085,Elig_MatchAll_Ct&lt;22,$BC1085=(Elig_MatchAll_Ct-1),AX1085=0),X1085,0)</f>
        <v>0</v>
      </c>
      <c r="CD1085" s="994">
        <f>IF(AND(Input_Product=Elig!$C1085,Elig_MatchAll_Ct&lt;22,$BC1085=(Elig_MatchAll_Ct-1),AX1085=0),Y1085,0)</f>
        <v>0</v>
      </c>
      <c r="CE1085" s="993">
        <f>IF(AND(Input_LTV&lt;=AE1085,Input_Product=Elig!$C1085,Elig_MatchAll_Ct&lt;22,$BC1085=(Elig_MatchAll_Ct-1),AY1085=0),Z1085,0)</f>
        <v>0</v>
      </c>
      <c r="CF1085" s="994">
        <f>IF(AND(Input_LTV&lt;=AE1085,Input_Product=Elig!$C1085,Elig_MatchAll_Ct&lt;22,$BC1085=(Elig_MatchAll_Ct-1),AY1085=0),AA1085,0)</f>
        <v>0</v>
      </c>
      <c r="CG1085" s="993">
        <f>IF(AND(Input_Product=Elig!$C1085,Elig_MatchAll_Ct&lt;22,$BC1085=(Elig_MatchAll_Ct-1),AZ1085=0),AB1085,0)</f>
        <v>0</v>
      </c>
      <c r="CH1085" s="994">
        <f>IF(AND(Input_Product=Elig!$C1085,Elig_MatchAll_Ct&lt;22,$BC1085=(Elig_MatchAll_Ct-1),AZ1085=0),AC1085,0)</f>
        <v>0</v>
      </c>
      <c r="CI1085" s="993">
        <f>IF(AND(Input_Product=Elig!$C1085,Elig_MatchAll_Ct&lt;22,$BC1085=(Elig_MatchAll_Ct-1),BA1085=0),AD1085,0)</f>
        <v>0</v>
      </c>
      <c r="CJ1085" s="994">
        <f>IF(AND(Input_Product=Elig!$C1085,Elig_MatchAll_Ct&lt;22,$BC1085=(Elig_MatchAll_Ct-1),BA1085=0),AE1085,0)</f>
        <v>0</v>
      </c>
    </row>
    <row r="1086" spans="2:88" ht="10.15" customHeight="1" x14ac:dyDescent="0.25">
      <c r="B1086" s="1916" t="s">
        <v>2724</v>
      </c>
      <c r="C1086" s="1203" t="str">
        <f t="shared" si="416"/>
        <v xml:space="preserve">  </v>
      </c>
      <c r="D1086" s="1204" t="s">
        <v>2218</v>
      </c>
      <c r="E1086" s="1204" t="s">
        <v>167</v>
      </c>
      <c r="F1086" s="1204" t="s">
        <v>331</v>
      </c>
      <c r="G1086" s="1205" t="s">
        <v>472</v>
      </c>
      <c r="H1086" s="1205" t="s">
        <v>136</v>
      </c>
      <c r="I1086" s="1204" t="s">
        <v>16</v>
      </c>
      <c r="J1086" s="1204" t="s">
        <v>1311</v>
      </c>
      <c r="K1086" s="1205" t="s">
        <v>3022</v>
      </c>
      <c r="L1086" s="1204" t="s">
        <v>2768</v>
      </c>
      <c r="M1086" s="1204" t="s">
        <v>2677</v>
      </c>
      <c r="N1086" s="1205" t="s">
        <v>82</v>
      </c>
      <c r="O1086" s="1204" t="s">
        <v>310</v>
      </c>
      <c r="P1086" s="1204" t="s">
        <v>291</v>
      </c>
      <c r="Q1086" s="1204" t="s">
        <v>294</v>
      </c>
      <c r="R1086" s="1204">
        <v>2000000.01</v>
      </c>
      <c r="S1086" s="1204">
        <v>2500000</v>
      </c>
      <c r="T1086" s="1204">
        <v>0</v>
      </c>
      <c r="U1086" s="1204">
        <f t="shared" si="415"/>
        <v>2500000</v>
      </c>
      <c r="V1086" s="1204">
        <v>0</v>
      </c>
      <c r="W1086" s="1204">
        <v>50</v>
      </c>
      <c r="X1086" s="1204">
        <v>0</v>
      </c>
      <c r="Y1086" s="1204">
        <v>999</v>
      </c>
      <c r="Z1086" s="1206">
        <v>720</v>
      </c>
      <c r="AA1086" s="1206">
        <v>999</v>
      </c>
      <c r="AB1086" s="1206">
        <v>6</v>
      </c>
      <c r="AC1086" s="1206">
        <v>999999</v>
      </c>
      <c r="AD1086" s="1204">
        <v>0</v>
      </c>
      <c r="AE1086" s="1207">
        <v>70</v>
      </c>
      <c r="AF1086" s="170">
        <v>0</v>
      </c>
      <c r="AG1086" s="171">
        <v>1</v>
      </c>
      <c r="AH1086" s="171">
        <v>1</v>
      </c>
      <c r="AI1086" s="171">
        <v>1</v>
      </c>
      <c r="AJ1086" s="171">
        <v>0</v>
      </c>
      <c r="AK1086" s="171">
        <v>1</v>
      </c>
      <c r="AL1086" s="171">
        <v>1</v>
      </c>
      <c r="AM1086" s="171">
        <v>1</v>
      </c>
      <c r="AN1086" s="171">
        <v>1</v>
      </c>
      <c r="AO1086" s="171">
        <v>1</v>
      </c>
      <c r="AP1086" s="171">
        <v>1</v>
      </c>
      <c r="AQ1086" s="171">
        <v>1</v>
      </c>
      <c r="AR1086" s="171">
        <v>1</v>
      </c>
      <c r="AS1086" s="171">
        <v>1</v>
      </c>
      <c r="AT1086" s="171">
        <v>1</v>
      </c>
      <c r="AU1086" s="171">
        <f t="shared" si="404"/>
        <v>0</v>
      </c>
      <c r="AV1086" s="171">
        <f t="shared" si="405"/>
        <v>1</v>
      </c>
      <c r="AW1086" s="171">
        <f t="shared" si="406"/>
        <v>1</v>
      </c>
      <c r="AX1086" s="171">
        <f t="shared" si="414"/>
        <v>1</v>
      </c>
      <c r="AY1086" s="171">
        <f t="shared" si="407"/>
        <v>1</v>
      </c>
      <c r="AZ1086" s="171">
        <f t="shared" si="408"/>
        <v>1</v>
      </c>
      <c r="BA1086" s="172">
        <f t="shared" si="409"/>
        <v>1</v>
      </c>
      <c r="BB1086" s="175">
        <f t="shared" si="411"/>
        <v>19</v>
      </c>
      <c r="BC1086" s="176">
        <f t="shared" si="412"/>
        <v>18</v>
      </c>
      <c r="BD1086" s="176">
        <f t="shared" si="413"/>
        <v>19</v>
      </c>
      <c r="BE1086" s="240" t="str">
        <f t="shared" si="403"/>
        <v/>
      </c>
      <c r="BF1086" s="990"/>
      <c r="BG1086" s="990"/>
      <c r="BH1086" s="991">
        <f>IF(AND(Input_Product=Elig!$C1086,Elig_MatchAll_Ct&lt;22,$BC1086=(Elig_MatchAll_Ct-1),AF1086=0),C1086,0)</f>
        <v>0</v>
      </c>
      <c r="BI1086" s="991">
        <f>IF(AND(Input_Product=Elig!$C1086,Elig_MatchAll_Ct&lt;22,$BC1086=(Elig_MatchAll_Ct-1),AG1086=0),D1086,0)</f>
        <v>0</v>
      </c>
      <c r="BJ1086" s="991">
        <f>IF(AND(Input_Product=Elig!$C1086,Elig_MatchAll_Ct&lt;22,$BC1086=(Elig_MatchAll_Ct-1),AH1086=0),E1086,0)</f>
        <v>0</v>
      </c>
      <c r="BK1086" s="991">
        <f>IF(AND(Input_Product=Elig!$C1086,Elig_MatchAll_Ct&lt;22,$BC1086=(Elig_MatchAll_Ct-1),AI1086=0),F1086,0)</f>
        <v>0</v>
      </c>
      <c r="BL1086" s="991">
        <f>IF(AND(Input_Product=Elig!$C1086,Elig_MatchAll_Ct&lt;22,$BC1086=(Elig_MatchAll_Ct-1),AJ1086=0),G1086,0)</f>
        <v>0</v>
      </c>
      <c r="BM1086" s="991">
        <f>IF(AND(Input_Product=Elig!$C1086,Elig_MatchAll_Ct&lt;22,$BC1086=(Elig_MatchAll_Ct-1),AK1086=0),H1086,0)</f>
        <v>0</v>
      </c>
      <c r="BN1086" s="991">
        <f>IF(AND(Input_Product=Elig!$C1086,Elig_MatchAll_Ct&lt;22,$BC1086=(Elig_MatchAll_Ct-1),AL1086=0),I1086,0)</f>
        <v>0</v>
      </c>
      <c r="BO1086" s="991">
        <f>IF(AND(Input_Product=Elig!$C1086,Elig_MatchAll_Ct&lt;22,$BC1086=(Elig_MatchAll_Ct-1),AM1086=0),J1086,0)</f>
        <v>0</v>
      </c>
      <c r="BP1086" s="991">
        <f>IF(AND(Input_Product=Elig!$C1086,Elig_MatchAll_Ct&lt;22,$BC1086=(Elig_MatchAll_Ct-1),AN1086=0),K1086,0)</f>
        <v>0</v>
      </c>
      <c r="BQ1086" s="991">
        <f>IF(AND(Input_Product=Elig!$C1086,Elig_MatchAll_Ct&lt;22,$BC1086=(Elig_MatchAll_Ct-1),AP1086=0),L1086,0)</f>
        <v>0</v>
      </c>
      <c r="BR1086" s="991">
        <f>IF(AND(Input_Product=Elig!$C1086,Elig_MatchAll_Ct&lt;22,$BC1086=(Elig_MatchAll_Ct-1),AO1086=0),M1086,0)</f>
        <v>0</v>
      </c>
      <c r="BS1086" s="991">
        <f>IF(AND(Input_Product=Elig!$C1086,Elig_MatchAll_Ct&lt;22,$BC1086=(Elig_MatchAll_Ct-1),AQ1086=0),N1086,0)</f>
        <v>0</v>
      </c>
      <c r="BT1086" s="991">
        <f>IF(AND(Input_Product=Elig!$C1086,Elig_MatchAll_Ct&lt;22,$BC1086=(Elig_MatchAll_Ct-1),AR1086=0),O1086,0)</f>
        <v>0</v>
      </c>
      <c r="BU1086" s="991">
        <f>IF(AND(Input_Product=Elig!$C1086,Elig_MatchAll_Ct&lt;22,$BC1086=(Elig_MatchAll_Ct-1),AS1086=0),P1086,0)</f>
        <v>0</v>
      </c>
      <c r="BV1086" s="992">
        <f>IF(AND(Input_Product=Elig!$C1086,Elig_MatchAll_Ct&lt;22,$BC1086=(Elig_MatchAll_Ct-1),AT1086=0),Q1086,0)</f>
        <v>0</v>
      </c>
      <c r="BW1086" s="993">
        <f>IF(AND(Input_Product=Elig!$C1086,Elig_MatchAll_Ct&lt;22,$BC1086=(Elig_MatchAll_Ct-1),AU1086=0),R1086,0)</f>
        <v>0</v>
      </c>
      <c r="BX1086" s="994">
        <f>IF(AND(Input_Product=Elig!$C1086,Elig_MatchAll_Ct&lt;22,$BC1086=(Elig_MatchAll_Ct-1),AU1086=0),S1086,0)</f>
        <v>0</v>
      </c>
      <c r="BY1086" s="993">
        <f>IF(AND(Input_Product=Elig!$C1086,Elig_MatchAll_Ct&lt;22,$BC1086=(Elig_MatchAll_Ct-1),AV1086=0),T1086,0)</f>
        <v>0</v>
      </c>
      <c r="BZ1086" s="994">
        <f>IF(AND(Input_Product=Elig!$C1086,Elig_MatchAll_Ct&lt;22,$BC1086=(Elig_MatchAll_Ct-1),AV1086=0),U1086,0)</f>
        <v>0</v>
      </c>
      <c r="CA1086" s="993">
        <f>IF(AND(Input_Product=Elig!$C1086,Elig_MatchAll_Ct&lt;22,$BC1086=(Elig_MatchAll_Ct-1),AW1086=0),V1086,0)</f>
        <v>0</v>
      </c>
      <c r="CB1086" s="994">
        <f>IF(AND(Input_Product=Elig!$C1086,Elig_MatchAll_Ct&lt;22,$BC1086=(Elig_MatchAll_Ct-1),AW1086=0),W1086,0)</f>
        <v>0</v>
      </c>
      <c r="CC1086" s="993">
        <f>IF(AND(Input_Product=Elig!$C1086,Elig_MatchAll_Ct&lt;22,$BC1086=(Elig_MatchAll_Ct-1),AX1086=0),X1086,0)</f>
        <v>0</v>
      </c>
      <c r="CD1086" s="994">
        <f>IF(AND(Input_Product=Elig!$C1086,Elig_MatchAll_Ct&lt;22,$BC1086=(Elig_MatchAll_Ct-1),AX1086=0),Y1086,0)</f>
        <v>0</v>
      </c>
      <c r="CE1086" s="993">
        <f>IF(AND(Input_LTV&lt;=AE1086,Input_Product=Elig!$C1086,Elig_MatchAll_Ct&lt;22,$BC1086=(Elig_MatchAll_Ct-1),AY1086=0),Z1086,0)</f>
        <v>0</v>
      </c>
      <c r="CF1086" s="994">
        <f>IF(AND(Input_LTV&lt;=AE1086,Input_Product=Elig!$C1086,Elig_MatchAll_Ct&lt;22,$BC1086=(Elig_MatchAll_Ct-1),AY1086=0),AA1086,0)</f>
        <v>0</v>
      </c>
      <c r="CG1086" s="993">
        <f>IF(AND(Input_Product=Elig!$C1086,Elig_MatchAll_Ct&lt;22,$BC1086=(Elig_MatchAll_Ct-1),AZ1086=0),AB1086,0)</f>
        <v>0</v>
      </c>
      <c r="CH1086" s="994">
        <f>IF(AND(Input_Product=Elig!$C1086,Elig_MatchAll_Ct&lt;22,$BC1086=(Elig_MatchAll_Ct-1),AZ1086=0),AC1086,0)</f>
        <v>0</v>
      </c>
      <c r="CI1086" s="993">
        <f>IF(AND(Input_Product=Elig!$C1086,Elig_MatchAll_Ct&lt;22,$BC1086=(Elig_MatchAll_Ct-1),BA1086=0),AD1086,0)</f>
        <v>0</v>
      </c>
      <c r="CJ1086" s="994">
        <f>IF(AND(Input_Product=Elig!$C1086,Elig_MatchAll_Ct&lt;22,$BC1086=(Elig_MatchAll_Ct-1),BA1086=0),AE1086,0)</f>
        <v>0</v>
      </c>
    </row>
    <row r="1087" spans="2:88" ht="10.15" customHeight="1" x14ac:dyDescent="0.25">
      <c r="B1087" s="1916" t="s">
        <v>2725</v>
      </c>
      <c r="C1087" s="1208" t="str">
        <f t="shared" si="416"/>
        <v xml:space="preserve">  </v>
      </c>
      <c r="D1087" s="1209" t="s">
        <v>2218</v>
      </c>
      <c r="E1087" s="1209" t="s">
        <v>167</v>
      </c>
      <c r="F1087" s="1209" t="s">
        <v>331</v>
      </c>
      <c r="G1087" s="1210" t="s">
        <v>472</v>
      </c>
      <c r="H1087" s="1210" t="s">
        <v>136</v>
      </c>
      <c r="I1087" s="1209" t="s">
        <v>16</v>
      </c>
      <c r="J1087" s="1209" t="s">
        <v>1311</v>
      </c>
      <c r="K1087" s="1210" t="s">
        <v>3022</v>
      </c>
      <c r="L1087" s="1209" t="s">
        <v>2768</v>
      </c>
      <c r="M1087" s="1209" t="s">
        <v>2677</v>
      </c>
      <c r="N1087" s="1210" t="s">
        <v>82</v>
      </c>
      <c r="O1087" s="1209" t="s">
        <v>310</v>
      </c>
      <c r="P1087" s="1209" t="s">
        <v>291</v>
      </c>
      <c r="Q1087" s="1209" t="s">
        <v>294</v>
      </c>
      <c r="R1087" s="1209">
        <v>2000000.01</v>
      </c>
      <c r="S1087" s="1209">
        <v>2500000</v>
      </c>
      <c r="T1087" s="1209">
        <v>0</v>
      </c>
      <c r="U1087" s="1209">
        <f t="shared" si="415"/>
        <v>2500000</v>
      </c>
      <c r="V1087" s="1209">
        <v>0</v>
      </c>
      <c r="W1087" s="1209">
        <v>50</v>
      </c>
      <c r="X1087" s="1209">
        <v>0</v>
      </c>
      <c r="Y1087" s="1209">
        <v>999</v>
      </c>
      <c r="Z1087" s="1211">
        <v>700</v>
      </c>
      <c r="AA1087" s="1211">
        <v>719</v>
      </c>
      <c r="AB1087" s="1211">
        <v>6</v>
      </c>
      <c r="AC1087" s="1211">
        <v>999999</v>
      </c>
      <c r="AD1087" s="1209">
        <v>0</v>
      </c>
      <c r="AE1087" s="1212">
        <v>70</v>
      </c>
      <c r="AF1087" s="170">
        <v>0</v>
      </c>
      <c r="AG1087" s="171">
        <v>1</v>
      </c>
      <c r="AH1087" s="171">
        <v>1</v>
      </c>
      <c r="AI1087" s="171">
        <v>1</v>
      </c>
      <c r="AJ1087" s="171">
        <v>0</v>
      </c>
      <c r="AK1087" s="171">
        <v>1</v>
      </c>
      <c r="AL1087" s="171">
        <v>1</v>
      </c>
      <c r="AM1087" s="171">
        <v>1</v>
      </c>
      <c r="AN1087" s="171">
        <v>1</v>
      </c>
      <c r="AO1087" s="171">
        <v>1</v>
      </c>
      <c r="AP1087" s="171">
        <v>1</v>
      </c>
      <c r="AQ1087" s="171">
        <v>1</v>
      </c>
      <c r="AR1087" s="171">
        <v>1</v>
      </c>
      <c r="AS1087" s="171">
        <v>1</v>
      </c>
      <c r="AT1087" s="171">
        <v>1</v>
      </c>
      <c r="AU1087" s="171">
        <f t="shared" si="404"/>
        <v>0</v>
      </c>
      <c r="AV1087" s="171">
        <f t="shared" si="405"/>
        <v>1</v>
      </c>
      <c r="AW1087" s="171">
        <f t="shared" si="406"/>
        <v>1</v>
      </c>
      <c r="AX1087" s="171">
        <f t="shared" si="414"/>
        <v>1</v>
      </c>
      <c r="AY1087" s="171">
        <f t="shared" si="407"/>
        <v>0</v>
      </c>
      <c r="AZ1087" s="171">
        <f t="shared" si="408"/>
        <v>1</v>
      </c>
      <c r="BA1087" s="172">
        <f t="shared" si="409"/>
        <v>1</v>
      </c>
      <c r="BB1087" s="175">
        <f t="shared" si="411"/>
        <v>18</v>
      </c>
      <c r="BC1087" s="176">
        <f t="shared" si="412"/>
        <v>17</v>
      </c>
      <c r="BD1087" s="176">
        <f t="shared" si="413"/>
        <v>18</v>
      </c>
      <c r="BE1087" s="240" t="str">
        <f t="shared" si="403"/>
        <v/>
      </c>
      <c r="BF1087" s="990"/>
      <c r="BG1087" s="990"/>
      <c r="BH1087" s="991">
        <f>IF(AND(Input_Product=Elig!$C1087,Elig_MatchAll_Ct&lt;22,$BC1087=(Elig_MatchAll_Ct-1),AF1087=0),C1087,0)</f>
        <v>0</v>
      </c>
      <c r="BI1087" s="991">
        <f>IF(AND(Input_Product=Elig!$C1087,Elig_MatchAll_Ct&lt;22,$BC1087=(Elig_MatchAll_Ct-1),AG1087=0),D1087,0)</f>
        <v>0</v>
      </c>
      <c r="BJ1087" s="991">
        <f>IF(AND(Input_Product=Elig!$C1087,Elig_MatchAll_Ct&lt;22,$BC1087=(Elig_MatchAll_Ct-1),AH1087=0),E1087,0)</f>
        <v>0</v>
      </c>
      <c r="BK1087" s="991">
        <f>IF(AND(Input_Product=Elig!$C1087,Elig_MatchAll_Ct&lt;22,$BC1087=(Elig_MatchAll_Ct-1),AI1087=0),F1087,0)</f>
        <v>0</v>
      </c>
      <c r="BL1087" s="991">
        <f>IF(AND(Input_Product=Elig!$C1087,Elig_MatchAll_Ct&lt;22,$BC1087=(Elig_MatchAll_Ct-1),AJ1087=0),G1087,0)</f>
        <v>0</v>
      </c>
      <c r="BM1087" s="991">
        <f>IF(AND(Input_Product=Elig!$C1087,Elig_MatchAll_Ct&lt;22,$BC1087=(Elig_MatchAll_Ct-1),AK1087=0),H1087,0)</f>
        <v>0</v>
      </c>
      <c r="BN1087" s="991">
        <f>IF(AND(Input_Product=Elig!$C1087,Elig_MatchAll_Ct&lt;22,$BC1087=(Elig_MatchAll_Ct-1),AL1087=0),I1087,0)</f>
        <v>0</v>
      </c>
      <c r="BO1087" s="991">
        <f>IF(AND(Input_Product=Elig!$C1087,Elig_MatchAll_Ct&lt;22,$BC1087=(Elig_MatchAll_Ct-1),AM1087=0),J1087,0)</f>
        <v>0</v>
      </c>
      <c r="BP1087" s="991">
        <f>IF(AND(Input_Product=Elig!$C1087,Elig_MatchAll_Ct&lt;22,$BC1087=(Elig_MatchAll_Ct-1),AN1087=0),K1087,0)</f>
        <v>0</v>
      </c>
      <c r="BQ1087" s="991">
        <f>IF(AND(Input_Product=Elig!$C1087,Elig_MatchAll_Ct&lt;22,$BC1087=(Elig_MatchAll_Ct-1),AP1087=0),L1087,0)</f>
        <v>0</v>
      </c>
      <c r="BR1087" s="991">
        <f>IF(AND(Input_Product=Elig!$C1087,Elig_MatchAll_Ct&lt;22,$BC1087=(Elig_MatchAll_Ct-1),AO1087=0),M1087,0)</f>
        <v>0</v>
      </c>
      <c r="BS1087" s="991">
        <f>IF(AND(Input_Product=Elig!$C1087,Elig_MatchAll_Ct&lt;22,$BC1087=(Elig_MatchAll_Ct-1),AQ1087=0),N1087,0)</f>
        <v>0</v>
      </c>
      <c r="BT1087" s="991">
        <f>IF(AND(Input_Product=Elig!$C1087,Elig_MatchAll_Ct&lt;22,$BC1087=(Elig_MatchAll_Ct-1),AR1087=0),O1087,0)</f>
        <v>0</v>
      </c>
      <c r="BU1087" s="991">
        <f>IF(AND(Input_Product=Elig!$C1087,Elig_MatchAll_Ct&lt;22,$BC1087=(Elig_MatchAll_Ct-1),AS1087=0),P1087,0)</f>
        <v>0</v>
      </c>
      <c r="BV1087" s="992">
        <f>IF(AND(Input_Product=Elig!$C1087,Elig_MatchAll_Ct&lt;22,$BC1087=(Elig_MatchAll_Ct-1),AT1087=0),Q1087,0)</f>
        <v>0</v>
      </c>
      <c r="BW1087" s="993">
        <f>IF(AND(Input_Product=Elig!$C1087,Elig_MatchAll_Ct&lt;22,$BC1087=(Elig_MatchAll_Ct-1),AU1087=0),R1087,0)</f>
        <v>0</v>
      </c>
      <c r="BX1087" s="994">
        <f>IF(AND(Input_Product=Elig!$C1087,Elig_MatchAll_Ct&lt;22,$BC1087=(Elig_MatchAll_Ct-1),AU1087=0),S1087,0)</f>
        <v>0</v>
      </c>
      <c r="BY1087" s="993">
        <f>IF(AND(Input_Product=Elig!$C1087,Elig_MatchAll_Ct&lt;22,$BC1087=(Elig_MatchAll_Ct-1),AV1087=0),T1087,0)</f>
        <v>0</v>
      </c>
      <c r="BZ1087" s="994">
        <f>IF(AND(Input_Product=Elig!$C1087,Elig_MatchAll_Ct&lt;22,$BC1087=(Elig_MatchAll_Ct-1),AV1087=0),U1087,0)</f>
        <v>0</v>
      </c>
      <c r="CA1087" s="993">
        <f>IF(AND(Input_Product=Elig!$C1087,Elig_MatchAll_Ct&lt;22,$BC1087=(Elig_MatchAll_Ct-1),AW1087=0),V1087,0)</f>
        <v>0</v>
      </c>
      <c r="CB1087" s="994">
        <f>IF(AND(Input_Product=Elig!$C1087,Elig_MatchAll_Ct&lt;22,$BC1087=(Elig_MatchAll_Ct-1),AW1087=0),W1087,0)</f>
        <v>0</v>
      </c>
      <c r="CC1087" s="993">
        <f>IF(AND(Input_Product=Elig!$C1087,Elig_MatchAll_Ct&lt;22,$BC1087=(Elig_MatchAll_Ct-1),AX1087=0),X1087,0)</f>
        <v>0</v>
      </c>
      <c r="CD1087" s="994">
        <f>IF(AND(Input_Product=Elig!$C1087,Elig_MatchAll_Ct&lt;22,$BC1087=(Elig_MatchAll_Ct-1),AX1087=0),Y1087,0)</f>
        <v>0</v>
      </c>
      <c r="CE1087" s="993">
        <f>IF(AND(Input_LTV&lt;=AE1087,Input_Product=Elig!$C1087,Elig_MatchAll_Ct&lt;22,$BC1087=(Elig_MatchAll_Ct-1),AY1087=0),Z1087,0)</f>
        <v>0</v>
      </c>
      <c r="CF1087" s="994">
        <f>IF(AND(Input_LTV&lt;=AE1087,Input_Product=Elig!$C1087,Elig_MatchAll_Ct&lt;22,$BC1087=(Elig_MatchAll_Ct-1),AY1087=0),AA1087,0)</f>
        <v>0</v>
      </c>
      <c r="CG1087" s="993">
        <f>IF(AND(Input_Product=Elig!$C1087,Elig_MatchAll_Ct&lt;22,$BC1087=(Elig_MatchAll_Ct-1),AZ1087=0),AB1087,0)</f>
        <v>0</v>
      </c>
      <c r="CH1087" s="994">
        <f>IF(AND(Input_Product=Elig!$C1087,Elig_MatchAll_Ct&lt;22,$BC1087=(Elig_MatchAll_Ct-1),AZ1087=0),AC1087,0)</f>
        <v>0</v>
      </c>
      <c r="CI1087" s="993">
        <f>IF(AND(Input_Product=Elig!$C1087,Elig_MatchAll_Ct&lt;22,$BC1087=(Elig_MatchAll_Ct-1),BA1087=0),AD1087,0)</f>
        <v>0</v>
      </c>
      <c r="CJ1087" s="994">
        <f>IF(AND(Input_Product=Elig!$C1087,Elig_MatchAll_Ct&lt;22,$BC1087=(Elig_MatchAll_Ct-1),BA1087=0),AE1087,0)</f>
        <v>0</v>
      </c>
    </row>
    <row r="1088" spans="2:88" ht="10.15" customHeight="1" x14ac:dyDescent="0.25">
      <c r="B1088" s="1916" t="s">
        <v>2726</v>
      </c>
      <c r="C1088" s="1213" t="str">
        <f t="shared" si="416"/>
        <v xml:space="preserve">  </v>
      </c>
      <c r="D1088" s="1214" t="s">
        <v>2218</v>
      </c>
      <c r="E1088" s="1214" t="s">
        <v>167</v>
      </c>
      <c r="F1088" s="1214" t="s">
        <v>331</v>
      </c>
      <c r="G1088" s="1215" t="s">
        <v>472</v>
      </c>
      <c r="H1088" s="1215" t="s">
        <v>136</v>
      </c>
      <c r="I1088" s="1214" t="s">
        <v>16</v>
      </c>
      <c r="J1088" s="1214" t="s">
        <v>1311</v>
      </c>
      <c r="K1088" s="1215" t="s">
        <v>3022</v>
      </c>
      <c r="L1088" s="1214" t="s">
        <v>2768</v>
      </c>
      <c r="M1088" s="1214" t="s">
        <v>2677</v>
      </c>
      <c r="N1088" s="1215" t="s">
        <v>82</v>
      </c>
      <c r="O1088" s="1214" t="s">
        <v>310</v>
      </c>
      <c r="P1088" s="1214" t="s">
        <v>291</v>
      </c>
      <c r="Q1088" s="1214" t="s">
        <v>294</v>
      </c>
      <c r="R1088" s="1214">
        <v>2000000.01</v>
      </c>
      <c r="S1088" s="1214">
        <v>2500000</v>
      </c>
      <c r="T1088" s="1214">
        <v>0</v>
      </c>
      <c r="U1088" s="1214">
        <f t="shared" si="415"/>
        <v>2500000</v>
      </c>
      <c r="V1088" s="1214">
        <v>0</v>
      </c>
      <c r="W1088" s="1214">
        <v>50</v>
      </c>
      <c r="X1088" s="1214">
        <v>0</v>
      </c>
      <c r="Y1088" s="1214">
        <v>999</v>
      </c>
      <c r="Z1088" s="1216">
        <v>680</v>
      </c>
      <c r="AA1088" s="1216">
        <v>699</v>
      </c>
      <c r="AB1088" s="1216">
        <v>6</v>
      </c>
      <c r="AC1088" s="1216">
        <v>999999</v>
      </c>
      <c r="AD1088" s="1214">
        <v>0</v>
      </c>
      <c r="AE1088" s="1217">
        <v>70</v>
      </c>
      <c r="AF1088" s="170">
        <v>0</v>
      </c>
      <c r="AG1088" s="171">
        <v>1</v>
      </c>
      <c r="AH1088" s="171">
        <v>1</v>
      </c>
      <c r="AI1088" s="171">
        <v>1</v>
      </c>
      <c r="AJ1088" s="171">
        <v>0</v>
      </c>
      <c r="AK1088" s="171">
        <v>1</v>
      </c>
      <c r="AL1088" s="171">
        <v>1</v>
      </c>
      <c r="AM1088" s="171">
        <v>1</v>
      </c>
      <c r="AN1088" s="171">
        <v>1</v>
      </c>
      <c r="AO1088" s="171">
        <v>1</v>
      </c>
      <c r="AP1088" s="171">
        <v>1</v>
      </c>
      <c r="AQ1088" s="171">
        <v>1</v>
      </c>
      <c r="AR1088" s="171">
        <v>1</v>
      </c>
      <c r="AS1088" s="171">
        <v>1</v>
      </c>
      <c r="AT1088" s="171">
        <v>1</v>
      </c>
      <c r="AU1088" s="171">
        <f t="shared" si="404"/>
        <v>0</v>
      </c>
      <c r="AV1088" s="171">
        <f t="shared" si="405"/>
        <v>1</v>
      </c>
      <c r="AW1088" s="171">
        <f t="shared" si="406"/>
        <v>1</v>
      </c>
      <c r="AX1088" s="171">
        <f t="shared" si="414"/>
        <v>1</v>
      </c>
      <c r="AY1088" s="171">
        <f t="shared" si="407"/>
        <v>0</v>
      </c>
      <c r="AZ1088" s="171">
        <f t="shared" si="408"/>
        <v>1</v>
      </c>
      <c r="BA1088" s="172">
        <f t="shared" si="409"/>
        <v>1</v>
      </c>
      <c r="BB1088" s="175">
        <f t="shared" si="411"/>
        <v>18</v>
      </c>
      <c r="BC1088" s="176">
        <f t="shared" si="412"/>
        <v>17</v>
      </c>
      <c r="BD1088" s="176">
        <f t="shared" si="413"/>
        <v>18</v>
      </c>
      <c r="BE1088" s="240" t="str">
        <f t="shared" si="403"/>
        <v/>
      </c>
      <c r="BF1088" s="990"/>
      <c r="BG1088" s="990"/>
      <c r="BH1088" s="991">
        <f>IF(AND(Input_Product=Elig!$C1088,Elig_MatchAll_Ct&lt;22,$BC1088=(Elig_MatchAll_Ct-1),AF1088=0),C1088,0)</f>
        <v>0</v>
      </c>
      <c r="BI1088" s="991">
        <f>IF(AND(Input_Product=Elig!$C1088,Elig_MatchAll_Ct&lt;22,$BC1088=(Elig_MatchAll_Ct-1),AG1088=0),D1088,0)</f>
        <v>0</v>
      </c>
      <c r="BJ1088" s="991">
        <f>IF(AND(Input_Product=Elig!$C1088,Elig_MatchAll_Ct&lt;22,$BC1088=(Elig_MatchAll_Ct-1),AH1088=0),E1088,0)</f>
        <v>0</v>
      </c>
      <c r="BK1088" s="991">
        <f>IF(AND(Input_Product=Elig!$C1088,Elig_MatchAll_Ct&lt;22,$BC1088=(Elig_MatchAll_Ct-1),AI1088=0),F1088,0)</f>
        <v>0</v>
      </c>
      <c r="BL1088" s="991">
        <f>IF(AND(Input_Product=Elig!$C1088,Elig_MatchAll_Ct&lt;22,$BC1088=(Elig_MatchAll_Ct-1),AJ1088=0),G1088,0)</f>
        <v>0</v>
      </c>
      <c r="BM1088" s="991">
        <f>IF(AND(Input_Product=Elig!$C1088,Elig_MatchAll_Ct&lt;22,$BC1088=(Elig_MatchAll_Ct-1),AK1088=0),H1088,0)</f>
        <v>0</v>
      </c>
      <c r="BN1088" s="991">
        <f>IF(AND(Input_Product=Elig!$C1088,Elig_MatchAll_Ct&lt;22,$BC1088=(Elig_MatchAll_Ct-1),AL1088=0),I1088,0)</f>
        <v>0</v>
      </c>
      <c r="BO1088" s="991">
        <f>IF(AND(Input_Product=Elig!$C1088,Elig_MatchAll_Ct&lt;22,$BC1088=(Elig_MatchAll_Ct-1),AM1088=0),J1088,0)</f>
        <v>0</v>
      </c>
      <c r="BP1088" s="991">
        <f>IF(AND(Input_Product=Elig!$C1088,Elig_MatchAll_Ct&lt;22,$BC1088=(Elig_MatchAll_Ct-1),AN1088=0),K1088,0)</f>
        <v>0</v>
      </c>
      <c r="BQ1088" s="991">
        <f>IF(AND(Input_Product=Elig!$C1088,Elig_MatchAll_Ct&lt;22,$BC1088=(Elig_MatchAll_Ct-1),AP1088=0),L1088,0)</f>
        <v>0</v>
      </c>
      <c r="BR1088" s="991">
        <f>IF(AND(Input_Product=Elig!$C1088,Elig_MatchAll_Ct&lt;22,$BC1088=(Elig_MatchAll_Ct-1),AO1088=0),M1088,0)</f>
        <v>0</v>
      </c>
      <c r="BS1088" s="991">
        <f>IF(AND(Input_Product=Elig!$C1088,Elig_MatchAll_Ct&lt;22,$BC1088=(Elig_MatchAll_Ct-1),AQ1088=0),N1088,0)</f>
        <v>0</v>
      </c>
      <c r="BT1088" s="991">
        <f>IF(AND(Input_Product=Elig!$C1088,Elig_MatchAll_Ct&lt;22,$BC1088=(Elig_MatchAll_Ct-1),AR1088=0),O1088,0)</f>
        <v>0</v>
      </c>
      <c r="BU1088" s="991">
        <f>IF(AND(Input_Product=Elig!$C1088,Elig_MatchAll_Ct&lt;22,$BC1088=(Elig_MatchAll_Ct-1),AS1088=0),P1088,0)</f>
        <v>0</v>
      </c>
      <c r="BV1088" s="992">
        <f>IF(AND(Input_Product=Elig!$C1088,Elig_MatchAll_Ct&lt;22,$BC1088=(Elig_MatchAll_Ct-1),AT1088=0),Q1088,0)</f>
        <v>0</v>
      </c>
      <c r="BW1088" s="993">
        <f>IF(AND(Input_Product=Elig!$C1088,Elig_MatchAll_Ct&lt;22,$BC1088=(Elig_MatchAll_Ct-1),AU1088=0),R1088,0)</f>
        <v>0</v>
      </c>
      <c r="BX1088" s="994">
        <f>IF(AND(Input_Product=Elig!$C1088,Elig_MatchAll_Ct&lt;22,$BC1088=(Elig_MatchAll_Ct-1),AU1088=0),S1088,0)</f>
        <v>0</v>
      </c>
      <c r="BY1088" s="993">
        <f>IF(AND(Input_Product=Elig!$C1088,Elig_MatchAll_Ct&lt;22,$BC1088=(Elig_MatchAll_Ct-1),AV1088=0),T1088,0)</f>
        <v>0</v>
      </c>
      <c r="BZ1088" s="994">
        <f>IF(AND(Input_Product=Elig!$C1088,Elig_MatchAll_Ct&lt;22,$BC1088=(Elig_MatchAll_Ct-1),AV1088=0),U1088,0)</f>
        <v>0</v>
      </c>
      <c r="CA1088" s="993">
        <f>IF(AND(Input_Product=Elig!$C1088,Elig_MatchAll_Ct&lt;22,$BC1088=(Elig_MatchAll_Ct-1),AW1088=0),V1088,0)</f>
        <v>0</v>
      </c>
      <c r="CB1088" s="994">
        <f>IF(AND(Input_Product=Elig!$C1088,Elig_MatchAll_Ct&lt;22,$BC1088=(Elig_MatchAll_Ct-1),AW1088=0),W1088,0)</f>
        <v>0</v>
      </c>
      <c r="CC1088" s="993">
        <f>IF(AND(Input_Product=Elig!$C1088,Elig_MatchAll_Ct&lt;22,$BC1088=(Elig_MatchAll_Ct-1),AX1088=0),X1088,0)</f>
        <v>0</v>
      </c>
      <c r="CD1088" s="994">
        <f>IF(AND(Input_Product=Elig!$C1088,Elig_MatchAll_Ct&lt;22,$BC1088=(Elig_MatchAll_Ct-1),AX1088=0),Y1088,0)</f>
        <v>0</v>
      </c>
      <c r="CE1088" s="993">
        <f>IF(AND(Input_LTV&lt;=AE1088,Input_Product=Elig!$C1088,Elig_MatchAll_Ct&lt;22,$BC1088=(Elig_MatchAll_Ct-1),AY1088=0),Z1088,0)</f>
        <v>0</v>
      </c>
      <c r="CF1088" s="994">
        <f>IF(AND(Input_LTV&lt;=AE1088,Input_Product=Elig!$C1088,Elig_MatchAll_Ct&lt;22,$BC1088=(Elig_MatchAll_Ct-1),AY1088=0),AA1088,0)</f>
        <v>0</v>
      </c>
      <c r="CG1088" s="993">
        <f>IF(AND(Input_Product=Elig!$C1088,Elig_MatchAll_Ct&lt;22,$BC1088=(Elig_MatchAll_Ct-1),AZ1088=0),AB1088,0)</f>
        <v>0</v>
      </c>
      <c r="CH1088" s="994">
        <f>IF(AND(Input_Product=Elig!$C1088,Elig_MatchAll_Ct&lt;22,$BC1088=(Elig_MatchAll_Ct-1),AZ1088=0),AC1088,0)</f>
        <v>0</v>
      </c>
      <c r="CI1088" s="993">
        <f>IF(AND(Input_Product=Elig!$C1088,Elig_MatchAll_Ct&lt;22,$BC1088=(Elig_MatchAll_Ct-1),BA1088=0),AD1088,0)</f>
        <v>0</v>
      </c>
      <c r="CJ1088" s="994">
        <f>IF(AND(Input_Product=Elig!$C1088,Elig_MatchAll_Ct&lt;22,$BC1088=(Elig_MatchAll_Ct-1),BA1088=0),AE1088,0)</f>
        <v>0</v>
      </c>
    </row>
    <row r="1089" spans="2:88" ht="10.15" customHeight="1" x14ac:dyDescent="0.25">
      <c r="B1089" s="1916" t="s">
        <v>2727</v>
      </c>
      <c r="C1089" s="1203" t="str">
        <f t="shared" si="416"/>
        <v xml:space="preserve">  </v>
      </c>
      <c r="D1089" s="1204" t="s">
        <v>2218</v>
      </c>
      <c r="E1089" s="1204" t="s">
        <v>167</v>
      </c>
      <c r="F1089" s="1204" t="s">
        <v>331</v>
      </c>
      <c r="G1089" s="1205" t="s">
        <v>472</v>
      </c>
      <c r="H1089" s="1205" t="s">
        <v>136</v>
      </c>
      <c r="I1089" s="1204" t="s">
        <v>16</v>
      </c>
      <c r="J1089" s="1204" t="s">
        <v>1311</v>
      </c>
      <c r="K1089" s="1205" t="s">
        <v>3022</v>
      </c>
      <c r="L1089" s="1204" t="s">
        <v>2768</v>
      </c>
      <c r="M1089" s="1204" t="s">
        <v>2677</v>
      </c>
      <c r="N1089" s="1205" t="s">
        <v>82</v>
      </c>
      <c r="O1089" s="1204" t="s">
        <v>310</v>
      </c>
      <c r="P1089" s="1204" t="s">
        <v>291</v>
      </c>
      <c r="Q1089" s="1204" t="s">
        <v>294</v>
      </c>
      <c r="R1089" s="1204">
        <v>2500000.0099999998</v>
      </c>
      <c r="S1089" s="1204">
        <v>3000000</v>
      </c>
      <c r="T1089" s="1204">
        <v>0</v>
      </c>
      <c r="U1089" s="1204">
        <f t="shared" si="415"/>
        <v>3000000</v>
      </c>
      <c r="V1089" s="1204">
        <v>0</v>
      </c>
      <c r="W1089" s="1204">
        <v>50</v>
      </c>
      <c r="X1089" s="1204">
        <v>0</v>
      </c>
      <c r="Y1089" s="1204">
        <v>999</v>
      </c>
      <c r="Z1089" s="1206">
        <v>720</v>
      </c>
      <c r="AA1089" s="1206">
        <v>999</v>
      </c>
      <c r="AB1089" s="1206">
        <v>6</v>
      </c>
      <c r="AC1089" s="1206">
        <v>999999</v>
      </c>
      <c r="AD1089" s="1204">
        <v>0</v>
      </c>
      <c r="AE1089" s="1207">
        <v>70</v>
      </c>
      <c r="AF1089" s="170">
        <v>0</v>
      </c>
      <c r="AG1089" s="171">
        <v>1</v>
      </c>
      <c r="AH1089" s="171">
        <v>1</v>
      </c>
      <c r="AI1089" s="171">
        <v>1</v>
      </c>
      <c r="AJ1089" s="171">
        <v>0</v>
      </c>
      <c r="AK1089" s="171">
        <v>1</v>
      </c>
      <c r="AL1089" s="171">
        <v>1</v>
      </c>
      <c r="AM1089" s="171">
        <v>1</v>
      </c>
      <c r="AN1089" s="171">
        <v>1</v>
      </c>
      <c r="AO1089" s="171">
        <v>1</v>
      </c>
      <c r="AP1089" s="171">
        <v>1</v>
      </c>
      <c r="AQ1089" s="171">
        <v>1</v>
      </c>
      <c r="AR1089" s="171">
        <v>1</v>
      </c>
      <c r="AS1089" s="171">
        <v>1</v>
      </c>
      <c r="AT1089" s="171">
        <v>1</v>
      </c>
      <c r="AU1089" s="171">
        <f t="shared" si="404"/>
        <v>0</v>
      </c>
      <c r="AV1089" s="171">
        <f t="shared" si="405"/>
        <v>1</v>
      </c>
      <c r="AW1089" s="171">
        <f t="shared" si="406"/>
        <v>1</v>
      </c>
      <c r="AX1089" s="171">
        <f t="shared" si="414"/>
        <v>1</v>
      </c>
      <c r="AY1089" s="171">
        <f t="shared" si="407"/>
        <v>1</v>
      </c>
      <c r="AZ1089" s="171">
        <f t="shared" si="408"/>
        <v>1</v>
      </c>
      <c r="BA1089" s="172">
        <f t="shared" si="409"/>
        <v>1</v>
      </c>
      <c r="BB1089" s="175">
        <f t="shared" si="411"/>
        <v>19</v>
      </c>
      <c r="BC1089" s="176">
        <f t="shared" si="412"/>
        <v>18</v>
      </c>
      <c r="BD1089" s="176">
        <f t="shared" si="413"/>
        <v>19</v>
      </c>
      <c r="BE1089" s="240" t="str">
        <f t="shared" si="403"/>
        <v/>
      </c>
      <c r="BF1089" s="990"/>
      <c r="BG1089" s="990"/>
      <c r="BH1089" s="991">
        <f>IF(AND(Input_Product=Elig!$C1089,Elig_MatchAll_Ct&lt;22,$BC1089=(Elig_MatchAll_Ct-1),AF1089=0),C1089,0)</f>
        <v>0</v>
      </c>
      <c r="BI1089" s="991">
        <f>IF(AND(Input_Product=Elig!$C1089,Elig_MatchAll_Ct&lt;22,$BC1089=(Elig_MatchAll_Ct-1),AG1089=0),D1089,0)</f>
        <v>0</v>
      </c>
      <c r="BJ1089" s="991">
        <f>IF(AND(Input_Product=Elig!$C1089,Elig_MatchAll_Ct&lt;22,$BC1089=(Elig_MatchAll_Ct-1),AH1089=0),E1089,0)</f>
        <v>0</v>
      </c>
      <c r="BK1089" s="991">
        <f>IF(AND(Input_Product=Elig!$C1089,Elig_MatchAll_Ct&lt;22,$BC1089=(Elig_MatchAll_Ct-1),AI1089=0),F1089,0)</f>
        <v>0</v>
      </c>
      <c r="BL1089" s="991">
        <f>IF(AND(Input_Product=Elig!$C1089,Elig_MatchAll_Ct&lt;22,$BC1089=(Elig_MatchAll_Ct-1),AJ1089=0),G1089,0)</f>
        <v>0</v>
      </c>
      <c r="BM1089" s="991">
        <f>IF(AND(Input_Product=Elig!$C1089,Elig_MatchAll_Ct&lt;22,$BC1089=(Elig_MatchAll_Ct-1),AK1089=0),H1089,0)</f>
        <v>0</v>
      </c>
      <c r="BN1089" s="991">
        <f>IF(AND(Input_Product=Elig!$C1089,Elig_MatchAll_Ct&lt;22,$BC1089=(Elig_MatchAll_Ct-1),AL1089=0),I1089,0)</f>
        <v>0</v>
      </c>
      <c r="BO1089" s="991">
        <f>IF(AND(Input_Product=Elig!$C1089,Elig_MatchAll_Ct&lt;22,$BC1089=(Elig_MatchAll_Ct-1),AM1089=0),J1089,0)</f>
        <v>0</v>
      </c>
      <c r="BP1089" s="991">
        <f>IF(AND(Input_Product=Elig!$C1089,Elig_MatchAll_Ct&lt;22,$BC1089=(Elig_MatchAll_Ct-1),AN1089=0),K1089,0)</f>
        <v>0</v>
      </c>
      <c r="BQ1089" s="991">
        <f>IF(AND(Input_Product=Elig!$C1089,Elig_MatchAll_Ct&lt;22,$BC1089=(Elig_MatchAll_Ct-1),AP1089=0),L1089,0)</f>
        <v>0</v>
      </c>
      <c r="BR1089" s="991">
        <f>IF(AND(Input_Product=Elig!$C1089,Elig_MatchAll_Ct&lt;22,$BC1089=(Elig_MatchAll_Ct-1),AO1089=0),M1089,0)</f>
        <v>0</v>
      </c>
      <c r="BS1089" s="991">
        <f>IF(AND(Input_Product=Elig!$C1089,Elig_MatchAll_Ct&lt;22,$BC1089=(Elig_MatchAll_Ct-1),AQ1089=0),N1089,0)</f>
        <v>0</v>
      </c>
      <c r="BT1089" s="991">
        <f>IF(AND(Input_Product=Elig!$C1089,Elig_MatchAll_Ct&lt;22,$BC1089=(Elig_MatchAll_Ct-1),AR1089=0),O1089,0)</f>
        <v>0</v>
      </c>
      <c r="BU1089" s="991">
        <f>IF(AND(Input_Product=Elig!$C1089,Elig_MatchAll_Ct&lt;22,$BC1089=(Elig_MatchAll_Ct-1),AS1089=0),P1089,0)</f>
        <v>0</v>
      </c>
      <c r="BV1089" s="992">
        <f>IF(AND(Input_Product=Elig!$C1089,Elig_MatchAll_Ct&lt;22,$BC1089=(Elig_MatchAll_Ct-1),AT1089=0),Q1089,0)</f>
        <v>0</v>
      </c>
      <c r="BW1089" s="993">
        <f>IF(AND(Input_Product=Elig!$C1089,Elig_MatchAll_Ct&lt;22,$BC1089=(Elig_MatchAll_Ct-1),AU1089=0),R1089,0)</f>
        <v>0</v>
      </c>
      <c r="BX1089" s="994">
        <f>IF(AND(Input_Product=Elig!$C1089,Elig_MatchAll_Ct&lt;22,$BC1089=(Elig_MatchAll_Ct-1),AU1089=0),S1089,0)</f>
        <v>0</v>
      </c>
      <c r="BY1089" s="993">
        <f>IF(AND(Input_Product=Elig!$C1089,Elig_MatchAll_Ct&lt;22,$BC1089=(Elig_MatchAll_Ct-1),AV1089=0),T1089,0)</f>
        <v>0</v>
      </c>
      <c r="BZ1089" s="994">
        <f>IF(AND(Input_Product=Elig!$C1089,Elig_MatchAll_Ct&lt;22,$BC1089=(Elig_MatchAll_Ct-1),AV1089=0),U1089,0)</f>
        <v>0</v>
      </c>
      <c r="CA1089" s="993">
        <f>IF(AND(Input_Product=Elig!$C1089,Elig_MatchAll_Ct&lt;22,$BC1089=(Elig_MatchAll_Ct-1),AW1089=0),V1089,0)</f>
        <v>0</v>
      </c>
      <c r="CB1089" s="994">
        <f>IF(AND(Input_Product=Elig!$C1089,Elig_MatchAll_Ct&lt;22,$BC1089=(Elig_MatchAll_Ct-1),AW1089=0),W1089,0)</f>
        <v>0</v>
      </c>
      <c r="CC1089" s="993">
        <f>IF(AND(Input_Product=Elig!$C1089,Elig_MatchAll_Ct&lt;22,$BC1089=(Elig_MatchAll_Ct-1),AX1089=0),X1089,0)</f>
        <v>0</v>
      </c>
      <c r="CD1089" s="994">
        <f>IF(AND(Input_Product=Elig!$C1089,Elig_MatchAll_Ct&lt;22,$BC1089=(Elig_MatchAll_Ct-1),AX1089=0),Y1089,0)</f>
        <v>0</v>
      </c>
      <c r="CE1089" s="993">
        <f>IF(AND(Input_LTV&lt;=AE1089,Input_Product=Elig!$C1089,Elig_MatchAll_Ct&lt;22,$BC1089=(Elig_MatchAll_Ct-1),AY1089=0),Z1089,0)</f>
        <v>0</v>
      </c>
      <c r="CF1089" s="994">
        <f>IF(AND(Input_LTV&lt;=AE1089,Input_Product=Elig!$C1089,Elig_MatchAll_Ct&lt;22,$BC1089=(Elig_MatchAll_Ct-1),AY1089=0),AA1089,0)</f>
        <v>0</v>
      </c>
      <c r="CG1089" s="993">
        <f>IF(AND(Input_Product=Elig!$C1089,Elig_MatchAll_Ct&lt;22,$BC1089=(Elig_MatchAll_Ct-1),AZ1089=0),AB1089,0)</f>
        <v>0</v>
      </c>
      <c r="CH1089" s="994">
        <f>IF(AND(Input_Product=Elig!$C1089,Elig_MatchAll_Ct&lt;22,$BC1089=(Elig_MatchAll_Ct-1),AZ1089=0),AC1089,0)</f>
        <v>0</v>
      </c>
      <c r="CI1089" s="993">
        <f>IF(AND(Input_Product=Elig!$C1089,Elig_MatchAll_Ct&lt;22,$BC1089=(Elig_MatchAll_Ct-1),BA1089=0),AD1089,0)</f>
        <v>0</v>
      </c>
      <c r="CJ1089" s="994">
        <f>IF(AND(Input_Product=Elig!$C1089,Elig_MatchAll_Ct&lt;22,$BC1089=(Elig_MatchAll_Ct-1),BA1089=0),AE1089,0)</f>
        <v>0</v>
      </c>
    </row>
    <row r="1090" spans="2:88" ht="10.15" customHeight="1" x14ac:dyDescent="0.25">
      <c r="B1090" s="1916" t="s">
        <v>2728</v>
      </c>
      <c r="C1090" s="1208" t="str">
        <f t="shared" si="416"/>
        <v xml:space="preserve">  </v>
      </c>
      <c r="D1090" s="1209" t="s">
        <v>2218</v>
      </c>
      <c r="E1090" s="1209" t="s">
        <v>167</v>
      </c>
      <c r="F1090" s="1209" t="s">
        <v>331</v>
      </c>
      <c r="G1090" s="1210" t="s">
        <v>472</v>
      </c>
      <c r="H1090" s="1210" t="s">
        <v>136</v>
      </c>
      <c r="I1090" s="1209" t="s">
        <v>16</v>
      </c>
      <c r="J1090" s="1209" t="s">
        <v>1311</v>
      </c>
      <c r="K1090" s="1210" t="s">
        <v>3022</v>
      </c>
      <c r="L1090" s="1209" t="s">
        <v>2768</v>
      </c>
      <c r="M1090" s="1209" t="s">
        <v>2677</v>
      </c>
      <c r="N1090" s="1210" t="s">
        <v>82</v>
      </c>
      <c r="O1090" s="1209" t="s">
        <v>310</v>
      </c>
      <c r="P1090" s="1209" t="s">
        <v>291</v>
      </c>
      <c r="Q1090" s="1209" t="s">
        <v>294</v>
      </c>
      <c r="R1090" s="1209">
        <v>2500000.0099999998</v>
      </c>
      <c r="S1090" s="1209">
        <v>3000000</v>
      </c>
      <c r="T1090" s="1209">
        <v>0</v>
      </c>
      <c r="U1090" s="1209">
        <f t="shared" si="415"/>
        <v>3000000</v>
      </c>
      <c r="V1090" s="1209">
        <v>0</v>
      </c>
      <c r="W1090" s="1209">
        <v>50</v>
      </c>
      <c r="X1090" s="1209">
        <v>0</v>
      </c>
      <c r="Y1090" s="1209">
        <v>999</v>
      </c>
      <c r="Z1090" s="1211">
        <v>700</v>
      </c>
      <c r="AA1090" s="1211">
        <v>719</v>
      </c>
      <c r="AB1090" s="1211">
        <v>6</v>
      </c>
      <c r="AC1090" s="1211">
        <v>999999</v>
      </c>
      <c r="AD1090" s="1209">
        <v>0</v>
      </c>
      <c r="AE1090" s="1212">
        <v>70</v>
      </c>
      <c r="AF1090" s="170">
        <v>0</v>
      </c>
      <c r="AG1090" s="171">
        <v>1</v>
      </c>
      <c r="AH1090" s="171">
        <v>1</v>
      </c>
      <c r="AI1090" s="171">
        <v>1</v>
      </c>
      <c r="AJ1090" s="171">
        <v>0</v>
      </c>
      <c r="AK1090" s="171">
        <v>1</v>
      </c>
      <c r="AL1090" s="171">
        <v>1</v>
      </c>
      <c r="AM1090" s="171">
        <v>1</v>
      </c>
      <c r="AN1090" s="171">
        <v>1</v>
      </c>
      <c r="AO1090" s="171">
        <v>1</v>
      </c>
      <c r="AP1090" s="171">
        <v>1</v>
      </c>
      <c r="AQ1090" s="171">
        <v>1</v>
      </c>
      <c r="AR1090" s="171">
        <v>1</v>
      </c>
      <c r="AS1090" s="171">
        <v>1</v>
      </c>
      <c r="AT1090" s="171">
        <v>1</v>
      </c>
      <c r="AU1090" s="171">
        <f t="shared" si="404"/>
        <v>0</v>
      </c>
      <c r="AV1090" s="171">
        <f t="shared" si="405"/>
        <v>1</v>
      </c>
      <c r="AW1090" s="171">
        <f t="shared" si="406"/>
        <v>1</v>
      </c>
      <c r="AX1090" s="171">
        <f t="shared" si="414"/>
        <v>1</v>
      </c>
      <c r="AY1090" s="171">
        <f t="shared" si="407"/>
        <v>0</v>
      </c>
      <c r="AZ1090" s="171">
        <f t="shared" si="408"/>
        <v>1</v>
      </c>
      <c r="BA1090" s="172">
        <f t="shared" si="409"/>
        <v>1</v>
      </c>
      <c r="BB1090" s="175">
        <f t="shared" si="411"/>
        <v>18</v>
      </c>
      <c r="BC1090" s="176">
        <f t="shared" si="412"/>
        <v>17</v>
      </c>
      <c r="BD1090" s="176">
        <f t="shared" si="413"/>
        <v>18</v>
      </c>
      <c r="BE1090" s="240" t="str">
        <f t="shared" si="403"/>
        <v/>
      </c>
      <c r="BF1090" s="990"/>
      <c r="BG1090" s="990"/>
      <c r="BH1090" s="991">
        <f>IF(AND(Input_Product=Elig!$C1090,Elig_MatchAll_Ct&lt;22,$BC1090=(Elig_MatchAll_Ct-1),AF1090=0),C1090,0)</f>
        <v>0</v>
      </c>
      <c r="BI1090" s="991">
        <f>IF(AND(Input_Product=Elig!$C1090,Elig_MatchAll_Ct&lt;22,$BC1090=(Elig_MatchAll_Ct-1),AG1090=0),D1090,0)</f>
        <v>0</v>
      </c>
      <c r="BJ1090" s="991">
        <f>IF(AND(Input_Product=Elig!$C1090,Elig_MatchAll_Ct&lt;22,$BC1090=(Elig_MatchAll_Ct-1),AH1090=0),E1090,0)</f>
        <v>0</v>
      </c>
      <c r="BK1090" s="991">
        <f>IF(AND(Input_Product=Elig!$C1090,Elig_MatchAll_Ct&lt;22,$BC1090=(Elig_MatchAll_Ct-1),AI1090=0),F1090,0)</f>
        <v>0</v>
      </c>
      <c r="BL1090" s="991">
        <f>IF(AND(Input_Product=Elig!$C1090,Elig_MatchAll_Ct&lt;22,$BC1090=(Elig_MatchAll_Ct-1),AJ1090=0),G1090,0)</f>
        <v>0</v>
      </c>
      <c r="BM1090" s="991">
        <f>IF(AND(Input_Product=Elig!$C1090,Elig_MatchAll_Ct&lt;22,$BC1090=(Elig_MatchAll_Ct-1),AK1090=0),H1090,0)</f>
        <v>0</v>
      </c>
      <c r="BN1090" s="991">
        <f>IF(AND(Input_Product=Elig!$C1090,Elig_MatchAll_Ct&lt;22,$BC1090=(Elig_MatchAll_Ct-1),AL1090=0),I1090,0)</f>
        <v>0</v>
      </c>
      <c r="BO1090" s="991">
        <f>IF(AND(Input_Product=Elig!$C1090,Elig_MatchAll_Ct&lt;22,$BC1090=(Elig_MatchAll_Ct-1),AM1090=0),J1090,0)</f>
        <v>0</v>
      </c>
      <c r="BP1090" s="991">
        <f>IF(AND(Input_Product=Elig!$C1090,Elig_MatchAll_Ct&lt;22,$BC1090=(Elig_MatchAll_Ct-1),AN1090=0),K1090,0)</f>
        <v>0</v>
      </c>
      <c r="BQ1090" s="991">
        <f>IF(AND(Input_Product=Elig!$C1090,Elig_MatchAll_Ct&lt;22,$BC1090=(Elig_MatchAll_Ct-1),AP1090=0),L1090,0)</f>
        <v>0</v>
      </c>
      <c r="BR1090" s="991">
        <f>IF(AND(Input_Product=Elig!$C1090,Elig_MatchAll_Ct&lt;22,$BC1090=(Elig_MatchAll_Ct-1),AO1090=0),M1090,0)</f>
        <v>0</v>
      </c>
      <c r="BS1090" s="991">
        <f>IF(AND(Input_Product=Elig!$C1090,Elig_MatchAll_Ct&lt;22,$BC1090=(Elig_MatchAll_Ct-1),AQ1090=0),N1090,0)</f>
        <v>0</v>
      </c>
      <c r="BT1090" s="991">
        <f>IF(AND(Input_Product=Elig!$C1090,Elig_MatchAll_Ct&lt;22,$BC1090=(Elig_MatchAll_Ct-1),AR1090=0),O1090,0)</f>
        <v>0</v>
      </c>
      <c r="BU1090" s="991">
        <f>IF(AND(Input_Product=Elig!$C1090,Elig_MatchAll_Ct&lt;22,$BC1090=(Elig_MatchAll_Ct-1),AS1090=0),P1090,0)</f>
        <v>0</v>
      </c>
      <c r="BV1090" s="992">
        <f>IF(AND(Input_Product=Elig!$C1090,Elig_MatchAll_Ct&lt;22,$BC1090=(Elig_MatchAll_Ct-1),AT1090=0),Q1090,0)</f>
        <v>0</v>
      </c>
      <c r="BW1090" s="993">
        <f>IF(AND(Input_Product=Elig!$C1090,Elig_MatchAll_Ct&lt;22,$BC1090=(Elig_MatchAll_Ct-1),AU1090=0),R1090,0)</f>
        <v>0</v>
      </c>
      <c r="BX1090" s="994">
        <f>IF(AND(Input_Product=Elig!$C1090,Elig_MatchAll_Ct&lt;22,$BC1090=(Elig_MatchAll_Ct-1),AU1090=0),S1090,0)</f>
        <v>0</v>
      </c>
      <c r="BY1090" s="993">
        <f>IF(AND(Input_Product=Elig!$C1090,Elig_MatchAll_Ct&lt;22,$BC1090=(Elig_MatchAll_Ct-1),AV1090=0),T1090,0)</f>
        <v>0</v>
      </c>
      <c r="BZ1090" s="994">
        <f>IF(AND(Input_Product=Elig!$C1090,Elig_MatchAll_Ct&lt;22,$BC1090=(Elig_MatchAll_Ct-1),AV1090=0),U1090,0)</f>
        <v>0</v>
      </c>
      <c r="CA1090" s="993">
        <f>IF(AND(Input_Product=Elig!$C1090,Elig_MatchAll_Ct&lt;22,$BC1090=(Elig_MatchAll_Ct-1),AW1090=0),V1090,0)</f>
        <v>0</v>
      </c>
      <c r="CB1090" s="994">
        <f>IF(AND(Input_Product=Elig!$C1090,Elig_MatchAll_Ct&lt;22,$BC1090=(Elig_MatchAll_Ct-1),AW1090=0),W1090,0)</f>
        <v>0</v>
      </c>
      <c r="CC1090" s="993">
        <f>IF(AND(Input_Product=Elig!$C1090,Elig_MatchAll_Ct&lt;22,$BC1090=(Elig_MatchAll_Ct-1),AX1090=0),X1090,0)</f>
        <v>0</v>
      </c>
      <c r="CD1090" s="994">
        <f>IF(AND(Input_Product=Elig!$C1090,Elig_MatchAll_Ct&lt;22,$BC1090=(Elig_MatchAll_Ct-1),AX1090=0),Y1090,0)</f>
        <v>0</v>
      </c>
      <c r="CE1090" s="993">
        <f>IF(AND(Input_LTV&lt;=AE1090,Input_Product=Elig!$C1090,Elig_MatchAll_Ct&lt;22,$BC1090=(Elig_MatchAll_Ct-1),AY1090=0),Z1090,0)</f>
        <v>0</v>
      </c>
      <c r="CF1090" s="994">
        <f>IF(AND(Input_LTV&lt;=AE1090,Input_Product=Elig!$C1090,Elig_MatchAll_Ct&lt;22,$BC1090=(Elig_MatchAll_Ct-1),AY1090=0),AA1090,0)</f>
        <v>0</v>
      </c>
      <c r="CG1090" s="993">
        <f>IF(AND(Input_Product=Elig!$C1090,Elig_MatchAll_Ct&lt;22,$BC1090=(Elig_MatchAll_Ct-1),AZ1090=0),AB1090,0)</f>
        <v>0</v>
      </c>
      <c r="CH1090" s="994">
        <f>IF(AND(Input_Product=Elig!$C1090,Elig_MatchAll_Ct&lt;22,$BC1090=(Elig_MatchAll_Ct-1),AZ1090=0),AC1090,0)</f>
        <v>0</v>
      </c>
      <c r="CI1090" s="993">
        <f>IF(AND(Input_Product=Elig!$C1090,Elig_MatchAll_Ct&lt;22,$BC1090=(Elig_MatchAll_Ct-1),BA1090=0),AD1090,0)</f>
        <v>0</v>
      </c>
      <c r="CJ1090" s="994">
        <f>IF(AND(Input_Product=Elig!$C1090,Elig_MatchAll_Ct&lt;22,$BC1090=(Elig_MatchAll_Ct-1),BA1090=0),AE1090,0)</f>
        <v>0</v>
      </c>
    </row>
    <row r="1091" spans="2:88" ht="10.15" customHeight="1" x14ac:dyDescent="0.25">
      <c r="B1091" s="1916" t="s">
        <v>2729</v>
      </c>
      <c r="C1091" s="1213" t="str">
        <f t="shared" si="416"/>
        <v xml:space="preserve">  </v>
      </c>
      <c r="D1091" s="1214" t="s">
        <v>2218</v>
      </c>
      <c r="E1091" s="1214" t="s">
        <v>167</v>
      </c>
      <c r="F1091" s="1214" t="s">
        <v>331</v>
      </c>
      <c r="G1091" s="1215" t="s">
        <v>472</v>
      </c>
      <c r="H1091" s="1215" t="s">
        <v>136</v>
      </c>
      <c r="I1091" s="1214" t="s">
        <v>16</v>
      </c>
      <c r="J1091" s="1214" t="s">
        <v>1311</v>
      </c>
      <c r="K1091" s="1215" t="s">
        <v>3022</v>
      </c>
      <c r="L1091" s="1214" t="s">
        <v>2768</v>
      </c>
      <c r="M1091" s="1214" t="s">
        <v>2677</v>
      </c>
      <c r="N1091" s="1215" t="s">
        <v>82</v>
      </c>
      <c r="O1091" s="1214" t="s">
        <v>310</v>
      </c>
      <c r="P1091" s="1214" t="s">
        <v>291</v>
      </c>
      <c r="Q1091" s="1214" t="s">
        <v>294</v>
      </c>
      <c r="R1091" s="1214">
        <v>2500000.0099999998</v>
      </c>
      <c r="S1091" s="1214">
        <v>3000000</v>
      </c>
      <c r="T1091" s="1214">
        <v>0</v>
      </c>
      <c r="U1091" s="1214">
        <f t="shared" si="415"/>
        <v>3000000</v>
      </c>
      <c r="V1091" s="1214">
        <v>0</v>
      </c>
      <c r="W1091" s="1214">
        <v>50</v>
      </c>
      <c r="X1091" s="1214">
        <v>0</v>
      </c>
      <c r="Y1091" s="1214">
        <v>999</v>
      </c>
      <c r="Z1091" s="1216">
        <v>680</v>
      </c>
      <c r="AA1091" s="1216">
        <v>699</v>
      </c>
      <c r="AB1091" s="1216">
        <v>6</v>
      </c>
      <c r="AC1091" s="1216">
        <v>999999</v>
      </c>
      <c r="AD1091" s="1214">
        <v>0</v>
      </c>
      <c r="AE1091" s="1217">
        <v>70</v>
      </c>
      <c r="AF1091" s="170">
        <v>0</v>
      </c>
      <c r="AG1091" s="171">
        <v>1</v>
      </c>
      <c r="AH1091" s="171">
        <v>1</v>
      </c>
      <c r="AI1091" s="171">
        <v>1</v>
      </c>
      <c r="AJ1091" s="171">
        <v>0</v>
      </c>
      <c r="AK1091" s="171">
        <v>1</v>
      </c>
      <c r="AL1091" s="171">
        <v>1</v>
      </c>
      <c r="AM1091" s="171">
        <v>1</v>
      </c>
      <c r="AN1091" s="171">
        <v>1</v>
      </c>
      <c r="AO1091" s="171">
        <v>1</v>
      </c>
      <c r="AP1091" s="171">
        <v>1</v>
      </c>
      <c r="AQ1091" s="171">
        <v>1</v>
      </c>
      <c r="AR1091" s="171">
        <v>1</v>
      </c>
      <c r="AS1091" s="171">
        <v>1</v>
      </c>
      <c r="AT1091" s="171">
        <v>1</v>
      </c>
      <c r="AU1091" s="171">
        <f t="shared" si="404"/>
        <v>0</v>
      </c>
      <c r="AV1091" s="171">
        <f t="shared" si="405"/>
        <v>1</v>
      </c>
      <c r="AW1091" s="171">
        <f t="shared" si="406"/>
        <v>1</v>
      </c>
      <c r="AX1091" s="171">
        <f t="shared" si="414"/>
        <v>1</v>
      </c>
      <c r="AY1091" s="171">
        <f t="shared" si="407"/>
        <v>0</v>
      </c>
      <c r="AZ1091" s="171">
        <f t="shared" si="408"/>
        <v>1</v>
      </c>
      <c r="BA1091" s="172">
        <f t="shared" si="409"/>
        <v>1</v>
      </c>
      <c r="BB1091" s="175">
        <f t="shared" si="411"/>
        <v>18</v>
      </c>
      <c r="BC1091" s="176">
        <f t="shared" si="412"/>
        <v>17</v>
      </c>
      <c r="BD1091" s="176">
        <f t="shared" si="413"/>
        <v>18</v>
      </c>
      <c r="BE1091" s="240" t="str">
        <f t="shared" si="403"/>
        <v/>
      </c>
      <c r="BF1091" s="990"/>
      <c r="BG1091" s="990"/>
      <c r="BH1091" s="991">
        <f>IF(AND(Input_Product=Elig!$C1091,Elig_MatchAll_Ct&lt;22,$BC1091=(Elig_MatchAll_Ct-1),AF1091=0),C1091,0)</f>
        <v>0</v>
      </c>
      <c r="BI1091" s="991">
        <f>IF(AND(Input_Product=Elig!$C1091,Elig_MatchAll_Ct&lt;22,$BC1091=(Elig_MatchAll_Ct-1),AG1091=0),D1091,0)</f>
        <v>0</v>
      </c>
      <c r="BJ1091" s="991">
        <f>IF(AND(Input_Product=Elig!$C1091,Elig_MatchAll_Ct&lt;22,$BC1091=(Elig_MatchAll_Ct-1),AH1091=0),E1091,0)</f>
        <v>0</v>
      </c>
      <c r="BK1091" s="991">
        <f>IF(AND(Input_Product=Elig!$C1091,Elig_MatchAll_Ct&lt;22,$BC1091=(Elig_MatchAll_Ct-1),AI1091=0),F1091,0)</f>
        <v>0</v>
      </c>
      <c r="BL1091" s="991">
        <f>IF(AND(Input_Product=Elig!$C1091,Elig_MatchAll_Ct&lt;22,$BC1091=(Elig_MatchAll_Ct-1),AJ1091=0),G1091,0)</f>
        <v>0</v>
      </c>
      <c r="BM1091" s="991">
        <f>IF(AND(Input_Product=Elig!$C1091,Elig_MatchAll_Ct&lt;22,$BC1091=(Elig_MatchAll_Ct-1),AK1091=0),H1091,0)</f>
        <v>0</v>
      </c>
      <c r="BN1091" s="991">
        <f>IF(AND(Input_Product=Elig!$C1091,Elig_MatchAll_Ct&lt;22,$BC1091=(Elig_MatchAll_Ct-1),AL1091=0),I1091,0)</f>
        <v>0</v>
      </c>
      <c r="BO1091" s="991">
        <f>IF(AND(Input_Product=Elig!$C1091,Elig_MatchAll_Ct&lt;22,$BC1091=(Elig_MatchAll_Ct-1),AM1091=0),J1091,0)</f>
        <v>0</v>
      </c>
      <c r="BP1091" s="991">
        <f>IF(AND(Input_Product=Elig!$C1091,Elig_MatchAll_Ct&lt;22,$BC1091=(Elig_MatchAll_Ct-1),AN1091=0),K1091,0)</f>
        <v>0</v>
      </c>
      <c r="BQ1091" s="991">
        <f>IF(AND(Input_Product=Elig!$C1091,Elig_MatchAll_Ct&lt;22,$BC1091=(Elig_MatchAll_Ct-1),AP1091=0),L1091,0)</f>
        <v>0</v>
      </c>
      <c r="BR1091" s="991">
        <f>IF(AND(Input_Product=Elig!$C1091,Elig_MatchAll_Ct&lt;22,$BC1091=(Elig_MatchAll_Ct-1),AO1091=0),M1091,0)</f>
        <v>0</v>
      </c>
      <c r="BS1091" s="991">
        <f>IF(AND(Input_Product=Elig!$C1091,Elig_MatchAll_Ct&lt;22,$BC1091=(Elig_MatchAll_Ct-1),AQ1091=0),N1091,0)</f>
        <v>0</v>
      </c>
      <c r="BT1091" s="991">
        <f>IF(AND(Input_Product=Elig!$C1091,Elig_MatchAll_Ct&lt;22,$BC1091=(Elig_MatchAll_Ct-1),AR1091=0),O1091,0)</f>
        <v>0</v>
      </c>
      <c r="BU1091" s="991">
        <f>IF(AND(Input_Product=Elig!$C1091,Elig_MatchAll_Ct&lt;22,$BC1091=(Elig_MatchAll_Ct-1),AS1091=0),P1091,0)</f>
        <v>0</v>
      </c>
      <c r="BV1091" s="992">
        <f>IF(AND(Input_Product=Elig!$C1091,Elig_MatchAll_Ct&lt;22,$BC1091=(Elig_MatchAll_Ct-1),AT1091=0),Q1091,0)</f>
        <v>0</v>
      </c>
      <c r="BW1091" s="993">
        <f>IF(AND(Input_Product=Elig!$C1091,Elig_MatchAll_Ct&lt;22,$BC1091=(Elig_MatchAll_Ct-1),AU1091=0),R1091,0)</f>
        <v>0</v>
      </c>
      <c r="BX1091" s="994">
        <f>IF(AND(Input_Product=Elig!$C1091,Elig_MatchAll_Ct&lt;22,$BC1091=(Elig_MatchAll_Ct-1),AU1091=0),S1091,0)</f>
        <v>0</v>
      </c>
      <c r="BY1091" s="993">
        <f>IF(AND(Input_Product=Elig!$C1091,Elig_MatchAll_Ct&lt;22,$BC1091=(Elig_MatchAll_Ct-1),AV1091=0),T1091,0)</f>
        <v>0</v>
      </c>
      <c r="BZ1091" s="994">
        <f>IF(AND(Input_Product=Elig!$C1091,Elig_MatchAll_Ct&lt;22,$BC1091=(Elig_MatchAll_Ct-1),AV1091=0),U1091,0)</f>
        <v>0</v>
      </c>
      <c r="CA1091" s="993">
        <f>IF(AND(Input_Product=Elig!$C1091,Elig_MatchAll_Ct&lt;22,$BC1091=(Elig_MatchAll_Ct-1),AW1091=0),V1091,0)</f>
        <v>0</v>
      </c>
      <c r="CB1091" s="994">
        <f>IF(AND(Input_Product=Elig!$C1091,Elig_MatchAll_Ct&lt;22,$BC1091=(Elig_MatchAll_Ct-1),AW1091=0),W1091,0)</f>
        <v>0</v>
      </c>
      <c r="CC1091" s="993">
        <f>IF(AND(Input_Product=Elig!$C1091,Elig_MatchAll_Ct&lt;22,$BC1091=(Elig_MatchAll_Ct-1),AX1091=0),X1091,0)</f>
        <v>0</v>
      </c>
      <c r="CD1091" s="994">
        <f>IF(AND(Input_Product=Elig!$C1091,Elig_MatchAll_Ct&lt;22,$BC1091=(Elig_MatchAll_Ct-1),AX1091=0),Y1091,0)</f>
        <v>0</v>
      </c>
      <c r="CE1091" s="993">
        <f>IF(AND(Input_LTV&lt;=AE1091,Input_Product=Elig!$C1091,Elig_MatchAll_Ct&lt;22,$BC1091=(Elig_MatchAll_Ct-1),AY1091=0),Z1091,0)</f>
        <v>0</v>
      </c>
      <c r="CF1091" s="994">
        <f>IF(AND(Input_LTV&lt;=AE1091,Input_Product=Elig!$C1091,Elig_MatchAll_Ct&lt;22,$BC1091=(Elig_MatchAll_Ct-1),AY1091=0),AA1091,0)</f>
        <v>0</v>
      </c>
      <c r="CG1091" s="993">
        <f>IF(AND(Input_Product=Elig!$C1091,Elig_MatchAll_Ct&lt;22,$BC1091=(Elig_MatchAll_Ct-1),AZ1091=0),AB1091,0)</f>
        <v>0</v>
      </c>
      <c r="CH1091" s="994">
        <f>IF(AND(Input_Product=Elig!$C1091,Elig_MatchAll_Ct&lt;22,$BC1091=(Elig_MatchAll_Ct-1),AZ1091=0),AC1091,0)</f>
        <v>0</v>
      </c>
      <c r="CI1091" s="993">
        <f>IF(AND(Input_Product=Elig!$C1091,Elig_MatchAll_Ct&lt;22,$BC1091=(Elig_MatchAll_Ct-1),BA1091=0),AD1091,0)</f>
        <v>0</v>
      </c>
      <c r="CJ1091" s="994">
        <f>IF(AND(Input_Product=Elig!$C1091,Elig_MatchAll_Ct&lt;22,$BC1091=(Elig_MatchAll_Ct-1),BA1091=0),AE1091,0)</f>
        <v>0</v>
      </c>
    </row>
    <row r="1092" spans="2:88" ht="10.15" customHeight="1" x14ac:dyDescent="0.25">
      <c r="B1092" s="1917" t="s">
        <v>2392</v>
      </c>
      <c r="C1092" s="1218" t="str">
        <f t="shared" ref="C1092:C1123" si="417">Input_Name_Product14</f>
        <v xml:space="preserve"> </v>
      </c>
      <c r="D1092" s="1219" t="s">
        <v>2218</v>
      </c>
      <c r="E1092" s="1219" t="s">
        <v>167</v>
      </c>
      <c r="F1092" s="1219" t="s">
        <v>330</v>
      </c>
      <c r="G1092" s="1220" t="s">
        <v>303</v>
      </c>
      <c r="H1092" s="1220" t="s">
        <v>136</v>
      </c>
      <c r="I1092" s="1219" t="s">
        <v>274</v>
      </c>
      <c r="J1092" s="1219" t="s">
        <v>1311</v>
      </c>
      <c r="K1092" s="1220" t="s">
        <v>3022</v>
      </c>
      <c r="L1092" s="1219" t="s">
        <v>2768</v>
      </c>
      <c r="M1092" s="1219" t="s">
        <v>2677</v>
      </c>
      <c r="N1092" s="1220" t="s">
        <v>2685</v>
      </c>
      <c r="O1092" s="1219" t="s">
        <v>310</v>
      </c>
      <c r="P1092" s="1219" t="s">
        <v>291</v>
      </c>
      <c r="Q1092" s="1219" t="s">
        <v>294</v>
      </c>
      <c r="R1092" s="1219">
        <v>125000</v>
      </c>
      <c r="S1092" s="1219">
        <v>1000000</v>
      </c>
      <c r="T1092" s="1219">
        <v>0</v>
      </c>
      <c r="U1092" s="1219">
        <v>0</v>
      </c>
      <c r="V1092" s="1219">
        <v>0</v>
      </c>
      <c r="W1092" s="1219">
        <v>50</v>
      </c>
      <c r="X1092" s="1219">
        <v>0</v>
      </c>
      <c r="Y1092" s="1219">
        <v>999</v>
      </c>
      <c r="Z1092" s="1221">
        <v>720</v>
      </c>
      <c r="AA1092" s="1221">
        <v>999</v>
      </c>
      <c r="AB1092" s="1221">
        <v>3</v>
      </c>
      <c r="AC1092" s="1221">
        <v>999999</v>
      </c>
      <c r="AD1092" s="1219">
        <v>0</v>
      </c>
      <c r="AE1092" s="1222">
        <v>80</v>
      </c>
      <c r="AF1092" s="170">
        <v>0</v>
      </c>
      <c r="AG1092" s="171">
        <v>1</v>
      </c>
      <c r="AH1092" s="171">
        <v>1</v>
      </c>
      <c r="AI1092" s="171">
        <v>0</v>
      </c>
      <c r="AJ1092" s="171">
        <v>1</v>
      </c>
      <c r="AK1092" s="171">
        <v>1</v>
      </c>
      <c r="AL1092" s="171">
        <v>0</v>
      </c>
      <c r="AM1092" s="171">
        <v>1</v>
      </c>
      <c r="AN1092" s="171">
        <v>1</v>
      </c>
      <c r="AO1092" s="171">
        <v>1</v>
      </c>
      <c r="AP1092" s="171">
        <v>1</v>
      </c>
      <c r="AQ1092" s="171">
        <v>1</v>
      </c>
      <c r="AR1092" s="171">
        <v>1</v>
      </c>
      <c r="AS1092" s="171">
        <v>1</v>
      </c>
      <c r="AT1092" s="171">
        <v>1</v>
      </c>
      <c r="AU1092" s="171">
        <f t="shared" si="404"/>
        <v>1</v>
      </c>
      <c r="AV1092" s="171">
        <f t="shared" si="405"/>
        <v>0</v>
      </c>
      <c r="AW1092" s="171">
        <f t="shared" si="406"/>
        <v>1</v>
      </c>
      <c r="AX1092" s="171">
        <f t="shared" si="414"/>
        <v>1</v>
      </c>
      <c r="AY1092" s="171">
        <f t="shared" si="407"/>
        <v>1</v>
      </c>
      <c r="AZ1092" s="171">
        <f t="shared" si="408"/>
        <v>1</v>
      </c>
      <c r="BA1092" s="172">
        <f t="shared" si="409"/>
        <v>1</v>
      </c>
      <c r="BB1092" s="175">
        <f t="shared" si="411"/>
        <v>18</v>
      </c>
      <c r="BC1092" s="176">
        <f t="shared" si="412"/>
        <v>17</v>
      </c>
      <c r="BD1092" s="176">
        <f t="shared" si="413"/>
        <v>18</v>
      </c>
      <c r="BE1092" s="240" t="str">
        <f t="shared" si="403"/>
        <v/>
      </c>
      <c r="BF1092" s="990"/>
      <c r="BG1092" s="990"/>
      <c r="BH1092" s="991">
        <f>IF(AND(Input_Product=Elig!$C1092,Elig_MatchAll_Ct&lt;22,$BC1092=(Elig_MatchAll_Ct-1),AF1092=0),C1092,0)</f>
        <v>0</v>
      </c>
      <c r="BI1092" s="991">
        <f>IF(AND(Input_Product=Elig!$C1092,Elig_MatchAll_Ct&lt;22,$BC1092=(Elig_MatchAll_Ct-1),AG1092=0),D1092,0)</f>
        <v>0</v>
      </c>
      <c r="BJ1092" s="991">
        <f>IF(AND(Input_Product=Elig!$C1092,Elig_MatchAll_Ct&lt;22,$BC1092=(Elig_MatchAll_Ct-1),AH1092=0),E1092,0)</f>
        <v>0</v>
      </c>
      <c r="BK1092" s="991">
        <f>IF(AND(Input_Product=Elig!$C1092,Elig_MatchAll_Ct&lt;22,$BC1092=(Elig_MatchAll_Ct-1),AI1092=0),F1092,0)</f>
        <v>0</v>
      </c>
      <c r="BL1092" s="991">
        <f>IF(AND(Input_Product=Elig!$C1092,Elig_MatchAll_Ct&lt;22,$BC1092=(Elig_MatchAll_Ct-1),AJ1092=0),G1092,0)</f>
        <v>0</v>
      </c>
      <c r="BM1092" s="991">
        <f>IF(AND(Input_Product=Elig!$C1092,Elig_MatchAll_Ct&lt;22,$BC1092=(Elig_MatchAll_Ct-1),AK1092=0),H1092,0)</f>
        <v>0</v>
      </c>
      <c r="BN1092" s="991">
        <f>IF(AND(Input_Product=Elig!$C1092,Elig_MatchAll_Ct&lt;22,$BC1092=(Elig_MatchAll_Ct-1),AL1092=0),I1092,0)</f>
        <v>0</v>
      </c>
      <c r="BO1092" s="991">
        <f>IF(AND(Input_Product=Elig!$C1092,Elig_MatchAll_Ct&lt;22,$BC1092=(Elig_MatchAll_Ct-1),AM1092=0),J1092,0)</f>
        <v>0</v>
      </c>
      <c r="BP1092" s="991">
        <f>IF(AND(Input_Product=Elig!$C1092,Elig_MatchAll_Ct&lt;22,$BC1092=(Elig_MatchAll_Ct-1),AN1092=0),K1092,0)</f>
        <v>0</v>
      </c>
      <c r="BQ1092" s="991">
        <f>IF(AND(Input_Product=Elig!$C1092,Elig_MatchAll_Ct&lt;22,$BC1092=(Elig_MatchAll_Ct-1),AP1092=0),L1092,0)</f>
        <v>0</v>
      </c>
      <c r="BR1092" s="991">
        <f>IF(AND(Input_Product=Elig!$C1092,Elig_MatchAll_Ct&lt;22,$BC1092=(Elig_MatchAll_Ct-1),AO1092=0),M1092,0)</f>
        <v>0</v>
      </c>
      <c r="BS1092" s="991">
        <f>IF(AND(Input_Product=Elig!$C1092,Elig_MatchAll_Ct&lt;22,$BC1092=(Elig_MatchAll_Ct-1),AQ1092=0),N1092,0)</f>
        <v>0</v>
      </c>
      <c r="BT1092" s="991">
        <f>IF(AND(Input_Product=Elig!$C1092,Elig_MatchAll_Ct&lt;22,$BC1092=(Elig_MatchAll_Ct-1),AR1092=0),O1092,0)</f>
        <v>0</v>
      </c>
      <c r="BU1092" s="991">
        <f>IF(AND(Input_Product=Elig!$C1092,Elig_MatchAll_Ct&lt;22,$BC1092=(Elig_MatchAll_Ct-1),AS1092=0),P1092,0)</f>
        <v>0</v>
      </c>
      <c r="BV1092" s="992">
        <f>IF(AND(Input_Product=Elig!$C1092,Elig_MatchAll_Ct&lt;22,$BC1092=(Elig_MatchAll_Ct-1),AT1092=0),Q1092,0)</f>
        <v>0</v>
      </c>
      <c r="BW1092" s="993">
        <f>IF(AND(Input_Product=Elig!$C1092,Elig_MatchAll_Ct&lt;22,$BC1092=(Elig_MatchAll_Ct-1),AU1092=0),R1092,0)</f>
        <v>0</v>
      </c>
      <c r="BX1092" s="994">
        <f>IF(AND(Input_Product=Elig!$C1092,Elig_MatchAll_Ct&lt;22,$BC1092=(Elig_MatchAll_Ct-1),AU1092=0),S1092,0)</f>
        <v>0</v>
      </c>
      <c r="BY1092" s="993">
        <f>IF(AND(Input_Product=Elig!$C1092,Elig_MatchAll_Ct&lt;22,$BC1092=(Elig_MatchAll_Ct-1),AV1092=0),T1092,0)</f>
        <v>0</v>
      </c>
      <c r="BZ1092" s="994">
        <f>IF(AND(Input_Product=Elig!$C1092,Elig_MatchAll_Ct&lt;22,$BC1092=(Elig_MatchAll_Ct-1),AV1092=0),U1092,0)</f>
        <v>0</v>
      </c>
      <c r="CA1092" s="993">
        <f>IF(AND(Input_Product=Elig!$C1092,Elig_MatchAll_Ct&lt;22,$BC1092=(Elig_MatchAll_Ct-1),AW1092=0),V1092,0)</f>
        <v>0</v>
      </c>
      <c r="CB1092" s="994">
        <f>IF(AND(Input_Product=Elig!$C1092,Elig_MatchAll_Ct&lt;22,$BC1092=(Elig_MatchAll_Ct-1),AW1092=0),W1092,0)</f>
        <v>0</v>
      </c>
      <c r="CC1092" s="993">
        <f>IF(AND(Input_Product=Elig!$C1092,Elig_MatchAll_Ct&lt;22,$BC1092=(Elig_MatchAll_Ct-1),AX1092=0),X1092,0)</f>
        <v>0</v>
      </c>
      <c r="CD1092" s="994">
        <f>IF(AND(Input_Product=Elig!$C1092,Elig_MatchAll_Ct&lt;22,$BC1092=(Elig_MatchAll_Ct-1),AX1092=0),Y1092,0)</f>
        <v>0</v>
      </c>
      <c r="CE1092" s="993">
        <f>IF(AND(Input_LTV&lt;=AE1092,Input_Product=Elig!$C1092,Elig_MatchAll_Ct&lt;22,$BC1092=(Elig_MatchAll_Ct-1),AY1092=0),Z1092,0)</f>
        <v>0</v>
      </c>
      <c r="CF1092" s="994">
        <f>IF(AND(Input_LTV&lt;=AE1092,Input_Product=Elig!$C1092,Elig_MatchAll_Ct&lt;22,$BC1092=(Elig_MatchAll_Ct-1),AY1092=0),AA1092,0)</f>
        <v>0</v>
      </c>
      <c r="CG1092" s="993">
        <f>IF(AND(Input_Product=Elig!$C1092,Elig_MatchAll_Ct&lt;22,$BC1092=(Elig_MatchAll_Ct-1),AZ1092=0),AB1092,0)</f>
        <v>0</v>
      </c>
      <c r="CH1092" s="994">
        <f>IF(AND(Input_Product=Elig!$C1092,Elig_MatchAll_Ct&lt;22,$BC1092=(Elig_MatchAll_Ct-1),AZ1092=0),AC1092,0)</f>
        <v>0</v>
      </c>
      <c r="CI1092" s="993">
        <f>IF(AND(Input_Product=Elig!$C1092,Elig_MatchAll_Ct&lt;22,$BC1092=(Elig_MatchAll_Ct-1),BA1092=0),AD1092,0)</f>
        <v>0</v>
      </c>
      <c r="CJ1092" s="994">
        <f>IF(AND(Input_Product=Elig!$C1092,Elig_MatchAll_Ct&lt;22,$BC1092=(Elig_MatchAll_Ct-1),BA1092=0),AE1092,0)</f>
        <v>0</v>
      </c>
    </row>
    <row r="1093" spans="2:88" ht="10.15" customHeight="1" x14ac:dyDescent="0.25">
      <c r="B1093" s="1918" t="s">
        <v>2393</v>
      </c>
      <c r="C1093" s="1223" t="str">
        <f t="shared" si="417"/>
        <v xml:space="preserve"> </v>
      </c>
      <c r="D1093" s="1224" t="s">
        <v>2218</v>
      </c>
      <c r="E1093" s="1224" t="s">
        <v>167</v>
      </c>
      <c r="F1093" s="1224" t="s">
        <v>330</v>
      </c>
      <c r="G1093" s="1225" t="s">
        <v>303</v>
      </c>
      <c r="H1093" s="1225" t="s">
        <v>136</v>
      </c>
      <c r="I1093" s="1224" t="s">
        <v>274</v>
      </c>
      <c r="J1093" s="1224" t="s">
        <v>1311</v>
      </c>
      <c r="K1093" s="1225" t="s">
        <v>3022</v>
      </c>
      <c r="L1093" s="1224" t="s">
        <v>2768</v>
      </c>
      <c r="M1093" s="1224" t="s">
        <v>2677</v>
      </c>
      <c r="N1093" s="1225" t="s">
        <v>2685</v>
      </c>
      <c r="O1093" s="1224" t="s">
        <v>310</v>
      </c>
      <c r="P1093" s="1224" t="s">
        <v>291</v>
      </c>
      <c r="Q1093" s="1224" t="s">
        <v>294</v>
      </c>
      <c r="R1093" s="1224">
        <v>125000</v>
      </c>
      <c r="S1093" s="1224">
        <v>1000000</v>
      </c>
      <c r="T1093" s="1224">
        <v>0</v>
      </c>
      <c r="U1093" s="1224">
        <v>0</v>
      </c>
      <c r="V1093" s="1224">
        <v>0</v>
      </c>
      <c r="W1093" s="1224">
        <v>50</v>
      </c>
      <c r="X1093" s="1224">
        <v>0</v>
      </c>
      <c r="Y1093" s="1224">
        <v>999</v>
      </c>
      <c r="Z1093" s="1226">
        <v>700</v>
      </c>
      <c r="AA1093" s="1226">
        <v>719</v>
      </c>
      <c r="AB1093" s="1226">
        <v>3</v>
      </c>
      <c r="AC1093" s="1226">
        <v>999999</v>
      </c>
      <c r="AD1093" s="1224">
        <v>0</v>
      </c>
      <c r="AE1093" s="1227">
        <v>80</v>
      </c>
      <c r="AF1093" s="170">
        <v>0</v>
      </c>
      <c r="AG1093" s="171">
        <v>1</v>
      </c>
      <c r="AH1093" s="171">
        <v>1</v>
      </c>
      <c r="AI1093" s="171">
        <v>0</v>
      </c>
      <c r="AJ1093" s="171">
        <v>1</v>
      </c>
      <c r="AK1093" s="171">
        <v>1</v>
      </c>
      <c r="AL1093" s="171">
        <v>0</v>
      </c>
      <c r="AM1093" s="171">
        <v>1</v>
      </c>
      <c r="AN1093" s="171">
        <v>1</v>
      </c>
      <c r="AO1093" s="171">
        <v>1</v>
      </c>
      <c r="AP1093" s="171">
        <v>1</v>
      </c>
      <c r="AQ1093" s="171">
        <v>1</v>
      </c>
      <c r="AR1093" s="171">
        <v>1</v>
      </c>
      <c r="AS1093" s="171">
        <v>1</v>
      </c>
      <c r="AT1093" s="171">
        <v>1</v>
      </c>
      <c r="AU1093" s="171">
        <f t="shared" si="404"/>
        <v>1</v>
      </c>
      <c r="AV1093" s="171">
        <f t="shared" si="405"/>
        <v>0</v>
      </c>
      <c r="AW1093" s="171">
        <f t="shared" si="406"/>
        <v>1</v>
      </c>
      <c r="AX1093" s="171">
        <f t="shared" si="414"/>
        <v>1</v>
      </c>
      <c r="AY1093" s="171">
        <f t="shared" si="407"/>
        <v>0</v>
      </c>
      <c r="AZ1093" s="171">
        <f t="shared" si="408"/>
        <v>1</v>
      </c>
      <c r="BA1093" s="172">
        <f t="shared" si="409"/>
        <v>1</v>
      </c>
      <c r="BB1093" s="175">
        <f t="shared" si="411"/>
        <v>17</v>
      </c>
      <c r="BC1093" s="176">
        <f t="shared" si="412"/>
        <v>16</v>
      </c>
      <c r="BD1093" s="176">
        <f t="shared" si="413"/>
        <v>17</v>
      </c>
      <c r="BE1093" s="240" t="str">
        <f t="shared" si="403"/>
        <v/>
      </c>
      <c r="BF1093" s="990"/>
      <c r="BG1093" s="990"/>
      <c r="BH1093" s="991">
        <f>IF(AND(Input_Product=Elig!$C1093,Elig_MatchAll_Ct&lt;22,$BC1093=(Elig_MatchAll_Ct-1),AF1093=0),C1093,0)</f>
        <v>0</v>
      </c>
      <c r="BI1093" s="991">
        <f>IF(AND(Input_Product=Elig!$C1093,Elig_MatchAll_Ct&lt;22,$BC1093=(Elig_MatchAll_Ct-1),AG1093=0),D1093,0)</f>
        <v>0</v>
      </c>
      <c r="BJ1093" s="991">
        <f>IF(AND(Input_Product=Elig!$C1093,Elig_MatchAll_Ct&lt;22,$BC1093=(Elig_MatchAll_Ct-1),AH1093=0),E1093,0)</f>
        <v>0</v>
      </c>
      <c r="BK1093" s="991">
        <f>IF(AND(Input_Product=Elig!$C1093,Elig_MatchAll_Ct&lt;22,$BC1093=(Elig_MatchAll_Ct-1),AI1093=0),F1093,0)</f>
        <v>0</v>
      </c>
      <c r="BL1093" s="991">
        <f>IF(AND(Input_Product=Elig!$C1093,Elig_MatchAll_Ct&lt;22,$BC1093=(Elig_MatchAll_Ct-1),AJ1093=0),G1093,0)</f>
        <v>0</v>
      </c>
      <c r="BM1093" s="991">
        <f>IF(AND(Input_Product=Elig!$C1093,Elig_MatchAll_Ct&lt;22,$BC1093=(Elig_MatchAll_Ct-1),AK1093=0),H1093,0)</f>
        <v>0</v>
      </c>
      <c r="BN1093" s="991">
        <f>IF(AND(Input_Product=Elig!$C1093,Elig_MatchAll_Ct&lt;22,$BC1093=(Elig_MatchAll_Ct-1),AL1093=0),I1093,0)</f>
        <v>0</v>
      </c>
      <c r="BO1093" s="991">
        <f>IF(AND(Input_Product=Elig!$C1093,Elig_MatchAll_Ct&lt;22,$BC1093=(Elig_MatchAll_Ct-1),AM1093=0),J1093,0)</f>
        <v>0</v>
      </c>
      <c r="BP1093" s="991">
        <f>IF(AND(Input_Product=Elig!$C1093,Elig_MatchAll_Ct&lt;22,$BC1093=(Elig_MatchAll_Ct-1),AN1093=0),K1093,0)</f>
        <v>0</v>
      </c>
      <c r="BQ1093" s="991">
        <f>IF(AND(Input_Product=Elig!$C1093,Elig_MatchAll_Ct&lt;22,$BC1093=(Elig_MatchAll_Ct-1),AP1093=0),L1093,0)</f>
        <v>0</v>
      </c>
      <c r="BR1093" s="991">
        <f>IF(AND(Input_Product=Elig!$C1093,Elig_MatchAll_Ct&lt;22,$BC1093=(Elig_MatchAll_Ct-1),AO1093=0),M1093,0)</f>
        <v>0</v>
      </c>
      <c r="BS1093" s="991">
        <f>IF(AND(Input_Product=Elig!$C1093,Elig_MatchAll_Ct&lt;22,$BC1093=(Elig_MatchAll_Ct-1),AQ1093=0),N1093,0)</f>
        <v>0</v>
      </c>
      <c r="BT1093" s="991">
        <f>IF(AND(Input_Product=Elig!$C1093,Elig_MatchAll_Ct&lt;22,$BC1093=(Elig_MatchAll_Ct-1),AR1093=0),O1093,0)</f>
        <v>0</v>
      </c>
      <c r="BU1093" s="991">
        <f>IF(AND(Input_Product=Elig!$C1093,Elig_MatchAll_Ct&lt;22,$BC1093=(Elig_MatchAll_Ct-1),AS1093=0),P1093,0)</f>
        <v>0</v>
      </c>
      <c r="BV1093" s="992">
        <f>IF(AND(Input_Product=Elig!$C1093,Elig_MatchAll_Ct&lt;22,$BC1093=(Elig_MatchAll_Ct-1),AT1093=0),Q1093,0)</f>
        <v>0</v>
      </c>
      <c r="BW1093" s="993">
        <f>IF(AND(Input_Product=Elig!$C1093,Elig_MatchAll_Ct&lt;22,$BC1093=(Elig_MatchAll_Ct-1),AU1093=0),R1093,0)</f>
        <v>0</v>
      </c>
      <c r="BX1093" s="994">
        <f>IF(AND(Input_Product=Elig!$C1093,Elig_MatchAll_Ct&lt;22,$BC1093=(Elig_MatchAll_Ct-1),AU1093=0),S1093,0)</f>
        <v>0</v>
      </c>
      <c r="BY1093" s="993">
        <f>IF(AND(Input_Product=Elig!$C1093,Elig_MatchAll_Ct&lt;22,$BC1093=(Elig_MatchAll_Ct-1),AV1093=0),T1093,0)</f>
        <v>0</v>
      </c>
      <c r="BZ1093" s="994">
        <f>IF(AND(Input_Product=Elig!$C1093,Elig_MatchAll_Ct&lt;22,$BC1093=(Elig_MatchAll_Ct-1),AV1093=0),U1093,0)</f>
        <v>0</v>
      </c>
      <c r="CA1093" s="993">
        <f>IF(AND(Input_Product=Elig!$C1093,Elig_MatchAll_Ct&lt;22,$BC1093=(Elig_MatchAll_Ct-1),AW1093=0),V1093,0)</f>
        <v>0</v>
      </c>
      <c r="CB1093" s="994">
        <f>IF(AND(Input_Product=Elig!$C1093,Elig_MatchAll_Ct&lt;22,$BC1093=(Elig_MatchAll_Ct-1),AW1093=0),W1093,0)</f>
        <v>0</v>
      </c>
      <c r="CC1093" s="993">
        <f>IF(AND(Input_Product=Elig!$C1093,Elig_MatchAll_Ct&lt;22,$BC1093=(Elig_MatchAll_Ct-1),AX1093=0),X1093,0)</f>
        <v>0</v>
      </c>
      <c r="CD1093" s="994">
        <f>IF(AND(Input_Product=Elig!$C1093,Elig_MatchAll_Ct&lt;22,$BC1093=(Elig_MatchAll_Ct-1),AX1093=0),Y1093,0)</f>
        <v>0</v>
      </c>
      <c r="CE1093" s="993">
        <f>IF(AND(Input_LTV&lt;=AE1093,Input_Product=Elig!$C1093,Elig_MatchAll_Ct&lt;22,$BC1093=(Elig_MatchAll_Ct-1),AY1093=0),Z1093,0)</f>
        <v>0</v>
      </c>
      <c r="CF1093" s="994">
        <f>IF(AND(Input_LTV&lt;=AE1093,Input_Product=Elig!$C1093,Elig_MatchAll_Ct&lt;22,$BC1093=(Elig_MatchAll_Ct-1),AY1093=0),AA1093,0)</f>
        <v>0</v>
      </c>
      <c r="CG1093" s="993">
        <f>IF(AND(Input_Product=Elig!$C1093,Elig_MatchAll_Ct&lt;22,$BC1093=(Elig_MatchAll_Ct-1),AZ1093=0),AB1093,0)</f>
        <v>0</v>
      </c>
      <c r="CH1093" s="994">
        <f>IF(AND(Input_Product=Elig!$C1093,Elig_MatchAll_Ct&lt;22,$BC1093=(Elig_MatchAll_Ct-1),AZ1093=0),AC1093,0)</f>
        <v>0</v>
      </c>
      <c r="CI1093" s="993">
        <f>IF(AND(Input_Product=Elig!$C1093,Elig_MatchAll_Ct&lt;22,$BC1093=(Elig_MatchAll_Ct-1),BA1093=0),AD1093,0)</f>
        <v>0</v>
      </c>
      <c r="CJ1093" s="994">
        <f>IF(AND(Input_Product=Elig!$C1093,Elig_MatchAll_Ct&lt;22,$BC1093=(Elig_MatchAll_Ct-1),BA1093=0),AE1093,0)</f>
        <v>0</v>
      </c>
    </row>
    <row r="1094" spans="2:88" ht="10.15" customHeight="1" x14ac:dyDescent="0.25">
      <c r="B1094" s="1918" t="s">
        <v>2394</v>
      </c>
      <c r="C1094" s="1223" t="str">
        <f t="shared" si="417"/>
        <v xml:space="preserve"> </v>
      </c>
      <c r="D1094" s="1224" t="s">
        <v>2218</v>
      </c>
      <c r="E1094" s="1224" t="s">
        <v>167</v>
      </c>
      <c r="F1094" s="1224" t="s">
        <v>330</v>
      </c>
      <c r="G1094" s="1225" t="s">
        <v>303</v>
      </c>
      <c r="H1094" s="1225" t="s">
        <v>136</v>
      </c>
      <c r="I1094" s="1224" t="s">
        <v>274</v>
      </c>
      <c r="J1094" s="1224" t="s">
        <v>1311</v>
      </c>
      <c r="K1094" s="1225" t="s">
        <v>3022</v>
      </c>
      <c r="L1094" s="1224" t="s">
        <v>2768</v>
      </c>
      <c r="M1094" s="1224" t="s">
        <v>2677</v>
      </c>
      <c r="N1094" s="1225" t="s">
        <v>2685</v>
      </c>
      <c r="O1094" s="1224" t="s">
        <v>310</v>
      </c>
      <c r="P1094" s="1224" t="s">
        <v>291</v>
      </c>
      <c r="Q1094" s="1224" t="s">
        <v>294</v>
      </c>
      <c r="R1094" s="1224">
        <v>125000</v>
      </c>
      <c r="S1094" s="1224">
        <v>1000000</v>
      </c>
      <c r="T1094" s="1224">
        <v>0</v>
      </c>
      <c r="U1094" s="1224">
        <v>0</v>
      </c>
      <c r="V1094" s="1224">
        <v>0</v>
      </c>
      <c r="W1094" s="1224">
        <v>50</v>
      </c>
      <c r="X1094" s="1224">
        <v>0</v>
      </c>
      <c r="Y1094" s="1224">
        <v>999</v>
      </c>
      <c r="Z1094" s="1226">
        <v>680</v>
      </c>
      <c r="AA1094" s="1226">
        <v>699</v>
      </c>
      <c r="AB1094" s="1226">
        <v>3</v>
      </c>
      <c r="AC1094" s="1226">
        <v>999999</v>
      </c>
      <c r="AD1094" s="1224">
        <v>0</v>
      </c>
      <c r="AE1094" s="1227">
        <v>75</v>
      </c>
      <c r="AF1094" s="170">
        <v>0</v>
      </c>
      <c r="AG1094" s="171">
        <v>1</v>
      </c>
      <c r="AH1094" s="171">
        <v>1</v>
      </c>
      <c r="AI1094" s="171">
        <v>0</v>
      </c>
      <c r="AJ1094" s="171">
        <v>1</v>
      </c>
      <c r="AK1094" s="171">
        <v>1</v>
      </c>
      <c r="AL1094" s="171">
        <v>0</v>
      </c>
      <c r="AM1094" s="171">
        <v>1</v>
      </c>
      <c r="AN1094" s="171">
        <v>1</v>
      </c>
      <c r="AO1094" s="171">
        <v>1</v>
      </c>
      <c r="AP1094" s="171">
        <v>1</v>
      </c>
      <c r="AQ1094" s="171">
        <v>1</v>
      </c>
      <c r="AR1094" s="171">
        <v>1</v>
      </c>
      <c r="AS1094" s="171">
        <v>1</v>
      </c>
      <c r="AT1094" s="171">
        <v>1</v>
      </c>
      <c r="AU1094" s="171">
        <f t="shared" si="404"/>
        <v>1</v>
      </c>
      <c r="AV1094" s="171">
        <f t="shared" si="405"/>
        <v>0</v>
      </c>
      <c r="AW1094" s="171">
        <f t="shared" si="406"/>
        <v>1</v>
      </c>
      <c r="AX1094" s="171">
        <f t="shared" si="414"/>
        <v>1</v>
      </c>
      <c r="AY1094" s="171">
        <f t="shared" si="407"/>
        <v>0</v>
      </c>
      <c r="AZ1094" s="171">
        <f t="shared" si="408"/>
        <v>1</v>
      </c>
      <c r="BA1094" s="172">
        <f t="shared" si="409"/>
        <v>1</v>
      </c>
      <c r="BB1094" s="175">
        <f t="shared" si="411"/>
        <v>17</v>
      </c>
      <c r="BC1094" s="176">
        <f t="shared" si="412"/>
        <v>16</v>
      </c>
      <c r="BD1094" s="176">
        <f t="shared" si="413"/>
        <v>17</v>
      </c>
      <c r="BE1094" s="240" t="str">
        <f t="shared" si="403"/>
        <v/>
      </c>
      <c r="BF1094" s="990"/>
      <c r="BG1094" s="990"/>
      <c r="BH1094" s="991">
        <f>IF(AND(Input_Product=Elig!$C1094,Elig_MatchAll_Ct&lt;22,$BC1094=(Elig_MatchAll_Ct-1),AF1094=0),C1094,0)</f>
        <v>0</v>
      </c>
      <c r="BI1094" s="991">
        <f>IF(AND(Input_Product=Elig!$C1094,Elig_MatchAll_Ct&lt;22,$BC1094=(Elig_MatchAll_Ct-1),AG1094=0),D1094,0)</f>
        <v>0</v>
      </c>
      <c r="BJ1094" s="991">
        <f>IF(AND(Input_Product=Elig!$C1094,Elig_MatchAll_Ct&lt;22,$BC1094=(Elig_MatchAll_Ct-1),AH1094=0),E1094,0)</f>
        <v>0</v>
      </c>
      <c r="BK1094" s="991">
        <f>IF(AND(Input_Product=Elig!$C1094,Elig_MatchAll_Ct&lt;22,$BC1094=(Elig_MatchAll_Ct-1),AI1094=0),F1094,0)</f>
        <v>0</v>
      </c>
      <c r="BL1094" s="991">
        <f>IF(AND(Input_Product=Elig!$C1094,Elig_MatchAll_Ct&lt;22,$BC1094=(Elig_MatchAll_Ct-1),AJ1094=0),G1094,0)</f>
        <v>0</v>
      </c>
      <c r="BM1094" s="991">
        <f>IF(AND(Input_Product=Elig!$C1094,Elig_MatchAll_Ct&lt;22,$BC1094=(Elig_MatchAll_Ct-1),AK1094=0),H1094,0)</f>
        <v>0</v>
      </c>
      <c r="BN1094" s="991">
        <f>IF(AND(Input_Product=Elig!$C1094,Elig_MatchAll_Ct&lt;22,$BC1094=(Elig_MatchAll_Ct-1),AL1094=0),I1094,0)</f>
        <v>0</v>
      </c>
      <c r="BO1094" s="991">
        <f>IF(AND(Input_Product=Elig!$C1094,Elig_MatchAll_Ct&lt;22,$BC1094=(Elig_MatchAll_Ct-1),AM1094=0),J1094,0)</f>
        <v>0</v>
      </c>
      <c r="BP1094" s="991">
        <f>IF(AND(Input_Product=Elig!$C1094,Elig_MatchAll_Ct&lt;22,$BC1094=(Elig_MatchAll_Ct-1),AN1094=0),K1094,0)</f>
        <v>0</v>
      </c>
      <c r="BQ1094" s="991">
        <f>IF(AND(Input_Product=Elig!$C1094,Elig_MatchAll_Ct&lt;22,$BC1094=(Elig_MatchAll_Ct-1),AP1094=0),L1094,0)</f>
        <v>0</v>
      </c>
      <c r="BR1094" s="991">
        <f>IF(AND(Input_Product=Elig!$C1094,Elig_MatchAll_Ct&lt;22,$BC1094=(Elig_MatchAll_Ct-1),AO1094=0),M1094,0)</f>
        <v>0</v>
      </c>
      <c r="BS1094" s="991">
        <f>IF(AND(Input_Product=Elig!$C1094,Elig_MatchAll_Ct&lt;22,$BC1094=(Elig_MatchAll_Ct-1),AQ1094=0),N1094,0)</f>
        <v>0</v>
      </c>
      <c r="BT1094" s="991">
        <f>IF(AND(Input_Product=Elig!$C1094,Elig_MatchAll_Ct&lt;22,$BC1094=(Elig_MatchAll_Ct-1),AR1094=0),O1094,0)</f>
        <v>0</v>
      </c>
      <c r="BU1094" s="991">
        <f>IF(AND(Input_Product=Elig!$C1094,Elig_MatchAll_Ct&lt;22,$BC1094=(Elig_MatchAll_Ct-1),AS1094=0),P1094,0)</f>
        <v>0</v>
      </c>
      <c r="BV1094" s="992">
        <f>IF(AND(Input_Product=Elig!$C1094,Elig_MatchAll_Ct&lt;22,$BC1094=(Elig_MatchAll_Ct-1),AT1094=0),Q1094,0)</f>
        <v>0</v>
      </c>
      <c r="BW1094" s="993">
        <f>IF(AND(Input_Product=Elig!$C1094,Elig_MatchAll_Ct&lt;22,$BC1094=(Elig_MatchAll_Ct-1),AU1094=0),R1094,0)</f>
        <v>0</v>
      </c>
      <c r="BX1094" s="994">
        <f>IF(AND(Input_Product=Elig!$C1094,Elig_MatchAll_Ct&lt;22,$BC1094=(Elig_MatchAll_Ct-1),AU1094=0),S1094,0)</f>
        <v>0</v>
      </c>
      <c r="BY1094" s="993">
        <f>IF(AND(Input_Product=Elig!$C1094,Elig_MatchAll_Ct&lt;22,$BC1094=(Elig_MatchAll_Ct-1),AV1094=0),T1094,0)</f>
        <v>0</v>
      </c>
      <c r="BZ1094" s="994">
        <f>IF(AND(Input_Product=Elig!$C1094,Elig_MatchAll_Ct&lt;22,$BC1094=(Elig_MatchAll_Ct-1),AV1094=0),U1094,0)</f>
        <v>0</v>
      </c>
      <c r="CA1094" s="993">
        <f>IF(AND(Input_Product=Elig!$C1094,Elig_MatchAll_Ct&lt;22,$BC1094=(Elig_MatchAll_Ct-1),AW1094=0),V1094,0)</f>
        <v>0</v>
      </c>
      <c r="CB1094" s="994">
        <f>IF(AND(Input_Product=Elig!$C1094,Elig_MatchAll_Ct&lt;22,$BC1094=(Elig_MatchAll_Ct-1),AW1094=0),W1094,0)</f>
        <v>0</v>
      </c>
      <c r="CC1094" s="993">
        <f>IF(AND(Input_Product=Elig!$C1094,Elig_MatchAll_Ct&lt;22,$BC1094=(Elig_MatchAll_Ct-1),AX1094=0),X1094,0)</f>
        <v>0</v>
      </c>
      <c r="CD1094" s="994">
        <f>IF(AND(Input_Product=Elig!$C1094,Elig_MatchAll_Ct&lt;22,$BC1094=(Elig_MatchAll_Ct-1),AX1094=0),Y1094,0)</f>
        <v>0</v>
      </c>
      <c r="CE1094" s="993">
        <f>IF(AND(Input_LTV&lt;=AE1094,Input_Product=Elig!$C1094,Elig_MatchAll_Ct&lt;22,$BC1094=(Elig_MatchAll_Ct-1),AY1094=0),Z1094,0)</f>
        <v>0</v>
      </c>
      <c r="CF1094" s="994">
        <f>IF(AND(Input_LTV&lt;=AE1094,Input_Product=Elig!$C1094,Elig_MatchAll_Ct&lt;22,$BC1094=(Elig_MatchAll_Ct-1),AY1094=0),AA1094,0)</f>
        <v>0</v>
      </c>
      <c r="CG1094" s="993">
        <f>IF(AND(Input_Product=Elig!$C1094,Elig_MatchAll_Ct&lt;22,$BC1094=(Elig_MatchAll_Ct-1),AZ1094=0),AB1094,0)</f>
        <v>0</v>
      </c>
      <c r="CH1094" s="994">
        <f>IF(AND(Input_Product=Elig!$C1094,Elig_MatchAll_Ct&lt;22,$BC1094=(Elig_MatchAll_Ct-1),AZ1094=0),AC1094,0)</f>
        <v>0</v>
      </c>
      <c r="CI1094" s="993">
        <f>IF(AND(Input_Product=Elig!$C1094,Elig_MatchAll_Ct&lt;22,$BC1094=(Elig_MatchAll_Ct-1),BA1094=0),AD1094,0)</f>
        <v>0</v>
      </c>
      <c r="CJ1094" s="994">
        <f>IF(AND(Input_Product=Elig!$C1094,Elig_MatchAll_Ct&lt;22,$BC1094=(Elig_MatchAll_Ct-1),BA1094=0),AE1094,0)</f>
        <v>0</v>
      </c>
    </row>
    <row r="1095" spans="2:88" ht="10.15" customHeight="1" x14ac:dyDescent="0.25">
      <c r="B1095" s="1918" t="s">
        <v>2395</v>
      </c>
      <c r="C1095" s="1228" t="str">
        <f t="shared" si="417"/>
        <v xml:space="preserve"> </v>
      </c>
      <c r="D1095" s="1229" t="s">
        <v>2218</v>
      </c>
      <c r="E1095" s="1229" t="s">
        <v>167</v>
      </c>
      <c r="F1095" s="1229" t="s">
        <v>330</v>
      </c>
      <c r="G1095" s="1230" t="s">
        <v>303</v>
      </c>
      <c r="H1095" s="1230" t="s">
        <v>136</v>
      </c>
      <c r="I1095" s="1229" t="s">
        <v>274</v>
      </c>
      <c r="J1095" s="1229" t="s">
        <v>1311</v>
      </c>
      <c r="K1095" s="1230" t="s">
        <v>3022</v>
      </c>
      <c r="L1095" s="1229" t="s">
        <v>2768</v>
      </c>
      <c r="M1095" s="1229" t="s">
        <v>2677</v>
      </c>
      <c r="N1095" s="1230" t="s">
        <v>2685</v>
      </c>
      <c r="O1095" s="1229" t="s">
        <v>310</v>
      </c>
      <c r="P1095" s="1229" t="s">
        <v>291</v>
      </c>
      <c r="Q1095" s="1229" t="s">
        <v>294</v>
      </c>
      <c r="R1095" s="1229">
        <v>125000</v>
      </c>
      <c r="S1095" s="1229">
        <v>1000000</v>
      </c>
      <c r="T1095" s="1229">
        <v>0</v>
      </c>
      <c r="U1095" s="1229">
        <v>0</v>
      </c>
      <c r="V1095" s="1229">
        <v>0</v>
      </c>
      <c r="W1095" s="1229">
        <v>50</v>
      </c>
      <c r="X1095" s="1229">
        <v>0</v>
      </c>
      <c r="Y1095" s="1229">
        <v>999</v>
      </c>
      <c r="Z1095" s="1231">
        <v>660</v>
      </c>
      <c r="AA1095" s="1231">
        <v>679</v>
      </c>
      <c r="AB1095" s="1231">
        <v>3</v>
      </c>
      <c r="AC1095" s="1231">
        <v>999999</v>
      </c>
      <c r="AD1095" s="1229">
        <v>0</v>
      </c>
      <c r="AE1095" s="1232">
        <v>70</v>
      </c>
      <c r="AF1095" s="170">
        <v>0</v>
      </c>
      <c r="AG1095" s="171">
        <v>1</v>
      </c>
      <c r="AH1095" s="171">
        <v>1</v>
      </c>
      <c r="AI1095" s="171">
        <v>0</v>
      </c>
      <c r="AJ1095" s="171">
        <v>1</v>
      </c>
      <c r="AK1095" s="171">
        <v>1</v>
      </c>
      <c r="AL1095" s="171">
        <v>0</v>
      </c>
      <c r="AM1095" s="171">
        <v>1</v>
      </c>
      <c r="AN1095" s="171">
        <v>1</v>
      </c>
      <c r="AO1095" s="171">
        <v>1</v>
      </c>
      <c r="AP1095" s="171">
        <v>1</v>
      </c>
      <c r="AQ1095" s="171">
        <v>1</v>
      </c>
      <c r="AR1095" s="171">
        <v>1</v>
      </c>
      <c r="AS1095" s="171">
        <v>1</v>
      </c>
      <c r="AT1095" s="171">
        <v>1</v>
      </c>
      <c r="AU1095" s="171">
        <f t="shared" si="404"/>
        <v>1</v>
      </c>
      <c r="AV1095" s="171">
        <f t="shared" si="405"/>
        <v>0</v>
      </c>
      <c r="AW1095" s="171">
        <f t="shared" si="406"/>
        <v>1</v>
      </c>
      <c r="AX1095" s="171">
        <f t="shared" si="414"/>
        <v>1</v>
      </c>
      <c r="AY1095" s="171">
        <f t="shared" si="407"/>
        <v>0</v>
      </c>
      <c r="AZ1095" s="171">
        <f t="shared" si="408"/>
        <v>1</v>
      </c>
      <c r="BA1095" s="172">
        <f t="shared" si="409"/>
        <v>1</v>
      </c>
      <c r="BB1095" s="175">
        <f t="shared" si="411"/>
        <v>17</v>
      </c>
      <c r="BC1095" s="176">
        <f t="shared" si="412"/>
        <v>16</v>
      </c>
      <c r="BD1095" s="176">
        <f t="shared" si="413"/>
        <v>17</v>
      </c>
      <c r="BE1095" s="240" t="str">
        <f t="shared" ref="BE1095:BE1158" si="418">IF(BD1095=21,C1095,"")</f>
        <v/>
      </c>
      <c r="BF1095" s="990"/>
      <c r="BG1095" s="990"/>
      <c r="BH1095" s="991">
        <f>IF(AND(Input_Product=Elig!$C1095,Elig_MatchAll_Ct&lt;22,$BC1095=(Elig_MatchAll_Ct-1),AF1095=0),C1095,0)</f>
        <v>0</v>
      </c>
      <c r="BI1095" s="991">
        <f>IF(AND(Input_Product=Elig!$C1095,Elig_MatchAll_Ct&lt;22,$BC1095=(Elig_MatchAll_Ct-1),AG1095=0),D1095,0)</f>
        <v>0</v>
      </c>
      <c r="BJ1095" s="991">
        <f>IF(AND(Input_Product=Elig!$C1095,Elig_MatchAll_Ct&lt;22,$BC1095=(Elig_MatchAll_Ct-1),AH1095=0),E1095,0)</f>
        <v>0</v>
      </c>
      <c r="BK1095" s="991">
        <f>IF(AND(Input_Product=Elig!$C1095,Elig_MatchAll_Ct&lt;22,$BC1095=(Elig_MatchAll_Ct-1),AI1095=0),F1095,0)</f>
        <v>0</v>
      </c>
      <c r="BL1095" s="991">
        <f>IF(AND(Input_Product=Elig!$C1095,Elig_MatchAll_Ct&lt;22,$BC1095=(Elig_MatchAll_Ct-1),AJ1095=0),G1095,0)</f>
        <v>0</v>
      </c>
      <c r="BM1095" s="991">
        <f>IF(AND(Input_Product=Elig!$C1095,Elig_MatchAll_Ct&lt;22,$BC1095=(Elig_MatchAll_Ct-1),AK1095=0),H1095,0)</f>
        <v>0</v>
      </c>
      <c r="BN1095" s="991">
        <f>IF(AND(Input_Product=Elig!$C1095,Elig_MatchAll_Ct&lt;22,$BC1095=(Elig_MatchAll_Ct-1),AL1095=0),I1095,0)</f>
        <v>0</v>
      </c>
      <c r="BO1095" s="991">
        <f>IF(AND(Input_Product=Elig!$C1095,Elig_MatchAll_Ct&lt;22,$BC1095=(Elig_MatchAll_Ct-1),AM1095=0),J1095,0)</f>
        <v>0</v>
      </c>
      <c r="BP1095" s="991">
        <f>IF(AND(Input_Product=Elig!$C1095,Elig_MatchAll_Ct&lt;22,$BC1095=(Elig_MatchAll_Ct-1),AN1095=0),K1095,0)</f>
        <v>0</v>
      </c>
      <c r="BQ1095" s="991">
        <f>IF(AND(Input_Product=Elig!$C1095,Elig_MatchAll_Ct&lt;22,$BC1095=(Elig_MatchAll_Ct-1),AP1095=0),L1095,0)</f>
        <v>0</v>
      </c>
      <c r="BR1095" s="991">
        <f>IF(AND(Input_Product=Elig!$C1095,Elig_MatchAll_Ct&lt;22,$BC1095=(Elig_MatchAll_Ct-1),AO1095=0),M1095,0)</f>
        <v>0</v>
      </c>
      <c r="BS1095" s="991">
        <f>IF(AND(Input_Product=Elig!$C1095,Elig_MatchAll_Ct&lt;22,$BC1095=(Elig_MatchAll_Ct-1),AQ1095=0),N1095,0)</f>
        <v>0</v>
      </c>
      <c r="BT1095" s="991">
        <f>IF(AND(Input_Product=Elig!$C1095,Elig_MatchAll_Ct&lt;22,$BC1095=(Elig_MatchAll_Ct-1),AR1095=0),O1095,0)</f>
        <v>0</v>
      </c>
      <c r="BU1095" s="991">
        <f>IF(AND(Input_Product=Elig!$C1095,Elig_MatchAll_Ct&lt;22,$BC1095=(Elig_MatchAll_Ct-1),AS1095=0),P1095,0)</f>
        <v>0</v>
      </c>
      <c r="BV1095" s="992">
        <f>IF(AND(Input_Product=Elig!$C1095,Elig_MatchAll_Ct&lt;22,$BC1095=(Elig_MatchAll_Ct-1),AT1095=0),Q1095,0)</f>
        <v>0</v>
      </c>
      <c r="BW1095" s="993">
        <f>IF(AND(Input_Product=Elig!$C1095,Elig_MatchAll_Ct&lt;22,$BC1095=(Elig_MatchAll_Ct-1),AU1095=0),R1095,0)</f>
        <v>0</v>
      </c>
      <c r="BX1095" s="994">
        <f>IF(AND(Input_Product=Elig!$C1095,Elig_MatchAll_Ct&lt;22,$BC1095=(Elig_MatchAll_Ct-1),AU1095=0),S1095,0)</f>
        <v>0</v>
      </c>
      <c r="BY1095" s="993">
        <f>IF(AND(Input_Product=Elig!$C1095,Elig_MatchAll_Ct&lt;22,$BC1095=(Elig_MatchAll_Ct-1),AV1095=0),T1095,0)</f>
        <v>0</v>
      </c>
      <c r="BZ1095" s="994">
        <f>IF(AND(Input_Product=Elig!$C1095,Elig_MatchAll_Ct&lt;22,$BC1095=(Elig_MatchAll_Ct-1),AV1095=0),U1095,0)</f>
        <v>0</v>
      </c>
      <c r="CA1095" s="993">
        <f>IF(AND(Input_Product=Elig!$C1095,Elig_MatchAll_Ct&lt;22,$BC1095=(Elig_MatchAll_Ct-1),AW1095=0),V1095,0)</f>
        <v>0</v>
      </c>
      <c r="CB1095" s="994">
        <f>IF(AND(Input_Product=Elig!$C1095,Elig_MatchAll_Ct&lt;22,$BC1095=(Elig_MatchAll_Ct-1),AW1095=0),W1095,0)</f>
        <v>0</v>
      </c>
      <c r="CC1095" s="993">
        <f>IF(AND(Input_Product=Elig!$C1095,Elig_MatchAll_Ct&lt;22,$BC1095=(Elig_MatchAll_Ct-1),AX1095=0),X1095,0)</f>
        <v>0</v>
      </c>
      <c r="CD1095" s="994">
        <f>IF(AND(Input_Product=Elig!$C1095,Elig_MatchAll_Ct&lt;22,$BC1095=(Elig_MatchAll_Ct-1),AX1095=0),Y1095,0)</f>
        <v>0</v>
      </c>
      <c r="CE1095" s="993">
        <f>IF(AND(Input_LTV&lt;=AE1095,Input_Product=Elig!$C1095,Elig_MatchAll_Ct&lt;22,$BC1095=(Elig_MatchAll_Ct-1),AY1095=0),Z1095,0)</f>
        <v>0</v>
      </c>
      <c r="CF1095" s="994">
        <f>IF(AND(Input_LTV&lt;=AE1095,Input_Product=Elig!$C1095,Elig_MatchAll_Ct&lt;22,$BC1095=(Elig_MatchAll_Ct-1),AY1095=0),AA1095,0)</f>
        <v>0</v>
      </c>
      <c r="CG1095" s="993">
        <f>IF(AND(Input_Product=Elig!$C1095,Elig_MatchAll_Ct&lt;22,$BC1095=(Elig_MatchAll_Ct-1),AZ1095=0),AB1095,0)</f>
        <v>0</v>
      </c>
      <c r="CH1095" s="994">
        <f>IF(AND(Input_Product=Elig!$C1095,Elig_MatchAll_Ct&lt;22,$BC1095=(Elig_MatchAll_Ct-1),AZ1095=0),AC1095,0)</f>
        <v>0</v>
      </c>
      <c r="CI1095" s="993">
        <f>IF(AND(Input_Product=Elig!$C1095,Elig_MatchAll_Ct&lt;22,$BC1095=(Elig_MatchAll_Ct-1),BA1095=0),AD1095,0)</f>
        <v>0</v>
      </c>
      <c r="CJ1095" s="994">
        <f>IF(AND(Input_Product=Elig!$C1095,Elig_MatchAll_Ct&lt;22,$BC1095=(Elig_MatchAll_Ct-1),BA1095=0),AE1095,0)</f>
        <v>0</v>
      </c>
    </row>
    <row r="1096" spans="2:88" ht="10.15" customHeight="1" x14ac:dyDescent="0.25">
      <c r="B1096" s="1918" t="s">
        <v>2396</v>
      </c>
      <c r="C1096" s="1218" t="str">
        <f t="shared" si="417"/>
        <v xml:space="preserve"> </v>
      </c>
      <c r="D1096" s="1219" t="s">
        <v>2218</v>
      </c>
      <c r="E1096" s="1219" t="s">
        <v>167</v>
      </c>
      <c r="F1096" s="1219" t="s">
        <v>330</v>
      </c>
      <c r="G1096" s="1220" t="s">
        <v>303</v>
      </c>
      <c r="H1096" s="1220" t="s">
        <v>136</v>
      </c>
      <c r="I1096" s="1219" t="s">
        <v>274</v>
      </c>
      <c r="J1096" s="1219" t="s">
        <v>1311</v>
      </c>
      <c r="K1096" s="1220" t="s">
        <v>3022</v>
      </c>
      <c r="L1096" s="1219" t="s">
        <v>2768</v>
      </c>
      <c r="M1096" s="1219" t="s">
        <v>2677</v>
      </c>
      <c r="N1096" s="1220" t="s">
        <v>2685</v>
      </c>
      <c r="O1096" s="1219" t="s">
        <v>310</v>
      </c>
      <c r="P1096" s="1219" t="s">
        <v>291</v>
      </c>
      <c r="Q1096" s="1219" t="s">
        <v>294</v>
      </c>
      <c r="R1096" s="1219">
        <v>1000000.01</v>
      </c>
      <c r="S1096" s="1219">
        <v>1500000</v>
      </c>
      <c r="T1096" s="1219">
        <v>0</v>
      </c>
      <c r="U1096" s="1219">
        <v>0</v>
      </c>
      <c r="V1096" s="1219">
        <v>0</v>
      </c>
      <c r="W1096" s="1219">
        <v>50</v>
      </c>
      <c r="X1096" s="1219">
        <v>0</v>
      </c>
      <c r="Y1096" s="1219">
        <v>999</v>
      </c>
      <c r="Z1096" s="1221">
        <v>720</v>
      </c>
      <c r="AA1096" s="1221">
        <v>999</v>
      </c>
      <c r="AB1096" s="1221">
        <v>6</v>
      </c>
      <c r="AC1096" s="1221">
        <v>999999</v>
      </c>
      <c r="AD1096" s="1219">
        <v>0</v>
      </c>
      <c r="AE1096" s="1222">
        <v>80</v>
      </c>
      <c r="AF1096" s="170">
        <v>0</v>
      </c>
      <c r="AG1096" s="171">
        <v>1</v>
      </c>
      <c r="AH1096" s="171">
        <v>1</v>
      </c>
      <c r="AI1096" s="171">
        <v>0</v>
      </c>
      <c r="AJ1096" s="171">
        <v>1</v>
      </c>
      <c r="AK1096" s="171">
        <v>1</v>
      </c>
      <c r="AL1096" s="171">
        <v>0</v>
      </c>
      <c r="AM1096" s="171">
        <v>1</v>
      </c>
      <c r="AN1096" s="171">
        <v>1</v>
      </c>
      <c r="AO1096" s="171">
        <v>1</v>
      </c>
      <c r="AP1096" s="171">
        <v>1</v>
      </c>
      <c r="AQ1096" s="171">
        <v>1</v>
      </c>
      <c r="AR1096" s="171">
        <v>1</v>
      </c>
      <c r="AS1096" s="171">
        <v>1</v>
      </c>
      <c r="AT1096" s="171">
        <v>1</v>
      </c>
      <c r="AU1096" s="171">
        <f t="shared" si="404"/>
        <v>0</v>
      </c>
      <c r="AV1096" s="171">
        <f t="shared" si="405"/>
        <v>0</v>
      </c>
      <c r="AW1096" s="171">
        <f t="shared" si="406"/>
        <v>1</v>
      </c>
      <c r="AX1096" s="171">
        <f t="shared" si="414"/>
        <v>1</v>
      </c>
      <c r="AY1096" s="171">
        <f t="shared" si="407"/>
        <v>1</v>
      </c>
      <c r="AZ1096" s="171">
        <f t="shared" si="408"/>
        <v>1</v>
      </c>
      <c r="BA1096" s="172">
        <f t="shared" si="409"/>
        <v>1</v>
      </c>
      <c r="BB1096" s="175">
        <f t="shared" si="411"/>
        <v>17</v>
      </c>
      <c r="BC1096" s="176">
        <f t="shared" si="412"/>
        <v>16</v>
      </c>
      <c r="BD1096" s="176">
        <f t="shared" si="413"/>
        <v>17</v>
      </c>
      <c r="BE1096" s="240" t="str">
        <f t="shared" si="418"/>
        <v/>
      </c>
      <c r="BF1096" s="990"/>
      <c r="BG1096" s="990"/>
      <c r="BH1096" s="991">
        <f>IF(AND(Input_Product=Elig!$C1096,Elig_MatchAll_Ct&lt;22,$BC1096=(Elig_MatchAll_Ct-1),AF1096=0),C1096,0)</f>
        <v>0</v>
      </c>
      <c r="BI1096" s="991">
        <f>IF(AND(Input_Product=Elig!$C1096,Elig_MatchAll_Ct&lt;22,$BC1096=(Elig_MatchAll_Ct-1),AG1096=0),D1096,0)</f>
        <v>0</v>
      </c>
      <c r="BJ1096" s="991">
        <f>IF(AND(Input_Product=Elig!$C1096,Elig_MatchAll_Ct&lt;22,$BC1096=(Elig_MatchAll_Ct-1),AH1096=0),E1096,0)</f>
        <v>0</v>
      </c>
      <c r="BK1096" s="991">
        <f>IF(AND(Input_Product=Elig!$C1096,Elig_MatchAll_Ct&lt;22,$BC1096=(Elig_MatchAll_Ct-1),AI1096=0),F1096,0)</f>
        <v>0</v>
      </c>
      <c r="BL1096" s="991">
        <f>IF(AND(Input_Product=Elig!$C1096,Elig_MatchAll_Ct&lt;22,$BC1096=(Elig_MatchAll_Ct-1),AJ1096=0),G1096,0)</f>
        <v>0</v>
      </c>
      <c r="BM1096" s="991">
        <f>IF(AND(Input_Product=Elig!$C1096,Elig_MatchAll_Ct&lt;22,$BC1096=(Elig_MatchAll_Ct-1),AK1096=0),H1096,0)</f>
        <v>0</v>
      </c>
      <c r="BN1096" s="991">
        <f>IF(AND(Input_Product=Elig!$C1096,Elig_MatchAll_Ct&lt;22,$BC1096=(Elig_MatchAll_Ct-1),AL1096=0),I1096,0)</f>
        <v>0</v>
      </c>
      <c r="BO1096" s="991">
        <f>IF(AND(Input_Product=Elig!$C1096,Elig_MatchAll_Ct&lt;22,$BC1096=(Elig_MatchAll_Ct-1),AM1096=0),J1096,0)</f>
        <v>0</v>
      </c>
      <c r="BP1096" s="991">
        <f>IF(AND(Input_Product=Elig!$C1096,Elig_MatchAll_Ct&lt;22,$BC1096=(Elig_MatchAll_Ct-1),AN1096=0),K1096,0)</f>
        <v>0</v>
      </c>
      <c r="BQ1096" s="991">
        <f>IF(AND(Input_Product=Elig!$C1096,Elig_MatchAll_Ct&lt;22,$BC1096=(Elig_MatchAll_Ct-1),AP1096=0),L1096,0)</f>
        <v>0</v>
      </c>
      <c r="BR1096" s="991">
        <f>IF(AND(Input_Product=Elig!$C1096,Elig_MatchAll_Ct&lt;22,$BC1096=(Elig_MatchAll_Ct-1),AO1096=0),M1096,0)</f>
        <v>0</v>
      </c>
      <c r="BS1096" s="991">
        <f>IF(AND(Input_Product=Elig!$C1096,Elig_MatchAll_Ct&lt;22,$BC1096=(Elig_MatchAll_Ct-1),AQ1096=0),N1096,0)</f>
        <v>0</v>
      </c>
      <c r="BT1096" s="991">
        <f>IF(AND(Input_Product=Elig!$C1096,Elig_MatchAll_Ct&lt;22,$BC1096=(Elig_MatchAll_Ct-1),AR1096=0),O1096,0)</f>
        <v>0</v>
      </c>
      <c r="BU1096" s="991">
        <f>IF(AND(Input_Product=Elig!$C1096,Elig_MatchAll_Ct&lt;22,$BC1096=(Elig_MatchAll_Ct-1),AS1096=0),P1096,0)</f>
        <v>0</v>
      </c>
      <c r="BV1096" s="992">
        <f>IF(AND(Input_Product=Elig!$C1096,Elig_MatchAll_Ct&lt;22,$BC1096=(Elig_MatchAll_Ct-1),AT1096=0),Q1096,0)</f>
        <v>0</v>
      </c>
      <c r="BW1096" s="993">
        <f>IF(AND(Input_Product=Elig!$C1096,Elig_MatchAll_Ct&lt;22,$BC1096=(Elig_MatchAll_Ct-1),AU1096=0),R1096,0)</f>
        <v>0</v>
      </c>
      <c r="BX1096" s="994">
        <f>IF(AND(Input_Product=Elig!$C1096,Elig_MatchAll_Ct&lt;22,$BC1096=(Elig_MatchAll_Ct-1),AU1096=0),S1096,0)</f>
        <v>0</v>
      </c>
      <c r="BY1096" s="993">
        <f>IF(AND(Input_Product=Elig!$C1096,Elig_MatchAll_Ct&lt;22,$BC1096=(Elig_MatchAll_Ct-1),AV1096=0),T1096,0)</f>
        <v>0</v>
      </c>
      <c r="BZ1096" s="994">
        <f>IF(AND(Input_Product=Elig!$C1096,Elig_MatchAll_Ct&lt;22,$BC1096=(Elig_MatchAll_Ct-1),AV1096=0),U1096,0)</f>
        <v>0</v>
      </c>
      <c r="CA1096" s="993">
        <f>IF(AND(Input_Product=Elig!$C1096,Elig_MatchAll_Ct&lt;22,$BC1096=(Elig_MatchAll_Ct-1),AW1096=0),V1096,0)</f>
        <v>0</v>
      </c>
      <c r="CB1096" s="994">
        <f>IF(AND(Input_Product=Elig!$C1096,Elig_MatchAll_Ct&lt;22,$BC1096=(Elig_MatchAll_Ct-1),AW1096=0),W1096,0)</f>
        <v>0</v>
      </c>
      <c r="CC1096" s="993">
        <f>IF(AND(Input_Product=Elig!$C1096,Elig_MatchAll_Ct&lt;22,$BC1096=(Elig_MatchAll_Ct-1),AX1096=0),X1096,0)</f>
        <v>0</v>
      </c>
      <c r="CD1096" s="994">
        <f>IF(AND(Input_Product=Elig!$C1096,Elig_MatchAll_Ct&lt;22,$BC1096=(Elig_MatchAll_Ct-1),AX1096=0),Y1096,0)</f>
        <v>0</v>
      </c>
      <c r="CE1096" s="993">
        <f>IF(AND(Input_LTV&lt;=AE1096,Input_Product=Elig!$C1096,Elig_MatchAll_Ct&lt;22,$BC1096=(Elig_MatchAll_Ct-1),AY1096=0),Z1096,0)</f>
        <v>0</v>
      </c>
      <c r="CF1096" s="994">
        <f>IF(AND(Input_LTV&lt;=AE1096,Input_Product=Elig!$C1096,Elig_MatchAll_Ct&lt;22,$BC1096=(Elig_MatchAll_Ct-1),AY1096=0),AA1096,0)</f>
        <v>0</v>
      </c>
      <c r="CG1096" s="993">
        <f>IF(AND(Input_Product=Elig!$C1096,Elig_MatchAll_Ct&lt;22,$BC1096=(Elig_MatchAll_Ct-1),AZ1096=0),AB1096,0)</f>
        <v>0</v>
      </c>
      <c r="CH1096" s="994">
        <f>IF(AND(Input_Product=Elig!$C1096,Elig_MatchAll_Ct&lt;22,$BC1096=(Elig_MatchAll_Ct-1),AZ1096=0),AC1096,0)</f>
        <v>0</v>
      </c>
      <c r="CI1096" s="993">
        <f>IF(AND(Input_Product=Elig!$C1096,Elig_MatchAll_Ct&lt;22,$BC1096=(Elig_MatchAll_Ct-1),BA1096=0),AD1096,0)</f>
        <v>0</v>
      </c>
      <c r="CJ1096" s="994">
        <f>IF(AND(Input_Product=Elig!$C1096,Elig_MatchAll_Ct&lt;22,$BC1096=(Elig_MatchAll_Ct-1),BA1096=0),AE1096,0)</f>
        <v>0</v>
      </c>
    </row>
    <row r="1097" spans="2:88" ht="10.15" customHeight="1" x14ac:dyDescent="0.25">
      <c r="B1097" s="1918" t="s">
        <v>2397</v>
      </c>
      <c r="C1097" s="1223" t="str">
        <f t="shared" si="417"/>
        <v xml:space="preserve"> </v>
      </c>
      <c r="D1097" s="1224" t="s">
        <v>2218</v>
      </c>
      <c r="E1097" s="1224" t="s">
        <v>167</v>
      </c>
      <c r="F1097" s="1224" t="s">
        <v>330</v>
      </c>
      <c r="G1097" s="1225" t="s">
        <v>303</v>
      </c>
      <c r="H1097" s="1225" t="s">
        <v>136</v>
      </c>
      <c r="I1097" s="1224" t="s">
        <v>274</v>
      </c>
      <c r="J1097" s="1224" t="s">
        <v>1311</v>
      </c>
      <c r="K1097" s="1225" t="s">
        <v>3022</v>
      </c>
      <c r="L1097" s="1224" t="s">
        <v>2768</v>
      </c>
      <c r="M1097" s="1224" t="s">
        <v>2677</v>
      </c>
      <c r="N1097" s="1225" t="s">
        <v>2685</v>
      </c>
      <c r="O1097" s="1224" t="s">
        <v>310</v>
      </c>
      <c r="P1097" s="1224" t="s">
        <v>291</v>
      </c>
      <c r="Q1097" s="1224" t="s">
        <v>294</v>
      </c>
      <c r="R1097" s="1224">
        <v>1000000.01</v>
      </c>
      <c r="S1097" s="1224">
        <v>1500000</v>
      </c>
      <c r="T1097" s="1224">
        <v>0</v>
      </c>
      <c r="U1097" s="1224">
        <v>0</v>
      </c>
      <c r="V1097" s="1224">
        <v>0</v>
      </c>
      <c r="W1097" s="1224">
        <v>50</v>
      </c>
      <c r="X1097" s="1224">
        <v>0</v>
      </c>
      <c r="Y1097" s="1224">
        <v>999</v>
      </c>
      <c r="Z1097" s="1226">
        <v>700</v>
      </c>
      <c r="AA1097" s="1226">
        <v>719</v>
      </c>
      <c r="AB1097" s="1226">
        <v>6</v>
      </c>
      <c r="AC1097" s="1226">
        <v>999999</v>
      </c>
      <c r="AD1097" s="1224">
        <v>0</v>
      </c>
      <c r="AE1097" s="1227">
        <v>80</v>
      </c>
      <c r="AF1097" s="170">
        <v>0</v>
      </c>
      <c r="AG1097" s="171">
        <v>1</v>
      </c>
      <c r="AH1097" s="171">
        <v>1</v>
      </c>
      <c r="AI1097" s="171">
        <v>0</v>
      </c>
      <c r="AJ1097" s="171">
        <v>1</v>
      </c>
      <c r="AK1097" s="171">
        <v>1</v>
      </c>
      <c r="AL1097" s="171">
        <v>0</v>
      </c>
      <c r="AM1097" s="171">
        <v>1</v>
      </c>
      <c r="AN1097" s="171">
        <v>1</v>
      </c>
      <c r="AO1097" s="171">
        <v>1</v>
      </c>
      <c r="AP1097" s="171">
        <v>1</v>
      </c>
      <c r="AQ1097" s="171">
        <v>1</v>
      </c>
      <c r="AR1097" s="171">
        <v>1</v>
      </c>
      <c r="AS1097" s="171">
        <v>1</v>
      </c>
      <c r="AT1097" s="171">
        <v>1</v>
      </c>
      <c r="AU1097" s="171">
        <f t="shared" si="404"/>
        <v>0</v>
      </c>
      <c r="AV1097" s="171">
        <f t="shared" si="405"/>
        <v>0</v>
      </c>
      <c r="AW1097" s="171">
        <f t="shared" si="406"/>
        <v>1</v>
      </c>
      <c r="AX1097" s="171">
        <f t="shared" si="414"/>
        <v>1</v>
      </c>
      <c r="AY1097" s="171">
        <f t="shared" si="407"/>
        <v>0</v>
      </c>
      <c r="AZ1097" s="171">
        <f t="shared" si="408"/>
        <v>1</v>
      </c>
      <c r="BA1097" s="172">
        <f t="shared" si="409"/>
        <v>1</v>
      </c>
      <c r="BB1097" s="175">
        <f t="shared" si="411"/>
        <v>16</v>
      </c>
      <c r="BC1097" s="176">
        <f t="shared" si="412"/>
        <v>15</v>
      </c>
      <c r="BD1097" s="176">
        <f t="shared" si="413"/>
        <v>16</v>
      </c>
      <c r="BE1097" s="240" t="str">
        <f t="shared" si="418"/>
        <v/>
      </c>
      <c r="BF1097" s="990"/>
      <c r="BG1097" s="990"/>
      <c r="BH1097" s="991">
        <f>IF(AND(Input_Product=Elig!$C1097,Elig_MatchAll_Ct&lt;22,$BC1097=(Elig_MatchAll_Ct-1),AF1097=0),C1097,0)</f>
        <v>0</v>
      </c>
      <c r="BI1097" s="991">
        <f>IF(AND(Input_Product=Elig!$C1097,Elig_MatchAll_Ct&lt;22,$BC1097=(Elig_MatchAll_Ct-1),AG1097=0),D1097,0)</f>
        <v>0</v>
      </c>
      <c r="BJ1097" s="991">
        <f>IF(AND(Input_Product=Elig!$C1097,Elig_MatchAll_Ct&lt;22,$BC1097=(Elig_MatchAll_Ct-1),AH1097=0),E1097,0)</f>
        <v>0</v>
      </c>
      <c r="BK1097" s="991">
        <f>IF(AND(Input_Product=Elig!$C1097,Elig_MatchAll_Ct&lt;22,$BC1097=(Elig_MatchAll_Ct-1),AI1097=0),F1097,0)</f>
        <v>0</v>
      </c>
      <c r="BL1097" s="991">
        <f>IF(AND(Input_Product=Elig!$C1097,Elig_MatchAll_Ct&lt;22,$BC1097=(Elig_MatchAll_Ct-1),AJ1097=0),G1097,0)</f>
        <v>0</v>
      </c>
      <c r="BM1097" s="991">
        <f>IF(AND(Input_Product=Elig!$C1097,Elig_MatchAll_Ct&lt;22,$BC1097=(Elig_MatchAll_Ct-1),AK1097=0),H1097,0)</f>
        <v>0</v>
      </c>
      <c r="BN1097" s="991">
        <f>IF(AND(Input_Product=Elig!$C1097,Elig_MatchAll_Ct&lt;22,$BC1097=(Elig_MatchAll_Ct-1),AL1097=0),I1097,0)</f>
        <v>0</v>
      </c>
      <c r="BO1097" s="991">
        <f>IF(AND(Input_Product=Elig!$C1097,Elig_MatchAll_Ct&lt;22,$BC1097=(Elig_MatchAll_Ct-1),AM1097=0),J1097,0)</f>
        <v>0</v>
      </c>
      <c r="BP1097" s="991">
        <f>IF(AND(Input_Product=Elig!$C1097,Elig_MatchAll_Ct&lt;22,$BC1097=(Elig_MatchAll_Ct-1),AN1097=0),K1097,0)</f>
        <v>0</v>
      </c>
      <c r="BQ1097" s="991">
        <f>IF(AND(Input_Product=Elig!$C1097,Elig_MatchAll_Ct&lt;22,$BC1097=(Elig_MatchAll_Ct-1),AP1097=0),L1097,0)</f>
        <v>0</v>
      </c>
      <c r="BR1097" s="991">
        <f>IF(AND(Input_Product=Elig!$C1097,Elig_MatchAll_Ct&lt;22,$BC1097=(Elig_MatchAll_Ct-1),AO1097=0),M1097,0)</f>
        <v>0</v>
      </c>
      <c r="BS1097" s="991">
        <f>IF(AND(Input_Product=Elig!$C1097,Elig_MatchAll_Ct&lt;22,$BC1097=(Elig_MatchAll_Ct-1),AQ1097=0),N1097,0)</f>
        <v>0</v>
      </c>
      <c r="BT1097" s="991">
        <f>IF(AND(Input_Product=Elig!$C1097,Elig_MatchAll_Ct&lt;22,$BC1097=(Elig_MatchAll_Ct-1),AR1097=0),O1097,0)</f>
        <v>0</v>
      </c>
      <c r="BU1097" s="991">
        <f>IF(AND(Input_Product=Elig!$C1097,Elig_MatchAll_Ct&lt;22,$BC1097=(Elig_MatchAll_Ct-1),AS1097=0),P1097,0)</f>
        <v>0</v>
      </c>
      <c r="BV1097" s="992">
        <f>IF(AND(Input_Product=Elig!$C1097,Elig_MatchAll_Ct&lt;22,$BC1097=(Elig_MatchAll_Ct-1),AT1097=0),Q1097,0)</f>
        <v>0</v>
      </c>
      <c r="BW1097" s="993">
        <f>IF(AND(Input_Product=Elig!$C1097,Elig_MatchAll_Ct&lt;22,$BC1097=(Elig_MatchAll_Ct-1),AU1097=0),R1097,0)</f>
        <v>0</v>
      </c>
      <c r="BX1097" s="994">
        <f>IF(AND(Input_Product=Elig!$C1097,Elig_MatchAll_Ct&lt;22,$BC1097=(Elig_MatchAll_Ct-1),AU1097=0),S1097,0)</f>
        <v>0</v>
      </c>
      <c r="BY1097" s="993">
        <f>IF(AND(Input_Product=Elig!$C1097,Elig_MatchAll_Ct&lt;22,$BC1097=(Elig_MatchAll_Ct-1),AV1097=0),T1097,0)</f>
        <v>0</v>
      </c>
      <c r="BZ1097" s="994">
        <f>IF(AND(Input_Product=Elig!$C1097,Elig_MatchAll_Ct&lt;22,$BC1097=(Elig_MatchAll_Ct-1),AV1097=0),U1097,0)</f>
        <v>0</v>
      </c>
      <c r="CA1097" s="993">
        <f>IF(AND(Input_Product=Elig!$C1097,Elig_MatchAll_Ct&lt;22,$BC1097=(Elig_MatchAll_Ct-1),AW1097=0),V1097,0)</f>
        <v>0</v>
      </c>
      <c r="CB1097" s="994">
        <f>IF(AND(Input_Product=Elig!$C1097,Elig_MatchAll_Ct&lt;22,$BC1097=(Elig_MatchAll_Ct-1),AW1097=0),W1097,0)</f>
        <v>0</v>
      </c>
      <c r="CC1097" s="993">
        <f>IF(AND(Input_Product=Elig!$C1097,Elig_MatchAll_Ct&lt;22,$BC1097=(Elig_MatchAll_Ct-1),AX1097=0),X1097,0)</f>
        <v>0</v>
      </c>
      <c r="CD1097" s="994">
        <f>IF(AND(Input_Product=Elig!$C1097,Elig_MatchAll_Ct&lt;22,$BC1097=(Elig_MatchAll_Ct-1),AX1097=0),Y1097,0)</f>
        <v>0</v>
      </c>
      <c r="CE1097" s="993">
        <f>IF(AND(Input_LTV&lt;=AE1097,Input_Product=Elig!$C1097,Elig_MatchAll_Ct&lt;22,$BC1097=(Elig_MatchAll_Ct-1),AY1097=0),Z1097,0)</f>
        <v>0</v>
      </c>
      <c r="CF1097" s="994">
        <f>IF(AND(Input_LTV&lt;=AE1097,Input_Product=Elig!$C1097,Elig_MatchAll_Ct&lt;22,$BC1097=(Elig_MatchAll_Ct-1),AY1097=0),AA1097,0)</f>
        <v>0</v>
      </c>
      <c r="CG1097" s="993">
        <f>IF(AND(Input_Product=Elig!$C1097,Elig_MatchAll_Ct&lt;22,$BC1097=(Elig_MatchAll_Ct-1),AZ1097=0),AB1097,0)</f>
        <v>0</v>
      </c>
      <c r="CH1097" s="994">
        <f>IF(AND(Input_Product=Elig!$C1097,Elig_MatchAll_Ct&lt;22,$BC1097=(Elig_MatchAll_Ct-1),AZ1097=0),AC1097,0)</f>
        <v>0</v>
      </c>
      <c r="CI1097" s="993">
        <f>IF(AND(Input_Product=Elig!$C1097,Elig_MatchAll_Ct&lt;22,$BC1097=(Elig_MatchAll_Ct-1),BA1097=0),AD1097,0)</f>
        <v>0</v>
      </c>
      <c r="CJ1097" s="994">
        <f>IF(AND(Input_Product=Elig!$C1097,Elig_MatchAll_Ct&lt;22,$BC1097=(Elig_MatchAll_Ct-1),BA1097=0),AE1097,0)</f>
        <v>0</v>
      </c>
    </row>
    <row r="1098" spans="2:88" ht="10.15" customHeight="1" x14ac:dyDescent="0.25">
      <c r="B1098" s="1918" t="s">
        <v>2398</v>
      </c>
      <c r="C1098" s="1223" t="str">
        <f t="shared" si="417"/>
        <v xml:space="preserve"> </v>
      </c>
      <c r="D1098" s="1224" t="s">
        <v>2218</v>
      </c>
      <c r="E1098" s="1224" t="s">
        <v>167</v>
      </c>
      <c r="F1098" s="1224" t="s">
        <v>330</v>
      </c>
      <c r="G1098" s="1225" t="s">
        <v>303</v>
      </c>
      <c r="H1098" s="1225" t="s">
        <v>136</v>
      </c>
      <c r="I1098" s="1224" t="s">
        <v>274</v>
      </c>
      <c r="J1098" s="1224" t="s">
        <v>1311</v>
      </c>
      <c r="K1098" s="1225" t="s">
        <v>3022</v>
      </c>
      <c r="L1098" s="1224" t="s">
        <v>2768</v>
      </c>
      <c r="M1098" s="1224" t="s">
        <v>2677</v>
      </c>
      <c r="N1098" s="1225" t="s">
        <v>2685</v>
      </c>
      <c r="O1098" s="1224" t="s">
        <v>310</v>
      </c>
      <c r="P1098" s="1224" t="s">
        <v>291</v>
      </c>
      <c r="Q1098" s="1224" t="s">
        <v>294</v>
      </c>
      <c r="R1098" s="1224">
        <v>1000000.01</v>
      </c>
      <c r="S1098" s="1224">
        <v>1500000</v>
      </c>
      <c r="T1098" s="1224">
        <v>0</v>
      </c>
      <c r="U1098" s="1224">
        <v>0</v>
      </c>
      <c r="V1098" s="1224">
        <v>0</v>
      </c>
      <c r="W1098" s="1224">
        <v>50</v>
      </c>
      <c r="X1098" s="1224">
        <v>0</v>
      </c>
      <c r="Y1098" s="1224">
        <v>999</v>
      </c>
      <c r="Z1098" s="1226">
        <v>680</v>
      </c>
      <c r="AA1098" s="1226">
        <v>699</v>
      </c>
      <c r="AB1098" s="1226">
        <v>6</v>
      </c>
      <c r="AC1098" s="1226">
        <v>999999</v>
      </c>
      <c r="AD1098" s="1224">
        <v>0</v>
      </c>
      <c r="AE1098" s="1227">
        <v>75</v>
      </c>
      <c r="AF1098" s="170">
        <v>0</v>
      </c>
      <c r="AG1098" s="171">
        <v>1</v>
      </c>
      <c r="AH1098" s="171">
        <v>1</v>
      </c>
      <c r="AI1098" s="171">
        <v>0</v>
      </c>
      <c r="AJ1098" s="171">
        <v>1</v>
      </c>
      <c r="AK1098" s="171">
        <v>1</v>
      </c>
      <c r="AL1098" s="171">
        <v>0</v>
      </c>
      <c r="AM1098" s="171">
        <v>1</v>
      </c>
      <c r="AN1098" s="171">
        <v>1</v>
      </c>
      <c r="AO1098" s="171">
        <v>1</v>
      </c>
      <c r="AP1098" s="171">
        <v>1</v>
      </c>
      <c r="AQ1098" s="171">
        <v>1</v>
      </c>
      <c r="AR1098" s="171">
        <v>1</v>
      </c>
      <c r="AS1098" s="171">
        <v>1</v>
      </c>
      <c r="AT1098" s="171">
        <v>1</v>
      </c>
      <c r="AU1098" s="171">
        <f t="shared" si="404"/>
        <v>0</v>
      </c>
      <c r="AV1098" s="171">
        <f t="shared" si="405"/>
        <v>0</v>
      </c>
      <c r="AW1098" s="171">
        <f t="shared" si="406"/>
        <v>1</v>
      </c>
      <c r="AX1098" s="171">
        <f t="shared" si="414"/>
        <v>1</v>
      </c>
      <c r="AY1098" s="171">
        <f t="shared" si="407"/>
        <v>0</v>
      </c>
      <c r="AZ1098" s="171">
        <f t="shared" si="408"/>
        <v>1</v>
      </c>
      <c r="BA1098" s="172">
        <f t="shared" si="409"/>
        <v>1</v>
      </c>
      <c r="BB1098" s="175">
        <f t="shared" si="411"/>
        <v>16</v>
      </c>
      <c r="BC1098" s="176">
        <f t="shared" si="412"/>
        <v>15</v>
      </c>
      <c r="BD1098" s="176">
        <f t="shared" si="413"/>
        <v>16</v>
      </c>
      <c r="BE1098" s="240" t="str">
        <f t="shared" si="418"/>
        <v/>
      </c>
      <c r="BF1098" s="990"/>
      <c r="BG1098" s="990"/>
      <c r="BH1098" s="991">
        <f>IF(AND(Input_Product=Elig!$C1098,Elig_MatchAll_Ct&lt;22,$BC1098=(Elig_MatchAll_Ct-1),AF1098=0),C1098,0)</f>
        <v>0</v>
      </c>
      <c r="BI1098" s="991">
        <f>IF(AND(Input_Product=Elig!$C1098,Elig_MatchAll_Ct&lt;22,$BC1098=(Elig_MatchAll_Ct-1),AG1098=0),D1098,0)</f>
        <v>0</v>
      </c>
      <c r="BJ1098" s="991">
        <f>IF(AND(Input_Product=Elig!$C1098,Elig_MatchAll_Ct&lt;22,$BC1098=(Elig_MatchAll_Ct-1),AH1098=0),E1098,0)</f>
        <v>0</v>
      </c>
      <c r="BK1098" s="991">
        <f>IF(AND(Input_Product=Elig!$C1098,Elig_MatchAll_Ct&lt;22,$BC1098=(Elig_MatchAll_Ct-1),AI1098=0),F1098,0)</f>
        <v>0</v>
      </c>
      <c r="BL1098" s="991">
        <f>IF(AND(Input_Product=Elig!$C1098,Elig_MatchAll_Ct&lt;22,$BC1098=(Elig_MatchAll_Ct-1),AJ1098=0),G1098,0)</f>
        <v>0</v>
      </c>
      <c r="BM1098" s="991">
        <f>IF(AND(Input_Product=Elig!$C1098,Elig_MatchAll_Ct&lt;22,$BC1098=(Elig_MatchAll_Ct-1),AK1098=0),H1098,0)</f>
        <v>0</v>
      </c>
      <c r="BN1098" s="991">
        <f>IF(AND(Input_Product=Elig!$C1098,Elig_MatchAll_Ct&lt;22,$BC1098=(Elig_MatchAll_Ct-1),AL1098=0),I1098,0)</f>
        <v>0</v>
      </c>
      <c r="BO1098" s="991">
        <f>IF(AND(Input_Product=Elig!$C1098,Elig_MatchAll_Ct&lt;22,$BC1098=(Elig_MatchAll_Ct-1),AM1098=0),J1098,0)</f>
        <v>0</v>
      </c>
      <c r="BP1098" s="991">
        <f>IF(AND(Input_Product=Elig!$C1098,Elig_MatchAll_Ct&lt;22,$BC1098=(Elig_MatchAll_Ct-1),AN1098=0),K1098,0)</f>
        <v>0</v>
      </c>
      <c r="BQ1098" s="991">
        <f>IF(AND(Input_Product=Elig!$C1098,Elig_MatchAll_Ct&lt;22,$BC1098=(Elig_MatchAll_Ct-1),AP1098=0),L1098,0)</f>
        <v>0</v>
      </c>
      <c r="BR1098" s="991">
        <f>IF(AND(Input_Product=Elig!$C1098,Elig_MatchAll_Ct&lt;22,$BC1098=(Elig_MatchAll_Ct-1),AO1098=0),M1098,0)</f>
        <v>0</v>
      </c>
      <c r="BS1098" s="991">
        <f>IF(AND(Input_Product=Elig!$C1098,Elig_MatchAll_Ct&lt;22,$BC1098=(Elig_MatchAll_Ct-1),AQ1098=0),N1098,0)</f>
        <v>0</v>
      </c>
      <c r="BT1098" s="991">
        <f>IF(AND(Input_Product=Elig!$C1098,Elig_MatchAll_Ct&lt;22,$BC1098=(Elig_MatchAll_Ct-1),AR1098=0),O1098,0)</f>
        <v>0</v>
      </c>
      <c r="BU1098" s="991">
        <f>IF(AND(Input_Product=Elig!$C1098,Elig_MatchAll_Ct&lt;22,$BC1098=(Elig_MatchAll_Ct-1),AS1098=0),P1098,0)</f>
        <v>0</v>
      </c>
      <c r="BV1098" s="992">
        <f>IF(AND(Input_Product=Elig!$C1098,Elig_MatchAll_Ct&lt;22,$BC1098=(Elig_MatchAll_Ct-1),AT1098=0),Q1098,0)</f>
        <v>0</v>
      </c>
      <c r="BW1098" s="993">
        <f>IF(AND(Input_Product=Elig!$C1098,Elig_MatchAll_Ct&lt;22,$BC1098=(Elig_MatchAll_Ct-1),AU1098=0),R1098,0)</f>
        <v>0</v>
      </c>
      <c r="BX1098" s="994">
        <f>IF(AND(Input_Product=Elig!$C1098,Elig_MatchAll_Ct&lt;22,$BC1098=(Elig_MatchAll_Ct-1),AU1098=0),S1098,0)</f>
        <v>0</v>
      </c>
      <c r="BY1098" s="993">
        <f>IF(AND(Input_Product=Elig!$C1098,Elig_MatchAll_Ct&lt;22,$BC1098=(Elig_MatchAll_Ct-1),AV1098=0),T1098,0)</f>
        <v>0</v>
      </c>
      <c r="BZ1098" s="994">
        <f>IF(AND(Input_Product=Elig!$C1098,Elig_MatchAll_Ct&lt;22,$BC1098=(Elig_MatchAll_Ct-1),AV1098=0),U1098,0)</f>
        <v>0</v>
      </c>
      <c r="CA1098" s="993">
        <f>IF(AND(Input_Product=Elig!$C1098,Elig_MatchAll_Ct&lt;22,$BC1098=(Elig_MatchAll_Ct-1),AW1098=0),V1098,0)</f>
        <v>0</v>
      </c>
      <c r="CB1098" s="994">
        <f>IF(AND(Input_Product=Elig!$C1098,Elig_MatchAll_Ct&lt;22,$BC1098=(Elig_MatchAll_Ct-1),AW1098=0),W1098,0)</f>
        <v>0</v>
      </c>
      <c r="CC1098" s="993">
        <f>IF(AND(Input_Product=Elig!$C1098,Elig_MatchAll_Ct&lt;22,$BC1098=(Elig_MatchAll_Ct-1),AX1098=0),X1098,0)</f>
        <v>0</v>
      </c>
      <c r="CD1098" s="994">
        <f>IF(AND(Input_Product=Elig!$C1098,Elig_MatchAll_Ct&lt;22,$BC1098=(Elig_MatchAll_Ct-1),AX1098=0),Y1098,0)</f>
        <v>0</v>
      </c>
      <c r="CE1098" s="993">
        <f>IF(AND(Input_LTV&lt;=AE1098,Input_Product=Elig!$C1098,Elig_MatchAll_Ct&lt;22,$BC1098=(Elig_MatchAll_Ct-1),AY1098=0),Z1098,0)</f>
        <v>0</v>
      </c>
      <c r="CF1098" s="994">
        <f>IF(AND(Input_LTV&lt;=AE1098,Input_Product=Elig!$C1098,Elig_MatchAll_Ct&lt;22,$BC1098=(Elig_MatchAll_Ct-1),AY1098=0),AA1098,0)</f>
        <v>0</v>
      </c>
      <c r="CG1098" s="993">
        <f>IF(AND(Input_Product=Elig!$C1098,Elig_MatchAll_Ct&lt;22,$BC1098=(Elig_MatchAll_Ct-1),AZ1098=0),AB1098,0)</f>
        <v>0</v>
      </c>
      <c r="CH1098" s="994">
        <f>IF(AND(Input_Product=Elig!$C1098,Elig_MatchAll_Ct&lt;22,$BC1098=(Elig_MatchAll_Ct-1),AZ1098=0),AC1098,0)</f>
        <v>0</v>
      </c>
      <c r="CI1098" s="993">
        <f>IF(AND(Input_Product=Elig!$C1098,Elig_MatchAll_Ct&lt;22,$BC1098=(Elig_MatchAll_Ct-1),BA1098=0),AD1098,0)</f>
        <v>0</v>
      </c>
      <c r="CJ1098" s="994">
        <f>IF(AND(Input_Product=Elig!$C1098,Elig_MatchAll_Ct&lt;22,$BC1098=(Elig_MatchAll_Ct-1),BA1098=0),AE1098,0)</f>
        <v>0</v>
      </c>
    </row>
    <row r="1099" spans="2:88" ht="10.15" customHeight="1" x14ac:dyDescent="0.25">
      <c r="B1099" s="1918" t="s">
        <v>2399</v>
      </c>
      <c r="C1099" s="1228" t="str">
        <f t="shared" si="417"/>
        <v xml:space="preserve"> </v>
      </c>
      <c r="D1099" s="1229" t="s">
        <v>2218</v>
      </c>
      <c r="E1099" s="1229" t="s">
        <v>167</v>
      </c>
      <c r="F1099" s="1229" t="s">
        <v>330</v>
      </c>
      <c r="G1099" s="1230" t="s">
        <v>303</v>
      </c>
      <c r="H1099" s="1230" t="s">
        <v>136</v>
      </c>
      <c r="I1099" s="1229" t="s">
        <v>274</v>
      </c>
      <c r="J1099" s="1229" t="s">
        <v>1311</v>
      </c>
      <c r="K1099" s="1230" t="s">
        <v>3022</v>
      </c>
      <c r="L1099" s="1229" t="s">
        <v>2768</v>
      </c>
      <c r="M1099" s="1229" t="s">
        <v>2677</v>
      </c>
      <c r="N1099" s="1230" t="s">
        <v>2685</v>
      </c>
      <c r="O1099" s="1229" t="s">
        <v>310</v>
      </c>
      <c r="P1099" s="1229" t="s">
        <v>291</v>
      </c>
      <c r="Q1099" s="1229" t="s">
        <v>294</v>
      </c>
      <c r="R1099" s="1229">
        <v>1000000.01</v>
      </c>
      <c r="S1099" s="1229">
        <v>1500000</v>
      </c>
      <c r="T1099" s="1229">
        <v>0</v>
      </c>
      <c r="U1099" s="1229">
        <v>0</v>
      </c>
      <c r="V1099" s="1229">
        <v>0</v>
      </c>
      <c r="W1099" s="1229">
        <v>50</v>
      </c>
      <c r="X1099" s="1229">
        <v>0</v>
      </c>
      <c r="Y1099" s="1229">
        <v>999</v>
      </c>
      <c r="Z1099" s="1231">
        <v>660</v>
      </c>
      <c r="AA1099" s="1231">
        <v>679</v>
      </c>
      <c r="AB1099" s="1231">
        <v>6</v>
      </c>
      <c r="AC1099" s="1231">
        <v>999999</v>
      </c>
      <c r="AD1099" s="1229">
        <v>0</v>
      </c>
      <c r="AE1099" s="1232">
        <v>70</v>
      </c>
      <c r="AF1099" s="170">
        <v>0</v>
      </c>
      <c r="AG1099" s="171">
        <v>1</v>
      </c>
      <c r="AH1099" s="171">
        <v>1</v>
      </c>
      <c r="AI1099" s="171">
        <v>0</v>
      </c>
      <c r="AJ1099" s="171">
        <v>1</v>
      </c>
      <c r="AK1099" s="171">
        <v>1</v>
      </c>
      <c r="AL1099" s="171">
        <v>0</v>
      </c>
      <c r="AM1099" s="171">
        <v>1</v>
      </c>
      <c r="AN1099" s="171">
        <v>1</v>
      </c>
      <c r="AO1099" s="171">
        <v>1</v>
      </c>
      <c r="AP1099" s="171">
        <v>1</v>
      </c>
      <c r="AQ1099" s="171">
        <v>1</v>
      </c>
      <c r="AR1099" s="171">
        <v>1</v>
      </c>
      <c r="AS1099" s="171">
        <v>1</v>
      </c>
      <c r="AT1099" s="171">
        <v>1</v>
      </c>
      <c r="AU1099" s="171">
        <f t="shared" si="404"/>
        <v>0</v>
      </c>
      <c r="AV1099" s="171">
        <f t="shared" si="405"/>
        <v>0</v>
      </c>
      <c r="AW1099" s="171">
        <f t="shared" si="406"/>
        <v>1</v>
      </c>
      <c r="AX1099" s="171">
        <f t="shared" si="414"/>
        <v>1</v>
      </c>
      <c r="AY1099" s="171">
        <f t="shared" si="407"/>
        <v>0</v>
      </c>
      <c r="AZ1099" s="171">
        <f t="shared" si="408"/>
        <v>1</v>
      </c>
      <c r="BA1099" s="172">
        <f t="shared" si="409"/>
        <v>1</v>
      </c>
      <c r="BB1099" s="175">
        <f t="shared" si="411"/>
        <v>16</v>
      </c>
      <c r="BC1099" s="176">
        <f t="shared" si="412"/>
        <v>15</v>
      </c>
      <c r="BD1099" s="176">
        <f t="shared" si="413"/>
        <v>16</v>
      </c>
      <c r="BE1099" s="240" t="str">
        <f t="shared" si="418"/>
        <v/>
      </c>
      <c r="BF1099" s="990"/>
      <c r="BG1099" s="990"/>
      <c r="BH1099" s="991">
        <f>IF(AND(Input_Product=Elig!$C1099,Elig_MatchAll_Ct&lt;22,$BC1099=(Elig_MatchAll_Ct-1),AF1099=0),C1099,0)</f>
        <v>0</v>
      </c>
      <c r="BI1099" s="991">
        <f>IF(AND(Input_Product=Elig!$C1099,Elig_MatchAll_Ct&lt;22,$BC1099=(Elig_MatchAll_Ct-1),AG1099=0),D1099,0)</f>
        <v>0</v>
      </c>
      <c r="BJ1099" s="991">
        <f>IF(AND(Input_Product=Elig!$C1099,Elig_MatchAll_Ct&lt;22,$BC1099=(Elig_MatchAll_Ct-1),AH1099=0),E1099,0)</f>
        <v>0</v>
      </c>
      <c r="BK1099" s="991">
        <f>IF(AND(Input_Product=Elig!$C1099,Elig_MatchAll_Ct&lt;22,$BC1099=(Elig_MatchAll_Ct-1),AI1099=0),F1099,0)</f>
        <v>0</v>
      </c>
      <c r="BL1099" s="991">
        <f>IF(AND(Input_Product=Elig!$C1099,Elig_MatchAll_Ct&lt;22,$BC1099=(Elig_MatchAll_Ct-1),AJ1099=0),G1099,0)</f>
        <v>0</v>
      </c>
      <c r="BM1099" s="991">
        <f>IF(AND(Input_Product=Elig!$C1099,Elig_MatchAll_Ct&lt;22,$BC1099=(Elig_MatchAll_Ct-1),AK1099=0),H1099,0)</f>
        <v>0</v>
      </c>
      <c r="BN1099" s="991">
        <f>IF(AND(Input_Product=Elig!$C1099,Elig_MatchAll_Ct&lt;22,$BC1099=(Elig_MatchAll_Ct-1),AL1099=0),I1099,0)</f>
        <v>0</v>
      </c>
      <c r="BO1099" s="991">
        <f>IF(AND(Input_Product=Elig!$C1099,Elig_MatchAll_Ct&lt;22,$BC1099=(Elig_MatchAll_Ct-1),AM1099=0),J1099,0)</f>
        <v>0</v>
      </c>
      <c r="BP1099" s="991">
        <f>IF(AND(Input_Product=Elig!$C1099,Elig_MatchAll_Ct&lt;22,$BC1099=(Elig_MatchAll_Ct-1),AN1099=0),K1099,0)</f>
        <v>0</v>
      </c>
      <c r="BQ1099" s="991">
        <f>IF(AND(Input_Product=Elig!$C1099,Elig_MatchAll_Ct&lt;22,$BC1099=(Elig_MatchAll_Ct-1),AP1099=0),L1099,0)</f>
        <v>0</v>
      </c>
      <c r="BR1099" s="991">
        <f>IF(AND(Input_Product=Elig!$C1099,Elig_MatchAll_Ct&lt;22,$BC1099=(Elig_MatchAll_Ct-1),AO1099=0),M1099,0)</f>
        <v>0</v>
      </c>
      <c r="BS1099" s="991">
        <f>IF(AND(Input_Product=Elig!$C1099,Elig_MatchAll_Ct&lt;22,$BC1099=(Elig_MatchAll_Ct-1),AQ1099=0),N1099,0)</f>
        <v>0</v>
      </c>
      <c r="BT1099" s="991">
        <f>IF(AND(Input_Product=Elig!$C1099,Elig_MatchAll_Ct&lt;22,$BC1099=(Elig_MatchAll_Ct-1),AR1099=0),O1099,0)</f>
        <v>0</v>
      </c>
      <c r="BU1099" s="991">
        <f>IF(AND(Input_Product=Elig!$C1099,Elig_MatchAll_Ct&lt;22,$BC1099=(Elig_MatchAll_Ct-1),AS1099=0),P1099,0)</f>
        <v>0</v>
      </c>
      <c r="BV1099" s="992">
        <f>IF(AND(Input_Product=Elig!$C1099,Elig_MatchAll_Ct&lt;22,$BC1099=(Elig_MatchAll_Ct-1),AT1099=0),Q1099,0)</f>
        <v>0</v>
      </c>
      <c r="BW1099" s="993">
        <f>IF(AND(Input_Product=Elig!$C1099,Elig_MatchAll_Ct&lt;22,$BC1099=(Elig_MatchAll_Ct-1),AU1099=0),R1099,0)</f>
        <v>0</v>
      </c>
      <c r="BX1099" s="994">
        <f>IF(AND(Input_Product=Elig!$C1099,Elig_MatchAll_Ct&lt;22,$BC1099=(Elig_MatchAll_Ct-1),AU1099=0),S1099,0)</f>
        <v>0</v>
      </c>
      <c r="BY1099" s="993">
        <f>IF(AND(Input_Product=Elig!$C1099,Elig_MatchAll_Ct&lt;22,$BC1099=(Elig_MatchAll_Ct-1),AV1099=0),T1099,0)</f>
        <v>0</v>
      </c>
      <c r="BZ1099" s="994">
        <f>IF(AND(Input_Product=Elig!$C1099,Elig_MatchAll_Ct&lt;22,$BC1099=(Elig_MatchAll_Ct-1),AV1099=0),U1099,0)</f>
        <v>0</v>
      </c>
      <c r="CA1099" s="993">
        <f>IF(AND(Input_Product=Elig!$C1099,Elig_MatchAll_Ct&lt;22,$BC1099=(Elig_MatchAll_Ct-1),AW1099=0),V1099,0)</f>
        <v>0</v>
      </c>
      <c r="CB1099" s="994">
        <f>IF(AND(Input_Product=Elig!$C1099,Elig_MatchAll_Ct&lt;22,$BC1099=(Elig_MatchAll_Ct-1),AW1099=0),W1099,0)</f>
        <v>0</v>
      </c>
      <c r="CC1099" s="993">
        <f>IF(AND(Input_Product=Elig!$C1099,Elig_MatchAll_Ct&lt;22,$BC1099=(Elig_MatchAll_Ct-1),AX1099=0),X1099,0)</f>
        <v>0</v>
      </c>
      <c r="CD1099" s="994">
        <f>IF(AND(Input_Product=Elig!$C1099,Elig_MatchAll_Ct&lt;22,$BC1099=(Elig_MatchAll_Ct-1),AX1099=0),Y1099,0)</f>
        <v>0</v>
      </c>
      <c r="CE1099" s="993">
        <f>IF(AND(Input_LTV&lt;=AE1099,Input_Product=Elig!$C1099,Elig_MatchAll_Ct&lt;22,$BC1099=(Elig_MatchAll_Ct-1),AY1099=0),Z1099,0)</f>
        <v>0</v>
      </c>
      <c r="CF1099" s="994">
        <f>IF(AND(Input_LTV&lt;=AE1099,Input_Product=Elig!$C1099,Elig_MatchAll_Ct&lt;22,$BC1099=(Elig_MatchAll_Ct-1),AY1099=0),AA1099,0)</f>
        <v>0</v>
      </c>
      <c r="CG1099" s="993">
        <f>IF(AND(Input_Product=Elig!$C1099,Elig_MatchAll_Ct&lt;22,$BC1099=(Elig_MatchAll_Ct-1),AZ1099=0),AB1099,0)</f>
        <v>0</v>
      </c>
      <c r="CH1099" s="994">
        <f>IF(AND(Input_Product=Elig!$C1099,Elig_MatchAll_Ct&lt;22,$BC1099=(Elig_MatchAll_Ct-1),AZ1099=0),AC1099,0)</f>
        <v>0</v>
      </c>
      <c r="CI1099" s="993">
        <f>IF(AND(Input_Product=Elig!$C1099,Elig_MatchAll_Ct&lt;22,$BC1099=(Elig_MatchAll_Ct-1),BA1099=0),AD1099,0)</f>
        <v>0</v>
      </c>
      <c r="CJ1099" s="994">
        <f>IF(AND(Input_Product=Elig!$C1099,Elig_MatchAll_Ct&lt;22,$BC1099=(Elig_MatchAll_Ct-1),BA1099=0),AE1099,0)</f>
        <v>0</v>
      </c>
    </row>
    <row r="1100" spans="2:88" ht="10.15" customHeight="1" x14ac:dyDescent="0.25">
      <c r="B1100" s="1918" t="s">
        <v>2400</v>
      </c>
      <c r="C1100" s="1218" t="str">
        <f t="shared" si="417"/>
        <v xml:space="preserve"> </v>
      </c>
      <c r="D1100" s="1219" t="s">
        <v>2218</v>
      </c>
      <c r="E1100" s="1219" t="s">
        <v>167</v>
      </c>
      <c r="F1100" s="1219" t="s">
        <v>330</v>
      </c>
      <c r="G1100" s="1220" t="s">
        <v>303</v>
      </c>
      <c r="H1100" s="1220" t="s">
        <v>136</v>
      </c>
      <c r="I1100" s="1219" t="s">
        <v>274</v>
      </c>
      <c r="J1100" s="1219" t="s">
        <v>1311</v>
      </c>
      <c r="K1100" s="1220" t="s">
        <v>3022</v>
      </c>
      <c r="L1100" s="1219" t="s">
        <v>2768</v>
      </c>
      <c r="M1100" s="1219" t="s">
        <v>2677</v>
      </c>
      <c r="N1100" s="1220" t="s">
        <v>2685</v>
      </c>
      <c r="O1100" s="1219" t="s">
        <v>310</v>
      </c>
      <c r="P1100" s="1219" t="s">
        <v>291</v>
      </c>
      <c r="Q1100" s="1219" t="s">
        <v>294</v>
      </c>
      <c r="R1100" s="1219">
        <v>1500000.01</v>
      </c>
      <c r="S1100" s="1219">
        <v>2000000</v>
      </c>
      <c r="T1100" s="1219">
        <v>0</v>
      </c>
      <c r="U1100" s="1219">
        <v>0</v>
      </c>
      <c r="V1100" s="1219">
        <v>0</v>
      </c>
      <c r="W1100" s="1219">
        <v>50</v>
      </c>
      <c r="X1100" s="1219">
        <v>0</v>
      </c>
      <c r="Y1100" s="1219">
        <v>999</v>
      </c>
      <c r="Z1100" s="1221">
        <v>720</v>
      </c>
      <c r="AA1100" s="1221">
        <v>999</v>
      </c>
      <c r="AB1100" s="1221">
        <v>6</v>
      </c>
      <c r="AC1100" s="1221">
        <v>999999</v>
      </c>
      <c r="AD1100" s="1219">
        <v>0</v>
      </c>
      <c r="AE1100" s="1222">
        <v>80</v>
      </c>
      <c r="AF1100" s="170">
        <v>0</v>
      </c>
      <c r="AG1100" s="171">
        <v>1</v>
      </c>
      <c r="AH1100" s="171">
        <v>1</v>
      </c>
      <c r="AI1100" s="171">
        <v>0</v>
      </c>
      <c r="AJ1100" s="171">
        <v>1</v>
      </c>
      <c r="AK1100" s="171">
        <v>1</v>
      </c>
      <c r="AL1100" s="171">
        <v>0</v>
      </c>
      <c r="AM1100" s="171">
        <v>1</v>
      </c>
      <c r="AN1100" s="171">
        <v>1</v>
      </c>
      <c r="AO1100" s="171">
        <v>1</v>
      </c>
      <c r="AP1100" s="171">
        <v>1</v>
      </c>
      <c r="AQ1100" s="171">
        <v>1</v>
      </c>
      <c r="AR1100" s="171">
        <v>1</v>
      </c>
      <c r="AS1100" s="171">
        <v>1</v>
      </c>
      <c r="AT1100" s="171">
        <v>1</v>
      </c>
      <c r="AU1100" s="171">
        <f t="shared" si="404"/>
        <v>0</v>
      </c>
      <c r="AV1100" s="171">
        <f t="shared" si="405"/>
        <v>0</v>
      </c>
      <c r="AW1100" s="171">
        <f t="shared" si="406"/>
        <v>1</v>
      </c>
      <c r="AX1100" s="171">
        <f t="shared" si="414"/>
        <v>1</v>
      </c>
      <c r="AY1100" s="171">
        <f t="shared" si="407"/>
        <v>1</v>
      </c>
      <c r="AZ1100" s="171">
        <f t="shared" si="408"/>
        <v>1</v>
      </c>
      <c r="BA1100" s="172">
        <f t="shared" si="409"/>
        <v>1</v>
      </c>
      <c r="BB1100" s="175">
        <f t="shared" si="411"/>
        <v>17</v>
      </c>
      <c r="BC1100" s="176">
        <f t="shared" si="412"/>
        <v>16</v>
      </c>
      <c r="BD1100" s="176">
        <f t="shared" si="413"/>
        <v>17</v>
      </c>
      <c r="BE1100" s="240" t="str">
        <f t="shared" si="418"/>
        <v/>
      </c>
      <c r="BF1100" s="990"/>
      <c r="BG1100" s="990"/>
      <c r="BH1100" s="991">
        <f>IF(AND(Input_Product=Elig!$C1100,Elig_MatchAll_Ct&lt;22,$BC1100=(Elig_MatchAll_Ct-1),AF1100=0),C1100,0)</f>
        <v>0</v>
      </c>
      <c r="BI1100" s="991">
        <f>IF(AND(Input_Product=Elig!$C1100,Elig_MatchAll_Ct&lt;22,$BC1100=(Elig_MatchAll_Ct-1),AG1100=0),D1100,0)</f>
        <v>0</v>
      </c>
      <c r="BJ1100" s="991">
        <f>IF(AND(Input_Product=Elig!$C1100,Elig_MatchAll_Ct&lt;22,$BC1100=(Elig_MatchAll_Ct-1),AH1100=0),E1100,0)</f>
        <v>0</v>
      </c>
      <c r="BK1100" s="991">
        <f>IF(AND(Input_Product=Elig!$C1100,Elig_MatchAll_Ct&lt;22,$BC1100=(Elig_MatchAll_Ct-1),AI1100=0),F1100,0)</f>
        <v>0</v>
      </c>
      <c r="BL1100" s="991">
        <f>IF(AND(Input_Product=Elig!$C1100,Elig_MatchAll_Ct&lt;22,$BC1100=(Elig_MatchAll_Ct-1),AJ1100=0),G1100,0)</f>
        <v>0</v>
      </c>
      <c r="BM1100" s="991">
        <f>IF(AND(Input_Product=Elig!$C1100,Elig_MatchAll_Ct&lt;22,$BC1100=(Elig_MatchAll_Ct-1),AK1100=0),H1100,0)</f>
        <v>0</v>
      </c>
      <c r="BN1100" s="991">
        <f>IF(AND(Input_Product=Elig!$C1100,Elig_MatchAll_Ct&lt;22,$BC1100=(Elig_MatchAll_Ct-1),AL1100=0),I1100,0)</f>
        <v>0</v>
      </c>
      <c r="BO1100" s="991">
        <f>IF(AND(Input_Product=Elig!$C1100,Elig_MatchAll_Ct&lt;22,$BC1100=(Elig_MatchAll_Ct-1),AM1100=0),J1100,0)</f>
        <v>0</v>
      </c>
      <c r="BP1100" s="991">
        <f>IF(AND(Input_Product=Elig!$C1100,Elig_MatchAll_Ct&lt;22,$BC1100=(Elig_MatchAll_Ct-1),AN1100=0),K1100,0)</f>
        <v>0</v>
      </c>
      <c r="BQ1100" s="991">
        <f>IF(AND(Input_Product=Elig!$C1100,Elig_MatchAll_Ct&lt;22,$BC1100=(Elig_MatchAll_Ct-1),AP1100=0),L1100,0)</f>
        <v>0</v>
      </c>
      <c r="BR1100" s="991">
        <f>IF(AND(Input_Product=Elig!$C1100,Elig_MatchAll_Ct&lt;22,$BC1100=(Elig_MatchAll_Ct-1),AO1100=0),M1100,0)</f>
        <v>0</v>
      </c>
      <c r="BS1100" s="991">
        <f>IF(AND(Input_Product=Elig!$C1100,Elig_MatchAll_Ct&lt;22,$BC1100=(Elig_MatchAll_Ct-1),AQ1100=0),N1100,0)</f>
        <v>0</v>
      </c>
      <c r="BT1100" s="991">
        <f>IF(AND(Input_Product=Elig!$C1100,Elig_MatchAll_Ct&lt;22,$BC1100=(Elig_MatchAll_Ct-1),AR1100=0),O1100,0)</f>
        <v>0</v>
      </c>
      <c r="BU1100" s="991">
        <f>IF(AND(Input_Product=Elig!$C1100,Elig_MatchAll_Ct&lt;22,$BC1100=(Elig_MatchAll_Ct-1),AS1100=0),P1100,0)</f>
        <v>0</v>
      </c>
      <c r="BV1100" s="992">
        <f>IF(AND(Input_Product=Elig!$C1100,Elig_MatchAll_Ct&lt;22,$BC1100=(Elig_MatchAll_Ct-1),AT1100=0),Q1100,0)</f>
        <v>0</v>
      </c>
      <c r="BW1100" s="993">
        <f>IF(AND(Input_Product=Elig!$C1100,Elig_MatchAll_Ct&lt;22,$BC1100=(Elig_MatchAll_Ct-1),AU1100=0),R1100,0)</f>
        <v>0</v>
      </c>
      <c r="BX1100" s="994">
        <f>IF(AND(Input_Product=Elig!$C1100,Elig_MatchAll_Ct&lt;22,$BC1100=(Elig_MatchAll_Ct-1),AU1100=0),S1100,0)</f>
        <v>0</v>
      </c>
      <c r="BY1100" s="993">
        <f>IF(AND(Input_Product=Elig!$C1100,Elig_MatchAll_Ct&lt;22,$BC1100=(Elig_MatchAll_Ct-1),AV1100=0),T1100,0)</f>
        <v>0</v>
      </c>
      <c r="BZ1100" s="994">
        <f>IF(AND(Input_Product=Elig!$C1100,Elig_MatchAll_Ct&lt;22,$BC1100=(Elig_MatchAll_Ct-1),AV1100=0),U1100,0)</f>
        <v>0</v>
      </c>
      <c r="CA1100" s="993">
        <f>IF(AND(Input_Product=Elig!$C1100,Elig_MatchAll_Ct&lt;22,$BC1100=(Elig_MatchAll_Ct-1),AW1100=0),V1100,0)</f>
        <v>0</v>
      </c>
      <c r="CB1100" s="994">
        <f>IF(AND(Input_Product=Elig!$C1100,Elig_MatchAll_Ct&lt;22,$BC1100=(Elig_MatchAll_Ct-1),AW1100=0),W1100,0)</f>
        <v>0</v>
      </c>
      <c r="CC1100" s="993">
        <f>IF(AND(Input_Product=Elig!$C1100,Elig_MatchAll_Ct&lt;22,$BC1100=(Elig_MatchAll_Ct-1),AX1100=0),X1100,0)</f>
        <v>0</v>
      </c>
      <c r="CD1100" s="994">
        <f>IF(AND(Input_Product=Elig!$C1100,Elig_MatchAll_Ct&lt;22,$BC1100=(Elig_MatchAll_Ct-1),AX1100=0),Y1100,0)</f>
        <v>0</v>
      </c>
      <c r="CE1100" s="993">
        <f>IF(AND(Input_LTV&lt;=AE1100,Input_Product=Elig!$C1100,Elig_MatchAll_Ct&lt;22,$BC1100=(Elig_MatchAll_Ct-1),AY1100=0),Z1100,0)</f>
        <v>0</v>
      </c>
      <c r="CF1100" s="994">
        <f>IF(AND(Input_LTV&lt;=AE1100,Input_Product=Elig!$C1100,Elig_MatchAll_Ct&lt;22,$BC1100=(Elig_MatchAll_Ct-1),AY1100=0),AA1100,0)</f>
        <v>0</v>
      </c>
      <c r="CG1100" s="993">
        <f>IF(AND(Input_Product=Elig!$C1100,Elig_MatchAll_Ct&lt;22,$BC1100=(Elig_MatchAll_Ct-1),AZ1100=0),AB1100,0)</f>
        <v>0</v>
      </c>
      <c r="CH1100" s="994">
        <f>IF(AND(Input_Product=Elig!$C1100,Elig_MatchAll_Ct&lt;22,$BC1100=(Elig_MatchAll_Ct-1),AZ1100=0),AC1100,0)</f>
        <v>0</v>
      </c>
      <c r="CI1100" s="993">
        <f>IF(AND(Input_Product=Elig!$C1100,Elig_MatchAll_Ct&lt;22,$BC1100=(Elig_MatchAll_Ct-1),BA1100=0),AD1100,0)</f>
        <v>0</v>
      </c>
      <c r="CJ1100" s="994">
        <f>IF(AND(Input_Product=Elig!$C1100,Elig_MatchAll_Ct&lt;22,$BC1100=(Elig_MatchAll_Ct-1),BA1100=0),AE1100,0)</f>
        <v>0</v>
      </c>
    </row>
    <row r="1101" spans="2:88" ht="10.15" customHeight="1" x14ac:dyDescent="0.25">
      <c r="B1101" s="1918" t="s">
        <v>2401</v>
      </c>
      <c r="C1101" s="1223" t="str">
        <f t="shared" si="417"/>
        <v xml:space="preserve"> </v>
      </c>
      <c r="D1101" s="1224" t="s">
        <v>2218</v>
      </c>
      <c r="E1101" s="1224" t="s">
        <v>167</v>
      </c>
      <c r="F1101" s="1224" t="s">
        <v>330</v>
      </c>
      <c r="G1101" s="1225" t="s">
        <v>303</v>
      </c>
      <c r="H1101" s="1225" t="s">
        <v>136</v>
      </c>
      <c r="I1101" s="1224" t="s">
        <v>274</v>
      </c>
      <c r="J1101" s="1224" t="s">
        <v>1311</v>
      </c>
      <c r="K1101" s="1225" t="s">
        <v>3022</v>
      </c>
      <c r="L1101" s="1224" t="s">
        <v>2768</v>
      </c>
      <c r="M1101" s="1224" t="s">
        <v>2677</v>
      </c>
      <c r="N1101" s="1225" t="s">
        <v>2685</v>
      </c>
      <c r="O1101" s="1224" t="s">
        <v>310</v>
      </c>
      <c r="P1101" s="1224" t="s">
        <v>291</v>
      </c>
      <c r="Q1101" s="1224" t="s">
        <v>294</v>
      </c>
      <c r="R1101" s="1224">
        <v>1500000.01</v>
      </c>
      <c r="S1101" s="1224">
        <v>2000000</v>
      </c>
      <c r="T1101" s="1224">
        <v>0</v>
      </c>
      <c r="U1101" s="1224">
        <v>0</v>
      </c>
      <c r="V1101" s="1224">
        <v>0</v>
      </c>
      <c r="W1101" s="1224">
        <v>50</v>
      </c>
      <c r="X1101" s="1224">
        <v>0</v>
      </c>
      <c r="Y1101" s="1224">
        <v>999</v>
      </c>
      <c r="Z1101" s="1226">
        <v>700</v>
      </c>
      <c r="AA1101" s="1226">
        <v>719</v>
      </c>
      <c r="AB1101" s="1226">
        <v>6</v>
      </c>
      <c r="AC1101" s="1226">
        <v>999999</v>
      </c>
      <c r="AD1101" s="1224">
        <v>0</v>
      </c>
      <c r="AE1101" s="1227">
        <v>80</v>
      </c>
      <c r="AF1101" s="170">
        <v>0</v>
      </c>
      <c r="AG1101" s="171">
        <v>1</v>
      </c>
      <c r="AH1101" s="171">
        <v>1</v>
      </c>
      <c r="AI1101" s="171">
        <v>0</v>
      </c>
      <c r="AJ1101" s="171">
        <v>1</v>
      </c>
      <c r="AK1101" s="171">
        <v>1</v>
      </c>
      <c r="AL1101" s="171">
        <v>0</v>
      </c>
      <c r="AM1101" s="171">
        <v>1</v>
      </c>
      <c r="AN1101" s="171">
        <v>1</v>
      </c>
      <c r="AO1101" s="171">
        <v>1</v>
      </c>
      <c r="AP1101" s="171">
        <v>1</v>
      </c>
      <c r="AQ1101" s="171">
        <v>1</v>
      </c>
      <c r="AR1101" s="171">
        <v>1</v>
      </c>
      <c r="AS1101" s="171">
        <v>1</v>
      </c>
      <c r="AT1101" s="171">
        <v>1</v>
      </c>
      <c r="AU1101" s="171">
        <f t="shared" ref="AU1101:AU1164" si="419">IF(AND(Input_LoanAmt&gt;=Elig_LoanAmt_Min,Input_LoanAmt&lt;=Elig_LoanAmt_Max),1,0)</f>
        <v>0</v>
      </c>
      <c r="AV1101" s="171">
        <f t="shared" ref="AV1101:AV1164" si="420">IF(AND(Input_CashoutAmt&gt;=Elig_CashoutAmt_Min,Input_CashoutAmt&lt;=Elig_CashoutAmt_Max),1,0)</f>
        <v>0</v>
      </c>
      <c r="AW1101" s="171">
        <f t="shared" ref="AW1101:AW1164" si="421">IF(AND(Input_DTI&gt;=Elig_DTI_Min,Input_DTI&lt;=Elig_DTI_Max),1,0)</f>
        <v>1</v>
      </c>
      <c r="AX1101" s="171">
        <f t="shared" si="414"/>
        <v>1</v>
      </c>
      <c r="AY1101" s="171">
        <f t="shared" ref="AY1101:AY1164" si="422">IF(AND(Input_CreditScore&gt;=Elig_CreditScore_Min,Input_CreditScore&lt;=Elig_CreditScore_Max),1,0)</f>
        <v>0</v>
      </c>
      <c r="AZ1101" s="171">
        <f t="shared" ref="AZ1101:AZ1164" si="423">IF(AND(Input_ReservesMonths&gt;=Elig_Reserves_Min,Input_ReservesMonths&lt;=Elig_Reserves_Max),1,0)</f>
        <v>1</v>
      </c>
      <c r="BA1101" s="172">
        <f t="shared" ref="BA1101:BA1164" si="424">IF(AND(Input_LTV&gt;=Elig_LTV_Min,Input_LTV&lt;=Elig_LTV_Max),1,0)</f>
        <v>1</v>
      </c>
      <c r="BB1101" s="175">
        <f t="shared" si="411"/>
        <v>16</v>
      </c>
      <c r="BC1101" s="176">
        <f t="shared" si="412"/>
        <v>15</v>
      </c>
      <c r="BD1101" s="176">
        <f t="shared" si="413"/>
        <v>16</v>
      </c>
      <c r="BE1101" s="240" t="str">
        <f t="shared" si="418"/>
        <v/>
      </c>
      <c r="BF1101" s="990"/>
      <c r="BG1101" s="990"/>
      <c r="BH1101" s="991">
        <f>IF(AND(Input_Product=Elig!$C1101,Elig_MatchAll_Ct&lt;22,$BC1101=(Elig_MatchAll_Ct-1),AF1101=0),C1101,0)</f>
        <v>0</v>
      </c>
      <c r="BI1101" s="991">
        <f>IF(AND(Input_Product=Elig!$C1101,Elig_MatchAll_Ct&lt;22,$BC1101=(Elig_MatchAll_Ct-1),AG1101=0),D1101,0)</f>
        <v>0</v>
      </c>
      <c r="BJ1101" s="991">
        <f>IF(AND(Input_Product=Elig!$C1101,Elig_MatchAll_Ct&lt;22,$BC1101=(Elig_MatchAll_Ct-1),AH1101=0),E1101,0)</f>
        <v>0</v>
      </c>
      <c r="BK1101" s="991">
        <f>IF(AND(Input_Product=Elig!$C1101,Elig_MatchAll_Ct&lt;22,$BC1101=(Elig_MatchAll_Ct-1),AI1101=0),F1101,0)</f>
        <v>0</v>
      </c>
      <c r="BL1101" s="991">
        <f>IF(AND(Input_Product=Elig!$C1101,Elig_MatchAll_Ct&lt;22,$BC1101=(Elig_MatchAll_Ct-1),AJ1101=0),G1101,0)</f>
        <v>0</v>
      </c>
      <c r="BM1101" s="991">
        <f>IF(AND(Input_Product=Elig!$C1101,Elig_MatchAll_Ct&lt;22,$BC1101=(Elig_MatchAll_Ct-1),AK1101=0),H1101,0)</f>
        <v>0</v>
      </c>
      <c r="BN1101" s="991">
        <f>IF(AND(Input_Product=Elig!$C1101,Elig_MatchAll_Ct&lt;22,$BC1101=(Elig_MatchAll_Ct-1),AL1101=0),I1101,0)</f>
        <v>0</v>
      </c>
      <c r="BO1101" s="991">
        <f>IF(AND(Input_Product=Elig!$C1101,Elig_MatchAll_Ct&lt;22,$BC1101=(Elig_MatchAll_Ct-1),AM1101=0),J1101,0)</f>
        <v>0</v>
      </c>
      <c r="BP1101" s="991">
        <f>IF(AND(Input_Product=Elig!$C1101,Elig_MatchAll_Ct&lt;22,$BC1101=(Elig_MatchAll_Ct-1),AN1101=0),K1101,0)</f>
        <v>0</v>
      </c>
      <c r="BQ1101" s="991">
        <f>IF(AND(Input_Product=Elig!$C1101,Elig_MatchAll_Ct&lt;22,$BC1101=(Elig_MatchAll_Ct-1),AP1101=0),L1101,0)</f>
        <v>0</v>
      </c>
      <c r="BR1101" s="991">
        <f>IF(AND(Input_Product=Elig!$C1101,Elig_MatchAll_Ct&lt;22,$BC1101=(Elig_MatchAll_Ct-1),AO1101=0),M1101,0)</f>
        <v>0</v>
      </c>
      <c r="BS1101" s="991">
        <f>IF(AND(Input_Product=Elig!$C1101,Elig_MatchAll_Ct&lt;22,$BC1101=(Elig_MatchAll_Ct-1),AQ1101=0),N1101,0)</f>
        <v>0</v>
      </c>
      <c r="BT1101" s="991">
        <f>IF(AND(Input_Product=Elig!$C1101,Elig_MatchAll_Ct&lt;22,$BC1101=(Elig_MatchAll_Ct-1),AR1101=0),O1101,0)</f>
        <v>0</v>
      </c>
      <c r="BU1101" s="991">
        <f>IF(AND(Input_Product=Elig!$C1101,Elig_MatchAll_Ct&lt;22,$BC1101=(Elig_MatchAll_Ct-1),AS1101=0),P1101,0)</f>
        <v>0</v>
      </c>
      <c r="BV1101" s="992">
        <f>IF(AND(Input_Product=Elig!$C1101,Elig_MatchAll_Ct&lt;22,$BC1101=(Elig_MatchAll_Ct-1),AT1101=0),Q1101,0)</f>
        <v>0</v>
      </c>
      <c r="BW1101" s="993">
        <f>IF(AND(Input_Product=Elig!$C1101,Elig_MatchAll_Ct&lt;22,$BC1101=(Elig_MatchAll_Ct-1),AU1101=0),R1101,0)</f>
        <v>0</v>
      </c>
      <c r="BX1101" s="994">
        <f>IF(AND(Input_Product=Elig!$C1101,Elig_MatchAll_Ct&lt;22,$BC1101=(Elig_MatchAll_Ct-1),AU1101=0),S1101,0)</f>
        <v>0</v>
      </c>
      <c r="BY1101" s="993">
        <f>IF(AND(Input_Product=Elig!$C1101,Elig_MatchAll_Ct&lt;22,$BC1101=(Elig_MatchAll_Ct-1),AV1101=0),T1101,0)</f>
        <v>0</v>
      </c>
      <c r="BZ1101" s="994">
        <f>IF(AND(Input_Product=Elig!$C1101,Elig_MatchAll_Ct&lt;22,$BC1101=(Elig_MatchAll_Ct-1),AV1101=0),U1101,0)</f>
        <v>0</v>
      </c>
      <c r="CA1101" s="993">
        <f>IF(AND(Input_Product=Elig!$C1101,Elig_MatchAll_Ct&lt;22,$BC1101=(Elig_MatchAll_Ct-1),AW1101=0),V1101,0)</f>
        <v>0</v>
      </c>
      <c r="CB1101" s="994">
        <f>IF(AND(Input_Product=Elig!$C1101,Elig_MatchAll_Ct&lt;22,$BC1101=(Elig_MatchAll_Ct-1),AW1101=0),W1101,0)</f>
        <v>0</v>
      </c>
      <c r="CC1101" s="993">
        <f>IF(AND(Input_Product=Elig!$C1101,Elig_MatchAll_Ct&lt;22,$BC1101=(Elig_MatchAll_Ct-1),AX1101=0),X1101,0)</f>
        <v>0</v>
      </c>
      <c r="CD1101" s="994">
        <f>IF(AND(Input_Product=Elig!$C1101,Elig_MatchAll_Ct&lt;22,$BC1101=(Elig_MatchAll_Ct-1),AX1101=0),Y1101,0)</f>
        <v>0</v>
      </c>
      <c r="CE1101" s="993">
        <f>IF(AND(Input_LTV&lt;=AE1101,Input_Product=Elig!$C1101,Elig_MatchAll_Ct&lt;22,$BC1101=(Elig_MatchAll_Ct-1),AY1101=0),Z1101,0)</f>
        <v>0</v>
      </c>
      <c r="CF1101" s="994">
        <f>IF(AND(Input_LTV&lt;=AE1101,Input_Product=Elig!$C1101,Elig_MatchAll_Ct&lt;22,$BC1101=(Elig_MatchAll_Ct-1),AY1101=0),AA1101,0)</f>
        <v>0</v>
      </c>
      <c r="CG1101" s="993">
        <f>IF(AND(Input_Product=Elig!$C1101,Elig_MatchAll_Ct&lt;22,$BC1101=(Elig_MatchAll_Ct-1),AZ1101=0),AB1101,0)</f>
        <v>0</v>
      </c>
      <c r="CH1101" s="994">
        <f>IF(AND(Input_Product=Elig!$C1101,Elig_MatchAll_Ct&lt;22,$BC1101=(Elig_MatchAll_Ct-1),AZ1101=0),AC1101,0)</f>
        <v>0</v>
      </c>
      <c r="CI1101" s="993">
        <f>IF(AND(Input_Product=Elig!$C1101,Elig_MatchAll_Ct&lt;22,$BC1101=(Elig_MatchAll_Ct-1),BA1101=0),AD1101,0)</f>
        <v>0</v>
      </c>
      <c r="CJ1101" s="994">
        <f>IF(AND(Input_Product=Elig!$C1101,Elig_MatchAll_Ct&lt;22,$BC1101=(Elig_MatchAll_Ct-1),BA1101=0),AE1101,0)</f>
        <v>0</v>
      </c>
    </row>
    <row r="1102" spans="2:88" ht="10.15" customHeight="1" x14ac:dyDescent="0.25">
      <c r="B1102" s="1918" t="s">
        <v>2402</v>
      </c>
      <c r="C1102" s="1223" t="str">
        <f t="shared" si="417"/>
        <v xml:space="preserve"> </v>
      </c>
      <c r="D1102" s="1224" t="s">
        <v>2218</v>
      </c>
      <c r="E1102" s="1224" t="s">
        <v>167</v>
      </c>
      <c r="F1102" s="1224" t="s">
        <v>330</v>
      </c>
      <c r="G1102" s="1225" t="s">
        <v>303</v>
      </c>
      <c r="H1102" s="1225" t="s">
        <v>136</v>
      </c>
      <c r="I1102" s="1224" t="s">
        <v>274</v>
      </c>
      <c r="J1102" s="1224" t="s">
        <v>1311</v>
      </c>
      <c r="K1102" s="1225" t="s">
        <v>3022</v>
      </c>
      <c r="L1102" s="1224" t="s">
        <v>2768</v>
      </c>
      <c r="M1102" s="1224" t="s">
        <v>2677</v>
      </c>
      <c r="N1102" s="1225" t="s">
        <v>2685</v>
      </c>
      <c r="O1102" s="1224" t="s">
        <v>310</v>
      </c>
      <c r="P1102" s="1224" t="s">
        <v>291</v>
      </c>
      <c r="Q1102" s="1224" t="s">
        <v>294</v>
      </c>
      <c r="R1102" s="1224">
        <v>1500000.01</v>
      </c>
      <c r="S1102" s="1224">
        <v>2000000</v>
      </c>
      <c r="T1102" s="1224">
        <v>0</v>
      </c>
      <c r="U1102" s="1224">
        <v>0</v>
      </c>
      <c r="V1102" s="1224">
        <v>0</v>
      </c>
      <c r="W1102" s="1224">
        <v>50</v>
      </c>
      <c r="X1102" s="1224">
        <v>0</v>
      </c>
      <c r="Y1102" s="1224">
        <v>999</v>
      </c>
      <c r="Z1102" s="1226">
        <v>680</v>
      </c>
      <c r="AA1102" s="1226">
        <v>699</v>
      </c>
      <c r="AB1102" s="1226">
        <v>6</v>
      </c>
      <c r="AC1102" s="1226">
        <v>999999</v>
      </c>
      <c r="AD1102" s="1224">
        <v>0</v>
      </c>
      <c r="AE1102" s="1227">
        <v>75</v>
      </c>
      <c r="AF1102" s="170">
        <v>0</v>
      </c>
      <c r="AG1102" s="171">
        <v>1</v>
      </c>
      <c r="AH1102" s="171">
        <v>1</v>
      </c>
      <c r="AI1102" s="171">
        <v>0</v>
      </c>
      <c r="AJ1102" s="171">
        <v>1</v>
      </c>
      <c r="AK1102" s="171">
        <v>1</v>
      </c>
      <c r="AL1102" s="171">
        <v>0</v>
      </c>
      <c r="AM1102" s="171">
        <v>1</v>
      </c>
      <c r="AN1102" s="171">
        <v>1</v>
      </c>
      <c r="AO1102" s="171">
        <v>1</v>
      </c>
      <c r="AP1102" s="171">
        <v>1</v>
      </c>
      <c r="AQ1102" s="171">
        <v>1</v>
      </c>
      <c r="AR1102" s="171">
        <v>1</v>
      </c>
      <c r="AS1102" s="171">
        <v>1</v>
      </c>
      <c r="AT1102" s="171">
        <v>1</v>
      </c>
      <c r="AU1102" s="171">
        <f t="shared" si="419"/>
        <v>0</v>
      </c>
      <c r="AV1102" s="171">
        <f t="shared" si="420"/>
        <v>0</v>
      </c>
      <c r="AW1102" s="171">
        <f t="shared" si="421"/>
        <v>1</v>
      </c>
      <c r="AX1102" s="171">
        <f t="shared" si="414"/>
        <v>1</v>
      </c>
      <c r="AY1102" s="171">
        <f t="shared" si="422"/>
        <v>0</v>
      </c>
      <c r="AZ1102" s="171">
        <f t="shared" si="423"/>
        <v>1</v>
      </c>
      <c r="BA1102" s="172">
        <f t="shared" si="424"/>
        <v>1</v>
      </c>
      <c r="BB1102" s="175">
        <f t="shared" si="411"/>
        <v>16</v>
      </c>
      <c r="BC1102" s="176">
        <f t="shared" si="412"/>
        <v>15</v>
      </c>
      <c r="BD1102" s="176">
        <f t="shared" si="413"/>
        <v>16</v>
      </c>
      <c r="BE1102" s="240" t="str">
        <f t="shared" si="418"/>
        <v/>
      </c>
      <c r="BF1102" s="990"/>
      <c r="BG1102" s="990"/>
      <c r="BH1102" s="991">
        <f>IF(AND(Input_Product=Elig!$C1102,Elig_MatchAll_Ct&lt;22,$BC1102=(Elig_MatchAll_Ct-1),AF1102=0),C1102,0)</f>
        <v>0</v>
      </c>
      <c r="BI1102" s="991">
        <f>IF(AND(Input_Product=Elig!$C1102,Elig_MatchAll_Ct&lt;22,$BC1102=(Elig_MatchAll_Ct-1),AG1102=0),D1102,0)</f>
        <v>0</v>
      </c>
      <c r="BJ1102" s="991">
        <f>IF(AND(Input_Product=Elig!$C1102,Elig_MatchAll_Ct&lt;22,$BC1102=(Elig_MatchAll_Ct-1),AH1102=0),E1102,0)</f>
        <v>0</v>
      </c>
      <c r="BK1102" s="991">
        <f>IF(AND(Input_Product=Elig!$C1102,Elig_MatchAll_Ct&lt;22,$BC1102=(Elig_MatchAll_Ct-1),AI1102=0),F1102,0)</f>
        <v>0</v>
      </c>
      <c r="BL1102" s="991">
        <f>IF(AND(Input_Product=Elig!$C1102,Elig_MatchAll_Ct&lt;22,$BC1102=(Elig_MatchAll_Ct-1),AJ1102=0),G1102,0)</f>
        <v>0</v>
      </c>
      <c r="BM1102" s="991">
        <f>IF(AND(Input_Product=Elig!$C1102,Elig_MatchAll_Ct&lt;22,$BC1102=(Elig_MatchAll_Ct-1),AK1102=0),H1102,0)</f>
        <v>0</v>
      </c>
      <c r="BN1102" s="991">
        <f>IF(AND(Input_Product=Elig!$C1102,Elig_MatchAll_Ct&lt;22,$BC1102=(Elig_MatchAll_Ct-1),AL1102=0),I1102,0)</f>
        <v>0</v>
      </c>
      <c r="BO1102" s="991">
        <f>IF(AND(Input_Product=Elig!$C1102,Elig_MatchAll_Ct&lt;22,$BC1102=(Elig_MatchAll_Ct-1),AM1102=0),J1102,0)</f>
        <v>0</v>
      </c>
      <c r="BP1102" s="991">
        <f>IF(AND(Input_Product=Elig!$C1102,Elig_MatchAll_Ct&lt;22,$BC1102=(Elig_MatchAll_Ct-1),AN1102=0),K1102,0)</f>
        <v>0</v>
      </c>
      <c r="BQ1102" s="991">
        <f>IF(AND(Input_Product=Elig!$C1102,Elig_MatchAll_Ct&lt;22,$BC1102=(Elig_MatchAll_Ct-1),AP1102=0),L1102,0)</f>
        <v>0</v>
      </c>
      <c r="BR1102" s="991">
        <f>IF(AND(Input_Product=Elig!$C1102,Elig_MatchAll_Ct&lt;22,$BC1102=(Elig_MatchAll_Ct-1),AO1102=0),M1102,0)</f>
        <v>0</v>
      </c>
      <c r="BS1102" s="991">
        <f>IF(AND(Input_Product=Elig!$C1102,Elig_MatchAll_Ct&lt;22,$BC1102=(Elig_MatchAll_Ct-1),AQ1102=0),N1102,0)</f>
        <v>0</v>
      </c>
      <c r="BT1102" s="991">
        <f>IF(AND(Input_Product=Elig!$C1102,Elig_MatchAll_Ct&lt;22,$BC1102=(Elig_MatchAll_Ct-1),AR1102=0),O1102,0)</f>
        <v>0</v>
      </c>
      <c r="BU1102" s="991">
        <f>IF(AND(Input_Product=Elig!$C1102,Elig_MatchAll_Ct&lt;22,$BC1102=(Elig_MatchAll_Ct-1),AS1102=0),P1102,0)</f>
        <v>0</v>
      </c>
      <c r="BV1102" s="992">
        <f>IF(AND(Input_Product=Elig!$C1102,Elig_MatchAll_Ct&lt;22,$BC1102=(Elig_MatchAll_Ct-1),AT1102=0),Q1102,0)</f>
        <v>0</v>
      </c>
      <c r="BW1102" s="993">
        <f>IF(AND(Input_Product=Elig!$C1102,Elig_MatchAll_Ct&lt;22,$BC1102=(Elig_MatchAll_Ct-1),AU1102=0),R1102,0)</f>
        <v>0</v>
      </c>
      <c r="BX1102" s="994">
        <f>IF(AND(Input_Product=Elig!$C1102,Elig_MatchAll_Ct&lt;22,$BC1102=(Elig_MatchAll_Ct-1),AU1102=0),S1102,0)</f>
        <v>0</v>
      </c>
      <c r="BY1102" s="993">
        <f>IF(AND(Input_Product=Elig!$C1102,Elig_MatchAll_Ct&lt;22,$BC1102=(Elig_MatchAll_Ct-1),AV1102=0),T1102,0)</f>
        <v>0</v>
      </c>
      <c r="BZ1102" s="994">
        <f>IF(AND(Input_Product=Elig!$C1102,Elig_MatchAll_Ct&lt;22,$BC1102=(Elig_MatchAll_Ct-1),AV1102=0),U1102,0)</f>
        <v>0</v>
      </c>
      <c r="CA1102" s="993">
        <f>IF(AND(Input_Product=Elig!$C1102,Elig_MatchAll_Ct&lt;22,$BC1102=(Elig_MatchAll_Ct-1),AW1102=0),V1102,0)</f>
        <v>0</v>
      </c>
      <c r="CB1102" s="994">
        <f>IF(AND(Input_Product=Elig!$C1102,Elig_MatchAll_Ct&lt;22,$BC1102=(Elig_MatchAll_Ct-1),AW1102=0),W1102,0)</f>
        <v>0</v>
      </c>
      <c r="CC1102" s="993">
        <f>IF(AND(Input_Product=Elig!$C1102,Elig_MatchAll_Ct&lt;22,$BC1102=(Elig_MatchAll_Ct-1),AX1102=0),X1102,0)</f>
        <v>0</v>
      </c>
      <c r="CD1102" s="994">
        <f>IF(AND(Input_Product=Elig!$C1102,Elig_MatchAll_Ct&lt;22,$BC1102=(Elig_MatchAll_Ct-1),AX1102=0),Y1102,0)</f>
        <v>0</v>
      </c>
      <c r="CE1102" s="993">
        <f>IF(AND(Input_LTV&lt;=AE1102,Input_Product=Elig!$C1102,Elig_MatchAll_Ct&lt;22,$BC1102=(Elig_MatchAll_Ct-1),AY1102=0),Z1102,0)</f>
        <v>0</v>
      </c>
      <c r="CF1102" s="994">
        <f>IF(AND(Input_LTV&lt;=AE1102,Input_Product=Elig!$C1102,Elig_MatchAll_Ct&lt;22,$BC1102=(Elig_MatchAll_Ct-1),AY1102=0),AA1102,0)</f>
        <v>0</v>
      </c>
      <c r="CG1102" s="993">
        <f>IF(AND(Input_Product=Elig!$C1102,Elig_MatchAll_Ct&lt;22,$BC1102=(Elig_MatchAll_Ct-1),AZ1102=0),AB1102,0)</f>
        <v>0</v>
      </c>
      <c r="CH1102" s="994">
        <f>IF(AND(Input_Product=Elig!$C1102,Elig_MatchAll_Ct&lt;22,$BC1102=(Elig_MatchAll_Ct-1),AZ1102=0),AC1102,0)</f>
        <v>0</v>
      </c>
      <c r="CI1102" s="993">
        <f>IF(AND(Input_Product=Elig!$C1102,Elig_MatchAll_Ct&lt;22,$BC1102=(Elig_MatchAll_Ct-1),BA1102=0),AD1102,0)</f>
        <v>0</v>
      </c>
      <c r="CJ1102" s="994">
        <f>IF(AND(Input_Product=Elig!$C1102,Elig_MatchAll_Ct&lt;22,$BC1102=(Elig_MatchAll_Ct-1),BA1102=0),AE1102,0)</f>
        <v>0</v>
      </c>
    </row>
    <row r="1103" spans="2:88" ht="10.15" customHeight="1" x14ac:dyDescent="0.25">
      <c r="B1103" s="1918" t="s">
        <v>2403</v>
      </c>
      <c r="C1103" s="1228" t="str">
        <f t="shared" si="417"/>
        <v xml:space="preserve"> </v>
      </c>
      <c r="D1103" s="1229" t="s">
        <v>2218</v>
      </c>
      <c r="E1103" s="1229" t="s">
        <v>167</v>
      </c>
      <c r="F1103" s="1229" t="s">
        <v>330</v>
      </c>
      <c r="G1103" s="1230" t="s">
        <v>303</v>
      </c>
      <c r="H1103" s="1230" t="s">
        <v>136</v>
      </c>
      <c r="I1103" s="1229" t="s">
        <v>274</v>
      </c>
      <c r="J1103" s="1229" t="s">
        <v>1311</v>
      </c>
      <c r="K1103" s="1230" t="s">
        <v>3022</v>
      </c>
      <c r="L1103" s="1229" t="s">
        <v>2768</v>
      </c>
      <c r="M1103" s="1229" t="s">
        <v>2677</v>
      </c>
      <c r="N1103" s="1230" t="s">
        <v>2685</v>
      </c>
      <c r="O1103" s="1229" t="s">
        <v>310</v>
      </c>
      <c r="P1103" s="1229" t="s">
        <v>291</v>
      </c>
      <c r="Q1103" s="1229" t="s">
        <v>294</v>
      </c>
      <c r="R1103" s="1229">
        <v>1500000.01</v>
      </c>
      <c r="S1103" s="1229">
        <v>2000000</v>
      </c>
      <c r="T1103" s="1229">
        <v>0</v>
      </c>
      <c r="U1103" s="1229">
        <v>0</v>
      </c>
      <c r="V1103" s="1229">
        <v>0</v>
      </c>
      <c r="W1103" s="1229">
        <v>50</v>
      </c>
      <c r="X1103" s="1229">
        <v>0</v>
      </c>
      <c r="Y1103" s="1229">
        <v>999</v>
      </c>
      <c r="Z1103" s="1231">
        <v>660</v>
      </c>
      <c r="AA1103" s="1231">
        <v>679</v>
      </c>
      <c r="AB1103" s="1231">
        <v>6</v>
      </c>
      <c r="AC1103" s="1231">
        <v>999999</v>
      </c>
      <c r="AD1103" s="1229">
        <v>0</v>
      </c>
      <c r="AE1103" s="1232">
        <v>70</v>
      </c>
      <c r="AF1103" s="170">
        <v>0</v>
      </c>
      <c r="AG1103" s="171">
        <v>1</v>
      </c>
      <c r="AH1103" s="171">
        <v>1</v>
      </c>
      <c r="AI1103" s="171">
        <v>0</v>
      </c>
      <c r="AJ1103" s="171">
        <v>1</v>
      </c>
      <c r="AK1103" s="171">
        <v>1</v>
      </c>
      <c r="AL1103" s="171">
        <v>0</v>
      </c>
      <c r="AM1103" s="171">
        <v>1</v>
      </c>
      <c r="AN1103" s="171">
        <v>1</v>
      </c>
      <c r="AO1103" s="171">
        <v>1</v>
      </c>
      <c r="AP1103" s="171">
        <v>1</v>
      </c>
      <c r="AQ1103" s="171">
        <v>1</v>
      </c>
      <c r="AR1103" s="171">
        <v>1</v>
      </c>
      <c r="AS1103" s="171">
        <v>1</v>
      </c>
      <c r="AT1103" s="171">
        <v>1</v>
      </c>
      <c r="AU1103" s="171">
        <f t="shared" si="419"/>
        <v>0</v>
      </c>
      <c r="AV1103" s="171">
        <f t="shared" si="420"/>
        <v>0</v>
      </c>
      <c r="AW1103" s="171">
        <f t="shared" si="421"/>
        <v>1</v>
      </c>
      <c r="AX1103" s="171">
        <f t="shared" si="414"/>
        <v>1</v>
      </c>
      <c r="AY1103" s="171">
        <f t="shared" si="422"/>
        <v>0</v>
      </c>
      <c r="AZ1103" s="171">
        <f t="shared" si="423"/>
        <v>1</v>
      </c>
      <c r="BA1103" s="172">
        <f t="shared" si="424"/>
        <v>1</v>
      </c>
      <c r="BB1103" s="175">
        <f t="shared" si="411"/>
        <v>16</v>
      </c>
      <c r="BC1103" s="176">
        <f t="shared" si="412"/>
        <v>15</v>
      </c>
      <c r="BD1103" s="176">
        <f t="shared" si="413"/>
        <v>16</v>
      </c>
      <c r="BE1103" s="240" t="str">
        <f t="shared" si="418"/>
        <v/>
      </c>
      <c r="BF1103" s="990"/>
      <c r="BG1103" s="990"/>
      <c r="BH1103" s="991">
        <f>IF(AND(Input_Product=Elig!$C1103,Elig_MatchAll_Ct&lt;22,$BC1103=(Elig_MatchAll_Ct-1),AF1103=0),C1103,0)</f>
        <v>0</v>
      </c>
      <c r="BI1103" s="991">
        <f>IF(AND(Input_Product=Elig!$C1103,Elig_MatchAll_Ct&lt;22,$BC1103=(Elig_MatchAll_Ct-1),AG1103=0),D1103,0)</f>
        <v>0</v>
      </c>
      <c r="BJ1103" s="991">
        <f>IF(AND(Input_Product=Elig!$C1103,Elig_MatchAll_Ct&lt;22,$BC1103=(Elig_MatchAll_Ct-1),AH1103=0),E1103,0)</f>
        <v>0</v>
      </c>
      <c r="BK1103" s="991">
        <f>IF(AND(Input_Product=Elig!$C1103,Elig_MatchAll_Ct&lt;22,$BC1103=(Elig_MatchAll_Ct-1),AI1103=0),F1103,0)</f>
        <v>0</v>
      </c>
      <c r="BL1103" s="991">
        <f>IF(AND(Input_Product=Elig!$C1103,Elig_MatchAll_Ct&lt;22,$BC1103=(Elig_MatchAll_Ct-1),AJ1103=0),G1103,0)</f>
        <v>0</v>
      </c>
      <c r="BM1103" s="991">
        <f>IF(AND(Input_Product=Elig!$C1103,Elig_MatchAll_Ct&lt;22,$BC1103=(Elig_MatchAll_Ct-1),AK1103=0),H1103,0)</f>
        <v>0</v>
      </c>
      <c r="BN1103" s="991">
        <f>IF(AND(Input_Product=Elig!$C1103,Elig_MatchAll_Ct&lt;22,$BC1103=(Elig_MatchAll_Ct-1),AL1103=0),I1103,0)</f>
        <v>0</v>
      </c>
      <c r="BO1103" s="991">
        <f>IF(AND(Input_Product=Elig!$C1103,Elig_MatchAll_Ct&lt;22,$BC1103=(Elig_MatchAll_Ct-1),AM1103=0),J1103,0)</f>
        <v>0</v>
      </c>
      <c r="BP1103" s="991">
        <f>IF(AND(Input_Product=Elig!$C1103,Elig_MatchAll_Ct&lt;22,$BC1103=(Elig_MatchAll_Ct-1),AN1103=0),K1103,0)</f>
        <v>0</v>
      </c>
      <c r="BQ1103" s="991">
        <f>IF(AND(Input_Product=Elig!$C1103,Elig_MatchAll_Ct&lt;22,$BC1103=(Elig_MatchAll_Ct-1),AP1103=0),L1103,0)</f>
        <v>0</v>
      </c>
      <c r="BR1103" s="991">
        <f>IF(AND(Input_Product=Elig!$C1103,Elig_MatchAll_Ct&lt;22,$BC1103=(Elig_MatchAll_Ct-1),AO1103=0),M1103,0)</f>
        <v>0</v>
      </c>
      <c r="BS1103" s="991">
        <f>IF(AND(Input_Product=Elig!$C1103,Elig_MatchAll_Ct&lt;22,$BC1103=(Elig_MatchAll_Ct-1),AQ1103=0),N1103,0)</f>
        <v>0</v>
      </c>
      <c r="BT1103" s="991">
        <f>IF(AND(Input_Product=Elig!$C1103,Elig_MatchAll_Ct&lt;22,$BC1103=(Elig_MatchAll_Ct-1),AR1103=0),O1103,0)</f>
        <v>0</v>
      </c>
      <c r="BU1103" s="991">
        <f>IF(AND(Input_Product=Elig!$C1103,Elig_MatchAll_Ct&lt;22,$BC1103=(Elig_MatchAll_Ct-1),AS1103=0),P1103,0)</f>
        <v>0</v>
      </c>
      <c r="BV1103" s="992">
        <f>IF(AND(Input_Product=Elig!$C1103,Elig_MatchAll_Ct&lt;22,$BC1103=(Elig_MatchAll_Ct-1),AT1103=0),Q1103,0)</f>
        <v>0</v>
      </c>
      <c r="BW1103" s="993">
        <f>IF(AND(Input_Product=Elig!$C1103,Elig_MatchAll_Ct&lt;22,$BC1103=(Elig_MatchAll_Ct-1),AU1103=0),R1103,0)</f>
        <v>0</v>
      </c>
      <c r="BX1103" s="994">
        <f>IF(AND(Input_Product=Elig!$C1103,Elig_MatchAll_Ct&lt;22,$BC1103=(Elig_MatchAll_Ct-1),AU1103=0),S1103,0)</f>
        <v>0</v>
      </c>
      <c r="BY1103" s="993">
        <f>IF(AND(Input_Product=Elig!$C1103,Elig_MatchAll_Ct&lt;22,$BC1103=(Elig_MatchAll_Ct-1),AV1103=0),T1103,0)</f>
        <v>0</v>
      </c>
      <c r="BZ1103" s="994">
        <f>IF(AND(Input_Product=Elig!$C1103,Elig_MatchAll_Ct&lt;22,$BC1103=(Elig_MatchAll_Ct-1),AV1103=0),U1103,0)</f>
        <v>0</v>
      </c>
      <c r="CA1103" s="993">
        <f>IF(AND(Input_Product=Elig!$C1103,Elig_MatchAll_Ct&lt;22,$BC1103=(Elig_MatchAll_Ct-1),AW1103=0),V1103,0)</f>
        <v>0</v>
      </c>
      <c r="CB1103" s="994">
        <f>IF(AND(Input_Product=Elig!$C1103,Elig_MatchAll_Ct&lt;22,$BC1103=(Elig_MatchAll_Ct-1),AW1103=0),W1103,0)</f>
        <v>0</v>
      </c>
      <c r="CC1103" s="993">
        <f>IF(AND(Input_Product=Elig!$C1103,Elig_MatchAll_Ct&lt;22,$BC1103=(Elig_MatchAll_Ct-1),AX1103=0),X1103,0)</f>
        <v>0</v>
      </c>
      <c r="CD1103" s="994">
        <f>IF(AND(Input_Product=Elig!$C1103,Elig_MatchAll_Ct&lt;22,$BC1103=(Elig_MatchAll_Ct-1),AX1103=0),Y1103,0)</f>
        <v>0</v>
      </c>
      <c r="CE1103" s="993">
        <f>IF(AND(Input_LTV&lt;=AE1103,Input_Product=Elig!$C1103,Elig_MatchAll_Ct&lt;22,$BC1103=(Elig_MatchAll_Ct-1),AY1103=0),Z1103,0)</f>
        <v>0</v>
      </c>
      <c r="CF1103" s="994">
        <f>IF(AND(Input_LTV&lt;=AE1103,Input_Product=Elig!$C1103,Elig_MatchAll_Ct&lt;22,$BC1103=(Elig_MatchAll_Ct-1),AY1103=0),AA1103,0)</f>
        <v>0</v>
      </c>
      <c r="CG1103" s="993">
        <f>IF(AND(Input_Product=Elig!$C1103,Elig_MatchAll_Ct&lt;22,$BC1103=(Elig_MatchAll_Ct-1),AZ1103=0),AB1103,0)</f>
        <v>0</v>
      </c>
      <c r="CH1103" s="994">
        <f>IF(AND(Input_Product=Elig!$C1103,Elig_MatchAll_Ct&lt;22,$BC1103=(Elig_MatchAll_Ct-1),AZ1103=0),AC1103,0)</f>
        <v>0</v>
      </c>
      <c r="CI1103" s="993">
        <f>IF(AND(Input_Product=Elig!$C1103,Elig_MatchAll_Ct&lt;22,$BC1103=(Elig_MatchAll_Ct-1),BA1103=0),AD1103,0)</f>
        <v>0</v>
      </c>
      <c r="CJ1103" s="994">
        <f>IF(AND(Input_Product=Elig!$C1103,Elig_MatchAll_Ct&lt;22,$BC1103=(Elig_MatchAll_Ct-1),BA1103=0),AE1103,0)</f>
        <v>0</v>
      </c>
    </row>
    <row r="1104" spans="2:88" ht="10.15" customHeight="1" x14ac:dyDescent="0.25">
      <c r="B1104" s="1918" t="s">
        <v>2404</v>
      </c>
      <c r="C1104" s="1218" t="str">
        <f t="shared" si="417"/>
        <v xml:space="preserve"> </v>
      </c>
      <c r="D1104" s="1219" t="s">
        <v>2218</v>
      </c>
      <c r="E1104" s="1219" t="s">
        <v>167</v>
      </c>
      <c r="F1104" s="1219" t="s">
        <v>330</v>
      </c>
      <c r="G1104" s="1220" t="s">
        <v>303</v>
      </c>
      <c r="H1104" s="1220" t="s">
        <v>136</v>
      </c>
      <c r="I1104" s="1219" t="s">
        <v>274</v>
      </c>
      <c r="J1104" s="1219" t="s">
        <v>1311</v>
      </c>
      <c r="K1104" s="1220" t="s">
        <v>3022</v>
      </c>
      <c r="L1104" s="1219" t="s">
        <v>2768</v>
      </c>
      <c r="M1104" s="1219" t="s">
        <v>2677</v>
      </c>
      <c r="N1104" s="1220" t="s">
        <v>2685</v>
      </c>
      <c r="O1104" s="1219" t="s">
        <v>310</v>
      </c>
      <c r="P1104" s="1219" t="s">
        <v>291</v>
      </c>
      <c r="Q1104" s="1219" t="s">
        <v>294</v>
      </c>
      <c r="R1104" s="1219">
        <v>2000000.01</v>
      </c>
      <c r="S1104" s="1219">
        <v>2500000</v>
      </c>
      <c r="T1104" s="1219">
        <v>0</v>
      </c>
      <c r="U1104" s="1219">
        <v>0</v>
      </c>
      <c r="V1104" s="1219">
        <v>0</v>
      </c>
      <c r="W1104" s="1219">
        <v>50</v>
      </c>
      <c r="X1104" s="1219">
        <v>0</v>
      </c>
      <c r="Y1104" s="1219">
        <v>999</v>
      </c>
      <c r="Z1104" s="1221">
        <v>720</v>
      </c>
      <c r="AA1104" s="1221">
        <v>999</v>
      </c>
      <c r="AB1104" s="1221">
        <v>6</v>
      </c>
      <c r="AC1104" s="1221">
        <v>999999</v>
      </c>
      <c r="AD1104" s="1219">
        <v>0</v>
      </c>
      <c r="AE1104" s="1222">
        <v>80</v>
      </c>
      <c r="AF1104" s="170">
        <v>0</v>
      </c>
      <c r="AG1104" s="171">
        <v>1</v>
      </c>
      <c r="AH1104" s="171">
        <v>1</v>
      </c>
      <c r="AI1104" s="171">
        <v>0</v>
      </c>
      <c r="AJ1104" s="171">
        <v>1</v>
      </c>
      <c r="AK1104" s="171">
        <v>1</v>
      </c>
      <c r="AL1104" s="171">
        <v>0</v>
      </c>
      <c r="AM1104" s="171">
        <v>1</v>
      </c>
      <c r="AN1104" s="171">
        <v>1</v>
      </c>
      <c r="AO1104" s="171">
        <v>1</v>
      </c>
      <c r="AP1104" s="171">
        <v>1</v>
      </c>
      <c r="AQ1104" s="171">
        <v>1</v>
      </c>
      <c r="AR1104" s="171">
        <v>1</v>
      </c>
      <c r="AS1104" s="171">
        <v>1</v>
      </c>
      <c r="AT1104" s="171">
        <v>1</v>
      </c>
      <c r="AU1104" s="171">
        <f t="shared" si="419"/>
        <v>0</v>
      </c>
      <c r="AV1104" s="171">
        <f t="shared" si="420"/>
        <v>0</v>
      </c>
      <c r="AW1104" s="171">
        <f t="shared" si="421"/>
        <v>1</v>
      </c>
      <c r="AX1104" s="171">
        <f t="shared" si="414"/>
        <v>1</v>
      </c>
      <c r="AY1104" s="171">
        <f t="shared" si="422"/>
        <v>1</v>
      </c>
      <c r="AZ1104" s="171">
        <f t="shared" si="423"/>
        <v>1</v>
      </c>
      <c r="BA1104" s="172">
        <f t="shared" si="424"/>
        <v>1</v>
      </c>
      <c r="BB1104" s="175">
        <f t="shared" si="411"/>
        <v>17</v>
      </c>
      <c r="BC1104" s="176">
        <f t="shared" si="412"/>
        <v>16</v>
      </c>
      <c r="BD1104" s="176">
        <f t="shared" si="413"/>
        <v>17</v>
      </c>
      <c r="BE1104" s="240" t="str">
        <f t="shared" si="418"/>
        <v/>
      </c>
      <c r="BF1104" s="990"/>
      <c r="BG1104" s="990"/>
      <c r="BH1104" s="991">
        <f>IF(AND(Input_Product=Elig!$C1104,Elig_MatchAll_Ct&lt;22,$BC1104=(Elig_MatchAll_Ct-1),AF1104=0),C1104,0)</f>
        <v>0</v>
      </c>
      <c r="BI1104" s="991">
        <f>IF(AND(Input_Product=Elig!$C1104,Elig_MatchAll_Ct&lt;22,$BC1104=(Elig_MatchAll_Ct-1),AG1104=0),D1104,0)</f>
        <v>0</v>
      </c>
      <c r="BJ1104" s="991">
        <f>IF(AND(Input_Product=Elig!$C1104,Elig_MatchAll_Ct&lt;22,$BC1104=(Elig_MatchAll_Ct-1),AH1104=0),E1104,0)</f>
        <v>0</v>
      </c>
      <c r="BK1104" s="991">
        <f>IF(AND(Input_Product=Elig!$C1104,Elig_MatchAll_Ct&lt;22,$BC1104=(Elig_MatchAll_Ct-1),AI1104=0),F1104,0)</f>
        <v>0</v>
      </c>
      <c r="BL1104" s="991">
        <f>IF(AND(Input_Product=Elig!$C1104,Elig_MatchAll_Ct&lt;22,$BC1104=(Elig_MatchAll_Ct-1),AJ1104=0),G1104,0)</f>
        <v>0</v>
      </c>
      <c r="BM1104" s="991">
        <f>IF(AND(Input_Product=Elig!$C1104,Elig_MatchAll_Ct&lt;22,$BC1104=(Elig_MatchAll_Ct-1),AK1104=0),H1104,0)</f>
        <v>0</v>
      </c>
      <c r="BN1104" s="991">
        <f>IF(AND(Input_Product=Elig!$C1104,Elig_MatchAll_Ct&lt;22,$BC1104=(Elig_MatchAll_Ct-1),AL1104=0),I1104,0)</f>
        <v>0</v>
      </c>
      <c r="BO1104" s="991">
        <f>IF(AND(Input_Product=Elig!$C1104,Elig_MatchAll_Ct&lt;22,$BC1104=(Elig_MatchAll_Ct-1),AM1104=0),J1104,0)</f>
        <v>0</v>
      </c>
      <c r="BP1104" s="991">
        <f>IF(AND(Input_Product=Elig!$C1104,Elig_MatchAll_Ct&lt;22,$BC1104=(Elig_MatchAll_Ct-1),AN1104=0),K1104,0)</f>
        <v>0</v>
      </c>
      <c r="BQ1104" s="991">
        <f>IF(AND(Input_Product=Elig!$C1104,Elig_MatchAll_Ct&lt;22,$BC1104=(Elig_MatchAll_Ct-1),AP1104=0),L1104,0)</f>
        <v>0</v>
      </c>
      <c r="BR1104" s="991">
        <f>IF(AND(Input_Product=Elig!$C1104,Elig_MatchAll_Ct&lt;22,$BC1104=(Elig_MatchAll_Ct-1),AO1104=0),M1104,0)</f>
        <v>0</v>
      </c>
      <c r="BS1104" s="991">
        <f>IF(AND(Input_Product=Elig!$C1104,Elig_MatchAll_Ct&lt;22,$BC1104=(Elig_MatchAll_Ct-1),AQ1104=0),N1104,0)</f>
        <v>0</v>
      </c>
      <c r="BT1104" s="991">
        <f>IF(AND(Input_Product=Elig!$C1104,Elig_MatchAll_Ct&lt;22,$BC1104=(Elig_MatchAll_Ct-1),AR1104=0),O1104,0)</f>
        <v>0</v>
      </c>
      <c r="BU1104" s="991">
        <f>IF(AND(Input_Product=Elig!$C1104,Elig_MatchAll_Ct&lt;22,$BC1104=(Elig_MatchAll_Ct-1),AS1104=0),P1104,0)</f>
        <v>0</v>
      </c>
      <c r="BV1104" s="992">
        <f>IF(AND(Input_Product=Elig!$C1104,Elig_MatchAll_Ct&lt;22,$BC1104=(Elig_MatchAll_Ct-1),AT1104=0),Q1104,0)</f>
        <v>0</v>
      </c>
      <c r="BW1104" s="993">
        <f>IF(AND(Input_Product=Elig!$C1104,Elig_MatchAll_Ct&lt;22,$BC1104=(Elig_MatchAll_Ct-1),AU1104=0),R1104,0)</f>
        <v>0</v>
      </c>
      <c r="BX1104" s="994">
        <f>IF(AND(Input_Product=Elig!$C1104,Elig_MatchAll_Ct&lt;22,$BC1104=(Elig_MatchAll_Ct-1),AU1104=0),S1104,0)</f>
        <v>0</v>
      </c>
      <c r="BY1104" s="993">
        <f>IF(AND(Input_Product=Elig!$C1104,Elig_MatchAll_Ct&lt;22,$BC1104=(Elig_MatchAll_Ct-1),AV1104=0),T1104,0)</f>
        <v>0</v>
      </c>
      <c r="BZ1104" s="994">
        <f>IF(AND(Input_Product=Elig!$C1104,Elig_MatchAll_Ct&lt;22,$BC1104=(Elig_MatchAll_Ct-1),AV1104=0),U1104,0)</f>
        <v>0</v>
      </c>
      <c r="CA1104" s="993">
        <f>IF(AND(Input_Product=Elig!$C1104,Elig_MatchAll_Ct&lt;22,$BC1104=(Elig_MatchAll_Ct-1),AW1104=0),V1104,0)</f>
        <v>0</v>
      </c>
      <c r="CB1104" s="994">
        <f>IF(AND(Input_Product=Elig!$C1104,Elig_MatchAll_Ct&lt;22,$BC1104=(Elig_MatchAll_Ct-1),AW1104=0),W1104,0)</f>
        <v>0</v>
      </c>
      <c r="CC1104" s="993">
        <f>IF(AND(Input_Product=Elig!$C1104,Elig_MatchAll_Ct&lt;22,$BC1104=(Elig_MatchAll_Ct-1),AX1104=0),X1104,0)</f>
        <v>0</v>
      </c>
      <c r="CD1104" s="994">
        <f>IF(AND(Input_Product=Elig!$C1104,Elig_MatchAll_Ct&lt;22,$BC1104=(Elig_MatchAll_Ct-1),AX1104=0),Y1104,0)</f>
        <v>0</v>
      </c>
      <c r="CE1104" s="993">
        <f>IF(AND(Input_LTV&lt;=AE1104,Input_Product=Elig!$C1104,Elig_MatchAll_Ct&lt;22,$BC1104=(Elig_MatchAll_Ct-1),AY1104=0),Z1104,0)</f>
        <v>0</v>
      </c>
      <c r="CF1104" s="994">
        <f>IF(AND(Input_LTV&lt;=AE1104,Input_Product=Elig!$C1104,Elig_MatchAll_Ct&lt;22,$BC1104=(Elig_MatchAll_Ct-1),AY1104=0),AA1104,0)</f>
        <v>0</v>
      </c>
      <c r="CG1104" s="993">
        <f>IF(AND(Input_Product=Elig!$C1104,Elig_MatchAll_Ct&lt;22,$BC1104=(Elig_MatchAll_Ct-1),AZ1104=0),AB1104,0)</f>
        <v>0</v>
      </c>
      <c r="CH1104" s="994">
        <f>IF(AND(Input_Product=Elig!$C1104,Elig_MatchAll_Ct&lt;22,$BC1104=(Elig_MatchAll_Ct-1),AZ1104=0),AC1104,0)</f>
        <v>0</v>
      </c>
      <c r="CI1104" s="993">
        <f>IF(AND(Input_Product=Elig!$C1104,Elig_MatchAll_Ct&lt;22,$BC1104=(Elig_MatchAll_Ct-1),BA1104=0),AD1104,0)</f>
        <v>0</v>
      </c>
      <c r="CJ1104" s="994">
        <f>IF(AND(Input_Product=Elig!$C1104,Elig_MatchAll_Ct&lt;22,$BC1104=(Elig_MatchAll_Ct-1),BA1104=0),AE1104,0)</f>
        <v>0</v>
      </c>
    </row>
    <row r="1105" spans="2:88" ht="10.15" customHeight="1" x14ac:dyDescent="0.25">
      <c r="B1105" s="1918" t="s">
        <v>2405</v>
      </c>
      <c r="C1105" s="1223" t="str">
        <f t="shared" si="417"/>
        <v xml:space="preserve"> </v>
      </c>
      <c r="D1105" s="1224" t="s">
        <v>2218</v>
      </c>
      <c r="E1105" s="1224" t="s">
        <v>167</v>
      </c>
      <c r="F1105" s="1224" t="s">
        <v>330</v>
      </c>
      <c r="G1105" s="1225" t="s">
        <v>303</v>
      </c>
      <c r="H1105" s="1225" t="s">
        <v>136</v>
      </c>
      <c r="I1105" s="1224" t="s">
        <v>274</v>
      </c>
      <c r="J1105" s="1224" t="s">
        <v>1311</v>
      </c>
      <c r="K1105" s="1225" t="s">
        <v>3022</v>
      </c>
      <c r="L1105" s="1224" t="s">
        <v>2768</v>
      </c>
      <c r="M1105" s="1224" t="s">
        <v>2677</v>
      </c>
      <c r="N1105" s="1225" t="s">
        <v>2685</v>
      </c>
      <c r="O1105" s="1224" t="s">
        <v>310</v>
      </c>
      <c r="P1105" s="1224" t="s">
        <v>291</v>
      </c>
      <c r="Q1105" s="1224" t="s">
        <v>294</v>
      </c>
      <c r="R1105" s="1224">
        <v>2000000.01</v>
      </c>
      <c r="S1105" s="1224">
        <v>2500000</v>
      </c>
      <c r="T1105" s="1224">
        <v>0</v>
      </c>
      <c r="U1105" s="1224">
        <v>0</v>
      </c>
      <c r="V1105" s="1224">
        <v>0</v>
      </c>
      <c r="W1105" s="1224">
        <v>50</v>
      </c>
      <c r="X1105" s="1224">
        <v>0</v>
      </c>
      <c r="Y1105" s="1224">
        <v>999</v>
      </c>
      <c r="Z1105" s="1226">
        <v>700</v>
      </c>
      <c r="AA1105" s="1226">
        <v>719</v>
      </c>
      <c r="AB1105" s="1226">
        <v>6</v>
      </c>
      <c r="AC1105" s="1226">
        <v>999999</v>
      </c>
      <c r="AD1105" s="1224">
        <v>0</v>
      </c>
      <c r="AE1105" s="1227">
        <v>80</v>
      </c>
      <c r="AF1105" s="170">
        <v>0</v>
      </c>
      <c r="AG1105" s="171">
        <v>1</v>
      </c>
      <c r="AH1105" s="171">
        <v>1</v>
      </c>
      <c r="AI1105" s="171">
        <v>0</v>
      </c>
      <c r="AJ1105" s="171">
        <v>1</v>
      </c>
      <c r="AK1105" s="171">
        <v>1</v>
      </c>
      <c r="AL1105" s="171">
        <v>0</v>
      </c>
      <c r="AM1105" s="171">
        <v>1</v>
      </c>
      <c r="AN1105" s="171">
        <v>1</v>
      </c>
      <c r="AO1105" s="171">
        <v>1</v>
      </c>
      <c r="AP1105" s="171">
        <v>1</v>
      </c>
      <c r="AQ1105" s="171">
        <v>1</v>
      </c>
      <c r="AR1105" s="171">
        <v>1</v>
      </c>
      <c r="AS1105" s="171">
        <v>1</v>
      </c>
      <c r="AT1105" s="171">
        <v>1</v>
      </c>
      <c r="AU1105" s="171">
        <f t="shared" si="419"/>
        <v>0</v>
      </c>
      <c r="AV1105" s="171">
        <f t="shared" si="420"/>
        <v>0</v>
      </c>
      <c r="AW1105" s="171">
        <f t="shared" si="421"/>
        <v>1</v>
      </c>
      <c r="AX1105" s="171">
        <f t="shared" si="414"/>
        <v>1</v>
      </c>
      <c r="AY1105" s="171">
        <f t="shared" si="422"/>
        <v>0</v>
      </c>
      <c r="AZ1105" s="171">
        <f t="shared" si="423"/>
        <v>1</v>
      </c>
      <c r="BA1105" s="172">
        <f t="shared" si="424"/>
        <v>1</v>
      </c>
      <c r="BB1105" s="175">
        <f t="shared" si="411"/>
        <v>16</v>
      </c>
      <c r="BC1105" s="176">
        <f t="shared" si="412"/>
        <v>15</v>
      </c>
      <c r="BD1105" s="176">
        <f t="shared" si="413"/>
        <v>16</v>
      </c>
      <c r="BE1105" s="240" t="str">
        <f t="shared" si="418"/>
        <v/>
      </c>
      <c r="BF1105" s="990"/>
      <c r="BG1105" s="990"/>
      <c r="BH1105" s="991">
        <f>IF(AND(Input_Product=Elig!$C1105,Elig_MatchAll_Ct&lt;22,$BC1105=(Elig_MatchAll_Ct-1),AF1105=0),C1105,0)</f>
        <v>0</v>
      </c>
      <c r="BI1105" s="991">
        <f>IF(AND(Input_Product=Elig!$C1105,Elig_MatchAll_Ct&lt;22,$BC1105=(Elig_MatchAll_Ct-1),AG1105=0),D1105,0)</f>
        <v>0</v>
      </c>
      <c r="BJ1105" s="991">
        <f>IF(AND(Input_Product=Elig!$C1105,Elig_MatchAll_Ct&lt;22,$BC1105=(Elig_MatchAll_Ct-1),AH1105=0),E1105,0)</f>
        <v>0</v>
      </c>
      <c r="BK1105" s="991">
        <f>IF(AND(Input_Product=Elig!$C1105,Elig_MatchAll_Ct&lt;22,$BC1105=(Elig_MatchAll_Ct-1),AI1105=0),F1105,0)</f>
        <v>0</v>
      </c>
      <c r="BL1105" s="991">
        <f>IF(AND(Input_Product=Elig!$C1105,Elig_MatchAll_Ct&lt;22,$BC1105=(Elig_MatchAll_Ct-1),AJ1105=0),G1105,0)</f>
        <v>0</v>
      </c>
      <c r="BM1105" s="991">
        <f>IF(AND(Input_Product=Elig!$C1105,Elig_MatchAll_Ct&lt;22,$BC1105=(Elig_MatchAll_Ct-1),AK1105=0),H1105,0)</f>
        <v>0</v>
      </c>
      <c r="BN1105" s="991">
        <f>IF(AND(Input_Product=Elig!$C1105,Elig_MatchAll_Ct&lt;22,$BC1105=(Elig_MatchAll_Ct-1),AL1105=0),I1105,0)</f>
        <v>0</v>
      </c>
      <c r="BO1105" s="991">
        <f>IF(AND(Input_Product=Elig!$C1105,Elig_MatchAll_Ct&lt;22,$BC1105=(Elig_MatchAll_Ct-1),AM1105=0),J1105,0)</f>
        <v>0</v>
      </c>
      <c r="BP1105" s="991">
        <f>IF(AND(Input_Product=Elig!$C1105,Elig_MatchAll_Ct&lt;22,$BC1105=(Elig_MatchAll_Ct-1),AN1105=0),K1105,0)</f>
        <v>0</v>
      </c>
      <c r="BQ1105" s="991">
        <f>IF(AND(Input_Product=Elig!$C1105,Elig_MatchAll_Ct&lt;22,$BC1105=(Elig_MatchAll_Ct-1),AP1105=0),L1105,0)</f>
        <v>0</v>
      </c>
      <c r="BR1105" s="991">
        <f>IF(AND(Input_Product=Elig!$C1105,Elig_MatchAll_Ct&lt;22,$BC1105=(Elig_MatchAll_Ct-1),AO1105=0),M1105,0)</f>
        <v>0</v>
      </c>
      <c r="BS1105" s="991">
        <f>IF(AND(Input_Product=Elig!$C1105,Elig_MatchAll_Ct&lt;22,$BC1105=(Elig_MatchAll_Ct-1),AQ1105=0),N1105,0)</f>
        <v>0</v>
      </c>
      <c r="BT1105" s="991">
        <f>IF(AND(Input_Product=Elig!$C1105,Elig_MatchAll_Ct&lt;22,$BC1105=(Elig_MatchAll_Ct-1),AR1105=0),O1105,0)</f>
        <v>0</v>
      </c>
      <c r="BU1105" s="991">
        <f>IF(AND(Input_Product=Elig!$C1105,Elig_MatchAll_Ct&lt;22,$BC1105=(Elig_MatchAll_Ct-1),AS1105=0),P1105,0)</f>
        <v>0</v>
      </c>
      <c r="BV1105" s="992">
        <f>IF(AND(Input_Product=Elig!$C1105,Elig_MatchAll_Ct&lt;22,$BC1105=(Elig_MatchAll_Ct-1),AT1105=0),Q1105,0)</f>
        <v>0</v>
      </c>
      <c r="BW1105" s="993">
        <f>IF(AND(Input_Product=Elig!$C1105,Elig_MatchAll_Ct&lt;22,$BC1105=(Elig_MatchAll_Ct-1),AU1105=0),R1105,0)</f>
        <v>0</v>
      </c>
      <c r="BX1105" s="994">
        <f>IF(AND(Input_Product=Elig!$C1105,Elig_MatchAll_Ct&lt;22,$BC1105=(Elig_MatchAll_Ct-1),AU1105=0),S1105,0)</f>
        <v>0</v>
      </c>
      <c r="BY1105" s="993">
        <f>IF(AND(Input_Product=Elig!$C1105,Elig_MatchAll_Ct&lt;22,$BC1105=(Elig_MatchAll_Ct-1),AV1105=0),T1105,0)</f>
        <v>0</v>
      </c>
      <c r="BZ1105" s="994">
        <f>IF(AND(Input_Product=Elig!$C1105,Elig_MatchAll_Ct&lt;22,$BC1105=(Elig_MatchAll_Ct-1),AV1105=0),U1105,0)</f>
        <v>0</v>
      </c>
      <c r="CA1105" s="993">
        <f>IF(AND(Input_Product=Elig!$C1105,Elig_MatchAll_Ct&lt;22,$BC1105=(Elig_MatchAll_Ct-1),AW1105=0),V1105,0)</f>
        <v>0</v>
      </c>
      <c r="CB1105" s="994">
        <f>IF(AND(Input_Product=Elig!$C1105,Elig_MatchAll_Ct&lt;22,$BC1105=(Elig_MatchAll_Ct-1),AW1105=0),W1105,0)</f>
        <v>0</v>
      </c>
      <c r="CC1105" s="993">
        <f>IF(AND(Input_Product=Elig!$C1105,Elig_MatchAll_Ct&lt;22,$BC1105=(Elig_MatchAll_Ct-1),AX1105=0),X1105,0)</f>
        <v>0</v>
      </c>
      <c r="CD1105" s="994">
        <f>IF(AND(Input_Product=Elig!$C1105,Elig_MatchAll_Ct&lt;22,$BC1105=(Elig_MatchAll_Ct-1),AX1105=0),Y1105,0)</f>
        <v>0</v>
      </c>
      <c r="CE1105" s="993">
        <f>IF(AND(Input_LTV&lt;=AE1105,Input_Product=Elig!$C1105,Elig_MatchAll_Ct&lt;22,$BC1105=(Elig_MatchAll_Ct-1),AY1105=0),Z1105,0)</f>
        <v>0</v>
      </c>
      <c r="CF1105" s="994">
        <f>IF(AND(Input_LTV&lt;=AE1105,Input_Product=Elig!$C1105,Elig_MatchAll_Ct&lt;22,$BC1105=(Elig_MatchAll_Ct-1),AY1105=0),AA1105,0)</f>
        <v>0</v>
      </c>
      <c r="CG1105" s="993">
        <f>IF(AND(Input_Product=Elig!$C1105,Elig_MatchAll_Ct&lt;22,$BC1105=(Elig_MatchAll_Ct-1),AZ1105=0),AB1105,0)</f>
        <v>0</v>
      </c>
      <c r="CH1105" s="994">
        <f>IF(AND(Input_Product=Elig!$C1105,Elig_MatchAll_Ct&lt;22,$BC1105=(Elig_MatchAll_Ct-1),AZ1105=0),AC1105,0)</f>
        <v>0</v>
      </c>
      <c r="CI1105" s="993">
        <f>IF(AND(Input_Product=Elig!$C1105,Elig_MatchAll_Ct&lt;22,$BC1105=(Elig_MatchAll_Ct-1),BA1105=0),AD1105,0)</f>
        <v>0</v>
      </c>
      <c r="CJ1105" s="994">
        <f>IF(AND(Input_Product=Elig!$C1105,Elig_MatchAll_Ct&lt;22,$BC1105=(Elig_MatchAll_Ct-1),BA1105=0),AE1105,0)</f>
        <v>0</v>
      </c>
    </row>
    <row r="1106" spans="2:88" ht="10.15" customHeight="1" x14ac:dyDescent="0.25">
      <c r="B1106" s="1918" t="s">
        <v>2406</v>
      </c>
      <c r="C1106" s="1228" t="str">
        <f t="shared" si="417"/>
        <v xml:space="preserve"> </v>
      </c>
      <c r="D1106" s="1229" t="s">
        <v>2218</v>
      </c>
      <c r="E1106" s="1229" t="s">
        <v>167</v>
      </c>
      <c r="F1106" s="1229" t="s">
        <v>330</v>
      </c>
      <c r="G1106" s="1230" t="s">
        <v>303</v>
      </c>
      <c r="H1106" s="1230" t="s">
        <v>136</v>
      </c>
      <c r="I1106" s="1229" t="s">
        <v>274</v>
      </c>
      <c r="J1106" s="1229" t="s">
        <v>1311</v>
      </c>
      <c r="K1106" s="1230" t="s">
        <v>3022</v>
      </c>
      <c r="L1106" s="1229" t="s">
        <v>2768</v>
      </c>
      <c r="M1106" s="1229" t="s">
        <v>2677</v>
      </c>
      <c r="N1106" s="1230" t="s">
        <v>2685</v>
      </c>
      <c r="O1106" s="1229" t="s">
        <v>310</v>
      </c>
      <c r="P1106" s="1229" t="s">
        <v>291</v>
      </c>
      <c r="Q1106" s="1229" t="s">
        <v>294</v>
      </c>
      <c r="R1106" s="1229">
        <v>2000000.01</v>
      </c>
      <c r="S1106" s="1229">
        <v>2500000</v>
      </c>
      <c r="T1106" s="1229">
        <v>0</v>
      </c>
      <c r="U1106" s="1229">
        <v>0</v>
      </c>
      <c r="V1106" s="1229">
        <v>0</v>
      </c>
      <c r="W1106" s="1229">
        <v>50</v>
      </c>
      <c r="X1106" s="1229">
        <v>0</v>
      </c>
      <c r="Y1106" s="1229">
        <v>999</v>
      </c>
      <c r="Z1106" s="1231">
        <v>680</v>
      </c>
      <c r="AA1106" s="1231">
        <v>699</v>
      </c>
      <c r="AB1106" s="1231">
        <v>6</v>
      </c>
      <c r="AC1106" s="1231">
        <v>999999</v>
      </c>
      <c r="AD1106" s="1229">
        <v>0</v>
      </c>
      <c r="AE1106" s="1232">
        <v>75</v>
      </c>
      <c r="AF1106" s="170">
        <v>0</v>
      </c>
      <c r="AG1106" s="171">
        <v>1</v>
      </c>
      <c r="AH1106" s="171">
        <v>1</v>
      </c>
      <c r="AI1106" s="171">
        <v>0</v>
      </c>
      <c r="AJ1106" s="171">
        <v>1</v>
      </c>
      <c r="AK1106" s="171">
        <v>1</v>
      </c>
      <c r="AL1106" s="171">
        <v>0</v>
      </c>
      <c r="AM1106" s="171">
        <v>1</v>
      </c>
      <c r="AN1106" s="171">
        <v>1</v>
      </c>
      <c r="AO1106" s="171">
        <v>1</v>
      </c>
      <c r="AP1106" s="171">
        <v>1</v>
      </c>
      <c r="AQ1106" s="171">
        <v>1</v>
      </c>
      <c r="AR1106" s="171">
        <v>1</v>
      </c>
      <c r="AS1106" s="171">
        <v>1</v>
      </c>
      <c r="AT1106" s="171">
        <v>1</v>
      </c>
      <c r="AU1106" s="171">
        <f t="shared" si="419"/>
        <v>0</v>
      </c>
      <c r="AV1106" s="171">
        <f t="shared" si="420"/>
        <v>0</v>
      </c>
      <c r="AW1106" s="171">
        <f t="shared" si="421"/>
        <v>1</v>
      </c>
      <c r="AX1106" s="171">
        <f t="shared" si="414"/>
        <v>1</v>
      </c>
      <c r="AY1106" s="171">
        <f t="shared" si="422"/>
        <v>0</v>
      </c>
      <c r="AZ1106" s="171">
        <f t="shared" si="423"/>
        <v>1</v>
      </c>
      <c r="BA1106" s="172">
        <f t="shared" si="424"/>
        <v>1</v>
      </c>
      <c r="BB1106" s="175">
        <f t="shared" si="411"/>
        <v>16</v>
      </c>
      <c r="BC1106" s="176">
        <f t="shared" si="412"/>
        <v>15</v>
      </c>
      <c r="BD1106" s="176">
        <f t="shared" si="413"/>
        <v>16</v>
      </c>
      <c r="BE1106" s="240" t="str">
        <f t="shared" si="418"/>
        <v/>
      </c>
      <c r="BF1106" s="990"/>
      <c r="BG1106" s="990"/>
      <c r="BH1106" s="991">
        <f>IF(AND(Input_Product=Elig!$C1106,Elig_MatchAll_Ct&lt;22,$BC1106=(Elig_MatchAll_Ct-1),AF1106=0),C1106,0)</f>
        <v>0</v>
      </c>
      <c r="BI1106" s="991">
        <f>IF(AND(Input_Product=Elig!$C1106,Elig_MatchAll_Ct&lt;22,$BC1106=(Elig_MatchAll_Ct-1),AG1106=0),D1106,0)</f>
        <v>0</v>
      </c>
      <c r="BJ1106" s="991">
        <f>IF(AND(Input_Product=Elig!$C1106,Elig_MatchAll_Ct&lt;22,$BC1106=(Elig_MatchAll_Ct-1),AH1106=0),E1106,0)</f>
        <v>0</v>
      </c>
      <c r="BK1106" s="991">
        <f>IF(AND(Input_Product=Elig!$C1106,Elig_MatchAll_Ct&lt;22,$BC1106=(Elig_MatchAll_Ct-1),AI1106=0),F1106,0)</f>
        <v>0</v>
      </c>
      <c r="BL1106" s="991">
        <f>IF(AND(Input_Product=Elig!$C1106,Elig_MatchAll_Ct&lt;22,$BC1106=(Elig_MatchAll_Ct-1),AJ1106=0),G1106,0)</f>
        <v>0</v>
      </c>
      <c r="BM1106" s="991">
        <f>IF(AND(Input_Product=Elig!$C1106,Elig_MatchAll_Ct&lt;22,$BC1106=(Elig_MatchAll_Ct-1),AK1106=0),H1106,0)</f>
        <v>0</v>
      </c>
      <c r="BN1106" s="991">
        <f>IF(AND(Input_Product=Elig!$C1106,Elig_MatchAll_Ct&lt;22,$BC1106=(Elig_MatchAll_Ct-1),AL1106=0),I1106,0)</f>
        <v>0</v>
      </c>
      <c r="BO1106" s="991">
        <f>IF(AND(Input_Product=Elig!$C1106,Elig_MatchAll_Ct&lt;22,$BC1106=(Elig_MatchAll_Ct-1),AM1106=0),J1106,0)</f>
        <v>0</v>
      </c>
      <c r="BP1106" s="991">
        <f>IF(AND(Input_Product=Elig!$C1106,Elig_MatchAll_Ct&lt;22,$BC1106=(Elig_MatchAll_Ct-1),AN1106=0),K1106,0)</f>
        <v>0</v>
      </c>
      <c r="BQ1106" s="991">
        <f>IF(AND(Input_Product=Elig!$C1106,Elig_MatchAll_Ct&lt;22,$BC1106=(Elig_MatchAll_Ct-1),AP1106=0),L1106,0)</f>
        <v>0</v>
      </c>
      <c r="BR1106" s="991">
        <f>IF(AND(Input_Product=Elig!$C1106,Elig_MatchAll_Ct&lt;22,$BC1106=(Elig_MatchAll_Ct-1),AO1106=0),M1106,0)</f>
        <v>0</v>
      </c>
      <c r="BS1106" s="991">
        <f>IF(AND(Input_Product=Elig!$C1106,Elig_MatchAll_Ct&lt;22,$BC1106=(Elig_MatchAll_Ct-1),AQ1106=0),N1106,0)</f>
        <v>0</v>
      </c>
      <c r="BT1106" s="991">
        <f>IF(AND(Input_Product=Elig!$C1106,Elig_MatchAll_Ct&lt;22,$BC1106=(Elig_MatchAll_Ct-1),AR1106=0),O1106,0)</f>
        <v>0</v>
      </c>
      <c r="BU1106" s="991">
        <f>IF(AND(Input_Product=Elig!$C1106,Elig_MatchAll_Ct&lt;22,$BC1106=(Elig_MatchAll_Ct-1),AS1106=0),P1106,0)</f>
        <v>0</v>
      </c>
      <c r="BV1106" s="992">
        <f>IF(AND(Input_Product=Elig!$C1106,Elig_MatchAll_Ct&lt;22,$BC1106=(Elig_MatchAll_Ct-1),AT1106=0),Q1106,0)</f>
        <v>0</v>
      </c>
      <c r="BW1106" s="993">
        <f>IF(AND(Input_Product=Elig!$C1106,Elig_MatchAll_Ct&lt;22,$BC1106=(Elig_MatchAll_Ct-1),AU1106=0),R1106,0)</f>
        <v>0</v>
      </c>
      <c r="BX1106" s="994">
        <f>IF(AND(Input_Product=Elig!$C1106,Elig_MatchAll_Ct&lt;22,$BC1106=(Elig_MatchAll_Ct-1),AU1106=0),S1106,0)</f>
        <v>0</v>
      </c>
      <c r="BY1106" s="993">
        <f>IF(AND(Input_Product=Elig!$C1106,Elig_MatchAll_Ct&lt;22,$BC1106=(Elig_MatchAll_Ct-1),AV1106=0),T1106,0)</f>
        <v>0</v>
      </c>
      <c r="BZ1106" s="994">
        <f>IF(AND(Input_Product=Elig!$C1106,Elig_MatchAll_Ct&lt;22,$BC1106=(Elig_MatchAll_Ct-1),AV1106=0),U1106,0)</f>
        <v>0</v>
      </c>
      <c r="CA1106" s="993">
        <f>IF(AND(Input_Product=Elig!$C1106,Elig_MatchAll_Ct&lt;22,$BC1106=(Elig_MatchAll_Ct-1),AW1106=0),V1106,0)</f>
        <v>0</v>
      </c>
      <c r="CB1106" s="994">
        <f>IF(AND(Input_Product=Elig!$C1106,Elig_MatchAll_Ct&lt;22,$BC1106=(Elig_MatchAll_Ct-1),AW1106=0),W1106,0)</f>
        <v>0</v>
      </c>
      <c r="CC1106" s="993">
        <f>IF(AND(Input_Product=Elig!$C1106,Elig_MatchAll_Ct&lt;22,$BC1106=(Elig_MatchAll_Ct-1),AX1106=0),X1106,0)</f>
        <v>0</v>
      </c>
      <c r="CD1106" s="994">
        <f>IF(AND(Input_Product=Elig!$C1106,Elig_MatchAll_Ct&lt;22,$BC1106=(Elig_MatchAll_Ct-1),AX1106=0),Y1106,0)</f>
        <v>0</v>
      </c>
      <c r="CE1106" s="993">
        <f>IF(AND(Input_LTV&lt;=AE1106,Input_Product=Elig!$C1106,Elig_MatchAll_Ct&lt;22,$BC1106=(Elig_MatchAll_Ct-1),AY1106=0),Z1106,0)</f>
        <v>0</v>
      </c>
      <c r="CF1106" s="994">
        <f>IF(AND(Input_LTV&lt;=AE1106,Input_Product=Elig!$C1106,Elig_MatchAll_Ct&lt;22,$BC1106=(Elig_MatchAll_Ct-1),AY1106=0),AA1106,0)</f>
        <v>0</v>
      </c>
      <c r="CG1106" s="993">
        <f>IF(AND(Input_Product=Elig!$C1106,Elig_MatchAll_Ct&lt;22,$BC1106=(Elig_MatchAll_Ct-1),AZ1106=0),AB1106,0)</f>
        <v>0</v>
      </c>
      <c r="CH1106" s="994">
        <f>IF(AND(Input_Product=Elig!$C1106,Elig_MatchAll_Ct&lt;22,$BC1106=(Elig_MatchAll_Ct-1),AZ1106=0),AC1106,0)</f>
        <v>0</v>
      </c>
      <c r="CI1106" s="993">
        <f>IF(AND(Input_Product=Elig!$C1106,Elig_MatchAll_Ct&lt;22,$BC1106=(Elig_MatchAll_Ct-1),BA1106=0),AD1106,0)</f>
        <v>0</v>
      </c>
      <c r="CJ1106" s="994">
        <f>IF(AND(Input_Product=Elig!$C1106,Elig_MatchAll_Ct&lt;22,$BC1106=(Elig_MatchAll_Ct-1),BA1106=0),AE1106,0)</f>
        <v>0</v>
      </c>
    </row>
    <row r="1107" spans="2:88" ht="10.15" customHeight="1" x14ac:dyDescent="0.25">
      <c r="B1107" s="1918" t="s">
        <v>2407</v>
      </c>
      <c r="C1107" s="1218" t="str">
        <f t="shared" si="417"/>
        <v xml:space="preserve"> </v>
      </c>
      <c r="D1107" s="1219" t="s">
        <v>2218</v>
      </c>
      <c r="E1107" s="1219" t="s">
        <v>167</v>
      </c>
      <c r="F1107" s="1219" t="s">
        <v>330</v>
      </c>
      <c r="G1107" s="1220" t="s">
        <v>303</v>
      </c>
      <c r="H1107" s="1220" t="s">
        <v>136</v>
      </c>
      <c r="I1107" s="1219" t="s">
        <v>274</v>
      </c>
      <c r="J1107" s="1219" t="s">
        <v>1311</v>
      </c>
      <c r="K1107" s="1220" t="s">
        <v>3022</v>
      </c>
      <c r="L1107" s="1219" t="s">
        <v>2768</v>
      </c>
      <c r="M1107" s="1219" t="s">
        <v>2677</v>
      </c>
      <c r="N1107" s="1220" t="s">
        <v>2685</v>
      </c>
      <c r="O1107" s="1219" t="s">
        <v>310</v>
      </c>
      <c r="P1107" s="1219" t="s">
        <v>291</v>
      </c>
      <c r="Q1107" s="1219" t="s">
        <v>294</v>
      </c>
      <c r="R1107" s="1219">
        <v>2500000.0099999998</v>
      </c>
      <c r="S1107" s="1219">
        <v>3000000</v>
      </c>
      <c r="T1107" s="1219">
        <v>0</v>
      </c>
      <c r="U1107" s="1219">
        <v>0</v>
      </c>
      <c r="V1107" s="1219">
        <v>0</v>
      </c>
      <c r="W1107" s="1219">
        <v>50</v>
      </c>
      <c r="X1107" s="1219">
        <v>0</v>
      </c>
      <c r="Y1107" s="1219">
        <v>999</v>
      </c>
      <c r="Z1107" s="1221">
        <v>720</v>
      </c>
      <c r="AA1107" s="1221">
        <v>999</v>
      </c>
      <c r="AB1107" s="1221">
        <v>6</v>
      </c>
      <c r="AC1107" s="1221">
        <v>999999</v>
      </c>
      <c r="AD1107" s="1219">
        <v>0</v>
      </c>
      <c r="AE1107" s="1222">
        <v>75</v>
      </c>
      <c r="AF1107" s="170">
        <v>0</v>
      </c>
      <c r="AG1107" s="171">
        <v>1</v>
      </c>
      <c r="AH1107" s="171">
        <v>1</v>
      </c>
      <c r="AI1107" s="171">
        <v>0</v>
      </c>
      <c r="AJ1107" s="171">
        <v>1</v>
      </c>
      <c r="AK1107" s="171">
        <v>1</v>
      </c>
      <c r="AL1107" s="171">
        <v>0</v>
      </c>
      <c r="AM1107" s="171">
        <v>1</v>
      </c>
      <c r="AN1107" s="171">
        <v>1</v>
      </c>
      <c r="AO1107" s="171">
        <v>1</v>
      </c>
      <c r="AP1107" s="171">
        <v>1</v>
      </c>
      <c r="AQ1107" s="171">
        <v>1</v>
      </c>
      <c r="AR1107" s="171">
        <v>1</v>
      </c>
      <c r="AS1107" s="171">
        <v>1</v>
      </c>
      <c r="AT1107" s="171">
        <v>1</v>
      </c>
      <c r="AU1107" s="171">
        <f t="shared" si="419"/>
        <v>0</v>
      </c>
      <c r="AV1107" s="171">
        <f t="shared" si="420"/>
        <v>0</v>
      </c>
      <c r="AW1107" s="171">
        <f t="shared" si="421"/>
        <v>1</v>
      </c>
      <c r="AX1107" s="171">
        <f t="shared" si="414"/>
        <v>1</v>
      </c>
      <c r="AY1107" s="171">
        <f t="shared" si="422"/>
        <v>1</v>
      </c>
      <c r="AZ1107" s="171">
        <f t="shared" si="423"/>
        <v>1</v>
      </c>
      <c r="BA1107" s="172">
        <f t="shared" si="424"/>
        <v>1</v>
      </c>
      <c r="BB1107" s="175">
        <f t="shared" si="411"/>
        <v>17</v>
      </c>
      <c r="BC1107" s="176">
        <f t="shared" si="412"/>
        <v>16</v>
      </c>
      <c r="BD1107" s="176">
        <f t="shared" si="413"/>
        <v>17</v>
      </c>
      <c r="BE1107" s="240" t="str">
        <f t="shared" si="418"/>
        <v/>
      </c>
      <c r="BF1107" s="990"/>
      <c r="BG1107" s="990"/>
      <c r="BH1107" s="991">
        <f>IF(AND(Input_Product=Elig!$C1107,Elig_MatchAll_Ct&lt;22,$BC1107=(Elig_MatchAll_Ct-1),AF1107=0),C1107,0)</f>
        <v>0</v>
      </c>
      <c r="BI1107" s="991">
        <f>IF(AND(Input_Product=Elig!$C1107,Elig_MatchAll_Ct&lt;22,$BC1107=(Elig_MatchAll_Ct-1),AG1107=0),D1107,0)</f>
        <v>0</v>
      </c>
      <c r="BJ1107" s="991">
        <f>IF(AND(Input_Product=Elig!$C1107,Elig_MatchAll_Ct&lt;22,$BC1107=(Elig_MatchAll_Ct-1),AH1107=0),E1107,0)</f>
        <v>0</v>
      </c>
      <c r="BK1107" s="991">
        <f>IF(AND(Input_Product=Elig!$C1107,Elig_MatchAll_Ct&lt;22,$BC1107=(Elig_MatchAll_Ct-1),AI1107=0),F1107,0)</f>
        <v>0</v>
      </c>
      <c r="BL1107" s="991">
        <f>IF(AND(Input_Product=Elig!$C1107,Elig_MatchAll_Ct&lt;22,$BC1107=(Elig_MatchAll_Ct-1),AJ1107=0),G1107,0)</f>
        <v>0</v>
      </c>
      <c r="BM1107" s="991">
        <f>IF(AND(Input_Product=Elig!$C1107,Elig_MatchAll_Ct&lt;22,$BC1107=(Elig_MatchAll_Ct-1),AK1107=0),H1107,0)</f>
        <v>0</v>
      </c>
      <c r="BN1107" s="991">
        <f>IF(AND(Input_Product=Elig!$C1107,Elig_MatchAll_Ct&lt;22,$BC1107=(Elig_MatchAll_Ct-1),AL1107=0),I1107,0)</f>
        <v>0</v>
      </c>
      <c r="BO1107" s="991">
        <f>IF(AND(Input_Product=Elig!$C1107,Elig_MatchAll_Ct&lt;22,$BC1107=(Elig_MatchAll_Ct-1),AM1107=0),J1107,0)</f>
        <v>0</v>
      </c>
      <c r="BP1107" s="991">
        <f>IF(AND(Input_Product=Elig!$C1107,Elig_MatchAll_Ct&lt;22,$BC1107=(Elig_MatchAll_Ct-1),AN1107=0),K1107,0)</f>
        <v>0</v>
      </c>
      <c r="BQ1107" s="991">
        <f>IF(AND(Input_Product=Elig!$C1107,Elig_MatchAll_Ct&lt;22,$BC1107=(Elig_MatchAll_Ct-1),AP1107=0),L1107,0)</f>
        <v>0</v>
      </c>
      <c r="BR1107" s="991">
        <f>IF(AND(Input_Product=Elig!$C1107,Elig_MatchAll_Ct&lt;22,$BC1107=(Elig_MatchAll_Ct-1),AO1107=0),M1107,0)</f>
        <v>0</v>
      </c>
      <c r="BS1107" s="991">
        <f>IF(AND(Input_Product=Elig!$C1107,Elig_MatchAll_Ct&lt;22,$BC1107=(Elig_MatchAll_Ct-1),AQ1107=0),N1107,0)</f>
        <v>0</v>
      </c>
      <c r="BT1107" s="991">
        <f>IF(AND(Input_Product=Elig!$C1107,Elig_MatchAll_Ct&lt;22,$BC1107=(Elig_MatchAll_Ct-1),AR1107=0),O1107,0)</f>
        <v>0</v>
      </c>
      <c r="BU1107" s="991">
        <f>IF(AND(Input_Product=Elig!$C1107,Elig_MatchAll_Ct&lt;22,$BC1107=(Elig_MatchAll_Ct-1),AS1107=0),P1107,0)</f>
        <v>0</v>
      </c>
      <c r="BV1107" s="992">
        <f>IF(AND(Input_Product=Elig!$C1107,Elig_MatchAll_Ct&lt;22,$BC1107=(Elig_MatchAll_Ct-1),AT1107=0),Q1107,0)</f>
        <v>0</v>
      </c>
      <c r="BW1107" s="993">
        <f>IF(AND(Input_Product=Elig!$C1107,Elig_MatchAll_Ct&lt;22,$BC1107=(Elig_MatchAll_Ct-1),AU1107=0),R1107,0)</f>
        <v>0</v>
      </c>
      <c r="BX1107" s="994">
        <f>IF(AND(Input_Product=Elig!$C1107,Elig_MatchAll_Ct&lt;22,$BC1107=(Elig_MatchAll_Ct-1),AU1107=0),S1107,0)</f>
        <v>0</v>
      </c>
      <c r="BY1107" s="993">
        <f>IF(AND(Input_Product=Elig!$C1107,Elig_MatchAll_Ct&lt;22,$BC1107=(Elig_MatchAll_Ct-1),AV1107=0),T1107,0)</f>
        <v>0</v>
      </c>
      <c r="BZ1107" s="994">
        <f>IF(AND(Input_Product=Elig!$C1107,Elig_MatchAll_Ct&lt;22,$BC1107=(Elig_MatchAll_Ct-1),AV1107=0),U1107,0)</f>
        <v>0</v>
      </c>
      <c r="CA1107" s="993">
        <f>IF(AND(Input_Product=Elig!$C1107,Elig_MatchAll_Ct&lt;22,$BC1107=(Elig_MatchAll_Ct-1),AW1107=0),V1107,0)</f>
        <v>0</v>
      </c>
      <c r="CB1107" s="994">
        <f>IF(AND(Input_Product=Elig!$C1107,Elig_MatchAll_Ct&lt;22,$BC1107=(Elig_MatchAll_Ct-1),AW1107=0),W1107,0)</f>
        <v>0</v>
      </c>
      <c r="CC1107" s="993">
        <f>IF(AND(Input_Product=Elig!$C1107,Elig_MatchAll_Ct&lt;22,$BC1107=(Elig_MatchAll_Ct-1),AX1107=0),X1107,0)</f>
        <v>0</v>
      </c>
      <c r="CD1107" s="994">
        <f>IF(AND(Input_Product=Elig!$C1107,Elig_MatchAll_Ct&lt;22,$BC1107=(Elig_MatchAll_Ct-1),AX1107=0),Y1107,0)</f>
        <v>0</v>
      </c>
      <c r="CE1107" s="993">
        <f>IF(AND(Input_LTV&lt;=AE1107,Input_Product=Elig!$C1107,Elig_MatchAll_Ct&lt;22,$BC1107=(Elig_MatchAll_Ct-1),AY1107=0),Z1107,0)</f>
        <v>0</v>
      </c>
      <c r="CF1107" s="994">
        <f>IF(AND(Input_LTV&lt;=AE1107,Input_Product=Elig!$C1107,Elig_MatchAll_Ct&lt;22,$BC1107=(Elig_MatchAll_Ct-1),AY1107=0),AA1107,0)</f>
        <v>0</v>
      </c>
      <c r="CG1107" s="993">
        <f>IF(AND(Input_Product=Elig!$C1107,Elig_MatchAll_Ct&lt;22,$BC1107=(Elig_MatchAll_Ct-1),AZ1107=0),AB1107,0)</f>
        <v>0</v>
      </c>
      <c r="CH1107" s="994">
        <f>IF(AND(Input_Product=Elig!$C1107,Elig_MatchAll_Ct&lt;22,$BC1107=(Elig_MatchAll_Ct-1),AZ1107=0),AC1107,0)</f>
        <v>0</v>
      </c>
      <c r="CI1107" s="993">
        <f>IF(AND(Input_Product=Elig!$C1107,Elig_MatchAll_Ct&lt;22,$BC1107=(Elig_MatchAll_Ct-1),BA1107=0),AD1107,0)</f>
        <v>0</v>
      </c>
      <c r="CJ1107" s="994">
        <f>IF(AND(Input_Product=Elig!$C1107,Elig_MatchAll_Ct&lt;22,$BC1107=(Elig_MatchAll_Ct-1),BA1107=0),AE1107,0)</f>
        <v>0</v>
      </c>
    </row>
    <row r="1108" spans="2:88" ht="10.15" customHeight="1" x14ac:dyDescent="0.25">
      <c r="B1108" s="1918" t="s">
        <v>2408</v>
      </c>
      <c r="C1108" s="1223" t="str">
        <f t="shared" si="417"/>
        <v xml:space="preserve"> </v>
      </c>
      <c r="D1108" s="1224" t="s">
        <v>2218</v>
      </c>
      <c r="E1108" s="1224" t="s">
        <v>167</v>
      </c>
      <c r="F1108" s="1224" t="s">
        <v>330</v>
      </c>
      <c r="G1108" s="1225" t="s">
        <v>303</v>
      </c>
      <c r="H1108" s="1225" t="s">
        <v>136</v>
      </c>
      <c r="I1108" s="1224" t="s">
        <v>274</v>
      </c>
      <c r="J1108" s="1224" t="s">
        <v>1311</v>
      </c>
      <c r="K1108" s="1225" t="s">
        <v>3022</v>
      </c>
      <c r="L1108" s="1224" t="s">
        <v>2768</v>
      </c>
      <c r="M1108" s="1224" t="s">
        <v>2677</v>
      </c>
      <c r="N1108" s="1225" t="s">
        <v>2685</v>
      </c>
      <c r="O1108" s="1224" t="s">
        <v>310</v>
      </c>
      <c r="P1108" s="1224" t="s">
        <v>291</v>
      </c>
      <c r="Q1108" s="1224" t="s">
        <v>294</v>
      </c>
      <c r="R1108" s="1224">
        <v>2500000.0099999998</v>
      </c>
      <c r="S1108" s="1224">
        <v>3000000</v>
      </c>
      <c r="T1108" s="1224">
        <v>0</v>
      </c>
      <c r="U1108" s="1224">
        <v>0</v>
      </c>
      <c r="V1108" s="1224">
        <v>0</v>
      </c>
      <c r="W1108" s="1224">
        <v>50</v>
      </c>
      <c r="X1108" s="1224">
        <v>0</v>
      </c>
      <c r="Y1108" s="1224">
        <v>999</v>
      </c>
      <c r="Z1108" s="1226">
        <v>700</v>
      </c>
      <c r="AA1108" s="1226">
        <v>719</v>
      </c>
      <c r="AB1108" s="1226">
        <v>6</v>
      </c>
      <c r="AC1108" s="1226">
        <v>999999</v>
      </c>
      <c r="AD1108" s="1224">
        <v>0</v>
      </c>
      <c r="AE1108" s="1227">
        <v>75</v>
      </c>
      <c r="AF1108" s="170">
        <v>0</v>
      </c>
      <c r="AG1108" s="171">
        <v>1</v>
      </c>
      <c r="AH1108" s="171">
        <v>1</v>
      </c>
      <c r="AI1108" s="171">
        <v>0</v>
      </c>
      <c r="AJ1108" s="171">
        <v>1</v>
      </c>
      <c r="AK1108" s="171">
        <v>1</v>
      </c>
      <c r="AL1108" s="171">
        <v>0</v>
      </c>
      <c r="AM1108" s="171">
        <v>1</v>
      </c>
      <c r="AN1108" s="171">
        <v>1</v>
      </c>
      <c r="AO1108" s="171">
        <v>1</v>
      </c>
      <c r="AP1108" s="171">
        <v>1</v>
      </c>
      <c r="AQ1108" s="171">
        <v>1</v>
      </c>
      <c r="AR1108" s="171">
        <v>1</v>
      </c>
      <c r="AS1108" s="171">
        <v>1</v>
      </c>
      <c r="AT1108" s="171">
        <v>1</v>
      </c>
      <c r="AU1108" s="171">
        <f t="shared" si="419"/>
        <v>0</v>
      </c>
      <c r="AV1108" s="171">
        <f t="shared" si="420"/>
        <v>0</v>
      </c>
      <c r="AW1108" s="171">
        <f t="shared" si="421"/>
        <v>1</v>
      </c>
      <c r="AX1108" s="171">
        <f t="shared" si="414"/>
        <v>1</v>
      </c>
      <c r="AY1108" s="171">
        <f t="shared" si="422"/>
        <v>0</v>
      </c>
      <c r="AZ1108" s="171">
        <f t="shared" si="423"/>
        <v>1</v>
      </c>
      <c r="BA1108" s="172">
        <f t="shared" si="424"/>
        <v>1</v>
      </c>
      <c r="BB1108" s="175">
        <f t="shared" ref="BB1108:BB1171" si="425">SUM(AF1108:BA1108)</f>
        <v>16</v>
      </c>
      <c r="BC1108" s="176">
        <f t="shared" ref="BC1108:BC1171" si="426">SUM(AF1108:AZ1108)</f>
        <v>15</v>
      </c>
      <c r="BD1108" s="176">
        <f t="shared" ref="BD1108:BD1171" si="427">SUM(AG1108:BA1108)</f>
        <v>16</v>
      </c>
      <c r="BE1108" s="240" t="str">
        <f t="shared" si="418"/>
        <v/>
      </c>
      <c r="BF1108" s="990"/>
      <c r="BG1108" s="990"/>
      <c r="BH1108" s="991">
        <f>IF(AND(Input_Product=Elig!$C1108,Elig_MatchAll_Ct&lt;22,$BC1108=(Elig_MatchAll_Ct-1),AF1108=0),C1108,0)</f>
        <v>0</v>
      </c>
      <c r="BI1108" s="991">
        <f>IF(AND(Input_Product=Elig!$C1108,Elig_MatchAll_Ct&lt;22,$BC1108=(Elig_MatchAll_Ct-1),AG1108=0),D1108,0)</f>
        <v>0</v>
      </c>
      <c r="BJ1108" s="991">
        <f>IF(AND(Input_Product=Elig!$C1108,Elig_MatchAll_Ct&lt;22,$BC1108=(Elig_MatchAll_Ct-1),AH1108=0),E1108,0)</f>
        <v>0</v>
      </c>
      <c r="BK1108" s="991">
        <f>IF(AND(Input_Product=Elig!$C1108,Elig_MatchAll_Ct&lt;22,$BC1108=(Elig_MatchAll_Ct-1),AI1108=0),F1108,0)</f>
        <v>0</v>
      </c>
      <c r="BL1108" s="991">
        <f>IF(AND(Input_Product=Elig!$C1108,Elig_MatchAll_Ct&lt;22,$BC1108=(Elig_MatchAll_Ct-1),AJ1108=0),G1108,0)</f>
        <v>0</v>
      </c>
      <c r="BM1108" s="991">
        <f>IF(AND(Input_Product=Elig!$C1108,Elig_MatchAll_Ct&lt;22,$BC1108=(Elig_MatchAll_Ct-1),AK1108=0),H1108,0)</f>
        <v>0</v>
      </c>
      <c r="BN1108" s="991">
        <f>IF(AND(Input_Product=Elig!$C1108,Elig_MatchAll_Ct&lt;22,$BC1108=(Elig_MatchAll_Ct-1),AL1108=0),I1108,0)</f>
        <v>0</v>
      </c>
      <c r="BO1108" s="991">
        <f>IF(AND(Input_Product=Elig!$C1108,Elig_MatchAll_Ct&lt;22,$BC1108=(Elig_MatchAll_Ct-1),AM1108=0),J1108,0)</f>
        <v>0</v>
      </c>
      <c r="BP1108" s="991">
        <f>IF(AND(Input_Product=Elig!$C1108,Elig_MatchAll_Ct&lt;22,$BC1108=(Elig_MatchAll_Ct-1),AN1108=0),K1108,0)</f>
        <v>0</v>
      </c>
      <c r="BQ1108" s="991">
        <f>IF(AND(Input_Product=Elig!$C1108,Elig_MatchAll_Ct&lt;22,$BC1108=(Elig_MatchAll_Ct-1),AP1108=0),L1108,0)</f>
        <v>0</v>
      </c>
      <c r="BR1108" s="991">
        <f>IF(AND(Input_Product=Elig!$C1108,Elig_MatchAll_Ct&lt;22,$BC1108=(Elig_MatchAll_Ct-1),AO1108=0),M1108,0)</f>
        <v>0</v>
      </c>
      <c r="BS1108" s="991">
        <f>IF(AND(Input_Product=Elig!$C1108,Elig_MatchAll_Ct&lt;22,$BC1108=(Elig_MatchAll_Ct-1),AQ1108=0),N1108,0)</f>
        <v>0</v>
      </c>
      <c r="BT1108" s="991">
        <f>IF(AND(Input_Product=Elig!$C1108,Elig_MatchAll_Ct&lt;22,$BC1108=(Elig_MatchAll_Ct-1),AR1108=0),O1108,0)</f>
        <v>0</v>
      </c>
      <c r="BU1108" s="991">
        <f>IF(AND(Input_Product=Elig!$C1108,Elig_MatchAll_Ct&lt;22,$BC1108=(Elig_MatchAll_Ct-1),AS1108=0),P1108,0)</f>
        <v>0</v>
      </c>
      <c r="BV1108" s="992">
        <f>IF(AND(Input_Product=Elig!$C1108,Elig_MatchAll_Ct&lt;22,$BC1108=(Elig_MatchAll_Ct-1),AT1108=0),Q1108,0)</f>
        <v>0</v>
      </c>
      <c r="BW1108" s="993">
        <f>IF(AND(Input_Product=Elig!$C1108,Elig_MatchAll_Ct&lt;22,$BC1108=(Elig_MatchAll_Ct-1),AU1108=0),R1108,0)</f>
        <v>0</v>
      </c>
      <c r="BX1108" s="994">
        <f>IF(AND(Input_Product=Elig!$C1108,Elig_MatchAll_Ct&lt;22,$BC1108=(Elig_MatchAll_Ct-1),AU1108=0),S1108,0)</f>
        <v>0</v>
      </c>
      <c r="BY1108" s="993">
        <f>IF(AND(Input_Product=Elig!$C1108,Elig_MatchAll_Ct&lt;22,$BC1108=(Elig_MatchAll_Ct-1),AV1108=0),T1108,0)</f>
        <v>0</v>
      </c>
      <c r="BZ1108" s="994">
        <f>IF(AND(Input_Product=Elig!$C1108,Elig_MatchAll_Ct&lt;22,$BC1108=(Elig_MatchAll_Ct-1),AV1108=0),U1108,0)</f>
        <v>0</v>
      </c>
      <c r="CA1108" s="993">
        <f>IF(AND(Input_Product=Elig!$C1108,Elig_MatchAll_Ct&lt;22,$BC1108=(Elig_MatchAll_Ct-1),AW1108=0),V1108,0)</f>
        <v>0</v>
      </c>
      <c r="CB1108" s="994">
        <f>IF(AND(Input_Product=Elig!$C1108,Elig_MatchAll_Ct&lt;22,$BC1108=(Elig_MatchAll_Ct-1),AW1108=0),W1108,0)</f>
        <v>0</v>
      </c>
      <c r="CC1108" s="993">
        <f>IF(AND(Input_Product=Elig!$C1108,Elig_MatchAll_Ct&lt;22,$BC1108=(Elig_MatchAll_Ct-1),AX1108=0),X1108,0)</f>
        <v>0</v>
      </c>
      <c r="CD1108" s="994">
        <f>IF(AND(Input_Product=Elig!$C1108,Elig_MatchAll_Ct&lt;22,$BC1108=(Elig_MatchAll_Ct-1),AX1108=0),Y1108,0)</f>
        <v>0</v>
      </c>
      <c r="CE1108" s="993">
        <f>IF(AND(Input_LTV&lt;=AE1108,Input_Product=Elig!$C1108,Elig_MatchAll_Ct&lt;22,$BC1108=(Elig_MatchAll_Ct-1),AY1108=0),Z1108,0)</f>
        <v>0</v>
      </c>
      <c r="CF1108" s="994">
        <f>IF(AND(Input_LTV&lt;=AE1108,Input_Product=Elig!$C1108,Elig_MatchAll_Ct&lt;22,$BC1108=(Elig_MatchAll_Ct-1),AY1108=0),AA1108,0)</f>
        <v>0</v>
      </c>
      <c r="CG1108" s="993">
        <f>IF(AND(Input_Product=Elig!$C1108,Elig_MatchAll_Ct&lt;22,$BC1108=(Elig_MatchAll_Ct-1),AZ1108=0),AB1108,0)</f>
        <v>0</v>
      </c>
      <c r="CH1108" s="994">
        <f>IF(AND(Input_Product=Elig!$C1108,Elig_MatchAll_Ct&lt;22,$BC1108=(Elig_MatchAll_Ct-1),AZ1108=0),AC1108,0)</f>
        <v>0</v>
      </c>
      <c r="CI1108" s="993">
        <f>IF(AND(Input_Product=Elig!$C1108,Elig_MatchAll_Ct&lt;22,$BC1108=(Elig_MatchAll_Ct-1),BA1108=0),AD1108,0)</f>
        <v>0</v>
      </c>
      <c r="CJ1108" s="994">
        <f>IF(AND(Input_Product=Elig!$C1108,Elig_MatchAll_Ct&lt;22,$BC1108=(Elig_MatchAll_Ct-1),BA1108=0),AE1108,0)</f>
        <v>0</v>
      </c>
    </row>
    <row r="1109" spans="2:88" ht="10.15" customHeight="1" x14ac:dyDescent="0.25">
      <c r="B1109" s="1918" t="s">
        <v>2409</v>
      </c>
      <c r="C1109" s="1228" t="str">
        <f t="shared" si="417"/>
        <v xml:space="preserve"> </v>
      </c>
      <c r="D1109" s="1229" t="s">
        <v>2218</v>
      </c>
      <c r="E1109" s="1229" t="s">
        <v>167</v>
      </c>
      <c r="F1109" s="1229" t="s">
        <v>330</v>
      </c>
      <c r="G1109" s="1230" t="s">
        <v>303</v>
      </c>
      <c r="H1109" s="1230" t="s">
        <v>136</v>
      </c>
      <c r="I1109" s="1229" t="s">
        <v>274</v>
      </c>
      <c r="J1109" s="1229" t="s">
        <v>1311</v>
      </c>
      <c r="K1109" s="1230" t="s">
        <v>3022</v>
      </c>
      <c r="L1109" s="1229" t="s">
        <v>2768</v>
      </c>
      <c r="M1109" s="1229" t="s">
        <v>2677</v>
      </c>
      <c r="N1109" s="1230" t="s">
        <v>2685</v>
      </c>
      <c r="O1109" s="1229" t="s">
        <v>310</v>
      </c>
      <c r="P1109" s="1229" t="s">
        <v>291</v>
      </c>
      <c r="Q1109" s="1229" t="s">
        <v>294</v>
      </c>
      <c r="R1109" s="1229">
        <v>2500000.0099999998</v>
      </c>
      <c r="S1109" s="1229">
        <v>3000000</v>
      </c>
      <c r="T1109" s="1229">
        <v>0</v>
      </c>
      <c r="U1109" s="1229">
        <v>0</v>
      </c>
      <c r="V1109" s="1229">
        <v>0</v>
      </c>
      <c r="W1109" s="1229">
        <v>50</v>
      </c>
      <c r="X1109" s="1229">
        <v>0</v>
      </c>
      <c r="Y1109" s="1229">
        <v>999</v>
      </c>
      <c r="Z1109" s="1231">
        <v>680</v>
      </c>
      <c r="AA1109" s="1231">
        <v>699</v>
      </c>
      <c r="AB1109" s="1231">
        <v>6</v>
      </c>
      <c r="AC1109" s="1231">
        <v>999999</v>
      </c>
      <c r="AD1109" s="1229">
        <v>0</v>
      </c>
      <c r="AE1109" s="1232">
        <v>75</v>
      </c>
      <c r="AF1109" s="170">
        <v>0</v>
      </c>
      <c r="AG1109" s="171">
        <v>1</v>
      </c>
      <c r="AH1109" s="171">
        <v>1</v>
      </c>
      <c r="AI1109" s="171">
        <v>0</v>
      </c>
      <c r="AJ1109" s="171">
        <v>1</v>
      </c>
      <c r="AK1109" s="171">
        <v>1</v>
      </c>
      <c r="AL1109" s="171">
        <v>0</v>
      </c>
      <c r="AM1109" s="171">
        <v>1</v>
      </c>
      <c r="AN1109" s="171">
        <v>1</v>
      </c>
      <c r="AO1109" s="171">
        <v>1</v>
      </c>
      <c r="AP1109" s="171">
        <v>1</v>
      </c>
      <c r="AQ1109" s="171">
        <v>1</v>
      </c>
      <c r="AR1109" s="171">
        <v>1</v>
      </c>
      <c r="AS1109" s="171">
        <v>1</v>
      </c>
      <c r="AT1109" s="171">
        <v>1</v>
      </c>
      <c r="AU1109" s="171">
        <f t="shared" si="419"/>
        <v>0</v>
      </c>
      <c r="AV1109" s="171">
        <f t="shared" si="420"/>
        <v>0</v>
      </c>
      <c r="AW1109" s="171">
        <f t="shared" si="421"/>
        <v>1</v>
      </c>
      <c r="AX1109" s="171">
        <f t="shared" si="414"/>
        <v>1</v>
      </c>
      <c r="AY1109" s="171">
        <f t="shared" si="422"/>
        <v>0</v>
      </c>
      <c r="AZ1109" s="171">
        <f t="shared" si="423"/>
        <v>1</v>
      </c>
      <c r="BA1109" s="172">
        <f t="shared" si="424"/>
        <v>1</v>
      </c>
      <c r="BB1109" s="175">
        <f t="shared" si="425"/>
        <v>16</v>
      </c>
      <c r="BC1109" s="176">
        <f t="shared" si="426"/>
        <v>15</v>
      </c>
      <c r="BD1109" s="176">
        <f t="shared" si="427"/>
        <v>16</v>
      </c>
      <c r="BE1109" s="240" t="str">
        <f t="shared" si="418"/>
        <v/>
      </c>
      <c r="BF1109" s="990"/>
      <c r="BG1109" s="990"/>
      <c r="BH1109" s="991">
        <f>IF(AND(Input_Product=Elig!$C1109,Elig_MatchAll_Ct&lt;22,$BC1109=(Elig_MatchAll_Ct-1),AF1109=0),C1109,0)</f>
        <v>0</v>
      </c>
      <c r="BI1109" s="991">
        <f>IF(AND(Input_Product=Elig!$C1109,Elig_MatchAll_Ct&lt;22,$BC1109=(Elig_MatchAll_Ct-1),AG1109=0),D1109,0)</f>
        <v>0</v>
      </c>
      <c r="BJ1109" s="991">
        <f>IF(AND(Input_Product=Elig!$C1109,Elig_MatchAll_Ct&lt;22,$BC1109=(Elig_MatchAll_Ct-1),AH1109=0),E1109,0)</f>
        <v>0</v>
      </c>
      <c r="BK1109" s="991">
        <f>IF(AND(Input_Product=Elig!$C1109,Elig_MatchAll_Ct&lt;22,$BC1109=(Elig_MatchAll_Ct-1),AI1109=0),F1109,0)</f>
        <v>0</v>
      </c>
      <c r="BL1109" s="991">
        <f>IF(AND(Input_Product=Elig!$C1109,Elig_MatchAll_Ct&lt;22,$BC1109=(Elig_MatchAll_Ct-1),AJ1109=0),G1109,0)</f>
        <v>0</v>
      </c>
      <c r="BM1109" s="991">
        <f>IF(AND(Input_Product=Elig!$C1109,Elig_MatchAll_Ct&lt;22,$BC1109=(Elig_MatchAll_Ct-1),AK1109=0),H1109,0)</f>
        <v>0</v>
      </c>
      <c r="BN1109" s="991">
        <f>IF(AND(Input_Product=Elig!$C1109,Elig_MatchAll_Ct&lt;22,$BC1109=(Elig_MatchAll_Ct-1),AL1109=0),I1109,0)</f>
        <v>0</v>
      </c>
      <c r="BO1109" s="991">
        <f>IF(AND(Input_Product=Elig!$C1109,Elig_MatchAll_Ct&lt;22,$BC1109=(Elig_MatchAll_Ct-1),AM1109=0),J1109,0)</f>
        <v>0</v>
      </c>
      <c r="BP1109" s="991">
        <f>IF(AND(Input_Product=Elig!$C1109,Elig_MatchAll_Ct&lt;22,$BC1109=(Elig_MatchAll_Ct-1),AN1109=0),K1109,0)</f>
        <v>0</v>
      </c>
      <c r="BQ1109" s="991">
        <f>IF(AND(Input_Product=Elig!$C1109,Elig_MatchAll_Ct&lt;22,$BC1109=(Elig_MatchAll_Ct-1),AP1109=0),L1109,0)</f>
        <v>0</v>
      </c>
      <c r="BR1109" s="991">
        <f>IF(AND(Input_Product=Elig!$C1109,Elig_MatchAll_Ct&lt;22,$BC1109=(Elig_MatchAll_Ct-1),AO1109=0),M1109,0)</f>
        <v>0</v>
      </c>
      <c r="BS1109" s="991">
        <f>IF(AND(Input_Product=Elig!$C1109,Elig_MatchAll_Ct&lt;22,$BC1109=(Elig_MatchAll_Ct-1),AQ1109=0),N1109,0)</f>
        <v>0</v>
      </c>
      <c r="BT1109" s="991">
        <f>IF(AND(Input_Product=Elig!$C1109,Elig_MatchAll_Ct&lt;22,$BC1109=(Elig_MatchAll_Ct-1),AR1109=0),O1109,0)</f>
        <v>0</v>
      </c>
      <c r="BU1109" s="991">
        <f>IF(AND(Input_Product=Elig!$C1109,Elig_MatchAll_Ct&lt;22,$BC1109=(Elig_MatchAll_Ct-1),AS1109=0),P1109,0)</f>
        <v>0</v>
      </c>
      <c r="BV1109" s="992">
        <f>IF(AND(Input_Product=Elig!$C1109,Elig_MatchAll_Ct&lt;22,$BC1109=(Elig_MatchAll_Ct-1),AT1109=0),Q1109,0)</f>
        <v>0</v>
      </c>
      <c r="BW1109" s="993">
        <f>IF(AND(Input_Product=Elig!$C1109,Elig_MatchAll_Ct&lt;22,$BC1109=(Elig_MatchAll_Ct-1),AU1109=0),R1109,0)</f>
        <v>0</v>
      </c>
      <c r="BX1109" s="994">
        <f>IF(AND(Input_Product=Elig!$C1109,Elig_MatchAll_Ct&lt;22,$BC1109=(Elig_MatchAll_Ct-1),AU1109=0),S1109,0)</f>
        <v>0</v>
      </c>
      <c r="BY1109" s="993">
        <f>IF(AND(Input_Product=Elig!$C1109,Elig_MatchAll_Ct&lt;22,$BC1109=(Elig_MatchAll_Ct-1),AV1109=0),T1109,0)</f>
        <v>0</v>
      </c>
      <c r="BZ1109" s="994">
        <f>IF(AND(Input_Product=Elig!$C1109,Elig_MatchAll_Ct&lt;22,$BC1109=(Elig_MatchAll_Ct-1),AV1109=0),U1109,0)</f>
        <v>0</v>
      </c>
      <c r="CA1109" s="993">
        <f>IF(AND(Input_Product=Elig!$C1109,Elig_MatchAll_Ct&lt;22,$BC1109=(Elig_MatchAll_Ct-1),AW1109=0),V1109,0)</f>
        <v>0</v>
      </c>
      <c r="CB1109" s="994">
        <f>IF(AND(Input_Product=Elig!$C1109,Elig_MatchAll_Ct&lt;22,$BC1109=(Elig_MatchAll_Ct-1),AW1109=0),W1109,0)</f>
        <v>0</v>
      </c>
      <c r="CC1109" s="993">
        <f>IF(AND(Input_Product=Elig!$C1109,Elig_MatchAll_Ct&lt;22,$BC1109=(Elig_MatchAll_Ct-1),AX1109=0),X1109,0)</f>
        <v>0</v>
      </c>
      <c r="CD1109" s="994">
        <f>IF(AND(Input_Product=Elig!$C1109,Elig_MatchAll_Ct&lt;22,$BC1109=(Elig_MatchAll_Ct-1),AX1109=0),Y1109,0)</f>
        <v>0</v>
      </c>
      <c r="CE1109" s="993">
        <f>IF(AND(Input_LTV&lt;=AE1109,Input_Product=Elig!$C1109,Elig_MatchAll_Ct&lt;22,$BC1109=(Elig_MatchAll_Ct-1),AY1109=0),Z1109,0)</f>
        <v>0</v>
      </c>
      <c r="CF1109" s="994">
        <f>IF(AND(Input_LTV&lt;=AE1109,Input_Product=Elig!$C1109,Elig_MatchAll_Ct&lt;22,$BC1109=(Elig_MatchAll_Ct-1),AY1109=0),AA1109,0)</f>
        <v>0</v>
      </c>
      <c r="CG1109" s="993">
        <f>IF(AND(Input_Product=Elig!$C1109,Elig_MatchAll_Ct&lt;22,$BC1109=(Elig_MatchAll_Ct-1),AZ1109=0),AB1109,0)</f>
        <v>0</v>
      </c>
      <c r="CH1109" s="994">
        <f>IF(AND(Input_Product=Elig!$C1109,Elig_MatchAll_Ct&lt;22,$BC1109=(Elig_MatchAll_Ct-1),AZ1109=0),AC1109,0)</f>
        <v>0</v>
      </c>
      <c r="CI1109" s="993">
        <f>IF(AND(Input_Product=Elig!$C1109,Elig_MatchAll_Ct&lt;22,$BC1109=(Elig_MatchAll_Ct-1),BA1109=0),AD1109,0)</f>
        <v>0</v>
      </c>
      <c r="CJ1109" s="994">
        <f>IF(AND(Input_Product=Elig!$C1109,Elig_MatchAll_Ct&lt;22,$BC1109=(Elig_MatchAll_Ct-1),BA1109=0),AE1109,0)</f>
        <v>0</v>
      </c>
    </row>
    <row r="1110" spans="2:88" ht="10.15" customHeight="1" x14ac:dyDescent="0.25">
      <c r="B1110" s="1918" t="s">
        <v>2410</v>
      </c>
      <c r="C1110" s="1218" t="str">
        <f t="shared" si="417"/>
        <v xml:space="preserve"> </v>
      </c>
      <c r="D1110" s="1219" t="s">
        <v>2218</v>
      </c>
      <c r="E1110" s="1219" t="s">
        <v>167</v>
      </c>
      <c r="F1110" s="1219" t="s">
        <v>330</v>
      </c>
      <c r="G1110" s="1220" t="s">
        <v>175</v>
      </c>
      <c r="H1110" s="1220" t="s">
        <v>446</v>
      </c>
      <c r="I1110" s="1219" t="s">
        <v>274</v>
      </c>
      <c r="J1110" s="1219" t="s">
        <v>1311</v>
      </c>
      <c r="K1110" s="1220" t="s">
        <v>3022</v>
      </c>
      <c r="L1110" s="1219" t="s">
        <v>2768</v>
      </c>
      <c r="M1110" s="1219" t="s">
        <v>2677</v>
      </c>
      <c r="N1110" s="1220" t="s">
        <v>2685</v>
      </c>
      <c r="O1110" s="1219" t="s">
        <v>310</v>
      </c>
      <c r="P1110" s="1219" t="s">
        <v>291</v>
      </c>
      <c r="Q1110" s="1219" t="s">
        <v>294</v>
      </c>
      <c r="R1110" s="1219">
        <v>125000</v>
      </c>
      <c r="S1110" s="1219">
        <v>1000000</v>
      </c>
      <c r="T1110" s="1219">
        <v>0</v>
      </c>
      <c r="U1110" s="1219">
        <v>0</v>
      </c>
      <c r="V1110" s="1219">
        <v>0</v>
      </c>
      <c r="W1110" s="1219">
        <v>50</v>
      </c>
      <c r="X1110" s="1219">
        <v>0</v>
      </c>
      <c r="Y1110" s="1219">
        <v>999</v>
      </c>
      <c r="Z1110" s="1221">
        <v>720</v>
      </c>
      <c r="AA1110" s="1221">
        <v>999</v>
      </c>
      <c r="AB1110" s="1221">
        <v>3</v>
      </c>
      <c r="AC1110" s="1221">
        <v>999999</v>
      </c>
      <c r="AD1110" s="1219">
        <v>0</v>
      </c>
      <c r="AE1110" s="1222">
        <v>80</v>
      </c>
      <c r="AF1110" s="170">
        <v>0</v>
      </c>
      <c r="AG1110" s="171">
        <v>1</v>
      </c>
      <c r="AH1110" s="171">
        <v>1</v>
      </c>
      <c r="AI1110" s="171">
        <v>0</v>
      </c>
      <c r="AJ1110" s="171">
        <v>0</v>
      </c>
      <c r="AK1110" s="171">
        <v>0</v>
      </c>
      <c r="AL1110" s="171">
        <v>0</v>
      </c>
      <c r="AM1110" s="171">
        <v>1</v>
      </c>
      <c r="AN1110" s="171">
        <v>1</v>
      </c>
      <c r="AO1110" s="171">
        <v>1</v>
      </c>
      <c r="AP1110" s="171">
        <v>1</v>
      </c>
      <c r="AQ1110" s="171">
        <v>1</v>
      </c>
      <c r="AR1110" s="171">
        <v>1</v>
      </c>
      <c r="AS1110" s="171">
        <v>1</v>
      </c>
      <c r="AT1110" s="171">
        <v>1</v>
      </c>
      <c r="AU1110" s="171">
        <f t="shared" si="419"/>
        <v>1</v>
      </c>
      <c r="AV1110" s="171">
        <f t="shared" si="420"/>
        <v>0</v>
      </c>
      <c r="AW1110" s="171">
        <f t="shared" si="421"/>
        <v>1</v>
      </c>
      <c r="AX1110" s="171">
        <f t="shared" si="414"/>
        <v>1</v>
      </c>
      <c r="AY1110" s="171">
        <f t="shared" si="422"/>
        <v>1</v>
      </c>
      <c r="AZ1110" s="171">
        <f t="shared" si="423"/>
        <v>1</v>
      </c>
      <c r="BA1110" s="172">
        <f t="shared" si="424"/>
        <v>1</v>
      </c>
      <c r="BB1110" s="175">
        <f t="shared" si="425"/>
        <v>16</v>
      </c>
      <c r="BC1110" s="176">
        <f t="shared" si="426"/>
        <v>15</v>
      </c>
      <c r="BD1110" s="176">
        <f t="shared" si="427"/>
        <v>16</v>
      </c>
      <c r="BE1110" s="240" t="str">
        <f t="shared" si="418"/>
        <v/>
      </c>
      <c r="BF1110" s="990"/>
      <c r="BG1110" s="990"/>
      <c r="BH1110" s="991">
        <f>IF(AND(Input_Product=Elig!$C1110,Elig_MatchAll_Ct&lt;22,$BC1110=(Elig_MatchAll_Ct-1),AF1110=0),C1110,0)</f>
        <v>0</v>
      </c>
      <c r="BI1110" s="991">
        <f>IF(AND(Input_Product=Elig!$C1110,Elig_MatchAll_Ct&lt;22,$BC1110=(Elig_MatchAll_Ct-1),AG1110=0),D1110,0)</f>
        <v>0</v>
      </c>
      <c r="BJ1110" s="991">
        <f>IF(AND(Input_Product=Elig!$C1110,Elig_MatchAll_Ct&lt;22,$BC1110=(Elig_MatchAll_Ct-1),AH1110=0),E1110,0)</f>
        <v>0</v>
      </c>
      <c r="BK1110" s="991">
        <f>IF(AND(Input_Product=Elig!$C1110,Elig_MatchAll_Ct&lt;22,$BC1110=(Elig_MatchAll_Ct-1),AI1110=0),F1110,0)</f>
        <v>0</v>
      </c>
      <c r="BL1110" s="991">
        <f>IF(AND(Input_Product=Elig!$C1110,Elig_MatchAll_Ct&lt;22,$BC1110=(Elig_MatchAll_Ct-1),AJ1110=0),G1110,0)</f>
        <v>0</v>
      </c>
      <c r="BM1110" s="991">
        <f>IF(AND(Input_Product=Elig!$C1110,Elig_MatchAll_Ct&lt;22,$BC1110=(Elig_MatchAll_Ct-1),AK1110=0),H1110,0)</f>
        <v>0</v>
      </c>
      <c r="BN1110" s="991">
        <f>IF(AND(Input_Product=Elig!$C1110,Elig_MatchAll_Ct&lt;22,$BC1110=(Elig_MatchAll_Ct-1),AL1110=0),I1110,0)</f>
        <v>0</v>
      </c>
      <c r="BO1110" s="991">
        <f>IF(AND(Input_Product=Elig!$C1110,Elig_MatchAll_Ct&lt;22,$BC1110=(Elig_MatchAll_Ct-1),AM1110=0),J1110,0)</f>
        <v>0</v>
      </c>
      <c r="BP1110" s="991">
        <f>IF(AND(Input_Product=Elig!$C1110,Elig_MatchAll_Ct&lt;22,$BC1110=(Elig_MatchAll_Ct-1),AN1110=0),K1110,0)</f>
        <v>0</v>
      </c>
      <c r="BQ1110" s="991">
        <f>IF(AND(Input_Product=Elig!$C1110,Elig_MatchAll_Ct&lt;22,$BC1110=(Elig_MatchAll_Ct-1),AP1110=0),L1110,0)</f>
        <v>0</v>
      </c>
      <c r="BR1110" s="991">
        <f>IF(AND(Input_Product=Elig!$C1110,Elig_MatchAll_Ct&lt;22,$BC1110=(Elig_MatchAll_Ct-1),AO1110=0),M1110,0)</f>
        <v>0</v>
      </c>
      <c r="BS1110" s="991">
        <f>IF(AND(Input_Product=Elig!$C1110,Elig_MatchAll_Ct&lt;22,$BC1110=(Elig_MatchAll_Ct-1),AQ1110=0),N1110,0)</f>
        <v>0</v>
      </c>
      <c r="BT1110" s="991">
        <f>IF(AND(Input_Product=Elig!$C1110,Elig_MatchAll_Ct&lt;22,$BC1110=(Elig_MatchAll_Ct-1),AR1110=0),O1110,0)</f>
        <v>0</v>
      </c>
      <c r="BU1110" s="991">
        <f>IF(AND(Input_Product=Elig!$C1110,Elig_MatchAll_Ct&lt;22,$BC1110=(Elig_MatchAll_Ct-1),AS1110=0),P1110,0)</f>
        <v>0</v>
      </c>
      <c r="BV1110" s="992">
        <f>IF(AND(Input_Product=Elig!$C1110,Elig_MatchAll_Ct&lt;22,$BC1110=(Elig_MatchAll_Ct-1),AT1110=0),Q1110,0)</f>
        <v>0</v>
      </c>
      <c r="BW1110" s="993">
        <f>IF(AND(Input_Product=Elig!$C1110,Elig_MatchAll_Ct&lt;22,$BC1110=(Elig_MatchAll_Ct-1),AU1110=0),R1110,0)</f>
        <v>0</v>
      </c>
      <c r="BX1110" s="994">
        <f>IF(AND(Input_Product=Elig!$C1110,Elig_MatchAll_Ct&lt;22,$BC1110=(Elig_MatchAll_Ct-1),AU1110=0),S1110,0)</f>
        <v>0</v>
      </c>
      <c r="BY1110" s="993">
        <f>IF(AND(Input_Product=Elig!$C1110,Elig_MatchAll_Ct&lt;22,$BC1110=(Elig_MatchAll_Ct-1),AV1110=0),T1110,0)</f>
        <v>0</v>
      </c>
      <c r="BZ1110" s="994">
        <f>IF(AND(Input_Product=Elig!$C1110,Elig_MatchAll_Ct&lt;22,$BC1110=(Elig_MatchAll_Ct-1),AV1110=0),U1110,0)</f>
        <v>0</v>
      </c>
      <c r="CA1110" s="993">
        <f>IF(AND(Input_Product=Elig!$C1110,Elig_MatchAll_Ct&lt;22,$BC1110=(Elig_MatchAll_Ct-1),AW1110=0),V1110,0)</f>
        <v>0</v>
      </c>
      <c r="CB1110" s="994">
        <f>IF(AND(Input_Product=Elig!$C1110,Elig_MatchAll_Ct&lt;22,$BC1110=(Elig_MatchAll_Ct-1),AW1110=0),W1110,0)</f>
        <v>0</v>
      </c>
      <c r="CC1110" s="993">
        <f>IF(AND(Input_Product=Elig!$C1110,Elig_MatchAll_Ct&lt;22,$BC1110=(Elig_MatchAll_Ct-1),AX1110=0),X1110,0)</f>
        <v>0</v>
      </c>
      <c r="CD1110" s="994">
        <f>IF(AND(Input_Product=Elig!$C1110,Elig_MatchAll_Ct&lt;22,$BC1110=(Elig_MatchAll_Ct-1),AX1110=0),Y1110,0)</f>
        <v>0</v>
      </c>
      <c r="CE1110" s="993">
        <f>IF(AND(Input_LTV&lt;=AE1110,Input_Product=Elig!$C1110,Elig_MatchAll_Ct&lt;22,$BC1110=(Elig_MatchAll_Ct-1),AY1110=0),Z1110,0)</f>
        <v>0</v>
      </c>
      <c r="CF1110" s="994">
        <f>IF(AND(Input_LTV&lt;=AE1110,Input_Product=Elig!$C1110,Elig_MatchAll_Ct&lt;22,$BC1110=(Elig_MatchAll_Ct-1),AY1110=0),AA1110,0)</f>
        <v>0</v>
      </c>
      <c r="CG1110" s="993">
        <f>IF(AND(Input_Product=Elig!$C1110,Elig_MatchAll_Ct&lt;22,$BC1110=(Elig_MatchAll_Ct-1),AZ1110=0),AB1110,0)</f>
        <v>0</v>
      </c>
      <c r="CH1110" s="994">
        <f>IF(AND(Input_Product=Elig!$C1110,Elig_MatchAll_Ct&lt;22,$BC1110=(Elig_MatchAll_Ct-1),AZ1110=0),AC1110,0)</f>
        <v>0</v>
      </c>
      <c r="CI1110" s="993">
        <f>IF(AND(Input_Product=Elig!$C1110,Elig_MatchAll_Ct&lt;22,$BC1110=(Elig_MatchAll_Ct-1),BA1110=0),AD1110,0)</f>
        <v>0</v>
      </c>
      <c r="CJ1110" s="994">
        <f>IF(AND(Input_Product=Elig!$C1110,Elig_MatchAll_Ct&lt;22,$BC1110=(Elig_MatchAll_Ct-1),BA1110=0),AE1110,0)</f>
        <v>0</v>
      </c>
    </row>
    <row r="1111" spans="2:88" ht="10.15" customHeight="1" x14ac:dyDescent="0.25">
      <c r="B1111" s="1918" t="s">
        <v>2411</v>
      </c>
      <c r="C1111" s="1223" t="str">
        <f t="shared" si="417"/>
        <v xml:space="preserve"> </v>
      </c>
      <c r="D1111" s="1224" t="s">
        <v>2218</v>
      </c>
      <c r="E1111" s="1224" t="s">
        <v>167</v>
      </c>
      <c r="F1111" s="1224" t="s">
        <v>330</v>
      </c>
      <c r="G1111" s="1225" t="s">
        <v>175</v>
      </c>
      <c r="H1111" s="1225" t="s">
        <v>446</v>
      </c>
      <c r="I1111" s="1224" t="s">
        <v>274</v>
      </c>
      <c r="J1111" s="1224" t="s">
        <v>1311</v>
      </c>
      <c r="K1111" s="1225" t="s">
        <v>3022</v>
      </c>
      <c r="L1111" s="1224" t="s">
        <v>2768</v>
      </c>
      <c r="M1111" s="1224" t="s">
        <v>2677</v>
      </c>
      <c r="N1111" s="1225" t="s">
        <v>2685</v>
      </c>
      <c r="O1111" s="1224" t="s">
        <v>310</v>
      </c>
      <c r="P1111" s="1224" t="s">
        <v>291</v>
      </c>
      <c r="Q1111" s="1224" t="s">
        <v>294</v>
      </c>
      <c r="R1111" s="1224">
        <v>125000</v>
      </c>
      <c r="S1111" s="1224">
        <v>1000000</v>
      </c>
      <c r="T1111" s="1224">
        <v>0</v>
      </c>
      <c r="U1111" s="1224">
        <v>0</v>
      </c>
      <c r="V1111" s="1224">
        <v>0</v>
      </c>
      <c r="W1111" s="1224">
        <v>50</v>
      </c>
      <c r="X1111" s="1224">
        <v>0</v>
      </c>
      <c r="Y1111" s="1224">
        <v>999</v>
      </c>
      <c r="Z1111" s="1226">
        <v>700</v>
      </c>
      <c r="AA1111" s="1226">
        <v>719</v>
      </c>
      <c r="AB1111" s="1226">
        <v>3</v>
      </c>
      <c r="AC1111" s="1226">
        <v>999999</v>
      </c>
      <c r="AD1111" s="1224">
        <v>0</v>
      </c>
      <c r="AE1111" s="1227">
        <v>80</v>
      </c>
      <c r="AF1111" s="170">
        <v>0</v>
      </c>
      <c r="AG1111" s="171">
        <v>1</v>
      </c>
      <c r="AH1111" s="171">
        <v>1</v>
      </c>
      <c r="AI1111" s="171">
        <v>0</v>
      </c>
      <c r="AJ1111" s="171">
        <v>0</v>
      </c>
      <c r="AK1111" s="171">
        <v>0</v>
      </c>
      <c r="AL1111" s="171">
        <v>0</v>
      </c>
      <c r="AM1111" s="171">
        <v>1</v>
      </c>
      <c r="AN1111" s="171">
        <v>1</v>
      </c>
      <c r="AO1111" s="171">
        <v>1</v>
      </c>
      <c r="AP1111" s="171">
        <v>1</v>
      </c>
      <c r="AQ1111" s="171">
        <v>1</v>
      </c>
      <c r="AR1111" s="171">
        <v>1</v>
      </c>
      <c r="AS1111" s="171">
        <v>1</v>
      </c>
      <c r="AT1111" s="171">
        <v>1</v>
      </c>
      <c r="AU1111" s="171">
        <f t="shared" si="419"/>
        <v>1</v>
      </c>
      <c r="AV1111" s="171">
        <f t="shared" si="420"/>
        <v>0</v>
      </c>
      <c r="AW1111" s="171">
        <f t="shared" si="421"/>
        <v>1</v>
      </c>
      <c r="AX1111" s="171">
        <f t="shared" si="414"/>
        <v>1</v>
      </c>
      <c r="AY1111" s="171">
        <f t="shared" si="422"/>
        <v>0</v>
      </c>
      <c r="AZ1111" s="171">
        <f t="shared" si="423"/>
        <v>1</v>
      </c>
      <c r="BA1111" s="172">
        <f t="shared" si="424"/>
        <v>1</v>
      </c>
      <c r="BB1111" s="175">
        <f t="shared" si="425"/>
        <v>15</v>
      </c>
      <c r="BC1111" s="176">
        <f t="shared" si="426"/>
        <v>14</v>
      </c>
      <c r="BD1111" s="176">
        <f t="shared" si="427"/>
        <v>15</v>
      </c>
      <c r="BE1111" s="240" t="str">
        <f t="shared" si="418"/>
        <v/>
      </c>
      <c r="BF1111" s="990"/>
      <c r="BG1111" s="990"/>
      <c r="BH1111" s="991">
        <f>IF(AND(Input_Product=Elig!$C1111,Elig_MatchAll_Ct&lt;22,$BC1111=(Elig_MatchAll_Ct-1),AF1111=0),C1111,0)</f>
        <v>0</v>
      </c>
      <c r="BI1111" s="991">
        <f>IF(AND(Input_Product=Elig!$C1111,Elig_MatchAll_Ct&lt;22,$BC1111=(Elig_MatchAll_Ct-1),AG1111=0),D1111,0)</f>
        <v>0</v>
      </c>
      <c r="BJ1111" s="991">
        <f>IF(AND(Input_Product=Elig!$C1111,Elig_MatchAll_Ct&lt;22,$BC1111=(Elig_MatchAll_Ct-1),AH1111=0),E1111,0)</f>
        <v>0</v>
      </c>
      <c r="BK1111" s="991">
        <f>IF(AND(Input_Product=Elig!$C1111,Elig_MatchAll_Ct&lt;22,$BC1111=(Elig_MatchAll_Ct-1),AI1111=0),F1111,0)</f>
        <v>0</v>
      </c>
      <c r="BL1111" s="991">
        <f>IF(AND(Input_Product=Elig!$C1111,Elig_MatchAll_Ct&lt;22,$BC1111=(Elig_MatchAll_Ct-1),AJ1111=0),G1111,0)</f>
        <v>0</v>
      </c>
      <c r="BM1111" s="991">
        <f>IF(AND(Input_Product=Elig!$C1111,Elig_MatchAll_Ct&lt;22,$BC1111=(Elig_MatchAll_Ct-1),AK1111=0),H1111,0)</f>
        <v>0</v>
      </c>
      <c r="BN1111" s="991">
        <f>IF(AND(Input_Product=Elig!$C1111,Elig_MatchAll_Ct&lt;22,$BC1111=(Elig_MatchAll_Ct-1),AL1111=0),I1111,0)</f>
        <v>0</v>
      </c>
      <c r="BO1111" s="991">
        <f>IF(AND(Input_Product=Elig!$C1111,Elig_MatchAll_Ct&lt;22,$BC1111=(Elig_MatchAll_Ct-1),AM1111=0),J1111,0)</f>
        <v>0</v>
      </c>
      <c r="BP1111" s="991">
        <f>IF(AND(Input_Product=Elig!$C1111,Elig_MatchAll_Ct&lt;22,$BC1111=(Elig_MatchAll_Ct-1),AN1111=0),K1111,0)</f>
        <v>0</v>
      </c>
      <c r="BQ1111" s="991">
        <f>IF(AND(Input_Product=Elig!$C1111,Elig_MatchAll_Ct&lt;22,$BC1111=(Elig_MatchAll_Ct-1),AP1111=0),L1111,0)</f>
        <v>0</v>
      </c>
      <c r="BR1111" s="991">
        <f>IF(AND(Input_Product=Elig!$C1111,Elig_MatchAll_Ct&lt;22,$BC1111=(Elig_MatchAll_Ct-1),AO1111=0),M1111,0)</f>
        <v>0</v>
      </c>
      <c r="BS1111" s="991">
        <f>IF(AND(Input_Product=Elig!$C1111,Elig_MatchAll_Ct&lt;22,$BC1111=(Elig_MatchAll_Ct-1),AQ1111=0),N1111,0)</f>
        <v>0</v>
      </c>
      <c r="BT1111" s="991">
        <f>IF(AND(Input_Product=Elig!$C1111,Elig_MatchAll_Ct&lt;22,$BC1111=(Elig_MatchAll_Ct-1),AR1111=0),O1111,0)</f>
        <v>0</v>
      </c>
      <c r="BU1111" s="991">
        <f>IF(AND(Input_Product=Elig!$C1111,Elig_MatchAll_Ct&lt;22,$BC1111=(Elig_MatchAll_Ct-1),AS1111=0),P1111,0)</f>
        <v>0</v>
      </c>
      <c r="BV1111" s="992">
        <f>IF(AND(Input_Product=Elig!$C1111,Elig_MatchAll_Ct&lt;22,$BC1111=(Elig_MatchAll_Ct-1),AT1111=0),Q1111,0)</f>
        <v>0</v>
      </c>
      <c r="BW1111" s="993">
        <f>IF(AND(Input_Product=Elig!$C1111,Elig_MatchAll_Ct&lt;22,$BC1111=(Elig_MatchAll_Ct-1),AU1111=0),R1111,0)</f>
        <v>0</v>
      </c>
      <c r="BX1111" s="994">
        <f>IF(AND(Input_Product=Elig!$C1111,Elig_MatchAll_Ct&lt;22,$BC1111=(Elig_MatchAll_Ct-1),AU1111=0),S1111,0)</f>
        <v>0</v>
      </c>
      <c r="BY1111" s="993">
        <f>IF(AND(Input_Product=Elig!$C1111,Elig_MatchAll_Ct&lt;22,$BC1111=(Elig_MatchAll_Ct-1),AV1111=0),T1111,0)</f>
        <v>0</v>
      </c>
      <c r="BZ1111" s="994">
        <f>IF(AND(Input_Product=Elig!$C1111,Elig_MatchAll_Ct&lt;22,$BC1111=(Elig_MatchAll_Ct-1),AV1111=0),U1111,0)</f>
        <v>0</v>
      </c>
      <c r="CA1111" s="993">
        <f>IF(AND(Input_Product=Elig!$C1111,Elig_MatchAll_Ct&lt;22,$BC1111=(Elig_MatchAll_Ct-1),AW1111=0),V1111,0)</f>
        <v>0</v>
      </c>
      <c r="CB1111" s="994">
        <f>IF(AND(Input_Product=Elig!$C1111,Elig_MatchAll_Ct&lt;22,$BC1111=(Elig_MatchAll_Ct-1),AW1111=0),W1111,0)</f>
        <v>0</v>
      </c>
      <c r="CC1111" s="993">
        <f>IF(AND(Input_Product=Elig!$C1111,Elig_MatchAll_Ct&lt;22,$BC1111=(Elig_MatchAll_Ct-1),AX1111=0),X1111,0)</f>
        <v>0</v>
      </c>
      <c r="CD1111" s="994">
        <f>IF(AND(Input_Product=Elig!$C1111,Elig_MatchAll_Ct&lt;22,$BC1111=(Elig_MatchAll_Ct-1),AX1111=0),Y1111,0)</f>
        <v>0</v>
      </c>
      <c r="CE1111" s="993">
        <f>IF(AND(Input_LTV&lt;=AE1111,Input_Product=Elig!$C1111,Elig_MatchAll_Ct&lt;22,$BC1111=(Elig_MatchAll_Ct-1),AY1111=0),Z1111,0)</f>
        <v>0</v>
      </c>
      <c r="CF1111" s="994">
        <f>IF(AND(Input_LTV&lt;=AE1111,Input_Product=Elig!$C1111,Elig_MatchAll_Ct&lt;22,$BC1111=(Elig_MatchAll_Ct-1),AY1111=0),AA1111,0)</f>
        <v>0</v>
      </c>
      <c r="CG1111" s="993">
        <f>IF(AND(Input_Product=Elig!$C1111,Elig_MatchAll_Ct&lt;22,$BC1111=(Elig_MatchAll_Ct-1),AZ1111=0),AB1111,0)</f>
        <v>0</v>
      </c>
      <c r="CH1111" s="994">
        <f>IF(AND(Input_Product=Elig!$C1111,Elig_MatchAll_Ct&lt;22,$BC1111=(Elig_MatchAll_Ct-1),AZ1111=0),AC1111,0)</f>
        <v>0</v>
      </c>
      <c r="CI1111" s="993">
        <f>IF(AND(Input_Product=Elig!$C1111,Elig_MatchAll_Ct&lt;22,$BC1111=(Elig_MatchAll_Ct-1),BA1111=0),AD1111,0)</f>
        <v>0</v>
      </c>
      <c r="CJ1111" s="994">
        <f>IF(AND(Input_Product=Elig!$C1111,Elig_MatchAll_Ct&lt;22,$BC1111=(Elig_MatchAll_Ct-1),BA1111=0),AE1111,0)</f>
        <v>0</v>
      </c>
    </row>
    <row r="1112" spans="2:88" ht="10.15" customHeight="1" x14ac:dyDescent="0.25">
      <c r="B1112" s="1918" t="s">
        <v>2412</v>
      </c>
      <c r="C1112" s="1223" t="str">
        <f t="shared" si="417"/>
        <v xml:space="preserve"> </v>
      </c>
      <c r="D1112" s="1224" t="s">
        <v>2218</v>
      </c>
      <c r="E1112" s="1224" t="s">
        <v>167</v>
      </c>
      <c r="F1112" s="1224" t="s">
        <v>330</v>
      </c>
      <c r="G1112" s="1225" t="s">
        <v>175</v>
      </c>
      <c r="H1112" s="1225" t="s">
        <v>446</v>
      </c>
      <c r="I1112" s="1224" t="s">
        <v>274</v>
      </c>
      <c r="J1112" s="1224" t="s">
        <v>1311</v>
      </c>
      <c r="K1112" s="1225" t="s">
        <v>3022</v>
      </c>
      <c r="L1112" s="1224" t="s">
        <v>2768</v>
      </c>
      <c r="M1112" s="1224" t="s">
        <v>2677</v>
      </c>
      <c r="N1112" s="1225" t="s">
        <v>2685</v>
      </c>
      <c r="O1112" s="1224" t="s">
        <v>310</v>
      </c>
      <c r="P1112" s="1224" t="s">
        <v>291</v>
      </c>
      <c r="Q1112" s="1224" t="s">
        <v>294</v>
      </c>
      <c r="R1112" s="1224">
        <v>125000</v>
      </c>
      <c r="S1112" s="1224">
        <v>1000000</v>
      </c>
      <c r="T1112" s="1224">
        <v>0</v>
      </c>
      <c r="U1112" s="1224">
        <v>0</v>
      </c>
      <c r="V1112" s="1224">
        <v>0</v>
      </c>
      <c r="W1112" s="1224">
        <v>50</v>
      </c>
      <c r="X1112" s="1224">
        <v>0</v>
      </c>
      <c r="Y1112" s="1224">
        <v>999</v>
      </c>
      <c r="Z1112" s="1226">
        <v>680</v>
      </c>
      <c r="AA1112" s="1226">
        <v>699</v>
      </c>
      <c r="AB1112" s="1226">
        <v>3</v>
      </c>
      <c r="AC1112" s="1226">
        <v>999999</v>
      </c>
      <c r="AD1112" s="1224">
        <v>0</v>
      </c>
      <c r="AE1112" s="1227">
        <v>75</v>
      </c>
      <c r="AF1112" s="170">
        <v>0</v>
      </c>
      <c r="AG1112" s="171">
        <v>1</v>
      </c>
      <c r="AH1112" s="171">
        <v>1</v>
      </c>
      <c r="AI1112" s="171">
        <v>0</v>
      </c>
      <c r="AJ1112" s="171">
        <v>0</v>
      </c>
      <c r="AK1112" s="171">
        <v>0</v>
      </c>
      <c r="AL1112" s="171">
        <v>0</v>
      </c>
      <c r="AM1112" s="171">
        <v>1</v>
      </c>
      <c r="AN1112" s="171">
        <v>1</v>
      </c>
      <c r="AO1112" s="171">
        <v>1</v>
      </c>
      <c r="AP1112" s="171">
        <v>1</v>
      </c>
      <c r="AQ1112" s="171">
        <v>1</v>
      </c>
      <c r="AR1112" s="171">
        <v>1</v>
      </c>
      <c r="AS1112" s="171">
        <v>1</v>
      </c>
      <c r="AT1112" s="171">
        <v>1</v>
      </c>
      <c r="AU1112" s="171">
        <f t="shared" si="419"/>
        <v>1</v>
      </c>
      <c r="AV1112" s="171">
        <f t="shared" si="420"/>
        <v>0</v>
      </c>
      <c r="AW1112" s="171">
        <f t="shared" si="421"/>
        <v>1</v>
      </c>
      <c r="AX1112" s="171">
        <f t="shared" si="414"/>
        <v>1</v>
      </c>
      <c r="AY1112" s="171">
        <f t="shared" si="422"/>
        <v>0</v>
      </c>
      <c r="AZ1112" s="171">
        <f t="shared" si="423"/>
        <v>1</v>
      </c>
      <c r="BA1112" s="172">
        <f t="shared" si="424"/>
        <v>1</v>
      </c>
      <c r="BB1112" s="175">
        <f t="shared" si="425"/>
        <v>15</v>
      </c>
      <c r="BC1112" s="176">
        <f t="shared" si="426"/>
        <v>14</v>
      </c>
      <c r="BD1112" s="176">
        <f t="shared" si="427"/>
        <v>15</v>
      </c>
      <c r="BE1112" s="240" t="str">
        <f t="shared" si="418"/>
        <v/>
      </c>
      <c r="BF1112" s="990"/>
      <c r="BG1112" s="990"/>
      <c r="BH1112" s="991">
        <f>IF(AND(Input_Product=Elig!$C1112,Elig_MatchAll_Ct&lt;22,$BC1112=(Elig_MatchAll_Ct-1),AF1112=0),C1112,0)</f>
        <v>0</v>
      </c>
      <c r="BI1112" s="991">
        <f>IF(AND(Input_Product=Elig!$C1112,Elig_MatchAll_Ct&lt;22,$BC1112=(Elig_MatchAll_Ct-1),AG1112=0),D1112,0)</f>
        <v>0</v>
      </c>
      <c r="BJ1112" s="991">
        <f>IF(AND(Input_Product=Elig!$C1112,Elig_MatchAll_Ct&lt;22,$BC1112=(Elig_MatchAll_Ct-1),AH1112=0),E1112,0)</f>
        <v>0</v>
      </c>
      <c r="BK1112" s="991">
        <f>IF(AND(Input_Product=Elig!$C1112,Elig_MatchAll_Ct&lt;22,$BC1112=(Elig_MatchAll_Ct-1),AI1112=0),F1112,0)</f>
        <v>0</v>
      </c>
      <c r="BL1112" s="991">
        <f>IF(AND(Input_Product=Elig!$C1112,Elig_MatchAll_Ct&lt;22,$BC1112=(Elig_MatchAll_Ct-1),AJ1112=0),G1112,0)</f>
        <v>0</v>
      </c>
      <c r="BM1112" s="991">
        <f>IF(AND(Input_Product=Elig!$C1112,Elig_MatchAll_Ct&lt;22,$BC1112=(Elig_MatchAll_Ct-1),AK1112=0),H1112,0)</f>
        <v>0</v>
      </c>
      <c r="BN1112" s="991">
        <f>IF(AND(Input_Product=Elig!$C1112,Elig_MatchAll_Ct&lt;22,$BC1112=(Elig_MatchAll_Ct-1),AL1112=0),I1112,0)</f>
        <v>0</v>
      </c>
      <c r="BO1112" s="991">
        <f>IF(AND(Input_Product=Elig!$C1112,Elig_MatchAll_Ct&lt;22,$BC1112=(Elig_MatchAll_Ct-1),AM1112=0),J1112,0)</f>
        <v>0</v>
      </c>
      <c r="BP1112" s="991">
        <f>IF(AND(Input_Product=Elig!$C1112,Elig_MatchAll_Ct&lt;22,$BC1112=(Elig_MatchAll_Ct-1),AN1112=0),K1112,0)</f>
        <v>0</v>
      </c>
      <c r="BQ1112" s="991">
        <f>IF(AND(Input_Product=Elig!$C1112,Elig_MatchAll_Ct&lt;22,$BC1112=(Elig_MatchAll_Ct-1),AP1112=0),L1112,0)</f>
        <v>0</v>
      </c>
      <c r="BR1112" s="991">
        <f>IF(AND(Input_Product=Elig!$C1112,Elig_MatchAll_Ct&lt;22,$BC1112=(Elig_MatchAll_Ct-1),AO1112=0),M1112,0)</f>
        <v>0</v>
      </c>
      <c r="BS1112" s="991">
        <f>IF(AND(Input_Product=Elig!$C1112,Elig_MatchAll_Ct&lt;22,$BC1112=(Elig_MatchAll_Ct-1),AQ1112=0),N1112,0)</f>
        <v>0</v>
      </c>
      <c r="BT1112" s="991">
        <f>IF(AND(Input_Product=Elig!$C1112,Elig_MatchAll_Ct&lt;22,$BC1112=(Elig_MatchAll_Ct-1),AR1112=0),O1112,0)</f>
        <v>0</v>
      </c>
      <c r="BU1112" s="991">
        <f>IF(AND(Input_Product=Elig!$C1112,Elig_MatchAll_Ct&lt;22,$BC1112=(Elig_MatchAll_Ct-1),AS1112=0),P1112,0)</f>
        <v>0</v>
      </c>
      <c r="BV1112" s="992">
        <f>IF(AND(Input_Product=Elig!$C1112,Elig_MatchAll_Ct&lt;22,$BC1112=(Elig_MatchAll_Ct-1),AT1112=0),Q1112,0)</f>
        <v>0</v>
      </c>
      <c r="BW1112" s="993">
        <f>IF(AND(Input_Product=Elig!$C1112,Elig_MatchAll_Ct&lt;22,$BC1112=(Elig_MatchAll_Ct-1),AU1112=0),R1112,0)</f>
        <v>0</v>
      </c>
      <c r="BX1112" s="994">
        <f>IF(AND(Input_Product=Elig!$C1112,Elig_MatchAll_Ct&lt;22,$BC1112=(Elig_MatchAll_Ct-1),AU1112=0),S1112,0)</f>
        <v>0</v>
      </c>
      <c r="BY1112" s="993">
        <f>IF(AND(Input_Product=Elig!$C1112,Elig_MatchAll_Ct&lt;22,$BC1112=(Elig_MatchAll_Ct-1),AV1112=0),T1112,0)</f>
        <v>0</v>
      </c>
      <c r="BZ1112" s="994">
        <f>IF(AND(Input_Product=Elig!$C1112,Elig_MatchAll_Ct&lt;22,$BC1112=(Elig_MatchAll_Ct-1),AV1112=0),U1112,0)</f>
        <v>0</v>
      </c>
      <c r="CA1112" s="993">
        <f>IF(AND(Input_Product=Elig!$C1112,Elig_MatchAll_Ct&lt;22,$BC1112=(Elig_MatchAll_Ct-1),AW1112=0),V1112,0)</f>
        <v>0</v>
      </c>
      <c r="CB1112" s="994">
        <f>IF(AND(Input_Product=Elig!$C1112,Elig_MatchAll_Ct&lt;22,$BC1112=(Elig_MatchAll_Ct-1),AW1112=0),W1112,0)</f>
        <v>0</v>
      </c>
      <c r="CC1112" s="993">
        <f>IF(AND(Input_Product=Elig!$C1112,Elig_MatchAll_Ct&lt;22,$BC1112=(Elig_MatchAll_Ct-1),AX1112=0),X1112,0)</f>
        <v>0</v>
      </c>
      <c r="CD1112" s="994">
        <f>IF(AND(Input_Product=Elig!$C1112,Elig_MatchAll_Ct&lt;22,$BC1112=(Elig_MatchAll_Ct-1),AX1112=0),Y1112,0)</f>
        <v>0</v>
      </c>
      <c r="CE1112" s="993">
        <f>IF(AND(Input_LTV&lt;=AE1112,Input_Product=Elig!$C1112,Elig_MatchAll_Ct&lt;22,$BC1112=(Elig_MatchAll_Ct-1),AY1112=0),Z1112,0)</f>
        <v>0</v>
      </c>
      <c r="CF1112" s="994">
        <f>IF(AND(Input_LTV&lt;=AE1112,Input_Product=Elig!$C1112,Elig_MatchAll_Ct&lt;22,$BC1112=(Elig_MatchAll_Ct-1),AY1112=0),AA1112,0)</f>
        <v>0</v>
      </c>
      <c r="CG1112" s="993">
        <f>IF(AND(Input_Product=Elig!$C1112,Elig_MatchAll_Ct&lt;22,$BC1112=(Elig_MatchAll_Ct-1),AZ1112=0),AB1112,0)</f>
        <v>0</v>
      </c>
      <c r="CH1112" s="994">
        <f>IF(AND(Input_Product=Elig!$C1112,Elig_MatchAll_Ct&lt;22,$BC1112=(Elig_MatchAll_Ct-1),AZ1112=0),AC1112,0)</f>
        <v>0</v>
      </c>
      <c r="CI1112" s="993">
        <f>IF(AND(Input_Product=Elig!$C1112,Elig_MatchAll_Ct&lt;22,$BC1112=(Elig_MatchAll_Ct-1),BA1112=0),AD1112,0)</f>
        <v>0</v>
      </c>
      <c r="CJ1112" s="994">
        <f>IF(AND(Input_Product=Elig!$C1112,Elig_MatchAll_Ct&lt;22,$BC1112=(Elig_MatchAll_Ct-1),BA1112=0),AE1112,0)</f>
        <v>0</v>
      </c>
    </row>
    <row r="1113" spans="2:88" ht="10.15" customHeight="1" x14ac:dyDescent="0.25">
      <c r="B1113" s="1918" t="s">
        <v>2413</v>
      </c>
      <c r="C1113" s="1228" t="str">
        <f t="shared" si="417"/>
        <v xml:space="preserve"> </v>
      </c>
      <c r="D1113" s="1229" t="s">
        <v>2218</v>
      </c>
      <c r="E1113" s="1229" t="s">
        <v>167</v>
      </c>
      <c r="F1113" s="1229" t="s">
        <v>330</v>
      </c>
      <c r="G1113" s="1230" t="s">
        <v>175</v>
      </c>
      <c r="H1113" s="1230" t="s">
        <v>446</v>
      </c>
      <c r="I1113" s="1229" t="s">
        <v>274</v>
      </c>
      <c r="J1113" s="1229" t="s">
        <v>1311</v>
      </c>
      <c r="K1113" s="1230" t="s">
        <v>3022</v>
      </c>
      <c r="L1113" s="1229" t="s">
        <v>2768</v>
      </c>
      <c r="M1113" s="1229" t="s">
        <v>2677</v>
      </c>
      <c r="N1113" s="1230" t="s">
        <v>2685</v>
      </c>
      <c r="O1113" s="1229" t="s">
        <v>310</v>
      </c>
      <c r="P1113" s="1229" t="s">
        <v>291</v>
      </c>
      <c r="Q1113" s="1229" t="s">
        <v>294</v>
      </c>
      <c r="R1113" s="1229">
        <v>125000</v>
      </c>
      <c r="S1113" s="1229">
        <v>1000000</v>
      </c>
      <c r="T1113" s="1229">
        <v>0</v>
      </c>
      <c r="U1113" s="1229">
        <v>0</v>
      </c>
      <c r="V1113" s="1229">
        <v>0</v>
      </c>
      <c r="W1113" s="1229">
        <v>50</v>
      </c>
      <c r="X1113" s="1229">
        <v>0</v>
      </c>
      <c r="Y1113" s="1229">
        <v>999</v>
      </c>
      <c r="Z1113" s="1231">
        <v>660</v>
      </c>
      <c r="AA1113" s="1231">
        <v>679</v>
      </c>
      <c r="AB1113" s="1231">
        <v>3</v>
      </c>
      <c r="AC1113" s="1231">
        <v>999999</v>
      </c>
      <c r="AD1113" s="1229">
        <v>0</v>
      </c>
      <c r="AE1113" s="1232">
        <v>70</v>
      </c>
      <c r="AF1113" s="170">
        <v>0</v>
      </c>
      <c r="AG1113" s="171">
        <v>1</v>
      </c>
      <c r="AH1113" s="171">
        <v>1</v>
      </c>
      <c r="AI1113" s="171">
        <v>0</v>
      </c>
      <c r="AJ1113" s="171">
        <v>0</v>
      </c>
      <c r="AK1113" s="171">
        <v>0</v>
      </c>
      <c r="AL1113" s="171">
        <v>0</v>
      </c>
      <c r="AM1113" s="171">
        <v>1</v>
      </c>
      <c r="AN1113" s="171">
        <v>1</v>
      </c>
      <c r="AO1113" s="171">
        <v>1</v>
      </c>
      <c r="AP1113" s="171">
        <v>1</v>
      </c>
      <c r="AQ1113" s="171">
        <v>1</v>
      </c>
      <c r="AR1113" s="171">
        <v>1</v>
      </c>
      <c r="AS1113" s="171">
        <v>1</v>
      </c>
      <c r="AT1113" s="171">
        <v>1</v>
      </c>
      <c r="AU1113" s="171">
        <f t="shared" si="419"/>
        <v>1</v>
      </c>
      <c r="AV1113" s="171">
        <f t="shared" si="420"/>
        <v>0</v>
      </c>
      <c r="AW1113" s="171">
        <f t="shared" si="421"/>
        <v>1</v>
      </c>
      <c r="AX1113" s="171">
        <f t="shared" si="414"/>
        <v>1</v>
      </c>
      <c r="AY1113" s="171">
        <f t="shared" si="422"/>
        <v>0</v>
      </c>
      <c r="AZ1113" s="171">
        <f t="shared" si="423"/>
        <v>1</v>
      </c>
      <c r="BA1113" s="172">
        <f t="shared" si="424"/>
        <v>1</v>
      </c>
      <c r="BB1113" s="175">
        <f t="shared" si="425"/>
        <v>15</v>
      </c>
      <c r="BC1113" s="176">
        <f t="shared" si="426"/>
        <v>14</v>
      </c>
      <c r="BD1113" s="176">
        <f t="shared" si="427"/>
        <v>15</v>
      </c>
      <c r="BE1113" s="240" t="str">
        <f t="shared" si="418"/>
        <v/>
      </c>
      <c r="BF1113" s="990"/>
      <c r="BG1113" s="990"/>
      <c r="BH1113" s="991">
        <f>IF(AND(Input_Product=Elig!$C1113,Elig_MatchAll_Ct&lt;22,$BC1113=(Elig_MatchAll_Ct-1),AF1113=0),C1113,0)</f>
        <v>0</v>
      </c>
      <c r="BI1113" s="991">
        <f>IF(AND(Input_Product=Elig!$C1113,Elig_MatchAll_Ct&lt;22,$BC1113=(Elig_MatchAll_Ct-1),AG1113=0),D1113,0)</f>
        <v>0</v>
      </c>
      <c r="BJ1113" s="991">
        <f>IF(AND(Input_Product=Elig!$C1113,Elig_MatchAll_Ct&lt;22,$BC1113=(Elig_MatchAll_Ct-1),AH1113=0),E1113,0)</f>
        <v>0</v>
      </c>
      <c r="BK1113" s="991">
        <f>IF(AND(Input_Product=Elig!$C1113,Elig_MatchAll_Ct&lt;22,$BC1113=(Elig_MatchAll_Ct-1),AI1113=0),F1113,0)</f>
        <v>0</v>
      </c>
      <c r="BL1113" s="991">
        <f>IF(AND(Input_Product=Elig!$C1113,Elig_MatchAll_Ct&lt;22,$BC1113=(Elig_MatchAll_Ct-1),AJ1113=0),G1113,0)</f>
        <v>0</v>
      </c>
      <c r="BM1113" s="991">
        <f>IF(AND(Input_Product=Elig!$C1113,Elig_MatchAll_Ct&lt;22,$BC1113=(Elig_MatchAll_Ct-1),AK1113=0),H1113,0)</f>
        <v>0</v>
      </c>
      <c r="BN1113" s="991">
        <f>IF(AND(Input_Product=Elig!$C1113,Elig_MatchAll_Ct&lt;22,$BC1113=(Elig_MatchAll_Ct-1),AL1113=0),I1113,0)</f>
        <v>0</v>
      </c>
      <c r="BO1113" s="991">
        <f>IF(AND(Input_Product=Elig!$C1113,Elig_MatchAll_Ct&lt;22,$BC1113=(Elig_MatchAll_Ct-1),AM1113=0),J1113,0)</f>
        <v>0</v>
      </c>
      <c r="BP1113" s="991">
        <f>IF(AND(Input_Product=Elig!$C1113,Elig_MatchAll_Ct&lt;22,$BC1113=(Elig_MatchAll_Ct-1),AN1113=0),K1113,0)</f>
        <v>0</v>
      </c>
      <c r="BQ1113" s="991">
        <f>IF(AND(Input_Product=Elig!$C1113,Elig_MatchAll_Ct&lt;22,$BC1113=(Elig_MatchAll_Ct-1),AP1113=0),L1113,0)</f>
        <v>0</v>
      </c>
      <c r="BR1113" s="991">
        <f>IF(AND(Input_Product=Elig!$C1113,Elig_MatchAll_Ct&lt;22,$BC1113=(Elig_MatchAll_Ct-1),AO1113=0),M1113,0)</f>
        <v>0</v>
      </c>
      <c r="BS1113" s="991">
        <f>IF(AND(Input_Product=Elig!$C1113,Elig_MatchAll_Ct&lt;22,$BC1113=(Elig_MatchAll_Ct-1),AQ1113=0),N1113,0)</f>
        <v>0</v>
      </c>
      <c r="BT1113" s="991">
        <f>IF(AND(Input_Product=Elig!$C1113,Elig_MatchAll_Ct&lt;22,$BC1113=(Elig_MatchAll_Ct-1),AR1113=0),O1113,0)</f>
        <v>0</v>
      </c>
      <c r="BU1113" s="991">
        <f>IF(AND(Input_Product=Elig!$C1113,Elig_MatchAll_Ct&lt;22,$BC1113=(Elig_MatchAll_Ct-1),AS1113=0),P1113,0)</f>
        <v>0</v>
      </c>
      <c r="BV1113" s="992">
        <f>IF(AND(Input_Product=Elig!$C1113,Elig_MatchAll_Ct&lt;22,$BC1113=(Elig_MatchAll_Ct-1),AT1113=0),Q1113,0)</f>
        <v>0</v>
      </c>
      <c r="BW1113" s="993">
        <f>IF(AND(Input_Product=Elig!$C1113,Elig_MatchAll_Ct&lt;22,$BC1113=(Elig_MatchAll_Ct-1),AU1113=0),R1113,0)</f>
        <v>0</v>
      </c>
      <c r="BX1113" s="994">
        <f>IF(AND(Input_Product=Elig!$C1113,Elig_MatchAll_Ct&lt;22,$BC1113=(Elig_MatchAll_Ct-1),AU1113=0),S1113,0)</f>
        <v>0</v>
      </c>
      <c r="BY1113" s="993">
        <f>IF(AND(Input_Product=Elig!$C1113,Elig_MatchAll_Ct&lt;22,$BC1113=(Elig_MatchAll_Ct-1),AV1113=0),T1113,0)</f>
        <v>0</v>
      </c>
      <c r="BZ1113" s="994">
        <f>IF(AND(Input_Product=Elig!$C1113,Elig_MatchAll_Ct&lt;22,$BC1113=(Elig_MatchAll_Ct-1),AV1113=0),U1113,0)</f>
        <v>0</v>
      </c>
      <c r="CA1113" s="993">
        <f>IF(AND(Input_Product=Elig!$C1113,Elig_MatchAll_Ct&lt;22,$BC1113=(Elig_MatchAll_Ct-1),AW1113=0),V1113,0)</f>
        <v>0</v>
      </c>
      <c r="CB1113" s="994">
        <f>IF(AND(Input_Product=Elig!$C1113,Elig_MatchAll_Ct&lt;22,$BC1113=(Elig_MatchAll_Ct-1),AW1113=0),W1113,0)</f>
        <v>0</v>
      </c>
      <c r="CC1113" s="993">
        <f>IF(AND(Input_Product=Elig!$C1113,Elig_MatchAll_Ct&lt;22,$BC1113=(Elig_MatchAll_Ct-1),AX1113=0),X1113,0)</f>
        <v>0</v>
      </c>
      <c r="CD1113" s="994">
        <f>IF(AND(Input_Product=Elig!$C1113,Elig_MatchAll_Ct&lt;22,$BC1113=(Elig_MatchAll_Ct-1),AX1113=0),Y1113,0)</f>
        <v>0</v>
      </c>
      <c r="CE1113" s="993">
        <f>IF(AND(Input_LTV&lt;=AE1113,Input_Product=Elig!$C1113,Elig_MatchAll_Ct&lt;22,$BC1113=(Elig_MatchAll_Ct-1),AY1113=0),Z1113,0)</f>
        <v>0</v>
      </c>
      <c r="CF1113" s="994">
        <f>IF(AND(Input_LTV&lt;=AE1113,Input_Product=Elig!$C1113,Elig_MatchAll_Ct&lt;22,$BC1113=(Elig_MatchAll_Ct-1),AY1113=0),AA1113,0)</f>
        <v>0</v>
      </c>
      <c r="CG1113" s="993">
        <f>IF(AND(Input_Product=Elig!$C1113,Elig_MatchAll_Ct&lt;22,$BC1113=(Elig_MatchAll_Ct-1),AZ1113=0),AB1113,0)</f>
        <v>0</v>
      </c>
      <c r="CH1113" s="994">
        <f>IF(AND(Input_Product=Elig!$C1113,Elig_MatchAll_Ct&lt;22,$BC1113=(Elig_MatchAll_Ct-1),AZ1113=0),AC1113,0)</f>
        <v>0</v>
      </c>
      <c r="CI1113" s="993">
        <f>IF(AND(Input_Product=Elig!$C1113,Elig_MatchAll_Ct&lt;22,$BC1113=(Elig_MatchAll_Ct-1),BA1113=0),AD1113,0)</f>
        <v>0</v>
      </c>
      <c r="CJ1113" s="994">
        <f>IF(AND(Input_Product=Elig!$C1113,Elig_MatchAll_Ct&lt;22,$BC1113=(Elig_MatchAll_Ct-1),BA1113=0),AE1113,0)</f>
        <v>0</v>
      </c>
    </row>
    <row r="1114" spans="2:88" ht="10.15" customHeight="1" x14ac:dyDescent="0.25">
      <c r="B1114" s="1918" t="s">
        <v>2414</v>
      </c>
      <c r="C1114" s="1218" t="str">
        <f t="shared" si="417"/>
        <v xml:space="preserve"> </v>
      </c>
      <c r="D1114" s="1219" t="s">
        <v>2218</v>
      </c>
      <c r="E1114" s="1219" t="s">
        <v>167</v>
      </c>
      <c r="F1114" s="1219" t="s">
        <v>330</v>
      </c>
      <c r="G1114" s="1220" t="s">
        <v>175</v>
      </c>
      <c r="H1114" s="1220" t="s">
        <v>446</v>
      </c>
      <c r="I1114" s="1219" t="s">
        <v>274</v>
      </c>
      <c r="J1114" s="1219" t="s">
        <v>1311</v>
      </c>
      <c r="K1114" s="1220" t="s">
        <v>3022</v>
      </c>
      <c r="L1114" s="1219" t="s">
        <v>2768</v>
      </c>
      <c r="M1114" s="1219" t="s">
        <v>2677</v>
      </c>
      <c r="N1114" s="1220" t="s">
        <v>2685</v>
      </c>
      <c r="O1114" s="1219" t="s">
        <v>310</v>
      </c>
      <c r="P1114" s="1219" t="s">
        <v>291</v>
      </c>
      <c r="Q1114" s="1219" t="s">
        <v>294</v>
      </c>
      <c r="R1114" s="1219">
        <v>1000000.01</v>
      </c>
      <c r="S1114" s="1219">
        <v>1500000</v>
      </c>
      <c r="T1114" s="1219">
        <v>0</v>
      </c>
      <c r="U1114" s="1219">
        <v>0</v>
      </c>
      <c r="V1114" s="1219">
        <v>0</v>
      </c>
      <c r="W1114" s="1219">
        <v>50</v>
      </c>
      <c r="X1114" s="1219">
        <v>0</v>
      </c>
      <c r="Y1114" s="1219">
        <v>999</v>
      </c>
      <c r="Z1114" s="1221">
        <v>720</v>
      </c>
      <c r="AA1114" s="1221">
        <v>999</v>
      </c>
      <c r="AB1114" s="1221">
        <v>6</v>
      </c>
      <c r="AC1114" s="1221">
        <v>999999</v>
      </c>
      <c r="AD1114" s="1219">
        <v>0</v>
      </c>
      <c r="AE1114" s="1222">
        <v>80</v>
      </c>
      <c r="AF1114" s="170">
        <v>0</v>
      </c>
      <c r="AG1114" s="171">
        <v>1</v>
      </c>
      <c r="AH1114" s="171">
        <v>1</v>
      </c>
      <c r="AI1114" s="171">
        <v>0</v>
      </c>
      <c r="AJ1114" s="171">
        <v>0</v>
      </c>
      <c r="AK1114" s="171">
        <v>0</v>
      </c>
      <c r="AL1114" s="171">
        <v>0</v>
      </c>
      <c r="AM1114" s="171">
        <v>1</v>
      </c>
      <c r="AN1114" s="171">
        <v>1</v>
      </c>
      <c r="AO1114" s="171">
        <v>1</v>
      </c>
      <c r="AP1114" s="171">
        <v>1</v>
      </c>
      <c r="AQ1114" s="171">
        <v>1</v>
      </c>
      <c r="AR1114" s="171">
        <v>1</v>
      </c>
      <c r="AS1114" s="171">
        <v>1</v>
      </c>
      <c r="AT1114" s="171">
        <v>1</v>
      </c>
      <c r="AU1114" s="171">
        <f t="shared" si="419"/>
        <v>0</v>
      </c>
      <c r="AV1114" s="171">
        <f t="shared" si="420"/>
        <v>0</v>
      </c>
      <c r="AW1114" s="171">
        <f t="shared" si="421"/>
        <v>1</v>
      </c>
      <c r="AX1114" s="171">
        <f t="shared" si="414"/>
        <v>1</v>
      </c>
      <c r="AY1114" s="171">
        <f t="shared" si="422"/>
        <v>1</v>
      </c>
      <c r="AZ1114" s="171">
        <f t="shared" si="423"/>
        <v>1</v>
      </c>
      <c r="BA1114" s="172">
        <f t="shared" si="424"/>
        <v>1</v>
      </c>
      <c r="BB1114" s="175">
        <f t="shared" si="425"/>
        <v>15</v>
      </c>
      <c r="BC1114" s="176">
        <f t="shared" si="426"/>
        <v>14</v>
      </c>
      <c r="BD1114" s="176">
        <f t="shared" si="427"/>
        <v>15</v>
      </c>
      <c r="BE1114" s="240" t="str">
        <f t="shared" si="418"/>
        <v/>
      </c>
      <c r="BF1114" s="990"/>
      <c r="BG1114" s="990"/>
      <c r="BH1114" s="991">
        <f>IF(AND(Input_Product=Elig!$C1114,Elig_MatchAll_Ct&lt;22,$BC1114=(Elig_MatchAll_Ct-1),AF1114=0),C1114,0)</f>
        <v>0</v>
      </c>
      <c r="BI1114" s="991">
        <f>IF(AND(Input_Product=Elig!$C1114,Elig_MatchAll_Ct&lt;22,$BC1114=(Elig_MatchAll_Ct-1),AG1114=0),D1114,0)</f>
        <v>0</v>
      </c>
      <c r="BJ1114" s="991">
        <f>IF(AND(Input_Product=Elig!$C1114,Elig_MatchAll_Ct&lt;22,$BC1114=(Elig_MatchAll_Ct-1),AH1114=0),E1114,0)</f>
        <v>0</v>
      </c>
      <c r="BK1114" s="991">
        <f>IF(AND(Input_Product=Elig!$C1114,Elig_MatchAll_Ct&lt;22,$BC1114=(Elig_MatchAll_Ct-1),AI1114=0),F1114,0)</f>
        <v>0</v>
      </c>
      <c r="BL1114" s="991">
        <f>IF(AND(Input_Product=Elig!$C1114,Elig_MatchAll_Ct&lt;22,$BC1114=(Elig_MatchAll_Ct-1),AJ1114=0),G1114,0)</f>
        <v>0</v>
      </c>
      <c r="BM1114" s="991">
        <f>IF(AND(Input_Product=Elig!$C1114,Elig_MatchAll_Ct&lt;22,$BC1114=(Elig_MatchAll_Ct-1),AK1114=0),H1114,0)</f>
        <v>0</v>
      </c>
      <c r="BN1114" s="991">
        <f>IF(AND(Input_Product=Elig!$C1114,Elig_MatchAll_Ct&lt;22,$BC1114=(Elig_MatchAll_Ct-1),AL1114=0),I1114,0)</f>
        <v>0</v>
      </c>
      <c r="BO1114" s="991">
        <f>IF(AND(Input_Product=Elig!$C1114,Elig_MatchAll_Ct&lt;22,$BC1114=(Elig_MatchAll_Ct-1),AM1114=0),J1114,0)</f>
        <v>0</v>
      </c>
      <c r="BP1114" s="991">
        <f>IF(AND(Input_Product=Elig!$C1114,Elig_MatchAll_Ct&lt;22,$BC1114=(Elig_MatchAll_Ct-1),AN1114=0),K1114,0)</f>
        <v>0</v>
      </c>
      <c r="BQ1114" s="991">
        <f>IF(AND(Input_Product=Elig!$C1114,Elig_MatchAll_Ct&lt;22,$BC1114=(Elig_MatchAll_Ct-1),AP1114=0),L1114,0)</f>
        <v>0</v>
      </c>
      <c r="BR1114" s="991">
        <f>IF(AND(Input_Product=Elig!$C1114,Elig_MatchAll_Ct&lt;22,$BC1114=(Elig_MatchAll_Ct-1),AO1114=0),M1114,0)</f>
        <v>0</v>
      </c>
      <c r="BS1114" s="991">
        <f>IF(AND(Input_Product=Elig!$C1114,Elig_MatchAll_Ct&lt;22,$BC1114=(Elig_MatchAll_Ct-1),AQ1114=0),N1114,0)</f>
        <v>0</v>
      </c>
      <c r="BT1114" s="991">
        <f>IF(AND(Input_Product=Elig!$C1114,Elig_MatchAll_Ct&lt;22,$BC1114=(Elig_MatchAll_Ct-1),AR1114=0),O1114,0)</f>
        <v>0</v>
      </c>
      <c r="BU1114" s="991">
        <f>IF(AND(Input_Product=Elig!$C1114,Elig_MatchAll_Ct&lt;22,$BC1114=(Elig_MatchAll_Ct-1),AS1114=0),P1114,0)</f>
        <v>0</v>
      </c>
      <c r="BV1114" s="992">
        <f>IF(AND(Input_Product=Elig!$C1114,Elig_MatchAll_Ct&lt;22,$BC1114=(Elig_MatchAll_Ct-1),AT1114=0),Q1114,0)</f>
        <v>0</v>
      </c>
      <c r="BW1114" s="993">
        <f>IF(AND(Input_Product=Elig!$C1114,Elig_MatchAll_Ct&lt;22,$BC1114=(Elig_MatchAll_Ct-1),AU1114=0),R1114,0)</f>
        <v>0</v>
      </c>
      <c r="BX1114" s="994">
        <f>IF(AND(Input_Product=Elig!$C1114,Elig_MatchAll_Ct&lt;22,$BC1114=(Elig_MatchAll_Ct-1),AU1114=0),S1114,0)</f>
        <v>0</v>
      </c>
      <c r="BY1114" s="993">
        <f>IF(AND(Input_Product=Elig!$C1114,Elig_MatchAll_Ct&lt;22,$BC1114=(Elig_MatchAll_Ct-1),AV1114=0),T1114,0)</f>
        <v>0</v>
      </c>
      <c r="BZ1114" s="994">
        <f>IF(AND(Input_Product=Elig!$C1114,Elig_MatchAll_Ct&lt;22,$BC1114=(Elig_MatchAll_Ct-1),AV1114=0),U1114,0)</f>
        <v>0</v>
      </c>
      <c r="CA1114" s="993">
        <f>IF(AND(Input_Product=Elig!$C1114,Elig_MatchAll_Ct&lt;22,$BC1114=(Elig_MatchAll_Ct-1),AW1114=0),V1114,0)</f>
        <v>0</v>
      </c>
      <c r="CB1114" s="994">
        <f>IF(AND(Input_Product=Elig!$C1114,Elig_MatchAll_Ct&lt;22,$BC1114=(Elig_MatchAll_Ct-1),AW1114=0),W1114,0)</f>
        <v>0</v>
      </c>
      <c r="CC1114" s="993">
        <f>IF(AND(Input_Product=Elig!$C1114,Elig_MatchAll_Ct&lt;22,$BC1114=(Elig_MatchAll_Ct-1),AX1114=0),X1114,0)</f>
        <v>0</v>
      </c>
      <c r="CD1114" s="994">
        <f>IF(AND(Input_Product=Elig!$C1114,Elig_MatchAll_Ct&lt;22,$BC1114=(Elig_MatchAll_Ct-1),AX1114=0),Y1114,0)</f>
        <v>0</v>
      </c>
      <c r="CE1114" s="993">
        <f>IF(AND(Input_LTV&lt;=AE1114,Input_Product=Elig!$C1114,Elig_MatchAll_Ct&lt;22,$BC1114=(Elig_MatchAll_Ct-1),AY1114=0),Z1114,0)</f>
        <v>0</v>
      </c>
      <c r="CF1114" s="994">
        <f>IF(AND(Input_LTV&lt;=AE1114,Input_Product=Elig!$C1114,Elig_MatchAll_Ct&lt;22,$BC1114=(Elig_MatchAll_Ct-1),AY1114=0),AA1114,0)</f>
        <v>0</v>
      </c>
      <c r="CG1114" s="993">
        <f>IF(AND(Input_Product=Elig!$C1114,Elig_MatchAll_Ct&lt;22,$BC1114=(Elig_MatchAll_Ct-1),AZ1114=0),AB1114,0)</f>
        <v>0</v>
      </c>
      <c r="CH1114" s="994">
        <f>IF(AND(Input_Product=Elig!$C1114,Elig_MatchAll_Ct&lt;22,$BC1114=(Elig_MatchAll_Ct-1),AZ1114=0),AC1114,0)</f>
        <v>0</v>
      </c>
      <c r="CI1114" s="993">
        <f>IF(AND(Input_Product=Elig!$C1114,Elig_MatchAll_Ct&lt;22,$BC1114=(Elig_MatchAll_Ct-1),BA1114=0),AD1114,0)</f>
        <v>0</v>
      </c>
      <c r="CJ1114" s="994">
        <f>IF(AND(Input_Product=Elig!$C1114,Elig_MatchAll_Ct&lt;22,$BC1114=(Elig_MatchAll_Ct-1),BA1114=0),AE1114,0)</f>
        <v>0</v>
      </c>
    </row>
    <row r="1115" spans="2:88" ht="10.15" customHeight="1" x14ac:dyDescent="0.25">
      <c r="B1115" s="1918" t="s">
        <v>2415</v>
      </c>
      <c r="C1115" s="1223" t="str">
        <f t="shared" si="417"/>
        <v xml:space="preserve"> </v>
      </c>
      <c r="D1115" s="1224" t="s">
        <v>2218</v>
      </c>
      <c r="E1115" s="1224" t="s">
        <v>167</v>
      </c>
      <c r="F1115" s="1224" t="s">
        <v>330</v>
      </c>
      <c r="G1115" s="1225" t="s">
        <v>175</v>
      </c>
      <c r="H1115" s="1225" t="s">
        <v>446</v>
      </c>
      <c r="I1115" s="1224" t="s">
        <v>274</v>
      </c>
      <c r="J1115" s="1224" t="s">
        <v>1311</v>
      </c>
      <c r="K1115" s="1225" t="s">
        <v>3022</v>
      </c>
      <c r="L1115" s="1224" t="s">
        <v>2768</v>
      </c>
      <c r="M1115" s="1224" t="s">
        <v>2677</v>
      </c>
      <c r="N1115" s="1225" t="s">
        <v>2685</v>
      </c>
      <c r="O1115" s="1224" t="s">
        <v>310</v>
      </c>
      <c r="P1115" s="1224" t="s">
        <v>291</v>
      </c>
      <c r="Q1115" s="1224" t="s">
        <v>294</v>
      </c>
      <c r="R1115" s="1224">
        <v>1000000.01</v>
      </c>
      <c r="S1115" s="1224">
        <v>1500000</v>
      </c>
      <c r="T1115" s="1224">
        <v>0</v>
      </c>
      <c r="U1115" s="1224">
        <v>0</v>
      </c>
      <c r="V1115" s="1224">
        <v>0</v>
      </c>
      <c r="W1115" s="1224">
        <v>50</v>
      </c>
      <c r="X1115" s="1224">
        <v>0</v>
      </c>
      <c r="Y1115" s="1224">
        <v>999</v>
      </c>
      <c r="Z1115" s="1226">
        <v>700</v>
      </c>
      <c r="AA1115" s="1226">
        <v>719</v>
      </c>
      <c r="AB1115" s="1226">
        <v>6</v>
      </c>
      <c r="AC1115" s="1226">
        <v>999999</v>
      </c>
      <c r="AD1115" s="1224">
        <v>0</v>
      </c>
      <c r="AE1115" s="1227">
        <v>80</v>
      </c>
      <c r="AF1115" s="170">
        <v>0</v>
      </c>
      <c r="AG1115" s="171">
        <v>1</v>
      </c>
      <c r="AH1115" s="171">
        <v>1</v>
      </c>
      <c r="AI1115" s="171">
        <v>0</v>
      </c>
      <c r="AJ1115" s="171">
        <v>0</v>
      </c>
      <c r="AK1115" s="171">
        <v>0</v>
      </c>
      <c r="AL1115" s="171">
        <v>0</v>
      </c>
      <c r="AM1115" s="171">
        <v>1</v>
      </c>
      <c r="AN1115" s="171">
        <v>1</v>
      </c>
      <c r="AO1115" s="171">
        <v>1</v>
      </c>
      <c r="AP1115" s="171">
        <v>1</v>
      </c>
      <c r="AQ1115" s="171">
        <v>1</v>
      </c>
      <c r="AR1115" s="171">
        <v>1</v>
      </c>
      <c r="AS1115" s="171">
        <v>1</v>
      </c>
      <c r="AT1115" s="171">
        <v>1</v>
      </c>
      <c r="AU1115" s="171">
        <f t="shared" si="419"/>
        <v>0</v>
      </c>
      <c r="AV1115" s="171">
        <f t="shared" si="420"/>
        <v>0</v>
      </c>
      <c r="AW1115" s="171">
        <f t="shared" si="421"/>
        <v>1</v>
      </c>
      <c r="AX1115" s="171">
        <f t="shared" si="414"/>
        <v>1</v>
      </c>
      <c r="AY1115" s="171">
        <f t="shared" si="422"/>
        <v>0</v>
      </c>
      <c r="AZ1115" s="171">
        <f t="shared" si="423"/>
        <v>1</v>
      </c>
      <c r="BA1115" s="172">
        <f t="shared" si="424"/>
        <v>1</v>
      </c>
      <c r="BB1115" s="175">
        <f t="shared" si="425"/>
        <v>14</v>
      </c>
      <c r="BC1115" s="176">
        <f t="shared" si="426"/>
        <v>13</v>
      </c>
      <c r="BD1115" s="176">
        <f t="shared" si="427"/>
        <v>14</v>
      </c>
      <c r="BE1115" s="240" t="str">
        <f t="shared" si="418"/>
        <v/>
      </c>
      <c r="BF1115" s="990"/>
      <c r="BG1115" s="990"/>
      <c r="BH1115" s="991">
        <f>IF(AND(Input_Product=Elig!$C1115,Elig_MatchAll_Ct&lt;22,$BC1115=(Elig_MatchAll_Ct-1),AF1115=0),C1115,0)</f>
        <v>0</v>
      </c>
      <c r="BI1115" s="991">
        <f>IF(AND(Input_Product=Elig!$C1115,Elig_MatchAll_Ct&lt;22,$BC1115=(Elig_MatchAll_Ct-1),AG1115=0),D1115,0)</f>
        <v>0</v>
      </c>
      <c r="BJ1115" s="991">
        <f>IF(AND(Input_Product=Elig!$C1115,Elig_MatchAll_Ct&lt;22,$BC1115=(Elig_MatchAll_Ct-1),AH1115=0),E1115,0)</f>
        <v>0</v>
      </c>
      <c r="BK1115" s="991">
        <f>IF(AND(Input_Product=Elig!$C1115,Elig_MatchAll_Ct&lt;22,$BC1115=(Elig_MatchAll_Ct-1),AI1115=0),F1115,0)</f>
        <v>0</v>
      </c>
      <c r="BL1115" s="991">
        <f>IF(AND(Input_Product=Elig!$C1115,Elig_MatchAll_Ct&lt;22,$BC1115=(Elig_MatchAll_Ct-1),AJ1115=0),G1115,0)</f>
        <v>0</v>
      </c>
      <c r="BM1115" s="991">
        <f>IF(AND(Input_Product=Elig!$C1115,Elig_MatchAll_Ct&lt;22,$BC1115=(Elig_MatchAll_Ct-1),AK1115=0),H1115,0)</f>
        <v>0</v>
      </c>
      <c r="BN1115" s="991">
        <f>IF(AND(Input_Product=Elig!$C1115,Elig_MatchAll_Ct&lt;22,$BC1115=(Elig_MatchAll_Ct-1),AL1115=0),I1115,0)</f>
        <v>0</v>
      </c>
      <c r="BO1115" s="991">
        <f>IF(AND(Input_Product=Elig!$C1115,Elig_MatchAll_Ct&lt;22,$BC1115=(Elig_MatchAll_Ct-1),AM1115=0),J1115,0)</f>
        <v>0</v>
      </c>
      <c r="BP1115" s="991">
        <f>IF(AND(Input_Product=Elig!$C1115,Elig_MatchAll_Ct&lt;22,$BC1115=(Elig_MatchAll_Ct-1),AN1115=0),K1115,0)</f>
        <v>0</v>
      </c>
      <c r="BQ1115" s="991">
        <f>IF(AND(Input_Product=Elig!$C1115,Elig_MatchAll_Ct&lt;22,$BC1115=(Elig_MatchAll_Ct-1),AP1115=0),L1115,0)</f>
        <v>0</v>
      </c>
      <c r="BR1115" s="991">
        <f>IF(AND(Input_Product=Elig!$C1115,Elig_MatchAll_Ct&lt;22,$BC1115=(Elig_MatchAll_Ct-1),AO1115=0),M1115,0)</f>
        <v>0</v>
      </c>
      <c r="BS1115" s="991">
        <f>IF(AND(Input_Product=Elig!$C1115,Elig_MatchAll_Ct&lt;22,$BC1115=(Elig_MatchAll_Ct-1),AQ1115=0),N1115,0)</f>
        <v>0</v>
      </c>
      <c r="BT1115" s="991">
        <f>IF(AND(Input_Product=Elig!$C1115,Elig_MatchAll_Ct&lt;22,$BC1115=(Elig_MatchAll_Ct-1),AR1115=0),O1115,0)</f>
        <v>0</v>
      </c>
      <c r="BU1115" s="991">
        <f>IF(AND(Input_Product=Elig!$C1115,Elig_MatchAll_Ct&lt;22,$BC1115=(Elig_MatchAll_Ct-1),AS1115=0),P1115,0)</f>
        <v>0</v>
      </c>
      <c r="BV1115" s="992">
        <f>IF(AND(Input_Product=Elig!$C1115,Elig_MatchAll_Ct&lt;22,$BC1115=(Elig_MatchAll_Ct-1),AT1115=0),Q1115,0)</f>
        <v>0</v>
      </c>
      <c r="BW1115" s="993">
        <f>IF(AND(Input_Product=Elig!$C1115,Elig_MatchAll_Ct&lt;22,$BC1115=(Elig_MatchAll_Ct-1),AU1115=0),R1115,0)</f>
        <v>0</v>
      </c>
      <c r="BX1115" s="994">
        <f>IF(AND(Input_Product=Elig!$C1115,Elig_MatchAll_Ct&lt;22,$BC1115=(Elig_MatchAll_Ct-1),AU1115=0),S1115,0)</f>
        <v>0</v>
      </c>
      <c r="BY1115" s="993">
        <f>IF(AND(Input_Product=Elig!$C1115,Elig_MatchAll_Ct&lt;22,$BC1115=(Elig_MatchAll_Ct-1),AV1115=0),T1115,0)</f>
        <v>0</v>
      </c>
      <c r="BZ1115" s="994">
        <f>IF(AND(Input_Product=Elig!$C1115,Elig_MatchAll_Ct&lt;22,$BC1115=(Elig_MatchAll_Ct-1),AV1115=0),U1115,0)</f>
        <v>0</v>
      </c>
      <c r="CA1115" s="993">
        <f>IF(AND(Input_Product=Elig!$C1115,Elig_MatchAll_Ct&lt;22,$BC1115=(Elig_MatchAll_Ct-1),AW1115=0),V1115,0)</f>
        <v>0</v>
      </c>
      <c r="CB1115" s="994">
        <f>IF(AND(Input_Product=Elig!$C1115,Elig_MatchAll_Ct&lt;22,$BC1115=(Elig_MatchAll_Ct-1),AW1115=0),W1115,0)</f>
        <v>0</v>
      </c>
      <c r="CC1115" s="993">
        <f>IF(AND(Input_Product=Elig!$C1115,Elig_MatchAll_Ct&lt;22,$BC1115=(Elig_MatchAll_Ct-1),AX1115=0),X1115,0)</f>
        <v>0</v>
      </c>
      <c r="CD1115" s="994">
        <f>IF(AND(Input_Product=Elig!$C1115,Elig_MatchAll_Ct&lt;22,$BC1115=(Elig_MatchAll_Ct-1),AX1115=0),Y1115,0)</f>
        <v>0</v>
      </c>
      <c r="CE1115" s="993">
        <f>IF(AND(Input_LTV&lt;=AE1115,Input_Product=Elig!$C1115,Elig_MatchAll_Ct&lt;22,$BC1115=(Elig_MatchAll_Ct-1),AY1115=0),Z1115,0)</f>
        <v>0</v>
      </c>
      <c r="CF1115" s="994">
        <f>IF(AND(Input_LTV&lt;=AE1115,Input_Product=Elig!$C1115,Elig_MatchAll_Ct&lt;22,$BC1115=(Elig_MatchAll_Ct-1),AY1115=0),AA1115,0)</f>
        <v>0</v>
      </c>
      <c r="CG1115" s="993">
        <f>IF(AND(Input_Product=Elig!$C1115,Elig_MatchAll_Ct&lt;22,$BC1115=(Elig_MatchAll_Ct-1),AZ1115=0),AB1115,0)</f>
        <v>0</v>
      </c>
      <c r="CH1115" s="994">
        <f>IF(AND(Input_Product=Elig!$C1115,Elig_MatchAll_Ct&lt;22,$BC1115=(Elig_MatchAll_Ct-1),AZ1115=0),AC1115,0)</f>
        <v>0</v>
      </c>
      <c r="CI1115" s="993">
        <f>IF(AND(Input_Product=Elig!$C1115,Elig_MatchAll_Ct&lt;22,$BC1115=(Elig_MatchAll_Ct-1),BA1115=0),AD1115,0)</f>
        <v>0</v>
      </c>
      <c r="CJ1115" s="994">
        <f>IF(AND(Input_Product=Elig!$C1115,Elig_MatchAll_Ct&lt;22,$BC1115=(Elig_MatchAll_Ct-1),BA1115=0),AE1115,0)</f>
        <v>0</v>
      </c>
    </row>
    <row r="1116" spans="2:88" ht="10.15" customHeight="1" x14ac:dyDescent="0.25">
      <c r="B1116" s="1918" t="s">
        <v>2416</v>
      </c>
      <c r="C1116" s="1223" t="str">
        <f t="shared" si="417"/>
        <v xml:space="preserve"> </v>
      </c>
      <c r="D1116" s="1224" t="s">
        <v>2218</v>
      </c>
      <c r="E1116" s="1224" t="s">
        <v>167</v>
      </c>
      <c r="F1116" s="1224" t="s">
        <v>330</v>
      </c>
      <c r="G1116" s="1225" t="s">
        <v>175</v>
      </c>
      <c r="H1116" s="1225" t="s">
        <v>446</v>
      </c>
      <c r="I1116" s="1224" t="s">
        <v>274</v>
      </c>
      <c r="J1116" s="1224" t="s">
        <v>1311</v>
      </c>
      <c r="K1116" s="1225" t="s">
        <v>3022</v>
      </c>
      <c r="L1116" s="1224" t="s">
        <v>2768</v>
      </c>
      <c r="M1116" s="1224" t="s">
        <v>2677</v>
      </c>
      <c r="N1116" s="1225" t="s">
        <v>2685</v>
      </c>
      <c r="O1116" s="1224" t="s">
        <v>310</v>
      </c>
      <c r="P1116" s="1224" t="s">
        <v>291</v>
      </c>
      <c r="Q1116" s="1224" t="s">
        <v>294</v>
      </c>
      <c r="R1116" s="1224">
        <v>1000000.01</v>
      </c>
      <c r="S1116" s="1224">
        <v>1500000</v>
      </c>
      <c r="T1116" s="1224">
        <v>0</v>
      </c>
      <c r="U1116" s="1224">
        <v>0</v>
      </c>
      <c r="V1116" s="1224">
        <v>0</v>
      </c>
      <c r="W1116" s="1224">
        <v>50</v>
      </c>
      <c r="X1116" s="1224">
        <v>0</v>
      </c>
      <c r="Y1116" s="1224">
        <v>999</v>
      </c>
      <c r="Z1116" s="1226">
        <v>680</v>
      </c>
      <c r="AA1116" s="1226">
        <v>699</v>
      </c>
      <c r="AB1116" s="1226">
        <v>6</v>
      </c>
      <c r="AC1116" s="1226">
        <v>999999</v>
      </c>
      <c r="AD1116" s="1224">
        <v>0</v>
      </c>
      <c r="AE1116" s="1227">
        <v>75</v>
      </c>
      <c r="AF1116" s="170">
        <v>0</v>
      </c>
      <c r="AG1116" s="171">
        <v>1</v>
      </c>
      <c r="AH1116" s="171">
        <v>1</v>
      </c>
      <c r="AI1116" s="171">
        <v>0</v>
      </c>
      <c r="AJ1116" s="171">
        <v>0</v>
      </c>
      <c r="AK1116" s="171">
        <v>0</v>
      </c>
      <c r="AL1116" s="171">
        <v>0</v>
      </c>
      <c r="AM1116" s="171">
        <v>1</v>
      </c>
      <c r="AN1116" s="171">
        <v>1</v>
      </c>
      <c r="AO1116" s="171">
        <v>1</v>
      </c>
      <c r="AP1116" s="171">
        <v>1</v>
      </c>
      <c r="AQ1116" s="171">
        <v>1</v>
      </c>
      <c r="AR1116" s="171">
        <v>1</v>
      </c>
      <c r="AS1116" s="171">
        <v>1</v>
      </c>
      <c r="AT1116" s="171">
        <v>1</v>
      </c>
      <c r="AU1116" s="171">
        <f t="shared" si="419"/>
        <v>0</v>
      </c>
      <c r="AV1116" s="171">
        <f t="shared" si="420"/>
        <v>0</v>
      </c>
      <c r="AW1116" s="171">
        <f t="shared" si="421"/>
        <v>1</v>
      </c>
      <c r="AX1116" s="171">
        <f t="shared" si="414"/>
        <v>1</v>
      </c>
      <c r="AY1116" s="171">
        <f t="shared" si="422"/>
        <v>0</v>
      </c>
      <c r="AZ1116" s="171">
        <f t="shared" si="423"/>
        <v>1</v>
      </c>
      <c r="BA1116" s="172">
        <f t="shared" si="424"/>
        <v>1</v>
      </c>
      <c r="BB1116" s="175">
        <f t="shared" si="425"/>
        <v>14</v>
      </c>
      <c r="BC1116" s="176">
        <f t="shared" si="426"/>
        <v>13</v>
      </c>
      <c r="BD1116" s="176">
        <f t="shared" si="427"/>
        <v>14</v>
      </c>
      <c r="BE1116" s="240" t="str">
        <f t="shared" si="418"/>
        <v/>
      </c>
      <c r="BF1116" s="990"/>
      <c r="BG1116" s="990"/>
      <c r="BH1116" s="991">
        <f>IF(AND(Input_Product=Elig!$C1116,Elig_MatchAll_Ct&lt;22,$BC1116=(Elig_MatchAll_Ct-1),AF1116=0),C1116,0)</f>
        <v>0</v>
      </c>
      <c r="BI1116" s="991">
        <f>IF(AND(Input_Product=Elig!$C1116,Elig_MatchAll_Ct&lt;22,$BC1116=(Elig_MatchAll_Ct-1),AG1116=0),D1116,0)</f>
        <v>0</v>
      </c>
      <c r="BJ1116" s="991">
        <f>IF(AND(Input_Product=Elig!$C1116,Elig_MatchAll_Ct&lt;22,$BC1116=(Elig_MatchAll_Ct-1),AH1116=0),E1116,0)</f>
        <v>0</v>
      </c>
      <c r="BK1116" s="991">
        <f>IF(AND(Input_Product=Elig!$C1116,Elig_MatchAll_Ct&lt;22,$BC1116=(Elig_MatchAll_Ct-1),AI1116=0),F1116,0)</f>
        <v>0</v>
      </c>
      <c r="BL1116" s="991">
        <f>IF(AND(Input_Product=Elig!$C1116,Elig_MatchAll_Ct&lt;22,$BC1116=(Elig_MatchAll_Ct-1),AJ1116=0),G1116,0)</f>
        <v>0</v>
      </c>
      <c r="BM1116" s="991">
        <f>IF(AND(Input_Product=Elig!$C1116,Elig_MatchAll_Ct&lt;22,$BC1116=(Elig_MatchAll_Ct-1),AK1116=0),H1116,0)</f>
        <v>0</v>
      </c>
      <c r="BN1116" s="991">
        <f>IF(AND(Input_Product=Elig!$C1116,Elig_MatchAll_Ct&lt;22,$BC1116=(Elig_MatchAll_Ct-1),AL1116=0),I1116,0)</f>
        <v>0</v>
      </c>
      <c r="BO1116" s="991">
        <f>IF(AND(Input_Product=Elig!$C1116,Elig_MatchAll_Ct&lt;22,$BC1116=(Elig_MatchAll_Ct-1),AM1116=0),J1116,0)</f>
        <v>0</v>
      </c>
      <c r="BP1116" s="991">
        <f>IF(AND(Input_Product=Elig!$C1116,Elig_MatchAll_Ct&lt;22,$BC1116=(Elig_MatchAll_Ct-1),AN1116=0),K1116,0)</f>
        <v>0</v>
      </c>
      <c r="BQ1116" s="991">
        <f>IF(AND(Input_Product=Elig!$C1116,Elig_MatchAll_Ct&lt;22,$BC1116=(Elig_MatchAll_Ct-1),AP1116=0),L1116,0)</f>
        <v>0</v>
      </c>
      <c r="BR1116" s="991">
        <f>IF(AND(Input_Product=Elig!$C1116,Elig_MatchAll_Ct&lt;22,$BC1116=(Elig_MatchAll_Ct-1),AO1116=0),M1116,0)</f>
        <v>0</v>
      </c>
      <c r="BS1116" s="991">
        <f>IF(AND(Input_Product=Elig!$C1116,Elig_MatchAll_Ct&lt;22,$BC1116=(Elig_MatchAll_Ct-1),AQ1116=0),N1116,0)</f>
        <v>0</v>
      </c>
      <c r="BT1116" s="991">
        <f>IF(AND(Input_Product=Elig!$C1116,Elig_MatchAll_Ct&lt;22,$BC1116=(Elig_MatchAll_Ct-1),AR1116=0),O1116,0)</f>
        <v>0</v>
      </c>
      <c r="BU1116" s="991">
        <f>IF(AND(Input_Product=Elig!$C1116,Elig_MatchAll_Ct&lt;22,$BC1116=(Elig_MatchAll_Ct-1),AS1116=0),P1116,0)</f>
        <v>0</v>
      </c>
      <c r="BV1116" s="992">
        <f>IF(AND(Input_Product=Elig!$C1116,Elig_MatchAll_Ct&lt;22,$BC1116=(Elig_MatchAll_Ct-1),AT1116=0),Q1116,0)</f>
        <v>0</v>
      </c>
      <c r="BW1116" s="993">
        <f>IF(AND(Input_Product=Elig!$C1116,Elig_MatchAll_Ct&lt;22,$BC1116=(Elig_MatchAll_Ct-1),AU1116=0),R1116,0)</f>
        <v>0</v>
      </c>
      <c r="BX1116" s="994">
        <f>IF(AND(Input_Product=Elig!$C1116,Elig_MatchAll_Ct&lt;22,$BC1116=(Elig_MatchAll_Ct-1),AU1116=0),S1116,0)</f>
        <v>0</v>
      </c>
      <c r="BY1116" s="993">
        <f>IF(AND(Input_Product=Elig!$C1116,Elig_MatchAll_Ct&lt;22,$BC1116=(Elig_MatchAll_Ct-1),AV1116=0),T1116,0)</f>
        <v>0</v>
      </c>
      <c r="BZ1116" s="994">
        <f>IF(AND(Input_Product=Elig!$C1116,Elig_MatchAll_Ct&lt;22,$BC1116=(Elig_MatchAll_Ct-1),AV1116=0),U1116,0)</f>
        <v>0</v>
      </c>
      <c r="CA1116" s="993">
        <f>IF(AND(Input_Product=Elig!$C1116,Elig_MatchAll_Ct&lt;22,$BC1116=(Elig_MatchAll_Ct-1),AW1116=0),V1116,0)</f>
        <v>0</v>
      </c>
      <c r="CB1116" s="994">
        <f>IF(AND(Input_Product=Elig!$C1116,Elig_MatchAll_Ct&lt;22,$BC1116=(Elig_MatchAll_Ct-1),AW1116=0),W1116,0)</f>
        <v>0</v>
      </c>
      <c r="CC1116" s="993">
        <f>IF(AND(Input_Product=Elig!$C1116,Elig_MatchAll_Ct&lt;22,$BC1116=(Elig_MatchAll_Ct-1),AX1116=0),X1116,0)</f>
        <v>0</v>
      </c>
      <c r="CD1116" s="994">
        <f>IF(AND(Input_Product=Elig!$C1116,Elig_MatchAll_Ct&lt;22,$BC1116=(Elig_MatchAll_Ct-1),AX1116=0),Y1116,0)</f>
        <v>0</v>
      </c>
      <c r="CE1116" s="993">
        <f>IF(AND(Input_LTV&lt;=AE1116,Input_Product=Elig!$C1116,Elig_MatchAll_Ct&lt;22,$BC1116=(Elig_MatchAll_Ct-1),AY1116=0),Z1116,0)</f>
        <v>0</v>
      </c>
      <c r="CF1116" s="994">
        <f>IF(AND(Input_LTV&lt;=AE1116,Input_Product=Elig!$C1116,Elig_MatchAll_Ct&lt;22,$BC1116=(Elig_MatchAll_Ct-1),AY1116=0),AA1116,0)</f>
        <v>0</v>
      </c>
      <c r="CG1116" s="993">
        <f>IF(AND(Input_Product=Elig!$C1116,Elig_MatchAll_Ct&lt;22,$BC1116=(Elig_MatchAll_Ct-1),AZ1116=0),AB1116,0)</f>
        <v>0</v>
      </c>
      <c r="CH1116" s="994">
        <f>IF(AND(Input_Product=Elig!$C1116,Elig_MatchAll_Ct&lt;22,$BC1116=(Elig_MatchAll_Ct-1),AZ1116=0),AC1116,0)</f>
        <v>0</v>
      </c>
      <c r="CI1116" s="993">
        <f>IF(AND(Input_Product=Elig!$C1116,Elig_MatchAll_Ct&lt;22,$BC1116=(Elig_MatchAll_Ct-1),BA1116=0),AD1116,0)</f>
        <v>0</v>
      </c>
      <c r="CJ1116" s="994">
        <f>IF(AND(Input_Product=Elig!$C1116,Elig_MatchAll_Ct&lt;22,$BC1116=(Elig_MatchAll_Ct-1),BA1116=0),AE1116,0)</f>
        <v>0</v>
      </c>
    </row>
    <row r="1117" spans="2:88" ht="10.15" customHeight="1" x14ac:dyDescent="0.25">
      <c r="B1117" s="1918" t="s">
        <v>2417</v>
      </c>
      <c r="C1117" s="1228" t="str">
        <f t="shared" si="417"/>
        <v xml:space="preserve"> </v>
      </c>
      <c r="D1117" s="1229" t="s">
        <v>2218</v>
      </c>
      <c r="E1117" s="1229" t="s">
        <v>167</v>
      </c>
      <c r="F1117" s="1229" t="s">
        <v>330</v>
      </c>
      <c r="G1117" s="1230" t="s">
        <v>175</v>
      </c>
      <c r="H1117" s="1230" t="s">
        <v>446</v>
      </c>
      <c r="I1117" s="1229" t="s">
        <v>274</v>
      </c>
      <c r="J1117" s="1229" t="s">
        <v>1311</v>
      </c>
      <c r="K1117" s="1230" t="s">
        <v>3022</v>
      </c>
      <c r="L1117" s="1229" t="s">
        <v>2768</v>
      </c>
      <c r="M1117" s="1229" t="s">
        <v>2677</v>
      </c>
      <c r="N1117" s="1230" t="s">
        <v>2685</v>
      </c>
      <c r="O1117" s="1229" t="s">
        <v>310</v>
      </c>
      <c r="P1117" s="1229" t="s">
        <v>291</v>
      </c>
      <c r="Q1117" s="1229" t="s">
        <v>294</v>
      </c>
      <c r="R1117" s="1229">
        <v>1000000.01</v>
      </c>
      <c r="S1117" s="1229">
        <v>1500000</v>
      </c>
      <c r="T1117" s="1229">
        <v>0</v>
      </c>
      <c r="U1117" s="1229">
        <v>0</v>
      </c>
      <c r="V1117" s="1229">
        <v>0</v>
      </c>
      <c r="W1117" s="1229">
        <v>50</v>
      </c>
      <c r="X1117" s="1229">
        <v>0</v>
      </c>
      <c r="Y1117" s="1229">
        <v>999</v>
      </c>
      <c r="Z1117" s="1231">
        <v>660</v>
      </c>
      <c r="AA1117" s="1231">
        <v>679</v>
      </c>
      <c r="AB1117" s="1231">
        <v>6</v>
      </c>
      <c r="AC1117" s="1231">
        <v>999999</v>
      </c>
      <c r="AD1117" s="1229">
        <v>0</v>
      </c>
      <c r="AE1117" s="1232">
        <v>70</v>
      </c>
      <c r="AF1117" s="170">
        <v>0</v>
      </c>
      <c r="AG1117" s="171">
        <v>1</v>
      </c>
      <c r="AH1117" s="171">
        <v>1</v>
      </c>
      <c r="AI1117" s="171">
        <v>0</v>
      </c>
      <c r="AJ1117" s="171">
        <v>0</v>
      </c>
      <c r="AK1117" s="171">
        <v>0</v>
      </c>
      <c r="AL1117" s="171">
        <v>0</v>
      </c>
      <c r="AM1117" s="171">
        <v>1</v>
      </c>
      <c r="AN1117" s="171">
        <v>1</v>
      </c>
      <c r="AO1117" s="171">
        <v>1</v>
      </c>
      <c r="AP1117" s="171">
        <v>1</v>
      </c>
      <c r="AQ1117" s="171">
        <v>1</v>
      </c>
      <c r="AR1117" s="171">
        <v>1</v>
      </c>
      <c r="AS1117" s="171">
        <v>1</v>
      </c>
      <c r="AT1117" s="171">
        <v>1</v>
      </c>
      <c r="AU1117" s="171">
        <f t="shared" si="419"/>
        <v>0</v>
      </c>
      <c r="AV1117" s="171">
        <f t="shared" si="420"/>
        <v>0</v>
      </c>
      <c r="AW1117" s="171">
        <f t="shared" si="421"/>
        <v>1</v>
      </c>
      <c r="AX1117" s="171">
        <f t="shared" si="414"/>
        <v>1</v>
      </c>
      <c r="AY1117" s="171">
        <f t="shared" si="422"/>
        <v>0</v>
      </c>
      <c r="AZ1117" s="171">
        <f t="shared" si="423"/>
        <v>1</v>
      </c>
      <c r="BA1117" s="172">
        <f t="shared" si="424"/>
        <v>1</v>
      </c>
      <c r="BB1117" s="175">
        <f t="shared" si="425"/>
        <v>14</v>
      </c>
      <c r="BC1117" s="176">
        <f t="shared" si="426"/>
        <v>13</v>
      </c>
      <c r="BD1117" s="176">
        <f t="shared" si="427"/>
        <v>14</v>
      </c>
      <c r="BE1117" s="240" t="str">
        <f t="shared" si="418"/>
        <v/>
      </c>
      <c r="BF1117" s="990"/>
      <c r="BG1117" s="990"/>
      <c r="BH1117" s="991">
        <f>IF(AND(Input_Product=Elig!$C1117,Elig_MatchAll_Ct&lt;22,$BC1117=(Elig_MatchAll_Ct-1),AF1117=0),C1117,0)</f>
        <v>0</v>
      </c>
      <c r="BI1117" s="991">
        <f>IF(AND(Input_Product=Elig!$C1117,Elig_MatchAll_Ct&lt;22,$BC1117=(Elig_MatchAll_Ct-1),AG1117=0),D1117,0)</f>
        <v>0</v>
      </c>
      <c r="BJ1117" s="991">
        <f>IF(AND(Input_Product=Elig!$C1117,Elig_MatchAll_Ct&lt;22,$BC1117=(Elig_MatchAll_Ct-1),AH1117=0),E1117,0)</f>
        <v>0</v>
      </c>
      <c r="BK1117" s="991">
        <f>IF(AND(Input_Product=Elig!$C1117,Elig_MatchAll_Ct&lt;22,$BC1117=(Elig_MatchAll_Ct-1),AI1117=0),F1117,0)</f>
        <v>0</v>
      </c>
      <c r="BL1117" s="991">
        <f>IF(AND(Input_Product=Elig!$C1117,Elig_MatchAll_Ct&lt;22,$BC1117=(Elig_MatchAll_Ct-1),AJ1117=0),G1117,0)</f>
        <v>0</v>
      </c>
      <c r="BM1117" s="991">
        <f>IF(AND(Input_Product=Elig!$C1117,Elig_MatchAll_Ct&lt;22,$BC1117=(Elig_MatchAll_Ct-1),AK1117=0),H1117,0)</f>
        <v>0</v>
      </c>
      <c r="BN1117" s="991">
        <f>IF(AND(Input_Product=Elig!$C1117,Elig_MatchAll_Ct&lt;22,$BC1117=(Elig_MatchAll_Ct-1),AL1117=0),I1117,0)</f>
        <v>0</v>
      </c>
      <c r="BO1117" s="991">
        <f>IF(AND(Input_Product=Elig!$C1117,Elig_MatchAll_Ct&lt;22,$BC1117=(Elig_MatchAll_Ct-1),AM1117=0),J1117,0)</f>
        <v>0</v>
      </c>
      <c r="BP1117" s="991">
        <f>IF(AND(Input_Product=Elig!$C1117,Elig_MatchAll_Ct&lt;22,$BC1117=(Elig_MatchAll_Ct-1),AN1117=0),K1117,0)</f>
        <v>0</v>
      </c>
      <c r="BQ1117" s="991">
        <f>IF(AND(Input_Product=Elig!$C1117,Elig_MatchAll_Ct&lt;22,$BC1117=(Elig_MatchAll_Ct-1),AP1117=0),L1117,0)</f>
        <v>0</v>
      </c>
      <c r="BR1117" s="991">
        <f>IF(AND(Input_Product=Elig!$C1117,Elig_MatchAll_Ct&lt;22,$BC1117=(Elig_MatchAll_Ct-1),AO1117=0),M1117,0)</f>
        <v>0</v>
      </c>
      <c r="BS1117" s="991">
        <f>IF(AND(Input_Product=Elig!$C1117,Elig_MatchAll_Ct&lt;22,$BC1117=(Elig_MatchAll_Ct-1),AQ1117=0),N1117,0)</f>
        <v>0</v>
      </c>
      <c r="BT1117" s="991">
        <f>IF(AND(Input_Product=Elig!$C1117,Elig_MatchAll_Ct&lt;22,$BC1117=(Elig_MatchAll_Ct-1),AR1117=0),O1117,0)</f>
        <v>0</v>
      </c>
      <c r="BU1117" s="991">
        <f>IF(AND(Input_Product=Elig!$C1117,Elig_MatchAll_Ct&lt;22,$BC1117=(Elig_MatchAll_Ct-1),AS1117=0),P1117,0)</f>
        <v>0</v>
      </c>
      <c r="BV1117" s="992">
        <f>IF(AND(Input_Product=Elig!$C1117,Elig_MatchAll_Ct&lt;22,$BC1117=(Elig_MatchAll_Ct-1),AT1117=0),Q1117,0)</f>
        <v>0</v>
      </c>
      <c r="BW1117" s="993">
        <f>IF(AND(Input_Product=Elig!$C1117,Elig_MatchAll_Ct&lt;22,$BC1117=(Elig_MatchAll_Ct-1),AU1117=0),R1117,0)</f>
        <v>0</v>
      </c>
      <c r="BX1117" s="994">
        <f>IF(AND(Input_Product=Elig!$C1117,Elig_MatchAll_Ct&lt;22,$BC1117=(Elig_MatchAll_Ct-1),AU1117=0),S1117,0)</f>
        <v>0</v>
      </c>
      <c r="BY1117" s="993">
        <f>IF(AND(Input_Product=Elig!$C1117,Elig_MatchAll_Ct&lt;22,$BC1117=(Elig_MatchAll_Ct-1),AV1117=0),T1117,0)</f>
        <v>0</v>
      </c>
      <c r="BZ1117" s="994">
        <f>IF(AND(Input_Product=Elig!$C1117,Elig_MatchAll_Ct&lt;22,$BC1117=(Elig_MatchAll_Ct-1),AV1117=0),U1117,0)</f>
        <v>0</v>
      </c>
      <c r="CA1117" s="993">
        <f>IF(AND(Input_Product=Elig!$C1117,Elig_MatchAll_Ct&lt;22,$BC1117=(Elig_MatchAll_Ct-1),AW1117=0),V1117,0)</f>
        <v>0</v>
      </c>
      <c r="CB1117" s="994">
        <f>IF(AND(Input_Product=Elig!$C1117,Elig_MatchAll_Ct&lt;22,$BC1117=(Elig_MatchAll_Ct-1),AW1117=0),W1117,0)</f>
        <v>0</v>
      </c>
      <c r="CC1117" s="993">
        <f>IF(AND(Input_Product=Elig!$C1117,Elig_MatchAll_Ct&lt;22,$BC1117=(Elig_MatchAll_Ct-1),AX1117=0),X1117,0)</f>
        <v>0</v>
      </c>
      <c r="CD1117" s="994">
        <f>IF(AND(Input_Product=Elig!$C1117,Elig_MatchAll_Ct&lt;22,$BC1117=(Elig_MatchAll_Ct-1),AX1117=0),Y1117,0)</f>
        <v>0</v>
      </c>
      <c r="CE1117" s="993">
        <f>IF(AND(Input_LTV&lt;=AE1117,Input_Product=Elig!$C1117,Elig_MatchAll_Ct&lt;22,$BC1117=(Elig_MatchAll_Ct-1),AY1117=0),Z1117,0)</f>
        <v>0</v>
      </c>
      <c r="CF1117" s="994">
        <f>IF(AND(Input_LTV&lt;=AE1117,Input_Product=Elig!$C1117,Elig_MatchAll_Ct&lt;22,$BC1117=(Elig_MatchAll_Ct-1),AY1117=0),AA1117,0)</f>
        <v>0</v>
      </c>
      <c r="CG1117" s="993">
        <f>IF(AND(Input_Product=Elig!$C1117,Elig_MatchAll_Ct&lt;22,$BC1117=(Elig_MatchAll_Ct-1),AZ1117=0),AB1117,0)</f>
        <v>0</v>
      </c>
      <c r="CH1117" s="994">
        <f>IF(AND(Input_Product=Elig!$C1117,Elig_MatchAll_Ct&lt;22,$BC1117=(Elig_MatchAll_Ct-1),AZ1117=0),AC1117,0)</f>
        <v>0</v>
      </c>
      <c r="CI1117" s="993">
        <f>IF(AND(Input_Product=Elig!$C1117,Elig_MatchAll_Ct&lt;22,$BC1117=(Elig_MatchAll_Ct-1),BA1117=0),AD1117,0)</f>
        <v>0</v>
      </c>
      <c r="CJ1117" s="994">
        <f>IF(AND(Input_Product=Elig!$C1117,Elig_MatchAll_Ct&lt;22,$BC1117=(Elig_MatchAll_Ct-1),BA1117=0),AE1117,0)</f>
        <v>0</v>
      </c>
    </row>
    <row r="1118" spans="2:88" ht="10.15" customHeight="1" x14ac:dyDescent="0.25">
      <c r="B1118" s="1918" t="s">
        <v>2418</v>
      </c>
      <c r="C1118" s="1218" t="str">
        <f t="shared" si="417"/>
        <v xml:space="preserve"> </v>
      </c>
      <c r="D1118" s="1219" t="s">
        <v>2218</v>
      </c>
      <c r="E1118" s="1219" t="s">
        <v>167</v>
      </c>
      <c r="F1118" s="1219" t="s">
        <v>330</v>
      </c>
      <c r="G1118" s="1220" t="s">
        <v>175</v>
      </c>
      <c r="H1118" s="1220" t="s">
        <v>446</v>
      </c>
      <c r="I1118" s="1219" t="s">
        <v>274</v>
      </c>
      <c r="J1118" s="1219" t="s">
        <v>1311</v>
      </c>
      <c r="K1118" s="1220" t="s">
        <v>3022</v>
      </c>
      <c r="L1118" s="1219" t="s">
        <v>2768</v>
      </c>
      <c r="M1118" s="1219" t="s">
        <v>2677</v>
      </c>
      <c r="N1118" s="1220" t="s">
        <v>2685</v>
      </c>
      <c r="O1118" s="1219" t="s">
        <v>310</v>
      </c>
      <c r="P1118" s="1219" t="s">
        <v>291</v>
      </c>
      <c r="Q1118" s="1219" t="s">
        <v>294</v>
      </c>
      <c r="R1118" s="1219">
        <v>1500000.01</v>
      </c>
      <c r="S1118" s="1219">
        <v>2000000</v>
      </c>
      <c r="T1118" s="1219">
        <v>0</v>
      </c>
      <c r="U1118" s="1219">
        <v>0</v>
      </c>
      <c r="V1118" s="1219">
        <v>0</v>
      </c>
      <c r="W1118" s="1219">
        <v>50</v>
      </c>
      <c r="X1118" s="1219">
        <v>0</v>
      </c>
      <c r="Y1118" s="1219">
        <v>999</v>
      </c>
      <c r="Z1118" s="1221">
        <v>720</v>
      </c>
      <c r="AA1118" s="1221">
        <v>999</v>
      </c>
      <c r="AB1118" s="1221">
        <v>6</v>
      </c>
      <c r="AC1118" s="1221">
        <v>999999</v>
      </c>
      <c r="AD1118" s="1219">
        <v>0</v>
      </c>
      <c r="AE1118" s="1222">
        <v>80</v>
      </c>
      <c r="AF1118" s="170">
        <v>0</v>
      </c>
      <c r="AG1118" s="171">
        <v>1</v>
      </c>
      <c r="AH1118" s="171">
        <v>1</v>
      </c>
      <c r="AI1118" s="171">
        <v>0</v>
      </c>
      <c r="AJ1118" s="171">
        <v>0</v>
      </c>
      <c r="AK1118" s="171">
        <v>0</v>
      </c>
      <c r="AL1118" s="171">
        <v>0</v>
      </c>
      <c r="AM1118" s="171">
        <v>1</v>
      </c>
      <c r="AN1118" s="171">
        <v>1</v>
      </c>
      <c r="AO1118" s="171">
        <v>1</v>
      </c>
      <c r="AP1118" s="171">
        <v>1</v>
      </c>
      <c r="AQ1118" s="171">
        <v>1</v>
      </c>
      <c r="AR1118" s="171">
        <v>1</v>
      </c>
      <c r="AS1118" s="171">
        <v>1</v>
      </c>
      <c r="AT1118" s="171">
        <v>1</v>
      </c>
      <c r="AU1118" s="171">
        <f t="shared" si="419"/>
        <v>0</v>
      </c>
      <c r="AV1118" s="171">
        <f t="shared" si="420"/>
        <v>0</v>
      </c>
      <c r="AW1118" s="171">
        <f t="shared" si="421"/>
        <v>1</v>
      </c>
      <c r="AX1118" s="171">
        <f t="shared" si="414"/>
        <v>1</v>
      </c>
      <c r="AY1118" s="171">
        <f t="shared" si="422"/>
        <v>1</v>
      </c>
      <c r="AZ1118" s="171">
        <f t="shared" si="423"/>
        <v>1</v>
      </c>
      <c r="BA1118" s="172">
        <f t="shared" si="424"/>
        <v>1</v>
      </c>
      <c r="BB1118" s="175">
        <f t="shared" si="425"/>
        <v>15</v>
      </c>
      <c r="BC1118" s="176">
        <f t="shared" si="426"/>
        <v>14</v>
      </c>
      <c r="BD1118" s="176">
        <f t="shared" si="427"/>
        <v>15</v>
      </c>
      <c r="BE1118" s="240" t="str">
        <f t="shared" si="418"/>
        <v/>
      </c>
      <c r="BF1118" s="990"/>
      <c r="BG1118" s="990"/>
      <c r="BH1118" s="991">
        <f>IF(AND(Input_Product=Elig!$C1118,Elig_MatchAll_Ct&lt;22,$BC1118=(Elig_MatchAll_Ct-1),AF1118=0),C1118,0)</f>
        <v>0</v>
      </c>
      <c r="BI1118" s="991">
        <f>IF(AND(Input_Product=Elig!$C1118,Elig_MatchAll_Ct&lt;22,$BC1118=(Elig_MatchAll_Ct-1),AG1118=0),D1118,0)</f>
        <v>0</v>
      </c>
      <c r="BJ1118" s="991">
        <f>IF(AND(Input_Product=Elig!$C1118,Elig_MatchAll_Ct&lt;22,$BC1118=(Elig_MatchAll_Ct-1),AH1118=0),E1118,0)</f>
        <v>0</v>
      </c>
      <c r="BK1118" s="991">
        <f>IF(AND(Input_Product=Elig!$C1118,Elig_MatchAll_Ct&lt;22,$BC1118=(Elig_MatchAll_Ct-1),AI1118=0),F1118,0)</f>
        <v>0</v>
      </c>
      <c r="BL1118" s="991">
        <f>IF(AND(Input_Product=Elig!$C1118,Elig_MatchAll_Ct&lt;22,$BC1118=(Elig_MatchAll_Ct-1),AJ1118=0),G1118,0)</f>
        <v>0</v>
      </c>
      <c r="BM1118" s="991">
        <f>IF(AND(Input_Product=Elig!$C1118,Elig_MatchAll_Ct&lt;22,$BC1118=(Elig_MatchAll_Ct-1),AK1118=0),H1118,0)</f>
        <v>0</v>
      </c>
      <c r="BN1118" s="991">
        <f>IF(AND(Input_Product=Elig!$C1118,Elig_MatchAll_Ct&lt;22,$BC1118=(Elig_MatchAll_Ct-1),AL1118=0),I1118,0)</f>
        <v>0</v>
      </c>
      <c r="BO1118" s="991">
        <f>IF(AND(Input_Product=Elig!$C1118,Elig_MatchAll_Ct&lt;22,$BC1118=(Elig_MatchAll_Ct-1),AM1118=0),J1118,0)</f>
        <v>0</v>
      </c>
      <c r="BP1118" s="991">
        <f>IF(AND(Input_Product=Elig!$C1118,Elig_MatchAll_Ct&lt;22,$BC1118=(Elig_MatchAll_Ct-1),AN1118=0),K1118,0)</f>
        <v>0</v>
      </c>
      <c r="BQ1118" s="991">
        <f>IF(AND(Input_Product=Elig!$C1118,Elig_MatchAll_Ct&lt;22,$BC1118=(Elig_MatchAll_Ct-1),AP1118=0),L1118,0)</f>
        <v>0</v>
      </c>
      <c r="BR1118" s="991">
        <f>IF(AND(Input_Product=Elig!$C1118,Elig_MatchAll_Ct&lt;22,$BC1118=(Elig_MatchAll_Ct-1),AO1118=0),M1118,0)</f>
        <v>0</v>
      </c>
      <c r="BS1118" s="991">
        <f>IF(AND(Input_Product=Elig!$C1118,Elig_MatchAll_Ct&lt;22,$BC1118=(Elig_MatchAll_Ct-1),AQ1118=0),N1118,0)</f>
        <v>0</v>
      </c>
      <c r="BT1118" s="991">
        <f>IF(AND(Input_Product=Elig!$C1118,Elig_MatchAll_Ct&lt;22,$BC1118=(Elig_MatchAll_Ct-1),AR1118=0),O1118,0)</f>
        <v>0</v>
      </c>
      <c r="BU1118" s="991">
        <f>IF(AND(Input_Product=Elig!$C1118,Elig_MatchAll_Ct&lt;22,$BC1118=(Elig_MatchAll_Ct-1),AS1118=0),P1118,0)</f>
        <v>0</v>
      </c>
      <c r="BV1118" s="992">
        <f>IF(AND(Input_Product=Elig!$C1118,Elig_MatchAll_Ct&lt;22,$BC1118=(Elig_MatchAll_Ct-1),AT1118=0),Q1118,0)</f>
        <v>0</v>
      </c>
      <c r="BW1118" s="993">
        <f>IF(AND(Input_Product=Elig!$C1118,Elig_MatchAll_Ct&lt;22,$BC1118=(Elig_MatchAll_Ct-1),AU1118=0),R1118,0)</f>
        <v>0</v>
      </c>
      <c r="BX1118" s="994">
        <f>IF(AND(Input_Product=Elig!$C1118,Elig_MatchAll_Ct&lt;22,$BC1118=(Elig_MatchAll_Ct-1),AU1118=0),S1118,0)</f>
        <v>0</v>
      </c>
      <c r="BY1118" s="993">
        <f>IF(AND(Input_Product=Elig!$C1118,Elig_MatchAll_Ct&lt;22,$BC1118=(Elig_MatchAll_Ct-1),AV1118=0),T1118,0)</f>
        <v>0</v>
      </c>
      <c r="BZ1118" s="994">
        <f>IF(AND(Input_Product=Elig!$C1118,Elig_MatchAll_Ct&lt;22,$BC1118=(Elig_MatchAll_Ct-1),AV1118=0),U1118,0)</f>
        <v>0</v>
      </c>
      <c r="CA1118" s="993">
        <f>IF(AND(Input_Product=Elig!$C1118,Elig_MatchAll_Ct&lt;22,$BC1118=(Elig_MatchAll_Ct-1),AW1118=0),V1118,0)</f>
        <v>0</v>
      </c>
      <c r="CB1118" s="994">
        <f>IF(AND(Input_Product=Elig!$C1118,Elig_MatchAll_Ct&lt;22,$BC1118=(Elig_MatchAll_Ct-1),AW1118=0),W1118,0)</f>
        <v>0</v>
      </c>
      <c r="CC1118" s="993">
        <f>IF(AND(Input_Product=Elig!$C1118,Elig_MatchAll_Ct&lt;22,$BC1118=(Elig_MatchAll_Ct-1),AX1118=0),X1118,0)</f>
        <v>0</v>
      </c>
      <c r="CD1118" s="994">
        <f>IF(AND(Input_Product=Elig!$C1118,Elig_MatchAll_Ct&lt;22,$BC1118=(Elig_MatchAll_Ct-1),AX1118=0),Y1118,0)</f>
        <v>0</v>
      </c>
      <c r="CE1118" s="993">
        <f>IF(AND(Input_LTV&lt;=AE1118,Input_Product=Elig!$C1118,Elig_MatchAll_Ct&lt;22,$BC1118=(Elig_MatchAll_Ct-1),AY1118=0),Z1118,0)</f>
        <v>0</v>
      </c>
      <c r="CF1118" s="994">
        <f>IF(AND(Input_LTV&lt;=AE1118,Input_Product=Elig!$C1118,Elig_MatchAll_Ct&lt;22,$BC1118=(Elig_MatchAll_Ct-1),AY1118=0),AA1118,0)</f>
        <v>0</v>
      </c>
      <c r="CG1118" s="993">
        <f>IF(AND(Input_Product=Elig!$C1118,Elig_MatchAll_Ct&lt;22,$BC1118=(Elig_MatchAll_Ct-1),AZ1118=0),AB1118,0)</f>
        <v>0</v>
      </c>
      <c r="CH1118" s="994">
        <f>IF(AND(Input_Product=Elig!$C1118,Elig_MatchAll_Ct&lt;22,$BC1118=(Elig_MatchAll_Ct-1),AZ1118=0),AC1118,0)</f>
        <v>0</v>
      </c>
      <c r="CI1118" s="993">
        <f>IF(AND(Input_Product=Elig!$C1118,Elig_MatchAll_Ct&lt;22,$BC1118=(Elig_MatchAll_Ct-1),BA1118=0),AD1118,0)</f>
        <v>0</v>
      </c>
      <c r="CJ1118" s="994">
        <f>IF(AND(Input_Product=Elig!$C1118,Elig_MatchAll_Ct&lt;22,$BC1118=(Elig_MatchAll_Ct-1),BA1118=0),AE1118,0)</f>
        <v>0</v>
      </c>
    </row>
    <row r="1119" spans="2:88" ht="10.15" customHeight="1" x14ac:dyDescent="0.25">
      <c r="B1119" s="1918" t="s">
        <v>2419</v>
      </c>
      <c r="C1119" s="1223" t="str">
        <f t="shared" si="417"/>
        <v xml:space="preserve"> </v>
      </c>
      <c r="D1119" s="1224" t="s">
        <v>2218</v>
      </c>
      <c r="E1119" s="1224" t="s">
        <v>167</v>
      </c>
      <c r="F1119" s="1224" t="s">
        <v>330</v>
      </c>
      <c r="G1119" s="1225" t="s">
        <v>175</v>
      </c>
      <c r="H1119" s="1225" t="s">
        <v>446</v>
      </c>
      <c r="I1119" s="1224" t="s">
        <v>274</v>
      </c>
      <c r="J1119" s="1224" t="s">
        <v>1311</v>
      </c>
      <c r="K1119" s="1225" t="s">
        <v>3022</v>
      </c>
      <c r="L1119" s="1224" t="s">
        <v>2768</v>
      </c>
      <c r="M1119" s="1224" t="s">
        <v>2677</v>
      </c>
      <c r="N1119" s="1225" t="s">
        <v>2685</v>
      </c>
      <c r="O1119" s="1224" t="s">
        <v>310</v>
      </c>
      <c r="P1119" s="1224" t="s">
        <v>291</v>
      </c>
      <c r="Q1119" s="1224" t="s">
        <v>294</v>
      </c>
      <c r="R1119" s="1224">
        <v>1500000.01</v>
      </c>
      <c r="S1119" s="1224">
        <v>2000000</v>
      </c>
      <c r="T1119" s="1224">
        <v>0</v>
      </c>
      <c r="U1119" s="1224">
        <v>0</v>
      </c>
      <c r="V1119" s="1224">
        <v>0</v>
      </c>
      <c r="W1119" s="1224">
        <v>50</v>
      </c>
      <c r="X1119" s="1224">
        <v>0</v>
      </c>
      <c r="Y1119" s="1224">
        <v>999</v>
      </c>
      <c r="Z1119" s="1226">
        <v>700</v>
      </c>
      <c r="AA1119" s="1226">
        <v>719</v>
      </c>
      <c r="AB1119" s="1226">
        <v>6</v>
      </c>
      <c r="AC1119" s="1226">
        <v>999999</v>
      </c>
      <c r="AD1119" s="1224">
        <v>0</v>
      </c>
      <c r="AE1119" s="1227">
        <v>80</v>
      </c>
      <c r="AF1119" s="170">
        <v>0</v>
      </c>
      <c r="AG1119" s="171">
        <v>1</v>
      </c>
      <c r="AH1119" s="171">
        <v>1</v>
      </c>
      <c r="AI1119" s="171">
        <v>0</v>
      </c>
      <c r="AJ1119" s="171">
        <v>0</v>
      </c>
      <c r="AK1119" s="171">
        <v>0</v>
      </c>
      <c r="AL1119" s="171">
        <v>0</v>
      </c>
      <c r="AM1119" s="171">
        <v>1</v>
      </c>
      <c r="AN1119" s="171">
        <v>1</v>
      </c>
      <c r="AO1119" s="171">
        <v>1</v>
      </c>
      <c r="AP1119" s="171">
        <v>1</v>
      </c>
      <c r="AQ1119" s="171">
        <v>1</v>
      </c>
      <c r="AR1119" s="171">
        <v>1</v>
      </c>
      <c r="AS1119" s="171">
        <v>1</v>
      </c>
      <c r="AT1119" s="171">
        <v>1</v>
      </c>
      <c r="AU1119" s="171">
        <f t="shared" si="419"/>
        <v>0</v>
      </c>
      <c r="AV1119" s="171">
        <f t="shared" si="420"/>
        <v>0</v>
      </c>
      <c r="AW1119" s="171">
        <f t="shared" si="421"/>
        <v>1</v>
      </c>
      <c r="AX1119" s="171">
        <f t="shared" si="414"/>
        <v>1</v>
      </c>
      <c r="AY1119" s="171">
        <f t="shared" si="422"/>
        <v>0</v>
      </c>
      <c r="AZ1119" s="171">
        <f t="shared" si="423"/>
        <v>1</v>
      </c>
      <c r="BA1119" s="172">
        <f t="shared" si="424"/>
        <v>1</v>
      </c>
      <c r="BB1119" s="175">
        <f t="shared" si="425"/>
        <v>14</v>
      </c>
      <c r="BC1119" s="176">
        <f t="shared" si="426"/>
        <v>13</v>
      </c>
      <c r="BD1119" s="176">
        <f t="shared" si="427"/>
        <v>14</v>
      </c>
      <c r="BE1119" s="240" t="str">
        <f t="shared" si="418"/>
        <v/>
      </c>
      <c r="BF1119" s="990"/>
      <c r="BG1119" s="990"/>
      <c r="BH1119" s="991">
        <f>IF(AND(Input_Product=Elig!$C1119,Elig_MatchAll_Ct&lt;22,$BC1119=(Elig_MatchAll_Ct-1),AF1119=0),C1119,0)</f>
        <v>0</v>
      </c>
      <c r="BI1119" s="991">
        <f>IF(AND(Input_Product=Elig!$C1119,Elig_MatchAll_Ct&lt;22,$BC1119=(Elig_MatchAll_Ct-1),AG1119=0),D1119,0)</f>
        <v>0</v>
      </c>
      <c r="BJ1119" s="991">
        <f>IF(AND(Input_Product=Elig!$C1119,Elig_MatchAll_Ct&lt;22,$BC1119=(Elig_MatchAll_Ct-1),AH1119=0),E1119,0)</f>
        <v>0</v>
      </c>
      <c r="BK1119" s="991">
        <f>IF(AND(Input_Product=Elig!$C1119,Elig_MatchAll_Ct&lt;22,$BC1119=(Elig_MatchAll_Ct-1),AI1119=0),F1119,0)</f>
        <v>0</v>
      </c>
      <c r="BL1119" s="991">
        <f>IF(AND(Input_Product=Elig!$C1119,Elig_MatchAll_Ct&lt;22,$BC1119=(Elig_MatchAll_Ct-1),AJ1119=0),G1119,0)</f>
        <v>0</v>
      </c>
      <c r="BM1119" s="991">
        <f>IF(AND(Input_Product=Elig!$C1119,Elig_MatchAll_Ct&lt;22,$BC1119=(Elig_MatchAll_Ct-1),AK1119=0),H1119,0)</f>
        <v>0</v>
      </c>
      <c r="BN1119" s="991">
        <f>IF(AND(Input_Product=Elig!$C1119,Elig_MatchAll_Ct&lt;22,$BC1119=(Elig_MatchAll_Ct-1),AL1119=0),I1119,0)</f>
        <v>0</v>
      </c>
      <c r="BO1119" s="991">
        <f>IF(AND(Input_Product=Elig!$C1119,Elig_MatchAll_Ct&lt;22,$BC1119=(Elig_MatchAll_Ct-1),AM1119=0),J1119,0)</f>
        <v>0</v>
      </c>
      <c r="BP1119" s="991">
        <f>IF(AND(Input_Product=Elig!$C1119,Elig_MatchAll_Ct&lt;22,$BC1119=(Elig_MatchAll_Ct-1),AN1119=0),K1119,0)</f>
        <v>0</v>
      </c>
      <c r="BQ1119" s="991">
        <f>IF(AND(Input_Product=Elig!$C1119,Elig_MatchAll_Ct&lt;22,$BC1119=(Elig_MatchAll_Ct-1),AP1119=0),L1119,0)</f>
        <v>0</v>
      </c>
      <c r="BR1119" s="991">
        <f>IF(AND(Input_Product=Elig!$C1119,Elig_MatchAll_Ct&lt;22,$BC1119=(Elig_MatchAll_Ct-1),AO1119=0),M1119,0)</f>
        <v>0</v>
      </c>
      <c r="BS1119" s="991">
        <f>IF(AND(Input_Product=Elig!$C1119,Elig_MatchAll_Ct&lt;22,$BC1119=(Elig_MatchAll_Ct-1),AQ1119=0),N1119,0)</f>
        <v>0</v>
      </c>
      <c r="BT1119" s="991">
        <f>IF(AND(Input_Product=Elig!$C1119,Elig_MatchAll_Ct&lt;22,$BC1119=(Elig_MatchAll_Ct-1),AR1119=0),O1119,0)</f>
        <v>0</v>
      </c>
      <c r="BU1119" s="991">
        <f>IF(AND(Input_Product=Elig!$C1119,Elig_MatchAll_Ct&lt;22,$BC1119=(Elig_MatchAll_Ct-1),AS1119=0),P1119,0)</f>
        <v>0</v>
      </c>
      <c r="BV1119" s="992">
        <f>IF(AND(Input_Product=Elig!$C1119,Elig_MatchAll_Ct&lt;22,$BC1119=(Elig_MatchAll_Ct-1),AT1119=0),Q1119,0)</f>
        <v>0</v>
      </c>
      <c r="BW1119" s="993">
        <f>IF(AND(Input_Product=Elig!$C1119,Elig_MatchAll_Ct&lt;22,$BC1119=(Elig_MatchAll_Ct-1),AU1119=0),R1119,0)</f>
        <v>0</v>
      </c>
      <c r="BX1119" s="994">
        <f>IF(AND(Input_Product=Elig!$C1119,Elig_MatchAll_Ct&lt;22,$BC1119=(Elig_MatchAll_Ct-1),AU1119=0),S1119,0)</f>
        <v>0</v>
      </c>
      <c r="BY1119" s="993">
        <f>IF(AND(Input_Product=Elig!$C1119,Elig_MatchAll_Ct&lt;22,$BC1119=(Elig_MatchAll_Ct-1),AV1119=0),T1119,0)</f>
        <v>0</v>
      </c>
      <c r="BZ1119" s="994">
        <f>IF(AND(Input_Product=Elig!$C1119,Elig_MatchAll_Ct&lt;22,$BC1119=(Elig_MatchAll_Ct-1),AV1119=0),U1119,0)</f>
        <v>0</v>
      </c>
      <c r="CA1119" s="993">
        <f>IF(AND(Input_Product=Elig!$C1119,Elig_MatchAll_Ct&lt;22,$BC1119=(Elig_MatchAll_Ct-1),AW1119=0),V1119,0)</f>
        <v>0</v>
      </c>
      <c r="CB1119" s="994">
        <f>IF(AND(Input_Product=Elig!$C1119,Elig_MatchAll_Ct&lt;22,$BC1119=(Elig_MatchAll_Ct-1),AW1119=0),W1119,0)</f>
        <v>0</v>
      </c>
      <c r="CC1119" s="993">
        <f>IF(AND(Input_Product=Elig!$C1119,Elig_MatchAll_Ct&lt;22,$BC1119=(Elig_MatchAll_Ct-1),AX1119=0),X1119,0)</f>
        <v>0</v>
      </c>
      <c r="CD1119" s="994">
        <f>IF(AND(Input_Product=Elig!$C1119,Elig_MatchAll_Ct&lt;22,$BC1119=(Elig_MatchAll_Ct-1),AX1119=0),Y1119,0)</f>
        <v>0</v>
      </c>
      <c r="CE1119" s="993">
        <f>IF(AND(Input_LTV&lt;=AE1119,Input_Product=Elig!$C1119,Elig_MatchAll_Ct&lt;22,$BC1119=(Elig_MatchAll_Ct-1),AY1119=0),Z1119,0)</f>
        <v>0</v>
      </c>
      <c r="CF1119" s="994">
        <f>IF(AND(Input_LTV&lt;=AE1119,Input_Product=Elig!$C1119,Elig_MatchAll_Ct&lt;22,$BC1119=(Elig_MatchAll_Ct-1),AY1119=0),AA1119,0)</f>
        <v>0</v>
      </c>
      <c r="CG1119" s="993">
        <f>IF(AND(Input_Product=Elig!$C1119,Elig_MatchAll_Ct&lt;22,$BC1119=(Elig_MatchAll_Ct-1),AZ1119=0),AB1119,0)</f>
        <v>0</v>
      </c>
      <c r="CH1119" s="994">
        <f>IF(AND(Input_Product=Elig!$C1119,Elig_MatchAll_Ct&lt;22,$BC1119=(Elig_MatchAll_Ct-1),AZ1119=0),AC1119,0)</f>
        <v>0</v>
      </c>
      <c r="CI1119" s="993">
        <f>IF(AND(Input_Product=Elig!$C1119,Elig_MatchAll_Ct&lt;22,$BC1119=(Elig_MatchAll_Ct-1),BA1119=0),AD1119,0)</f>
        <v>0</v>
      </c>
      <c r="CJ1119" s="994">
        <f>IF(AND(Input_Product=Elig!$C1119,Elig_MatchAll_Ct&lt;22,$BC1119=(Elig_MatchAll_Ct-1),BA1119=0),AE1119,0)</f>
        <v>0</v>
      </c>
    </row>
    <row r="1120" spans="2:88" ht="10.15" customHeight="1" x14ac:dyDescent="0.25">
      <c r="B1120" s="1918" t="s">
        <v>2420</v>
      </c>
      <c r="C1120" s="1223" t="str">
        <f t="shared" si="417"/>
        <v xml:space="preserve"> </v>
      </c>
      <c r="D1120" s="1224" t="s">
        <v>2218</v>
      </c>
      <c r="E1120" s="1224" t="s">
        <v>167</v>
      </c>
      <c r="F1120" s="1224" t="s">
        <v>330</v>
      </c>
      <c r="G1120" s="1225" t="s">
        <v>175</v>
      </c>
      <c r="H1120" s="1225" t="s">
        <v>446</v>
      </c>
      <c r="I1120" s="1224" t="s">
        <v>274</v>
      </c>
      <c r="J1120" s="1224" t="s">
        <v>1311</v>
      </c>
      <c r="K1120" s="1225" t="s">
        <v>3022</v>
      </c>
      <c r="L1120" s="1224" t="s">
        <v>2768</v>
      </c>
      <c r="M1120" s="1224" t="s">
        <v>2677</v>
      </c>
      <c r="N1120" s="1225" t="s">
        <v>2685</v>
      </c>
      <c r="O1120" s="1224" t="s">
        <v>310</v>
      </c>
      <c r="P1120" s="1224" t="s">
        <v>291</v>
      </c>
      <c r="Q1120" s="1224" t="s">
        <v>294</v>
      </c>
      <c r="R1120" s="1224">
        <v>1500000.01</v>
      </c>
      <c r="S1120" s="1224">
        <v>2000000</v>
      </c>
      <c r="T1120" s="1224">
        <v>0</v>
      </c>
      <c r="U1120" s="1224">
        <v>0</v>
      </c>
      <c r="V1120" s="1224">
        <v>0</v>
      </c>
      <c r="W1120" s="1224">
        <v>50</v>
      </c>
      <c r="X1120" s="1224">
        <v>0</v>
      </c>
      <c r="Y1120" s="1224">
        <v>999</v>
      </c>
      <c r="Z1120" s="1226">
        <v>680</v>
      </c>
      <c r="AA1120" s="1226">
        <v>699</v>
      </c>
      <c r="AB1120" s="1226">
        <v>6</v>
      </c>
      <c r="AC1120" s="1226">
        <v>999999</v>
      </c>
      <c r="AD1120" s="1224">
        <v>0</v>
      </c>
      <c r="AE1120" s="1227">
        <v>75</v>
      </c>
      <c r="AF1120" s="170">
        <v>0</v>
      </c>
      <c r="AG1120" s="171">
        <v>1</v>
      </c>
      <c r="AH1120" s="171">
        <v>1</v>
      </c>
      <c r="AI1120" s="171">
        <v>0</v>
      </c>
      <c r="AJ1120" s="171">
        <v>0</v>
      </c>
      <c r="AK1120" s="171">
        <v>0</v>
      </c>
      <c r="AL1120" s="171">
        <v>0</v>
      </c>
      <c r="AM1120" s="171">
        <v>1</v>
      </c>
      <c r="AN1120" s="171">
        <v>1</v>
      </c>
      <c r="AO1120" s="171">
        <v>1</v>
      </c>
      <c r="AP1120" s="171">
        <v>1</v>
      </c>
      <c r="AQ1120" s="171">
        <v>1</v>
      </c>
      <c r="AR1120" s="171">
        <v>1</v>
      </c>
      <c r="AS1120" s="171">
        <v>1</v>
      </c>
      <c r="AT1120" s="171">
        <v>1</v>
      </c>
      <c r="AU1120" s="171">
        <f t="shared" si="419"/>
        <v>0</v>
      </c>
      <c r="AV1120" s="171">
        <f t="shared" si="420"/>
        <v>0</v>
      </c>
      <c r="AW1120" s="171">
        <f t="shared" si="421"/>
        <v>1</v>
      </c>
      <c r="AX1120" s="171">
        <f t="shared" si="414"/>
        <v>1</v>
      </c>
      <c r="AY1120" s="171">
        <f t="shared" si="422"/>
        <v>0</v>
      </c>
      <c r="AZ1120" s="171">
        <f t="shared" si="423"/>
        <v>1</v>
      </c>
      <c r="BA1120" s="172">
        <f t="shared" si="424"/>
        <v>1</v>
      </c>
      <c r="BB1120" s="175">
        <f t="shared" si="425"/>
        <v>14</v>
      </c>
      <c r="BC1120" s="176">
        <f t="shared" si="426"/>
        <v>13</v>
      </c>
      <c r="BD1120" s="176">
        <f t="shared" si="427"/>
        <v>14</v>
      </c>
      <c r="BE1120" s="240" t="str">
        <f t="shared" si="418"/>
        <v/>
      </c>
      <c r="BF1120" s="990"/>
      <c r="BG1120" s="990"/>
      <c r="BH1120" s="991">
        <f>IF(AND(Input_Product=Elig!$C1120,Elig_MatchAll_Ct&lt;22,$BC1120=(Elig_MatchAll_Ct-1),AF1120=0),C1120,0)</f>
        <v>0</v>
      </c>
      <c r="BI1120" s="991">
        <f>IF(AND(Input_Product=Elig!$C1120,Elig_MatchAll_Ct&lt;22,$BC1120=(Elig_MatchAll_Ct-1),AG1120=0),D1120,0)</f>
        <v>0</v>
      </c>
      <c r="BJ1120" s="991">
        <f>IF(AND(Input_Product=Elig!$C1120,Elig_MatchAll_Ct&lt;22,$BC1120=(Elig_MatchAll_Ct-1),AH1120=0),E1120,0)</f>
        <v>0</v>
      </c>
      <c r="BK1120" s="991">
        <f>IF(AND(Input_Product=Elig!$C1120,Elig_MatchAll_Ct&lt;22,$BC1120=(Elig_MatchAll_Ct-1),AI1120=0),F1120,0)</f>
        <v>0</v>
      </c>
      <c r="BL1120" s="991">
        <f>IF(AND(Input_Product=Elig!$C1120,Elig_MatchAll_Ct&lt;22,$BC1120=(Elig_MatchAll_Ct-1),AJ1120=0),G1120,0)</f>
        <v>0</v>
      </c>
      <c r="BM1120" s="991">
        <f>IF(AND(Input_Product=Elig!$C1120,Elig_MatchAll_Ct&lt;22,$BC1120=(Elig_MatchAll_Ct-1),AK1120=0),H1120,0)</f>
        <v>0</v>
      </c>
      <c r="BN1120" s="991">
        <f>IF(AND(Input_Product=Elig!$C1120,Elig_MatchAll_Ct&lt;22,$BC1120=(Elig_MatchAll_Ct-1),AL1120=0),I1120,0)</f>
        <v>0</v>
      </c>
      <c r="BO1120" s="991">
        <f>IF(AND(Input_Product=Elig!$C1120,Elig_MatchAll_Ct&lt;22,$BC1120=(Elig_MatchAll_Ct-1),AM1120=0),J1120,0)</f>
        <v>0</v>
      </c>
      <c r="BP1120" s="991">
        <f>IF(AND(Input_Product=Elig!$C1120,Elig_MatchAll_Ct&lt;22,$BC1120=(Elig_MatchAll_Ct-1),AN1120=0),K1120,0)</f>
        <v>0</v>
      </c>
      <c r="BQ1120" s="991">
        <f>IF(AND(Input_Product=Elig!$C1120,Elig_MatchAll_Ct&lt;22,$BC1120=(Elig_MatchAll_Ct-1),AP1120=0),L1120,0)</f>
        <v>0</v>
      </c>
      <c r="BR1120" s="991">
        <f>IF(AND(Input_Product=Elig!$C1120,Elig_MatchAll_Ct&lt;22,$BC1120=(Elig_MatchAll_Ct-1),AO1120=0),M1120,0)</f>
        <v>0</v>
      </c>
      <c r="BS1120" s="991">
        <f>IF(AND(Input_Product=Elig!$C1120,Elig_MatchAll_Ct&lt;22,$BC1120=(Elig_MatchAll_Ct-1),AQ1120=0),N1120,0)</f>
        <v>0</v>
      </c>
      <c r="BT1120" s="991">
        <f>IF(AND(Input_Product=Elig!$C1120,Elig_MatchAll_Ct&lt;22,$BC1120=(Elig_MatchAll_Ct-1),AR1120=0),O1120,0)</f>
        <v>0</v>
      </c>
      <c r="BU1120" s="991">
        <f>IF(AND(Input_Product=Elig!$C1120,Elig_MatchAll_Ct&lt;22,$BC1120=(Elig_MatchAll_Ct-1),AS1120=0),P1120,0)</f>
        <v>0</v>
      </c>
      <c r="BV1120" s="992">
        <f>IF(AND(Input_Product=Elig!$C1120,Elig_MatchAll_Ct&lt;22,$BC1120=(Elig_MatchAll_Ct-1),AT1120=0),Q1120,0)</f>
        <v>0</v>
      </c>
      <c r="BW1120" s="993">
        <f>IF(AND(Input_Product=Elig!$C1120,Elig_MatchAll_Ct&lt;22,$BC1120=(Elig_MatchAll_Ct-1),AU1120=0),R1120,0)</f>
        <v>0</v>
      </c>
      <c r="BX1120" s="994">
        <f>IF(AND(Input_Product=Elig!$C1120,Elig_MatchAll_Ct&lt;22,$BC1120=(Elig_MatchAll_Ct-1),AU1120=0),S1120,0)</f>
        <v>0</v>
      </c>
      <c r="BY1120" s="993">
        <f>IF(AND(Input_Product=Elig!$C1120,Elig_MatchAll_Ct&lt;22,$BC1120=(Elig_MatchAll_Ct-1),AV1120=0),T1120,0)</f>
        <v>0</v>
      </c>
      <c r="BZ1120" s="994">
        <f>IF(AND(Input_Product=Elig!$C1120,Elig_MatchAll_Ct&lt;22,$BC1120=(Elig_MatchAll_Ct-1),AV1120=0),U1120,0)</f>
        <v>0</v>
      </c>
      <c r="CA1120" s="993">
        <f>IF(AND(Input_Product=Elig!$C1120,Elig_MatchAll_Ct&lt;22,$BC1120=(Elig_MatchAll_Ct-1),AW1120=0),V1120,0)</f>
        <v>0</v>
      </c>
      <c r="CB1120" s="994">
        <f>IF(AND(Input_Product=Elig!$C1120,Elig_MatchAll_Ct&lt;22,$BC1120=(Elig_MatchAll_Ct-1),AW1120=0),W1120,0)</f>
        <v>0</v>
      </c>
      <c r="CC1120" s="993">
        <f>IF(AND(Input_Product=Elig!$C1120,Elig_MatchAll_Ct&lt;22,$BC1120=(Elig_MatchAll_Ct-1),AX1120=0),X1120,0)</f>
        <v>0</v>
      </c>
      <c r="CD1120" s="994">
        <f>IF(AND(Input_Product=Elig!$C1120,Elig_MatchAll_Ct&lt;22,$BC1120=(Elig_MatchAll_Ct-1),AX1120=0),Y1120,0)</f>
        <v>0</v>
      </c>
      <c r="CE1120" s="993">
        <f>IF(AND(Input_LTV&lt;=AE1120,Input_Product=Elig!$C1120,Elig_MatchAll_Ct&lt;22,$BC1120=(Elig_MatchAll_Ct-1),AY1120=0),Z1120,0)</f>
        <v>0</v>
      </c>
      <c r="CF1120" s="994">
        <f>IF(AND(Input_LTV&lt;=AE1120,Input_Product=Elig!$C1120,Elig_MatchAll_Ct&lt;22,$BC1120=(Elig_MatchAll_Ct-1),AY1120=0),AA1120,0)</f>
        <v>0</v>
      </c>
      <c r="CG1120" s="993">
        <f>IF(AND(Input_Product=Elig!$C1120,Elig_MatchAll_Ct&lt;22,$BC1120=(Elig_MatchAll_Ct-1),AZ1120=0),AB1120,0)</f>
        <v>0</v>
      </c>
      <c r="CH1120" s="994">
        <f>IF(AND(Input_Product=Elig!$C1120,Elig_MatchAll_Ct&lt;22,$BC1120=(Elig_MatchAll_Ct-1),AZ1120=0),AC1120,0)</f>
        <v>0</v>
      </c>
      <c r="CI1120" s="993">
        <f>IF(AND(Input_Product=Elig!$C1120,Elig_MatchAll_Ct&lt;22,$BC1120=(Elig_MatchAll_Ct-1),BA1120=0),AD1120,0)</f>
        <v>0</v>
      </c>
      <c r="CJ1120" s="994">
        <f>IF(AND(Input_Product=Elig!$C1120,Elig_MatchAll_Ct&lt;22,$BC1120=(Elig_MatchAll_Ct-1),BA1120=0),AE1120,0)</f>
        <v>0</v>
      </c>
    </row>
    <row r="1121" spans="2:88" ht="10.15" customHeight="1" x14ac:dyDescent="0.25">
      <c r="B1121" s="1918" t="s">
        <v>2421</v>
      </c>
      <c r="C1121" s="1228" t="str">
        <f t="shared" si="417"/>
        <v xml:space="preserve"> </v>
      </c>
      <c r="D1121" s="1229" t="s">
        <v>2218</v>
      </c>
      <c r="E1121" s="1229" t="s">
        <v>167</v>
      </c>
      <c r="F1121" s="1229" t="s">
        <v>330</v>
      </c>
      <c r="G1121" s="1230" t="s">
        <v>175</v>
      </c>
      <c r="H1121" s="1230" t="s">
        <v>446</v>
      </c>
      <c r="I1121" s="1229" t="s">
        <v>274</v>
      </c>
      <c r="J1121" s="1229" t="s">
        <v>1311</v>
      </c>
      <c r="K1121" s="1230" t="s">
        <v>3022</v>
      </c>
      <c r="L1121" s="1229" t="s">
        <v>2768</v>
      </c>
      <c r="M1121" s="1229" t="s">
        <v>2677</v>
      </c>
      <c r="N1121" s="1230" t="s">
        <v>2685</v>
      </c>
      <c r="O1121" s="1229" t="s">
        <v>310</v>
      </c>
      <c r="P1121" s="1229" t="s">
        <v>291</v>
      </c>
      <c r="Q1121" s="1229" t="s">
        <v>294</v>
      </c>
      <c r="R1121" s="1229">
        <v>1500000.01</v>
      </c>
      <c r="S1121" s="1229">
        <v>2000000</v>
      </c>
      <c r="T1121" s="1229">
        <v>0</v>
      </c>
      <c r="U1121" s="1229">
        <v>0</v>
      </c>
      <c r="V1121" s="1229">
        <v>0</v>
      </c>
      <c r="W1121" s="1229">
        <v>50</v>
      </c>
      <c r="X1121" s="1229">
        <v>0</v>
      </c>
      <c r="Y1121" s="1229">
        <v>999</v>
      </c>
      <c r="Z1121" s="1231">
        <v>660</v>
      </c>
      <c r="AA1121" s="1231">
        <v>679</v>
      </c>
      <c r="AB1121" s="1231">
        <v>6</v>
      </c>
      <c r="AC1121" s="1231">
        <v>999999</v>
      </c>
      <c r="AD1121" s="1229">
        <v>0</v>
      </c>
      <c r="AE1121" s="1232">
        <v>70</v>
      </c>
      <c r="AF1121" s="170">
        <v>0</v>
      </c>
      <c r="AG1121" s="171">
        <v>1</v>
      </c>
      <c r="AH1121" s="171">
        <v>1</v>
      </c>
      <c r="AI1121" s="171">
        <v>0</v>
      </c>
      <c r="AJ1121" s="171">
        <v>0</v>
      </c>
      <c r="AK1121" s="171">
        <v>0</v>
      </c>
      <c r="AL1121" s="171">
        <v>0</v>
      </c>
      <c r="AM1121" s="171">
        <v>1</v>
      </c>
      <c r="AN1121" s="171">
        <v>1</v>
      </c>
      <c r="AO1121" s="171">
        <v>1</v>
      </c>
      <c r="AP1121" s="171">
        <v>1</v>
      </c>
      <c r="AQ1121" s="171">
        <v>1</v>
      </c>
      <c r="AR1121" s="171">
        <v>1</v>
      </c>
      <c r="AS1121" s="171">
        <v>1</v>
      </c>
      <c r="AT1121" s="171">
        <v>1</v>
      </c>
      <c r="AU1121" s="171">
        <f t="shared" si="419"/>
        <v>0</v>
      </c>
      <c r="AV1121" s="171">
        <f t="shared" si="420"/>
        <v>0</v>
      </c>
      <c r="AW1121" s="171">
        <f t="shared" si="421"/>
        <v>1</v>
      </c>
      <c r="AX1121" s="171">
        <f t="shared" si="414"/>
        <v>1</v>
      </c>
      <c r="AY1121" s="171">
        <f t="shared" si="422"/>
        <v>0</v>
      </c>
      <c r="AZ1121" s="171">
        <f t="shared" si="423"/>
        <v>1</v>
      </c>
      <c r="BA1121" s="172">
        <f t="shared" si="424"/>
        <v>1</v>
      </c>
      <c r="BB1121" s="175">
        <f t="shared" si="425"/>
        <v>14</v>
      </c>
      <c r="BC1121" s="176">
        <f t="shared" si="426"/>
        <v>13</v>
      </c>
      <c r="BD1121" s="176">
        <f t="shared" si="427"/>
        <v>14</v>
      </c>
      <c r="BE1121" s="240" t="str">
        <f t="shared" si="418"/>
        <v/>
      </c>
      <c r="BF1121" s="990"/>
      <c r="BG1121" s="990"/>
      <c r="BH1121" s="991">
        <f>IF(AND(Input_Product=Elig!$C1121,Elig_MatchAll_Ct&lt;22,$BC1121=(Elig_MatchAll_Ct-1),AF1121=0),C1121,0)</f>
        <v>0</v>
      </c>
      <c r="BI1121" s="991">
        <f>IF(AND(Input_Product=Elig!$C1121,Elig_MatchAll_Ct&lt;22,$BC1121=(Elig_MatchAll_Ct-1),AG1121=0),D1121,0)</f>
        <v>0</v>
      </c>
      <c r="BJ1121" s="991">
        <f>IF(AND(Input_Product=Elig!$C1121,Elig_MatchAll_Ct&lt;22,$BC1121=(Elig_MatchAll_Ct-1),AH1121=0),E1121,0)</f>
        <v>0</v>
      </c>
      <c r="BK1121" s="991">
        <f>IF(AND(Input_Product=Elig!$C1121,Elig_MatchAll_Ct&lt;22,$BC1121=(Elig_MatchAll_Ct-1),AI1121=0),F1121,0)</f>
        <v>0</v>
      </c>
      <c r="BL1121" s="991">
        <f>IF(AND(Input_Product=Elig!$C1121,Elig_MatchAll_Ct&lt;22,$BC1121=(Elig_MatchAll_Ct-1),AJ1121=0),G1121,0)</f>
        <v>0</v>
      </c>
      <c r="BM1121" s="991">
        <f>IF(AND(Input_Product=Elig!$C1121,Elig_MatchAll_Ct&lt;22,$BC1121=(Elig_MatchAll_Ct-1),AK1121=0),H1121,0)</f>
        <v>0</v>
      </c>
      <c r="BN1121" s="991">
        <f>IF(AND(Input_Product=Elig!$C1121,Elig_MatchAll_Ct&lt;22,$BC1121=(Elig_MatchAll_Ct-1),AL1121=0),I1121,0)</f>
        <v>0</v>
      </c>
      <c r="BO1121" s="991">
        <f>IF(AND(Input_Product=Elig!$C1121,Elig_MatchAll_Ct&lt;22,$BC1121=(Elig_MatchAll_Ct-1),AM1121=0),J1121,0)</f>
        <v>0</v>
      </c>
      <c r="BP1121" s="991">
        <f>IF(AND(Input_Product=Elig!$C1121,Elig_MatchAll_Ct&lt;22,$BC1121=(Elig_MatchAll_Ct-1),AN1121=0),K1121,0)</f>
        <v>0</v>
      </c>
      <c r="BQ1121" s="991">
        <f>IF(AND(Input_Product=Elig!$C1121,Elig_MatchAll_Ct&lt;22,$BC1121=(Elig_MatchAll_Ct-1),AP1121=0),L1121,0)</f>
        <v>0</v>
      </c>
      <c r="BR1121" s="991">
        <f>IF(AND(Input_Product=Elig!$C1121,Elig_MatchAll_Ct&lt;22,$BC1121=(Elig_MatchAll_Ct-1),AO1121=0),M1121,0)</f>
        <v>0</v>
      </c>
      <c r="BS1121" s="991">
        <f>IF(AND(Input_Product=Elig!$C1121,Elig_MatchAll_Ct&lt;22,$BC1121=(Elig_MatchAll_Ct-1),AQ1121=0),N1121,0)</f>
        <v>0</v>
      </c>
      <c r="BT1121" s="991">
        <f>IF(AND(Input_Product=Elig!$C1121,Elig_MatchAll_Ct&lt;22,$BC1121=(Elig_MatchAll_Ct-1),AR1121=0),O1121,0)</f>
        <v>0</v>
      </c>
      <c r="BU1121" s="991">
        <f>IF(AND(Input_Product=Elig!$C1121,Elig_MatchAll_Ct&lt;22,$BC1121=(Elig_MatchAll_Ct-1),AS1121=0),P1121,0)</f>
        <v>0</v>
      </c>
      <c r="BV1121" s="992">
        <f>IF(AND(Input_Product=Elig!$C1121,Elig_MatchAll_Ct&lt;22,$BC1121=(Elig_MatchAll_Ct-1),AT1121=0),Q1121,0)</f>
        <v>0</v>
      </c>
      <c r="BW1121" s="993">
        <f>IF(AND(Input_Product=Elig!$C1121,Elig_MatchAll_Ct&lt;22,$BC1121=(Elig_MatchAll_Ct-1),AU1121=0),R1121,0)</f>
        <v>0</v>
      </c>
      <c r="BX1121" s="994">
        <f>IF(AND(Input_Product=Elig!$C1121,Elig_MatchAll_Ct&lt;22,$BC1121=(Elig_MatchAll_Ct-1),AU1121=0),S1121,0)</f>
        <v>0</v>
      </c>
      <c r="BY1121" s="993">
        <f>IF(AND(Input_Product=Elig!$C1121,Elig_MatchAll_Ct&lt;22,$BC1121=(Elig_MatchAll_Ct-1),AV1121=0),T1121,0)</f>
        <v>0</v>
      </c>
      <c r="BZ1121" s="994">
        <f>IF(AND(Input_Product=Elig!$C1121,Elig_MatchAll_Ct&lt;22,$BC1121=(Elig_MatchAll_Ct-1),AV1121=0),U1121,0)</f>
        <v>0</v>
      </c>
      <c r="CA1121" s="993">
        <f>IF(AND(Input_Product=Elig!$C1121,Elig_MatchAll_Ct&lt;22,$BC1121=(Elig_MatchAll_Ct-1),AW1121=0),V1121,0)</f>
        <v>0</v>
      </c>
      <c r="CB1121" s="994">
        <f>IF(AND(Input_Product=Elig!$C1121,Elig_MatchAll_Ct&lt;22,$BC1121=(Elig_MatchAll_Ct-1),AW1121=0),W1121,0)</f>
        <v>0</v>
      </c>
      <c r="CC1121" s="993">
        <f>IF(AND(Input_Product=Elig!$C1121,Elig_MatchAll_Ct&lt;22,$BC1121=(Elig_MatchAll_Ct-1),AX1121=0),X1121,0)</f>
        <v>0</v>
      </c>
      <c r="CD1121" s="994">
        <f>IF(AND(Input_Product=Elig!$C1121,Elig_MatchAll_Ct&lt;22,$BC1121=(Elig_MatchAll_Ct-1),AX1121=0),Y1121,0)</f>
        <v>0</v>
      </c>
      <c r="CE1121" s="993">
        <f>IF(AND(Input_LTV&lt;=AE1121,Input_Product=Elig!$C1121,Elig_MatchAll_Ct&lt;22,$BC1121=(Elig_MatchAll_Ct-1),AY1121=0),Z1121,0)</f>
        <v>0</v>
      </c>
      <c r="CF1121" s="994">
        <f>IF(AND(Input_LTV&lt;=AE1121,Input_Product=Elig!$C1121,Elig_MatchAll_Ct&lt;22,$BC1121=(Elig_MatchAll_Ct-1),AY1121=0),AA1121,0)</f>
        <v>0</v>
      </c>
      <c r="CG1121" s="993">
        <f>IF(AND(Input_Product=Elig!$C1121,Elig_MatchAll_Ct&lt;22,$BC1121=(Elig_MatchAll_Ct-1),AZ1121=0),AB1121,0)</f>
        <v>0</v>
      </c>
      <c r="CH1121" s="994">
        <f>IF(AND(Input_Product=Elig!$C1121,Elig_MatchAll_Ct&lt;22,$BC1121=(Elig_MatchAll_Ct-1),AZ1121=0),AC1121,0)</f>
        <v>0</v>
      </c>
      <c r="CI1121" s="993">
        <f>IF(AND(Input_Product=Elig!$C1121,Elig_MatchAll_Ct&lt;22,$BC1121=(Elig_MatchAll_Ct-1),BA1121=0),AD1121,0)</f>
        <v>0</v>
      </c>
      <c r="CJ1121" s="994">
        <f>IF(AND(Input_Product=Elig!$C1121,Elig_MatchAll_Ct&lt;22,$BC1121=(Elig_MatchAll_Ct-1),BA1121=0),AE1121,0)</f>
        <v>0</v>
      </c>
    </row>
    <row r="1122" spans="2:88" ht="10.15" customHeight="1" x14ac:dyDescent="0.25">
      <c r="B1122" s="1918" t="s">
        <v>2422</v>
      </c>
      <c r="C1122" s="1218" t="str">
        <f t="shared" si="417"/>
        <v xml:space="preserve"> </v>
      </c>
      <c r="D1122" s="1219" t="s">
        <v>2218</v>
      </c>
      <c r="E1122" s="1219" t="s">
        <v>167</v>
      </c>
      <c r="F1122" s="1219" t="s">
        <v>330</v>
      </c>
      <c r="G1122" s="1220" t="s">
        <v>175</v>
      </c>
      <c r="H1122" s="1220" t="s">
        <v>446</v>
      </c>
      <c r="I1122" s="1219" t="s">
        <v>274</v>
      </c>
      <c r="J1122" s="1219" t="s">
        <v>1311</v>
      </c>
      <c r="K1122" s="1220" t="s">
        <v>3022</v>
      </c>
      <c r="L1122" s="1219" t="s">
        <v>2768</v>
      </c>
      <c r="M1122" s="1219" t="s">
        <v>2677</v>
      </c>
      <c r="N1122" s="1220" t="s">
        <v>2685</v>
      </c>
      <c r="O1122" s="1219" t="s">
        <v>310</v>
      </c>
      <c r="P1122" s="1219" t="s">
        <v>291</v>
      </c>
      <c r="Q1122" s="1219" t="s">
        <v>294</v>
      </c>
      <c r="R1122" s="1219">
        <v>2000000.01</v>
      </c>
      <c r="S1122" s="1219">
        <v>2500000</v>
      </c>
      <c r="T1122" s="1219">
        <v>0</v>
      </c>
      <c r="U1122" s="1219">
        <v>0</v>
      </c>
      <c r="V1122" s="1219">
        <v>0</v>
      </c>
      <c r="W1122" s="1219">
        <v>50</v>
      </c>
      <c r="X1122" s="1219">
        <v>0</v>
      </c>
      <c r="Y1122" s="1219">
        <v>999</v>
      </c>
      <c r="Z1122" s="1221">
        <v>720</v>
      </c>
      <c r="AA1122" s="1221">
        <v>999</v>
      </c>
      <c r="AB1122" s="1221">
        <v>6</v>
      </c>
      <c r="AC1122" s="1221">
        <v>999999</v>
      </c>
      <c r="AD1122" s="1219">
        <v>0</v>
      </c>
      <c r="AE1122" s="1222">
        <v>80</v>
      </c>
      <c r="AF1122" s="170">
        <v>0</v>
      </c>
      <c r="AG1122" s="171">
        <v>1</v>
      </c>
      <c r="AH1122" s="171">
        <v>1</v>
      </c>
      <c r="AI1122" s="171">
        <v>0</v>
      </c>
      <c r="AJ1122" s="171">
        <v>0</v>
      </c>
      <c r="AK1122" s="171">
        <v>0</v>
      </c>
      <c r="AL1122" s="171">
        <v>0</v>
      </c>
      <c r="AM1122" s="171">
        <v>1</v>
      </c>
      <c r="AN1122" s="171">
        <v>1</v>
      </c>
      <c r="AO1122" s="171">
        <v>1</v>
      </c>
      <c r="AP1122" s="171">
        <v>1</v>
      </c>
      <c r="AQ1122" s="171">
        <v>1</v>
      </c>
      <c r="AR1122" s="171">
        <v>1</v>
      </c>
      <c r="AS1122" s="171">
        <v>1</v>
      </c>
      <c r="AT1122" s="171">
        <v>1</v>
      </c>
      <c r="AU1122" s="171">
        <f t="shared" si="419"/>
        <v>0</v>
      </c>
      <c r="AV1122" s="171">
        <f t="shared" si="420"/>
        <v>0</v>
      </c>
      <c r="AW1122" s="171">
        <f t="shared" si="421"/>
        <v>1</v>
      </c>
      <c r="AX1122" s="171">
        <f t="shared" si="414"/>
        <v>1</v>
      </c>
      <c r="AY1122" s="171">
        <f t="shared" si="422"/>
        <v>1</v>
      </c>
      <c r="AZ1122" s="171">
        <f t="shared" si="423"/>
        <v>1</v>
      </c>
      <c r="BA1122" s="172">
        <f t="shared" si="424"/>
        <v>1</v>
      </c>
      <c r="BB1122" s="175">
        <f t="shared" si="425"/>
        <v>15</v>
      </c>
      <c r="BC1122" s="176">
        <f t="shared" si="426"/>
        <v>14</v>
      </c>
      <c r="BD1122" s="176">
        <f t="shared" si="427"/>
        <v>15</v>
      </c>
      <c r="BE1122" s="240" t="str">
        <f t="shared" si="418"/>
        <v/>
      </c>
      <c r="BF1122" s="990"/>
      <c r="BG1122" s="990"/>
      <c r="BH1122" s="991">
        <f>IF(AND(Input_Product=Elig!$C1122,Elig_MatchAll_Ct&lt;22,$BC1122=(Elig_MatchAll_Ct-1),AF1122=0),C1122,0)</f>
        <v>0</v>
      </c>
      <c r="BI1122" s="991">
        <f>IF(AND(Input_Product=Elig!$C1122,Elig_MatchAll_Ct&lt;22,$BC1122=(Elig_MatchAll_Ct-1),AG1122=0),D1122,0)</f>
        <v>0</v>
      </c>
      <c r="BJ1122" s="991">
        <f>IF(AND(Input_Product=Elig!$C1122,Elig_MatchAll_Ct&lt;22,$BC1122=(Elig_MatchAll_Ct-1),AH1122=0),E1122,0)</f>
        <v>0</v>
      </c>
      <c r="BK1122" s="991">
        <f>IF(AND(Input_Product=Elig!$C1122,Elig_MatchAll_Ct&lt;22,$BC1122=(Elig_MatchAll_Ct-1),AI1122=0),F1122,0)</f>
        <v>0</v>
      </c>
      <c r="BL1122" s="991">
        <f>IF(AND(Input_Product=Elig!$C1122,Elig_MatchAll_Ct&lt;22,$BC1122=(Elig_MatchAll_Ct-1),AJ1122=0),G1122,0)</f>
        <v>0</v>
      </c>
      <c r="BM1122" s="991">
        <f>IF(AND(Input_Product=Elig!$C1122,Elig_MatchAll_Ct&lt;22,$BC1122=(Elig_MatchAll_Ct-1),AK1122=0),H1122,0)</f>
        <v>0</v>
      </c>
      <c r="BN1122" s="991">
        <f>IF(AND(Input_Product=Elig!$C1122,Elig_MatchAll_Ct&lt;22,$BC1122=(Elig_MatchAll_Ct-1),AL1122=0),I1122,0)</f>
        <v>0</v>
      </c>
      <c r="BO1122" s="991">
        <f>IF(AND(Input_Product=Elig!$C1122,Elig_MatchAll_Ct&lt;22,$BC1122=(Elig_MatchAll_Ct-1),AM1122=0),J1122,0)</f>
        <v>0</v>
      </c>
      <c r="BP1122" s="991">
        <f>IF(AND(Input_Product=Elig!$C1122,Elig_MatchAll_Ct&lt;22,$BC1122=(Elig_MatchAll_Ct-1),AN1122=0),K1122,0)</f>
        <v>0</v>
      </c>
      <c r="BQ1122" s="991">
        <f>IF(AND(Input_Product=Elig!$C1122,Elig_MatchAll_Ct&lt;22,$BC1122=(Elig_MatchAll_Ct-1),AP1122=0),L1122,0)</f>
        <v>0</v>
      </c>
      <c r="BR1122" s="991">
        <f>IF(AND(Input_Product=Elig!$C1122,Elig_MatchAll_Ct&lt;22,$BC1122=(Elig_MatchAll_Ct-1),AO1122=0),M1122,0)</f>
        <v>0</v>
      </c>
      <c r="BS1122" s="991">
        <f>IF(AND(Input_Product=Elig!$C1122,Elig_MatchAll_Ct&lt;22,$BC1122=(Elig_MatchAll_Ct-1),AQ1122=0),N1122,0)</f>
        <v>0</v>
      </c>
      <c r="BT1122" s="991">
        <f>IF(AND(Input_Product=Elig!$C1122,Elig_MatchAll_Ct&lt;22,$BC1122=(Elig_MatchAll_Ct-1),AR1122=0),O1122,0)</f>
        <v>0</v>
      </c>
      <c r="BU1122" s="991">
        <f>IF(AND(Input_Product=Elig!$C1122,Elig_MatchAll_Ct&lt;22,$BC1122=(Elig_MatchAll_Ct-1),AS1122=0),P1122,0)</f>
        <v>0</v>
      </c>
      <c r="BV1122" s="992">
        <f>IF(AND(Input_Product=Elig!$C1122,Elig_MatchAll_Ct&lt;22,$BC1122=(Elig_MatchAll_Ct-1),AT1122=0),Q1122,0)</f>
        <v>0</v>
      </c>
      <c r="BW1122" s="993">
        <f>IF(AND(Input_Product=Elig!$C1122,Elig_MatchAll_Ct&lt;22,$BC1122=(Elig_MatchAll_Ct-1),AU1122=0),R1122,0)</f>
        <v>0</v>
      </c>
      <c r="BX1122" s="994">
        <f>IF(AND(Input_Product=Elig!$C1122,Elig_MatchAll_Ct&lt;22,$BC1122=(Elig_MatchAll_Ct-1),AU1122=0),S1122,0)</f>
        <v>0</v>
      </c>
      <c r="BY1122" s="993">
        <f>IF(AND(Input_Product=Elig!$C1122,Elig_MatchAll_Ct&lt;22,$BC1122=(Elig_MatchAll_Ct-1),AV1122=0),T1122,0)</f>
        <v>0</v>
      </c>
      <c r="BZ1122" s="994">
        <f>IF(AND(Input_Product=Elig!$C1122,Elig_MatchAll_Ct&lt;22,$BC1122=(Elig_MatchAll_Ct-1),AV1122=0),U1122,0)</f>
        <v>0</v>
      </c>
      <c r="CA1122" s="993">
        <f>IF(AND(Input_Product=Elig!$C1122,Elig_MatchAll_Ct&lt;22,$BC1122=(Elig_MatchAll_Ct-1),AW1122=0),V1122,0)</f>
        <v>0</v>
      </c>
      <c r="CB1122" s="994">
        <f>IF(AND(Input_Product=Elig!$C1122,Elig_MatchAll_Ct&lt;22,$BC1122=(Elig_MatchAll_Ct-1),AW1122=0),W1122,0)</f>
        <v>0</v>
      </c>
      <c r="CC1122" s="993">
        <f>IF(AND(Input_Product=Elig!$C1122,Elig_MatchAll_Ct&lt;22,$BC1122=(Elig_MatchAll_Ct-1),AX1122=0),X1122,0)</f>
        <v>0</v>
      </c>
      <c r="CD1122" s="994">
        <f>IF(AND(Input_Product=Elig!$C1122,Elig_MatchAll_Ct&lt;22,$BC1122=(Elig_MatchAll_Ct-1),AX1122=0),Y1122,0)</f>
        <v>0</v>
      </c>
      <c r="CE1122" s="993">
        <f>IF(AND(Input_LTV&lt;=AE1122,Input_Product=Elig!$C1122,Elig_MatchAll_Ct&lt;22,$BC1122=(Elig_MatchAll_Ct-1),AY1122=0),Z1122,0)</f>
        <v>0</v>
      </c>
      <c r="CF1122" s="994">
        <f>IF(AND(Input_LTV&lt;=AE1122,Input_Product=Elig!$C1122,Elig_MatchAll_Ct&lt;22,$BC1122=(Elig_MatchAll_Ct-1),AY1122=0),AA1122,0)</f>
        <v>0</v>
      </c>
      <c r="CG1122" s="993">
        <f>IF(AND(Input_Product=Elig!$C1122,Elig_MatchAll_Ct&lt;22,$BC1122=(Elig_MatchAll_Ct-1),AZ1122=0),AB1122,0)</f>
        <v>0</v>
      </c>
      <c r="CH1122" s="994">
        <f>IF(AND(Input_Product=Elig!$C1122,Elig_MatchAll_Ct&lt;22,$BC1122=(Elig_MatchAll_Ct-1),AZ1122=0),AC1122,0)</f>
        <v>0</v>
      </c>
      <c r="CI1122" s="993">
        <f>IF(AND(Input_Product=Elig!$C1122,Elig_MatchAll_Ct&lt;22,$BC1122=(Elig_MatchAll_Ct-1),BA1122=0),AD1122,0)</f>
        <v>0</v>
      </c>
      <c r="CJ1122" s="994">
        <f>IF(AND(Input_Product=Elig!$C1122,Elig_MatchAll_Ct&lt;22,$BC1122=(Elig_MatchAll_Ct-1),BA1122=0),AE1122,0)</f>
        <v>0</v>
      </c>
    </row>
    <row r="1123" spans="2:88" ht="10.15" customHeight="1" x14ac:dyDescent="0.25">
      <c r="B1123" s="1918" t="s">
        <v>2423</v>
      </c>
      <c r="C1123" s="1223" t="str">
        <f t="shared" si="417"/>
        <v xml:space="preserve"> </v>
      </c>
      <c r="D1123" s="1224" t="s">
        <v>2218</v>
      </c>
      <c r="E1123" s="1224" t="s">
        <v>167</v>
      </c>
      <c r="F1123" s="1224" t="s">
        <v>330</v>
      </c>
      <c r="G1123" s="1225" t="s">
        <v>175</v>
      </c>
      <c r="H1123" s="1225" t="s">
        <v>446</v>
      </c>
      <c r="I1123" s="1224" t="s">
        <v>274</v>
      </c>
      <c r="J1123" s="1224" t="s">
        <v>1311</v>
      </c>
      <c r="K1123" s="1225" t="s">
        <v>3022</v>
      </c>
      <c r="L1123" s="1224" t="s">
        <v>2768</v>
      </c>
      <c r="M1123" s="1224" t="s">
        <v>2677</v>
      </c>
      <c r="N1123" s="1225" t="s">
        <v>2685</v>
      </c>
      <c r="O1123" s="1224" t="s">
        <v>310</v>
      </c>
      <c r="P1123" s="1224" t="s">
        <v>291</v>
      </c>
      <c r="Q1123" s="1224" t="s">
        <v>294</v>
      </c>
      <c r="R1123" s="1224">
        <v>2000000.01</v>
      </c>
      <c r="S1123" s="1224">
        <v>2500000</v>
      </c>
      <c r="T1123" s="1224">
        <v>0</v>
      </c>
      <c r="U1123" s="1224">
        <v>0</v>
      </c>
      <c r="V1123" s="1224">
        <v>0</v>
      </c>
      <c r="W1123" s="1224">
        <v>50</v>
      </c>
      <c r="X1123" s="1224">
        <v>0</v>
      </c>
      <c r="Y1123" s="1224">
        <v>999</v>
      </c>
      <c r="Z1123" s="1226">
        <v>700</v>
      </c>
      <c r="AA1123" s="1226">
        <v>719</v>
      </c>
      <c r="AB1123" s="1226">
        <v>6</v>
      </c>
      <c r="AC1123" s="1226">
        <v>999999</v>
      </c>
      <c r="AD1123" s="1224">
        <v>0</v>
      </c>
      <c r="AE1123" s="1227">
        <v>80</v>
      </c>
      <c r="AF1123" s="170">
        <v>0</v>
      </c>
      <c r="AG1123" s="171">
        <v>1</v>
      </c>
      <c r="AH1123" s="171">
        <v>1</v>
      </c>
      <c r="AI1123" s="171">
        <v>0</v>
      </c>
      <c r="AJ1123" s="171">
        <v>0</v>
      </c>
      <c r="AK1123" s="171">
        <v>0</v>
      </c>
      <c r="AL1123" s="171">
        <v>0</v>
      </c>
      <c r="AM1123" s="171">
        <v>1</v>
      </c>
      <c r="AN1123" s="171">
        <v>1</v>
      </c>
      <c r="AO1123" s="171">
        <v>1</v>
      </c>
      <c r="AP1123" s="171">
        <v>1</v>
      </c>
      <c r="AQ1123" s="171">
        <v>1</v>
      </c>
      <c r="AR1123" s="171">
        <v>1</v>
      </c>
      <c r="AS1123" s="171">
        <v>1</v>
      </c>
      <c r="AT1123" s="171">
        <v>1</v>
      </c>
      <c r="AU1123" s="171">
        <f t="shared" si="419"/>
        <v>0</v>
      </c>
      <c r="AV1123" s="171">
        <f t="shared" si="420"/>
        <v>0</v>
      </c>
      <c r="AW1123" s="171">
        <f t="shared" si="421"/>
        <v>1</v>
      </c>
      <c r="AX1123" s="171">
        <f t="shared" si="414"/>
        <v>1</v>
      </c>
      <c r="AY1123" s="171">
        <f t="shared" si="422"/>
        <v>0</v>
      </c>
      <c r="AZ1123" s="171">
        <f t="shared" si="423"/>
        <v>1</v>
      </c>
      <c r="BA1123" s="172">
        <f t="shared" si="424"/>
        <v>1</v>
      </c>
      <c r="BB1123" s="175">
        <f t="shared" si="425"/>
        <v>14</v>
      </c>
      <c r="BC1123" s="176">
        <f t="shared" si="426"/>
        <v>13</v>
      </c>
      <c r="BD1123" s="176">
        <f t="shared" si="427"/>
        <v>14</v>
      </c>
      <c r="BE1123" s="240" t="str">
        <f t="shared" si="418"/>
        <v/>
      </c>
      <c r="BF1123" s="990"/>
      <c r="BG1123" s="990"/>
      <c r="BH1123" s="991">
        <f>IF(AND(Input_Product=Elig!$C1123,Elig_MatchAll_Ct&lt;22,$BC1123=(Elig_MatchAll_Ct-1),AF1123=0),C1123,0)</f>
        <v>0</v>
      </c>
      <c r="BI1123" s="991">
        <f>IF(AND(Input_Product=Elig!$C1123,Elig_MatchAll_Ct&lt;22,$BC1123=(Elig_MatchAll_Ct-1),AG1123=0),D1123,0)</f>
        <v>0</v>
      </c>
      <c r="BJ1123" s="991">
        <f>IF(AND(Input_Product=Elig!$C1123,Elig_MatchAll_Ct&lt;22,$BC1123=(Elig_MatchAll_Ct-1),AH1123=0),E1123,0)</f>
        <v>0</v>
      </c>
      <c r="BK1123" s="991">
        <f>IF(AND(Input_Product=Elig!$C1123,Elig_MatchAll_Ct&lt;22,$BC1123=(Elig_MatchAll_Ct-1),AI1123=0),F1123,0)</f>
        <v>0</v>
      </c>
      <c r="BL1123" s="991">
        <f>IF(AND(Input_Product=Elig!$C1123,Elig_MatchAll_Ct&lt;22,$BC1123=(Elig_MatchAll_Ct-1),AJ1123=0),G1123,0)</f>
        <v>0</v>
      </c>
      <c r="BM1123" s="991">
        <f>IF(AND(Input_Product=Elig!$C1123,Elig_MatchAll_Ct&lt;22,$BC1123=(Elig_MatchAll_Ct-1),AK1123=0),H1123,0)</f>
        <v>0</v>
      </c>
      <c r="BN1123" s="991">
        <f>IF(AND(Input_Product=Elig!$C1123,Elig_MatchAll_Ct&lt;22,$BC1123=(Elig_MatchAll_Ct-1),AL1123=0),I1123,0)</f>
        <v>0</v>
      </c>
      <c r="BO1123" s="991">
        <f>IF(AND(Input_Product=Elig!$C1123,Elig_MatchAll_Ct&lt;22,$BC1123=(Elig_MatchAll_Ct-1),AM1123=0),J1123,0)</f>
        <v>0</v>
      </c>
      <c r="BP1123" s="991">
        <f>IF(AND(Input_Product=Elig!$C1123,Elig_MatchAll_Ct&lt;22,$BC1123=(Elig_MatchAll_Ct-1),AN1123=0),K1123,0)</f>
        <v>0</v>
      </c>
      <c r="BQ1123" s="991">
        <f>IF(AND(Input_Product=Elig!$C1123,Elig_MatchAll_Ct&lt;22,$BC1123=(Elig_MatchAll_Ct-1),AP1123=0),L1123,0)</f>
        <v>0</v>
      </c>
      <c r="BR1123" s="991">
        <f>IF(AND(Input_Product=Elig!$C1123,Elig_MatchAll_Ct&lt;22,$BC1123=(Elig_MatchAll_Ct-1),AO1123=0),M1123,0)</f>
        <v>0</v>
      </c>
      <c r="BS1123" s="991">
        <f>IF(AND(Input_Product=Elig!$C1123,Elig_MatchAll_Ct&lt;22,$BC1123=(Elig_MatchAll_Ct-1),AQ1123=0),N1123,0)</f>
        <v>0</v>
      </c>
      <c r="BT1123" s="991">
        <f>IF(AND(Input_Product=Elig!$C1123,Elig_MatchAll_Ct&lt;22,$BC1123=(Elig_MatchAll_Ct-1),AR1123=0),O1123,0)</f>
        <v>0</v>
      </c>
      <c r="BU1123" s="991">
        <f>IF(AND(Input_Product=Elig!$C1123,Elig_MatchAll_Ct&lt;22,$BC1123=(Elig_MatchAll_Ct-1),AS1123=0),P1123,0)</f>
        <v>0</v>
      </c>
      <c r="BV1123" s="992">
        <f>IF(AND(Input_Product=Elig!$C1123,Elig_MatchAll_Ct&lt;22,$BC1123=(Elig_MatchAll_Ct-1),AT1123=0),Q1123,0)</f>
        <v>0</v>
      </c>
      <c r="BW1123" s="993">
        <f>IF(AND(Input_Product=Elig!$C1123,Elig_MatchAll_Ct&lt;22,$BC1123=(Elig_MatchAll_Ct-1),AU1123=0),R1123,0)</f>
        <v>0</v>
      </c>
      <c r="BX1123" s="994">
        <f>IF(AND(Input_Product=Elig!$C1123,Elig_MatchAll_Ct&lt;22,$BC1123=(Elig_MatchAll_Ct-1),AU1123=0),S1123,0)</f>
        <v>0</v>
      </c>
      <c r="BY1123" s="993">
        <f>IF(AND(Input_Product=Elig!$C1123,Elig_MatchAll_Ct&lt;22,$BC1123=(Elig_MatchAll_Ct-1),AV1123=0),T1123,0)</f>
        <v>0</v>
      </c>
      <c r="BZ1123" s="994">
        <f>IF(AND(Input_Product=Elig!$C1123,Elig_MatchAll_Ct&lt;22,$BC1123=(Elig_MatchAll_Ct-1),AV1123=0),U1123,0)</f>
        <v>0</v>
      </c>
      <c r="CA1123" s="993">
        <f>IF(AND(Input_Product=Elig!$C1123,Elig_MatchAll_Ct&lt;22,$BC1123=(Elig_MatchAll_Ct-1),AW1123=0),V1123,0)</f>
        <v>0</v>
      </c>
      <c r="CB1123" s="994">
        <f>IF(AND(Input_Product=Elig!$C1123,Elig_MatchAll_Ct&lt;22,$BC1123=(Elig_MatchAll_Ct-1),AW1123=0),W1123,0)</f>
        <v>0</v>
      </c>
      <c r="CC1123" s="993">
        <f>IF(AND(Input_Product=Elig!$C1123,Elig_MatchAll_Ct&lt;22,$BC1123=(Elig_MatchAll_Ct-1),AX1123=0),X1123,0)</f>
        <v>0</v>
      </c>
      <c r="CD1123" s="994">
        <f>IF(AND(Input_Product=Elig!$C1123,Elig_MatchAll_Ct&lt;22,$BC1123=(Elig_MatchAll_Ct-1),AX1123=0),Y1123,0)</f>
        <v>0</v>
      </c>
      <c r="CE1123" s="993">
        <f>IF(AND(Input_LTV&lt;=AE1123,Input_Product=Elig!$C1123,Elig_MatchAll_Ct&lt;22,$BC1123=(Elig_MatchAll_Ct-1),AY1123=0),Z1123,0)</f>
        <v>0</v>
      </c>
      <c r="CF1123" s="994">
        <f>IF(AND(Input_LTV&lt;=AE1123,Input_Product=Elig!$C1123,Elig_MatchAll_Ct&lt;22,$BC1123=(Elig_MatchAll_Ct-1),AY1123=0),AA1123,0)</f>
        <v>0</v>
      </c>
      <c r="CG1123" s="993">
        <f>IF(AND(Input_Product=Elig!$C1123,Elig_MatchAll_Ct&lt;22,$BC1123=(Elig_MatchAll_Ct-1),AZ1123=0),AB1123,0)</f>
        <v>0</v>
      </c>
      <c r="CH1123" s="994">
        <f>IF(AND(Input_Product=Elig!$C1123,Elig_MatchAll_Ct&lt;22,$BC1123=(Elig_MatchAll_Ct-1),AZ1123=0),AC1123,0)</f>
        <v>0</v>
      </c>
      <c r="CI1123" s="993">
        <f>IF(AND(Input_Product=Elig!$C1123,Elig_MatchAll_Ct&lt;22,$BC1123=(Elig_MatchAll_Ct-1),BA1123=0),AD1123,0)</f>
        <v>0</v>
      </c>
      <c r="CJ1123" s="994">
        <f>IF(AND(Input_Product=Elig!$C1123,Elig_MatchAll_Ct&lt;22,$BC1123=(Elig_MatchAll_Ct-1),BA1123=0),AE1123,0)</f>
        <v>0</v>
      </c>
    </row>
    <row r="1124" spans="2:88" ht="10.15" customHeight="1" x14ac:dyDescent="0.25">
      <c r="B1124" s="1918" t="s">
        <v>2424</v>
      </c>
      <c r="C1124" s="1228" t="str">
        <f t="shared" ref="C1124:C1155" si="428">Input_Name_Product14</f>
        <v xml:space="preserve"> </v>
      </c>
      <c r="D1124" s="1229" t="s">
        <v>2218</v>
      </c>
      <c r="E1124" s="1229" t="s">
        <v>167</v>
      </c>
      <c r="F1124" s="1229" t="s">
        <v>330</v>
      </c>
      <c r="G1124" s="1230" t="s">
        <v>175</v>
      </c>
      <c r="H1124" s="1230" t="s">
        <v>446</v>
      </c>
      <c r="I1124" s="1229" t="s">
        <v>274</v>
      </c>
      <c r="J1124" s="1229" t="s">
        <v>1311</v>
      </c>
      <c r="K1124" s="1230" t="s">
        <v>3022</v>
      </c>
      <c r="L1124" s="1229" t="s">
        <v>2768</v>
      </c>
      <c r="M1124" s="1229" t="s">
        <v>2677</v>
      </c>
      <c r="N1124" s="1230" t="s">
        <v>2685</v>
      </c>
      <c r="O1124" s="1229" t="s">
        <v>310</v>
      </c>
      <c r="P1124" s="1229" t="s">
        <v>291</v>
      </c>
      <c r="Q1124" s="1229" t="s">
        <v>294</v>
      </c>
      <c r="R1124" s="1229">
        <v>2000000.01</v>
      </c>
      <c r="S1124" s="1229">
        <v>2500000</v>
      </c>
      <c r="T1124" s="1229">
        <v>0</v>
      </c>
      <c r="U1124" s="1229">
        <v>0</v>
      </c>
      <c r="V1124" s="1229">
        <v>0</v>
      </c>
      <c r="W1124" s="1229">
        <v>50</v>
      </c>
      <c r="X1124" s="1229">
        <v>0</v>
      </c>
      <c r="Y1124" s="1229">
        <v>999</v>
      </c>
      <c r="Z1124" s="1231">
        <v>680</v>
      </c>
      <c r="AA1124" s="1231">
        <v>699</v>
      </c>
      <c r="AB1124" s="1231">
        <v>6</v>
      </c>
      <c r="AC1124" s="1231">
        <v>999999</v>
      </c>
      <c r="AD1124" s="1229">
        <v>0</v>
      </c>
      <c r="AE1124" s="1232">
        <v>75</v>
      </c>
      <c r="AF1124" s="170">
        <v>0</v>
      </c>
      <c r="AG1124" s="171">
        <v>1</v>
      </c>
      <c r="AH1124" s="171">
        <v>1</v>
      </c>
      <c r="AI1124" s="171">
        <v>0</v>
      </c>
      <c r="AJ1124" s="171">
        <v>0</v>
      </c>
      <c r="AK1124" s="171">
        <v>0</v>
      </c>
      <c r="AL1124" s="171">
        <v>0</v>
      </c>
      <c r="AM1124" s="171">
        <v>1</v>
      </c>
      <c r="AN1124" s="171">
        <v>1</v>
      </c>
      <c r="AO1124" s="171">
        <v>1</v>
      </c>
      <c r="AP1124" s="171">
        <v>1</v>
      </c>
      <c r="AQ1124" s="171">
        <v>1</v>
      </c>
      <c r="AR1124" s="171">
        <v>1</v>
      </c>
      <c r="AS1124" s="171">
        <v>1</v>
      </c>
      <c r="AT1124" s="171">
        <v>1</v>
      </c>
      <c r="AU1124" s="171">
        <f t="shared" si="419"/>
        <v>0</v>
      </c>
      <c r="AV1124" s="171">
        <f t="shared" si="420"/>
        <v>0</v>
      </c>
      <c r="AW1124" s="171">
        <f t="shared" si="421"/>
        <v>1</v>
      </c>
      <c r="AX1124" s="171">
        <f t="shared" si="414"/>
        <v>1</v>
      </c>
      <c r="AY1124" s="171">
        <f t="shared" si="422"/>
        <v>0</v>
      </c>
      <c r="AZ1124" s="171">
        <f t="shared" si="423"/>
        <v>1</v>
      </c>
      <c r="BA1124" s="172">
        <f t="shared" si="424"/>
        <v>1</v>
      </c>
      <c r="BB1124" s="175">
        <f t="shared" si="425"/>
        <v>14</v>
      </c>
      <c r="BC1124" s="176">
        <f t="shared" si="426"/>
        <v>13</v>
      </c>
      <c r="BD1124" s="176">
        <f t="shared" si="427"/>
        <v>14</v>
      </c>
      <c r="BE1124" s="240" t="str">
        <f t="shared" si="418"/>
        <v/>
      </c>
      <c r="BF1124" s="990"/>
      <c r="BG1124" s="990"/>
      <c r="BH1124" s="991">
        <f>IF(AND(Input_Product=Elig!$C1124,Elig_MatchAll_Ct&lt;22,$BC1124=(Elig_MatchAll_Ct-1),AF1124=0),C1124,0)</f>
        <v>0</v>
      </c>
      <c r="BI1124" s="991">
        <f>IF(AND(Input_Product=Elig!$C1124,Elig_MatchAll_Ct&lt;22,$BC1124=(Elig_MatchAll_Ct-1),AG1124=0),D1124,0)</f>
        <v>0</v>
      </c>
      <c r="BJ1124" s="991">
        <f>IF(AND(Input_Product=Elig!$C1124,Elig_MatchAll_Ct&lt;22,$BC1124=(Elig_MatchAll_Ct-1),AH1124=0),E1124,0)</f>
        <v>0</v>
      </c>
      <c r="BK1124" s="991">
        <f>IF(AND(Input_Product=Elig!$C1124,Elig_MatchAll_Ct&lt;22,$BC1124=(Elig_MatchAll_Ct-1),AI1124=0),F1124,0)</f>
        <v>0</v>
      </c>
      <c r="BL1124" s="991">
        <f>IF(AND(Input_Product=Elig!$C1124,Elig_MatchAll_Ct&lt;22,$BC1124=(Elig_MatchAll_Ct-1),AJ1124=0),G1124,0)</f>
        <v>0</v>
      </c>
      <c r="BM1124" s="991">
        <f>IF(AND(Input_Product=Elig!$C1124,Elig_MatchAll_Ct&lt;22,$BC1124=(Elig_MatchAll_Ct-1),AK1124=0),H1124,0)</f>
        <v>0</v>
      </c>
      <c r="BN1124" s="991">
        <f>IF(AND(Input_Product=Elig!$C1124,Elig_MatchAll_Ct&lt;22,$BC1124=(Elig_MatchAll_Ct-1),AL1124=0),I1124,0)</f>
        <v>0</v>
      </c>
      <c r="BO1124" s="991">
        <f>IF(AND(Input_Product=Elig!$C1124,Elig_MatchAll_Ct&lt;22,$BC1124=(Elig_MatchAll_Ct-1),AM1124=0),J1124,0)</f>
        <v>0</v>
      </c>
      <c r="BP1124" s="991">
        <f>IF(AND(Input_Product=Elig!$C1124,Elig_MatchAll_Ct&lt;22,$BC1124=(Elig_MatchAll_Ct-1),AN1124=0),K1124,0)</f>
        <v>0</v>
      </c>
      <c r="BQ1124" s="991">
        <f>IF(AND(Input_Product=Elig!$C1124,Elig_MatchAll_Ct&lt;22,$BC1124=(Elig_MatchAll_Ct-1),AP1124=0),L1124,0)</f>
        <v>0</v>
      </c>
      <c r="BR1124" s="991">
        <f>IF(AND(Input_Product=Elig!$C1124,Elig_MatchAll_Ct&lt;22,$BC1124=(Elig_MatchAll_Ct-1),AO1124=0),M1124,0)</f>
        <v>0</v>
      </c>
      <c r="BS1124" s="991">
        <f>IF(AND(Input_Product=Elig!$C1124,Elig_MatchAll_Ct&lt;22,$BC1124=(Elig_MatchAll_Ct-1),AQ1124=0),N1124,0)</f>
        <v>0</v>
      </c>
      <c r="BT1124" s="991">
        <f>IF(AND(Input_Product=Elig!$C1124,Elig_MatchAll_Ct&lt;22,$BC1124=(Elig_MatchAll_Ct-1),AR1124=0),O1124,0)</f>
        <v>0</v>
      </c>
      <c r="BU1124" s="991">
        <f>IF(AND(Input_Product=Elig!$C1124,Elig_MatchAll_Ct&lt;22,$BC1124=(Elig_MatchAll_Ct-1),AS1124=0),P1124,0)</f>
        <v>0</v>
      </c>
      <c r="BV1124" s="992">
        <f>IF(AND(Input_Product=Elig!$C1124,Elig_MatchAll_Ct&lt;22,$BC1124=(Elig_MatchAll_Ct-1),AT1124=0),Q1124,0)</f>
        <v>0</v>
      </c>
      <c r="BW1124" s="993">
        <f>IF(AND(Input_Product=Elig!$C1124,Elig_MatchAll_Ct&lt;22,$BC1124=(Elig_MatchAll_Ct-1),AU1124=0),R1124,0)</f>
        <v>0</v>
      </c>
      <c r="BX1124" s="994">
        <f>IF(AND(Input_Product=Elig!$C1124,Elig_MatchAll_Ct&lt;22,$BC1124=(Elig_MatchAll_Ct-1),AU1124=0),S1124,0)</f>
        <v>0</v>
      </c>
      <c r="BY1124" s="993">
        <f>IF(AND(Input_Product=Elig!$C1124,Elig_MatchAll_Ct&lt;22,$BC1124=(Elig_MatchAll_Ct-1),AV1124=0),T1124,0)</f>
        <v>0</v>
      </c>
      <c r="BZ1124" s="994">
        <f>IF(AND(Input_Product=Elig!$C1124,Elig_MatchAll_Ct&lt;22,$BC1124=(Elig_MatchAll_Ct-1),AV1124=0),U1124,0)</f>
        <v>0</v>
      </c>
      <c r="CA1124" s="993">
        <f>IF(AND(Input_Product=Elig!$C1124,Elig_MatchAll_Ct&lt;22,$BC1124=(Elig_MatchAll_Ct-1),AW1124=0),V1124,0)</f>
        <v>0</v>
      </c>
      <c r="CB1124" s="994">
        <f>IF(AND(Input_Product=Elig!$C1124,Elig_MatchAll_Ct&lt;22,$BC1124=(Elig_MatchAll_Ct-1),AW1124=0),W1124,0)</f>
        <v>0</v>
      </c>
      <c r="CC1124" s="993">
        <f>IF(AND(Input_Product=Elig!$C1124,Elig_MatchAll_Ct&lt;22,$BC1124=(Elig_MatchAll_Ct-1),AX1124=0),X1124,0)</f>
        <v>0</v>
      </c>
      <c r="CD1124" s="994">
        <f>IF(AND(Input_Product=Elig!$C1124,Elig_MatchAll_Ct&lt;22,$BC1124=(Elig_MatchAll_Ct-1),AX1124=0),Y1124,0)</f>
        <v>0</v>
      </c>
      <c r="CE1124" s="993">
        <f>IF(AND(Input_LTV&lt;=AE1124,Input_Product=Elig!$C1124,Elig_MatchAll_Ct&lt;22,$BC1124=(Elig_MatchAll_Ct-1),AY1124=0),Z1124,0)</f>
        <v>0</v>
      </c>
      <c r="CF1124" s="994">
        <f>IF(AND(Input_LTV&lt;=AE1124,Input_Product=Elig!$C1124,Elig_MatchAll_Ct&lt;22,$BC1124=(Elig_MatchAll_Ct-1),AY1124=0),AA1124,0)</f>
        <v>0</v>
      </c>
      <c r="CG1124" s="993">
        <f>IF(AND(Input_Product=Elig!$C1124,Elig_MatchAll_Ct&lt;22,$BC1124=(Elig_MatchAll_Ct-1),AZ1124=0),AB1124,0)</f>
        <v>0</v>
      </c>
      <c r="CH1124" s="994">
        <f>IF(AND(Input_Product=Elig!$C1124,Elig_MatchAll_Ct&lt;22,$BC1124=(Elig_MatchAll_Ct-1),AZ1124=0),AC1124,0)</f>
        <v>0</v>
      </c>
      <c r="CI1124" s="993">
        <f>IF(AND(Input_Product=Elig!$C1124,Elig_MatchAll_Ct&lt;22,$BC1124=(Elig_MatchAll_Ct-1),BA1124=0),AD1124,0)</f>
        <v>0</v>
      </c>
      <c r="CJ1124" s="994">
        <f>IF(AND(Input_Product=Elig!$C1124,Elig_MatchAll_Ct&lt;22,$BC1124=(Elig_MatchAll_Ct-1),BA1124=0),AE1124,0)</f>
        <v>0</v>
      </c>
    </row>
    <row r="1125" spans="2:88" ht="10.15" customHeight="1" x14ac:dyDescent="0.25">
      <c r="B1125" s="1918" t="s">
        <v>2425</v>
      </c>
      <c r="C1125" s="1218" t="str">
        <f t="shared" si="428"/>
        <v xml:space="preserve"> </v>
      </c>
      <c r="D1125" s="1219" t="s">
        <v>2218</v>
      </c>
      <c r="E1125" s="1219" t="s">
        <v>167</v>
      </c>
      <c r="F1125" s="1219" t="s">
        <v>330</v>
      </c>
      <c r="G1125" s="1220" t="s">
        <v>175</v>
      </c>
      <c r="H1125" s="1220" t="s">
        <v>446</v>
      </c>
      <c r="I1125" s="1219" t="s">
        <v>274</v>
      </c>
      <c r="J1125" s="1219" t="s">
        <v>1311</v>
      </c>
      <c r="K1125" s="1220" t="s">
        <v>3022</v>
      </c>
      <c r="L1125" s="1219" t="s">
        <v>2768</v>
      </c>
      <c r="M1125" s="1219" t="s">
        <v>2677</v>
      </c>
      <c r="N1125" s="1220" t="s">
        <v>2685</v>
      </c>
      <c r="O1125" s="1219" t="s">
        <v>310</v>
      </c>
      <c r="P1125" s="1219" t="s">
        <v>291</v>
      </c>
      <c r="Q1125" s="1219" t="s">
        <v>294</v>
      </c>
      <c r="R1125" s="1219">
        <v>2500000.0099999998</v>
      </c>
      <c r="S1125" s="1219">
        <v>3000000</v>
      </c>
      <c r="T1125" s="1219">
        <v>0</v>
      </c>
      <c r="U1125" s="1219">
        <v>0</v>
      </c>
      <c r="V1125" s="1219">
        <v>0</v>
      </c>
      <c r="W1125" s="1219">
        <v>50</v>
      </c>
      <c r="X1125" s="1219">
        <v>0</v>
      </c>
      <c r="Y1125" s="1219">
        <v>999</v>
      </c>
      <c r="Z1125" s="1221">
        <v>720</v>
      </c>
      <c r="AA1125" s="1221">
        <v>999</v>
      </c>
      <c r="AB1125" s="1221">
        <v>6</v>
      </c>
      <c r="AC1125" s="1221">
        <v>999999</v>
      </c>
      <c r="AD1125" s="1219">
        <v>0</v>
      </c>
      <c r="AE1125" s="1222">
        <v>75</v>
      </c>
      <c r="AF1125" s="170">
        <v>0</v>
      </c>
      <c r="AG1125" s="171">
        <v>1</v>
      </c>
      <c r="AH1125" s="171">
        <v>1</v>
      </c>
      <c r="AI1125" s="171">
        <v>0</v>
      </c>
      <c r="AJ1125" s="171">
        <v>0</v>
      </c>
      <c r="AK1125" s="171">
        <v>0</v>
      </c>
      <c r="AL1125" s="171">
        <v>0</v>
      </c>
      <c r="AM1125" s="171">
        <v>1</v>
      </c>
      <c r="AN1125" s="171">
        <v>1</v>
      </c>
      <c r="AO1125" s="171">
        <v>1</v>
      </c>
      <c r="AP1125" s="171">
        <v>1</v>
      </c>
      <c r="AQ1125" s="171">
        <v>1</v>
      </c>
      <c r="AR1125" s="171">
        <v>1</v>
      </c>
      <c r="AS1125" s="171">
        <v>1</v>
      </c>
      <c r="AT1125" s="171">
        <v>1</v>
      </c>
      <c r="AU1125" s="171">
        <f t="shared" si="419"/>
        <v>0</v>
      </c>
      <c r="AV1125" s="171">
        <f t="shared" si="420"/>
        <v>0</v>
      </c>
      <c r="AW1125" s="171">
        <f t="shared" si="421"/>
        <v>1</v>
      </c>
      <c r="AX1125" s="171">
        <f t="shared" ref="AX1125:AX1188" si="429">IF(AND(Input_DSCR&gt;=Elig_DSCR_Min,Input_DSCR&lt;=Elig_DSCR_Max),1,0)</f>
        <v>1</v>
      </c>
      <c r="AY1125" s="171">
        <f t="shared" si="422"/>
        <v>1</v>
      </c>
      <c r="AZ1125" s="171">
        <f t="shared" si="423"/>
        <v>1</v>
      </c>
      <c r="BA1125" s="172">
        <f t="shared" si="424"/>
        <v>1</v>
      </c>
      <c r="BB1125" s="175">
        <f t="shared" si="425"/>
        <v>15</v>
      </c>
      <c r="BC1125" s="176">
        <f t="shared" si="426"/>
        <v>14</v>
      </c>
      <c r="BD1125" s="176">
        <f t="shared" si="427"/>
        <v>15</v>
      </c>
      <c r="BE1125" s="240" t="str">
        <f t="shared" si="418"/>
        <v/>
      </c>
      <c r="BF1125" s="990"/>
      <c r="BG1125" s="990"/>
      <c r="BH1125" s="991">
        <f>IF(AND(Input_Product=Elig!$C1125,Elig_MatchAll_Ct&lt;22,$BC1125=(Elig_MatchAll_Ct-1),AF1125=0),C1125,0)</f>
        <v>0</v>
      </c>
      <c r="BI1125" s="991">
        <f>IF(AND(Input_Product=Elig!$C1125,Elig_MatchAll_Ct&lt;22,$BC1125=(Elig_MatchAll_Ct-1),AG1125=0),D1125,0)</f>
        <v>0</v>
      </c>
      <c r="BJ1125" s="991">
        <f>IF(AND(Input_Product=Elig!$C1125,Elig_MatchAll_Ct&lt;22,$BC1125=(Elig_MatchAll_Ct-1),AH1125=0),E1125,0)</f>
        <v>0</v>
      </c>
      <c r="BK1125" s="991">
        <f>IF(AND(Input_Product=Elig!$C1125,Elig_MatchAll_Ct&lt;22,$BC1125=(Elig_MatchAll_Ct-1),AI1125=0),F1125,0)</f>
        <v>0</v>
      </c>
      <c r="BL1125" s="991">
        <f>IF(AND(Input_Product=Elig!$C1125,Elig_MatchAll_Ct&lt;22,$BC1125=(Elig_MatchAll_Ct-1),AJ1125=0),G1125,0)</f>
        <v>0</v>
      </c>
      <c r="BM1125" s="991">
        <f>IF(AND(Input_Product=Elig!$C1125,Elig_MatchAll_Ct&lt;22,$BC1125=(Elig_MatchAll_Ct-1),AK1125=0),H1125,0)</f>
        <v>0</v>
      </c>
      <c r="BN1125" s="991">
        <f>IF(AND(Input_Product=Elig!$C1125,Elig_MatchAll_Ct&lt;22,$BC1125=(Elig_MatchAll_Ct-1),AL1125=0),I1125,0)</f>
        <v>0</v>
      </c>
      <c r="BO1125" s="991">
        <f>IF(AND(Input_Product=Elig!$C1125,Elig_MatchAll_Ct&lt;22,$BC1125=(Elig_MatchAll_Ct-1),AM1125=0),J1125,0)</f>
        <v>0</v>
      </c>
      <c r="BP1125" s="991">
        <f>IF(AND(Input_Product=Elig!$C1125,Elig_MatchAll_Ct&lt;22,$BC1125=(Elig_MatchAll_Ct-1),AN1125=0),K1125,0)</f>
        <v>0</v>
      </c>
      <c r="BQ1125" s="991">
        <f>IF(AND(Input_Product=Elig!$C1125,Elig_MatchAll_Ct&lt;22,$BC1125=(Elig_MatchAll_Ct-1),AP1125=0),L1125,0)</f>
        <v>0</v>
      </c>
      <c r="BR1125" s="991">
        <f>IF(AND(Input_Product=Elig!$C1125,Elig_MatchAll_Ct&lt;22,$BC1125=(Elig_MatchAll_Ct-1),AO1125=0),M1125,0)</f>
        <v>0</v>
      </c>
      <c r="BS1125" s="991">
        <f>IF(AND(Input_Product=Elig!$C1125,Elig_MatchAll_Ct&lt;22,$BC1125=(Elig_MatchAll_Ct-1),AQ1125=0),N1125,0)</f>
        <v>0</v>
      </c>
      <c r="BT1125" s="991">
        <f>IF(AND(Input_Product=Elig!$C1125,Elig_MatchAll_Ct&lt;22,$BC1125=(Elig_MatchAll_Ct-1),AR1125=0),O1125,0)</f>
        <v>0</v>
      </c>
      <c r="BU1125" s="991">
        <f>IF(AND(Input_Product=Elig!$C1125,Elig_MatchAll_Ct&lt;22,$BC1125=(Elig_MatchAll_Ct-1),AS1125=0),P1125,0)</f>
        <v>0</v>
      </c>
      <c r="BV1125" s="992">
        <f>IF(AND(Input_Product=Elig!$C1125,Elig_MatchAll_Ct&lt;22,$BC1125=(Elig_MatchAll_Ct-1),AT1125=0),Q1125,0)</f>
        <v>0</v>
      </c>
      <c r="BW1125" s="993">
        <f>IF(AND(Input_Product=Elig!$C1125,Elig_MatchAll_Ct&lt;22,$BC1125=(Elig_MatchAll_Ct-1),AU1125=0),R1125,0)</f>
        <v>0</v>
      </c>
      <c r="BX1125" s="994">
        <f>IF(AND(Input_Product=Elig!$C1125,Elig_MatchAll_Ct&lt;22,$BC1125=(Elig_MatchAll_Ct-1),AU1125=0),S1125,0)</f>
        <v>0</v>
      </c>
      <c r="BY1125" s="993">
        <f>IF(AND(Input_Product=Elig!$C1125,Elig_MatchAll_Ct&lt;22,$BC1125=(Elig_MatchAll_Ct-1),AV1125=0),T1125,0)</f>
        <v>0</v>
      </c>
      <c r="BZ1125" s="994">
        <f>IF(AND(Input_Product=Elig!$C1125,Elig_MatchAll_Ct&lt;22,$BC1125=(Elig_MatchAll_Ct-1),AV1125=0),U1125,0)</f>
        <v>0</v>
      </c>
      <c r="CA1125" s="993">
        <f>IF(AND(Input_Product=Elig!$C1125,Elig_MatchAll_Ct&lt;22,$BC1125=(Elig_MatchAll_Ct-1),AW1125=0),V1125,0)</f>
        <v>0</v>
      </c>
      <c r="CB1125" s="994">
        <f>IF(AND(Input_Product=Elig!$C1125,Elig_MatchAll_Ct&lt;22,$BC1125=(Elig_MatchAll_Ct-1),AW1125=0),W1125,0)</f>
        <v>0</v>
      </c>
      <c r="CC1125" s="993">
        <f>IF(AND(Input_Product=Elig!$C1125,Elig_MatchAll_Ct&lt;22,$BC1125=(Elig_MatchAll_Ct-1),AX1125=0),X1125,0)</f>
        <v>0</v>
      </c>
      <c r="CD1125" s="994">
        <f>IF(AND(Input_Product=Elig!$C1125,Elig_MatchAll_Ct&lt;22,$BC1125=(Elig_MatchAll_Ct-1),AX1125=0),Y1125,0)</f>
        <v>0</v>
      </c>
      <c r="CE1125" s="993">
        <f>IF(AND(Input_LTV&lt;=AE1125,Input_Product=Elig!$C1125,Elig_MatchAll_Ct&lt;22,$BC1125=(Elig_MatchAll_Ct-1),AY1125=0),Z1125,0)</f>
        <v>0</v>
      </c>
      <c r="CF1125" s="994">
        <f>IF(AND(Input_LTV&lt;=AE1125,Input_Product=Elig!$C1125,Elig_MatchAll_Ct&lt;22,$BC1125=(Elig_MatchAll_Ct-1),AY1125=0),AA1125,0)</f>
        <v>0</v>
      </c>
      <c r="CG1125" s="993">
        <f>IF(AND(Input_Product=Elig!$C1125,Elig_MatchAll_Ct&lt;22,$BC1125=(Elig_MatchAll_Ct-1),AZ1125=0),AB1125,0)</f>
        <v>0</v>
      </c>
      <c r="CH1125" s="994">
        <f>IF(AND(Input_Product=Elig!$C1125,Elig_MatchAll_Ct&lt;22,$BC1125=(Elig_MatchAll_Ct-1),AZ1125=0),AC1125,0)</f>
        <v>0</v>
      </c>
      <c r="CI1125" s="993">
        <f>IF(AND(Input_Product=Elig!$C1125,Elig_MatchAll_Ct&lt;22,$BC1125=(Elig_MatchAll_Ct-1),BA1125=0),AD1125,0)</f>
        <v>0</v>
      </c>
      <c r="CJ1125" s="994">
        <f>IF(AND(Input_Product=Elig!$C1125,Elig_MatchAll_Ct&lt;22,$BC1125=(Elig_MatchAll_Ct-1),BA1125=0),AE1125,0)</f>
        <v>0</v>
      </c>
    </row>
    <row r="1126" spans="2:88" ht="10.15" customHeight="1" x14ac:dyDescent="0.25">
      <c r="B1126" s="1918" t="s">
        <v>2426</v>
      </c>
      <c r="C1126" s="1223" t="str">
        <f t="shared" si="428"/>
        <v xml:space="preserve"> </v>
      </c>
      <c r="D1126" s="1224" t="s">
        <v>2218</v>
      </c>
      <c r="E1126" s="1224" t="s">
        <v>167</v>
      </c>
      <c r="F1126" s="1224" t="s">
        <v>330</v>
      </c>
      <c r="G1126" s="1225" t="s">
        <v>175</v>
      </c>
      <c r="H1126" s="1225" t="s">
        <v>446</v>
      </c>
      <c r="I1126" s="1224" t="s">
        <v>274</v>
      </c>
      <c r="J1126" s="1224" t="s">
        <v>1311</v>
      </c>
      <c r="K1126" s="1225" t="s">
        <v>3022</v>
      </c>
      <c r="L1126" s="1224" t="s">
        <v>2768</v>
      </c>
      <c r="M1126" s="1224" t="s">
        <v>2677</v>
      </c>
      <c r="N1126" s="1225" t="s">
        <v>2685</v>
      </c>
      <c r="O1126" s="1224" t="s">
        <v>310</v>
      </c>
      <c r="P1126" s="1224" t="s">
        <v>291</v>
      </c>
      <c r="Q1126" s="1224" t="s">
        <v>294</v>
      </c>
      <c r="R1126" s="1224">
        <v>2500000.0099999998</v>
      </c>
      <c r="S1126" s="1224">
        <v>3000000</v>
      </c>
      <c r="T1126" s="1224">
        <v>0</v>
      </c>
      <c r="U1126" s="1224">
        <v>0</v>
      </c>
      <c r="V1126" s="1224">
        <v>0</v>
      </c>
      <c r="W1126" s="1224">
        <v>50</v>
      </c>
      <c r="X1126" s="1224">
        <v>0</v>
      </c>
      <c r="Y1126" s="1224">
        <v>999</v>
      </c>
      <c r="Z1126" s="1226">
        <v>700</v>
      </c>
      <c r="AA1126" s="1226">
        <v>719</v>
      </c>
      <c r="AB1126" s="1226">
        <v>6</v>
      </c>
      <c r="AC1126" s="1226">
        <v>999999</v>
      </c>
      <c r="AD1126" s="1224">
        <v>0</v>
      </c>
      <c r="AE1126" s="1227">
        <v>75</v>
      </c>
      <c r="AF1126" s="170">
        <v>0</v>
      </c>
      <c r="AG1126" s="171">
        <v>1</v>
      </c>
      <c r="AH1126" s="171">
        <v>1</v>
      </c>
      <c r="AI1126" s="171">
        <v>0</v>
      </c>
      <c r="AJ1126" s="171">
        <v>0</v>
      </c>
      <c r="AK1126" s="171">
        <v>0</v>
      </c>
      <c r="AL1126" s="171">
        <v>0</v>
      </c>
      <c r="AM1126" s="171">
        <v>1</v>
      </c>
      <c r="AN1126" s="171">
        <v>1</v>
      </c>
      <c r="AO1126" s="171">
        <v>1</v>
      </c>
      <c r="AP1126" s="171">
        <v>1</v>
      </c>
      <c r="AQ1126" s="171">
        <v>1</v>
      </c>
      <c r="AR1126" s="171">
        <v>1</v>
      </c>
      <c r="AS1126" s="171">
        <v>1</v>
      </c>
      <c r="AT1126" s="171">
        <v>1</v>
      </c>
      <c r="AU1126" s="171">
        <f t="shared" si="419"/>
        <v>0</v>
      </c>
      <c r="AV1126" s="171">
        <f t="shared" si="420"/>
        <v>0</v>
      </c>
      <c r="AW1126" s="171">
        <f t="shared" si="421"/>
        <v>1</v>
      </c>
      <c r="AX1126" s="171">
        <f t="shared" si="429"/>
        <v>1</v>
      </c>
      <c r="AY1126" s="171">
        <f t="shared" si="422"/>
        <v>0</v>
      </c>
      <c r="AZ1126" s="171">
        <f t="shared" si="423"/>
        <v>1</v>
      </c>
      <c r="BA1126" s="172">
        <f t="shared" si="424"/>
        <v>1</v>
      </c>
      <c r="BB1126" s="175">
        <f t="shared" si="425"/>
        <v>14</v>
      </c>
      <c r="BC1126" s="176">
        <f t="shared" si="426"/>
        <v>13</v>
      </c>
      <c r="BD1126" s="176">
        <f t="shared" si="427"/>
        <v>14</v>
      </c>
      <c r="BE1126" s="240" t="str">
        <f t="shared" si="418"/>
        <v/>
      </c>
      <c r="BF1126" s="990"/>
      <c r="BG1126" s="990"/>
      <c r="BH1126" s="991">
        <f>IF(AND(Input_Product=Elig!$C1126,Elig_MatchAll_Ct&lt;22,$BC1126=(Elig_MatchAll_Ct-1),AF1126=0),C1126,0)</f>
        <v>0</v>
      </c>
      <c r="BI1126" s="991">
        <f>IF(AND(Input_Product=Elig!$C1126,Elig_MatchAll_Ct&lt;22,$BC1126=(Elig_MatchAll_Ct-1),AG1126=0),D1126,0)</f>
        <v>0</v>
      </c>
      <c r="BJ1126" s="991">
        <f>IF(AND(Input_Product=Elig!$C1126,Elig_MatchAll_Ct&lt;22,$BC1126=(Elig_MatchAll_Ct-1),AH1126=0),E1126,0)</f>
        <v>0</v>
      </c>
      <c r="BK1126" s="991">
        <f>IF(AND(Input_Product=Elig!$C1126,Elig_MatchAll_Ct&lt;22,$BC1126=(Elig_MatchAll_Ct-1),AI1126=0),F1126,0)</f>
        <v>0</v>
      </c>
      <c r="BL1126" s="991">
        <f>IF(AND(Input_Product=Elig!$C1126,Elig_MatchAll_Ct&lt;22,$BC1126=(Elig_MatchAll_Ct-1),AJ1126=0),G1126,0)</f>
        <v>0</v>
      </c>
      <c r="BM1126" s="991">
        <f>IF(AND(Input_Product=Elig!$C1126,Elig_MatchAll_Ct&lt;22,$BC1126=(Elig_MatchAll_Ct-1),AK1126=0),H1126,0)</f>
        <v>0</v>
      </c>
      <c r="BN1126" s="991">
        <f>IF(AND(Input_Product=Elig!$C1126,Elig_MatchAll_Ct&lt;22,$BC1126=(Elig_MatchAll_Ct-1),AL1126=0),I1126,0)</f>
        <v>0</v>
      </c>
      <c r="BO1126" s="991">
        <f>IF(AND(Input_Product=Elig!$C1126,Elig_MatchAll_Ct&lt;22,$BC1126=(Elig_MatchAll_Ct-1),AM1126=0),J1126,0)</f>
        <v>0</v>
      </c>
      <c r="BP1126" s="991">
        <f>IF(AND(Input_Product=Elig!$C1126,Elig_MatchAll_Ct&lt;22,$BC1126=(Elig_MatchAll_Ct-1),AN1126=0),K1126,0)</f>
        <v>0</v>
      </c>
      <c r="BQ1126" s="991">
        <f>IF(AND(Input_Product=Elig!$C1126,Elig_MatchAll_Ct&lt;22,$BC1126=(Elig_MatchAll_Ct-1),AP1126=0),L1126,0)</f>
        <v>0</v>
      </c>
      <c r="BR1126" s="991">
        <f>IF(AND(Input_Product=Elig!$C1126,Elig_MatchAll_Ct&lt;22,$BC1126=(Elig_MatchAll_Ct-1),AO1126=0),M1126,0)</f>
        <v>0</v>
      </c>
      <c r="BS1126" s="991">
        <f>IF(AND(Input_Product=Elig!$C1126,Elig_MatchAll_Ct&lt;22,$BC1126=(Elig_MatchAll_Ct-1),AQ1126=0),N1126,0)</f>
        <v>0</v>
      </c>
      <c r="BT1126" s="991">
        <f>IF(AND(Input_Product=Elig!$C1126,Elig_MatchAll_Ct&lt;22,$BC1126=(Elig_MatchAll_Ct-1),AR1126=0),O1126,0)</f>
        <v>0</v>
      </c>
      <c r="BU1126" s="991">
        <f>IF(AND(Input_Product=Elig!$C1126,Elig_MatchAll_Ct&lt;22,$BC1126=(Elig_MatchAll_Ct-1),AS1126=0),P1126,0)</f>
        <v>0</v>
      </c>
      <c r="BV1126" s="992">
        <f>IF(AND(Input_Product=Elig!$C1126,Elig_MatchAll_Ct&lt;22,$BC1126=(Elig_MatchAll_Ct-1),AT1126=0),Q1126,0)</f>
        <v>0</v>
      </c>
      <c r="BW1126" s="993">
        <f>IF(AND(Input_Product=Elig!$C1126,Elig_MatchAll_Ct&lt;22,$BC1126=(Elig_MatchAll_Ct-1),AU1126=0),R1126,0)</f>
        <v>0</v>
      </c>
      <c r="BX1126" s="994">
        <f>IF(AND(Input_Product=Elig!$C1126,Elig_MatchAll_Ct&lt;22,$BC1126=(Elig_MatchAll_Ct-1),AU1126=0),S1126,0)</f>
        <v>0</v>
      </c>
      <c r="BY1126" s="993">
        <f>IF(AND(Input_Product=Elig!$C1126,Elig_MatchAll_Ct&lt;22,$BC1126=(Elig_MatchAll_Ct-1),AV1126=0),T1126,0)</f>
        <v>0</v>
      </c>
      <c r="BZ1126" s="994">
        <f>IF(AND(Input_Product=Elig!$C1126,Elig_MatchAll_Ct&lt;22,$BC1126=(Elig_MatchAll_Ct-1),AV1126=0),U1126,0)</f>
        <v>0</v>
      </c>
      <c r="CA1126" s="993">
        <f>IF(AND(Input_Product=Elig!$C1126,Elig_MatchAll_Ct&lt;22,$BC1126=(Elig_MatchAll_Ct-1),AW1126=0),V1126,0)</f>
        <v>0</v>
      </c>
      <c r="CB1126" s="994">
        <f>IF(AND(Input_Product=Elig!$C1126,Elig_MatchAll_Ct&lt;22,$BC1126=(Elig_MatchAll_Ct-1),AW1126=0),W1126,0)</f>
        <v>0</v>
      </c>
      <c r="CC1126" s="993">
        <f>IF(AND(Input_Product=Elig!$C1126,Elig_MatchAll_Ct&lt;22,$BC1126=(Elig_MatchAll_Ct-1),AX1126=0),X1126,0)</f>
        <v>0</v>
      </c>
      <c r="CD1126" s="994">
        <f>IF(AND(Input_Product=Elig!$C1126,Elig_MatchAll_Ct&lt;22,$BC1126=(Elig_MatchAll_Ct-1),AX1126=0),Y1126,0)</f>
        <v>0</v>
      </c>
      <c r="CE1126" s="993">
        <f>IF(AND(Input_LTV&lt;=AE1126,Input_Product=Elig!$C1126,Elig_MatchAll_Ct&lt;22,$BC1126=(Elig_MatchAll_Ct-1),AY1126=0),Z1126,0)</f>
        <v>0</v>
      </c>
      <c r="CF1126" s="994">
        <f>IF(AND(Input_LTV&lt;=AE1126,Input_Product=Elig!$C1126,Elig_MatchAll_Ct&lt;22,$BC1126=(Elig_MatchAll_Ct-1),AY1126=0),AA1126,0)</f>
        <v>0</v>
      </c>
      <c r="CG1126" s="993">
        <f>IF(AND(Input_Product=Elig!$C1126,Elig_MatchAll_Ct&lt;22,$BC1126=(Elig_MatchAll_Ct-1),AZ1126=0),AB1126,0)</f>
        <v>0</v>
      </c>
      <c r="CH1126" s="994">
        <f>IF(AND(Input_Product=Elig!$C1126,Elig_MatchAll_Ct&lt;22,$BC1126=(Elig_MatchAll_Ct-1),AZ1126=0),AC1126,0)</f>
        <v>0</v>
      </c>
      <c r="CI1126" s="993">
        <f>IF(AND(Input_Product=Elig!$C1126,Elig_MatchAll_Ct&lt;22,$BC1126=(Elig_MatchAll_Ct-1),BA1126=0),AD1126,0)</f>
        <v>0</v>
      </c>
      <c r="CJ1126" s="994">
        <f>IF(AND(Input_Product=Elig!$C1126,Elig_MatchAll_Ct&lt;22,$BC1126=(Elig_MatchAll_Ct-1),BA1126=0),AE1126,0)</f>
        <v>0</v>
      </c>
    </row>
    <row r="1127" spans="2:88" ht="10.15" customHeight="1" x14ac:dyDescent="0.25">
      <c r="B1127" s="1918" t="s">
        <v>2427</v>
      </c>
      <c r="C1127" s="1228" t="str">
        <f t="shared" si="428"/>
        <v xml:space="preserve"> </v>
      </c>
      <c r="D1127" s="1229" t="s">
        <v>2218</v>
      </c>
      <c r="E1127" s="1229" t="s">
        <v>167</v>
      </c>
      <c r="F1127" s="1229" t="s">
        <v>330</v>
      </c>
      <c r="G1127" s="1230" t="s">
        <v>175</v>
      </c>
      <c r="H1127" s="1230" t="s">
        <v>446</v>
      </c>
      <c r="I1127" s="1229" t="s">
        <v>274</v>
      </c>
      <c r="J1127" s="1229" t="s">
        <v>1311</v>
      </c>
      <c r="K1127" s="1230" t="s">
        <v>3022</v>
      </c>
      <c r="L1127" s="1229" t="s">
        <v>2768</v>
      </c>
      <c r="M1127" s="1229" t="s">
        <v>2677</v>
      </c>
      <c r="N1127" s="1230" t="s">
        <v>2685</v>
      </c>
      <c r="O1127" s="1229" t="s">
        <v>310</v>
      </c>
      <c r="P1127" s="1229" t="s">
        <v>291</v>
      </c>
      <c r="Q1127" s="1229" t="s">
        <v>294</v>
      </c>
      <c r="R1127" s="1229">
        <v>2500000.0099999998</v>
      </c>
      <c r="S1127" s="1229">
        <v>3000000</v>
      </c>
      <c r="T1127" s="1229">
        <v>0</v>
      </c>
      <c r="U1127" s="1229">
        <v>0</v>
      </c>
      <c r="V1127" s="1229">
        <v>0</v>
      </c>
      <c r="W1127" s="1229">
        <v>50</v>
      </c>
      <c r="X1127" s="1229">
        <v>0</v>
      </c>
      <c r="Y1127" s="1229">
        <v>999</v>
      </c>
      <c r="Z1127" s="1231">
        <v>680</v>
      </c>
      <c r="AA1127" s="1231">
        <v>699</v>
      </c>
      <c r="AB1127" s="1231">
        <v>6</v>
      </c>
      <c r="AC1127" s="1231">
        <v>999999</v>
      </c>
      <c r="AD1127" s="1229">
        <v>0</v>
      </c>
      <c r="AE1127" s="1232">
        <v>75</v>
      </c>
      <c r="AF1127" s="170">
        <v>0</v>
      </c>
      <c r="AG1127" s="171">
        <v>1</v>
      </c>
      <c r="AH1127" s="171">
        <v>1</v>
      </c>
      <c r="AI1127" s="171">
        <v>0</v>
      </c>
      <c r="AJ1127" s="171">
        <v>0</v>
      </c>
      <c r="AK1127" s="171">
        <v>0</v>
      </c>
      <c r="AL1127" s="171">
        <v>0</v>
      </c>
      <c r="AM1127" s="171">
        <v>1</v>
      </c>
      <c r="AN1127" s="171">
        <v>1</v>
      </c>
      <c r="AO1127" s="171">
        <v>1</v>
      </c>
      <c r="AP1127" s="171">
        <v>1</v>
      </c>
      <c r="AQ1127" s="171">
        <v>1</v>
      </c>
      <c r="AR1127" s="171">
        <v>1</v>
      </c>
      <c r="AS1127" s="171">
        <v>1</v>
      </c>
      <c r="AT1127" s="171">
        <v>1</v>
      </c>
      <c r="AU1127" s="171">
        <f t="shared" si="419"/>
        <v>0</v>
      </c>
      <c r="AV1127" s="171">
        <f t="shared" si="420"/>
        <v>0</v>
      </c>
      <c r="AW1127" s="171">
        <f t="shared" si="421"/>
        <v>1</v>
      </c>
      <c r="AX1127" s="171">
        <f t="shared" si="429"/>
        <v>1</v>
      </c>
      <c r="AY1127" s="171">
        <f t="shared" si="422"/>
        <v>0</v>
      </c>
      <c r="AZ1127" s="171">
        <f t="shared" si="423"/>
        <v>1</v>
      </c>
      <c r="BA1127" s="172">
        <f t="shared" si="424"/>
        <v>1</v>
      </c>
      <c r="BB1127" s="175">
        <f t="shared" si="425"/>
        <v>14</v>
      </c>
      <c r="BC1127" s="176">
        <f t="shared" si="426"/>
        <v>13</v>
      </c>
      <c r="BD1127" s="176">
        <f t="shared" si="427"/>
        <v>14</v>
      </c>
      <c r="BE1127" s="240" t="str">
        <f t="shared" si="418"/>
        <v/>
      </c>
      <c r="BF1127" s="990"/>
      <c r="BG1127" s="990"/>
      <c r="BH1127" s="991">
        <f>IF(AND(Input_Product=Elig!$C1127,Elig_MatchAll_Ct&lt;22,$BC1127=(Elig_MatchAll_Ct-1),AF1127=0),C1127,0)</f>
        <v>0</v>
      </c>
      <c r="BI1127" s="991">
        <f>IF(AND(Input_Product=Elig!$C1127,Elig_MatchAll_Ct&lt;22,$BC1127=(Elig_MatchAll_Ct-1),AG1127=0),D1127,0)</f>
        <v>0</v>
      </c>
      <c r="BJ1127" s="991">
        <f>IF(AND(Input_Product=Elig!$C1127,Elig_MatchAll_Ct&lt;22,$BC1127=(Elig_MatchAll_Ct-1),AH1127=0),E1127,0)</f>
        <v>0</v>
      </c>
      <c r="BK1127" s="991">
        <f>IF(AND(Input_Product=Elig!$C1127,Elig_MatchAll_Ct&lt;22,$BC1127=(Elig_MatchAll_Ct-1),AI1127=0),F1127,0)</f>
        <v>0</v>
      </c>
      <c r="BL1127" s="991">
        <f>IF(AND(Input_Product=Elig!$C1127,Elig_MatchAll_Ct&lt;22,$BC1127=(Elig_MatchAll_Ct-1),AJ1127=0),G1127,0)</f>
        <v>0</v>
      </c>
      <c r="BM1127" s="991">
        <f>IF(AND(Input_Product=Elig!$C1127,Elig_MatchAll_Ct&lt;22,$BC1127=(Elig_MatchAll_Ct-1),AK1127=0),H1127,0)</f>
        <v>0</v>
      </c>
      <c r="BN1127" s="991">
        <f>IF(AND(Input_Product=Elig!$C1127,Elig_MatchAll_Ct&lt;22,$BC1127=(Elig_MatchAll_Ct-1),AL1127=0),I1127,0)</f>
        <v>0</v>
      </c>
      <c r="BO1127" s="991">
        <f>IF(AND(Input_Product=Elig!$C1127,Elig_MatchAll_Ct&lt;22,$BC1127=(Elig_MatchAll_Ct-1),AM1127=0),J1127,0)</f>
        <v>0</v>
      </c>
      <c r="BP1127" s="991">
        <f>IF(AND(Input_Product=Elig!$C1127,Elig_MatchAll_Ct&lt;22,$BC1127=(Elig_MatchAll_Ct-1),AN1127=0),K1127,0)</f>
        <v>0</v>
      </c>
      <c r="BQ1127" s="991">
        <f>IF(AND(Input_Product=Elig!$C1127,Elig_MatchAll_Ct&lt;22,$BC1127=(Elig_MatchAll_Ct-1),AP1127=0),L1127,0)</f>
        <v>0</v>
      </c>
      <c r="BR1127" s="991">
        <f>IF(AND(Input_Product=Elig!$C1127,Elig_MatchAll_Ct&lt;22,$BC1127=(Elig_MatchAll_Ct-1),AO1127=0),M1127,0)</f>
        <v>0</v>
      </c>
      <c r="BS1127" s="991">
        <f>IF(AND(Input_Product=Elig!$C1127,Elig_MatchAll_Ct&lt;22,$BC1127=(Elig_MatchAll_Ct-1),AQ1127=0),N1127,0)</f>
        <v>0</v>
      </c>
      <c r="BT1127" s="991">
        <f>IF(AND(Input_Product=Elig!$C1127,Elig_MatchAll_Ct&lt;22,$BC1127=(Elig_MatchAll_Ct-1),AR1127=0),O1127,0)</f>
        <v>0</v>
      </c>
      <c r="BU1127" s="991">
        <f>IF(AND(Input_Product=Elig!$C1127,Elig_MatchAll_Ct&lt;22,$BC1127=(Elig_MatchAll_Ct-1),AS1127=0),P1127,0)</f>
        <v>0</v>
      </c>
      <c r="BV1127" s="992">
        <f>IF(AND(Input_Product=Elig!$C1127,Elig_MatchAll_Ct&lt;22,$BC1127=(Elig_MatchAll_Ct-1),AT1127=0),Q1127,0)</f>
        <v>0</v>
      </c>
      <c r="BW1127" s="993">
        <f>IF(AND(Input_Product=Elig!$C1127,Elig_MatchAll_Ct&lt;22,$BC1127=(Elig_MatchAll_Ct-1),AU1127=0),R1127,0)</f>
        <v>0</v>
      </c>
      <c r="BX1127" s="994">
        <f>IF(AND(Input_Product=Elig!$C1127,Elig_MatchAll_Ct&lt;22,$BC1127=(Elig_MatchAll_Ct-1),AU1127=0),S1127,0)</f>
        <v>0</v>
      </c>
      <c r="BY1127" s="993">
        <f>IF(AND(Input_Product=Elig!$C1127,Elig_MatchAll_Ct&lt;22,$BC1127=(Elig_MatchAll_Ct-1),AV1127=0),T1127,0)</f>
        <v>0</v>
      </c>
      <c r="BZ1127" s="994">
        <f>IF(AND(Input_Product=Elig!$C1127,Elig_MatchAll_Ct&lt;22,$BC1127=(Elig_MatchAll_Ct-1),AV1127=0),U1127,0)</f>
        <v>0</v>
      </c>
      <c r="CA1127" s="993">
        <f>IF(AND(Input_Product=Elig!$C1127,Elig_MatchAll_Ct&lt;22,$BC1127=(Elig_MatchAll_Ct-1),AW1127=0),V1127,0)</f>
        <v>0</v>
      </c>
      <c r="CB1127" s="994">
        <f>IF(AND(Input_Product=Elig!$C1127,Elig_MatchAll_Ct&lt;22,$BC1127=(Elig_MatchAll_Ct-1),AW1127=0),W1127,0)</f>
        <v>0</v>
      </c>
      <c r="CC1127" s="993">
        <f>IF(AND(Input_Product=Elig!$C1127,Elig_MatchAll_Ct&lt;22,$BC1127=(Elig_MatchAll_Ct-1),AX1127=0),X1127,0)</f>
        <v>0</v>
      </c>
      <c r="CD1127" s="994">
        <f>IF(AND(Input_Product=Elig!$C1127,Elig_MatchAll_Ct&lt;22,$BC1127=(Elig_MatchAll_Ct-1),AX1127=0),Y1127,0)</f>
        <v>0</v>
      </c>
      <c r="CE1127" s="993">
        <f>IF(AND(Input_LTV&lt;=AE1127,Input_Product=Elig!$C1127,Elig_MatchAll_Ct&lt;22,$BC1127=(Elig_MatchAll_Ct-1),AY1127=0),Z1127,0)</f>
        <v>0</v>
      </c>
      <c r="CF1127" s="994">
        <f>IF(AND(Input_LTV&lt;=AE1127,Input_Product=Elig!$C1127,Elig_MatchAll_Ct&lt;22,$BC1127=(Elig_MatchAll_Ct-1),AY1127=0),AA1127,0)</f>
        <v>0</v>
      </c>
      <c r="CG1127" s="993">
        <f>IF(AND(Input_Product=Elig!$C1127,Elig_MatchAll_Ct&lt;22,$BC1127=(Elig_MatchAll_Ct-1),AZ1127=0),AB1127,0)</f>
        <v>0</v>
      </c>
      <c r="CH1127" s="994">
        <f>IF(AND(Input_Product=Elig!$C1127,Elig_MatchAll_Ct&lt;22,$BC1127=(Elig_MatchAll_Ct-1),AZ1127=0),AC1127,0)</f>
        <v>0</v>
      </c>
      <c r="CI1127" s="993">
        <f>IF(AND(Input_Product=Elig!$C1127,Elig_MatchAll_Ct&lt;22,$BC1127=(Elig_MatchAll_Ct-1),BA1127=0),AD1127,0)</f>
        <v>0</v>
      </c>
      <c r="CJ1127" s="994">
        <f>IF(AND(Input_Product=Elig!$C1127,Elig_MatchAll_Ct&lt;22,$BC1127=(Elig_MatchAll_Ct-1),BA1127=0),AE1127,0)</f>
        <v>0</v>
      </c>
    </row>
    <row r="1128" spans="2:88" ht="10.15" customHeight="1" x14ac:dyDescent="0.25">
      <c r="B1128" s="1918" t="s">
        <v>2428</v>
      </c>
      <c r="C1128" s="1218" t="str">
        <f t="shared" si="428"/>
        <v xml:space="preserve"> </v>
      </c>
      <c r="D1128" s="1219" t="s">
        <v>2218</v>
      </c>
      <c r="E1128" s="1219" t="s">
        <v>167</v>
      </c>
      <c r="F1128" s="1219" t="s">
        <v>330</v>
      </c>
      <c r="G1128" s="1220" t="s">
        <v>468</v>
      </c>
      <c r="H1128" s="1220" t="s">
        <v>136</v>
      </c>
      <c r="I1128" s="1219" t="s">
        <v>274</v>
      </c>
      <c r="J1128" s="1219" t="s">
        <v>1311</v>
      </c>
      <c r="K1128" s="1220" t="s">
        <v>3022</v>
      </c>
      <c r="L1128" s="1219" t="s">
        <v>2768</v>
      </c>
      <c r="M1128" s="1219" t="s">
        <v>2677</v>
      </c>
      <c r="N1128" s="1220" t="s">
        <v>2685</v>
      </c>
      <c r="O1128" s="1219" t="s">
        <v>310</v>
      </c>
      <c r="P1128" s="1219" t="s">
        <v>291</v>
      </c>
      <c r="Q1128" s="1219" t="s">
        <v>294</v>
      </c>
      <c r="R1128" s="1219">
        <v>125000</v>
      </c>
      <c r="S1128" s="1219">
        <v>1000000</v>
      </c>
      <c r="T1128" s="1219">
        <v>0</v>
      </c>
      <c r="U1128" s="1219">
        <v>0</v>
      </c>
      <c r="V1128" s="1219">
        <v>0</v>
      </c>
      <c r="W1128" s="1219">
        <v>50</v>
      </c>
      <c r="X1128" s="1219">
        <v>0</v>
      </c>
      <c r="Y1128" s="1219">
        <v>999</v>
      </c>
      <c r="Z1128" s="1221">
        <v>720</v>
      </c>
      <c r="AA1128" s="1221">
        <v>999</v>
      </c>
      <c r="AB1128" s="1221">
        <v>3</v>
      </c>
      <c r="AC1128" s="1221">
        <v>999999</v>
      </c>
      <c r="AD1128" s="1219">
        <v>0</v>
      </c>
      <c r="AE1128" s="1222">
        <v>80</v>
      </c>
      <c r="AF1128" s="170">
        <v>0</v>
      </c>
      <c r="AG1128" s="171">
        <v>1</v>
      </c>
      <c r="AH1128" s="171">
        <v>1</v>
      </c>
      <c r="AI1128" s="171">
        <v>0</v>
      </c>
      <c r="AJ1128" s="171">
        <v>0</v>
      </c>
      <c r="AK1128" s="171">
        <v>1</v>
      </c>
      <c r="AL1128" s="171">
        <v>0</v>
      </c>
      <c r="AM1128" s="171">
        <v>1</v>
      </c>
      <c r="AN1128" s="171">
        <v>1</v>
      </c>
      <c r="AO1128" s="171">
        <v>1</v>
      </c>
      <c r="AP1128" s="171">
        <v>1</v>
      </c>
      <c r="AQ1128" s="171">
        <v>1</v>
      </c>
      <c r="AR1128" s="171">
        <v>1</v>
      </c>
      <c r="AS1128" s="171">
        <v>1</v>
      </c>
      <c r="AT1128" s="171">
        <v>1</v>
      </c>
      <c r="AU1128" s="171">
        <f t="shared" si="419"/>
        <v>1</v>
      </c>
      <c r="AV1128" s="171">
        <f t="shared" si="420"/>
        <v>0</v>
      </c>
      <c r="AW1128" s="171">
        <f t="shared" si="421"/>
        <v>1</v>
      </c>
      <c r="AX1128" s="171">
        <f t="shared" si="429"/>
        <v>1</v>
      </c>
      <c r="AY1128" s="171">
        <f t="shared" si="422"/>
        <v>1</v>
      </c>
      <c r="AZ1128" s="171">
        <f t="shared" si="423"/>
        <v>1</v>
      </c>
      <c r="BA1128" s="172">
        <f t="shared" si="424"/>
        <v>1</v>
      </c>
      <c r="BB1128" s="175">
        <f t="shared" si="425"/>
        <v>17</v>
      </c>
      <c r="BC1128" s="176">
        <f t="shared" si="426"/>
        <v>16</v>
      </c>
      <c r="BD1128" s="176">
        <f t="shared" si="427"/>
        <v>17</v>
      </c>
      <c r="BE1128" s="240" t="str">
        <f t="shared" si="418"/>
        <v/>
      </c>
      <c r="BF1128" s="990"/>
      <c r="BG1128" s="990"/>
      <c r="BH1128" s="991">
        <f>IF(AND(Input_Product=Elig!$C1128,Elig_MatchAll_Ct&lt;22,$BC1128=(Elig_MatchAll_Ct-1),AF1128=0),C1128,0)</f>
        <v>0</v>
      </c>
      <c r="BI1128" s="991">
        <f>IF(AND(Input_Product=Elig!$C1128,Elig_MatchAll_Ct&lt;22,$BC1128=(Elig_MatchAll_Ct-1),AG1128=0),D1128,0)</f>
        <v>0</v>
      </c>
      <c r="BJ1128" s="991">
        <f>IF(AND(Input_Product=Elig!$C1128,Elig_MatchAll_Ct&lt;22,$BC1128=(Elig_MatchAll_Ct-1),AH1128=0),E1128,0)</f>
        <v>0</v>
      </c>
      <c r="BK1128" s="991">
        <f>IF(AND(Input_Product=Elig!$C1128,Elig_MatchAll_Ct&lt;22,$BC1128=(Elig_MatchAll_Ct-1),AI1128=0),F1128,0)</f>
        <v>0</v>
      </c>
      <c r="BL1128" s="991">
        <f>IF(AND(Input_Product=Elig!$C1128,Elig_MatchAll_Ct&lt;22,$BC1128=(Elig_MatchAll_Ct-1),AJ1128=0),G1128,0)</f>
        <v>0</v>
      </c>
      <c r="BM1128" s="991">
        <f>IF(AND(Input_Product=Elig!$C1128,Elig_MatchAll_Ct&lt;22,$BC1128=(Elig_MatchAll_Ct-1),AK1128=0),H1128,0)</f>
        <v>0</v>
      </c>
      <c r="BN1128" s="991">
        <f>IF(AND(Input_Product=Elig!$C1128,Elig_MatchAll_Ct&lt;22,$BC1128=(Elig_MatchAll_Ct-1),AL1128=0),I1128,0)</f>
        <v>0</v>
      </c>
      <c r="BO1128" s="991">
        <f>IF(AND(Input_Product=Elig!$C1128,Elig_MatchAll_Ct&lt;22,$BC1128=(Elig_MatchAll_Ct-1),AM1128=0),J1128,0)</f>
        <v>0</v>
      </c>
      <c r="BP1128" s="991">
        <f>IF(AND(Input_Product=Elig!$C1128,Elig_MatchAll_Ct&lt;22,$BC1128=(Elig_MatchAll_Ct-1),AN1128=0),K1128,0)</f>
        <v>0</v>
      </c>
      <c r="BQ1128" s="991">
        <f>IF(AND(Input_Product=Elig!$C1128,Elig_MatchAll_Ct&lt;22,$BC1128=(Elig_MatchAll_Ct-1),AP1128=0),L1128,0)</f>
        <v>0</v>
      </c>
      <c r="BR1128" s="991">
        <f>IF(AND(Input_Product=Elig!$C1128,Elig_MatchAll_Ct&lt;22,$BC1128=(Elig_MatchAll_Ct-1),AO1128=0),M1128,0)</f>
        <v>0</v>
      </c>
      <c r="BS1128" s="991">
        <f>IF(AND(Input_Product=Elig!$C1128,Elig_MatchAll_Ct&lt;22,$BC1128=(Elig_MatchAll_Ct-1),AQ1128=0),N1128,0)</f>
        <v>0</v>
      </c>
      <c r="BT1128" s="991">
        <f>IF(AND(Input_Product=Elig!$C1128,Elig_MatchAll_Ct&lt;22,$BC1128=(Elig_MatchAll_Ct-1),AR1128=0),O1128,0)</f>
        <v>0</v>
      </c>
      <c r="BU1128" s="991">
        <f>IF(AND(Input_Product=Elig!$C1128,Elig_MatchAll_Ct&lt;22,$BC1128=(Elig_MatchAll_Ct-1),AS1128=0),P1128,0)</f>
        <v>0</v>
      </c>
      <c r="BV1128" s="992">
        <f>IF(AND(Input_Product=Elig!$C1128,Elig_MatchAll_Ct&lt;22,$BC1128=(Elig_MatchAll_Ct-1),AT1128=0),Q1128,0)</f>
        <v>0</v>
      </c>
      <c r="BW1128" s="993">
        <f>IF(AND(Input_Product=Elig!$C1128,Elig_MatchAll_Ct&lt;22,$BC1128=(Elig_MatchAll_Ct-1),AU1128=0),R1128,0)</f>
        <v>0</v>
      </c>
      <c r="BX1128" s="994">
        <f>IF(AND(Input_Product=Elig!$C1128,Elig_MatchAll_Ct&lt;22,$BC1128=(Elig_MatchAll_Ct-1),AU1128=0),S1128,0)</f>
        <v>0</v>
      </c>
      <c r="BY1128" s="993">
        <f>IF(AND(Input_Product=Elig!$C1128,Elig_MatchAll_Ct&lt;22,$BC1128=(Elig_MatchAll_Ct-1),AV1128=0),T1128,0)</f>
        <v>0</v>
      </c>
      <c r="BZ1128" s="994">
        <f>IF(AND(Input_Product=Elig!$C1128,Elig_MatchAll_Ct&lt;22,$BC1128=(Elig_MatchAll_Ct-1),AV1128=0),U1128,0)</f>
        <v>0</v>
      </c>
      <c r="CA1128" s="993">
        <f>IF(AND(Input_Product=Elig!$C1128,Elig_MatchAll_Ct&lt;22,$BC1128=(Elig_MatchAll_Ct-1),AW1128=0),V1128,0)</f>
        <v>0</v>
      </c>
      <c r="CB1128" s="994">
        <f>IF(AND(Input_Product=Elig!$C1128,Elig_MatchAll_Ct&lt;22,$BC1128=(Elig_MatchAll_Ct-1),AW1128=0),W1128,0)</f>
        <v>0</v>
      </c>
      <c r="CC1128" s="993">
        <f>IF(AND(Input_Product=Elig!$C1128,Elig_MatchAll_Ct&lt;22,$BC1128=(Elig_MatchAll_Ct-1),AX1128=0),X1128,0)</f>
        <v>0</v>
      </c>
      <c r="CD1128" s="994">
        <f>IF(AND(Input_Product=Elig!$C1128,Elig_MatchAll_Ct&lt;22,$BC1128=(Elig_MatchAll_Ct-1),AX1128=0),Y1128,0)</f>
        <v>0</v>
      </c>
      <c r="CE1128" s="993">
        <f>IF(AND(Input_LTV&lt;=AE1128,Input_Product=Elig!$C1128,Elig_MatchAll_Ct&lt;22,$BC1128=(Elig_MatchAll_Ct-1),AY1128=0),Z1128,0)</f>
        <v>0</v>
      </c>
      <c r="CF1128" s="994">
        <f>IF(AND(Input_LTV&lt;=AE1128,Input_Product=Elig!$C1128,Elig_MatchAll_Ct&lt;22,$BC1128=(Elig_MatchAll_Ct-1),AY1128=0),AA1128,0)</f>
        <v>0</v>
      </c>
      <c r="CG1128" s="993">
        <f>IF(AND(Input_Product=Elig!$C1128,Elig_MatchAll_Ct&lt;22,$BC1128=(Elig_MatchAll_Ct-1),AZ1128=0),AB1128,0)</f>
        <v>0</v>
      </c>
      <c r="CH1128" s="994">
        <f>IF(AND(Input_Product=Elig!$C1128,Elig_MatchAll_Ct&lt;22,$BC1128=(Elig_MatchAll_Ct-1),AZ1128=0),AC1128,0)</f>
        <v>0</v>
      </c>
      <c r="CI1128" s="993">
        <f>IF(AND(Input_Product=Elig!$C1128,Elig_MatchAll_Ct&lt;22,$BC1128=(Elig_MatchAll_Ct-1),BA1128=0),AD1128,0)</f>
        <v>0</v>
      </c>
      <c r="CJ1128" s="994">
        <f>IF(AND(Input_Product=Elig!$C1128,Elig_MatchAll_Ct&lt;22,$BC1128=(Elig_MatchAll_Ct-1),BA1128=0),AE1128,0)</f>
        <v>0</v>
      </c>
    </row>
    <row r="1129" spans="2:88" ht="10.15" customHeight="1" x14ac:dyDescent="0.25">
      <c r="B1129" s="1918" t="s">
        <v>2429</v>
      </c>
      <c r="C1129" s="1223" t="str">
        <f t="shared" si="428"/>
        <v xml:space="preserve"> </v>
      </c>
      <c r="D1129" s="1224" t="s">
        <v>2218</v>
      </c>
      <c r="E1129" s="1224" t="s">
        <v>167</v>
      </c>
      <c r="F1129" s="1224" t="s">
        <v>330</v>
      </c>
      <c r="G1129" s="1225" t="s">
        <v>468</v>
      </c>
      <c r="H1129" s="1225" t="s">
        <v>136</v>
      </c>
      <c r="I1129" s="1224" t="s">
        <v>274</v>
      </c>
      <c r="J1129" s="1224" t="s">
        <v>1311</v>
      </c>
      <c r="K1129" s="1225" t="s">
        <v>3022</v>
      </c>
      <c r="L1129" s="1224" t="s">
        <v>2768</v>
      </c>
      <c r="M1129" s="1224" t="s">
        <v>2677</v>
      </c>
      <c r="N1129" s="1225" t="s">
        <v>2685</v>
      </c>
      <c r="O1129" s="1224" t="s">
        <v>310</v>
      </c>
      <c r="P1129" s="1224" t="s">
        <v>291</v>
      </c>
      <c r="Q1129" s="1224" t="s">
        <v>294</v>
      </c>
      <c r="R1129" s="1224">
        <v>125000</v>
      </c>
      <c r="S1129" s="1224">
        <v>1000000</v>
      </c>
      <c r="T1129" s="1224">
        <v>0</v>
      </c>
      <c r="U1129" s="1224">
        <v>0</v>
      </c>
      <c r="V1129" s="1224">
        <v>0</v>
      </c>
      <c r="W1129" s="1224">
        <v>50</v>
      </c>
      <c r="X1129" s="1224">
        <v>0</v>
      </c>
      <c r="Y1129" s="1224">
        <v>999</v>
      </c>
      <c r="Z1129" s="1226">
        <v>700</v>
      </c>
      <c r="AA1129" s="1226">
        <v>719</v>
      </c>
      <c r="AB1129" s="1226">
        <v>3</v>
      </c>
      <c r="AC1129" s="1226">
        <v>999999</v>
      </c>
      <c r="AD1129" s="1224">
        <v>0</v>
      </c>
      <c r="AE1129" s="1227">
        <v>80</v>
      </c>
      <c r="AF1129" s="170">
        <v>0</v>
      </c>
      <c r="AG1129" s="171">
        <v>1</v>
      </c>
      <c r="AH1129" s="171">
        <v>1</v>
      </c>
      <c r="AI1129" s="171">
        <v>0</v>
      </c>
      <c r="AJ1129" s="171">
        <v>0</v>
      </c>
      <c r="AK1129" s="171">
        <v>1</v>
      </c>
      <c r="AL1129" s="171">
        <v>0</v>
      </c>
      <c r="AM1129" s="171">
        <v>1</v>
      </c>
      <c r="AN1129" s="171">
        <v>1</v>
      </c>
      <c r="AO1129" s="171">
        <v>1</v>
      </c>
      <c r="AP1129" s="171">
        <v>1</v>
      </c>
      <c r="AQ1129" s="171">
        <v>1</v>
      </c>
      <c r="AR1129" s="171">
        <v>1</v>
      </c>
      <c r="AS1129" s="171">
        <v>1</v>
      </c>
      <c r="AT1129" s="171">
        <v>1</v>
      </c>
      <c r="AU1129" s="171">
        <f t="shared" si="419"/>
        <v>1</v>
      </c>
      <c r="AV1129" s="171">
        <f t="shared" si="420"/>
        <v>0</v>
      </c>
      <c r="AW1129" s="171">
        <f t="shared" si="421"/>
        <v>1</v>
      </c>
      <c r="AX1129" s="171">
        <f t="shared" si="429"/>
        <v>1</v>
      </c>
      <c r="AY1129" s="171">
        <f t="shared" si="422"/>
        <v>0</v>
      </c>
      <c r="AZ1129" s="171">
        <f t="shared" si="423"/>
        <v>1</v>
      </c>
      <c r="BA1129" s="172">
        <f t="shared" si="424"/>
        <v>1</v>
      </c>
      <c r="BB1129" s="175">
        <f t="shared" si="425"/>
        <v>16</v>
      </c>
      <c r="BC1129" s="176">
        <f t="shared" si="426"/>
        <v>15</v>
      </c>
      <c r="BD1129" s="176">
        <f t="shared" si="427"/>
        <v>16</v>
      </c>
      <c r="BE1129" s="240" t="str">
        <f t="shared" si="418"/>
        <v/>
      </c>
      <c r="BF1129" s="990"/>
      <c r="BG1129" s="990"/>
      <c r="BH1129" s="991">
        <f>IF(AND(Input_Product=Elig!$C1129,Elig_MatchAll_Ct&lt;22,$BC1129=(Elig_MatchAll_Ct-1),AF1129=0),C1129,0)</f>
        <v>0</v>
      </c>
      <c r="BI1129" s="991">
        <f>IF(AND(Input_Product=Elig!$C1129,Elig_MatchAll_Ct&lt;22,$BC1129=(Elig_MatchAll_Ct-1),AG1129=0),D1129,0)</f>
        <v>0</v>
      </c>
      <c r="BJ1129" s="991">
        <f>IF(AND(Input_Product=Elig!$C1129,Elig_MatchAll_Ct&lt;22,$BC1129=(Elig_MatchAll_Ct-1),AH1129=0),E1129,0)</f>
        <v>0</v>
      </c>
      <c r="BK1129" s="991">
        <f>IF(AND(Input_Product=Elig!$C1129,Elig_MatchAll_Ct&lt;22,$BC1129=(Elig_MatchAll_Ct-1),AI1129=0),F1129,0)</f>
        <v>0</v>
      </c>
      <c r="BL1129" s="991">
        <f>IF(AND(Input_Product=Elig!$C1129,Elig_MatchAll_Ct&lt;22,$BC1129=(Elig_MatchAll_Ct-1),AJ1129=0),G1129,0)</f>
        <v>0</v>
      </c>
      <c r="BM1129" s="991">
        <f>IF(AND(Input_Product=Elig!$C1129,Elig_MatchAll_Ct&lt;22,$BC1129=(Elig_MatchAll_Ct-1),AK1129=0),H1129,0)</f>
        <v>0</v>
      </c>
      <c r="BN1129" s="991">
        <f>IF(AND(Input_Product=Elig!$C1129,Elig_MatchAll_Ct&lt;22,$BC1129=(Elig_MatchAll_Ct-1),AL1129=0),I1129,0)</f>
        <v>0</v>
      </c>
      <c r="BO1129" s="991">
        <f>IF(AND(Input_Product=Elig!$C1129,Elig_MatchAll_Ct&lt;22,$BC1129=(Elig_MatchAll_Ct-1),AM1129=0),J1129,0)</f>
        <v>0</v>
      </c>
      <c r="BP1129" s="991">
        <f>IF(AND(Input_Product=Elig!$C1129,Elig_MatchAll_Ct&lt;22,$BC1129=(Elig_MatchAll_Ct-1),AN1129=0),K1129,0)</f>
        <v>0</v>
      </c>
      <c r="BQ1129" s="991">
        <f>IF(AND(Input_Product=Elig!$C1129,Elig_MatchAll_Ct&lt;22,$BC1129=(Elig_MatchAll_Ct-1),AP1129=0),L1129,0)</f>
        <v>0</v>
      </c>
      <c r="BR1129" s="991">
        <f>IF(AND(Input_Product=Elig!$C1129,Elig_MatchAll_Ct&lt;22,$BC1129=(Elig_MatchAll_Ct-1),AO1129=0),M1129,0)</f>
        <v>0</v>
      </c>
      <c r="BS1129" s="991">
        <f>IF(AND(Input_Product=Elig!$C1129,Elig_MatchAll_Ct&lt;22,$BC1129=(Elig_MatchAll_Ct-1),AQ1129=0),N1129,0)</f>
        <v>0</v>
      </c>
      <c r="BT1129" s="991">
        <f>IF(AND(Input_Product=Elig!$C1129,Elig_MatchAll_Ct&lt;22,$BC1129=(Elig_MatchAll_Ct-1),AR1129=0),O1129,0)</f>
        <v>0</v>
      </c>
      <c r="BU1129" s="991">
        <f>IF(AND(Input_Product=Elig!$C1129,Elig_MatchAll_Ct&lt;22,$BC1129=(Elig_MatchAll_Ct-1),AS1129=0),P1129,0)</f>
        <v>0</v>
      </c>
      <c r="BV1129" s="992">
        <f>IF(AND(Input_Product=Elig!$C1129,Elig_MatchAll_Ct&lt;22,$BC1129=(Elig_MatchAll_Ct-1),AT1129=0),Q1129,0)</f>
        <v>0</v>
      </c>
      <c r="BW1129" s="993">
        <f>IF(AND(Input_Product=Elig!$C1129,Elig_MatchAll_Ct&lt;22,$BC1129=(Elig_MatchAll_Ct-1),AU1129=0),R1129,0)</f>
        <v>0</v>
      </c>
      <c r="BX1129" s="994">
        <f>IF(AND(Input_Product=Elig!$C1129,Elig_MatchAll_Ct&lt;22,$BC1129=(Elig_MatchAll_Ct-1),AU1129=0),S1129,0)</f>
        <v>0</v>
      </c>
      <c r="BY1129" s="993">
        <f>IF(AND(Input_Product=Elig!$C1129,Elig_MatchAll_Ct&lt;22,$BC1129=(Elig_MatchAll_Ct-1),AV1129=0),T1129,0)</f>
        <v>0</v>
      </c>
      <c r="BZ1129" s="994">
        <f>IF(AND(Input_Product=Elig!$C1129,Elig_MatchAll_Ct&lt;22,$BC1129=(Elig_MatchAll_Ct-1),AV1129=0),U1129,0)</f>
        <v>0</v>
      </c>
      <c r="CA1129" s="993">
        <f>IF(AND(Input_Product=Elig!$C1129,Elig_MatchAll_Ct&lt;22,$BC1129=(Elig_MatchAll_Ct-1),AW1129=0),V1129,0)</f>
        <v>0</v>
      </c>
      <c r="CB1129" s="994">
        <f>IF(AND(Input_Product=Elig!$C1129,Elig_MatchAll_Ct&lt;22,$BC1129=(Elig_MatchAll_Ct-1),AW1129=0),W1129,0)</f>
        <v>0</v>
      </c>
      <c r="CC1129" s="993">
        <f>IF(AND(Input_Product=Elig!$C1129,Elig_MatchAll_Ct&lt;22,$BC1129=(Elig_MatchAll_Ct-1),AX1129=0),X1129,0)</f>
        <v>0</v>
      </c>
      <c r="CD1129" s="994">
        <f>IF(AND(Input_Product=Elig!$C1129,Elig_MatchAll_Ct&lt;22,$BC1129=(Elig_MatchAll_Ct-1),AX1129=0),Y1129,0)</f>
        <v>0</v>
      </c>
      <c r="CE1129" s="993">
        <f>IF(AND(Input_LTV&lt;=AE1129,Input_Product=Elig!$C1129,Elig_MatchAll_Ct&lt;22,$BC1129=(Elig_MatchAll_Ct-1),AY1129=0),Z1129,0)</f>
        <v>0</v>
      </c>
      <c r="CF1129" s="994">
        <f>IF(AND(Input_LTV&lt;=AE1129,Input_Product=Elig!$C1129,Elig_MatchAll_Ct&lt;22,$BC1129=(Elig_MatchAll_Ct-1),AY1129=0),AA1129,0)</f>
        <v>0</v>
      </c>
      <c r="CG1129" s="993">
        <f>IF(AND(Input_Product=Elig!$C1129,Elig_MatchAll_Ct&lt;22,$BC1129=(Elig_MatchAll_Ct-1),AZ1129=0),AB1129,0)</f>
        <v>0</v>
      </c>
      <c r="CH1129" s="994">
        <f>IF(AND(Input_Product=Elig!$C1129,Elig_MatchAll_Ct&lt;22,$BC1129=(Elig_MatchAll_Ct-1),AZ1129=0),AC1129,0)</f>
        <v>0</v>
      </c>
      <c r="CI1129" s="993">
        <f>IF(AND(Input_Product=Elig!$C1129,Elig_MatchAll_Ct&lt;22,$BC1129=(Elig_MatchAll_Ct-1),BA1129=0),AD1129,0)</f>
        <v>0</v>
      </c>
      <c r="CJ1129" s="994">
        <f>IF(AND(Input_Product=Elig!$C1129,Elig_MatchAll_Ct&lt;22,$BC1129=(Elig_MatchAll_Ct-1),BA1129=0),AE1129,0)</f>
        <v>0</v>
      </c>
    </row>
    <row r="1130" spans="2:88" ht="10.15" customHeight="1" x14ac:dyDescent="0.25">
      <c r="B1130" s="1918" t="s">
        <v>2430</v>
      </c>
      <c r="C1130" s="1223" t="str">
        <f t="shared" si="428"/>
        <v xml:space="preserve"> </v>
      </c>
      <c r="D1130" s="1224" t="s">
        <v>2218</v>
      </c>
      <c r="E1130" s="1224" t="s">
        <v>167</v>
      </c>
      <c r="F1130" s="1224" t="s">
        <v>330</v>
      </c>
      <c r="G1130" s="1225" t="s">
        <v>468</v>
      </c>
      <c r="H1130" s="1225" t="s">
        <v>136</v>
      </c>
      <c r="I1130" s="1224" t="s">
        <v>274</v>
      </c>
      <c r="J1130" s="1224" t="s">
        <v>1311</v>
      </c>
      <c r="K1130" s="1225" t="s">
        <v>3022</v>
      </c>
      <c r="L1130" s="1224" t="s">
        <v>2768</v>
      </c>
      <c r="M1130" s="1224" t="s">
        <v>2677</v>
      </c>
      <c r="N1130" s="1225" t="s">
        <v>2685</v>
      </c>
      <c r="O1130" s="1224" t="s">
        <v>310</v>
      </c>
      <c r="P1130" s="1224" t="s">
        <v>291</v>
      </c>
      <c r="Q1130" s="1224" t="s">
        <v>294</v>
      </c>
      <c r="R1130" s="1224">
        <v>125000</v>
      </c>
      <c r="S1130" s="1224">
        <v>1000000</v>
      </c>
      <c r="T1130" s="1224">
        <v>0</v>
      </c>
      <c r="U1130" s="1224">
        <v>0</v>
      </c>
      <c r="V1130" s="1224">
        <v>0</v>
      </c>
      <c r="W1130" s="1224">
        <v>50</v>
      </c>
      <c r="X1130" s="1224">
        <v>0</v>
      </c>
      <c r="Y1130" s="1224">
        <v>999</v>
      </c>
      <c r="Z1130" s="1226">
        <v>680</v>
      </c>
      <c r="AA1130" s="1226">
        <v>699</v>
      </c>
      <c r="AB1130" s="1226">
        <v>3</v>
      </c>
      <c r="AC1130" s="1226">
        <v>999999</v>
      </c>
      <c r="AD1130" s="1224">
        <v>0</v>
      </c>
      <c r="AE1130" s="1227">
        <v>75</v>
      </c>
      <c r="AF1130" s="170">
        <v>0</v>
      </c>
      <c r="AG1130" s="171">
        <v>1</v>
      </c>
      <c r="AH1130" s="171">
        <v>1</v>
      </c>
      <c r="AI1130" s="171">
        <v>0</v>
      </c>
      <c r="AJ1130" s="171">
        <v>0</v>
      </c>
      <c r="AK1130" s="171">
        <v>1</v>
      </c>
      <c r="AL1130" s="171">
        <v>0</v>
      </c>
      <c r="AM1130" s="171">
        <v>1</v>
      </c>
      <c r="AN1130" s="171">
        <v>1</v>
      </c>
      <c r="AO1130" s="171">
        <v>1</v>
      </c>
      <c r="AP1130" s="171">
        <v>1</v>
      </c>
      <c r="AQ1130" s="171">
        <v>1</v>
      </c>
      <c r="AR1130" s="171">
        <v>1</v>
      </c>
      <c r="AS1130" s="171">
        <v>1</v>
      </c>
      <c r="AT1130" s="171">
        <v>1</v>
      </c>
      <c r="AU1130" s="171">
        <f t="shared" si="419"/>
        <v>1</v>
      </c>
      <c r="AV1130" s="171">
        <f t="shared" si="420"/>
        <v>0</v>
      </c>
      <c r="AW1130" s="171">
        <f t="shared" si="421"/>
        <v>1</v>
      </c>
      <c r="AX1130" s="171">
        <f t="shared" si="429"/>
        <v>1</v>
      </c>
      <c r="AY1130" s="171">
        <f t="shared" si="422"/>
        <v>0</v>
      </c>
      <c r="AZ1130" s="171">
        <f t="shared" si="423"/>
        <v>1</v>
      </c>
      <c r="BA1130" s="172">
        <f t="shared" si="424"/>
        <v>1</v>
      </c>
      <c r="BB1130" s="175">
        <f t="shared" si="425"/>
        <v>16</v>
      </c>
      <c r="BC1130" s="176">
        <f t="shared" si="426"/>
        <v>15</v>
      </c>
      <c r="BD1130" s="176">
        <f t="shared" si="427"/>
        <v>16</v>
      </c>
      <c r="BE1130" s="240" t="str">
        <f t="shared" si="418"/>
        <v/>
      </c>
      <c r="BF1130" s="990"/>
      <c r="BG1130" s="990"/>
      <c r="BH1130" s="991">
        <f>IF(AND(Input_Product=Elig!$C1130,Elig_MatchAll_Ct&lt;22,$BC1130=(Elig_MatchAll_Ct-1),AF1130=0),C1130,0)</f>
        <v>0</v>
      </c>
      <c r="BI1130" s="991">
        <f>IF(AND(Input_Product=Elig!$C1130,Elig_MatchAll_Ct&lt;22,$BC1130=(Elig_MatchAll_Ct-1),AG1130=0),D1130,0)</f>
        <v>0</v>
      </c>
      <c r="BJ1130" s="991">
        <f>IF(AND(Input_Product=Elig!$C1130,Elig_MatchAll_Ct&lt;22,$BC1130=(Elig_MatchAll_Ct-1),AH1130=0),E1130,0)</f>
        <v>0</v>
      </c>
      <c r="BK1130" s="991">
        <f>IF(AND(Input_Product=Elig!$C1130,Elig_MatchAll_Ct&lt;22,$BC1130=(Elig_MatchAll_Ct-1),AI1130=0),F1130,0)</f>
        <v>0</v>
      </c>
      <c r="BL1130" s="991">
        <f>IF(AND(Input_Product=Elig!$C1130,Elig_MatchAll_Ct&lt;22,$BC1130=(Elig_MatchAll_Ct-1),AJ1130=0),G1130,0)</f>
        <v>0</v>
      </c>
      <c r="BM1130" s="991">
        <f>IF(AND(Input_Product=Elig!$C1130,Elig_MatchAll_Ct&lt;22,$BC1130=(Elig_MatchAll_Ct-1),AK1130=0),H1130,0)</f>
        <v>0</v>
      </c>
      <c r="BN1130" s="991">
        <f>IF(AND(Input_Product=Elig!$C1130,Elig_MatchAll_Ct&lt;22,$BC1130=(Elig_MatchAll_Ct-1),AL1130=0),I1130,0)</f>
        <v>0</v>
      </c>
      <c r="BO1130" s="991">
        <f>IF(AND(Input_Product=Elig!$C1130,Elig_MatchAll_Ct&lt;22,$BC1130=(Elig_MatchAll_Ct-1),AM1130=0),J1130,0)</f>
        <v>0</v>
      </c>
      <c r="BP1130" s="991">
        <f>IF(AND(Input_Product=Elig!$C1130,Elig_MatchAll_Ct&lt;22,$BC1130=(Elig_MatchAll_Ct-1),AN1130=0),K1130,0)</f>
        <v>0</v>
      </c>
      <c r="BQ1130" s="991">
        <f>IF(AND(Input_Product=Elig!$C1130,Elig_MatchAll_Ct&lt;22,$BC1130=(Elig_MatchAll_Ct-1),AP1130=0),L1130,0)</f>
        <v>0</v>
      </c>
      <c r="BR1130" s="991">
        <f>IF(AND(Input_Product=Elig!$C1130,Elig_MatchAll_Ct&lt;22,$BC1130=(Elig_MatchAll_Ct-1),AO1130=0),M1130,0)</f>
        <v>0</v>
      </c>
      <c r="BS1130" s="991">
        <f>IF(AND(Input_Product=Elig!$C1130,Elig_MatchAll_Ct&lt;22,$BC1130=(Elig_MatchAll_Ct-1),AQ1130=0),N1130,0)</f>
        <v>0</v>
      </c>
      <c r="BT1130" s="991">
        <f>IF(AND(Input_Product=Elig!$C1130,Elig_MatchAll_Ct&lt;22,$BC1130=(Elig_MatchAll_Ct-1),AR1130=0),O1130,0)</f>
        <v>0</v>
      </c>
      <c r="BU1130" s="991">
        <f>IF(AND(Input_Product=Elig!$C1130,Elig_MatchAll_Ct&lt;22,$BC1130=(Elig_MatchAll_Ct-1),AS1130=0),P1130,0)</f>
        <v>0</v>
      </c>
      <c r="BV1130" s="992">
        <f>IF(AND(Input_Product=Elig!$C1130,Elig_MatchAll_Ct&lt;22,$BC1130=(Elig_MatchAll_Ct-1),AT1130=0),Q1130,0)</f>
        <v>0</v>
      </c>
      <c r="BW1130" s="993">
        <f>IF(AND(Input_Product=Elig!$C1130,Elig_MatchAll_Ct&lt;22,$BC1130=(Elig_MatchAll_Ct-1),AU1130=0),R1130,0)</f>
        <v>0</v>
      </c>
      <c r="BX1130" s="994">
        <f>IF(AND(Input_Product=Elig!$C1130,Elig_MatchAll_Ct&lt;22,$BC1130=(Elig_MatchAll_Ct-1),AU1130=0),S1130,0)</f>
        <v>0</v>
      </c>
      <c r="BY1130" s="993">
        <f>IF(AND(Input_Product=Elig!$C1130,Elig_MatchAll_Ct&lt;22,$BC1130=(Elig_MatchAll_Ct-1),AV1130=0),T1130,0)</f>
        <v>0</v>
      </c>
      <c r="BZ1130" s="994">
        <f>IF(AND(Input_Product=Elig!$C1130,Elig_MatchAll_Ct&lt;22,$BC1130=(Elig_MatchAll_Ct-1),AV1130=0),U1130,0)</f>
        <v>0</v>
      </c>
      <c r="CA1130" s="993">
        <f>IF(AND(Input_Product=Elig!$C1130,Elig_MatchAll_Ct&lt;22,$BC1130=(Elig_MatchAll_Ct-1),AW1130=0),V1130,0)</f>
        <v>0</v>
      </c>
      <c r="CB1130" s="994">
        <f>IF(AND(Input_Product=Elig!$C1130,Elig_MatchAll_Ct&lt;22,$BC1130=(Elig_MatchAll_Ct-1),AW1130=0),W1130,0)</f>
        <v>0</v>
      </c>
      <c r="CC1130" s="993">
        <f>IF(AND(Input_Product=Elig!$C1130,Elig_MatchAll_Ct&lt;22,$BC1130=(Elig_MatchAll_Ct-1),AX1130=0),X1130,0)</f>
        <v>0</v>
      </c>
      <c r="CD1130" s="994">
        <f>IF(AND(Input_Product=Elig!$C1130,Elig_MatchAll_Ct&lt;22,$BC1130=(Elig_MatchAll_Ct-1),AX1130=0),Y1130,0)</f>
        <v>0</v>
      </c>
      <c r="CE1130" s="993">
        <f>IF(AND(Input_LTV&lt;=AE1130,Input_Product=Elig!$C1130,Elig_MatchAll_Ct&lt;22,$BC1130=(Elig_MatchAll_Ct-1),AY1130=0),Z1130,0)</f>
        <v>0</v>
      </c>
      <c r="CF1130" s="994">
        <f>IF(AND(Input_LTV&lt;=AE1130,Input_Product=Elig!$C1130,Elig_MatchAll_Ct&lt;22,$BC1130=(Elig_MatchAll_Ct-1),AY1130=0),AA1130,0)</f>
        <v>0</v>
      </c>
      <c r="CG1130" s="993">
        <f>IF(AND(Input_Product=Elig!$C1130,Elig_MatchAll_Ct&lt;22,$BC1130=(Elig_MatchAll_Ct-1),AZ1130=0),AB1130,0)</f>
        <v>0</v>
      </c>
      <c r="CH1130" s="994">
        <f>IF(AND(Input_Product=Elig!$C1130,Elig_MatchAll_Ct&lt;22,$BC1130=(Elig_MatchAll_Ct-1),AZ1130=0),AC1130,0)</f>
        <v>0</v>
      </c>
      <c r="CI1130" s="993">
        <f>IF(AND(Input_Product=Elig!$C1130,Elig_MatchAll_Ct&lt;22,$BC1130=(Elig_MatchAll_Ct-1),BA1130=0),AD1130,0)</f>
        <v>0</v>
      </c>
      <c r="CJ1130" s="994">
        <f>IF(AND(Input_Product=Elig!$C1130,Elig_MatchAll_Ct&lt;22,$BC1130=(Elig_MatchAll_Ct-1),BA1130=0),AE1130,0)</f>
        <v>0</v>
      </c>
    </row>
    <row r="1131" spans="2:88" ht="10.15" customHeight="1" x14ac:dyDescent="0.25">
      <c r="B1131" s="1918" t="s">
        <v>2431</v>
      </c>
      <c r="C1131" s="1228" t="str">
        <f t="shared" si="428"/>
        <v xml:space="preserve"> </v>
      </c>
      <c r="D1131" s="1229" t="s">
        <v>2218</v>
      </c>
      <c r="E1131" s="1229" t="s">
        <v>167</v>
      </c>
      <c r="F1131" s="1229" t="s">
        <v>330</v>
      </c>
      <c r="G1131" s="1230" t="s">
        <v>468</v>
      </c>
      <c r="H1131" s="1230" t="s">
        <v>136</v>
      </c>
      <c r="I1131" s="1229" t="s">
        <v>274</v>
      </c>
      <c r="J1131" s="1229" t="s">
        <v>1311</v>
      </c>
      <c r="K1131" s="1230" t="s">
        <v>3022</v>
      </c>
      <c r="L1131" s="1229" t="s">
        <v>2768</v>
      </c>
      <c r="M1131" s="1229" t="s">
        <v>2677</v>
      </c>
      <c r="N1131" s="1230" t="s">
        <v>2685</v>
      </c>
      <c r="O1131" s="1229" t="s">
        <v>310</v>
      </c>
      <c r="P1131" s="1229" t="s">
        <v>291</v>
      </c>
      <c r="Q1131" s="1229" t="s">
        <v>294</v>
      </c>
      <c r="R1131" s="1229">
        <v>125000</v>
      </c>
      <c r="S1131" s="1229">
        <v>1000000</v>
      </c>
      <c r="T1131" s="1229">
        <v>0</v>
      </c>
      <c r="U1131" s="1229">
        <v>0</v>
      </c>
      <c r="V1131" s="1229">
        <v>0</v>
      </c>
      <c r="W1131" s="1229">
        <v>50</v>
      </c>
      <c r="X1131" s="1229">
        <v>0</v>
      </c>
      <c r="Y1131" s="1229">
        <v>999</v>
      </c>
      <c r="Z1131" s="1231">
        <v>660</v>
      </c>
      <c r="AA1131" s="1231">
        <v>679</v>
      </c>
      <c r="AB1131" s="1231">
        <v>3</v>
      </c>
      <c r="AC1131" s="1231">
        <v>999999</v>
      </c>
      <c r="AD1131" s="1229">
        <v>0</v>
      </c>
      <c r="AE1131" s="1232">
        <v>70</v>
      </c>
      <c r="AF1131" s="170">
        <v>0</v>
      </c>
      <c r="AG1131" s="171">
        <v>1</v>
      </c>
      <c r="AH1131" s="171">
        <v>1</v>
      </c>
      <c r="AI1131" s="171">
        <v>0</v>
      </c>
      <c r="AJ1131" s="171">
        <v>0</v>
      </c>
      <c r="AK1131" s="171">
        <v>1</v>
      </c>
      <c r="AL1131" s="171">
        <v>0</v>
      </c>
      <c r="AM1131" s="171">
        <v>1</v>
      </c>
      <c r="AN1131" s="171">
        <v>1</v>
      </c>
      <c r="AO1131" s="171">
        <v>1</v>
      </c>
      <c r="AP1131" s="171">
        <v>1</v>
      </c>
      <c r="AQ1131" s="171">
        <v>1</v>
      </c>
      <c r="AR1131" s="171">
        <v>1</v>
      </c>
      <c r="AS1131" s="171">
        <v>1</v>
      </c>
      <c r="AT1131" s="171">
        <v>1</v>
      </c>
      <c r="AU1131" s="171">
        <f t="shared" si="419"/>
        <v>1</v>
      </c>
      <c r="AV1131" s="171">
        <f t="shared" si="420"/>
        <v>0</v>
      </c>
      <c r="AW1131" s="171">
        <f t="shared" si="421"/>
        <v>1</v>
      </c>
      <c r="AX1131" s="171">
        <f t="shared" si="429"/>
        <v>1</v>
      </c>
      <c r="AY1131" s="171">
        <f t="shared" si="422"/>
        <v>0</v>
      </c>
      <c r="AZ1131" s="171">
        <f t="shared" si="423"/>
        <v>1</v>
      </c>
      <c r="BA1131" s="172">
        <f t="shared" si="424"/>
        <v>1</v>
      </c>
      <c r="BB1131" s="175">
        <f t="shared" si="425"/>
        <v>16</v>
      </c>
      <c r="BC1131" s="176">
        <f t="shared" si="426"/>
        <v>15</v>
      </c>
      <c r="BD1131" s="176">
        <f t="shared" si="427"/>
        <v>16</v>
      </c>
      <c r="BE1131" s="240" t="str">
        <f t="shared" si="418"/>
        <v/>
      </c>
      <c r="BF1131" s="990"/>
      <c r="BG1131" s="990"/>
      <c r="BH1131" s="991">
        <f>IF(AND(Input_Product=Elig!$C1131,Elig_MatchAll_Ct&lt;22,$BC1131=(Elig_MatchAll_Ct-1),AF1131=0),C1131,0)</f>
        <v>0</v>
      </c>
      <c r="BI1131" s="991">
        <f>IF(AND(Input_Product=Elig!$C1131,Elig_MatchAll_Ct&lt;22,$BC1131=(Elig_MatchAll_Ct-1),AG1131=0),D1131,0)</f>
        <v>0</v>
      </c>
      <c r="BJ1131" s="991">
        <f>IF(AND(Input_Product=Elig!$C1131,Elig_MatchAll_Ct&lt;22,$BC1131=(Elig_MatchAll_Ct-1),AH1131=0),E1131,0)</f>
        <v>0</v>
      </c>
      <c r="BK1131" s="991">
        <f>IF(AND(Input_Product=Elig!$C1131,Elig_MatchAll_Ct&lt;22,$BC1131=(Elig_MatchAll_Ct-1),AI1131=0),F1131,0)</f>
        <v>0</v>
      </c>
      <c r="BL1131" s="991">
        <f>IF(AND(Input_Product=Elig!$C1131,Elig_MatchAll_Ct&lt;22,$BC1131=(Elig_MatchAll_Ct-1),AJ1131=0),G1131,0)</f>
        <v>0</v>
      </c>
      <c r="BM1131" s="991">
        <f>IF(AND(Input_Product=Elig!$C1131,Elig_MatchAll_Ct&lt;22,$BC1131=(Elig_MatchAll_Ct-1),AK1131=0),H1131,0)</f>
        <v>0</v>
      </c>
      <c r="BN1131" s="991">
        <f>IF(AND(Input_Product=Elig!$C1131,Elig_MatchAll_Ct&lt;22,$BC1131=(Elig_MatchAll_Ct-1),AL1131=0),I1131,0)</f>
        <v>0</v>
      </c>
      <c r="BO1131" s="991">
        <f>IF(AND(Input_Product=Elig!$C1131,Elig_MatchAll_Ct&lt;22,$BC1131=(Elig_MatchAll_Ct-1),AM1131=0),J1131,0)</f>
        <v>0</v>
      </c>
      <c r="BP1131" s="991">
        <f>IF(AND(Input_Product=Elig!$C1131,Elig_MatchAll_Ct&lt;22,$BC1131=(Elig_MatchAll_Ct-1),AN1131=0),K1131,0)</f>
        <v>0</v>
      </c>
      <c r="BQ1131" s="991">
        <f>IF(AND(Input_Product=Elig!$C1131,Elig_MatchAll_Ct&lt;22,$BC1131=(Elig_MatchAll_Ct-1),AP1131=0),L1131,0)</f>
        <v>0</v>
      </c>
      <c r="BR1131" s="991">
        <f>IF(AND(Input_Product=Elig!$C1131,Elig_MatchAll_Ct&lt;22,$BC1131=(Elig_MatchAll_Ct-1),AO1131=0),M1131,0)</f>
        <v>0</v>
      </c>
      <c r="BS1131" s="991">
        <f>IF(AND(Input_Product=Elig!$C1131,Elig_MatchAll_Ct&lt;22,$BC1131=(Elig_MatchAll_Ct-1),AQ1131=0),N1131,0)</f>
        <v>0</v>
      </c>
      <c r="BT1131" s="991">
        <f>IF(AND(Input_Product=Elig!$C1131,Elig_MatchAll_Ct&lt;22,$BC1131=(Elig_MatchAll_Ct-1),AR1131=0),O1131,0)</f>
        <v>0</v>
      </c>
      <c r="BU1131" s="991">
        <f>IF(AND(Input_Product=Elig!$C1131,Elig_MatchAll_Ct&lt;22,$BC1131=(Elig_MatchAll_Ct-1),AS1131=0),P1131,0)</f>
        <v>0</v>
      </c>
      <c r="BV1131" s="992">
        <f>IF(AND(Input_Product=Elig!$C1131,Elig_MatchAll_Ct&lt;22,$BC1131=(Elig_MatchAll_Ct-1),AT1131=0),Q1131,0)</f>
        <v>0</v>
      </c>
      <c r="BW1131" s="993">
        <f>IF(AND(Input_Product=Elig!$C1131,Elig_MatchAll_Ct&lt;22,$BC1131=(Elig_MatchAll_Ct-1),AU1131=0),R1131,0)</f>
        <v>0</v>
      </c>
      <c r="BX1131" s="994">
        <f>IF(AND(Input_Product=Elig!$C1131,Elig_MatchAll_Ct&lt;22,$BC1131=(Elig_MatchAll_Ct-1),AU1131=0),S1131,0)</f>
        <v>0</v>
      </c>
      <c r="BY1131" s="993">
        <f>IF(AND(Input_Product=Elig!$C1131,Elig_MatchAll_Ct&lt;22,$BC1131=(Elig_MatchAll_Ct-1),AV1131=0),T1131,0)</f>
        <v>0</v>
      </c>
      <c r="BZ1131" s="994">
        <f>IF(AND(Input_Product=Elig!$C1131,Elig_MatchAll_Ct&lt;22,$BC1131=(Elig_MatchAll_Ct-1),AV1131=0),U1131,0)</f>
        <v>0</v>
      </c>
      <c r="CA1131" s="993">
        <f>IF(AND(Input_Product=Elig!$C1131,Elig_MatchAll_Ct&lt;22,$BC1131=(Elig_MatchAll_Ct-1),AW1131=0),V1131,0)</f>
        <v>0</v>
      </c>
      <c r="CB1131" s="994">
        <f>IF(AND(Input_Product=Elig!$C1131,Elig_MatchAll_Ct&lt;22,$BC1131=(Elig_MatchAll_Ct-1),AW1131=0),W1131,0)</f>
        <v>0</v>
      </c>
      <c r="CC1131" s="993">
        <f>IF(AND(Input_Product=Elig!$C1131,Elig_MatchAll_Ct&lt;22,$BC1131=(Elig_MatchAll_Ct-1),AX1131=0),X1131,0)</f>
        <v>0</v>
      </c>
      <c r="CD1131" s="994">
        <f>IF(AND(Input_Product=Elig!$C1131,Elig_MatchAll_Ct&lt;22,$BC1131=(Elig_MatchAll_Ct-1),AX1131=0),Y1131,0)</f>
        <v>0</v>
      </c>
      <c r="CE1131" s="993">
        <f>IF(AND(Input_LTV&lt;=AE1131,Input_Product=Elig!$C1131,Elig_MatchAll_Ct&lt;22,$BC1131=(Elig_MatchAll_Ct-1),AY1131=0),Z1131,0)</f>
        <v>0</v>
      </c>
      <c r="CF1131" s="994">
        <f>IF(AND(Input_LTV&lt;=AE1131,Input_Product=Elig!$C1131,Elig_MatchAll_Ct&lt;22,$BC1131=(Elig_MatchAll_Ct-1),AY1131=0),AA1131,0)</f>
        <v>0</v>
      </c>
      <c r="CG1131" s="993">
        <f>IF(AND(Input_Product=Elig!$C1131,Elig_MatchAll_Ct&lt;22,$BC1131=(Elig_MatchAll_Ct-1),AZ1131=0),AB1131,0)</f>
        <v>0</v>
      </c>
      <c r="CH1131" s="994">
        <f>IF(AND(Input_Product=Elig!$C1131,Elig_MatchAll_Ct&lt;22,$BC1131=(Elig_MatchAll_Ct-1),AZ1131=0),AC1131,0)</f>
        <v>0</v>
      </c>
      <c r="CI1131" s="993">
        <f>IF(AND(Input_Product=Elig!$C1131,Elig_MatchAll_Ct&lt;22,$BC1131=(Elig_MatchAll_Ct-1),BA1131=0),AD1131,0)</f>
        <v>0</v>
      </c>
      <c r="CJ1131" s="994">
        <f>IF(AND(Input_Product=Elig!$C1131,Elig_MatchAll_Ct&lt;22,$BC1131=(Elig_MatchAll_Ct-1),BA1131=0),AE1131,0)</f>
        <v>0</v>
      </c>
    </row>
    <row r="1132" spans="2:88" ht="10.15" customHeight="1" x14ac:dyDescent="0.25">
      <c r="B1132" s="1918" t="s">
        <v>2432</v>
      </c>
      <c r="C1132" s="1218" t="str">
        <f t="shared" si="428"/>
        <v xml:space="preserve"> </v>
      </c>
      <c r="D1132" s="1219" t="s">
        <v>2218</v>
      </c>
      <c r="E1132" s="1219" t="s">
        <v>167</v>
      </c>
      <c r="F1132" s="1219" t="s">
        <v>330</v>
      </c>
      <c r="G1132" s="1220" t="s">
        <v>468</v>
      </c>
      <c r="H1132" s="1220" t="s">
        <v>136</v>
      </c>
      <c r="I1132" s="1219" t="s">
        <v>274</v>
      </c>
      <c r="J1132" s="1219" t="s">
        <v>1311</v>
      </c>
      <c r="K1132" s="1220" t="s">
        <v>3022</v>
      </c>
      <c r="L1132" s="1219" t="s">
        <v>2768</v>
      </c>
      <c r="M1132" s="1219" t="s">
        <v>2677</v>
      </c>
      <c r="N1132" s="1220" t="s">
        <v>2685</v>
      </c>
      <c r="O1132" s="1219" t="s">
        <v>310</v>
      </c>
      <c r="P1132" s="1219" t="s">
        <v>291</v>
      </c>
      <c r="Q1132" s="1219" t="s">
        <v>294</v>
      </c>
      <c r="R1132" s="1219">
        <v>1000000.01</v>
      </c>
      <c r="S1132" s="1219">
        <v>1500000</v>
      </c>
      <c r="T1132" s="1219">
        <v>0</v>
      </c>
      <c r="U1132" s="1219">
        <v>0</v>
      </c>
      <c r="V1132" s="1219">
        <v>0</v>
      </c>
      <c r="W1132" s="1219">
        <v>50</v>
      </c>
      <c r="X1132" s="1219">
        <v>0</v>
      </c>
      <c r="Y1132" s="1219">
        <v>999</v>
      </c>
      <c r="Z1132" s="1221">
        <v>720</v>
      </c>
      <c r="AA1132" s="1221">
        <v>999</v>
      </c>
      <c r="AB1132" s="1221">
        <v>6</v>
      </c>
      <c r="AC1132" s="1221">
        <v>999999</v>
      </c>
      <c r="AD1132" s="1219">
        <v>0</v>
      </c>
      <c r="AE1132" s="1222">
        <v>80</v>
      </c>
      <c r="AF1132" s="170">
        <v>0</v>
      </c>
      <c r="AG1132" s="171">
        <v>1</v>
      </c>
      <c r="AH1132" s="171">
        <v>1</v>
      </c>
      <c r="AI1132" s="171">
        <v>0</v>
      </c>
      <c r="AJ1132" s="171">
        <v>0</v>
      </c>
      <c r="AK1132" s="171">
        <v>1</v>
      </c>
      <c r="AL1132" s="171">
        <v>0</v>
      </c>
      <c r="AM1132" s="171">
        <v>1</v>
      </c>
      <c r="AN1132" s="171">
        <v>1</v>
      </c>
      <c r="AO1132" s="171">
        <v>1</v>
      </c>
      <c r="AP1132" s="171">
        <v>1</v>
      </c>
      <c r="AQ1132" s="171">
        <v>1</v>
      </c>
      <c r="AR1132" s="171">
        <v>1</v>
      </c>
      <c r="AS1132" s="171">
        <v>1</v>
      </c>
      <c r="AT1132" s="171">
        <v>1</v>
      </c>
      <c r="AU1132" s="171">
        <f t="shared" si="419"/>
        <v>0</v>
      </c>
      <c r="AV1132" s="171">
        <f t="shared" si="420"/>
        <v>0</v>
      </c>
      <c r="AW1132" s="171">
        <f t="shared" si="421"/>
        <v>1</v>
      </c>
      <c r="AX1132" s="171">
        <f t="shared" si="429"/>
        <v>1</v>
      </c>
      <c r="AY1132" s="171">
        <f t="shared" si="422"/>
        <v>1</v>
      </c>
      <c r="AZ1132" s="171">
        <f t="shared" si="423"/>
        <v>1</v>
      </c>
      <c r="BA1132" s="172">
        <f t="shared" si="424"/>
        <v>1</v>
      </c>
      <c r="BB1132" s="175">
        <f t="shared" si="425"/>
        <v>16</v>
      </c>
      <c r="BC1132" s="176">
        <f t="shared" si="426"/>
        <v>15</v>
      </c>
      <c r="BD1132" s="176">
        <f t="shared" si="427"/>
        <v>16</v>
      </c>
      <c r="BE1132" s="240" t="str">
        <f t="shared" si="418"/>
        <v/>
      </c>
      <c r="BF1132" s="990"/>
      <c r="BG1132" s="990"/>
      <c r="BH1132" s="991">
        <f>IF(AND(Input_Product=Elig!$C1132,Elig_MatchAll_Ct&lt;22,$BC1132=(Elig_MatchAll_Ct-1),AF1132=0),C1132,0)</f>
        <v>0</v>
      </c>
      <c r="BI1132" s="991">
        <f>IF(AND(Input_Product=Elig!$C1132,Elig_MatchAll_Ct&lt;22,$BC1132=(Elig_MatchAll_Ct-1),AG1132=0),D1132,0)</f>
        <v>0</v>
      </c>
      <c r="BJ1132" s="991">
        <f>IF(AND(Input_Product=Elig!$C1132,Elig_MatchAll_Ct&lt;22,$BC1132=(Elig_MatchAll_Ct-1),AH1132=0),E1132,0)</f>
        <v>0</v>
      </c>
      <c r="BK1132" s="991">
        <f>IF(AND(Input_Product=Elig!$C1132,Elig_MatchAll_Ct&lt;22,$BC1132=(Elig_MatchAll_Ct-1),AI1132=0),F1132,0)</f>
        <v>0</v>
      </c>
      <c r="BL1132" s="991">
        <f>IF(AND(Input_Product=Elig!$C1132,Elig_MatchAll_Ct&lt;22,$BC1132=(Elig_MatchAll_Ct-1),AJ1132=0),G1132,0)</f>
        <v>0</v>
      </c>
      <c r="BM1132" s="991">
        <f>IF(AND(Input_Product=Elig!$C1132,Elig_MatchAll_Ct&lt;22,$BC1132=(Elig_MatchAll_Ct-1),AK1132=0),H1132,0)</f>
        <v>0</v>
      </c>
      <c r="BN1132" s="991">
        <f>IF(AND(Input_Product=Elig!$C1132,Elig_MatchAll_Ct&lt;22,$BC1132=(Elig_MatchAll_Ct-1),AL1132=0),I1132,0)</f>
        <v>0</v>
      </c>
      <c r="BO1132" s="991">
        <f>IF(AND(Input_Product=Elig!$C1132,Elig_MatchAll_Ct&lt;22,$BC1132=(Elig_MatchAll_Ct-1),AM1132=0),J1132,0)</f>
        <v>0</v>
      </c>
      <c r="BP1132" s="991">
        <f>IF(AND(Input_Product=Elig!$C1132,Elig_MatchAll_Ct&lt;22,$BC1132=(Elig_MatchAll_Ct-1),AN1132=0),K1132,0)</f>
        <v>0</v>
      </c>
      <c r="BQ1132" s="991">
        <f>IF(AND(Input_Product=Elig!$C1132,Elig_MatchAll_Ct&lt;22,$BC1132=(Elig_MatchAll_Ct-1),AP1132=0),L1132,0)</f>
        <v>0</v>
      </c>
      <c r="BR1132" s="991">
        <f>IF(AND(Input_Product=Elig!$C1132,Elig_MatchAll_Ct&lt;22,$BC1132=(Elig_MatchAll_Ct-1),AO1132=0),M1132,0)</f>
        <v>0</v>
      </c>
      <c r="BS1132" s="991">
        <f>IF(AND(Input_Product=Elig!$C1132,Elig_MatchAll_Ct&lt;22,$BC1132=(Elig_MatchAll_Ct-1),AQ1132=0),N1132,0)</f>
        <v>0</v>
      </c>
      <c r="BT1132" s="991">
        <f>IF(AND(Input_Product=Elig!$C1132,Elig_MatchAll_Ct&lt;22,$BC1132=(Elig_MatchAll_Ct-1),AR1132=0),O1132,0)</f>
        <v>0</v>
      </c>
      <c r="BU1132" s="991">
        <f>IF(AND(Input_Product=Elig!$C1132,Elig_MatchAll_Ct&lt;22,$BC1132=(Elig_MatchAll_Ct-1),AS1132=0),P1132,0)</f>
        <v>0</v>
      </c>
      <c r="BV1132" s="992">
        <f>IF(AND(Input_Product=Elig!$C1132,Elig_MatchAll_Ct&lt;22,$BC1132=(Elig_MatchAll_Ct-1),AT1132=0),Q1132,0)</f>
        <v>0</v>
      </c>
      <c r="BW1132" s="993">
        <f>IF(AND(Input_Product=Elig!$C1132,Elig_MatchAll_Ct&lt;22,$BC1132=(Elig_MatchAll_Ct-1),AU1132=0),R1132,0)</f>
        <v>0</v>
      </c>
      <c r="BX1132" s="994">
        <f>IF(AND(Input_Product=Elig!$C1132,Elig_MatchAll_Ct&lt;22,$BC1132=(Elig_MatchAll_Ct-1),AU1132=0),S1132,0)</f>
        <v>0</v>
      </c>
      <c r="BY1132" s="993">
        <f>IF(AND(Input_Product=Elig!$C1132,Elig_MatchAll_Ct&lt;22,$BC1132=(Elig_MatchAll_Ct-1),AV1132=0),T1132,0)</f>
        <v>0</v>
      </c>
      <c r="BZ1132" s="994">
        <f>IF(AND(Input_Product=Elig!$C1132,Elig_MatchAll_Ct&lt;22,$BC1132=(Elig_MatchAll_Ct-1),AV1132=0),U1132,0)</f>
        <v>0</v>
      </c>
      <c r="CA1132" s="993">
        <f>IF(AND(Input_Product=Elig!$C1132,Elig_MatchAll_Ct&lt;22,$BC1132=(Elig_MatchAll_Ct-1),AW1132=0),V1132,0)</f>
        <v>0</v>
      </c>
      <c r="CB1132" s="994">
        <f>IF(AND(Input_Product=Elig!$C1132,Elig_MatchAll_Ct&lt;22,$BC1132=(Elig_MatchAll_Ct-1),AW1132=0),W1132,0)</f>
        <v>0</v>
      </c>
      <c r="CC1132" s="993">
        <f>IF(AND(Input_Product=Elig!$C1132,Elig_MatchAll_Ct&lt;22,$BC1132=(Elig_MatchAll_Ct-1),AX1132=0),X1132,0)</f>
        <v>0</v>
      </c>
      <c r="CD1132" s="994">
        <f>IF(AND(Input_Product=Elig!$C1132,Elig_MatchAll_Ct&lt;22,$BC1132=(Elig_MatchAll_Ct-1),AX1132=0),Y1132,0)</f>
        <v>0</v>
      </c>
      <c r="CE1132" s="993">
        <f>IF(AND(Input_LTV&lt;=AE1132,Input_Product=Elig!$C1132,Elig_MatchAll_Ct&lt;22,$BC1132=(Elig_MatchAll_Ct-1),AY1132=0),Z1132,0)</f>
        <v>0</v>
      </c>
      <c r="CF1132" s="994">
        <f>IF(AND(Input_LTV&lt;=AE1132,Input_Product=Elig!$C1132,Elig_MatchAll_Ct&lt;22,$BC1132=(Elig_MatchAll_Ct-1),AY1132=0),AA1132,0)</f>
        <v>0</v>
      </c>
      <c r="CG1132" s="993">
        <f>IF(AND(Input_Product=Elig!$C1132,Elig_MatchAll_Ct&lt;22,$BC1132=(Elig_MatchAll_Ct-1),AZ1132=0),AB1132,0)</f>
        <v>0</v>
      </c>
      <c r="CH1132" s="994">
        <f>IF(AND(Input_Product=Elig!$C1132,Elig_MatchAll_Ct&lt;22,$BC1132=(Elig_MatchAll_Ct-1),AZ1132=0),AC1132,0)</f>
        <v>0</v>
      </c>
      <c r="CI1132" s="993">
        <f>IF(AND(Input_Product=Elig!$C1132,Elig_MatchAll_Ct&lt;22,$BC1132=(Elig_MatchAll_Ct-1),BA1132=0),AD1132,0)</f>
        <v>0</v>
      </c>
      <c r="CJ1132" s="994">
        <f>IF(AND(Input_Product=Elig!$C1132,Elig_MatchAll_Ct&lt;22,$BC1132=(Elig_MatchAll_Ct-1),BA1132=0),AE1132,0)</f>
        <v>0</v>
      </c>
    </row>
    <row r="1133" spans="2:88" ht="10.15" customHeight="1" x14ac:dyDescent="0.25">
      <c r="B1133" s="1918" t="s">
        <v>2433</v>
      </c>
      <c r="C1133" s="1223" t="str">
        <f t="shared" si="428"/>
        <v xml:space="preserve"> </v>
      </c>
      <c r="D1133" s="1224" t="s">
        <v>2218</v>
      </c>
      <c r="E1133" s="1224" t="s">
        <v>167</v>
      </c>
      <c r="F1133" s="1224" t="s">
        <v>330</v>
      </c>
      <c r="G1133" s="1225" t="s">
        <v>468</v>
      </c>
      <c r="H1133" s="1225" t="s">
        <v>136</v>
      </c>
      <c r="I1133" s="1224" t="s">
        <v>274</v>
      </c>
      <c r="J1133" s="1224" t="s">
        <v>1311</v>
      </c>
      <c r="K1133" s="1225" t="s">
        <v>3022</v>
      </c>
      <c r="L1133" s="1224" t="s">
        <v>2768</v>
      </c>
      <c r="M1133" s="1224" t="s">
        <v>2677</v>
      </c>
      <c r="N1133" s="1225" t="s">
        <v>2685</v>
      </c>
      <c r="O1133" s="1224" t="s">
        <v>310</v>
      </c>
      <c r="P1133" s="1224" t="s">
        <v>291</v>
      </c>
      <c r="Q1133" s="1224" t="s">
        <v>294</v>
      </c>
      <c r="R1133" s="1224">
        <v>1000000.01</v>
      </c>
      <c r="S1133" s="1224">
        <v>1500000</v>
      </c>
      <c r="T1133" s="1224">
        <v>0</v>
      </c>
      <c r="U1133" s="1224">
        <v>0</v>
      </c>
      <c r="V1133" s="1224">
        <v>0</v>
      </c>
      <c r="W1133" s="1224">
        <v>50</v>
      </c>
      <c r="X1133" s="1224">
        <v>0</v>
      </c>
      <c r="Y1133" s="1224">
        <v>999</v>
      </c>
      <c r="Z1133" s="1226">
        <v>700</v>
      </c>
      <c r="AA1133" s="1226">
        <v>719</v>
      </c>
      <c r="AB1133" s="1226">
        <v>6</v>
      </c>
      <c r="AC1133" s="1226">
        <v>999999</v>
      </c>
      <c r="AD1133" s="1224">
        <v>0</v>
      </c>
      <c r="AE1133" s="1227">
        <v>80</v>
      </c>
      <c r="AF1133" s="170">
        <v>0</v>
      </c>
      <c r="AG1133" s="171">
        <v>1</v>
      </c>
      <c r="AH1133" s="171">
        <v>1</v>
      </c>
      <c r="AI1133" s="171">
        <v>0</v>
      </c>
      <c r="AJ1133" s="171">
        <v>0</v>
      </c>
      <c r="AK1133" s="171">
        <v>1</v>
      </c>
      <c r="AL1133" s="171">
        <v>0</v>
      </c>
      <c r="AM1133" s="171">
        <v>1</v>
      </c>
      <c r="AN1133" s="171">
        <v>1</v>
      </c>
      <c r="AO1133" s="171">
        <v>1</v>
      </c>
      <c r="AP1133" s="171">
        <v>1</v>
      </c>
      <c r="AQ1133" s="171">
        <v>1</v>
      </c>
      <c r="AR1133" s="171">
        <v>1</v>
      </c>
      <c r="AS1133" s="171">
        <v>1</v>
      </c>
      <c r="AT1133" s="171">
        <v>1</v>
      </c>
      <c r="AU1133" s="171">
        <f t="shared" si="419"/>
        <v>0</v>
      </c>
      <c r="AV1133" s="171">
        <f t="shared" si="420"/>
        <v>0</v>
      </c>
      <c r="AW1133" s="171">
        <f t="shared" si="421"/>
        <v>1</v>
      </c>
      <c r="AX1133" s="171">
        <f t="shared" si="429"/>
        <v>1</v>
      </c>
      <c r="AY1133" s="171">
        <f t="shared" si="422"/>
        <v>0</v>
      </c>
      <c r="AZ1133" s="171">
        <f t="shared" si="423"/>
        <v>1</v>
      </c>
      <c r="BA1133" s="172">
        <f t="shared" si="424"/>
        <v>1</v>
      </c>
      <c r="BB1133" s="175">
        <f t="shared" si="425"/>
        <v>15</v>
      </c>
      <c r="BC1133" s="176">
        <f t="shared" si="426"/>
        <v>14</v>
      </c>
      <c r="BD1133" s="176">
        <f t="shared" si="427"/>
        <v>15</v>
      </c>
      <c r="BE1133" s="240" t="str">
        <f t="shared" si="418"/>
        <v/>
      </c>
      <c r="BF1133" s="990"/>
      <c r="BG1133" s="990"/>
      <c r="BH1133" s="991">
        <f>IF(AND(Input_Product=Elig!$C1133,Elig_MatchAll_Ct&lt;22,$BC1133=(Elig_MatchAll_Ct-1),AF1133=0),C1133,0)</f>
        <v>0</v>
      </c>
      <c r="BI1133" s="991">
        <f>IF(AND(Input_Product=Elig!$C1133,Elig_MatchAll_Ct&lt;22,$BC1133=(Elig_MatchAll_Ct-1),AG1133=0),D1133,0)</f>
        <v>0</v>
      </c>
      <c r="BJ1133" s="991">
        <f>IF(AND(Input_Product=Elig!$C1133,Elig_MatchAll_Ct&lt;22,$BC1133=(Elig_MatchAll_Ct-1),AH1133=0),E1133,0)</f>
        <v>0</v>
      </c>
      <c r="BK1133" s="991">
        <f>IF(AND(Input_Product=Elig!$C1133,Elig_MatchAll_Ct&lt;22,$BC1133=(Elig_MatchAll_Ct-1),AI1133=0),F1133,0)</f>
        <v>0</v>
      </c>
      <c r="BL1133" s="991">
        <f>IF(AND(Input_Product=Elig!$C1133,Elig_MatchAll_Ct&lt;22,$BC1133=(Elig_MatchAll_Ct-1),AJ1133=0),G1133,0)</f>
        <v>0</v>
      </c>
      <c r="BM1133" s="991">
        <f>IF(AND(Input_Product=Elig!$C1133,Elig_MatchAll_Ct&lt;22,$BC1133=(Elig_MatchAll_Ct-1),AK1133=0),H1133,0)</f>
        <v>0</v>
      </c>
      <c r="BN1133" s="991">
        <f>IF(AND(Input_Product=Elig!$C1133,Elig_MatchAll_Ct&lt;22,$BC1133=(Elig_MatchAll_Ct-1),AL1133=0),I1133,0)</f>
        <v>0</v>
      </c>
      <c r="BO1133" s="991">
        <f>IF(AND(Input_Product=Elig!$C1133,Elig_MatchAll_Ct&lt;22,$BC1133=(Elig_MatchAll_Ct-1),AM1133=0),J1133,0)</f>
        <v>0</v>
      </c>
      <c r="BP1133" s="991">
        <f>IF(AND(Input_Product=Elig!$C1133,Elig_MatchAll_Ct&lt;22,$BC1133=(Elig_MatchAll_Ct-1),AN1133=0),K1133,0)</f>
        <v>0</v>
      </c>
      <c r="BQ1133" s="991">
        <f>IF(AND(Input_Product=Elig!$C1133,Elig_MatchAll_Ct&lt;22,$BC1133=(Elig_MatchAll_Ct-1),AP1133=0),L1133,0)</f>
        <v>0</v>
      </c>
      <c r="BR1133" s="991">
        <f>IF(AND(Input_Product=Elig!$C1133,Elig_MatchAll_Ct&lt;22,$BC1133=(Elig_MatchAll_Ct-1),AO1133=0),M1133,0)</f>
        <v>0</v>
      </c>
      <c r="BS1133" s="991">
        <f>IF(AND(Input_Product=Elig!$C1133,Elig_MatchAll_Ct&lt;22,$BC1133=(Elig_MatchAll_Ct-1),AQ1133=0),N1133,0)</f>
        <v>0</v>
      </c>
      <c r="BT1133" s="991">
        <f>IF(AND(Input_Product=Elig!$C1133,Elig_MatchAll_Ct&lt;22,$BC1133=(Elig_MatchAll_Ct-1),AR1133=0),O1133,0)</f>
        <v>0</v>
      </c>
      <c r="BU1133" s="991">
        <f>IF(AND(Input_Product=Elig!$C1133,Elig_MatchAll_Ct&lt;22,$BC1133=(Elig_MatchAll_Ct-1),AS1133=0),P1133,0)</f>
        <v>0</v>
      </c>
      <c r="BV1133" s="992">
        <f>IF(AND(Input_Product=Elig!$C1133,Elig_MatchAll_Ct&lt;22,$BC1133=(Elig_MatchAll_Ct-1),AT1133=0),Q1133,0)</f>
        <v>0</v>
      </c>
      <c r="BW1133" s="993">
        <f>IF(AND(Input_Product=Elig!$C1133,Elig_MatchAll_Ct&lt;22,$BC1133=(Elig_MatchAll_Ct-1),AU1133=0),R1133,0)</f>
        <v>0</v>
      </c>
      <c r="BX1133" s="994">
        <f>IF(AND(Input_Product=Elig!$C1133,Elig_MatchAll_Ct&lt;22,$BC1133=(Elig_MatchAll_Ct-1),AU1133=0),S1133,0)</f>
        <v>0</v>
      </c>
      <c r="BY1133" s="993">
        <f>IF(AND(Input_Product=Elig!$C1133,Elig_MatchAll_Ct&lt;22,$BC1133=(Elig_MatchAll_Ct-1),AV1133=0),T1133,0)</f>
        <v>0</v>
      </c>
      <c r="BZ1133" s="994">
        <f>IF(AND(Input_Product=Elig!$C1133,Elig_MatchAll_Ct&lt;22,$BC1133=(Elig_MatchAll_Ct-1),AV1133=0),U1133,0)</f>
        <v>0</v>
      </c>
      <c r="CA1133" s="993">
        <f>IF(AND(Input_Product=Elig!$C1133,Elig_MatchAll_Ct&lt;22,$BC1133=(Elig_MatchAll_Ct-1),AW1133=0),V1133,0)</f>
        <v>0</v>
      </c>
      <c r="CB1133" s="994">
        <f>IF(AND(Input_Product=Elig!$C1133,Elig_MatchAll_Ct&lt;22,$BC1133=(Elig_MatchAll_Ct-1),AW1133=0),W1133,0)</f>
        <v>0</v>
      </c>
      <c r="CC1133" s="993">
        <f>IF(AND(Input_Product=Elig!$C1133,Elig_MatchAll_Ct&lt;22,$BC1133=(Elig_MatchAll_Ct-1),AX1133=0),X1133,0)</f>
        <v>0</v>
      </c>
      <c r="CD1133" s="994">
        <f>IF(AND(Input_Product=Elig!$C1133,Elig_MatchAll_Ct&lt;22,$BC1133=(Elig_MatchAll_Ct-1),AX1133=0),Y1133,0)</f>
        <v>0</v>
      </c>
      <c r="CE1133" s="993">
        <f>IF(AND(Input_LTV&lt;=AE1133,Input_Product=Elig!$C1133,Elig_MatchAll_Ct&lt;22,$BC1133=(Elig_MatchAll_Ct-1),AY1133=0),Z1133,0)</f>
        <v>0</v>
      </c>
      <c r="CF1133" s="994">
        <f>IF(AND(Input_LTV&lt;=AE1133,Input_Product=Elig!$C1133,Elig_MatchAll_Ct&lt;22,$BC1133=(Elig_MatchAll_Ct-1),AY1133=0),AA1133,0)</f>
        <v>0</v>
      </c>
      <c r="CG1133" s="993">
        <f>IF(AND(Input_Product=Elig!$C1133,Elig_MatchAll_Ct&lt;22,$BC1133=(Elig_MatchAll_Ct-1),AZ1133=0),AB1133,0)</f>
        <v>0</v>
      </c>
      <c r="CH1133" s="994">
        <f>IF(AND(Input_Product=Elig!$C1133,Elig_MatchAll_Ct&lt;22,$BC1133=(Elig_MatchAll_Ct-1),AZ1133=0),AC1133,0)</f>
        <v>0</v>
      </c>
      <c r="CI1133" s="993">
        <f>IF(AND(Input_Product=Elig!$C1133,Elig_MatchAll_Ct&lt;22,$BC1133=(Elig_MatchAll_Ct-1),BA1133=0),AD1133,0)</f>
        <v>0</v>
      </c>
      <c r="CJ1133" s="994">
        <f>IF(AND(Input_Product=Elig!$C1133,Elig_MatchAll_Ct&lt;22,$BC1133=(Elig_MatchAll_Ct-1),BA1133=0),AE1133,0)</f>
        <v>0</v>
      </c>
    </row>
    <row r="1134" spans="2:88" ht="10.15" customHeight="1" x14ac:dyDescent="0.25">
      <c r="B1134" s="1918" t="s">
        <v>2434</v>
      </c>
      <c r="C1134" s="1223" t="str">
        <f t="shared" si="428"/>
        <v xml:space="preserve"> </v>
      </c>
      <c r="D1134" s="1224" t="s">
        <v>2218</v>
      </c>
      <c r="E1134" s="1224" t="s">
        <v>167</v>
      </c>
      <c r="F1134" s="1224" t="s">
        <v>330</v>
      </c>
      <c r="G1134" s="1225" t="s">
        <v>468</v>
      </c>
      <c r="H1134" s="1225" t="s">
        <v>136</v>
      </c>
      <c r="I1134" s="1224" t="s">
        <v>274</v>
      </c>
      <c r="J1134" s="1224" t="s">
        <v>1311</v>
      </c>
      <c r="K1134" s="1225" t="s">
        <v>3022</v>
      </c>
      <c r="L1134" s="1224" t="s">
        <v>2768</v>
      </c>
      <c r="M1134" s="1224" t="s">
        <v>2677</v>
      </c>
      <c r="N1134" s="1225" t="s">
        <v>2685</v>
      </c>
      <c r="O1134" s="1224" t="s">
        <v>310</v>
      </c>
      <c r="P1134" s="1224" t="s">
        <v>291</v>
      </c>
      <c r="Q1134" s="1224" t="s">
        <v>294</v>
      </c>
      <c r="R1134" s="1224">
        <v>1000000.01</v>
      </c>
      <c r="S1134" s="1224">
        <v>1500000</v>
      </c>
      <c r="T1134" s="1224">
        <v>0</v>
      </c>
      <c r="U1134" s="1224">
        <v>0</v>
      </c>
      <c r="V1134" s="1224">
        <v>0</v>
      </c>
      <c r="W1134" s="1224">
        <v>50</v>
      </c>
      <c r="X1134" s="1224">
        <v>0</v>
      </c>
      <c r="Y1134" s="1224">
        <v>999</v>
      </c>
      <c r="Z1134" s="1226">
        <v>680</v>
      </c>
      <c r="AA1134" s="1226">
        <v>699</v>
      </c>
      <c r="AB1134" s="1226">
        <v>6</v>
      </c>
      <c r="AC1134" s="1226">
        <v>999999</v>
      </c>
      <c r="AD1134" s="1224">
        <v>0</v>
      </c>
      <c r="AE1134" s="1227">
        <v>75</v>
      </c>
      <c r="AF1134" s="170">
        <v>0</v>
      </c>
      <c r="AG1134" s="171">
        <v>1</v>
      </c>
      <c r="AH1134" s="171">
        <v>1</v>
      </c>
      <c r="AI1134" s="171">
        <v>0</v>
      </c>
      <c r="AJ1134" s="171">
        <v>0</v>
      </c>
      <c r="AK1134" s="171">
        <v>1</v>
      </c>
      <c r="AL1134" s="171">
        <v>0</v>
      </c>
      <c r="AM1134" s="171">
        <v>1</v>
      </c>
      <c r="AN1134" s="171">
        <v>1</v>
      </c>
      <c r="AO1134" s="171">
        <v>1</v>
      </c>
      <c r="AP1134" s="171">
        <v>1</v>
      </c>
      <c r="AQ1134" s="171">
        <v>1</v>
      </c>
      <c r="AR1134" s="171">
        <v>1</v>
      </c>
      <c r="AS1134" s="171">
        <v>1</v>
      </c>
      <c r="AT1134" s="171">
        <v>1</v>
      </c>
      <c r="AU1134" s="171">
        <f t="shared" si="419"/>
        <v>0</v>
      </c>
      <c r="AV1134" s="171">
        <f t="shared" si="420"/>
        <v>0</v>
      </c>
      <c r="AW1134" s="171">
        <f t="shared" si="421"/>
        <v>1</v>
      </c>
      <c r="AX1134" s="171">
        <f t="shared" si="429"/>
        <v>1</v>
      </c>
      <c r="AY1134" s="171">
        <f t="shared" si="422"/>
        <v>0</v>
      </c>
      <c r="AZ1134" s="171">
        <f t="shared" si="423"/>
        <v>1</v>
      </c>
      <c r="BA1134" s="172">
        <f t="shared" si="424"/>
        <v>1</v>
      </c>
      <c r="BB1134" s="175">
        <f t="shared" si="425"/>
        <v>15</v>
      </c>
      <c r="BC1134" s="176">
        <f t="shared" si="426"/>
        <v>14</v>
      </c>
      <c r="BD1134" s="176">
        <f t="shared" si="427"/>
        <v>15</v>
      </c>
      <c r="BE1134" s="240" t="str">
        <f t="shared" si="418"/>
        <v/>
      </c>
      <c r="BF1134" s="990"/>
      <c r="BG1134" s="990"/>
      <c r="BH1134" s="991">
        <f>IF(AND(Input_Product=Elig!$C1134,Elig_MatchAll_Ct&lt;22,$BC1134=(Elig_MatchAll_Ct-1),AF1134=0),C1134,0)</f>
        <v>0</v>
      </c>
      <c r="BI1134" s="991">
        <f>IF(AND(Input_Product=Elig!$C1134,Elig_MatchAll_Ct&lt;22,$BC1134=(Elig_MatchAll_Ct-1),AG1134=0),D1134,0)</f>
        <v>0</v>
      </c>
      <c r="BJ1134" s="991">
        <f>IF(AND(Input_Product=Elig!$C1134,Elig_MatchAll_Ct&lt;22,$BC1134=(Elig_MatchAll_Ct-1),AH1134=0),E1134,0)</f>
        <v>0</v>
      </c>
      <c r="BK1134" s="991">
        <f>IF(AND(Input_Product=Elig!$C1134,Elig_MatchAll_Ct&lt;22,$BC1134=(Elig_MatchAll_Ct-1),AI1134=0),F1134,0)</f>
        <v>0</v>
      </c>
      <c r="BL1134" s="991">
        <f>IF(AND(Input_Product=Elig!$C1134,Elig_MatchAll_Ct&lt;22,$BC1134=(Elig_MatchAll_Ct-1),AJ1134=0),G1134,0)</f>
        <v>0</v>
      </c>
      <c r="BM1134" s="991">
        <f>IF(AND(Input_Product=Elig!$C1134,Elig_MatchAll_Ct&lt;22,$BC1134=(Elig_MatchAll_Ct-1),AK1134=0),H1134,0)</f>
        <v>0</v>
      </c>
      <c r="BN1134" s="991">
        <f>IF(AND(Input_Product=Elig!$C1134,Elig_MatchAll_Ct&lt;22,$BC1134=(Elig_MatchAll_Ct-1),AL1134=0),I1134,0)</f>
        <v>0</v>
      </c>
      <c r="BO1134" s="991">
        <f>IF(AND(Input_Product=Elig!$C1134,Elig_MatchAll_Ct&lt;22,$BC1134=(Elig_MatchAll_Ct-1),AM1134=0),J1134,0)</f>
        <v>0</v>
      </c>
      <c r="BP1134" s="991">
        <f>IF(AND(Input_Product=Elig!$C1134,Elig_MatchAll_Ct&lt;22,$BC1134=(Elig_MatchAll_Ct-1),AN1134=0),K1134,0)</f>
        <v>0</v>
      </c>
      <c r="BQ1134" s="991">
        <f>IF(AND(Input_Product=Elig!$C1134,Elig_MatchAll_Ct&lt;22,$BC1134=(Elig_MatchAll_Ct-1),AP1134=0),L1134,0)</f>
        <v>0</v>
      </c>
      <c r="BR1134" s="991">
        <f>IF(AND(Input_Product=Elig!$C1134,Elig_MatchAll_Ct&lt;22,$BC1134=(Elig_MatchAll_Ct-1),AO1134=0),M1134,0)</f>
        <v>0</v>
      </c>
      <c r="BS1134" s="991">
        <f>IF(AND(Input_Product=Elig!$C1134,Elig_MatchAll_Ct&lt;22,$BC1134=(Elig_MatchAll_Ct-1),AQ1134=0),N1134,0)</f>
        <v>0</v>
      </c>
      <c r="BT1134" s="991">
        <f>IF(AND(Input_Product=Elig!$C1134,Elig_MatchAll_Ct&lt;22,$BC1134=(Elig_MatchAll_Ct-1),AR1134=0),O1134,0)</f>
        <v>0</v>
      </c>
      <c r="BU1134" s="991">
        <f>IF(AND(Input_Product=Elig!$C1134,Elig_MatchAll_Ct&lt;22,$BC1134=(Elig_MatchAll_Ct-1),AS1134=0),P1134,0)</f>
        <v>0</v>
      </c>
      <c r="BV1134" s="992">
        <f>IF(AND(Input_Product=Elig!$C1134,Elig_MatchAll_Ct&lt;22,$BC1134=(Elig_MatchAll_Ct-1),AT1134=0),Q1134,0)</f>
        <v>0</v>
      </c>
      <c r="BW1134" s="993">
        <f>IF(AND(Input_Product=Elig!$C1134,Elig_MatchAll_Ct&lt;22,$BC1134=(Elig_MatchAll_Ct-1),AU1134=0),R1134,0)</f>
        <v>0</v>
      </c>
      <c r="BX1134" s="994">
        <f>IF(AND(Input_Product=Elig!$C1134,Elig_MatchAll_Ct&lt;22,$BC1134=(Elig_MatchAll_Ct-1),AU1134=0),S1134,0)</f>
        <v>0</v>
      </c>
      <c r="BY1134" s="993">
        <f>IF(AND(Input_Product=Elig!$C1134,Elig_MatchAll_Ct&lt;22,$BC1134=(Elig_MatchAll_Ct-1),AV1134=0),T1134,0)</f>
        <v>0</v>
      </c>
      <c r="BZ1134" s="994">
        <f>IF(AND(Input_Product=Elig!$C1134,Elig_MatchAll_Ct&lt;22,$BC1134=(Elig_MatchAll_Ct-1),AV1134=0),U1134,0)</f>
        <v>0</v>
      </c>
      <c r="CA1134" s="993">
        <f>IF(AND(Input_Product=Elig!$C1134,Elig_MatchAll_Ct&lt;22,$BC1134=(Elig_MatchAll_Ct-1),AW1134=0),V1134,0)</f>
        <v>0</v>
      </c>
      <c r="CB1134" s="994">
        <f>IF(AND(Input_Product=Elig!$C1134,Elig_MatchAll_Ct&lt;22,$BC1134=(Elig_MatchAll_Ct-1),AW1134=0),W1134,0)</f>
        <v>0</v>
      </c>
      <c r="CC1134" s="993">
        <f>IF(AND(Input_Product=Elig!$C1134,Elig_MatchAll_Ct&lt;22,$BC1134=(Elig_MatchAll_Ct-1),AX1134=0),X1134,0)</f>
        <v>0</v>
      </c>
      <c r="CD1134" s="994">
        <f>IF(AND(Input_Product=Elig!$C1134,Elig_MatchAll_Ct&lt;22,$BC1134=(Elig_MatchAll_Ct-1),AX1134=0),Y1134,0)</f>
        <v>0</v>
      </c>
      <c r="CE1134" s="993">
        <f>IF(AND(Input_LTV&lt;=AE1134,Input_Product=Elig!$C1134,Elig_MatchAll_Ct&lt;22,$BC1134=(Elig_MatchAll_Ct-1),AY1134=0),Z1134,0)</f>
        <v>0</v>
      </c>
      <c r="CF1134" s="994">
        <f>IF(AND(Input_LTV&lt;=AE1134,Input_Product=Elig!$C1134,Elig_MatchAll_Ct&lt;22,$BC1134=(Elig_MatchAll_Ct-1),AY1134=0),AA1134,0)</f>
        <v>0</v>
      </c>
      <c r="CG1134" s="993">
        <f>IF(AND(Input_Product=Elig!$C1134,Elig_MatchAll_Ct&lt;22,$BC1134=(Elig_MatchAll_Ct-1),AZ1134=0),AB1134,0)</f>
        <v>0</v>
      </c>
      <c r="CH1134" s="994">
        <f>IF(AND(Input_Product=Elig!$C1134,Elig_MatchAll_Ct&lt;22,$BC1134=(Elig_MatchAll_Ct-1),AZ1134=0),AC1134,0)</f>
        <v>0</v>
      </c>
      <c r="CI1134" s="993">
        <f>IF(AND(Input_Product=Elig!$C1134,Elig_MatchAll_Ct&lt;22,$BC1134=(Elig_MatchAll_Ct-1),BA1134=0),AD1134,0)</f>
        <v>0</v>
      </c>
      <c r="CJ1134" s="994">
        <f>IF(AND(Input_Product=Elig!$C1134,Elig_MatchAll_Ct&lt;22,$BC1134=(Elig_MatchAll_Ct-1),BA1134=0),AE1134,0)</f>
        <v>0</v>
      </c>
    </row>
    <row r="1135" spans="2:88" ht="10.15" customHeight="1" x14ac:dyDescent="0.25">
      <c r="B1135" s="1918" t="s">
        <v>2435</v>
      </c>
      <c r="C1135" s="1228" t="str">
        <f t="shared" si="428"/>
        <v xml:space="preserve"> </v>
      </c>
      <c r="D1135" s="1229" t="s">
        <v>2218</v>
      </c>
      <c r="E1135" s="1229" t="s">
        <v>167</v>
      </c>
      <c r="F1135" s="1229" t="s">
        <v>330</v>
      </c>
      <c r="G1135" s="1230" t="s">
        <v>468</v>
      </c>
      <c r="H1135" s="1230" t="s">
        <v>136</v>
      </c>
      <c r="I1135" s="1229" t="s">
        <v>274</v>
      </c>
      <c r="J1135" s="1229" t="s">
        <v>1311</v>
      </c>
      <c r="K1135" s="1230" t="s">
        <v>3022</v>
      </c>
      <c r="L1135" s="1229" t="s">
        <v>2768</v>
      </c>
      <c r="M1135" s="1229" t="s">
        <v>2677</v>
      </c>
      <c r="N1135" s="1230" t="s">
        <v>2685</v>
      </c>
      <c r="O1135" s="1229" t="s">
        <v>310</v>
      </c>
      <c r="P1135" s="1229" t="s">
        <v>291</v>
      </c>
      <c r="Q1135" s="1229" t="s">
        <v>294</v>
      </c>
      <c r="R1135" s="1229">
        <v>1000000.01</v>
      </c>
      <c r="S1135" s="1229">
        <v>1500000</v>
      </c>
      <c r="T1135" s="1229">
        <v>0</v>
      </c>
      <c r="U1135" s="1229">
        <v>0</v>
      </c>
      <c r="V1135" s="1229">
        <v>0</v>
      </c>
      <c r="W1135" s="1229">
        <v>50</v>
      </c>
      <c r="X1135" s="1229">
        <v>0</v>
      </c>
      <c r="Y1135" s="1229">
        <v>999</v>
      </c>
      <c r="Z1135" s="1231">
        <v>660</v>
      </c>
      <c r="AA1135" s="1231">
        <v>679</v>
      </c>
      <c r="AB1135" s="1231">
        <v>6</v>
      </c>
      <c r="AC1135" s="1231">
        <v>999999</v>
      </c>
      <c r="AD1135" s="1229">
        <v>0</v>
      </c>
      <c r="AE1135" s="1232">
        <v>70</v>
      </c>
      <c r="AF1135" s="170">
        <v>0</v>
      </c>
      <c r="AG1135" s="171">
        <v>1</v>
      </c>
      <c r="AH1135" s="171">
        <v>1</v>
      </c>
      <c r="AI1135" s="171">
        <v>0</v>
      </c>
      <c r="AJ1135" s="171">
        <v>0</v>
      </c>
      <c r="AK1135" s="171">
        <v>1</v>
      </c>
      <c r="AL1135" s="171">
        <v>0</v>
      </c>
      <c r="AM1135" s="171">
        <v>1</v>
      </c>
      <c r="AN1135" s="171">
        <v>1</v>
      </c>
      <c r="AO1135" s="171">
        <v>1</v>
      </c>
      <c r="AP1135" s="171">
        <v>1</v>
      </c>
      <c r="AQ1135" s="171">
        <v>1</v>
      </c>
      <c r="AR1135" s="171">
        <v>1</v>
      </c>
      <c r="AS1135" s="171">
        <v>1</v>
      </c>
      <c r="AT1135" s="171">
        <v>1</v>
      </c>
      <c r="AU1135" s="171">
        <f t="shared" si="419"/>
        <v>0</v>
      </c>
      <c r="AV1135" s="171">
        <f t="shared" si="420"/>
        <v>0</v>
      </c>
      <c r="AW1135" s="171">
        <f t="shared" si="421"/>
        <v>1</v>
      </c>
      <c r="AX1135" s="171">
        <f t="shared" si="429"/>
        <v>1</v>
      </c>
      <c r="AY1135" s="171">
        <f t="shared" si="422"/>
        <v>0</v>
      </c>
      <c r="AZ1135" s="171">
        <f t="shared" si="423"/>
        <v>1</v>
      </c>
      <c r="BA1135" s="172">
        <f t="shared" si="424"/>
        <v>1</v>
      </c>
      <c r="BB1135" s="175">
        <f t="shared" si="425"/>
        <v>15</v>
      </c>
      <c r="BC1135" s="176">
        <f t="shared" si="426"/>
        <v>14</v>
      </c>
      <c r="BD1135" s="176">
        <f t="shared" si="427"/>
        <v>15</v>
      </c>
      <c r="BE1135" s="240" t="str">
        <f t="shared" si="418"/>
        <v/>
      </c>
      <c r="BF1135" s="990"/>
      <c r="BG1135" s="990"/>
      <c r="BH1135" s="991">
        <f>IF(AND(Input_Product=Elig!$C1135,Elig_MatchAll_Ct&lt;22,$BC1135=(Elig_MatchAll_Ct-1),AF1135=0),C1135,0)</f>
        <v>0</v>
      </c>
      <c r="BI1135" s="991">
        <f>IF(AND(Input_Product=Elig!$C1135,Elig_MatchAll_Ct&lt;22,$BC1135=(Elig_MatchAll_Ct-1),AG1135=0),D1135,0)</f>
        <v>0</v>
      </c>
      <c r="BJ1135" s="991">
        <f>IF(AND(Input_Product=Elig!$C1135,Elig_MatchAll_Ct&lt;22,$BC1135=(Elig_MatchAll_Ct-1),AH1135=0),E1135,0)</f>
        <v>0</v>
      </c>
      <c r="BK1135" s="991">
        <f>IF(AND(Input_Product=Elig!$C1135,Elig_MatchAll_Ct&lt;22,$BC1135=(Elig_MatchAll_Ct-1),AI1135=0),F1135,0)</f>
        <v>0</v>
      </c>
      <c r="BL1135" s="991">
        <f>IF(AND(Input_Product=Elig!$C1135,Elig_MatchAll_Ct&lt;22,$BC1135=(Elig_MatchAll_Ct-1),AJ1135=0),G1135,0)</f>
        <v>0</v>
      </c>
      <c r="BM1135" s="991">
        <f>IF(AND(Input_Product=Elig!$C1135,Elig_MatchAll_Ct&lt;22,$BC1135=(Elig_MatchAll_Ct-1),AK1135=0),H1135,0)</f>
        <v>0</v>
      </c>
      <c r="BN1135" s="991">
        <f>IF(AND(Input_Product=Elig!$C1135,Elig_MatchAll_Ct&lt;22,$BC1135=(Elig_MatchAll_Ct-1),AL1135=0),I1135,0)</f>
        <v>0</v>
      </c>
      <c r="BO1135" s="991">
        <f>IF(AND(Input_Product=Elig!$C1135,Elig_MatchAll_Ct&lt;22,$BC1135=(Elig_MatchAll_Ct-1),AM1135=0),J1135,0)</f>
        <v>0</v>
      </c>
      <c r="BP1135" s="991">
        <f>IF(AND(Input_Product=Elig!$C1135,Elig_MatchAll_Ct&lt;22,$BC1135=(Elig_MatchAll_Ct-1),AN1135=0),K1135,0)</f>
        <v>0</v>
      </c>
      <c r="BQ1135" s="991">
        <f>IF(AND(Input_Product=Elig!$C1135,Elig_MatchAll_Ct&lt;22,$BC1135=(Elig_MatchAll_Ct-1),AP1135=0),L1135,0)</f>
        <v>0</v>
      </c>
      <c r="BR1135" s="991">
        <f>IF(AND(Input_Product=Elig!$C1135,Elig_MatchAll_Ct&lt;22,$BC1135=(Elig_MatchAll_Ct-1),AO1135=0),M1135,0)</f>
        <v>0</v>
      </c>
      <c r="BS1135" s="991">
        <f>IF(AND(Input_Product=Elig!$C1135,Elig_MatchAll_Ct&lt;22,$BC1135=(Elig_MatchAll_Ct-1),AQ1135=0),N1135,0)</f>
        <v>0</v>
      </c>
      <c r="BT1135" s="991">
        <f>IF(AND(Input_Product=Elig!$C1135,Elig_MatchAll_Ct&lt;22,$BC1135=(Elig_MatchAll_Ct-1),AR1135=0),O1135,0)</f>
        <v>0</v>
      </c>
      <c r="BU1135" s="991">
        <f>IF(AND(Input_Product=Elig!$C1135,Elig_MatchAll_Ct&lt;22,$BC1135=(Elig_MatchAll_Ct-1),AS1135=0),P1135,0)</f>
        <v>0</v>
      </c>
      <c r="BV1135" s="992">
        <f>IF(AND(Input_Product=Elig!$C1135,Elig_MatchAll_Ct&lt;22,$BC1135=(Elig_MatchAll_Ct-1),AT1135=0),Q1135,0)</f>
        <v>0</v>
      </c>
      <c r="BW1135" s="993">
        <f>IF(AND(Input_Product=Elig!$C1135,Elig_MatchAll_Ct&lt;22,$BC1135=(Elig_MatchAll_Ct-1),AU1135=0),R1135,0)</f>
        <v>0</v>
      </c>
      <c r="BX1135" s="994">
        <f>IF(AND(Input_Product=Elig!$C1135,Elig_MatchAll_Ct&lt;22,$BC1135=(Elig_MatchAll_Ct-1),AU1135=0),S1135,0)</f>
        <v>0</v>
      </c>
      <c r="BY1135" s="993">
        <f>IF(AND(Input_Product=Elig!$C1135,Elig_MatchAll_Ct&lt;22,$BC1135=(Elig_MatchAll_Ct-1),AV1135=0),T1135,0)</f>
        <v>0</v>
      </c>
      <c r="BZ1135" s="994">
        <f>IF(AND(Input_Product=Elig!$C1135,Elig_MatchAll_Ct&lt;22,$BC1135=(Elig_MatchAll_Ct-1),AV1135=0),U1135,0)</f>
        <v>0</v>
      </c>
      <c r="CA1135" s="993">
        <f>IF(AND(Input_Product=Elig!$C1135,Elig_MatchAll_Ct&lt;22,$BC1135=(Elig_MatchAll_Ct-1),AW1135=0),V1135,0)</f>
        <v>0</v>
      </c>
      <c r="CB1135" s="994">
        <f>IF(AND(Input_Product=Elig!$C1135,Elig_MatchAll_Ct&lt;22,$BC1135=(Elig_MatchAll_Ct-1),AW1135=0),W1135,0)</f>
        <v>0</v>
      </c>
      <c r="CC1135" s="993">
        <f>IF(AND(Input_Product=Elig!$C1135,Elig_MatchAll_Ct&lt;22,$BC1135=(Elig_MatchAll_Ct-1),AX1135=0),X1135,0)</f>
        <v>0</v>
      </c>
      <c r="CD1135" s="994">
        <f>IF(AND(Input_Product=Elig!$C1135,Elig_MatchAll_Ct&lt;22,$BC1135=(Elig_MatchAll_Ct-1),AX1135=0),Y1135,0)</f>
        <v>0</v>
      </c>
      <c r="CE1135" s="993">
        <f>IF(AND(Input_LTV&lt;=AE1135,Input_Product=Elig!$C1135,Elig_MatchAll_Ct&lt;22,$BC1135=(Elig_MatchAll_Ct-1),AY1135=0),Z1135,0)</f>
        <v>0</v>
      </c>
      <c r="CF1135" s="994">
        <f>IF(AND(Input_LTV&lt;=AE1135,Input_Product=Elig!$C1135,Elig_MatchAll_Ct&lt;22,$BC1135=(Elig_MatchAll_Ct-1),AY1135=0),AA1135,0)</f>
        <v>0</v>
      </c>
      <c r="CG1135" s="993">
        <f>IF(AND(Input_Product=Elig!$C1135,Elig_MatchAll_Ct&lt;22,$BC1135=(Elig_MatchAll_Ct-1),AZ1135=0),AB1135,0)</f>
        <v>0</v>
      </c>
      <c r="CH1135" s="994">
        <f>IF(AND(Input_Product=Elig!$C1135,Elig_MatchAll_Ct&lt;22,$BC1135=(Elig_MatchAll_Ct-1),AZ1135=0),AC1135,0)</f>
        <v>0</v>
      </c>
      <c r="CI1135" s="993">
        <f>IF(AND(Input_Product=Elig!$C1135,Elig_MatchAll_Ct&lt;22,$BC1135=(Elig_MatchAll_Ct-1),BA1135=0),AD1135,0)</f>
        <v>0</v>
      </c>
      <c r="CJ1135" s="994">
        <f>IF(AND(Input_Product=Elig!$C1135,Elig_MatchAll_Ct&lt;22,$BC1135=(Elig_MatchAll_Ct-1),BA1135=0),AE1135,0)</f>
        <v>0</v>
      </c>
    </row>
    <row r="1136" spans="2:88" ht="10.15" customHeight="1" x14ac:dyDescent="0.25">
      <c r="B1136" s="1918" t="s">
        <v>2436</v>
      </c>
      <c r="C1136" s="1218" t="str">
        <f t="shared" si="428"/>
        <v xml:space="preserve"> </v>
      </c>
      <c r="D1136" s="1219" t="s">
        <v>2218</v>
      </c>
      <c r="E1136" s="1219" t="s">
        <v>167</v>
      </c>
      <c r="F1136" s="1219" t="s">
        <v>330</v>
      </c>
      <c r="G1136" s="1220" t="s">
        <v>468</v>
      </c>
      <c r="H1136" s="1220" t="s">
        <v>136</v>
      </c>
      <c r="I1136" s="1219" t="s">
        <v>274</v>
      </c>
      <c r="J1136" s="1219" t="s">
        <v>1311</v>
      </c>
      <c r="K1136" s="1220" t="s">
        <v>3022</v>
      </c>
      <c r="L1136" s="1219" t="s">
        <v>2768</v>
      </c>
      <c r="M1136" s="1219" t="s">
        <v>2677</v>
      </c>
      <c r="N1136" s="1220" t="s">
        <v>2685</v>
      </c>
      <c r="O1136" s="1219" t="s">
        <v>310</v>
      </c>
      <c r="P1136" s="1219" t="s">
        <v>291</v>
      </c>
      <c r="Q1136" s="1219" t="s">
        <v>294</v>
      </c>
      <c r="R1136" s="1219">
        <v>1500000.01</v>
      </c>
      <c r="S1136" s="1219">
        <v>2000000</v>
      </c>
      <c r="T1136" s="1219">
        <v>0</v>
      </c>
      <c r="U1136" s="1219">
        <v>0</v>
      </c>
      <c r="V1136" s="1219">
        <v>0</v>
      </c>
      <c r="W1136" s="1219">
        <v>50</v>
      </c>
      <c r="X1136" s="1219">
        <v>0</v>
      </c>
      <c r="Y1136" s="1219">
        <v>999</v>
      </c>
      <c r="Z1136" s="1221">
        <v>720</v>
      </c>
      <c r="AA1136" s="1221">
        <v>999</v>
      </c>
      <c r="AB1136" s="1221">
        <v>6</v>
      </c>
      <c r="AC1136" s="1221">
        <v>999999</v>
      </c>
      <c r="AD1136" s="1219">
        <v>0</v>
      </c>
      <c r="AE1136" s="1222">
        <v>80</v>
      </c>
      <c r="AF1136" s="170">
        <v>0</v>
      </c>
      <c r="AG1136" s="171">
        <v>1</v>
      </c>
      <c r="AH1136" s="171">
        <v>1</v>
      </c>
      <c r="AI1136" s="171">
        <v>0</v>
      </c>
      <c r="AJ1136" s="171">
        <v>0</v>
      </c>
      <c r="AK1136" s="171">
        <v>1</v>
      </c>
      <c r="AL1136" s="171">
        <v>0</v>
      </c>
      <c r="AM1136" s="171">
        <v>1</v>
      </c>
      <c r="AN1136" s="171">
        <v>1</v>
      </c>
      <c r="AO1136" s="171">
        <v>1</v>
      </c>
      <c r="AP1136" s="171">
        <v>1</v>
      </c>
      <c r="AQ1136" s="171">
        <v>1</v>
      </c>
      <c r="AR1136" s="171">
        <v>1</v>
      </c>
      <c r="AS1136" s="171">
        <v>1</v>
      </c>
      <c r="AT1136" s="171">
        <v>1</v>
      </c>
      <c r="AU1136" s="171">
        <f t="shared" si="419"/>
        <v>0</v>
      </c>
      <c r="AV1136" s="171">
        <f t="shared" si="420"/>
        <v>0</v>
      </c>
      <c r="AW1136" s="171">
        <f t="shared" si="421"/>
        <v>1</v>
      </c>
      <c r="AX1136" s="171">
        <f t="shared" si="429"/>
        <v>1</v>
      </c>
      <c r="AY1136" s="171">
        <f t="shared" si="422"/>
        <v>1</v>
      </c>
      <c r="AZ1136" s="171">
        <f t="shared" si="423"/>
        <v>1</v>
      </c>
      <c r="BA1136" s="172">
        <f t="shared" si="424"/>
        <v>1</v>
      </c>
      <c r="BB1136" s="175">
        <f t="shared" si="425"/>
        <v>16</v>
      </c>
      <c r="BC1136" s="176">
        <f t="shared" si="426"/>
        <v>15</v>
      </c>
      <c r="BD1136" s="176">
        <f t="shared" si="427"/>
        <v>16</v>
      </c>
      <c r="BE1136" s="240" t="str">
        <f t="shared" si="418"/>
        <v/>
      </c>
      <c r="BF1136" s="990"/>
      <c r="BG1136" s="990"/>
      <c r="BH1136" s="991">
        <f>IF(AND(Input_Product=Elig!$C1136,Elig_MatchAll_Ct&lt;22,$BC1136=(Elig_MatchAll_Ct-1),AF1136=0),C1136,0)</f>
        <v>0</v>
      </c>
      <c r="BI1136" s="991">
        <f>IF(AND(Input_Product=Elig!$C1136,Elig_MatchAll_Ct&lt;22,$BC1136=(Elig_MatchAll_Ct-1),AG1136=0),D1136,0)</f>
        <v>0</v>
      </c>
      <c r="BJ1136" s="991">
        <f>IF(AND(Input_Product=Elig!$C1136,Elig_MatchAll_Ct&lt;22,$BC1136=(Elig_MatchAll_Ct-1),AH1136=0),E1136,0)</f>
        <v>0</v>
      </c>
      <c r="BK1136" s="991">
        <f>IF(AND(Input_Product=Elig!$C1136,Elig_MatchAll_Ct&lt;22,$BC1136=(Elig_MatchAll_Ct-1),AI1136=0),F1136,0)</f>
        <v>0</v>
      </c>
      <c r="BL1136" s="991">
        <f>IF(AND(Input_Product=Elig!$C1136,Elig_MatchAll_Ct&lt;22,$BC1136=(Elig_MatchAll_Ct-1),AJ1136=0),G1136,0)</f>
        <v>0</v>
      </c>
      <c r="BM1136" s="991">
        <f>IF(AND(Input_Product=Elig!$C1136,Elig_MatchAll_Ct&lt;22,$BC1136=(Elig_MatchAll_Ct-1),AK1136=0),H1136,0)</f>
        <v>0</v>
      </c>
      <c r="BN1136" s="991">
        <f>IF(AND(Input_Product=Elig!$C1136,Elig_MatchAll_Ct&lt;22,$BC1136=(Elig_MatchAll_Ct-1),AL1136=0),I1136,0)</f>
        <v>0</v>
      </c>
      <c r="BO1136" s="991">
        <f>IF(AND(Input_Product=Elig!$C1136,Elig_MatchAll_Ct&lt;22,$BC1136=(Elig_MatchAll_Ct-1),AM1136=0),J1136,0)</f>
        <v>0</v>
      </c>
      <c r="BP1136" s="991">
        <f>IF(AND(Input_Product=Elig!$C1136,Elig_MatchAll_Ct&lt;22,$BC1136=(Elig_MatchAll_Ct-1),AN1136=0),K1136,0)</f>
        <v>0</v>
      </c>
      <c r="BQ1136" s="991">
        <f>IF(AND(Input_Product=Elig!$C1136,Elig_MatchAll_Ct&lt;22,$BC1136=(Elig_MatchAll_Ct-1),AP1136=0),L1136,0)</f>
        <v>0</v>
      </c>
      <c r="BR1136" s="991">
        <f>IF(AND(Input_Product=Elig!$C1136,Elig_MatchAll_Ct&lt;22,$BC1136=(Elig_MatchAll_Ct-1),AO1136=0),M1136,0)</f>
        <v>0</v>
      </c>
      <c r="BS1136" s="991">
        <f>IF(AND(Input_Product=Elig!$C1136,Elig_MatchAll_Ct&lt;22,$BC1136=(Elig_MatchAll_Ct-1),AQ1136=0),N1136,0)</f>
        <v>0</v>
      </c>
      <c r="BT1136" s="991">
        <f>IF(AND(Input_Product=Elig!$C1136,Elig_MatchAll_Ct&lt;22,$BC1136=(Elig_MatchAll_Ct-1),AR1136=0),O1136,0)</f>
        <v>0</v>
      </c>
      <c r="BU1136" s="991">
        <f>IF(AND(Input_Product=Elig!$C1136,Elig_MatchAll_Ct&lt;22,$BC1136=(Elig_MatchAll_Ct-1),AS1136=0),P1136,0)</f>
        <v>0</v>
      </c>
      <c r="BV1136" s="992">
        <f>IF(AND(Input_Product=Elig!$C1136,Elig_MatchAll_Ct&lt;22,$BC1136=(Elig_MatchAll_Ct-1),AT1136=0),Q1136,0)</f>
        <v>0</v>
      </c>
      <c r="BW1136" s="993">
        <f>IF(AND(Input_Product=Elig!$C1136,Elig_MatchAll_Ct&lt;22,$BC1136=(Elig_MatchAll_Ct-1),AU1136=0),R1136,0)</f>
        <v>0</v>
      </c>
      <c r="BX1136" s="994">
        <f>IF(AND(Input_Product=Elig!$C1136,Elig_MatchAll_Ct&lt;22,$BC1136=(Elig_MatchAll_Ct-1),AU1136=0),S1136,0)</f>
        <v>0</v>
      </c>
      <c r="BY1136" s="993">
        <f>IF(AND(Input_Product=Elig!$C1136,Elig_MatchAll_Ct&lt;22,$BC1136=(Elig_MatchAll_Ct-1),AV1136=0),T1136,0)</f>
        <v>0</v>
      </c>
      <c r="BZ1136" s="994">
        <f>IF(AND(Input_Product=Elig!$C1136,Elig_MatchAll_Ct&lt;22,$BC1136=(Elig_MatchAll_Ct-1),AV1136=0),U1136,0)</f>
        <v>0</v>
      </c>
      <c r="CA1136" s="993">
        <f>IF(AND(Input_Product=Elig!$C1136,Elig_MatchAll_Ct&lt;22,$BC1136=(Elig_MatchAll_Ct-1),AW1136=0),V1136,0)</f>
        <v>0</v>
      </c>
      <c r="CB1136" s="994">
        <f>IF(AND(Input_Product=Elig!$C1136,Elig_MatchAll_Ct&lt;22,$BC1136=(Elig_MatchAll_Ct-1),AW1136=0),W1136,0)</f>
        <v>0</v>
      </c>
      <c r="CC1136" s="993">
        <f>IF(AND(Input_Product=Elig!$C1136,Elig_MatchAll_Ct&lt;22,$BC1136=(Elig_MatchAll_Ct-1),AX1136=0),X1136,0)</f>
        <v>0</v>
      </c>
      <c r="CD1136" s="994">
        <f>IF(AND(Input_Product=Elig!$C1136,Elig_MatchAll_Ct&lt;22,$BC1136=(Elig_MatchAll_Ct-1),AX1136=0),Y1136,0)</f>
        <v>0</v>
      </c>
      <c r="CE1136" s="993">
        <f>IF(AND(Input_LTV&lt;=AE1136,Input_Product=Elig!$C1136,Elig_MatchAll_Ct&lt;22,$BC1136=(Elig_MatchAll_Ct-1),AY1136=0),Z1136,0)</f>
        <v>0</v>
      </c>
      <c r="CF1136" s="994">
        <f>IF(AND(Input_LTV&lt;=AE1136,Input_Product=Elig!$C1136,Elig_MatchAll_Ct&lt;22,$BC1136=(Elig_MatchAll_Ct-1),AY1136=0),AA1136,0)</f>
        <v>0</v>
      </c>
      <c r="CG1136" s="993">
        <f>IF(AND(Input_Product=Elig!$C1136,Elig_MatchAll_Ct&lt;22,$BC1136=(Elig_MatchAll_Ct-1),AZ1136=0),AB1136,0)</f>
        <v>0</v>
      </c>
      <c r="CH1136" s="994">
        <f>IF(AND(Input_Product=Elig!$C1136,Elig_MatchAll_Ct&lt;22,$BC1136=(Elig_MatchAll_Ct-1),AZ1136=0),AC1136,0)</f>
        <v>0</v>
      </c>
      <c r="CI1136" s="993">
        <f>IF(AND(Input_Product=Elig!$C1136,Elig_MatchAll_Ct&lt;22,$BC1136=(Elig_MatchAll_Ct-1),BA1136=0),AD1136,0)</f>
        <v>0</v>
      </c>
      <c r="CJ1136" s="994">
        <f>IF(AND(Input_Product=Elig!$C1136,Elig_MatchAll_Ct&lt;22,$BC1136=(Elig_MatchAll_Ct-1),BA1136=0),AE1136,0)</f>
        <v>0</v>
      </c>
    </row>
    <row r="1137" spans="2:88" ht="10.15" customHeight="1" x14ac:dyDescent="0.25">
      <c r="B1137" s="1918" t="s">
        <v>2437</v>
      </c>
      <c r="C1137" s="1223" t="str">
        <f t="shared" si="428"/>
        <v xml:space="preserve"> </v>
      </c>
      <c r="D1137" s="1224" t="s">
        <v>2218</v>
      </c>
      <c r="E1137" s="1224" t="s">
        <v>167</v>
      </c>
      <c r="F1137" s="1224" t="s">
        <v>330</v>
      </c>
      <c r="G1137" s="1225" t="s">
        <v>468</v>
      </c>
      <c r="H1137" s="1225" t="s">
        <v>136</v>
      </c>
      <c r="I1137" s="1224" t="s">
        <v>274</v>
      </c>
      <c r="J1137" s="1224" t="s">
        <v>1311</v>
      </c>
      <c r="K1137" s="1225" t="s">
        <v>3022</v>
      </c>
      <c r="L1137" s="1224" t="s">
        <v>2768</v>
      </c>
      <c r="M1137" s="1224" t="s">
        <v>2677</v>
      </c>
      <c r="N1137" s="1225" t="s">
        <v>2685</v>
      </c>
      <c r="O1137" s="1224" t="s">
        <v>310</v>
      </c>
      <c r="P1137" s="1224" t="s">
        <v>291</v>
      </c>
      <c r="Q1137" s="1224" t="s">
        <v>294</v>
      </c>
      <c r="R1137" s="1224">
        <v>1500000.01</v>
      </c>
      <c r="S1137" s="1224">
        <v>2000000</v>
      </c>
      <c r="T1137" s="1224">
        <v>0</v>
      </c>
      <c r="U1137" s="1224">
        <v>0</v>
      </c>
      <c r="V1137" s="1224">
        <v>0</v>
      </c>
      <c r="W1137" s="1224">
        <v>50</v>
      </c>
      <c r="X1137" s="1224">
        <v>0</v>
      </c>
      <c r="Y1137" s="1224">
        <v>999</v>
      </c>
      <c r="Z1137" s="1226">
        <v>700</v>
      </c>
      <c r="AA1137" s="1226">
        <v>719</v>
      </c>
      <c r="AB1137" s="1226">
        <v>6</v>
      </c>
      <c r="AC1137" s="1226">
        <v>999999</v>
      </c>
      <c r="AD1137" s="1224">
        <v>0</v>
      </c>
      <c r="AE1137" s="1227">
        <v>80</v>
      </c>
      <c r="AF1137" s="170">
        <v>0</v>
      </c>
      <c r="AG1137" s="171">
        <v>1</v>
      </c>
      <c r="AH1137" s="171">
        <v>1</v>
      </c>
      <c r="AI1137" s="171">
        <v>0</v>
      </c>
      <c r="AJ1137" s="171">
        <v>0</v>
      </c>
      <c r="AK1137" s="171">
        <v>1</v>
      </c>
      <c r="AL1137" s="171">
        <v>0</v>
      </c>
      <c r="AM1137" s="171">
        <v>1</v>
      </c>
      <c r="AN1137" s="171">
        <v>1</v>
      </c>
      <c r="AO1137" s="171">
        <v>1</v>
      </c>
      <c r="AP1137" s="171">
        <v>1</v>
      </c>
      <c r="AQ1137" s="171">
        <v>1</v>
      </c>
      <c r="AR1137" s="171">
        <v>1</v>
      </c>
      <c r="AS1137" s="171">
        <v>1</v>
      </c>
      <c r="AT1137" s="171">
        <v>1</v>
      </c>
      <c r="AU1137" s="171">
        <f t="shared" si="419"/>
        <v>0</v>
      </c>
      <c r="AV1137" s="171">
        <f t="shared" si="420"/>
        <v>0</v>
      </c>
      <c r="AW1137" s="171">
        <f t="shared" si="421"/>
        <v>1</v>
      </c>
      <c r="AX1137" s="171">
        <f t="shared" si="429"/>
        <v>1</v>
      </c>
      <c r="AY1137" s="171">
        <f t="shared" si="422"/>
        <v>0</v>
      </c>
      <c r="AZ1137" s="171">
        <f t="shared" si="423"/>
        <v>1</v>
      </c>
      <c r="BA1137" s="172">
        <f t="shared" si="424"/>
        <v>1</v>
      </c>
      <c r="BB1137" s="175">
        <f t="shared" si="425"/>
        <v>15</v>
      </c>
      <c r="BC1137" s="176">
        <f t="shared" si="426"/>
        <v>14</v>
      </c>
      <c r="BD1137" s="176">
        <f t="shared" si="427"/>
        <v>15</v>
      </c>
      <c r="BE1137" s="240" t="str">
        <f t="shared" si="418"/>
        <v/>
      </c>
      <c r="BF1137" s="990"/>
      <c r="BG1137" s="990"/>
      <c r="BH1137" s="991">
        <f>IF(AND(Input_Product=Elig!$C1137,Elig_MatchAll_Ct&lt;22,$BC1137=(Elig_MatchAll_Ct-1),AF1137=0),C1137,0)</f>
        <v>0</v>
      </c>
      <c r="BI1137" s="991">
        <f>IF(AND(Input_Product=Elig!$C1137,Elig_MatchAll_Ct&lt;22,$BC1137=(Elig_MatchAll_Ct-1),AG1137=0),D1137,0)</f>
        <v>0</v>
      </c>
      <c r="BJ1137" s="991">
        <f>IF(AND(Input_Product=Elig!$C1137,Elig_MatchAll_Ct&lt;22,$BC1137=(Elig_MatchAll_Ct-1),AH1137=0),E1137,0)</f>
        <v>0</v>
      </c>
      <c r="BK1137" s="991">
        <f>IF(AND(Input_Product=Elig!$C1137,Elig_MatchAll_Ct&lt;22,$BC1137=(Elig_MatchAll_Ct-1),AI1137=0),F1137,0)</f>
        <v>0</v>
      </c>
      <c r="BL1137" s="991">
        <f>IF(AND(Input_Product=Elig!$C1137,Elig_MatchAll_Ct&lt;22,$BC1137=(Elig_MatchAll_Ct-1),AJ1137=0),G1137,0)</f>
        <v>0</v>
      </c>
      <c r="BM1137" s="991">
        <f>IF(AND(Input_Product=Elig!$C1137,Elig_MatchAll_Ct&lt;22,$BC1137=(Elig_MatchAll_Ct-1),AK1137=0),H1137,0)</f>
        <v>0</v>
      </c>
      <c r="BN1137" s="991">
        <f>IF(AND(Input_Product=Elig!$C1137,Elig_MatchAll_Ct&lt;22,$BC1137=(Elig_MatchAll_Ct-1),AL1137=0),I1137,0)</f>
        <v>0</v>
      </c>
      <c r="BO1137" s="991">
        <f>IF(AND(Input_Product=Elig!$C1137,Elig_MatchAll_Ct&lt;22,$BC1137=(Elig_MatchAll_Ct-1),AM1137=0),J1137,0)</f>
        <v>0</v>
      </c>
      <c r="BP1137" s="991">
        <f>IF(AND(Input_Product=Elig!$C1137,Elig_MatchAll_Ct&lt;22,$BC1137=(Elig_MatchAll_Ct-1),AN1137=0),K1137,0)</f>
        <v>0</v>
      </c>
      <c r="BQ1137" s="991">
        <f>IF(AND(Input_Product=Elig!$C1137,Elig_MatchAll_Ct&lt;22,$BC1137=(Elig_MatchAll_Ct-1),AP1137=0),L1137,0)</f>
        <v>0</v>
      </c>
      <c r="BR1137" s="991">
        <f>IF(AND(Input_Product=Elig!$C1137,Elig_MatchAll_Ct&lt;22,$BC1137=(Elig_MatchAll_Ct-1),AO1137=0),M1137,0)</f>
        <v>0</v>
      </c>
      <c r="BS1137" s="991">
        <f>IF(AND(Input_Product=Elig!$C1137,Elig_MatchAll_Ct&lt;22,$BC1137=(Elig_MatchAll_Ct-1),AQ1137=0),N1137,0)</f>
        <v>0</v>
      </c>
      <c r="BT1137" s="991">
        <f>IF(AND(Input_Product=Elig!$C1137,Elig_MatchAll_Ct&lt;22,$BC1137=(Elig_MatchAll_Ct-1),AR1137=0),O1137,0)</f>
        <v>0</v>
      </c>
      <c r="BU1137" s="991">
        <f>IF(AND(Input_Product=Elig!$C1137,Elig_MatchAll_Ct&lt;22,$BC1137=(Elig_MatchAll_Ct-1),AS1137=0),P1137,0)</f>
        <v>0</v>
      </c>
      <c r="BV1137" s="992">
        <f>IF(AND(Input_Product=Elig!$C1137,Elig_MatchAll_Ct&lt;22,$BC1137=(Elig_MatchAll_Ct-1),AT1137=0),Q1137,0)</f>
        <v>0</v>
      </c>
      <c r="BW1137" s="993">
        <f>IF(AND(Input_Product=Elig!$C1137,Elig_MatchAll_Ct&lt;22,$BC1137=(Elig_MatchAll_Ct-1),AU1137=0),R1137,0)</f>
        <v>0</v>
      </c>
      <c r="BX1137" s="994">
        <f>IF(AND(Input_Product=Elig!$C1137,Elig_MatchAll_Ct&lt;22,$BC1137=(Elig_MatchAll_Ct-1),AU1137=0),S1137,0)</f>
        <v>0</v>
      </c>
      <c r="BY1137" s="993">
        <f>IF(AND(Input_Product=Elig!$C1137,Elig_MatchAll_Ct&lt;22,$BC1137=(Elig_MatchAll_Ct-1),AV1137=0),T1137,0)</f>
        <v>0</v>
      </c>
      <c r="BZ1137" s="994">
        <f>IF(AND(Input_Product=Elig!$C1137,Elig_MatchAll_Ct&lt;22,$BC1137=(Elig_MatchAll_Ct-1),AV1137=0),U1137,0)</f>
        <v>0</v>
      </c>
      <c r="CA1137" s="993">
        <f>IF(AND(Input_Product=Elig!$C1137,Elig_MatchAll_Ct&lt;22,$BC1137=(Elig_MatchAll_Ct-1),AW1137=0),V1137,0)</f>
        <v>0</v>
      </c>
      <c r="CB1137" s="994">
        <f>IF(AND(Input_Product=Elig!$C1137,Elig_MatchAll_Ct&lt;22,$BC1137=(Elig_MatchAll_Ct-1),AW1137=0),W1137,0)</f>
        <v>0</v>
      </c>
      <c r="CC1137" s="993">
        <f>IF(AND(Input_Product=Elig!$C1137,Elig_MatchAll_Ct&lt;22,$BC1137=(Elig_MatchAll_Ct-1),AX1137=0),X1137,0)</f>
        <v>0</v>
      </c>
      <c r="CD1137" s="994">
        <f>IF(AND(Input_Product=Elig!$C1137,Elig_MatchAll_Ct&lt;22,$BC1137=(Elig_MatchAll_Ct-1),AX1137=0),Y1137,0)</f>
        <v>0</v>
      </c>
      <c r="CE1137" s="993">
        <f>IF(AND(Input_LTV&lt;=AE1137,Input_Product=Elig!$C1137,Elig_MatchAll_Ct&lt;22,$BC1137=(Elig_MatchAll_Ct-1),AY1137=0),Z1137,0)</f>
        <v>0</v>
      </c>
      <c r="CF1137" s="994">
        <f>IF(AND(Input_LTV&lt;=AE1137,Input_Product=Elig!$C1137,Elig_MatchAll_Ct&lt;22,$BC1137=(Elig_MatchAll_Ct-1),AY1137=0),AA1137,0)</f>
        <v>0</v>
      </c>
      <c r="CG1137" s="993">
        <f>IF(AND(Input_Product=Elig!$C1137,Elig_MatchAll_Ct&lt;22,$BC1137=(Elig_MatchAll_Ct-1),AZ1137=0),AB1137,0)</f>
        <v>0</v>
      </c>
      <c r="CH1137" s="994">
        <f>IF(AND(Input_Product=Elig!$C1137,Elig_MatchAll_Ct&lt;22,$BC1137=(Elig_MatchAll_Ct-1),AZ1137=0),AC1137,0)</f>
        <v>0</v>
      </c>
      <c r="CI1137" s="993">
        <f>IF(AND(Input_Product=Elig!$C1137,Elig_MatchAll_Ct&lt;22,$BC1137=(Elig_MatchAll_Ct-1),BA1137=0),AD1137,0)</f>
        <v>0</v>
      </c>
      <c r="CJ1137" s="994">
        <f>IF(AND(Input_Product=Elig!$C1137,Elig_MatchAll_Ct&lt;22,$BC1137=(Elig_MatchAll_Ct-1),BA1137=0),AE1137,0)</f>
        <v>0</v>
      </c>
    </row>
    <row r="1138" spans="2:88" ht="10.15" customHeight="1" x14ac:dyDescent="0.25">
      <c r="B1138" s="1918" t="s">
        <v>2438</v>
      </c>
      <c r="C1138" s="1223" t="str">
        <f t="shared" si="428"/>
        <v xml:space="preserve"> </v>
      </c>
      <c r="D1138" s="1224" t="s">
        <v>2218</v>
      </c>
      <c r="E1138" s="1224" t="s">
        <v>167</v>
      </c>
      <c r="F1138" s="1224" t="s">
        <v>330</v>
      </c>
      <c r="G1138" s="1225" t="s">
        <v>468</v>
      </c>
      <c r="H1138" s="1225" t="s">
        <v>136</v>
      </c>
      <c r="I1138" s="1224" t="s">
        <v>274</v>
      </c>
      <c r="J1138" s="1224" t="s">
        <v>1311</v>
      </c>
      <c r="K1138" s="1225" t="s">
        <v>3022</v>
      </c>
      <c r="L1138" s="1224" t="s">
        <v>2768</v>
      </c>
      <c r="M1138" s="1224" t="s">
        <v>2677</v>
      </c>
      <c r="N1138" s="1225" t="s">
        <v>2685</v>
      </c>
      <c r="O1138" s="1224" t="s">
        <v>310</v>
      </c>
      <c r="P1138" s="1224" t="s">
        <v>291</v>
      </c>
      <c r="Q1138" s="1224" t="s">
        <v>294</v>
      </c>
      <c r="R1138" s="1224">
        <v>1500000.01</v>
      </c>
      <c r="S1138" s="1224">
        <v>2000000</v>
      </c>
      <c r="T1138" s="1224">
        <v>0</v>
      </c>
      <c r="U1138" s="1224">
        <v>0</v>
      </c>
      <c r="V1138" s="1224">
        <v>0</v>
      </c>
      <c r="W1138" s="1224">
        <v>50</v>
      </c>
      <c r="X1138" s="1224">
        <v>0</v>
      </c>
      <c r="Y1138" s="1224">
        <v>999</v>
      </c>
      <c r="Z1138" s="1226">
        <v>680</v>
      </c>
      <c r="AA1138" s="1226">
        <v>699</v>
      </c>
      <c r="AB1138" s="1226">
        <v>6</v>
      </c>
      <c r="AC1138" s="1226">
        <v>999999</v>
      </c>
      <c r="AD1138" s="1224">
        <v>0</v>
      </c>
      <c r="AE1138" s="1227">
        <v>75</v>
      </c>
      <c r="AF1138" s="170">
        <v>0</v>
      </c>
      <c r="AG1138" s="171">
        <v>1</v>
      </c>
      <c r="AH1138" s="171">
        <v>1</v>
      </c>
      <c r="AI1138" s="171">
        <v>0</v>
      </c>
      <c r="AJ1138" s="171">
        <v>0</v>
      </c>
      <c r="AK1138" s="171">
        <v>1</v>
      </c>
      <c r="AL1138" s="171">
        <v>0</v>
      </c>
      <c r="AM1138" s="171">
        <v>1</v>
      </c>
      <c r="AN1138" s="171">
        <v>1</v>
      </c>
      <c r="AO1138" s="171">
        <v>1</v>
      </c>
      <c r="AP1138" s="171">
        <v>1</v>
      </c>
      <c r="AQ1138" s="171">
        <v>1</v>
      </c>
      <c r="AR1138" s="171">
        <v>1</v>
      </c>
      <c r="AS1138" s="171">
        <v>1</v>
      </c>
      <c r="AT1138" s="171">
        <v>1</v>
      </c>
      <c r="AU1138" s="171">
        <f t="shared" si="419"/>
        <v>0</v>
      </c>
      <c r="AV1138" s="171">
        <f t="shared" si="420"/>
        <v>0</v>
      </c>
      <c r="AW1138" s="171">
        <f t="shared" si="421"/>
        <v>1</v>
      </c>
      <c r="AX1138" s="171">
        <f t="shared" si="429"/>
        <v>1</v>
      </c>
      <c r="AY1138" s="171">
        <f t="shared" si="422"/>
        <v>0</v>
      </c>
      <c r="AZ1138" s="171">
        <f t="shared" si="423"/>
        <v>1</v>
      </c>
      <c r="BA1138" s="172">
        <f t="shared" si="424"/>
        <v>1</v>
      </c>
      <c r="BB1138" s="175">
        <f t="shared" si="425"/>
        <v>15</v>
      </c>
      <c r="BC1138" s="176">
        <f t="shared" si="426"/>
        <v>14</v>
      </c>
      <c r="BD1138" s="176">
        <f t="shared" si="427"/>
        <v>15</v>
      </c>
      <c r="BE1138" s="240" t="str">
        <f t="shared" si="418"/>
        <v/>
      </c>
      <c r="BF1138" s="990"/>
      <c r="BG1138" s="990"/>
      <c r="BH1138" s="991">
        <f>IF(AND(Input_Product=Elig!$C1138,Elig_MatchAll_Ct&lt;22,$BC1138=(Elig_MatchAll_Ct-1),AF1138=0),C1138,0)</f>
        <v>0</v>
      </c>
      <c r="BI1138" s="991">
        <f>IF(AND(Input_Product=Elig!$C1138,Elig_MatchAll_Ct&lt;22,$BC1138=(Elig_MatchAll_Ct-1),AG1138=0),D1138,0)</f>
        <v>0</v>
      </c>
      <c r="BJ1138" s="991">
        <f>IF(AND(Input_Product=Elig!$C1138,Elig_MatchAll_Ct&lt;22,$BC1138=(Elig_MatchAll_Ct-1),AH1138=0),E1138,0)</f>
        <v>0</v>
      </c>
      <c r="BK1138" s="991">
        <f>IF(AND(Input_Product=Elig!$C1138,Elig_MatchAll_Ct&lt;22,$BC1138=(Elig_MatchAll_Ct-1),AI1138=0),F1138,0)</f>
        <v>0</v>
      </c>
      <c r="BL1138" s="991">
        <f>IF(AND(Input_Product=Elig!$C1138,Elig_MatchAll_Ct&lt;22,$BC1138=(Elig_MatchAll_Ct-1),AJ1138=0),G1138,0)</f>
        <v>0</v>
      </c>
      <c r="BM1138" s="991">
        <f>IF(AND(Input_Product=Elig!$C1138,Elig_MatchAll_Ct&lt;22,$BC1138=(Elig_MatchAll_Ct-1),AK1138=0),H1138,0)</f>
        <v>0</v>
      </c>
      <c r="BN1138" s="991">
        <f>IF(AND(Input_Product=Elig!$C1138,Elig_MatchAll_Ct&lt;22,$BC1138=(Elig_MatchAll_Ct-1),AL1138=0),I1138,0)</f>
        <v>0</v>
      </c>
      <c r="BO1138" s="991">
        <f>IF(AND(Input_Product=Elig!$C1138,Elig_MatchAll_Ct&lt;22,$BC1138=(Elig_MatchAll_Ct-1),AM1138=0),J1138,0)</f>
        <v>0</v>
      </c>
      <c r="BP1138" s="991">
        <f>IF(AND(Input_Product=Elig!$C1138,Elig_MatchAll_Ct&lt;22,$BC1138=(Elig_MatchAll_Ct-1),AN1138=0),K1138,0)</f>
        <v>0</v>
      </c>
      <c r="BQ1138" s="991">
        <f>IF(AND(Input_Product=Elig!$C1138,Elig_MatchAll_Ct&lt;22,$BC1138=(Elig_MatchAll_Ct-1),AP1138=0),L1138,0)</f>
        <v>0</v>
      </c>
      <c r="BR1138" s="991">
        <f>IF(AND(Input_Product=Elig!$C1138,Elig_MatchAll_Ct&lt;22,$BC1138=(Elig_MatchAll_Ct-1),AO1138=0),M1138,0)</f>
        <v>0</v>
      </c>
      <c r="BS1138" s="991">
        <f>IF(AND(Input_Product=Elig!$C1138,Elig_MatchAll_Ct&lt;22,$BC1138=(Elig_MatchAll_Ct-1),AQ1138=0),N1138,0)</f>
        <v>0</v>
      </c>
      <c r="BT1138" s="991">
        <f>IF(AND(Input_Product=Elig!$C1138,Elig_MatchAll_Ct&lt;22,$BC1138=(Elig_MatchAll_Ct-1),AR1138=0),O1138,0)</f>
        <v>0</v>
      </c>
      <c r="BU1138" s="991">
        <f>IF(AND(Input_Product=Elig!$C1138,Elig_MatchAll_Ct&lt;22,$BC1138=(Elig_MatchAll_Ct-1),AS1138=0),P1138,0)</f>
        <v>0</v>
      </c>
      <c r="BV1138" s="992">
        <f>IF(AND(Input_Product=Elig!$C1138,Elig_MatchAll_Ct&lt;22,$BC1138=(Elig_MatchAll_Ct-1),AT1138=0),Q1138,0)</f>
        <v>0</v>
      </c>
      <c r="BW1138" s="993">
        <f>IF(AND(Input_Product=Elig!$C1138,Elig_MatchAll_Ct&lt;22,$BC1138=(Elig_MatchAll_Ct-1),AU1138=0),R1138,0)</f>
        <v>0</v>
      </c>
      <c r="BX1138" s="994">
        <f>IF(AND(Input_Product=Elig!$C1138,Elig_MatchAll_Ct&lt;22,$BC1138=(Elig_MatchAll_Ct-1),AU1138=0),S1138,0)</f>
        <v>0</v>
      </c>
      <c r="BY1138" s="993">
        <f>IF(AND(Input_Product=Elig!$C1138,Elig_MatchAll_Ct&lt;22,$BC1138=(Elig_MatchAll_Ct-1),AV1138=0),T1138,0)</f>
        <v>0</v>
      </c>
      <c r="BZ1138" s="994">
        <f>IF(AND(Input_Product=Elig!$C1138,Elig_MatchAll_Ct&lt;22,$BC1138=(Elig_MatchAll_Ct-1),AV1138=0),U1138,0)</f>
        <v>0</v>
      </c>
      <c r="CA1138" s="993">
        <f>IF(AND(Input_Product=Elig!$C1138,Elig_MatchAll_Ct&lt;22,$BC1138=(Elig_MatchAll_Ct-1),AW1138=0),V1138,0)</f>
        <v>0</v>
      </c>
      <c r="CB1138" s="994">
        <f>IF(AND(Input_Product=Elig!$C1138,Elig_MatchAll_Ct&lt;22,$BC1138=(Elig_MatchAll_Ct-1),AW1138=0),W1138,0)</f>
        <v>0</v>
      </c>
      <c r="CC1138" s="993">
        <f>IF(AND(Input_Product=Elig!$C1138,Elig_MatchAll_Ct&lt;22,$BC1138=(Elig_MatchAll_Ct-1),AX1138=0),X1138,0)</f>
        <v>0</v>
      </c>
      <c r="CD1138" s="994">
        <f>IF(AND(Input_Product=Elig!$C1138,Elig_MatchAll_Ct&lt;22,$BC1138=(Elig_MatchAll_Ct-1),AX1138=0),Y1138,0)</f>
        <v>0</v>
      </c>
      <c r="CE1138" s="993">
        <f>IF(AND(Input_LTV&lt;=AE1138,Input_Product=Elig!$C1138,Elig_MatchAll_Ct&lt;22,$BC1138=(Elig_MatchAll_Ct-1),AY1138=0),Z1138,0)</f>
        <v>0</v>
      </c>
      <c r="CF1138" s="994">
        <f>IF(AND(Input_LTV&lt;=AE1138,Input_Product=Elig!$C1138,Elig_MatchAll_Ct&lt;22,$BC1138=(Elig_MatchAll_Ct-1),AY1138=0),AA1138,0)</f>
        <v>0</v>
      </c>
      <c r="CG1138" s="993">
        <f>IF(AND(Input_Product=Elig!$C1138,Elig_MatchAll_Ct&lt;22,$BC1138=(Elig_MatchAll_Ct-1),AZ1138=0),AB1138,0)</f>
        <v>0</v>
      </c>
      <c r="CH1138" s="994">
        <f>IF(AND(Input_Product=Elig!$C1138,Elig_MatchAll_Ct&lt;22,$BC1138=(Elig_MatchAll_Ct-1),AZ1138=0),AC1138,0)</f>
        <v>0</v>
      </c>
      <c r="CI1138" s="993">
        <f>IF(AND(Input_Product=Elig!$C1138,Elig_MatchAll_Ct&lt;22,$BC1138=(Elig_MatchAll_Ct-1),BA1138=0),AD1138,0)</f>
        <v>0</v>
      </c>
      <c r="CJ1138" s="994">
        <f>IF(AND(Input_Product=Elig!$C1138,Elig_MatchAll_Ct&lt;22,$BC1138=(Elig_MatchAll_Ct-1),BA1138=0),AE1138,0)</f>
        <v>0</v>
      </c>
    </row>
    <row r="1139" spans="2:88" ht="10.15" customHeight="1" x14ac:dyDescent="0.25">
      <c r="B1139" s="1918" t="s">
        <v>2439</v>
      </c>
      <c r="C1139" s="1228" t="str">
        <f t="shared" si="428"/>
        <v xml:space="preserve"> </v>
      </c>
      <c r="D1139" s="1229" t="s">
        <v>2218</v>
      </c>
      <c r="E1139" s="1229" t="s">
        <v>167</v>
      </c>
      <c r="F1139" s="1229" t="s">
        <v>330</v>
      </c>
      <c r="G1139" s="1230" t="s">
        <v>468</v>
      </c>
      <c r="H1139" s="1230" t="s">
        <v>136</v>
      </c>
      <c r="I1139" s="1229" t="s">
        <v>274</v>
      </c>
      <c r="J1139" s="1229" t="s">
        <v>1311</v>
      </c>
      <c r="K1139" s="1230" t="s">
        <v>3022</v>
      </c>
      <c r="L1139" s="1229" t="s">
        <v>2768</v>
      </c>
      <c r="M1139" s="1229" t="s">
        <v>2677</v>
      </c>
      <c r="N1139" s="1230" t="s">
        <v>2685</v>
      </c>
      <c r="O1139" s="1229" t="s">
        <v>310</v>
      </c>
      <c r="P1139" s="1229" t="s">
        <v>291</v>
      </c>
      <c r="Q1139" s="1229" t="s">
        <v>294</v>
      </c>
      <c r="R1139" s="1229">
        <v>1500000.01</v>
      </c>
      <c r="S1139" s="1229">
        <v>2000000</v>
      </c>
      <c r="T1139" s="1229">
        <v>0</v>
      </c>
      <c r="U1139" s="1229">
        <v>0</v>
      </c>
      <c r="V1139" s="1229">
        <v>0</v>
      </c>
      <c r="W1139" s="1229">
        <v>50</v>
      </c>
      <c r="X1139" s="1229">
        <v>0</v>
      </c>
      <c r="Y1139" s="1229">
        <v>999</v>
      </c>
      <c r="Z1139" s="1231">
        <v>660</v>
      </c>
      <c r="AA1139" s="1231">
        <v>679</v>
      </c>
      <c r="AB1139" s="1231">
        <v>6</v>
      </c>
      <c r="AC1139" s="1231">
        <v>999999</v>
      </c>
      <c r="AD1139" s="1229">
        <v>0</v>
      </c>
      <c r="AE1139" s="1232">
        <v>70</v>
      </c>
      <c r="AF1139" s="170">
        <v>0</v>
      </c>
      <c r="AG1139" s="171">
        <v>1</v>
      </c>
      <c r="AH1139" s="171">
        <v>1</v>
      </c>
      <c r="AI1139" s="171">
        <v>0</v>
      </c>
      <c r="AJ1139" s="171">
        <v>0</v>
      </c>
      <c r="AK1139" s="171">
        <v>1</v>
      </c>
      <c r="AL1139" s="171">
        <v>0</v>
      </c>
      <c r="AM1139" s="171">
        <v>1</v>
      </c>
      <c r="AN1139" s="171">
        <v>1</v>
      </c>
      <c r="AO1139" s="171">
        <v>1</v>
      </c>
      <c r="AP1139" s="171">
        <v>1</v>
      </c>
      <c r="AQ1139" s="171">
        <v>1</v>
      </c>
      <c r="AR1139" s="171">
        <v>1</v>
      </c>
      <c r="AS1139" s="171">
        <v>1</v>
      </c>
      <c r="AT1139" s="171">
        <v>1</v>
      </c>
      <c r="AU1139" s="171">
        <f t="shared" si="419"/>
        <v>0</v>
      </c>
      <c r="AV1139" s="171">
        <f t="shared" si="420"/>
        <v>0</v>
      </c>
      <c r="AW1139" s="171">
        <f t="shared" si="421"/>
        <v>1</v>
      </c>
      <c r="AX1139" s="171">
        <f t="shared" si="429"/>
        <v>1</v>
      </c>
      <c r="AY1139" s="171">
        <f t="shared" si="422"/>
        <v>0</v>
      </c>
      <c r="AZ1139" s="171">
        <f t="shared" si="423"/>
        <v>1</v>
      </c>
      <c r="BA1139" s="172">
        <f t="shared" si="424"/>
        <v>1</v>
      </c>
      <c r="BB1139" s="175">
        <f t="shared" si="425"/>
        <v>15</v>
      </c>
      <c r="BC1139" s="176">
        <f t="shared" si="426"/>
        <v>14</v>
      </c>
      <c r="BD1139" s="176">
        <f t="shared" si="427"/>
        <v>15</v>
      </c>
      <c r="BE1139" s="240" t="str">
        <f t="shared" si="418"/>
        <v/>
      </c>
      <c r="BF1139" s="990"/>
      <c r="BG1139" s="990"/>
      <c r="BH1139" s="991">
        <f>IF(AND(Input_Product=Elig!$C1139,Elig_MatchAll_Ct&lt;22,$BC1139=(Elig_MatchAll_Ct-1),AF1139=0),C1139,0)</f>
        <v>0</v>
      </c>
      <c r="BI1139" s="991">
        <f>IF(AND(Input_Product=Elig!$C1139,Elig_MatchAll_Ct&lt;22,$BC1139=(Elig_MatchAll_Ct-1),AG1139=0),D1139,0)</f>
        <v>0</v>
      </c>
      <c r="BJ1139" s="991">
        <f>IF(AND(Input_Product=Elig!$C1139,Elig_MatchAll_Ct&lt;22,$BC1139=(Elig_MatchAll_Ct-1),AH1139=0),E1139,0)</f>
        <v>0</v>
      </c>
      <c r="BK1139" s="991">
        <f>IF(AND(Input_Product=Elig!$C1139,Elig_MatchAll_Ct&lt;22,$BC1139=(Elig_MatchAll_Ct-1),AI1139=0),F1139,0)</f>
        <v>0</v>
      </c>
      <c r="BL1139" s="991">
        <f>IF(AND(Input_Product=Elig!$C1139,Elig_MatchAll_Ct&lt;22,$BC1139=(Elig_MatchAll_Ct-1),AJ1139=0),G1139,0)</f>
        <v>0</v>
      </c>
      <c r="BM1139" s="991">
        <f>IF(AND(Input_Product=Elig!$C1139,Elig_MatchAll_Ct&lt;22,$BC1139=(Elig_MatchAll_Ct-1),AK1139=0),H1139,0)</f>
        <v>0</v>
      </c>
      <c r="BN1139" s="991">
        <f>IF(AND(Input_Product=Elig!$C1139,Elig_MatchAll_Ct&lt;22,$BC1139=(Elig_MatchAll_Ct-1),AL1139=0),I1139,0)</f>
        <v>0</v>
      </c>
      <c r="BO1139" s="991">
        <f>IF(AND(Input_Product=Elig!$C1139,Elig_MatchAll_Ct&lt;22,$BC1139=(Elig_MatchAll_Ct-1),AM1139=0),J1139,0)</f>
        <v>0</v>
      </c>
      <c r="BP1139" s="991">
        <f>IF(AND(Input_Product=Elig!$C1139,Elig_MatchAll_Ct&lt;22,$BC1139=(Elig_MatchAll_Ct-1),AN1139=0),K1139,0)</f>
        <v>0</v>
      </c>
      <c r="BQ1139" s="991">
        <f>IF(AND(Input_Product=Elig!$C1139,Elig_MatchAll_Ct&lt;22,$BC1139=(Elig_MatchAll_Ct-1),AP1139=0),L1139,0)</f>
        <v>0</v>
      </c>
      <c r="BR1139" s="991">
        <f>IF(AND(Input_Product=Elig!$C1139,Elig_MatchAll_Ct&lt;22,$BC1139=(Elig_MatchAll_Ct-1),AO1139=0),M1139,0)</f>
        <v>0</v>
      </c>
      <c r="BS1139" s="991">
        <f>IF(AND(Input_Product=Elig!$C1139,Elig_MatchAll_Ct&lt;22,$BC1139=(Elig_MatchAll_Ct-1),AQ1139=0),N1139,0)</f>
        <v>0</v>
      </c>
      <c r="BT1139" s="991">
        <f>IF(AND(Input_Product=Elig!$C1139,Elig_MatchAll_Ct&lt;22,$BC1139=(Elig_MatchAll_Ct-1),AR1139=0),O1139,0)</f>
        <v>0</v>
      </c>
      <c r="BU1139" s="991">
        <f>IF(AND(Input_Product=Elig!$C1139,Elig_MatchAll_Ct&lt;22,$BC1139=(Elig_MatchAll_Ct-1),AS1139=0),P1139,0)</f>
        <v>0</v>
      </c>
      <c r="BV1139" s="992">
        <f>IF(AND(Input_Product=Elig!$C1139,Elig_MatchAll_Ct&lt;22,$BC1139=(Elig_MatchAll_Ct-1),AT1139=0),Q1139,0)</f>
        <v>0</v>
      </c>
      <c r="BW1139" s="993">
        <f>IF(AND(Input_Product=Elig!$C1139,Elig_MatchAll_Ct&lt;22,$BC1139=(Elig_MatchAll_Ct-1),AU1139=0),R1139,0)</f>
        <v>0</v>
      </c>
      <c r="BX1139" s="994">
        <f>IF(AND(Input_Product=Elig!$C1139,Elig_MatchAll_Ct&lt;22,$BC1139=(Elig_MatchAll_Ct-1),AU1139=0),S1139,0)</f>
        <v>0</v>
      </c>
      <c r="BY1139" s="993">
        <f>IF(AND(Input_Product=Elig!$C1139,Elig_MatchAll_Ct&lt;22,$BC1139=(Elig_MatchAll_Ct-1),AV1139=0),T1139,0)</f>
        <v>0</v>
      </c>
      <c r="BZ1139" s="994">
        <f>IF(AND(Input_Product=Elig!$C1139,Elig_MatchAll_Ct&lt;22,$BC1139=(Elig_MatchAll_Ct-1),AV1139=0),U1139,0)</f>
        <v>0</v>
      </c>
      <c r="CA1139" s="993">
        <f>IF(AND(Input_Product=Elig!$C1139,Elig_MatchAll_Ct&lt;22,$BC1139=(Elig_MatchAll_Ct-1),AW1139=0),V1139,0)</f>
        <v>0</v>
      </c>
      <c r="CB1139" s="994">
        <f>IF(AND(Input_Product=Elig!$C1139,Elig_MatchAll_Ct&lt;22,$BC1139=(Elig_MatchAll_Ct-1),AW1139=0),W1139,0)</f>
        <v>0</v>
      </c>
      <c r="CC1139" s="993">
        <f>IF(AND(Input_Product=Elig!$C1139,Elig_MatchAll_Ct&lt;22,$BC1139=(Elig_MatchAll_Ct-1),AX1139=0),X1139,0)</f>
        <v>0</v>
      </c>
      <c r="CD1139" s="994">
        <f>IF(AND(Input_Product=Elig!$C1139,Elig_MatchAll_Ct&lt;22,$BC1139=(Elig_MatchAll_Ct-1),AX1139=0),Y1139,0)</f>
        <v>0</v>
      </c>
      <c r="CE1139" s="993">
        <f>IF(AND(Input_LTV&lt;=AE1139,Input_Product=Elig!$C1139,Elig_MatchAll_Ct&lt;22,$BC1139=(Elig_MatchAll_Ct-1),AY1139=0),Z1139,0)</f>
        <v>0</v>
      </c>
      <c r="CF1139" s="994">
        <f>IF(AND(Input_LTV&lt;=AE1139,Input_Product=Elig!$C1139,Elig_MatchAll_Ct&lt;22,$BC1139=(Elig_MatchAll_Ct-1),AY1139=0),AA1139,0)</f>
        <v>0</v>
      </c>
      <c r="CG1139" s="993">
        <f>IF(AND(Input_Product=Elig!$C1139,Elig_MatchAll_Ct&lt;22,$BC1139=(Elig_MatchAll_Ct-1),AZ1139=0),AB1139,0)</f>
        <v>0</v>
      </c>
      <c r="CH1139" s="994">
        <f>IF(AND(Input_Product=Elig!$C1139,Elig_MatchAll_Ct&lt;22,$BC1139=(Elig_MatchAll_Ct-1),AZ1139=0),AC1139,0)</f>
        <v>0</v>
      </c>
      <c r="CI1139" s="993">
        <f>IF(AND(Input_Product=Elig!$C1139,Elig_MatchAll_Ct&lt;22,$BC1139=(Elig_MatchAll_Ct-1),BA1139=0),AD1139,0)</f>
        <v>0</v>
      </c>
      <c r="CJ1139" s="994">
        <f>IF(AND(Input_Product=Elig!$C1139,Elig_MatchAll_Ct&lt;22,$BC1139=(Elig_MatchAll_Ct-1),BA1139=0),AE1139,0)</f>
        <v>0</v>
      </c>
    </row>
    <row r="1140" spans="2:88" ht="10.15" customHeight="1" x14ac:dyDescent="0.25">
      <c r="B1140" s="1918" t="s">
        <v>2440</v>
      </c>
      <c r="C1140" s="1218" t="str">
        <f t="shared" si="428"/>
        <v xml:space="preserve"> </v>
      </c>
      <c r="D1140" s="1219" t="s">
        <v>2218</v>
      </c>
      <c r="E1140" s="1219" t="s">
        <v>167</v>
      </c>
      <c r="F1140" s="1219" t="s">
        <v>330</v>
      </c>
      <c r="G1140" s="1220" t="s">
        <v>468</v>
      </c>
      <c r="H1140" s="1220" t="s">
        <v>136</v>
      </c>
      <c r="I1140" s="1219" t="s">
        <v>274</v>
      </c>
      <c r="J1140" s="1219" t="s">
        <v>1311</v>
      </c>
      <c r="K1140" s="1220" t="s">
        <v>3022</v>
      </c>
      <c r="L1140" s="1219" t="s">
        <v>2768</v>
      </c>
      <c r="M1140" s="1219" t="s">
        <v>2677</v>
      </c>
      <c r="N1140" s="1220" t="s">
        <v>2685</v>
      </c>
      <c r="O1140" s="1219" t="s">
        <v>310</v>
      </c>
      <c r="P1140" s="1219" t="s">
        <v>291</v>
      </c>
      <c r="Q1140" s="1219" t="s">
        <v>294</v>
      </c>
      <c r="R1140" s="1219">
        <v>2000000.01</v>
      </c>
      <c r="S1140" s="1219">
        <v>2500000</v>
      </c>
      <c r="T1140" s="1219">
        <v>0</v>
      </c>
      <c r="U1140" s="1219">
        <v>0</v>
      </c>
      <c r="V1140" s="1219">
        <v>0</v>
      </c>
      <c r="W1140" s="1219">
        <v>50</v>
      </c>
      <c r="X1140" s="1219">
        <v>0</v>
      </c>
      <c r="Y1140" s="1219">
        <v>999</v>
      </c>
      <c r="Z1140" s="1221">
        <v>720</v>
      </c>
      <c r="AA1140" s="1221">
        <v>999</v>
      </c>
      <c r="AB1140" s="1221">
        <v>6</v>
      </c>
      <c r="AC1140" s="1221">
        <v>999999</v>
      </c>
      <c r="AD1140" s="1219">
        <v>0</v>
      </c>
      <c r="AE1140" s="1222">
        <v>80</v>
      </c>
      <c r="AF1140" s="170">
        <v>0</v>
      </c>
      <c r="AG1140" s="171">
        <v>1</v>
      </c>
      <c r="AH1140" s="171">
        <v>1</v>
      </c>
      <c r="AI1140" s="171">
        <v>0</v>
      </c>
      <c r="AJ1140" s="171">
        <v>0</v>
      </c>
      <c r="AK1140" s="171">
        <v>1</v>
      </c>
      <c r="AL1140" s="171">
        <v>0</v>
      </c>
      <c r="AM1140" s="171">
        <v>1</v>
      </c>
      <c r="AN1140" s="171">
        <v>1</v>
      </c>
      <c r="AO1140" s="171">
        <v>1</v>
      </c>
      <c r="AP1140" s="171">
        <v>1</v>
      </c>
      <c r="AQ1140" s="171">
        <v>1</v>
      </c>
      <c r="AR1140" s="171">
        <v>1</v>
      </c>
      <c r="AS1140" s="171">
        <v>1</v>
      </c>
      <c r="AT1140" s="171">
        <v>1</v>
      </c>
      <c r="AU1140" s="171">
        <f t="shared" si="419"/>
        <v>0</v>
      </c>
      <c r="AV1140" s="171">
        <f t="shared" si="420"/>
        <v>0</v>
      </c>
      <c r="AW1140" s="171">
        <f t="shared" si="421"/>
        <v>1</v>
      </c>
      <c r="AX1140" s="171">
        <f t="shared" si="429"/>
        <v>1</v>
      </c>
      <c r="AY1140" s="171">
        <f t="shared" si="422"/>
        <v>1</v>
      </c>
      <c r="AZ1140" s="171">
        <f t="shared" si="423"/>
        <v>1</v>
      </c>
      <c r="BA1140" s="172">
        <f t="shared" si="424"/>
        <v>1</v>
      </c>
      <c r="BB1140" s="175">
        <f t="shared" si="425"/>
        <v>16</v>
      </c>
      <c r="BC1140" s="176">
        <f t="shared" si="426"/>
        <v>15</v>
      </c>
      <c r="BD1140" s="176">
        <f t="shared" si="427"/>
        <v>16</v>
      </c>
      <c r="BE1140" s="240" t="str">
        <f t="shared" si="418"/>
        <v/>
      </c>
      <c r="BF1140" s="990"/>
      <c r="BG1140" s="990"/>
      <c r="BH1140" s="991">
        <f>IF(AND(Input_Product=Elig!$C1140,Elig_MatchAll_Ct&lt;22,$BC1140=(Elig_MatchAll_Ct-1),AF1140=0),C1140,0)</f>
        <v>0</v>
      </c>
      <c r="BI1140" s="991">
        <f>IF(AND(Input_Product=Elig!$C1140,Elig_MatchAll_Ct&lt;22,$BC1140=(Elig_MatchAll_Ct-1),AG1140=0),D1140,0)</f>
        <v>0</v>
      </c>
      <c r="BJ1140" s="991">
        <f>IF(AND(Input_Product=Elig!$C1140,Elig_MatchAll_Ct&lt;22,$BC1140=(Elig_MatchAll_Ct-1),AH1140=0),E1140,0)</f>
        <v>0</v>
      </c>
      <c r="BK1140" s="991">
        <f>IF(AND(Input_Product=Elig!$C1140,Elig_MatchAll_Ct&lt;22,$BC1140=(Elig_MatchAll_Ct-1),AI1140=0),F1140,0)</f>
        <v>0</v>
      </c>
      <c r="BL1140" s="991">
        <f>IF(AND(Input_Product=Elig!$C1140,Elig_MatchAll_Ct&lt;22,$BC1140=(Elig_MatchAll_Ct-1),AJ1140=0),G1140,0)</f>
        <v>0</v>
      </c>
      <c r="BM1140" s="991">
        <f>IF(AND(Input_Product=Elig!$C1140,Elig_MatchAll_Ct&lt;22,$BC1140=(Elig_MatchAll_Ct-1),AK1140=0),H1140,0)</f>
        <v>0</v>
      </c>
      <c r="BN1140" s="991">
        <f>IF(AND(Input_Product=Elig!$C1140,Elig_MatchAll_Ct&lt;22,$BC1140=(Elig_MatchAll_Ct-1),AL1140=0),I1140,0)</f>
        <v>0</v>
      </c>
      <c r="BO1140" s="991">
        <f>IF(AND(Input_Product=Elig!$C1140,Elig_MatchAll_Ct&lt;22,$BC1140=(Elig_MatchAll_Ct-1),AM1140=0),J1140,0)</f>
        <v>0</v>
      </c>
      <c r="BP1140" s="991">
        <f>IF(AND(Input_Product=Elig!$C1140,Elig_MatchAll_Ct&lt;22,$BC1140=(Elig_MatchAll_Ct-1),AN1140=0),K1140,0)</f>
        <v>0</v>
      </c>
      <c r="BQ1140" s="991">
        <f>IF(AND(Input_Product=Elig!$C1140,Elig_MatchAll_Ct&lt;22,$BC1140=(Elig_MatchAll_Ct-1),AP1140=0),L1140,0)</f>
        <v>0</v>
      </c>
      <c r="BR1140" s="991">
        <f>IF(AND(Input_Product=Elig!$C1140,Elig_MatchAll_Ct&lt;22,$BC1140=(Elig_MatchAll_Ct-1),AO1140=0),M1140,0)</f>
        <v>0</v>
      </c>
      <c r="BS1140" s="991">
        <f>IF(AND(Input_Product=Elig!$C1140,Elig_MatchAll_Ct&lt;22,$BC1140=(Elig_MatchAll_Ct-1),AQ1140=0),N1140,0)</f>
        <v>0</v>
      </c>
      <c r="BT1140" s="991">
        <f>IF(AND(Input_Product=Elig!$C1140,Elig_MatchAll_Ct&lt;22,$BC1140=(Elig_MatchAll_Ct-1),AR1140=0),O1140,0)</f>
        <v>0</v>
      </c>
      <c r="BU1140" s="991">
        <f>IF(AND(Input_Product=Elig!$C1140,Elig_MatchAll_Ct&lt;22,$BC1140=(Elig_MatchAll_Ct-1),AS1140=0),P1140,0)</f>
        <v>0</v>
      </c>
      <c r="BV1140" s="992">
        <f>IF(AND(Input_Product=Elig!$C1140,Elig_MatchAll_Ct&lt;22,$BC1140=(Elig_MatchAll_Ct-1),AT1140=0),Q1140,0)</f>
        <v>0</v>
      </c>
      <c r="BW1140" s="993">
        <f>IF(AND(Input_Product=Elig!$C1140,Elig_MatchAll_Ct&lt;22,$BC1140=(Elig_MatchAll_Ct-1),AU1140=0),R1140,0)</f>
        <v>0</v>
      </c>
      <c r="BX1140" s="994">
        <f>IF(AND(Input_Product=Elig!$C1140,Elig_MatchAll_Ct&lt;22,$BC1140=(Elig_MatchAll_Ct-1),AU1140=0),S1140,0)</f>
        <v>0</v>
      </c>
      <c r="BY1140" s="993">
        <f>IF(AND(Input_Product=Elig!$C1140,Elig_MatchAll_Ct&lt;22,$BC1140=(Elig_MatchAll_Ct-1),AV1140=0),T1140,0)</f>
        <v>0</v>
      </c>
      <c r="BZ1140" s="994">
        <f>IF(AND(Input_Product=Elig!$C1140,Elig_MatchAll_Ct&lt;22,$BC1140=(Elig_MatchAll_Ct-1),AV1140=0),U1140,0)</f>
        <v>0</v>
      </c>
      <c r="CA1140" s="993">
        <f>IF(AND(Input_Product=Elig!$C1140,Elig_MatchAll_Ct&lt;22,$BC1140=(Elig_MatchAll_Ct-1),AW1140=0),V1140,0)</f>
        <v>0</v>
      </c>
      <c r="CB1140" s="994">
        <f>IF(AND(Input_Product=Elig!$C1140,Elig_MatchAll_Ct&lt;22,$BC1140=(Elig_MatchAll_Ct-1),AW1140=0),W1140,0)</f>
        <v>0</v>
      </c>
      <c r="CC1140" s="993">
        <f>IF(AND(Input_Product=Elig!$C1140,Elig_MatchAll_Ct&lt;22,$BC1140=(Elig_MatchAll_Ct-1),AX1140=0),X1140,0)</f>
        <v>0</v>
      </c>
      <c r="CD1140" s="994">
        <f>IF(AND(Input_Product=Elig!$C1140,Elig_MatchAll_Ct&lt;22,$BC1140=(Elig_MatchAll_Ct-1),AX1140=0),Y1140,0)</f>
        <v>0</v>
      </c>
      <c r="CE1140" s="993">
        <f>IF(AND(Input_LTV&lt;=AE1140,Input_Product=Elig!$C1140,Elig_MatchAll_Ct&lt;22,$BC1140=(Elig_MatchAll_Ct-1),AY1140=0),Z1140,0)</f>
        <v>0</v>
      </c>
      <c r="CF1140" s="994">
        <f>IF(AND(Input_LTV&lt;=AE1140,Input_Product=Elig!$C1140,Elig_MatchAll_Ct&lt;22,$BC1140=(Elig_MatchAll_Ct-1),AY1140=0),AA1140,0)</f>
        <v>0</v>
      </c>
      <c r="CG1140" s="993">
        <f>IF(AND(Input_Product=Elig!$C1140,Elig_MatchAll_Ct&lt;22,$BC1140=(Elig_MatchAll_Ct-1),AZ1140=0),AB1140,0)</f>
        <v>0</v>
      </c>
      <c r="CH1140" s="994">
        <f>IF(AND(Input_Product=Elig!$C1140,Elig_MatchAll_Ct&lt;22,$BC1140=(Elig_MatchAll_Ct-1),AZ1140=0),AC1140,0)</f>
        <v>0</v>
      </c>
      <c r="CI1140" s="993">
        <f>IF(AND(Input_Product=Elig!$C1140,Elig_MatchAll_Ct&lt;22,$BC1140=(Elig_MatchAll_Ct-1),BA1140=0),AD1140,0)</f>
        <v>0</v>
      </c>
      <c r="CJ1140" s="994">
        <f>IF(AND(Input_Product=Elig!$C1140,Elig_MatchAll_Ct&lt;22,$BC1140=(Elig_MatchAll_Ct-1),BA1140=0),AE1140,0)</f>
        <v>0</v>
      </c>
    </row>
    <row r="1141" spans="2:88" ht="10.15" customHeight="1" x14ac:dyDescent="0.25">
      <c r="B1141" s="1918" t="s">
        <v>2441</v>
      </c>
      <c r="C1141" s="1223" t="str">
        <f t="shared" si="428"/>
        <v xml:space="preserve"> </v>
      </c>
      <c r="D1141" s="1224" t="s">
        <v>2218</v>
      </c>
      <c r="E1141" s="1224" t="s">
        <v>167</v>
      </c>
      <c r="F1141" s="1224" t="s">
        <v>330</v>
      </c>
      <c r="G1141" s="1225" t="s">
        <v>468</v>
      </c>
      <c r="H1141" s="1225" t="s">
        <v>136</v>
      </c>
      <c r="I1141" s="1224" t="s">
        <v>274</v>
      </c>
      <c r="J1141" s="1224" t="s">
        <v>1311</v>
      </c>
      <c r="K1141" s="1225" t="s">
        <v>3022</v>
      </c>
      <c r="L1141" s="1224" t="s">
        <v>2768</v>
      </c>
      <c r="M1141" s="1224" t="s">
        <v>2677</v>
      </c>
      <c r="N1141" s="1225" t="s">
        <v>2685</v>
      </c>
      <c r="O1141" s="1224" t="s">
        <v>310</v>
      </c>
      <c r="P1141" s="1224" t="s">
        <v>291</v>
      </c>
      <c r="Q1141" s="1224" t="s">
        <v>294</v>
      </c>
      <c r="R1141" s="1224">
        <v>2000000.01</v>
      </c>
      <c r="S1141" s="1224">
        <v>2500000</v>
      </c>
      <c r="T1141" s="1224">
        <v>0</v>
      </c>
      <c r="U1141" s="1224">
        <v>0</v>
      </c>
      <c r="V1141" s="1224">
        <v>0</v>
      </c>
      <c r="W1141" s="1224">
        <v>50</v>
      </c>
      <c r="X1141" s="1224">
        <v>0</v>
      </c>
      <c r="Y1141" s="1224">
        <v>999</v>
      </c>
      <c r="Z1141" s="1226">
        <v>700</v>
      </c>
      <c r="AA1141" s="1226">
        <v>719</v>
      </c>
      <c r="AB1141" s="1226">
        <v>6</v>
      </c>
      <c r="AC1141" s="1226">
        <v>999999</v>
      </c>
      <c r="AD1141" s="1224">
        <v>0</v>
      </c>
      <c r="AE1141" s="1227">
        <v>80</v>
      </c>
      <c r="AF1141" s="170">
        <v>0</v>
      </c>
      <c r="AG1141" s="171">
        <v>1</v>
      </c>
      <c r="AH1141" s="171">
        <v>1</v>
      </c>
      <c r="AI1141" s="171">
        <v>0</v>
      </c>
      <c r="AJ1141" s="171">
        <v>0</v>
      </c>
      <c r="AK1141" s="171">
        <v>1</v>
      </c>
      <c r="AL1141" s="171">
        <v>0</v>
      </c>
      <c r="AM1141" s="171">
        <v>1</v>
      </c>
      <c r="AN1141" s="171">
        <v>1</v>
      </c>
      <c r="AO1141" s="171">
        <v>1</v>
      </c>
      <c r="AP1141" s="171">
        <v>1</v>
      </c>
      <c r="AQ1141" s="171">
        <v>1</v>
      </c>
      <c r="AR1141" s="171">
        <v>1</v>
      </c>
      <c r="AS1141" s="171">
        <v>1</v>
      </c>
      <c r="AT1141" s="171">
        <v>1</v>
      </c>
      <c r="AU1141" s="171">
        <f t="shared" si="419"/>
        <v>0</v>
      </c>
      <c r="AV1141" s="171">
        <f t="shared" si="420"/>
        <v>0</v>
      </c>
      <c r="AW1141" s="171">
        <f t="shared" si="421"/>
        <v>1</v>
      </c>
      <c r="AX1141" s="171">
        <f t="shared" si="429"/>
        <v>1</v>
      </c>
      <c r="AY1141" s="171">
        <f t="shared" si="422"/>
        <v>0</v>
      </c>
      <c r="AZ1141" s="171">
        <f t="shared" si="423"/>
        <v>1</v>
      </c>
      <c r="BA1141" s="172">
        <f t="shared" si="424"/>
        <v>1</v>
      </c>
      <c r="BB1141" s="175">
        <f t="shared" si="425"/>
        <v>15</v>
      </c>
      <c r="BC1141" s="176">
        <f t="shared" si="426"/>
        <v>14</v>
      </c>
      <c r="BD1141" s="176">
        <f t="shared" si="427"/>
        <v>15</v>
      </c>
      <c r="BE1141" s="240" t="str">
        <f t="shared" si="418"/>
        <v/>
      </c>
      <c r="BF1141" s="990"/>
      <c r="BG1141" s="990"/>
      <c r="BH1141" s="991">
        <f>IF(AND(Input_Product=Elig!$C1141,Elig_MatchAll_Ct&lt;22,$BC1141=(Elig_MatchAll_Ct-1),AF1141=0),C1141,0)</f>
        <v>0</v>
      </c>
      <c r="BI1141" s="991">
        <f>IF(AND(Input_Product=Elig!$C1141,Elig_MatchAll_Ct&lt;22,$BC1141=(Elig_MatchAll_Ct-1),AG1141=0),D1141,0)</f>
        <v>0</v>
      </c>
      <c r="BJ1141" s="991">
        <f>IF(AND(Input_Product=Elig!$C1141,Elig_MatchAll_Ct&lt;22,$BC1141=(Elig_MatchAll_Ct-1),AH1141=0),E1141,0)</f>
        <v>0</v>
      </c>
      <c r="BK1141" s="991">
        <f>IF(AND(Input_Product=Elig!$C1141,Elig_MatchAll_Ct&lt;22,$BC1141=(Elig_MatchAll_Ct-1),AI1141=0),F1141,0)</f>
        <v>0</v>
      </c>
      <c r="BL1141" s="991">
        <f>IF(AND(Input_Product=Elig!$C1141,Elig_MatchAll_Ct&lt;22,$BC1141=(Elig_MatchAll_Ct-1),AJ1141=0),G1141,0)</f>
        <v>0</v>
      </c>
      <c r="BM1141" s="991">
        <f>IF(AND(Input_Product=Elig!$C1141,Elig_MatchAll_Ct&lt;22,$BC1141=(Elig_MatchAll_Ct-1),AK1141=0),H1141,0)</f>
        <v>0</v>
      </c>
      <c r="BN1141" s="991">
        <f>IF(AND(Input_Product=Elig!$C1141,Elig_MatchAll_Ct&lt;22,$BC1141=(Elig_MatchAll_Ct-1),AL1141=0),I1141,0)</f>
        <v>0</v>
      </c>
      <c r="BO1141" s="991">
        <f>IF(AND(Input_Product=Elig!$C1141,Elig_MatchAll_Ct&lt;22,$BC1141=(Elig_MatchAll_Ct-1),AM1141=0),J1141,0)</f>
        <v>0</v>
      </c>
      <c r="BP1141" s="991">
        <f>IF(AND(Input_Product=Elig!$C1141,Elig_MatchAll_Ct&lt;22,$BC1141=(Elig_MatchAll_Ct-1),AN1141=0),K1141,0)</f>
        <v>0</v>
      </c>
      <c r="BQ1141" s="991">
        <f>IF(AND(Input_Product=Elig!$C1141,Elig_MatchAll_Ct&lt;22,$BC1141=(Elig_MatchAll_Ct-1),AP1141=0),L1141,0)</f>
        <v>0</v>
      </c>
      <c r="BR1141" s="991">
        <f>IF(AND(Input_Product=Elig!$C1141,Elig_MatchAll_Ct&lt;22,$BC1141=(Elig_MatchAll_Ct-1),AO1141=0),M1141,0)</f>
        <v>0</v>
      </c>
      <c r="BS1141" s="991">
        <f>IF(AND(Input_Product=Elig!$C1141,Elig_MatchAll_Ct&lt;22,$BC1141=(Elig_MatchAll_Ct-1),AQ1141=0),N1141,0)</f>
        <v>0</v>
      </c>
      <c r="BT1141" s="991">
        <f>IF(AND(Input_Product=Elig!$C1141,Elig_MatchAll_Ct&lt;22,$BC1141=(Elig_MatchAll_Ct-1),AR1141=0),O1141,0)</f>
        <v>0</v>
      </c>
      <c r="BU1141" s="991">
        <f>IF(AND(Input_Product=Elig!$C1141,Elig_MatchAll_Ct&lt;22,$BC1141=(Elig_MatchAll_Ct-1),AS1141=0),P1141,0)</f>
        <v>0</v>
      </c>
      <c r="BV1141" s="992">
        <f>IF(AND(Input_Product=Elig!$C1141,Elig_MatchAll_Ct&lt;22,$BC1141=(Elig_MatchAll_Ct-1),AT1141=0),Q1141,0)</f>
        <v>0</v>
      </c>
      <c r="BW1141" s="993">
        <f>IF(AND(Input_Product=Elig!$C1141,Elig_MatchAll_Ct&lt;22,$BC1141=(Elig_MatchAll_Ct-1),AU1141=0),R1141,0)</f>
        <v>0</v>
      </c>
      <c r="BX1141" s="994">
        <f>IF(AND(Input_Product=Elig!$C1141,Elig_MatchAll_Ct&lt;22,$BC1141=(Elig_MatchAll_Ct-1),AU1141=0),S1141,0)</f>
        <v>0</v>
      </c>
      <c r="BY1141" s="993">
        <f>IF(AND(Input_Product=Elig!$C1141,Elig_MatchAll_Ct&lt;22,$BC1141=(Elig_MatchAll_Ct-1),AV1141=0),T1141,0)</f>
        <v>0</v>
      </c>
      <c r="BZ1141" s="994">
        <f>IF(AND(Input_Product=Elig!$C1141,Elig_MatchAll_Ct&lt;22,$BC1141=(Elig_MatchAll_Ct-1),AV1141=0),U1141,0)</f>
        <v>0</v>
      </c>
      <c r="CA1141" s="993">
        <f>IF(AND(Input_Product=Elig!$C1141,Elig_MatchAll_Ct&lt;22,$BC1141=(Elig_MatchAll_Ct-1),AW1141=0),V1141,0)</f>
        <v>0</v>
      </c>
      <c r="CB1141" s="994">
        <f>IF(AND(Input_Product=Elig!$C1141,Elig_MatchAll_Ct&lt;22,$BC1141=(Elig_MatchAll_Ct-1),AW1141=0),W1141,0)</f>
        <v>0</v>
      </c>
      <c r="CC1141" s="993">
        <f>IF(AND(Input_Product=Elig!$C1141,Elig_MatchAll_Ct&lt;22,$BC1141=(Elig_MatchAll_Ct-1),AX1141=0),X1141,0)</f>
        <v>0</v>
      </c>
      <c r="CD1141" s="994">
        <f>IF(AND(Input_Product=Elig!$C1141,Elig_MatchAll_Ct&lt;22,$BC1141=(Elig_MatchAll_Ct-1),AX1141=0),Y1141,0)</f>
        <v>0</v>
      </c>
      <c r="CE1141" s="993">
        <f>IF(AND(Input_LTV&lt;=AE1141,Input_Product=Elig!$C1141,Elig_MatchAll_Ct&lt;22,$BC1141=(Elig_MatchAll_Ct-1),AY1141=0),Z1141,0)</f>
        <v>0</v>
      </c>
      <c r="CF1141" s="994">
        <f>IF(AND(Input_LTV&lt;=AE1141,Input_Product=Elig!$C1141,Elig_MatchAll_Ct&lt;22,$BC1141=(Elig_MatchAll_Ct-1),AY1141=0),AA1141,0)</f>
        <v>0</v>
      </c>
      <c r="CG1141" s="993">
        <f>IF(AND(Input_Product=Elig!$C1141,Elig_MatchAll_Ct&lt;22,$BC1141=(Elig_MatchAll_Ct-1),AZ1141=0),AB1141,0)</f>
        <v>0</v>
      </c>
      <c r="CH1141" s="994">
        <f>IF(AND(Input_Product=Elig!$C1141,Elig_MatchAll_Ct&lt;22,$BC1141=(Elig_MatchAll_Ct-1),AZ1141=0),AC1141,0)</f>
        <v>0</v>
      </c>
      <c r="CI1141" s="993">
        <f>IF(AND(Input_Product=Elig!$C1141,Elig_MatchAll_Ct&lt;22,$BC1141=(Elig_MatchAll_Ct-1),BA1141=0),AD1141,0)</f>
        <v>0</v>
      </c>
      <c r="CJ1141" s="994">
        <f>IF(AND(Input_Product=Elig!$C1141,Elig_MatchAll_Ct&lt;22,$BC1141=(Elig_MatchAll_Ct-1),BA1141=0),AE1141,0)</f>
        <v>0</v>
      </c>
    </row>
    <row r="1142" spans="2:88" ht="10.15" customHeight="1" x14ac:dyDescent="0.25">
      <c r="B1142" s="1918" t="s">
        <v>2442</v>
      </c>
      <c r="C1142" s="1228" t="str">
        <f t="shared" si="428"/>
        <v xml:space="preserve"> </v>
      </c>
      <c r="D1142" s="1229" t="s">
        <v>2218</v>
      </c>
      <c r="E1142" s="1229" t="s">
        <v>167</v>
      </c>
      <c r="F1142" s="1229" t="s">
        <v>330</v>
      </c>
      <c r="G1142" s="1230" t="s">
        <v>468</v>
      </c>
      <c r="H1142" s="1230" t="s">
        <v>136</v>
      </c>
      <c r="I1142" s="1229" t="s">
        <v>274</v>
      </c>
      <c r="J1142" s="1229" t="s">
        <v>1311</v>
      </c>
      <c r="K1142" s="1230" t="s">
        <v>3022</v>
      </c>
      <c r="L1142" s="1229" t="s">
        <v>2768</v>
      </c>
      <c r="M1142" s="1229" t="s">
        <v>2677</v>
      </c>
      <c r="N1142" s="1230" t="s">
        <v>2685</v>
      </c>
      <c r="O1142" s="1229" t="s">
        <v>310</v>
      </c>
      <c r="P1142" s="1229" t="s">
        <v>291</v>
      </c>
      <c r="Q1142" s="1229" t="s">
        <v>294</v>
      </c>
      <c r="R1142" s="1229">
        <v>2000000.01</v>
      </c>
      <c r="S1142" s="1229">
        <v>2500000</v>
      </c>
      <c r="T1142" s="1229">
        <v>0</v>
      </c>
      <c r="U1142" s="1229">
        <v>0</v>
      </c>
      <c r="V1142" s="1229">
        <v>0</v>
      </c>
      <c r="W1142" s="1229">
        <v>50</v>
      </c>
      <c r="X1142" s="1229">
        <v>0</v>
      </c>
      <c r="Y1142" s="1229">
        <v>999</v>
      </c>
      <c r="Z1142" s="1231">
        <v>680</v>
      </c>
      <c r="AA1142" s="1231">
        <v>699</v>
      </c>
      <c r="AB1142" s="1231">
        <v>6</v>
      </c>
      <c r="AC1142" s="1231">
        <v>999999</v>
      </c>
      <c r="AD1142" s="1229">
        <v>0</v>
      </c>
      <c r="AE1142" s="1232">
        <v>75</v>
      </c>
      <c r="AF1142" s="170">
        <v>0</v>
      </c>
      <c r="AG1142" s="171">
        <v>1</v>
      </c>
      <c r="AH1142" s="171">
        <v>1</v>
      </c>
      <c r="AI1142" s="171">
        <v>0</v>
      </c>
      <c r="AJ1142" s="171">
        <v>0</v>
      </c>
      <c r="AK1142" s="171">
        <v>1</v>
      </c>
      <c r="AL1142" s="171">
        <v>0</v>
      </c>
      <c r="AM1142" s="171">
        <v>1</v>
      </c>
      <c r="AN1142" s="171">
        <v>1</v>
      </c>
      <c r="AO1142" s="171">
        <v>1</v>
      </c>
      <c r="AP1142" s="171">
        <v>1</v>
      </c>
      <c r="AQ1142" s="171">
        <v>1</v>
      </c>
      <c r="AR1142" s="171">
        <v>1</v>
      </c>
      <c r="AS1142" s="171">
        <v>1</v>
      </c>
      <c r="AT1142" s="171">
        <v>1</v>
      </c>
      <c r="AU1142" s="171">
        <f t="shared" si="419"/>
        <v>0</v>
      </c>
      <c r="AV1142" s="171">
        <f t="shared" si="420"/>
        <v>0</v>
      </c>
      <c r="AW1142" s="171">
        <f t="shared" si="421"/>
        <v>1</v>
      </c>
      <c r="AX1142" s="171">
        <f t="shared" si="429"/>
        <v>1</v>
      </c>
      <c r="AY1142" s="171">
        <f t="shared" si="422"/>
        <v>0</v>
      </c>
      <c r="AZ1142" s="171">
        <f t="shared" si="423"/>
        <v>1</v>
      </c>
      <c r="BA1142" s="172">
        <f t="shared" si="424"/>
        <v>1</v>
      </c>
      <c r="BB1142" s="175">
        <f t="shared" si="425"/>
        <v>15</v>
      </c>
      <c r="BC1142" s="176">
        <f t="shared" si="426"/>
        <v>14</v>
      </c>
      <c r="BD1142" s="176">
        <f t="shared" si="427"/>
        <v>15</v>
      </c>
      <c r="BE1142" s="240" t="str">
        <f t="shared" si="418"/>
        <v/>
      </c>
      <c r="BF1142" s="990"/>
      <c r="BG1142" s="990"/>
      <c r="BH1142" s="991">
        <f>IF(AND(Input_Product=Elig!$C1142,Elig_MatchAll_Ct&lt;22,$BC1142=(Elig_MatchAll_Ct-1),AF1142=0),C1142,0)</f>
        <v>0</v>
      </c>
      <c r="BI1142" s="991">
        <f>IF(AND(Input_Product=Elig!$C1142,Elig_MatchAll_Ct&lt;22,$BC1142=(Elig_MatchAll_Ct-1),AG1142=0),D1142,0)</f>
        <v>0</v>
      </c>
      <c r="BJ1142" s="991">
        <f>IF(AND(Input_Product=Elig!$C1142,Elig_MatchAll_Ct&lt;22,$BC1142=(Elig_MatchAll_Ct-1),AH1142=0),E1142,0)</f>
        <v>0</v>
      </c>
      <c r="BK1142" s="991">
        <f>IF(AND(Input_Product=Elig!$C1142,Elig_MatchAll_Ct&lt;22,$BC1142=(Elig_MatchAll_Ct-1),AI1142=0),F1142,0)</f>
        <v>0</v>
      </c>
      <c r="BL1142" s="991">
        <f>IF(AND(Input_Product=Elig!$C1142,Elig_MatchAll_Ct&lt;22,$BC1142=(Elig_MatchAll_Ct-1),AJ1142=0),G1142,0)</f>
        <v>0</v>
      </c>
      <c r="BM1142" s="991">
        <f>IF(AND(Input_Product=Elig!$C1142,Elig_MatchAll_Ct&lt;22,$BC1142=(Elig_MatchAll_Ct-1),AK1142=0),H1142,0)</f>
        <v>0</v>
      </c>
      <c r="BN1142" s="991">
        <f>IF(AND(Input_Product=Elig!$C1142,Elig_MatchAll_Ct&lt;22,$BC1142=(Elig_MatchAll_Ct-1),AL1142=0),I1142,0)</f>
        <v>0</v>
      </c>
      <c r="BO1142" s="991">
        <f>IF(AND(Input_Product=Elig!$C1142,Elig_MatchAll_Ct&lt;22,$BC1142=(Elig_MatchAll_Ct-1),AM1142=0),J1142,0)</f>
        <v>0</v>
      </c>
      <c r="BP1142" s="991">
        <f>IF(AND(Input_Product=Elig!$C1142,Elig_MatchAll_Ct&lt;22,$BC1142=(Elig_MatchAll_Ct-1),AN1142=0),K1142,0)</f>
        <v>0</v>
      </c>
      <c r="BQ1142" s="991">
        <f>IF(AND(Input_Product=Elig!$C1142,Elig_MatchAll_Ct&lt;22,$BC1142=(Elig_MatchAll_Ct-1),AP1142=0),L1142,0)</f>
        <v>0</v>
      </c>
      <c r="BR1142" s="991">
        <f>IF(AND(Input_Product=Elig!$C1142,Elig_MatchAll_Ct&lt;22,$BC1142=(Elig_MatchAll_Ct-1),AO1142=0),M1142,0)</f>
        <v>0</v>
      </c>
      <c r="BS1142" s="991">
        <f>IF(AND(Input_Product=Elig!$C1142,Elig_MatchAll_Ct&lt;22,$BC1142=(Elig_MatchAll_Ct-1),AQ1142=0),N1142,0)</f>
        <v>0</v>
      </c>
      <c r="BT1142" s="991">
        <f>IF(AND(Input_Product=Elig!$C1142,Elig_MatchAll_Ct&lt;22,$BC1142=(Elig_MatchAll_Ct-1),AR1142=0),O1142,0)</f>
        <v>0</v>
      </c>
      <c r="BU1142" s="991">
        <f>IF(AND(Input_Product=Elig!$C1142,Elig_MatchAll_Ct&lt;22,$BC1142=(Elig_MatchAll_Ct-1),AS1142=0),P1142,0)</f>
        <v>0</v>
      </c>
      <c r="BV1142" s="992">
        <f>IF(AND(Input_Product=Elig!$C1142,Elig_MatchAll_Ct&lt;22,$BC1142=(Elig_MatchAll_Ct-1),AT1142=0),Q1142,0)</f>
        <v>0</v>
      </c>
      <c r="BW1142" s="993">
        <f>IF(AND(Input_Product=Elig!$C1142,Elig_MatchAll_Ct&lt;22,$BC1142=(Elig_MatchAll_Ct-1),AU1142=0),R1142,0)</f>
        <v>0</v>
      </c>
      <c r="BX1142" s="994">
        <f>IF(AND(Input_Product=Elig!$C1142,Elig_MatchAll_Ct&lt;22,$BC1142=(Elig_MatchAll_Ct-1),AU1142=0),S1142,0)</f>
        <v>0</v>
      </c>
      <c r="BY1142" s="993">
        <f>IF(AND(Input_Product=Elig!$C1142,Elig_MatchAll_Ct&lt;22,$BC1142=(Elig_MatchAll_Ct-1),AV1142=0),T1142,0)</f>
        <v>0</v>
      </c>
      <c r="BZ1142" s="994">
        <f>IF(AND(Input_Product=Elig!$C1142,Elig_MatchAll_Ct&lt;22,$BC1142=(Elig_MatchAll_Ct-1),AV1142=0),U1142,0)</f>
        <v>0</v>
      </c>
      <c r="CA1142" s="993">
        <f>IF(AND(Input_Product=Elig!$C1142,Elig_MatchAll_Ct&lt;22,$BC1142=(Elig_MatchAll_Ct-1),AW1142=0),V1142,0)</f>
        <v>0</v>
      </c>
      <c r="CB1142" s="994">
        <f>IF(AND(Input_Product=Elig!$C1142,Elig_MatchAll_Ct&lt;22,$BC1142=(Elig_MatchAll_Ct-1),AW1142=0),W1142,0)</f>
        <v>0</v>
      </c>
      <c r="CC1142" s="993">
        <f>IF(AND(Input_Product=Elig!$C1142,Elig_MatchAll_Ct&lt;22,$BC1142=(Elig_MatchAll_Ct-1),AX1142=0),X1142,0)</f>
        <v>0</v>
      </c>
      <c r="CD1142" s="994">
        <f>IF(AND(Input_Product=Elig!$C1142,Elig_MatchAll_Ct&lt;22,$BC1142=(Elig_MatchAll_Ct-1),AX1142=0),Y1142,0)</f>
        <v>0</v>
      </c>
      <c r="CE1142" s="993">
        <f>IF(AND(Input_LTV&lt;=AE1142,Input_Product=Elig!$C1142,Elig_MatchAll_Ct&lt;22,$BC1142=(Elig_MatchAll_Ct-1),AY1142=0),Z1142,0)</f>
        <v>0</v>
      </c>
      <c r="CF1142" s="994">
        <f>IF(AND(Input_LTV&lt;=AE1142,Input_Product=Elig!$C1142,Elig_MatchAll_Ct&lt;22,$BC1142=(Elig_MatchAll_Ct-1),AY1142=0),AA1142,0)</f>
        <v>0</v>
      </c>
      <c r="CG1142" s="993">
        <f>IF(AND(Input_Product=Elig!$C1142,Elig_MatchAll_Ct&lt;22,$BC1142=(Elig_MatchAll_Ct-1),AZ1142=0),AB1142,0)</f>
        <v>0</v>
      </c>
      <c r="CH1142" s="994">
        <f>IF(AND(Input_Product=Elig!$C1142,Elig_MatchAll_Ct&lt;22,$BC1142=(Elig_MatchAll_Ct-1),AZ1142=0),AC1142,0)</f>
        <v>0</v>
      </c>
      <c r="CI1142" s="993">
        <f>IF(AND(Input_Product=Elig!$C1142,Elig_MatchAll_Ct&lt;22,$BC1142=(Elig_MatchAll_Ct-1),BA1142=0),AD1142,0)</f>
        <v>0</v>
      </c>
      <c r="CJ1142" s="994">
        <f>IF(AND(Input_Product=Elig!$C1142,Elig_MatchAll_Ct&lt;22,$BC1142=(Elig_MatchAll_Ct-1),BA1142=0),AE1142,0)</f>
        <v>0</v>
      </c>
    </row>
    <row r="1143" spans="2:88" ht="10.15" customHeight="1" x14ac:dyDescent="0.25">
      <c r="B1143" s="1918" t="s">
        <v>2443</v>
      </c>
      <c r="C1143" s="1218" t="str">
        <f t="shared" si="428"/>
        <v xml:space="preserve"> </v>
      </c>
      <c r="D1143" s="1219" t="s">
        <v>2218</v>
      </c>
      <c r="E1143" s="1219" t="s">
        <v>167</v>
      </c>
      <c r="F1143" s="1219" t="s">
        <v>330</v>
      </c>
      <c r="G1143" s="1220" t="s">
        <v>468</v>
      </c>
      <c r="H1143" s="1220" t="s">
        <v>136</v>
      </c>
      <c r="I1143" s="1219" t="s">
        <v>274</v>
      </c>
      <c r="J1143" s="1219" t="s">
        <v>1311</v>
      </c>
      <c r="K1143" s="1220" t="s">
        <v>3022</v>
      </c>
      <c r="L1143" s="1219" t="s">
        <v>2768</v>
      </c>
      <c r="M1143" s="1219" t="s">
        <v>2677</v>
      </c>
      <c r="N1143" s="1220" t="s">
        <v>2685</v>
      </c>
      <c r="O1143" s="1219" t="s">
        <v>310</v>
      </c>
      <c r="P1143" s="1219" t="s">
        <v>291</v>
      </c>
      <c r="Q1143" s="1219" t="s">
        <v>294</v>
      </c>
      <c r="R1143" s="1219">
        <v>2500000.0099999998</v>
      </c>
      <c r="S1143" s="1219">
        <v>3000000</v>
      </c>
      <c r="T1143" s="1219">
        <v>0</v>
      </c>
      <c r="U1143" s="1219">
        <v>0</v>
      </c>
      <c r="V1143" s="1219">
        <v>0</v>
      </c>
      <c r="W1143" s="1219">
        <v>50</v>
      </c>
      <c r="X1143" s="1219">
        <v>0</v>
      </c>
      <c r="Y1143" s="1219">
        <v>999</v>
      </c>
      <c r="Z1143" s="1221">
        <v>720</v>
      </c>
      <c r="AA1143" s="1221">
        <v>999</v>
      </c>
      <c r="AB1143" s="1221">
        <v>6</v>
      </c>
      <c r="AC1143" s="1221">
        <v>999999</v>
      </c>
      <c r="AD1143" s="1219">
        <v>0</v>
      </c>
      <c r="AE1143" s="1222">
        <v>75</v>
      </c>
      <c r="AF1143" s="170">
        <v>0</v>
      </c>
      <c r="AG1143" s="171">
        <v>1</v>
      </c>
      <c r="AH1143" s="171">
        <v>1</v>
      </c>
      <c r="AI1143" s="171">
        <v>0</v>
      </c>
      <c r="AJ1143" s="171">
        <v>0</v>
      </c>
      <c r="AK1143" s="171">
        <v>1</v>
      </c>
      <c r="AL1143" s="171">
        <v>0</v>
      </c>
      <c r="AM1143" s="171">
        <v>1</v>
      </c>
      <c r="AN1143" s="171">
        <v>1</v>
      </c>
      <c r="AO1143" s="171">
        <v>1</v>
      </c>
      <c r="AP1143" s="171">
        <v>1</v>
      </c>
      <c r="AQ1143" s="171">
        <v>1</v>
      </c>
      <c r="AR1143" s="171">
        <v>1</v>
      </c>
      <c r="AS1143" s="171">
        <v>1</v>
      </c>
      <c r="AT1143" s="171">
        <v>1</v>
      </c>
      <c r="AU1143" s="171">
        <f t="shared" si="419"/>
        <v>0</v>
      </c>
      <c r="AV1143" s="171">
        <f t="shared" si="420"/>
        <v>0</v>
      </c>
      <c r="AW1143" s="171">
        <f t="shared" si="421"/>
        <v>1</v>
      </c>
      <c r="AX1143" s="171">
        <f t="shared" si="429"/>
        <v>1</v>
      </c>
      <c r="AY1143" s="171">
        <f t="shared" si="422"/>
        <v>1</v>
      </c>
      <c r="AZ1143" s="171">
        <f t="shared" si="423"/>
        <v>1</v>
      </c>
      <c r="BA1143" s="172">
        <f t="shared" si="424"/>
        <v>1</v>
      </c>
      <c r="BB1143" s="175">
        <f t="shared" si="425"/>
        <v>16</v>
      </c>
      <c r="BC1143" s="176">
        <f t="shared" si="426"/>
        <v>15</v>
      </c>
      <c r="BD1143" s="176">
        <f t="shared" si="427"/>
        <v>16</v>
      </c>
      <c r="BE1143" s="240" t="str">
        <f t="shared" si="418"/>
        <v/>
      </c>
      <c r="BF1143" s="990"/>
      <c r="BG1143" s="990"/>
      <c r="BH1143" s="991">
        <f>IF(AND(Input_Product=Elig!$C1143,Elig_MatchAll_Ct&lt;22,$BC1143=(Elig_MatchAll_Ct-1),AF1143=0),C1143,0)</f>
        <v>0</v>
      </c>
      <c r="BI1143" s="991">
        <f>IF(AND(Input_Product=Elig!$C1143,Elig_MatchAll_Ct&lt;22,$BC1143=(Elig_MatchAll_Ct-1),AG1143=0),D1143,0)</f>
        <v>0</v>
      </c>
      <c r="BJ1143" s="991">
        <f>IF(AND(Input_Product=Elig!$C1143,Elig_MatchAll_Ct&lt;22,$BC1143=(Elig_MatchAll_Ct-1),AH1143=0),E1143,0)</f>
        <v>0</v>
      </c>
      <c r="BK1143" s="991">
        <f>IF(AND(Input_Product=Elig!$C1143,Elig_MatchAll_Ct&lt;22,$BC1143=(Elig_MatchAll_Ct-1),AI1143=0),F1143,0)</f>
        <v>0</v>
      </c>
      <c r="BL1143" s="991">
        <f>IF(AND(Input_Product=Elig!$C1143,Elig_MatchAll_Ct&lt;22,$BC1143=(Elig_MatchAll_Ct-1),AJ1143=0),G1143,0)</f>
        <v>0</v>
      </c>
      <c r="BM1143" s="991">
        <f>IF(AND(Input_Product=Elig!$C1143,Elig_MatchAll_Ct&lt;22,$BC1143=(Elig_MatchAll_Ct-1),AK1143=0),H1143,0)</f>
        <v>0</v>
      </c>
      <c r="BN1143" s="991">
        <f>IF(AND(Input_Product=Elig!$C1143,Elig_MatchAll_Ct&lt;22,$BC1143=(Elig_MatchAll_Ct-1),AL1143=0),I1143,0)</f>
        <v>0</v>
      </c>
      <c r="BO1143" s="991">
        <f>IF(AND(Input_Product=Elig!$C1143,Elig_MatchAll_Ct&lt;22,$BC1143=(Elig_MatchAll_Ct-1),AM1143=0),J1143,0)</f>
        <v>0</v>
      </c>
      <c r="BP1143" s="991">
        <f>IF(AND(Input_Product=Elig!$C1143,Elig_MatchAll_Ct&lt;22,$BC1143=(Elig_MatchAll_Ct-1),AN1143=0),K1143,0)</f>
        <v>0</v>
      </c>
      <c r="BQ1143" s="991">
        <f>IF(AND(Input_Product=Elig!$C1143,Elig_MatchAll_Ct&lt;22,$BC1143=(Elig_MatchAll_Ct-1),AP1143=0),L1143,0)</f>
        <v>0</v>
      </c>
      <c r="BR1143" s="991">
        <f>IF(AND(Input_Product=Elig!$C1143,Elig_MatchAll_Ct&lt;22,$BC1143=(Elig_MatchAll_Ct-1),AO1143=0),M1143,0)</f>
        <v>0</v>
      </c>
      <c r="BS1143" s="991">
        <f>IF(AND(Input_Product=Elig!$C1143,Elig_MatchAll_Ct&lt;22,$BC1143=(Elig_MatchAll_Ct-1),AQ1143=0),N1143,0)</f>
        <v>0</v>
      </c>
      <c r="BT1143" s="991">
        <f>IF(AND(Input_Product=Elig!$C1143,Elig_MatchAll_Ct&lt;22,$BC1143=(Elig_MatchAll_Ct-1),AR1143=0),O1143,0)</f>
        <v>0</v>
      </c>
      <c r="BU1143" s="991">
        <f>IF(AND(Input_Product=Elig!$C1143,Elig_MatchAll_Ct&lt;22,$BC1143=(Elig_MatchAll_Ct-1),AS1143=0),P1143,0)</f>
        <v>0</v>
      </c>
      <c r="BV1143" s="992">
        <f>IF(AND(Input_Product=Elig!$C1143,Elig_MatchAll_Ct&lt;22,$BC1143=(Elig_MatchAll_Ct-1),AT1143=0),Q1143,0)</f>
        <v>0</v>
      </c>
      <c r="BW1143" s="993">
        <f>IF(AND(Input_Product=Elig!$C1143,Elig_MatchAll_Ct&lt;22,$BC1143=(Elig_MatchAll_Ct-1),AU1143=0),R1143,0)</f>
        <v>0</v>
      </c>
      <c r="BX1143" s="994">
        <f>IF(AND(Input_Product=Elig!$C1143,Elig_MatchAll_Ct&lt;22,$BC1143=(Elig_MatchAll_Ct-1),AU1143=0),S1143,0)</f>
        <v>0</v>
      </c>
      <c r="BY1143" s="993">
        <f>IF(AND(Input_Product=Elig!$C1143,Elig_MatchAll_Ct&lt;22,$BC1143=(Elig_MatchAll_Ct-1),AV1143=0),T1143,0)</f>
        <v>0</v>
      </c>
      <c r="BZ1143" s="994">
        <f>IF(AND(Input_Product=Elig!$C1143,Elig_MatchAll_Ct&lt;22,$BC1143=(Elig_MatchAll_Ct-1),AV1143=0),U1143,0)</f>
        <v>0</v>
      </c>
      <c r="CA1143" s="993">
        <f>IF(AND(Input_Product=Elig!$C1143,Elig_MatchAll_Ct&lt;22,$BC1143=(Elig_MatchAll_Ct-1),AW1143=0),V1143,0)</f>
        <v>0</v>
      </c>
      <c r="CB1143" s="994">
        <f>IF(AND(Input_Product=Elig!$C1143,Elig_MatchAll_Ct&lt;22,$BC1143=(Elig_MatchAll_Ct-1),AW1143=0),W1143,0)</f>
        <v>0</v>
      </c>
      <c r="CC1143" s="993">
        <f>IF(AND(Input_Product=Elig!$C1143,Elig_MatchAll_Ct&lt;22,$BC1143=(Elig_MatchAll_Ct-1),AX1143=0),X1143,0)</f>
        <v>0</v>
      </c>
      <c r="CD1143" s="994">
        <f>IF(AND(Input_Product=Elig!$C1143,Elig_MatchAll_Ct&lt;22,$BC1143=(Elig_MatchAll_Ct-1),AX1143=0),Y1143,0)</f>
        <v>0</v>
      </c>
      <c r="CE1143" s="993">
        <f>IF(AND(Input_LTV&lt;=AE1143,Input_Product=Elig!$C1143,Elig_MatchAll_Ct&lt;22,$BC1143=(Elig_MatchAll_Ct-1),AY1143=0),Z1143,0)</f>
        <v>0</v>
      </c>
      <c r="CF1143" s="994">
        <f>IF(AND(Input_LTV&lt;=AE1143,Input_Product=Elig!$C1143,Elig_MatchAll_Ct&lt;22,$BC1143=(Elig_MatchAll_Ct-1),AY1143=0),AA1143,0)</f>
        <v>0</v>
      </c>
      <c r="CG1143" s="993">
        <f>IF(AND(Input_Product=Elig!$C1143,Elig_MatchAll_Ct&lt;22,$BC1143=(Elig_MatchAll_Ct-1),AZ1143=0),AB1143,0)</f>
        <v>0</v>
      </c>
      <c r="CH1143" s="994">
        <f>IF(AND(Input_Product=Elig!$C1143,Elig_MatchAll_Ct&lt;22,$BC1143=(Elig_MatchAll_Ct-1),AZ1143=0),AC1143,0)</f>
        <v>0</v>
      </c>
      <c r="CI1143" s="993">
        <f>IF(AND(Input_Product=Elig!$C1143,Elig_MatchAll_Ct&lt;22,$BC1143=(Elig_MatchAll_Ct-1),BA1143=0),AD1143,0)</f>
        <v>0</v>
      </c>
      <c r="CJ1143" s="994">
        <f>IF(AND(Input_Product=Elig!$C1143,Elig_MatchAll_Ct&lt;22,$BC1143=(Elig_MatchAll_Ct-1),BA1143=0),AE1143,0)</f>
        <v>0</v>
      </c>
    </row>
    <row r="1144" spans="2:88" ht="10.15" customHeight="1" x14ac:dyDescent="0.25">
      <c r="B1144" s="1918" t="s">
        <v>2444</v>
      </c>
      <c r="C1144" s="1223" t="str">
        <f t="shared" si="428"/>
        <v xml:space="preserve"> </v>
      </c>
      <c r="D1144" s="1224" t="s">
        <v>2218</v>
      </c>
      <c r="E1144" s="1224" t="s">
        <v>167</v>
      </c>
      <c r="F1144" s="1224" t="s">
        <v>330</v>
      </c>
      <c r="G1144" s="1225" t="s">
        <v>468</v>
      </c>
      <c r="H1144" s="1225" t="s">
        <v>136</v>
      </c>
      <c r="I1144" s="1224" t="s">
        <v>274</v>
      </c>
      <c r="J1144" s="1224" t="s">
        <v>1311</v>
      </c>
      <c r="K1144" s="1225" t="s">
        <v>3022</v>
      </c>
      <c r="L1144" s="1224" t="s">
        <v>2768</v>
      </c>
      <c r="M1144" s="1224" t="s">
        <v>2677</v>
      </c>
      <c r="N1144" s="1225" t="s">
        <v>2685</v>
      </c>
      <c r="O1144" s="1224" t="s">
        <v>310</v>
      </c>
      <c r="P1144" s="1224" t="s">
        <v>291</v>
      </c>
      <c r="Q1144" s="1224" t="s">
        <v>294</v>
      </c>
      <c r="R1144" s="1224">
        <v>2500000.0099999998</v>
      </c>
      <c r="S1144" s="1224">
        <v>3000000</v>
      </c>
      <c r="T1144" s="1224">
        <v>0</v>
      </c>
      <c r="U1144" s="1224">
        <v>0</v>
      </c>
      <c r="V1144" s="1224">
        <v>0</v>
      </c>
      <c r="W1144" s="1224">
        <v>50</v>
      </c>
      <c r="X1144" s="1224">
        <v>0</v>
      </c>
      <c r="Y1144" s="1224">
        <v>999</v>
      </c>
      <c r="Z1144" s="1226">
        <v>700</v>
      </c>
      <c r="AA1144" s="1226">
        <v>719</v>
      </c>
      <c r="AB1144" s="1226">
        <v>6</v>
      </c>
      <c r="AC1144" s="1226">
        <v>999999</v>
      </c>
      <c r="AD1144" s="1224">
        <v>0</v>
      </c>
      <c r="AE1144" s="1227">
        <v>75</v>
      </c>
      <c r="AF1144" s="170">
        <v>0</v>
      </c>
      <c r="AG1144" s="171">
        <v>1</v>
      </c>
      <c r="AH1144" s="171">
        <v>1</v>
      </c>
      <c r="AI1144" s="171">
        <v>0</v>
      </c>
      <c r="AJ1144" s="171">
        <v>0</v>
      </c>
      <c r="AK1144" s="171">
        <v>1</v>
      </c>
      <c r="AL1144" s="171">
        <v>0</v>
      </c>
      <c r="AM1144" s="171">
        <v>1</v>
      </c>
      <c r="AN1144" s="171">
        <v>1</v>
      </c>
      <c r="AO1144" s="171">
        <v>1</v>
      </c>
      <c r="AP1144" s="171">
        <v>1</v>
      </c>
      <c r="AQ1144" s="171">
        <v>1</v>
      </c>
      <c r="AR1144" s="171">
        <v>1</v>
      </c>
      <c r="AS1144" s="171">
        <v>1</v>
      </c>
      <c r="AT1144" s="171">
        <v>1</v>
      </c>
      <c r="AU1144" s="171">
        <f t="shared" si="419"/>
        <v>0</v>
      </c>
      <c r="AV1144" s="171">
        <f t="shared" si="420"/>
        <v>0</v>
      </c>
      <c r="AW1144" s="171">
        <f t="shared" si="421"/>
        <v>1</v>
      </c>
      <c r="AX1144" s="171">
        <f t="shared" si="429"/>
        <v>1</v>
      </c>
      <c r="AY1144" s="171">
        <f t="shared" si="422"/>
        <v>0</v>
      </c>
      <c r="AZ1144" s="171">
        <f t="shared" si="423"/>
        <v>1</v>
      </c>
      <c r="BA1144" s="172">
        <f t="shared" si="424"/>
        <v>1</v>
      </c>
      <c r="BB1144" s="175">
        <f t="shared" si="425"/>
        <v>15</v>
      </c>
      <c r="BC1144" s="176">
        <f t="shared" si="426"/>
        <v>14</v>
      </c>
      <c r="BD1144" s="176">
        <f t="shared" si="427"/>
        <v>15</v>
      </c>
      <c r="BE1144" s="240" t="str">
        <f t="shared" si="418"/>
        <v/>
      </c>
      <c r="BF1144" s="990"/>
      <c r="BG1144" s="990"/>
      <c r="BH1144" s="991">
        <f>IF(AND(Input_Product=Elig!$C1144,Elig_MatchAll_Ct&lt;22,$BC1144=(Elig_MatchAll_Ct-1),AF1144=0),C1144,0)</f>
        <v>0</v>
      </c>
      <c r="BI1144" s="991">
        <f>IF(AND(Input_Product=Elig!$C1144,Elig_MatchAll_Ct&lt;22,$BC1144=(Elig_MatchAll_Ct-1),AG1144=0),D1144,0)</f>
        <v>0</v>
      </c>
      <c r="BJ1144" s="991">
        <f>IF(AND(Input_Product=Elig!$C1144,Elig_MatchAll_Ct&lt;22,$BC1144=(Elig_MatchAll_Ct-1),AH1144=0),E1144,0)</f>
        <v>0</v>
      </c>
      <c r="BK1144" s="991">
        <f>IF(AND(Input_Product=Elig!$C1144,Elig_MatchAll_Ct&lt;22,$BC1144=(Elig_MatchAll_Ct-1),AI1144=0),F1144,0)</f>
        <v>0</v>
      </c>
      <c r="BL1144" s="991">
        <f>IF(AND(Input_Product=Elig!$C1144,Elig_MatchAll_Ct&lt;22,$BC1144=(Elig_MatchAll_Ct-1),AJ1144=0),G1144,0)</f>
        <v>0</v>
      </c>
      <c r="BM1144" s="991">
        <f>IF(AND(Input_Product=Elig!$C1144,Elig_MatchAll_Ct&lt;22,$BC1144=(Elig_MatchAll_Ct-1),AK1144=0),H1144,0)</f>
        <v>0</v>
      </c>
      <c r="BN1144" s="991">
        <f>IF(AND(Input_Product=Elig!$C1144,Elig_MatchAll_Ct&lt;22,$BC1144=(Elig_MatchAll_Ct-1),AL1144=0),I1144,0)</f>
        <v>0</v>
      </c>
      <c r="BO1144" s="991">
        <f>IF(AND(Input_Product=Elig!$C1144,Elig_MatchAll_Ct&lt;22,$BC1144=(Elig_MatchAll_Ct-1),AM1144=0),J1144,0)</f>
        <v>0</v>
      </c>
      <c r="BP1144" s="991">
        <f>IF(AND(Input_Product=Elig!$C1144,Elig_MatchAll_Ct&lt;22,$BC1144=(Elig_MatchAll_Ct-1),AN1144=0),K1144,0)</f>
        <v>0</v>
      </c>
      <c r="BQ1144" s="991">
        <f>IF(AND(Input_Product=Elig!$C1144,Elig_MatchAll_Ct&lt;22,$BC1144=(Elig_MatchAll_Ct-1),AP1144=0),L1144,0)</f>
        <v>0</v>
      </c>
      <c r="BR1144" s="991">
        <f>IF(AND(Input_Product=Elig!$C1144,Elig_MatchAll_Ct&lt;22,$BC1144=(Elig_MatchAll_Ct-1),AO1144=0),M1144,0)</f>
        <v>0</v>
      </c>
      <c r="BS1144" s="991">
        <f>IF(AND(Input_Product=Elig!$C1144,Elig_MatchAll_Ct&lt;22,$BC1144=(Elig_MatchAll_Ct-1),AQ1144=0),N1144,0)</f>
        <v>0</v>
      </c>
      <c r="BT1144" s="991">
        <f>IF(AND(Input_Product=Elig!$C1144,Elig_MatchAll_Ct&lt;22,$BC1144=(Elig_MatchAll_Ct-1),AR1144=0),O1144,0)</f>
        <v>0</v>
      </c>
      <c r="BU1144" s="991">
        <f>IF(AND(Input_Product=Elig!$C1144,Elig_MatchAll_Ct&lt;22,$BC1144=(Elig_MatchAll_Ct-1),AS1144=0),P1144,0)</f>
        <v>0</v>
      </c>
      <c r="BV1144" s="992">
        <f>IF(AND(Input_Product=Elig!$C1144,Elig_MatchAll_Ct&lt;22,$BC1144=(Elig_MatchAll_Ct-1),AT1144=0),Q1144,0)</f>
        <v>0</v>
      </c>
      <c r="BW1144" s="993">
        <f>IF(AND(Input_Product=Elig!$C1144,Elig_MatchAll_Ct&lt;22,$BC1144=(Elig_MatchAll_Ct-1),AU1144=0),R1144,0)</f>
        <v>0</v>
      </c>
      <c r="BX1144" s="994">
        <f>IF(AND(Input_Product=Elig!$C1144,Elig_MatchAll_Ct&lt;22,$BC1144=(Elig_MatchAll_Ct-1),AU1144=0),S1144,0)</f>
        <v>0</v>
      </c>
      <c r="BY1144" s="993">
        <f>IF(AND(Input_Product=Elig!$C1144,Elig_MatchAll_Ct&lt;22,$BC1144=(Elig_MatchAll_Ct-1),AV1144=0),T1144,0)</f>
        <v>0</v>
      </c>
      <c r="BZ1144" s="994">
        <f>IF(AND(Input_Product=Elig!$C1144,Elig_MatchAll_Ct&lt;22,$BC1144=(Elig_MatchAll_Ct-1),AV1144=0),U1144,0)</f>
        <v>0</v>
      </c>
      <c r="CA1144" s="993">
        <f>IF(AND(Input_Product=Elig!$C1144,Elig_MatchAll_Ct&lt;22,$BC1144=(Elig_MatchAll_Ct-1),AW1144=0),V1144,0)</f>
        <v>0</v>
      </c>
      <c r="CB1144" s="994">
        <f>IF(AND(Input_Product=Elig!$C1144,Elig_MatchAll_Ct&lt;22,$BC1144=(Elig_MatchAll_Ct-1),AW1144=0),W1144,0)</f>
        <v>0</v>
      </c>
      <c r="CC1144" s="993">
        <f>IF(AND(Input_Product=Elig!$C1144,Elig_MatchAll_Ct&lt;22,$BC1144=(Elig_MatchAll_Ct-1),AX1144=0),X1144,0)</f>
        <v>0</v>
      </c>
      <c r="CD1144" s="994">
        <f>IF(AND(Input_Product=Elig!$C1144,Elig_MatchAll_Ct&lt;22,$BC1144=(Elig_MatchAll_Ct-1),AX1144=0),Y1144,0)</f>
        <v>0</v>
      </c>
      <c r="CE1144" s="993">
        <f>IF(AND(Input_LTV&lt;=AE1144,Input_Product=Elig!$C1144,Elig_MatchAll_Ct&lt;22,$BC1144=(Elig_MatchAll_Ct-1),AY1144=0),Z1144,0)</f>
        <v>0</v>
      </c>
      <c r="CF1144" s="994">
        <f>IF(AND(Input_LTV&lt;=AE1144,Input_Product=Elig!$C1144,Elig_MatchAll_Ct&lt;22,$BC1144=(Elig_MatchAll_Ct-1),AY1144=0),AA1144,0)</f>
        <v>0</v>
      </c>
      <c r="CG1144" s="993">
        <f>IF(AND(Input_Product=Elig!$C1144,Elig_MatchAll_Ct&lt;22,$BC1144=(Elig_MatchAll_Ct-1),AZ1144=0),AB1144,0)</f>
        <v>0</v>
      </c>
      <c r="CH1144" s="994">
        <f>IF(AND(Input_Product=Elig!$C1144,Elig_MatchAll_Ct&lt;22,$BC1144=(Elig_MatchAll_Ct-1),AZ1144=0),AC1144,0)</f>
        <v>0</v>
      </c>
      <c r="CI1144" s="993">
        <f>IF(AND(Input_Product=Elig!$C1144,Elig_MatchAll_Ct&lt;22,$BC1144=(Elig_MatchAll_Ct-1),BA1144=0),AD1144,0)</f>
        <v>0</v>
      </c>
      <c r="CJ1144" s="994">
        <f>IF(AND(Input_Product=Elig!$C1144,Elig_MatchAll_Ct&lt;22,$BC1144=(Elig_MatchAll_Ct-1),BA1144=0),AE1144,0)</f>
        <v>0</v>
      </c>
    </row>
    <row r="1145" spans="2:88" ht="10.15" customHeight="1" x14ac:dyDescent="0.25">
      <c r="B1145" s="1918" t="s">
        <v>2445</v>
      </c>
      <c r="C1145" s="1228" t="str">
        <f t="shared" si="428"/>
        <v xml:space="preserve"> </v>
      </c>
      <c r="D1145" s="1229" t="s">
        <v>2218</v>
      </c>
      <c r="E1145" s="1229" t="s">
        <v>167</v>
      </c>
      <c r="F1145" s="1229" t="s">
        <v>330</v>
      </c>
      <c r="G1145" s="1230" t="s">
        <v>468</v>
      </c>
      <c r="H1145" s="1230" t="s">
        <v>136</v>
      </c>
      <c r="I1145" s="1229" t="s">
        <v>274</v>
      </c>
      <c r="J1145" s="1229" t="s">
        <v>1311</v>
      </c>
      <c r="K1145" s="1230" t="s">
        <v>3022</v>
      </c>
      <c r="L1145" s="1229" t="s">
        <v>2768</v>
      </c>
      <c r="M1145" s="1229" t="s">
        <v>2677</v>
      </c>
      <c r="N1145" s="1230" t="s">
        <v>2685</v>
      </c>
      <c r="O1145" s="1229" t="s">
        <v>310</v>
      </c>
      <c r="P1145" s="1229" t="s">
        <v>291</v>
      </c>
      <c r="Q1145" s="1229" t="s">
        <v>294</v>
      </c>
      <c r="R1145" s="1229">
        <v>2500000.0099999998</v>
      </c>
      <c r="S1145" s="1229">
        <v>3000000</v>
      </c>
      <c r="T1145" s="1229">
        <v>0</v>
      </c>
      <c r="U1145" s="1229">
        <v>0</v>
      </c>
      <c r="V1145" s="1229">
        <v>0</v>
      </c>
      <c r="W1145" s="1229">
        <v>50</v>
      </c>
      <c r="X1145" s="1229">
        <v>0</v>
      </c>
      <c r="Y1145" s="1229">
        <v>999</v>
      </c>
      <c r="Z1145" s="1231">
        <v>680</v>
      </c>
      <c r="AA1145" s="1231">
        <v>699</v>
      </c>
      <c r="AB1145" s="1231">
        <v>6</v>
      </c>
      <c r="AC1145" s="1231">
        <v>999999</v>
      </c>
      <c r="AD1145" s="1229">
        <v>0</v>
      </c>
      <c r="AE1145" s="1232">
        <v>75</v>
      </c>
      <c r="AF1145" s="170">
        <v>0</v>
      </c>
      <c r="AG1145" s="171">
        <v>1</v>
      </c>
      <c r="AH1145" s="171">
        <v>1</v>
      </c>
      <c r="AI1145" s="171">
        <v>0</v>
      </c>
      <c r="AJ1145" s="171">
        <v>0</v>
      </c>
      <c r="AK1145" s="171">
        <v>1</v>
      </c>
      <c r="AL1145" s="171">
        <v>0</v>
      </c>
      <c r="AM1145" s="171">
        <v>1</v>
      </c>
      <c r="AN1145" s="171">
        <v>1</v>
      </c>
      <c r="AO1145" s="171">
        <v>1</v>
      </c>
      <c r="AP1145" s="171">
        <v>1</v>
      </c>
      <c r="AQ1145" s="171">
        <v>1</v>
      </c>
      <c r="AR1145" s="171">
        <v>1</v>
      </c>
      <c r="AS1145" s="171">
        <v>1</v>
      </c>
      <c r="AT1145" s="171">
        <v>1</v>
      </c>
      <c r="AU1145" s="171">
        <f t="shared" si="419"/>
        <v>0</v>
      </c>
      <c r="AV1145" s="171">
        <f t="shared" si="420"/>
        <v>0</v>
      </c>
      <c r="AW1145" s="171">
        <f t="shared" si="421"/>
        <v>1</v>
      </c>
      <c r="AX1145" s="171">
        <f t="shared" si="429"/>
        <v>1</v>
      </c>
      <c r="AY1145" s="171">
        <f t="shared" si="422"/>
        <v>0</v>
      </c>
      <c r="AZ1145" s="171">
        <f t="shared" si="423"/>
        <v>1</v>
      </c>
      <c r="BA1145" s="172">
        <f t="shared" si="424"/>
        <v>1</v>
      </c>
      <c r="BB1145" s="175">
        <f t="shared" si="425"/>
        <v>15</v>
      </c>
      <c r="BC1145" s="176">
        <f t="shared" si="426"/>
        <v>14</v>
      </c>
      <c r="BD1145" s="176">
        <f t="shared" si="427"/>
        <v>15</v>
      </c>
      <c r="BE1145" s="240" t="str">
        <f t="shared" si="418"/>
        <v/>
      </c>
      <c r="BF1145" s="990"/>
      <c r="BG1145" s="990"/>
      <c r="BH1145" s="991">
        <f>IF(AND(Input_Product=Elig!$C1145,Elig_MatchAll_Ct&lt;22,$BC1145=(Elig_MatchAll_Ct-1),AF1145=0),C1145,0)</f>
        <v>0</v>
      </c>
      <c r="BI1145" s="991">
        <f>IF(AND(Input_Product=Elig!$C1145,Elig_MatchAll_Ct&lt;22,$BC1145=(Elig_MatchAll_Ct-1),AG1145=0),D1145,0)</f>
        <v>0</v>
      </c>
      <c r="BJ1145" s="991">
        <f>IF(AND(Input_Product=Elig!$C1145,Elig_MatchAll_Ct&lt;22,$BC1145=(Elig_MatchAll_Ct-1),AH1145=0),E1145,0)</f>
        <v>0</v>
      </c>
      <c r="BK1145" s="991">
        <f>IF(AND(Input_Product=Elig!$C1145,Elig_MatchAll_Ct&lt;22,$BC1145=(Elig_MatchAll_Ct-1),AI1145=0),F1145,0)</f>
        <v>0</v>
      </c>
      <c r="BL1145" s="991">
        <f>IF(AND(Input_Product=Elig!$C1145,Elig_MatchAll_Ct&lt;22,$BC1145=(Elig_MatchAll_Ct-1),AJ1145=0),G1145,0)</f>
        <v>0</v>
      </c>
      <c r="BM1145" s="991">
        <f>IF(AND(Input_Product=Elig!$C1145,Elig_MatchAll_Ct&lt;22,$BC1145=(Elig_MatchAll_Ct-1),AK1145=0),H1145,0)</f>
        <v>0</v>
      </c>
      <c r="BN1145" s="991">
        <f>IF(AND(Input_Product=Elig!$C1145,Elig_MatchAll_Ct&lt;22,$BC1145=(Elig_MatchAll_Ct-1),AL1145=0),I1145,0)</f>
        <v>0</v>
      </c>
      <c r="BO1145" s="991">
        <f>IF(AND(Input_Product=Elig!$C1145,Elig_MatchAll_Ct&lt;22,$BC1145=(Elig_MatchAll_Ct-1),AM1145=0),J1145,0)</f>
        <v>0</v>
      </c>
      <c r="BP1145" s="991">
        <f>IF(AND(Input_Product=Elig!$C1145,Elig_MatchAll_Ct&lt;22,$BC1145=(Elig_MatchAll_Ct-1),AN1145=0),K1145,0)</f>
        <v>0</v>
      </c>
      <c r="BQ1145" s="991">
        <f>IF(AND(Input_Product=Elig!$C1145,Elig_MatchAll_Ct&lt;22,$BC1145=(Elig_MatchAll_Ct-1),AP1145=0),L1145,0)</f>
        <v>0</v>
      </c>
      <c r="BR1145" s="991">
        <f>IF(AND(Input_Product=Elig!$C1145,Elig_MatchAll_Ct&lt;22,$BC1145=(Elig_MatchAll_Ct-1),AO1145=0),M1145,0)</f>
        <v>0</v>
      </c>
      <c r="BS1145" s="991">
        <f>IF(AND(Input_Product=Elig!$C1145,Elig_MatchAll_Ct&lt;22,$BC1145=(Elig_MatchAll_Ct-1),AQ1145=0),N1145,0)</f>
        <v>0</v>
      </c>
      <c r="BT1145" s="991">
        <f>IF(AND(Input_Product=Elig!$C1145,Elig_MatchAll_Ct&lt;22,$BC1145=(Elig_MatchAll_Ct-1),AR1145=0),O1145,0)</f>
        <v>0</v>
      </c>
      <c r="BU1145" s="991">
        <f>IF(AND(Input_Product=Elig!$C1145,Elig_MatchAll_Ct&lt;22,$BC1145=(Elig_MatchAll_Ct-1),AS1145=0),P1145,0)</f>
        <v>0</v>
      </c>
      <c r="BV1145" s="992">
        <f>IF(AND(Input_Product=Elig!$C1145,Elig_MatchAll_Ct&lt;22,$BC1145=(Elig_MatchAll_Ct-1),AT1145=0),Q1145,0)</f>
        <v>0</v>
      </c>
      <c r="BW1145" s="993">
        <f>IF(AND(Input_Product=Elig!$C1145,Elig_MatchAll_Ct&lt;22,$BC1145=(Elig_MatchAll_Ct-1),AU1145=0),R1145,0)</f>
        <v>0</v>
      </c>
      <c r="BX1145" s="994">
        <f>IF(AND(Input_Product=Elig!$C1145,Elig_MatchAll_Ct&lt;22,$BC1145=(Elig_MatchAll_Ct-1),AU1145=0),S1145,0)</f>
        <v>0</v>
      </c>
      <c r="BY1145" s="993">
        <f>IF(AND(Input_Product=Elig!$C1145,Elig_MatchAll_Ct&lt;22,$BC1145=(Elig_MatchAll_Ct-1),AV1145=0),T1145,0)</f>
        <v>0</v>
      </c>
      <c r="BZ1145" s="994">
        <f>IF(AND(Input_Product=Elig!$C1145,Elig_MatchAll_Ct&lt;22,$BC1145=(Elig_MatchAll_Ct-1),AV1145=0),U1145,0)</f>
        <v>0</v>
      </c>
      <c r="CA1145" s="993">
        <f>IF(AND(Input_Product=Elig!$C1145,Elig_MatchAll_Ct&lt;22,$BC1145=(Elig_MatchAll_Ct-1),AW1145=0),V1145,0)</f>
        <v>0</v>
      </c>
      <c r="CB1145" s="994">
        <f>IF(AND(Input_Product=Elig!$C1145,Elig_MatchAll_Ct&lt;22,$BC1145=(Elig_MatchAll_Ct-1),AW1145=0),W1145,0)</f>
        <v>0</v>
      </c>
      <c r="CC1145" s="993">
        <f>IF(AND(Input_Product=Elig!$C1145,Elig_MatchAll_Ct&lt;22,$BC1145=(Elig_MatchAll_Ct-1),AX1145=0),X1145,0)</f>
        <v>0</v>
      </c>
      <c r="CD1145" s="994">
        <f>IF(AND(Input_Product=Elig!$C1145,Elig_MatchAll_Ct&lt;22,$BC1145=(Elig_MatchAll_Ct-1),AX1145=0),Y1145,0)</f>
        <v>0</v>
      </c>
      <c r="CE1145" s="993">
        <f>IF(AND(Input_LTV&lt;=AE1145,Input_Product=Elig!$C1145,Elig_MatchAll_Ct&lt;22,$BC1145=(Elig_MatchAll_Ct-1),AY1145=0),Z1145,0)</f>
        <v>0</v>
      </c>
      <c r="CF1145" s="994">
        <f>IF(AND(Input_LTV&lt;=AE1145,Input_Product=Elig!$C1145,Elig_MatchAll_Ct&lt;22,$BC1145=(Elig_MatchAll_Ct-1),AY1145=0),AA1145,0)</f>
        <v>0</v>
      </c>
      <c r="CG1145" s="993">
        <f>IF(AND(Input_Product=Elig!$C1145,Elig_MatchAll_Ct&lt;22,$BC1145=(Elig_MatchAll_Ct-1),AZ1145=0),AB1145,0)</f>
        <v>0</v>
      </c>
      <c r="CH1145" s="994">
        <f>IF(AND(Input_Product=Elig!$C1145,Elig_MatchAll_Ct&lt;22,$BC1145=(Elig_MatchAll_Ct-1),AZ1145=0),AC1145,0)</f>
        <v>0</v>
      </c>
      <c r="CI1145" s="993">
        <f>IF(AND(Input_Product=Elig!$C1145,Elig_MatchAll_Ct&lt;22,$BC1145=(Elig_MatchAll_Ct-1),BA1145=0),AD1145,0)</f>
        <v>0</v>
      </c>
      <c r="CJ1145" s="994">
        <f>IF(AND(Input_Product=Elig!$C1145,Elig_MatchAll_Ct&lt;22,$BC1145=(Elig_MatchAll_Ct-1),BA1145=0),AE1145,0)</f>
        <v>0</v>
      </c>
    </row>
    <row r="1146" spans="2:88" ht="10.15" customHeight="1" x14ac:dyDescent="0.25">
      <c r="B1146" s="1918" t="s">
        <v>2446</v>
      </c>
      <c r="C1146" s="1218" t="str">
        <f t="shared" si="428"/>
        <v xml:space="preserve"> </v>
      </c>
      <c r="D1146" s="1219" t="s">
        <v>2218</v>
      </c>
      <c r="E1146" s="1219" t="s">
        <v>167</v>
      </c>
      <c r="F1146" s="1219" t="s">
        <v>330</v>
      </c>
      <c r="G1146" s="1220" t="s">
        <v>179</v>
      </c>
      <c r="H1146" s="1220" t="s">
        <v>136</v>
      </c>
      <c r="I1146" s="1219" t="s">
        <v>274</v>
      </c>
      <c r="J1146" s="1219" t="s">
        <v>1311</v>
      </c>
      <c r="K1146" s="1220" t="s">
        <v>3022</v>
      </c>
      <c r="L1146" s="1219" t="s">
        <v>2768</v>
      </c>
      <c r="M1146" s="1219" t="s">
        <v>2677</v>
      </c>
      <c r="N1146" s="1220" t="s">
        <v>2685</v>
      </c>
      <c r="O1146" s="1219" t="s">
        <v>310</v>
      </c>
      <c r="P1146" s="1219" t="s">
        <v>291</v>
      </c>
      <c r="Q1146" s="1219" t="s">
        <v>294</v>
      </c>
      <c r="R1146" s="1219">
        <v>125000</v>
      </c>
      <c r="S1146" s="1219">
        <v>1000000</v>
      </c>
      <c r="T1146" s="1219">
        <v>0</v>
      </c>
      <c r="U1146" s="1219">
        <v>0</v>
      </c>
      <c r="V1146" s="1219">
        <v>0</v>
      </c>
      <c r="W1146" s="1219">
        <v>50</v>
      </c>
      <c r="X1146" s="1219">
        <v>0</v>
      </c>
      <c r="Y1146" s="1219">
        <v>999</v>
      </c>
      <c r="Z1146" s="1221">
        <v>720</v>
      </c>
      <c r="AA1146" s="1221">
        <v>999</v>
      </c>
      <c r="AB1146" s="1221">
        <v>3</v>
      </c>
      <c r="AC1146" s="1221">
        <v>999999</v>
      </c>
      <c r="AD1146" s="1219">
        <v>0</v>
      </c>
      <c r="AE1146" s="1222">
        <v>80</v>
      </c>
      <c r="AF1146" s="170">
        <v>0</v>
      </c>
      <c r="AG1146" s="171">
        <v>1</v>
      </c>
      <c r="AH1146" s="171">
        <v>1</v>
      </c>
      <c r="AI1146" s="171">
        <v>0</v>
      </c>
      <c r="AJ1146" s="171">
        <v>0</v>
      </c>
      <c r="AK1146" s="171">
        <v>1</v>
      </c>
      <c r="AL1146" s="171">
        <v>0</v>
      </c>
      <c r="AM1146" s="171">
        <v>1</v>
      </c>
      <c r="AN1146" s="171">
        <v>1</v>
      </c>
      <c r="AO1146" s="171">
        <v>1</v>
      </c>
      <c r="AP1146" s="171">
        <v>1</v>
      </c>
      <c r="AQ1146" s="171">
        <v>1</v>
      </c>
      <c r="AR1146" s="171">
        <v>1</v>
      </c>
      <c r="AS1146" s="171">
        <v>1</v>
      </c>
      <c r="AT1146" s="171">
        <v>1</v>
      </c>
      <c r="AU1146" s="171">
        <f t="shared" si="419"/>
        <v>1</v>
      </c>
      <c r="AV1146" s="171">
        <f t="shared" si="420"/>
        <v>0</v>
      </c>
      <c r="AW1146" s="171">
        <f t="shared" si="421"/>
        <v>1</v>
      </c>
      <c r="AX1146" s="171">
        <f t="shared" si="429"/>
        <v>1</v>
      </c>
      <c r="AY1146" s="171">
        <f t="shared" si="422"/>
        <v>1</v>
      </c>
      <c r="AZ1146" s="171">
        <f t="shared" si="423"/>
        <v>1</v>
      </c>
      <c r="BA1146" s="172">
        <f t="shared" si="424"/>
        <v>1</v>
      </c>
      <c r="BB1146" s="175">
        <f t="shared" si="425"/>
        <v>17</v>
      </c>
      <c r="BC1146" s="176">
        <f t="shared" si="426"/>
        <v>16</v>
      </c>
      <c r="BD1146" s="176">
        <f t="shared" si="427"/>
        <v>17</v>
      </c>
      <c r="BE1146" s="240" t="str">
        <f t="shared" si="418"/>
        <v/>
      </c>
      <c r="BF1146" s="990"/>
      <c r="BG1146" s="990"/>
      <c r="BH1146" s="991">
        <f>IF(AND(Input_Product=Elig!$C1146,Elig_MatchAll_Ct&lt;22,$BC1146=(Elig_MatchAll_Ct-1),AF1146=0),C1146,0)</f>
        <v>0</v>
      </c>
      <c r="BI1146" s="991">
        <f>IF(AND(Input_Product=Elig!$C1146,Elig_MatchAll_Ct&lt;22,$BC1146=(Elig_MatchAll_Ct-1),AG1146=0),D1146,0)</f>
        <v>0</v>
      </c>
      <c r="BJ1146" s="991">
        <f>IF(AND(Input_Product=Elig!$C1146,Elig_MatchAll_Ct&lt;22,$BC1146=(Elig_MatchAll_Ct-1),AH1146=0),E1146,0)</f>
        <v>0</v>
      </c>
      <c r="BK1146" s="991">
        <f>IF(AND(Input_Product=Elig!$C1146,Elig_MatchAll_Ct&lt;22,$BC1146=(Elig_MatchAll_Ct-1),AI1146=0),F1146,0)</f>
        <v>0</v>
      </c>
      <c r="BL1146" s="991">
        <f>IF(AND(Input_Product=Elig!$C1146,Elig_MatchAll_Ct&lt;22,$BC1146=(Elig_MatchAll_Ct-1),AJ1146=0),G1146,0)</f>
        <v>0</v>
      </c>
      <c r="BM1146" s="991">
        <f>IF(AND(Input_Product=Elig!$C1146,Elig_MatchAll_Ct&lt;22,$BC1146=(Elig_MatchAll_Ct-1),AK1146=0),H1146,0)</f>
        <v>0</v>
      </c>
      <c r="BN1146" s="991">
        <f>IF(AND(Input_Product=Elig!$C1146,Elig_MatchAll_Ct&lt;22,$BC1146=(Elig_MatchAll_Ct-1),AL1146=0),I1146,0)</f>
        <v>0</v>
      </c>
      <c r="BO1146" s="991">
        <f>IF(AND(Input_Product=Elig!$C1146,Elig_MatchAll_Ct&lt;22,$BC1146=(Elig_MatchAll_Ct-1),AM1146=0),J1146,0)</f>
        <v>0</v>
      </c>
      <c r="BP1146" s="991">
        <f>IF(AND(Input_Product=Elig!$C1146,Elig_MatchAll_Ct&lt;22,$BC1146=(Elig_MatchAll_Ct-1),AN1146=0),K1146,0)</f>
        <v>0</v>
      </c>
      <c r="BQ1146" s="991">
        <f>IF(AND(Input_Product=Elig!$C1146,Elig_MatchAll_Ct&lt;22,$BC1146=(Elig_MatchAll_Ct-1),AP1146=0),L1146,0)</f>
        <v>0</v>
      </c>
      <c r="BR1146" s="991">
        <f>IF(AND(Input_Product=Elig!$C1146,Elig_MatchAll_Ct&lt;22,$BC1146=(Elig_MatchAll_Ct-1),AO1146=0),M1146,0)</f>
        <v>0</v>
      </c>
      <c r="BS1146" s="991">
        <f>IF(AND(Input_Product=Elig!$C1146,Elig_MatchAll_Ct&lt;22,$BC1146=(Elig_MatchAll_Ct-1),AQ1146=0),N1146,0)</f>
        <v>0</v>
      </c>
      <c r="BT1146" s="991">
        <f>IF(AND(Input_Product=Elig!$C1146,Elig_MatchAll_Ct&lt;22,$BC1146=(Elig_MatchAll_Ct-1),AR1146=0),O1146,0)</f>
        <v>0</v>
      </c>
      <c r="BU1146" s="991">
        <f>IF(AND(Input_Product=Elig!$C1146,Elig_MatchAll_Ct&lt;22,$BC1146=(Elig_MatchAll_Ct-1),AS1146=0),P1146,0)</f>
        <v>0</v>
      </c>
      <c r="BV1146" s="992">
        <f>IF(AND(Input_Product=Elig!$C1146,Elig_MatchAll_Ct&lt;22,$BC1146=(Elig_MatchAll_Ct-1),AT1146=0),Q1146,0)</f>
        <v>0</v>
      </c>
      <c r="BW1146" s="993">
        <f>IF(AND(Input_Product=Elig!$C1146,Elig_MatchAll_Ct&lt;22,$BC1146=(Elig_MatchAll_Ct-1),AU1146=0),R1146,0)</f>
        <v>0</v>
      </c>
      <c r="BX1146" s="994">
        <f>IF(AND(Input_Product=Elig!$C1146,Elig_MatchAll_Ct&lt;22,$BC1146=(Elig_MatchAll_Ct-1),AU1146=0),S1146,0)</f>
        <v>0</v>
      </c>
      <c r="BY1146" s="993">
        <f>IF(AND(Input_Product=Elig!$C1146,Elig_MatchAll_Ct&lt;22,$BC1146=(Elig_MatchAll_Ct-1),AV1146=0),T1146,0)</f>
        <v>0</v>
      </c>
      <c r="BZ1146" s="994">
        <f>IF(AND(Input_Product=Elig!$C1146,Elig_MatchAll_Ct&lt;22,$BC1146=(Elig_MatchAll_Ct-1),AV1146=0),U1146,0)</f>
        <v>0</v>
      </c>
      <c r="CA1146" s="993">
        <f>IF(AND(Input_Product=Elig!$C1146,Elig_MatchAll_Ct&lt;22,$BC1146=(Elig_MatchAll_Ct-1),AW1146=0),V1146,0)</f>
        <v>0</v>
      </c>
      <c r="CB1146" s="994">
        <f>IF(AND(Input_Product=Elig!$C1146,Elig_MatchAll_Ct&lt;22,$BC1146=(Elig_MatchAll_Ct-1),AW1146=0),W1146,0)</f>
        <v>0</v>
      </c>
      <c r="CC1146" s="993">
        <f>IF(AND(Input_Product=Elig!$C1146,Elig_MatchAll_Ct&lt;22,$BC1146=(Elig_MatchAll_Ct-1),AX1146=0),X1146,0)</f>
        <v>0</v>
      </c>
      <c r="CD1146" s="994">
        <f>IF(AND(Input_Product=Elig!$C1146,Elig_MatchAll_Ct&lt;22,$BC1146=(Elig_MatchAll_Ct-1),AX1146=0),Y1146,0)</f>
        <v>0</v>
      </c>
      <c r="CE1146" s="993">
        <f>IF(AND(Input_LTV&lt;=AE1146,Input_Product=Elig!$C1146,Elig_MatchAll_Ct&lt;22,$BC1146=(Elig_MatchAll_Ct-1),AY1146=0),Z1146,0)</f>
        <v>0</v>
      </c>
      <c r="CF1146" s="994">
        <f>IF(AND(Input_LTV&lt;=AE1146,Input_Product=Elig!$C1146,Elig_MatchAll_Ct&lt;22,$BC1146=(Elig_MatchAll_Ct-1),AY1146=0),AA1146,0)</f>
        <v>0</v>
      </c>
      <c r="CG1146" s="993">
        <f>IF(AND(Input_Product=Elig!$C1146,Elig_MatchAll_Ct&lt;22,$BC1146=(Elig_MatchAll_Ct-1),AZ1146=0),AB1146,0)</f>
        <v>0</v>
      </c>
      <c r="CH1146" s="994">
        <f>IF(AND(Input_Product=Elig!$C1146,Elig_MatchAll_Ct&lt;22,$BC1146=(Elig_MatchAll_Ct-1),AZ1146=0),AC1146,0)</f>
        <v>0</v>
      </c>
      <c r="CI1146" s="993">
        <f>IF(AND(Input_Product=Elig!$C1146,Elig_MatchAll_Ct&lt;22,$BC1146=(Elig_MatchAll_Ct-1),BA1146=0),AD1146,0)</f>
        <v>0</v>
      </c>
      <c r="CJ1146" s="994">
        <f>IF(AND(Input_Product=Elig!$C1146,Elig_MatchAll_Ct&lt;22,$BC1146=(Elig_MatchAll_Ct-1),BA1146=0),AE1146,0)</f>
        <v>0</v>
      </c>
    </row>
    <row r="1147" spans="2:88" ht="10.15" customHeight="1" x14ac:dyDescent="0.25">
      <c r="B1147" s="1918" t="s">
        <v>2447</v>
      </c>
      <c r="C1147" s="1223" t="str">
        <f t="shared" si="428"/>
        <v xml:space="preserve"> </v>
      </c>
      <c r="D1147" s="1224" t="s">
        <v>2218</v>
      </c>
      <c r="E1147" s="1224" t="s">
        <v>167</v>
      </c>
      <c r="F1147" s="1224" t="s">
        <v>330</v>
      </c>
      <c r="G1147" s="1225" t="s">
        <v>179</v>
      </c>
      <c r="H1147" s="1225" t="s">
        <v>136</v>
      </c>
      <c r="I1147" s="1224" t="s">
        <v>274</v>
      </c>
      <c r="J1147" s="1224" t="s">
        <v>1311</v>
      </c>
      <c r="K1147" s="1225" t="s">
        <v>3022</v>
      </c>
      <c r="L1147" s="1224" t="s">
        <v>2768</v>
      </c>
      <c r="M1147" s="1224" t="s">
        <v>2677</v>
      </c>
      <c r="N1147" s="1225" t="s">
        <v>2685</v>
      </c>
      <c r="O1147" s="1224" t="s">
        <v>310</v>
      </c>
      <c r="P1147" s="1224" t="s">
        <v>291</v>
      </c>
      <c r="Q1147" s="1224" t="s">
        <v>294</v>
      </c>
      <c r="R1147" s="1224">
        <v>125000</v>
      </c>
      <c r="S1147" s="1224">
        <v>1000000</v>
      </c>
      <c r="T1147" s="1224">
        <v>0</v>
      </c>
      <c r="U1147" s="1224">
        <v>0</v>
      </c>
      <c r="V1147" s="1224">
        <v>0</v>
      </c>
      <c r="W1147" s="1224">
        <v>50</v>
      </c>
      <c r="X1147" s="1224">
        <v>0</v>
      </c>
      <c r="Y1147" s="1224">
        <v>999</v>
      </c>
      <c r="Z1147" s="1226">
        <v>700</v>
      </c>
      <c r="AA1147" s="1226">
        <v>719</v>
      </c>
      <c r="AB1147" s="1226">
        <v>3</v>
      </c>
      <c r="AC1147" s="1226">
        <v>999999</v>
      </c>
      <c r="AD1147" s="1224">
        <v>0</v>
      </c>
      <c r="AE1147" s="1227">
        <v>75</v>
      </c>
      <c r="AF1147" s="170">
        <v>0</v>
      </c>
      <c r="AG1147" s="171">
        <v>1</v>
      </c>
      <c r="AH1147" s="171">
        <v>1</v>
      </c>
      <c r="AI1147" s="171">
        <v>0</v>
      </c>
      <c r="AJ1147" s="171">
        <v>0</v>
      </c>
      <c r="AK1147" s="171">
        <v>1</v>
      </c>
      <c r="AL1147" s="171">
        <v>0</v>
      </c>
      <c r="AM1147" s="171">
        <v>1</v>
      </c>
      <c r="AN1147" s="171">
        <v>1</v>
      </c>
      <c r="AO1147" s="171">
        <v>1</v>
      </c>
      <c r="AP1147" s="171">
        <v>1</v>
      </c>
      <c r="AQ1147" s="171">
        <v>1</v>
      </c>
      <c r="AR1147" s="171">
        <v>1</v>
      </c>
      <c r="AS1147" s="171">
        <v>1</v>
      </c>
      <c r="AT1147" s="171">
        <v>1</v>
      </c>
      <c r="AU1147" s="171">
        <f t="shared" si="419"/>
        <v>1</v>
      </c>
      <c r="AV1147" s="171">
        <f t="shared" si="420"/>
        <v>0</v>
      </c>
      <c r="AW1147" s="171">
        <f t="shared" si="421"/>
        <v>1</v>
      </c>
      <c r="AX1147" s="171">
        <f t="shared" si="429"/>
        <v>1</v>
      </c>
      <c r="AY1147" s="171">
        <f t="shared" si="422"/>
        <v>0</v>
      </c>
      <c r="AZ1147" s="171">
        <f t="shared" si="423"/>
        <v>1</v>
      </c>
      <c r="BA1147" s="172">
        <f t="shared" si="424"/>
        <v>1</v>
      </c>
      <c r="BB1147" s="175">
        <f t="shared" si="425"/>
        <v>16</v>
      </c>
      <c r="BC1147" s="176">
        <f t="shared" si="426"/>
        <v>15</v>
      </c>
      <c r="BD1147" s="176">
        <f t="shared" si="427"/>
        <v>16</v>
      </c>
      <c r="BE1147" s="240" t="str">
        <f t="shared" si="418"/>
        <v/>
      </c>
      <c r="BF1147" s="990"/>
      <c r="BG1147" s="990"/>
      <c r="BH1147" s="991">
        <f>IF(AND(Input_Product=Elig!$C1147,Elig_MatchAll_Ct&lt;22,$BC1147=(Elig_MatchAll_Ct-1),AF1147=0),C1147,0)</f>
        <v>0</v>
      </c>
      <c r="BI1147" s="991">
        <f>IF(AND(Input_Product=Elig!$C1147,Elig_MatchAll_Ct&lt;22,$BC1147=(Elig_MatchAll_Ct-1),AG1147=0),D1147,0)</f>
        <v>0</v>
      </c>
      <c r="BJ1147" s="991">
        <f>IF(AND(Input_Product=Elig!$C1147,Elig_MatchAll_Ct&lt;22,$BC1147=(Elig_MatchAll_Ct-1),AH1147=0),E1147,0)</f>
        <v>0</v>
      </c>
      <c r="BK1147" s="991">
        <f>IF(AND(Input_Product=Elig!$C1147,Elig_MatchAll_Ct&lt;22,$BC1147=(Elig_MatchAll_Ct-1),AI1147=0),F1147,0)</f>
        <v>0</v>
      </c>
      <c r="BL1147" s="991">
        <f>IF(AND(Input_Product=Elig!$C1147,Elig_MatchAll_Ct&lt;22,$BC1147=(Elig_MatchAll_Ct-1),AJ1147=0),G1147,0)</f>
        <v>0</v>
      </c>
      <c r="BM1147" s="991">
        <f>IF(AND(Input_Product=Elig!$C1147,Elig_MatchAll_Ct&lt;22,$BC1147=(Elig_MatchAll_Ct-1),AK1147=0),H1147,0)</f>
        <v>0</v>
      </c>
      <c r="BN1147" s="991">
        <f>IF(AND(Input_Product=Elig!$C1147,Elig_MatchAll_Ct&lt;22,$BC1147=(Elig_MatchAll_Ct-1),AL1147=0),I1147,0)</f>
        <v>0</v>
      </c>
      <c r="BO1147" s="991">
        <f>IF(AND(Input_Product=Elig!$C1147,Elig_MatchAll_Ct&lt;22,$BC1147=(Elig_MatchAll_Ct-1),AM1147=0),J1147,0)</f>
        <v>0</v>
      </c>
      <c r="BP1147" s="991">
        <f>IF(AND(Input_Product=Elig!$C1147,Elig_MatchAll_Ct&lt;22,$BC1147=(Elig_MatchAll_Ct-1),AN1147=0),K1147,0)</f>
        <v>0</v>
      </c>
      <c r="BQ1147" s="991">
        <f>IF(AND(Input_Product=Elig!$C1147,Elig_MatchAll_Ct&lt;22,$BC1147=(Elig_MatchAll_Ct-1),AP1147=0),L1147,0)</f>
        <v>0</v>
      </c>
      <c r="BR1147" s="991">
        <f>IF(AND(Input_Product=Elig!$C1147,Elig_MatchAll_Ct&lt;22,$BC1147=(Elig_MatchAll_Ct-1),AO1147=0),M1147,0)</f>
        <v>0</v>
      </c>
      <c r="BS1147" s="991">
        <f>IF(AND(Input_Product=Elig!$C1147,Elig_MatchAll_Ct&lt;22,$BC1147=(Elig_MatchAll_Ct-1),AQ1147=0),N1147,0)</f>
        <v>0</v>
      </c>
      <c r="BT1147" s="991">
        <f>IF(AND(Input_Product=Elig!$C1147,Elig_MatchAll_Ct&lt;22,$BC1147=(Elig_MatchAll_Ct-1),AR1147=0),O1147,0)</f>
        <v>0</v>
      </c>
      <c r="BU1147" s="991">
        <f>IF(AND(Input_Product=Elig!$C1147,Elig_MatchAll_Ct&lt;22,$BC1147=(Elig_MatchAll_Ct-1),AS1147=0),P1147,0)</f>
        <v>0</v>
      </c>
      <c r="BV1147" s="992">
        <f>IF(AND(Input_Product=Elig!$C1147,Elig_MatchAll_Ct&lt;22,$BC1147=(Elig_MatchAll_Ct-1),AT1147=0),Q1147,0)</f>
        <v>0</v>
      </c>
      <c r="BW1147" s="993">
        <f>IF(AND(Input_Product=Elig!$C1147,Elig_MatchAll_Ct&lt;22,$BC1147=(Elig_MatchAll_Ct-1),AU1147=0),R1147,0)</f>
        <v>0</v>
      </c>
      <c r="BX1147" s="994">
        <f>IF(AND(Input_Product=Elig!$C1147,Elig_MatchAll_Ct&lt;22,$BC1147=(Elig_MatchAll_Ct-1),AU1147=0),S1147,0)</f>
        <v>0</v>
      </c>
      <c r="BY1147" s="993">
        <f>IF(AND(Input_Product=Elig!$C1147,Elig_MatchAll_Ct&lt;22,$BC1147=(Elig_MatchAll_Ct-1),AV1147=0),T1147,0)</f>
        <v>0</v>
      </c>
      <c r="BZ1147" s="994">
        <f>IF(AND(Input_Product=Elig!$C1147,Elig_MatchAll_Ct&lt;22,$BC1147=(Elig_MatchAll_Ct-1),AV1147=0),U1147,0)</f>
        <v>0</v>
      </c>
      <c r="CA1147" s="993">
        <f>IF(AND(Input_Product=Elig!$C1147,Elig_MatchAll_Ct&lt;22,$BC1147=(Elig_MatchAll_Ct-1),AW1147=0),V1147,0)</f>
        <v>0</v>
      </c>
      <c r="CB1147" s="994">
        <f>IF(AND(Input_Product=Elig!$C1147,Elig_MatchAll_Ct&lt;22,$BC1147=(Elig_MatchAll_Ct-1),AW1147=0),W1147,0)</f>
        <v>0</v>
      </c>
      <c r="CC1147" s="993">
        <f>IF(AND(Input_Product=Elig!$C1147,Elig_MatchAll_Ct&lt;22,$BC1147=(Elig_MatchAll_Ct-1),AX1147=0),X1147,0)</f>
        <v>0</v>
      </c>
      <c r="CD1147" s="994">
        <f>IF(AND(Input_Product=Elig!$C1147,Elig_MatchAll_Ct&lt;22,$BC1147=(Elig_MatchAll_Ct-1),AX1147=0),Y1147,0)</f>
        <v>0</v>
      </c>
      <c r="CE1147" s="993">
        <f>IF(AND(Input_LTV&lt;=AE1147,Input_Product=Elig!$C1147,Elig_MatchAll_Ct&lt;22,$BC1147=(Elig_MatchAll_Ct-1),AY1147=0),Z1147,0)</f>
        <v>0</v>
      </c>
      <c r="CF1147" s="994">
        <f>IF(AND(Input_LTV&lt;=AE1147,Input_Product=Elig!$C1147,Elig_MatchAll_Ct&lt;22,$BC1147=(Elig_MatchAll_Ct-1),AY1147=0),AA1147,0)</f>
        <v>0</v>
      </c>
      <c r="CG1147" s="993">
        <f>IF(AND(Input_Product=Elig!$C1147,Elig_MatchAll_Ct&lt;22,$BC1147=(Elig_MatchAll_Ct-1),AZ1147=0),AB1147,0)</f>
        <v>0</v>
      </c>
      <c r="CH1147" s="994">
        <f>IF(AND(Input_Product=Elig!$C1147,Elig_MatchAll_Ct&lt;22,$BC1147=(Elig_MatchAll_Ct-1),AZ1147=0),AC1147,0)</f>
        <v>0</v>
      </c>
      <c r="CI1147" s="993">
        <f>IF(AND(Input_Product=Elig!$C1147,Elig_MatchAll_Ct&lt;22,$BC1147=(Elig_MatchAll_Ct-1),BA1147=0),AD1147,0)</f>
        <v>0</v>
      </c>
      <c r="CJ1147" s="994">
        <f>IF(AND(Input_Product=Elig!$C1147,Elig_MatchAll_Ct&lt;22,$BC1147=(Elig_MatchAll_Ct-1),BA1147=0),AE1147,0)</f>
        <v>0</v>
      </c>
    </row>
    <row r="1148" spans="2:88" ht="10.15" customHeight="1" x14ac:dyDescent="0.25">
      <c r="B1148" s="1918" t="s">
        <v>2448</v>
      </c>
      <c r="C1148" s="1223" t="str">
        <f t="shared" si="428"/>
        <v xml:space="preserve"> </v>
      </c>
      <c r="D1148" s="1224" t="s">
        <v>2218</v>
      </c>
      <c r="E1148" s="1224" t="s">
        <v>167</v>
      </c>
      <c r="F1148" s="1224" t="s">
        <v>330</v>
      </c>
      <c r="G1148" s="1225" t="s">
        <v>179</v>
      </c>
      <c r="H1148" s="1225" t="s">
        <v>136</v>
      </c>
      <c r="I1148" s="1224" t="s">
        <v>274</v>
      </c>
      <c r="J1148" s="1224" t="s">
        <v>1311</v>
      </c>
      <c r="K1148" s="1225" t="s">
        <v>3022</v>
      </c>
      <c r="L1148" s="1224" t="s">
        <v>2768</v>
      </c>
      <c r="M1148" s="1224" t="s">
        <v>2677</v>
      </c>
      <c r="N1148" s="1225" t="s">
        <v>2685</v>
      </c>
      <c r="O1148" s="1224" t="s">
        <v>310</v>
      </c>
      <c r="P1148" s="1224" t="s">
        <v>291</v>
      </c>
      <c r="Q1148" s="1224" t="s">
        <v>294</v>
      </c>
      <c r="R1148" s="1224">
        <v>125000</v>
      </c>
      <c r="S1148" s="1224">
        <v>1000000</v>
      </c>
      <c r="T1148" s="1224">
        <v>0</v>
      </c>
      <c r="U1148" s="1224">
        <v>0</v>
      </c>
      <c r="V1148" s="1224">
        <v>0</v>
      </c>
      <c r="W1148" s="1224">
        <v>50</v>
      </c>
      <c r="X1148" s="1224">
        <v>0</v>
      </c>
      <c r="Y1148" s="1224">
        <v>999</v>
      </c>
      <c r="Z1148" s="1226">
        <v>680</v>
      </c>
      <c r="AA1148" s="1226">
        <v>699</v>
      </c>
      <c r="AB1148" s="1226">
        <v>3</v>
      </c>
      <c r="AC1148" s="1226">
        <v>999999</v>
      </c>
      <c r="AD1148" s="1224">
        <v>0</v>
      </c>
      <c r="AE1148" s="1227">
        <v>75</v>
      </c>
      <c r="AF1148" s="170">
        <v>0</v>
      </c>
      <c r="AG1148" s="171">
        <v>1</v>
      </c>
      <c r="AH1148" s="171">
        <v>1</v>
      </c>
      <c r="AI1148" s="171">
        <v>0</v>
      </c>
      <c r="AJ1148" s="171">
        <v>0</v>
      </c>
      <c r="AK1148" s="171">
        <v>1</v>
      </c>
      <c r="AL1148" s="171">
        <v>0</v>
      </c>
      <c r="AM1148" s="171">
        <v>1</v>
      </c>
      <c r="AN1148" s="171">
        <v>1</v>
      </c>
      <c r="AO1148" s="171">
        <v>1</v>
      </c>
      <c r="AP1148" s="171">
        <v>1</v>
      </c>
      <c r="AQ1148" s="171">
        <v>1</v>
      </c>
      <c r="AR1148" s="171">
        <v>1</v>
      </c>
      <c r="AS1148" s="171">
        <v>1</v>
      </c>
      <c r="AT1148" s="171">
        <v>1</v>
      </c>
      <c r="AU1148" s="171">
        <f t="shared" si="419"/>
        <v>1</v>
      </c>
      <c r="AV1148" s="171">
        <f t="shared" si="420"/>
        <v>0</v>
      </c>
      <c r="AW1148" s="171">
        <f t="shared" si="421"/>
        <v>1</v>
      </c>
      <c r="AX1148" s="171">
        <f t="shared" si="429"/>
        <v>1</v>
      </c>
      <c r="AY1148" s="171">
        <f t="shared" si="422"/>
        <v>0</v>
      </c>
      <c r="AZ1148" s="171">
        <f t="shared" si="423"/>
        <v>1</v>
      </c>
      <c r="BA1148" s="172">
        <f t="shared" si="424"/>
        <v>1</v>
      </c>
      <c r="BB1148" s="175">
        <f t="shared" si="425"/>
        <v>16</v>
      </c>
      <c r="BC1148" s="176">
        <f t="shared" si="426"/>
        <v>15</v>
      </c>
      <c r="BD1148" s="176">
        <f t="shared" si="427"/>
        <v>16</v>
      </c>
      <c r="BE1148" s="240" t="str">
        <f t="shared" si="418"/>
        <v/>
      </c>
      <c r="BF1148" s="990"/>
      <c r="BG1148" s="990"/>
      <c r="BH1148" s="991">
        <f>IF(AND(Input_Product=Elig!$C1148,Elig_MatchAll_Ct&lt;22,$BC1148=(Elig_MatchAll_Ct-1),AF1148=0),C1148,0)</f>
        <v>0</v>
      </c>
      <c r="BI1148" s="991">
        <f>IF(AND(Input_Product=Elig!$C1148,Elig_MatchAll_Ct&lt;22,$BC1148=(Elig_MatchAll_Ct-1),AG1148=0),D1148,0)</f>
        <v>0</v>
      </c>
      <c r="BJ1148" s="991">
        <f>IF(AND(Input_Product=Elig!$C1148,Elig_MatchAll_Ct&lt;22,$BC1148=(Elig_MatchAll_Ct-1),AH1148=0),E1148,0)</f>
        <v>0</v>
      </c>
      <c r="BK1148" s="991">
        <f>IF(AND(Input_Product=Elig!$C1148,Elig_MatchAll_Ct&lt;22,$BC1148=(Elig_MatchAll_Ct-1),AI1148=0),F1148,0)</f>
        <v>0</v>
      </c>
      <c r="BL1148" s="991">
        <f>IF(AND(Input_Product=Elig!$C1148,Elig_MatchAll_Ct&lt;22,$BC1148=(Elig_MatchAll_Ct-1),AJ1148=0),G1148,0)</f>
        <v>0</v>
      </c>
      <c r="BM1148" s="991">
        <f>IF(AND(Input_Product=Elig!$C1148,Elig_MatchAll_Ct&lt;22,$BC1148=(Elig_MatchAll_Ct-1),AK1148=0),H1148,0)</f>
        <v>0</v>
      </c>
      <c r="BN1148" s="991">
        <f>IF(AND(Input_Product=Elig!$C1148,Elig_MatchAll_Ct&lt;22,$BC1148=(Elig_MatchAll_Ct-1),AL1148=0),I1148,0)</f>
        <v>0</v>
      </c>
      <c r="BO1148" s="991">
        <f>IF(AND(Input_Product=Elig!$C1148,Elig_MatchAll_Ct&lt;22,$BC1148=(Elig_MatchAll_Ct-1),AM1148=0),J1148,0)</f>
        <v>0</v>
      </c>
      <c r="BP1148" s="991">
        <f>IF(AND(Input_Product=Elig!$C1148,Elig_MatchAll_Ct&lt;22,$BC1148=(Elig_MatchAll_Ct-1),AN1148=0),K1148,0)</f>
        <v>0</v>
      </c>
      <c r="BQ1148" s="991">
        <f>IF(AND(Input_Product=Elig!$C1148,Elig_MatchAll_Ct&lt;22,$BC1148=(Elig_MatchAll_Ct-1),AP1148=0),L1148,0)</f>
        <v>0</v>
      </c>
      <c r="BR1148" s="991">
        <f>IF(AND(Input_Product=Elig!$C1148,Elig_MatchAll_Ct&lt;22,$BC1148=(Elig_MatchAll_Ct-1),AO1148=0),M1148,0)</f>
        <v>0</v>
      </c>
      <c r="BS1148" s="991">
        <f>IF(AND(Input_Product=Elig!$C1148,Elig_MatchAll_Ct&lt;22,$BC1148=(Elig_MatchAll_Ct-1),AQ1148=0),N1148,0)</f>
        <v>0</v>
      </c>
      <c r="BT1148" s="991">
        <f>IF(AND(Input_Product=Elig!$C1148,Elig_MatchAll_Ct&lt;22,$BC1148=(Elig_MatchAll_Ct-1),AR1148=0),O1148,0)</f>
        <v>0</v>
      </c>
      <c r="BU1148" s="991">
        <f>IF(AND(Input_Product=Elig!$C1148,Elig_MatchAll_Ct&lt;22,$BC1148=(Elig_MatchAll_Ct-1),AS1148=0),P1148,0)</f>
        <v>0</v>
      </c>
      <c r="BV1148" s="992">
        <f>IF(AND(Input_Product=Elig!$C1148,Elig_MatchAll_Ct&lt;22,$BC1148=(Elig_MatchAll_Ct-1),AT1148=0),Q1148,0)</f>
        <v>0</v>
      </c>
      <c r="BW1148" s="993">
        <f>IF(AND(Input_Product=Elig!$C1148,Elig_MatchAll_Ct&lt;22,$BC1148=(Elig_MatchAll_Ct-1),AU1148=0),R1148,0)</f>
        <v>0</v>
      </c>
      <c r="BX1148" s="994">
        <f>IF(AND(Input_Product=Elig!$C1148,Elig_MatchAll_Ct&lt;22,$BC1148=(Elig_MatchAll_Ct-1),AU1148=0),S1148,0)</f>
        <v>0</v>
      </c>
      <c r="BY1148" s="993">
        <f>IF(AND(Input_Product=Elig!$C1148,Elig_MatchAll_Ct&lt;22,$BC1148=(Elig_MatchAll_Ct-1),AV1148=0),T1148,0)</f>
        <v>0</v>
      </c>
      <c r="BZ1148" s="994">
        <f>IF(AND(Input_Product=Elig!$C1148,Elig_MatchAll_Ct&lt;22,$BC1148=(Elig_MatchAll_Ct-1),AV1148=0),U1148,0)</f>
        <v>0</v>
      </c>
      <c r="CA1148" s="993">
        <f>IF(AND(Input_Product=Elig!$C1148,Elig_MatchAll_Ct&lt;22,$BC1148=(Elig_MatchAll_Ct-1),AW1148=0),V1148,0)</f>
        <v>0</v>
      </c>
      <c r="CB1148" s="994">
        <f>IF(AND(Input_Product=Elig!$C1148,Elig_MatchAll_Ct&lt;22,$BC1148=(Elig_MatchAll_Ct-1),AW1148=0),W1148,0)</f>
        <v>0</v>
      </c>
      <c r="CC1148" s="993">
        <f>IF(AND(Input_Product=Elig!$C1148,Elig_MatchAll_Ct&lt;22,$BC1148=(Elig_MatchAll_Ct-1),AX1148=0),X1148,0)</f>
        <v>0</v>
      </c>
      <c r="CD1148" s="994">
        <f>IF(AND(Input_Product=Elig!$C1148,Elig_MatchAll_Ct&lt;22,$BC1148=(Elig_MatchAll_Ct-1),AX1148=0),Y1148,0)</f>
        <v>0</v>
      </c>
      <c r="CE1148" s="993">
        <f>IF(AND(Input_LTV&lt;=AE1148,Input_Product=Elig!$C1148,Elig_MatchAll_Ct&lt;22,$BC1148=(Elig_MatchAll_Ct-1),AY1148=0),Z1148,0)</f>
        <v>0</v>
      </c>
      <c r="CF1148" s="994">
        <f>IF(AND(Input_LTV&lt;=AE1148,Input_Product=Elig!$C1148,Elig_MatchAll_Ct&lt;22,$BC1148=(Elig_MatchAll_Ct-1),AY1148=0),AA1148,0)</f>
        <v>0</v>
      </c>
      <c r="CG1148" s="993">
        <f>IF(AND(Input_Product=Elig!$C1148,Elig_MatchAll_Ct&lt;22,$BC1148=(Elig_MatchAll_Ct-1),AZ1148=0),AB1148,0)</f>
        <v>0</v>
      </c>
      <c r="CH1148" s="994">
        <f>IF(AND(Input_Product=Elig!$C1148,Elig_MatchAll_Ct&lt;22,$BC1148=(Elig_MatchAll_Ct-1),AZ1148=0),AC1148,0)</f>
        <v>0</v>
      </c>
      <c r="CI1148" s="993">
        <f>IF(AND(Input_Product=Elig!$C1148,Elig_MatchAll_Ct&lt;22,$BC1148=(Elig_MatchAll_Ct-1),BA1148=0),AD1148,0)</f>
        <v>0</v>
      </c>
      <c r="CJ1148" s="994">
        <f>IF(AND(Input_Product=Elig!$C1148,Elig_MatchAll_Ct&lt;22,$BC1148=(Elig_MatchAll_Ct-1),BA1148=0),AE1148,0)</f>
        <v>0</v>
      </c>
    </row>
    <row r="1149" spans="2:88" ht="10.15" customHeight="1" x14ac:dyDescent="0.25">
      <c r="B1149" s="1918" t="s">
        <v>2449</v>
      </c>
      <c r="C1149" s="1228" t="str">
        <f t="shared" si="428"/>
        <v xml:space="preserve"> </v>
      </c>
      <c r="D1149" s="1229" t="s">
        <v>2218</v>
      </c>
      <c r="E1149" s="1229" t="s">
        <v>167</v>
      </c>
      <c r="F1149" s="1229" t="s">
        <v>330</v>
      </c>
      <c r="G1149" s="1230" t="s">
        <v>179</v>
      </c>
      <c r="H1149" s="1230" t="s">
        <v>136</v>
      </c>
      <c r="I1149" s="1229" t="s">
        <v>274</v>
      </c>
      <c r="J1149" s="1229" t="s">
        <v>1311</v>
      </c>
      <c r="K1149" s="1230" t="s">
        <v>3022</v>
      </c>
      <c r="L1149" s="1229" t="s">
        <v>2768</v>
      </c>
      <c r="M1149" s="1229" t="s">
        <v>2677</v>
      </c>
      <c r="N1149" s="1230" t="s">
        <v>2685</v>
      </c>
      <c r="O1149" s="1229" t="s">
        <v>310</v>
      </c>
      <c r="P1149" s="1229" t="s">
        <v>291</v>
      </c>
      <c r="Q1149" s="1229" t="s">
        <v>294</v>
      </c>
      <c r="R1149" s="1229">
        <v>125000</v>
      </c>
      <c r="S1149" s="1229">
        <v>1000000</v>
      </c>
      <c r="T1149" s="1229">
        <v>0</v>
      </c>
      <c r="U1149" s="1229">
        <v>0</v>
      </c>
      <c r="V1149" s="1229">
        <v>0</v>
      </c>
      <c r="W1149" s="1229">
        <v>50</v>
      </c>
      <c r="X1149" s="1229">
        <v>0</v>
      </c>
      <c r="Y1149" s="1229">
        <v>999</v>
      </c>
      <c r="Z1149" s="1231">
        <v>660</v>
      </c>
      <c r="AA1149" s="1231">
        <v>679</v>
      </c>
      <c r="AB1149" s="1231">
        <v>3</v>
      </c>
      <c r="AC1149" s="1231">
        <v>999999</v>
      </c>
      <c r="AD1149" s="1229">
        <v>0</v>
      </c>
      <c r="AE1149" s="1232">
        <v>70</v>
      </c>
      <c r="AF1149" s="170">
        <v>0</v>
      </c>
      <c r="AG1149" s="171">
        <v>1</v>
      </c>
      <c r="AH1149" s="171">
        <v>1</v>
      </c>
      <c r="AI1149" s="171">
        <v>0</v>
      </c>
      <c r="AJ1149" s="171">
        <v>0</v>
      </c>
      <c r="AK1149" s="171">
        <v>1</v>
      </c>
      <c r="AL1149" s="171">
        <v>0</v>
      </c>
      <c r="AM1149" s="171">
        <v>1</v>
      </c>
      <c r="AN1149" s="171">
        <v>1</v>
      </c>
      <c r="AO1149" s="171">
        <v>1</v>
      </c>
      <c r="AP1149" s="171">
        <v>1</v>
      </c>
      <c r="AQ1149" s="171">
        <v>1</v>
      </c>
      <c r="AR1149" s="171">
        <v>1</v>
      </c>
      <c r="AS1149" s="171">
        <v>1</v>
      </c>
      <c r="AT1149" s="171">
        <v>1</v>
      </c>
      <c r="AU1149" s="171">
        <f t="shared" si="419"/>
        <v>1</v>
      </c>
      <c r="AV1149" s="171">
        <f t="shared" si="420"/>
        <v>0</v>
      </c>
      <c r="AW1149" s="171">
        <f t="shared" si="421"/>
        <v>1</v>
      </c>
      <c r="AX1149" s="171">
        <f t="shared" si="429"/>
        <v>1</v>
      </c>
      <c r="AY1149" s="171">
        <f t="shared" si="422"/>
        <v>0</v>
      </c>
      <c r="AZ1149" s="171">
        <f t="shared" si="423"/>
        <v>1</v>
      </c>
      <c r="BA1149" s="172">
        <f t="shared" si="424"/>
        <v>1</v>
      </c>
      <c r="BB1149" s="175">
        <f t="shared" si="425"/>
        <v>16</v>
      </c>
      <c r="BC1149" s="176">
        <f t="shared" si="426"/>
        <v>15</v>
      </c>
      <c r="BD1149" s="176">
        <f t="shared" si="427"/>
        <v>16</v>
      </c>
      <c r="BE1149" s="240" t="str">
        <f t="shared" si="418"/>
        <v/>
      </c>
      <c r="BF1149" s="990"/>
      <c r="BG1149" s="990"/>
      <c r="BH1149" s="991">
        <f>IF(AND(Input_Product=Elig!$C1149,Elig_MatchAll_Ct&lt;22,$BC1149=(Elig_MatchAll_Ct-1),AF1149=0),C1149,0)</f>
        <v>0</v>
      </c>
      <c r="BI1149" s="991">
        <f>IF(AND(Input_Product=Elig!$C1149,Elig_MatchAll_Ct&lt;22,$BC1149=(Elig_MatchAll_Ct-1),AG1149=0),D1149,0)</f>
        <v>0</v>
      </c>
      <c r="BJ1149" s="991">
        <f>IF(AND(Input_Product=Elig!$C1149,Elig_MatchAll_Ct&lt;22,$BC1149=(Elig_MatchAll_Ct-1),AH1149=0),E1149,0)</f>
        <v>0</v>
      </c>
      <c r="BK1149" s="991">
        <f>IF(AND(Input_Product=Elig!$C1149,Elig_MatchAll_Ct&lt;22,$BC1149=(Elig_MatchAll_Ct-1),AI1149=0),F1149,0)</f>
        <v>0</v>
      </c>
      <c r="BL1149" s="991">
        <f>IF(AND(Input_Product=Elig!$C1149,Elig_MatchAll_Ct&lt;22,$BC1149=(Elig_MatchAll_Ct-1),AJ1149=0),G1149,0)</f>
        <v>0</v>
      </c>
      <c r="BM1149" s="991">
        <f>IF(AND(Input_Product=Elig!$C1149,Elig_MatchAll_Ct&lt;22,$BC1149=(Elig_MatchAll_Ct-1),AK1149=0),H1149,0)</f>
        <v>0</v>
      </c>
      <c r="BN1149" s="991">
        <f>IF(AND(Input_Product=Elig!$C1149,Elig_MatchAll_Ct&lt;22,$BC1149=(Elig_MatchAll_Ct-1),AL1149=0),I1149,0)</f>
        <v>0</v>
      </c>
      <c r="BO1149" s="991">
        <f>IF(AND(Input_Product=Elig!$C1149,Elig_MatchAll_Ct&lt;22,$BC1149=(Elig_MatchAll_Ct-1),AM1149=0),J1149,0)</f>
        <v>0</v>
      </c>
      <c r="BP1149" s="991">
        <f>IF(AND(Input_Product=Elig!$C1149,Elig_MatchAll_Ct&lt;22,$BC1149=(Elig_MatchAll_Ct-1),AN1149=0),K1149,0)</f>
        <v>0</v>
      </c>
      <c r="BQ1149" s="991">
        <f>IF(AND(Input_Product=Elig!$C1149,Elig_MatchAll_Ct&lt;22,$BC1149=(Elig_MatchAll_Ct-1),AP1149=0),L1149,0)</f>
        <v>0</v>
      </c>
      <c r="BR1149" s="991">
        <f>IF(AND(Input_Product=Elig!$C1149,Elig_MatchAll_Ct&lt;22,$BC1149=(Elig_MatchAll_Ct-1),AO1149=0),M1149,0)</f>
        <v>0</v>
      </c>
      <c r="BS1149" s="991">
        <f>IF(AND(Input_Product=Elig!$C1149,Elig_MatchAll_Ct&lt;22,$BC1149=(Elig_MatchAll_Ct-1),AQ1149=0),N1149,0)</f>
        <v>0</v>
      </c>
      <c r="BT1149" s="991">
        <f>IF(AND(Input_Product=Elig!$C1149,Elig_MatchAll_Ct&lt;22,$BC1149=(Elig_MatchAll_Ct-1),AR1149=0),O1149,0)</f>
        <v>0</v>
      </c>
      <c r="BU1149" s="991">
        <f>IF(AND(Input_Product=Elig!$C1149,Elig_MatchAll_Ct&lt;22,$BC1149=(Elig_MatchAll_Ct-1),AS1149=0),P1149,0)</f>
        <v>0</v>
      </c>
      <c r="BV1149" s="992">
        <f>IF(AND(Input_Product=Elig!$C1149,Elig_MatchAll_Ct&lt;22,$BC1149=(Elig_MatchAll_Ct-1),AT1149=0),Q1149,0)</f>
        <v>0</v>
      </c>
      <c r="BW1149" s="993">
        <f>IF(AND(Input_Product=Elig!$C1149,Elig_MatchAll_Ct&lt;22,$BC1149=(Elig_MatchAll_Ct-1),AU1149=0),R1149,0)</f>
        <v>0</v>
      </c>
      <c r="BX1149" s="994">
        <f>IF(AND(Input_Product=Elig!$C1149,Elig_MatchAll_Ct&lt;22,$BC1149=(Elig_MatchAll_Ct-1),AU1149=0),S1149,0)</f>
        <v>0</v>
      </c>
      <c r="BY1149" s="993">
        <f>IF(AND(Input_Product=Elig!$C1149,Elig_MatchAll_Ct&lt;22,$BC1149=(Elig_MatchAll_Ct-1),AV1149=0),T1149,0)</f>
        <v>0</v>
      </c>
      <c r="BZ1149" s="994">
        <f>IF(AND(Input_Product=Elig!$C1149,Elig_MatchAll_Ct&lt;22,$BC1149=(Elig_MatchAll_Ct-1),AV1149=0),U1149,0)</f>
        <v>0</v>
      </c>
      <c r="CA1149" s="993">
        <f>IF(AND(Input_Product=Elig!$C1149,Elig_MatchAll_Ct&lt;22,$BC1149=(Elig_MatchAll_Ct-1),AW1149=0),V1149,0)</f>
        <v>0</v>
      </c>
      <c r="CB1149" s="994">
        <f>IF(AND(Input_Product=Elig!$C1149,Elig_MatchAll_Ct&lt;22,$BC1149=(Elig_MatchAll_Ct-1),AW1149=0),W1149,0)</f>
        <v>0</v>
      </c>
      <c r="CC1149" s="993">
        <f>IF(AND(Input_Product=Elig!$C1149,Elig_MatchAll_Ct&lt;22,$BC1149=(Elig_MatchAll_Ct-1),AX1149=0),X1149,0)</f>
        <v>0</v>
      </c>
      <c r="CD1149" s="994">
        <f>IF(AND(Input_Product=Elig!$C1149,Elig_MatchAll_Ct&lt;22,$BC1149=(Elig_MatchAll_Ct-1),AX1149=0),Y1149,0)</f>
        <v>0</v>
      </c>
      <c r="CE1149" s="993">
        <f>IF(AND(Input_LTV&lt;=AE1149,Input_Product=Elig!$C1149,Elig_MatchAll_Ct&lt;22,$BC1149=(Elig_MatchAll_Ct-1),AY1149=0),Z1149,0)</f>
        <v>0</v>
      </c>
      <c r="CF1149" s="994">
        <f>IF(AND(Input_LTV&lt;=AE1149,Input_Product=Elig!$C1149,Elig_MatchAll_Ct&lt;22,$BC1149=(Elig_MatchAll_Ct-1),AY1149=0),AA1149,0)</f>
        <v>0</v>
      </c>
      <c r="CG1149" s="993">
        <f>IF(AND(Input_Product=Elig!$C1149,Elig_MatchAll_Ct&lt;22,$BC1149=(Elig_MatchAll_Ct-1),AZ1149=0),AB1149,0)</f>
        <v>0</v>
      </c>
      <c r="CH1149" s="994">
        <f>IF(AND(Input_Product=Elig!$C1149,Elig_MatchAll_Ct&lt;22,$BC1149=(Elig_MatchAll_Ct-1),AZ1149=0),AC1149,0)</f>
        <v>0</v>
      </c>
      <c r="CI1149" s="993">
        <f>IF(AND(Input_Product=Elig!$C1149,Elig_MatchAll_Ct&lt;22,$BC1149=(Elig_MatchAll_Ct-1),BA1149=0),AD1149,0)</f>
        <v>0</v>
      </c>
      <c r="CJ1149" s="994">
        <f>IF(AND(Input_Product=Elig!$C1149,Elig_MatchAll_Ct&lt;22,$BC1149=(Elig_MatchAll_Ct-1),BA1149=0),AE1149,0)</f>
        <v>0</v>
      </c>
    </row>
    <row r="1150" spans="2:88" ht="10.15" customHeight="1" x14ac:dyDescent="0.25">
      <c r="B1150" s="1918" t="s">
        <v>2450</v>
      </c>
      <c r="C1150" s="1218" t="str">
        <f t="shared" si="428"/>
        <v xml:space="preserve"> </v>
      </c>
      <c r="D1150" s="1219" t="s">
        <v>2218</v>
      </c>
      <c r="E1150" s="1219" t="s">
        <v>167</v>
      </c>
      <c r="F1150" s="1219" t="s">
        <v>330</v>
      </c>
      <c r="G1150" s="1220" t="s">
        <v>179</v>
      </c>
      <c r="H1150" s="1220" t="s">
        <v>136</v>
      </c>
      <c r="I1150" s="1219" t="s">
        <v>274</v>
      </c>
      <c r="J1150" s="1219" t="s">
        <v>1311</v>
      </c>
      <c r="K1150" s="1220" t="s">
        <v>3022</v>
      </c>
      <c r="L1150" s="1219" t="s">
        <v>2768</v>
      </c>
      <c r="M1150" s="1219" t="s">
        <v>2677</v>
      </c>
      <c r="N1150" s="1220" t="s">
        <v>2685</v>
      </c>
      <c r="O1150" s="1219" t="s">
        <v>310</v>
      </c>
      <c r="P1150" s="1219" t="s">
        <v>291</v>
      </c>
      <c r="Q1150" s="1219" t="s">
        <v>294</v>
      </c>
      <c r="R1150" s="1219">
        <v>1000000.01</v>
      </c>
      <c r="S1150" s="1219">
        <v>1500000</v>
      </c>
      <c r="T1150" s="1219">
        <v>0</v>
      </c>
      <c r="U1150" s="1219">
        <v>0</v>
      </c>
      <c r="V1150" s="1219">
        <v>0</v>
      </c>
      <c r="W1150" s="1219">
        <v>50</v>
      </c>
      <c r="X1150" s="1219">
        <v>0</v>
      </c>
      <c r="Y1150" s="1219">
        <v>999</v>
      </c>
      <c r="Z1150" s="1221">
        <v>720</v>
      </c>
      <c r="AA1150" s="1221">
        <v>999</v>
      </c>
      <c r="AB1150" s="1221">
        <v>6</v>
      </c>
      <c r="AC1150" s="1221">
        <v>999999</v>
      </c>
      <c r="AD1150" s="1219">
        <v>0</v>
      </c>
      <c r="AE1150" s="1222">
        <v>80</v>
      </c>
      <c r="AF1150" s="170">
        <v>0</v>
      </c>
      <c r="AG1150" s="171">
        <v>1</v>
      </c>
      <c r="AH1150" s="171">
        <v>1</v>
      </c>
      <c r="AI1150" s="171">
        <v>0</v>
      </c>
      <c r="AJ1150" s="171">
        <v>0</v>
      </c>
      <c r="AK1150" s="171">
        <v>1</v>
      </c>
      <c r="AL1150" s="171">
        <v>0</v>
      </c>
      <c r="AM1150" s="171">
        <v>1</v>
      </c>
      <c r="AN1150" s="171">
        <v>1</v>
      </c>
      <c r="AO1150" s="171">
        <v>1</v>
      </c>
      <c r="AP1150" s="171">
        <v>1</v>
      </c>
      <c r="AQ1150" s="171">
        <v>1</v>
      </c>
      <c r="AR1150" s="171">
        <v>1</v>
      </c>
      <c r="AS1150" s="171">
        <v>1</v>
      </c>
      <c r="AT1150" s="171">
        <v>1</v>
      </c>
      <c r="AU1150" s="171">
        <f t="shared" si="419"/>
        <v>0</v>
      </c>
      <c r="AV1150" s="171">
        <f t="shared" si="420"/>
        <v>0</v>
      </c>
      <c r="AW1150" s="171">
        <f t="shared" si="421"/>
        <v>1</v>
      </c>
      <c r="AX1150" s="171">
        <f t="shared" si="429"/>
        <v>1</v>
      </c>
      <c r="AY1150" s="171">
        <f t="shared" si="422"/>
        <v>1</v>
      </c>
      <c r="AZ1150" s="171">
        <f t="shared" si="423"/>
        <v>1</v>
      </c>
      <c r="BA1150" s="172">
        <f t="shared" si="424"/>
        <v>1</v>
      </c>
      <c r="BB1150" s="175">
        <f t="shared" si="425"/>
        <v>16</v>
      </c>
      <c r="BC1150" s="176">
        <f t="shared" si="426"/>
        <v>15</v>
      </c>
      <c r="BD1150" s="176">
        <f t="shared" si="427"/>
        <v>16</v>
      </c>
      <c r="BE1150" s="240" t="str">
        <f t="shared" si="418"/>
        <v/>
      </c>
      <c r="BF1150" s="990"/>
      <c r="BG1150" s="990"/>
      <c r="BH1150" s="991">
        <f>IF(AND(Input_Product=Elig!$C1150,Elig_MatchAll_Ct&lt;22,$BC1150=(Elig_MatchAll_Ct-1),AF1150=0),C1150,0)</f>
        <v>0</v>
      </c>
      <c r="BI1150" s="991">
        <f>IF(AND(Input_Product=Elig!$C1150,Elig_MatchAll_Ct&lt;22,$BC1150=(Elig_MatchAll_Ct-1),AG1150=0),D1150,0)</f>
        <v>0</v>
      </c>
      <c r="BJ1150" s="991">
        <f>IF(AND(Input_Product=Elig!$C1150,Elig_MatchAll_Ct&lt;22,$BC1150=(Elig_MatchAll_Ct-1),AH1150=0),E1150,0)</f>
        <v>0</v>
      </c>
      <c r="BK1150" s="991">
        <f>IF(AND(Input_Product=Elig!$C1150,Elig_MatchAll_Ct&lt;22,$BC1150=(Elig_MatchAll_Ct-1),AI1150=0),F1150,0)</f>
        <v>0</v>
      </c>
      <c r="BL1150" s="991">
        <f>IF(AND(Input_Product=Elig!$C1150,Elig_MatchAll_Ct&lt;22,$BC1150=(Elig_MatchAll_Ct-1),AJ1150=0),G1150,0)</f>
        <v>0</v>
      </c>
      <c r="BM1150" s="991">
        <f>IF(AND(Input_Product=Elig!$C1150,Elig_MatchAll_Ct&lt;22,$BC1150=(Elig_MatchAll_Ct-1),AK1150=0),H1150,0)</f>
        <v>0</v>
      </c>
      <c r="BN1150" s="991">
        <f>IF(AND(Input_Product=Elig!$C1150,Elig_MatchAll_Ct&lt;22,$BC1150=(Elig_MatchAll_Ct-1),AL1150=0),I1150,0)</f>
        <v>0</v>
      </c>
      <c r="BO1150" s="991">
        <f>IF(AND(Input_Product=Elig!$C1150,Elig_MatchAll_Ct&lt;22,$BC1150=(Elig_MatchAll_Ct-1),AM1150=0),J1150,0)</f>
        <v>0</v>
      </c>
      <c r="BP1150" s="991">
        <f>IF(AND(Input_Product=Elig!$C1150,Elig_MatchAll_Ct&lt;22,$BC1150=(Elig_MatchAll_Ct-1),AN1150=0),K1150,0)</f>
        <v>0</v>
      </c>
      <c r="BQ1150" s="991">
        <f>IF(AND(Input_Product=Elig!$C1150,Elig_MatchAll_Ct&lt;22,$BC1150=(Elig_MatchAll_Ct-1),AP1150=0),L1150,0)</f>
        <v>0</v>
      </c>
      <c r="BR1150" s="991">
        <f>IF(AND(Input_Product=Elig!$C1150,Elig_MatchAll_Ct&lt;22,$BC1150=(Elig_MatchAll_Ct-1),AO1150=0),M1150,0)</f>
        <v>0</v>
      </c>
      <c r="BS1150" s="991">
        <f>IF(AND(Input_Product=Elig!$C1150,Elig_MatchAll_Ct&lt;22,$BC1150=(Elig_MatchAll_Ct-1),AQ1150=0),N1150,0)</f>
        <v>0</v>
      </c>
      <c r="BT1150" s="991">
        <f>IF(AND(Input_Product=Elig!$C1150,Elig_MatchAll_Ct&lt;22,$BC1150=(Elig_MatchAll_Ct-1),AR1150=0),O1150,0)</f>
        <v>0</v>
      </c>
      <c r="BU1150" s="991">
        <f>IF(AND(Input_Product=Elig!$C1150,Elig_MatchAll_Ct&lt;22,$BC1150=(Elig_MatchAll_Ct-1),AS1150=0),P1150,0)</f>
        <v>0</v>
      </c>
      <c r="BV1150" s="992">
        <f>IF(AND(Input_Product=Elig!$C1150,Elig_MatchAll_Ct&lt;22,$BC1150=(Elig_MatchAll_Ct-1),AT1150=0),Q1150,0)</f>
        <v>0</v>
      </c>
      <c r="BW1150" s="993">
        <f>IF(AND(Input_Product=Elig!$C1150,Elig_MatchAll_Ct&lt;22,$BC1150=(Elig_MatchAll_Ct-1),AU1150=0),R1150,0)</f>
        <v>0</v>
      </c>
      <c r="BX1150" s="994">
        <f>IF(AND(Input_Product=Elig!$C1150,Elig_MatchAll_Ct&lt;22,$BC1150=(Elig_MatchAll_Ct-1),AU1150=0),S1150,0)</f>
        <v>0</v>
      </c>
      <c r="BY1150" s="993">
        <f>IF(AND(Input_Product=Elig!$C1150,Elig_MatchAll_Ct&lt;22,$BC1150=(Elig_MatchAll_Ct-1),AV1150=0),T1150,0)</f>
        <v>0</v>
      </c>
      <c r="BZ1150" s="994">
        <f>IF(AND(Input_Product=Elig!$C1150,Elig_MatchAll_Ct&lt;22,$BC1150=(Elig_MatchAll_Ct-1),AV1150=0),U1150,0)</f>
        <v>0</v>
      </c>
      <c r="CA1150" s="993">
        <f>IF(AND(Input_Product=Elig!$C1150,Elig_MatchAll_Ct&lt;22,$BC1150=(Elig_MatchAll_Ct-1),AW1150=0),V1150,0)</f>
        <v>0</v>
      </c>
      <c r="CB1150" s="994">
        <f>IF(AND(Input_Product=Elig!$C1150,Elig_MatchAll_Ct&lt;22,$BC1150=(Elig_MatchAll_Ct-1),AW1150=0),W1150,0)</f>
        <v>0</v>
      </c>
      <c r="CC1150" s="993">
        <f>IF(AND(Input_Product=Elig!$C1150,Elig_MatchAll_Ct&lt;22,$BC1150=(Elig_MatchAll_Ct-1),AX1150=0),X1150,0)</f>
        <v>0</v>
      </c>
      <c r="CD1150" s="994">
        <f>IF(AND(Input_Product=Elig!$C1150,Elig_MatchAll_Ct&lt;22,$BC1150=(Elig_MatchAll_Ct-1),AX1150=0),Y1150,0)</f>
        <v>0</v>
      </c>
      <c r="CE1150" s="993">
        <f>IF(AND(Input_LTV&lt;=AE1150,Input_Product=Elig!$C1150,Elig_MatchAll_Ct&lt;22,$BC1150=(Elig_MatchAll_Ct-1),AY1150=0),Z1150,0)</f>
        <v>0</v>
      </c>
      <c r="CF1150" s="994">
        <f>IF(AND(Input_LTV&lt;=AE1150,Input_Product=Elig!$C1150,Elig_MatchAll_Ct&lt;22,$BC1150=(Elig_MatchAll_Ct-1),AY1150=0),AA1150,0)</f>
        <v>0</v>
      </c>
      <c r="CG1150" s="993">
        <f>IF(AND(Input_Product=Elig!$C1150,Elig_MatchAll_Ct&lt;22,$BC1150=(Elig_MatchAll_Ct-1),AZ1150=0),AB1150,0)</f>
        <v>0</v>
      </c>
      <c r="CH1150" s="994">
        <f>IF(AND(Input_Product=Elig!$C1150,Elig_MatchAll_Ct&lt;22,$BC1150=(Elig_MatchAll_Ct-1),AZ1150=0),AC1150,0)</f>
        <v>0</v>
      </c>
      <c r="CI1150" s="993">
        <f>IF(AND(Input_Product=Elig!$C1150,Elig_MatchAll_Ct&lt;22,$BC1150=(Elig_MatchAll_Ct-1),BA1150=0),AD1150,0)</f>
        <v>0</v>
      </c>
      <c r="CJ1150" s="994">
        <f>IF(AND(Input_Product=Elig!$C1150,Elig_MatchAll_Ct&lt;22,$BC1150=(Elig_MatchAll_Ct-1),BA1150=0),AE1150,0)</f>
        <v>0</v>
      </c>
    </row>
    <row r="1151" spans="2:88" ht="10.15" customHeight="1" x14ac:dyDescent="0.25">
      <c r="B1151" s="1918" t="s">
        <v>2451</v>
      </c>
      <c r="C1151" s="1223" t="str">
        <f t="shared" si="428"/>
        <v xml:space="preserve"> </v>
      </c>
      <c r="D1151" s="1224" t="s">
        <v>2218</v>
      </c>
      <c r="E1151" s="1224" t="s">
        <v>167</v>
      </c>
      <c r="F1151" s="1224" t="s">
        <v>330</v>
      </c>
      <c r="G1151" s="1225" t="s">
        <v>179</v>
      </c>
      <c r="H1151" s="1225" t="s">
        <v>136</v>
      </c>
      <c r="I1151" s="1224" t="s">
        <v>274</v>
      </c>
      <c r="J1151" s="1224" t="s">
        <v>1311</v>
      </c>
      <c r="K1151" s="1225" t="s">
        <v>3022</v>
      </c>
      <c r="L1151" s="1224" t="s">
        <v>2768</v>
      </c>
      <c r="M1151" s="1224" t="s">
        <v>2677</v>
      </c>
      <c r="N1151" s="1225" t="s">
        <v>2685</v>
      </c>
      <c r="O1151" s="1224" t="s">
        <v>310</v>
      </c>
      <c r="P1151" s="1224" t="s">
        <v>291</v>
      </c>
      <c r="Q1151" s="1224" t="s">
        <v>294</v>
      </c>
      <c r="R1151" s="1224">
        <v>1000000.01</v>
      </c>
      <c r="S1151" s="1224">
        <v>1500000</v>
      </c>
      <c r="T1151" s="1224">
        <v>0</v>
      </c>
      <c r="U1151" s="1224">
        <v>0</v>
      </c>
      <c r="V1151" s="1224">
        <v>0</v>
      </c>
      <c r="W1151" s="1224">
        <v>50</v>
      </c>
      <c r="X1151" s="1224">
        <v>0</v>
      </c>
      <c r="Y1151" s="1224">
        <v>999</v>
      </c>
      <c r="Z1151" s="1226">
        <v>700</v>
      </c>
      <c r="AA1151" s="1226">
        <v>719</v>
      </c>
      <c r="AB1151" s="1226">
        <v>6</v>
      </c>
      <c r="AC1151" s="1226">
        <v>999999</v>
      </c>
      <c r="AD1151" s="1224">
        <v>0</v>
      </c>
      <c r="AE1151" s="1227">
        <v>75</v>
      </c>
      <c r="AF1151" s="170">
        <v>0</v>
      </c>
      <c r="AG1151" s="171">
        <v>1</v>
      </c>
      <c r="AH1151" s="171">
        <v>1</v>
      </c>
      <c r="AI1151" s="171">
        <v>0</v>
      </c>
      <c r="AJ1151" s="171">
        <v>0</v>
      </c>
      <c r="AK1151" s="171">
        <v>1</v>
      </c>
      <c r="AL1151" s="171">
        <v>0</v>
      </c>
      <c r="AM1151" s="171">
        <v>1</v>
      </c>
      <c r="AN1151" s="171">
        <v>1</v>
      </c>
      <c r="AO1151" s="171">
        <v>1</v>
      </c>
      <c r="AP1151" s="171">
        <v>1</v>
      </c>
      <c r="AQ1151" s="171">
        <v>1</v>
      </c>
      <c r="AR1151" s="171">
        <v>1</v>
      </c>
      <c r="AS1151" s="171">
        <v>1</v>
      </c>
      <c r="AT1151" s="171">
        <v>1</v>
      </c>
      <c r="AU1151" s="171">
        <f t="shared" si="419"/>
        <v>0</v>
      </c>
      <c r="AV1151" s="171">
        <f t="shared" si="420"/>
        <v>0</v>
      </c>
      <c r="AW1151" s="171">
        <f t="shared" si="421"/>
        <v>1</v>
      </c>
      <c r="AX1151" s="171">
        <f t="shared" si="429"/>
        <v>1</v>
      </c>
      <c r="AY1151" s="171">
        <f t="shared" si="422"/>
        <v>0</v>
      </c>
      <c r="AZ1151" s="171">
        <f t="shared" si="423"/>
        <v>1</v>
      </c>
      <c r="BA1151" s="172">
        <f t="shared" si="424"/>
        <v>1</v>
      </c>
      <c r="BB1151" s="175">
        <f t="shared" si="425"/>
        <v>15</v>
      </c>
      <c r="BC1151" s="176">
        <f t="shared" si="426"/>
        <v>14</v>
      </c>
      <c r="BD1151" s="176">
        <f t="shared" si="427"/>
        <v>15</v>
      </c>
      <c r="BE1151" s="240" t="str">
        <f t="shared" si="418"/>
        <v/>
      </c>
      <c r="BF1151" s="990"/>
      <c r="BG1151" s="990"/>
      <c r="BH1151" s="991">
        <f>IF(AND(Input_Product=Elig!$C1151,Elig_MatchAll_Ct&lt;22,$BC1151=(Elig_MatchAll_Ct-1),AF1151=0),C1151,0)</f>
        <v>0</v>
      </c>
      <c r="BI1151" s="991">
        <f>IF(AND(Input_Product=Elig!$C1151,Elig_MatchAll_Ct&lt;22,$BC1151=(Elig_MatchAll_Ct-1),AG1151=0),D1151,0)</f>
        <v>0</v>
      </c>
      <c r="BJ1151" s="991">
        <f>IF(AND(Input_Product=Elig!$C1151,Elig_MatchAll_Ct&lt;22,$BC1151=(Elig_MatchAll_Ct-1),AH1151=0),E1151,0)</f>
        <v>0</v>
      </c>
      <c r="BK1151" s="991">
        <f>IF(AND(Input_Product=Elig!$C1151,Elig_MatchAll_Ct&lt;22,$BC1151=(Elig_MatchAll_Ct-1),AI1151=0),F1151,0)</f>
        <v>0</v>
      </c>
      <c r="BL1151" s="991">
        <f>IF(AND(Input_Product=Elig!$C1151,Elig_MatchAll_Ct&lt;22,$BC1151=(Elig_MatchAll_Ct-1),AJ1151=0),G1151,0)</f>
        <v>0</v>
      </c>
      <c r="BM1151" s="991">
        <f>IF(AND(Input_Product=Elig!$C1151,Elig_MatchAll_Ct&lt;22,$BC1151=(Elig_MatchAll_Ct-1),AK1151=0),H1151,0)</f>
        <v>0</v>
      </c>
      <c r="BN1151" s="991">
        <f>IF(AND(Input_Product=Elig!$C1151,Elig_MatchAll_Ct&lt;22,$BC1151=(Elig_MatchAll_Ct-1),AL1151=0),I1151,0)</f>
        <v>0</v>
      </c>
      <c r="BO1151" s="991">
        <f>IF(AND(Input_Product=Elig!$C1151,Elig_MatchAll_Ct&lt;22,$BC1151=(Elig_MatchAll_Ct-1),AM1151=0),J1151,0)</f>
        <v>0</v>
      </c>
      <c r="BP1151" s="991">
        <f>IF(AND(Input_Product=Elig!$C1151,Elig_MatchAll_Ct&lt;22,$BC1151=(Elig_MatchAll_Ct-1),AN1151=0),K1151,0)</f>
        <v>0</v>
      </c>
      <c r="BQ1151" s="991">
        <f>IF(AND(Input_Product=Elig!$C1151,Elig_MatchAll_Ct&lt;22,$BC1151=(Elig_MatchAll_Ct-1),AP1151=0),L1151,0)</f>
        <v>0</v>
      </c>
      <c r="BR1151" s="991">
        <f>IF(AND(Input_Product=Elig!$C1151,Elig_MatchAll_Ct&lt;22,$BC1151=(Elig_MatchAll_Ct-1),AO1151=0),M1151,0)</f>
        <v>0</v>
      </c>
      <c r="BS1151" s="991">
        <f>IF(AND(Input_Product=Elig!$C1151,Elig_MatchAll_Ct&lt;22,$BC1151=(Elig_MatchAll_Ct-1),AQ1151=0),N1151,0)</f>
        <v>0</v>
      </c>
      <c r="BT1151" s="991">
        <f>IF(AND(Input_Product=Elig!$C1151,Elig_MatchAll_Ct&lt;22,$BC1151=(Elig_MatchAll_Ct-1),AR1151=0),O1151,0)</f>
        <v>0</v>
      </c>
      <c r="BU1151" s="991">
        <f>IF(AND(Input_Product=Elig!$C1151,Elig_MatchAll_Ct&lt;22,$BC1151=(Elig_MatchAll_Ct-1),AS1151=0),P1151,0)</f>
        <v>0</v>
      </c>
      <c r="BV1151" s="992">
        <f>IF(AND(Input_Product=Elig!$C1151,Elig_MatchAll_Ct&lt;22,$BC1151=(Elig_MatchAll_Ct-1),AT1151=0),Q1151,0)</f>
        <v>0</v>
      </c>
      <c r="BW1151" s="993">
        <f>IF(AND(Input_Product=Elig!$C1151,Elig_MatchAll_Ct&lt;22,$BC1151=(Elig_MatchAll_Ct-1),AU1151=0),R1151,0)</f>
        <v>0</v>
      </c>
      <c r="BX1151" s="994">
        <f>IF(AND(Input_Product=Elig!$C1151,Elig_MatchAll_Ct&lt;22,$BC1151=(Elig_MatchAll_Ct-1),AU1151=0),S1151,0)</f>
        <v>0</v>
      </c>
      <c r="BY1151" s="993">
        <f>IF(AND(Input_Product=Elig!$C1151,Elig_MatchAll_Ct&lt;22,$BC1151=(Elig_MatchAll_Ct-1),AV1151=0),T1151,0)</f>
        <v>0</v>
      </c>
      <c r="BZ1151" s="994">
        <f>IF(AND(Input_Product=Elig!$C1151,Elig_MatchAll_Ct&lt;22,$BC1151=(Elig_MatchAll_Ct-1),AV1151=0),U1151,0)</f>
        <v>0</v>
      </c>
      <c r="CA1151" s="993">
        <f>IF(AND(Input_Product=Elig!$C1151,Elig_MatchAll_Ct&lt;22,$BC1151=(Elig_MatchAll_Ct-1),AW1151=0),V1151,0)</f>
        <v>0</v>
      </c>
      <c r="CB1151" s="994">
        <f>IF(AND(Input_Product=Elig!$C1151,Elig_MatchAll_Ct&lt;22,$BC1151=(Elig_MatchAll_Ct-1),AW1151=0),W1151,0)</f>
        <v>0</v>
      </c>
      <c r="CC1151" s="993">
        <f>IF(AND(Input_Product=Elig!$C1151,Elig_MatchAll_Ct&lt;22,$BC1151=(Elig_MatchAll_Ct-1),AX1151=0),X1151,0)</f>
        <v>0</v>
      </c>
      <c r="CD1151" s="994">
        <f>IF(AND(Input_Product=Elig!$C1151,Elig_MatchAll_Ct&lt;22,$BC1151=(Elig_MatchAll_Ct-1),AX1151=0),Y1151,0)</f>
        <v>0</v>
      </c>
      <c r="CE1151" s="993">
        <f>IF(AND(Input_LTV&lt;=AE1151,Input_Product=Elig!$C1151,Elig_MatchAll_Ct&lt;22,$BC1151=(Elig_MatchAll_Ct-1),AY1151=0),Z1151,0)</f>
        <v>0</v>
      </c>
      <c r="CF1151" s="994">
        <f>IF(AND(Input_LTV&lt;=AE1151,Input_Product=Elig!$C1151,Elig_MatchAll_Ct&lt;22,$BC1151=(Elig_MatchAll_Ct-1),AY1151=0),AA1151,0)</f>
        <v>0</v>
      </c>
      <c r="CG1151" s="993">
        <f>IF(AND(Input_Product=Elig!$C1151,Elig_MatchAll_Ct&lt;22,$BC1151=(Elig_MatchAll_Ct-1),AZ1151=0),AB1151,0)</f>
        <v>0</v>
      </c>
      <c r="CH1151" s="994">
        <f>IF(AND(Input_Product=Elig!$C1151,Elig_MatchAll_Ct&lt;22,$BC1151=(Elig_MatchAll_Ct-1),AZ1151=0),AC1151,0)</f>
        <v>0</v>
      </c>
      <c r="CI1151" s="993">
        <f>IF(AND(Input_Product=Elig!$C1151,Elig_MatchAll_Ct&lt;22,$BC1151=(Elig_MatchAll_Ct-1),BA1151=0),AD1151,0)</f>
        <v>0</v>
      </c>
      <c r="CJ1151" s="994">
        <f>IF(AND(Input_Product=Elig!$C1151,Elig_MatchAll_Ct&lt;22,$BC1151=(Elig_MatchAll_Ct-1),BA1151=0),AE1151,0)</f>
        <v>0</v>
      </c>
    </row>
    <row r="1152" spans="2:88" ht="10.15" customHeight="1" x14ac:dyDescent="0.25">
      <c r="B1152" s="1918" t="s">
        <v>2452</v>
      </c>
      <c r="C1152" s="1223" t="str">
        <f t="shared" si="428"/>
        <v xml:space="preserve"> </v>
      </c>
      <c r="D1152" s="1224" t="s">
        <v>2218</v>
      </c>
      <c r="E1152" s="1224" t="s">
        <v>167</v>
      </c>
      <c r="F1152" s="1224" t="s">
        <v>330</v>
      </c>
      <c r="G1152" s="1225" t="s">
        <v>179</v>
      </c>
      <c r="H1152" s="1225" t="s">
        <v>136</v>
      </c>
      <c r="I1152" s="1224" t="s">
        <v>274</v>
      </c>
      <c r="J1152" s="1224" t="s">
        <v>1311</v>
      </c>
      <c r="K1152" s="1225" t="s">
        <v>3022</v>
      </c>
      <c r="L1152" s="1224" t="s">
        <v>2768</v>
      </c>
      <c r="M1152" s="1224" t="s">
        <v>2677</v>
      </c>
      <c r="N1152" s="1225" t="s">
        <v>2685</v>
      </c>
      <c r="O1152" s="1224" t="s">
        <v>310</v>
      </c>
      <c r="P1152" s="1224" t="s">
        <v>291</v>
      </c>
      <c r="Q1152" s="1224" t="s">
        <v>294</v>
      </c>
      <c r="R1152" s="1224">
        <v>1000000.01</v>
      </c>
      <c r="S1152" s="1224">
        <v>1500000</v>
      </c>
      <c r="T1152" s="1224">
        <v>0</v>
      </c>
      <c r="U1152" s="1224">
        <v>0</v>
      </c>
      <c r="V1152" s="1224">
        <v>0</v>
      </c>
      <c r="W1152" s="1224">
        <v>50</v>
      </c>
      <c r="X1152" s="1224">
        <v>0</v>
      </c>
      <c r="Y1152" s="1224">
        <v>999</v>
      </c>
      <c r="Z1152" s="1226">
        <v>680</v>
      </c>
      <c r="AA1152" s="1226">
        <v>699</v>
      </c>
      <c r="AB1152" s="1226">
        <v>6</v>
      </c>
      <c r="AC1152" s="1226">
        <v>999999</v>
      </c>
      <c r="AD1152" s="1224">
        <v>0</v>
      </c>
      <c r="AE1152" s="1227">
        <v>75</v>
      </c>
      <c r="AF1152" s="170">
        <v>0</v>
      </c>
      <c r="AG1152" s="171">
        <v>1</v>
      </c>
      <c r="AH1152" s="171">
        <v>1</v>
      </c>
      <c r="AI1152" s="171">
        <v>0</v>
      </c>
      <c r="AJ1152" s="171">
        <v>0</v>
      </c>
      <c r="AK1152" s="171">
        <v>1</v>
      </c>
      <c r="AL1152" s="171">
        <v>0</v>
      </c>
      <c r="AM1152" s="171">
        <v>1</v>
      </c>
      <c r="AN1152" s="171">
        <v>1</v>
      </c>
      <c r="AO1152" s="171">
        <v>1</v>
      </c>
      <c r="AP1152" s="171">
        <v>1</v>
      </c>
      <c r="AQ1152" s="171">
        <v>1</v>
      </c>
      <c r="AR1152" s="171">
        <v>1</v>
      </c>
      <c r="AS1152" s="171">
        <v>1</v>
      </c>
      <c r="AT1152" s="171">
        <v>1</v>
      </c>
      <c r="AU1152" s="171">
        <f t="shared" si="419"/>
        <v>0</v>
      </c>
      <c r="AV1152" s="171">
        <f t="shared" si="420"/>
        <v>0</v>
      </c>
      <c r="AW1152" s="171">
        <f t="shared" si="421"/>
        <v>1</v>
      </c>
      <c r="AX1152" s="171">
        <f t="shared" si="429"/>
        <v>1</v>
      </c>
      <c r="AY1152" s="171">
        <f t="shared" si="422"/>
        <v>0</v>
      </c>
      <c r="AZ1152" s="171">
        <f t="shared" si="423"/>
        <v>1</v>
      </c>
      <c r="BA1152" s="172">
        <f t="shared" si="424"/>
        <v>1</v>
      </c>
      <c r="BB1152" s="175">
        <f t="shared" si="425"/>
        <v>15</v>
      </c>
      <c r="BC1152" s="176">
        <f t="shared" si="426"/>
        <v>14</v>
      </c>
      <c r="BD1152" s="176">
        <f t="shared" si="427"/>
        <v>15</v>
      </c>
      <c r="BE1152" s="240" t="str">
        <f t="shared" si="418"/>
        <v/>
      </c>
      <c r="BF1152" s="990"/>
      <c r="BG1152" s="990"/>
      <c r="BH1152" s="991">
        <f>IF(AND(Input_Product=Elig!$C1152,Elig_MatchAll_Ct&lt;22,$BC1152=(Elig_MatchAll_Ct-1),AF1152=0),C1152,0)</f>
        <v>0</v>
      </c>
      <c r="BI1152" s="991">
        <f>IF(AND(Input_Product=Elig!$C1152,Elig_MatchAll_Ct&lt;22,$BC1152=(Elig_MatchAll_Ct-1),AG1152=0),D1152,0)</f>
        <v>0</v>
      </c>
      <c r="BJ1152" s="991">
        <f>IF(AND(Input_Product=Elig!$C1152,Elig_MatchAll_Ct&lt;22,$BC1152=(Elig_MatchAll_Ct-1),AH1152=0),E1152,0)</f>
        <v>0</v>
      </c>
      <c r="BK1152" s="991">
        <f>IF(AND(Input_Product=Elig!$C1152,Elig_MatchAll_Ct&lt;22,$BC1152=(Elig_MatchAll_Ct-1),AI1152=0),F1152,0)</f>
        <v>0</v>
      </c>
      <c r="BL1152" s="991">
        <f>IF(AND(Input_Product=Elig!$C1152,Elig_MatchAll_Ct&lt;22,$BC1152=(Elig_MatchAll_Ct-1),AJ1152=0),G1152,0)</f>
        <v>0</v>
      </c>
      <c r="BM1152" s="991">
        <f>IF(AND(Input_Product=Elig!$C1152,Elig_MatchAll_Ct&lt;22,$BC1152=(Elig_MatchAll_Ct-1),AK1152=0),H1152,0)</f>
        <v>0</v>
      </c>
      <c r="BN1152" s="991">
        <f>IF(AND(Input_Product=Elig!$C1152,Elig_MatchAll_Ct&lt;22,$BC1152=(Elig_MatchAll_Ct-1),AL1152=0),I1152,0)</f>
        <v>0</v>
      </c>
      <c r="BO1152" s="991">
        <f>IF(AND(Input_Product=Elig!$C1152,Elig_MatchAll_Ct&lt;22,$BC1152=(Elig_MatchAll_Ct-1),AM1152=0),J1152,0)</f>
        <v>0</v>
      </c>
      <c r="BP1152" s="991">
        <f>IF(AND(Input_Product=Elig!$C1152,Elig_MatchAll_Ct&lt;22,$BC1152=(Elig_MatchAll_Ct-1),AN1152=0),K1152,0)</f>
        <v>0</v>
      </c>
      <c r="BQ1152" s="991">
        <f>IF(AND(Input_Product=Elig!$C1152,Elig_MatchAll_Ct&lt;22,$BC1152=(Elig_MatchAll_Ct-1),AP1152=0),L1152,0)</f>
        <v>0</v>
      </c>
      <c r="BR1152" s="991">
        <f>IF(AND(Input_Product=Elig!$C1152,Elig_MatchAll_Ct&lt;22,$BC1152=(Elig_MatchAll_Ct-1),AO1152=0),M1152,0)</f>
        <v>0</v>
      </c>
      <c r="BS1152" s="991">
        <f>IF(AND(Input_Product=Elig!$C1152,Elig_MatchAll_Ct&lt;22,$BC1152=(Elig_MatchAll_Ct-1),AQ1152=0),N1152,0)</f>
        <v>0</v>
      </c>
      <c r="BT1152" s="991">
        <f>IF(AND(Input_Product=Elig!$C1152,Elig_MatchAll_Ct&lt;22,$BC1152=(Elig_MatchAll_Ct-1),AR1152=0),O1152,0)</f>
        <v>0</v>
      </c>
      <c r="BU1152" s="991">
        <f>IF(AND(Input_Product=Elig!$C1152,Elig_MatchAll_Ct&lt;22,$BC1152=(Elig_MatchAll_Ct-1),AS1152=0),P1152,0)</f>
        <v>0</v>
      </c>
      <c r="BV1152" s="992">
        <f>IF(AND(Input_Product=Elig!$C1152,Elig_MatchAll_Ct&lt;22,$BC1152=(Elig_MatchAll_Ct-1),AT1152=0),Q1152,0)</f>
        <v>0</v>
      </c>
      <c r="BW1152" s="993">
        <f>IF(AND(Input_Product=Elig!$C1152,Elig_MatchAll_Ct&lt;22,$BC1152=(Elig_MatchAll_Ct-1),AU1152=0),R1152,0)</f>
        <v>0</v>
      </c>
      <c r="BX1152" s="994">
        <f>IF(AND(Input_Product=Elig!$C1152,Elig_MatchAll_Ct&lt;22,$BC1152=(Elig_MatchAll_Ct-1),AU1152=0),S1152,0)</f>
        <v>0</v>
      </c>
      <c r="BY1152" s="993">
        <f>IF(AND(Input_Product=Elig!$C1152,Elig_MatchAll_Ct&lt;22,$BC1152=(Elig_MatchAll_Ct-1),AV1152=0),T1152,0)</f>
        <v>0</v>
      </c>
      <c r="BZ1152" s="994">
        <f>IF(AND(Input_Product=Elig!$C1152,Elig_MatchAll_Ct&lt;22,$BC1152=(Elig_MatchAll_Ct-1),AV1152=0),U1152,0)</f>
        <v>0</v>
      </c>
      <c r="CA1152" s="993">
        <f>IF(AND(Input_Product=Elig!$C1152,Elig_MatchAll_Ct&lt;22,$BC1152=(Elig_MatchAll_Ct-1),AW1152=0),V1152,0)</f>
        <v>0</v>
      </c>
      <c r="CB1152" s="994">
        <f>IF(AND(Input_Product=Elig!$C1152,Elig_MatchAll_Ct&lt;22,$BC1152=(Elig_MatchAll_Ct-1),AW1152=0),W1152,0)</f>
        <v>0</v>
      </c>
      <c r="CC1152" s="993">
        <f>IF(AND(Input_Product=Elig!$C1152,Elig_MatchAll_Ct&lt;22,$BC1152=(Elig_MatchAll_Ct-1),AX1152=0),X1152,0)</f>
        <v>0</v>
      </c>
      <c r="CD1152" s="994">
        <f>IF(AND(Input_Product=Elig!$C1152,Elig_MatchAll_Ct&lt;22,$BC1152=(Elig_MatchAll_Ct-1),AX1152=0),Y1152,0)</f>
        <v>0</v>
      </c>
      <c r="CE1152" s="993">
        <f>IF(AND(Input_LTV&lt;=AE1152,Input_Product=Elig!$C1152,Elig_MatchAll_Ct&lt;22,$BC1152=(Elig_MatchAll_Ct-1),AY1152=0),Z1152,0)</f>
        <v>0</v>
      </c>
      <c r="CF1152" s="994">
        <f>IF(AND(Input_LTV&lt;=AE1152,Input_Product=Elig!$C1152,Elig_MatchAll_Ct&lt;22,$BC1152=(Elig_MatchAll_Ct-1),AY1152=0),AA1152,0)</f>
        <v>0</v>
      </c>
      <c r="CG1152" s="993">
        <f>IF(AND(Input_Product=Elig!$C1152,Elig_MatchAll_Ct&lt;22,$BC1152=(Elig_MatchAll_Ct-1),AZ1152=0),AB1152,0)</f>
        <v>0</v>
      </c>
      <c r="CH1152" s="994">
        <f>IF(AND(Input_Product=Elig!$C1152,Elig_MatchAll_Ct&lt;22,$BC1152=(Elig_MatchAll_Ct-1),AZ1152=0),AC1152,0)</f>
        <v>0</v>
      </c>
      <c r="CI1152" s="993">
        <f>IF(AND(Input_Product=Elig!$C1152,Elig_MatchAll_Ct&lt;22,$BC1152=(Elig_MatchAll_Ct-1),BA1152=0),AD1152,0)</f>
        <v>0</v>
      </c>
      <c r="CJ1152" s="994">
        <f>IF(AND(Input_Product=Elig!$C1152,Elig_MatchAll_Ct&lt;22,$BC1152=(Elig_MatchAll_Ct-1),BA1152=0),AE1152,0)</f>
        <v>0</v>
      </c>
    </row>
    <row r="1153" spans="2:88" ht="10.15" customHeight="1" x14ac:dyDescent="0.25">
      <c r="B1153" s="1918" t="s">
        <v>2453</v>
      </c>
      <c r="C1153" s="1228" t="str">
        <f t="shared" si="428"/>
        <v xml:space="preserve"> </v>
      </c>
      <c r="D1153" s="1229" t="s">
        <v>2218</v>
      </c>
      <c r="E1153" s="1229" t="s">
        <v>167</v>
      </c>
      <c r="F1153" s="1229" t="s">
        <v>330</v>
      </c>
      <c r="G1153" s="1230" t="s">
        <v>179</v>
      </c>
      <c r="H1153" s="1230" t="s">
        <v>136</v>
      </c>
      <c r="I1153" s="1229" t="s">
        <v>274</v>
      </c>
      <c r="J1153" s="1229" t="s">
        <v>1311</v>
      </c>
      <c r="K1153" s="1230" t="s">
        <v>3022</v>
      </c>
      <c r="L1153" s="1229" t="s">
        <v>2768</v>
      </c>
      <c r="M1153" s="1229" t="s">
        <v>2677</v>
      </c>
      <c r="N1153" s="1230" t="s">
        <v>2685</v>
      </c>
      <c r="O1153" s="1229" t="s">
        <v>310</v>
      </c>
      <c r="P1153" s="1229" t="s">
        <v>291</v>
      </c>
      <c r="Q1153" s="1229" t="s">
        <v>294</v>
      </c>
      <c r="R1153" s="1229">
        <v>1000000.01</v>
      </c>
      <c r="S1153" s="1229">
        <v>1500000</v>
      </c>
      <c r="T1153" s="1229">
        <v>0</v>
      </c>
      <c r="U1153" s="1229">
        <v>0</v>
      </c>
      <c r="V1153" s="1229">
        <v>0</v>
      </c>
      <c r="W1153" s="1229">
        <v>50</v>
      </c>
      <c r="X1153" s="1229">
        <v>0</v>
      </c>
      <c r="Y1153" s="1229">
        <v>999</v>
      </c>
      <c r="Z1153" s="1231">
        <v>660</v>
      </c>
      <c r="AA1153" s="1231">
        <v>679</v>
      </c>
      <c r="AB1153" s="1231">
        <v>6</v>
      </c>
      <c r="AC1153" s="1231">
        <v>999999</v>
      </c>
      <c r="AD1153" s="1229">
        <v>0</v>
      </c>
      <c r="AE1153" s="1232">
        <v>70</v>
      </c>
      <c r="AF1153" s="170">
        <v>0</v>
      </c>
      <c r="AG1153" s="171">
        <v>1</v>
      </c>
      <c r="AH1153" s="171">
        <v>1</v>
      </c>
      <c r="AI1153" s="171">
        <v>0</v>
      </c>
      <c r="AJ1153" s="171">
        <v>0</v>
      </c>
      <c r="AK1153" s="171">
        <v>1</v>
      </c>
      <c r="AL1153" s="171">
        <v>0</v>
      </c>
      <c r="AM1153" s="171">
        <v>1</v>
      </c>
      <c r="AN1153" s="171">
        <v>1</v>
      </c>
      <c r="AO1153" s="171">
        <v>1</v>
      </c>
      <c r="AP1153" s="171">
        <v>1</v>
      </c>
      <c r="AQ1153" s="171">
        <v>1</v>
      </c>
      <c r="AR1153" s="171">
        <v>1</v>
      </c>
      <c r="AS1153" s="171">
        <v>1</v>
      </c>
      <c r="AT1153" s="171">
        <v>1</v>
      </c>
      <c r="AU1153" s="171">
        <f t="shared" si="419"/>
        <v>0</v>
      </c>
      <c r="AV1153" s="171">
        <f t="shared" si="420"/>
        <v>0</v>
      </c>
      <c r="AW1153" s="171">
        <f t="shared" si="421"/>
        <v>1</v>
      </c>
      <c r="AX1153" s="171">
        <f t="shared" si="429"/>
        <v>1</v>
      </c>
      <c r="AY1153" s="171">
        <f t="shared" si="422"/>
        <v>0</v>
      </c>
      <c r="AZ1153" s="171">
        <f t="shared" si="423"/>
        <v>1</v>
      </c>
      <c r="BA1153" s="172">
        <f t="shared" si="424"/>
        <v>1</v>
      </c>
      <c r="BB1153" s="175">
        <f t="shared" si="425"/>
        <v>15</v>
      </c>
      <c r="BC1153" s="176">
        <f t="shared" si="426"/>
        <v>14</v>
      </c>
      <c r="BD1153" s="176">
        <f t="shared" si="427"/>
        <v>15</v>
      </c>
      <c r="BE1153" s="240" t="str">
        <f t="shared" si="418"/>
        <v/>
      </c>
      <c r="BF1153" s="990"/>
      <c r="BG1153" s="990"/>
      <c r="BH1153" s="991">
        <f>IF(AND(Input_Product=Elig!$C1153,Elig_MatchAll_Ct&lt;22,$BC1153=(Elig_MatchAll_Ct-1),AF1153=0),C1153,0)</f>
        <v>0</v>
      </c>
      <c r="BI1153" s="991">
        <f>IF(AND(Input_Product=Elig!$C1153,Elig_MatchAll_Ct&lt;22,$BC1153=(Elig_MatchAll_Ct-1),AG1153=0),D1153,0)</f>
        <v>0</v>
      </c>
      <c r="BJ1153" s="991">
        <f>IF(AND(Input_Product=Elig!$C1153,Elig_MatchAll_Ct&lt;22,$BC1153=(Elig_MatchAll_Ct-1),AH1153=0),E1153,0)</f>
        <v>0</v>
      </c>
      <c r="BK1153" s="991">
        <f>IF(AND(Input_Product=Elig!$C1153,Elig_MatchAll_Ct&lt;22,$BC1153=(Elig_MatchAll_Ct-1),AI1153=0),F1153,0)</f>
        <v>0</v>
      </c>
      <c r="BL1153" s="991">
        <f>IF(AND(Input_Product=Elig!$C1153,Elig_MatchAll_Ct&lt;22,$BC1153=(Elig_MatchAll_Ct-1),AJ1153=0),G1153,0)</f>
        <v>0</v>
      </c>
      <c r="BM1153" s="991">
        <f>IF(AND(Input_Product=Elig!$C1153,Elig_MatchAll_Ct&lt;22,$BC1153=(Elig_MatchAll_Ct-1),AK1153=0),H1153,0)</f>
        <v>0</v>
      </c>
      <c r="BN1153" s="991">
        <f>IF(AND(Input_Product=Elig!$C1153,Elig_MatchAll_Ct&lt;22,$BC1153=(Elig_MatchAll_Ct-1),AL1153=0),I1153,0)</f>
        <v>0</v>
      </c>
      <c r="BO1153" s="991">
        <f>IF(AND(Input_Product=Elig!$C1153,Elig_MatchAll_Ct&lt;22,$BC1153=(Elig_MatchAll_Ct-1),AM1153=0),J1153,0)</f>
        <v>0</v>
      </c>
      <c r="BP1153" s="991">
        <f>IF(AND(Input_Product=Elig!$C1153,Elig_MatchAll_Ct&lt;22,$BC1153=(Elig_MatchAll_Ct-1),AN1153=0),K1153,0)</f>
        <v>0</v>
      </c>
      <c r="BQ1153" s="991">
        <f>IF(AND(Input_Product=Elig!$C1153,Elig_MatchAll_Ct&lt;22,$BC1153=(Elig_MatchAll_Ct-1),AP1153=0),L1153,0)</f>
        <v>0</v>
      </c>
      <c r="BR1153" s="991">
        <f>IF(AND(Input_Product=Elig!$C1153,Elig_MatchAll_Ct&lt;22,$BC1153=(Elig_MatchAll_Ct-1),AO1153=0),M1153,0)</f>
        <v>0</v>
      </c>
      <c r="BS1153" s="991">
        <f>IF(AND(Input_Product=Elig!$C1153,Elig_MatchAll_Ct&lt;22,$BC1153=(Elig_MatchAll_Ct-1),AQ1153=0),N1153,0)</f>
        <v>0</v>
      </c>
      <c r="BT1153" s="991">
        <f>IF(AND(Input_Product=Elig!$C1153,Elig_MatchAll_Ct&lt;22,$BC1153=(Elig_MatchAll_Ct-1),AR1153=0),O1153,0)</f>
        <v>0</v>
      </c>
      <c r="BU1153" s="991">
        <f>IF(AND(Input_Product=Elig!$C1153,Elig_MatchAll_Ct&lt;22,$BC1153=(Elig_MatchAll_Ct-1),AS1153=0),P1153,0)</f>
        <v>0</v>
      </c>
      <c r="BV1153" s="992">
        <f>IF(AND(Input_Product=Elig!$C1153,Elig_MatchAll_Ct&lt;22,$BC1153=(Elig_MatchAll_Ct-1),AT1153=0),Q1153,0)</f>
        <v>0</v>
      </c>
      <c r="BW1153" s="993">
        <f>IF(AND(Input_Product=Elig!$C1153,Elig_MatchAll_Ct&lt;22,$BC1153=(Elig_MatchAll_Ct-1),AU1153=0),R1153,0)</f>
        <v>0</v>
      </c>
      <c r="BX1153" s="994">
        <f>IF(AND(Input_Product=Elig!$C1153,Elig_MatchAll_Ct&lt;22,$BC1153=(Elig_MatchAll_Ct-1),AU1153=0),S1153,0)</f>
        <v>0</v>
      </c>
      <c r="BY1153" s="993">
        <f>IF(AND(Input_Product=Elig!$C1153,Elig_MatchAll_Ct&lt;22,$BC1153=(Elig_MatchAll_Ct-1),AV1153=0),T1153,0)</f>
        <v>0</v>
      </c>
      <c r="BZ1153" s="994">
        <f>IF(AND(Input_Product=Elig!$C1153,Elig_MatchAll_Ct&lt;22,$BC1153=(Elig_MatchAll_Ct-1),AV1153=0),U1153,0)</f>
        <v>0</v>
      </c>
      <c r="CA1153" s="993">
        <f>IF(AND(Input_Product=Elig!$C1153,Elig_MatchAll_Ct&lt;22,$BC1153=(Elig_MatchAll_Ct-1),AW1153=0),V1153,0)</f>
        <v>0</v>
      </c>
      <c r="CB1153" s="994">
        <f>IF(AND(Input_Product=Elig!$C1153,Elig_MatchAll_Ct&lt;22,$BC1153=(Elig_MatchAll_Ct-1),AW1153=0),W1153,0)</f>
        <v>0</v>
      </c>
      <c r="CC1153" s="993">
        <f>IF(AND(Input_Product=Elig!$C1153,Elig_MatchAll_Ct&lt;22,$BC1153=(Elig_MatchAll_Ct-1),AX1153=0),X1153,0)</f>
        <v>0</v>
      </c>
      <c r="CD1153" s="994">
        <f>IF(AND(Input_Product=Elig!$C1153,Elig_MatchAll_Ct&lt;22,$BC1153=(Elig_MatchAll_Ct-1),AX1153=0),Y1153,0)</f>
        <v>0</v>
      </c>
      <c r="CE1153" s="993">
        <f>IF(AND(Input_LTV&lt;=AE1153,Input_Product=Elig!$C1153,Elig_MatchAll_Ct&lt;22,$BC1153=(Elig_MatchAll_Ct-1),AY1153=0),Z1153,0)</f>
        <v>0</v>
      </c>
      <c r="CF1153" s="994">
        <f>IF(AND(Input_LTV&lt;=AE1153,Input_Product=Elig!$C1153,Elig_MatchAll_Ct&lt;22,$BC1153=(Elig_MatchAll_Ct-1),AY1153=0),AA1153,0)</f>
        <v>0</v>
      </c>
      <c r="CG1153" s="993">
        <f>IF(AND(Input_Product=Elig!$C1153,Elig_MatchAll_Ct&lt;22,$BC1153=(Elig_MatchAll_Ct-1),AZ1153=0),AB1153,0)</f>
        <v>0</v>
      </c>
      <c r="CH1153" s="994">
        <f>IF(AND(Input_Product=Elig!$C1153,Elig_MatchAll_Ct&lt;22,$BC1153=(Elig_MatchAll_Ct-1),AZ1153=0),AC1153,0)</f>
        <v>0</v>
      </c>
      <c r="CI1153" s="993">
        <f>IF(AND(Input_Product=Elig!$C1153,Elig_MatchAll_Ct&lt;22,$BC1153=(Elig_MatchAll_Ct-1),BA1153=0),AD1153,0)</f>
        <v>0</v>
      </c>
      <c r="CJ1153" s="994">
        <f>IF(AND(Input_Product=Elig!$C1153,Elig_MatchAll_Ct&lt;22,$BC1153=(Elig_MatchAll_Ct-1),BA1153=0),AE1153,0)</f>
        <v>0</v>
      </c>
    </row>
    <row r="1154" spans="2:88" ht="10.15" customHeight="1" x14ac:dyDescent="0.25">
      <c r="B1154" s="1918" t="s">
        <v>2454</v>
      </c>
      <c r="C1154" s="1218" t="str">
        <f t="shared" si="428"/>
        <v xml:space="preserve"> </v>
      </c>
      <c r="D1154" s="1219" t="s">
        <v>2218</v>
      </c>
      <c r="E1154" s="1219" t="s">
        <v>167</v>
      </c>
      <c r="F1154" s="1219" t="s">
        <v>330</v>
      </c>
      <c r="G1154" s="1220" t="s">
        <v>179</v>
      </c>
      <c r="H1154" s="1220" t="s">
        <v>136</v>
      </c>
      <c r="I1154" s="1219" t="s">
        <v>274</v>
      </c>
      <c r="J1154" s="1219" t="s">
        <v>1311</v>
      </c>
      <c r="K1154" s="1220" t="s">
        <v>3022</v>
      </c>
      <c r="L1154" s="1219" t="s">
        <v>2768</v>
      </c>
      <c r="M1154" s="1219" t="s">
        <v>2677</v>
      </c>
      <c r="N1154" s="1220" t="s">
        <v>2685</v>
      </c>
      <c r="O1154" s="1219" t="s">
        <v>310</v>
      </c>
      <c r="P1154" s="1219" t="s">
        <v>291</v>
      </c>
      <c r="Q1154" s="1219" t="s">
        <v>294</v>
      </c>
      <c r="R1154" s="1219">
        <v>1500000.01</v>
      </c>
      <c r="S1154" s="1219">
        <v>2000000</v>
      </c>
      <c r="T1154" s="1219">
        <v>0</v>
      </c>
      <c r="U1154" s="1219">
        <v>0</v>
      </c>
      <c r="V1154" s="1219">
        <v>0</v>
      </c>
      <c r="W1154" s="1219">
        <v>50</v>
      </c>
      <c r="X1154" s="1219">
        <v>0</v>
      </c>
      <c r="Y1154" s="1219">
        <v>999</v>
      </c>
      <c r="Z1154" s="1221">
        <v>720</v>
      </c>
      <c r="AA1154" s="1221">
        <v>999</v>
      </c>
      <c r="AB1154" s="1221">
        <v>6</v>
      </c>
      <c r="AC1154" s="1221">
        <v>999999</v>
      </c>
      <c r="AD1154" s="1219">
        <v>0</v>
      </c>
      <c r="AE1154" s="1222">
        <v>80</v>
      </c>
      <c r="AF1154" s="170">
        <v>0</v>
      </c>
      <c r="AG1154" s="171">
        <v>1</v>
      </c>
      <c r="AH1154" s="171">
        <v>1</v>
      </c>
      <c r="AI1154" s="171">
        <v>0</v>
      </c>
      <c r="AJ1154" s="171">
        <v>0</v>
      </c>
      <c r="AK1154" s="171">
        <v>1</v>
      </c>
      <c r="AL1154" s="171">
        <v>0</v>
      </c>
      <c r="AM1154" s="171">
        <v>1</v>
      </c>
      <c r="AN1154" s="171">
        <v>1</v>
      </c>
      <c r="AO1154" s="171">
        <v>1</v>
      </c>
      <c r="AP1154" s="171">
        <v>1</v>
      </c>
      <c r="AQ1154" s="171">
        <v>1</v>
      </c>
      <c r="AR1154" s="171">
        <v>1</v>
      </c>
      <c r="AS1154" s="171">
        <v>1</v>
      </c>
      <c r="AT1154" s="171">
        <v>1</v>
      </c>
      <c r="AU1154" s="171">
        <f t="shared" si="419"/>
        <v>0</v>
      </c>
      <c r="AV1154" s="171">
        <f t="shared" si="420"/>
        <v>0</v>
      </c>
      <c r="AW1154" s="171">
        <f t="shared" si="421"/>
        <v>1</v>
      </c>
      <c r="AX1154" s="171">
        <f t="shared" si="429"/>
        <v>1</v>
      </c>
      <c r="AY1154" s="171">
        <f t="shared" si="422"/>
        <v>1</v>
      </c>
      <c r="AZ1154" s="171">
        <f t="shared" si="423"/>
        <v>1</v>
      </c>
      <c r="BA1154" s="172">
        <f t="shared" si="424"/>
        <v>1</v>
      </c>
      <c r="BB1154" s="175">
        <f t="shared" si="425"/>
        <v>16</v>
      </c>
      <c r="BC1154" s="176">
        <f t="shared" si="426"/>
        <v>15</v>
      </c>
      <c r="BD1154" s="176">
        <f t="shared" si="427"/>
        <v>16</v>
      </c>
      <c r="BE1154" s="240" t="str">
        <f t="shared" si="418"/>
        <v/>
      </c>
      <c r="BF1154" s="990"/>
      <c r="BG1154" s="990"/>
      <c r="BH1154" s="991">
        <f>IF(AND(Input_Product=Elig!$C1154,Elig_MatchAll_Ct&lt;22,$BC1154=(Elig_MatchAll_Ct-1),AF1154=0),C1154,0)</f>
        <v>0</v>
      </c>
      <c r="BI1154" s="991">
        <f>IF(AND(Input_Product=Elig!$C1154,Elig_MatchAll_Ct&lt;22,$BC1154=(Elig_MatchAll_Ct-1),AG1154=0),D1154,0)</f>
        <v>0</v>
      </c>
      <c r="BJ1154" s="991">
        <f>IF(AND(Input_Product=Elig!$C1154,Elig_MatchAll_Ct&lt;22,$BC1154=(Elig_MatchAll_Ct-1),AH1154=0),E1154,0)</f>
        <v>0</v>
      </c>
      <c r="BK1154" s="991">
        <f>IF(AND(Input_Product=Elig!$C1154,Elig_MatchAll_Ct&lt;22,$BC1154=(Elig_MatchAll_Ct-1),AI1154=0),F1154,0)</f>
        <v>0</v>
      </c>
      <c r="BL1154" s="991">
        <f>IF(AND(Input_Product=Elig!$C1154,Elig_MatchAll_Ct&lt;22,$BC1154=(Elig_MatchAll_Ct-1),AJ1154=0),G1154,0)</f>
        <v>0</v>
      </c>
      <c r="BM1154" s="991">
        <f>IF(AND(Input_Product=Elig!$C1154,Elig_MatchAll_Ct&lt;22,$BC1154=(Elig_MatchAll_Ct-1),AK1154=0),H1154,0)</f>
        <v>0</v>
      </c>
      <c r="BN1154" s="991">
        <f>IF(AND(Input_Product=Elig!$C1154,Elig_MatchAll_Ct&lt;22,$BC1154=(Elig_MatchAll_Ct-1),AL1154=0),I1154,0)</f>
        <v>0</v>
      </c>
      <c r="BO1154" s="991">
        <f>IF(AND(Input_Product=Elig!$C1154,Elig_MatchAll_Ct&lt;22,$BC1154=(Elig_MatchAll_Ct-1),AM1154=0),J1154,0)</f>
        <v>0</v>
      </c>
      <c r="BP1154" s="991">
        <f>IF(AND(Input_Product=Elig!$C1154,Elig_MatchAll_Ct&lt;22,$BC1154=(Elig_MatchAll_Ct-1),AN1154=0),K1154,0)</f>
        <v>0</v>
      </c>
      <c r="BQ1154" s="991">
        <f>IF(AND(Input_Product=Elig!$C1154,Elig_MatchAll_Ct&lt;22,$BC1154=(Elig_MatchAll_Ct-1),AP1154=0),L1154,0)</f>
        <v>0</v>
      </c>
      <c r="BR1154" s="991">
        <f>IF(AND(Input_Product=Elig!$C1154,Elig_MatchAll_Ct&lt;22,$BC1154=(Elig_MatchAll_Ct-1),AO1154=0),M1154,0)</f>
        <v>0</v>
      </c>
      <c r="BS1154" s="991">
        <f>IF(AND(Input_Product=Elig!$C1154,Elig_MatchAll_Ct&lt;22,$BC1154=(Elig_MatchAll_Ct-1),AQ1154=0),N1154,0)</f>
        <v>0</v>
      </c>
      <c r="BT1154" s="991">
        <f>IF(AND(Input_Product=Elig!$C1154,Elig_MatchAll_Ct&lt;22,$BC1154=(Elig_MatchAll_Ct-1),AR1154=0),O1154,0)</f>
        <v>0</v>
      </c>
      <c r="BU1154" s="991">
        <f>IF(AND(Input_Product=Elig!$C1154,Elig_MatchAll_Ct&lt;22,$BC1154=(Elig_MatchAll_Ct-1),AS1154=0),P1154,0)</f>
        <v>0</v>
      </c>
      <c r="BV1154" s="992">
        <f>IF(AND(Input_Product=Elig!$C1154,Elig_MatchAll_Ct&lt;22,$BC1154=(Elig_MatchAll_Ct-1),AT1154=0),Q1154,0)</f>
        <v>0</v>
      </c>
      <c r="BW1154" s="993">
        <f>IF(AND(Input_Product=Elig!$C1154,Elig_MatchAll_Ct&lt;22,$BC1154=(Elig_MatchAll_Ct-1),AU1154=0),R1154,0)</f>
        <v>0</v>
      </c>
      <c r="BX1154" s="994">
        <f>IF(AND(Input_Product=Elig!$C1154,Elig_MatchAll_Ct&lt;22,$BC1154=(Elig_MatchAll_Ct-1),AU1154=0),S1154,0)</f>
        <v>0</v>
      </c>
      <c r="BY1154" s="993">
        <f>IF(AND(Input_Product=Elig!$C1154,Elig_MatchAll_Ct&lt;22,$BC1154=(Elig_MatchAll_Ct-1),AV1154=0),T1154,0)</f>
        <v>0</v>
      </c>
      <c r="BZ1154" s="994">
        <f>IF(AND(Input_Product=Elig!$C1154,Elig_MatchAll_Ct&lt;22,$BC1154=(Elig_MatchAll_Ct-1),AV1154=0),U1154,0)</f>
        <v>0</v>
      </c>
      <c r="CA1154" s="993">
        <f>IF(AND(Input_Product=Elig!$C1154,Elig_MatchAll_Ct&lt;22,$BC1154=(Elig_MatchAll_Ct-1),AW1154=0),V1154,0)</f>
        <v>0</v>
      </c>
      <c r="CB1154" s="994">
        <f>IF(AND(Input_Product=Elig!$C1154,Elig_MatchAll_Ct&lt;22,$BC1154=(Elig_MatchAll_Ct-1),AW1154=0),W1154,0)</f>
        <v>0</v>
      </c>
      <c r="CC1154" s="993">
        <f>IF(AND(Input_Product=Elig!$C1154,Elig_MatchAll_Ct&lt;22,$BC1154=(Elig_MatchAll_Ct-1),AX1154=0),X1154,0)</f>
        <v>0</v>
      </c>
      <c r="CD1154" s="994">
        <f>IF(AND(Input_Product=Elig!$C1154,Elig_MatchAll_Ct&lt;22,$BC1154=(Elig_MatchAll_Ct-1),AX1154=0),Y1154,0)</f>
        <v>0</v>
      </c>
      <c r="CE1154" s="993">
        <f>IF(AND(Input_LTV&lt;=AE1154,Input_Product=Elig!$C1154,Elig_MatchAll_Ct&lt;22,$BC1154=(Elig_MatchAll_Ct-1),AY1154=0),Z1154,0)</f>
        <v>0</v>
      </c>
      <c r="CF1154" s="994">
        <f>IF(AND(Input_LTV&lt;=AE1154,Input_Product=Elig!$C1154,Elig_MatchAll_Ct&lt;22,$BC1154=(Elig_MatchAll_Ct-1),AY1154=0),AA1154,0)</f>
        <v>0</v>
      </c>
      <c r="CG1154" s="993">
        <f>IF(AND(Input_Product=Elig!$C1154,Elig_MatchAll_Ct&lt;22,$BC1154=(Elig_MatchAll_Ct-1),AZ1154=0),AB1154,0)</f>
        <v>0</v>
      </c>
      <c r="CH1154" s="994">
        <f>IF(AND(Input_Product=Elig!$C1154,Elig_MatchAll_Ct&lt;22,$BC1154=(Elig_MatchAll_Ct-1),AZ1154=0),AC1154,0)</f>
        <v>0</v>
      </c>
      <c r="CI1154" s="993">
        <f>IF(AND(Input_Product=Elig!$C1154,Elig_MatchAll_Ct&lt;22,$BC1154=(Elig_MatchAll_Ct-1),BA1154=0),AD1154,0)</f>
        <v>0</v>
      </c>
      <c r="CJ1154" s="994">
        <f>IF(AND(Input_Product=Elig!$C1154,Elig_MatchAll_Ct&lt;22,$BC1154=(Elig_MatchAll_Ct-1),BA1154=0),AE1154,0)</f>
        <v>0</v>
      </c>
    </row>
    <row r="1155" spans="2:88" ht="10.15" customHeight="1" x14ac:dyDescent="0.25">
      <c r="B1155" s="1918" t="s">
        <v>2455</v>
      </c>
      <c r="C1155" s="1223" t="str">
        <f t="shared" si="428"/>
        <v xml:space="preserve"> </v>
      </c>
      <c r="D1155" s="1224" t="s">
        <v>2218</v>
      </c>
      <c r="E1155" s="1224" t="s">
        <v>167</v>
      </c>
      <c r="F1155" s="1224" t="s">
        <v>330</v>
      </c>
      <c r="G1155" s="1225" t="s">
        <v>179</v>
      </c>
      <c r="H1155" s="1225" t="s">
        <v>136</v>
      </c>
      <c r="I1155" s="1224" t="s">
        <v>274</v>
      </c>
      <c r="J1155" s="1224" t="s">
        <v>1311</v>
      </c>
      <c r="K1155" s="1225" t="s">
        <v>3022</v>
      </c>
      <c r="L1155" s="1224" t="s">
        <v>2768</v>
      </c>
      <c r="M1155" s="1224" t="s">
        <v>2677</v>
      </c>
      <c r="N1155" s="1225" t="s">
        <v>2685</v>
      </c>
      <c r="O1155" s="1224" t="s">
        <v>310</v>
      </c>
      <c r="P1155" s="1224" t="s">
        <v>291</v>
      </c>
      <c r="Q1155" s="1224" t="s">
        <v>294</v>
      </c>
      <c r="R1155" s="1224">
        <v>1500000.01</v>
      </c>
      <c r="S1155" s="1224">
        <v>2000000</v>
      </c>
      <c r="T1155" s="1224">
        <v>0</v>
      </c>
      <c r="U1155" s="1224">
        <v>0</v>
      </c>
      <c r="V1155" s="1224">
        <v>0</v>
      </c>
      <c r="W1155" s="1224">
        <v>50</v>
      </c>
      <c r="X1155" s="1224">
        <v>0</v>
      </c>
      <c r="Y1155" s="1224">
        <v>999</v>
      </c>
      <c r="Z1155" s="1226">
        <v>700</v>
      </c>
      <c r="AA1155" s="1226">
        <v>719</v>
      </c>
      <c r="AB1155" s="1226">
        <v>6</v>
      </c>
      <c r="AC1155" s="1226">
        <v>999999</v>
      </c>
      <c r="AD1155" s="1224">
        <v>0</v>
      </c>
      <c r="AE1155" s="1227">
        <v>75</v>
      </c>
      <c r="AF1155" s="170">
        <v>0</v>
      </c>
      <c r="AG1155" s="171">
        <v>1</v>
      </c>
      <c r="AH1155" s="171">
        <v>1</v>
      </c>
      <c r="AI1155" s="171">
        <v>0</v>
      </c>
      <c r="AJ1155" s="171">
        <v>0</v>
      </c>
      <c r="AK1155" s="171">
        <v>1</v>
      </c>
      <c r="AL1155" s="171">
        <v>0</v>
      </c>
      <c r="AM1155" s="171">
        <v>1</v>
      </c>
      <c r="AN1155" s="171">
        <v>1</v>
      </c>
      <c r="AO1155" s="171">
        <v>1</v>
      </c>
      <c r="AP1155" s="171">
        <v>1</v>
      </c>
      <c r="AQ1155" s="171">
        <v>1</v>
      </c>
      <c r="AR1155" s="171">
        <v>1</v>
      </c>
      <c r="AS1155" s="171">
        <v>1</v>
      </c>
      <c r="AT1155" s="171">
        <v>1</v>
      </c>
      <c r="AU1155" s="171">
        <f t="shared" si="419"/>
        <v>0</v>
      </c>
      <c r="AV1155" s="171">
        <f t="shared" si="420"/>
        <v>0</v>
      </c>
      <c r="AW1155" s="171">
        <f t="shared" si="421"/>
        <v>1</v>
      </c>
      <c r="AX1155" s="171">
        <f t="shared" si="429"/>
        <v>1</v>
      </c>
      <c r="AY1155" s="171">
        <f t="shared" si="422"/>
        <v>0</v>
      </c>
      <c r="AZ1155" s="171">
        <f t="shared" si="423"/>
        <v>1</v>
      </c>
      <c r="BA1155" s="172">
        <f t="shared" si="424"/>
        <v>1</v>
      </c>
      <c r="BB1155" s="175">
        <f t="shared" si="425"/>
        <v>15</v>
      </c>
      <c r="BC1155" s="176">
        <f t="shared" si="426"/>
        <v>14</v>
      </c>
      <c r="BD1155" s="176">
        <f t="shared" si="427"/>
        <v>15</v>
      </c>
      <c r="BE1155" s="240" t="str">
        <f t="shared" si="418"/>
        <v/>
      </c>
      <c r="BF1155" s="990"/>
      <c r="BG1155" s="990"/>
      <c r="BH1155" s="991">
        <f>IF(AND(Input_Product=Elig!$C1155,Elig_MatchAll_Ct&lt;22,$BC1155=(Elig_MatchAll_Ct-1),AF1155=0),C1155,0)</f>
        <v>0</v>
      </c>
      <c r="BI1155" s="991">
        <f>IF(AND(Input_Product=Elig!$C1155,Elig_MatchAll_Ct&lt;22,$BC1155=(Elig_MatchAll_Ct-1),AG1155=0),D1155,0)</f>
        <v>0</v>
      </c>
      <c r="BJ1155" s="991">
        <f>IF(AND(Input_Product=Elig!$C1155,Elig_MatchAll_Ct&lt;22,$BC1155=(Elig_MatchAll_Ct-1),AH1155=0),E1155,0)</f>
        <v>0</v>
      </c>
      <c r="BK1155" s="991">
        <f>IF(AND(Input_Product=Elig!$C1155,Elig_MatchAll_Ct&lt;22,$BC1155=(Elig_MatchAll_Ct-1),AI1155=0),F1155,0)</f>
        <v>0</v>
      </c>
      <c r="BL1155" s="991">
        <f>IF(AND(Input_Product=Elig!$C1155,Elig_MatchAll_Ct&lt;22,$BC1155=(Elig_MatchAll_Ct-1),AJ1155=0),G1155,0)</f>
        <v>0</v>
      </c>
      <c r="BM1155" s="991">
        <f>IF(AND(Input_Product=Elig!$C1155,Elig_MatchAll_Ct&lt;22,$BC1155=(Elig_MatchAll_Ct-1),AK1155=0),H1155,0)</f>
        <v>0</v>
      </c>
      <c r="BN1155" s="991">
        <f>IF(AND(Input_Product=Elig!$C1155,Elig_MatchAll_Ct&lt;22,$BC1155=(Elig_MatchAll_Ct-1),AL1155=0),I1155,0)</f>
        <v>0</v>
      </c>
      <c r="BO1155" s="991">
        <f>IF(AND(Input_Product=Elig!$C1155,Elig_MatchAll_Ct&lt;22,$BC1155=(Elig_MatchAll_Ct-1),AM1155=0),J1155,0)</f>
        <v>0</v>
      </c>
      <c r="BP1155" s="991">
        <f>IF(AND(Input_Product=Elig!$C1155,Elig_MatchAll_Ct&lt;22,$BC1155=(Elig_MatchAll_Ct-1),AN1155=0),K1155,0)</f>
        <v>0</v>
      </c>
      <c r="BQ1155" s="991">
        <f>IF(AND(Input_Product=Elig!$C1155,Elig_MatchAll_Ct&lt;22,$BC1155=(Elig_MatchAll_Ct-1),AP1155=0),L1155,0)</f>
        <v>0</v>
      </c>
      <c r="BR1155" s="991">
        <f>IF(AND(Input_Product=Elig!$C1155,Elig_MatchAll_Ct&lt;22,$BC1155=(Elig_MatchAll_Ct-1),AO1155=0),M1155,0)</f>
        <v>0</v>
      </c>
      <c r="BS1155" s="991">
        <f>IF(AND(Input_Product=Elig!$C1155,Elig_MatchAll_Ct&lt;22,$BC1155=(Elig_MatchAll_Ct-1),AQ1155=0),N1155,0)</f>
        <v>0</v>
      </c>
      <c r="BT1155" s="991">
        <f>IF(AND(Input_Product=Elig!$C1155,Elig_MatchAll_Ct&lt;22,$BC1155=(Elig_MatchAll_Ct-1),AR1155=0),O1155,0)</f>
        <v>0</v>
      </c>
      <c r="BU1155" s="991">
        <f>IF(AND(Input_Product=Elig!$C1155,Elig_MatchAll_Ct&lt;22,$BC1155=(Elig_MatchAll_Ct-1),AS1155=0),P1155,0)</f>
        <v>0</v>
      </c>
      <c r="BV1155" s="992">
        <f>IF(AND(Input_Product=Elig!$C1155,Elig_MatchAll_Ct&lt;22,$BC1155=(Elig_MatchAll_Ct-1),AT1155=0),Q1155,0)</f>
        <v>0</v>
      </c>
      <c r="BW1155" s="993">
        <f>IF(AND(Input_Product=Elig!$C1155,Elig_MatchAll_Ct&lt;22,$BC1155=(Elig_MatchAll_Ct-1),AU1155=0),R1155,0)</f>
        <v>0</v>
      </c>
      <c r="BX1155" s="994">
        <f>IF(AND(Input_Product=Elig!$C1155,Elig_MatchAll_Ct&lt;22,$BC1155=(Elig_MatchAll_Ct-1),AU1155=0),S1155,0)</f>
        <v>0</v>
      </c>
      <c r="BY1155" s="993">
        <f>IF(AND(Input_Product=Elig!$C1155,Elig_MatchAll_Ct&lt;22,$BC1155=(Elig_MatchAll_Ct-1),AV1155=0),T1155,0)</f>
        <v>0</v>
      </c>
      <c r="BZ1155" s="994">
        <f>IF(AND(Input_Product=Elig!$C1155,Elig_MatchAll_Ct&lt;22,$BC1155=(Elig_MatchAll_Ct-1),AV1155=0),U1155,0)</f>
        <v>0</v>
      </c>
      <c r="CA1155" s="993">
        <f>IF(AND(Input_Product=Elig!$C1155,Elig_MatchAll_Ct&lt;22,$BC1155=(Elig_MatchAll_Ct-1),AW1155=0),V1155,0)</f>
        <v>0</v>
      </c>
      <c r="CB1155" s="994">
        <f>IF(AND(Input_Product=Elig!$C1155,Elig_MatchAll_Ct&lt;22,$BC1155=(Elig_MatchAll_Ct-1),AW1155=0),W1155,0)</f>
        <v>0</v>
      </c>
      <c r="CC1155" s="993">
        <f>IF(AND(Input_Product=Elig!$C1155,Elig_MatchAll_Ct&lt;22,$BC1155=(Elig_MatchAll_Ct-1),AX1155=0),X1155,0)</f>
        <v>0</v>
      </c>
      <c r="CD1155" s="994">
        <f>IF(AND(Input_Product=Elig!$C1155,Elig_MatchAll_Ct&lt;22,$BC1155=(Elig_MatchAll_Ct-1),AX1155=0),Y1155,0)</f>
        <v>0</v>
      </c>
      <c r="CE1155" s="993">
        <f>IF(AND(Input_LTV&lt;=AE1155,Input_Product=Elig!$C1155,Elig_MatchAll_Ct&lt;22,$BC1155=(Elig_MatchAll_Ct-1),AY1155=0),Z1155,0)</f>
        <v>0</v>
      </c>
      <c r="CF1155" s="994">
        <f>IF(AND(Input_LTV&lt;=AE1155,Input_Product=Elig!$C1155,Elig_MatchAll_Ct&lt;22,$BC1155=(Elig_MatchAll_Ct-1),AY1155=0),AA1155,0)</f>
        <v>0</v>
      </c>
      <c r="CG1155" s="993">
        <f>IF(AND(Input_Product=Elig!$C1155,Elig_MatchAll_Ct&lt;22,$BC1155=(Elig_MatchAll_Ct-1),AZ1155=0),AB1155,0)</f>
        <v>0</v>
      </c>
      <c r="CH1155" s="994">
        <f>IF(AND(Input_Product=Elig!$C1155,Elig_MatchAll_Ct&lt;22,$BC1155=(Elig_MatchAll_Ct-1),AZ1155=0),AC1155,0)</f>
        <v>0</v>
      </c>
      <c r="CI1155" s="993">
        <f>IF(AND(Input_Product=Elig!$C1155,Elig_MatchAll_Ct&lt;22,$BC1155=(Elig_MatchAll_Ct-1),BA1155=0),AD1155,0)</f>
        <v>0</v>
      </c>
      <c r="CJ1155" s="994">
        <f>IF(AND(Input_Product=Elig!$C1155,Elig_MatchAll_Ct&lt;22,$BC1155=(Elig_MatchAll_Ct-1),BA1155=0),AE1155,0)</f>
        <v>0</v>
      </c>
    </row>
    <row r="1156" spans="2:88" ht="10.15" customHeight="1" x14ac:dyDescent="0.25">
      <c r="B1156" s="1918" t="s">
        <v>2456</v>
      </c>
      <c r="C1156" s="1223" t="str">
        <f t="shared" ref="C1156:C1187" si="430">Input_Name_Product14</f>
        <v xml:space="preserve"> </v>
      </c>
      <c r="D1156" s="1224" t="s">
        <v>2218</v>
      </c>
      <c r="E1156" s="1224" t="s">
        <v>167</v>
      </c>
      <c r="F1156" s="1224" t="s">
        <v>330</v>
      </c>
      <c r="G1156" s="1225" t="s">
        <v>179</v>
      </c>
      <c r="H1156" s="1225" t="s">
        <v>136</v>
      </c>
      <c r="I1156" s="1224" t="s">
        <v>274</v>
      </c>
      <c r="J1156" s="1224" t="s">
        <v>1311</v>
      </c>
      <c r="K1156" s="1225" t="s">
        <v>3022</v>
      </c>
      <c r="L1156" s="1224" t="s">
        <v>2768</v>
      </c>
      <c r="M1156" s="1224" t="s">
        <v>2677</v>
      </c>
      <c r="N1156" s="1225" t="s">
        <v>2685</v>
      </c>
      <c r="O1156" s="1224" t="s">
        <v>310</v>
      </c>
      <c r="P1156" s="1224" t="s">
        <v>291</v>
      </c>
      <c r="Q1156" s="1224" t="s">
        <v>294</v>
      </c>
      <c r="R1156" s="1224">
        <v>1500000.01</v>
      </c>
      <c r="S1156" s="1224">
        <v>2000000</v>
      </c>
      <c r="T1156" s="1224">
        <v>0</v>
      </c>
      <c r="U1156" s="1224">
        <v>0</v>
      </c>
      <c r="V1156" s="1224">
        <v>0</v>
      </c>
      <c r="W1156" s="1224">
        <v>50</v>
      </c>
      <c r="X1156" s="1224">
        <v>0</v>
      </c>
      <c r="Y1156" s="1224">
        <v>999</v>
      </c>
      <c r="Z1156" s="1226">
        <v>680</v>
      </c>
      <c r="AA1156" s="1226">
        <v>699</v>
      </c>
      <c r="AB1156" s="1226">
        <v>6</v>
      </c>
      <c r="AC1156" s="1226">
        <v>999999</v>
      </c>
      <c r="AD1156" s="1224">
        <v>0</v>
      </c>
      <c r="AE1156" s="1227">
        <v>75</v>
      </c>
      <c r="AF1156" s="170">
        <v>0</v>
      </c>
      <c r="AG1156" s="171">
        <v>1</v>
      </c>
      <c r="AH1156" s="171">
        <v>1</v>
      </c>
      <c r="AI1156" s="171">
        <v>0</v>
      </c>
      <c r="AJ1156" s="171">
        <v>0</v>
      </c>
      <c r="AK1156" s="171">
        <v>1</v>
      </c>
      <c r="AL1156" s="171">
        <v>0</v>
      </c>
      <c r="AM1156" s="171">
        <v>1</v>
      </c>
      <c r="AN1156" s="171">
        <v>1</v>
      </c>
      <c r="AO1156" s="171">
        <v>1</v>
      </c>
      <c r="AP1156" s="171">
        <v>1</v>
      </c>
      <c r="AQ1156" s="171">
        <v>1</v>
      </c>
      <c r="AR1156" s="171">
        <v>1</v>
      </c>
      <c r="AS1156" s="171">
        <v>1</v>
      </c>
      <c r="AT1156" s="171">
        <v>1</v>
      </c>
      <c r="AU1156" s="171">
        <f t="shared" si="419"/>
        <v>0</v>
      </c>
      <c r="AV1156" s="171">
        <f t="shared" si="420"/>
        <v>0</v>
      </c>
      <c r="AW1156" s="171">
        <f t="shared" si="421"/>
        <v>1</v>
      </c>
      <c r="AX1156" s="171">
        <f t="shared" si="429"/>
        <v>1</v>
      </c>
      <c r="AY1156" s="171">
        <f t="shared" si="422"/>
        <v>0</v>
      </c>
      <c r="AZ1156" s="171">
        <f t="shared" si="423"/>
        <v>1</v>
      </c>
      <c r="BA1156" s="172">
        <f t="shared" si="424"/>
        <v>1</v>
      </c>
      <c r="BB1156" s="175">
        <f t="shared" si="425"/>
        <v>15</v>
      </c>
      <c r="BC1156" s="176">
        <f t="shared" si="426"/>
        <v>14</v>
      </c>
      <c r="BD1156" s="176">
        <f t="shared" si="427"/>
        <v>15</v>
      </c>
      <c r="BE1156" s="240" t="str">
        <f t="shared" si="418"/>
        <v/>
      </c>
      <c r="BF1156" s="990"/>
      <c r="BG1156" s="990"/>
      <c r="BH1156" s="991">
        <f>IF(AND(Input_Product=Elig!$C1156,Elig_MatchAll_Ct&lt;22,$BC1156=(Elig_MatchAll_Ct-1),AF1156=0),C1156,0)</f>
        <v>0</v>
      </c>
      <c r="BI1156" s="991">
        <f>IF(AND(Input_Product=Elig!$C1156,Elig_MatchAll_Ct&lt;22,$BC1156=(Elig_MatchAll_Ct-1),AG1156=0),D1156,0)</f>
        <v>0</v>
      </c>
      <c r="BJ1156" s="991">
        <f>IF(AND(Input_Product=Elig!$C1156,Elig_MatchAll_Ct&lt;22,$BC1156=(Elig_MatchAll_Ct-1),AH1156=0),E1156,0)</f>
        <v>0</v>
      </c>
      <c r="BK1156" s="991">
        <f>IF(AND(Input_Product=Elig!$C1156,Elig_MatchAll_Ct&lt;22,$BC1156=(Elig_MatchAll_Ct-1),AI1156=0),F1156,0)</f>
        <v>0</v>
      </c>
      <c r="BL1156" s="991">
        <f>IF(AND(Input_Product=Elig!$C1156,Elig_MatchAll_Ct&lt;22,$BC1156=(Elig_MatchAll_Ct-1),AJ1156=0),G1156,0)</f>
        <v>0</v>
      </c>
      <c r="BM1156" s="991">
        <f>IF(AND(Input_Product=Elig!$C1156,Elig_MatchAll_Ct&lt;22,$BC1156=(Elig_MatchAll_Ct-1),AK1156=0),H1156,0)</f>
        <v>0</v>
      </c>
      <c r="BN1156" s="991">
        <f>IF(AND(Input_Product=Elig!$C1156,Elig_MatchAll_Ct&lt;22,$BC1156=(Elig_MatchAll_Ct-1),AL1156=0),I1156,0)</f>
        <v>0</v>
      </c>
      <c r="BO1156" s="991">
        <f>IF(AND(Input_Product=Elig!$C1156,Elig_MatchAll_Ct&lt;22,$BC1156=(Elig_MatchAll_Ct-1),AM1156=0),J1156,0)</f>
        <v>0</v>
      </c>
      <c r="BP1156" s="991">
        <f>IF(AND(Input_Product=Elig!$C1156,Elig_MatchAll_Ct&lt;22,$BC1156=(Elig_MatchAll_Ct-1),AN1156=0),K1156,0)</f>
        <v>0</v>
      </c>
      <c r="BQ1156" s="991">
        <f>IF(AND(Input_Product=Elig!$C1156,Elig_MatchAll_Ct&lt;22,$BC1156=(Elig_MatchAll_Ct-1),AP1156=0),L1156,0)</f>
        <v>0</v>
      </c>
      <c r="BR1156" s="991">
        <f>IF(AND(Input_Product=Elig!$C1156,Elig_MatchAll_Ct&lt;22,$BC1156=(Elig_MatchAll_Ct-1),AO1156=0),M1156,0)</f>
        <v>0</v>
      </c>
      <c r="BS1156" s="991">
        <f>IF(AND(Input_Product=Elig!$C1156,Elig_MatchAll_Ct&lt;22,$BC1156=(Elig_MatchAll_Ct-1),AQ1156=0),N1156,0)</f>
        <v>0</v>
      </c>
      <c r="BT1156" s="991">
        <f>IF(AND(Input_Product=Elig!$C1156,Elig_MatchAll_Ct&lt;22,$BC1156=(Elig_MatchAll_Ct-1),AR1156=0),O1156,0)</f>
        <v>0</v>
      </c>
      <c r="BU1156" s="991">
        <f>IF(AND(Input_Product=Elig!$C1156,Elig_MatchAll_Ct&lt;22,$BC1156=(Elig_MatchAll_Ct-1),AS1156=0),P1156,0)</f>
        <v>0</v>
      </c>
      <c r="BV1156" s="992">
        <f>IF(AND(Input_Product=Elig!$C1156,Elig_MatchAll_Ct&lt;22,$BC1156=(Elig_MatchAll_Ct-1),AT1156=0),Q1156,0)</f>
        <v>0</v>
      </c>
      <c r="BW1156" s="993">
        <f>IF(AND(Input_Product=Elig!$C1156,Elig_MatchAll_Ct&lt;22,$BC1156=(Elig_MatchAll_Ct-1),AU1156=0),R1156,0)</f>
        <v>0</v>
      </c>
      <c r="BX1156" s="994">
        <f>IF(AND(Input_Product=Elig!$C1156,Elig_MatchAll_Ct&lt;22,$BC1156=(Elig_MatchAll_Ct-1),AU1156=0),S1156,0)</f>
        <v>0</v>
      </c>
      <c r="BY1156" s="993">
        <f>IF(AND(Input_Product=Elig!$C1156,Elig_MatchAll_Ct&lt;22,$BC1156=(Elig_MatchAll_Ct-1),AV1156=0),T1156,0)</f>
        <v>0</v>
      </c>
      <c r="BZ1156" s="994">
        <f>IF(AND(Input_Product=Elig!$C1156,Elig_MatchAll_Ct&lt;22,$BC1156=(Elig_MatchAll_Ct-1),AV1156=0),U1156,0)</f>
        <v>0</v>
      </c>
      <c r="CA1156" s="993">
        <f>IF(AND(Input_Product=Elig!$C1156,Elig_MatchAll_Ct&lt;22,$BC1156=(Elig_MatchAll_Ct-1),AW1156=0),V1156,0)</f>
        <v>0</v>
      </c>
      <c r="CB1156" s="994">
        <f>IF(AND(Input_Product=Elig!$C1156,Elig_MatchAll_Ct&lt;22,$BC1156=(Elig_MatchAll_Ct-1),AW1156=0),W1156,0)</f>
        <v>0</v>
      </c>
      <c r="CC1156" s="993">
        <f>IF(AND(Input_Product=Elig!$C1156,Elig_MatchAll_Ct&lt;22,$BC1156=(Elig_MatchAll_Ct-1),AX1156=0),X1156,0)</f>
        <v>0</v>
      </c>
      <c r="CD1156" s="994">
        <f>IF(AND(Input_Product=Elig!$C1156,Elig_MatchAll_Ct&lt;22,$BC1156=(Elig_MatchAll_Ct-1),AX1156=0),Y1156,0)</f>
        <v>0</v>
      </c>
      <c r="CE1156" s="993">
        <f>IF(AND(Input_LTV&lt;=AE1156,Input_Product=Elig!$C1156,Elig_MatchAll_Ct&lt;22,$BC1156=(Elig_MatchAll_Ct-1),AY1156=0),Z1156,0)</f>
        <v>0</v>
      </c>
      <c r="CF1156" s="994">
        <f>IF(AND(Input_LTV&lt;=AE1156,Input_Product=Elig!$C1156,Elig_MatchAll_Ct&lt;22,$BC1156=(Elig_MatchAll_Ct-1),AY1156=0),AA1156,0)</f>
        <v>0</v>
      </c>
      <c r="CG1156" s="993">
        <f>IF(AND(Input_Product=Elig!$C1156,Elig_MatchAll_Ct&lt;22,$BC1156=(Elig_MatchAll_Ct-1),AZ1156=0),AB1156,0)</f>
        <v>0</v>
      </c>
      <c r="CH1156" s="994">
        <f>IF(AND(Input_Product=Elig!$C1156,Elig_MatchAll_Ct&lt;22,$BC1156=(Elig_MatchAll_Ct-1),AZ1156=0),AC1156,0)</f>
        <v>0</v>
      </c>
      <c r="CI1156" s="993">
        <f>IF(AND(Input_Product=Elig!$C1156,Elig_MatchAll_Ct&lt;22,$BC1156=(Elig_MatchAll_Ct-1),BA1156=0),AD1156,0)</f>
        <v>0</v>
      </c>
      <c r="CJ1156" s="994">
        <f>IF(AND(Input_Product=Elig!$C1156,Elig_MatchAll_Ct&lt;22,$BC1156=(Elig_MatchAll_Ct-1),BA1156=0),AE1156,0)</f>
        <v>0</v>
      </c>
    </row>
    <row r="1157" spans="2:88" ht="10.15" customHeight="1" x14ac:dyDescent="0.25">
      <c r="B1157" s="1918" t="s">
        <v>2457</v>
      </c>
      <c r="C1157" s="1228" t="str">
        <f t="shared" si="430"/>
        <v xml:space="preserve"> </v>
      </c>
      <c r="D1157" s="1229" t="s">
        <v>2218</v>
      </c>
      <c r="E1157" s="1229" t="s">
        <v>167</v>
      </c>
      <c r="F1157" s="1229" t="s">
        <v>330</v>
      </c>
      <c r="G1157" s="1230" t="s">
        <v>179</v>
      </c>
      <c r="H1157" s="1230" t="s">
        <v>136</v>
      </c>
      <c r="I1157" s="1229" t="s">
        <v>274</v>
      </c>
      <c r="J1157" s="1229" t="s">
        <v>1311</v>
      </c>
      <c r="K1157" s="1230" t="s">
        <v>3022</v>
      </c>
      <c r="L1157" s="1229" t="s">
        <v>2768</v>
      </c>
      <c r="M1157" s="1229" t="s">
        <v>2677</v>
      </c>
      <c r="N1157" s="1230" t="s">
        <v>2685</v>
      </c>
      <c r="O1157" s="1229" t="s">
        <v>310</v>
      </c>
      <c r="P1157" s="1229" t="s">
        <v>291</v>
      </c>
      <c r="Q1157" s="1229" t="s">
        <v>294</v>
      </c>
      <c r="R1157" s="1229">
        <v>1500000.01</v>
      </c>
      <c r="S1157" s="1229">
        <v>2000000</v>
      </c>
      <c r="T1157" s="1229">
        <v>0</v>
      </c>
      <c r="U1157" s="1229">
        <v>0</v>
      </c>
      <c r="V1157" s="1229">
        <v>0</v>
      </c>
      <c r="W1157" s="1229">
        <v>50</v>
      </c>
      <c r="X1157" s="1229">
        <v>0</v>
      </c>
      <c r="Y1157" s="1229">
        <v>999</v>
      </c>
      <c r="Z1157" s="1231">
        <v>660</v>
      </c>
      <c r="AA1157" s="1231">
        <v>679</v>
      </c>
      <c r="AB1157" s="1231">
        <v>6</v>
      </c>
      <c r="AC1157" s="1231">
        <v>999999</v>
      </c>
      <c r="AD1157" s="1229">
        <v>0</v>
      </c>
      <c r="AE1157" s="1232">
        <v>70</v>
      </c>
      <c r="AF1157" s="170">
        <v>0</v>
      </c>
      <c r="AG1157" s="171">
        <v>1</v>
      </c>
      <c r="AH1157" s="171">
        <v>1</v>
      </c>
      <c r="AI1157" s="171">
        <v>0</v>
      </c>
      <c r="AJ1157" s="171">
        <v>0</v>
      </c>
      <c r="AK1157" s="171">
        <v>1</v>
      </c>
      <c r="AL1157" s="171">
        <v>0</v>
      </c>
      <c r="AM1157" s="171">
        <v>1</v>
      </c>
      <c r="AN1157" s="171">
        <v>1</v>
      </c>
      <c r="AO1157" s="171">
        <v>1</v>
      </c>
      <c r="AP1157" s="171">
        <v>1</v>
      </c>
      <c r="AQ1157" s="171">
        <v>1</v>
      </c>
      <c r="AR1157" s="171">
        <v>1</v>
      </c>
      <c r="AS1157" s="171">
        <v>1</v>
      </c>
      <c r="AT1157" s="171">
        <v>1</v>
      </c>
      <c r="AU1157" s="171">
        <f t="shared" si="419"/>
        <v>0</v>
      </c>
      <c r="AV1157" s="171">
        <f t="shared" si="420"/>
        <v>0</v>
      </c>
      <c r="AW1157" s="171">
        <f t="shared" si="421"/>
        <v>1</v>
      </c>
      <c r="AX1157" s="171">
        <f t="shared" si="429"/>
        <v>1</v>
      </c>
      <c r="AY1157" s="171">
        <f t="shared" si="422"/>
        <v>0</v>
      </c>
      <c r="AZ1157" s="171">
        <f t="shared" si="423"/>
        <v>1</v>
      </c>
      <c r="BA1157" s="172">
        <f t="shared" si="424"/>
        <v>1</v>
      </c>
      <c r="BB1157" s="175">
        <f t="shared" si="425"/>
        <v>15</v>
      </c>
      <c r="BC1157" s="176">
        <f t="shared" si="426"/>
        <v>14</v>
      </c>
      <c r="BD1157" s="176">
        <f t="shared" si="427"/>
        <v>15</v>
      </c>
      <c r="BE1157" s="240" t="str">
        <f t="shared" si="418"/>
        <v/>
      </c>
      <c r="BF1157" s="990"/>
      <c r="BG1157" s="990"/>
      <c r="BH1157" s="991">
        <f>IF(AND(Input_Product=Elig!$C1157,Elig_MatchAll_Ct&lt;22,$BC1157=(Elig_MatchAll_Ct-1),AF1157=0),C1157,0)</f>
        <v>0</v>
      </c>
      <c r="BI1157" s="991">
        <f>IF(AND(Input_Product=Elig!$C1157,Elig_MatchAll_Ct&lt;22,$BC1157=(Elig_MatchAll_Ct-1),AG1157=0),D1157,0)</f>
        <v>0</v>
      </c>
      <c r="BJ1157" s="991">
        <f>IF(AND(Input_Product=Elig!$C1157,Elig_MatchAll_Ct&lt;22,$BC1157=(Elig_MatchAll_Ct-1),AH1157=0),E1157,0)</f>
        <v>0</v>
      </c>
      <c r="BK1157" s="991">
        <f>IF(AND(Input_Product=Elig!$C1157,Elig_MatchAll_Ct&lt;22,$BC1157=(Elig_MatchAll_Ct-1),AI1157=0),F1157,0)</f>
        <v>0</v>
      </c>
      <c r="BL1157" s="991">
        <f>IF(AND(Input_Product=Elig!$C1157,Elig_MatchAll_Ct&lt;22,$BC1157=(Elig_MatchAll_Ct-1),AJ1157=0),G1157,0)</f>
        <v>0</v>
      </c>
      <c r="BM1157" s="991">
        <f>IF(AND(Input_Product=Elig!$C1157,Elig_MatchAll_Ct&lt;22,$BC1157=(Elig_MatchAll_Ct-1),AK1157=0),H1157,0)</f>
        <v>0</v>
      </c>
      <c r="BN1157" s="991">
        <f>IF(AND(Input_Product=Elig!$C1157,Elig_MatchAll_Ct&lt;22,$BC1157=(Elig_MatchAll_Ct-1),AL1157=0),I1157,0)</f>
        <v>0</v>
      </c>
      <c r="BO1157" s="991">
        <f>IF(AND(Input_Product=Elig!$C1157,Elig_MatchAll_Ct&lt;22,$BC1157=(Elig_MatchAll_Ct-1),AM1157=0),J1157,0)</f>
        <v>0</v>
      </c>
      <c r="BP1157" s="991">
        <f>IF(AND(Input_Product=Elig!$C1157,Elig_MatchAll_Ct&lt;22,$BC1157=(Elig_MatchAll_Ct-1),AN1157=0),K1157,0)</f>
        <v>0</v>
      </c>
      <c r="BQ1157" s="991">
        <f>IF(AND(Input_Product=Elig!$C1157,Elig_MatchAll_Ct&lt;22,$BC1157=(Elig_MatchAll_Ct-1),AP1157=0),L1157,0)</f>
        <v>0</v>
      </c>
      <c r="BR1157" s="991">
        <f>IF(AND(Input_Product=Elig!$C1157,Elig_MatchAll_Ct&lt;22,$BC1157=(Elig_MatchAll_Ct-1),AO1157=0),M1157,0)</f>
        <v>0</v>
      </c>
      <c r="BS1157" s="991">
        <f>IF(AND(Input_Product=Elig!$C1157,Elig_MatchAll_Ct&lt;22,$BC1157=(Elig_MatchAll_Ct-1),AQ1157=0),N1157,0)</f>
        <v>0</v>
      </c>
      <c r="BT1157" s="991">
        <f>IF(AND(Input_Product=Elig!$C1157,Elig_MatchAll_Ct&lt;22,$BC1157=(Elig_MatchAll_Ct-1),AR1157=0),O1157,0)</f>
        <v>0</v>
      </c>
      <c r="BU1157" s="991">
        <f>IF(AND(Input_Product=Elig!$C1157,Elig_MatchAll_Ct&lt;22,$BC1157=(Elig_MatchAll_Ct-1),AS1157=0),P1157,0)</f>
        <v>0</v>
      </c>
      <c r="BV1157" s="992">
        <f>IF(AND(Input_Product=Elig!$C1157,Elig_MatchAll_Ct&lt;22,$BC1157=(Elig_MatchAll_Ct-1),AT1157=0),Q1157,0)</f>
        <v>0</v>
      </c>
      <c r="BW1157" s="993">
        <f>IF(AND(Input_Product=Elig!$C1157,Elig_MatchAll_Ct&lt;22,$BC1157=(Elig_MatchAll_Ct-1),AU1157=0),R1157,0)</f>
        <v>0</v>
      </c>
      <c r="BX1157" s="994">
        <f>IF(AND(Input_Product=Elig!$C1157,Elig_MatchAll_Ct&lt;22,$BC1157=(Elig_MatchAll_Ct-1),AU1157=0),S1157,0)</f>
        <v>0</v>
      </c>
      <c r="BY1157" s="993">
        <f>IF(AND(Input_Product=Elig!$C1157,Elig_MatchAll_Ct&lt;22,$BC1157=(Elig_MatchAll_Ct-1),AV1157=0),T1157,0)</f>
        <v>0</v>
      </c>
      <c r="BZ1157" s="994">
        <f>IF(AND(Input_Product=Elig!$C1157,Elig_MatchAll_Ct&lt;22,$BC1157=(Elig_MatchAll_Ct-1),AV1157=0),U1157,0)</f>
        <v>0</v>
      </c>
      <c r="CA1157" s="993">
        <f>IF(AND(Input_Product=Elig!$C1157,Elig_MatchAll_Ct&lt;22,$BC1157=(Elig_MatchAll_Ct-1),AW1157=0),V1157,0)</f>
        <v>0</v>
      </c>
      <c r="CB1157" s="994">
        <f>IF(AND(Input_Product=Elig!$C1157,Elig_MatchAll_Ct&lt;22,$BC1157=(Elig_MatchAll_Ct-1),AW1157=0),W1157,0)</f>
        <v>0</v>
      </c>
      <c r="CC1157" s="993">
        <f>IF(AND(Input_Product=Elig!$C1157,Elig_MatchAll_Ct&lt;22,$BC1157=(Elig_MatchAll_Ct-1),AX1157=0),X1157,0)</f>
        <v>0</v>
      </c>
      <c r="CD1157" s="994">
        <f>IF(AND(Input_Product=Elig!$C1157,Elig_MatchAll_Ct&lt;22,$BC1157=(Elig_MatchAll_Ct-1),AX1157=0),Y1157,0)</f>
        <v>0</v>
      </c>
      <c r="CE1157" s="993">
        <f>IF(AND(Input_LTV&lt;=AE1157,Input_Product=Elig!$C1157,Elig_MatchAll_Ct&lt;22,$BC1157=(Elig_MatchAll_Ct-1),AY1157=0),Z1157,0)</f>
        <v>0</v>
      </c>
      <c r="CF1157" s="994">
        <f>IF(AND(Input_LTV&lt;=AE1157,Input_Product=Elig!$C1157,Elig_MatchAll_Ct&lt;22,$BC1157=(Elig_MatchAll_Ct-1),AY1157=0),AA1157,0)</f>
        <v>0</v>
      </c>
      <c r="CG1157" s="993">
        <f>IF(AND(Input_Product=Elig!$C1157,Elig_MatchAll_Ct&lt;22,$BC1157=(Elig_MatchAll_Ct-1),AZ1157=0),AB1157,0)</f>
        <v>0</v>
      </c>
      <c r="CH1157" s="994">
        <f>IF(AND(Input_Product=Elig!$C1157,Elig_MatchAll_Ct&lt;22,$BC1157=(Elig_MatchAll_Ct-1),AZ1157=0),AC1157,0)</f>
        <v>0</v>
      </c>
      <c r="CI1157" s="993">
        <f>IF(AND(Input_Product=Elig!$C1157,Elig_MatchAll_Ct&lt;22,$BC1157=(Elig_MatchAll_Ct-1),BA1157=0),AD1157,0)</f>
        <v>0</v>
      </c>
      <c r="CJ1157" s="994">
        <f>IF(AND(Input_Product=Elig!$C1157,Elig_MatchAll_Ct&lt;22,$BC1157=(Elig_MatchAll_Ct-1),BA1157=0),AE1157,0)</f>
        <v>0</v>
      </c>
    </row>
    <row r="1158" spans="2:88" ht="10.15" customHeight="1" x14ac:dyDescent="0.25">
      <c r="B1158" s="1918" t="s">
        <v>2458</v>
      </c>
      <c r="C1158" s="1218" t="str">
        <f t="shared" si="430"/>
        <v xml:space="preserve"> </v>
      </c>
      <c r="D1158" s="1219" t="s">
        <v>2218</v>
      </c>
      <c r="E1158" s="1219" t="s">
        <v>167</v>
      </c>
      <c r="F1158" s="1219" t="s">
        <v>330</v>
      </c>
      <c r="G1158" s="1220" t="s">
        <v>179</v>
      </c>
      <c r="H1158" s="1220" t="s">
        <v>136</v>
      </c>
      <c r="I1158" s="1219" t="s">
        <v>274</v>
      </c>
      <c r="J1158" s="1219" t="s">
        <v>1311</v>
      </c>
      <c r="K1158" s="1220" t="s">
        <v>3022</v>
      </c>
      <c r="L1158" s="1219" t="s">
        <v>2768</v>
      </c>
      <c r="M1158" s="1219" t="s">
        <v>2677</v>
      </c>
      <c r="N1158" s="1220" t="s">
        <v>2685</v>
      </c>
      <c r="O1158" s="1219" t="s">
        <v>310</v>
      </c>
      <c r="P1158" s="1219" t="s">
        <v>291</v>
      </c>
      <c r="Q1158" s="1219" t="s">
        <v>294</v>
      </c>
      <c r="R1158" s="1219">
        <v>2000000.01</v>
      </c>
      <c r="S1158" s="1219">
        <v>2500000</v>
      </c>
      <c r="T1158" s="1219">
        <v>0</v>
      </c>
      <c r="U1158" s="1219">
        <v>0</v>
      </c>
      <c r="V1158" s="1219">
        <v>0</v>
      </c>
      <c r="W1158" s="1219">
        <v>50</v>
      </c>
      <c r="X1158" s="1219">
        <v>0</v>
      </c>
      <c r="Y1158" s="1219">
        <v>999</v>
      </c>
      <c r="Z1158" s="1221">
        <v>720</v>
      </c>
      <c r="AA1158" s="1221">
        <v>999</v>
      </c>
      <c r="AB1158" s="1221">
        <v>6</v>
      </c>
      <c r="AC1158" s="1221">
        <v>999999</v>
      </c>
      <c r="AD1158" s="1219">
        <v>0</v>
      </c>
      <c r="AE1158" s="1222">
        <v>80</v>
      </c>
      <c r="AF1158" s="170">
        <v>0</v>
      </c>
      <c r="AG1158" s="171">
        <v>1</v>
      </c>
      <c r="AH1158" s="171">
        <v>1</v>
      </c>
      <c r="AI1158" s="171">
        <v>0</v>
      </c>
      <c r="AJ1158" s="171">
        <v>0</v>
      </c>
      <c r="AK1158" s="171">
        <v>1</v>
      </c>
      <c r="AL1158" s="171">
        <v>0</v>
      </c>
      <c r="AM1158" s="171">
        <v>1</v>
      </c>
      <c r="AN1158" s="171">
        <v>1</v>
      </c>
      <c r="AO1158" s="171">
        <v>1</v>
      </c>
      <c r="AP1158" s="171">
        <v>1</v>
      </c>
      <c r="AQ1158" s="171">
        <v>1</v>
      </c>
      <c r="AR1158" s="171">
        <v>1</v>
      </c>
      <c r="AS1158" s="171">
        <v>1</v>
      </c>
      <c r="AT1158" s="171">
        <v>1</v>
      </c>
      <c r="AU1158" s="171">
        <f t="shared" si="419"/>
        <v>0</v>
      </c>
      <c r="AV1158" s="171">
        <f t="shared" si="420"/>
        <v>0</v>
      </c>
      <c r="AW1158" s="171">
        <f t="shared" si="421"/>
        <v>1</v>
      </c>
      <c r="AX1158" s="171">
        <f t="shared" si="429"/>
        <v>1</v>
      </c>
      <c r="AY1158" s="171">
        <f t="shared" si="422"/>
        <v>1</v>
      </c>
      <c r="AZ1158" s="171">
        <f t="shared" si="423"/>
        <v>1</v>
      </c>
      <c r="BA1158" s="172">
        <f t="shared" si="424"/>
        <v>1</v>
      </c>
      <c r="BB1158" s="175">
        <f t="shared" si="425"/>
        <v>16</v>
      </c>
      <c r="BC1158" s="176">
        <f t="shared" si="426"/>
        <v>15</v>
      </c>
      <c r="BD1158" s="176">
        <f t="shared" si="427"/>
        <v>16</v>
      </c>
      <c r="BE1158" s="240" t="str">
        <f t="shared" si="418"/>
        <v/>
      </c>
      <c r="BF1158" s="990"/>
      <c r="BG1158" s="990"/>
      <c r="BH1158" s="991">
        <f>IF(AND(Input_Product=Elig!$C1158,Elig_MatchAll_Ct&lt;22,$BC1158=(Elig_MatchAll_Ct-1),AF1158=0),C1158,0)</f>
        <v>0</v>
      </c>
      <c r="BI1158" s="991">
        <f>IF(AND(Input_Product=Elig!$C1158,Elig_MatchAll_Ct&lt;22,$BC1158=(Elig_MatchAll_Ct-1),AG1158=0),D1158,0)</f>
        <v>0</v>
      </c>
      <c r="BJ1158" s="991">
        <f>IF(AND(Input_Product=Elig!$C1158,Elig_MatchAll_Ct&lt;22,$BC1158=(Elig_MatchAll_Ct-1),AH1158=0),E1158,0)</f>
        <v>0</v>
      </c>
      <c r="BK1158" s="991">
        <f>IF(AND(Input_Product=Elig!$C1158,Elig_MatchAll_Ct&lt;22,$BC1158=(Elig_MatchAll_Ct-1),AI1158=0),F1158,0)</f>
        <v>0</v>
      </c>
      <c r="BL1158" s="991">
        <f>IF(AND(Input_Product=Elig!$C1158,Elig_MatchAll_Ct&lt;22,$BC1158=(Elig_MatchAll_Ct-1),AJ1158=0),G1158,0)</f>
        <v>0</v>
      </c>
      <c r="BM1158" s="991">
        <f>IF(AND(Input_Product=Elig!$C1158,Elig_MatchAll_Ct&lt;22,$BC1158=(Elig_MatchAll_Ct-1),AK1158=0),H1158,0)</f>
        <v>0</v>
      </c>
      <c r="BN1158" s="991">
        <f>IF(AND(Input_Product=Elig!$C1158,Elig_MatchAll_Ct&lt;22,$BC1158=(Elig_MatchAll_Ct-1),AL1158=0),I1158,0)</f>
        <v>0</v>
      </c>
      <c r="BO1158" s="991">
        <f>IF(AND(Input_Product=Elig!$C1158,Elig_MatchAll_Ct&lt;22,$BC1158=(Elig_MatchAll_Ct-1),AM1158=0),J1158,0)</f>
        <v>0</v>
      </c>
      <c r="BP1158" s="991">
        <f>IF(AND(Input_Product=Elig!$C1158,Elig_MatchAll_Ct&lt;22,$BC1158=(Elig_MatchAll_Ct-1),AN1158=0),K1158,0)</f>
        <v>0</v>
      </c>
      <c r="BQ1158" s="991">
        <f>IF(AND(Input_Product=Elig!$C1158,Elig_MatchAll_Ct&lt;22,$BC1158=(Elig_MatchAll_Ct-1),AP1158=0),L1158,0)</f>
        <v>0</v>
      </c>
      <c r="BR1158" s="991">
        <f>IF(AND(Input_Product=Elig!$C1158,Elig_MatchAll_Ct&lt;22,$BC1158=(Elig_MatchAll_Ct-1),AO1158=0),M1158,0)</f>
        <v>0</v>
      </c>
      <c r="BS1158" s="991">
        <f>IF(AND(Input_Product=Elig!$C1158,Elig_MatchAll_Ct&lt;22,$BC1158=(Elig_MatchAll_Ct-1),AQ1158=0),N1158,0)</f>
        <v>0</v>
      </c>
      <c r="BT1158" s="991">
        <f>IF(AND(Input_Product=Elig!$C1158,Elig_MatchAll_Ct&lt;22,$BC1158=(Elig_MatchAll_Ct-1),AR1158=0),O1158,0)</f>
        <v>0</v>
      </c>
      <c r="BU1158" s="991">
        <f>IF(AND(Input_Product=Elig!$C1158,Elig_MatchAll_Ct&lt;22,$BC1158=(Elig_MatchAll_Ct-1),AS1158=0),P1158,0)</f>
        <v>0</v>
      </c>
      <c r="BV1158" s="992">
        <f>IF(AND(Input_Product=Elig!$C1158,Elig_MatchAll_Ct&lt;22,$BC1158=(Elig_MatchAll_Ct-1),AT1158=0),Q1158,0)</f>
        <v>0</v>
      </c>
      <c r="BW1158" s="993">
        <f>IF(AND(Input_Product=Elig!$C1158,Elig_MatchAll_Ct&lt;22,$BC1158=(Elig_MatchAll_Ct-1),AU1158=0),R1158,0)</f>
        <v>0</v>
      </c>
      <c r="BX1158" s="994">
        <f>IF(AND(Input_Product=Elig!$C1158,Elig_MatchAll_Ct&lt;22,$BC1158=(Elig_MatchAll_Ct-1),AU1158=0),S1158,0)</f>
        <v>0</v>
      </c>
      <c r="BY1158" s="993">
        <f>IF(AND(Input_Product=Elig!$C1158,Elig_MatchAll_Ct&lt;22,$BC1158=(Elig_MatchAll_Ct-1),AV1158=0),T1158,0)</f>
        <v>0</v>
      </c>
      <c r="BZ1158" s="994">
        <f>IF(AND(Input_Product=Elig!$C1158,Elig_MatchAll_Ct&lt;22,$BC1158=(Elig_MatchAll_Ct-1),AV1158=0),U1158,0)</f>
        <v>0</v>
      </c>
      <c r="CA1158" s="993">
        <f>IF(AND(Input_Product=Elig!$C1158,Elig_MatchAll_Ct&lt;22,$BC1158=(Elig_MatchAll_Ct-1),AW1158=0),V1158,0)</f>
        <v>0</v>
      </c>
      <c r="CB1158" s="994">
        <f>IF(AND(Input_Product=Elig!$C1158,Elig_MatchAll_Ct&lt;22,$BC1158=(Elig_MatchAll_Ct-1),AW1158=0),W1158,0)</f>
        <v>0</v>
      </c>
      <c r="CC1158" s="993">
        <f>IF(AND(Input_Product=Elig!$C1158,Elig_MatchAll_Ct&lt;22,$BC1158=(Elig_MatchAll_Ct-1),AX1158=0),X1158,0)</f>
        <v>0</v>
      </c>
      <c r="CD1158" s="994">
        <f>IF(AND(Input_Product=Elig!$C1158,Elig_MatchAll_Ct&lt;22,$BC1158=(Elig_MatchAll_Ct-1),AX1158=0),Y1158,0)</f>
        <v>0</v>
      </c>
      <c r="CE1158" s="993">
        <f>IF(AND(Input_LTV&lt;=AE1158,Input_Product=Elig!$C1158,Elig_MatchAll_Ct&lt;22,$BC1158=(Elig_MatchAll_Ct-1),AY1158=0),Z1158,0)</f>
        <v>0</v>
      </c>
      <c r="CF1158" s="994">
        <f>IF(AND(Input_LTV&lt;=AE1158,Input_Product=Elig!$C1158,Elig_MatchAll_Ct&lt;22,$BC1158=(Elig_MatchAll_Ct-1),AY1158=0),AA1158,0)</f>
        <v>0</v>
      </c>
      <c r="CG1158" s="993">
        <f>IF(AND(Input_Product=Elig!$C1158,Elig_MatchAll_Ct&lt;22,$BC1158=(Elig_MatchAll_Ct-1),AZ1158=0),AB1158,0)</f>
        <v>0</v>
      </c>
      <c r="CH1158" s="994">
        <f>IF(AND(Input_Product=Elig!$C1158,Elig_MatchAll_Ct&lt;22,$BC1158=(Elig_MatchAll_Ct-1),AZ1158=0),AC1158,0)</f>
        <v>0</v>
      </c>
      <c r="CI1158" s="993">
        <f>IF(AND(Input_Product=Elig!$C1158,Elig_MatchAll_Ct&lt;22,$BC1158=(Elig_MatchAll_Ct-1),BA1158=0),AD1158,0)</f>
        <v>0</v>
      </c>
      <c r="CJ1158" s="994">
        <f>IF(AND(Input_Product=Elig!$C1158,Elig_MatchAll_Ct&lt;22,$BC1158=(Elig_MatchAll_Ct-1),BA1158=0),AE1158,0)</f>
        <v>0</v>
      </c>
    </row>
    <row r="1159" spans="2:88" ht="10.15" customHeight="1" x14ac:dyDescent="0.25">
      <c r="B1159" s="1918" t="s">
        <v>2459</v>
      </c>
      <c r="C1159" s="1223" t="str">
        <f t="shared" si="430"/>
        <v xml:space="preserve"> </v>
      </c>
      <c r="D1159" s="1224" t="s">
        <v>2218</v>
      </c>
      <c r="E1159" s="1224" t="s">
        <v>167</v>
      </c>
      <c r="F1159" s="1224" t="s">
        <v>330</v>
      </c>
      <c r="G1159" s="1225" t="s">
        <v>179</v>
      </c>
      <c r="H1159" s="1225" t="s">
        <v>136</v>
      </c>
      <c r="I1159" s="1224" t="s">
        <v>274</v>
      </c>
      <c r="J1159" s="1224" t="s">
        <v>1311</v>
      </c>
      <c r="K1159" s="1225" t="s">
        <v>3022</v>
      </c>
      <c r="L1159" s="1224" t="s">
        <v>2768</v>
      </c>
      <c r="M1159" s="1224" t="s">
        <v>2677</v>
      </c>
      <c r="N1159" s="1225" t="s">
        <v>2685</v>
      </c>
      <c r="O1159" s="1224" t="s">
        <v>310</v>
      </c>
      <c r="P1159" s="1224" t="s">
        <v>291</v>
      </c>
      <c r="Q1159" s="1224" t="s">
        <v>294</v>
      </c>
      <c r="R1159" s="1224">
        <v>2000000.01</v>
      </c>
      <c r="S1159" s="1224">
        <v>2500000</v>
      </c>
      <c r="T1159" s="1224">
        <v>0</v>
      </c>
      <c r="U1159" s="1224">
        <v>0</v>
      </c>
      <c r="V1159" s="1224">
        <v>0</v>
      </c>
      <c r="W1159" s="1224">
        <v>50</v>
      </c>
      <c r="X1159" s="1224">
        <v>0</v>
      </c>
      <c r="Y1159" s="1224">
        <v>999</v>
      </c>
      <c r="Z1159" s="1226">
        <v>700</v>
      </c>
      <c r="AA1159" s="1226">
        <v>719</v>
      </c>
      <c r="AB1159" s="1226">
        <v>6</v>
      </c>
      <c r="AC1159" s="1226">
        <v>999999</v>
      </c>
      <c r="AD1159" s="1224">
        <v>0</v>
      </c>
      <c r="AE1159" s="1227">
        <v>75</v>
      </c>
      <c r="AF1159" s="170">
        <v>0</v>
      </c>
      <c r="AG1159" s="171">
        <v>1</v>
      </c>
      <c r="AH1159" s="171">
        <v>1</v>
      </c>
      <c r="AI1159" s="171">
        <v>0</v>
      </c>
      <c r="AJ1159" s="171">
        <v>0</v>
      </c>
      <c r="AK1159" s="171">
        <v>1</v>
      </c>
      <c r="AL1159" s="171">
        <v>0</v>
      </c>
      <c r="AM1159" s="171">
        <v>1</v>
      </c>
      <c r="AN1159" s="171">
        <v>1</v>
      </c>
      <c r="AO1159" s="171">
        <v>1</v>
      </c>
      <c r="AP1159" s="171">
        <v>1</v>
      </c>
      <c r="AQ1159" s="171">
        <v>1</v>
      </c>
      <c r="AR1159" s="171">
        <v>1</v>
      </c>
      <c r="AS1159" s="171">
        <v>1</v>
      </c>
      <c r="AT1159" s="171">
        <v>1</v>
      </c>
      <c r="AU1159" s="171">
        <f t="shared" si="419"/>
        <v>0</v>
      </c>
      <c r="AV1159" s="171">
        <f t="shared" si="420"/>
        <v>0</v>
      </c>
      <c r="AW1159" s="171">
        <f t="shared" si="421"/>
        <v>1</v>
      </c>
      <c r="AX1159" s="171">
        <f t="shared" si="429"/>
        <v>1</v>
      </c>
      <c r="AY1159" s="171">
        <f t="shared" si="422"/>
        <v>0</v>
      </c>
      <c r="AZ1159" s="171">
        <f t="shared" si="423"/>
        <v>1</v>
      </c>
      <c r="BA1159" s="172">
        <f t="shared" si="424"/>
        <v>1</v>
      </c>
      <c r="BB1159" s="175">
        <f t="shared" si="425"/>
        <v>15</v>
      </c>
      <c r="BC1159" s="176">
        <f t="shared" si="426"/>
        <v>14</v>
      </c>
      <c r="BD1159" s="176">
        <f t="shared" si="427"/>
        <v>15</v>
      </c>
      <c r="BE1159" s="240" t="str">
        <f t="shared" ref="BE1159:BE1222" si="431">IF(BD1159=21,C1159,"")</f>
        <v/>
      </c>
      <c r="BF1159" s="990"/>
      <c r="BG1159" s="990"/>
      <c r="BH1159" s="991">
        <f>IF(AND(Input_Product=Elig!$C1159,Elig_MatchAll_Ct&lt;22,$BC1159=(Elig_MatchAll_Ct-1),AF1159=0),C1159,0)</f>
        <v>0</v>
      </c>
      <c r="BI1159" s="991">
        <f>IF(AND(Input_Product=Elig!$C1159,Elig_MatchAll_Ct&lt;22,$BC1159=(Elig_MatchAll_Ct-1),AG1159=0),D1159,0)</f>
        <v>0</v>
      </c>
      <c r="BJ1159" s="991">
        <f>IF(AND(Input_Product=Elig!$C1159,Elig_MatchAll_Ct&lt;22,$BC1159=(Elig_MatchAll_Ct-1),AH1159=0),E1159,0)</f>
        <v>0</v>
      </c>
      <c r="BK1159" s="991">
        <f>IF(AND(Input_Product=Elig!$C1159,Elig_MatchAll_Ct&lt;22,$BC1159=(Elig_MatchAll_Ct-1),AI1159=0),F1159,0)</f>
        <v>0</v>
      </c>
      <c r="BL1159" s="991">
        <f>IF(AND(Input_Product=Elig!$C1159,Elig_MatchAll_Ct&lt;22,$BC1159=(Elig_MatchAll_Ct-1),AJ1159=0),G1159,0)</f>
        <v>0</v>
      </c>
      <c r="BM1159" s="991">
        <f>IF(AND(Input_Product=Elig!$C1159,Elig_MatchAll_Ct&lt;22,$BC1159=(Elig_MatchAll_Ct-1),AK1159=0),H1159,0)</f>
        <v>0</v>
      </c>
      <c r="BN1159" s="991">
        <f>IF(AND(Input_Product=Elig!$C1159,Elig_MatchAll_Ct&lt;22,$BC1159=(Elig_MatchAll_Ct-1),AL1159=0),I1159,0)</f>
        <v>0</v>
      </c>
      <c r="BO1159" s="991">
        <f>IF(AND(Input_Product=Elig!$C1159,Elig_MatchAll_Ct&lt;22,$BC1159=(Elig_MatchAll_Ct-1),AM1159=0),J1159,0)</f>
        <v>0</v>
      </c>
      <c r="BP1159" s="991">
        <f>IF(AND(Input_Product=Elig!$C1159,Elig_MatchAll_Ct&lt;22,$BC1159=(Elig_MatchAll_Ct-1),AN1159=0),K1159,0)</f>
        <v>0</v>
      </c>
      <c r="BQ1159" s="991">
        <f>IF(AND(Input_Product=Elig!$C1159,Elig_MatchAll_Ct&lt;22,$BC1159=(Elig_MatchAll_Ct-1),AP1159=0),L1159,0)</f>
        <v>0</v>
      </c>
      <c r="BR1159" s="991">
        <f>IF(AND(Input_Product=Elig!$C1159,Elig_MatchAll_Ct&lt;22,$BC1159=(Elig_MatchAll_Ct-1),AO1159=0),M1159,0)</f>
        <v>0</v>
      </c>
      <c r="BS1159" s="991">
        <f>IF(AND(Input_Product=Elig!$C1159,Elig_MatchAll_Ct&lt;22,$BC1159=(Elig_MatchAll_Ct-1),AQ1159=0),N1159,0)</f>
        <v>0</v>
      </c>
      <c r="BT1159" s="991">
        <f>IF(AND(Input_Product=Elig!$C1159,Elig_MatchAll_Ct&lt;22,$BC1159=(Elig_MatchAll_Ct-1),AR1159=0),O1159,0)</f>
        <v>0</v>
      </c>
      <c r="BU1159" s="991">
        <f>IF(AND(Input_Product=Elig!$C1159,Elig_MatchAll_Ct&lt;22,$BC1159=(Elig_MatchAll_Ct-1),AS1159=0),P1159,0)</f>
        <v>0</v>
      </c>
      <c r="BV1159" s="992">
        <f>IF(AND(Input_Product=Elig!$C1159,Elig_MatchAll_Ct&lt;22,$BC1159=(Elig_MatchAll_Ct-1),AT1159=0),Q1159,0)</f>
        <v>0</v>
      </c>
      <c r="BW1159" s="993">
        <f>IF(AND(Input_Product=Elig!$C1159,Elig_MatchAll_Ct&lt;22,$BC1159=(Elig_MatchAll_Ct-1),AU1159=0),R1159,0)</f>
        <v>0</v>
      </c>
      <c r="BX1159" s="994">
        <f>IF(AND(Input_Product=Elig!$C1159,Elig_MatchAll_Ct&lt;22,$BC1159=(Elig_MatchAll_Ct-1),AU1159=0),S1159,0)</f>
        <v>0</v>
      </c>
      <c r="BY1159" s="993">
        <f>IF(AND(Input_Product=Elig!$C1159,Elig_MatchAll_Ct&lt;22,$BC1159=(Elig_MatchAll_Ct-1),AV1159=0),T1159,0)</f>
        <v>0</v>
      </c>
      <c r="BZ1159" s="994">
        <f>IF(AND(Input_Product=Elig!$C1159,Elig_MatchAll_Ct&lt;22,$BC1159=(Elig_MatchAll_Ct-1),AV1159=0),U1159,0)</f>
        <v>0</v>
      </c>
      <c r="CA1159" s="993">
        <f>IF(AND(Input_Product=Elig!$C1159,Elig_MatchAll_Ct&lt;22,$BC1159=(Elig_MatchAll_Ct-1),AW1159=0),V1159,0)</f>
        <v>0</v>
      </c>
      <c r="CB1159" s="994">
        <f>IF(AND(Input_Product=Elig!$C1159,Elig_MatchAll_Ct&lt;22,$BC1159=(Elig_MatchAll_Ct-1),AW1159=0),W1159,0)</f>
        <v>0</v>
      </c>
      <c r="CC1159" s="993">
        <f>IF(AND(Input_Product=Elig!$C1159,Elig_MatchAll_Ct&lt;22,$BC1159=(Elig_MatchAll_Ct-1),AX1159=0),X1159,0)</f>
        <v>0</v>
      </c>
      <c r="CD1159" s="994">
        <f>IF(AND(Input_Product=Elig!$C1159,Elig_MatchAll_Ct&lt;22,$BC1159=(Elig_MatchAll_Ct-1),AX1159=0),Y1159,0)</f>
        <v>0</v>
      </c>
      <c r="CE1159" s="993">
        <f>IF(AND(Input_LTV&lt;=AE1159,Input_Product=Elig!$C1159,Elig_MatchAll_Ct&lt;22,$BC1159=(Elig_MatchAll_Ct-1),AY1159=0),Z1159,0)</f>
        <v>0</v>
      </c>
      <c r="CF1159" s="994">
        <f>IF(AND(Input_LTV&lt;=AE1159,Input_Product=Elig!$C1159,Elig_MatchAll_Ct&lt;22,$BC1159=(Elig_MatchAll_Ct-1),AY1159=0),AA1159,0)</f>
        <v>0</v>
      </c>
      <c r="CG1159" s="993">
        <f>IF(AND(Input_Product=Elig!$C1159,Elig_MatchAll_Ct&lt;22,$BC1159=(Elig_MatchAll_Ct-1),AZ1159=0),AB1159,0)</f>
        <v>0</v>
      </c>
      <c r="CH1159" s="994">
        <f>IF(AND(Input_Product=Elig!$C1159,Elig_MatchAll_Ct&lt;22,$BC1159=(Elig_MatchAll_Ct-1),AZ1159=0),AC1159,0)</f>
        <v>0</v>
      </c>
      <c r="CI1159" s="993">
        <f>IF(AND(Input_Product=Elig!$C1159,Elig_MatchAll_Ct&lt;22,$BC1159=(Elig_MatchAll_Ct-1),BA1159=0),AD1159,0)</f>
        <v>0</v>
      </c>
      <c r="CJ1159" s="994">
        <f>IF(AND(Input_Product=Elig!$C1159,Elig_MatchAll_Ct&lt;22,$BC1159=(Elig_MatchAll_Ct-1),BA1159=0),AE1159,0)</f>
        <v>0</v>
      </c>
    </row>
    <row r="1160" spans="2:88" ht="10.15" customHeight="1" x14ac:dyDescent="0.25">
      <c r="B1160" s="1918" t="s">
        <v>2460</v>
      </c>
      <c r="C1160" s="1228" t="str">
        <f t="shared" si="430"/>
        <v xml:space="preserve"> </v>
      </c>
      <c r="D1160" s="1229" t="s">
        <v>2218</v>
      </c>
      <c r="E1160" s="1229" t="s">
        <v>167</v>
      </c>
      <c r="F1160" s="1229" t="s">
        <v>330</v>
      </c>
      <c r="G1160" s="1230" t="s">
        <v>179</v>
      </c>
      <c r="H1160" s="1230" t="s">
        <v>136</v>
      </c>
      <c r="I1160" s="1229" t="s">
        <v>274</v>
      </c>
      <c r="J1160" s="1229" t="s">
        <v>1311</v>
      </c>
      <c r="K1160" s="1230" t="s">
        <v>3022</v>
      </c>
      <c r="L1160" s="1229" t="s">
        <v>2768</v>
      </c>
      <c r="M1160" s="1229" t="s">
        <v>2677</v>
      </c>
      <c r="N1160" s="1230" t="s">
        <v>2685</v>
      </c>
      <c r="O1160" s="1229" t="s">
        <v>310</v>
      </c>
      <c r="P1160" s="1229" t="s">
        <v>291</v>
      </c>
      <c r="Q1160" s="1229" t="s">
        <v>294</v>
      </c>
      <c r="R1160" s="1229">
        <v>2000000.01</v>
      </c>
      <c r="S1160" s="1229">
        <v>2500000</v>
      </c>
      <c r="T1160" s="1229">
        <v>0</v>
      </c>
      <c r="U1160" s="1229">
        <v>0</v>
      </c>
      <c r="V1160" s="1229">
        <v>0</v>
      </c>
      <c r="W1160" s="1229">
        <v>50</v>
      </c>
      <c r="X1160" s="1229">
        <v>0</v>
      </c>
      <c r="Y1160" s="1229">
        <v>999</v>
      </c>
      <c r="Z1160" s="1231">
        <v>680</v>
      </c>
      <c r="AA1160" s="1231">
        <v>699</v>
      </c>
      <c r="AB1160" s="1231">
        <v>6</v>
      </c>
      <c r="AC1160" s="1231">
        <v>999999</v>
      </c>
      <c r="AD1160" s="1229">
        <v>0</v>
      </c>
      <c r="AE1160" s="1232">
        <v>75</v>
      </c>
      <c r="AF1160" s="170">
        <v>0</v>
      </c>
      <c r="AG1160" s="171">
        <v>1</v>
      </c>
      <c r="AH1160" s="171">
        <v>1</v>
      </c>
      <c r="AI1160" s="171">
        <v>0</v>
      </c>
      <c r="AJ1160" s="171">
        <v>0</v>
      </c>
      <c r="AK1160" s="171">
        <v>1</v>
      </c>
      <c r="AL1160" s="171">
        <v>0</v>
      </c>
      <c r="AM1160" s="171">
        <v>1</v>
      </c>
      <c r="AN1160" s="171">
        <v>1</v>
      </c>
      <c r="AO1160" s="171">
        <v>1</v>
      </c>
      <c r="AP1160" s="171">
        <v>1</v>
      </c>
      <c r="AQ1160" s="171">
        <v>1</v>
      </c>
      <c r="AR1160" s="171">
        <v>1</v>
      </c>
      <c r="AS1160" s="171">
        <v>1</v>
      </c>
      <c r="AT1160" s="171">
        <v>1</v>
      </c>
      <c r="AU1160" s="171">
        <f t="shared" si="419"/>
        <v>0</v>
      </c>
      <c r="AV1160" s="171">
        <f t="shared" si="420"/>
        <v>0</v>
      </c>
      <c r="AW1160" s="171">
        <f t="shared" si="421"/>
        <v>1</v>
      </c>
      <c r="AX1160" s="171">
        <f t="shared" si="429"/>
        <v>1</v>
      </c>
      <c r="AY1160" s="171">
        <f t="shared" si="422"/>
        <v>0</v>
      </c>
      <c r="AZ1160" s="171">
        <f t="shared" si="423"/>
        <v>1</v>
      </c>
      <c r="BA1160" s="172">
        <f t="shared" si="424"/>
        <v>1</v>
      </c>
      <c r="BB1160" s="175">
        <f t="shared" si="425"/>
        <v>15</v>
      </c>
      <c r="BC1160" s="176">
        <f t="shared" si="426"/>
        <v>14</v>
      </c>
      <c r="BD1160" s="176">
        <f t="shared" si="427"/>
        <v>15</v>
      </c>
      <c r="BE1160" s="240" t="str">
        <f t="shared" si="431"/>
        <v/>
      </c>
      <c r="BF1160" s="990"/>
      <c r="BG1160" s="990"/>
      <c r="BH1160" s="991">
        <f>IF(AND(Input_Product=Elig!$C1160,Elig_MatchAll_Ct&lt;22,$BC1160=(Elig_MatchAll_Ct-1),AF1160=0),C1160,0)</f>
        <v>0</v>
      </c>
      <c r="BI1160" s="991">
        <f>IF(AND(Input_Product=Elig!$C1160,Elig_MatchAll_Ct&lt;22,$BC1160=(Elig_MatchAll_Ct-1),AG1160=0),D1160,0)</f>
        <v>0</v>
      </c>
      <c r="BJ1160" s="991">
        <f>IF(AND(Input_Product=Elig!$C1160,Elig_MatchAll_Ct&lt;22,$BC1160=(Elig_MatchAll_Ct-1),AH1160=0),E1160,0)</f>
        <v>0</v>
      </c>
      <c r="BK1160" s="991">
        <f>IF(AND(Input_Product=Elig!$C1160,Elig_MatchAll_Ct&lt;22,$BC1160=(Elig_MatchAll_Ct-1),AI1160=0),F1160,0)</f>
        <v>0</v>
      </c>
      <c r="BL1160" s="991">
        <f>IF(AND(Input_Product=Elig!$C1160,Elig_MatchAll_Ct&lt;22,$BC1160=(Elig_MatchAll_Ct-1),AJ1160=0),G1160,0)</f>
        <v>0</v>
      </c>
      <c r="BM1160" s="991">
        <f>IF(AND(Input_Product=Elig!$C1160,Elig_MatchAll_Ct&lt;22,$BC1160=(Elig_MatchAll_Ct-1),AK1160=0),H1160,0)</f>
        <v>0</v>
      </c>
      <c r="BN1160" s="991">
        <f>IF(AND(Input_Product=Elig!$C1160,Elig_MatchAll_Ct&lt;22,$BC1160=(Elig_MatchAll_Ct-1),AL1160=0),I1160,0)</f>
        <v>0</v>
      </c>
      <c r="BO1160" s="991">
        <f>IF(AND(Input_Product=Elig!$C1160,Elig_MatchAll_Ct&lt;22,$BC1160=(Elig_MatchAll_Ct-1),AM1160=0),J1160,0)</f>
        <v>0</v>
      </c>
      <c r="BP1160" s="991">
        <f>IF(AND(Input_Product=Elig!$C1160,Elig_MatchAll_Ct&lt;22,$BC1160=(Elig_MatchAll_Ct-1),AN1160=0),K1160,0)</f>
        <v>0</v>
      </c>
      <c r="BQ1160" s="991">
        <f>IF(AND(Input_Product=Elig!$C1160,Elig_MatchAll_Ct&lt;22,$BC1160=(Elig_MatchAll_Ct-1),AP1160=0),L1160,0)</f>
        <v>0</v>
      </c>
      <c r="BR1160" s="991">
        <f>IF(AND(Input_Product=Elig!$C1160,Elig_MatchAll_Ct&lt;22,$BC1160=(Elig_MatchAll_Ct-1),AO1160=0),M1160,0)</f>
        <v>0</v>
      </c>
      <c r="BS1160" s="991">
        <f>IF(AND(Input_Product=Elig!$C1160,Elig_MatchAll_Ct&lt;22,$BC1160=(Elig_MatchAll_Ct-1),AQ1160=0),N1160,0)</f>
        <v>0</v>
      </c>
      <c r="BT1160" s="991">
        <f>IF(AND(Input_Product=Elig!$C1160,Elig_MatchAll_Ct&lt;22,$BC1160=(Elig_MatchAll_Ct-1),AR1160=0),O1160,0)</f>
        <v>0</v>
      </c>
      <c r="BU1160" s="991">
        <f>IF(AND(Input_Product=Elig!$C1160,Elig_MatchAll_Ct&lt;22,$BC1160=(Elig_MatchAll_Ct-1),AS1160=0),P1160,0)</f>
        <v>0</v>
      </c>
      <c r="BV1160" s="992">
        <f>IF(AND(Input_Product=Elig!$C1160,Elig_MatchAll_Ct&lt;22,$BC1160=(Elig_MatchAll_Ct-1),AT1160=0),Q1160,0)</f>
        <v>0</v>
      </c>
      <c r="BW1160" s="993">
        <f>IF(AND(Input_Product=Elig!$C1160,Elig_MatchAll_Ct&lt;22,$BC1160=(Elig_MatchAll_Ct-1),AU1160=0),R1160,0)</f>
        <v>0</v>
      </c>
      <c r="BX1160" s="994">
        <f>IF(AND(Input_Product=Elig!$C1160,Elig_MatchAll_Ct&lt;22,$BC1160=(Elig_MatchAll_Ct-1),AU1160=0),S1160,0)</f>
        <v>0</v>
      </c>
      <c r="BY1160" s="993">
        <f>IF(AND(Input_Product=Elig!$C1160,Elig_MatchAll_Ct&lt;22,$BC1160=(Elig_MatchAll_Ct-1),AV1160=0),T1160,0)</f>
        <v>0</v>
      </c>
      <c r="BZ1160" s="994">
        <f>IF(AND(Input_Product=Elig!$C1160,Elig_MatchAll_Ct&lt;22,$BC1160=(Elig_MatchAll_Ct-1),AV1160=0),U1160,0)</f>
        <v>0</v>
      </c>
      <c r="CA1160" s="993">
        <f>IF(AND(Input_Product=Elig!$C1160,Elig_MatchAll_Ct&lt;22,$BC1160=(Elig_MatchAll_Ct-1),AW1160=0),V1160,0)</f>
        <v>0</v>
      </c>
      <c r="CB1160" s="994">
        <f>IF(AND(Input_Product=Elig!$C1160,Elig_MatchAll_Ct&lt;22,$BC1160=(Elig_MatchAll_Ct-1),AW1160=0),W1160,0)</f>
        <v>0</v>
      </c>
      <c r="CC1160" s="993">
        <f>IF(AND(Input_Product=Elig!$C1160,Elig_MatchAll_Ct&lt;22,$BC1160=(Elig_MatchAll_Ct-1),AX1160=0),X1160,0)</f>
        <v>0</v>
      </c>
      <c r="CD1160" s="994">
        <f>IF(AND(Input_Product=Elig!$C1160,Elig_MatchAll_Ct&lt;22,$BC1160=(Elig_MatchAll_Ct-1),AX1160=0),Y1160,0)</f>
        <v>0</v>
      </c>
      <c r="CE1160" s="993">
        <f>IF(AND(Input_LTV&lt;=AE1160,Input_Product=Elig!$C1160,Elig_MatchAll_Ct&lt;22,$BC1160=(Elig_MatchAll_Ct-1),AY1160=0),Z1160,0)</f>
        <v>0</v>
      </c>
      <c r="CF1160" s="994">
        <f>IF(AND(Input_LTV&lt;=AE1160,Input_Product=Elig!$C1160,Elig_MatchAll_Ct&lt;22,$BC1160=(Elig_MatchAll_Ct-1),AY1160=0),AA1160,0)</f>
        <v>0</v>
      </c>
      <c r="CG1160" s="993">
        <f>IF(AND(Input_Product=Elig!$C1160,Elig_MatchAll_Ct&lt;22,$BC1160=(Elig_MatchAll_Ct-1),AZ1160=0),AB1160,0)</f>
        <v>0</v>
      </c>
      <c r="CH1160" s="994">
        <f>IF(AND(Input_Product=Elig!$C1160,Elig_MatchAll_Ct&lt;22,$BC1160=(Elig_MatchAll_Ct-1),AZ1160=0),AC1160,0)</f>
        <v>0</v>
      </c>
      <c r="CI1160" s="993">
        <f>IF(AND(Input_Product=Elig!$C1160,Elig_MatchAll_Ct&lt;22,$BC1160=(Elig_MatchAll_Ct-1),BA1160=0),AD1160,0)</f>
        <v>0</v>
      </c>
      <c r="CJ1160" s="994">
        <f>IF(AND(Input_Product=Elig!$C1160,Elig_MatchAll_Ct&lt;22,$BC1160=(Elig_MatchAll_Ct-1),BA1160=0),AE1160,0)</f>
        <v>0</v>
      </c>
    </row>
    <row r="1161" spans="2:88" ht="10.15" customHeight="1" x14ac:dyDescent="0.25">
      <c r="B1161" s="1918" t="s">
        <v>2461</v>
      </c>
      <c r="C1161" s="1218" t="str">
        <f t="shared" si="430"/>
        <v xml:space="preserve"> </v>
      </c>
      <c r="D1161" s="1219" t="s">
        <v>2218</v>
      </c>
      <c r="E1161" s="1219" t="s">
        <v>167</v>
      </c>
      <c r="F1161" s="1219" t="s">
        <v>330</v>
      </c>
      <c r="G1161" s="1220" t="s">
        <v>179</v>
      </c>
      <c r="H1161" s="1220" t="s">
        <v>136</v>
      </c>
      <c r="I1161" s="1219" t="s">
        <v>274</v>
      </c>
      <c r="J1161" s="1219" t="s">
        <v>1311</v>
      </c>
      <c r="K1161" s="1220" t="s">
        <v>3022</v>
      </c>
      <c r="L1161" s="1219" t="s">
        <v>2768</v>
      </c>
      <c r="M1161" s="1219" t="s">
        <v>2677</v>
      </c>
      <c r="N1161" s="1220" t="s">
        <v>2685</v>
      </c>
      <c r="O1161" s="1219" t="s">
        <v>310</v>
      </c>
      <c r="P1161" s="1219" t="s">
        <v>291</v>
      </c>
      <c r="Q1161" s="1219" t="s">
        <v>294</v>
      </c>
      <c r="R1161" s="1219">
        <v>2500000.0099999998</v>
      </c>
      <c r="S1161" s="1219">
        <v>3000000</v>
      </c>
      <c r="T1161" s="1219">
        <v>0</v>
      </c>
      <c r="U1161" s="1219">
        <v>0</v>
      </c>
      <c r="V1161" s="1219">
        <v>0</v>
      </c>
      <c r="W1161" s="1219">
        <v>50</v>
      </c>
      <c r="X1161" s="1219">
        <v>0</v>
      </c>
      <c r="Y1161" s="1219">
        <v>999</v>
      </c>
      <c r="Z1161" s="1221">
        <v>720</v>
      </c>
      <c r="AA1161" s="1221">
        <v>999</v>
      </c>
      <c r="AB1161" s="1221">
        <v>6</v>
      </c>
      <c r="AC1161" s="1221">
        <v>999999</v>
      </c>
      <c r="AD1161" s="1219">
        <v>0</v>
      </c>
      <c r="AE1161" s="1222">
        <v>75</v>
      </c>
      <c r="AF1161" s="170">
        <v>0</v>
      </c>
      <c r="AG1161" s="171">
        <v>1</v>
      </c>
      <c r="AH1161" s="171">
        <v>1</v>
      </c>
      <c r="AI1161" s="171">
        <v>0</v>
      </c>
      <c r="AJ1161" s="171">
        <v>0</v>
      </c>
      <c r="AK1161" s="171">
        <v>1</v>
      </c>
      <c r="AL1161" s="171">
        <v>0</v>
      </c>
      <c r="AM1161" s="171">
        <v>1</v>
      </c>
      <c r="AN1161" s="171">
        <v>1</v>
      </c>
      <c r="AO1161" s="171">
        <v>1</v>
      </c>
      <c r="AP1161" s="171">
        <v>1</v>
      </c>
      <c r="AQ1161" s="171">
        <v>1</v>
      </c>
      <c r="AR1161" s="171">
        <v>1</v>
      </c>
      <c r="AS1161" s="171">
        <v>1</v>
      </c>
      <c r="AT1161" s="171">
        <v>1</v>
      </c>
      <c r="AU1161" s="171">
        <f t="shared" si="419"/>
        <v>0</v>
      </c>
      <c r="AV1161" s="171">
        <f t="shared" si="420"/>
        <v>0</v>
      </c>
      <c r="AW1161" s="171">
        <f t="shared" si="421"/>
        <v>1</v>
      </c>
      <c r="AX1161" s="171">
        <f t="shared" si="429"/>
        <v>1</v>
      </c>
      <c r="AY1161" s="171">
        <f t="shared" si="422"/>
        <v>1</v>
      </c>
      <c r="AZ1161" s="171">
        <f t="shared" si="423"/>
        <v>1</v>
      </c>
      <c r="BA1161" s="172">
        <f t="shared" si="424"/>
        <v>1</v>
      </c>
      <c r="BB1161" s="175">
        <f t="shared" si="425"/>
        <v>16</v>
      </c>
      <c r="BC1161" s="176">
        <f t="shared" si="426"/>
        <v>15</v>
      </c>
      <c r="BD1161" s="176">
        <f t="shared" si="427"/>
        <v>16</v>
      </c>
      <c r="BE1161" s="240" t="str">
        <f t="shared" si="431"/>
        <v/>
      </c>
      <c r="BF1161" s="990"/>
      <c r="BG1161" s="990"/>
      <c r="BH1161" s="991">
        <f>IF(AND(Input_Product=Elig!$C1161,Elig_MatchAll_Ct&lt;22,$BC1161=(Elig_MatchAll_Ct-1),AF1161=0),C1161,0)</f>
        <v>0</v>
      </c>
      <c r="BI1161" s="991">
        <f>IF(AND(Input_Product=Elig!$C1161,Elig_MatchAll_Ct&lt;22,$BC1161=(Elig_MatchAll_Ct-1),AG1161=0),D1161,0)</f>
        <v>0</v>
      </c>
      <c r="BJ1161" s="991">
        <f>IF(AND(Input_Product=Elig!$C1161,Elig_MatchAll_Ct&lt;22,$BC1161=(Elig_MatchAll_Ct-1),AH1161=0),E1161,0)</f>
        <v>0</v>
      </c>
      <c r="BK1161" s="991">
        <f>IF(AND(Input_Product=Elig!$C1161,Elig_MatchAll_Ct&lt;22,$BC1161=(Elig_MatchAll_Ct-1),AI1161=0),F1161,0)</f>
        <v>0</v>
      </c>
      <c r="BL1161" s="991">
        <f>IF(AND(Input_Product=Elig!$C1161,Elig_MatchAll_Ct&lt;22,$BC1161=(Elig_MatchAll_Ct-1),AJ1161=0),G1161,0)</f>
        <v>0</v>
      </c>
      <c r="BM1161" s="991">
        <f>IF(AND(Input_Product=Elig!$C1161,Elig_MatchAll_Ct&lt;22,$BC1161=(Elig_MatchAll_Ct-1),AK1161=0),H1161,0)</f>
        <v>0</v>
      </c>
      <c r="BN1161" s="991">
        <f>IF(AND(Input_Product=Elig!$C1161,Elig_MatchAll_Ct&lt;22,$BC1161=(Elig_MatchAll_Ct-1),AL1161=0),I1161,0)</f>
        <v>0</v>
      </c>
      <c r="BO1161" s="991">
        <f>IF(AND(Input_Product=Elig!$C1161,Elig_MatchAll_Ct&lt;22,$BC1161=(Elig_MatchAll_Ct-1),AM1161=0),J1161,0)</f>
        <v>0</v>
      </c>
      <c r="BP1161" s="991">
        <f>IF(AND(Input_Product=Elig!$C1161,Elig_MatchAll_Ct&lt;22,$BC1161=(Elig_MatchAll_Ct-1),AN1161=0),K1161,0)</f>
        <v>0</v>
      </c>
      <c r="BQ1161" s="991">
        <f>IF(AND(Input_Product=Elig!$C1161,Elig_MatchAll_Ct&lt;22,$BC1161=(Elig_MatchAll_Ct-1),AP1161=0),L1161,0)</f>
        <v>0</v>
      </c>
      <c r="BR1161" s="991">
        <f>IF(AND(Input_Product=Elig!$C1161,Elig_MatchAll_Ct&lt;22,$BC1161=(Elig_MatchAll_Ct-1),AO1161=0),M1161,0)</f>
        <v>0</v>
      </c>
      <c r="BS1161" s="991">
        <f>IF(AND(Input_Product=Elig!$C1161,Elig_MatchAll_Ct&lt;22,$BC1161=(Elig_MatchAll_Ct-1),AQ1161=0),N1161,0)</f>
        <v>0</v>
      </c>
      <c r="BT1161" s="991">
        <f>IF(AND(Input_Product=Elig!$C1161,Elig_MatchAll_Ct&lt;22,$BC1161=(Elig_MatchAll_Ct-1),AR1161=0),O1161,0)</f>
        <v>0</v>
      </c>
      <c r="BU1161" s="991">
        <f>IF(AND(Input_Product=Elig!$C1161,Elig_MatchAll_Ct&lt;22,$BC1161=(Elig_MatchAll_Ct-1),AS1161=0),P1161,0)</f>
        <v>0</v>
      </c>
      <c r="BV1161" s="992">
        <f>IF(AND(Input_Product=Elig!$C1161,Elig_MatchAll_Ct&lt;22,$BC1161=(Elig_MatchAll_Ct-1),AT1161=0),Q1161,0)</f>
        <v>0</v>
      </c>
      <c r="BW1161" s="993">
        <f>IF(AND(Input_Product=Elig!$C1161,Elig_MatchAll_Ct&lt;22,$BC1161=(Elig_MatchAll_Ct-1),AU1161=0),R1161,0)</f>
        <v>0</v>
      </c>
      <c r="BX1161" s="994">
        <f>IF(AND(Input_Product=Elig!$C1161,Elig_MatchAll_Ct&lt;22,$BC1161=(Elig_MatchAll_Ct-1),AU1161=0),S1161,0)</f>
        <v>0</v>
      </c>
      <c r="BY1161" s="993">
        <f>IF(AND(Input_Product=Elig!$C1161,Elig_MatchAll_Ct&lt;22,$BC1161=(Elig_MatchAll_Ct-1),AV1161=0),T1161,0)</f>
        <v>0</v>
      </c>
      <c r="BZ1161" s="994">
        <f>IF(AND(Input_Product=Elig!$C1161,Elig_MatchAll_Ct&lt;22,$BC1161=(Elig_MatchAll_Ct-1),AV1161=0),U1161,0)</f>
        <v>0</v>
      </c>
      <c r="CA1161" s="993">
        <f>IF(AND(Input_Product=Elig!$C1161,Elig_MatchAll_Ct&lt;22,$BC1161=(Elig_MatchAll_Ct-1),AW1161=0),V1161,0)</f>
        <v>0</v>
      </c>
      <c r="CB1161" s="994">
        <f>IF(AND(Input_Product=Elig!$C1161,Elig_MatchAll_Ct&lt;22,$BC1161=(Elig_MatchAll_Ct-1),AW1161=0),W1161,0)</f>
        <v>0</v>
      </c>
      <c r="CC1161" s="993">
        <f>IF(AND(Input_Product=Elig!$C1161,Elig_MatchAll_Ct&lt;22,$BC1161=(Elig_MatchAll_Ct-1),AX1161=0),X1161,0)</f>
        <v>0</v>
      </c>
      <c r="CD1161" s="994">
        <f>IF(AND(Input_Product=Elig!$C1161,Elig_MatchAll_Ct&lt;22,$BC1161=(Elig_MatchAll_Ct-1),AX1161=0),Y1161,0)</f>
        <v>0</v>
      </c>
      <c r="CE1161" s="993">
        <f>IF(AND(Input_LTV&lt;=AE1161,Input_Product=Elig!$C1161,Elig_MatchAll_Ct&lt;22,$BC1161=(Elig_MatchAll_Ct-1),AY1161=0),Z1161,0)</f>
        <v>0</v>
      </c>
      <c r="CF1161" s="994">
        <f>IF(AND(Input_LTV&lt;=AE1161,Input_Product=Elig!$C1161,Elig_MatchAll_Ct&lt;22,$BC1161=(Elig_MatchAll_Ct-1),AY1161=0),AA1161,0)</f>
        <v>0</v>
      </c>
      <c r="CG1161" s="993">
        <f>IF(AND(Input_Product=Elig!$C1161,Elig_MatchAll_Ct&lt;22,$BC1161=(Elig_MatchAll_Ct-1),AZ1161=0),AB1161,0)</f>
        <v>0</v>
      </c>
      <c r="CH1161" s="994">
        <f>IF(AND(Input_Product=Elig!$C1161,Elig_MatchAll_Ct&lt;22,$BC1161=(Elig_MatchAll_Ct-1),AZ1161=0),AC1161,0)</f>
        <v>0</v>
      </c>
      <c r="CI1161" s="993">
        <f>IF(AND(Input_Product=Elig!$C1161,Elig_MatchAll_Ct&lt;22,$BC1161=(Elig_MatchAll_Ct-1),BA1161=0),AD1161,0)</f>
        <v>0</v>
      </c>
      <c r="CJ1161" s="994">
        <f>IF(AND(Input_Product=Elig!$C1161,Elig_MatchAll_Ct&lt;22,$BC1161=(Elig_MatchAll_Ct-1),BA1161=0),AE1161,0)</f>
        <v>0</v>
      </c>
    </row>
    <row r="1162" spans="2:88" ht="10.15" customHeight="1" x14ac:dyDescent="0.25">
      <c r="B1162" s="1918" t="s">
        <v>2462</v>
      </c>
      <c r="C1162" s="1223" t="str">
        <f t="shared" si="430"/>
        <v xml:space="preserve"> </v>
      </c>
      <c r="D1162" s="1224" t="s">
        <v>2218</v>
      </c>
      <c r="E1162" s="1224" t="s">
        <v>167</v>
      </c>
      <c r="F1162" s="1224" t="s">
        <v>330</v>
      </c>
      <c r="G1162" s="1225" t="s">
        <v>179</v>
      </c>
      <c r="H1162" s="1225" t="s">
        <v>136</v>
      </c>
      <c r="I1162" s="1224" t="s">
        <v>274</v>
      </c>
      <c r="J1162" s="1224" t="s">
        <v>1311</v>
      </c>
      <c r="K1162" s="1225" t="s">
        <v>3022</v>
      </c>
      <c r="L1162" s="1224" t="s">
        <v>2768</v>
      </c>
      <c r="M1162" s="1224" t="s">
        <v>2677</v>
      </c>
      <c r="N1162" s="1225" t="s">
        <v>2685</v>
      </c>
      <c r="O1162" s="1224" t="s">
        <v>310</v>
      </c>
      <c r="P1162" s="1224" t="s">
        <v>291</v>
      </c>
      <c r="Q1162" s="1224" t="s">
        <v>294</v>
      </c>
      <c r="R1162" s="1224">
        <v>2500000.0099999998</v>
      </c>
      <c r="S1162" s="1224">
        <v>3000000</v>
      </c>
      <c r="T1162" s="1224">
        <v>0</v>
      </c>
      <c r="U1162" s="1224">
        <v>0</v>
      </c>
      <c r="V1162" s="1224">
        <v>0</v>
      </c>
      <c r="W1162" s="1224">
        <v>50</v>
      </c>
      <c r="X1162" s="1224">
        <v>0</v>
      </c>
      <c r="Y1162" s="1224">
        <v>999</v>
      </c>
      <c r="Z1162" s="1226">
        <v>700</v>
      </c>
      <c r="AA1162" s="1226">
        <v>719</v>
      </c>
      <c r="AB1162" s="1226">
        <v>6</v>
      </c>
      <c r="AC1162" s="1226">
        <v>999999</v>
      </c>
      <c r="AD1162" s="1224">
        <v>0</v>
      </c>
      <c r="AE1162" s="1227">
        <v>75</v>
      </c>
      <c r="AF1162" s="170">
        <v>0</v>
      </c>
      <c r="AG1162" s="171">
        <v>1</v>
      </c>
      <c r="AH1162" s="171">
        <v>1</v>
      </c>
      <c r="AI1162" s="171">
        <v>0</v>
      </c>
      <c r="AJ1162" s="171">
        <v>0</v>
      </c>
      <c r="AK1162" s="171">
        <v>1</v>
      </c>
      <c r="AL1162" s="171">
        <v>0</v>
      </c>
      <c r="AM1162" s="171">
        <v>1</v>
      </c>
      <c r="AN1162" s="171">
        <v>1</v>
      </c>
      <c r="AO1162" s="171">
        <v>1</v>
      </c>
      <c r="AP1162" s="171">
        <v>1</v>
      </c>
      <c r="AQ1162" s="171">
        <v>1</v>
      </c>
      <c r="AR1162" s="171">
        <v>1</v>
      </c>
      <c r="AS1162" s="171">
        <v>1</v>
      </c>
      <c r="AT1162" s="171">
        <v>1</v>
      </c>
      <c r="AU1162" s="171">
        <f t="shared" si="419"/>
        <v>0</v>
      </c>
      <c r="AV1162" s="171">
        <f t="shared" si="420"/>
        <v>0</v>
      </c>
      <c r="AW1162" s="171">
        <f t="shared" si="421"/>
        <v>1</v>
      </c>
      <c r="AX1162" s="171">
        <f t="shared" si="429"/>
        <v>1</v>
      </c>
      <c r="AY1162" s="171">
        <f t="shared" si="422"/>
        <v>0</v>
      </c>
      <c r="AZ1162" s="171">
        <f t="shared" si="423"/>
        <v>1</v>
      </c>
      <c r="BA1162" s="172">
        <f t="shared" si="424"/>
        <v>1</v>
      </c>
      <c r="BB1162" s="175">
        <f t="shared" si="425"/>
        <v>15</v>
      </c>
      <c r="BC1162" s="176">
        <f t="shared" si="426"/>
        <v>14</v>
      </c>
      <c r="BD1162" s="176">
        <f t="shared" si="427"/>
        <v>15</v>
      </c>
      <c r="BE1162" s="240" t="str">
        <f t="shared" si="431"/>
        <v/>
      </c>
      <c r="BF1162" s="990"/>
      <c r="BG1162" s="990"/>
      <c r="BH1162" s="991">
        <f>IF(AND(Input_Product=Elig!$C1162,Elig_MatchAll_Ct&lt;22,$BC1162=(Elig_MatchAll_Ct-1),AF1162=0),C1162,0)</f>
        <v>0</v>
      </c>
      <c r="BI1162" s="991">
        <f>IF(AND(Input_Product=Elig!$C1162,Elig_MatchAll_Ct&lt;22,$BC1162=(Elig_MatchAll_Ct-1),AG1162=0),D1162,0)</f>
        <v>0</v>
      </c>
      <c r="BJ1162" s="991">
        <f>IF(AND(Input_Product=Elig!$C1162,Elig_MatchAll_Ct&lt;22,$BC1162=(Elig_MatchAll_Ct-1),AH1162=0),E1162,0)</f>
        <v>0</v>
      </c>
      <c r="BK1162" s="991">
        <f>IF(AND(Input_Product=Elig!$C1162,Elig_MatchAll_Ct&lt;22,$BC1162=(Elig_MatchAll_Ct-1),AI1162=0),F1162,0)</f>
        <v>0</v>
      </c>
      <c r="BL1162" s="991">
        <f>IF(AND(Input_Product=Elig!$C1162,Elig_MatchAll_Ct&lt;22,$BC1162=(Elig_MatchAll_Ct-1),AJ1162=0),G1162,0)</f>
        <v>0</v>
      </c>
      <c r="BM1162" s="991">
        <f>IF(AND(Input_Product=Elig!$C1162,Elig_MatchAll_Ct&lt;22,$BC1162=(Elig_MatchAll_Ct-1),AK1162=0),H1162,0)</f>
        <v>0</v>
      </c>
      <c r="BN1162" s="991">
        <f>IF(AND(Input_Product=Elig!$C1162,Elig_MatchAll_Ct&lt;22,$BC1162=(Elig_MatchAll_Ct-1),AL1162=0),I1162,0)</f>
        <v>0</v>
      </c>
      <c r="BO1162" s="991">
        <f>IF(AND(Input_Product=Elig!$C1162,Elig_MatchAll_Ct&lt;22,$BC1162=(Elig_MatchAll_Ct-1),AM1162=0),J1162,0)</f>
        <v>0</v>
      </c>
      <c r="BP1162" s="991">
        <f>IF(AND(Input_Product=Elig!$C1162,Elig_MatchAll_Ct&lt;22,$BC1162=(Elig_MatchAll_Ct-1),AN1162=0),K1162,0)</f>
        <v>0</v>
      </c>
      <c r="BQ1162" s="991">
        <f>IF(AND(Input_Product=Elig!$C1162,Elig_MatchAll_Ct&lt;22,$BC1162=(Elig_MatchAll_Ct-1),AP1162=0),L1162,0)</f>
        <v>0</v>
      </c>
      <c r="BR1162" s="991">
        <f>IF(AND(Input_Product=Elig!$C1162,Elig_MatchAll_Ct&lt;22,$BC1162=(Elig_MatchAll_Ct-1),AO1162=0),M1162,0)</f>
        <v>0</v>
      </c>
      <c r="BS1162" s="991">
        <f>IF(AND(Input_Product=Elig!$C1162,Elig_MatchAll_Ct&lt;22,$BC1162=(Elig_MatchAll_Ct-1),AQ1162=0),N1162,0)</f>
        <v>0</v>
      </c>
      <c r="BT1162" s="991">
        <f>IF(AND(Input_Product=Elig!$C1162,Elig_MatchAll_Ct&lt;22,$BC1162=(Elig_MatchAll_Ct-1),AR1162=0),O1162,0)</f>
        <v>0</v>
      </c>
      <c r="BU1162" s="991">
        <f>IF(AND(Input_Product=Elig!$C1162,Elig_MatchAll_Ct&lt;22,$BC1162=(Elig_MatchAll_Ct-1),AS1162=0),P1162,0)</f>
        <v>0</v>
      </c>
      <c r="BV1162" s="992">
        <f>IF(AND(Input_Product=Elig!$C1162,Elig_MatchAll_Ct&lt;22,$BC1162=(Elig_MatchAll_Ct-1),AT1162=0),Q1162,0)</f>
        <v>0</v>
      </c>
      <c r="BW1162" s="993">
        <f>IF(AND(Input_Product=Elig!$C1162,Elig_MatchAll_Ct&lt;22,$BC1162=(Elig_MatchAll_Ct-1),AU1162=0),R1162,0)</f>
        <v>0</v>
      </c>
      <c r="BX1162" s="994">
        <f>IF(AND(Input_Product=Elig!$C1162,Elig_MatchAll_Ct&lt;22,$BC1162=(Elig_MatchAll_Ct-1),AU1162=0),S1162,0)</f>
        <v>0</v>
      </c>
      <c r="BY1162" s="993">
        <f>IF(AND(Input_Product=Elig!$C1162,Elig_MatchAll_Ct&lt;22,$BC1162=(Elig_MatchAll_Ct-1),AV1162=0),T1162,0)</f>
        <v>0</v>
      </c>
      <c r="BZ1162" s="994">
        <f>IF(AND(Input_Product=Elig!$C1162,Elig_MatchAll_Ct&lt;22,$BC1162=(Elig_MatchAll_Ct-1),AV1162=0),U1162,0)</f>
        <v>0</v>
      </c>
      <c r="CA1162" s="993">
        <f>IF(AND(Input_Product=Elig!$C1162,Elig_MatchAll_Ct&lt;22,$BC1162=(Elig_MatchAll_Ct-1),AW1162=0),V1162,0)</f>
        <v>0</v>
      </c>
      <c r="CB1162" s="994">
        <f>IF(AND(Input_Product=Elig!$C1162,Elig_MatchAll_Ct&lt;22,$BC1162=(Elig_MatchAll_Ct-1),AW1162=0),W1162,0)</f>
        <v>0</v>
      </c>
      <c r="CC1162" s="993">
        <f>IF(AND(Input_Product=Elig!$C1162,Elig_MatchAll_Ct&lt;22,$BC1162=(Elig_MatchAll_Ct-1),AX1162=0),X1162,0)</f>
        <v>0</v>
      </c>
      <c r="CD1162" s="994">
        <f>IF(AND(Input_Product=Elig!$C1162,Elig_MatchAll_Ct&lt;22,$BC1162=(Elig_MatchAll_Ct-1),AX1162=0),Y1162,0)</f>
        <v>0</v>
      </c>
      <c r="CE1162" s="993">
        <f>IF(AND(Input_LTV&lt;=AE1162,Input_Product=Elig!$C1162,Elig_MatchAll_Ct&lt;22,$BC1162=(Elig_MatchAll_Ct-1),AY1162=0),Z1162,0)</f>
        <v>0</v>
      </c>
      <c r="CF1162" s="994">
        <f>IF(AND(Input_LTV&lt;=AE1162,Input_Product=Elig!$C1162,Elig_MatchAll_Ct&lt;22,$BC1162=(Elig_MatchAll_Ct-1),AY1162=0),AA1162,0)</f>
        <v>0</v>
      </c>
      <c r="CG1162" s="993">
        <f>IF(AND(Input_Product=Elig!$C1162,Elig_MatchAll_Ct&lt;22,$BC1162=(Elig_MatchAll_Ct-1),AZ1162=0),AB1162,0)</f>
        <v>0</v>
      </c>
      <c r="CH1162" s="994">
        <f>IF(AND(Input_Product=Elig!$C1162,Elig_MatchAll_Ct&lt;22,$BC1162=(Elig_MatchAll_Ct-1),AZ1162=0),AC1162,0)</f>
        <v>0</v>
      </c>
      <c r="CI1162" s="993">
        <f>IF(AND(Input_Product=Elig!$C1162,Elig_MatchAll_Ct&lt;22,$BC1162=(Elig_MatchAll_Ct-1),BA1162=0),AD1162,0)</f>
        <v>0</v>
      </c>
      <c r="CJ1162" s="994">
        <f>IF(AND(Input_Product=Elig!$C1162,Elig_MatchAll_Ct&lt;22,$BC1162=(Elig_MatchAll_Ct-1),BA1162=0),AE1162,0)</f>
        <v>0</v>
      </c>
    </row>
    <row r="1163" spans="2:88" ht="10.15" customHeight="1" x14ac:dyDescent="0.25">
      <c r="B1163" s="1918" t="s">
        <v>2463</v>
      </c>
      <c r="C1163" s="1228" t="str">
        <f t="shared" si="430"/>
        <v xml:space="preserve"> </v>
      </c>
      <c r="D1163" s="1229" t="s">
        <v>2218</v>
      </c>
      <c r="E1163" s="1229" t="s">
        <v>167</v>
      </c>
      <c r="F1163" s="1229" t="s">
        <v>330</v>
      </c>
      <c r="G1163" s="1230" t="s">
        <v>179</v>
      </c>
      <c r="H1163" s="1230" t="s">
        <v>136</v>
      </c>
      <c r="I1163" s="1229" t="s">
        <v>274</v>
      </c>
      <c r="J1163" s="1229" t="s">
        <v>1311</v>
      </c>
      <c r="K1163" s="1230" t="s">
        <v>3022</v>
      </c>
      <c r="L1163" s="1229" t="s">
        <v>2768</v>
      </c>
      <c r="M1163" s="1229" t="s">
        <v>2677</v>
      </c>
      <c r="N1163" s="1230" t="s">
        <v>2685</v>
      </c>
      <c r="O1163" s="1229" t="s">
        <v>310</v>
      </c>
      <c r="P1163" s="1229" t="s">
        <v>291</v>
      </c>
      <c r="Q1163" s="1229" t="s">
        <v>294</v>
      </c>
      <c r="R1163" s="1229">
        <v>2500000.0099999998</v>
      </c>
      <c r="S1163" s="1229">
        <v>3000000</v>
      </c>
      <c r="T1163" s="1229">
        <v>0</v>
      </c>
      <c r="U1163" s="1229">
        <v>0</v>
      </c>
      <c r="V1163" s="1229">
        <v>0</v>
      </c>
      <c r="W1163" s="1229">
        <v>50</v>
      </c>
      <c r="X1163" s="1229">
        <v>0</v>
      </c>
      <c r="Y1163" s="1229">
        <v>999</v>
      </c>
      <c r="Z1163" s="1231">
        <v>680</v>
      </c>
      <c r="AA1163" s="1231">
        <v>699</v>
      </c>
      <c r="AB1163" s="1231">
        <v>6</v>
      </c>
      <c r="AC1163" s="1231">
        <v>999999</v>
      </c>
      <c r="AD1163" s="1229">
        <v>0</v>
      </c>
      <c r="AE1163" s="1232">
        <v>75</v>
      </c>
      <c r="AF1163" s="170">
        <v>0</v>
      </c>
      <c r="AG1163" s="171">
        <v>1</v>
      </c>
      <c r="AH1163" s="171">
        <v>1</v>
      </c>
      <c r="AI1163" s="171">
        <v>0</v>
      </c>
      <c r="AJ1163" s="171">
        <v>0</v>
      </c>
      <c r="AK1163" s="171">
        <v>1</v>
      </c>
      <c r="AL1163" s="171">
        <v>0</v>
      </c>
      <c r="AM1163" s="171">
        <v>1</v>
      </c>
      <c r="AN1163" s="171">
        <v>1</v>
      </c>
      <c r="AO1163" s="171">
        <v>1</v>
      </c>
      <c r="AP1163" s="171">
        <v>1</v>
      </c>
      <c r="AQ1163" s="171">
        <v>1</v>
      </c>
      <c r="AR1163" s="171">
        <v>1</v>
      </c>
      <c r="AS1163" s="171">
        <v>1</v>
      </c>
      <c r="AT1163" s="171">
        <v>1</v>
      </c>
      <c r="AU1163" s="171">
        <f t="shared" si="419"/>
        <v>0</v>
      </c>
      <c r="AV1163" s="171">
        <f t="shared" si="420"/>
        <v>0</v>
      </c>
      <c r="AW1163" s="171">
        <f t="shared" si="421"/>
        <v>1</v>
      </c>
      <c r="AX1163" s="171">
        <f t="shared" si="429"/>
        <v>1</v>
      </c>
      <c r="AY1163" s="171">
        <f t="shared" si="422"/>
        <v>0</v>
      </c>
      <c r="AZ1163" s="171">
        <f t="shared" si="423"/>
        <v>1</v>
      </c>
      <c r="BA1163" s="172">
        <f t="shared" si="424"/>
        <v>1</v>
      </c>
      <c r="BB1163" s="175">
        <f t="shared" si="425"/>
        <v>15</v>
      </c>
      <c r="BC1163" s="176">
        <f t="shared" si="426"/>
        <v>14</v>
      </c>
      <c r="BD1163" s="176">
        <f t="shared" si="427"/>
        <v>15</v>
      </c>
      <c r="BE1163" s="240" t="str">
        <f t="shared" si="431"/>
        <v/>
      </c>
      <c r="BF1163" s="990"/>
      <c r="BG1163" s="990"/>
      <c r="BH1163" s="991">
        <f>IF(AND(Input_Product=Elig!$C1163,Elig_MatchAll_Ct&lt;22,$BC1163=(Elig_MatchAll_Ct-1),AF1163=0),C1163,0)</f>
        <v>0</v>
      </c>
      <c r="BI1163" s="991">
        <f>IF(AND(Input_Product=Elig!$C1163,Elig_MatchAll_Ct&lt;22,$BC1163=(Elig_MatchAll_Ct-1),AG1163=0),D1163,0)</f>
        <v>0</v>
      </c>
      <c r="BJ1163" s="991">
        <f>IF(AND(Input_Product=Elig!$C1163,Elig_MatchAll_Ct&lt;22,$BC1163=(Elig_MatchAll_Ct-1),AH1163=0),E1163,0)</f>
        <v>0</v>
      </c>
      <c r="BK1163" s="991">
        <f>IF(AND(Input_Product=Elig!$C1163,Elig_MatchAll_Ct&lt;22,$BC1163=(Elig_MatchAll_Ct-1),AI1163=0),F1163,0)</f>
        <v>0</v>
      </c>
      <c r="BL1163" s="991">
        <f>IF(AND(Input_Product=Elig!$C1163,Elig_MatchAll_Ct&lt;22,$BC1163=(Elig_MatchAll_Ct-1),AJ1163=0),G1163,0)</f>
        <v>0</v>
      </c>
      <c r="BM1163" s="991">
        <f>IF(AND(Input_Product=Elig!$C1163,Elig_MatchAll_Ct&lt;22,$BC1163=(Elig_MatchAll_Ct-1),AK1163=0),H1163,0)</f>
        <v>0</v>
      </c>
      <c r="BN1163" s="991">
        <f>IF(AND(Input_Product=Elig!$C1163,Elig_MatchAll_Ct&lt;22,$BC1163=(Elig_MatchAll_Ct-1),AL1163=0),I1163,0)</f>
        <v>0</v>
      </c>
      <c r="BO1163" s="991">
        <f>IF(AND(Input_Product=Elig!$C1163,Elig_MatchAll_Ct&lt;22,$BC1163=(Elig_MatchAll_Ct-1),AM1163=0),J1163,0)</f>
        <v>0</v>
      </c>
      <c r="BP1163" s="991">
        <f>IF(AND(Input_Product=Elig!$C1163,Elig_MatchAll_Ct&lt;22,$BC1163=(Elig_MatchAll_Ct-1),AN1163=0),K1163,0)</f>
        <v>0</v>
      </c>
      <c r="BQ1163" s="991">
        <f>IF(AND(Input_Product=Elig!$C1163,Elig_MatchAll_Ct&lt;22,$BC1163=(Elig_MatchAll_Ct-1),AP1163=0),L1163,0)</f>
        <v>0</v>
      </c>
      <c r="BR1163" s="991">
        <f>IF(AND(Input_Product=Elig!$C1163,Elig_MatchAll_Ct&lt;22,$BC1163=(Elig_MatchAll_Ct-1),AO1163=0),M1163,0)</f>
        <v>0</v>
      </c>
      <c r="BS1163" s="991">
        <f>IF(AND(Input_Product=Elig!$C1163,Elig_MatchAll_Ct&lt;22,$BC1163=(Elig_MatchAll_Ct-1),AQ1163=0),N1163,0)</f>
        <v>0</v>
      </c>
      <c r="BT1163" s="991">
        <f>IF(AND(Input_Product=Elig!$C1163,Elig_MatchAll_Ct&lt;22,$BC1163=(Elig_MatchAll_Ct-1),AR1163=0),O1163,0)</f>
        <v>0</v>
      </c>
      <c r="BU1163" s="991">
        <f>IF(AND(Input_Product=Elig!$C1163,Elig_MatchAll_Ct&lt;22,$BC1163=(Elig_MatchAll_Ct-1),AS1163=0),P1163,0)</f>
        <v>0</v>
      </c>
      <c r="BV1163" s="992">
        <f>IF(AND(Input_Product=Elig!$C1163,Elig_MatchAll_Ct&lt;22,$BC1163=(Elig_MatchAll_Ct-1),AT1163=0),Q1163,0)</f>
        <v>0</v>
      </c>
      <c r="BW1163" s="993">
        <f>IF(AND(Input_Product=Elig!$C1163,Elig_MatchAll_Ct&lt;22,$BC1163=(Elig_MatchAll_Ct-1),AU1163=0),R1163,0)</f>
        <v>0</v>
      </c>
      <c r="BX1163" s="994">
        <f>IF(AND(Input_Product=Elig!$C1163,Elig_MatchAll_Ct&lt;22,$BC1163=(Elig_MatchAll_Ct-1),AU1163=0),S1163,0)</f>
        <v>0</v>
      </c>
      <c r="BY1163" s="993">
        <f>IF(AND(Input_Product=Elig!$C1163,Elig_MatchAll_Ct&lt;22,$BC1163=(Elig_MatchAll_Ct-1),AV1163=0),T1163,0)</f>
        <v>0</v>
      </c>
      <c r="BZ1163" s="994">
        <f>IF(AND(Input_Product=Elig!$C1163,Elig_MatchAll_Ct&lt;22,$BC1163=(Elig_MatchAll_Ct-1),AV1163=0),U1163,0)</f>
        <v>0</v>
      </c>
      <c r="CA1163" s="993">
        <f>IF(AND(Input_Product=Elig!$C1163,Elig_MatchAll_Ct&lt;22,$BC1163=(Elig_MatchAll_Ct-1),AW1163=0),V1163,0)</f>
        <v>0</v>
      </c>
      <c r="CB1163" s="994">
        <f>IF(AND(Input_Product=Elig!$C1163,Elig_MatchAll_Ct&lt;22,$BC1163=(Elig_MatchAll_Ct-1),AW1163=0),W1163,0)</f>
        <v>0</v>
      </c>
      <c r="CC1163" s="993">
        <f>IF(AND(Input_Product=Elig!$C1163,Elig_MatchAll_Ct&lt;22,$BC1163=(Elig_MatchAll_Ct-1),AX1163=0),X1163,0)</f>
        <v>0</v>
      </c>
      <c r="CD1163" s="994">
        <f>IF(AND(Input_Product=Elig!$C1163,Elig_MatchAll_Ct&lt;22,$BC1163=(Elig_MatchAll_Ct-1),AX1163=0),Y1163,0)</f>
        <v>0</v>
      </c>
      <c r="CE1163" s="993">
        <f>IF(AND(Input_LTV&lt;=AE1163,Input_Product=Elig!$C1163,Elig_MatchAll_Ct&lt;22,$BC1163=(Elig_MatchAll_Ct-1),AY1163=0),Z1163,0)</f>
        <v>0</v>
      </c>
      <c r="CF1163" s="994">
        <f>IF(AND(Input_LTV&lt;=AE1163,Input_Product=Elig!$C1163,Elig_MatchAll_Ct&lt;22,$BC1163=(Elig_MatchAll_Ct-1),AY1163=0),AA1163,0)</f>
        <v>0</v>
      </c>
      <c r="CG1163" s="993">
        <f>IF(AND(Input_Product=Elig!$C1163,Elig_MatchAll_Ct&lt;22,$BC1163=(Elig_MatchAll_Ct-1),AZ1163=0),AB1163,0)</f>
        <v>0</v>
      </c>
      <c r="CH1163" s="994">
        <f>IF(AND(Input_Product=Elig!$C1163,Elig_MatchAll_Ct&lt;22,$BC1163=(Elig_MatchAll_Ct-1),AZ1163=0),AC1163,0)</f>
        <v>0</v>
      </c>
      <c r="CI1163" s="993">
        <f>IF(AND(Input_Product=Elig!$C1163,Elig_MatchAll_Ct&lt;22,$BC1163=(Elig_MatchAll_Ct-1),BA1163=0),AD1163,0)</f>
        <v>0</v>
      </c>
      <c r="CJ1163" s="994">
        <f>IF(AND(Input_Product=Elig!$C1163,Elig_MatchAll_Ct&lt;22,$BC1163=(Elig_MatchAll_Ct-1),BA1163=0),AE1163,0)</f>
        <v>0</v>
      </c>
    </row>
    <row r="1164" spans="2:88" ht="10.15" customHeight="1" x14ac:dyDescent="0.25">
      <c r="B1164" s="1918" t="s">
        <v>3547</v>
      </c>
      <c r="C1164" s="1218" t="str">
        <f t="shared" si="430"/>
        <v xml:space="preserve"> </v>
      </c>
      <c r="D1164" s="1219" t="s">
        <v>2218</v>
      </c>
      <c r="E1164" s="1219" t="s">
        <v>167</v>
      </c>
      <c r="F1164" s="1219" t="s">
        <v>330</v>
      </c>
      <c r="G1164" s="1220" t="s">
        <v>303</v>
      </c>
      <c r="H1164" s="1220" t="s">
        <v>136</v>
      </c>
      <c r="I1164" s="1219" t="s">
        <v>16</v>
      </c>
      <c r="J1164" s="1219" t="s">
        <v>1311</v>
      </c>
      <c r="K1164" s="1220" t="s">
        <v>3022</v>
      </c>
      <c r="L1164" s="1219" t="s">
        <v>2768</v>
      </c>
      <c r="M1164" s="1219" t="s">
        <v>2677</v>
      </c>
      <c r="N1164" s="1220" t="s">
        <v>2685</v>
      </c>
      <c r="O1164" s="1219" t="s">
        <v>310</v>
      </c>
      <c r="P1164" s="1219" t="s">
        <v>291</v>
      </c>
      <c r="Q1164" s="1219" t="s">
        <v>294</v>
      </c>
      <c r="R1164" s="1219">
        <v>125000</v>
      </c>
      <c r="S1164" s="1219">
        <v>1000000</v>
      </c>
      <c r="T1164" s="1219">
        <v>0</v>
      </c>
      <c r="U1164" s="1219">
        <f t="shared" ref="U1164:U1181" si="432">S1164</f>
        <v>1000000</v>
      </c>
      <c r="V1164" s="1219">
        <v>0</v>
      </c>
      <c r="W1164" s="1219">
        <v>50</v>
      </c>
      <c r="X1164" s="1219">
        <v>0</v>
      </c>
      <c r="Y1164" s="1219">
        <v>999</v>
      </c>
      <c r="Z1164" s="1221">
        <v>720</v>
      </c>
      <c r="AA1164" s="1221">
        <v>999</v>
      </c>
      <c r="AB1164" s="1221">
        <v>3</v>
      </c>
      <c r="AC1164" s="1221">
        <v>999999</v>
      </c>
      <c r="AD1164" s="1219">
        <v>0</v>
      </c>
      <c r="AE1164" s="1222">
        <v>80</v>
      </c>
      <c r="AF1164" s="170">
        <v>0</v>
      </c>
      <c r="AG1164" s="171">
        <v>1</v>
      </c>
      <c r="AH1164" s="171">
        <v>1</v>
      </c>
      <c r="AI1164" s="171">
        <v>0</v>
      </c>
      <c r="AJ1164" s="171">
        <v>1</v>
      </c>
      <c r="AK1164" s="171">
        <v>1</v>
      </c>
      <c r="AL1164" s="171">
        <v>1</v>
      </c>
      <c r="AM1164" s="171">
        <v>1</v>
      </c>
      <c r="AN1164" s="171">
        <v>1</v>
      </c>
      <c r="AO1164" s="171">
        <v>1</v>
      </c>
      <c r="AP1164" s="171">
        <v>1</v>
      </c>
      <c r="AQ1164" s="171">
        <v>1</v>
      </c>
      <c r="AR1164" s="171">
        <v>1</v>
      </c>
      <c r="AS1164" s="171">
        <v>1</v>
      </c>
      <c r="AT1164" s="171">
        <v>1</v>
      </c>
      <c r="AU1164" s="171">
        <f t="shared" si="419"/>
        <v>1</v>
      </c>
      <c r="AV1164" s="171">
        <f t="shared" si="420"/>
        <v>1</v>
      </c>
      <c r="AW1164" s="171">
        <f t="shared" si="421"/>
        <v>1</v>
      </c>
      <c r="AX1164" s="171">
        <f t="shared" si="429"/>
        <v>1</v>
      </c>
      <c r="AY1164" s="171">
        <f t="shared" si="422"/>
        <v>1</v>
      </c>
      <c r="AZ1164" s="171">
        <f t="shared" si="423"/>
        <v>1</v>
      </c>
      <c r="BA1164" s="172">
        <f t="shared" si="424"/>
        <v>1</v>
      </c>
      <c r="BB1164" s="175">
        <f t="shared" si="425"/>
        <v>20</v>
      </c>
      <c r="BC1164" s="176">
        <f t="shared" si="426"/>
        <v>19</v>
      </c>
      <c r="BD1164" s="176">
        <f t="shared" si="427"/>
        <v>20</v>
      </c>
      <c r="BE1164" s="240" t="str">
        <f t="shared" si="431"/>
        <v/>
      </c>
      <c r="BF1164" s="990"/>
      <c r="BG1164" s="990"/>
      <c r="BH1164" s="991">
        <f>IF(AND(Input_Product=Elig!$C1164,Elig_MatchAll_Ct&lt;22,$BC1164=(Elig_MatchAll_Ct-1),AF1164=0),C1164,0)</f>
        <v>0</v>
      </c>
      <c r="BI1164" s="991">
        <f>IF(AND(Input_Product=Elig!$C1164,Elig_MatchAll_Ct&lt;22,$BC1164=(Elig_MatchAll_Ct-1),AG1164=0),D1164,0)</f>
        <v>0</v>
      </c>
      <c r="BJ1164" s="991">
        <f>IF(AND(Input_Product=Elig!$C1164,Elig_MatchAll_Ct&lt;22,$BC1164=(Elig_MatchAll_Ct-1),AH1164=0),E1164,0)</f>
        <v>0</v>
      </c>
      <c r="BK1164" s="991">
        <f>IF(AND(Input_Product=Elig!$C1164,Elig_MatchAll_Ct&lt;22,$BC1164=(Elig_MatchAll_Ct-1),AI1164=0),F1164,0)</f>
        <v>0</v>
      </c>
      <c r="BL1164" s="991">
        <f>IF(AND(Input_Product=Elig!$C1164,Elig_MatchAll_Ct&lt;22,$BC1164=(Elig_MatchAll_Ct-1),AJ1164=0),G1164,0)</f>
        <v>0</v>
      </c>
      <c r="BM1164" s="991">
        <f>IF(AND(Input_Product=Elig!$C1164,Elig_MatchAll_Ct&lt;22,$BC1164=(Elig_MatchAll_Ct-1),AK1164=0),H1164,0)</f>
        <v>0</v>
      </c>
      <c r="BN1164" s="991">
        <f>IF(AND(Input_Product=Elig!$C1164,Elig_MatchAll_Ct&lt;22,$BC1164=(Elig_MatchAll_Ct-1),AL1164=0),I1164,0)</f>
        <v>0</v>
      </c>
      <c r="BO1164" s="991">
        <f>IF(AND(Input_Product=Elig!$C1164,Elig_MatchAll_Ct&lt;22,$BC1164=(Elig_MatchAll_Ct-1),AM1164=0),J1164,0)</f>
        <v>0</v>
      </c>
      <c r="BP1164" s="991">
        <f>IF(AND(Input_Product=Elig!$C1164,Elig_MatchAll_Ct&lt;22,$BC1164=(Elig_MatchAll_Ct-1),AN1164=0),K1164,0)</f>
        <v>0</v>
      </c>
      <c r="BQ1164" s="991">
        <f>IF(AND(Input_Product=Elig!$C1164,Elig_MatchAll_Ct&lt;22,$BC1164=(Elig_MatchAll_Ct-1),AP1164=0),L1164,0)</f>
        <v>0</v>
      </c>
      <c r="BR1164" s="991">
        <f>IF(AND(Input_Product=Elig!$C1164,Elig_MatchAll_Ct&lt;22,$BC1164=(Elig_MatchAll_Ct-1),AO1164=0),M1164,0)</f>
        <v>0</v>
      </c>
      <c r="BS1164" s="991">
        <f>IF(AND(Input_Product=Elig!$C1164,Elig_MatchAll_Ct&lt;22,$BC1164=(Elig_MatchAll_Ct-1),AQ1164=0),N1164,0)</f>
        <v>0</v>
      </c>
      <c r="BT1164" s="991">
        <f>IF(AND(Input_Product=Elig!$C1164,Elig_MatchAll_Ct&lt;22,$BC1164=(Elig_MatchAll_Ct-1),AR1164=0),O1164,0)</f>
        <v>0</v>
      </c>
      <c r="BU1164" s="991">
        <f>IF(AND(Input_Product=Elig!$C1164,Elig_MatchAll_Ct&lt;22,$BC1164=(Elig_MatchAll_Ct-1),AS1164=0),P1164,0)</f>
        <v>0</v>
      </c>
      <c r="BV1164" s="992">
        <f>IF(AND(Input_Product=Elig!$C1164,Elig_MatchAll_Ct&lt;22,$BC1164=(Elig_MatchAll_Ct-1),AT1164=0),Q1164,0)</f>
        <v>0</v>
      </c>
      <c r="BW1164" s="993">
        <f>IF(AND(Input_Product=Elig!$C1164,Elig_MatchAll_Ct&lt;22,$BC1164=(Elig_MatchAll_Ct-1),AU1164=0),R1164,0)</f>
        <v>0</v>
      </c>
      <c r="BX1164" s="994">
        <f>IF(AND(Input_Product=Elig!$C1164,Elig_MatchAll_Ct&lt;22,$BC1164=(Elig_MatchAll_Ct-1),AU1164=0),S1164,0)</f>
        <v>0</v>
      </c>
      <c r="BY1164" s="993">
        <f>IF(AND(Input_Product=Elig!$C1164,Elig_MatchAll_Ct&lt;22,$BC1164=(Elig_MatchAll_Ct-1),AV1164=0),T1164,0)</f>
        <v>0</v>
      </c>
      <c r="BZ1164" s="994">
        <f>IF(AND(Input_Product=Elig!$C1164,Elig_MatchAll_Ct&lt;22,$BC1164=(Elig_MatchAll_Ct-1),AV1164=0),U1164,0)</f>
        <v>0</v>
      </c>
      <c r="CA1164" s="993">
        <f>IF(AND(Input_Product=Elig!$C1164,Elig_MatchAll_Ct&lt;22,$BC1164=(Elig_MatchAll_Ct-1),AW1164=0),V1164,0)</f>
        <v>0</v>
      </c>
      <c r="CB1164" s="994">
        <f>IF(AND(Input_Product=Elig!$C1164,Elig_MatchAll_Ct&lt;22,$BC1164=(Elig_MatchAll_Ct-1),AW1164=0),W1164,0)</f>
        <v>0</v>
      </c>
      <c r="CC1164" s="993">
        <f>IF(AND(Input_Product=Elig!$C1164,Elig_MatchAll_Ct&lt;22,$BC1164=(Elig_MatchAll_Ct-1),AX1164=0),X1164,0)</f>
        <v>0</v>
      </c>
      <c r="CD1164" s="994">
        <f>IF(AND(Input_Product=Elig!$C1164,Elig_MatchAll_Ct&lt;22,$BC1164=(Elig_MatchAll_Ct-1),AX1164=0),Y1164,0)</f>
        <v>0</v>
      </c>
      <c r="CE1164" s="993">
        <f>IF(AND(Input_LTV&lt;=AE1164,Input_Product=Elig!$C1164,Elig_MatchAll_Ct&lt;22,$BC1164=(Elig_MatchAll_Ct-1),AY1164=0),Z1164,0)</f>
        <v>0</v>
      </c>
      <c r="CF1164" s="994">
        <f>IF(AND(Input_LTV&lt;=AE1164,Input_Product=Elig!$C1164,Elig_MatchAll_Ct&lt;22,$BC1164=(Elig_MatchAll_Ct-1),AY1164=0),AA1164,0)</f>
        <v>0</v>
      </c>
      <c r="CG1164" s="993">
        <f>IF(AND(Input_Product=Elig!$C1164,Elig_MatchAll_Ct&lt;22,$BC1164=(Elig_MatchAll_Ct-1),AZ1164=0),AB1164,0)</f>
        <v>0</v>
      </c>
      <c r="CH1164" s="994">
        <f>IF(AND(Input_Product=Elig!$C1164,Elig_MatchAll_Ct&lt;22,$BC1164=(Elig_MatchAll_Ct-1),AZ1164=0),AC1164,0)</f>
        <v>0</v>
      </c>
      <c r="CI1164" s="993">
        <f>IF(AND(Input_Product=Elig!$C1164,Elig_MatchAll_Ct&lt;22,$BC1164=(Elig_MatchAll_Ct-1),BA1164=0),AD1164,0)</f>
        <v>0</v>
      </c>
      <c r="CJ1164" s="994">
        <f>IF(AND(Input_Product=Elig!$C1164,Elig_MatchAll_Ct&lt;22,$BC1164=(Elig_MatchAll_Ct-1),BA1164=0),AE1164,0)</f>
        <v>0</v>
      </c>
    </row>
    <row r="1165" spans="2:88" ht="10.15" customHeight="1" x14ac:dyDescent="0.25">
      <c r="B1165" s="1918" t="s">
        <v>3548</v>
      </c>
      <c r="C1165" s="1223" t="str">
        <f t="shared" si="430"/>
        <v xml:space="preserve"> </v>
      </c>
      <c r="D1165" s="1224" t="s">
        <v>2218</v>
      </c>
      <c r="E1165" s="1224" t="s">
        <v>167</v>
      </c>
      <c r="F1165" s="1224" t="s">
        <v>330</v>
      </c>
      <c r="G1165" s="1225" t="s">
        <v>303</v>
      </c>
      <c r="H1165" s="1225" t="s">
        <v>136</v>
      </c>
      <c r="I1165" s="1224" t="s">
        <v>16</v>
      </c>
      <c r="J1165" s="1224" t="s">
        <v>1311</v>
      </c>
      <c r="K1165" s="1225" t="s">
        <v>3022</v>
      </c>
      <c r="L1165" s="1224" t="s">
        <v>2768</v>
      </c>
      <c r="M1165" s="1224" t="s">
        <v>2677</v>
      </c>
      <c r="N1165" s="1225" t="s">
        <v>2685</v>
      </c>
      <c r="O1165" s="1224" t="s">
        <v>310</v>
      </c>
      <c r="P1165" s="1224" t="s">
        <v>291</v>
      </c>
      <c r="Q1165" s="1224" t="s">
        <v>294</v>
      </c>
      <c r="R1165" s="1224">
        <v>125000</v>
      </c>
      <c r="S1165" s="1224">
        <v>1000000</v>
      </c>
      <c r="T1165" s="1224">
        <v>0</v>
      </c>
      <c r="U1165" s="1224">
        <f t="shared" si="432"/>
        <v>1000000</v>
      </c>
      <c r="V1165" s="1224">
        <v>0</v>
      </c>
      <c r="W1165" s="1224">
        <v>50</v>
      </c>
      <c r="X1165" s="1224">
        <v>0</v>
      </c>
      <c r="Y1165" s="1224">
        <v>999</v>
      </c>
      <c r="Z1165" s="1226">
        <v>700</v>
      </c>
      <c r="AA1165" s="1226">
        <v>719</v>
      </c>
      <c r="AB1165" s="1226">
        <v>3</v>
      </c>
      <c r="AC1165" s="1226">
        <v>999999</v>
      </c>
      <c r="AD1165" s="1224">
        <v>0</v>
      </c>
      <c r="AE1165" s="1227">
        <v>80</v>
      </c>
      <c r="AF1165" s="170">
        <v>0</v>
      </c>
      <c r="AG1165" s="171">
        <v>1</v>
      </c>
      <c r="AH1165" s="171">
        <v>1</v>
      </c>
      <c r="AI1165" s="171">
        <v>0</v>
      </c>
      <c r="AJ1165" s="171">
        <v>1</v>
      </c>
      <c r="AK1165" s="171">
        <v>1</v>
      </c>
      <c r="AL1165" s="171">
        <v>1</v>
      </c>
      <c r="AM1165" s="171">
        <v>1</v>
      </c>
      <c r="AN1165" s="171">
        <v>1</v>
      </c>
      <c r="AO1165" s="171">
        <v>1</v>
      </c>
      <c r="AP1165" s="171">
        <v>1</v>
      </c>
      <c r="AQ1165" s="171">
        <v>1</v>
      </c>
      <c r="AR1165" s="171">
        <v>1</v>
      </c>
      <c r="AS1165" s="171">
        <v>1</v>
      </c>
      <c r="AT1165" s="171">
        <v>1</v>
      </c>
      <c r="AU1165" s="171">
        <f t="shared" ref="AU1165:AU1228" si="433">IF(AND(Input_LoanAmt&gt;=Elig_LoanAmt_Min,Input_LoanAmt&lt;=Elig_LoanAmt_Max),1,0)</f>
        <v>1</v>
      </c>
      <c r="AV1165" s="171">
        <f t="shared" ref="AV1165:AV1228" si="434">IF(AND(Input_CashoutAmt&gt;=Elig_CashoutAmt_Min,Input_CashoutAmt&lt;=Elig_CashoutAmt_Max),1,0)</f>
        <v>1</v>
      </c>
      <c r="AW1165" s="171">
        <f t="shared" ref="AW1165:AW1228" si="435">IF(AND(Input_DTI&gt;=Elig_DTI_Min,Input_DTI&lt;=Elig_DTI_Max),1,0)</f>
        <v>1</v>
      </c>
      <c r="AX1165" s="171">
        <f t="shared" si="429"/>
        <v>1</v>
      </c>
      <c r="AY1165" s="171">
        <f t="shared" ref="AY1165:AY1228" si="436">IF(AND(Input_CreditScore&gt;=Elig_CreditScore_Min,Input_CreditScore&lt;=Elig_CreditScore_Max),1,0)</f>
        <v>0</v>
      </c>
      <c r="AZ1165" s="171">
        <f t="shared" ref="AZ1165:AZ1228" si="437">IF(AND(Input_ReservesMonths&gt;=Elig_Reserves_Min,Input_ReservesMonths&lt;=Elig_Reserves_Max),1,0)</f>
        <v>1</v>
      </c>
      <c r="BA1165" s="172">
        <f t="shared" ref="BA1165:BA1228" si="438">IF(AND(Input_LTV&gt;=Elig_LTV_Min,Input_LTV&lt;=Elig_LTV_Max),1,0)</f>
        <v>1</v>
      </c>
      <c r="BB1165" s="175">
        <f t="shared" si="425"/>
        <v>19</v>
      </c>
      <c r="BC1165" s="176">
        <f t="shared" si="426"/>
        <v>18</v>
      </c>
      <c r="BD1165" s="176">
        <f t="shared" si="427"/>
        <v>19</v>
      </c>
      <c r="BE1165" s="240" t="str">
        <f t="shared" si="431"/>
        <v/>
      </c>
      <c r="BF1165" s="990"/>
      <c r="BG1165" s="990"/>
      <c r="BH1165" s="991">
        <f>IF(AND(Input_Product=Elig!$C1165,Elig_MatchAll_Ct&lt;22,$BC1165=(Elig_MatchAll_Ct-1),AF1165=0),C1165,0)</f>
        <v>0</v>
      </c>
      <c r="BI1165" s="991">
        <f>IF(AND(Input_Product=Elig!$C1165,Elig_MatchAll_Ct&lt;22,$BC1165=(Elig_MatchAll_Ct-1),AG1165=0),D1165,0)</f>
        <v>0</v>
      </c>
      <c r="BJ1165" s="991">
        <f>IF(AND(Input_Product=Elig!$C1165,Elig_MatchAll_Ct&lt;22,$BC1165=(Elig_MatchAll_Ct-1),AH1165=0),E1165,0)</f>
        <v>0</v>
      </c>
      <c r="BK1165" s="991">
        <f>IF(AND(Input_Product=Elig!$C1165,Elig_MatchAll_Ct&lt;22,$BC1165=(Elig_MatchAll_Ct-1),AI1165=0),F1165,0)</f>
        <v>0</v>
      </c>
      <c r="BL1165" s="991">
        <f>IF(AND(Input_Product=Elig!$C1165,Elig_MatchAll_Ct&lt;22,$BC1165=(Elig_MatchAll_Ct-1),AJ1165=0),G1165,0)</f>
        <v>0</v>
      </c>
      <c r="BM1165" s="991">
        <f>IF(AND(Input_Product=Elig!$C1165,Elig_MatchAll_Ct&lt;22,$BC1165=(Elig_MatchAll_Ct-1),AK1165=0),H1165,0)</f>
        <v>0</v>
      </c>
      <c r="BN1165" s="991">
        <f>IF(AND(Input_Product=Elig!$C1165,Elig_MatchAll_Ct&lt;22,$BC1165=(Elig_MatchAll_Ct-1),AL1165=0),I1165,0)</f>
        <v>0</v>
      </c>
      <c r="BO1165" s="991">
        <f>IF(AND(Input_Product=Elig!$C1165,Elig_MatchAll_Ct&lt;22,$BC1165=(Elig_MatchAll_Ct-1),AM1165=0),J1165,0)</f>
        <v>0</v>
      </c>
      <c r="BP1165" s="991">
        <f>IF(AND(Input_Product=Elig!$C1165,Elig_MatchAll_Ct&lt;22,$BC1165=(Elig_MatchAll_Ct-1),AN1165=0),K1165,0)</f>
        <v>0</v>
      </c>
      <c r="BQ1165" s="991">
        <f>IF(AND(Input_Product=Elig!$C1165,Elig_MatchAll_Ct&lt;22,$BC1165=(Elig_MatchAll_Ct-1),AP1165=0),L1165,0)</f>
        <v>0</v>
      </c>
      <c r="BR1165" s="991">
        <f>IF(AND(Input_Product=Elig!$C1165,Elig_MatchAll_Ct&lt;22,$BC1165=(Elig_MatchAll_Ct-1),AO1165=0),M1165,0)</f>
        <v>0</v>
      </c>
      <c r="BS1165" s="991">
        <f>IF(AND(Input_Product=Elig!$C1165,Elig_MatchAll_Ct&lt;22,$BC1165=(Elig_MatchAll_Ct-1),AQ1165=0),N1165,0)</f>
        <v>0</v>
      </c>
      <c r="BT1165" s="991">
        <f>IF(AND(Input_Product=Elig!$C1165,Elig_MatchAll_Ct&lt;22,$BC1165=(Elig_MatchAll_Ct-1),AR1165=0),O1165,0)</f>
        <v>0</v>
      </c>
      <c r="BU1165" s="991">
        <f>IF(AND(Input_Product=Elig!$C1165,Elig_MatchAll_Ct&lt;22,$BC1165=(Elig_MatchAll_Ct-1),AS1165=0),P1165,0)</f>
        <v>0</v>
      </c>
      <c r="BV1165" s="992">
        <f>IF(AND(Input_Product=Elig!$C1165,Elig_MatchAll_Ct&lt;22,$BC1165=(Elig_MatchAll_Ct-1),AT1165=0),Q1165,0)</f>
        <v>0</v>
      </c>
      <c r="BW1165" s="993">
        <f>IF(AND(Input_Product=Elig!$C1165,Elig_MatchAll_Ct&lt;22,$BC1165=(Elig_MatchAll_Ct-1),AU1165=0),R1165,0)</f>
        <v>0</v>
      </c>
      <c r="BX1165" s="994">
        <f>IF(AND(Input_Product=Elig!$C1165,Elig_MatchAll_Ct&lt;22,$BC1165=(Elig_MatchAll_Ct-1),AU1165=0),S1165,0)</f>
        <v>0</v>
      </c>
      <c r="BY1165" s="993">
        <f>IF(AND(Input_Product=Elig!$C1165,Elig_MatchAll_Ct&lt;22,$BC1165=(Elig_MatchAll_Ct-1),AV1165=0),T1165,0)</f>
        <v>0</v>
      </c>
      <c r="BZ1165" s="994">
        <f>IF(AND(Input_Product=Elig!$C1165,Elig_MatchAll_Ct&lt;22,$BC1165=(Elig_MatchAll_Ct-1),AV1165=0),U1165,0)</f>
        <v>0</v>
      </c>
      <c r="CA1165" s="993">
        <f>IF(AND(Input_Product=Elig!$C1165,Elig_MatchAll_Ct&lt;22,$BC1165=(Elig_MatchAll_Ct-1),AW1165=0),V1165,0)</f>
        <v>0</v>
      </c>
      <c r="CB1165" s="994">
        <f>IF(AND(Input_Product=Elig!$C1165,Elig_MatchAll_Ct&lt;22,$BC1165=(Elig_MatchAll_Ct-1),AW1165=0),W1165,0)</f>
        <v>0</v>
      </c>
      <c r="CC1165" s="993">
        <f>IF(AND(Input_Product=Elig!$C1165,Elig_MatchAll_Ct&lt;22,$BC1165=(Elig_MatchAll_Ct-1),AX1165=0),X1165,0)</f>
        <v>0</v>
      </c>
      <c r="CD1165" s="994">
        <f>IF(AND(Input_Product=Elig!$C1165,Elig_MatchAll_Ct&lt;22,$BC1165=(Elig_MatchAll_Ct-1),AX1165=0),Y1165,0)</f>
        <v>0</v>
      </c>
      <c r="CE1165" s="993">
        <f>IF(AND(Input_LTV&lt;=AE1165,Input_Product=Elig!$C1165,Elig_MatchAll_Ct&lt;22,$BC1165=(Elig_MatchAll_Ct-1),AY1165=0),Z1165,0)</f>
        <v>0</v>
      </c>
      <c r="CF1165" s="994">
        <f>IF(AND(Input_LTV&lt;=AE1165,Input_Product=Elig!$C1165,Elig_MatchAll_Ct&lt;22,$BC1165=(Elig_MatchAll_Ct-1),AY1165=0),AA1165,0)</f>
        <v>0</v>
      </c>
      <c r="CG1165" s="993">
        <f>IF(AND(Input_Product=Elig!$C1165,Elig_MatchAll_Ct&lt;22,$BC1165=(Elig_MatchAll_Ct-1),AZ1165=0),AB1165,0)</f>
        <v>0</v>
      </c>
      <c r="CH1165" s="994">
        <f>IF(AND(Input_Product=Elig!$C1165,Elig_MatchAll_Ct&lt;22,$BC1165=(Elig_MatchAll_Ct-1),AZ1165=0),AC1165,0)</f>
        <v>0</v>
      </c>
      <c r="CI1165" s="993">
        <f>IF(AND(Input_Product=Elig!$C1165,Elig_MatchAll_Ct&lt;22,$BC1165=(Elig_MatchAll_Ct-1),BA1165=0),AD1165,0)</f>
        <v>0</v>
      </c>
      <c r="CJ1165" s="994">
        <f>IF(AND(Input_Product=Elig!$C1165,Elig_MatchAll_Ct&lt;22,$BC1165=(Elig_MatchAll_Ct-1),BA1165=0),AE1165,0)</f>
        <v>0</v>
      </c>
    </row>
    <row r="1166" spans="2:88" ht="10.15" customHeight="1" x14ac:dyDescent="0.25">
      <c r="B1166" s="1918" t="s">
        <v>3549</v>
      </c>
      <c r="C1166" s="1223" t="str">
        <f t="shared" si="430"/>
        <v xml:space="preserve"> </v>
      </c>
      <c r="D1166" s="1224" t="s">
        <v>2218</v>
      </c>
      <c r="E1166" s="1224" t="s">
        <v>167</v>
      </c>
      <c r="F1166" s="1224" t="s">
        <v>330</v>
      </c>
      <c r="G1166" s="1225" t="s">
        <v>303</v>
      </c>
      <c r="H1166" s="1225" t="s">
        <v>136</v>
      </c>
      <c r="I1166" s="1224" t="s">
        <v>16</v>
      </c>
      <c r="J1166" s="1224" t="s">
        <v>1311</v>
      </c>
      <c r="K1166" s="1225" t="s">
        <v>3022</v>
      </c>
      <c r="L1166" s="1224" t="s">
        <v>2768</v>
      </c>
      <c r="M1166" s="1224" t="s">
        <v>2677</v>
      </c>
      <c r="N1166" s="1225" t="s">
        <v>2685</v>
      </c>
      <c r="O1166" s="1224" t="s">
        <v>310</v>
      </c>
      <c r="P1166" s="1224" t="s">
        <v>291</v>
      </c>
      <c r="Q1166" s="1224" t="s">
        <v>294</v>
      </c>
      <c r="R1166" s="1224">
        <v>125000</v>
      </c>
      <c r="S1166" s="1224">
        <v>1000000</v>
      </c>
      <c r="T1166" s="1224">
        <v>0</v>
      </c>
      <c r="U1166" s="1224">
        <f t="shared" si="432"/>
        <v>1000000</v>
      </c>
      <c r="V1166" s="1224">
        <v>0</v>
      </c>
      <c r="W1166" s="1224">
        <v>50</v>
      </c>
      <c r="X1166" s="1224">
        <v>0</v>
      </c>
      <c r="Y1166" s="1224">
        <v>999</v>
      </c>
      <c r="Z1166" s="1226">
        <v>680</v>
      </c>
      <c r="AA1166" s="1226">
        <v>699</v>
      </c>
      <c r="AB1166" s="1226">
        <v>3</v>
      </c>
      <c r="AC1166" s="1226">
        <v>999999</v>
      </c>
      <c r="AD1166" s="1224">
        <v>0</v>
      </c>
      <c r="AE1166" s="1227">
        <v>75</v>
      </c>
      <c r="AF1166" s="170">
        <v>0</v>
      </c>
      <c r="AG1166" s="171">
        <v>1</v>
      </c>
      <c r="AH1166" s="171">
        <v>1</v>
      </c>
      <c r="AI1166" s="171">
        <v>0</v>
      </c>
      <c r="AJ1166" s="171">
        <v>1</v>
      </c>
      <c r="AK1166" s="171">
        <v>1</v>
      </c>
      <c r="AL1166" s="171">
        <v>1</v>
      </c>
      <c r="AM1166" s="171">
        <v>1</v>
      </c>
      <c r="AN1166" s="171">
        <v>1</v>
      </c>
      <c r="AO1166" s="171">
        <v>1</v>
      </c>
      <c r="AP1166" s="171">
        <v>1</v>
      </c>
      <c r="AQ1166" s="171">
        <v>1</v>
      </c>
      <c r="AR1166" s="171">
        <v>1</v>
      </c>
      <c r="AS1166" s="171">
        <v>1</v>
      </c>
      <c r="AT1166" s="171">
        <v>1</v>
      </c>
      <c r="AU1166" s="171">
        <f t="shared" si="433"/>
        <v>1</v>
      </c>
      <c r="AV1166" s="171">
        <f t="shared" si="434"/>
        <v>1</v>
      </c>
      <c r="AW1166" s="171">
        <f t="shared" si="435"/>
        <v>1</v>
      </c>
      <c r="AX1166" s="171">
        <f t="shared" si="429"/>
        <v>1</v>
      </c>
      <c r="AY1166" s="171">
        <f t="shared" si="436"/>
        <v>0</v>
      </c>
      <c r="AZ1166" s="171">
        <f t="shared" si="437"/>
        <v>1</v>
      </c>
      <c r="BA1166" s="172">
        <f t="shared" si="438"/>
        <v>1</v>
      </c>
      <c r="BB1166" s="175">
        <f t="shared" si="425"/>
        <v>19</v>
      </c>
      <c r="BC1166" s="176">
        <f t="shared" si="426"/>
        <v>18</v>
      </c>
      <c r="BD1166" s="176">
        <f t="shared" si="427"/>
        <v>19</v>
      </c>
      <c r="BE1166" s="240" t="str">
        <f t="shared" si="431"/>
        <v/>
      </c>
      <c r="BF1166" s="990"/>
      <c r="BG1166" s="990"/>
      <c r="BH1166" s="991">
        <f>IF(AND(Input_Product=Elig!$C1166,Elig_MatchAll_Ct&lt;22,$BC1166=(Elig_MatchAll_Ct-1),AF1166=0),C1166,0)</f>
        <v>0</v>
      </c>
      <c r="BI1166" s="991">
        <f>IF(AND(Input_Product=Elig!$C1166,Elig_MatchAll_Ct&lt;22,$BC1166=(Elig_MatchAll_Ct-1),AG1166=0),D1166,0)</f>
        <v>0</v>
      </c>
      <c r="BJ1166" s="991">
        <f>IF(AND(Input_Product=Elig!$C1166,Elig_MatchAll_Ct&lt;22,$BC1166=(Elig_MatchAll_Ct-1),AH1166=0),E1166,0)</f>
        <v>0</v>
      </c>
      <c r="BK1166" s="991">
        <f>IF(AND(Input_Product=Elig!$C1166,Elig_MatchAll_Ct&lt;22,$BC1166=(Elig_MatchAll_Ct-1),AI1166=0),F1166,0)</f>
        <v>0</v>
      </c>
      <c r="BL1166" s="991">
        <f>IF(AND(Input_Product=Elig!$C1166,Elig_MatchAll_Ct&lt;22,$BC1166=(Elig_MatchAll_Ct-1),AJ1166=0),G1166,0)</f>
        <v>0</v>
      </c>
      <c r="BM1166" s="991">
        <f>IF(AND(Input_Product=Elig!$C1166,Elig_MatchAll_Ct&lt;22,$BC1166=(Elig_MatchAll_Ct-1),AK1166=0),H1166,0)</f>
        <v>0</v>
      </c>
      <c r="BN1166" s="991">
        <f>IF(AND(Input_Product=Elig!$C1166,Elig_MatchAll_Ct&lt;22,$BC1166=(Elig_MatchAll_Ct-1),AL1166=0),I1166,0)</f>
        <v>0</v>
      </c>
      <c r="BO1166" s="991">
        <f>IF(AND(Input_Product=Elig!$C1166,Elig_MatchAll_Ct&lt;22,$BC1166=(Elig_MatchAll_Ct-1),AM1166=0),J1166,0)</f>
        <v>0</v>
      </c>
      <c r="BP1166" s="991">
        <f>IF(AND(Input_Product=Elig!$C1166,Elig_MatchAll_Ct&lt;22,$BC1166=(Elig_MatchAll_Ct-1),AN1166=0),K1166,0)</f>
        <v>0</v>
      </c>
      <c r="BQ1166" s="991">
        <f>IF(AND(Input_Product=Elig!$C1166,Elig_MatchAll_Ct&lt;22,$BC1166=(Elig_MatchAll_Ct-1),AP1166=0),L1166,0)</f>
        <v>0</v>
      </c>
      <c r="BR1166" s="991">
        <f>IF(AND(Input_Product=Elig!$C1166,Elig_MatchAll_Ct&lt;22,$BC1166=(Elig_MatchAll_Ct-1),AO1166=0),M1166,0)</f>
        <v>0</v>
      </c>
      <c r="BS1166" s="991">
        <f>IF(AND(Input_Product=Elig!$C1166,Elig_MatchAll_Ct&lt;22,$BC1166=(Elig_MatchAll_Ct-1),AQ1166=0),N1166,0)</f>
        <v>0</v>
      </c>
      <c r="BT1166" s="991">
        <f>IF(AND(Input_Product=Elig!$C1166,Elig_MatchAll_Ct&lt;22,$BC1166=(Elig_MatchAll_Ct-1),AR1166=0),O1166,0)</f>
        <v>0</v>
      </c>
      <c r="BU1166" s="991">
        <f>IF(AND(Input_Product=Elig!$C1166,Elig_MatchAll_Ct&lt;22,$BC1166=(Elig_MatchAll_Ct-1),AS1166=0),P1166,0)</f>
        <v>0</v>
      </c>
      <c r="BV1166" s="992">
        <f>IF(AND(Input_Product=Elig!$C1166,Elig_MatchAll_Ct&lt;22,$BC1166=(Elig_MatchAll_Ct-1),AT1166=0),Q1166,0)</f>
        <v>0</v>
      </c>
      <c r="BW1166" s="993">
        <f>IF(AND(Input_Product=Elig!$C1166,Elig_MatchAll_Ct&lt;22,$BC1166=(Elig_MatchAll_Ct-1),AU1166=0),R1166,0)</f>
        <v>0</v>
      </c>
      <c r="BX1166" s="994">
        <f>IF(AND(Input_Product=Elig!$C1166,Elig_MatchAll_Ct&lt;22,$BC1166=(Elig_MatchAll_Ct-1),AU1166=0),S1166,0)</f>
        <v>0</v>
      </c>
      <c r="BY1166" s="993">
        <f>IF(AND(Input_Product=Elig!$C1166,Elig_MatchAll_Ct&lt;22,$BC1166=(Elig_MatchAll_Ct-1),AV1166=0),T1166,0)</f>
        <v>0</v>
      </c>
      <c r="BZ1166" s="994">
        <f>IF(AND(Input_Product=Elig!$C1166,Elig_MatchAll_Ct&lt;22,$BC1166=(Elig_MatchAll_Ct-1),AV1166=0),U1166,0)</f>
        <v>0</v>
      </c>
      <c r="CA1166" s="993">
        <f>IF(AND(Input_Product=Elig!$C1166,Elig_MatchAll_Ct&lt;22,$BC1166=(Elig_MatchAll_Ct-1),AW1166=0),V1166,0)</f>
        <v>0</v>
      </c>
      <c r="CB1166" s="994">
        <f>IF(AND(Input_Product=Elig!$C1166,Elig_MatchAll_Ct&lt;22,$BC1166=(Elig_MatchAll_Ct-1),AW1166=0),W1166,0)</f>
        <v>0</v>
      </c>
      <c r="CC1166" s="993">
        <f>IF(AND(Input_Product=Elig!$C1166,Elig_MatchAll_Ct&lt;22,$BC1166=(Elig_MatchAll_Ct-1),AX1166=0),X1166,0)</f>
        <v>0</v>
      </c>
      <c r="CD1166" s="994">
        <f>IF(AND(Input_Product=Elig!$C1166,Elig_MatchAll_Ct&lt;22,$BC1166=(Elig_MatchAll_Ct-1),AX1166=0),Y1166,0)</f>
        <v>0</v>
      </c>
      <c r="CE1166" s="993">
        <f>IF(AND(Input_LTV&lt;=AE1166,Input_Product=Elig!$C1166,Elig_MatchAll_Ct&lt;22,$BC1166=(Elig_MatchAll_Ct-1),AY1166=0),Z1166,0)</f>
        <v>0</v>
      </c>
      <c r="CF1166" s="994">
        <f>IF(AND(Input_LTV&lt;=AE1166,Input_Product=Elig!$C1166,Elig_MatchAll_Ct&lt;22,$BC1166=(Elig_MatchAll_Ct-1),AY1166=0),AA1166,0)</f>
        <v>0</v>
      </c>
      <c r="CG1166" s="993">
        <f>IF(AND(Input_Product=Elig!$C1166,Elig_MatchAll_Ct&lt;22,$BC1166=(Elig_MatchAll_Ct-1),AZ1166=0),AB1166,0)</f>
        <v>0</v>
      </c>
      <c r="CH1166" s="994">
        <f>IF(AND(Input_Product=Elig!$C1166,Elig_MatchAll_Ct&lt;22,$BC1166=(Elig_MatchAll_Ct-1),AZ1166=0),AC1166,0)</f>
        <v>0</v>
      </c>
      <c r="CI1166" s="993">
        <f>IF(AND(Input_Product=Elig!$C1166,Elig_MatchAll_Ct&lt;22,$BC1166=(Elig_MatchAll_Ct-1),BA1166=0),AD1166,0)</f>
        <v>0</v>
      </c>
      <c r="CJ1166" s="994">
        <f>IF(AND(Input_Product=Elig!$C1166,Elig_MatchAll_Ct&lt;22,$BC1166=(Elig_MatchAll_Ct-1),BA1166=0),AE1166,0)</f>
        <v>0</v>
      </c>
    </row>
    <row r="1167" spans="2:88" ht="10.15" customHeight="1" x14ac:dyDescent="0.25">
      <c r="B1167" s="1918" t="s">
        <v>3550</v>
      </c>
      <c r="C1167" s="1228" t="str">
        <f t="shared" si="430"/>
        <v xml:space="preserve"> </v>
      </c>
      <c r="D1167" s="1229" t="s">
        <v>2218</v>
      </c>
      <c r="E1167" s="1229" t="s">
        <v>167</v>
      </c>
      <c r="F1167" s="1229" t="s">
        <v>330</v>
      </c>
      <c r="G1167" s="1230" t="s">
        <v>303</v>
      </c>
      <c r="H1167" s="1230" t="s">
        <v>136</v>
      </c>
      <c r="I1167" s="1229" t="s">
        <v>16</v>
      </c>
      <c r="J1167" s="1229" t="s">
        <v>1311</v>
      </c>
      <c r="K1167" s="1230" t="s">
        <v>3022</v>
      </c>
      <c r="L1167" s="1229" t="s">
        <v>2768</v>
      </c>
      <c r="M1167" s="1229" t="s">
        <v>2677</v>
      </c>
      <c r="N1167" s="1230" t="s">
        <v>2685</v>
      </c>
      <c r="O1167" s="1229" t="s">
        <v>310</v>
      </c>
      <c r="P1167" s="1229" t="s">
        <v>291</v>
      </c>
      <c r="Q1167" s="1229" t="s">
        <v>294</v>
      </c>
      <c r="R1167" s="1229">
        <v>125000</v>
      </c>
      <c r="S1167" s="1229">
        <v>1000000</v>
      </c>
      <c r="T1167" s="1229">
        <v>0</v>
      </c>
      <c r="U1167" s="1229">
        <f t="shared" si="432"/>
        <v>1000000</v>
      </c>
      <c r="V1167" s="1229">
        <v>0</v>
      </c>
      <c r="W1167" s="1229">
        <v>50</v>
      </c>
      <c r="X1167" s="1229">
        <v>0</v>
      </c>
      <c r="Y1167" s="1229">
        <v>999</v>
      </c>
      <c r="Z1167" s="1231">
        <v>660</v>
      </c>
      <c r="AA1167" s="1231">
        <v>679</v>
      </c>
      <c r="AB1167" s="1231">
        <v>3</v>
      </c>
      <c r="AC1167" s="1231">
        <v>999999</v>
      </c>
      <c r="AD1167" s="1229">
        <v>0</v>
      </c>
      <c r="AE1167" s="1232">
        <v>70</v>
      </c>
      <c r="AF1167" s="170">
        <v>0</v>
      </c>
      <c r="AG1167" s="171">
        <v>1</v>
      </c>
      <c r="AH1167" s="171">
        <v>1</v>
      </c>
      <c r="AI1167" s="171">
        <v>0</v>
      </c>
      <c r="AJ1167" s="171">
        <v>1</v>
      </c>
      <c r="AK1167" s="171">
        <v>1</v>
      </c>
      <c r="AL1167" s="171">
        <v>1</v>
      </c>
      <c r="AM1167" s="171">
        <v>1</v>
      </c>
      <c r="AN1167" s="171">
        <v>1</v>
      </c>
      <c r="AO1167" s="171">
        <v>1</v>
      </c>
      <c r="AP1167" s="171">
        <v>1</v>
      </c>
      <c r="AQ1167" s="171">
        <v>1</v>
      </c>
      <c r="AR1167" s="171">
        <v>1</v>
      </c>
      <c r="AS1167" s="171">
        <v>1</v>
      </c>
      <c r="AT1167" s="171">
        <v>1</v>
      </c>
      <c r="AU1167" s="171">
        <f t="shared" si="433"/>
        <v>1</v>
      </c>
      <c r="AV1167" s="171">
        <f t="shared" si="434"/>
        <v>1</v>
      </c>
      <c r="AW1167" s="171">
        <f t="shared" si="435"/>
        <v>1</v>
      </c>
      <c r="AX1167" s="171">
        <f t="shared" si="429"/>
        <v>1</v>
      </c>
      <c r="AY1167" s="171">
        <f t="shared" si="436"/>
        <v>0</v>
      </c>
      <c r="AZ1167" s="171">
        <f t="shared" si="437"/>
        <v>1</v>
      </c>
      <c r="BA1167" s="172">
        <f t="shared" si="438"/>
        <v>1</v>
      </c>
      <c r="BB1167" s="175">
        <f t="shared" si="425"/>
        <v>19</v>
      </c>
      <c r="BC1167" s="176">
        <f t="shared" si="426"/>
        <v>18</v>
      </c>
      <c r="BD1167" s="176">
        <f t="shared" si="427"/>
        <v>19</v>
      </c>
      <c r="BE1167" s="240" t="str">
        <f t="shared" si="431"/>
        <v/>
      </c>
      <c r="BF1167" s="990"/>
      <c r="BG1167" s="990"/>
      <c r="BH1167" s="991">
        <f>IF(AND(Input_Product=Elig!$C1167,Elig_MatchAll_Ct&lt;22,$BC1167=(Elig_MatchAll_Ct-1),AF1167=0),C1167,0)</f>
        <v>0</v>
      </c>
      <c r="BI1167" s="991">
        <f>IF(AND(Input_Product=Elig!$C1167,Elig_MatchAll_Ct&lt;22,$BC1167=(Elig_MatchAll_Ct-1),AG1167=0),D1167,0)</f>
        <v>0</v>
      </c>
      <c r="BJ1167" s="991">
        <f>IF(AND(Input_Product=Elig!$C1167,Elig_MatchAll_Ct&lt;22,$BC1167=(Elig_MatchAll_Ct-1),AH1167=0),E1167,0)</f>
        <v>0</v>
      </c>
      <c r="BK1167" s="991">
        <f>IF(AND(Input_Product=Elig!$C1167,Elig_MatchAll_Ct&lt;22,$BC1167=(Elig_MatchAll_Ct-1),AI1167=0),F1167,0)</f>
        <v>0</v>
      </c>
      <c r="BL1167" s="991">
        <f>IF(AND(Input_Product=Elig!$C1167,Elig_MatchAll_Ct&lt;22,$BC1167=(Elig_MatchAll_Ct-1),AJ1167=0),G1167,0)</f>
        <v>0</v>
      </c>
      <c r="BM1167" s="991">
        <f>IF(AND(Input_Product=Elig!$C1167,Elig_MatchAll_Ct&lt;22,$BC1167=(Elig_MatchAll_Ct-1),AK1167=0),H1167,0)</f>
        <v>0</v>
      </c>
      <c r="BN1167" s="991">
        <f>IF(AND(Input_Product=Elig!$C1167,Elig_MatchAll_Ct&lt;22,$BC1167=(Elig_MatchAll_Ct-1),AL1167=0),I1167,0)</f>
        <v>0</v>
      </c>
      <c r="BO1167" s="991">
        <f>IF(AND(Input_Product=Elig!$C1167,Elig_MatchAll_Ct&lt;22,$BC1167=(Elig_MatchAll_Ct-1),AM1167=0),J1167,0)</f>
        <v>0</v>
      </c>
      <c r="BP1167" s="991">
        <f>IF(AND(Input_Product=Elig!$C1167,Elig_MatchAll_Ct&lt;22,$BC1167=(Elig_MatchAll_Ct-1),AN1167=0),K1167,0)</f>
        <v>0</v>
      </c>
      <c r="BQ1167" s="991">
        <f>IF(AND(Input_Product=Elig!$C1167,Elig_MatchAll_Ct&lt;22,$BC1167=(Elig_MatchAll_Ct-1),AP1167=0),L1167,0)</f>
        <v>0</v>
      </c>
      <c r="BR1167" s="991">
        <f>IF(AND(Input_Product=Elig!$C1167,Elig_MatchAll_Ct&lt;22,$BC1167=(Elig_MatchAll_Ct-1),AO1167=0),M1167,0)</f>
        <v>0</v>
      </c>
      <c r="BS1167" s="991">
        <f>IF(AND(Input_Product=Elig!$C1167,Elig_MatchAll_Ct&lt;22,$BC1167=(Elig_MatchAll_Ct-1),AQ1167=0),N1167,0)</f>
        <v>0</v>
      </c>
      <c r="BT1167" s="991">
        <f>IF(AND(Input_Product=Elig!$C1167,Elig_MatchAll_Ct&lt;22,$BC1167=(Elig_MatchAll_Ct-1),AR1167=0),O1167,0)</f>
        <v>0</v>
      </c>
      <c r="BU1167" s="991">
        <f>IF(AND(Input_Product=Elig!$C1167,Elig_MatchAll_Ct&lt;22,$BC1167=(Elig_MatchAll_Ct-1),AS1167=0),P1167,0)</f>
        <v>0</v>
      </c>
      <c r="BV1167" s="992">
        <f>IF(AND(Input_Product=Elig!$C1167,Elig_MatchAll_Ct&lt;22,$BC1167=(Elig_MatchAll_Ct-1),AT1167=0),Q1167,0)</f>
        <v>0</v>
      </c>
      <c r="BW1167" s="993">
        <f>IF(AND(Input_Product=Elig!$C1167,Elig_MatchAll_Ct&lt;22,$BC1167=(Elig_MatchAll_Ct-1),AU1167=0),R1167,0)</f>
        <v>0</v>
      </c>
      <c r="BX1167" s="994">
        <f>IF(AND(Input_Product=Elig!$C1167,Elig_MatchAll_Ct&lt;22,$BC1167=(Elig_MatchAll_Ct-1),AU1167=0),S1167,0)</f>
        <v>0</v>
      </c>
      <c r="BY1167" s="993">
        <f>IF(AND(Input_Product=Elig!$C1167,Elig_MatchAll_Ct&lt;22,$BC1167=(Elig_MatchAll_Ct-1),AV1167=0),T1167,0)</f>
        <v>0</v>
      </c>
      <c r="BZ1167" s="994">
        <f>IF(AND(Input_Product=Elig!$C1167,Elig_MatchAll_Ct&lt;22,$BC1167=(Elig_MatchAll_Ct-1),AV1167=0),U1167,0)</f>
        <v>0</v>
      </c>
      <c r="CA1167" s="993">
        <f>IF(AND(Input_Product=Elig!$C1167,Elig_MatchAll_Ct&lt;22,$BC1167=(Elig_MatchAll_Ct-1),AW1167=0),V1167,0)</f>
        <v>0</v>
      </c>
      <c r="CB1167" s="994">
        <f>IF(AND(Input_Product=Elig!$C1167,Elig_MatchAll_Ct&lt;22,$BC1167=(Elig_MatchAll_Ct-1),AW1167=0),W1167,0)</f>
        <v>0</v>
      </c>
      <c r="CC1167" s="993">
        <f>IF(AND(Input_Product=Elig!$C1167,Elig_MatchAll_Ct&lt;22,$BC1167=(Elig_MatchAll_Ct-1),AX1167=0),X1167,0)</f>
        <v>0</v>
      </c>
      <c r="CD1167" s="994">
        <f>IF(AND(Input_Product=Elig!$C1167,Elig_MatchAll_Ct&lt;22,$BC1167=(Elig_MatchAll_Ct-1),AX1167=0),Y1167,0)</f>
        <v>0</v>
      </c>
      <c r="CE1167" s="993">
        <f>IF(AND(Input_LTV&lt;=AE1167,Input_Product=Elig!$C1167,Elig_MatchAll_Ct&lt;22,$BC1167=(Elig_MatchAll_Ct-1),AY1167=0),Z1167,0)</f>
        <v>0</v>
      </c>
      <c r="CF1167" s="994">
        <f>IF(AND(Input_LTV&lt;=AE1167,Input_Product=Elig!$C1167,Elig_MatchAll_Ct&lt;22,$BC1167=(Elig_MatchAll_Ct-1),AY1167=0),AA1167,0)</f>
        <v>0</v>
      </c>
      <c r="CG1167" s="993">
        <f>IF(AND(Input_Product=Elig!$C1167,Elig_MatchAll_Ct&lt;22,$BC1167=(Elig_MatchAll_Ct-1),AZ1167=0),AB1167,0)</f>
        <v>0</v>
      </c>
      <c r="CH1167" s="994">
        <f>IF(AND(Input_Product=Elig!$C1167,Elig_MatchAll_Ct&lt;22,$BC1167=(Elig_MatchAll_Ct-1),AZ1167=0),AC1167,0)</f>
        <v>0</v>
      </c>
      <c r="CI1167" s="993">
        <f>IF(AND(Input_Product=Elig!$C1167,Elig_MatchAll_Ct&lt;22,$BC1167=(Elig_MatchAll_Ct-1),BA1167=0),AD1167,0)</f>
        <v>0</v>
      </c>
      <c r="CJ1167" s="994">
        <f>IF(AND(Input_Product=Elig!$C1167,Elig_MatchAll_Ct&lt;22,$BC1167=(Elig_MatchAll_Ct-1),BA1167=0),AE1167,0)</f>
        <v>0</v>
      </c>
    </row>
    <row r="1168" spans="2:88" ht="10.15" customHeight="1" x14ac:dyDescent="0.25">
      <c r="B1168" s="1918" t="s">
        <v>3551</v>
      </c>
      <c r="C1168" s="1218" t="str">
        <f t="shared" si="430"/>
        <v xml:space="preserve"> </v>
      </c>
      <c r="D1168" s="1219" t="s">
        <v>2218</v>
      </c>
      <c r="E1168" s="1219" t="s">
        <v>167</v>
      </c>
      <c r="F1168" s="1219" t="s">
        <v>330</v>
      </c>
      <c r="G1168" s="1220" t="s">
        <v>303</v>
      </c>
      <c r="H1168" s="1220" t="s">
        <v>136</v>
      </c>
      <c r="I1168" s="1219" t="s">
        <v>16</v>
      </c>
      <c r="J1168" s="1219" t="s">
        <v>1311</v>
      </c>
      <c r="K1168" s="1220" t="s">
        <v>3022</v>
      </c>
      <c r="L1168" s="1219" t="s">
        <v>2768</v>
      </c>
      <c r="M1168" s="1219" t="s">
        <v>2677</v>
      </c>
      <c r="N1168" s="1220" t="s">
        <v>2685</v>
      </c>
      <c r="O1168" s="1219" t="s">
        <v>310</v>
      </c>
      <c r="P1168" s="1219" t="s">
        <v>291</v>
      </c>
      <c r="Q1168" s="1219" t="s">
        <v>294</v>
      </c>
      <c r="R1168" s="1219">
        <v>1000000.01</v>
      </c>
      <c r="S1168" s="1219">
        <v>1500000</v>
      </c>
      <c r="T1168" s="1219">
        <v>0</v>
      </c>
      <c r="U1168" s="1219">
        <f t="shared" si="432"/>
        <v>1500000</v>
      </c>
      <c r="V1168" s="1219">
        <v>0</v>
      </c>
      <c r="W1168" s="1219">
        <v>50</v>
      </c>
      <c r="X1168" s="1219">
        <v>0</v>
      </c>
      <c r="Y1168" s="1219">
        <v>999</v>
      </c>
      <c r="Z1168" s="1221">
        <v>720</v>
      </c>
      <c r="AA1168" s="1221">
        <v>999</v>
      </c>
      <c r="AB1168" s="1221">
        <v>6</v>
      </c>
      <c r="AC1168" s="1221">
        <v>999999</v>
      </c>
      <c r="AD1168" s="1219">
        <v>0</v>
      </c>
      <c r="AE1168" s="1222">
        <v>80</v>
      </c>
      <c r="AF1168" s="170">
        <v>0</v>
      </c>
      <c r="AG1168" s="171">
        <v>1</v>
      </c>
      <c r="AH1168" s="171">
        <v>1</v>
      </c>
      <c r="AI1168" s="171">
        <v>0</v>
      </c>
      <c r="AJ1168" s="171">
        <v>1</v>
      </c>
      <c r="AK1168" s="171">
        <v>1</v>
      </c>
      <c r="AL1168" s="171">
        <v>1</v>
      </c>
      <c r="AM1168" s="171">
        <v>1</v>
      </c>
      <c r="AN1168" s="171">
        <v>1</v>
      </c>
      <c r="AO1168" s="171">
        <v>1</v>
      </c>
      <c r="AP1168" s="171">
        <v>1</v>
      </c>
      <c r="AQ1168" s="171">
        <v>1</v>
      </c>
      <c r="AR1168" s="171">
        <v>1</v>
      </c>
      <c r="AS1168" s="171">
        <v>1</v>
      </c>
      <c r="AT1168" s="171">
        <v>1</v>
      </c>
      <c r="AU1168" s="171">
        <f t="shared" si="433"/>
        <v>0</v>
      </c>
      <c r="AV1168" s="171">
        <f t="shared" si="434"/>
        <v>1</v>
      </c>
      <c r="AW1168" s="171">
        <f t="shared" si="435"/>
        <v>1</v>
      </c>
      <c r="AX1168" s="171">
        <f t="shared" si="429"/>
        <v>1</v>
      </c>
      <c r="AY1168" s="171">
        <f t="shared" si="436"/>
        <v>1</v>
      </c>
      <c r="AZ1168" s="171">
        <f t="shared" si="437"/>
        <v>1</v>
      </c>
      <c r="BA1168" s="172">
        <f t="shared" si="438"/>
        <v>1</v>
      </c>
      <c r="BB1168" s="175">
        <f t="shared" si="425"/>
        <v>19</v>
      </c>
      <c r="BC1168" s="176">
        <f t="shared" si="426"/>
        <v>18</v>
      </c>
      <c r="BD1168" s="176">
        <f t="shared" si="427"/>
        <v>19</v>
      </c>
      <c r="BE1168" s="240" t="str">
        <f t="shared" si="431"/>
        <v/>
      </c>
      <c r="BF1168" s="990"/>
      <c r="BG1168" s="990"/>
      <c r="BH1168" s="991">
        <f>IF(AND(Input_Product=Elig!$C1168,Elig_MatchAll_Ct&lt;22,$BC1168=(Elig_MatchAll_Ct-1),AF1168=0),C1168,0)</f>
        <v>0</v>
      </c>
      <c r="BI1168" s="991">
        <f>IF(AND(Input_Product=Elig!$C1168,Elig_MatchAll_Ct&lt;22,$BC1168=(Elig_MatchAll_Ct-1),AG1168=0),D1168,0)</f>
        <v>0</v>
      </c>
      <c r="BJ1168" s="991">
        <f>IF(AND(Input_Product=Elig!$C1168,Elig_MatchAll_Ct&lt;22,$BC1168=(Elig_MatchAll_Ct-1),AH1168=0),E1168,0)</f>
        <v>0</v>
      </c>
      <c r="BK1168" s="991">
        <f>IF(AND(Input_Product=Elig!$C1168,Elig_MatchAll_Ct&lt;22,$BC1168=(Elig_MatchAll_Ct-1),AI1168=0),F1168,0)</f>
        <v>0</v>
      </c>
      <c r="BL1168" s="991">
        <f>IF(AND(Input_Product=Elig!$C1168,Elig_MatchAll_Ct&lt;22,$BC1168=(Elig_MatchAll_Ct-1),AJ1168=0),G1168,0)</f>
        <v>0</v>
      </c>
      <c r="BM1168" s="991">
        <f>IF(AND(Input_Product=Elig!$C1168,Elig_MatchAll_Ct&lt;22,$BC1168=(Elig_MatchAll_Ct-1),AK1168=0),H1168,0)</f>
        <v>0</v>
      </c>
      <c r="BN1168" s="991">
        <f>IF(AND(Input_Product=Elig!$C1168,Elig_MatchAll_Ct&lt;22,$BC1168=(Elig_MatchAll_Ct-1),AL1168=0),I1168,0)</f>
        <v>0</v>
      </c>
      <c r="BO1168" s="991">
        <f>IF(AND(Input_Product=Elig!$C1168,Elig_MatchAll_Ct&lt;22,$BC1168=(Elig_MatchAll_Ct-1),AM1168=0),J1168,0)</f>
        <v>0</v>
      </c>
      <c r="BP1168" s="991">
        <f>IF(AND(Input_Product=Elig!$C1168,Elig_MatchAll_Ct&lt;22,$BC1168=(Elig_MatchAll_Ct-1),AN1168=0),K1168,0)</f>
        <v>0</v>
      </c>
      <c r="BQ1168" s="991">
        <f>IF(AND(Input_Product=Elig!$C1168,Elig_MatchAll_Ct&lt;22,$BC1168=(Elig_MatchAll_Ct-1),AP1168=0),L1168,0)</f>
        <v>0</v>
      </c>
      <c r="BR1168" s="991">
        <f>IF(AND(Input_Product=Elig!$C1168,Elig_MatchAll_Ct&lt;22,$BC1168=(Elig_MatchAll_Ct-1),AO1168=0),M1168,0)</f>
        <v>0</v>
      </c>
      <c r="BS1168" s="991">
        <f>IF(AND(Input_Product=Elig!$C1168,Elig_MatchAll_Ct&lt;22,$BC1168=(Elig_MatchAll_Ct-1),AQ1168=0),N1168,0)</f>
        <v>0</v>
      </c>
      <c r="BT1168" s="991">
        <f>IF(AND(Input_Product=Elig!$C1168,Elig_MatchAll_Ct&lt;22,$BC1168=(Elig_MatchAll_Ct-1),AR1168=0),O1168,0)</f>
        <v>0</v>
      </c>
      <c r="BU1168" s="991">
        <f>IF(AND(Input_Product=Elig!$C1168,Elig_MatchAll_Ct&lt;22,$BC1168=(Elig_MatchAll_Ct-1),AS1168=0),P1168,0)</f>
        <v>0</v>
      </c>
      <c r="BV1168" s="992">
        <f>IF(AND(Input_Product=Elig!$C1168,Elig_MatchAll_Ct&lt;22,$BC1168=(Elig_MatchAll_Ct-1),AT1168=0),Q1168,0)</f>
        <v>0</v>
      </c>
      <c r="BW1168" s="993">
        <f>IF(AND(Input_Product=Elig!$C1168,Elig_MatchAll_Ct&lt;22,$BC1168=(Elig_MatchAll_Ct-1),AU1168=0),R1168,0)</f>
        <v>0</v>
      </c>
      <c r="BX1168" s="994">
        <f>IF(AND(Input_Product=Elig!$C1168,Elig_MatchAll_Ct&lt;22,$BC1168=(Elig_MatchAll_Ct-1),AU1168=0),S1168,0)</f>
        <v>0</v>
      </c>
      <c r="BY1168" s="993">
        <f>IF(AND(Input_Product=Elig!$C1168,Elig_MatchAll_Ct&lt;22,$BC1168=(Elig_MatchAll_Ct-1),AV1168=0),T1168,0)</f>
        <v>0</v>
      </c>
      <c r="BZ1168" s="994">
        <f>IF(AND(Input_Product=Elig!$C1168,Elig_MatchAll_Ct&lt;22,$BC1168=(Elig_MatchAll_Ct-1),AV1168=0),U1168,0)</f>
        <v>0</v>
      </c>
      <c r="CA1168" s="993">
        <f>IF(AND(Input_Product=Elig!$C1168,Elig_MatchAll_Ct&lt;22,$BC1168=(Elig_MatchAll_Ct-1),AW1168=0),V1168,0)</f>
        <v>0</v>
      </c>
      <c r="CB1168" s="994">
        <f>IF(AND(Input_Product=Elig!$C1168,Elig_MatchAll_Ct&lt;22,$BC1168=(Elig_MatchAll_Ct-1),AW1168=0),W1168,0)</f>
        <v>0</v>
      </c>
      <c r="CC1168" s="993">
        <f>IF(AND(Input_Product=Elig!$C1168,Elig_MatchAll_Ct&lt;22,$BC1168=(Elig_MatchAll_Ct-1),AX1168=0),X1168,0)</f>
        <v>0</v>
      </c>
      <c r="CD1168" s="994">
        <f>IF(AND(Input_Product=Elig!$C1168,Elig_MatchAll_Ct&lt;22,$BC1168=(Elig_MatchAll_Ct-1),AX1168=0),Y1168,0)</f>
        <v>0</v>
      </c>
      <c r="CE1168" s="993">
        <f>IF(AND(Input_LTV&lt;=AE1168,Input_Product=Elig!$C1168,Elig_MatchAll_Ct&lt;22,$BC1168=(Elig_MatchAll_Ct-1),AY1168=0),Z1168,0)</f>
        <v>0</v>
      </c>
      <c r="CF1168" s="994">
        <f>IF(AND(Input_LTV&lt;=AE1168,Input_Product=Elig!$C1168,Elig_MatchAll_Ct&lt;22,$BC1168=(Elig_MatchAll_Ct-1),AY1168=0),AA1168,0)</f>
        <v>0</v>
      </c>
      <c r="CG1168" s="993">
        <f>IF(AND(Input_Product=Elig!$C1168,Elig_MatchAll_Ct&lt;22,$BC1168=(Elig_MatchAll_Ct-1),AZ1168=0),AB1168,0)</f>
        <v>0</v>
      </c>
      <c r="CH1168" s="994">
        <f>IF(AND(Input_Product=Elig!$C1168,Elig_MatchAll_Ct&lt;22,$BC1168=(Elig_MatchAll_Ct-1),AZ1168=0),AC1168,0)</f>
        <v>0</v>
      </c>
      <c r="CI1168" s="993">
        <f>IF(AND(Input_Product=Elig!$C1168,Elig_MatchAll_Ct&lt;22,$BC1168=(Elig_MatchAll_Ct-1),BA1168=0),AD1168,0)</f>
        <v>0</v>
      </c>
      <c r="CJ1168" s="994">
        <f>IF(AND(Input_Product=Elig!$C1168,Elig_MatchAll_Ct&lt;22,$BC1168=(Elig_MatchAll_Ct-1),BA1168=0),AE1168,0)</f>
        <v>0</v>
      </c>
    </row>
    <row r="1169" spans="2:88" ht="10.15" customHeight="1" x14ac:dyDescent="0.25">
      <c r="B1169" s="1918" t="s">
        <v>3552</v>
      </c>
      <c r="C1169" s="1223" t="str">
        <f t="shared" si="430"/>
        <v xml:space="preserve"> </v>
      </c>
      <c r="D1169" s="1224" t="s">
        <v>2218</v>
      </c>
      <c r="E1169" s="1224" t="s">
        <v>167</v>
      </c>
      <c r="F1169" s="1224" t="s">
        <v>330</v>
      </c>
      <c r="G1169" s="1225" t="s">
        <v>303</v>
      </c>
      <c r="H1169" s="1225" t="s">
        <v>136</v>
      </c>
      <c r="I1169" s="1224" t="s">
        <v>16</v>
      </c>
      <c r="J1169" s="1224" t="s">
        <v>1311</v>
      </c>
      <c r="K1169" s="1225" t="s">
        <v>3022</v>
      </c>
      <c r="L1169" s="1224" t="s">
        <v>2768</v>
      </c>
      <c r="M1169" s="1224" t="s">
        <v>2677</v>
      </c>
      <c r="N1169" s="1225" t="s">
        <v>2685</v>
      </c>
      <c r="O1169" s="1224" t="s">
        <v>310</v>
      </c>
      <c r="P1169" s="1224" t="s">
        <v>291</v>
      </c>
      <c r="Q1169" s="1224" t="s">
        <v>294</v>
      </c>
      <c r="R1169" s="1224">
        <v>1000000.01</v>
      </c>
      <c r="S1169" s="1224">
        <v>1500000</v>
      </c>
      <c r="T1169" s="1224">
        <v>0</v>
      </c>
      <c r="U1169" s="1224">
        <f t="shared" si="432"/>
        <v>1500000</v>
      </c>
      <c r="V1169" s="1224">
        <v>0</v>
      </c>
      <c r="W1169" s="1224">
        <v>50</v>
      </c>
      <c r="X1169" s="1224">
        <v>0</v>
      </c>
      <c r="Y1169" s="1224">
        <v>999</v>
      </c>
      <c r="Z1169" s="1226">
        <v>700</v>
      </c>
      <c r="AA1169" s="1226">
        <v>719</v>
      </c>
      <c r="AB1169" s="1226">
        <v>6</v>
      </c>
      <c r="AC1169" s="1226">
        <v>999999</v>
      </c>
      <c r="AD1169" s="1224">
        <v>0</v>
      </c>
      <c r="AE1169" s="1227">
        <v>80</v>
      </c>
      <c r="AF1169" s="170">
        <v>0</v>
      </c>
      <c r="AG1169" s="171">
        <v>1</v>
      </c>
      <c r="AH1169" s="171">
        <v>1</v>
      </c>
      <c r="AI1169" s="171">
        <v>0</v>
      </c>
      <c r="AJ1169" s="171">
        <v>1</v>
      </c>
      <c r="AK1169" s="171">
        <v>1</v>
      </c>
      <c r="AL1169" s="171">
        <v>1</v>
      </c>
      <c r="AM1169" s="171">
        <v>1</v>
      </c>
      <c r="AN1169" s="171">
        <v>1</v>
      </c>
      <c r="AO1169" s="171">
        <v>1</v>
      </c>
      <c r="AP1169" s="171">
        <v>1</v>
      </c>
      <c r="AQ1169" s="171">
        <v>1</v>
      </c>
      <c r="AR1169" s="171">
        <v>1</v>
      </c>
      <c r="AS1169" s="171">
        <v>1</v>
      </c>
      <c r="AT1169" s="171">
        <v>1</v>
      </c>
      <c r="AU1169" s="171">
        <f t="shared" si="433"/>
        <v>0</v>
      </c>
      <c r="AV1169" s="171">
        <f t="shared" si="434"/>
        <v>1</v>
      </c>
      <c r="AW1169" s="171">
        <f t="shared" si="435"/>
        <v>1</v>
      </c>
      <c r="AX1169" s="171">
        <f t="shared" si="429"/>
        <v>1</v>
      </c>
      <c r="AY1169" s="171">
        <f t="shared" si="436"/>
        <v>0</v>
      </c>
      <c r="AZ1169" s="171">
        <f t="shared" si="437"/>
        <v>1</v>
      </c>
      <c r="BA1169" s="172">
        <f t="shared" si="438"/>
        <v>1</v>
      </c>
      <c r="BB1169" s="175">
        <f t="shared" si="425"/>
        <v>18</v>
      </c>
      <c r="BC1169" s="176">
        <f t="shared" si="426"/>
        <v>17</v>
      </c>
      <c r="BD1169" s="176">
        <f t="shared" si="427"/>
        <v>18</v>
      </c>
      <c r="BE1169" s="240" t="str">
        <f t="shared" si="431"/>
        <v/>
      </c>
      <c r="BF1169" s="990"/>
      <c r="BG1169" s="990"/>
      <c r="BH1169" s="991">
        <f>IF(AND(Input_Product=Elig!$C1169,Elig_MatchAll_Ct&lt;22,$BC1169=(Elig_MatchAll_Ct-1),AF1169=0),C1169,0)</f>
        <v>0</v>
      </c>
      <c r="BI1169" s="991">
        <f>IF(AND(Input_Product=Elig!$C1169,Elig_MatchAll_Ct&lt;22,$BC1169=(Elig_MatchAll_Ct-1),AG1169=0),D1169,0)</f>
        <v>0</v>
      </c>
      <c r="BJ1169" s="991">
        <f>IF(AND(Input_Product=Elig!$C1169,Elig_MatchAll_Ct&lt;22,$BC1169=(Elig_MatchAll_Ct-1),AH1169=0),E1169,0)</f>
        <v>0</v>
      </c>
      <c r="BK1169" s="991">
        <f>IF(AND(Input_Product=Elig!$C1169,Elig_MatchAll_Ct&lt;22,$BC1169=(Elig_MatchAll_Ct-1),AI1169=0),F1169,0)</f>
        <v>0</v>
      </c>
      <c r="BL1169" s="991">
        <f>IF(AND(Input_Product=Elig!$C1169,Elig_MatchAll_Ct&lt;22,$BC1169=(Elig_MatchAll_Ct-1),AJ1169=0),G1169,0)</f>
        <v>0</v>
      </c>
      <c r="BM1169" s="991">
        <f>IF(AND(Input_Product=Elig!$C1169,Elig_MatchAll_Ct&lt;22,$BC1169=(Elig_MatchAll_Ct-1),AK1169=0),H1169,0)</f>
        <v>0</v>
      </c>
      <c r="BN1169" s="991">
        <f>IF(AND(Input_Product=Elig!$C1169,Elig_MatchAll_Ct&lt;22,$BC1169=(Elig_MatchAll_Ct-1),AL1169=0),I1169,0)</f>
        <v>0</v>
      </c>
      <c r="BO1169" s="991">
        <f>IF(AND(Input_Product=Elig!$C1169,Elig_MatchAll_Ct&lt;22,$BC1169=(Elig_MatchAll_Ct-1),AM1169=0),J1169,0)</f>
        <v>0</v>
      </c>
      <c r="BP1169" s="991">
        <f>IF(AND(Input_Product=Elig!$C1169,Elig_MatchAll_Ct&lt;22,$BC1169=(Elig_MatchAll_Ct-1),AN1169=0),K1169,0)</f>
        <v>0</v>
      </c>
      <c r="BQ1169" s="991">
        <f>IF(AND(Input_Product=Elig!$C1169,Elig_MatchAll_Ct&lt;22,$BC1169=(Elig_MatchAll_Ct-1),AP1169=0),L1169,0)</f>
        <v>0</v>
      </c>
      <c r="BR1169" s="991">
        <f>IF(AND(Input_Product=Elig!$C1169,Elig_MatchAll_Ct&lt;22,$BC1169=(Elig_MatchAll_Ct-1),AO1169=0),M1169,0)</f>
        <v>0</v>
      </c>
      <c r="BS1169" s="991">
        <f>IF(AND(Input_Product=Elig!$C1169,Elig_MatchAll_Ct&lt;22,$BC1169=(Elig_MatchAll_Ct-1),AQ1169=0),N1169,0)</f>
        <v>0</v>
      </c>
      <c r="BT1169" s="991">
        <f>IF(AND(Input_Product=Elig!$C1169,Elig_MatchAll_Ct&lt;22,$BC1169=(Elig_MatchAll_Ct-1),AR1169=0),O1169,0)</f>
        <v>0</v>
      </c>
      <c r="BU1169" s="991">
        <f>IF(AND(Input_Product=Elig!$C1169,Elig_MatchAll_Ct&lt;22,$BC1169=(Elig_MatchAll_Ct-1),AS1169=0),P1169,0)</f>
        <v>0</v>
      </c>
      <c r="BV1169" s="992">
        <f>IF(AND(Input_Product=Elig!$C1169,Elig_MatchAll_Ct&lt;22,$BC1169=(Elig_MatchAll_Ct-1),AT1169=0),Q1169,0)</f>
        <v>0</v>
      </c>
      <c r="BW1169" s="993">
        <f>IF(AND(Input_Product=Elig!$C1169,Elig_MatchAll_Ct&lt;22,$BC1169=(Elig_MatchAll_Ct-1),AU1169=0),R1169,0)</f>
        <v>0</v>
      </c>
      <c r="BX1169" s="994">
        <f>IF(AND(Input_Product=Elig!$C1169,Elig_MatchAll_Ct&lt;22,$BC1169=(Elig_MatchAll_Ct-1),AU1169=0),S1169,0)</f>
        <v>0</v>
      </c>
      <c r="BY1169" s="993">
        <f>IF(AND(Input_Product=Elig!$C1169,Elig_MatchAll_Ct&lt;22,$BC1169=(Elig_MatchAll_Ct-1),AV1169=0),T1169,0)</f>
        <v>0</v>
      </c>
      <c r="BZ1169" s="994">
        <f>IF(AND(Input_Product=Elig!$C1169,Elig_MatchAll_Ct&lt;22,$BC1169=(Elig_MatchAll_Ct-1),AV1169=0),U1169,0)</f>
        <v>0</v>
      </c>
      <c r="CA1169" s="993">
        <f>IF(AND(Input_Product=Elig!$C1169,Elig_MatchAll_Ct&lt;22,$BC1169=(Elig_MatchAll_Ct-1),AW1169=0),V1169,0)</f>
        <v>0</v>
      </c>
      <c r="CB1169" s="994">
        <f>IF(AND(Input_Product=Elig!$C1169,Elig_MatchAll_Ct&lt;22,$BC1169=(Elig_MatchAll_Ct-1),AW1169=0),W1169,0)</f>
        <v>0</v>
      </c>
      <c r="CC1169" s="993">
        <f>IF(AND(Input_Product=Elig!$C1169,Elig_MatchAll_Ct&lt;22,$BC1169=(Elig_MatchAll_Ct-1),AX1169=0),X1169,0)</f>
        <v>0</v>
      </c>
      <c r="CD1169" s="994">
        <f>IF(AND(Input_Product=Elig!$C1169,Elig_MatchAll_Ct&lt;22,$BC1169=(Elig_MatchAll_Ct-1),AX1169=0),Y1169,0)</f>
        <v>0</v>
      </c>
      <c r="CE1169" s="993">
        <f>IF(AND(Input_LTV&lt;=AE1169,Input_Product=Elig!$C1169,Elig_MatchAll_Ct&lt;22,$BC1169=(Elig_MatchAll_Ct-1),AY1169=0),Z1169,0)</f>
        <v>0</v>
      </c>
      <c r="CF1169" s="994">
        <f>IF(AND(Input_LTV&lt;=AE1169,Input_Product=Elig!$C1169,Elig_MatchAll_Ct&lt;22,$BC1169=(Elig_MatchAll_Ct-1),AY1169=0),AA1169,0)</f>
        <v>0</v>
      </c>
      <c r="CG1169" s="993">
        <f>IF(AND(Input_Product=Elig!$C1169,Elig_MatchAll_Ct&lt;22,$BC1169=(Elig_MatchAll_Ct-1),AZ1169=0),AB1169,0)</f>
        <v>0</v>
      </c>
      <c r="CH1169" s="994">
        <f>IF(AND(Input_Product=Elig!$C1169,Elig_MatchAll_Ct&lt;22,$BC1169=(Elig_MatchAll_Ct-1),AZ1169=0),AC1169,0)</f>
        <v>0</v>
      </c>
      <c r="CI1169" s="993">
        <f>IF(AND(Input_Product=Elig!$C1169,Elig_MatchAll_Ct&lt;22,$BC1169=(Elig_MatchAll_Ct-1),BA1169=0),AD1169,0)</f>
        <v>0</v>
      </c>
      <c r="CJ1169" s="994">
        <f>IF(AND(Input_Product=Elig!$C1169,Elig_MatchAll_Ct&lt;22,$BC1169=(Elig_MatchAll_Ct-1),BA1169=0),AE1169,0)</f>
        <v>0</v>
      </c>
    </row>
    <row r="1170" spans="2:88" ht="10.15" customHeight="1" x14ac:dyDescent="0.25">
      <c r="B1170" s="1918" t="s">
        <v>3553</v>
      </c>
      <c r="C1170" s="1223" t="str">
        <f t="shared" si="430"/>
        <v xml:space="preserve"> </v>
      </c>
      <c r="D1170" s="1224" t="s">
        <v>2218</v>
      </c>
      <c r="E1170" s="1224" t="s">
        <v>167</v>
      </c>
      <c r="F1170" s="1224" t="s">
        <v>330</v>
      </c>
      <c r="G1170" s="1225" t="s">
        <v>303</v>
      </c>
      <c r="H1170" s="1225" t="s">
        <v>136</v>
      </c>
      <c r="I1170" s="1224" t="s">
        <v>16</v>
      </c>
      <c r="J1170" s="1224" t="s">
        <v>1311</v>
      </c>
      <c r="K1170" s="1225" t="s">
        <v>3022</v>
      </c>
      <c r="L1170" s="1224" t="s">
        <v>2768</v>
      </c>
      <c r="M1170" s="1224" t="s">
        <v>2677</v>
      </c>
      <c r="N1170" s="1225" t="s">
        <v>2685</v>
      </c>
      <c r="O1170" s="1224" t="s">
        <v>310</v>
      </c>
      <c r="P1170" s="1224" t="s">
        <v>291</v>
      </c>
      <c r="Q1170" s="1224" t="s">
        <v>294</v>
      </c>
      <c r="R1170" s="1224">
        <v>1000000.01</v>
      </c>
      <c r="S1170" s="1224">
        <v>1500000</v>
      </c>
      <c r="T1170" s="1224">
        <v>0</v>
      </c>
      <c r="U1170" s="1224">
        <f t="shared" si="432"/>
        <v>1500000</v>
      </c>
      <c r="V1170" s="1224">
        <v>0</v>
      </c>
      <c r="W1170" s="1224">
        <v>50</v>
      </c>
      <c r="X1170" s="1224">
        <v>0</v>
      </c>
      <c r="Y1170" s="1224">
        <v>999</v>
      </c>
      <c r="Z1170" s="1226">
        <v>680</v>
      </c>
      <c r="AA1170" s="1226">
        <v>699</v>
      </c>
      <c r="AB1170" s="1226">
        <v>6</v>
      </c>
      <c r="AC1170" s="1226">
        <v>999999</v>
      </c>
      <c r="AD1170" s="1224">
        <v>0</v>
      </c>
      <c r="AE1170" s="1227">
        <v>75</v>
      </c>
      <c r="AF1170" s="170">
        <v>0</v>
      </c>
      <c r="AG1170" s="171">
        <v>1</v>
      </c>
      <c r="AH1170" s="171">
        <v>1</v>
      </c>
      <c r="AI1170" s="171">
        <v>0</v>
      </c>
      <c r="AJ1170" s="171">
        <v>1</v>
      </c>
      <c r="AK1170" s="171">
        <v>1</v>
      </c>
      <c r="AL1170" s="171">
        <v>1</v>
      </c>
      <c r="AM1170" s="171">
        <v>1</v>
      </c>
      <c r="AN1170" s="171">
        <v>1</v>
      </c>
      <c r="AO1170" s="171">
        <v>1</v>
      </c>
      <c r="AP1170" s="171">
        <v>1</v>
      </c>
      <c r="AQ1170" s="171">
        <v>1</v>
      </c>
      <c r="AR1170" s="171">
        <v>1</v>
      </c>
      <c r="AS1170" s="171">
        <v>1</v>
      </c>
      <c r="AT1170" s="171">
        <v>1</v>
      </c>
      <c r="AU1170" s="171">
        <f t="shared" si="433"/>
        <v>0</v>
      </c>
      <c r="AV1170" s="171">
        <f t="shared" si="434"/>
        <v>1</v>
      </c>
      <c r="AW1170" s="171">
        <f t="shared" si="435"/>
        <v>1</v>
      </c>
      <c r="AX1170" s="171">
        <f t="shared" si="429"/>
        <v>1</v>
      </c>
      <c r="AY1170" s="171">
        <f t="shared" si="436"/>
        <v>0</v>
      </c>
      <c r="AZ1170" s="171">
        <f t="shared" si="437"/>
        <v>1</v>
      </c>
      <c r="BA1170" s="172">
        <f t="shared" si="438"/>
        <v>1</v>
      </c>
      <c r="BB1170" s="175">
        <f t="shared" si="425"/>
        <v>18</v>
      </c>
      <c r="BC1170" s="176">
        <f t="shared" si="426"/>
        <v>17</v>
      </c>
      <c r="BD1170" s="176">
        <f t="shared" si="427"/>
        <v>18</v>
      </c>
      <c r="BE1170" s="240" t="str">
        <f t="shared" si="431"/>
        <v/>
      </c>
      <c r="BF1170" s="990"/>
      <c r="BG1170" s="990"/>
      <c r="BH1170" s="991">
        <f>IF(AND(Input_Product=Elig!$C1170,Elig_MatchAll_Ct&lt;22,$BC1170=(Elig_MatchAll_Ct-1),AF1170=0),C1170,0)</f>
        <v>0</v>
      </c>
      <c r="BI1170" s="991">
        <f>IF(AND(Input_Product=Elig!$C1170,Elig_MatchAll_Ct&lt;22,$BC1170=(Elig_MatchAll_Ct-1),AG1170=0),D1170,0)</f>
        <v>0</v>
      </c>
      <c r="BJ1170" s="991">
        <f>IF(AND(Input_Product=Elig!$C1170,Elig_MatchAll_Ct&lt;22,$BC1170=(Elig_MatchAll_Ct-1),AH1170=0),E1170,0)</f>
        <v>0</v>
      </c>
      <c r="BK1170" s="991">
        <f>IF(AND(Input_Product=Elig!$C1170,Elig_MatchAll_Ct&lt;22,$BC1170=(Elig_MatchAll_Ct-1),AI1170=0),F1170,0)</f>
        <v>0</v>
      </c>
      <c r="BL1170" s="991">
        <f>IF(AND(Input_Product=Elig!$C1170,Elig_MatchAll_Ct&lt;22,$BC1170=(Elig_MatchAll_Ct-1),AJ1170=0),G1170,0)</f>
        <v>0</v>
      </c>
      <c r="BM1170" s="991">
        <f>IF(AND(Input_Product=Elig!$C1170,Elig_MatchAll_Ct&lt;22,$BC1170=(Elig_MatchAll_Ct-1),AK1170=0),H1170,0)</f>
        <v>0</v>
      </c>
      <c r="BN1170" s="991">
        <f>IF(AND(Input_Product=Elig!$C1170,Elig_MatchAll_Ct&lt;22,$BC1170=(Elig_MatchAll_Ct-1),AL1170=0),I1170,0)</f>
        <v>0</v>
      </c>
      <c r="BO1170" s="991">
        <f>IF(AND(Input_Product=Elig!$C1170,Elig_MatchAll_Ct&lt;22,$BC1170=(Elig_MatchAll_Ct-1),AM1170=0),J1170,0)</f>
        <v>0</v>
      </c>
      <c r="BP1170" s="991">
        <f>IF(AND(Input_Product=Elig!$C1170,Elig_MatchAll_Ct&lt;22,$BC1170=(Elig_MatchAll_Ct-1),AN1170=0),K1170,0)</f>
        <v>0</v>
      </c>
      <c r="BQ1170" s="991">
        <f>IF(AND(Input_Product=Elig!$C1170,Elig_MatchAll_Ct&lt;22,$BC1170=(Elig_MatchAll_Ct-1),AP1170=0),L1170,0)</f>
        <v>0</v>
      </c>
      <c r="BR1170" s="991">
        <f>IF(AND(Input_Product=Elig!$C1170,Elig_MatchAll_Ct&lt;22,$BC1170=(Elig_MatchAll_Ct-1),AO1170=0),M1170,0)</f>
        <v>0</v>
      </c>
      <c r="BS1170" s="991">
        <f>IF(AND(Input_Product=Elig!$C1170,Elig_MatchAll_Ct&lt;22,$BC1170=(Elig_MatchAll_Ct-1),AQ1170=0),N1170,0)</f>
        <v>0</v>
      </c>
      <c r="BT1170" s="991">
        <f>IF(AND(Input_Product=Elig!$C1170,Elig_MatchAll_Ct&lt;22,$BC1170=(Elig_MatchAll_Ct-1),AR1170=0),O1170,0)</f>
        <v>0</v>
      </c>
      <c r="BU1170" s="991">
        <f>IF(AND(Input_Product=Elig!$C1170,Elig_MatchAll_Ct&lt;22,$BC1170=(Elig_MatchAll_Ct-1),AS1170=0),P1170,0)</f>
        <v>0</v>
      </c>
      <c r="BV1170" s="992">
        <f>IF(AND(Input_Product=Elig!$C1170,Elig_MatchAll_Ct&lt;22,$BC1170=(Elig_MatchAll_Ct-1),AT1170=0),Q1170,0)</f>
        <v>0</v>
      </c>
      <c r="BW1170" s="993">
        <f>IF(AND(Input_Product=Elig!$C1170,Elig_MatchAll_Ct&lt;22,$BC1170=(Elig_MatchAll_Ct-1),AU1170=0),R1170,0)</f>
        <v>0</v>
      </c>
      <c r="BX1170" s="994">
        <f>IF(AND(Input_Product=Elig!$C1170,Elig_MatchAll_Ct&lt;22,$BC1170=(Elig_MatchAll_Ct-1),AU1170=0),S1170,0)</f>
        <v>0</v>
      </c>
      <c r="BY1170" s="993">
        <f>IF(AND(Input_Product=Elig!$C1170,Elig_MatchAll_Ct&lt;22,$BC1170=(Elig_MatchAll_Ct-1),AV1170=0),T1170,0)</f>
        <v>0</v>
      </c>
      <c r="BZ1170" s="994">
        <f>IF(AND(Input_Product=Elig!$C1170,Elig_MatchAll_Ct&lt;22,$BC1170=(Elig_MatchAll_Ct-1),AV1170=0),U1170,0)</f>
        <v>0</v>
      </c>
      <c r="CA1170" s="993">
        <f>IF(AND(Input_Product=Elig!$C1170,Elig_MatchAll_Ct&lt;22,$BC1170=(Elig_MatchAll_Ct-1),AW1170=0),V1170,0)</f>
        <v>0</v>
      </c>
      <c r="CB1170" s="994">
        <f>IF(AND(Input_Product=Elig!$C1170,Elig_MatchAll_Ct&lt;22,$BC1170=(Elig_MatchAll_Ct-1),AW1170=0),W1170,0)</f>
        <v>0</v>
      </c>
      <c r="CC1170" s="993">
        <f>IF(AND(Input_Product=Elig!$C1170,Elig_MatchAll_Ct&lt;22,$BC1170=(Elig_MatchAll_Ct-1),AX1170=0),X1170,0)</f>
        <v>0</v>
      </c>
      <c r="CD1170" s="994">
        <f>IF(AND(Input_Product=Elig!$C1170,Elig_MatchAll_Ct&lt;22,$BC1170=(Elig_MatchAll_Ct-1),AX1170=0),Y1170,0)</f>
        <v>0</v>
      </c>
      <c r="CE1170" s="993">
        <f>IF(AND(Input_LTV&lt;=AE1170,Input_Product=Elig!$C1170,Elig_MatchAll_Ct&lt;22,$BC1170=(Elig_MatchAll_Ct-1),AY1170=0),Z1170,0)</f>
        <v>0</v>
      </c>
      <c r="CF1170" s="994">
        <f>IF(AND(Input_LTV&lt;=AE1170,Input_Product=Elig!$C1170,Elig_MatchAll_Ct&lt;22,$BC1170=(Elig_MatchAll_Ct-1),AY1170=0),AA1170,0)</f>
        <v>0</v>
      </c>
      <c r="CG1170" s="993">
        <f>IF(AND(Input_Product=Elig!$C1170,Elig_MatchAll_Ct&lt;22,$BC1170=(Elig_MatchAll_Ct-1),AZ1170=0),AB1170,0)</f>
        <v>0</v>
      </c>
      <c r="CH1170" s="994">
        <f>IF(AND(Input_Product=Elig!$C1170,Elig_MatchAll_Ct&lt;22,$BC1170=(Elig_MatchAll_Ct-1),AZ1170=0),AC1170,0)</f>
        <v>0</v>
      </c>
      <c r="CI1170" s="993">
        <f>IF(AND(Input_Product=Elig!$C1170,Elig_MatchAll_Ct&lt;22,$BC1170=(Elig_MatchAll_Ct-1),BA1170=0),AD1170,0)</f>
        <v>0</v>
      </c>
      <c r="CJ1170" s="994">
        <f>IF(AND(Input_Product=Elig!$C1170,Elig_MatchAll_Ct&lt;22,$BC1170=(Elig_MatchAll_Ct-1),BA1170=0),AE1170,0)</f>
        <v>0</v>
      </c>
    </row>
    <row r="1171" spans="2:88" ht="10.15" customHeight="1" x14ac:dyDescent="0.25">
      <c r="B1171" s="1918" t="s">
        <v>3554</v>
      </c>
      <c r="C1171" s="1228" t="str">
        <f t="shared" si="430"/>
        <v xml:space="preserve"> </v>
      </c>
      <c r="D1171" s="1229" t="s">
        <v>2218</v>
      </c>
      <c r="E1171" s="1229" t="s">
        <v>167</v>
      </c>
      <c r="F1171" s="1229" t="s">
        <v>330</v>
      </c>
      <c r="G1171" s="1230" t="s">
        <v>303</v>
      </c>
      <c r="H1171" s="1230" t="s">
        <v>136</v>
      </c>
      <c r="I1171" s="1229" t="s">
        <v>16</v>
      </c>
      <c r="J1171" s="1229" t="s">
        <v>1311</v>
      </c>
      <c r="K1171" s="1230" t="s">
        <v>3022</v>
      </c>
      <c r="L1171" s="1229" t="s">
        <v>2768</v>
      </c>
      <c r="M1171" s="1229" t="s">
        <v>2677</v>
      </c>
      <c r="N1171" s="1230" t="s">
        <v>2685</v>
      </c>
      <c r="O1171" s="1229" t="s">
        <v>310</v>
      </c>
      <c r="P1171" s="1229" t="s">
        <v>291</v>
      </c>
      <c r="Q1171" s="1229" t="s">
        <v>294</v>
      </c>
      <c r="R1171" s="1229">
        <v>1000000.01</v>
      </c>
      <c r="S1171" s="1229">
        <v>1500000</v>
      </c>
      <c r="T1171" s="1229">
        <v>0</v>
      </c>
      <c r="U1171" s="1229">
        <f t="shared" si="432"/>
        <v>1500000</v>
      </c>
      <c r="V1171" s="1229">
        <v>0</v>
      </c>
      <c r="W1171" s="1229">
        <v>50</v>
      </c>
      <c r="X1171" s="1229">
        <v>0</v>
      </c>
      <c r="Y1171" s="1229">
        <v>999</v>
      </c>
      <c r="Z1171" s="1231">
        <v>660</v>
      </c>
      <c r="AA1171" s="1231">
        <v>679</v>
      </c>
      <c r="AB1171" s="1231">
        <v>6</v>
      </c>
      <c r="AC1171" s="1231">
        <v>999999</v>
      </c>
      <c r="AD1171" s="1229">
        <v>0</v>
      </c>
      <c r="AE1171" s="1232">
        <v>70</v>
      </c>
      <c r="AF1171" s="170">
        <v>0</v>
      </c>
      <c r="AG1171" s="171">
        <v>1</v>
      </c>
      <c r="AH1171" s="171">
        <v>1</v>
      </c>
      <c r="AI1171" s="171">
        <v>0</v>
      </c>
      <c r="AJ1171" s="171">
        <v>1</v>
      </c>
      <c r="AK1171" s="171">
        <v>1</v>
      </c>
      <c r="AL1171" s="171">
        <v>1</v>
      </c>
      <c r="AM1171" s="171">
        <v>1</v>
      </c>
      <c r="AN1171" s="171">
        <v>1</v>
      </c>
      <c r="AO1171" s="171">
        <v>1</v>
      </c>
      <c r="AP1171" s="171">
        <v>1</v>
      </c>
      <c r="AQ1171" s="171">
        <v>1</v>
      </c>
      <c r="AR1171" s="171">
        <v>1</v>
      </c>
      <c r="AS1171" s="171">
        <v>1</v>
      </c>
      <c r="AT1171" s="171">
        <v>1</v>
      </c>
      <c r="AU1171" s="171">
        <f t="shared" si="433"/>
        <v>0</v>
      </c>
      <c r="AV1171" s="171">
        <f t="shared" si="434"/>
        <v>1</v>
      </c>
      <c r="AW1171" s="171">
        <f t="shared" si="435"/>
        <v>1</v>
      </c>
      <c r="AX1171" s="171">
        <f t="shared" si="429"/>
        <v>1</v>
      </c>
      <c r="AY1171" s="171">
        <f t="shared" si="436"/>
        <v>0</v>
      </c>
      <c r="AZ1171" s="171">
        <f t="shared" si="437"/>
        <v>1</v>
      </c>
      <c r="BA1171" s="172">
        <f t="shared" si="438"/>
        <v>1</v>
      </c>
      <c r="BB1171" s="175">
        <f t="shared" si="425"/>
        <v>18</v>
      </c>
      <c r="BC1171" s="176">
        <f t="shared" si="426"/>
        <v>17</v>
      </c>
      <c r="BD1171" s="176">
        <f t="shared" si="427"/>
        <v>18</v>
      </c>
      <c r="BE1171" s="240" t="str">
        <f t="shared" si="431"/>
        <v/>
      </c>
      <c r="BF1171" s="990"/>
      <c r="BG1171" s="990"/>
      <c r="BH1171" s="991">
        <f>IF(AND(Input_Product=Elig!$C1171,Elig_MatchAll_Ct&lt;22,$BC1171=(Elig_MatchAll_Ct-1),AF1171=0),C1171,0)</f>
        <v>0</v>
      </c>
      <c r="BI1171" s="991">
        <f>IF(AND(Input_Product=Elig!$C1171,Elig_MatchAll_Ct&lt;22,$BC1171=(Elig_MatchAll_Ct-1),AG1171=0),D1171,0)</f>
        <v>0</v>
      </c>
      <c r="BJ1171" s="991">
        <f>IF(AND(Input_Product=Elig!$C1171,Elig_MatchAll_Ct&lt;22,$BC1171=(Elig_MatchAll_Ct-1),AH1171=0),E1171,0)</f>
        <v>0</v>
      </c>
      <c r="BK1171" s="991">
        <f>IF(AND(Input_Product=Elig!$C1171,Elig_MatchAll_Ct&lt;22,$BC1171=(Elig_MatchAll_Ct-1),AI1171=0),F1171,0)</f>
        <v>0</v>
      </c>
      <c r="BL1171" s="991">
        <f>IF(AND(Input_Product=Elig!$C1171,Elig_MatchAll_Ct&lt;22,$BC1171=(Elig_MatchAll_Ct-1),AJ1171=0),G1171,0)</f>
        <v>0</v>
      </c>
      <c r="BM1171" s="991">
        <f>IF(AND(Input_Product=Elig!$C1171,Elig_MatchAll_Ct&lt;22,$BC1171=(Elig_MatchAll_Ct-1),AK1171=0),H1171,0)</f>
        <v>0</v>
      </c>
      <c r="BN1171" s="991">
        <f>IF(AND(Input_Product=Elig!$C1171,Elig_MatchAll_Ct&lt;22,$BC1171=(Elig_MatchAll_Ct-1),AL1171=0),I1171,0)</f>
        <v>0</v>
      </c>
      <c r="BO1171" s="991">
        <f>IF(AND(Input_Product=Elig!$C1171,Elig_MatchAll_Ct&lt;22,$BC1171=(Elig_MatchAll_Ct-1),AM1171=0),J1171,0)</f>
        <v>0</v>
      </c>
      <c r="BP1171" s="991">
        <f>IF(AND(Input_Product=Elig!$C1171,Elig_MatchAll_Ct&lt;22,$BC1171=(Elig_MatchAll_Ct-1),AN1171=0),K1171,0)</f>
        <v>0</v>
      </c>
      <c r="BQ1171" s="991">
        <f>IF(AND(Input_Product=Elig!$C1171,Elig_MatchAll_Ct&lt;22,$BC1171=(Elig_MatchAll_Ct-1),AP1171=0),L1171,0)</f>
        <v>0</v>
      </c>
      <c r="BR1171" s="991">
        <f>IF(AND(Input_Product=Elig!$C1171,Elig_MatchAll_Ct&lt;22,$BC1171=(Elig_MatchAll_Ct-1),AO1171=0),M1171,0)</f>
        <v>0</v>
      </c>
      <c r="BS1171" s="991">
        <f>IF(AND(Input_Product=Elig!$C1171,Elig_MatchAll_Ct&lt;22,$BC1171=(Elig_MatchAll_Ct-1),AQ1171=0),N1171,0)</f>
        <v>0</v>
      </c>
      <c r="BT1171" s="991">
        <f>IF(AND(Input_Product=Elig!$C1171,Elig_MatchAll_Ct&lt;22,$BC1171=(Elig_MatchAll_Ct-1),AR1171=0),O1171,0)</f>
        <v>0</v>
      </c>
      <c r="BU1171" s="991">
        <f>IF(AND(Input_Product=Elig!$C1171,Elig_MatchAll_Ct&lt;22,$BC1171=(Elig_MatchAll_Ct-1),AS1171=0),P1171,0)</f>
        <v>0</v>
      </c>
      <c r="BV1171" s="992">
        <f>IF(AND(Input_Product=Elig!$C1171,Elig_MatchAll_Ct&lt;22,$BC1171=(Elig_MatchAll_Ct-1),AT1171=0),Q1171,0)</f>
        <v>0</v>
      </c>
      <c r="BW1171" s="993">
        <f>IF(AND(Input_Product=Elig!$C1171,Elig_MatchAll_Ct&lt;22,$BC1171=(Elig_MatchAll_Ct-1),AU1171=0),R1171,0)</f>
        <v>0</v>
      </c>
      <c r="BX1171" s="994">
        <f>IF(AND(Input_Product=Elig!$C1171,Elig_MatchAll_Ct&lt;22,$BC1171=(Elig_MatchAll_Ct-1),AU1171=0),S1171,0)</f>
        <v>0</v>
      </c>
      <c r="BY1171" s="993">
        <f>IF(AND(Input_Product=Elig!$C1171,Elig_MatchAll_Ct&lt;22,$BC1171=(Elig_MatchAll_Ct-1),AV1171=0),T1171,0)</f>
        <v>0</v>
      </c>
      <c r="BZ1171" s="994">
        <f>IF(AND(Input_Product=Elig!$C1171,Elig_MatchAll_Ct&lt;22,$BC1171=(Elig_MatchAll_Ct-1),AV1171=0),U1171,0)</f>
        <v>0</v>
      </c>
      <c r="CA1171" s="993">
        <f>IF(AND(Input_Product=Elig!$C1171,Elig_MatchAll_Ct&lt;22,$BC1171=(Elig_MatchAll_Ct-1),AW1171=0),V1171,0)</f>
        <v>0</v>
      </c>
      <c r="CB1171" s="994">
        <f>IF(AND(Input_Product=Elig!$C1171,Elig_MatchAll_Ct&lt;22,$BC1171=(Elig_MatchAll_Ct-1),AW1171=0),W1171,0)</f>
        <v>0</v>
      </c>
      <c r="CC1171" s="993">
        <f>IF(AND(Input_Product=Elig!$C1171,Elig_MatchAll_Ct&lt;22,$BC1171=(Elig_MatchAll_Ct-1),AX1171=0),X1171,0)</f>
        <v>0</v>
      </c>
      <c r="CD1171" s="994">
        <f>IF(AND(Input_Product=Elig!$C1171,Elig_MatchAll_Ct&lt;22,$BC1171=(Elig_MatchAll_Ct-1),AX1171=0),Y1171,0)</f>
        <v>0</v>
      </c>
      <c r="CE1171" s="993">
        <f>IF(AND(Input_LTV&lt;=AE1171,Input_Product=Elig!$C1171,Elig_MatchAll_Ct&lt;22,$BC1171=(Elig_MatchAll_Ct-1),AY1171=0),Z1171,0)</f>
        <v>0</v>
      </c>
      <c r="CF1171" s="994">
        <f>IF(AND(Input_LTV&lt;=AE1171,Input_Product=Elig!$C1171,Elig_MatchAll_Ct&lt;22,$BC1171=(Elig_MatchAll_Ct-1),AY1171=0),AA1171,0)</f>
        <v>0</v>
      </c>
      <c r="CG1171" s="993">
        <f>IF(AND(Input_Product=Elig!$C1171,Elig_MatchAll_Ct&lt;22,$BC1171=(Elig_MatchAll_Ct-1),AZ1171=0),AB1171,0)</f>
        <v>0</v>
      </c>
      <c r="CH1171" s="994">
        <f>IF(AND(Input_Product=Elig!$C1171,Elig_MatchAll_Ct&lt;22,$BC1171=(Elig_MatchAll_Ct-1),AZ1171=0),AC1171,0)</f>
        <v>0</v>
      </c>
      <c r="CI1171" s="993">
        <f>IF(AND(Input_Product=Elig!$C1171,Elig_MatchAll_Ct&lt;22,$BC1171=(Elig_MatchAll_Ct-1),BA1171=0),AD1171,0)</f>
        <v>0</v>
      </c>
      <c r="CJ1171" s="994">
        <f>IF(AND(Input_Product=Elig!$C1171,Elig_MatchAll_Ct&lt;22,$BC1171=(Elig_MatchAll_Ct-1),BA1171=0),AE1171,0)</f>
        <v>0</v>
      </c>
    </row>
    <row r="1172" spans="2:88" ht="10.15" customHeight="1" x14ac:dyDescent="0.25">
      <c r="B1172" s="1918" t="s">
        <v>3555</v>
      </c>
      <c r="C1172" s="1218" t="str">
        <f t="shared" si="430"/>
        <v xml:space="preserve"> </v>
      </c>
      <c r="D1172" s="1219" t="s">
        <v>2218</v>
      </c>
      <c r="E1172" s="1219" t="s">
        <v>167</v>
      </c>
      <c r="F1172" s="1219" t="s">
        <v>330</v>
      </c>
      <c r="G1172" s="1220" t="s">
        <v>303</v>
      </c>
      <c r="H1172" s="1220" t="s">
        <v>136</v>
      </c>
      <c r="I1172" s="1219" t="s">
        <v>16</v>
      </c>
      <c r="J1172" s="1219" t="s">
        <v>1311</v>
      </c>
      <c r="K1172" s="1220" t="s">
        <v>3022</v>
      </c>
      <c r="L1172" s="1219" t="s">
        <v>2768</v>
      </c>
      <c r="M1172" s="1219" t="s">
        <v>2677</v>
      </c>
      <c r="N1172" s="1220" t="s">
        <v>2685</v>
      </c>
      <c r="O1172" s="1219" t="s">
        <v>310</v>
      </c>
      <c r="P1172" s="1219" t="s">
        <v>291</v>
      </c>
      <c r="Q1172" s="1219" t="s">
        <v>294</v>
      </c>
      <c r="R1172" s="1219">
        <v>1500000.01</v>
      </c>
      <c r="S1172" s="1219">
        <v>2000000</v>
      </c>
      <c r="T1172" s="1219">
        <v>0</v>
      </c>
      <c r="U1172" s="1219">
        <f t="shared" si="432"/>
        <v>2000000</v>
      </c>
      <c r="V1172" s="1219">
        <v>0</v>
      </c>
      <c r="W1172" s="1219">
        <v>50</v>
      </c>
      <c r="X1172" s="1219">
        <v>0</v>
      </c>
      <c r="Y1172" s="1219">
        <v>999</v>
      </c>
      <c r="Z1172" s="1221">
        <v>720</v>
      </c>
      <c r="AA1172" s="1221">
        <v>999</v>
      </c>
      <c r="AB1172" s="1221">
        <v>6</v>
      </c>
      <c r="AC1172" s="1221">
        <v>999999</v>
      </c>
      <c r="AD1172" s="1219">
        <v>0</v>
      </c>
      <c r="AE1172" s="1222">
        <v>80</v>
      </c>
      <c r="AF1172" s="170">
        <v>0</v>
      </c>
      <c r="AG1172" s="171">
        <v>1</v>
      </c>
      <c r="AH1172" s="171">
        <v>1</v>
      </c>
      <c r="AI1172" s="171">
        <v>0</v>
      </c>
      <c r="AJ1172" s="171">
        <v>1</v>
      </c>
      <c r="AK1172" s="171">
        <v>1</v>
      </c>
      <c r="AL1172" s="171">
        <v>1</v>
      </c>
      <c r="AM1172" s="171">
        <v>1</v>
      </c>
      <c r="AN1172" s="171">
        <v>1</v>
      </c>
      <c r="AO1172" s="171">
        <v>1</v>
      </c>
      <c r="AP1172" s="171">
        <v>1</v>
      </c>
      <c r="AQ1172" s="171">
        <v>1</v>
      </c>
      <c r="AR1172" s="171">
        <v>1</v>
      </c>
      <c r="AS1172" s="171">
        <v>1</v>
      </c>
      <c r="AT1172" s="171">
        <v>1</v>
      </c>
      <c r="AU1172" s="171">
        <f t="shared" si="433"/>
        <v>0</v>
      </c>
      <c r="AV1172" s="171">
        <f t="shared" si="434"/>
        <v>1</v>
      </c>
      <c r="AW1172" s="171">
        <f t="shared" si="435"/>
        <v>1</v>
      </c>
      <c r="AX1172" s="171">
        <f t="shared" si="429"/>
        <v>1</v>
      </c>
      <c r="AY1172" s="171">
        <f t="shared" si="436"/>
        <v>1</v>
      </c>
      <c r="AZ1172" s="171">
        <f t="shared" si="437"/>
        <v>1</v>
      </c>
      <c r="BA1172" s="172">
        <f t="shared" si="438"/>
        <v>1</v>
      </c>
      <c r="BB1172" s="175">
        <f t="shared" ref="BB1172:BB1235" si="439">SUM(AF1172:BA1172)</f>
        <v>19</v>
      </c>
      <c r="BC1172" s="176">
        <f t="shared" ref="BC1172:BC1235" si="440">SUM(AF1172:AZ1172)</f>
        <v>18</v>
      </c>
      <c r="BD1172" s="176">
        <f t="shared" ref="BD1172:BD1235" si="441">SUM(AG1172:BA1172)</f>
        <v>19</v>
      </c>
      <c r="BE1172" s="240" t="str">
        <f t="shared" si="431"/>
        <v/>
      </c>
      <c r="BF1172" s="990"/>
      <c r="BG1172" s="990"/>
      <c r="BH1172" s="991">
        <f>IF(AND(Input_Product=Elig!$C1172,Elig_MatchAll_Ct&lt;22,$BC1172=(Elig_MatchAll_Ct-1),AF1172=0),C1172,0)</f>
        <v>0</v>
      </c>
      <c r="BI1172" s="991">
        <f>IF(AND(Input_Product=Elig!$C1172,Elig_MatchAll_Ct&lt;22,$BC1172=(Elig_MatchAll_Ct-1),AG1172=0),D1172,0)</f>
        <v>0</v>
      </c>
      <c r="BJ1172" s="991">
        <f>IF(AND(Input_Product=Elig!$C1172,Elig_MatchAll_Ct&lt;22,$BC1172=(Elig_MatchAll_Ct-1),AH1172=0),E1172,0)</f>
        <v>0</v>
      </c>
      <c r="BK1172" s="991">
        <f>IF(AND(Input_Product=Elig!$C1172,Elig_MatchAll_Ct&lt;22,$BC1172=(Elig_MatchAll_Ct-1),AI1172=0),F1172,0)</f>
        <v>0</v>
      </c>
      <c r="BL1172" s="991">
        <f>IF(AND(Input_Product=Elig!$C1172,Elig_MatchAll_Ct&lt;22,$BC1172=(Elig_MatchAll_Ct-1),AJ1172=0),G1172,0)</f>
        <v>0</v>
      </c>
      <c r="BM1172" s="991">
        <f>IF(AND(Input_Product=Elig!$C1172,Elig_MatchAll_Ct&lt;22,$BC1172=(Elig_MatchAll_Ct-1),AK1172=0),H1172,0)</f>
        <v>0</v>
      </c>
      <c r="BN1172" s="991">
        <f>IF(AND(Input_Product=Elig!$C1172,Elig_MatchAll_Ct&lt;22,$BC1172=(Elig_MatchAll_Ct-1),AL1172=0),I1172,0)</f>
        <v>0</v>
      </c>
      <c r="BO1172" s="991">
        <f>IF(AND(Input_Product=Elig!$C1172,Elig_MatchAll_Ct&lt;22,$BC1172=(Elig_MatchAll_Ct-1),AM1172=0),J1172,0)</f>
        <v>0</v>
      </c>
      <c r="BP1172" s="991">
        <f>IF(AND(Input_Product=Elig!$C1172,Elig_MatchAll_Ct&lt;22,$BC1172=(Elig_MatchAll_Ct-1),AN1172=0),K1172,0)</f>
        <v>0</v>
      </c>
      <c r="BQ1172" s="991">
        <f>IF(AND(Input_Product=Elig!$C1172,Elig_MatchAll_Ct&lt;22,$BC1172=(Elig_MatchAll_Ct-1),AP1172=0),L1172,0)</f>
        <v>0</v>
      </c>
      <c r="BR1172" s="991">
        <f>IF(AND(Input_Product=Elig!$C1172,Elig_MatchAll_Ct&lt;22,$BC1172=(Elig_MatchAll_Ct-1),AO1172=0),M1172,0)</f>
        <v>0</v>
      </c>
      <c r="BS1172" s="991">
        <f>IF(AND(Input_Product=Elig!$C1172,Elig_MatchAll_Ct&lt;22,$BC1172=(Elig_MatchAll_Ct-1),AQ1172=0),N1172,0)</f>
        <v>0</v>
      </c>
      <c r="BT1172" s="991">
        <f>IF(AND(Input_Product=Elig!$C1172,Elig_MatchAll_Ct&lt;22,$BC1172=(Elig_MatchAll_Ct-1),AR1172=0),O1172,0)</f>
        <v>0</v>
      </c>
      <c r="BU1172" s="991">
        <f>IF(AND(Input_Product=Elig!$C1172,Elig_MatchAll_Ct&lt;22,$BC1172=(Elig_MatchAll_Ct-1),AS1172=0),P1172,0)</f>
        <v>0</v>
      </c>
      <c r="BV1172" s="992">
        <f>IF(AND(Input_Product=Elig!$C1172,Elig_MatchAll_Ct&lt;22,$BC1172=(Elig_MatchAll_Ct-1),AT1172=0),Q1172,0)</f>
        <v>0</v>
      </c>
      <c r="BW1172" s="993">
        <f>IF(AND(Input_Product=Elig!$C1172,Elig_MatchAll_Ct&lt;22,$BC1172=(Elig_MatchAll_Ct-1),AU1172=0),R1172,0)</f>
        <v>0</v>
      </c>
      <c r="BX1172" s="994">
        <f>IF(AND(Input_Product=Elig!$C1172,Elig_MatchAll_Ct&lt;22,$BC1172=(Elig_MatchAll_Ct-1),AU1172=0),S1172,0)</f>
        <v>0</v>
      </c>
      <c r="BY1172" s="993">
        <f>IF(AND(Input_Product=Elig!$C1172,Elig_MatchAll_Ct&lt;22,$BC1172=(Elig_MatchAll_Ct-1),AV1172=0),T1172,0)</f>
        <v>0</v>
      </c>
      <c r="BZ1172" s="994">
        <f>IF(AND(Input_Product=Elig!$C1172,Elig_MatchAll_Ct&lt;22,$BC1172=(Elig_MatchAll_Ct-1),AV1172=0),U1172,0)</f>
        <v>0</v>
      </c>
      <c r="CA1172" s="993">
        <f>IF(AND(Input_Product=Elig!$C1172,Elig_MatchAll_Ct&lt;22,$BC1172=(Elig_MatchAll_Ct-1),AW1172=0),V1172,0)</f>
        <v>0</v>
      </c>
      <c r="CB1172" s="994">
        <f>IF(AND(Input_Product=Elig!$C1172,Elig_MatchAll_Ct&lt;22,$BC1172=(Elig_MatchAll_Ct-1),AW1172=0),W1172,0)</f>
        <v>0</v>
      </c>
      <c r="CC1172" s="993">
        <f>IF(AND(Input_Product=Elig!$C1172,Elig_MatchAll_Ct&lt;22,$BC1172=(Elig_MatchAll_Ct-1),AX1172=0),X1172,0)</f>
        <v>0</v>
      </c>
      <c r="CD1172" s="994">
        <f>IF(AND(Input_Product=Elig!$C1172,Elig_MatchAll_Ct&lt;22,$BC1172=(Elig_MatchAll_Ct-1),AX1172=0),Y1172,0)</f>
        <v>0</v>
      </c>
      <c r="CE1172" s="993">
        <f>IF(AND(Input_LTV&lt;=AE1172,Input_Product=Elig!$C1172,Elig_MatchAll_Ct&lt;22,$BC1172=(Elig_MatchAll_Ct-1),AY1172=0),Z1172,0)</f>
        <v>0</v>
      </c>
      <c r="CF1172" s="994">
        <f>IF(AND(Input_LTV&lt;=AE1172,Input_Product=Elig!$C1172,Elig_MatchAll_Ct&lt;22,$BC1172=(Elig_MatchAll_Ct-1),AY1172=0),AA1172,0)</f>
        <v>0</v>
      </c>
      <c r="CG1172" s="993">
        <f>IF(AND(Input_Product=Elig!$C1172,Elig_MatchAll_Ct&lt;22,$BC1172=(Elig_MatchAll_Ct-1),AZ1172=0),AB1172,0)</f>
        <v>0</v>
      </c>
      <c r="CH1172" s="994">
        <f>IF(AND(Input_Product=Elig!$C1172,Elig_MatchAll_Ct&lt;22,$BC1172=(Elig_MatchAll_Ct-1),AZ1172=0),AC1172,0)</f>
        <v>0</v>
      </c>
      <c r="CI1172" s="993">
        <f>IF(AND(Input_Product=Elig!$C1172,Elig_MatchAll_Ct&lt;22,$BC1172=(Elig_MatchAll_Ct-1),BA1172=0),AD1172,0)</f>
        <v>0</v>
      </c>
      <c r="CJ1172" s="994">
        <f>IF(AND(Input_Product=Elig!$C1172,Elig_MatchAll_Ct&lt;22,$BC1172=(Elig_MatchAll_Ct-1),BA1172=0),AE1172,0)</f>
        <v>0</v>
      </c>
    </row>
    <row r="1173" spans="2:88" ht="10.15" customHeight="1" x14ac:dyDescent="0.25">
      <c r="B1173" s="1918" t="s">
        <v>3556</v>
      </c>
      <c r="C1173" s="1223" t="str">
        <f t="shared" si="430"/>
        <v xml:space="preserve"> </v>
      </c>
      <c r="D1173" s="1224" t="s">
        <v>2218</v>
      </c>
      <c r="E1173" s="1224" t="s">
        <v>167</v>
      </c>
      <c r="F1173" s="1224" t="s">
        <v>330</v>
      </c>
      <c r="G1173" s="1225" t="s">
        <v>303</v>
      </c>
      <c r="H1173" s="1225" t="s">
        <v>136</v>
      </c>
      <c r="I1173" s="1224" t="s">
        <v>16</v>
      </c>
      <c r="J1173" s="1224" t="s">
        <v>1311</v>
      </c>
      <c r="K1173" s="1225" t="s">
        <v>3022</v>
      </c>
      <c r="L1173" s="1224" t="s">
        <v>2768</v>
      </c>
      <c r="M1173" s="1224" t="s">
        <v>2677</v>
      </c>
      <c r="N1173" s="1225" t="s">
        <v>2685</v>
      </c>
      <c r="O1173" s="1224" t="s">
        <v>310</v>
      </c>
      <c r="P1173" s="1224" t="s">
        <v>291</v>
      </c>
      <c r="Q1173" s="1224" t="s">
        <v>294</v>
      </c>
      <c r="R1173" s="1224">
        <v>1500000.01</v>
      </c>
      <c r="S1173" s="1224">
        <v>2000000</v>
      </c>
      <c r="T1173" s="1224">
        <v>0</v>
      </c>
      <c r="U1173" s="1224">
        <f t="shared" si="432"/>
        <v>2000000</v>
      </c>
      <c r="V1173" s="1224">
        <v>0</v>
      </c>
      <c r="W1173" s="1224">
        <v>50</v>
      </c>
      <c r="X1173" s="1224">
        <v>0</v>
      </c>
      <c r="Y1173" s="1224">
        <v>999</v>
      </c>
      <c r="Z1173" s="1226">
        <v>700</v>
      </c>
      <c r="AA1173" s="1226">
        <v>719</v>
      </c>
      <c r="AB1173" s="1226">
        <v>6</v>
      </c>
      <c r="AC1173" s="1226">
        <v>999999</v>
      </c>
      <c r="AD1173" s="1224">
        <v>0</v>
      </c>
      <c r="AE1173" s="1227">
        <v>80</v>
      </c>
      <c r="AF1173" s="170">
        <v>0</v>
      </c>
      <c r="AG1173" s="171">
        <v>1</v>
      </c>
      <c r="AH1173" s="171">
        <v>1</v>
      </c>
      <c r="AI1173" s="171">
        <v>0</v>
      </c>
      <c r="AJ1173" s="171">
        <v>1</v>
      </c>
      <c r="AK1173" s="171">
        <v>1</v>
      </c>
      <c r="AL1173" s="171">
        <v>1</v>
      </c>
      <c r="AM1173" s="171">
        <v>1</v>
      </c>
      <c r="AN1173" s="171">
        <v>1</v>
      </c>
      <c r="AO1173" s="171">
        <v>1</v>
      </c>
      <c r="AP1173" s="171">
        <v>1</v>
      </c>
      <c r="AQ1173" s="171">
        <v>1</v>
      </c>
      <c r="AR1173" s="171">
        <v>1</v>
      </c>
      <c r="AS1173" s="171">
        <v>1</v>
      </c>
      <c r="AT1173" s="171">
        <v>1</v>
      </c>
      <c r="AU1173" s="171">
        <f t="shared" si="433"/>
        <v>0</v>
      </c>
      <c r="AV1173" s="171">
        <f t="shared" si="434"/>
        <v>1</v>
      </c>
      <c r="AW1173" s="171">
        <f t="shared" si="435"/>
        <v>1</v>
      </c>
      <c r="AX1173" s="171">
        <f t="shared" si="429"/>
        <v>1</v>
      </c>
      <c r="AY1173" s="171">
        <f t="shared" si="436"/>
        <v>0</v>
      </c>
      <c r="AZ1173" s="171">
        <f t="shared" si="437"/>
        <v>1</v>
      </c>
      <c r="BA1173" s="172">
        <f t="shared" si="438"/>
        <v>1</v>
      </c>
      <c r="BB1173" s="175">
        <f t="shared" si="439"/>
        <v>18</v>
      </c>
      <c r="BC1173" s="176">
        <f t="shared" si="440"/>
        <v>17</v>
      </c>
      <c r="BD1173" s="176">
        <f t="shared" si="441"/>
        <v>18</v>
      </c>
      <c r="BE1173" s="240" t="str">
        <f t="shared" si="431"/>
        <v/>
      </c>
      <c r="BF1173" s="990"/>
      <c r="BG1173" s="990"/>
      <c r="BH1173" s="991">
        <f>IF(AND(Input_Product=Elig!$C1173,Elig_MatchAll_Ct&lt;22,$BC1173=(Elig_MatchAll_Ct-1),AF1173=0),C1173,0)</f>
        <v>0</v>
      </c>
      <c r="BI1173" s="991">
        <f>IF(AND(Input_Product=Elig!$C1173,Elig_MatchAll_Ct&lt;22,$BC1173=(Elig_MatchAll_Ct-1),AG1173=0),D1173,0)</f>
        <v>0</v>
      </c>
      <c r="BJ1173" s="991">
        <f>IF(AND(Input_Product=Elig!$C1173,Elig_MatchAll_Ct&lt;22,$BC1173=(Elig_MatchAll_Ct-1),AH1173=0),E1173,0)</f>
        <v>0</v>
      </c>
      <c r="BK1173" s="991">
        <f>IF(AND(Input_Product=Elig!$C1173,Elig_MatchAll_Ct&lt;22,$BC1173=(Elig_MatchAll_Ct-1),AI1173=0),F1173,0)</f>
        <v>0</v>
      </c>
      <c r="BL1173" s="991">
        <f>IF(AND(Input_Product=Elig!$C1173,Elig_MatchAll_Ct&lt;22,$BC1173=(Elig_MatchAll_Ct-1),AJ1173=0),G1173,0)</f>
        <v>0</v>
      </c>
      <c r="BM1173" s="991">
        <f>IF(AND(Input_Product=Elig!$C1173,Elig_MatchAll_Ct&lt;22,$BC1173=(Elig_MatchAll_Ct-1),AK1173=0),H1173,0)</f>
        <v>0</v>
      </c>
      <c r="BN1173" s="991">
        <f>IF(AND(Input_Product=Elig!$C1173,Elig_MatchAll_Ct&lt;22,$BC1173=(Elig_MatchAll_Ct-1),AL1173=0),I1173,0)</f>
        <v>0</v>
      </c>
      <c r="BO1173" s="991">
        <f>IF(AND(Input_Product=Elig!$C1173,Elig_MatchAll_Ct&lt;22,$BC1173=(Elig_MatchAll_Ct-1),AM1173=0),J1173,0)</f>
        <v>0</v>
      </c>
      <c r="BP1173" s="991">
        <f>IF(AND(Input_Product=Elig!$C1173,Elig_MatchAll_Ct&lt;22,$BC1173=(Elig_MatchAll_Ct-1),AN1173=0),K1173,0)</f>
        <v>0</v>
      </c>
      <c r="BQ1173" s="991">
        <f>IF(AND(Input_Product=Elig!$C1173,Elig_MatchAll_Ct&lt;22,$BC1173=(Elig_MatchAll_Ct-1),AP1173=0),L1173,0)</f>
        <v>0</v>
      </c>
      <c r="BR1173" s="991">
        <f>IF(AND(Input_Product=Elig!$C1173,Elig_MatchAll_Ct&lt;22,$BC1173=(Elig_MatchAll_Ct-1),AO1173=0),M1173,0)</f>
        <v>0</v>
      </c>
      <c r="BS1173" s="991">
        <f>IF(AND(Input_Product=Elig!$C1173,Elig_MatchAll_Ct&lt;22,$BC1173=(Elig_MatchAll_Ct-1),AQ1173=0),N1173,0)</f>
        <v>0</v>
      </c>
      <c r="BT1173" s="991">
        <f>IF(AND(Input_Product=Elig!$C1173,Elig_MatchAll_Ct&lt;22,$BC1173=(Elig_MatchAll_Ct-1),AR1173=0),O1173,0)</f>
        <v>0</v>
      </c>
      <c r="BU1173" s="991">
        <f>IF(AND(Input_Product=Elig!$C1173,Elig_MatchAll_Ct&lt;22,$BC1173=(Elig_MatchAll_Ct-1),AS1173=0),P1173,0)</f>
        <v>0</v>
      </c>
      <c r="BV1173" s="992">
        <f>IF(AND(Input_Product=Elig!$C1173,Elig_MatchAll_Ct&lt;22,$BC1173=(Elig_MatchAll_Ct-1),AT1173=0),Q1173,0)</f>
        <v>0</v>
      </c>
      <c r="BW1173" s="993">
        <f>IF(AND(Input_Product=Elig!$C1173,Elig_MatchAll_Ct&lt;22,$BC1173=(Elig_MatchAll_Ct-1),AU1173=0),R1173,0)</f>
        <v>0</v>
      </c>
      <c r="BX1173" s="994">
        <f>IF(AND(Input_Product=Elig!$C1173,Elig_MatchAll_Ct&lt;22,$BC1173=(Elig_MatchAll_Ct-1),AU1173=0),S1173,0)</f>
        <v>0</v>
      </c>
      <c r="BY1173" s="993">
        <f>IF(AND(Input_Product=Elig!$C1173,Elig_MatchAll_Ct&lt;22,$BC1173=(Elig_MatchAll_Ct-1),AV1173=0),T1173,0)</f>
        <v>0</v>
      </c>
      <c r="BZ1173" s="994">
        <f>IF(AND(Input_Product=Elig!$C1173,Elig_MatchAll_Ct&lt;22,$BC1173=(Elig_MatchAll_Ct-1),AV1173=0),U1173,0)</f>
        <v>0</v>
      </c>
      <c r="CA1173" s="993">
        <f>IF(AND(Input_Product=Elig!$C1173,Elig_MatchAll_Ct&lt;22,$BC1173=(Elig_MatchAll_Ct-1),AW1173=0),V1173,0)</f>
        <v>0</v>
      </c>
      <c r="CB1173" s="994">
        <f>IF(AND(Input_Product=Elig!$C1173,Elig_MatchAll_Ct&lt;22,$BC1173=(Elig_MatchAll_Ct-1),AW1173=0),W1173,0)</f>
        <v>0</v>
      </c>
      <c r="CC1173" s="993">
        <f>IF(AND(Input_Product=Elig!$C1173,Elig_MatchAll_Ct&lt;22,$BC1173=(Elig_MatchAll_Ct-1),AX1173=0),X1173,0)</f>
        <v>0</v>
      </c>
      <c r="CD1173" s="994">
        <f>IF(AND(Input_Product=Elig!$C1173,Elig_MatchAll_Ct&lt;22,$BC1173=(Elig_MatchAll_Ct-1),AX1173=0),Y1173,0)</f>
        <v>0</v>
      </c>
      <c r="CE1173" s="993">
        <f>IF(AND(Input_LTV&lt;=AE1173,Input_Product=Elig!$C1173,Elig_MatchAll_Ct&lt;22,$BC1173=(Elig_MatchAll_Ct-1),AY1173=0),Z1173,0)</f>
        <v>0</v>
      </c>
      <c r="CF1173" s="994">
        <f>IF(AND(Input_LTV&lt;=AE1173,Input_Product=Elig!$C1173,Elig_MatchAll_Ct&lt;22,$BC1173=(Elig_MatchAll_Ct-1),AY1173=0),AA1173,0)</f>
        <v>0</v>
      </c>
      <c r="CG1173" s="993">
        <f>IF(AND(Input_Product=Elig!$C1173,Elig_MatchAll_Ct&lt;22,$BC1173=(Elig_MatchAll_Ct-1),AZ1173=0),AB1173,0)</f>
        <v>0</v>
      </c>
      <c r="CH1173" s="994">
        <f>IF(AND(Input_Product=Elig!$C1173,Elig_MatchAll_Ct&lt;22,$BC1173=(Elig_MatchAll_Ct-1),AZ1173=0),AC1173,0)</f>
        <v>0</v>
      </c>
      <c r="CI1173" s="993">
        <f>IF(AND(Input_Product=Elig!$C1173,Elig_MatchAll_Ct&lt;22,$BC1173=(Elig_MatchAll_Ct-1),BA1173=0),AD1173,0)</f>
        <v>0</v>
      </c>
      <c r="CJ1173" s="994">
        <f>IF(AND(Input_Product=Elig!$C1173,Elig_MatchAll_Ct&lt;22,$BC1173=(Elig_MatchAll_Ct-1),BA1173=0),AE1173,0)</f>
        <v>0</v>
      </c>
    </row>
    <row r="1174" spans="2:88" ht="10.15" customHeight="1" x14ac:dyDescent="0.25">
      <c r="B1174" s="1918" t="s">
        <v>2464</v>
      </c>
      <c r="C1174" s="1223" t="str">
        <f t="shared" si="430"/>
        <v xml:space="preserve"> </v>
      </c>
      <c r="D1174" s="1224" t="s">
        <v>2218</v>
      </c>
      <c r="E1174" s="1224" t="s">
        <v>167</v>
      </c>
      <c r="F1174" s="1224" t="s">
        <v>330</v>
      </c>
      <c r="G1174" s="1225" t="s">
        <v>303</v>
      </c>
      <c r="H1174" s="1225" t="s">
        <v>136</v>
      </c>
      <c r="I1174" s="1224" t="s">
        <v>16</v>
      </c>
      <c r="J1174" s="1224" t="s">
        <v>1311</v>
      </c>
      <c r="K1174" s="1225" t="s">
        <v>3022</v>
      </c>
      <c r="L1174" s="1224" t="s">
        <v>2768</v>
      </c>
      <c r="M1174" s="1224" t="s">
        <v>2677</v>
      </c>
      <c r="N1174" s="1225" t="s">
        <v>2685</v>
      </c>
      <c r="O1174" s="1224" t="s">
        <v>310</v>
      </c>
      <c r="P1174" s="1224" t="s">
        <v>291</v>
      </c>
      <c r="Q1174" s="1224" t="s">
        <v>294</v>
      </c>
      <c r="R1174" s="1224">
        <v>1500000.01</v>
      </c>
      <c r="S1174" s="1224">
        <v>2000000</v>
      </c>
      <c r="T1174" s="1224">
        <v>0</v>
      </c>
      <c r="U1174" s="1224">
        <f t="shared" si="432"/>
        <v>2000000</v>
      </c>
      <c r="V1174" s="1224">
        <v>0</v>
      </c>
      <c r="W1174" s="1224">
        <v>50</v>
      </c>
      <c r="X1174" s="1224">
        <v>0</v>
      </c>
      <c r="Y1174" s="1224">
        <v>999</v>
      </c>
      <c r="Z1174" s="1226">
        <v>680</v>
      </c>
      <c r="AA1174" s="1226">
        <v>699</v>
      </c>
      <c r="AB1174" s="1226">
        <v>6</v>
      </c>
      <c r="AC1174" s="1226">
        <v>999999</v>
      </c>
      <c r="AD1174" s="1224">
        <v>0</v>
      </c>
      <c r="AE1174" s="1227">
        <v>75</v>
      </c>
      <c r="AF1174" s="170">
        <v>0</v>
      </c>
      <c r="AG1174" s="171">
        <v>1</v>
      </c>
      <c r="AH1174" s="171">
        <v>1</v>
      </c>
      <c r="AI1174" s="171">
        <v>0</v>
      </c>
      <c r="AJ1174" s="171">
        <v>1</v>
      </c>
      <c r="AK1174" s="171">
        <v>1</v>
      </c>
      <c r="AL1174" s="171">
        <v>1</v>
      </c>
      <c r="AM1174" s="171">
        <v>1</v>
      </c>
      <c r="AN1174" s="171">
        <v>1</v>
      </c>
      <c r="AO1174" s="171">
        <v>1</v>
      </c>
      <c r="AP1174" s="171">
        <v>1</v>
      </c>
      <c r="AQ1174" s="171">
        <v>1</v>
      </c>
      <c r="AR1174" s="171">
        <v>1</v>
      </c>
      <c r="AS1174" s="171">
        <v>1</v>
      </c>
      <c r="AT1174" s="171">
        <v>1</v>
      </c>
      <c r="AU1174" s="171">
        <f t="shared" si="433"/>
        <v>0</v>
      </c>
      <c r="AV1174" s="171">
        <f t="shared" si="434"/>
        <v>1</v>
      </c>
      <c r="AW1174" s="171">
        <f t="shared" si="435"/>
        <v>1</v>
      </c>
      <c r="AX1174" s="171">
        <f t="shared" si="429"/>
        <v>1</v>
      </c>
      <c r="AY1174" s="171">
        <f t="shared" si="436"/>
        <v>0</v>
      </c>
      <c r="AZ1174" s="171">
        <f t="shared" si="437"/>
        <v>1</v>
      </c>
      <c r="BA1174" s="172">
        <f t="shared" si="438"/>
        <v>1</v>
      </c>
      <c r="BB1174" s="175">
        <f t="shared" si="439"/>
        <v>18</v>
      </c>
      <c r="BC1174" s="176">
        <f t="shared" si="440"/>
        <v>17</v>
      </c>
      <c r="BD1174" s="176">
        <f t="shared" si="441"/>
        <v>18</v>
      </c>
      <c r="BE1174" s="240" t="str">
        <f t="shared" si="431"/>
        <v/>
      </c>
      <c r="BF1174" s="990"/>
      <c r="BG1174" s="990"/>
      <c r="BH1174" s="991">
        <f>IF(AND(Input_Product=Elig!$C1174,Elig_MatchAll_Ct&lt;22,$BC1174=(Elig_MatchAll_Ct-1),AF1174=0),C1174,0)</f>
        <v>0</v>
      </c>
      <c r="BI1174" s="991">
        <f>IF(AND(Input_Product=Elig!$C1174,Elig_MatchAll_Ct&lt;22,$BC1174=(Elig_MatchAll_Ct-1),AG1174=0),D1174,0)</f>
        <v>0</v>
      </c>
      <c r="BJ1174" s="991">
        <f>IF(AND(Input_Product=Elig!$C1174,Elig_MatchAll_Ct&lt;22,$BC1174=(Elig_MatchAll_Ct-1),AH1174=0),E1174,0)</f>
        <v>0</v>
      </c>
      <c r="BK1174" s="991">
        <f>IF(AND(Input_Product=Elig!$C1174,Elig_MatchAll_Ct&lt;22,$BC1174=(Elig_MatchAll_Ct-1),AI1174=0),F1174,0)</f>
        <v>0</v>
      </c>
      <c r="BL1174" s="991">
        <f>IF(AND(Input_Product=Elig!$C1174,Elig_MatchAll_Ct&lt;22,$BC1174=(Elig_MatchAll_Ct-1),AJ1174=0),G1174,0)</f>
        <v>0</v>
      </c>
      <c r="BM1174" s="991">
        <f>IF(AND(Input_Product=Elig!$C1174,Elig_MatchAll_Ct&lt;22,$BC1174=(Elig_MatchAll_Ct-1),AK1174=0),H1174,0)</f>
        <v>0</v>
      </c>
      <c r="BN1174" s="991">
        <f>IF(AND(Input_Product=Elig!$C1174,Elig_MatchAll_Ct&lt;22,$BC1174=(Elig_MatchAll_Ct-1),AL1174=0),I1174,0)</f>
        <v>0</v>
      </c>
      <c r="BO1174" s="991">
        <f>IF(AND(Input_Product=Elig!$C1174,Elig_MatchAll_Ct&lt;22,$BC1174=(Elig_MatchAll_Ct-1),AM1174=0),J1174,0)</f>
        <v>0</v>
      </c>
      <c r="BP1174" s="991">
        <f>IF(AND(Input_Product=Elig!$C1174,Elig_MatchAll_Ct&lt;22,$BC1174=(Elig_MatchAll_Ct-1),AN1174=0),K1174,0)</f>
        <v>0</v>
      </c>
      <c r="BQ1174" s="991">
        <f>IF(AND(Input_Product=Elig!$C1174,Elig_MatchAll_Ct&lt;22,$BC1174=(Elig_MatchAll_Ct-1),AP1174=0),L1174,0)</f>
        <v>0</v>
      </c>
      <c r="BR1174" s="991">
        <f>IF(AND(Input_Product=Elig!$C1174,Elig_MatchAll_Ct&lt;22,$BC1174=(Elig_MatchAll_Ct-1),AO1174=0),M1174,0)</f>
        <v>0</v>
      </c>
      <c r="BS1174" s="991">
        <f>IF(AND(Input_Product=Elig!$C1174,Elig_MatchAll_Ct&lt;22,$BC1174=(Elig_MatchAll_Ct-1),AQ1174=0),N1174,0)</f>
        <v>0</v>
      </c>
      <c r="BT1174" s="991">
        <f>IF(AND(Input_Product=Elig!$C1174,Elig_MatchAll_Ct&lt;22,$BC1174=(Elig_MatchAll_Ct-1),AR1174=0),O1174,0)</f>
        <v>0</v>
      </c>
      <c r="BU1174" s="991">
        <f>IF(AND(Input_Product=Elig!$C1174,Elig_MatchAll_Ct&lt;22,$BC1174=(Elig_MatchAll_Ct-1),AS1174=0),P1174,0)</f>
        <v>0</v>
      </c>
      <c r="BV1174" s="992">
        <f>IF(AND(Input_Product=Elig!$C1174,Elig_MatchAll_Ct&lt;22,$BC1174=(Elig_MatchAll_Ct-1),AT1174=0),Q1174,0)</f>
        <v>0</v>
      </c>
      <c r="BW1174" s="993">
        <f>IF(AND(Input_Product=Elig!$C1174,Elig_MatchAll_Ct&lt;22,$BC1174=(Elig_MatchAll_Ct-1),AU1174=0),R1174,0)</f>
        <v>0</v>
      </c>
      <c r="BX1174" s="994">
        <f>IF(AND(Input_Product=Elig!$C1174,Elig_MatchAll_Ct&lt;22,$BC1174=(Elig_MatchAll_Ct-1),AU1174=0),S1174,0)</f>
        <v>0</v>
      </c>
      <c r="BY1174" s="993">
        <f>IF(AND(Input_Product=Elig!$C1174,Elig_MatchAll_Ct&lt;22,$BC1174=(Elig_MatchAll_Ct-1),AV1174=0),T1174,0)</f>
        <v>0</v>
      </c>
      <c r="BZ1174" s="994">
        <f>IF(AND(Input_Product=Elig!$C1174,Elig_MatchAll_Ct&lt;22,$BC1174=(Elig_MatchAll_Ct-1),AV1174=0),U1174,0)</f>
        <v>0</v>
      </c>
      <c r="CA1174" s="993">
        <f>IF(AND(Input_Product=Elig!$C1174,Elig_MatchAll_Ct&lt;22,$BC1174=(Elig_MatchAll_Ct-1),AW1174=0),V1174,0)</f>
        <v>0</v>
      </c>
      <c r="CB1174" s="994">
        <f>IF(AND(Input_Product=Elig!$C1174,Elig_MatchAll_Ct&lt;22,$BC1174=(Elig_MatchAll_Ct-1),AW1174=0),W1174,0)</f>
        <v>0</v>
      </c>
      <c r="CC1174" s="993">
        <f>IF(AND(Input_Product=Elig!$C1174,Elig_MatchAll_Ct&lt;22,$BC1174=(Elig_MatchAll_Ct-1),AX1174=0),X1174,0)</f>
        <v>0</v>
      </c>
      <c r="CD1174" s="994">
        <f>IF(AND(Input_Product=Elig!$C1174,Elig_MatchAll_Ct&lt;22,$BC1174=(Elig_MatchAll_Ct-1),AX1174=0),Y1174,0)</f>
        <v>0</v>
      </c>
      <c r="CE1174" s="993">
        <f>IF(AND(Input_LTV&lt;=AE1174,Input_Product=Elig!$C1174,Elig_MatchAll_Ct&lt;22,$BC1174=(Elig_MatchAll_Ct-1),AY1174=0),Z1174,0)</f>
        <v>0</v>
      </c>
      <c r="CF1174" s="994">
        <f>IF(AND(Input_LTV&lt;=AE1174,Input_Product=Elig!$C1174,Elig_MatchAll_Ct&lt;22,$BC1174=(Elig_MatchAll_Ct-1),AY1174=0),AA1174,0)</f>
        <v>0</v>
      </c>
      <c r="CG1174" s="993">
        <f>IF(AND(Input_Product=Elig!$C1174,Elig_MatchAll_Ct&lt;22,$BC1174=(Elig_MatchAll_Ct-1),AZ1174=0),AB1174,0)</f>
        <v>0</v>
      </c>
      <c r="CH1174" s="994">
        <f>IF(AND(Input_Product=Elig!$C1174,Elig_MatchAll_Ct&lt;22,$BC1174=(Elig_MatchAll_Ct-1),AZ1174=0),AC1174,0)</f>
        <v>0</v>
      </c>
      <c r="CI1174" s="993">
        <f>IF(AND(Input_Product=Elig!$C1174,Elig_MatchAll_Ct&lt;22,$BC1174=(Elig_MatchAll_Ct-1),BA1174=0),AD1174,0)</f>
        <v>0</v>
      </c>
      <c r="CJ1174" s="994">
        <f>IF(AND(Input_Product=Elig!$C1174,Elig_MatchAll_Ct&lt;22,$BC1174=(Elig_MatchAll_Ct-1),BA1174=0),AE1174,0)</f>
        <v>0</v>
      </c>
    </row>
    <row r="1175" spans="2:88" ht="10.15" customHeight="1" x14ac:dyDescent="0.25">
      <c r="B1175" s="1918" t="s">
        <v>2465</v>
      </c>
      <c r="C1175" s="1228" t="str">
        <f t="shared" si="430"/>
        <v xml:space="preserve"> </v>
      </c>
      <c r="D1175" s="1229" t="s">
        <v>2218</v>
      </c>
      <c r="E1175" s="1229" t="s">
        <v>167</v>
      </c>
      <c r="F1175" s="1229" t="s">
        <v>330</v>
      </c>
      <c r="G1175" s="1230" t="s">
        <v>303</v>
      </c>
      <c r="H1175" s="1230" t="s">
        <v>136</v>
      </c>
      <c r="I1175" s="1229" t="s">
        <v>16</v>
      </c>
      <c r="J1175" s="1229" t="s">
        <v>1311</v>
      </c>
      <c r="K1175" s="1230" t="s">
        <v>3022</v>
      </c>
      <c r="L1175" s="1229" t="s">
        <v>2768</v>
      </c>
      <c r="M1175" s="1229" t="s">
        <v>2677</v>
      </c>
      <c r="N1175" s="1230" t="s">
        <v>2685</v>
      </c>
      <c r="O1175" s="1229" t="s">
        <v>310</v>
      </c>
      <c r="P1175" s="1229" t="s">
        <v>291</v>
      </c>
      <c r="Q1175" s="1229" t="s">
        <v>294</v>
      </c>
      <c r="R1175" s="1229">
        <v>1500000.01</v>
      </c>
      <c r="S1175" s="1229">
        <v>2000000</v>
      </c>
      <c r="T1175" s="1229">
        <v>0</v>
      </c>
      <c r="U1175" s="1229">
        <f t="shared" si="432"/>
        <v>2000000</v>
      </c>
      <c r="V1175" s="1229">
        <v>0</v>
      </c>
      <c r="W1175" s="1229">
        <v>50</v>
      </c>
      <c r="X1175" s="1229">
        <v>0</v>
      </c>
      <c r="Y1175" s="1229">
        <v>999</v>
      </c>
      <c r="Z1175" s="1231">
        <v>660</v>
      </c>
      <c r="AA1175" s="1231">
        <v>679</v>
      </c>
      <c r="AB1175" s="1231">
        <v>6</v>
      </c>
      <c r="AC1175" s="1231">
        <v>999999</v>
      </c>
      <c r="AD1175" s="1229">
        <v>0</v>
      </c>
      <c r="AE1175" s="1232">
        <v>70</v>
      </c>
      <c r="AF1175" s="170">
        <v>0</v>
      </c>
      <c r="AG1175" s="171">
        <v>1</v>
      </c>
      <c r="AH1175" s="171">
        <v>1</v>
      </c>
      <c r="AI1175" s="171">
        <v>0</v>
      </c>
      <c r="AJ1175" s="171">
        <v>1</v>
      </c>
      <c r="AK1175" s="171">
        <v>1</v>
      </c>
      <c r="AL1175" s="171">
        <v>1</v>
      </c>
      <c r="AM1175" s="171">
        <v>1</v>
      </c>
      <c r="AN1175" s="171">
        <v>1</v>
      </c>
      <c r="AO1175" s="171">
        <v>1</v>
      </c>
      <c r="AP1175" s="171">
        <v>1</v>
      </c>
      <c r="AQ1175" s="171">
        <v>1</v>
      </c>
      <c r="AR1175" s="171">
        <v>1</v>
      </c>
      <c r="AS1175" s="171">
        <v>1</v>
      </c>
      <c r="AT1175" s="171">
        <v>1</v>
      </c>
      <c r="AU1175" s="171">
        <f t="shared" si="433"/>
        <v>0</v>
      </c>
      <c r="AV1175" s="171">
        <f t="shared" si="434"/>
        <v>1</v>
      </c>
      <c r="AW1175" s="171">
        <f t="shared" si="435"/>
        <v>1</v>
      </c>
      <c r="AX1175" s="171">
        <f t="shared" si="429"/>
        <v>1</v>
      </c>
      <c r="AY1175" s="171">
        <f t="shared" si="436"/>
        <v>0</v>
      </c>
      <c r="AZ1175" s="171">
        <f t="shared" si="437"/>
        <v>1</v>
      </c>
      <c r="BA1175" s="172">
        <f t="shared" si="438"/>
        <v>1</v>
      </c>
      <c r="BB1175" s="175">
        <f t="shared" si="439"/>
        <v>18</v>
      </c>
      <c r="BC1175" s="176">
        <f t="shared" si="440"/>
        <v>17</v>
      </c>
      <c r="BD1175" s="176">
        <f t="shared" si="441"/>
        <v>18</v>
      </c>
      <c r="BE1175" s="240" t="str">
        <f t="shared" si="431"/>
        <v/>
      </c>
      <c r="BF1175" s="990"/>
      <c r="BG1175" s="990"/>
      <c r="BH1175" s="991">
        <f>IF(AND(Input_Product=Elig!$C1175,Elig_MatchAll_Ct&lt;22,$BC1175=(Elig_MatchAll_Ct-1),AF1175=0),C1175,0)</f>
        <v>0</v>
      </c>
      <c r="BI1175" s="991">
        <f>IF(AND(Input_Product=Elig!$C1175,Elig_MatchAll_Ct&lt;22,$BC1175=(Elig_MatchAll_Ct-1),AG1175=0),D1175,0)</f>
        <v>0</v>
      </c>
      <c r="BJ1175" s="991">
        <f>IF(AND(Input_Product=Elig!$C1175,Elig_MatchAll_Ct&lt;22,$BC1175=(Elig_MatchAll_Ct-1),AH1175=0),E1175,0)</f>
        <v>0</v>
      </c>
      <c r="BK1175" s="991">
        <f>IF(AND(Input_Product=Elig!$C1175,Elig_MatchAll_Ct&lt;22,$BC1175=(Elig_MatchAll_Ct-1),AI1175=0),F1175,0)</f>
        <v>0</v>
      </c>
      <c r="BL1175" s="991">
        <f>IF(AND(Input_Product=Elig!$C1175,Elig_MatchAll_Ct&lt;22,$BC1175=(Elig_MatchAll_Ct-1),AJ1175=0),G1175,0)</f>
        <v>0</v>
      </c>
      <c r="BM1175" s="991">
        <f>IF(AND(Input_Product=Elig!$C1175,Elig_MatchAll_Ct&lt;22,$BC1175=(Elig_MatchAll_Ct-1),AK1175=0),H1175,0)</f>
        <v>0</v>
      </c>
      <c r="BN1175" s="991">
        <f>IF(AND(Input_Product=Elig!$C1175,Elig_MatchAll_Ct&lt;22,$BC1175=(Elig_MatchAll_Ct-1),AL1175=0),I1175,0)</f>
        <v>0</v>
      </c>
      <c r="BO1175" s="991">
        <f>IF(AND(Input_Product=Elig!$C1175,Elig_MatchAll_Ct&lt;22,$BC1175=(Elig_MatchAll_Ct-1),AM1175=0),J1175,0)</f>
        <v>0</v>
      </c>
      <c r="BP1175" s="991">
        <f>IF(AND(Input_Product=Elig!$C1175,Elig_MatchAll_Ct&lt;22,$BC1175=(Elig_MatchAll_Ct-1),AN1175=0),K1175,0)</f>
        <v>0</v>
      </c>
      <c r="BQ1175" s="991">
        <f>IF(AND(Input_Product=Elig!$C1175,Elig_MatchAll_Ct&lt;22,$BC1175=(Elig_MatchAll_Ct-1),AP1175=0),L1175,0)</f>
        <v>0</v>
      </c>
      <c r="BR1175" s="991">
        <f>IF(AND(Input_Product=Elig!$C1175,Elig_MatchAll_Ct&lt;22,$BC1175=(Elig_MatchAll_Ct-1),AO1175=0),M1175,0)</f>
        <v>0</v>
      </c>
      <c r="BS1175" s="991">
        <f>IF(AND(Input_Product=Elig!$C1175,Elig_MatchAll_Ct&lt;22,$BC1175=(Elig_MatchAll_Ct-1),AQ1175=0),N1175,0)</f>
        <v>0</v>
      </c>
      <c r="BT1175" s="991">
        <f>IF(AND(Input_Product=Elig!$C1175,Elig_MatchAll_Ct&lt;22,$BC1175=(Elig_MatchAll_Ct-1),AR1175=0),O1175,0)</f>
        <v>0</v>
      </c>
      <c r="BU1175" s="991">
        <f>IF(AND(Input_Product=Elig!$C1175,Elig_MatchAll_Ct&lt;22,$BC1175=(Elig_MatchAll_Ct-1),AS1175=0),P1175,0)</f>
        <v>0</v>
      </c>
      <c r="BV1175" s="992">
        <f>IF(AND(Input_Product=Elig!$C1175,Elig_MatchAll_Ct&lt;22,$BC1175=(Elig_MatchAll_Ct-1),AT1175=0),Q1175,0)</f>
        <v>0</v>
      </c>
      <c r="BW1175" s="993">
        <f>IF(AND(Input_Product=Elig!$C1175,Elig_MatchAll_Ct&lt;22,$BC1175=(Elig_MatchAll_Ct-1),AU1175=0),R1175,0)</f>
        <v>0</v>
      </c>
      <c r="BX1175" s="994">
        <f>IF(AND(Input_Product=Elig!$C1175,Elig_MatchAll_Ct&lt;22,$BC1175=(Elig_MatchAll_Ct-1),AU1175=0),S1175,0)</f>
        <v>0</v>
      </c>
      <c r="BY1175" s="993">
        <f>IF(AND(Input_Product=Elig!$C1175,Elig_MatchAll_Ct&lt;22,$BC1175=(Elig_MatchAll_Ct-1),AV1175=0),T1175,0)</f>
        <v>0</v>
      </c>
      <c r="BZ1175" s="994">
        <f>IF(AND(Input_Product=Elig!$C1175,Elig_MatchAll_Ct&lt;22,$BC1175=(Elig_MatchAll_Ct-1),AV1175=0),U1175,0)</f>
        <v>0</v>
      </c>
      <c r="CA1175" s="993">
        <f>IF(AND(Input_Product=Elig!$C1175,Elig_MatchAll_Ct&lt;22,$BC1175=(Elig_MatchAll_Ct-1),AW1175=0),V1175,0)</f>
        <v>0</v>
      </c>
      <c r="CB1175" s="994">
        <f>IF(AND(Input_Product=Elig!$C1175,Elig_MatchAll_Ct&lt;22,$BC1175=(Elig_MatchAll_Ct-1),AW1175=0),W1175,0)</f>
        <v>0</v>
      </c>
      <c r="CC1175" s="993">
        <f>IF(AND(Input_Product=Elig!$C1175,Elig_MatchAll_Ct&lt;22,$BC1175=(Elig_MatchAll_Ct-1),AX1175=0),X1175,0)</f>
        <v>0</v>
      </c>
      <c r="CD1175" s="994">
        <f>IF(AND(Input_Product=Elig!$C1175,Elig_MatchAll_Ct&lt;22,$BC1175=(Elig_MatchAll_Ct-1),AX1175=0),Y1175,0)</f>
        <v>0</v>
      </c>
      <c r="CE1175" s="993">
        <f>IF(AND(Input_LTV&lt;=AE1175,Input_Product=Elig!$C1175,Elig_MatchAll_Ct&lt;22,$BC1175=(Elig_MatchAll_Ct-1),AY1175=0),Z1175,0)</f>
        <v>0</v>
      </c>
      <c r="CF1175" s="994">
        <f>IF(AND(Input_LTV&lt;=AE1175,Input_Product=Elig!$C1175,Elig_MatchAll_Ct&lt;22,$BC1175=(Elig_MatchAll_Ct-1),AY1175=0),AA1175,0)</f>
        <v>0</v>
      </c>
      <c r="CG1175" s="993">
        <f>IF(AND(Input_Product=Elig!$C1175,Elig_MatchAll_Ct&lt;22,$BC1175=(Elig_MatchAll_Ct-1),AZ1175=0),AB1175,0)</f>
        <v>0</v>
      </c>
      <c r="CH1175" s="994">
        <f>IF(AND(Input_Product=Elig!$C1175,Elig_MatchAll_Ct&lt;22,$BC1175=(Elig_MatchAll_Ct-1),AZ1175=0),AC1175,0)</f>
        <v>0</v>
      </c>
      <c r="CI1175" s="993">
        <f>IF(AND(Input_Product=Elig!$C1175,Elig_MatchAll_Ct&lt;22,$BC1175=(Elig_MatchAll_Ct-1),BA1175=0),AD1175,0)</f>
        <v>0</v>
      </c>
      <c r="CJ1175" s="994">
        <f>IF(AND(Input_Product=Elig!$C1175,Elig_MatchAll_Ct&lt;22,$BC1175=(Elig_MatchAll_Ct-1),BA1175=0),AE1175,0)</f>
        <v>0</v>
      </c>
    </row>
    <row r="1176" spans="2:88" ht="10.15" customHeight="1" x14ac:dyDescent="0.25">
      <c r="B1176" s="1918" t="s">
        <v>2466</v>
      </c>
      <c r="C1176" s="1218" t="str">
        <f t="shared" si="430"/>
        <v xml:space="preserve"> </v>
      </c>
      <c r="D1176" s="1219" t="s">
        <v>2218</v>
      </c>
      <c r="E1176" s="1219" t="s">
        <v>167</v>
      </c>
      <c r="F1176" s="1219" t="s">
        <v>330</v>
      </c>
      <c r="G1176" s="1220" t="s">
        <v>303</v>
      </c>
      <c r="H1176" s="1220" t="s">
        <v>136</v>
      </c>
      <c r="I1176" s="1219" t="s">
        <v>16</v>
      </c>
      <c r="J1176" s="1219" t="s">
        <v>1311</v>
      </c>
      <c r="K1176" s="1220" t="s">
        <v>3022</v>
      </c>
      <c r="L1176" s="1219" t="s">
        <v>2768</v>
      </c>
      <c r="M1176" s="1219" t="s">
        <v>2677</v>
      </c>
      <c r="N1176" s="1220" t="s">
        <v>2685</v>
      </c>
      <c r="O1176" s="1219" t="s">
        <v>310</v>
      </c>
      <c r="P1176" s="1219" t="s">
        <v>291</v>
      </c>
      <c r="Q1176" s="1219" t="s">
        <v>294</v>
      </c>
      <c r="R1176" s="1219">
        <v>2000000.01</v>
      </c>
      <c r="S1176" s="1219">
        <v>2500000</v>
      </c>
      <c r="T1176" s="1219">
        <v>0</v>
      </c>
      <c r="U1176" s="1219">
        <f t="shared" si="432"/>
        <v>2500000</v>
      </c>
      <c r="V1176" s="1219">
        <v>0</v>
      </c>
      <c r="W1176" s="1219">
        <v>50</v>
      </c>
      <c r="X1176" s="1219">
        <v>0</v>
      </c>
      <c r="Y1176" s="1219">
        <v>999</v>
      </c>
      <c r="Z1176" s="1221">
        <v>720</v>
      </c>
      <c r="AA1176" s="1221">
        <v>999</v>
      </c>
      <c r="AB1176" s="1221">
        <v>6</v>
      </c>
      <c r="AC1176" s="1221">
        <v>999999</v>
      </c>
      <c r="AD1176" s="1219">
        <v>0</v>
      </c>
      <c r="AE1176" s="1222">
        <v>80</v>
      </c>
      <c r="AF1176" s="170">
        <v>0</v>
      </c>
      <c r="AG1176" s="171">
        <v>1</v>
      </c>
      <c r="AH1176" s="171">
        <v>1</v>
      </c>
      <c r="AI1176" s="171">
        <v>0</v>
      </c>
      <c r="AJ1176" s="171">
        <v>1</v>
      </c>
      <c r="AK1176" s="171">
        <v>1</v>
      </c>
      <c r="AL1176" s="171">
        <v>1</v>
      </c>
      <c r="AM1176" s="171">
        <v>1</v>
      </c>
      <c r="AN1176" s="171">
        <v>1</v>
      </c>
      <c r="AO1176" s="171">
        <v>1</v>
      </c>
      <c r="AP1176" s="171">
        <v>1</v>
      </c>
      <c r="AQ1176" s="171">
        <v>1</v>
      </c>
      <c r="AR1176" s="171">
        <v>1</v>
      </c>
      <c r="AS1176" s="171">
        <v>1</v>
      </c>
      <c r="AT1176" s="171">
        <v>1</v>
      </c>
      <c r="AU1176" s="171">
        <f t="shared" si="433"/>
        <v>0</v>
      </c>
      <c r="AV1176" s="171">
        <f t="shared" si="434"/>
        <v>1</v>
      </c>
      <c r="AW1176" s="171">
        <f t="shared" si="435"/>
        <v>1</v>
      </c>
      <c r="AX1176" s="171">
        <f t="shared" si="429"/>
        <v>1</v>
      </c>
      <c r="AY1176" s="171">
        <f t="shared" si="436"/>
        <v>1</v>
      </c>
      <c r="AZ1176" s="171">
        <f t="shared" si="437"/>
        <v>1</v>
      </c>
      <c r="BA1176" s="172">
        <f t="shared" si="438"/>
        <v>1</v>
      </c>
      <c r="BB1176" s="175">
        <f t="shared" si="439"/>
        <v>19</v>
      </c>
      <c r="BC1176" s="176">
        <f t="shared" si="440"/>
        <v>18</v>
      </c>
      <c r="BD1176" s="176">
        <f t="shared" si="441"/>
        <v>19</v>
      </c>
      <c r="BE1176" s="240" t="str">
        <f t="shared" si="431"/>
        <v/>
      </c>
      <c r="BF1176" s="990"/>
      <c r="BG1176" s="990"/>
      <c r="BH1176" s="991">
        <f>IF(AND(Input_Product=Elig!$C1176,Elig_MatchAll_Ct&lt;22,$BC1176=(Elig_MatchAll_Ct-1),AF1176=0),C1176,0)</f>
        <v>0</v>
      </c>
      <c r="BI1176" s="991">
        <f>IF(AND(Input_Product=Elig!$C1176,Elig_MatchAll_Ct&lt;22,$BC1176=(Elig_MatchAll_Ct-1),AG1176=0),D1176,0)</f>
        <v>0</v>
      </c>
      <c r="BJ1176" s="991">
        <f>IF(AND(Input_Product=Elig!$C1176,Elig_MatchAll_Ct&lt;22,$BC1176=(Elig_MatchAll_Ct-1),AH1176=0),E1176,0)</f>
        <v>0</v>
      </c>
      <c r="BK1176" s="991">
        <f>IF(AND(Input_Product=Elig!$C1176,Elig_MatchAll_Ct&lt;22,$BC1176=(Elig_MatchAll_Ct-1),AI1176=0),F1176,0)</f>
        <v>0</v>
      </c>
      <c r="BL1176" s="991">
        <f>IF(AND(Input_Product=Elig!$C1176,Elig_MatchAll_Ct&lt;22,$BC1176=(Elig_MatchAll_Ct-1),AJ1176=0),G1176,0)</f>
        <v>0</v>
      </c>
      <c r="BM1176" s="991">
        <f>IF(AND(Input_Product=Elig!$C1176,Elig_MatchAll_Ct&lt;22,$BC1176=(Elig_MatchAll_Ct-1),AK1176=0),H1176,0)</f>
        <v>0</v>
      </c>
      <c r="BN1176" s="991">
        <f>IF(AND(Input_Product=Elig!$C1176,Elig_MatchAll_Ct&lt;22,$BC1176=(Elig_MatchAll_Ct-1),AL1176=0),I1176,0)</f>
        <v>0</v>
      </c>
      <c r="BO1176" s="991">
        <f>IF(AND(Input_Product=Elig!$C1176,Elig_MatchAll_Ct&lt;22,$BC1176=(Elig_MatchAll_Ct-1),AM1176=0),J1176,0)</f>
        <v>0</v>
      </c>
      <c r="BP1176" s="991">
        <f>IF(AND(Input_Product=Elig!$C1176,Elig_MatchAll_Ct&lt;22,$BC1176=(Elig_MatchAll_Ct-1),AN1176=0),K1176,0)</f>
        <v>0</v>
      </c>
      <c r="BQ1176" s="991">
        <f>IF(AND(Input_Product=Elig!$C1176,Elig_MatchAll_Ct&lt;22,$BC1176=(Elig_MatchAll_Ct-1),AP1176=0),L1176,0)</f>
        <v>0</v>
      </c>
      <c r="BR1176" s="991">
        <f>IF(AND(Input_Product=Elig!$C1176,Elig_MatchAll_Ct&lt;22,$BC1176=(Elig_MatchAll_Ct-1),AO1176=0),M1176,0)</f>
        <v>0</v>
      </c>
      <c r="BS1176" s="991">
        <f>IF(AND(Input_Product=Elig!$C1176,Elig_MatchAll_Ct&lt;22,$BC1176=(Elig_MatchAll_Ct-1),AQ1176=0),N1176,0)</f>
        <v>0</v>
      </c>
      <c r="BT1176" s="991">
        <f>IF(AND(Input_Product=Elig!$C1176,Elig_MatchAll_Ct&lt;22,$BC1176=(Elig_MatchAll_Ct-1),AR1176=0),O1176,0)</f>
        <v>0</v>
      </c>
      <c r="BU1176" s="991">
        <f>IF(AND(Input_Product=Elig!$C1176,Elig_MatchAll_Ct&lt;22,$BC1176=(Elig_MatchAll_Ct-1),AS1176=0),P1176,0)</f>
        <v>0</v>
      </c>
      <c r="BV1176" s="992">
        <f>IF(AND(Input_Product=Elig!$C1176,Elig_MatchAll_Ct&lt;22,$BC1176=(Elig_MatchAll_Ct-1),AT1176=0),Q1176,0)</f>
        <v>0</v>
      </c>
      <c r="BW1176" s="993">
        <f>IF(AND(Input_Product=Elig!$C1176,Elig_MatchAll_Ct&lt;22,$BC1176=(Elig_MatchAll_Ct-1),AU1176=0),R1176,0)</f>
        <v>0</v>
      </c>
      <c r="BX1176" s="994">
        <f>IF(AND(Input_Product=Elig!$C1176,Elig_MatchAll_Ct&lt;22,$BC1176=(Elig_MatchAll_Ct-1),AU1176=0),S1176,0)</f>
        <v>0</v>
      </c>
      <c r="BY1176" s="993">
        <f>IF(AND(Input_Product=Elig!$C1176,Elig_MatchAll_Ct&lt;22,$BC1176=(Elig_MatchAll_Ct-1),AV1176=0),T1176,0)</f>
        <v>0</v>
      </c>
      <c r="BZ1176" s="994">
        <f>IF(AND(Input_Product=Elig!$C1176,Elig_MatchAll_Ct&lt;22,$BC1176=(Elig_MatchAll_Ct-1),AV1176=0),U1176,0)</f>
        <v>0</v>
      </c>
      <c r="CA1176" s="993">
        <f>IF(AND(Input_Product=Elig!$C1176,Elig_MatchAll_Ct&lt;22,$BC1176=(Elig_MatchAll_Ct-1),AW1176=0),V1176,0)</f>
        <v>0</v>
      </c>
      <c r="CB1176" s="994">
        <f>IF(AND(Input_Product=Elig!$C1176,Elig_MatchAll_Ct&lt;22,$BC1176=(Elig_MatchAll_Ct-1),AW1176=0),W1176,0)</f>
        <v>0</v>
      </c>
      <c r="CC1176" s="993">
        <f>IF(AND(Input_Product=Elig!$C1176,Elig_MatchAll_Ct&lt;22,$BC1176=(Elig_MatchAll_Ct-1),AX1176=0),X1176,0)</f>
        <v>0</v>
      </c>
      <c r="CD1176" s="994">
        <f>IF(AND(Input_Product=Elig!$C1176,Elig_MatchAll_Ct&lt;22,$BC1176=(Elig_MatchAll_Ct-1),AX1176=0),Y1176,0)</f>
        <v>0</v>
      </c>
      <c r="CE1176" s="993">
        <f>IF(AND(Input_LTV&lt;=AE1176,Input_Product=Elig!$C1176,Elig_MatchAll_Ct&lt;22,$BC1176=(Elig_MatchAll_Ct-1),AY1176=0),Z1176,0)</f>
        <v>0</v>
      </c>
      <c r="CF1176" s="994">
        <f>IF(AND(Input_LTV&lt;=AE1176,Input_Product=Elig!$C1176,Elig_MatchAll_Ct&lt;22,$BC1176=(Elig_MatchAll_Ct-1),AY1176=0),AA1176,0)</f>
        <v>0</v>
      </c>
      <c r="CG1176" s="993">
        <f>IF(AND(Input_Product=Elig!$C1176,Elig_MatchAll_Ct&lt;22,$BC1176=(Elig_MatchAll_Ct-1),AZ1176=0),AB1176,0)</f>
        <v>0</v>
      </c>
      <c r="CH1176" s="994">
        <f>IF(AND(Input_Product=Elig!$C1176,Elig_MatchAll_Ct&lt;22,$BC1176=(Elig_MatchAll_Ct-1),AZ1176=0),AC1176,0)</f>
        <v>0</v>
      </c>
      <c r="CI1176" s="993">
        <f>IF(AND(Input_Product=Elig!$C1176,Elig_MatchAll_Ct&lt;22,$BC1176=(Elig_MatchAll_Ct-1),BA1176=0),AD1176,0)</f>
        <v>0</v>
      </c>
      <c r="CJ1176" s="994">
        <f>IF(AND(Input_Product=Elig!$C1176,Elig_MatchAll_Ct&lt;22,$BC1176=(Elig_MatchAll_Ct-1),BA1176=0),AE1176,0)</f>
        <v>0</v>
      </c>
    </row>
    <row r="1177" spans="2:88" ht="10.15" customHeight="1" x14ac:dyDescent="0.25">
      <c r="B1177" s="1918" t="s">
        <v>2467</v>
      </c>
      <c r="C1177" s="1223" t="str">
        <f t="shared" si="430"/>
        <v xml:space="preserve"> </v>
      </c>
      <c r="D1177" s="1224" t="s">
        <v>2218</v>
      </c>
      <c r="E1177" s="1224" t="s">
        <v>167</v>
      </c>
      <c r="F1177" s="1224" t="s">
        <v>330</v>
      </c>
      <c r="G1177" s="1225" t="s">
        <v>303</v>
      </c>
      <c r="H1177" s="1225" t="s">
        <v>136</v>
      </c>
      <c r="I1177" s="1224" t="s">
        <v>16</v>
      </c>
      <c r="J1177" s="1224" t="s">
        <v>1311</v>
      </c>
      <c r="K1177" s="1225" t="s">
        <v>3022</v>
      </c>
      <c r="L1177" s="1224" t="s">
        <v>2768</v>
      </c>
      <c r="M1177" s="1224" t="s">
        <v>2677</v>
      </c>
      <c r="N1177" s="1225" t="s">
        <v>2685</v>
      </c>
      <c r="O1177" s="1224" t="s">
        <v>310</v>
      </c>
      <c r="P1177" s="1224" t="s">
        <v>291</v>
      </c>
      <c r="Q1177" s="1224" t="s">
        <v>294</v>
      </c>
      <c r="R1177" s="1224">
        <v>2000000.01</v>
      </c>
      <c r="S1177" s="1224">
        <v>2500000</v>
      </c>
      <c r="T1177" s="1224">
        <v>0</v>
      </c>
      <c r="U1177" s="1224">
        <f t="shared" si="432"/>
        <v>2500000</v>
      </c>
      <c r="V1177" s="1224">
        <v>0</v>
      </c>
      <c r="W1177" s="1224">
        <v>50</v>
      </c>
      <c r="X1177" s="1224">
        <v>0</v>
      </c>
      <c r="Y1177" s="1224">
        <v>999</v>
      </c>
      <c r="Z1177" s="1226">
        <v>700</v>
      </c>
      <c r="AA1177" s="1226">
        <v>719</v>
      </c>
      <c r="AB1177" s="1226">
        <v>6</v>
      </c>
      <c r="AC1177" s="1226">
        <v>999999</v>
      </c>
      <c r="AD1177" s="1224">
        <v>0</v>
      </c>
      <c r="AE1177" s="1227">
        <v>80</v>
      </c>
      <c r="AF1177" s="170">
        <v>0</v>
      </c>
      <c r="AG1177" s="171">
        <v>1</v>
      </c>
      <c r="AH1177" s="171">
        <v>1</v>
      </c>
      <c r="AI1177" s="171">
        <v>0</v>
      </c>
      <c r="AJ1177" s="171">
        <v>1</v>
      </c>
      <c r="AK1177" s="171">
        <v>1</v>
      </c>
      <c r="AL1177" s="171">
        <v>1</v>
      </c>
      <c r="AM1177" s="171">
        <v>1</v>
      </c>
      <c r="AN1177" s="171">
        <v>1</v>
      </c>
      <c r="AO1177" s="171">
        <v>1</v>
      </c>
      <c r="AP1177" s="171">
        <v>1</v>
      </c>
      <c r="AQ1177" s="171">
        <v>1</v>
      </c>
      <c r="AR1177" s="171">
        <v>1</v>
      </c>
      <c r="AS1177" s="171">
        <v>1</v>
      </c>
      <c r="AT1177" s="171">
        <v>1</v>
      </c>
      <c r="AU1177" s="171">
        <f t="shared" si="433"/>
        <v>0</v>
      </c>
      <c r="AV1177" s="171">
        <f t="shared" si="434"/>
        <v>1</v>
      </c>
      <c r="AW1177" s="171">
        <f t="shared" si="435"/>
        <v>1</v>
      </c>
      <c r="AX1177" s="171">
        <f t="shared" si="429"/>
        <v>1</v>
      </c>
      <c r="AY1177" s="171">
        <f t="shared" si="436"/>
        <v>0</v>
      </c>
      <c r="AZ1177" s="171">
        <f t="shared" si="437"/>
        <v>1</v>
      </c>
      <c r="BA1177" s="172">
        <f t="shared" si="438"/>
        <v>1</v>
      </c>
      <c r="BB1177" s="175">
        <f t="shared" si="439"/>
        <v>18</v>
      </c>
      <c r="BC1177" s="176">
        <f t="shared" si="440"/>
        <v>17</v>
      </c>
      <c r="BD1177" s="176">
        <f t="shared" si="441"/>
        <v>18</v>
      </c>
      <c r="BE1177" s="240" t="str">
        <f t="shared" si="431"/>
        <v/>
      </c>
      <c r="BF1177" s="990"/>
      <c r="BG1177" s="990"/>
      <c r="BH1177" s="991">
        <f>IF(AND(Input_Product=Elig!$C1177,Elig_MatchAll_Ct&lt;22,$BC1177=(Elig_MatchAll_Ct-1),AF1177=0),C1177,0)</f>
        <v>0</v>
      </c>
      <c r="BI1177" s="991">
        <f>IF(AND(Input_Product=Elig!$C1177,Elig_MatchAll_Ct&lt;22,$BC1177=(Elig_MatchAll_Ct-1),AG1177=0),D1177,0)</f>
        <v>0</v>
      </c>
      <c r="BJ1177" s="991">
        <f>IF(AND(Input_Product=Elig!$C1177,Elig_MatchAll_Ct&lt;22,$BC1177=(Elig_MatchAll_Ct-1),AH1177=0),E1177,0)</f>
        <v>0</v>
      </c>
      <c r="BK1177" s="991">
        <f>IF(AND(Input_Product=Elig!$C1177,Elig_MatchAll_Ct&lt;22,$BC1177=(Elig_MatchAll_Ct-1),AI1177=0),F1177,0)</f>
        <v>0</v>
      </c>
      <c r="BL1177" s="991">
        <f>IF(AND(Input_Product=Elig!$C1177,Elig_MatchAll_Ct&lt;22,$BC1177=(Elig_MatchAll_Ct-1),AJ1177=0),G1177,0)</f>
        <v>0</v>
      </c>
      <c r="BM1177" s="991">
        <f>IF(AND(Input_Product=Elig!$C1177,Elig_MatchAll_Ct&lt;22,$BC1177=(Elig_MatchAll_Ct-1),AK1177=0),H1177,0)</f>
        <v>0</v>
      </c>
      <c r="BN1177" s="991">
        <f>IF(AND(Input_Product=Elig!$C1177,Elig_MatchAll_Ct&lt;22,$BC1177=(Elig_MatchAll_Ct-1),AL1177=0),I1177,0)</f>
        <v>0</v>
      </c>
      <c r="BO1177" s="991">
        <f>IF(AND(Input_Product=Elig!$C1177,Elig_MatchAll_Ct&lt;22,$BC1177=(Elig_MatchAll_Ct-1),AM1177=0),J1177,0)</f>
        <v>0</v>
      </c>
      <c r="BP1177" s="991">
        <f>IF(AND(Input_Product=Elig!$C1177,Elig_MatchAll_Ct&lt;22,$BC1177=(Elig_MatchAll_Ct-1),AN1177=0),K1177,0)</f>
        <v>0</v>
      </c>
      <c r="BQ1177" s="991">
        <f>IF(AND(Input_Product=Elig!$C1177,Elig_MatchAll_Ct&lt;22,$BC1177=(Elig_MatchAll_Ct-1),AP1177=0),L1177,0)</f>
        <v>0</v>
      </c>
      <c r="BR1177" s="991">
        <f>IF(AND(Input_Product=Elig!$C1177,Elig_MatchAll_Ct&lt;22,$BC1177=(Elig_MatchAll_Ct-1),AO1177=0),M1177,0)</f>
        <v>0</v>
      </c>
      <c r="BS1177" s="991">
        <f>IF(AND(Input_Product=Elig!$C1177,Elig_MatchAll_Ct&lt;22,$BC1177=(Elig_MatchAll_Ct-1),AQ1177=0),N1177,0)</f>
        <v>0</v>
      </c>
      <c r="BT1177" s="991">
        <f>IF(AND(Input_Product=Elig!$C1177,Elig_MatchAll_Ct&lt;22,$BC1177=(Elig_MatchAll_Ct-1),AR1177=0),O1177,0)</f>
        <v>0</v>
      </c>
      <c r="BU1177" s="991">
        <f>IF(AND(Input_Product=Elig!$C1177,Elig_MatchAll_Ct&lt;22,$BC1177=(Elig_MatchAll_Ct-1),AS1177=0),P1177,0)</f>
        <v>0</v>
      </c>
      <c r="BV1177" s="992">
        <f>IF(AND(Input_Product=Elig!$C1177,Elig_MatchAll_Ct&lt;22,$BC1177=(Elig_MatchAll_Ct-1),AT1177=0),Q1177,0)</f>
        <v>0</v>
      </c>
      <c r="BW1177" s="993">
        <f>IF(AND(Input_Product=Elig!$C1177,Elig_MatchAll_Ct&lt;22,$BC1177=(Elig_MatchAll_Ct-1),AU1177=0),R1177,0)</f>
        <v>0</v>
      </c>
      <c r="BX1177" s="994">
        <f>IF(AND(Input_Product=Elig!$C1177,Elig_MatchAll_Ct&lt;22,$BC1177=(Elig_MatchAll_Ct-1),AU1177=0),S1177,0)</f>
        <v>0</v>
      </c>
      <c r="BY1177" s="993">
        <f>IF(AND(Input_Product=Elig!$C1177,Elig_MatchAll_Ct&lt;22,$BC1177=(Elig_MatchAll_Ct-1),AV1177=0),T1177,0)</f>
        <v>0</v>
      </c>
      <c r="BZ1177" s="994">
        <f>IF(AND(Input_Product=Elig!$C1177,Elig_MatchAll_Ct&lt;22,$BC1177=(Elig_MatchAll_Ct-1),AV1177=0),U1177,0)</f>
        <v>0</v>
      </c>
      <c r="CA1177" s="993">
        <f>IF(AND(Input_Product=Elig!$C1177,Elig_MatchAll_Ct&lt;22,$BC1177=(Elig_MatchAll_Ct-1),AW1177=0),V1177,0)</f>
        <v>0</v>
      </c>
      <c r="CB1177" s="994">
        <f>IF(AND(Input_Product=Elig!$C1177,Elig_MatchAll_Ct&lt;22,$BC1177=(Elig_MatchAll_Ct-1),AW1177=0),W1177,0)</f>
        <v>0</v>
      </c>
      <c r="CC1177" s="993">
        <f>IF(AND(Input_Product=Elig!$C1177,Elig_MatchAll_Ct&lt;22,$BC1177=(Elig_MatchAll_Ct-1),AX1177=0),X1177,0)</f>
        <v>0</v>
      </c>
      <c r="CD1177" s="994">
        <f>IF(AND(Input_Product=Elig!$C1177,Elig_MatchAll_Ct&lt;22,$BC1177=(Elig_MatchAll_Ct-1),AX1177=0),Y1177,0)</f>
        <v>0</v>
      </c>
      <c r="CE1177" s="993">
        <f>IF(AND(Input_LTV&lt;=AE1177,Input_Product=Elig!$C1177,Elig_MatchAll_Ct&lt;22,$BC1177=(Elig_MatchAll_Ct-1),AY1177=0),Z1177,0)</f>
        <v>0</v>
      </c>
      <c r="CF1177" s="994">
        <f>IF(AND(Input_LTV&lt;=AE1177,Input_Product=Elig!$C1177,Elig_MatchAll_Ct&lt;22,$BC1177=(Elig_MatchAll_Ct-1),AY1177=0),AA1177,0)</f>
        <v>0</v>
      </c>
      <c r="CG1177" s="993">
        <f>IF(AND(Input_Product=Elig!$C1177,Elig_MatchAll_Ct&lt;22,$BC1177=(Elig_MatchAll_Ct-1),AZ1177=0),AB1177,0)</f>
        <v>0</v>
      </c>
      <c r="CH1177" s="994">
        <f>IF(AND(Input_Product=Elig!$C1177,Elig_MatchAll_Ct&lt;22,$BC1177=(Elig_MatchAll_Ct-1),AZ1177=0),AC1177,0)</f>
        <v>0</v>
      </c>
      <c r="CI1177" s="993">
        <f>IF(AND(Input_Product=Elig!$C1177,Elig_MatchAll_Ct&lt;22,$BC1177=(Elig_MatchAll_Ct-1),BA1177=0),AD1177,0)</f>
        <v>0</v>
      </c>
      <c r="CJ1177" s="994">
        <f>IF(AND(Input_Product=Elig!$C1177,Elig_MatchAll_Ct&lt;22,$BC1177=(Elig_MatchAll_Ct-1),BA1177=0),AE1177,0)</f>
        <v>0</v>
      </c>
    </row>
    <row r="1178" spans="2:88" ht="10.15" customHeight="1" x14ac:dyDescent="0.25">
      <c r="B1178" s="1918" t="s">
        <v>2468</v>
      </c>
      <c r="C1178" s="1228" t="str">
        <f t="shared" si="430"/>
        <v xml:space="preserve"> </v>
      </c>
      <c r="D1178" s="1229" t="s">
        <v>2218</v>
      </c>
      <c r="E1178" s="1229" t="s">
        <v>167</v>
      </c>
      <c r="F1178" s="1229" t="s">
        <v>330</v>
      </c>
      <c r="G1178" s="1230" t="s">
        <v>303</v>
      </c>
      <c r="H1178" s="1230" t="s">
        <v>136</v>
      </c>
      <c r="I1178" s="1229" t="s">
        <v>16</v>
      </c>
      <c r="J1178" s="1229" t="s">
        <v>1311</v>
      </c>
      <c r="K1178" s="1230" t="s">
        <v>3022</v>
      </c>
      <c r="L1178" s="1229" t="s">
        <v>2768</v>
      </c>
      <c r="M1178" s="1229" t="s">
        <v>2677</v>
      </c>
      <c r="N1178" s="1230" t="s">
        <v>2685</v>
      </c>
      <c r="O1178" s="1229" t="s">
        <v>310</v>
      </c>
      <c r="P1178" s="1229" t="s">
        <v>291</v>
      </c>
      <c r="Q1178" s="1229" t="s">
        <v>294</v>
      </c>
      <c r="R1178" s="1229">
        <v>2000000.01</v>
      </c>
      <c r="S1178" s="1229">
        <v>2500000</v>
      </c>
      <c r="T1178" s="1229">
        <v>0</v>
      </c>
      <c r="U1178" s="1229">
        <f t="shared" si="432"/>
        <v>2500000</v>
      </c>
      <c r="V1178" s="1229">
        <v>0</v>
      </c>
      <c r="W1178" s="1229">
        <v>50</v>
      </c>
      <c r="X1178" s="1229">
        <v>0</v>
      </c>
      <c r="Y1178" s="1229">
        <v>999</v>
      </c>
      <c r="Z1178" s="1231">
        <v>680</v>
      </c>
      <c r="AA1178" s="1231">
        <v>699</v>
      </c>
      <c r="AB1178" s="1231">
        <v>6</v>
      </c>
      <c r="AC1178" s="1231">
        <v>999999</v>
      </c>
      <c r="AD1178" s="1229">
        <v>0</v>
      </c>
      <c r="AE1178" s="1232">
        <v>75</v>
      </c>
      <c r="AF1178" s="170">
        <v>0</v>
      </c>
      <c r="AG1178" s="171">
        <v>1</v>
      </c>
      <c r="AH1178" s="171">
        <v>1</v>
      </c>
      <c r="AI1178" s="171">
        <v>0</v>
      </c>
      <c r="AJ1178" s="171">
        <v>1</v>
      </c>
      <c r="AK1178" s="171">
        <v>1</v>
      </c>
      <c r="AL1178" s="171">
        <v>1</v>
      </c>
      <c r="AM1178" s="171">
        <v>1</v>
      </c>
      <c r="AN1178" s="171">
        <v>1</v>
      </c>
      <c r="AO1178" s="171">
        <v>1</v>
      </c>
      <c r="AP1178" s="171">
        <v>1</v>
      </c>
      <c r="AQ1178" s="171">
        <v>1</v>
      </c>
      <c r="AR1178" s="171">
        <v>1</v>
      </c>
      <c r="AS1178" s="171">
        <v>1</v>
      </c>
      <c r="AT1178" s="171">
        <v>1</v>
      </c>
      <c r="AU1178" s="171">
        <f t="shared" si="433"/>
        <v>0</v>
      </c>
      <c r="AV1178" s="171">
        <f t="shared" si="434"/>
        <v>1</v>
      </c>
      <c r="AW1178" s="171">
        <f t="shared" si="435"/>
        <v>1</v>
      </c>
      <c r="AX1178" s="171">
        <f t="shared" si="429"/>
        <v>1</v>
      </c>
      <c r="AY1178" s="171">
        <f t="shared" si="436"/>
        <v>0</v>
      </c>
      <c r="AZ1178" s="171">
        <f t="shared" si="437"/>
        <v>1</v>
      </c>
      <c r="BA1178" s="172">
        <f t="shared" si="438"/>
        <v>1</v>
      </c>
      <c r="BB1178" s="175">
        <f t="shared" si="439"/>
        <v>18</v>
      </c>
      <c r="BC1178" s="176">
        <f t="shared" si="440"/>
        <v>17</v>
      </c>
      <c r="BD1178" s="176">
        <f t="shared" si="441"/>
        <v>18</v>
      </c>
      <c r="BE1178" s="240" t="str">
        <f t="shared" si="431"/>
        <v/>
      </c>
      <c r="BF1178" s="990"/>
      <c r="BG1178" s="990"/>
      <c r="BH1178" s="991">
        <f>IF(AND(Input_Product=Elig!$C1178,Elig_MatchAll_Ct&lt;22,$BC1178=(Elig_MatchAll_Ct-1),AF1178=0),C1178,0)</f>
        <v>0</v>
      </c>
      <c r="BI1178" s="991">
        <f>IF(AND(Input_Product=Elig!$C1178,Elig_MatchAll_Ct&lt;22,$BC1178=(Elig_MatchAll_Ct-1),AG1178=0),D1178,0)</f>
        <v>0</v>
      </c>
      <c r="BJ1178" s="991">
        <f>IF(AND(Input_Product=Elig!$C1178,Elig_MatchAll_Ct&lt;22,$BC1178=(Elig_MatchAll_Ct-1),AH1178=0),E1178,0)</f>
        <v>0</v>
      </c>
      <c r="BK1178" s="991">
        <f>IF(AND(Input_Product=Elig!$C1178,Elig_MatchAll_Ct&lt;22,$BC1178=(Elig_MatchAll_Ct-1),AI1178=0),F1178,0)</f>
        <v>0</v>
      </c>
      <c r="BL1178" s="991">
        <f>IF(AND(Input_Product=Elig!$C1178,Elig_MatchAll_Ct&lt;22,$BC1178=(Elig_MatchAll_Ct-1),AJ1178=0),G1178,0)</f>
        <v>0</v>
      </c>
      <c r="BM1178" s="991">
        <f>IF(AND(Input_Product=Elig!$C1178,Elig_MatchAll_Ct&lt;22,$BC1178=(Elig_MatchAll_Ct-1),AK1178=0),H1178,0)</f>
        <v>0</v>
      </c>
      <c r="BN1178" s="991">
        <f>IF(AND(Input_Product=Elig!$C1178,Elig_MatchAll_Ct&lt;22,$BC1178=(Elig_MatchAll_Ct-1),AL1178=0),I1178,0)</f>
        <v>0</v>
      </c>
      <c r="BO1178" s="991">
        <f>IF(AND(Input_Product=Elig!$C1178,Elig_MatchAll_Ct&lt;22,$BC1178=(Elig_MatchAll_Ct-1),AM1178=0),J1178,0)</f>
        <v>0</v>
      </c>
      <c r="BP1178" s="991">
        <f>IF(AND(Input_Product=Elig!$C1178,Elig_MatchAll_Ct&lt;22,$BC1178=(Elig_MatchAll_Ct-1),AN1178=0),K1178,0)</f>
        <v>0</v>
      </c>
      <c r="BQ1178" s="991">
        <f>IF(AND(Input_Product=Elig!$C1178,Elig_MatchAll_Ct&lt;22,$BC1178=(Elig_MatchAll_Ct-1),AP1178=0),L1178,0)</f>
        <v>0</v>
      </c>
      <c r="BR1178" s="991">
        <f>IF(AND(Input_Product=Elig!$C1178,Elig_MatchAll_Ct&lt;22,$BC1178=(Elig_MatchAll_Ct-1),AO1178=0),M1178,0)</f>
        <v>0</v>
      </c>
      <c r="BS1178" s="991">
        <f>IF(AND(Input_Product=Elig!$C1178,Elig_MatchAll_Ct&lt;22,$BC1178=(Elig_MatchAll_Ct-1),AQ1178=0),N1178,0)</f>
        <v>0</v>
      </c>
      <c r="BT1178" s="991">
        <f>IF(AND(Input_Product=Elig!$C1178,Elig_MatchAll_Ct&lt;22,$BC1178=(Elig_MatchAll_Ct-1),AR1178=0),O1178,0)</f>
        <v>0</v>
      </c>
      <c r="BU1178" s="991">
        <f>IF(AND(Input_Product=Elig!$C1178,Elig_MatchAll_Ct&lt;22,$BC1178=(Elig_MatchAll_Ct-1),AS1178=0),P1178,0)</f>
        <v>0</v>
      </c>
      <c r="BV1178" s="992">
        <f>IF(AND(Input_Product=Elig!$C1178,Elig_MatchAll_Ct&lt;22,$BC1178=(Elig_MatchAll_Ct-1),AT1178=0),Q1178,0)</f>
        <v>0</v>
      </c>
      <c r="BW1178" s="993">
        <f>IF(AND(Input_Product=Elig!$C1178,Elig_MatchAll_Ct&lt;22,$BC1178=(Elig_MatchAll_Ct-1),AU1178=0),R1178,0)</f>
        <v>0</v>
      </c>
      <c r="BX1178" s="994">
        <f>IF(AND(Input_Product=Elig!$C1178,Elig_MatchAll_Ct&lt;22,$BC1178=(Elig_MatchAll_Ct-1),AU1178=0),S1178,0)</f>
        <v>0</v>
      </c>
      <c r="BY1178" s="993">
        <f>IF(AND(Input_Product=Elig!$C1178,Elig_MatchAll_Ct&lt;22,$BC1178=(Elig_MatchAll_Ct-1),AV1178=0),T1178,0)</f>
        <v>0</v>
      </c>
      <c r="BZ1178" s="994">
        <f>IF(AND(Input_Product=Elig!$C1178,Elig_MatchAll_Ct&lt;22,$BC1178=(Elig_MatchAll_Ct-1),AV1178=0),U1178,0)</f>
        <v>0</v>
      </c>
      <c r="CA1178" s="993">
        <f>IF(AND(Input_Product=Elig!$C1178,Elig_MatchAll_Ct&lt;22,$BC1178=(Elig_MatchAll_Ct-1),AW1178=0),V1178,0)</f>
        <v>0</v>
      </c>
      <c r="CB1178" s="994">
        <f>IF(AND(Input_Product=Elig!$C1178,Elig_MatchAll_Ct&lt;22,$BC1178=(Elig_MatchAll_Ct-1),AW1178=0),W1178,0)</f>
        <v>0</v>
      </c>
      <c r="CC1178" s="993">
        <f>IF(AND(Input_Product=Elig!$C1178,Elig_MatchAll_Ct&lt;22,$BC1178=(Elig_MatchAll_Ct-1),AX1178=0),X1178,0)</f>
        <v>0</v>
      </c>
      <c r="CD1178" s="994">
        <f>IF(AND(Input_Product=Elig!$C1178,Elig_MatchAll_Ct&lt;22,$BC1178=(Elig_MatchAll_Ct-1),AX1178=0),Y1178,0)</f>
        <v>0</v>
      </c>
      <c r="CE1178" s="993">
        <f>IF(AND(Input_LTV&lt;=AE1178,Input_Product=Elig!$C1178,Elig_MatchAll_Ct&lt;22,$BC1178=(Elig_MatchAll_Ct-1),AY1178=0),Z1178,0)</f>
        <v>0</v>
      </c>
      <c r="CF1178" s="994">
        <f>IF(AND(Input_LTV&lt;=AE1178,Input_Product=Elig!$C1178,Elig_MatchAll_Ct&lt;22,$BC1178=(Elig_MatchAll_Ct-1),AY1178=0),AA1178,0)</f>
        <v>0</v>
      </c>
      <c r="CG1178" s="993">
        <f>IF(AND(Input_Product=Elig!$C1178,Elig_MatchAll_Ct&lt;22,$BC1178=(Elig_MatchAll_Ct-1),AZ1178=0),AB1178,0)</f>
        <v>0</v>
      </c>
      <c r="CH1178" s="994">
        <f>IF(AND(Input_Product=Elig!$C1178,Elig_MatchAll_Ct&lt;22,$BC1178=(Elig_MatchAll_Ct-1),AZ1178=0),AC1178,0)</f>
        <v>0</v>
      </c>
      <c r="CI1178" s="993">
        <f>IF(AND(Input_Product=Elig!$C1178,Elig_MatchAll_Ct&lt;22,$BC1178=(Elig_MatchAll_Ct-1),BA1178=0),AD1178,0)</f>
        <v>0</v>
      </c>
      <c r="CJ1178" s="994">
        <f>IF(AND(Input_Product=Elig!$C1178,Elig_MatchAll_Ct&lt;22,$BC1178=(Elig_MatchAll_Ct-1),BA1178=0),AE1178,0)</f>
        <v>0</v>
      </c>
    </row>
    <row r="1179" spans="2:88" ht="10.15" customHeight="1" x14ac:dyDescent="0.25">
      <c r="B1179" s="1918" t="s">
        <v>2469</v>
      </c>
      <c r="C1179" s="1218" t="str">
        <f t="shared" si="430"/>
        <v xml:space="preserve"> </v>
      </c>
      <c r="D1179" s="1219" t="s">
        <v>2218</v>
      </c>
      <c r="E1179" s="1219" t="s">
        <v>167</v>
      </c>
      <c r="F1179" s="1219" t="s">
        <v>330</v>
      </c>
      <c r="G1179" s="1220" t="s">
        <v>303</v>
      </c>
      <c r="H1179" s="1220" t="s">
        <v>136</v>
      </c>
      <c r="I1179" s="1219" t="s">
        <v>16</v>
      </c>
      <c r="J1179" s="1219" t="s">
        <v>1311</v>
      </c>
      <c r="K1179" s="1220" t="s">
        <v>3022</v>
      </c>
      <c r="L1179" s="1219" t="s">
        <v>2768</v>
      </c>
      <c r="M1179" s="1219" t="s">
        <v>2677</v>
      </c>
      <c r="N1179" s="1220" t="s">
        <v>2685</v>
      </c>
      <c r="O1179" s="1219" t="s">
        <v>310</v>
      </c>
      <c r="P1179" s="1219" t="s">
        <v>291</v>
      </c>
      <c r="Q1179" s="1219" t="s">
        <v>294</v>
      </c>
      <c r="R1179" s="1219">
        <v>2500000.0099999998</v>
      </c>
      <c r="S1179" s="1219">
        <v>3000000</v>
      </c>
      <c r="T1179" s="1219">
        <v>0</v>
      </c>
      <c r="U1179" s="1219">
        <f t="shared" si="432"/>
        <v>3000000</v>
      </c>
      <c r="V1179" s="1219">
        <v>0</v>
      </c>
      <c r="W1179" s="1219">
        <v>50</v>
      </c>
      <c r="X1179" s="1219">
        <v>0</v>
      </c>
      <c r="Y1179" s="1219">
        <v>999</v>
      </c>
      <c r="Z1179" s="1221">
        <v>720</v>
      </c>
      <c r="AA1179" s="1221">
        <v>999</v>
      </c>
      <c r="AB1179" s="1221">
        <v>6</v>
      </c>
      <c r="AC1179" s="1221">
        <v>999999</v>
      </c>
      <c r="AD1179" s="1219">
        <v>0</v>
      </c>
      <c r="AE1179" s="1222">
        <v>75</v>
      </c>
      <c r="AF1179" s="170">
        <v>0</v>
      </c>
      <c r="AG1179" s="171">
        <v>1</v>
      </c>
      <c r="AH1179" s="171">
        <v>1</v>
      </c>
      <c r="AI1179" s="171">
        <v>0</v>
      </c>
      <c r="AJ1179" s="171">
        <v>1</v>
      </c>
      <c r="AK1179" s="171">
        <v>1</v>
      </c>
      <c r="AL1179" s="171">
        <v>1</v>
      </c>
      <c r="AM1179" s="171">
        <v>1</v>
      </c>
      <c r="AN1179" s="171">
        <v>1</v>
      </c>
      <c r="AO1179" s="171">
        <v>1</v>
      </c>
      <c r="AP1179" s="171">
        <v>1</v>
      </c>
      <c r="AQ1179" s="171">
        <v>1</v>
      </c>
      <c r="AR1179" s="171">
        <v>1</v>
      </c>
      <c r="AS1179" s="171">
        <v>1</v>
      </c>
      <c r="AT1179" s="171">
        <v>1</v>
      </c>
      <c r="AU1179" s="171">
        <f t="shared" si="433"/>
        <v>0</v>
      </c>
      <c r="AV1179" s="171">
        <f t="shared" si="434"/>
        <v>1</v>
      </c>
      <c r="AW1179" s="171">
        <f t="shared" si="435"/>
        <v>1</v>
      </c>
      <c r="AX1179" s="171">
        <f t="shared" si="429"/>
        <v>1</v>
      </c>
      <c r="AY1179" s="171">
        <f t="shared" si="436"/>
        <v>1</v>
      </c>
      <c r="AZ1179" s="171">
        <f t="shared" si="437"/>
        <v>1</v>
      </c>
      <c r="BA1179" s="172">
        <f t="shared" si="438"/>
        <v>1</v>
      </c>
      <c r="BB1179" s="175">
        <f t="shared" si="439"/>
        <v>19</v>
      </c>
      <c r="BC1179" s="176">
        <f t="shared" si="440"/>
        <v>18</v>
      </c>
      <c r="BD1179" s="176">
        <f t="shared" si="441"/>
        <v>19</v>
      </c>
      <c r="BE1179" s="240" t="str">
        <f t="shared" si="431"/>
        <v/>
      </c>
      <c r="BF1179" s="990"/>
      <c r="BG1179" s="990"/>
      <c r="BH1179" s="991">
        <f>IF(AND(Input_Product=Elig!$C1179,Elig_MatchAll_Ct&lt;22,$BC1179=(Elig_MatchAll_Ct-1),AF1179=0),C1179,0)</f>
        <v>0</v>
      </c>
      <c r="BI1179" s="991">
        <f>IF(AND(Input_Product=Elig!$C1179,Elig_MatchAll_Ct&lt;22,$BC1179=(Elig_MatchAll_Ct-1),AG1179=0),D1179,0)</f>
        <v>0</v>
      </c>
      <c r="BJ1179" s="991">
        <f>IF(AND(Input_Product=Elig!$C1179,Elig_MatchAll_Ct&lt;22,$BC1179=(Elig_MatchAll_Ct-1),AH1179=0),E1179,0)</f>
        <v>0</v>
      </c>
      <c r="BK1179" s="991">
        <f>IF(AND(Input_Product=Elig!$C1179,Elig_MatchAll_Ct&lt;22,$BC1179=(Elig_MatchAll_Ct-1),AI1179=0),F1179,0)</f>
        <v>0</v>
      </c>
      <c r="BL1179" s="991">
        <f>IF(AND(Input_Product=Elig!$C1179,Elig_MatchAll_Ct&lt;22,$BC1179=(Elig_MatchAll_Ct-1),AJ1179=0),G1179,0)</f>
        <v>0</v>
      </c>
      <c r="BM1179" s="991">
        <f>IF(AND(Input_Product=Elig!$C1179,Elig_MatchAll_Ct&lt;22,$BC1179=(Elig_MatchAll_Ct-1),AK1179=0),H1179,0)</f>
        <v>0</v>
      </c>
      <c r="BN1179" s="991">
        <f>IF(AND(Input_Product=Elig!$C1179,Elig_MatchAll_Ct&lt;22,$BC1179=(Elig_MatchAll_Ct-1),AL1179=0),I1179,0)</f>
        <v>0</v>
      </c>
      <c r="BO1179" s="991">
        <f>IF(AND(Input_Product=Elig!$C1179,Elig_MatchAll_Ct&lt;22,$BC1179=(Elig_MatchAll_Ct-1),AM1179=0),J1179,0)</f>
        <v>0</v>
      </c>
      <c r="BP1179" s="991">
        <f>IF(AND(Input_Product=Elig!$C1179,Elig_MatchAll_Ct&lt;22,$BC1179=(Elig_MatchAll_Ct-1),AN1179=0),K1179,0)</f>
        <v>0</v>
      </c>
      <c r="BQ1179" s="991">
        <f>IF(AND(Input_Product=Elig!$C1179,Elig_MatchAll_Ct&lt;22,$BC1179=(Elig_MatchAll_Ct-1),AP1179=0),L1179,0)</f>
        <v>0</v>
      </c>
      <c r="BR1179" s="991">
        <f>IF(AND(Input_Product=Elig!$C1179,Elig_MatchAll_Ct&lt;22,$BC1179=(Elig_MatchAll_Ct-1),AO1179=0),M1179,0)</f>
        <v>0</v>
      </c>
      <c r="BS1179" s="991">
        <f>IF(AND(Input_Product=Elig!$C1179,Elig_MatchAll_Ct&lt;22,$BC1179=(Elig_MatchAll_Ct-1),AQ1179=0),N1179,0)</f>
        <v>0</v>
      </c>
      <c r="BT1179" s="991">
        <f>IF(AND(Input_Product=Elig!$C1179,Elig_MatchAll_Ct&lt;22,$BC1179=(Elig_MatchAll_Ct-1),AR1179=0),O1179,0)</f>
        <v>0</v>
      </c>
      <c r="BU1179" s="991">
        <f>IF(AND(Input_Product=Elig!$C1179,Elig_MatchAll_Ct&lt;22,$BC1179=(Elig_MatchAll_Ct-1),AS1179=0),P1179,0)</f>
        <v>0</v>
      </c>
      <c r="BV1179" s="992">
        <f>IF(AND(Input_Product=Elig!$C1179,Elig_MatchAll_Ct&lt;22,$BC1179=(Elig_MatchAll_Ct-1),AT1179=0),Q1179,0)</f>
        <v>0</v>
      </c>
      <c r="BW1179" s="993">
        <f>IF(AND(Input_Product=Elig!$C1179,Elig_MatchAll_Ct&lt;22,$BC1179=(Elig_MatchAll_Ct-1),AU1179=0),R1179,0)</f>
        <v>0</v>
      </c>
      <c r="BX1179" s="994">
        <f>IF(AND(Input_Product=Elig!$C1179,Elig_MatchAll_Ct&lt;22,$BC1179=(Elig_MatchAll_Ct-1),AU1179=0),S1179,0)</f>
        <v>0</v>
      </c>
      <c r="BY1179" s="993">
        <f>IF(AND(Input_Product=Elig!$C1179,Elig_MatchAll_Ct&lt;22,$BC1179=(Elig_MatchAll_Ct-1),AV1179=0),T1179,0)</f>
        <v>0</v>
      </c>
      <c r="BZ1179" s="994">
        <f>IF(AND(Input_Product=Elig!$C1179,Elig_MatchAll_Ct&lt;22,$BC1179=(Elig_MatchAll_Ct-1),AV1179=0),U1179,0)</f>
        <v>0</v>
      </c>
      <c r="CA1179" s="993">
        <f>IF(AND(Input_Product=Elig!$C1179,Elig_MatchAll_Ct&lt;22,$BC1179=(Elig_MatchAll_Ct-1),AW1179=0),V1179,0)</f>
        <v>0</v>
      </c>
      <c r="CB1179" s="994">
        <f>IF(AND(Input_Product=Elig!$C1179,Elig_MatchAll_Ct&lt;22,$BC1179=(Elig_MatchAll_Ct-1),AW1179=0),W1179,0)</f>
        <v>0</v>
      </c>
      <c r="CC1179" s="993">
        <f>IF(AND(Input_Product=Elig!$C1179,Elig_MatchAll_Ct&lt;22,$BC1179=(Elig_MatchAll_Ct-1),AX1179=0),X1179,0)</f>
        <v>0</v>
      </c>
      <c r="CD1179" s="994">
        <f>IF(AND(Input_Product=Elig!$C1179,Elig_MatchAll_Ct&lt;22,$BC1179=(Elig_MatchAll_Ct-1),AX1179=0),Y1179,0)</f>
        <v>0</v>
      </c>
      <c r="CE1179" s="993">
        <f>IF(AND(Input_LTV&lt;=AE1179,Input_Product=Elig!$C1179,Elig_MatchAll_Ct&lt;22,$BC1179=(Elig_MatchAll_Ct-1),AY1179=0),Z1179,0)</f>
        <v>0</v>
      </c>
      <c r="CF1179" s="994">
        <f>IF(AND(Input_LTV&lt;=AE1179,Input_Product=Elig!$C1179,Elig_MatchAll_Ct&lt;22,$BC1179=(Elig_MatchAll_Ct-1),AY1179=0),AA1179,0)</f>
        <v>0</v>
      </c>
      <c r="CG1179" s="993">
        <f>IF(AND(Input_Product=Elig!$C1179,Elig_MatchAll_Ct&lt;22,$BC1179=(Elig_MatchAll_Ct-1),AZ1179=0),AB1179,0)</f>
        <v>0</v>
      </c>
      <c r="CH1179" s="994">
        <f>IF(AND(Input_Product=Elig!$C1179,Elig_MatchAll_Ct&lt;22,$BC1179=(Elig_MatchAll_Ct-1),AZ1179=0),AC1179,0)</f>
        <v>0</v>
      </c>
      <c r="CI1179" s="993">
        <f>IF(AND(Input_Product=Elig!$C1179,Elig_MatchAll_Ct&lt;22,$BC1179=(Elig_MatchAll_Ct-1),BA1179=0),AD1179,0)</f>
        <v>0</v>
      </c>
      <c r="CJ1179" s="994">
        <f>IF(AND(Input_Product=Elig!$C1179,Elig_MatchAll_Ct&lt;22,$BC1179=(Elig_MatchAll_Ct-1),BA1179=0),AE1179,0)</f>
        <v>0</v>
      </c>
    </row>
    <row r="1180" spans="2:88" ht="10.15" customHeight="1" x14ac:dyDescent="0.25">
      <c r="B1180" s="1918" t="s">
        <v>2470</v>
      </c>
      <c r="C1180" s="1223" t="str">
        <f t="shared" si="430"/>
        <v xml:space="preserve"> </v>
      </c>
      <c r="D1180" s="1224" t="s">
        <v>2218</v>
      </c>
      <c r="E1180" s="1224" t="s">
        <v>167</v>
      </c>
      <c r="F1180" s="1224" t="s">
        <v>330</v>
      </c>
      <c r="G1180" s="1225" t="s">
        <v>303</v>
      </c>
      <c r="H1180" s="1225" t="s">
        <v>136</v>
      </c>
      <c r="I1180" s="1224" t="s">
        <v>16</v>
      </c>
      <c r="J1180" s="1224" t="s">
        <v>1311</v>
      </c>
      <c r="K1180" s="1225" t="s">
        <v>3022</v>
      </c>
      <c r="L1180" s="1224" t="s">
        <v>2768</v>
      </c>
      <c r="M1180" s="1224" t="s">
        <v>2677</v>
      </c>
      <c r="N1180" s="1225" t="s">
        <v>2685</v>
      </c>
      <c r="O1180" s="1224" t="s">
        <v>310</v>
      </c>
      <c r="P1180" s="1224" t="s">
        <v>291</v>
      </c>
      <c r="Q1180" s="1224" t="s">
        <v>294</v>
      </c>
      <c r="R1180" s="1224">
        <v>2500000.0099999998</v>
      </c>
      <c r="S1180" s="1224">
        <v>3000000</v>
      </c>
      <c r="T1180" s="1224">
        <v>0</v>
      </c>
      <c r="U1180" s="1224">
        <f t="shared" si="432"/>
        <v>3000000</v>
      </c>
      <c r="V1180" s="1224">
        <v>0</v>
      </c>
      <c r="W1180" s="1224">
        <v>50</v>
      </c>
      <c r="X1180" s="1224">
        <v>0</v>
      </c>
      <c r="Y1180" s="1224">
        <v>999</v>
      </c>
      <c r="Z1180" s="1226">
        <v>700</v>
      </c>
      <c r="AA1180" s="1226">
        <v>719</v>
      </c>
      <c r="AB1180" s="1226">
        <v>6</v>
      </c>
      <c r="AC1180" s="1226">
        <v>999999</v>
      </c>
      <c r="AD1180" s="1224">
        <v>0</v>
      </c>
      <c r="AE1180" s="1227">
        <v>75</v>
      </c>
      <c r="AF1180" s="170">
        <v>0</v>
      </c>
      <c r="AG1180" s="171">
        <v>1</v>
      </c>
      <c r="AH1180" s="171">
        <v>1</v>
      </c>
      <c r="AI1180" s="171">
        <v>0</v>
      </c>
      <c r="AJ1180" s="171">
        <v>1</v>
      </c>
      <c r="AK1180" s="171">
        <v>1</v>
      </c>
      <c r="AL1180" s="171">
        <v>1</v>
      </c>
      <c r="AM1180" s="171">
        <v>1</v>
      </c>
      <c r="AN1180" s="171">
        <v>1</v>
      </c>
      <c r="AO1180" s="171">
        <v>1</v>
      </c>
      <c r="AP1180" s="171">
        <v>1</v>
      </c>
      <c r="AQ1180" s="171">
        <v>1</v>
      </c>
      <c r="AR1180" s="171">
        <v>1</v>
      </c>
      <c r="AS1180" s="171">
        <v>1</v>
      </c>
      <c r="AT1180" s="171">
        <v>1</v>
      </c>
      <c r="AU1180" s="171">
        <f t="shared" si="433"/>
        <v>0</v>
      </c>
      <c r="AV1180" s="171">
        <f t="shared" si="434"/>
        <v>1</v>
      </c>
      <c r="AW1180" s="171">
        <f t="shared" si="435"/>
        <v>1</v>
      </c>
      <c r="AX1180" s="171">
        <f t="shared" si="429"/>
        <v>1</v>
      </c>
      <c r="AY1180" s="171">
        <f t="shared" si="436"/>
        <v>0</v>
      </c>
      <c r="AZ1180" s="171">
        <f t="shared" si="437"/>
        <v>1</v>
      </c>
      <c r="BA1180" s="172">
        <f t="shared" si="438"/>
        <v>1</v>
      </c>
      <c r="BB1180" s="175">
        <f t="shared" si="439"/>
        <v>18</v>
      </c>
      <c r="BC1180" s="176">
        <f t="shared" si="440"/>
        <v>17</v>
      </c>
      <c r="BD1180" s="176">
        <f t="shared" si="441"/>
        <v>18</v>
      </c>
      <c r="BE1180" s="240" t="str">
        <f t="shared" si="431"/>
        <v/>
      </c>
      <c r="BF1180" s="990"/>
      <c r="BG1180" s="990"/>
      <c r="BH1180" s="991">
        <f>IF(AND(Input_Product=Elig!$C1180,Elig_MatchAll_Ct&lt;22,$BC1180=(Elig_MatchAll_Ct-1),AF1180=0),C1180,0)</f>
        <v>0</v>
      </c>
      <c r="BI1180" s="991">
        <f>IF(AND(Input_Product=Elig!$C1180,Elig_MatchAll_Ct&lt;22,$BC1180=(Elig_MatchAll_Ct-1),AG1180=0),D1180,0)</f>
        <v>0</v>
      </c>
      <c r="BJ1180" s="991">
        <f>IF(AND(Input_Product=Elig!$C1180,Elig_MatchAll_Ct&lt;22,$BC1180=(Elig_MatchAll_Ct-1),AH1180=0),E1180,0)</f>
        <v>0</v>
      </c>
      <c r="BK1180" s="991">
        <f>IF(AND(Input_Product=Elig!$C1180,Elig_MatchAll_Ct&lt;22,$BC1180=(Elig_MatchAll_Ct-1),AI1180=0),F1180,0)</f>
        <v>0</v>
      </c>
      <c r="BL1180" s="991">
        <f>IF(AND(Input_Product=Elig!$C1180,Elig_MatchAll_Ct&lt;22,$BC1180=(Elig_MatchAll_Ct-1),AJ1180=0),G1180,0)</f>
        <v>0</v>
      </c>
      <c r="BM1180" s="991">
        <f>IF(AND(Input_Product=Elig!$C1180,Elig_MatchAll_Ct&lt;22,$BC1180=(Elig_MatchAll_Ct-1),AK1180=0),H1180,0)</f>
        <v>0</v>
      </c>
      <c r="BN1180" s="991">
        <f>IF(AND(Input_Product=Elig!$C1180,Elig_MatchAll_Ct&lt;22,$BC1180=(Elig_MatchAll_Ct-1),AL1180=0),I1180,0)</f>
        <v>0</v>
      </c>
      <c r="BO1180" s="991">
        <f>IF(AND(Input_Product=Elig!$C1180,Elig_MatchAll_Ct&lt;22,$BC1180=(Elig_MatchAll_Ct-1),AM1180=0),J1180,0)</f>
        <v>0</v>
      </c>
      <c r="BP1180" s="991">
        <f>IF(AND(Input_Product=Elig!$C1180,Elig_MatchAll_Ct&lt;22,$BC1180=(Elig_MatchAll_Ct-1),AN1180=0),K1180,0)</f>
        <v>0</v>
      </c>
      <c r="BQ1180" s="991">
        <f>IF(AND(Input_Product=Elig!$C1180,Elig_MatchAll_Ct&lt;22,$BC1180=(Elig_MatchAll_Ct-1),AP1180=0),L1180,0)</f>
        <v>0</v>
      </c>
      <c r="BR1180" s="991">
        <f>IF(AND(Input_Product=Elig!$C1180,Elig_MatchAll_Ct&lt;22,$BC1180=(Elig_MatchAll_Ct-1),AO1180=0),M1180,0)</f>
        <v>0</v>
      </c>
      <c r="BS1180" s="991">
        <f>IF(AND(Input_Product=Elig!$C1180,Elig_MatchAll_Ct&lt;22,$BC1180=(Elig_MatchAll_Ct-1),AQ1180=0),N1180,0)</f>
        <v>0</v>
      </c>
      <c r="BT1180" s="991">
        <f>IF(AND(Input_Product=Elig!$C1180,Elig_MatchAll_Ct&lt;22,$BC1180=(Elig_MatchAll_Ct-1),AR1180=0),O1180,0)</f>
        <v>0</v>
      </c>
      <c r="BU1180" s="991">
        <f>IF(AND(Input_Product=Elig!$C1180,Elig_MatchAll_Ct&lt;22,$BC1180=(Elig_MatchAll_Ct-1),AS1180=0),P1180,0)</f>
        <v>0</v>
      </c>
      <c r="BV1180" s="992">
        <f>IF(AND(Input_Product=Elig!$C1180,Elig_MatchAll_Ct&lt;22,$BC1180=(Elig_MatchAll_Ct-1),AT1180=0),Q1180,0)</f>
        <v>0</v>
      </c>
      <c r="BW1180" s="993">
        <f>IF(AND(Input_Product=Elig!$C1180,Elig_MatchAll_Ct&lt;22,$BC1180=(Elig_MatchAll_Ct-1),AU1180=0),R1180,0)</f>
        <v>0</v>
      </c>
      <c r="BX1180" s="994">
        <f>IF(AND(Input_Product=Elig!$C1180,Elig_MatchAll_Ct&lt;22,$BC1180=(Elig_MatchAll_Ct-1),AU1180=0),S1180,0)</f>
        <v>0</v>
      </c>
      <c r="BY1180" s="993">
        <f>IF(AND(Input_Product=Elig!$C1180,Elig_MatchAll_Ct&lt;22,$BC1180=(Elig_MatchAll_Ct-1),AV1180=0),T1180,0)</f>
        <v>0</v>
      </c>
      <c r="BZ1180" s="994">
        <f>IF(AND(Input_Product=Elig!$C1180,Elig_MatchAll_Ct&lt;22,$BC1180=(Elig_MatchAll_Ct-1),AV1180=0),U1180,0)</f>
        <v>0</v>
      </c>
      <c r="CA1180" s="993">
        <f>IF(AND(Input_Product=Elig!$C1180,Elig_MatchAll_Ct&lt;22,$BC1180=(Elig_MatchAll_Ct-1),AW1180=0),V1180,0)</f>
        <v>0</v>
      </c>
      <c r="CB1180" s="994">
        <f>IF(AND(Input_Product=Elig!$C1180,Elig_MatchAll_Ct&lt;22,$BC1180=(Elig_MatchAll_Ct-1),AW1180=0),W1180,0)</f>
        <v>0</v>
      </c>
      <c r="CC1180" s="993">
        <f>IF(AND(Input_Product=Elig!$C1180,Elig_MatchAll_Ct&lt;22,$BC1180=(Elig_MatchAll_Ct-1),AX1180=0),X1180,0)</f>
        <v>0</v>
      </c>
      <c r="CD1180" s="994">
        <f>IF(AND(Input_Product=Elig!$C1180,Elig_MatchAll_Ct&lt;22,$BC1180=(Elig_MatchAll_Ct-1),AX1180=0),Y1180,0)</f>
        <v>0</v>
      </c>
      <c r="CE1180" s="993">
        <f>IF(AND(Input_LTV&lt;=AE1180,Input_Product=Elig!$C1180,Elig_MatchAll_Ct&lt;22,$BC1180=(Elig_MatchAll_Ct-1),AY1180=0),Z1180,0)</f>
        <v>0</v>
      </c>
      <c r="CF1180" s="994">
        <f>IF(AND(Input_LTV&lt;=AE1180,Input_Product=Elig!$C1180,Elig_MatchAll_Ct&lt;22,$BC1180=(Elig_MatchAll_Ct-1),AY1180=0),AA1180,0)</f>
        <v>0</v>
      </c>
      <c r="CG1180" s="993">
        <f>IF(AND(Input_Product=Elig!$C1180,Elig_MatchAll_Ct&lt;22,$BC1180=(Elig_MatchAll_Ct-1),AZ1180=0),AB1180,0)</f>
        <v>0</v>
      </c>
      <c r="CH1180" s="994">
        <f>IF(AND(Input_Product=Elig!$C1180,Elig_MatchAll_Ct&lt;22,$BC1180=(Elig_MatchAll_Ct-1),AZ1180=0),AC1180,0)</f>
        <v>0</v>
      </c>
      <c r="CI1180" s="993">
        <f>IF(AND(Input_Product=Elig!$C1180,Elig_MatchAll_Ct&lt;22,$BC1180=(Elig_MatchAll_Ct-1),BA1180=0),AD1180,0)</f>
        <v>0</v>
      </c>
      <c r="CJ1180" s="994">
        <f>IF(AND(Input_Product=Elig!$C1180,Elig_MatchAll_Ct&lt;22,$BC1180=(Elig_MatchAll_Ct-1),BA1180=0),AE1180,0)</f>
        <v>0</v>
      </c>
    </row>
    <row r="1181" spans="2:88" ht="10.15" customHeight="1" x14ac:dyDescent="0.25">
      <c r="B1181" s="1918" t="s">
        <v>2471</v>
      </c>
      <c r="C1181" s="1228" t="str">
        <f t="shared" si="430"/>
        <v xml:space="preserve"> </v>
      </c>
      <c r="D1181" s="1229" t="s">
        <v>2218</v>
      </c>
      <c r="E1181" s="1229" t="s">
        <v>167</v>
      </c>
      <c r="F1181" s="1229" t="s">
        <v>330</v>
      </c>
      <c r="G1181" s="1230" t="s">
        <v>303</v>
      </c>
      <c r="H1181" s="1230" t="s">
        <v>136</v>
      </c>
      <c r="I1181" s="1229" t="s">
        <v>16</v>
      </c>
      <c r="J1181" s="1229" t="s">
        <v>1311</v>
      </c>
      <c r="K1181" s="1230" t="s">
        <v>3022</v>
      </c>
      <c r="L1181" s="1229" t="s">
        <v>2768</v>
      </c>
      <c r="M1181" s="1229" t="s">
        <v>2677</v>
      </c>
      <c r="N1181" s="1230" t="s">
        <v>2685</v>
      </c>
      <c r="O1181" s="1229" t="s">
        <v>310</v>
      </c>
      <c r="P1181" s="1229" t="s">
        <v>291</v>
      </c>
      <c r="Q1181" s="1229" t="s">
        <v>294</v>
      </c>
      <c r="R1181" s="1229">
        <v>2500000.0099999998</v>
      </c>
      <c r="S1181" s="1229">
        <v>3000000</v>
      </c>
      <c r="T1181" s="1229">
        <v>0</v>
      </c>
      <c r="U1181" s="1229">
        <f t="shared" si="432"/>
        <v>3000000</v>
      </c>
      <c r="V1181" s="1229">
        <v>0</v>
      </c>
      <c r="W1181" s="1229">
        <v>50</v>
      </c>
      <c r="X1181" s="1229">
        <v>0</v>
      </c>
      <c r="Y1181" s="1229">
        <v>999</v>
      </c>
      <c r="Z1181" s="1231">
        <v>680</v>
      </c>
      <c r="AA1181" s="1231">
        <v>699</v>
      </c>
      <c r="AB1181" s="1231">
        <v>6</v>
      </c>
      <c r="AC1181" s="1231">
        <v>999999</v>
      </c>
      <c r="AD1181" s="1229">
        <v>0</v>
      </c>
      <c r="AE1181" s="1232">
        <v>75</v>
      </c>
      <c r="AF1181" s="170">
        <v>0</v>
      </c>
      <c r="AG1181" s="171">
        <v>1</v>
      </c>
      <c r="AH1181" s="171">
        <v>1</v>
      </c>
      <c r="AI1181" s="171">
        <v>0</v>
      </c>
      <c r="AJ1181" s="171">
        <v>1</v>
      </c>
      <c r="AK1181" s="171">
        <v>1</v>
      </c>
      <c r="AL1181" s="171">
        <v>1</v>
      </c>
      <c r="AM1181" s="171">
        <v>1</v>
      </c>
      <c r="AN1181" s="171">
        <v>1</v>
      </c>
      <c r="AO1181" s="171">
        <v>1</v>
      </c>
      <c r="AP1181" s="171">
        <v>1</v>
      </c>
      <c r="AQ1181" s="171">
        <v>1</v>
      </c>
      <c r="AR1181" s="171">
        <v>1</v>
      </c>
      <c r="AS1181" s="171">
        <v>1</v>
      </c>
      <c r="AT1181" s="171">
        <v>1</v>
      </c>
      <c r="AU1181" s="171">
        <f t="shared" si="433"/>
        <v>0</v>
      </c>
      <c r="AV1181" s="171">
        <f t="shared" si="434"/>
        <v>1</v>
      </c>
      <c r="AW1181" s="171">
        <f t="shared" si="435"/>
        <v>1</v>
      </c>
      <c r="AX1181" s="171">
        <f t="shared" si="429"/>
        <v>1</v>
      </c>
      <c r="AY1181" s="171">
        <f t="shared" si="436"/>
        <v>0</v>
      </c>
      <c r="AZ1181" s="171">
        <f t="shared" si="437"/>
        <v>1</v>
      </c>
      <c r="BA1181" s="172">
        <f t="shared" si="438"/>
        <v>1</v>
      </c>
      <c r="BB1181" s="175">
        <f t="shared" si="439"/>
        <v>18</v>
      </c>
      <c r="BC1181" s="176">
        <f t="shared" si="440"/>
        <v>17</v>
      </c>
      <c r="BD1181" s="176">
        <f t="shared" si="441"/>
        <v>18</v>
      </c>
      <c r="BE1181" s="240" t="str">
        <f t="shared" si="431"/>
        <v/>
      </c>
      <c r="BF1181" s="990"/>
      <c r="BG1181" s="990"/>
      <c r="BH1181" s="991">
        <f>IF(AND(Input_Product=Elig!$C1181,Elig_MatchAll_Ct&lt;22,$BC1181=(Elig_MatchAll_Ct-1),AF1181=0),C1181,0)</f>
        <v>0</v>
      </c>
      <c r="BI1181" s="991">
        <f>IF(AND(Input_Product=Elig!$C1181,Elig_MatchAll_Ct&lt;22,$BC1181=(Elig_MatchAll_Ct-1),AG1181=0),D1181,0)</f>
        <v>0</v>
      </c>
      <c r="BJ1181" s="991">
        <f>IF(AND(Input_Product=Elig!$C1181,Elig_MatchAll_Ct&lt;22,$BC1181=(Elig_MatchAll_Ct-1),AH1181=0),E1181,0)</f>
        <v>0</v>
      </c>
      <c r="BK1181" s="991">
        <f>IF(AND(Input_Product=Elig!$C1181,Elig_MatchAll_Ct&lt;22,$BC1181=(Elig_MatchAll_Ct-1),AI1181=0),F1181,0)</f>
        <v>0</v>
      </c>
      <c r="BL1181" s="991">
        <f>IF(AND(Input_Product=Elig!$C1181,Elig_MatchAll_Ct&lt;22,$BC1181=(Elig_MatchAll_Ct-1),AJ1181=0),G1181,0)</f>
        <v>0</v>
      </c>
      <c r="BM1181" s="991">
        <f>IF(AND(Input_Product=Elig!$C1181,Elig_MatchAll_Ct&lt;22,$BC1181=(Elig_MatchAll_Ct-1),AK1181=0),H1181,0)</f>
        <v>0</v>
      </c>
      <c r="BN1181" s="991">
        <f>IF(AND(Input_Product=Elig!$C1181,Elig_MatchAll_Ct&lt;22,$BC1181=(Elig_MatchAll_Ct-1),AL1181=0),I1181,0)</f>
        <v>0</v>
      </c>
      <c r="BO1181" s="991">
        <f>IF(AND(Input_Product=Elig!$C1181,Elig_MatchAll_Ct&lt;22,$BC1181=(Elig_MatchAll_Ct-1),AM1181=0),J1181,0)</f>
        <v>0</v>
      </c>
      <c r="BP1181" s="991">
        <f>IF(AND(Input_Product=Elig!$C1181,Elig_MatchAll_Ct&lt;22,$BC1181=(Elig_MatchAll_Ct-1),AN1181=0),K1181,0)</f>
        <v>0</v>
      </c>
      <c r="BQ1181" s="991">
        <f>IF(AND(Input_Product=Elig!$C1181,Elig_MatchAll_Ct&lt;22,$BC1181=(Elig_MatchAll_Ct-1),AP1181=0),L1181,0)</f>
        <v>0</v>
      </c>
      <c r="BR1181" s="991">
        <f>IF(AND(Input_Product=Elig!$C1181,Elig_MatchAll_Ct&lt;22,$BC1181=(Elig_MatchAll_Ct-1),AO1181=0),M1181,0)</f>
        <v>0</v>
      </c>
      <c r="BS1181" s="991">
        <f>IF(AND(Input_Product=Elig!$C1181,Elig_MatchAll_Ct&lt;22,$BC1181=(Elig_MatchAll_Ct-1),AQ1181=0),N1181,0)</f>
        <v>0</v>
      </c>
      <c r="BT1181" s="991">
        <f>IF(AND(Input_Product=Elig!$C1181,Elig_MatchAll_Ct&lt;22,$BC1181=(Elig_MatchAll_Ct-1),AR1181=0),O1181,0)</f>
        <v>0</v>
      </c>
      <c r="BU1181" s="991">
        <f>IF(AND(Input_Product=Elig!$C1181,Elig_MatchAll_Ct&lt;22,$BC1181=(Elig_MatchAll_Ct-1),AS1181=0),P1181,0)</f>
        <v>0</v>
      </c>
      <c r="BV1181" s="992">
        <f>IF(AND(Input_Product=Elig!$C1181,Elig_MatchAll_Ct&lt;22,$BC1181=(Elig_MatchAll_Ct-1),AT1181=0),Q1181,0)</f>
        <v>0</v>
      </c>
      <c r="BW1181" s="993">
        <f>IF(AND(Input_Product=Elig!$C1181,Elig_MatchAll_Ct&lt;22,$BC1181=(Elig_MatchAll_Ct-1),AU1181=0),R1181,0)</f>
        <v>0</v>
      </c>
      <c r="BX1181" s="994">
        <f>IF(AND(Input_Product=Elig!$C1181,Elig_MatchAll_Ct&lt;22,$BC1181=(Elig_MatchAll_Ct-1),AU1181=0),S1181,0)</f>
        <v>0</v>
      </c>
      <c r="BY1181" s="993">
        <f>IF(AND(Input_Product=Elig!$C1181,Elig_MatchAll_Ct&lt;22,$BC1181=(Elig_MatchAll_Ct-1),AV1181=0),T1181,0)</f>
        <v>0</v>
      </c>
      <c r="BZ1181" s="994">
        <f>IF(AND(Input_Product=Elig!$C1181,Elig_MatchAll_Ct&lt;22,$BC1181=(Elig_MatchAll_Ct-1),AV1181=0),U1181,0)</f>
        <v>0</v>
      </c>
      <c r="CA1181" s="993">
        <f>IF(AND(Input_Product=Elig!$C1181,Elig_MatchAll_Ct&lt;22,$BC1181=(Elig_MatchAll_Ct-1),AW1181=0),V1181,0)</f>
        <v>0</v>
      </c>
      <c r="CB1181" s="994">
        <f>IF(AND(Input_Product=Elig!$C1181,Elig_MatchAll_Ct&lt;22,$BC1181=(Elig_MatchAll_Ct-1),AW1181=0),W1181,0)</f>
        <v>0</v>
      </c>
      <c r="CC1181" s="993">
        <f>IF(AND(Input_Product=Elig!$C1181,Elig_MatchAll_Ct&lt;22,$BC1181=(Elig_MatchAll_Ct-1),AX1181=0),X1181,0)</f>
        <v>0</v>
      </c>
      <c r="CD1181" s="994">
        <f>IF(AND(Input_Product=Elig!$C1181,Elig_MatchAll_Ct&lt;22,$BC1181=(Elig_MatchAll_Ct-1),AX1181=0),Y1181,0)</f>
        <v>0</v>
      </c>
      <c r="CE1181" s="993">
        <f>IF(AND(Input_LTV&lt;=AE1181,Input_Product=Elig!$C1181,Elig_MatchAll_Ct&lt;22,$BC1181=(Elig_MatchAll_Ct-1),AY1181=0),Z1181,0)</f>
        <v>0</v>
      </c>
      <c r="CF1181" s="994">
        <f>IF(AND(Input_LTV&lt;=AE1181,Input_Product=Elig!$C1181,Elig_MatchAll_Ct&lt;22,$BC1181=(Elig_MatchAll_Ct-1),AY1181=0),AA1181,0)</f>
        <v>0</v>
      </c>
      <c r="CG1181" s="993">
        <f>IF(AND(Input_Product=Elig!$C1181,Elig_MatchAll_Ct&lt;22,$BC1181=(Elig_MatchAll_Ct-1),AZ1181=0),AB1181,0)</f>
        <v>0</v>
      </c>
      <c r="CH1181" s="994">
        <f>IF(AND(Input_Product=Elig!$C1181,Elig_MatchAll_Ct&lt;22,$BC1181=(Elig_MatchAll_Ct-1),AZ1181=0),AC1181,0)</f>
        <v>0</v>
      </c>
      <c r="CI1181" s="993">
        <f>IF(AND(Input_Product=Elig!$C1181,Elig_MatchAll_Ct&lt;22,$BC1181=(Elig_MatchAll_Ct-1),BA1181=0),AD1181,0)</f>
        <v>0</v>
      </c>
      <c r="CJ1181" s="994">
        <f>IF(AND(Input_Product=Elig!$C1181,Elig_MatchAll_Ct&lt;22,$BC1181=(Elig_MatchAll_Ct-1),BA1181=0),AE1181,0)</f>
        <v>0</v>
      </c>
    </row>
    <row r="1182" spans="2:88" ht="10.15" customHeight="1" x14ac:dyDescent="0.25">
      <c r="B1182" s="1918" t="s">
        <v>2472</v>
      </c>
      <c r="C1182" s="1218" t="str">
        <f t="shared" si="430"/>
        <v xml:space="preserve"> </v>
      </c>
      <c r="D1182" s="1219" t="s">
        <v>2218</v>
      </c>
      <c r="E1182" s="1219" t="s">
        <v>167</v>
      </c>
      <c r="F1182" s="1219" t="s">
        <v>330</v>
      </c>
      <c r="G1182" s="1220" t="s">
        <v>175</v>
      </c>
      <c r="H1182" s="1220" t="s">
        <v>446</v>
      </c>
      <c r="I1182" s="1219" t="s">
        <v>16</v>
      </c>
      <c r="J1182" s="1219" t="s">
        <v>1311</v>
      </c>
      <c r="K1182" s="1220" t="s">
        <v>3022</v>
      </c>
      <c r="L1182" s="1219" t="s">
        <v>2768</v>
      </c>
      <c r="M1182" s="1219" t="s">
        <v>2677</v>
      </c>
      <c r="N1182" s="1220" t="s">
        <v>2685</v>
      </c>
      <c r="O1182" s="1219" t="s">
        <v>310</v>
      </c>
      <c r="P1182" s="1219" t="s">
        <v>291</v>
      </c>
      <c r="Q1182" s="1219" t="s">
        <v>294</v>
      </c>
      <c r="R1182" s="1219">
        <v>125000</v>
      </c>
      <c r="S1182" s="1219">
        <v>1000000</v>
      </c>
      <c r="T1182" s="1219">
        <v>0</v>
      </c>
      <c r="U1182" s="1219">
        <f t="shared" ref="U1182:U1235" si="442">S1182</f>
        <v>1000000</v>
      </c>
      <c r="V1182" s="1219">
        <v>0</v>
      </c>
      <c r="W1182" s="1219">
        <v>50</v>
      </c>
      <c r="X1182" s="1219">
        <v>0</v>
      </c>
      <c r="Y1182" s="1219">
        <v>999</v>
      </c>
      <c r="Z1182" s="1221">
        <v>720</v>
      </c>
      <c r="AA1182" s="1221">
        <v>999</v>
      </c>
      <c r="AB1182" s="1221">
        <v>3</v>
      </c>
      <c r="AC1182" s="1221">
        <v>999999</v>
      </c>
      <c r="AD1182" s="1219">
        <v>0</v>
      </c>
      <c r="AE1182" s="1222">
        <v>80</v>
      </c>
      <c r="AF1182" s="170">
        <v>0</v>
      </c>
      <c r="AG1182" s="171">
        <v>1</v>
      </c>
      <c r="AH1182" s="171">
        <v>1</v>
      </c>
      <c r="AI1182" s="171">
        <v>0</v>
      </c>
      <c r="AJ1182" s="171">
        <v>0</v>
      </c>
      <c r="AK1182" s="171">
        <v>0</v>
      </c>
      <c r="AL1182" s="171">
        <v>1</v>
      </c>
      <c r="AM1182" s="171">
        <v>1</v>
      </c>
      <c r="AN1182" s="171">
        <v>1</v>
      </c>
      <c r="AO1182" s="171">
        <v>1</v>
      </c>
      <c r="AP1182" s="171">
        <v>1</v>
      </c>
      <c r="AQ1182" s="171">
        <v>1</v>
      </c>
      <c r="AR1182" s="171">
        <v>1</v>
      </c>
      <c r="AS1182" s="171">
        <v>1</v>
      </c>
      <c r="AT1182" s="171">
        <v>1</v>
      </c>
      <c r="AU1182" s="171">
        <f t="shared" si="433"/>
        <v>1</v>
      </c>
      <c r="AV1182" s="171">
        <f t="shared" si="434"/>
        <v>1</v>
      </c>
      <c r="AW1182" s="171">
        <f t="shared" si="435"/>
        <v>1</v>
      </c>
      <c r="AX1182" s="171">
        <f t="shared" si="429"/>
        <v>1</v>
      </c>
      <c r="AY1182" s="171">
        <f t="shared" si="436"/>
        <v>1</v>
      </c>
      <c r="AZ1182" s="171">
        <f t="shared" si="437"/>
        <v>1</v>
      </c>
      <c r="BA1182" s="172">
        <f t="shared" si="438"/>
        <v>1</v>
      </c>
      <c r="BB1182" s="175">
        <f t="shared" si="439"/>
        <v>18</v>
      </c>
      <c r="BC1182" s="176">
        <f t="shared" si="440"/>
        <v>17</v>
      </c>
      <c r="BD1182" s="176">
        <f t="shared" si="441"/>
        <v>18</v>
      </c>
      <c r="BE1182" s="240" t="str">
        <f t="shared" si="431"/>
        <v/>
      </c>
      <c r="BF1182" s="990"/>
      <c r="BG1182" s="990"/>
      <c r="BH1182" s="991">
        <f>IF(AND(Input_Product=Elig!$C1182,Elig_MatchAll_Ct&lt;22,$BC1182=(Elig_MatchAll_Ct-1),AF1182=0),C1182,0)</f>
        <v>0</v>
      </c>
      <c r="BI1182" s="991">
        <f>IF(AND(Input_Product=Elig!$C1182,Elig_MatchAll_Ct&lt;22,$BC1182=(Elig_MatchAll_Ct-1),AG1182=0),D1182,0)</f>
        <v>0</v>
      </c>
      <c r="BJ1182" s="991">
        <f>IF(AND(Input_Product=Elig!$C1182,Elig_MatchAll_Ct&lt;22,$BC1182=(Elig_MatchAll_Ct-1),AH1182=0),E1182,0)</f>
        <v>0</v>
      </c>
      <c r="BK1182" s="991">
        <f>IF(AND(Input_Product=Elig!$C1182,Elig_MatchAll_Ct&lt;22,$BC1182=(Elig_MatchAll_Ct-1),AI1182=0),F1182,0)</f>
        <v>0</v>
      </c>
      <c r="BL1182" s="991">
        <f>IF(AND(Input_Product=Elig!$C1182,Elig_MatchAll_Ct&lt;22,$BC1182=(Elig_MatchAll_Ct-1),AJ1182=0),G1182,0)</f>
        <v>0</v>
      </c>
      <c r="BM1182" s="991">
        <f>IF(AND(Input_Product=Elig!$C1182,Elig_MatchAll_Ct&lt;22,$BC1182=(Elig_MatchAll_Ct-1),AK1182=0),H1182,0)</f>
        <v>0</v>
      </c>
      <c r="BN1182" s="991">
        <f>IF(AND(Input_Product=Elig!$C1182,Elig_MatchAll_Ct&lt;22,$BC1182=(Elig_MatchAll_Ct-1),AL1182=0),I1182,0)</f>
        <v>0</v>
      </c>
      <c r="BO1182" s="991">
        <f>IF(AND(Input_Product=Elig!$C1182,Elig_MatchAll_Ct&lt;22,$BC1182=(Elig_MatchAll_Ct-1),AM1182=0),J1182,0)</f>
        <v>0</v>
      </c>
      <c r="BP1182" s="991">
        <f>IF(AND(Input_Product=Elig!$C1182,Elig_MatchAll_Ct&lt;22,$BC1182=(Elig_MatchAll_Ct-1),AN1182=0),K1182,0)</f>
        <v>0</v>
      </c>
      <c r="BQ1182" s="991">
        <f>IF(AND(Input_Product=Elig!$C1182,Elig_MatchAll_Ct&lt;22,$BC1182=(Elig_MatchAll_Ct-1),AP1182=0),L1182,0)</f>
        <v>0</v>
      </c>
      <c r="BR1182" s="991">
        <f>IF(AND(Input_Product=Elig!$C1182,Elig_MatchAll_Ct&lt;22,$BC1182=(Elig_MatchAll_Ct-1),AO1182=0),M1182,0)</f>
        <v>0</v>
      </c>
      <c r="BS1182" s="991">
        <f>IF(AND(Input_Product=Elig!$C1182,Elig_MatchAll_Ct&lt;22,$BC1182=(Elig_MatchAll_Ct-1),AQ1182=0),N1182,0)</f>
        <v>0</v>
      </c>
      <c r="BT1182" s="991">
        <f>IF(AND(Input_Product=Elig!$C1182,Elig_MatchAll_Ct&lt;22,$BC1182=(Elig_MatchAll_Ct-1),AR1182=0),O1182,0)</f>
        <v>0</v>
      </c>
      <c r="BU1182" s="991">
        <f>IF(AND(Input_Product=Elig!$C1182,Elig_MatchAll_Ct&lt;22,$BC1182=(Elig_MatchAll_Ct-1),AS1182=0),P1182,0)</f>
        <v>0</v>
      </c>
      <c r="BV1182" s="992">
        <f>IF(AND(Input_Product=Elig!$C1182,Elig_MatchAll_Ct&lt;22,$BC1182=(Elig_MatchAll_Ct-1),AT1182=0),Q1182,0)</f>
        <v>0</v>
      </c>
      <c r="BW1182" s="993">
        <f>IF(AND(Input_Product=Elig!$C1182,Elig_MatchAll_Ct&lt;22,$BC1182=(Elig_MatchAll_Ct-1),AU1182=0),R1182,0)</f>
        <v>0</v>
      </c>
      <c r="BX1182" s="994">
        <f>IF(AND(Input_Product=Elig!$C1182,Elig_MatchAll_Ct&lt;22,$BC1182=(Elig_MatchAll_Ct-1),AU1182=0),S1182,0)</f>
        <v>0</v>
      </c>
      <c r="BY1182" s="993">
        <f>IF(AND(Input_Product=Elig!$C1182,Elig_MatchAll_Ct&lt;22,$BC1182=(Elig_MatchAll_Ct-1),AV1182=0),T1182,0)</f>
        <v>0</v>
      </c>
      <c r="BZ1182" s="994">
        <f>IF(AND(Input_Product=Elig!$C1182,Elig_MatchAll_Ct&lt;22,$BC1182=(Elig_MatchAll_Ct-1),AV1182=0),U1182,0)</f>
        <v>0</v>
      </c>
      <c r="CA1182" s="993">
        <f>IF(AND(Input_Product=Elig!$C1182,Elig_MatchAll_Ct&lt;22,$BC1182=(Elig_MatchAll_Ct-1),AW1182=0),V1182,0)</f>
        <v>0</v>
      </c>
      <c r="CB1182" s="994">
        <f>IF(AND(Input_Product=Elig!$C1182,Elig_MatchAll_Ct&lt;22,$BC1182=(Elig_MatchAll_Ct-1),AW1182=0),W1182,0)</f>
        <v>0</v>
      </c>
      <c r="CC1182" s="993">
        <f>IF(AND(Input_Product=Elig!$C1182,Elig_MatchAll_Ct&lt;22,$BC1182=(Elig_MatchAll_Ct-1),AX1182=0),X1182,0)</f>
        <v>0</v>
      </c>
      <c r="CD1182" s="994">
        <f>IF(AND(Input_Product=Elig!$C1182,Elig_MatchAll_Ct&lt;22,$BC1182=(Elig_MatchAll_Ct-1),AX1182=0),Y1182,0)</f>
        <v>0</v>
      </c>
      <c r="CE1182" s="993">
        <f>IF(AND(Input_LTV&lt;=AE1182,Input_Product=Elig!$C1182,Elig_MatchAll_Ct&lt;22,$BC1182=(Elig_MatchAll_Ct-1),AY1182=0),Z1182,0)</f>
        <v>0</v>
      </c>
      <c r="CF1182" s="994">
        <f>IF(AND(Input_LTV&lt;=AE1182,Input_Product=Elig!$C1182,Elig_MatchAll_Ct&lt;22,$BC1182=(Elig_MatchAll_Ct-1),AY1182=0),AA1182,0)</f>
        <v>0</v>
      </c>
      <c r="CG1182" s="993">
        <f>IF(AND(Input_Product=Elig!$C1182,Elig_MatchAll_Ct&lt;22,$BC1182=(Elig_MatchAll_Ct-1),AZ1182=0),AB1182,0)</f>
        <v>0</v>
      </c>
      <c r="CH1182" s="994">
        <f>IF(AND(Input_Product=Elig!$C1182,Elig_MatchAll_Ct&lt;22,$BC1182=(Elig_MatchAll_Ct-1),AZ1182=0),AC1182,0)</f>
        <v>0</v>
      </c>
      <c r="CI1182" s="993">
        <f>IF(AND(Input_Product=Elig!$C1182,Elig_MatchAll_Ct&lt;22,$BC1182=(Elig_MatchAll_Ct-1),BA1182=0),AD1182,0)</f>
        <v>0</v>
      </c>
      <c r="CJ1182" s="994">
        <f>IF(AND(Input_Product=Elig!$C1182,Elig_MatchAll_Ct&lt;22,$BC1182=(Elig_MatchAll_Ct-1),BA1182=0),AE1182,0)</f>
        <v>0</v>
      </c>
    </row>
    <row r="1183" spans="2:88" ht="10.15" customHeight="1" x14ac:dyDescent="0.25">
      <c r="B1183" s="1918" t="s">
        <v>2473</v>
      </c>
      <c r="C1183" s="1223" t="str">
        <f t="shared" si="430"/>
        <v xml:space="preserve"> </v>
      </c>
      <c r="D1183" s="1224" t="s">
        <v>2218</v>
      </c>
      <c r="E1183" s="1224" t="s">
        <v>167</v>
      </c>
      <c r="F1183" s="1224" t="s">
        <v>330</v>
      </c>
      <c r="G1183" s="1225" t="s">
        <v>175</v>
      </c>
      <c r="H1183" s="1225" t="s">
        <v>446</v>
      </c>
      <c r="I1183" s="1224" t="s">
        <v>16</v>
      </c>
      <c r="J1183" s="1224" t="s">
        <v>1311</v>
      </c>
      <c r="K1183" s="1225" t="s">
        <v>3022</v>
      </c>
      <c r="L1183" s="1224" t="s">
        <v>2768</v>
      </c>
      <c r="M1183" s="1224" t="s">
        <v>2677</v>
      </c>
      <c r="N1183" s="1225" t="s">
        <v>2685</v>
      </c>
      <c r="O1183" s="1224" t="s">
        <v>310</v>
      </c>
      <c r="P1183" s="1224" t="s">
        <v>291</v>
      </c>
      <c r="Q1183" s="1224" t="s">
        <v>294</v>
      </c>
      <c r="R1183" s="1224">
        <v>125000</v>
      </c>
      <c r="S1183" s="1224">
        <v>1000000</v>
      </c>
      <c r="T1183" s="1224">
        <v>0</v>
      </c>
      <c r="U1183" s="1224">
        <f t="shared" si="442"/>
        <v>1000000</v>
      </c>
      <c r="V1183" s="1224">
        <v>0</v>
      </c>
      <c r="W1183" s="1224">
        <v>50</v>
      </c>
      <c r="X1183" s="1224">
        <v>0</v>
      </c>
      <c r="Y1183" s="1224">
        <v>999</v>
      </c>
      <c r="Z1183" s="1226">
        <v>700</v>
      </c>
      <c r="AA1183" s="1226">
        <v>719</v>
      </c>
      <c r="AB1183" s="1226">
        <v>3</v>
      </c>
      <c r="AC1183" s="1226">
        <v>999999</v>
      </c>
      <c r="AD1183" s="1224">
        <v>0</v>
      </c>
      <c r="AE1183" s="1227">
        <v>80</v>
      </c>
      <c r="AF1183" s="170">
        <v>0</v>
      </c>
      <c r="AG1183" s="171">
        <v>1</v>
      </c>
      <c r="AH1183" s="171">
        <v>1</v>
      </c>
      <c r="AI1183" s="171">
        <v>0</v>
      </c>
      <c r="AJ1183" s="171">
        <v>0</v>
      </c>
      <c r="AK1183" s="171">
        <v>0</v>
      </c>
      <c r="AL1183" s="171">
        <v>1</v>
      </c>
      <c r="AM1183" s="171">
        <v>1</v>
      </c>
      <c r="AN1183" s="171">
        <v>1</v>
      </c>
      <c r="AO1183" s="171">
        <v>1</v>
      </c>
      <c r="AP1183" s="171">
        <v>1</v>
      </c>
      <c r="AQ1183" s="171">
        <v>1</v>
      </c>
      <c r="AR1183" s="171">
        <v>1</v>
      </c>
      <c r="AS1183" s="171">
        <v>1</v>
      </c>
      <c r="AT1183" s="171">
        <v>1</v>
      </c>
      <c r="AU1183" s="171">
        <f t="shared" si="433"/>
        <v>1</v>
      </c>
      <c r="AV1183" s="171">
        <f t="shared" si="434"/>
        <v>1</v>
      </c>
      <c r="AW1183" s="171">
        <f t="shared" si="435"/>
        <v>1</v>
      </c>
      <c r="AX1183" s="171">
        <f t="shared" si="429"/>
        <v>1</v>
      </c>
      <c r="AY1183" s="171">
        <f t="shared" si="436"/>
        <v>0</v>
      </c>
      <c r="AZ1183" s="171">
        <f t="shared" si="437"/>
        <v>1</v>
      </c>
      <c r="BA1183" s="172">
        <f t="shared" si="438"/>
        <v>1</v>
      </c>
      <c r="BB1183" s="175">
        <f t="shared" si="439"/>
        <v>17</v>
      </c>
      <c r="BC1183" s="176">
        <f t="shared" si="440"/>
        <v>16</v>
      </c>
      <c r="BD1183" s="176">
        <f t="shared" si="441"/>
        <v>17</v>
      </c>
      <c r="BE1183" s="240" t="str">
        <f t="shared" si="431"/>
        <v/>
      </c>
      <c r="BF1183" s="990"/>
      <c r="BG1183" s="990"/>
      <c r="BH1183" s="991">
        <f>IF(AND(Input_Product=Elig!$C1183,Elig_MatchAll_Ct&lt;22,$BC1183=(Elig_MatchAll_Ct-1),AF1183=0),C1183,0)</f>
        <v>0</v>
      </c>
      <c r="BI1183" s="991">
        <f>IF(AND(Input_Product=Elig!$C1183,Elig_MatchAll_Ct&lt;22,$BC1183=(Elig_MatchAll_Ct-1),AG1183=0),D1183,0)</f>
        <v>0</v>
      </c>
      <c r="BJ1183" s="991">
        <f>IF(AND(Input_Product=Elig!$C1183,Elig_MatchAll_Ct&lt;22,$BC1183=(Elig_MatchAll_Ct-1),AH1183=0),E1183,0)</f>
        <v>0</v>
      </c>
      <c r="BK1183" s="991">
        <f>IF(AND(Input_Product=Elig!$C1183,Elig_MatchAll_Ct&lt;22,$BC1183=(Elig_MatchAll_Ct-1),AI1183=0),F1183,0)</f>
        <v>0</v>
      </c>
      <c r="BL1183" s="991">
        <f>IF(AND(Input_Product=Elig!$C1183,Elig_MatchAll_Ct&lt;22,$BC1183=(Elig_MatchAll_Ct-1),AJ1183=0),G1183,0)</f>
        <v>0</v>
      </c>
      <c r="BM1183" s="991">
        <f>IF(AND(Input_Product=Elig!$C1183,Elig_MatchAll_Ct&lt;22,$BC1183=(Elig_MatchAll_Ct-1),AK1183=0),H1183,0)</f>
        <v>0</v>
      </c>
      <c r="BN1183" s="991">
        <f>IF(AND(Input_Product=Elig!$C1183,Elig_MatchAll_Ct&lt;22,$BC1183=(Elig_MatchAll_Ct-1),AL1183=0),I1183,0)</f>
        <v>0</v>
      </c>
      <c r="BO1183" s="991">
        <f>IF(AND(Input_Product=Elig!$C1183,Elig_MatchAll_Ct&lt;22,$BC1183=(Elig_MatchAll_Ct-1),AM1183=0),J1183,0)</f>
        <v>0</v>
      </c>
      <c r="BP1183" s="991">
        <f>IF(AND(Input_Product=Elig!$C1183,Elig_MatchAll_Ct&lt;22,$BC1183=(Elig_MatchAll_Ct-1),AN1183=0),K1183,0)</f>
        <v>0</v>
      </c>
      <c r="BQ1183" s="991">
        <f>IF(AND(Input_Product=Elig!$C1183,Elig_MatchAll_Ct&lt;22,$BC1183=(Elig_MatchAll_Ct-1),AP1183=0),L1183,0)</f>
        <v>0</v>
      </c>
      <c r="BR1183" s="991">
        <f>IF(AND(Input_Product=Elig!$C1183,Elig_MatchAll_Ct&lt;22,$BC1183=(Elig_MatchAll_Ct-1),AO1183=0),M1183,0)</f>
        <v>0</v>
      </c>
      <c r="BS1183" s="991">
        <f>IF(AND(Input_Product=Elig!$C1183,Elig_MatchAll_Ct&lt;22,$BC1183=(Elig_MatchAll_Ct-1),AQ1183=0),N1183,0)</f>
        <v>0</v>
      </c>
      <c r="BT1183" s="991">
        <f>IF(AND(Input_Product=Elig!$C1183,Elig_MatchAll_Ct&lt;22,$BC1183=(Elig_MatchAll_Ct-1),AR1183=0),O1183,0)</f>
        <v>0</v>
      </c>
      <c r="BU1183" s="991">
        <f>IF(AND(Input_Product=Elig!$C1183,Elig_MatchAll_Ct&lt;22,$BC1183=(Elig_MatchAll_Ct-1),AS1183=0),P1183,0)</f>
        <v>0</v>
      </c>
      <c r="BV1183" s="992">
        <f>IF(AND(Input_Product=Elig!$C1183,Elig_MatchAll_Ct&lt;22,$BC1183=(Elig_MatchAll_Ct-1),AT1183=0),Q1183,0)</f>
        <v>0</v>
      </c>
      <c r="BW1183" s="993">
        <f>IF(AND(Input_Product=Elig!$C1183,Elig_MatchAll_Ct&lt;22,$BC1183=(Elig_MatchAll_Ct-1),AU1183=0),R1183,0)</f>
        <v>0</v>
      </c>
      <c r="BX1183" s="994">
        <f>IF(AND(Input_Product=Elig!$C1183,Elig_MatchAll_Ct&lt;22,$BC1183=(Elig_MatchAll_Ct-1),AU1183=0),S1183,0)</f>
        <v>0</v>
      </c>
      <c r="BY1183" s="993">
        <f>IF(AND(Input_Product=Elig!$C1183,Elig_MatchAll_Ct&lt;22,$BC1183=(Elig_MatchAll_Ct-1),AV1183=0),T1183,0)</f>
        <v>0</v>
      </c>
      <c r="BZ1183" s="994">
        <f>IF(AND(Input_Product=Elig!$C1183,Elig_MatchAll_Ct&lt;22,$BC1183=(Elig_MatchAll_Ct-1),AV1183=0),U1183,0)</f>
        <v>0</v>
      </c>
      <c r="CA1183" s="993">
        <f>IF(AND(Input_Product=Elig!$C1183,Elig_MatchAll_Ct&lt;22,$BC1183=(Elig_MatchAll_Ct-1),AW1183=0),V1183,0)</f>
        <v>0</v>
      </c>
      <c r="CB1183" s="994">
        <f>IF(AND(Input_Product=Elig!$C1183,Elig_MatchAll_Ct&lt;22,$BC1183=(Elig_MatchAll_Ct-1),AW1183=0),W1183,0)</f>
        <v>0</v>
      </c>
      <c r="CC1183" s="993">
        <f>IF(AND(Input_Product=Elig!$C1183,Elig_MatchAll_Ct&lt;22,$BC1183=(Elig_MatchAll_Ct-1),AX1183=0),X1183,0)</f>
        <v>0</v>
      </c>
      <c r="CD1183" s="994">
        <f>IF(AND(Input_Product=Elig!$C1183,Elig_MatchAll_Ct&lt;22,$BC1183=(Elig_MatchAll_Ct-1),AX1183=0),Y1183,0)</f>
        <v>0</v>
      </c>
      <c r="CE1183" s="993">
        <f>IF(AND(Input_LTV&lt;=AE1183,Input_Product=Elig!$C1183,Elig_MatchAll_Ct&lt;22,$BC1183=(Elig_MatchAll_Ct-1),AY1183=0),Z1183,0)</f>
        <v>0</v>
      </c>
      <c r="CF1183" s="994">
        <f>IF(AND(Input_LTV&lt;=AE1183,Input_Product=Elig!$C1183,Elig_MatchAll_Ct&lt;22,$BC1183=(Elig_MatchAll_Ct-1),AY1183=0),AA1183,0)</f>
        <v>0</v>
      </c>
      <c r="CG1183" s="993">
        <f>IF(AND(Input_Product=Elig!$C1183,Elig_MatchAll_Ct&lt;22,$BC1183=(Elig_MatchAll_Ct-1),AZ1183=0),AB1183,0)</f>
        <v>0</v>
      </c>
      <c r="CH1183" s="994">
        <f>IF(AND(Input_Product=Elig!$C1183,Elig_MatchAll_Ct&lt;22,$BC1183=(Elig_MatchAll_Ct-1),AZ1183=0),AC1183,0)</f>
        <v>0</v>
      </c>
      <c r="CI1183" s="993">
        <f>IF(AND(Input_Product=Elig!$C1183,Elig_MatchAll_Ct&lt;22,$BC1183=(Elig_MatchAll_Ct-1),BA1183=0),AD1183,0)</f>
        <v>0</v>
      </c>
      <c r="CJ1183" s="994">
        <f>IF(AND(Input_Product=Elig!$C1183,Elig_MatchAll_Ct&lt;22,$BC1183=(Elig_MatchAll_Ct-1),BA1183=0),AE1183,0)</f>
        <v>0</v>
      </c>
    </row>
    <row r="1184" spans="2:88" ht="10.15" customHeight="1" x14ac:dyDescent="0.25">
      <c r="B1184" s="1918" t="s">
        <v>2474</v>
      </c>
      <c r="C1184" s="1223" t="str">
        <f t="shared" si="430"/>
        <v xml:space="preserve"> </v>
      </c>
      <c r="D1184" s="1224" t="s">
        <v>2218</v>
      </c>
      <c r="E1184" s="1224" t="s">
        <v>167</v>
      </c>
      <c r="F1184" s="1224" t="s">
        <v>330</v>
      </c>
      <c r="G1184" s="1225" t="s">
        <v>175</v>
      </c>
      <c r="H1184" s="1225" t="s">
        <v>446</v>
      </c>
      <c r="I1184" s="1224" t="s">
        <v>16</v>
      </c>
      <c r="J1184" s="1224" t="s">
        <v>1311</v>
      </c>
      <c r="K1184" s="1225" t="s">
        <v>3022</v>
      </c>
      <c r="L1184" s="1224" t="s">
        <v>2768</v>
      </c>
      <c r="M1184" s="1224" t="s">
        <v>2677</v>
      </c>
      <c r="N1184" s="1225" t="s">
        <v>2685</v>
      </c>
      <c r="O1184" s="1224" t="s">
        <v>310</v>
      </c>
      <c r="P1184" s="1224" t="s">
        <v>291</v>
      </c>
      <c r="Q1184" s="1224" t="s">
        <v>294</v>
      </c>
      <c r="R1184" s="1224">
        <v>125000</v>
      </c>
      <c r="S1184" s="1224">
        <v>1000000</v>
      </c>
      <c r="T1184" s="1224">
        <v>0</v>
      </c>
      <c r="U1184" s="1224">
        <f t="shared" si="442"/>
        <v>1000000</v>
      </c>
      <c r="V1184" s="1224">
        <v>0</v>
      </c>
      <c r="W1184" s="1224">
        <v>50</v>
      </c>
      <c r="X1184" s="1224">
        <v>0</v>
      </c>
      <c r="Y1184" s="1224">
        <v>999</v>
      </c>
      <c r="Z1184" s="1226">
        <v>680</v>
      </c>
      <c r="AA1184" s="1226">
        <v>699</v>
      </c>
      <c r="AB1184" s="1226">
        <v>3</v>
      </c>
      <c r="AC1184" s="1226">
        <v>999999</v>
      </c>
      <c r="AD1184" s="1224">
        <v>0</v>
      </c>
      <c r="AE1184" s="1227">
        <v>75</v>
      </c>
      <c r="AF1184" s="170">
        <v>0</v>
      </c>
      <c r="AG1184" s="171">
        <v>1</v>
      </c>
      <c r="AH1184" s="171">
        <v>1</v>
      </c>
      <c r="AI1184" s="171">
        <v>0</v>
      </c>
      <c r="AJ1184" s="171">
        <v>0</v>
      </c>
      <c r="AK1184" s="171">
        <v>0</v>
      </c>
      <c r="AL1184" s="171">
        <v>1</v>
      </c>
      <c r="AM1184" s="171">
        <v>1</v>
      </c>
      <c r="AN1184" s="171">
        <v>1</v>
      </c>
      <c r="AO1184" s="171">
        <v>1</v>
      </c>
      <c r="AP1184" s="171">
        <v>1</v>
      </c>
      <c r="AQ1184" s="171">
        <v>1</v>
      </c>
      <c r="AR1184" s="171">
        <v>1</v>
      </c>
      <c r="AS1184" s="171">
        <v>1</v>
      </c>
      <c r="AT1184" s="171">
        <v>1</v>
      </c>
      <c r="AU1184" s="171">
        <f t="shared" si="433"/>
        <v>1</v>
      </c>
      <c r="AV1184" s="171">
        <f t="shared" si="434"/>
        <v>1</v>
      </c>
      <c r="AW1184" s="171">
        <f t="shared" si="435"/>
        <v>1</v>
      </c>
      <c r="AX1184" s="171">
        <f t="shared" si="429"/>
        <v>1</v>
      </c>
      <c r="AY1184" s="171">
        <f t="shared" si="436"/>
        <v>0</v>
      </c>
      <c r="AZ1184" s="171">
        <f t="shared" si="437"/>
        <v>1</v>
      </c>
      <c r="BA1184" s="172">
        <f t="shared" si="438"/>
        <v>1</v>
      </c>
      <c r="BB1184" s="175">
        <f t="shared" si="439"/>
        <v>17</v>
      </c>
      <c r="BC1184" s="176">
        <f t="shared" si="440"/>
        <v>16</v>
      </c>
      <c r="BD1184" s="176">
        <f t="shared" si="441"/>
        <v>17</v>
      </c>
      <c r="BE1184" s="240" t="str">
        <f t="shared" si="431"/>
        <v/>
      </c>
      <c r="BF1184" s="990"/>
      <c r="BG1184" s="990"/>
      <c r="BH1184" s="991">
        <f>IF(AND(Input_Product=Elig!$C1184,Elig_MatchAll_Ct&lt;22,$BC1184=(Elig_MatchAll_Ct-1),AF1184=0),C1184,0)</f>
        <v>0</v>
      </c>
      <c r="BI1184" s="991">
        <f>IF(AND(Input_Product=Elig!$C1184,Elig_MatchAll_Ct&lt;22,$BC1184=(Elig_MatchAll_Ct-1),AG1184=0),D1184,0)</f>
        <v>0</v>
      </c>
      <c r="BJ1184" s="991">
        <f>IF(AND(Input_Product=Elig!$C1184,Elig_MatchAll_Ct&lt;22,$BC1184=(Elig_MatchAll_Ct-1),AH1184=0),E1184,0)</f>
        <v>0</v>
      </c>
      <c r="BK1184" s="991">
        <f>IF(AND(Input_Product=Elig!$C1184,Elig_MatchAll_Ct&lt;22,$BC1184=(Elig_MatchAll_Ct-1),AI1184=0),F1184,0)</f>
        <v>0</v>
      </c>
      <c r="BL1184" s="991">
        <f>IF(AND(Input_Product=Elig!$C1184,Elig_MatchAll_Ct&lt;22,$BC1184=(Elig_MatchAll_Ct-1),AJ1184=0),G1184,0)</f>
        <v>0</v>
      </c>
      <c r="BM1184" s="991">
        <f>IF(AND(Input_Product=Elig!$C1184,Elig_MatchAll_Ct&lt;22,$BC1184=(Elig_MatchAll_Ct-1),AK1184=0),H1184,0)</f>
        <v>0</v>
      </c>
      <c r="BN1184" s="991">
        <f>IF(AND(Input_Product=Elig!$C1184,Elig_MatchAll_Ct&lt;22,$BC1184=(Elig_MatchAll_Ct-1),AL1184=0),I1184,0)</f>
        <v>0</v>
      </c>
      <c r="BO1184" s="991">
        <f>IF(AND(Input_Product=Elig!$C1184,Elig_MatchAll_Ct&lt;22,$BC1184=(Elig_MatchAll_Ct-1),AM1184=0),J1184,0)</f>
        <v>0</v>
      </c>
      <c r="BP1184" s="991">
        <f>IF(AND(Input_Product=Elig!$C1184,Elig_MatchAll_Ct&lt;22,$BC1184=(Elig_MatchAll_Ct-1),AN1184=0),K1184,0)</f>
        <v>0</v>
      </c>
      <c r="BQ1184" s="991">
        <f>IF(AND(Input_Product=Elig!$C1184,Elig_MatchAll_Ct&lt;22,$BC1184=(Elig_MatchAll_Ct-1),AP1184=0),L1184,0)</f>
        <v>0</v>
      </c>
      <c r="BR1184" s="991">
        <f>IF(AND(Input_Product=Elig!$C1184,Elig_MatchAll_Ct&lt;22,$BC1184=(Elig_MatchAll_Ct-1),AO1184=0),M1184,0)</f>
        <v>0</v>
      </c>
      <c r="BS1184" s="991">
        <f>IF(AND(Input_Product=Elig!$C1184,Elig_MatchAll_Ct&lt;22,$BC1184=(Elig_MatchAll_Ct-1),AQ1184=0),N1184,0)</f>
        <v>0</v>
      </c>
      <c r="BT1184" s="991">
        <f>IF(AND(Input_Product=Elig!$C1184,Elig_MatchAll_Ct&lt;22,$BC1184=(Elig_MatchAll_Ct-1),AR1184=0),O1184,0)</f>
        <v>0</v>
      </c>
      <c r="BU1184" s="991">
        <f>IF(AND(Input_Product=Elig!$C1184,Elig_MatchAll_Ct&lt;22,$BC1184=(Elig_MatchAll_Ct-1),AS1184=0),P1184,0)</f>
        <v>0</v>
      </c>
      <c r="BV1184" s="992">
        <f>IF(AND(Input_Product=Elig!$C1184,Elig_MatchAll_Ct&lt;22,$BC1184=(Elig_MatchAll_Ct-1),AT1184=0),Q1184,0)</f>
        <v>0</v>
      </c>
      <c r="BW1184" s="993">
        <f>IF(AND(Input_Product=Elig!$C1184,Elig_MatchAll_Ct&lt;22,$BC1184=(Elig_MatchAll_Ct-1),AU1184=0),R1184,0)</f>
        <v>0</v>
      </c>
      <c r="BX1184" s="994">
        <f>IF(AND(Input_Product=Elig!$C1184,Elig_MatchAll_Ct&lt;22,$BC1184=(Elig_MatchAll_Ct-1),AU1184=0),S1184,0)</f>
        <v>0</v>
      </c>
      <c r="BY1184" s="993">
        <f>IF(AND(Input_Product=Elig!$C1184,Elig_MatchAll_Ct&lt;22,$BC1184=(Elig_MatchAll_Ct-1),AV1184=0),T1184,0)</f>
        <v>0</v>
      </c>
      <c r="BZ1184" s="994">
        <f>IF(AND(Input_Product=Elig!$C1184,Elig_MatchAll_Ct&lt;22,$BC1184=(Elig_MatchAll_Ct-1),AV1184=0),U1184,0)</f>
        <v>0</v>
      </c>
      <c r="CA1184" s="993">
        <f>IF(AND(Input_Product=Elig!$C1184,Elig_MatchAll_Ct&lt;22,$BC1184=(Elig_MatchAll_Ct-1),AW1184=0),V1184,0)</f>
        <v>0</v>
      </c>
      <c r="CB1184" s="994">
        <f>IF(AND(Input_Product=Elig!$C1184,Elig_MatchAll_Ct&lt;22,$BC1184=(Elig_MatchAll_Ct-1),AW1184=0),W1184,0)</f>
        <v>0</v>
      </c>
      <c r="CC1184" s="993">
        <f>IF(AND(Input_Product=Elig!$C1184,Elig_MatchAll_Ct&lt;22,$BC1184=(Elig_MatchAll_Ct-1),AX1184=0),X1184,0)</f>
        <v>0</v>
      </c>
      <c r="CD1184" s="994">
        <f>IF(AND(Input_Product=Elig!$C1184,Elig_MatchAll_Ct&lt;22,$BC1184=(Elig_MatchAll_Ct-1),AX1184=0),Y1184,0)</f>
        <v>0</v>
      </c>
      <c r="CE1184" s="993">
        <f>IF(AND(Input_LTV&lt;=AE1184,Input_Product=Elig!$C1184,Elig_MatchAll_Ct&lt;22,$BC1184=(Elig_MatchAll_Ct-1),AY1184=0),Z1184,0)</f>
        <v>0</v>
      </c>
      <c r="CF1184" s="994">
        <f>IF(AND(Input_LTV&lt;=AE1184,Input_Product=Elig!$C1184,Elig_MatchAll_Ct&lt;22,$BC1184=(Elig_MatchAll_Ct-1),AY1184=0),AA1184,0)</f>
        <v>0</v>
      </c>
      <c r="CG1184" s="993">
        <f>IF(AND(Input_Product=Elig!$C1184,Elig_MatchAll_Ct&lt;22,$BC1184=(Elig_MatchAll_Ct-1),AZ1184=0),AB1184,0)</f>
        <v>0</v>
      </c>
      <c r="CH1184" s="994">
        <f>IF(AND(Input_Product=Elig!$C1184,Elig_MatchAll_Ct&lt;22,$BC1184=(Elig_MatchAll_Ct-1),AZ1184=0),AC1184,0)</f>
        <v>0</v>
      </c>
      <c r="CI1184" s="993">
        <f>IF(AND(Input_Product=Elig!$C1184,Elig_MatchAll_Ct&lt;22,$BC1184=(Elig_MatchAll_Ct-1),BA1184=0),AD1184,0)</f>
        <v>0</v>
      </c>
      <c r="CJ1184" s="994">
        <f>IF(AND(Input_Product=Elig!$C1184,Elig_MatchAll_Ct&lt;22,$BC1184=(Elig_MatchAll_Ct-1),BA1184=0),AE1184,0)</f>
        <v>0</v>
      </c>
    </row>
    <row r="1185" spans="2:88" ht="10.15" customHeight="1" x14ac:dyDescent="0.25">
      <c r="B1185" s="1918" t="s">
        <v>2475</v>
      </c>
      <c r="C1185" s="1228" t="str">
        <f t="shared" si="430"/>
        <v xml:space="preserve"> </v>
      </c>
      <c r="D1185" s="1229" t="s">
        <v>2218</v>
      </c>
      <c r="E1185" s="1229" t="s">
        <v>167</v>
      </c>
      <c r="F1185" s="1229" t="s">
        <v>330</v>
      </c>
      <c r="G1185" s="1230" t="s">
        <v>175</v>
      </c>
      <c r="H1185" s="1230" t="s">
        <v>446</v>
      </c>
      <c r="I1185" s="1229" t="s">
        <v>16</v>
      </c>
      <c r="J1185" s="1229" t="s">
        <v>1311</v>
      </c>
      <c r="K1185" s="1230" t="s">
        <v>3022</v>
      </c>
      <c r="L1185" s="1229" t="s">
        <v>2768</v>
      </c>
      <c r="M1185" s="1229" t="s">
        <v>2677</v>
      </c>
      <c r="N1185" s="1230" t="s">
        <v>2685</v>
      </c>
      <c r="O1185" s="1229" t="s">
        <v>310</v>
      </c>
      <c r="P1185" s="1229" t="s">
        <v>291</v>
      </c>
      <c r="Q1185" s="1229" t="s">
        <v>294</v>
      </c>
      <c r="R1185" s="1229">
        <v>125000</v>
      </c>
      <c r="S1185" s="1229">
        <v>1000000</v>
      </c>
      <c r="T1185" s="1229">
        <v>0</v>
      </c>
      <c r="U1185" s="1229">
        <f t="shared" si="442"/>
        <v>1000000</v>
      </c>
      <c r="V1185" s="1229">
        <v>0</v>
      </c>
      <c r="W1185" s="1229">
        <v>50</v>
      </c>
      <c r="X1185" s="1229">
        <v>0</v>
      </c>
      <c r="Y1185" s="1229">
        <v>999</v>
      </c>
      <c r="Z1185" s="1231">
        <v>660</v>
      </c>
      <c r="AA1185" s="1231">
        <v>679</v>
      </c>
      <c r="AB1185" s="1231">
        <v>3</v>
      </c>
      <c r="AC1185" s="1231">
        <v>999999</v>
      </c>
      <c r="AD1185" s="1229">
        <v>0</v>
      </c>
      <c r="AE1185" s="1232">
        <v>70</v>
      </c>
      <c r="AF1185" s="170">
        <v>0</v>
      </c>
      <c r="AG1185" s="171">
        <v>1</v>
      </c>
      <c r="AH1185" s="171">
        <v>1</v>
      </c>
      <c r="AI1185" s="171">
        <v>0</v>
      </c>
      <c r="AJ1185" s="171">
        <v>0</v>
      </c>
      <c r="AK1185" s="171">
        <v>0</v>
      </c>
      <c r="AL1185" s="171">
        <v>1</v>
      </c>
      <c r="AM1185" s="171">
        <v>1</v>
      </c>
      <c r="AN1185" s="171">
        <v>1</v>
      </c>
      <c r="AO1185" s="171">
        <v>1</v>
      </c>
      <c r="AP1185" s="171">
        <v>1</v>
      </c>
      <c r="AQ1185" s="171">
        <v>1</v>
      </c>
      <c r="AR1185" s="171">
        <v>1</v>
      </c>
      <c r="AS1185" s="171">
        <v>1</v>
      </c>
      <c r="AT1185" s="171">
        <v>1</v>
      </c>
      <c r="AU1185" s="171">
        <f t="shared" si="433"/>
        <v>1</v>
      </c>
      <c r="AV1185" s="171">
        <f t="shared" si="434"/>
        <v>1</v>
      </c>
      <c r="AW1185" s="171">
        <f t="shared" si="435"/>
        <v>1</v>
      </c>
      <c r="AX1185" s="171">
        <f t="shared" si="429"/>
        <v>1</v>
      </c>
      <c r="AY1185" s="171">
        <f t="shared" si="436"/>
        <v>0</v>
      </c>
      <c r="AZ1185" s="171">
        <f t="shared" si="437"/>
        <v>1</v>
      </c>
      <c r="BA1185" s="172">
        <f t="shared" si="438"/>
        <v>1</v>
      </c>
      <c r="BB1185" s="175">
        <f t="shared" si="439"/>
        <v>17</v>
      </c>
      <c r="BC1185" s="176">
        <f t="shared" si="440"/>
        <v>16</v>
      </c>
      <c r="BD1185" s="176">
        <f t="shared" si="441"/>
        <v>17</v>
      </c>
      <c r="BE1185" s="240" t="str">
        <f t="shared" si="431"/>
        <v/>
      </c>
      <c r="BF1185" s="990"/>
      <c r="BG1185" s="990"/>
      <c r="BH1185" s="991">
        <f>IF(AND(Input_Product=Elig!$C1185,Elig_MatchAll_Ct&lt;22,$BC1185=(Elig_MatchAll_Ct-1),AF1185=0),C1185,0)</f>
        <v>0</v>
      </c>
      <c r="BI1185" s="991">
        <f>IF(AND(Input_Product=Elig!$C1185,Elig_MatchAll_Ct&lt;22,$BC1185=(Elig_MatchAll_Ct-1),AG1185=0),D1185,0)</f>
        <v>0</v>
      </c>
      <c r="BJ1185" s="991">
        <f>IF(AND(Input_Product=Elig!$C1185,Elig_MatchAll_Ct&lt;22,$BC1185=(Elig_MatchAll_Ct-1),AH1185=0),E1185,0)</f>
        <v>0</v>
      </c>
      <c r="BK1185" s="991">
        <f>IF(AND(Input_Product=Elig!$C1185,Elig_MatchAll_Ct&lt;22,$BC1185=(Elig_MatchAll_Ct-1),AI1185=0),F1185,0)</f>
        <v>0</v>
      </c>
      <c r="BL1185" s="991">
        <f>IF(AND(Input_Product=Elig!$C1185,Elig_MatchAll_Ct&lt;22,$BC1185=(Elig_MatchAll_Ct-1),AJ1185=0),G1185,0)</f>
        <v>0</v>
      </c>
      <c r="BM1185" s="991">
        <f>IF(AND(Input_Product=Elig!$C1185,Elig_MatchAll_Ct&lt;22,$BC1185=(Elig_MatchAll_Ct-1),AK1185=0),H1185,0)</f>
        <v>0</v>
      </c>
      <c r="BN1185" s="991">
        <f>IF(AND(Input_Product=Elig!$C1185,Elig_MatchAll_Ct&lt;22,$BC1185=(Elig_MatchAll_Ct-1),AL1185=0),I1185,0)</f>
        <v>0</v>
      </c>
      <c r="BO1185" s="991">
        <f>IF(AND(Input_Product=Elig!$C1185,Elig_MatchAll_Ct&lt;22,$BC1185=(Elig_MatchAll_Ct-1),AM1185=0),J1185,0)</f>
        <v>0</v>
      </c>
      <c r="BP1185" s="991">
        <f>IF(AND(Input_Product=Elig!$C1185,Elig_MatchAll_Ct&lt;22,$BC1185=(Elig_MatchAll_Ct-1),AN1185=0),K1185,0)</f>
        <v>0</v>
      </c>
      <c r="BQ1185" s="991">
        <f>IF(AND(Input_Product=Elig!$C1185,Elig_MatchAll_Ct&lt;22,$BC1185=(Elig_MatchAll_Ct-1),AP1185=0),L1185,0)</f>
        <v>0</v>
      </c>
      <c r="BR1185" s="991">
        <f>IF(AND(Input_Product=Elig!$C1185,Elig_MatchAll_Ct&lt;22,$BC1185=(Elig_MatchAll_Ct-1),AO1185=0),M1185,0)</f>
        <v>0</v>
      </c>
      <c r="BS1185" s="991">
        <f>IF(AND(Input_Product=Elig!$C1185,Elig_MatchAll_Ct&lt;22,$BC1185=(Elig_MatchAll_Ct-1),AQ1185=0),N1185,0)</f>
        <v>0</v>
      </c>
      <c r="BT1185" s="991">
        <f>IF(AND(Input_Product=Elig!$C1185,Elig_MatchAll_Ct&lt;22,$BC1185=(Elig_MatchAll_Ct-1),AR1185=0),O1185,0)</f>
        <v>0</v>
      </c>
      <c r="BU1185" s="991">
        <f>IF(AND(Input_Product=Elig!$C1185,Elig_MatchAll_Ct&lt;22,$BC1185=(Elig_MatchAll_Ct-1),AS1185=0),P1185,0)</f>
        <v>0</v>
      </c>
      <c r="BV1185" s="992">
        <f>IF(AND(Input_Product=Elig!$C1185,Elig_MatchAll_Ct&lt;22,$BC1185=(Elig_MatchAll_Ct-1),AT1185=0),Q1185,0)</f>
        <v>0</v>
      </c>
      <c r="BW1185" s="993">
        <f>IF(AND(Input_Product=Elig!$C1185,Elig_MatchAll_Ct&lt;22,$BC1185=(Elig_MatchAll_Ct-1),AU1185=0),R1185,0)</f>
        <v>0</v>
      </c>
      <c r="BX1185" s="994">
        <f>IF(AND(Input_Product=Elig!$C1185,Elig_MatchAll_Ct&lt;22,$BC1185=(Elig_MatchAll_Ct-1),AU1185=0),S1185,0)</f>
        <v>0</v>
      </c>
      <c r="BY1185" s="993">
        <f>IF(AND(Input_Product=Elig!$C1185,Elig_MatchAll_Ct&lt;22,$BC1185=(Elig_MatchAll_Ct-1),AV1185=0),T1185,0)</f>
        <v>0</v>
      </c>
      <c r="BZ1185" s="994">
        <f>IF(AND(Input_Product=Elig!$C1185,Elig_MatchAll_Ct&lt;22,$BC1185=(Elig_MatchAll_Ct-1),AV1185=0),U1185,0)</f>
        <v>0</v>
      </c>
      <c r="CA1185" s="993">
        <f>IF(AND(Input_Product=Elig!$C1185,Elig_MatchAll_Ct&lt;22,$BC1185=(Elig_MatchAll_Ct-1),AW1185=0),V1185,0)</f>
        <v>0</v>
      </c>
      <c r="CB1185" s="994">
        <f>IF(AND(Input_Product=Elig!$C1185,Elig_MatchAll_Ct&lt;22,$BC1185=(Elig_MatchAll_Ct-1),AW1185=0),W1185,0)</f>
        <v>0</v>
      </c>
      <c r="CC1185" s="993">
        <f>IF(AND(Input_Product=Elig!$C1185,Elig_MatchAll_Ct&lt;22,$BC1185=(Elig_MatchAll_Ct-1),AX1185=0),X1185,0)</f>
        <v>0</v>
      </c>
      <c r="CD1185" s="994">
        <f>IF(AND(Input_Product=Elig!$C1185,Elig_MatchAll_Ct&lt;22,$BC1185=(Elig_MatchAll_Ct-1),AX1185=0),Y1185,0)</f>
        <v>0</v>
      </c>
      <c r="CE1185" s="993">
        <f>IF(AND(Input_LTV&lt;=AE1185,Input_Product=Elig!$C1185,Elig_MatchAll_Ct&lt;22,$BC1185=(Elig_MatchAll_Ct-1),AY1185=0),Z1185,0)</f>
        <v>0</v>
      </c>
      <c r="CF1185" s="994">
        <f>IF(AND(Input_LTV&lt;=AE1185,Input_Product=Elig!$C1185,Elig_MatchAll_Ct&lt;22,$BC1185=(Elig_MatchAll_Ct-1),AY1185=0),AA1185,0)</f>
        <v>0</v>
      </c>
      <c r="CG1185" s="993">
        <f>IF(AND(Input_Product=Elig!$C1185,Elig_MatchAll_Ct&lt;22,$BC1185=(Elig_MatchAll_Ct-1),AZ1185=0),AB1185,0)</f>
        <v>0</v>
      </c>
      <c r="CH1185" s="994">
        <f>IF(AND(Input_Product=Elig!$C1185,Elig_MatchAll_Ct&lt;22,$BC1185=(Elig_MatchAll_Ct-1),AZ1185=0),AC1185,0)</f>
        <v>0</v>
      </c>
      <c r="CI1185" s="993">
        <f>IF(AND(Input_Product=Elig!$C1185,Elig_MatchAll_Ct&lt;22,$BC1185=(Elig_MatchAll_Ct-1),BA1185=0),AD1185,0)</f>
        <v>0</v>
      </c>
      <c r="CJ1185" s="994">
        <f>IF(AND(Input_Product=Elig!$C1185,Elig_MatchAll_Ct&lt;22,$BC1185=(Elig_MatchAll_Ct-1),BA1185=0),AE1185,0)</f>
        <v>0</v>
      </c>
    </row>
    <row r="1186" spans="2:88" ht="10.15" customHeight="1" x14ac:dyDescent="0.25">
      <c r="B1186" s="1918" t="s">
        <v>2476</v>
      </c>
      <c r="C1186" s="1218" t="str">
        <f t="shared" si="430"/>
        <v xml:space="preserve"> </v>
      </c>
      <c r="D1186" s="1219" t="s">
        <v>2218</v>
      </c>
      <c r="E1186" s="1219" t="s">
        <v>167</v>
      </c>
      <c r="F1186" s="1219" t="s">
        <v>330</v>
      </c>
      <c r="G1186" s="1220" t="s">
        <v>175</v>
      </c>
      <c r="H1186" s="1220" t="s">
        <v>446</v>
      </c>
      <c r="I1186" s="1219" t="s">
        <v>16</v>
      </c>
      <c r="J1186" s="1219" t="s">
        <v>1311</v>
      </c>
      <c r="K1186" s="1220" t="s">
        <v>3022</v>
      </c>
      <c r="L1186" s="1219" t="s">
        <v>2768</v>
      </c>
      <c r="M1186" s="1219" t="s">
        <v>2677</v>
      </c>
      <c r="N1186" s="1220" t="s">
        <v>2685</v>
      </c>
      <c r="O1186" s="1219" t="s">
        <v>310</v>
      </c>
      <c r="P1186" s="1219" t="s">
        <v>291</v>
      </c>
      <c r="Q1186" s="1219" t="s">
        <v>294</v>
      </c>
      <c r="R1186" s="1219">
        <v>1000000.01</v>
      </c>
      <c r="S1186" s="1219">
        <v>1500000</v>
      </c>
      <c r="T1186" s="1219">
        <v>0</v>
      </c>
      <c r="U1186" s="1219">
        <f t="shared" si="442"/>
        <v>1500000</v>
      </c>
      <c r="V1186" s="1219">
        <v>0</v>
      </c>
      <c r="W1186" s="1219">
        <v>50</v>
      </c>
      <c r="X1186" s="1219">
        <v>0</v>
      </c>
      <c r="Y1186" s="1219">
        <v>999</v>
      </c>
      <c r="Z1186" s="1221">
        <v>720</v>
      </c>
      <c r="AA1186" s="1221">
        <v>999</v>
      </c>
      <c r="AB1186" s="1221">
        <v>6</v>
      </c>
      <c r="AC1186" s="1221">
        <v>999999</v>
      </c>
      <c r="AD1186" s="1219">
        <v>0</v>
      </c>
      <c r="AE1186" s="1222">
        <v>80</v>
      </c>
      <c r="AF1186" s="170">
        <v>0</v>
      </c>
      <c r="AG1186" s="171">
        <v>1</v>
      </c>
      <c r="AH1186" s="171">
        <v>1</v>
      </c>
      <c r="AI1186" s="171">
        <v>0</v>
      </c>
      <c r="AJ1186" s="171">
        <v>0</v>
      </c>
      <c r="AK1186" s="171">
        <v>0</v>
      </c>
      <c r="AL1186" s="171">
        <v>1</v>
      </c>
      <c r="AM1186" s="171">
        <v>1</v>
      </c>
      <c r="AN1186" s="171">
        <v>1</v>
      </c>
      <c r="AO1186" s="171">
        <v>1</v>
      </c>
      <c r="AP1186" s="171">
        <v>1</v>
      </c>
      <c r="AQ1186" s="171">
        <v>1</v>
      </c>
      <c r="AR1186" s="171">
        <v>1</v>
      </c>
      <c r="AS1186" s="171">
        <v>1</v>
      </c>
      <c r="AT1186" s="171">
        <v>1</v>
      </c>
      <c r="AU1186" s="171">
        <f t="shared" si="433"/>
        <v>0</v>
      </c>
      <c r="AV1186" s="171">
        <f t="shared" si="434"/>
        <v>1</v>
      </c>
      <c r="AW1186" s="171">
        <f t="shared" si="435"/>
        <v>1</v>
      </c>
      <c r="AX1186" s="171">
        <f t="shared" si="429"/>
        <v>1</v>
      </c>
      <c r="AY1186" s="171">
        <f t="shared" si="436"/>
        <v>1</v>
      </c>
      <c r="AZ1186" s="171">
        <f t="shared" si="437"/>
        <v>1</v>
      </c>
      <c r="BA1186" s="172">
        <f t="shared" si="438"/>
        <v>1</v>
      </c>
      <c r="BB1186" s="175">
        <f t="shared" si="439"/>
        <v>17</v>
      </c>
      <c r="BC1186" s="176">
        <f t="shared" si="440"/>
        <v>16</v>
      </c>
      <c r="BD1186" s="176">
        <f t="shared" si="441"/>
        <v>17</v>
      </c>
      <c r="BE1186" s="240" t="str">
        <f t="shared" si="431"/>
        <v/>
      </c>
      <c r="BF1186" s="990"/>
      <c r="BG1186" s="990"/>
      <c r="BH1186" s="991">
        <f>IF(AND(Input_Product=Elig!$C1186,Elig_MatchAll_Ct&lt;22,$BC1186=(Elig_MatchAll_Ct-1),AF1186=0),C1186,0)</f>
        <v>0</v>
      </c>
      <c r="BI1186" s="991">
        <f>IF(AND(Input_Product=Elig!$C1186,Elig_MatchAll_Ct&lt;22,$BC1186=(Elig_MatchAll_Ct-1),AG1186=0),D1186,0)</f>
        <v>0</v>
      </c>
      <c r="BJ1186" s="991">
        <f>IF(AND(Input_Product=Elig!$C1186,Elig_MatchAll_Ct&lt;22,$BC1186=(Elig_MatchAll_Ct-1),AH1186=0),E1186,0)</f>
        <v>0</v>
      </c>
      <c r="BK1186" s="991">
        <f>IF(AND(Input_Product=Elig!$C1186,Elig_MatchAll_Ct&lt;22,$BC1186=(Elig_MatchAll_Ct-1),AI1186=0),F1186,0)</f>
        <v>0</v>
      </c>
      <c r="BL1186" s="991">
        <f>IF(AND(Input_Product=Elig!$C1186,Elig_MatchAll_Ct&lt;22,$BC1186=(Elig_MatchAll_Ct-1),AJ1186=0),G1186,0)</f>
        <v>0</v>
      </c>
      <c r="BM1186" s="991">
        <f>IF(AND(Input_Product=Elig!$C1186,Elig_MatchAll_Ct&lt;22,$BC1186=(Elig_MatchAll_Ct-1),AK1186=0),H1186,0)</f>
        <v>0</v>
      </c>
      <c r="BN1186" s="991">
        <f>IF(AND(Input_Product=Elig!$C1186,Elig_MatchAll_Ct&lt;22,$BC1186=(Elig_MatchAll_Ct-1),AL1186=0),I1186,0)</f>
        <v>0</v>
      </c>
      <c r="BO1186" s="991">
        <f>IF(AND(Input_Product=Elig!$C1186,Elig_MatchAll_Ct&lt;22,$BC1186=(Elig_MatchAll_Ct-1),AM1186=0),J1186,0)</f>
        <v>0</v>
      </c>
      <c r="BP1186" s="991">
        <f>IF(AND(Input_Product=Elig!$C1186,Elig_MatchAll_Ct&lt;22,$BC1186=(Elig_MatchAll_Ct-1),AN1186=0),K1186,0)</f>
        <v>0</v>
      </c>
      <c r="BQ1186" s="991">
        <f>IF(AND(Input_Product=Elig!$C1186,Elig_MatchAll_Ct&lt;22,$BC1186=(Elig_MatchAll_Ct-1),AP1186=0),L1186,0)</f>
        <v>0</v>
      </c>
      <c r="BR1186" s="991">
        <f>IF(AND(Input_Product=Elig!$C1186,Elig_MatchAll_Ct&lt;22,$BC1186=(Elig_MatchAll_Ct-1),AO1186=0),M1186,0)</f>
        <v>0</v>
      </c>
      <c r="BS1186" s="991">
        <f>IF(AND(Input_Product=Elig!$C1186,Elig_MatchAll_Ct&lt;22,$BC1186=(Elig_MatchAll_Ct-1),AQ1186=0),N1186,0)</f>
        <v>0</v>
      </c>
      <c r="BT1186" s="991">
        <f>IF(AND(Input_Product=Elig!$C1186,Elig_MatchAll_Ct&lt;22,$BC1186=(Elig_MatchAll_Ct-1),AR1186=0),O1186,0)</f>
        <v>0</v>
      </c>
      <c r="BU1186" s="991">
        <f>IF(AND(Input_Product=Elig!$C1186,Elig_MatchAll_Ct&lt;22,$BC1186=(Elig_MatchAll_Ct-1),AS1186=0),P1186,0)</f>
        <v>0</v>
      </c>
      <c r="BV1186" s="992">
        <f>IF(AND(Input_Product=Elig!$C1186,Elig_MatchAll_Ct&lt;22,$BC1186=(Elig_MatchAll_Ct-1),AT1186=0),Q1186,0)</f>
        <v>0</v>
      </c>
      <c r="BW1186" s="993">
        <f>IF(AND(Input_Product=Elig!$C1186,Elig_MatchAll_Ct&lt;22,$BC1186=(Elig_MatchAll_Ct-1),AU1186=0),R1186,0)</f>
        <v>0</v>
      </c>
      <c r="BX1186" s="994">
        <f>IF(AND(Input_Product=Elig!$C1186,Elig_MatchAll_Ct&lt;22,$BC1186=(Elig_MatchAll_Ct-1),AU1186=0),S1186,0)</f>
        <v>0</v>
      </c>
      <c r="BY1186" s="993">
        <f>IF(AND(Input_Product=Elig!$C1186,Elig_MatchAll_Ct&lt;22,$BC1186=(Elig_MatchAll_Ct-1),AV1186=0),T1186,0)</f>
        <v>0</v>
      </c>
      <c r="BZ1186" s="994">
        <f>IF(AND(Input_Product=Elig!$C1186,Elig_MatchAll_Ct&lt;22,$BC1186=(Elig_MatchAll_Ct-1),AV1186=0),U1186,0)</f>
        <v>0</v>
      </c>
      <c r="CA1186" s="993">
        <f>IF(AND(Input_Product=Elig!$C1186,Elig_MatchAll_Ct&lt;22,$BC1186=(Elig_MatchAll_Ct-1),AW1186=0),V1186,0)</f>
        <v>0</v>
      </c>
      <c r="CB1186" s="994">
        <f>IF(AND(Input_Product=Elig!$C1186,Elig_MatchAll_Ct&lt;22,$BC1186=(Elig_MatchAll_Ct-1),AW1186=0),W1186,0)</f>
        <v>0</v>
      </c>
      <c r="CC1186" s="993">
        <f>IF(AND(Input_Product=Elig!$C1186,Elig_MatchAll_Ct&lt;22,$BC1186=(Elig_MatchAll_Ct-1),AX1186=0),X1186,0)</f>
        <v>0</v>
      </c>
      <c r="CD1186" s="994">
        <f>IF(AND(Input_Product=Elig!$C1186,Elig_MatchAll_Ct&lt;22,$BC1186=(Elig_MatchAll_Ct-1),AX1186=0),Y1186,0)</f>
        <v>0</v>
      </c>
      <c r="CE1186" s="993">
        <f>IF(AND(Input_LTV&lt;=AE1186,Input_Product=Elig!$C1186,Elig_MatchAll_Ct&lt;22,$BC1186=(Elig_MatchAll_Ct-1),AY1186=0),Z1186,0)</f>
        <v>0</v>
      </c>
      <c r="CF1186" s="994">
        <f>IF(AND(Input_LTV&lt;=AE1186,Input_Product=Elig!$C1186,Elig_MatchAll_Ct&lt;22,$BC1186=(Elig_MatchAll_Ct-1),AY1186=0),AA1186,0)</f>
        <v>0</v>
      </c>
      <c r="CG1186" s="993">
        <f>IF(AND(Input_Product=Elig!$C1186,Elig_MatchAll_Ct&lt;22,$BC1186=(Elig_MatchAll_Ct-1),AZ1186=0),AB1186,0)</f>
        <v>0</v>
      </c>
      <c r="CH1186" s="994">
        <f>IF(AND(Input_Product=Elig!$C1186,Elig_MatchAll_Ct&lt;22,$BC1186=(Elig_MatchAll_Ct-1),AZ1186=0),AC1186,0)</f>
        <v>0</v>
      </c>
      <c r="CI1186" s="993">
        <f>IF(AND(Input_Product=Elig!$C1186,Elig_MatchAll_Ct&lt;22,$BC1186=(Elig_MatchAll_Ct-1),BA1186=0),AD1186,0)</f>
        <v>0</v>
      </c>
      <c r="CJ1186" s="994">
        <f>IF(AND(Input_Product=Elig!$C1186,Elig_MatchAll_Ct&lt;22,$BC1186=(Elig_MatchAll_Ct-1),BA1186=0),AE1186,0)</f>
        <v>0</v>
      </c>
    </row>
    <row r="1187" spans="2:88" ht="10.15" customHeight="1" x14ac:dyDescent="0.25">
      <c r="B1187" s="1918" t="s">
        <v>2477</v>
      </c>
      <c r="C1187" s="1223" t="str">
        <f t="shared" si="430"/>
        <v xml:space="preserve"> </v>
      </c>
      <c r="D1187" s="1224" t="s">
        <v>2218</v>
      </c>
      <c r="E1187" s="1224" t="s">
        <v>167</v>
      </c>
      <c r="F1187" s="1224" t="s">
        <v>330</v>
      </c>
      <c r="G1187" s="1225" t="s">
        <v>175</v>
      </c>
      <c r="H1187" s="1225" t="s">
        <v>446</v>
      </c>
      <c r="I1187" s="1224" t="s">
        <v>16</v>
      </c>
      <c r="J1187" s="1224" t="s">
        <v>1311</v>
      </c>
      <c r="K1187" s="1225" t="s">
        <v>3022</v>
      </c>
      <c r="L1187" s="1224" t="s">
        <v>2768</v>
      </c>
      <c r="M1187" s="1224" t="s">
        <v>2677</v>
      </c>
      <c r="N1187" s="1225" t="s">
        <v>2685</v>
      </c>
      <c r="O1187" s="1224" t="s">
        <v>310</v>
      </c>
      <c r="P1187" s="1224" t="s">
        <v>291</v>
      </c>
      <c r="Q1187" s="1224" t="s">
        <v>294</v>
      </c>
      <c r="R1187" s="1224">
        <v>1000000.01</v>
      </c>
      <c r="S1187" s="1224">
        <v>1500000</v>
      </c>
      <c r="T1187" s="1224">
        <v>0</v>
      </c>
      <c r="U1187" s="1224">
        <f t="shared" si="442"/>
        <v>1500000</v>
      </c>
      <c r="V1187" s="1224">
        <v>0</v>
      </c>
      <c r="W1187" s="1224">
        <v>50</v>
      </c>
      <c r="X1187" s="1224">
        <v>0</v>
      </c>
      <c r="Y1187" s="1224">
        <v>999</v>
      </c>
      <c r="Z1187" s="1226">
        <v>700</v>
      </c>
      <c r="AA1187" s="1226">
        <v>719</v>
      </c>
      <c r="AB1187" s="1226">
        <v>6</v>
      </c>
      <c r="AC1187" s="1226">
        <v>999999</v>
      </c>
      <c r="AD1187" s="1224">
        <v>0</v>
      </c>
      <c r="AE1187" s="1227">
        <v>80</v>
      </c>
      <c r="AF1187" s="170">
        <v>0</v>
      </c>
      <c r="AG1187" s="171">
        <v>1</v>
      </c>
      <c r="AH1187" s="171">
        <v>1</v>
      </c>
      <c r="AI1187" s="171">
        <v>0</v>
      </c>
      <c r="AJ1187" s="171">
        <v>0</v>
      </c>
      <c r="AK1187" s="171">
        <v>0</v>
      </c>
      <c r="AL1187" s="171">
        <v>1</v>
      </c>
      <c r="AM1187" s="171">
        <v>1</v>
      </c>
      <c r="AN1187" s="171">
        <v>1</v>
      </c>
      <c r="AO1187" s="171">
        <v>1</v>
      </c>
      <c r="AP1187" s="171">
        <v>1</v>
      </c>
      <c r="AQ1187" s="171">
        <v>1</v>
      </c>
      <c r="AR1187" s="171">
        <v>1</v>
      </c>
      <c r="AS1187" s="171">
        <v>1</v>
      </c>
      <c r="AT1187" s="171">
        <v>1</v>
      </c>
      <c r="AU1187" s="171">
        <f t="shared" si="433"/>
        <v>0</v>
      </c>
      <c r="AV1187" s="171">
        <f t="shared" si="434"/>
        <v>1</v>
      </c>
      <c r="AW1187" s="171">
        <f t="shared" si="435"/>
        <v>1</v>
      </c>
      <c r="AX1187" s="171">
        <f t="shared" si="429"/>
        <v>1</v>
      </c>
      <c r="AY1187" s="171">
        <f t="shared" si="436"/>
        <v>0</v>
      </c>
      <c r="AZ1187" s="171">
        <f t="shared" si="437"/>
        <v>1</v>
      </c>
      <c r="BA1187" s="172">
        <f t="shared" si="438"/>
        <v>1</v>
      </c>
      <c r="BB1187" s="175">
        <f t="shared" si="439"/>
        <v>16</v>
      </c>
      <c r="BC1187" s="176">
        <f t="shared" si="440"/>
        <v>15</v>
      </c>
      <c r="BD1187" s="176">
        <f t="shared" si="441"/>
        <v>16</v>
      </c>
      <c r="BE1187" s="240" t="str">
        <f t="shared" si="431"/>
        <v/>
      </c>
      <c r="BF1187" s="990"/>
      <c r="BG1187" s="990"/>
      <c r="BH1187" s="991">
        <f>IF(AND(Input_Product=Elig!$C1187,Elig_MatchAll_Ct&lt;22,$BC1187=(Elig_MatchAll_Ct-1),AF1187=0),C1187,0)</f>
        <v>0</v>
      </c>
      <c r="BI1187" s="991">
        <f>IF(AND(Input_Product=Elig!$C1187,Elig_MatchAll_Ct&lt;22,$BC1187=(Elig_MatchAll_Ct-1),AG1187=0),D1187,0)</f>
        <v>0</v>
      </c>
      <c r="BJ1187" s="991">
        <f>IF(AND(Input_Product=Elig!$C1187,Elig_MatchAll_Ct&lt;22,$BC1187=(Elig_MatchAll_Ct-1),AH1187=0),E1187,0)</f>
        <v>0</v>
      </c>
      <c r="BK1187" s="991">
        <f>IF(AND(Input_Product=Elig!$C1187,Elig_MatchAll_Ct&lt;22,$BC1187=(Elig_MatchAll_Ct-1),AI1187=0),F1187,0)</f>
        <v>0</v>
      </c>
      <c r="BL1187" s="991">
        <f>IF(AND(Input_Product=Elig!$C1187,Elig_MatchAll_Ct&lt;22,$BC1187=(Elig_MatchAll_Ct-1),AJ1187=0),G1187,0)</f>
        <v>0</v>
      </c>
      <c r="BM1187" s="991">
        <f>IF(AND(Input_Product=Elig!$C1187,Elig_MatchAll_Ct&lt;22,$BC1187=(Elig_MatchAll_Ct-1),AK1187=0),H1187,0)</f>
        <v>0</v>
      </c>
      <c r="BN1187" s="991">
        <f>IF(AND(Input_Product=Elig!$C1187,Elig_MatchAll_Ct&lt;22,$BC1187=(Elig_MatchAll_Ct-1),AL1187=0),I1187,0)</f>
        <v>0</v>
      </c>
      <c r="BO1187" s="991">
        <f>IF(AND(Input_Product=Elig!$C1187,Elig_MatchAll_Ct&lt;22,$BC1187=(Elig_MatchAll_Ct-1),AM1187=0),J1187,0)</f>
        <v>0</v>
      </c>
      <c r="BP1187" s="991">
        <f>IF(AND(Input_Product=Elig!$C1187,Elig_MatchAll_Ct&lt;22,$BC1187=(Elig_MatchAll_Ct-1),AN1187=0),K1187,0)</f>
        <v>0</v>
      </c>
      <c r="BQ1187" s="991">
        <f>IF(AND(Input_Product=Elig!$C1187,Elig_MatchAll_Ct&lt;22,$BC1187=(Elig_MatchAll_Ct-1),AP1187=0),L1187,0)</f>
        <v>0</v>
      </c>
      <c r="BR1187" s="991">
        <f>IF(AND(Input_Product=Elig!$C1187,Elig_MatchAll_Ct&lt;22,$BC1187=(Elig_MatchAll_Ct-1),AO1187=0),M1187,0)</f>
        <v>0</v>
      </c>
      <c r="BS1187" s="991">
        <f>IF(AND(Input_Product=Elig!$C1187,Elig_MatchAll_Ct&lt;22,$BC1187=(Elig_MatchAll_Ct-1),AQ1187=0),N1187,0)</f>
        <v>0</v>
      </c>
      <c r="BT1187" s="991">
        <f>IF(AND(Input_Product=Elig!$C1187,Elig_MatchAll_Ct&lt;22,$BC1187=(Elig_MatchAll_Ct-1),AR1187=0),O1187,0)</f>
        <v>0</v>
      </c>
      <c r="BU1187" s="991">
        <f>IF(AND(Input_Product=Elig!$C1187,Elig_MatchAll_Ct&lt;22,$BC1187=(Elig_MatchAll_Ct-1),AS1187=0),P1187,0)</f>
        <v>0</v>
      </c>
      <c r="BV1187" s="992">
        <f>IF(AND(Input_Product=Elig!$C1187,Elig_MatchAll_Ct&lt;22,$BC1187=(Elig_MatchAll_Ct-1),AT1187=0),Q1187,0)</f>
        <v>0</v>
      </c>
      <c r="BW1187" s="993">
        <f>IF(AND(Input_Product=Elig!$C1187,Elig_MatchAll_Ct&lt;22,$BC1187=(Elig_MatchAll_Ct-1),AU1187=0),R1187,0)</f>
        <v>0</v>
      </c>
      <c r="BX1187" s="994">
        <f>IF(AND(Input_Product=Elig!$C1187,Elig_MatchAll_Ct&lt;22,$BC1187=(Elig_MatchAll_Ct-1),AU1187=0),S1187,0)</f>
        <v>0</v>
      </c>
      <c r="BY1187" s="993">
        <f>IF(AND(Input_Product=Elig!$C1187,Elig_MatchAll_Ct&lt;22,$BC1187=(Elig_MatchAll_Ct-1),AV1187=0),T1187,0)</f>
        <v>0</v>
      </c>
      <c r="BZ1187" s="994">
        <f>IF(AND(Input_Product=Elig!$C1187,Elig_MatchAll_Ct&lt;22,$BC1187=(Elig_MatchAll_Ct-1),AV1187=0),U1187,0)</f>
        <v>0</v>
      </c>
      <c r="CA1187" s="993">
        <f>IF(AND(Input_Product=Elig!$C1187,Elig_MatchAll_Ct&lt;22,$BC1187=(Elig_MatchAll_Ct-1),AW1187=0),V1187,0)</f>
        <v>0</v>
      </c>
      <c r="CB1187" s="994">
        <f>IF(AND(Input_Product=Elig!$C1187,Elig_MatchAll_Ct&lt;22,$BC1187=(Elig_MatchAll_Ct-1),AW1187=0),W1187,0)</f>
        <v>0</v>
      </c>
      <c r="CC1187" s="993">
        <f>IF(AND(Input_Product=Elig!$C1187,Elig_MatchAll_Ct&lt;22,$BC1187=(Elig_MatchAll_Ct-1),AX1187=0),X1187,0)</f>
        <v>0</v>
      </c>
      <c r="CD1187" s="994">
        <f>IF(AND(Input_Product=Elig!$C1187,Elig_MatchAll_Ct&lt;22,$BC1187=(Elig_MatchAll_Ct-1),AX1187=0),Y1187,0)</f>
        <v>0</v>
      </c>
      <c r="CE1187" s="993">
        <f>IF(AND(Input_LTV&lt;=AE1187,Input_Product=Elig!$C1187,Elig_MatchAll_Ct&lt;22,$BC1187=(Elig_MatchAll_Ct-1),AY1187=0),Z1187,0)</f>
        <v>0</v>
      </c>
      <c r="CF1187" s="994">
        <f>IF(AND(Input_LTV&lt;=AE1187,Input_Product=Elig!$C1187,Elig_MatchAll_Ct&lt;22,$BC1187=(Elig_MatchAll_Ct-1),AY1187=0),AA1187,0)</f>
        <v>0</v>
      </c>
      <c r="CG1187" s="993">
        <f>IF(AND(Input_Product=Elig!$C1187,Elig_MatchAll_Ct&lt;22,$BC1187=(Elig_MatchAll_Ct-1),AZ1187=0),AB1187,0)</f>
        <v>0</v>
      </c>
      <c r="CH1187" s="994">
        <f>IF(AND(Input_Product=Elig!$C1187,Elig_MatchAll_Ct&lt;22,$BC1187=(Elig_MatchAll_Ct-1),AZ1187=0),AC1187,0)</f>
        <v>0</v>
      </c>
      <c r="CI1187" s="993">
        <f>IF(AND(Input_Product=Elig!$C1187,Elig_MatchAll_Ct&lt;22,$BC1187=(Elig_MatchAll_Ct-1),BA1187=0),AD1187,0)</f>
        <v>0</v>
      </c>
      <c r="CJ1187" s="994">
        <f>IF(AND(Input_Product=Elig!$C1187,Elig_MatchAll_Ct&lt;22,$BC1187=(Elig_MatchAll_Ct-1),BA1187=0),AE1187,0)</f>
        <v>0</v>
      </c>
    </row>
    <row r="1188" spans="2:88" ht="10.15" customHeight="1" x14ac:dyDescent="0.25">
      <c r="B1188" s="1918" t="s">
        <v>2478</v>
      </c>
      <c r="C1188" s="1223" t="str">
        <f t="shared" ref="C1188:C1219" si="443">Input_Name_Product14</f>
        <v xml:space="preserve"> </v>
      </c>
      <c r="D1188" s="1224" t="s">
        <v>2218</v>
      </c>
      <c r="E1188" s="1224" t="s">
        <v>167</v>
      </c>
      <c r="F1188" s="1224" t="s">
        <v>330</v>
      </c>
      <c r="G1188" s="1225" t="s">
        <v>175</v>
      </c>
      <c r="H1188" s="1225" t="s">
        <v>446</v>
      </c>
      <c r="I1188" s="1224" t="s">
        <v>16</v>
      </c>
      <c r="J1188" s="1224" t="s">
        <v>1311</v>
      </c>
      <c r="K1188" s="1225" t="s">
        <v>3022</v>
      </c>
      <c r="L1188" s="1224" t="s">
        <v>2768</v>
      </c>
      <c r="M1188" s="1224" t="s">
        <v>2677</v>
      </c>
      <c r="N1188" s="1225" t="s">
        <v>2685</v>
      </c>
      <c r="O1188" s="1224" t="s">
        <v>310</v>
      </c>
      <c r="P1188" s="1224" t="s">
        <v>291</v>
      </c>
      <c r="Q1188" s="1224" t="s">
        <v>294</v>
      </c>
      <c r="R1188" s="1224">
        <v>1000000.01</v>
      </c>
      <c r="S1188" s="1224">
        <v>1500000</v>
      </c>
      <c r="T1188" s="1224">
        <v>0</v>
      </c>
      <c r="U1188" s="1224">
        <f t="shared" si="442"/>
        <v>1500000</v>
      </c>
      <c r="V1188" s="1224">
        <v>0</v>
      </c>
      <c r="W1188" s="1224">
        <v>50</v>
      </c>
      <c r="X1188" s="1224">
        <v>0</v>
      </c>
      <c r="Y1188" s="1224">
        <v>999</v>
      </c>
      <c r="Z1188" s="1226">
        <v>680</v>
      </c>
      <c r="AA1188" s="1226">
        <v>699</v>
      </c>
      <c r="AB1188" s="1226">
        <v>6</v>
      </c>
      <c r="AC1188" s="1226">
        <v>999999</v>
      </c>
      <c r="AD1188" s="1224">
        <v>0</v>
      </c>
      <c r="AE1188" s="1227">
        <v>75</v>
      </c>
      <c r="AF1188" s="170">
        <v>0</v>
      </c>
      <c r="AG1188" s="171">
        <v>1</v>
      </c>
      <c r="AH1188" s="171">
        <v>1</v>
      </c>
      <c r="AI1188" s="171">
        <v>0</v>
      </c>
      <c r="AJ1188" s="171">
        <v>0</v>
      </c>
      <c r="AK1188" s="171">
        <v>0</v>
      </c>
      <c r="AL1188" s="171">
        <v>1</v>
      </c>
      <c r="AM1188" s="171">
        <v>1</v>
      </c>
      <c r="AN1188" s="171">
        <v>1</v>
      </c>
      <c r="AO1188" s="171">
        <v>1</v>
      </c>
      <c r="AP1188" s="171">
        <v>1</v>
      </c>
      <c r="AQ1188" s="171">
        <v>1</v>
      </c>
      <c r="AR1188" s="171">
        <v>1</v>
      </c>
      <c r="AS1188" s="171">
        <v>1</v>
      </c>
      <c r="AT1188" s="171">
        <v>1</v>
      </c>
      <c r="AU1188" s="171">
        <f t="shared" si="433"/>
        <v>0</v>
      </c>
      <c r="AV1188" s="171">
        <f t="shared" si="434"/>
        <v>1</v>
      </c>
      <c r="AW1188" s="171">
        <f t="shared" si="435"/>
        <v>1</v>
      </c>
      <c r="AX1188" s="171">
        <f t="shared" si="429"/>
        <v>1</v>
      </c>
      <c r="AY1188" s="171">
        <f t="shared" si="436"/>
        <v>0</v>
      </c>
      <c r="AZ1188" s="171">
        <f t="shared" si="437"/>
        <v>1</v>
      </c>
      <c r="BA1188" s="172">
        <f t="shared" si="438"/>
        <v>1</v>
      </c>
      <c r="BB1188" s="175">
        <f t="shared" si="439"/>
        <v>16</v>
      </c>
      <c r="BC1188" s="176">
        <f t="shared" si="440"/>
        <v>15</v>
      </c>
      <c r="BD1188" s="176">
        <f t="shared" si="441"/>
        <v>16</v>
      </c>
      <c r="BE1188" s="240" t="str">
        <f t="shared" si="431"/>
        <v/>
      </c>
      <c r="BF1188" s="990"/>
      <c r="BG1188" s="990"/>
      <c r="BH1188" s="991">
        <f>IF(AND(Input_Product=Elig!$C1188,Elig_MatchAll_Ct&lt;22,$BC1188=(Elig_MatchAll_Ct-1),AF1188=0),C1188,0)</f>
        <v>0</v>
      </c>
      <c r="BI1188" s="991">
        <f>IF(AND(Input_Product=Elig!$C1188,Elig_MatchAll_Ct&lt;22,$BC1188=(Elig_MatchAll_Ct-1),AG1188=0),D1188,0)</f>
        <v>0</v>
      </c>
      <c r="BJ1188" s="991">
        <f>IF(AND(Input_Product=Elig!$C1188,Elig_MatchAll_Ct&lt;22,$BC1188=(Elig_MatchAll_Ct-1),AH1188=0),E1188,0)</f>
        <v>0</v>
      </c>
      <c r="BK1188" s="991">
        <f>IF(AND(Input_Product=Elig!$C1188,Elig_MatchAll_Ct&lt;22,$BC1188=(Elig_MatchAll_Ct-1),AI1188=0),F1188,0)</f>
        <v>0</v>
      </c>
      <c r="BL1188" s="991">
        <f>IF(AND(Input_Product=Elig!$C1188,Elig_MatchAll_Ct&lt;22,$BC1188=(Elig_MatchAll_Ct-1),AJ1188=0),G1188,0)</f>
        <v>0</v>
      </c>
      <c r="BM1188" s="991">
        <f>IF(AND(Input_Product=Elig!$C1188,Elig_MatchAll_Ct&lt;22,$BC1188=(Elig_MatchAll_Ct-1),AK1188=0),H1188,0)</f>
        <v>0</v>
      </c>
      <c r="BN1188" s="991">
        <f>IF(AND(Input_Product=Elig!$C1188,Elig_MatchAll_Ct&lt;22,$BC1188=(Elig_MatchAll_Ct-1),AL1188=0),I1188,0)</f>
        <v>0</v>
      </c>
      <c r="BO1188" s="991">
        <f>IF(AND(Input_Product=Elig!$C1188,Elig_MatchAll_Ct&lt;22,$BC1188=(Elig_MatchAll_Ct-1),AM1188=0),J1188,0)</f>
        <v>0</v>
      </c>
      <c r="BP1188" s="991">
        <f>IF(AND(Input_Product=Elig!$C1188,Elig_MatchAll_Ct&lt;22,$BC1188=(Elig_MatchAll_Ct-1),AN1188=0),K1188,0)</f>
        <v>0</v>
      </c>
      <c r="BQ1188" s="991">
        <f>IF(AND(Input_Product=Elig!$C1188,Elig_MatchAll_Ct&lt;22,$BC1188=(Elig_MatchAll_Ct-1),AP1188=0),L1188,0)</f>
        <v>0</v>
      </c>
      <c r="BR1188" s="991">
        <f>IF(AND(Input_Product=Elig!$C1188,Elig_MatchAll_Ct&lt;22,$BC1188=(Elig_MatchAll_Ct-1),AO1188=0),M1188,0)</f>
        <v>0</v>
      </c>
      <c r="BS1188" s="991">
        <f>IF(AND(Input_Product=Elig!$C1188,Elig_MatchAll_Ct&lt;22,$BC1188=(Elig_MatchAll_Ct-1),AQ1188=0),N1188,0)</f>
        <v>0</v>
      </c>
      <c r="BT1188" s="991">
        <f>IF(AND(Input_Product=Elig!$C1188,Elig_MatchAll_Ct&lt;22,$BC1188=(Elig_MatchAll_Ct-1),AR1188=0),O1188,0)</f>
        <v>0</v>
      </c>
      <c r="BU1188" s="991">
        <f>IF(AND(Input_Product=Elig!$C1188,Elig_MatchAll_Ct&lt;22,$BC1188=(Elig_MatchAll_Ct-1),AS1188=0),P1188,0)</f>
        <v>0</v>
      </c>
      <c r="BV1188" s="992">
        <f>IF(AND(Input_Product=Elig!$C1188,Elig_MatchAll_Ct&lt;22,$BC1188=(Elig_MatchAll_Ct-1),AT1188=0),Q1188,0)</f>
        <v>0</v>
      </c>
      <c r="BW1188" s="993">
        <f>IF(AND(Input_Product=Elig!$C1188,Elig_MatchAll_Ct&lt;22,$BC1188=(Elig_MatchAll_Ct-1),AU1188=0),R1188,0)</f>
        <v>0</v>
      </c>
      <c r="BX1188" s="994">
        <f>IF(AND(Input_Product=Elig!$C1188,Elig_MatchAll_Ct&lt;22,$BC1188=(Elig_MatchAll_Ct-1),AU1188=0),S1188,0)</f>
        <v>0</v>
      </c>
      <c r="BY1188" s="993">
        <f>IF(AND(Input_Product=Elig!$C1188,Elig_MatchAll_Ct&lt;22,$BC1188=(Elig_MatchAll_Ct-1),AV1188=0),T1188,0)</f>
        <v>0</v>
      </c>
      <c r="BZ1188" s="994">
        <f>IF(AND(Input_Product=Elig!$C1188,Elig_MatchAll_Ct&lt;22,$BC1188=(Elig_MatchAll_Ct-1),AV1188=0),U1188,0)</f>
        <v>0</v>
      </c>
      <c r="CA1188" s="993">
        <f>IF(AND(Input_Product=Elig!$C1188,Elig_MatchAll_Ct&lt;22,$BC1188=(Elig_MatchAll_Ct-1),AW1188=0),V1188,0)</f>
        <v>0</v>
      </c>
      <c r="CB1188" s="994">
        <f>IF(AND(Input_Product=Elig!$C1188,Elig_MatchAll_Ct&lt;22,$BC1188=(Elig_MatchAll_Ct-1),AW1188=0),W1188,0)</f>
        <v>0</v>
      </c>
      <c r="CC1188" s="993">
        <f>IF(AND(Input_Product=Elig!$C1188,Elig_MatchAll_Ct&lt;22,$BC1188=(Elig_MatchAll_Ct-1),AX1188=0),X1188,0)</f>
        <v>0</v>
      </c>
      <c r="CD1188" s="994">
        <f>IF(AND(Input_Product=Elig!$C1188,Elig_MatchAll_Ct&lt;22,$BC1188=(Elig_MatchAll_Ct-1),AX1188=0),Y1188,0)</f>
        <v>0</v>
      </c>
      <c r="CE1188" s="993">
        <f>IF(AND(Input_LTV&lt;=AE1188,Input_Product=Elig!$C1188,Elig_MatchAll_Ct&lt;22,$BC1188=(Elig_MatchAll_Ct-1),AY1188=0),Z1188,0)</f>
        <v>0</v>
      </c>
      <c r="CF1188" s="994">
        <f>IF(AND(Input_LTV&lt;=AE1188,Input_Product=Elig!$C1188,Elig_MatchAll_Ct&lt;22,$BC1188=(Elig_MatchAll_Ct-1),AY1188=0),AA1188,0)</f>
        <v>0</v>
      </c>
      <c r="CG1188" s="993">
        <f>IF(AND(Input_Product=Elig!$C1188,Elig_MatchAll_Ct&lt;22,$BC1188=(Elig_MatchAll_Ct-1),AZ1188=0),AB1188,0)</f>
        <v>0</v>
      </c>
      <c r="CH1188" s="994">
        <f>IF(AND(Input_Product=Elig!$C1188,Elig_MatchAll_Ct&lt;22,$BC1188=(Elig_MatchAll_Ct-1),AZ1188=0),AC1188,0)</f>
        <v>0</v>
      </c>
      <c r="CI1188" s="993">
        <f>IF(AND(Input_Product=Elig!$C1188,Elig_MatchAll_Ct&lt;22,$BC1188=(Elig_MatchAll_Ct-1),BA1188=0),AD1188,0)</f>
        <v>0</v>
      </c>
      <c r="CJ1188" s="994">
        <f>IF(AND(Input_Product=Elig!$C1188,Elig_MatchAll_Ct&lt;22,$BC1188=(Elig_MatchAll_Ct-1),BA1188=0),AE1188,0)</f>
        <v>0</v>
      </c>
    </row>
    <row r="1189" spans="2:88" ht="10.15" customHeight="1" x14ac:dyDescent="0.25">
      <c r="B1189" s="1918" t="s">
        <v>2479</v>
      </c>
      <c r="C1189" s="1228" t="str">
        <f t="shared" si="443"/>
        <v xml:space="preserve"> </v>
      </c>
      <c r="D1189" s="1229" t="s">
        <v>2218</v>
      </c>
      <c r="E1189" s="1229" t="s">
        <v>167</v>
      </c>
      <c r="F1189" s="1229" t="s">
        <v>330</v>
      </c>
      <c r="G1189" s="1230" t="s">
        <v>175</v>
      </c>
      <c r="H1189" s="1230" t="s">
        <v>446</v>
      </c>
      <c r="I1189" s="1229" t="s">
        <v>16</v>
      </c>
      <c r="J1189" s="1229" t="s">
        <v>1311</v>
      </c>
      <c r="K1189" s="1230" t="s">
        <v>3022</v>
      </c>
      <c r="L1189" s="1229" t="s">
        <v>2768</v>
      </c>
      <c r="M1189" s="1229" t="s">
        <v>2677</v>
      </c>
      <c r="N1189" s="1230" t="s">
        <v>2685</v>
      </c>
      <c r="O1189" s="1229" t="s">
        <v>310</v>
      </c>
      <c r="P1189" s="1229" t="s">
        <v>291</v>
      </c>
      <c r="Q1189" s="1229" t="s">
        <v>294</v>
      </c>
      <c r="R1189" s="1229">
        <v>1000000.01</v>
      </c>
      <c r="S1189" s="1229">
        <v>1500000</v>
      </c>
      <c r="T1189" s="1229">
        <v>0</v>
      </c>
      <c r="U1189" s="1229">
        <f t="shared" si="442"/>
        <v>1500000</v>
      </c>
      <c r="V1189" s="1229">
        <v>0</v>
      </c>
      <c r="W1189" s="1229">
        <v>50</v>
      </c>
      <c r="X1189" s="1229">
        <v>0</v>
      </c>
      <c r="Y1189" s="1229">
        <v>999</v>
      </c>
      <c r="Z1189" s="1231">
        <v>660</v>
      </c>
      <c r="AA1189" s="1231">
        <v>679</v>
      </c>
      <c r="AB1189" s="1231">
        <v>6</v>
      </c>
      <c r="AC1189" s="1231">
        <v>999999</v>
      </c>
      <c r="AD1189" s="1229">
        <v>0</v>
      </c>
      <c r="AE1189" s="1232">
        <v>70</v>
      </c>
      <c r="AF1189" s="170">
        <v>0</v>
      </c>
      <c r="AG1189" s="171">
        <v>1</v>
      </c>
      <c r="AH1189" s="171">
        <v>1</v>
      </c>
      <c r="AI1189" s="171">
        <v>0</v>
      </c>
      <c r="AJ1189" s="171">
        <v>0</v>
      </c>
      <c r="AK1189" s="171">
        <v>0</v>
      </c>
      <c r="AL1189" s="171">
        <v>1</v>
      </c>
      <c r="AM1189" s="171">
        <v>1</v>
      </c>
      <c r="AN1189" s="171">
        <v>1</v>
      </c>
      <c r="AO1189" s="171">
        <v>1</v>
      </c>
      <c r="AP1189" s="171">
        <v>1</v>
      </c>
      <c r="AQ1189" s="171">
        <v>1</v>
      </c>
      <c r="AR1189" s="171">
        <v>1</v>
      </c>
      <c r="AS1189" s="171">
        <v>1</v>
      </c>
      <c r="AT1189" s="171">
        <v>1</v>
      </c>
      <c r="AU1189" s="171">
        <f t="shared" si="433"/>
        <v>0</v>
      </c>
      <c r="AV1189" s="171">
        <f t="shared" si="434"/>
        <v>1</v>
      </c>
      <c r="AW1189" s="171">
        <f t="shared" si="435"/>
        <v>1</v>
      </c>
      <c r="AX1189" s="171">
        <f t="shared" ref="AX1189:AX1282" si="444">IF(AND(Input_DSCR&gt;=Elig_DSCR_Min,Input_DSCR&lt;=Elig_DSCR_Max),1,0)</f>
        <v>1</v>
      </c>
      <c r="AY1189" s="171">
        <f t="shared" si="436"/>
        <v>0</v>
      </c>
      <c r="AZ1189" s="171">
        <f t="shared" si="437"/>
        <v>1</v>
      </c>
      <c r="BA1189" s="172">
        <f t="shared" si="438"/>
        <v>1</v>
      </c>
      <c r="BB1189" s="175">
        <f t="shared" si="439"/>
        <v>16</v>
      </c>
      <c r="BC1189" s="176">
        <f t="shared" si="440"/>
        <v>15</v>
      </c>
      <c r="BD1189" s="176">
        <f t="shared" si="441"/>
        <v>16</v>
      </c>
      <c r="BE1189" s="240" t="str">
        <f t="shared" si="431"/>
        <v/>
      </c>
      <c r="BF1189" s="990"/>
      <c r="BG1189" s="990"/>
      <c r="BH1189" s="991">
        <f>IF(AND(Input_Product=Elig!$C1189,Elig_MatchAll_Ct&lt;22,$BC1189=(Elig_MatchAll_Ct-1),AF1189=0),C1189,0)</f>
        <v>0</v>
      </c>
      <c r="BI1189" s="991">
        <f>IF(AND(Input_Product=Elig!$C1189,Elig_MatchAll_Ct&lt;22,$BC1189=(Elig_MatchAll_Ct-1),AG1189=0),D1189,0)</f>
        <v>0</v>
      </c>
      <c r="BJ1189" s="991">
        <f>IF(AND(Input_Product=Elig!$C1189,Elig_MatchAll_Ct&lt;22,$BC1189=(Elig_MatchAll_Ct-1),AH1189=0),E1189,0)</f>
        <v>0</v>
      </c>
      <c r="BK1189" s="991">
        <f>IF(AND(Input_Product=Elig!$C1189,Elig_MatchAll_Ct&lt;22,$BC1189=(Elig_MatchAll_Ct-1),AI1189=0),F1189,0)</f>
        <v>0</v>
      </c>
      <c r="BL1189" s="991">
        <f>IF(AND(Input_Product=Elig!$C1189,Elig_MatchAll_Ct&lt;22,$BC1189=(Elig_MatchAll_Ct-1),AJ1189=0),G1189,0)</f>
        <v>0</v>
      </c>
      <c r="BM1189" s="991">
        <f>IF(AND(Input_Product=Elig!$C1189,Elig_MatchAll_Ct&lt;22,$BC1189=(Elig_MatchAll_Ct-1),AK1189=0),H1189,0)</f>
        <v>0</v>
      </c>
      <c r="BN1189" s="991">
        <f>IF(AND(Input_Product=Elig!$C1189,Elig_MatchAll_Ct&lt;22,$BC1189=(Elig_MatchAll_Ct-1),AL1189=0),I1189,0)</f>
        <v>0</v>
      </c>
      <c r="BO1189" s="991">
        <f>IF(AND(Input_Product=Elig!$C1189,Elig_MatchAll_Ct&lt;22,$BC1189=(Elig_MatchAll_Ct-1),AM1189=0),J1189,0)</f>
        <v>0</v>
      </c>
      <c r="BP1189" s="991">
        <f>IF(AND(Input_Product=Elig!$C1189,Elig_MatchAll_Ct&lt;22,$BC1189=(Elig_MatchAll_Ct-1),AN1189=0),K1189,0)</f>
        <v>0</v>
      </c>
      <c r="BQ1189" s="991">
        <f>IF(AND(Input_Product=Elig!$C1189,Elig_MatchAll_Ct&lt;22,$BC1189=(Elig_MatchAll_Ct-1),AP1189=0),L1189,0)</f>
        <v>0</v>
      </c>
      <c r="BR1189" s="991">
        <f>IF(AND(Input_Product=Elig!$C1189,Elig_MatchAll_Ct&lt;22,$BC1189=(Elig_MatchAll_Ct-1),AO1189=0),M1189,0)</f>
        <v>0</v>
      </c>
      <c r="BS1189" s="991">
        <f>IF(AND(Input_Product=Elig!$C1189,Elig_MatchAll_Ct&lt;22,$BC1189=(Elig_MatchAll_Ct-1),AQ1189=0),N1189,0)</f>
        <v>0</v>
      </c>
      <c r="BT1189" s="991">
        <f>IF(AND(Input_Product=Elig!$C1189,Elig_MatchAll_Ct&lt;22,$BC1189=(Elig_MatchAll_Ct-1),AR1189=0),O1189,0)</f>
        <v>0</v>
      </c>
      <c r="BU1189" s="991">
        <f>IF(AND(Input_Product=Elig!$C1189,Elig_MatchAll_Ct&lt;22,$BC1189=(Elig_MatchAll_Ct-1),AS1189=0),P1189,0)</f>
        <v>0</v>
      </c>
      <c r="BV1189" s="992">
        <f>IF(AND(Input_Product=Elig!$C1189,Elig_MatchAll_Ct&lt;22,$BC1189=(Elig_MatchAll_Ct-1),AT1189=0),Q1189,0)</f>
        <v>0</v>
      </c>
      <c r="BW1189" s="993">
        <f>IF(AND(Input_Product=Elig!$C1189,Elig_MatchAll_Ct&lt;22,$BC1189=(Elig_MatchAll_Ct-1),AU1189=0),R1189,0)</f>
        <v>0</v>
      </c>
      <c r="BX1189" s="994">
        <f>IF(AND(Input_Product=Elig!$C1189,Elig_MatchAll_Ct&lt;22,$BC1189=(Elig_MatchAll_Ct-1),AU1189=0),S1189,0)</f>
        <v>0</v>
      </c>
      <c r="BY1189" s="993">
        <f>IF(AND(Input_Product=Elig!$C1189,Elig_MatchAll_Ct&lt;22,$BC1189=(Elig_MatchAll_Ct-1),AV1189=0),T1189,0)</f>
        <v>0</v>
      </c>
      <c r="BZ1189" s="994">
        <f>IF(AND(Input_Product=Elig!$C1189,Elig_MatchAll_Ct&lt;22,$BC1189=(Elig_MatchAll_Ct-1),AV1189=0),U1189,0)</f>
        <v>0</v>
      </c>
      <c r="CA1189" s="993">
        <f>IF(AND(Input_Product=Elig!$C1189,Elig_MatchAll_Ct&lt;22,$BC1189=(Elig_MatchAll_Ct-1),AW1189=0),V1189,0)</f>
        <v>0</v>
      </c>
      <c r="CB1189" s="994">
        <f>IF(AND(Input_Product=Elig!$C1189,Elig_MatchAll_Ct&lt;22,$BC1189=(Elig_MatchAll_Ct-1),AW1189=0),W1189,0)</f>
        <v>0</v>
      </c>
      <c r="CC1189" s="993">
        <f>IF(AND(Input_Product=Elig!$C1189,Elig_MatchAll_Ct&lt;22,$BC1189=(Elig_MatchAll_Ct-1),AX1189=0),X1189,0)</f>
        <v>0</v>
      </c>
      <c r="CD1189" s="994">
        <f>IF(AND(Input_Product=Elig!$C1189,Elig_MatchAll_Ct&lt;22,$BC1189=(Elig_MatchAll_Ct-1),AX1189=0),Y1189,0)</f>
        <v>0</v>
      </c>
      <c r="CE1189" s="993">
        <f>IF(AND(Input_LTV&lt;=AE1189,Input_Product=Elig!$C1189,Elig_MatchAll_Ct&lt;22,$BC1189=(Elig_MatchAll_Ct-1),AY1189=0),Z1189,0)</f>
        <v>0</v>
      </c>
      <c r="CF1189" s="994">
        <f>IF(AND(Input_LTV&lt;=AE1189,Input_Product=Elig!$C1189,Elig_MatchAll_Ct&lt;22,$BC1189=(Elig_MatchAll_Ct-1),AY1189=0),AA1189,0)</f>
        <v>0</v>
      </c>
      <c r="CG1189" s="993">
        <f>IF(AND(Input_Product=Elig!$C1189,Elig_MatchAll_Ct&lt;22,$BC1189=(Elig_MatchAll_Ct-1),AZ1189=0),AB1189,0)</f>
        <v>0</v>
      </c>
      <c r="CH1189" s="994">
        <f>IF(AND(Input_Product=Elig!$C1189,Elig_MatchAll_Ct&lt;22,$BC1189=(Elig_MatchAll_Ct-1),AZ1189=0),AC1189,0)</f>
        <v>0</v>
      </c>
      <c r="CI1189" s="993">
        <f>IF(AND(Input_Product=Elig!$C1189,Elig_MatchAll_Ct&lt;22,$BC1189=(Elig_MatchAll_Ct-1),BA1189=0),AD1189,0)</f>
        <v>0</v>
      </c>
      <c r="CJ1189" s="994">
        <f>IF(AND(Input_Product=Elig!$C1189,Elig_MatchAll_Ct&lt;22,$BC1189=(Elig_MatchAll_Ct-1),BA1189=0),AE1189,0)</f>
        <v>0</v>
      </c>
    </row>
    <row r="1190" spans="2:88" ht="10.15" customHeight="1" x14ac:dyDescent="0.25">
      <c r="B1190" s="1918" t="s">
        <v>2480</v>
      </c>
      <c r="C1190" s="1218" t="str">
        <f t="shared" si="443"/>
        <v xml:space="preserve"> </v>
      </c>
      <c r="D1190" s="1219" t="s">
        <v>2218</v>
      </c>
      <c r="E1190" s="1219" t="s">
        <v>167</v>
      </c>
      <c r="F1190" s="1219" t="s">
        <v>330</v>
      </c>
      <c r="G1190" s="1220" t="s">
        <v>175</v>
      </c>
      <c r="H1190" s="1220" t="s">
        <v>446</v>
      </c>
      <c r="I1190" s="1219" t="s">
        <v>16</v>
      </c>
      <c r="J1190" s="1219" t="s">
        <v>1311</v>
      </c>
      <c r="K1190" s="1220" t="s">
        <v>3022</v>
      </c>
      <c r="L1190" s="1219" t="s">
        <v>2768</v>
      </c>
      <c r="M1190" s="1219" t="s">
        <v>2677</v>
      </c>
      <c r="N1190" s="1220" t="s">
        <v>2685</v>
      </c>
      <c r="O1190" s="1219" t="s">
        <v>310</v>
      </c>
      <c r="P1190" s="1219" t="s">
        <v>291</v>
      </c>
      <c r="Q1190" s="1219" t="s">
        <v>294</v>
      </c>
      <c r="R1190" s="1219">
        <v>1500000.01</v>
      </c>
      <c r="S1190" s="1219">
        <v>2000000</v>
      </c>
      <c r="T1190" s="1219">
        <v>0</v>
      </c>
      <c r="U1190" s="1219">
        <f t="shared" si="442"/>
        <v>2000000</v>
      </c>
      <c r="V1190" s="1219">
        <v>0</v>
      </c>
      <c r="W1190" s="1219">
        <v>50</v>
      </c>
      <c r="X1190" s="1219">
        <v>0</v>
      </c>
      <c r="Y1190" s="1219">
        <v>999</v>
      </c>
      <c r="Z1190" s="1221">
        <v>720</v>
      </c>
      <c r="AA1190" s="1221">
        <v>999</v>
      </c>
      <c r="AB1190" s="1221">
        <v>6</v>
      </c>
      <c r="AC1190" s="1221">
        <v>999999</v>
      </c>
      <c r="AD1190" s="1219">
        <v>0</v>
      </c>
      <c r="AE1190" s="1222">
        <v>80</v>
      </c>
      <c r="AF1190" s="170">
        <v>0</v>
      </c>
      <c r="AG1190" s="171">
        <v>1</v>
      </c>
      <c r="AH1190" s="171">
        <v>1</v>
      </c>
      <c r="AI1190" s="171">
        <v>0</v>
      </c>
      <c r="AJ1190" s="171">
        <v>0</v>
      </c>
      <c r="AK1190" s="171">
        <v>0</v>
      </c>
      <c r="AL1190" s="171">
        <v>1</v>
      </c>
      <c r="AM1190" s="171">
        <v>1</v>
      </c>
      <c r="AN1190" s="171">
        <v>1</v>
      </c>
      <c r="AO1190" s="171">
        <v>1</v>
      </c>
      <c r="AP1190" s="171">
        <v>1</v>
      </c>
      <c r="AQ1190" s="171">
        <v>1</v>
      </c>
      <c r="AR1190" s="171">
        <v>1</v>
      </c>
      <c r="AS1190" s="171">
        <v>1</v>
      </c>
      <c r="AT1190" s="171">
        <v>1</v>
      </c>
      <c r="AU1190" s="171">
        <f t="shared" si="433"/>
        <v>0</v>
      </c>
      <c r="AV1190" s="171">
        <f t="shared" si="434"/>
        <v>1</v>
      </c>
      <c r="AW1190" s="171">
        <f t="shared" si="435"/>
        <v>1</v>
      </c>
      <c r="AX1190" s="171">
        <f t="shared" si="444"/>
        <v>1</v>
      </c>
      <c r="AY1190" s="171">
        <f t="shared" si="436"/>
        <v>1</v>
      </c>
      <c r="AZ1190" s="171">
        <f t="shared" si="437"/>
        <v>1</v>
      </c>
      <c r="BA1190" s="172">
        <f t="shared" si="438"/>
        <v>1</v>
      </c>
      <c r="BB1190" s="175">
        <f t="shared" si="439"/>
        <v>17</v>
      </c>
      <c r="BC1190" s="176">
        <f t="shared" si="440"/>
        <v>16</v>
      </c>
      <c r="BD1190" s="176">
        <f t="shared" si="441"/>
        <v>17</v>
      </c>
      <c r="BE1190" s="240" t="str">
        <f t="shared" si="431"/>
        <v/>
      </c>
      <c r="BF1190" s="990"/>
      <c r="BG1190" s="990"/>
      <c r="BH1190" s="991">
        <f>IF(AND(Input_Product=Elig!$C1190,Elig_MatchAll_Ct&lt;22,$BC1190=(Elig_MatchAll_Ct-1),AF1190=0),C1190,0)</f>
        <v>0</v>
      </c>
      <c r="BI1190" s="991">
        <f>IF(AND(Input_Product=Elig!$C1190,Elig_MatchAll_Ct&lt;22,$BC1190=(Elig_MatchAll_Ct-1),AG1190=0),D1190,0)</f>
        <v>0</v>
      </c>
      <c r="BJ1190" s="991">
        <f>IF(AND(Input_Product=Elig!$C1190,Elig_MatchAll_Ct&lt;22,$BC1190=(Elig_MatchAll_Ct-1),AH1190=0),E1190,0)</f>
        <v>0</v>
      </c>
      <c r="BK1190" s="991">
        <f>IF(AND(Input_Product=Elig!$C1190,Elig_MatchAll_Ct&lt;22,$BC1190=(Elig_MatchAll_Ct-1),AI1190=0),F1190,0)</f>
        <v>0</v>
      </c>
      <c r="BL1190" s="991">
        <f>IF(AND(Input_Product=Elig!$C1190,Elig_MatchAll_Ct&lt;22,$BC1190=(Elig_MatchAll_Ct-1),AJ1190=0),G1190,0)</f>
        <v>0</v>
      </c>
      <c r="BM1190" s="991">
        <f>IF(AND(Input_Product=Elig!$C1190,Elig_MatchAll_Ct&lt;22,$BC1190=(Elig_MatchAll_Ct-1),AK1190=0),H1190,0)</f>
        <v>0</v>
      </c>
      <c r="BN1190" s="991">
        <f>IF(AND(Input_Product=Elig!$C1190,Elig_MatchAll_Ct&lt;22,$BC1190=(Elig_MatchAll_Ct-1),AL1190=0),I1190,0)</f>
        <v>0</v>
      </c>
      <c r="BO1190" s="991">
        <f>IF(AND(Input_Product=Elig!$C1190,Elig_MatchAll_Ct&lt;22,$BC1190=(Elig_MatchAll_Ct-1),AM1190=0),J1190,0)</f>
        <v>0</v>
      </c>
      <c r="BP1190" s="991">
        <f>IF(AND(Input_Product=Elig!$C1190,Elig_MatchAll_Ct&lt;22,$BC1190=(Elig_MatchAll_Ct-1),AN1190=0),K1190,0)</f>
        <v>0</v>
      </c>
      <c r="BQ1190" s="991">
        <f>IF(AND(Input_Product=Elig!$C1190,Elig_MatchAll_Ct&lt;22,$BC1190=(Elig_MatchAll_Ct-1),AP1190=0),L1190,0)</f>
        <v>0</v>
      </c>
      <c r="BR1190" s="991">
        <f>IF(AND(Input_Product=Elig!$C1190,Elig_MatchAll_Ct&lt;22,$BC1190=(Elig_MatchAll_Ct-1),AO1190=0),M1190,0)</f>
        <v>0</v>
      </c>
      <c r="BS1190" s="991">
        <f>IF(AND(Input_Product=Elig!$C1190,Elig_MatchAll_Ct&lt;22,$BC1190=(Elig_MatchAll_Ct-1),AQ1190=0),N1190,0)</f>
        <v>0</v>
      </c>
      <c r="BT1190" s="991">
        <f>IF(AND(Input_Product=Elig!$C1190,Elig_MatchAll_Ct&lt;22,$BC1190=(Elig_MatchAll_Ct-1),AR1190=0),O1190,0)</f>
        <v>0</v>
      </c>
      <c r="BU1190" s="991">
        <f>IF(AND(Input_Product=Elig!$C1190,Elig_MatchAll_Ct&lt;22,$BC1190=(Elig_MatchAll_Ct-1),AS1190=0),P1190,0)</f>
        <v>0</v>
      </c>
      <c r="BV1190" s="992">
        <f>IF(AND(Input_Product=Elig!$C1190,Elig_MatchAll_Ct&lt;22,$BC1190=(Elig_MatchAll_Ct-1),AT1190=0),Q1190,0)</f>
        <v>0</v>
      </c>
      <c r="BW1190" s="993">
        <f>IF(AND(Input_Product=Elig!$C1190,Elig_MatchAll_Ct&lt;22,$BC1190=(Elig_MatchAll_Ct-1),AU1190=0),R1190,0)</f>
        <v>0</v>
      </c>
      <c r="BX1190" s="994">
        <f>IF(AND(Input_Product=Elig!$C1190,Elig_MatchAll_Ct&lt;22,$BC1190=(Elig_MatchAll_Ct-1),AU1190=0),S1190,0)</f>
        <v>0</v>
      </c>
      <c r="BY1190" s="993">
        <f>IF(AND(Input_Product=Elig!$C1190,Elig_MatchAll_Ct&lt;22,$BC1190=(Elig_MatchAll_Ct-1),AV1190=0),T1190,0)</f>
        <v>0</v>
      </c>
      <c r="BZ1190" s="994">
        <f>IF(AND(Input_Product=Elig!$C1190,Elig_MatchAll_Ct&lt;22,$BC1190=(Elig_MatchAll_Ct-1),AV1190=0),U1190,0)</f>
        <v>0</v>
      </c>
      <c r="CA1190" s="993">
        <f>IF(AND(Input_Product=Elig!$C1190,Elig_MatchAll_Ct&lt;22,$BC1190=(Elig_MatchAll_Ct-1),AW1190=0),V1190,0)</f>
        <v>0</v>
      </c>
      <c r="CB1190" s="994">
        <f>IF(AND(Input_Product=Elig!$C1190,Elig_MatchAll_Ct&lt;22,$BC1190=(Elig_MatchAll_Ct-1),AW1190=0),W1190,0)</f>
        <v>0</v>
      </c>
      <c r="CC1190" s="993">
        <f>IF(AND(Input_Product=Elig!$C1190,Elig_MatchAll_Ct&lt;22,$BC1190=(Elig_MatchAll_Ct-1),AX1190=0),X1190,0)</f>
        <v>0</v>
      </c>
      <c r="CD1190" s="994">
        <f>IF(AND(Input_Product=Elig!$C1190,Elig_MatchAll_Ct&lt;22,$BC1190=(Elig_MatchAll_Ct-1),AX1190=0),Y1190,0)</f>
        <v>0</v>
      </c>
      <c r="CE1190" s="993">
        <f>IF(AND(Input_LTV&lt;=AE1190,Input_Product=Elig!$C1190,Elig_MatchAll_Ct&lt;22,$BC1190=(Elig_MatchAll_Ct-1),AY1190=0),Z1190,0)</f>
        <v>0</v>
      </c>
      <c r="CF1190" s="994">
        <f>IF(AND(Input_LTV&lt;=AE1190,Input_Product=Elig!$C1190,Elig_MatchAll_Ct&lt;22,$BC1190=(Elig_MatchAll_Ct-1),AY1190=0),AA1190,0)</f>
        <v>0</v>
      </c>
      <c r="CG1190" s="993">
        <f>IF(AND(Input_Product=Elig!$C1190,Elig_MatchAll_Ct&lt;22,$BC1190=(Elig_MatchAll_Ct-1),AZ1190=0),AB1190,0)</f>
        <v>0</v>
      </c>
      <c r="CH1190" s="994">
        <f>IF(AND(Input_Product=Elig!$C1190,Elig_MatchAll_Ct&lt;22,$BC1190=(Elig_MatchAll_Ct-1),AZ1190=0),AC1190,0)</f>
        <v>0</v>
      </c>
      <c r="CI1190" s="993">
        <f>IF(AND(Input_Product=Elig!$C1190,Elig_MatchAll_Ct&lt;22,$BC1190=(Elig_MatchAll_Ct-1),BA1190=0),AD1190,0)</f>
        <v>0</v>
      </c>
      <c r="CJ1190" s="994">
        <f>IF(AND(Input_Product=Elig!$C1190,Elig_MatchAll_Ct&lt;22,$BC1190=(Elig_MatchAll_Ct-1),BA1190=0),AE1190,0)</f>
        <v>0</v>
      </c>
    </row>
    <row r="1191" spans="2:88" ht="10.15" customHeight="1" x14ac:dyDescent="0.25">
      <c r="B1191" s="1918" t="s">
        <v>2481</v>
      </c>
      <c r="C1191" s="1223" t="str">
        <f t="shared" si="443"/>
        <v xml:space="preserve"> </v>
      </c>
      <c r="D1191" s="1224" t="s">
        <v>2218</v>
      </c>
      <c r="E1191" s="1224" t="s">
        <v>167</v>
      </c>
      <c r="F1191" s="1224" t="s">
        <v>330</v>
      </c>
      <c r="G1191" s="1225" t="s">
        <v>175</v>
      </c>
      <c r="H1191" s="1225" t="s">
        <v>446</v>
      </c>
      <c r="I1191" s="1224" t="s">
        <v>16</v>
      </c>
      <c r="J1191" s="1224" t="s">
        <v>1311</v>
      </c>
      <c r="K1191" s="1225" t="s">
        <v>3022</v>
      </c>
      <c r="L1191" s="1224" t="s">
        <v>2768</v>
      </c>
      <c r="M1191" s="1224" t="s">
        <v>2677</v>
      </c>
      <c r="N1191" s="1225" t="s">
        <v>2685</v>
      </c>
      <c r="O1191" s="1224" t="s">
        <v>310</v>
      </c>
      <c r="P1191" s="1224" t="s">
        <v>291</v>
      </c>
      <c r="Q1191" s="1224" t="s">
        <v>294</v>
      </c>
      <c r="R1191" s="1224">
        <v>1500000.01</v>
      </c>
      <c r="S1191" s="1224">
        <v>2000000</v>
      </c>
      <c r="T1191" s="1224">
        <v>0</v>
      </c>
      <c r="U1191" s="1224">
        <f t="shared" si="442"/>
        <v>2000000</v>
      </c>
      <c r="V1191" s="1224">
        <v>0</v>
      </c>
      <c r="W1191" s="1224">
        <v>50</v>
      </c>
      <c r="X1191" s="1224">
        <v>0</v>
      </c>
      <c r="Y1191" s="1224">
        <v>999</v>
      </c>
      <c r="Z1191" s="1226">
        <v>700</v>
      </c>
      <c r="AA1191" s="1226">
        <v>719</v>
      </c>
      <c r="AB1191" s="1226">
        <v>6</v>
      </c>
      <c r="AC1191" s="1226">
        <v>999999</v>
      </c>
      <c r="AD1191" s="1224">
        <v>0</v>
      </c>
      <c r="AE1191" s="1227">
        <v>80</v>
      </c>
      <c r="AF1191" s="170">
        <v>0</v>
      </c>
      <c r="AG1191" s="171">
        <v>1</v>
      </c>
      <c r="AH1191" s="171">
        <v>1</v>
      </c>
      <c r="AI1191" s="171">
        <v>0</v>
      </c>
      <c r="AJ1191" s="171">
        <v>0</v>
      </c>
      <c r="AK1191" s="171">
        <v>0</v>
      </c>
      <c r="AL1191" s="171">
        <v>1</v>
      </c>
      <c r="AM1191" s="171">
        <v>1</v>
      </c>
      <c r="AN1191" s="171">
        <v>1</v>
      </c>
      <c r="AO1191" s="171">
        <v>1</v>
      </c>
      <c r="AP1191" s="171">
        <v>1</v>
      </c>
      <c r="AQ1191" s="171">
        <v>1</v>
      </c>
      <c r="AR1191" s="171">
        <v>1</v>
      </c>
      <c r="AS1191" s="171">
        <v>1</v>
      </c>
      <c r="AT1191" s="171">
        <v>1</v>
      </c>
      <c r="AU1191" s="171">
        <f t="shared" si="433"/>
        <v>0</v>
      </c>
      <c r="AV1191" s="171">
        <f t="shared" si="434"/>
        <v>1</v>
      </c>
      <c r="AW1191" s="171">
        <f t="shared" si="435"/>
        <v>1</v>
      </c>
      <c r="AX1191" s="171">
        <f t="shared" si="444"/>
        <v>1</v>
      </c>
      <c r="AY1191" s="171">
        <f t="shared" si="436"/>
        <v>0</v>
      </c>
      <c r="AZ1191" s="171">
        <f t="shared" si="437"/>
        <v>1</v>
      </c>
      <c r="BA1191" s="172">
        <f t="shared" si="438"/>
        <v>1</v>
      </c>
      <c r="BB1191" s="175">
        <f t="shared" si="439"/>
        <v>16</v>
      </c>
      <c r="BC1191" s="176">
        <f t="shared" si="440"/>
        <v>15</v>
      </c>
      <c r="BD1191" s="176">
        <f t="shared" si="441"/>
        <v>16</v>
      </c>
      <c r="BE1191" s="240" t="str">
        <f t="shared" si="431"/>
        <v/>
      </c>
      <c r="BF1191" s="990"/>
      <c r="BG1191" s="990"/>
      <c r="BH1191" s="991">
        <f>IF(AND(Input_Product=Elig!$C1191,Elig_MatchAll_Ct&lt;22,$BC1191=(Elig_MatchAll_Ct-1),AF1191=0),C1191,0)</f>
        <v>0</v>
      </c>
      <c r="BI1191" s="991">
        <f>IF(AND(Input_Product=Elig!$C1191,Elig_MatchAll_Ct&lt;22,$BC1191=(Elig_MatchAll_Ct-1),AG1191=0),D1191,0)</f>
        <v>0</v>
      </c>
      <c r="BJ1191" s="991">
        <f>IF(AND(Input_Product=Elig!$C1191,Elig_MatchAll_Ct&lt;22,$BC1191=(Elig_MatchAll_Ct-1),AH1191=0),E1191,0)</f>
        <v>0</v>
      </c>
      <c r="BK1191" s="991">
        <f>IF(AND(Input_Product=Elig!$C1191,Elig_MatchAll_Ct&lt;22,$BC1191=(Elig_MatchAll_Ct-1),AI1191=0),F1191,0)</f>
        <v>0</v>
      </c>
      <c r="BL1191" s="991">
        <f>IF(AND(Input_Product=Elig!$C1191,Elig_MatchAll_Ct&lt;22,$BC1191=(Elig_MatchAll_Ct-1),AJ1191=0),G1191,0)</f>
        <v>0</v>
      </c>
      <c r="BM1191" s="991">
        <f>IF(AND(Input_Product=Elig!$C1191,Elig_MatchAll_Ct&lt;22,$BC1191=(Elig_MatchAll_Ct-1),AK1191=0),H1191,0)</f>
        <v>0</v>
      </c>
      <c r="BN1191" s="991">
        <f>IF(AND(Input_Product=Elig!$C1191,Elig_MatchAll_Ct&lt;22,$BC1191=(Elig_MatchAll_Ct-1),AL1191=0),I1191,0)</f>
        <v>0</v>
      </c>
      <c r="BO1191" s="991">
        <f>IF(AND(Input_Product=Elig!$C1191,Elig_MatchAll_Ct&lt;22,$BC1191=(Elig_MatchAll_Ct-1),AM1191=0),J1191,0)</f>
        <v>0</v>
      </c>
      <c r="BP1191" s="991">
        <f>IF(AND(Input_Product=Elig!$C1191,Elig_MatchAll_Ct&lt;22,$BC1191=(Elig_MatchAll_Ct-1),AN1191=0),K1191,0)</f>
        <v>0</v>
      </c>
      <c r="BQ1191" s="991">
        <f>IF(AND(Input_Product=Elig!$C1191,Elig_MatchAll_Ct&lt;22,$BC1191=(Elig_MatchAll_Ct-1),AP1191=0),L1191,0)</f>
        <v>0</v>
      </c>
      <c r="BR1191" s="991">
        <f>IF(AND(Input_Product=Elig!$C1191,Elig_MatchAll_Ct&lt;22,$BC1191=(Elig_MatchAll_Ct-1),AO1191=0),M1191,0)</f>
        <v>0</v>
      </c>
      <c r="BS1191" s="991">
        <f>IF(AND(Input_Product=Elig!$C1191,Elig_MatchAll_Ct&lt;22,$BC1191=(Elig_MatchAll_Ct-1),AQ1191=0),N1191,0)</f>
        <v>0</v>
      </c>
      <c r="BT1191" s="991">
        <f>IF(AND(Input_Product=Elig!$C1191,Elig_MatchAll_Ct&lt;22,$BC1191=(Elig_MatchAll_Ct-1),AR1191=0),O1191,0)</f>
        <v>0</v>
      </c>
      <c r="BU1191" s="991">
        <f>IF(AND(Input_Product=Elig!$C1191,Elig_MatchAll_Ct&lt;22,$BC1191=(Elig_MatchAll_Ct-1),AS1191=0),P1191,0)</f>
        <v>0</v>
      </c>
      <c r="BV1191" s="992">
        <f>IF(AND(Input_Product=Elig!$C1191,Elig_MatchAll_Ct&lt;22,$BC1191=(Elig_MatchAll_Ct-1),AT1191=0),Q1191,0)</f>
        <v>0</v>
      </c>
      <c r="BW1191" s="993">
        <f>IF(AND(Input_Product=Elig!$C1191,Elig_MatchAll_Ct&lt;22,$BC1191=(Elig_MatchAll_Ct-1),AU1191=0),R1191,0)</f>
        <v>0</v>
      </c>
      <c r="BX1191" s="994">
        <f>IF(AND(Input_Product=Elig!$C1191,Elig_MatchAll_Ct&lt;22,$BC1191=(Elig_MatchAll_Ct-1),AU1191=0),S1191,0)</f>
        <v>0</v>
      </c>
      <c r="BY1191" s="993">
        <f>IF(AND(Input_Product=Elig!$C1191,Elig_MatchAll_Ct&lt;22,$BC1191=(Elig_MatchAll_Ct-1),AV1191=0),T1191,0)</f>
        <v>0</v>
      </c>
      <c r="BZ1191" s="994">
        <f>IF(AND(Input_Product=Elig!$C1191,Elig_MatchAll_Ct&lt;22,$BC1191=(Elig_MatchAll_Ct-1),AV1191=0),U1191,0)</f>
        <v>0</v>
      </c>
      <c r="CA1191" s="993">
        <f>IF(AND(Input_Product=Elig!$C1191,Elig_MatchAll_Ct&lt;22,$BC1191=(Elig_MatchAll_Ct-1),AW1191=0),V1191,0)</f>
        <v>0</v>
      </c>
      <c r="CB1191" s="994">
        <f>IF(AND(Input_Product=Elig!$C1191,Elig_MatchAll_Ct&lt;22,$BC1191=(Elig_MatchAll_Ct-1),AW1191=0),W1191,0)</f>
        <v>0</v>
      </c>
      <c r="CC1191" s="993">
        <f>IF(AND(Input_Product=Elig!$C1191,Elig_MatchAll_Ct&lt;22,$BC1191=(Elig_MatchAll_Ct-1),AX1191=0),X1191,0)</f>
        <v>0</v>
      </c>
      <c r="CD1191" s="994">
        <f>IF(AND(Input_Product=Elig!$C1191,Elig_MatchAll_Ct&lt;22,$BC1191=(Elig_MatchAll_Ct-1),AX1191=0),Y1191,0)</f>
        <v>0</v>
      </c>
      <c r="CE1191" s="993">
        <f>IF(AND(Input_LTV&lt;=AE1191,Input_Product=Elig!$C1191,Elig_MatchAll_Ct&lt;22,$BC1191=(Elig_MatchAll_Ct-1),AY1191=0),Z1191,0)</f>
        <v>0</v>
      </c>
      <c r="CF1191" s="994">
        <f>IF(AND(Input_LTV&lt;=AE1191,Input_Product=Elig!$C1191,Elig_MatchAll_Ct&lt;22,$BC1191=(Elig_MatchAll_Ct-1),AY1191=0),AA1191,0)</f>
        <v>0</v>
      </c>
      <c r="CG1191" s="993">
        <f>IF(AND(Input_Product=Elig!$C1191,Elig_MatchAll_Ct&lt;22,$BC1191=(Elig_MatchAll_Ct-1),AZ1191=0),AB1191,0)</f>
        <v>0</v>
      </c>
      <c r="CH1191" s="994">
        <f>IF(AND(Input_Product=Elig!$C1191,Elig_MatchAll_Ct&lt;22,$BC1191=(Elig_MatchAll_Ct-1),AZ1191=0),AC1191,0)</f>
        <v>0</v>
      </c>
      <c r="CI1191" s="993">
        <f>IF(AND(Input_Product=Elig!$C1191,Elig_MatchAll_Ct&lt;22,$BC1191=(Elig_MatchAll_Ct-1),BA1191=0),AD1191,0)</f>
        <v>0</v>
      </c>
      <c r="CJ1191" s="994">
        <f>IF(AND(Input_Product=Elig!$C1191,Elig_MatchAll_Ct&lt;22,$BC1191=(Elig_MatchAll_Ct-1),BA1191=0),AE1191,0)</f>
        <v>0</v>
      </c>
    </row>
    <row r="1192" spans="2:88" ht="10.15" customHeight="1" x14ac:dyDescent="0.25">
      <c r="B1192" s="1918" t="s">
        <v>2482</v>
      </c>
      <c r="C1192" s="1223" t="str">
        <f t="shared" si="443"/>
        <v xml:space="preserve"> </v>
      </c>
      <c r="D1192" s="1224" t="s">
        <v>2218</v>
      </c>
      <c r="E1192" s="1224" t="s">
        <v>167</v>
      </c>
      <c r="F1192" s="1224" t="s">
        <v>330</v>
      </c>
      <c r="G1192" s="1225" t="s">
        <v>175</v>
      </c>
      <c r="H1192" s="1225" t="s">
        <v>446</v>
      </c>
      <c r="I1192" s="1224" t="s">
        <v>16</v>
      </c>
      <c r="J1192" s="1224" t="s">
        <v>1311</v>
      </c>
      <c r="K1192" s="1225" t="s">
        <v>3022</v>
      </c>
      <c r="L1192" s="1224" t="s">
        <v>2768</v>
      </c>
      <c r="M1192" s="1224" t="s">
        <v>2677</v>
      </c>
      <c r="N1192" s="1225" t="s">
        <v>2685</v>
      </c>
      <c r="O1192" s="1224" t="s">
        <v>310</v>
      </c>
      <c r="P1192" s="1224" t="s">
        <v>291</v>
      </c>
      <c r="Q1192" s="1224" t="s">
        <v>294</v>
      </c>
      <c r="R1192" s="1224">
        <v>1500000.01</v>
      </c>
      <c r="S1192" s="1224">
        <v>2000000</v>
      </c>
      <c r="T1192" s="1224">
        <v>0</v>
      </c>
      <c r="U1192" s="1224">
        <f t="shared" si="442"/>
        <v>2000000</v>
      </c>
      <c r="V1192" s="1224">
        <v>0</v>
      </c>
      <c r="W1192" s="1224">
        <v>50</v>
      </c>
      <c r="X1192" s="1224">
        <v>0</v>
      </c>
      <c r="Y1192" s="1224">
        <v>999</v>
      </c>
      <c r="Z1192" s="1226">
        <v>680</v>
      </c>
      <c r="AA1192" s="1226">
        <v>699</v>
      </c>
      <c r="AB1192" s="1226">
        <v>6</v>
      </c>
      <c r="AC1192" s="1226">
        <v>999999</v>
      </c>
      <c r="AD1192" s="1224">
        <v>0</v>
      </c>
      <c r="AE1192" s="1227">
        <v>75</v>
      </c>
      <c r="AF1192" s="170">
        <v>0</v>
      </c>
      <c r="AG1192" s="171">
        <v>1</v>
      </c>
      <c r="AH1192" s="171">
        <v>1</v>
      </c>
      <c r="AI1192" s="171">
        <v>0</v>
      </c>
      <c r="AJ1192" s="171">
        <v>0</v>
      </c>
      <c r="AK1192" s="171">
        <v>0</v>
      </c>
      <c r="AL1192" s="171">
        <v>1</v>
      </c>
      <c r="AM1192" s="171">
        <v>1</v>
      </c>
      <c r="AN1192" s="171">
        <v>1</v>
      </c>
      <c r="AO1192" s="171">
        <v>1</v>
      </c>
      <c r="AP1192" s="171">
        <v>1</v>
      </c>
      <c r="AQ1192" s="171">
        <v>1</v>
      </c>
      <c r="AR1192" s="171">
        <v>1</v>
      </c>
      <c r="AS1192" s="171">
        <v>1</v>
      </c>
      <c r="AT1192" s="171">
        <v>1</v>
      </c>
      <c r="AU1192" s="171">
        <f t="shared" si="433"/>
        <v>0</v>
      </c>
      <c r="AV1192" s="171">
        <f t="shared" si="434"/>
        <v>1</v>
      </c>
      <c r="AW1192" s="171">
        <f t="shared" si="435"/>
        <v>1</v>
      </c>
      <c r="AX1192" s="171">
        <f t="shared" si="444"/>
        <v>1</v>
      </c>
      <c r="AY1192" s="171">
        <f t="shared" si="436"/>
        <v>0</v>
      </c>
      <c r="AZ1192" s="171">
        <f t="shared" si="437"/>
        <v>1</v>
      </c>
      <c r="BA1192" s="172">
        <f t="shared" si="438"/>
        <v>1</v>
      </c>
      <c r="BB1192" s="175">
        <f t="shared" si="439"/>
        <v>16</v>
      </c>
      <c r="BC1192" s="176">
        <f t="shared" si="440"/>
        <v>15</v>
      </c>
      <c r="BD1192" s="176">
        <f t="shared" si="441"/>
        <v>16</v>
      </c>
      <c r="BE1192" s="240" t="str">
        <f t="shared" si="431"/>
        <v/>
      </c>
      <c r="BF1192" s="990"/>
      <c r="BG1192" s="990"/>
      <c r="BH1192" s="991">
        <f>IF(AND(Input_Product=Elig!$C1192,Elig_MatchAll_Ct&lt;22,$BC1192=(Elig_MatchAll_Ct-1),AF1192=0),C1192,0)</f>
        <v>0</v>
      </c>
      <c r="BI1192" s="991">
        <f>IF(AND(Input_Product=Elig!$C1192,Elig_MatchAll_Ct&lt;22,$BC1192=(Elig_MatchAll_Ct-1),AG1192=0),D1192,0)</f>
        <v>0</v>
      </c>
      <c r="BJ1192" s="991">
        <f>IF(AND(Input_Product=Elig!$C1192,Elig_MatchAll_Ct&lt;22,$BC1192=(Elig_MatchAll_Ct-1),AH1192=0),E1192,0)</f>
        <v>0</v>
      </c>
      <c r="BK1192" s="991">
        <f>IF(AND(Input_Product=Elig!$C1192,Elig_MatchAll_Ct&lt;22,$BC1192=(Elig_MatchAll_Ct-1),AI1192=0),F1192,0)</f>
        <v>0</v>
      </c>
      <c r="BL1192" s="991">
        <f>IF(AND(Input_Product=Elig!$C1192,Elig_MatchAll_Ct&lt;22,$BC1192=(Elig_MatchAll_Ct-1),AJ1192=0),G1192,0)</f>
        <v>0</v>
      </c>
      <c r="BM1192" s="991">
        <f>IF(AND(Input_Product=Elig!$C1192,Elig_MatchAll_Ct&lt;22,$BC1192=(Elig_MatchAll_Ct-1),AK1192=0),H1192,0)</f>
        <v>0</v>
      </c>
      <c r="BN1192" s="991">
        <f>IF(AND(Input_Product=Elig!$C1192,Elig_MatchAll_Ct&lt;22,$BC1192=(Elig_MatchAll_Ct-1),AL1192=0),I1192,0)</f>
        <v>0</v>
      </c>
      <c r="BO1192" s="991">
        <f>IF(AND(Input_Product=Elig!$C1192,Elig_MatchAll_Ct&lt;22,$BC1192=(Elig_MatchAll_Ct-1),AM1192=0),J1192,0)</f>
        <v>0</v>
      </c>
      <c r="BP1192" s="991">
        <f>IF(AND(Input_Product=Elig!$C1192,Elig_MatchAll_Ct&lt;22,$BC1192=(Elig_MatchAll_Ct-1),AN1192=0),K1192,0)</f>
        <v>0</v>
      </c>
      <c r="BQ1192" s="991">
        <f>IF(AND(Input_Product=Elig!$C1192,Elig_MatchAll_Ct&lt;22,$BC1192=(Elig_MatchAll_Ct-1),AP1192=0),L1192,0)</f>
        <v>0</v>
      </c>
      <c r="BR1192" s="991">
        <f>IF(AND(Input_Product=Elig!$C1192,Elig_MatchAll_Ct&lt;22,$BC1192=(Elig_MatchAll_Ct-1),AO1192=0),M1192,0)</f>
        <v>0</v>
      </c>
      <c r="BS1192" s="991">
        <f>IF(AND(Input_Product=Elig!$C1192,Elig_MatchAll_Ct&lt;22,$BC1192=(Elig_MatchAll_Ct-1),AQ1192=0),N1192,0)</f>
        <v>0</v>
      </c>
      <c r="BT1192" s="991">
        <f>IF(AND(Input_Product=Elig!$C1192,Elig_MatchAll_Ct&lt;22,$BC1192=(Elig_MatchAll_Ct-1),AR1192=0),O1192,0)</f>
        <v>0</v>
      </c>
      <c r="BU1192" s="991">
        <f>IF(AND(Input_Product=Elig!$C1192,Elig_MatchAll_Ct&lt;22,$BC1192=(Elig_MatchAll_Ct-1),AS1192=0),P1192,0)</f>
        <v>0</v>
      </c>
      <c r="BV1192" s="992">
        <f>IF(AND(Input_Product=Elig!$C1192,Elig_MatchAll_Ct&lt;22,$BC1192=(Elig_MatchAll_Ct-1),AT1192=0),Q1192,0)</f>
        <v>0</v>
      </c>
      <c r="BW1192" s="993">
        <f>IF(AND(Input_Product=Elig!$C1192,Elig_MatchAll_Ct&lt;22,$BC1192=(Elig_MatchAll_Ct-1),AU1192=0),R1192,0)</f>
        <v>0</v>
      </c>
      <c r="BX1192" s="994">
        <f>IF(AND(Input_Product=Elig!$C1192,Elig_MatchAll_Ct&lt;22,$BC1192=(Elig_MatchAll_Ct-1),AU1192=0),S1192,0)</f>
        <v>0</v>
      </c>
      <c r="BY1192" s="993">
        <f>IF(AND(Input_Product=Elig!$C1192,Elig_MatchAll_Ct&lt;22,$BC1192=(Elig_MatchAll_Ct-1),AV1192=0),T1192,0)</f>
        <v>0</v>
      </c>
      <c r="BZ1192" s="994">
        <f>IF(AND(Input_Product=Elig!$C1192,Elig_MatchAll_Ct&lt;22,$BC1192=(Elig_MatchAll_Ct-1),AV1192=0),U1192,0)</f>
        <v>0</v>
      </c>
      <c r="CA1192" s="993">
        <f>IF(AND(Input_Product=Elig!$C1192,Elig_MatchAll_Ct&lt;22,$BC1192=(Elig_MatchAll_Ct-1),AW1192=0),V1192,0)</f>
        <v>0</v>
      </c>
      <c r="CB1192" s="994">
        <f>IF(AND(Input_Product=Elig!$C1192,Elig_MatchAll_Ct&lt;22,$BC1192=(Elig_MatchAll_Ct-1),AW1192=0),W1192,0)</f>
        <v>0</v>
      </c>
      <c r="CC1192" s="993">
        <f>IF(AND(Input_Product=Elig!$C1192,Elig_MatchAll_Ct&lt;22,$BC1192=(Elig_MatchAll_Ct-1),AX1192=0),X1192,0)</f>
        <v>0</v>
      </c>
      <c r="CD1192" s="994">
        <f>IF(AND(Input_Product=Elig!$C1192,Elig_MatchAll_Ct&lt;22,$BC1192=(Elig_MatchAll_Ct-1),AX1192=0),Y1192,0)</f>
        <v>0</v>
      </c>
      <c r="CE1192" s="993">
        <f>IF(AND(Input_LTV&lt;=AE1192,Input_Product=Elig!$C1192,Elig_MatchAll_Ct&lt;22,$BC1192=(Elig_MatchAll_Ct-1),AY1192=0),Z1192,0)</f>
        <v>0</v>
      </c>
      <c r="CF1192" s="994">
        <f>IF(AND(Input_LTV&lt;=AE1192,Input_Product=Elig!$C1192,Elig_MatchAll_Ct&lt;22,$BC1192=(Elig_MatchAll_Ct-1),AY1192=0),AA1192,0)</f>
        <v>0</v>
      </c>
      <c r="CG1192" s="993">
        <f>IF(AND(Input_Product=Elig!$C1192,Elig_MatchAll_Ct&lt;22,$BC1192=(Elig_MatchAll_Ct-1),AZ1192=0),AB1192,0)</f>
        <v>0</v>
      </c>
      <c r="CH1192" s="994">
        <f>IF(AND(Input_Product=Elig!$C1192,Elig_MatchAll_Ct&lt;22,$BC1192=(Elig_MatchAll_Ct-1),AZ1192=0),AC1192,0)</f>
        <v>0</v>
      </c>
      <c r="CI1192" s="993">
        <f>IF(AND(Input_Product=Elig!$C1192,Elig_MatchAll_Ct&lt;22,$BC1192=(Elig_MatchAll_Ct-1),BA1192=0),AD1192,0)</f>
        <v>0</v>
      </c>
      <c r="CJ1192" s="994">
        <f>IF(AND(Input_Product=Elig!$C1192,Elig_MatchAll_Ct&lt;22,$BC1192=(Elig_MatchAll_Ct-1),BA1192=0),AE1192,0)</f>
        <v>0</v>
      </c>
    </row>
    <row r="1193" spans="2:88" ht="10.15" customHeight="1" x14ac:dyDescent="0.25">
      <c r="B1193" s="1918" t="s">
        <v>2483</v>
      </c>
      <c r="C1193" s="1228" t="str">
        <f t="shared" si="443"/>
        <v xml:space="preserve"> </v>
      </c>
      <c r="D1193" s="1229" t="s">
        <v>2218</v>
      </c>
      <c r="E1193" s="1229" t="s">
        <v>167</v>
      </c>
      <c r="F1193" s="1229" t="s">
        <v>330</v>
      </c>
      <c r="G1193" s="1230" t="s">
        <v>175</v>
      </c>
      <c r="H1193" s="1230" t="s">
        <v>446</v>
      </c>
      <c r="I1193" s="1229" t="s">
        <v>16</v>
      </c>
      <c r="J1193" s="1229" t="s">
        <v>1311</v>
      </c>
      <c r="K1193" s="1230" t="s">
        <v>3022</v>
      </c>
      <c r="L1193" s="1229" t="s">
        <v>2768</v>
      </c>
      <c r="M1193" s="1229" t="s">
        <v>2677</v>
      </c>
      <c r="N1193" s="1230" t="s">
        <v>2685</v>
      </c>
      <c r="O1193" s="1229" t="s">
        <v>310</v>
      </c>
      <c r="P1193" s="1229" t="s">
        <v>291</v>
      </c>
      <c r="Q1193" s="1229" t="s">
        <v>294</v>
      </c>
      <c r="R1193" s="1229">
        <v>1500000.01</v>
      </c>
      <c r="S1193" s="1229">
        <v>2000000</v>
      </c>
      <c r="T1193" s="1229">
        <v>0</v>
      </c>
      <c r="U1193" s="1229">
        <f t="shared" si="442"/>
        <v>2000000</v>
      </c>
      <c r="V1193" s="1229">
        <v>0</v>
      </c>
      <c r="W1193" s="1229">
        <v>50</v>
      </c>
      <c r="X1193" s="1229">
        <v>0</v>
      </c>
      <c r="Y1193" s="1229">
        <v>999</v>
      </c>
      <c r="Z1193" s="1231">
        <v>660</v>
      </c>
      <c r="AA1193" s="1231">
        <v>679</v>
      </c>
      <c r="AB1193" s="1231">
        <v>6</v>
      </c>
      <c r="AC1193" s="1231">
        <v>999999</v>
      </c>
      <c r="AD1193" s="1229">
        <v>0</v>
      </c>
      <c r="AE1193" s="1232">
        <v>70</v>
      </c>
      <c r="AF1193" s="170">
        <v>0</v>
      </c>
      <c r="AG1193" s="171">
        <v>1</v>
      </c>
      <c r="AH1193" s="171">
        <v>1</v>
      </c>
      <c r="AI1193" s="171">
        <v>0</v>
      </c>
      <c r="AJ1193" s="171">
        <v>0</v>
      </c>
      <c r="AK1193" s="171">
        <v>0</v>
      </c>
      <c r="AL1193" s="171">
        <v>1</v>
      </c>
      <c r="AM1193" s="171">
        <v>1</v>
      </c>
      <c r="AN1193" s="171">
        <v>1</v>
      </c>
      <c r="AO1193" s="171">
        <v>1</v>
      </c>
      <c r="AP1193" s="171">
        <v>1</v>
      </c>
      <c r="AQ1193" s="171">
        <v>1</v>
      </c>
      <c r="AR1193" s="171">
        <v>1</v>
      </c>
      <c r="AS1193" s="171">
        <v>1</v>
      </c>
      <c r="AT1193" s="171">
        <v>1</v>
      </c>
      <c r="AU1193" s="171">
        <f t="shared" si="433"/>
        <v>0</v>
      </c>
      <c r="AV1193" s="171">
        <f t="shared" si="434"/>
        <v>1</v>
      </c>
      <c r="AW1193" s="171">
        <f t="shared" si="435"/>
        <v>1</v>
      </c>
      <c r="AX1193" s="171">
        <f t="shared" si="444"/>
        <v>1</v>
      </c>
      <c r="AY1193" s="171">
        <f t="shared" si="436"/>
        <v>0</v>
      </c>
      <c r="AZ1193" s="171">
        <f t="shared" si="437"/>
        <v>1</v>
      </c>
      <c r="BA1193" s="172">
        <f t="shared" si="438"/>
        <v>1</v>
      </c>
      <c r="BB1193" s="175">
        <f t="shared" si="439"/>
        <v>16</v>
      </c>
      <c r="BC1193" s="176">
        <f t="shared" si="440"/>
        <v>15</v>
      </c>
      <c r="BD1193" s="176">
        <f t="shared" si="441"/>
        <v>16</v>
      </c>
      <c r="BE1193" s="240" t="str">
        <f t="shared" si="431"/>
        <v/>
      </c>
      <c r="BF1193" s="990"/>
      <c r="BG1193" s="990"/>
      <c r="BH1193" s="991">
        <f>IF(AND(Input_Product=Elig!$C1193,Elig_MatchAll_Ct&lt;22,$BC1193=(Elig_MatchAll_Ct-1),AF1193=0),C1193,0)</f>
        <v>0</v>
      </c>
      <c r="BI1193" s="991">
        <f>IF(AND(Input_Product=Elig!$C1193,Elig_MatchAll_Ct&lt;22,$BC1193=(Elig_MatchAll_Ct-1),AG1193=0),D1193,0)</f>
        <v>0</v>
      </c>
      <c r="BJ1193" s="991">
        <f>IF(AND(Input_Product=Elig!$C1193,Elig_MatchAll_Ct&lt;22,$BC1193=(Elig_MatchAll_Ct-1),AH1193=0),E1193,0)</f>
        <v>0</v>
      </c>
      <c r="BK1193" s="991">
        <f>IF(AND(Input_Product=Elig!$C1193,Elig_MatchAll_Ct&lt;22,$BC1193=(Elig_MatchAll_Ct-1),AI1193=0),F1193,0)</f>
        <v>0</v>
      </c>
      <c r="BL1193" s="991">
        <f>IF(AND(Input_Product=Elig!$C1193,Elig_MatchAll_Ct&lt;22,$BC1193=(Elig_MatchAll_Ct-1),AJ1193=0),G1193,0)</f>
        <v>0</v>
      </c>
      <c r="BM1193" s="991">
        <f>IF(AND(Input_Product=Elig!$C1193,Elig_MatchAll_Ct&lt;22,$BC1193=(Elig_MatchAll_Ct-1),AK1193=0),H1193,0)</f>
        <v>0</v>
      </c>
      <c r="BN1193" s="991">
        <f>IF(AND(Input_Product=Elig!$C1193,Elig_MatchAll_Ct&lt;22,$BC1193=(Elig_MatchAll_Ct-1),AL1193=0),I1193,0)</f>
        <v>0</v>
      </c>
      <c r="BO1193" s="991">
        <f>IF(AND(Input_Product=Elig!$C1193,Elig_MatchAll_Ct&lt;22,$BC1193=(Elig_MatchAll_Ct-1),AM1193=0),J1193,0)</f>
        <v>0</v>
      </c>
      <c r="BP1193" s="991">
        <f>IF(AND(Input_Product=Elig!$C1193,Elig_MatchAll_Ct&lt;22,$BC1193=(Elig_MatchAll_Ct-1),AN1193=0),K1193,0)</f>
        <v>0</v>
      </c>
      <c r="BQ1193" s="991">
        <f>IF(AND(Input_Product=Elig!$C1193,Elig_MatchAll_Ct&lt;22,$BC1193=(Elig_MatchAll_Ct-1),AP1193=0),L1193,0)</f>
        <v>0</v>
      </c>
      <c r="BR1193" s="991">
        <f>IF(AND(Input_Product=Elig!$C1193,Elig_MatchAll_Ct&lt;22,$BC1193=(Elig_MatchAll_Ct-1),AO1193=0),M1193,0)</f>
        <v>0</v>
      </c>
      <c r="BS1193" s="991">
        <f>IF(AND(Input_Product=Elig!$C1193,Elig_MatchAll_Ct&lt;22,$BC1193=(Elig_MatchAll_Ct-1),AQ1193=0),N1193,0)</f>
        <v>0</v>
      </c>
      <c r="BT1193" s="991">
        <f>IF(AND(Input_Product=Elig!$C1193,Elig_MatchAll_Ct&lt;22,$BC1193=(Elig_MatchAll_Ct-1),AR1193=0),O1193,0)</f>
        <v>0</v>
      </c>
      <c r="BU1193" s="991">
        <f>IF(AND(Input_Product=Elig!$C1193,Elig_MatchAll_Ct&lt;22,$BC1193=(Elig_MatchAll_Ct-1),AS1193=0),P1193,0)</f>
        <v>0</v>
      </c>
      <c r="BV1193" s="992">
        <f>IF(AND(Input_Product=Elig!$C1193,Elig_MatchAll_Ct&lt;22,$BC1193=(Elig_MatchAll_Ct-1),AT1193=0),Q1193,0)</f>
        <v>0</v>
      </c>
      <c r="BW1193" s="993">
        <f>IF(AND(Input_Product=Elig!$C1193,Elig_MatchAll_Ct&lt;22,$BC1193=(Elig_MatchAll_Ct-1),AU1193=0),R1193,0)</f>
        <v>0</v>
      </c>
      <c r="BX1193" s="994">
        <f>IF(AND(Input_Product=Elig!$C1193,Elig_MatchAll_Ct&lt;22,$BC1193=(Elig_MatchAll_Ct-1),AU1193=0),S1193,0)</f>
        <v>0</v>
      </c>
      <c r="BY1193" s="993">
        <f>IF(AND(Input_Product=Elig!$C1193,Elig_MatchAll_Ct&lt;22,$BC1193=(Elig_MatchAll_Ct-1),AV1193=0),T1193,0)</f>
        <v>0</v>
      </c>
      <c r="BZ1193" s="994">
        <f>IF(AND(Input_Product=Elig!$C1193,Elig_MatchAll_Ct&lt;22,$BC1193=(Elig_MatchAll_Ct-1),AV1193=0),U1193,0)</f>
        <v>0</v>
      </c>
      <c r="CA1193" s="993">
        <f>IF(AND(Input_Product=Elig!$C1193,Elig_MatchAll_Ct&lt;22,$BC1193=(Elig_MatchAll_Ct-1),AW1193=0),V1193,0)</f>
        <v>0</v>
      </c>
      <c r="CB1193" s="994">
        <f>IF(AND(Input_Product=Elig!$C1193,Elig_MatchAll_Ct&lt;22,$BC1193=(Elig_MatchAll_Ct-1),AW1193=0),W1193,0)</f>
        <v>0</v>
      </c>
      <c r="CC1193" s="993">
        <f>IF(AND(Input_Product=Elig!$C1193,Elig_MatchAll_Ct&lt;22,$BC1193=(Elig_MatchAll_Ct-1),AX1193=0),X1193,0)</f>
        <v>0</v>
      </c>
      <c r="CD1193" s="994">
        <f>IF(AND(Input_Product=Elig!$C1193,Elig_MatchAll_Ct&lt;22,$BC1193=(Elig_MatchAll_Ct-1),AX1193=0),Y1193,0)</f>
        <v>0</v>
      </c>
      <c r="CE1193" s="993">
        <f>IF(AND(Input_LTV&lt;=AE1193,Input_Product=Elig!$C1193,Elig_MatchAll_Ct&lt;22,$BC1193=(Elig_MatchAll_Ct-1),AY1193=0),Z1193,0)</f>
        <v>0</v>
      </c>
      <c r="CF1193" s="994">
        <f>IF(AND(Input_LTV&lt;=AE1193,Input_Product=Elig!$C1193,Elig_MatchAll_Ct&lt;22,$BC1193=(Elig_MatchAll_Ct-1),AY1193=0),AA1193,0)</f>
        <v>0</v>
      </c>
      <c r="CG1193" s="993">
        <f>IF(AND(Input_Product=Elig!$C1193,Elig_MatchAll_Ct&lt;22,$BC1193=(Elig_MatchAll_Ct-1),AZ1193=0),AB1193,0)</f>
        <v>0</v>
      </c>
      <c r="CH1193" s="994">
        <f>IF(AND(Input_Product=Elig!$C1193,Elig_MatchAll_Ct&lt;22,$BC1193=(Elig_MatchAll_Ct-1),AZ1193=0),AC1193,0)</f>
        <v>0</v>
      </c>
      <c r="CI1193" s="993">
        <f>IF(AND(Input_Product=Elig!$C1193,Elig_MatchAll_Ct&lt;22,$BC1193=(Elig_MatchAll_Ct-1),BA1193=0),AD1193,0)</f>
        <v>0</v>
      </c>
      <c r="CJ1193" s="994">
        <f>IF(AND(Input_Product=Elig!$C1193,Elig_MatchAll_Ct&lt;22,$BC1193=(Elig_MatchAll_Ct-1),BA1193=0),AE1193,0)</f>
        <v>0</v>
      </c>
    </row>
    <row r="1194" spans="2:88" ht="10.15" customHeight="1" x14ac:dyDescent="0.25">
      <c r="B1194" s="1918" t="s">
        <v>2484</v>
      </c>
      <c r="C1194" s="1218" t="str">
        <f t="shared" si="443"/>
        <v xml:space="preserve"> </v>
      </c>
      <c r="D1194" s="1219" t="s">
        <v>2218</v>
      </c>
      <c r="E1194" s="1219" t="s">
        <v>167</v>
      </c>
      <c r="F1194" s="1219" t="s">
        <v>330</v>
      </c>
      <c r="G1194" s="1220" t="s">
        <v>175</v>
      </c>
      <c r="H1194" s="1220" t="s">
        <v>446</v>
      </c>
      <c r="I1194" s="1219" t="s">
        <v>16</v>
      </c>
      <c r="J1194" s="1219" t="s">
        <v>1311</v>
      </c>
      <c r="K1194" s="1220" t="s">
        <v>3022</v>
      </c>
      <c r="L1194" s="1219" t="s">
        <v>2768</v>
      </c>
      <c r="M1194" s="1219" t="s">
        <v>2677</v>
      </c>
      <c r="N1194" s="1220" t="s">
        <v>2685</v>
      </c>
      <c r="O1194" s="1219" t="s">
        <v>310</v>
      </c>
      <c r="P1194" s="1219" t="s">
        <v>291</v>
      </c>
      <c r="Q1194" s="1219" t="s">
        <v>294</v>
      </c>
      <c r="R1194" s="1219">
        <v>2000000.01</v>
      </c>
      <c r="S1194" s="1219">
        <v>2500000</v>
      </c>
      <c r="T1194" s="1219">
        <v>0</v>
      </c>
      <c r="U1194" s="1219">
        <f t="shared" si="442"/>
        <v>2500000</v>
      </c>
      <c r="V1194" s="1219">
        <v>0</v>
      </c>
      <c r="W1194" s="1219">
        <v>50</v>
      </c>
      <c r="X1194" s="1219">
        <v>0</v>
      </c>
      <c r="Y1194" s="1219">
        <v>999</v>
      </c>
      <c r="Z1194" s="1221">
        <v>720</v>
      </c>
      <c r="AA1194" s="1221">
        <v>999</v>
      </c>
      <c r="AB1194" s="1221">
        <v>6</v>
      </c>
      <c r="AC1194" s="1221">
        <v>999999</v>
      </c>
      <c r="AD1194" s="1219">
        <v>0</v>
      </c>
      <c r="AE1194" s="1222">
        <v>80</v>
      </c>
      <c r="AF1194" s="170">
        <v>0</v>
      </c>
      <c r="AG1194" s="171">
        <v>1</v>
      </c>
      <c r="AH1194" s="171">
        <v>1</v>
      </c>
      <c r="AI1194" s="171">
        <v>0</v>
      </c>
      <c r="AJ1194" s="171">
        <v>0</v>
      </c>
      <c r="AK1194" s="171">
        <v>0</v>
      </c>
      <c r="AL1194" s="171">
        <v>1</v>
      </c>
      <c r="AM1194" s="171">
        <v>1</v>
      </c>
      <c r="AN1194" s="171">
        <v>1</v>
      </c>
      <c r="AO1194" s="171">
        <v>1</v>
      </c>
      <c r="AP1194" s="171">
        <v>1</v>
      </c>
      <c r="AQ1194" s="171">
        <v>1</v>
      </c>
      <c r="AR1194" s="171">
        <v>1</v>
      </c>
      <c r="AS1194" s="171">
        <v>1</v>
      </c>
      <c r="AT1194" s="171">
        <v>1</v>
      </c>
      <c r="AU1194" s="171">
        <f t="shared" si="433"/>
        <v>0</v>
      </c>
      <c r="AV1194" s="171">
        <f t="shared" si="434"/>
        <v>1</v>
      </c>
      <c r="AW1194" s="171">
        <f t="shared" si="435"/>
        <v>1</v>
      </c>
      <c r="AX1194" s="171">
        <f t="shared" si="444"/>
        <v>1</v>
      </c>
      <c r="AY1194" s="171">
        <f t="shared" si="436"/>
        <v>1</v>
      </c>
      <c r="AZ1194" s="171">
        <f t="shared" si="437"/>
        <v>1</v>
      </c>
      <c r="BA1194" s="172">
        <f t="shared" si="438"/>
        <v>1</v>
      </c>
      <c r="BB1194" s="175">
        <f t="shared" si="439"/>
        <v>17</v>
      </c>
      <c r="BC1194" s="176">
        <f t="shared" si="440"/>
        <v>16</v>
      </c>
      <c r="BD1194" s="176">
        <f t="shared" si="441"/>
        <v>17</v>
      </c>
      <c r="BE1194" s="240" t="str">
        <f t="shared" si="431"/>
        <v/>
      </c>
      <c r="BF1194" s="990"/>
      <c r="BG1194" s="990"/>
      <c r="BH1194" s="991">
        <f>IF(AND(Input_Product=Elig!$C1194,Elig_MatchAll_Ct&lt;22,$BC1194=(Elig_MatchAll_Ct-1),AF1194=0),C1194,0)</f>
        <v>0</v>
      </c>
      <c r="BI1194" s="991">
        <f>IF(AND(Input_Product=Elig!$C1194,Elig_MatchAll_Ct&lt;22,$BC1194=(Elig_MatchAll_Ct-1),AG1194=0),D1194,0)</f>
        <v>0</v>
      </c>
      <c r="BJ1194" s="991">
        <f>IF(AND(Input_Product=Elig!$C1194,Elig_MatchAll_Ct&lt;22,$BC1194=(Elig_MatchAll_Ct-1),AH1194=0),E1194,0)</f>
        <v>0</v>
      </c>
      <c r="BK1194" s="991">
        <f>IF(AND(Input_Product=Elig!$C1194,Elig_MatchAll_Ct&lt;22,$BC1194=(Elig_MatchAll_Ct-1),AI1194=0),F1194,0)</f>
        <v>0</v>
      </c>
      <c r="BL1194" s="991">
        <f>IF(AND(Input_Product=Elig!$C1194,Elig_MatchAll_Ct&lt;22,$BC1194=(Elig_MatchAll_Ct-1),AJ1194=0),G1194,0)</f>
        <v>0</v>
      </c>
      <c r="BM1194" s="991">
        <f>IF(AND(Input_Product=Elig!$C1194,Elig_MatchAll_Ct&lt;22,$BC1194=(Elig_MatchAll_Ct-1),AK1194=0),H1194,0)</f>
        <v>0</v>
      </c>
      <c r="BN1194" s="991">
        <f>IF(AND(Input_Product=Elig!$C1194,Elig_MatchAll_Ct&lt;22,$BC1194=(Elig_MatchAll_Ct-1),AL1194=0),I1194,0)</f>
        <v>0</v>
      </c>
      <c r="BO1194" s="991">
        <f>IF(AND(Input_Product=Elig!$C1194,Elig_MatchAll_Ct&lt;22,$BC1194=(Elig_MatchAll_Ct-1),AM1194=0),J1194,0)</f>
        <v>0</v>
      </c>
      <c r="BP1194" s="991">
        <f>IF(AND(Input_Product=Elig!$C1194,Elig_MatchAll_Ct&lt;22,$BC1194=(Elig_MatchAll_Ct-1),AN1194=0),K1194,0)</f>
        <v>0</v>
      </c>
      <c r="BQ1194" s="991">
        <f>IF(AND(Input_Product=Elig!$C1194,Elig_MatchAll_Ct&lt;22,$BC1194=(Elig_MatchAll_Ct-1),AP1194=0),L1194,0)</f>
        <v>0</v>
      </c>
      <c r="BR1194" s="991">
        <f>IF(AND(Input_Product=Elig!$C1194,Elig_MatchAll_Ct&lt;22,$BC1194=(Elig_MatchAll_Ct-1),AO1194=0),M1194,0)</f>
        <v>0</v>
      </c>
      <c r="BS1194" s="991">
        <f>IF(AND(Input_Product=Elig!$C1194,Elig_MatchAll_Ct&lt;22,$BC1194=(Elig_MatchAll_Ct-1),AQ1194=0),N1194,0)</f>
        <v>0</v>
      </c>
      <c r="BT1194" s="991">
        <f>IF(AND(Input_Product=Elig!$C1194,Elig_MatchAll_Ct&lt;22,$BC1194=(Elig_MatchAll_Ct-1),AR1194=0),O1194,0)</f>
        <v>0</v>
      </c>
      <c r="BU1194" s="991">
        <f>IF(AND(Input_Product=Elig!$C1194,Elig_MatchAll_Ct&lt;22,$BC1194=(Elig_MatchAll_Ct-1),AS1194=0),P1194,0)</f>
        <v>0</v>
      </c>
      <c r="BV1194" s="992">
        <f>IF(AND(Input_Product=Elig!$C1194,Elig_MatchAll_Ct&lt;22,$BC1194=(Elig_MatchAll_Ct-1),AT1194=0),Q1194,0)</f>
        <v>0</v>
      </c>
      <c r="BW1194" s="993">
        <f>IF(AND(Input_Product=Elig!$C1194,Elig_MatchAll_Ct&lt;22,$BC1194=(Elig_MatchAll_Ct-1),AU1194=0),R1194,0)</f>
        <v>0</v>
      </c>
      <c r="BX1194" s="994">
        <f>IF(AND(Input_Product=Elig!$C1194,Elig_MatchAll_Ct&lt;22,$BC1194=(Elig_MatchAll_Ct-1),AU1194=0),S1194,0)</f>
        <v>0</v>
      </c>
      <c r="BY1194" s="993">
        <f>IF(AND(Input_Product=Elig!$C1194,Elig_MatchAll_Ct&lt;22,$BC1194=(Elig_MatchAll_Ct-1),AV1194=0),T1194,0)</f>
        <v>0</v>
      </c>
      <c r="BZ1194" s="994">
        <f>IF(AND(Input_Product=Elig!$C1194,Elig_MatchAll_Ct&lt;22,$BC1194=(Elig_MatchAll_Ct-1),AV1194=0),U1194,0)</f>
        <v>0</v>
      </c>
      <c r="CA1194" s="993">
        <f>IF(AND(Input_Product=Elig!$C1194,Elig_MatchAll_Ct&lt;22,$BC1194=(Elig_MatchAll_Ct-1),AW1194=0),V1194,0)</f>
        <v>0</v>
      </c>
      <c r="CB1194" s="994">
        <f>IF(AND(Input_Product=Elig!$C1194,Elig_MatchAll_Ct&lt;22,$BC1194=(Elig_MatchAll_Ct-1),AW1194=0),W1194,0)</f>
        <v>0</v>
      </c>
      <c r="CC1194" s="993">
        <f>IF(AND(Input_Product=Elig!$C1194,Elig_MatchAll_Ct&lt;22,$BC1194=(Elig_MatchAll_Ct-1),AX1194=0),X1194,0)</f>
        <v>0</v>
      </c>
      <c r="CD1194" s="994">
        <f>IF(AND(Input_Product=Elig!$C1194,Elig_MatchAll_Ct&lt;22,$BC1194=(Elig_MatchAll_Ct-1),AX1194=0),Y1194,0)</f>
        <v>0</v>
      </c>
      <c r="CE1194" s="993">
        <f>IF(AND(Input_LTV&lt;=AE1194,Input_Product=Elig!$C1194,Elig_MatchAll_Ct&lt;22,$BC1194=(Elig_MatchAll_Ct-1),AY1194=0),Z1194,0)</f>
        <v>0</v>
      </c>
      <c r="CF1194" s="994">
        <f>IF(AND(Input_LTV&lt;=AE1194,Input_Product=Elig!$C1194,Elig_MatchAll_Ct&lt;22,$BC1194=(Elig_MatchAll_Ct-1),AY1194=0),AA1194,0)</f>
        <v>0</v>
      </c>
      <c r="CG1194" s="993">
        <f>IF(AND(Input_Product=Elig!$C1194,Elig_MatchAll_Ct&lt;22,$BC1194=(Elig_MatchAll_Ct-1),AZ1194=0),AB1194,0)</f>
        <v>0</v>
      </c>
      <c r="CH1194" s="994">
        <f>IF(AND(Input_Product=Elig!$C1194,Elig_MatchAll_Ct&lt;22,$BC1194=(Elig_MatchAll_Ct-1),AZ1194=0),AC1194,0)</f>
        <v>0</v>
      </c>
      <c r="CI1194" s="993">
        <f>IF(AND(Input_Product=Elig!$C1194,Elig_MatchAll_Ct&lt;22,$BC1194=(Elig_MatchAll_Ct-1),BA1194=0),AD1194,0)</f>
        <v>0</v>
      </c>
      <c r="CJ1194" s="994">
        <f>IF(AND(Input_Product=Elig!$C1194,Elig_MatchAll_Ct&lt;22,$BC1194=(Elig_MatchAll_Ct-1),BA1194=0),AE1194,0)</f>
        <v>0</v>
      </c>
    </row>
    <row r="1195" spans="2:88" ht="10.15" customHeight="1" x14ac:dyDescent="0.25">
      <c r="B1195" s="1918" t="s">
        <v>2485</v>
      </c>
      <c r="C1195" s="1223" t="str">
        <f t="shared" si="443"/>
        <v xml:space="preserve"> </v>
      </c>
      <c r="D1195" s="1224" t="s">
        <v>2218</v>
      </c>
      <c r="E1195" s="1224" t="s">
        <v>167</v>
      </c>
      <c r="F1195" s="1224" t="s">
        <v>330</v>
      </c>
      <c r="G1195" s="1225" t="s">
        <v>175</v>
      </c>
      <c r="H1195" s="1225" t="s">
        <v>446</v>
      </c>
      <c r="I1195" s="1224" t="s">
        <v>16</v>
      </c>
      <c r="J1195" s="1224" t="s">
        <v>1311</v>
      </c>
      <c r="K1195" s="1225" t="s">
        <v>3022</v>
      </c>
      <c r="L1195" s="1224" t="s">
        <v>2768</v>
      </c>
      <c r="M1195" s="1224" t="s">
        <v>2677</v>
      </c>
      <c r="N1195" s="1225" t="s">
        <v>2685</v>
      </c>
      <c r="O1195" s="1224" t="s">
        <v>310</v>
      </c>
      <c r="P1195" s="1224" t="s">
        <v>291</v>
      </c>
      <c r="Q1195" s="1224" t="s">
        <v>294</v>
      </c>
      <c r="R1195" s="1224">
        <v>2000000.01</v>
      </c>
      <c r="S1195" s="1224">
        <v>2500000</v>
      </c>
      <c r="T1195" s="1224">
        <v>0</v>
      </c>
      <c r="U1195" s="1224">
        <f t="shared" si="442"/>
        <v>2500000</v>
      </c>
      <c r="V1195" s="1224">
        <v>0</v>
      </c>
      <c r="W1195" s="1224">
        <v>50</v>
      </c>
      <c r="X1195" s="1224">
        <v>0</v>
      </c>
      <c r="Y1195" s="1224">
        <v>999</v>
      </c>
      <c r="Z1195" s="1226">
        <v>700</v>
      </c>
      <c r="AA1195" s="1226">
        <v>719</v>
      </c>
      <c r="AB1195" s="1226">
        <v>6</v>
      </c>
      <c r="AC1195" s="1226">
        <v>999999</v>
      </c>
      <c r="AD1195" s="1224">
        <v>0</v>
      </c>
      <c r="AE1195" s="1227">
        <v>80</v>
      </c>
      <c r="AF1195" s="170">
        <v>0</v>
      </c>
      <c r="AG1195" s="171">
        <v>1</v>
      </c>
      <c r="AH1195" s="171">
        <v>1</v>
      </c>
      <c r="AI1195" s="171">
        <v>0</v>
      </c>
      <c r="AJ1195" s="171">
        <v>0</v>
      </c>
      <c r="AK1195" s="171">
        <v>0</v>
      </c>
      <c r="AL1195" s="171">
        <v>1</v>
      </c>
      <c r="AM1195" s="171">
        <v>1</v>
      </c>
      <c r="AN1195" s="171">
        <v>1</v>
      </c>
      <c r="AO1195" s="171">
        <v>1</v>
      </c>
      <c r="AP1195" s="171">
        <v>1</v>
      </c>
      <c r="AQ1195" s="171">
        <v>1</v>
      </c>
      <c r="AR1195" s="171">
        <v>1</v>
      </c>
      <c r="AS1195" s="171">
        <v>1</v>
      </c>
      <c r="AT1195" s="171">
        <v>1</v>
      </c>
      <c r="AU1195" s="171">
        <f t="shared" si="433"/>
        <v>0</v>
      </c>
      <c r="AV1195" s="171">
        <f t="shared" si="434"/>
        <v>1</v>
      </c>
      <c r="AW1195" s="171">
        <f t="shared" si="435"/>
        <v>1</v>
      </c>
      <c r="AX1195" s="171">
        <f t="shared" si="444"/>
        <v>1</v>
      </c>
      <c r="AY1195" s="171">
        <f t="shared" si="436"/>
        <v>0</v>
      </c>
      <c r="AZ1195" s="171">
        <f t="shared" si="437"/>
        <v>1</v>
      </c>
      <c r="BA1195" s="172">
        <f t="shared" si="438"/>
        <v>1</v>
      </c>
      <c r="BB1195" s="175">
        <f t="shared" si="439"/>
        <v>16</v>
      </c>
      <c r="BC1195" s="176">
        <f t="shared" si="440"/>
        <v>15</v>
      </c>
      <c r="BD1195" s="176">
        <f t="shared" si="441"/>
        <v>16</v>
      </c>
      <c r="BE1195" s="240" t="str">
        <f t="shared" si="431"/>
        <v/>
      </c>
      <c r="BF1195" s="990"/>
      <c r="BG1195" s="990"/>
      <c r="BH1195" s="991">
        <f>IF(AND(Input_Product=Elig!$C1195,Elig_MatchAll_Ct&lt;22,$BC1195=(Elig_MatchAll_Ct-1),AF1195=0),C1195,0)</f>
        <v>0</v>
      </c>
      <c r="BI1195" s="991">
        <f>IF(AND(Input_Product=Elig!$C1195,Elig_MatchAll_Ct&lt;22,$BC1195=(Elig_MatchAll_Ct-1),AG1195=0),D1195,0)</f>
        <v>0</v>
      </c>
      <c r="BJ1195" s="991">
        <f>IF(AND(Input_Product=Elig!$C1195,Elig_MatchAll_Ct&lt;22,$BC1195=(Elig_MatchAll_Ct-1),AH1195=0),E1195,0)</f>
        <v>0</v>
      </c>
      <c r="BK1195" s="991">
        <f>IF(AND(Input_Product=Elig!$C1195,Elig_MatchAll_Ct&lt;22,$BC1195=(Elig_MatchAll_Ct-1),AI1195=0),F1195,0)</f>
        <v>0</v>
      </c>
      <c r="BL1195" s="991">
        <f>IF(AND(Input_Product=Elig!$C1195,Elig_MatchAll_Ct&lt;22,$BC1195=(Elig_MatchAll_Ct-1),AJ1195=0),G1195,0)</f>
        <v>0</v>
      </c>
      <c r="BM1195" s="991">
        <f>IF(AND(Input_Product=Elig!$C1195,Elig_MatchAll_Ct&lt;22,$BC1195=(Elig_MatchAll_Ct-1),AK1195=0),H1195,0)</f>
        <v>0</v>
      </c>
      <c r="BN1195" s="991">
        <f>IF(AND(Input_Product=Elig!$C1195,Elig_MatchAll_Ct&lt;22,$BC1195=(Elig_MatchAll_Ct-1),AL1195=0),I1195,0)</f>
        <v>0</v>
      </c>
      <c r="BO1195" s="991">
        <f>IF(AND(Input_Product=Elig!$C1195,Elig_MatchAll_Ct&lt;22,$BC1195=(Elig_MatchAll_Ct-1),AM1195=0),J1195,0)</f>
        <v>0</v>
      </c>
      <c r="BP1195" s="991">
        <f>IF(AND(Input_Product=Elig!$C1195,Elig_MatchAll_Ct&lt;22,$BC1195=(Elig_MatchAll_Ct-1),AN1195=0),K1195,0)</f>
        <v>0</v>
      </c>
      <c r="BQ1195" s="991">
        <f>IF(AND(Input_Product=Elig!$C1195,Elig_MatchAll_Ct&lt;22,$BC1195=(Elig_MatchAll_Ct-1),AP1195=0),L1195,0)</f>
        <v>0</v>
      </c>
      <c r="BR1195" s="991">
        <f>IF(AND(Input_Product=Elig!$C1195,Elig_MatchAll_Ct&lt;22,$BC1195=(Elig_MatchAll_Ct-1),AO1195=0),M1195,0)</f>
        <v>0</v>
      </c>
      <c r="BS1195" s="991">
        <f>IF(AND(Input_Product=Elig!$C1195,Elig_MatchAll_Ct&lt;22,$BC1195=(Elig_MatchAll_Ct-1),AQ1195=0),N1195,0)</f>
        <v>0</v>
      </c>
      <c r="BT1195" s="991">
        <f>IF(AND(Input_Product=Elig!$C1195,Elig_MatchAll_Ct&lt;22,$BC1195=(Elig_MatchAll_Ct-1),AR1195=0),O1195,0)</f>
        <v>0</v>
      </c>
      <c r="BU1195" s="991">
        <f>IF(AND(Input_Product=Elig!$C1195,Elig_MatchAll_Ct&lt;22,$BC1195=(Elig_MatchAll_Ct-1),AS1195=0),P1195,0)</f>
        <v>0</v>
      </c>
      <c r="BV1195" s="992">
        <f>IF(AND(Input_Product=Elig!$C1195,Elig_MatchAll_Ct&lt;22,$BC1195=(Elig_MatchAll_Ct-1),AT1195=0),Q1195,0)</f>
        <v>0</v>
      </c>
      <c r="BW1195" s="993">
        <f>IF(AND(Input_Product=Elig!$C1195,Elig_MatchAll_Ct&lt;22,$BC1195=(Elig_MatchAll_Ct-1),AU1195=0),R1195,0)</f>
        <v>0</v>
      </c>
      <c r="BX1195" s="994">
        <f>IF(AND(Input_Product=Elig!$C1195,Elig_MatchAll_Ct&lt;22,$BC1195=(Elig_MatchAll_Ct-1),AU1195=0),S1195,0)</f>
        <v>0</v>
      </c>
      <c r="BY1195" s="993">
        <f>IF(AND(Input_Product=Elig!$C1195,Elig_MatchAll_Ct&lt;22,$BC1195=(Elig_MatchAll_Ct-1),AV1195=0),T1195,0)</f>
        <v>0</v>
      </c>
      <c r="BZ1195" s="994">
        <f>IF(AND(Input_Product=Elig!$C1195,Elig_MatchAll_Ct&lt;22,$BC1195=(Elig_MatchAll_Ct-1),AV1195=0),U1195,0)</f>
        <v>0</v>
      </c>
      <c r="CA1195" s="993">
        <f>IF(AND(Input_Product=Elig!$C1195,Elig_MatchAll_Ct&lt;22,$BC1195=(Elig_MatchAll_Ct-1),AW1195=0),V1195,0)</f>
        <v>0</v>
      </c>
      <c r="CB1195" s="994">
        <f>IF(AND(Input_Product=Elig!$C1195,Elig_MatchAll_Ct&lt;22,$BC1195=(Elig_MatchAll_Ct-1),AW1195=0),W1195,0)</f>
        <v>0</v>
      </c>
      <c r="CC1195" s="993">
        <f>IF(AND(Input_Product=Elig!$C1195,Elig_MatchAll_Ct&lt;22,$BC1195=(Elig_MatchAll_Ct-1),AX1195=0),X1195,0)</f>
        <v>0</v>
      </c>
      <c r="CD1195" s="994">
        <f>IF(AND(Input_Product=Elig!$C1195,Elig_MatchAll_Ct&lt;22,$BC1195=(Elig_MatchAll_Ct-1),AX1195=0),Y1195,0)</f>
        <v>0</v>
      </c>
      <c r="CE1195" s="993">
        <f>IF(AND(Input_LTV&lt;=AE1195,Input_Product=Elig!$C1195,Elig_MatchAll_Ct&lt;22,$BC1195=(Elig_MatchAll_Ct-1),AY1195=0),Z1195,0)</f>
        <v>0</v>
      </c>
      <c r="CF1195" s="994">
        <f>IF(AND(Input_LTV&lt;=AE1195,Input_Product=Elig!$C1195,Elig_MatchAll_Ct&lt;22,$BC1195=(Elig_MatchAll_Ct-1),AY1195=0),AA1195,0)</f>
        <v>0</v>
      </c>
      <c r="CG1195" s="993">
        <f>IF(AND(Input_Product=Elig!$C1195,Elig_MatchAll_Ct&lt;22,$BC1195=(Elig_MatchAll_Ct-1),AZ1195=0),AB1195,0)</f>
        <v>0</v>
      </c>
      <c r="CH1195" s="994">
        <f>IF(AND(Input_Product=Elig!$C1195,Elig_MatchAll_Ct&lt;22,$BC1195=(Elig_MatchAll_Ct-1),AZ1195=0),AC1195,0)</f>
        <v>0</v>
      </c>
      <c r="CI1195" s="993">
        <f>IF(AND(Input_Product=Elig!$C1195,Elig_MatchAll_Ct&lt;22,$BC1195=(Elig_MatchAll_Ct-1),BA1195=0),AD1195,0)</f>
        <v>0</v>
      </c>
      <c r="CJ1195" s="994">
        <f>IF(AND(Input_Product=Elig!$C1195,Elig_MatchAll_Ct&lt;22,$BC1195=(Elig_MatchAll_Ct-1),BA1195=0),AE1195,0)</f>
        <v>0</v>
      </c>
    </row>
    <row r="1196" spans="2:88" ht="10.15" customHeight="1" x14ac:dyDescent="0.25">
      <c r="B1196" s="1918" t="s">
        <v>2486</v>
      </c>
      <c r="C1196" s="1228" t="str">
        <f t="shared" si="443"/>
        <v xml:space="preserve"> </v>
      </c>
      <c r="D1196" s="1229" t="s">
        <v>2218</v>
      </c>
      <c r="E1196" s="1229" t="s">
        <v>167</v>
      </c>
      <c r="F1196" s="1229" t="s">
        <v>330</v>
      </c>
      <c r="G1196" s="1230" t="s">
        <v>175</v>
      </c>
      <c r="H1196" s="1230" t="s">
        <v>446</v>
      </c>
      <c r="I1196" s="1229" t="s">
        <v>16</v>
      </c>
      <c r="J1196" s="1229" t="s">
        <v>1311</v>
      </c>
      <c r="K1196" s="1230" t="s">
        <v>3022</v>
      </c>
      <c r="L1196" s="1229" t="s">
        <v>2768</v>
      </c>
      <c r="M1196" s="1229" t="s">
        <v>2677</v>
      </c>
      <c r="N1196" s="1230" t="s">
        <v>2685</v>
      </c>
      <c r="O1196" s="1229" t="s">
        <v>310</v>
      </c>
      <c r="P1196" s="1229" t="s">
        <v>291</v>
      </c>
      <c r="Q1196" s="1229" t="s">
        <v>294</v>
      </c>
      <c r="R1196" s="1229">
        <v>2000000.01</v>
      </c>
      <c r="S1196" s="1229">
        <v>2500000</v>
      </c>
      <c r="T1196" s="1229">
        <v>0</v>
      </c>
      <c r="U1196" s="1229">
        <f t="shared" si="442"/>
        <v>2500000</v>
      </c>
      <c r="V1196" s="1229">
        <v>0</v>
      </c>
      <c r="W1196" s="1229">
        <v>50</v>
      </c>
      <c r="X1196" s="1229">
        <v>0</v>
      </c>
      <c r="Y1196" s="1229">
        <v>999</v>
      </c>
      <c r="Z1196" s="1231">
        <v>680</v>
      </c>
      <c r="AA1196" s="1231">
        <v>699</v>
      </c>
      <c r="AB1196" s="1231">
        <v>6</v>
      </c>
      <c r="AC1196" s="1231">
        <v>999999</v>
      </c>
      <c r="AD1196" s="1229">
        <v>0</v>
      </c>
      <c r="AE1196" s="1232">
        <v>75</v>
      </c>
      <c r="AF1196" s="170">
        <v>0</v>
      </c>
      <c r="AG1196" s="171">
        <v>1</v>
      </c>
      <c r="AH1196" s="171">
        <v>1</v>
      </c>
      <c r="AI1196" s="171">
        <v>0</v>
      </c>
      <c r="AJ1196" s="171">
        <v>0</v>
      </c>
      <c r="AK1196" s="171">
        <v>0</v>
      </c>
      <c r="AL1196" s="171">
        <v>1</v>
      </c>
      <c r="AM1196" s="171">
        <v>1</v>
      </c>
      <c r="AN1196" s="171">
        <v>1</v>
      </c>
      <c r="AO1196" s="171">
        <v>1</v>
      </c>
      <c r="AP1196" s="171">
        <v>1</v>
      </c>
      <c r="AQ1196" s="171">
        <v>1</v>
      </c>
      <c r="AR1196" s="171">
        <v>1</v>
      </c>
      <c r="AS1196" s="171">
        <v>1</v>
      </c>
      <c r="AT1196" s="171">
        <v>1</v>
      </c>
      <c r="AU1196" s="171">
        <f t="shared" si="433"/>
        <v>0</v>
      </c>
      <c r="AV1196" s="171">
        <f t="shared" si="434"/>
        <v>1</v>
      </c>
      <c r="AW1196" s="171">
        <f t="shared" si="435"/>
        <v>1</v>
      </c>
      <c r="AX1196" s="171">
        <f t="shared" si="444"/>
        <v>1</v>
      </c>
      <c r="AY1196" s="171">
        <f t="shared" si="436"/>
        <v>0</v>
      </c>
      <c r="AZ1196" s="171">
        <f t="shared" si="437"/>
        <v>1</v>
      </c>
      <c r="BA1196" s="172">
        <f t="shared" si="438"/>
        <v>1</v>
      </c>
      <c r="BB1196" s="175">
        <f t="shared" si="439"/>
        <v>16</v>
      </c>
      <c r="BC1196" s="176">
        <f t="shared" si="440"/>
        <v>15</v>
      </c>
      <c r="BD1196" s="176">
        <f t="shared" si="441"/>
        <v>16</v>
      </c>
      <c r="BE1196" s="240" t="str">
        <f t="shared" si="431"/>
        <v/>
      </c>
      <c r="BF1196" s="990"/>
      <c r="BG1196" s="990"/>
      <c r="BH1196" s="991">
        <f>IF(AND(Input_Product=Elig!$C1196,Elig_MatchAll_Ct&lt;22,$BC1196=(Elig_MatchAll_Ct-1),AF1196=0),C1196,0)</f>
        <v>0</v>
      </c>
      <c r="BI1196" s="991">
        <f>IF(AND(Input_Product=Elig!$C1196,Elig_MatchAll_Ct&lt;22,$BC1196=(Elig_MatchAll_Ct-1),AG1196=0),D1196,0)</f>
        <v>0</v>
      </c>
      <c r="BJ1196" s="991">
        <f>IF(AND(Input_Product=Elig!$C1196,Elig_MatchAll_Ct&lt;22,$BC1196=(Elig_MatchAll_Ct-1),AH1196=0),E1196,0)</f>
        <v>0</v>
      </c>
      <c r="BK1196" s="991">
        <f>IF(AND(Input_Product=Elig!$C1196,Elig_MatchAll_Ct&lt;22,$BC1196=(Elig_MatchAll_Ct-1),AI1196=0),F1196,0)</f>
        <v>0</v>
      </c>
      <c r="BL1196" s="991">
        <f>IF(AND(Input_Product=Elig!$C1196,Elig_MatchAll_Ct&lt;22,$BC1196=(Elig_MatchAll_Ct-1),AJ1196=0),G1196,0)</f>
        <v>0</v>
      </c>
      <c r="BM1196" s="991">
        <f>IF(AND(Input_Product=Elig!$C1196,Elig_MatchAll_Ct&lt;22,$BC1196=(Elig_MatchAll_Ct-1),AK1196=0),H1196,0)</f>
        <v>0</v>
      </c>
      <c r="BN1196" s="991">
        <f>IF(AND(Input_Product=Elig!$C1196,Elig_MatchAll_Ct&lt;22,$BC1196=(Elig_MatchAll_Ct-1),AL1196=0),I1196,0)</f>
        <v>0</v>
      </c>
      <c r="BO1196" s="991">
        <f>IF(AND(Input_Product=Elig!$C1196,Elig_MatchAll_Ct&lt;22,$BC1196=(Elig_MatchAll_Ct-1),AM1196=0),J1196,0)</f>
        <v>0</v>
      </c>
      <c r="BP1196" s="991">
        <f>IF(AND(Input_Product=Elig!$C1196,Elig_MatchAll_Ct&lt;22,$BC1196=(Elig_MatchAll_Ct-1),AN1196=0),K1196,0)</f>
        <v>0</v>
      </c>
      <c r="BQ1196" s="991">
        <f>IF(AND(Input_Product=Elig!$C1196,Elig_MatchAll_Ct&lt;22,$BC1196=(Elig_MatchAll_Ct-1),AP1196=0),L1196,0)</f>
        <v>0</v>
      </c>
      <c r="BR1196" s="991">
        <f>IF(AND(Input_Product=Elig!$C1196,Elig_MatchAll_Ct&lt;22,$BC1196=(Elig_MatchAll_Ct-1),AO1196=0),M1196,0)</f>
        <v>0</v>
      </c>
      <c r="BS1196" s="991">
        <f>IF(AND(Input_Product=Elig!$C1196,Elig_MatchAll_Ct&lt;22,$BC1196=(Elig_MatchAll_Ct-1),AQ1196=0),N1196,0)</f>
        <v>0</v>
      </c>
      <c r="BT1196" s="991">
        <f>IF(AND(Input_Product=Elig!$C1196,Elig_MatchAll_Ct&lt;22,$BC1196=(Elig_MatchAll_Ct-1),AR1196=0),O1196,0)</f>
        <v>0</v>
      </c>
      <c r="BU1196" s="991">
        <f>IF(AND(Input_Product=Elig!$C1196,Elig_MatchAll_Ct&lt;22,$BC1196=(Elig_MatchAll_Ct-1),AS1196=0),P1196,0)</f>
        <v>0</v>
      </c>
      <c r="BV1196" s="992">
        <f>IF(AND(Input_Product=Elig!$C1196,Elig_MatchAll_Ct&lt;22,$BC1196=(Elig_MatchAll_Ct-1),AT1196=0),Q1196,0)</f>
        <v>0</v>
      </c>
      <c r="BW1196" s="993">
        <f>IF(AND(Input_Product=Elig!$C1196,Elig_MatchAll_Ct&lt;22,$BC1196=(Elig_MatchAll_Ct-1),AU1196=0),R1196,0)</f>
        <v>0</v>
      </c>
      <c r="BX1196" s="994">
        <f>IF(AND(Input_Product=Elig!$C1196,Elig_MatchAll_Ct&lt;22,$BC1196=(Elig_MatchAll_Ct-1),AU1196=0),S1196,0)</f>
        <v>0</v>
      </c>
      <c r="BY1196" s="993">
        <f>IF(AND(Input_Product=Elig!$C1196,Elig_MatchAll_Ct&lt;22,$BC1196=(Elig_MatchAll_Ct-1),AV1196=0),T1196,0)</f>
        <v>0</v>
      </c>
      <c r="BZ1196" s="994">
        <f>IF(AND(Input_Product=Elig!$C1196,Elig_MatchAll_Ct&lt;22,$BC1196=(Elig_MatchAll_Ct-1),AV1196=0),U1196,0)</f>
        <v>0</v>
      </c>
      <c r="CA1196" s="993">
        <f>IF(AND(Input_Product=Elig!$C1196,Elig_MatchAll_Ct&lt;22,$BC1196=(Elig_MatchAll_Ct-1),AW1196=0),V1196,0)</f>
        <v>0</v>
      </c>
      <c r="CB1196" s="994">
        <f>IF(AND(Input_Product=Elig!$C1196,Elig_MatchAll_Ct&lt;22,$BC1196=(Elig_MatchAll_Ct-1),AW1196=0),W1196,0)</f>
        <v>0</v>
      </c>
      <c r="CC1196" s="993">
        <f>IF(AND(Input_Product=Elig!$C1196,Elig_MatchAll_Ct&lt;22,$BC1196=(Elig_MatchAll_Ct-1),AX1196=0),X1196,0)</f>
        <v>0</v>
      </c>
      <c r="CD1196" s="994">
        <f>IF(AND(Input_Product=Elig!$C1196,Elig_MatchAll_Ct&lt;22,$BC1196=(Elig_MatchAll_Ct-1),AX1196=0),Y1196,0)</f>
        <v>0</v>
      </c>
      <c r="CE1196" s="993">
        <f>IF(AND(Input_LTV&lt;=AE1196,Input_Product=Elig!$C1196,Elig_MatchAll_Ct&lt;22,$BC1196=(Elig_MatchAll_Ct-1),AY1196=0),Z1196,0)</f>
        <v>0</v>
      </c>
      <c r="CF1196" s="994">
        <f>IF(AND(Input_LTV&lt;=AE1196,Input_Product=Elig!$C1196,Elig_MatchAll_Ct&lt;22,$BC1196=(Elig_MatchAll_Ct-1),AY1196=0),AA1196,0)</f>
        <v>0</v>
      </c>
      <c r="CG1196" s="993">
        <f>IF(AND(Input_Product=Elig!$C1196,Elig_MatchAll_Ct&lt;22,$BC1196=(Elig_MatchAll_Ct-1),AZ1196=0),AB1196,0)</f>
        <v>0</v>
      </c>
      <c r="CH1196" s="994">
        <f>IF(AND(Input_Product=Elig!$C1196,Elig_MatchAll_Ct&lt;22,$BC1196=(Elig_MatchAll_Ct-1),AZ1196=0),AC1196,0)</f>
        <v>0</v>
      </c>
      <c r="CI1196" s="993">
        <f>IF(AND(Input_Product=Elig!$C1196,Elig_MatchAll_Ct&lt;22,$BC1196=(Elig_MatchAll_Ct-1),BA1196=0),AD1196,0)</f>
        <v>0</v>
      </c>
      <c r="CJ1196" s="994">
        <f>IF(AND(Input_Product=Elig!$C1196,Elig_MatchAll_Ct&lt;22,$BC1196=(Elig_MatchAll_Ct-1),BA1196=0),AE1196,0)</f>
        <v>0</v>
      </c>
    </row>
    <row r="1197" spans="2:88" ht="10.15" customHeight="1" x14ac:dyDescent="0.25">
      <c r="B1197" s="1918" t="s">
        <v>2487</v>
      </c>
      <c r="C1197" s="1218" t="str">
        <f t="shared" si="443"/>
        <v xml:space="preserve"> </v>
      </c>
      <c r="D1197" s="1219" t="s">
        <v>2218</v>
      </c>
      <c r="E1197" s="1219" t="s">
        <v>167</v>
      </c>
      <c r="F1197" s="1219" t="s">
        <v>330</v>
      </c>
      <c r="G1197" s="1220" t="s">
        <v>175</v>
      </c>
      <c r="H1197" s="1220" t="s">
        <v>446</v>
      </c>
      <c r="I1197" s="1219" t="s">
        <v>16</v>
      </c>
      <c r="J1197" s="1219" t="s">
        <v>1311</v>
      </c>
      <c r="K1197" s="1220" t="s">
        <v>3022</v>
      </c>
      <c r="L1197" s="1219" t="s">
        <v>2768</v>
      </c>
      <c r="M1197" s="1219" t="s">
        <v>2677</v>
      </c>
      <c r="N1197" s="1220" t="s">
        <v>2685</v>
      </c>
      <c r="O1197" s="1219" t="s">
        <v>310</v>
      </c>
      <c r="P1197" s="1219" t="s">
        <v>291</v>
      </c>
      <c r="Q1197" s="1219" t="s">
        <v>294</v>
      </c>
      <c r="R1197" s="1219">
        <v>2500000.0099999998</v>
      </c>
      <c r="S1197" s="1219">
        <v>3000000</v>
      </c>
      <c r="T1197" s="1219">
        <v>0</v>
      </c>
      <c r="U1197" s="1219">
        <f t="shared" si="442"/>
        <v>3000000</v>
      </c>
      <c r="V1197" s="1219">
        <v>0</v>
      </c>
      <c r="W1197" s="1219">
        <v>50</v>
      </c>
      <c r="X1197" s="1219">
        <v>0</v>
      </c>
      <c r="Y1197" s="1219">
        <v>999</v>
      </c>
      <c r="Z1197" s="1221">
        <v>720</v>
      </c>
      <c r="AA1197" s="1221">
        <v>999</v>
      </c>
      <c r="AB1197" s="1221">
        <v>6</v>
      </c>
      <c r="AC1197" s="1221">
        <v>999999</v>
      </c>
      <c r="AD1197" s="1219">
        <v>0</v>
      </c>
      <c r="AE1197" s="1222">
        <v>75</v>
      </c>
      <c r="AF1197" s="170">
        <v>0</v>
      </c>
      <c r="AG1197" s="171">
        <v>1</v>
      </c>
      <c r="AH1197" s="171">
        <v>1</v>
      </c>
      <c r="AI1197" s="171">
        <v>0</v>
      </c>
      <c r="AJ1197" s="171">
        <v>0</v>
      </c>
      <c r="AK1197" s="171">
        <v>0</v>
      </c>
      <c r="AL1197" s="171">
        <v>1</v>
      </c>
      <c r="AM1197" s="171">
        <v>1</v>
      </c>
      <c r="AN1197" s="171">
        <v>1</v>
      </c>
      <c r="AO1197" s="171">
        <v>1</v>
      </c>
      <c r="AP1197" s="171">
        <v>1</v>
      </c>
      <c r="AQ1197" s="171">
        <v>1</v>
      </c>
      <c r="AR1197" s="171">
        <v>1</v>
      </c>
      <c r="AS1197" s="171">
        <v>1</v>
      </c>
      <c r="AT1197" s="171">
        <v>1</v>
      </c>
      <c r="AU1197" s="171">
        <f t="shared" si="433"/>
        <v>0</v>
      </c>
      <c r="AV1197" s="171">
        <f t="shared" si="434"/>
        <v>1</v>
      </c>
      <c r="AW1197" s="171">
        <f t="shared" si="435"/>
        <v>1</v>
      </c>
      <c r="AX1197" s="171">
        <f t="shared" si="444"/>
        <v>1</v>
      </c>
      <c r="AY1197" s="171">
        <f t="shared" si="436"/>
        <v>1</v>
      </c>
      <c r="AZ1197" s="171">
        <f t="shared" si="437"/>
        <v>1</v>
      </c>
      <c r="BA1197" s="172">
        <f t="shared" si="438"/>
        <v>1</v>
      </c>
      <c r="BB1197" s="175">
        <f t="shared" si="439"/>
        <v>17</v>
      </c>
      <c r="BC1197" s="176">
        <f t="shared" si="440"/>
        <v>16</v>
      </c>
      <c r="BD1197" s="176">
        <f t="shared" si="441"/>
        <v>17</v>
      </c>
      <c r="BE1197" s="240" t="str">
        <f t="shared" si="431"/>
        <v/>
      </c>
      <c r="BF1197" s="990"/>
      <c r="BG1197" s="990"/>
      <c r="BH1197" s="991">
        <f>IF(AND(Input_Product=Elig!$C1197,Elig_MatchAll_Ct&lt;22,$BC1197=(Elig_MatchAll_Ct-1),AF1197=0),C1197,0)</f>
        <v>0</v>
      </c>
      <c r="BI1197" s="991">
        <f>IF(AND(Input_Product=Elig!$C1197,Elig_MatchAll_Ct&lt;22,$BC1197=(Elig_MatchAll_Ct-1),AG1197=0),D1197,0)</f>
        <v>0</v>
      </c>
      <c r="BJ1197" s="991">
        <f>IF(AND(Input_Product=Elig!$C1197,Elig_MatchAll_Ct&lt;22,$BC1197=(Elig_MatchAll_Ct-1),AH1197=0),E1197,0)</f>
        <v>0</v>
      </c>
      <c r="BK1197" s="991">
        <f>IF(AND(Input_Product=Elig!$C1197,Elig_MatchAll_Ct&lt;22,$BC1197=(Elig_MatchAll_Ct-1),AI1197=0),F1197,0)</f>
        <v>0</v>
      </c>
      <c r="BL1197" s="991">
        <f>IF(AND(Input_Product=Elig!$C1197,Elig_MatchAll_Ct&lt;22,$BC1197=(Elig_MatchAll_Ct-1),AJ1197=0),G1197,0)</f>
        <v>0</v>
      </c>
      <c r="BM1197" s="991">
        <f>IF(AND(Input_Product=Elig!$C1197,Elig_MatchAll_Ct&lt;22,$BC1197=(Elig_MatchAll_Ct-1),AK1197=0),H1197,0)</f>
        <v>0</v>
      </c>
      <c r="BN1197" s="991">
        <f>IF(AND(Input_Product=Elig!$C1197,Elig_MatchAll_Ct&lt;22,$BC1197=(Elig_MatchAll_Ct-1),AL1197=0),I1197,0)</f>
        <v>0</v>
      </c>
      <c r="BO1197" s="991">
        <f>IF(AND(Input_Product=Elig!$C1197,Elig_MatchAll_Ct&lt;22,$BC1197=(Elig_MatchAll_Ct-1),AM1197=0),J1197,0)</f>
        <v>0</v>
      </c>
      <c r="BP1197" s="991">
        <f>IF(AND(Input_Product=Elig!$C1197,Elig_MatchAll_Ct&lt;22,$BC1197=(Elig_MatchAll_Ct-1),AN1197=0),K1197,0)</f>
        <v>0</v>
      </c>
      <c r="BQ1197" s="991">
        <f>IF(AND(Input_Product=Elig!$C1197,Elig_MatchAll_Ct&lt;22,$BC1197=(Elig_MatchAll_Ct-1),AP1197=0),L1197,0)</f>
        <v>0</v>
      </c>
      <c r="BR1197" s="991">
        <f>IF(AND(Input_Product=Elig!$C1197,Elig_MatchAll_Ct&lt;22,$BC1197=(Elig_MatchAll_Ct-1),AO1197=0),M1197,0)</f>
        <v>0</v>
      </c>
      <c r="BS1197" s="991">
        <f>IF(AND(Input_Product=Elig!$C1197,Elig_MatchAll_Ct&lt;22,$BC1197=(Elig_MatchAll_Ct-1),AQ1197=0),N1197,0)</f>
        <v>0</v>
      </c>
      <c r="BT1197" s="991">
        <f>IF(AND(Input_Product=Elig!$C1197,Elig_MatchAll_Ct&lt;22,$BC1197=(Elig_MatchAll_Ct-1),AR1197=0),O1197,0)</f>
        <v>0</v>
      </c>
      <c r="BU1197" s="991">
        <f>IF(AND(Input_Product=Elig!$C1197,Elig_MatchAll_Ct&lt;22,$BC1197=(Elig_MatchAll_Ct-1),AS1197=0),P1197,0)</f>
        <v>0</v>
      </c>
      <c r="BV1197" s="992">
        <f>IF(AND(Input_Product=Elig!$C1197,Elig_MatchAll_Ct&lt;22,$BC1197=(Elig_MatchAll_Ct-1),AT1197=0),Q1197,0)</f>
        <v>0</v>
      </c>
      <c r="BW1197" s="993">
        <f>IF(AND(Input_Product=Elig!$C1197,Elig_MatchAll_Ct&lt;22,$BC1197=(Elig_MatchAll_Ct-1),AU1197=0),R1197,0)</f>
        <v>0</v>
      </c>
      <c r="BX1197" s="994">
        <f>IF(AND(Input_Product=Elig!$C1197,Elig_MatchAll_Ct&lt;22,$BC1197=(Elig_MatchAll_Ct-1),AU1197=0),S1197,0)</f>
        <v>0</v>
      </c>
      <c r="BY1197" s="993">
        <f>IF(AND(Input_Product=Elig!$C1197,Elig_MatchAll_Ct&lt;22,$BC1197=(Elig_MatchAll_Ct-1),AV1197=0),T1197,0)</f>
        <v>0</v>
      </c>
      <c r="BZ1197" s="994">
        <f>IF(AND(Input_Product=Elig!$C1197,Elig_MatchAll_Ct&lt;22,$BC1197=(Elig_MatchAll_Ct-1),AV1197=0),U1197,0)</f>
        <v>0</v>
      </c>
      <c r="CA1197" s="993">
        <f>IF(AND(Input_Product=Elig!$C1197,Elig_MatchAll_Ct&lt;22,$BC1197=(Elig_MatchAll_Ct-1),AW1197=0),V1197,0)</f>
        <v>0</v>
      </c>
      <c r="CB1197" s="994">
        <f>IF(AND(Input_Product=Elig!$C1197,Elig_MatchAll_Ct&lt;22,$BC1197=(Elig_MatchAll_Ct-1),AW1197=0),W1197,0)</f>
        <v>0</v>
      </c>
      <c r="CC1197" s="993">
        <f>IF(AND(Input_Product=Elig!$C1197,Elig_MatchAll_Ct&lt;22,$BC1197=(Elig_MatchAll_Ct-1),AX1197=0),X1197,0)</f>
        <v>0</v>
      </c>
      <c r="CD1197" s="994">
        <f>IF(AND(Input_Product=Elig!$C1197,Elig_MatchAll_Ct&lt;22,$BC1197=(Elig_MatchAll_Ct-1),AX1197=0),Y1197,0)</f>
        <v>0</v>
      </c>
      <c r="CE1197" s="993">
        <f>IF(AND(Input_LTV&lt;=AE1197,Input_Product=Elig!$C1197,Elig_MatchAll_Ct&lt;22,$BC1197=(Elig_MatchAll_Ct-1),AY1197=0),Z1197,0)</f>
        <v>0</v>
      </c>
      <c r="CF1197" s="994">
        <f>IF(AND(Input_LTV&lt;=AE1197,Input_Product=Elig!$C1197,Elig_MatchAll_Ct&lt;22,$BC1197=(Elig_MatchAll_Ct-1),AY1197=0),AA1197,0)</f>
        <v>0</v>
      </c>
      <c r="CG1197" s="993">
        <f>IF(AND(Input_Product=Elig!$C1197,Elig_MatchAll_Ct&lt;22,$BC1197=(Elig_MatchAll_Ct-1),AZ1197=0),AB1197,0)</f>
        <v>0</v>
      </c>
      <c r="CH1197" s="994">
        <f>IF(AND(Input_Product=Elig!$C1197,Elig_MatchAll_Ct&lt;22,$BC1197=(Elig_MatchAll_Ct-1),AZ1197=0),AC1197,0)</f>
        <v>0</v>
      </c>
      <c r="CI1197" s="993">
        <f>IF(AND(Input_Product=Elig!$C1197,Elig_MatchAll_Ct&lt;22,$BC1197=(Elig_MatchAll_Ct-1),BA1197=0),AD1197,0)</f>
        <v>0</v>
      </c>
      <c r="CJ1197" s="994">
        <f>IF(AND(Input_Product=Elig!$C1197,Elig_MatchAll_Ct&lt;22,$BC1197=(Elig_MatchAll_Ct-1),BA1197=0),AE1197,0)</f>
        <v>0</v>
      </c>
    </row>
    <row r="1198" spans="2:88" ht="10.15" customHeight="1" x14ac:dyDescent="0.25">
      <c r="B1198" s="1918" t="s">
        <v>2488</v>
      </c>
      <c r="C1198" s="1223" t="str">
        <f t="shared" si="443"/>
        <v xml:space="preserve"> </v>
      </c>
      <c r="D1198" s="1224" t="s">
        <v>2218</v>
      </c>
      <c r="E1198" s="1224" t="s">
        <v>167</v>
      </c>
      <c r="F1198" s="1224" t="s">
        <v>330</v>
      </c>
      <c r="G1198" s="1225" t="s">
        <v>175</v>
      </c>
      <c r="H1198" s="1225" t="s">
        <v>446</v>
      </c>
      <c r="I1198" s="1224" t="s">
        <v>16</v>
      </c>
      <c r="J1198" s="1224" t="s">
        <v>1311</v>
      </c>
      <c r="K1198" s="1225" t="s">
        <v>3022</v>
      </c>
      <c r="L1198" s="1224" t="s">
        <v>2768</v>
      </c>
      <c r="M1198" s="1224" t="s">
        <v>2677</v>
      </c>
      <c r="N1198" s="1225" t="s">
        <v>2685</v>
      </c>
      <c r="O1198" s="1224" t="s">
        <v>310</v>
      </c>
      <c r="P1198" s="1224" t="s">
        <v>291</v>
      </c>
      <c r="Q1198" s="1224" t="s">
        <v>294</v>
      </c>
      <c r="R1198" s="1224">
        <v>2500000.0099999998</v>
      </c>
      <c r="S1198" s="1224">
        <v>3000000</v>
      </c>
      <c r="T1198" s="1224">
        <v>0</v>
      </c>
      <c r="U1198" s="1224">
        <f t="shared" si="442"/>
        <v>3000000</v>
      </c>
      <c r="V1198" s="1224">
        <v>0</v>
      </c>
      <c r="W1198" s="1224">
        <v>50</v>
      </c>
      <c r="X1198" s="1224">
        <v>0</v>
      </c>
      <c r="Y1198" s="1224">
        <v>999</v>
      </c>
      <c r="Z1198" s="1226">
        <v>700</v>
      </c>
      <c r="AA1198" s="1226">
        <v>719</v>
      </c>
      <c r="AB1198" s="1226">
        <v>6</v>
      </c>
      <c r="AC1198" s="1226">
        <v>999999</v>
      </c>
      <c r="AD1198" s="1224">
        <v>0</v>
      </c>
      <c r="AE1198" s="1227">
        <v>75</v>
      </c>
      <c r="AF1198" s="170">
        <v>0</v>
      </c>
      <c r="AG1198" s="171">
        <v>1</v>
      </c>
      <c r="AH1198" s="171">
        <v>1</v>
      </c>
      <c r="AI1198" s="171">
        <v>0</v>
      </c>
      <c r="AJ1198" s="171">
        <v>0</v>
      </c>
      <c r="AK1198" s="171">
        <v>0</v>
      </c>
      <c r="AL1198" s="171">
        <v>1</v>
      </c>
      <c r="AM1198" s="171">
        <v>1</v>
      </c>
      <c r="AN1198" s="171">
        <v>1</v>
      </c>
      <c r="AO1198" s="171">
        <v>1</v>
      </c>
      <c r="AP1198" s="171">
        <v>1</v>
      </c>
      <c r="AQ1198" s="171">
        <v>1</v>
      </c>
      <c r="AR1198" s="171">
        <v>1</v>
      </c>
      <c r="AS1198" s="171">
        <v>1</v>
      </c>
      <c r="AT1198" s="171">
        <v>1</v>
      </c>
      <c r="AU1198" s="171">
        <f t="shared" si="433"/>
        <v>0</v>
      </c>
      <c r="AV1198" s="171">
        <f t="shared" si="434"/>
        <v>1</v>
      </c>
      <c r="AW1198" s="171">
        <f t="shared" si="435"/>
        <v>1</v>
      </c>
      <c r="AX1198" s="171">
        <f t="shared" si="444"/>
        <v>1</v>
      </c>
      <c r="AY1198" s="171">
        <f t="shared" si="436"/>
        <v>0</v>
      </c>
      <c r="AZ1198" s="171">
        <f t="shared" si="437"/>
        <v>1</v>
      </c>
      <c r="BA1198" s="172">
        <f t="shared" si="438"/>
        <v>1</v>
      </c>
      <c r="BB1198" s="175">
        <f t="shared" si="439"/>
        <v>16</v>
      </c>
      <c r="BC1198" s="176">
        <f t="shared" si="440"/>
        <v>15</v>
      </c>
      <c r="BD1198" s="176">
        <f t="shared" si="441"/>
        <v>16</v>
      </c>
      <c r="BE1198" s="240" t="str">
        <f t="shared" si="431"/>
        <v/>
      </c>
      <c r="BF1198" s="990"/>
      <c r="BG1198" s="990"/>
      <c r="BH1198" s="991">
        <f>IF(AND(Input_Product=Elig!$C1198,Elig_MatchAll_Ct&lt;22,$BC1198=(Elig_MatchAll_Ct-1),AF1198=0),C1198,0)</f>
        <v>0</v>
      </c>
      <c r="BI1198" s="991">
        <f>IF(AND(Input_Product=Elig!$C1198,Elig_MatchAll_Ct&lt;22,$BC1198=(Elig_MatchAll_Ct-1),AG1198=0),D1198,0)</f>
        <v>0</v>
      </c>
      <c r="BJ1198" s="991">
        <f>IF(AND(Input_Product=Elig!$C1198,Elig_MatchAll_Ct&lt;22,$BC1198=(Elig_MatchAll_Ct-1),AH1198=0),E1198,0)</f>
        <v>0</v>
      </c>
      <c r="BK1198" s="991">
        <f>IF(AND(Input_Product=Elig!$C1198,Elig_MatchAll_Ct&lt;22,$BC1198=(Elig_MatchAll_Ct-1),AI1198=0),F1198,0)</f>
        <v>0</v>
      </c>
      <c r="BL1198" s="991">
        <f>IF(AND(Input_Product=Elig!$C1198,Elig_MatchAll_Ct&lt;22,$BC1198=(Elig_MatchAll_Ct-1),AJ1198=0),G1198,0)</f>
        <v>0</v>
      </c>
      <c r="BM1198" s="991">
        <f>IF(AND(Input_Product=Elig!$C1198,Elig_MatchAll_Ct&lt;22,$BC1198=(Elig_MatchAll_Ct-1),AK1198=0),H1198,0)</f>
        <v>0</v>
      </c>
      <c r="BN1198" s="991">
        <f>IF(AND(Input_Product=Elig!$C1198,Elig_MatchAll_Ct&lt;22,$BC1198=(Elig_MatchAll_Ct-1),AL1198=0),I1198,0)</f>
        <v>0</v>
      </c>
      <c r="BO1198" s="991">
        <f>IF(AND(Input_Product=Elig!$C1198,Elig_MatchAll_Ct&lt;22,$BC1198=(Elig_MatchAll_Ct-1),AM1198=0),J1198,0)</f>
        <v>0</v>
      </c>
      <c r="BP1198" s="991">
        <f>IF(AND(Input_Product=Elig!$C1198,Elig_MatchAll_Ct&lt;22,$BC1198=(Elig_MatchAll_Ct-1),AN1198=0),K1198,0)</f>
        <v>0</v>
      </c>
      <c r="BQ1198" s="991">
        <f>IF(AND(Input_Product=Elig!$C1198,Elig_MatchAll_Ct&lt;22,$BC1198=(Elig_MatchAll_Ct-1),AP1198=0),L1198,0)</f>
        <v>0</v>
      </c>
      <c r="BR1198" s="991">
        <f>IF(AND(Input_Product=Elig!$C1198,Elig_MatchAll_Ct&lt;22,$BC1198=(Elig_MatchAll_Ct-1),AO1198=0),M1198,0)</f>
        <v>0</v>
      </c>
      <c r="BS1198" s="991">
        <f>IF(AND(Input_Product=Elig!$C1198,Elig_MatchAll_Ct&lt;22,$BC1198=(Elig_MatchAll_Ct-1),AQ1198=0),N1198,0)</f>
        <v>0</v>
      </c>
      <c r="BT1198" s="991">
        <f>IF(AND(Input_Product=Elig!$C1198,Elig_MatchAll_Ct&lt;22,$BC1198=(Elig_MatchAll_Ct-1),AR1198=0),O1198,0)</f>
        <v>0</v>
      </c>
      <c r="BU1198" s="991">
        <f>IF(AND(Input_Product=Elig!$C1198,Elig_MatchAll_Ct&lt;22,$BC1198=(Elig_MatchAll_Ct-1),AS1198=0),P1198,0)</f>
        <v>0</v>
      </c>
      <c r="BV1198" s="992">
        <f>IF(AND(Input_Product=Elig!$C1198,Elig_MatchAll_Ct&lt;22,$BC1198=(Elig_MatchAll_Ct-1),AT1198=0),Q1198,0)</f>
        <v>0</v>
      </c>
      <c r="BW1198" s="993">
        <f>IF(AND(Input_Product=Elig!$C1198,Elig_MatchAll_Ct&lt;22,$BC1198=(Elig_MatchAll_Ct-1),AU1198=0),R1198,0)</f>
        <v>0</v>
      </c>
      <c r="BX1198" s="994">
        <f>IF(AND(Input_Product=Elig!$C1198,Elig_MatchAll_Ct&lt;22,$BC1198=(Elig_MatchAll_Ct-1),AU1198=0),S1198,0)</f>
        <v>0</v>
      </c>
      <c r="BY1198" s="993">
        <f>IF(AND(Input_Product=Elig!$C1198,Elig_MatchAll_Ct&lt;22,$BC1198=(Elig_MatchAll_Ct-1),AV1198=0),T1198,0)</f>
        <v>0</v>
      </c>
      <c r="BZ1198" s="994">
        <f>IF(AND(Input_Product=Elig!$C1198,Elig_MatchAll_Ct&lt;22,$BC1198=(Elig_MatchAll_Ct-1),AV1198=0),U1198,0)</f>
        <v>0</v>
      </c>
      <c r="CA1198" s="993">
        <f>IF(AND(Input_Product=Elig!$C1198,Elig_MatchAll_Ct&lt;22,$BC1198=(Elig_MatchAll_Ct-1),AW1198=0),V1198,0)</f>
        <v>0</v>
      </c>
      <c r="CB1198" s="994">
        <f>IF(AND(Input_Product=Elig!$C1198,Elig_MatchAll_Ct&lt;22,$BC1198=(Elig_MatchAll_Ct-1),AW1198=0),W1198,0)</f>
        <v>0</v>
      </c>
      <c r="CC1198" s="993">
        <f>IF(AND(Input_Product=Elig!$C1198,Elig_MatchAll_Ct&lt;22,$BC1198=(Elig_MatchAll_Ct-1),AX1198=0),X1198,0)</f>
        <v>0</v>
      </c>
      <c r="CD1198" s="994">
        <f>IF(AND(Input_Product=Elig!$C1198,Elig_MatchAll_Ct&lt;22,$BC1198=(Elig_MatchAll_Ct-1),AX1198=0),Y1198,0)</f>
        <v>0</v>
      </c>
      <c r="CE1198" s="993">
        <f>IF(AND(Input_LTV&lt;=AE1198,Input_Product=Elig!$C1198,Elig_MatchAll_Ct&lt;22,$BC1198=(Elig_MatchAll_Ct-1),AY1198=0),Z1198,0)</f>
        <v>0</v>
      </c>
      <c r="CF1198" s="994">
        <f>IF(AND(Input_LTV&lt;=AE1198,Input_Product=Elig!$C1198,Elig_MatchAll_Ct&lt;22,$BC1198=(Elig_MatchAll_Ct-1),AY1198=0),AA1198,0)</f>
        <v>0</v>
      </c>
      <c r="CG1198" s="993">
        <f>IF(AND(Input_Product=Elig!$C1198,Elig_MatchAll_Ct&lt;22,$BC1198=(Elig_MatchAll_Ct-1),AZ1198=0),AB1198,0)</f>
        <v>0</v>
      </c>
      <c r="CH1198" s="994">
        <f>IF(AND(Input_Product=Elig!$C1198,Elig_MatchAll_Ct&lt;22,$BC1198=(Elig_MatchAll_Ct-1),AZ1198=0),AC1198,0)</f>
        <v>0</v>
      </c>
      <c r="CI1198" s="993">
        <f>IF(AND(Input_Product=Elig!$C1198,Elig_MatchAll_Ct&lt;22,$BC1198=(Elig_MatchAll_Ct-1),BA1198=0),AD1198,0)</f>
        <v>0</v>
      </c>
      <c r="CJ1198" s="994">
        <f>IF(AND(Input_Product=Elig!$C1198,Elig_MatchAll_Ct&lt;22,$BC1198=(Elig_MatchAll_Ct-1),BA1198=0),AE1198,0)</f>
        <v>0</v>
      </c>
    </row>
    <row r="1199" spans="2:88" ht="10.15" customHeight="1" x14ac:dyDescent="0.25">
      <c r="B1199" s="1918" t="s">
        <v>2489</v>
      </c>
      <c r="C1199" s="1228" t="str">
        <f t="shared" si="443"/>
        <v xml:space="preserve"> </v>
      </c>
      <c r="D1199" s="1229" t="s">
        <v>2218</v>
      </c>
      <c r="E1199" s="1229" t="s">
        <v>167</v>
      </c>
      <c r="F1199" s="1229" t="s">
        <v>330</v>
      </c>
      <c r="G1199" s="1230" t="s">
        <v>175</v>
      </c>
      <c r="H1199" s="1230" t="s">
        <v>446</v>
      </c>
      <c r="I1199" s="1229" t="s">
        <v>16</v>
      </c>
      <c r="J1199" s="1229" t="s">
        <v>1311</v>
      </c>
      <c r="K1199" s="1230" t="s">
        <v>3022</v>
      </c>
      <c r="L1199" s="1229" t="s">
        <v>2768</v>
      </c>
      <c r="M1199" s="1229" t="s">
        <v>2677</v>
      </c>
      <c r="N1199" s="1230" t="s">
        <v>2685</v>
      </c>
      <c r="O1199" s="1229" t="s">
        <v>310</v>
      </c>
      <c r="P1199" s="1229" t="s">
        <v>291</v>
      </c>
      <c r="Q1199" s="1229" t="s">
        <v>294</v>
      </c>
      <c r="R1199" s="1229">
        <v>2500000.0099999998</v>
      </c>
      <c r="S1199" s="1229">
        <v>3000000</v>
      </c>
      <c r="T1199" s="1229">
        <v>0</v>
      </c>
      <c r="U1199" s="1229">
        <f t="shared" si="442"/>
        <v>3000000</v>
      </c>
      <c r="V1199" s="1229">
        <v>0</v>
      </c>
      <c r="W1199" s="1229">
        <v>50</v>
      </c>
      <c r="X1199" s="1229">
        <v>0</v>
      </c>
      <c r="Y1199" s="1229">
        <v>999</v>
      </c>
      <c r="Z1199" s="1231">
        <v>680</v>
      </c>
      <c r="AA1199" s="1231">
        <v>699</v>
      </c>
      <c r="AB1199" s="1231">
        <v>6</v>
      </c>
      <c r="AC1199" s="1231">
        <v>999999</v>
      </c>
      <c r="AD1199" s="1229">
        <v>0</v>
      </c>
      <c r="AE1199" s="1232">
        <v>75</v>
      </c>
      <c r="AF1199" s="170">
        <v>0</v>
      </c>
      <c r="AG1199" s="171">
        <v>1</v>
      </c>
      <c r="AH1199" s="171">
        <v>1</v>
      </c>
      <c r="AI1199" s="171">
        <v>0</v>
      </c>
      <c r="AJ1199" s="171">
        <v>0</v>
      </c>
      <c r="AK1199" s="171">
        <v>0</v>
      </c>
      <c r="AL1199" s="171">
        <v>1</v>
      </c>
      <c r="AM1199" s="171">
        <v>1</v>
      </c>
      <c r="AN1199" s="171">
        <v>1</v>
      </c>
      <c r="AO1199" s="171">
        <v>1</v>
      </c>
      <c r="AP1199" s="171">
        <v>1</v>
      </c>
      <c r="AQ1199" s="171">
        <v>1</v>
      </c>
      <c r="AR1199" s="171">
        <v>1</v>
      </c>
      <c r="AS1199" s="171">
        <v>1</v>
      </c>
      <c r="AT1199" s="171">
        <v>1</v>
      </c>
      <c r="AU1199" s="171">
        <f t="shared" si="433"/>
        <v>0</v>
      </c>
      <c r="AV1199" s="171">
        <f t="shared" si="434"/>
        <v>1</v>
      </c>
      <c r="AW1199" s="171">
        <f t="shared" si="435"/>
        <v>1</v>
      </c>
      <c r="AX1199" s="171">
        <f t="shared" si="444"/>
        <v>1</v>
      </c>
      <c r="AY1199" s="171">
        <f t="shared" si="436"/>
        <v>0</v>
      </c>
      <c r="AZ1199" s="171">
        <f t="shared" si="437"/>
        <v>1</v>
      </c>
      <c r="BA1199" s="172">
        <f t="shared" si="438"/>
        <v>1</v>
      </c>
      <c r="BB1199" s="175">
        <f t="shared" si="439"/>
        <v>16</v>
      </c>
      <c r="BC1199" s="176">
        <f t="shared" si="440"/>
        <v>15</v>
      </c>
      <c r="BD1199" s="176">
        <f t="shared" si="441"/>
        <v>16</v>
      </c>
      <c r="BE1199" s="240" t="str">
        <f t="shared" si="431"/>
        <v/>
      </c>
      <c r="BF1199" s="990"/>
      <c r="BG1199" s="990"/>
      <c r="BH1199" s="991">
        <f>IF(AND(Input_Product=Elig!$C1199,Elig_MatchAll_Ct&lt;22,$BC1199=(Elig_MatchAll_Ct-1),AF1199=0),C1199,0)</f>
        <v>0</v>
      </c>
      <c r="BI1199" s="991">
        <f>IF(AND(Input_Product=Elig!$C1199,Elig_MatchAll_Ct&lt;22,$BC1199=(Elig_MatchAll_Ct-1),AG1199=0),D1199,0)</f>
        <v>0</v>
      </c>
      <c r="BJ1199" s="991">
        <f>IF(AND(Input_Product=Elig!$C1199,Elig_MatchAll_Ct&lt;22,$BC1199=(Elig_MatchAll_Ct-1),AH1199=0),E1199,0)</f>
        <v>0</v>
      </c>
      <c r="BK1199" s="991">
        <f>IF(AND(Input_Product=Elig!$C1199,Elig_MatchAll_Ct&lt;22,$BC1199=(Elig_MatchAll_Ct-1),AI1199=0),F1199,0)</f>
        <v>0</v>
      </c>
      <c r="BL1199" s="991">
        <f>IF(AND(Input_Product=Elig!$C1199,Elig_MatchAll_Ct&lt;22,$BC1199=(Elig_MatchAll_Ct-1),AJ1199=0),G1199,0)</f>
        <v>0</v>
      </c>
      <c r="BM1199" s="991">
        <f>IF(AND(Input_Product=Elig!$C1199,Elig_MatchAll_Ct&lt;22,$BC1199=(Elig_MatchAll_Ct-1),AK1199=0),H1199,0)</f>
        <v>0</v>
      </c>
      <c r="BN1199" s="991">
        <f>IF(AND(Input_Product=Elig!$C1199,Elig_MatchAll_Ct&lt;22,$BC1199=(Elig_MatchAll_Ct-1),AL1199=0),I1199,0)</f>
        <v>0</v>
      </c>
      <c r="BO1199" s="991">
        <f>IF(AND(Input_Product=Elig!$C1199,Elig_MatchAll_Ct&lt;22,$BC1199=(Elig_MatchAll_Ct-1),AM1199=0),J1199,0)</f>
        <v>0</v>
      </c>
      <c r="BP1199" s="991">
        <f>IF(AND(Input_Product=Elig!$C1199,Elig_MatchAll_Ct&lt;22,$BC1199=(Elig_MatchAll_Ct-1),AN1199=0),K1199,0)</f>
        <v>0</v>
      </c>
      <c r="BQ1199" s="991">
        <f>IF(AND(Input_Product=Elig!$C1199,Elig_MatchAll_Ct&lt;22,$BC1199=(Elig_MatchAll_Ct-1),AP1199=0),L1199,0)</f>
        <v>0</v>
      </c>
      <c r="BR1199" s="991">
        <f>IF(AND(Input_Product=Elig!$C1199,Elig_MatchAll_Ct&lt;22,$BC1199=(Elig_MatchAll_Ct-1),AO1199=0),M1199,0)</f>
        <v>0</v>
      </c>
      <c r="BS1199" s="991">
        <f>IF(AND(Input_Product=Elig!$C1199,Elig_MatchAll_Ct&lt;22,$BC1199=(Elig_MatchAll_Ct-1),AQ1199=0),N1199,0)</f>
        <v>0</v>
      </c>
      <c r="BT1199" s="991">
        <f>IF(AND(Input_Product=Elig!$C1199,Elig_MatchAll_Ct&lt;22,$BC1199=(Elig_MatchAll_Ct-1),AR1199=0),O1199,0)</f>
        <v>0</v>
      </c>
      <c r="BU1199" s="991">
        <f>IF(AND(Input_Product=Elig!$C1199,Elig_MatchAll_Ct&lt;22,$BC1199=(Elig_MatchAll_Ct-1),AS1199=0),P1199,0)</f>
        <v>0</v>
      </c>
      <c r="BV1199" s="992">
        <f>IF(AND(Input_Product=Elig!$C1199,Elig_MatchAll_Ct&lt;22,$BC1199=(Elig_MatchAll_Ct-1),AT1199=0),Q1199,0)</f>
        <v>0</v>
      </c>
      <c r="BW1199" s="993">
        <f>IF(AND(Input_Product=Elig!$C1199,Elig_MatchAll_Ct&lt;22,$BC1199=(Elig_MatchAll_Ct-1),AU1199=0),R1199,0)</f>
        <v>0</v>
      </c>
      <c r="BX1199" s="994">
        <f>IF(AND(Input_Product=Elig!$C1199,Elig_MatchAll_Ct&lt;22,$BC1199=(Elig_MatchAll_Ct-1),AU1199=0),S1199,0)</f>
        <v>0</v>
      </c>
      <c r="BY1199" s="993">
        <f>IF(AND(Input_Product=Elig!$C1199,Elig_MatchAll_Ct&lt;22,$BC1199=(Elig_MatchAll_Ct-1),AV1199=0),T1199,0)</f>
        <v>0</v>
      </c>
      <c r="BZ1199" s="994">
        <f>IF(AND(Input_Product=Elig!$C1199,Elig_MatchAll_Ct&lt;22,$BC1199=(Elig_MatchAll_Ct-1),AV1199=0),U1199,0)</f>
        <v>0</v>
      </c>
      <c r="CA1199" s="993">
        <f>IF(AND(Input_Product=Elig!$C1199,Elig_MatchAll_Ct&lt;22,$BC1199=(Elig_MatchAll_Ct-1),AW1199=0),V1199,0)</f>
        <v>0</v>
      </c>
      <c r="CB1199" s="994">
        <f>IF(AND(Input_Product=Elig!$C1199,Elig_MatchAll_Ct&lt;22,$BC1199=(Elig_MatchAll_Ct-1),AW1199=0),W1199,0)</f>
        <v>0</v>
      </c>
      <c r="CC1199" s="993">
        <f>IF(AND(Input_Product=Elig!$C1199,Elig_MatchAll_Ct&lt;22,$BC1199=(Elig_MatchAll_Ct-1),AX1199=0),X1199,0)</f>
        <v>0</v>
      </c>
      <c r="CD1199" s="994">
        <f>IF(AND(Input_Product=Elig!$C1199,Elig_MatchAll_Ct&lt;22,$BC1199=(Elig_MatchAll_Ct-1),AX1199=0),Y1199,0)</f>
        <v>0</v>
      </c>
      <c r="CE1199" s="993">
        <f>IF(AND(Input_LTV&lt;=AE1199,Input_Product=Elig!$C1199,Elig_MatchAll_Ct&lt;22,$BC1199=(Elig_MatchAll_Ct-1),AY1199=0),Z1199,0)</f>
        <v>0</v>
      </c>
      <c r="CF1199" s="994">
        <f>IF(AND(Input_LTV&lt;=AE1199,Input_Product=Elig!$C1199,Elig_MatchAll_Ct&lt;22,$BC1199=(Elig_MatchAll_Ct-1),AY1199=0),AA1199,0)</f>
        <v>0</v>
      </c>
      <c r="CG1199" s="993">
        <f>IF(AND(Input_Product=Elig!$C1199,Elig_MatchAll_Ct&lt;22,$BC1199=(Elig_MatchAll_Ct-1),AZ1199=0),AB1199,0)</f>
        <v>0</v>
      </c>
      <c r="CH1199" s="994">
        <f>IF(AND(Input_Product=Elig!$C1199,Elig_MatchAll_Ct&lt;22,$BC1199=(Elig_MatchAll_Ct-1),AZ1199=0),AC1199,0)</f>
        <v>0</v>
      </c>
      <c r="CI1199" s="993">
        <f>IF(AND(Input_Product=Elig!$C1199,Elig_MatchAll_Ct&lt;22,$BC1199=(Elig_MatchAll_Ct-1),BA1199=0),AD1199,0)</f>
        <v>0</v>
      </c>
      <c r="CJ1199" s="994">
        <f>IF(AND(Input_Product=Elig!$C1199,Elig_MatchAll_Ct&lt;22,$BC1199=(Elig_MatchAll_Ct-1),BA1199=0),AE1199,0)</f>
        <v>0</v>
      </c>
    </row>
    <row r="1200" spans="2:88" ht="10.15" customHeight="1" x14ac:dyDescent="0.25">
      <c r="B1200" s="1918" t="s">
        <v>2490</v>
      </c>
      <c r="C1200" s="1218" t="str">
        <f t="shared" si="443"/>
        <v xml:space="preserve"> </v>
      </c>
      <c r="D1200" s="1219" t="s">
        <v>2218</v>
      </c>
      <c r="E1200" s="1219" t="s">
        <v>167</v>
      </c>
      <c r="F1200" s="1219" t="s">
        <v>330</v>
      </c>
      <c r="G1200" s="1220" t="s">
        <v>468</v>
      </c>
      <c r="H1200" s="1220" t="s">
        <v>136</v>
      </c>
      <c r="I1200" s="1219" t="s">
        <v>16</v>
      </c>
      <c r="J1200" s="1219" t="s">
        <v>1311</v>
      </c>
      <c r="K1200" s="1220" t="s">
        <v>3022</v>
      </c>
      <c r="L1200" s="1219" t="s">
        <v>2768</v>
      </c>
      <c r="M1200" s="1219" t="s">
        <v>2677</v>
      </c>
      <c r="N1200" s="1220" t="s">
        <v>2685</v>
      </c>
      <c r="O1200" s="1219" t="s">
        <v>310</v>
      </c>
      <c r="P1200" s="1219" t="s">
        <v>291</v>
      </c>
      <c r="Q1200" s="1219" t="s">
        <v>294</v>
      </c>
      <c r="R1200" s="1219">
        <v>125000</v>
      </c>
      <c r="S1200" s="1219">
        <v>1000000</v>
      </c>
      <c r="T1200" s="1219">
        <v>0</v>
      </c>
      <c r="U1200" s="1219">
        <f t="shared" si="442"/>
        <v>1000000</v>
      </c>
      <c r="V1200" s="1219">
        <v>0</v>
      </c>
      <c r="W1200" s="1219">
        <v>50</v>
      </c>
      <c r="X1200" s="1219">
        <v>0</v>
      </c>
      <c r="Y1200" s="1219">
        <v>999</v>
      </c>
      <c r="Z1200" s="1221">
        <v>720</v>
      </c>
      <c r="AA1200" s="1221">
        <v>999</v>
      </c>
      <c r="AB1200" s="1221">
        <v>3</v>
      </c>
      <c r="AC1200" s="1221">
        <v>999999</v>
      </c>
      <c r="AD1200" s="1219">
        <v>0</v>
      </c>
      <c r="AE1200" s="1222">
        <v>80</v>
      </c>
      <c r="AF1200" s="170">
        <v>0</v>
      </c>
      <c r="AG1200" s="171">
        <v>1</v>
      </c>
      <c r="AH1200" s="171">
        <v>1</v>
      </c>
      <c r="AI1200" s="171">
        <v>0</v>
      </c>
      <c r="AJ1200" s="171">
        <v>0</v>
      </c>
      <c r="AK1200" s="171">
        <v>1</v>
      </c>
      <c r="AL1200" s="171">
        <v>1</v>
      </c>
      <c r="AM1200" s="171">
        <v>1</v>
      </c>
      <c r="AN1200" s="171">
        <v>1</v>
      </c>
      <c r="AO1200" s="171">
        <v>1</v>
      </c>
      <c r="AP1200" s="171">
        <v>1</v>
      </c>
      <c r="AQ1200" s="171">
        <v>1</v>
      </c>
      <c r="AR1200" s="171">
        <v>1</v>
      </c>
      <c r="AS1200" s="171">
        <v>1</v>
      </c>
      <c r="AT1200" s="171">
        <v>1</v>
      </c>
      <c r="AU1200" s="171">
        <f t="shared" si="433"/>
        <v>1</v>
      </c>
      <c r="AV1200" s="171">
        <f t="shared" si="434"/>
        <v>1</v>
      </c>
      <c r="AW1200" s="171">
        <f t="shared" si="435"/>
        <v>1</v>
      </c>
      <c r="AX1200" s="171">
        <f t="shared" si="444"/>
        <v>1</v>
      </c>
      <c r="AY1200" s="171">
        <f t="shared" si="436"/>
        <v>1</v>
      </c>
      <c r="AZ1200" s="171">
        <f t="shared" si="437"/>
        <v>1</v>
      </c>
      <c r="BA1200" s="172">
        <f t="shared" si="438"/>
        <v>1</v>
      </c>
      <c r="BB1200" s="175">
        <f t="shared" si="439"/>
        <v>19</v>
      </c>
      <c r="BC1200" s="176">
        <f t="shared" si="440"/>
        <v>18</v>
      </c>
      <c r="BD1200" s="176">
        <f t="shared" si="441"/>
        <v>19</v>
      </c>
      <c r="BE1200" s="240" t="str">
        <f t="shared" si="431"/>
        <v/>
      </c>
      <c r="BF1200" s="990"/>
      <c r="BG1200" s="990"/>
      <c r="BH1200" s="991">
        <f>IF(AND(Input_Product=Elig!$C1200,Elig_MatchAll_Ct&lt;22,$BC1200=(Elig_MatchAll_Ct-1),AF1200=0),C1200,0)</f>
        <v>0</v>
      </c>
      <c r="BI1200" s="991">
        <f>IF(AND(Input_Product=Elig!$C1200,Elig_MatchAll_Ct&lt;22,$BC1200=(Elig_MatchAll_Ct-1),AG1200=0),D1200,0)</f>
        <v>0</v>
      </c>
      <c r="BJ1200" s="991">
        <f>IF(AND(Input_Product=Elig!$C1200,Elig_MatchAll_Ct&lt;22,$BC1200=(Elig_MatchAll_Ct-1),AH1200=0),E1200,0)</f>
        <v>0</v>
      </c>
      <c r="BK1200" s="991">
        <f>IF(AND(Input_Product=Elig!$C1200,Elig_MatchAll_Ct&lt;22,$BC1200=(Elig_MatchAll_Ct-1),AI1200=0),F1200,0)</f>
        <v>0</v>
      </c>
      <c r="BL1200" s="991">
        <f>IF(AND(Input_Product=Elig!$C1200,Elig_MatchAll_Ct&lt;22,$BC1200=(Elig_MatchAll_Ct-1),AJ1200=0),G1200,0)</f>
        <v>0</v>
      </c>
      <c r="BM1200" s="991">
        <f>IF(AND(Input_Product=Elig!$C1200,Elig_MatchAll_Ct&lt;22,$BC1200=(Elig_MatchAll_Ct-1),AK1200=0),H1200,0)</f>
        <v>0</v>
      </c>
      <c r="BN1200" s="991">
        <f>IF(AND(Input_Product=Elig!$C1200,Elig_MatchAll_Ct&lt;22,$BC1200=(Elig_MatchAll_Ct-1),AL1200=0),I1200,0)</f>
        <v>0</v>
      </c>
      <c r="BO1200" s="991">
        <f>IF(AND(Input_Product=Elig!$C1200,Elig_MatchAll_Ct&lt;22,$BC1200=(Elig_MatchAll_Ct-1),AM1200=0),J1200,0)</f>
        <v>0</v>
      </c>
      <c r="BP1200" s="991">
        <f>IF(AND(Input_Product=Elig!$C1200,Elig_MatchAll_Ct&lt;22,$BC1200=(Elig_MatchAll_Ct-1),AN1200=0),K1200,0)</f>
        <v>0</v>
      </c>
      <c r="BQ1200" s="991">
        <f>IF(AND(Input_Product=Elig!$C1200,Elig_MatchAll_Ct&lt;22,$BC1200=(Elig_MatchAll_Ct-1),AP1200=0),L1200,0)</f>
        <v>0</v>
      </c>
      <c r="BR1200" s="991">
        <f>IF(AND(Input_Product=Elig!$C1200,Elig_MatchAll_Ct&lt;22,$BC1200=(Elig_MatchAll_Ct-1),AO1200=0),M1200,0)</f>
        <v>0</v>
      </c>
      <c r="BS1200" s="991">
        <f>IF(AND(Input_Product=Elig!$C1200,Elig_MatchAll_Ct&lt;22,$BC1200=(Elig_MatchAll_Ct-1),AQ1200=0),N1200,0)</f>
        <v>0</v>
      </c>
      <c r="BT1200" s="991">
        <f>IF(AND(Input_Product=Elig!$C1200,Elig_MatchAll_Ct&lt;22,$BC1200=(Elig_MatchAll_Ct-1),AR1200=0),O1200,0)</f>
        <v>0</v>
      </c>
      <c r="BU1200" s="991">
        <f>IF(AND(Input_Product=Elig!$C1200,Elig_MatchAll_Ct&lt;22,$BC1200=(Elig_MatchAll_Ct-1),AS1200=0),P1200,0)</f>
        <v>0</v>
      </c>
      <c r="BV1200" s="992">
        <f>IF(AND(Input_Product=Elig!$C1200,Elig_MatchAll_Ct&lt;22,$BC1200=(Elig_MatchAll_Ct-1),AT1200=0),Q1200,0)</f>
        <v>0</v>
      </c>
      <c r="BW1200" s="993">
        <f>IF(AND(Input_Product=Elig!$C1200,Elig_MatchAll_Ct&lt;22,$BC1200=(Elig_MatchAll_Ct-1),AU1200=0),R1200,0)</f>
        <v>0</v>
      </c>
      <c r="BX1200" s="994">
        <f>IF(AND(Input_Product=Elig!$C1200,Elig_MatchAll_Ct&lt;22,$BC1200=(Elig_MatchAll_Ct-1),AU1200=0),S1200,0)</f>
        <v>0</v>
      </c>
      <c r="BY1200" s="993">
        <f>IF(AND(Input_Product=Elig!$C1200,Elig_MatchAll_Ct&lt;22,$BC1200=(Elig_MatchAll_Ct-1),AV1200=0),T1200,0)</f>
        <v>0</v>
      </c>
      <c r="BZ1200" s="994">
        <f>IF(AND(Input_Product=Elig!$C1200,Elig_MatchAll_Ct&lt;22,$BC1200=(Elig_MatchAll_Ct-1),AV1200=0),U1200,0)</f>
        <v>0</v>
      </c>
      <c r="CA1200" s="993">
        <f>IF(AND(Input_Product=Elig!$C1200,Elig_MatchAll_Ct&lt;22,$BC1200=(Elig_MatchAll_Ct-1),AW1200=0),V1200,0)</f>
        <v>0</v>
      </c>
      <c r="CB1200" s="994">
        <f>IF(AND(Input_Product=Elig!$C1200,Elig_MatchAll_Ct&lt;22,$BC1200=(Elig_MatchAll_Ct-1),AW1200=0),W1200,0)</f>
        <v>0</v>
      </c>
      <c r="CC1200" s="993">
        <f>IF(AND(Input_Product=Elig!$C1200,Elig_MatchAll_Ct&lt;22,$BC1200=(Elig_MatchAll_Ct-1),AX1200=0),X1200,0)</f>
        <v>0</v>
      </c>
      <c r="CD1200" s="994">
        <f>IF(AND(Input_Product=Elig!$C1200,Elig_MatchAll_Ct&lt;22,$BC1200=(Elig_MatchAll_Ct-1),AX1200=0),Y1200,0)</f>
        <v>0</v>
      </c>
      <c r="CE1200" s="993">
        <f>IF(AND(Input_LTV&lt;=AE1200,Input_Product=Elig!$C1200,Elig_MatchAll_Ct&lt;22,$BC1200=(Elig_MatchAll_Ct-1),AY1200=0),Z1200,0)</f>
        <v>0</v>
      </c>
      <c r="CF1200" s="994">
        <f>IF(AND(Input_LTV&lt;=AE1200,Input_Product=Elig!$C1200,Elig_MatchAll_Ct&lt;22,$BC1200=(Elig_MatchAll_Ct-1),AY1200=0),AA1200,0)</f>
        <v>0</v>
      </c>
      <c r="CG1200" s="993">
        <f>IF(AND(Input_Product=Elig!$C1200,Elig_MatchAll_Ct&lt;22,$BC1200=(Elig_MatchAll_Ct-1),AZ1200=0),AB1200,0)</f>
        <v>0</v>
      </c>
      <c r="CH1200" s="994">
        <f>IF(AND(Input_Product=Elig!$C1200,Elig_MatchAll_Ct&lt;22,$BC1200=(Elig_MatchAll_Ct-1),AZ1200=0),AC1200,0)</f>
        <v>0</v>
      </c>
      <c r="CI1200" s="993">
        <f>IF(AND(Input_Product=Elig!$C1200,Elig_MatchAll_Ct&lt;22,$BC1200=(Elig_MatchAll_Ct-1),BA1200=0),AD1200,0)</f>
        <v>0</v>
      </c>
      <c r="CJ1200" s="994">
        <f>IF(AND(Input_Product=Elig!$C1200,Elig_MatchAll_Ct&lt;22,$BC1200=(Elig_MatchAll_Ct-1),BA1200=0),AE1200,0)</f>
        <v>0</v>
      </c>
    </row>
    <row r="1201" spans="2:88" ht="10.15" customHeight="1" x14ac:dyDescent="0.25">
      <c r="B1201" s="1918" t="s">
        <v>2491</v>
      </c>
      <c r="C1201" s="1223" t="str">
        <f t="shared" si="443"/>
        <v xml:space="preserve"> </v>
      </c>
      <c r="D1201" s="1224" t="s">
        <v>2218</v>
      </c>
      <c r="E1201" s="1224" t="s">
        <v>167</v>
      </c>
      <c r="F1201" s="1224" t="s">
        <v>330</v>
      </c>
      <c r="G1201" s="1225" t="s">
        <v>468</v>
      </c>
      <c r="H1201" s="1225" t="s">
        <v>136</v>
      </c>
      <c r="I1201" s="1224" t="s">
        <v>16</v>
      </c>
      <c r="J1201" s="1224" t="s">
        <v>1311</v>
      </c>
      <c r="K1201" s="1225" t="s">
        <v>3022</v>
      </c>
      <c r="L1201" s="1224" t="s">
        <v>2768</v>
      </c>
      <c r="M1201" s="1224" t="s">
        <v>2677</v>
      </c>
      <c r="N1201" s="1225" t="s">
        <v>2685</v>
      </c>
      <c r="O1201" s="1224" t="s">
        <v>310</v>
      </c>
      <c r="P1201" s="1224" t="s">
        <v>291</v>
      </c>
      <c r="Q1201" s="1224" t="s">
        <v>294</v>
      </c>
      <c r="R1201" s="1224">
        <v>125000</v>
      </c>
      <c r="S1201" s="1224">
        <v>1000000</v>
      </c>
      <c r="T1201" s="1224">
        <v>0</v>
      </c>
      <c r="U1201" s="1224">
        <f t="shared" si="442"/>
        <v>1000000</v>
      </c>
      <c r="V1201" s="1224">
        <v>0</v>
      </c>
      <c r="W1201" s="1224">
        <v>50</v>
      </c>
      <c r="X1201" s="1224">
        <v>0</v>
      </c>
      <c r="Y1201" s="1224">
        <v>999</v>
      </c>
      <c r="Z1201" s="1226">
        <v>700</v>
      </c>
      <c r="AA1201" s="1226">
        <v>719</v>
      </c>
      <c r="AB1201" s="1226">
        <v>3</v>
      </c>
      <c r="AC1201" s="1226">
        <v>999999</v>
      </c>
      <c r="AD1201" s="1224">
        <v>0</v>
      </c>
      <c r="AE1201" s="1227">
        <v>80</v>
      </c>
      <c r="AF1201" s="170">
        <v>0</v>
      </c>
      <c r="AG1201" s="171">
        <v>1</v>
      </c>
      <c r="AH1201" s="171">
        <v>1</v>
      </c>
      <c r="AI1201" s="171">
        <v>0</v>
      </c>
      <c r="AJ1201" s="171">
        <v>0</v>
      </c>
      <c r="AK1201" s="171">
        <v>1</v>
      </c>
      <c r="AL1201" s="171">
        <v>1</v>
      </c>
      <c r="AM1201" s="171">
        <v>1</v>
      </c>
      <c r="AN1201" s="171">
        <v>1</v>
      </c>
      <c r="AO1201" s="171">
        <v>1</v>
      </c>
      <c r="AP1201" s="171">
        <v>1</v>
      </c>
      <c r="AQ1201" s="171">
        <v>1</v>
      </c>
      <c r="AR1201" s="171">
        <v>1</v>
      </c>
      <c r="AS1201" s="171">
        <v>1</v>
      </c>
      <c r="AT1201" s="171">
        <v>1</v>
      </c>
      <c r="AU1201" s="171">
        <f t="shared" si="433"/>
        <v>1</v>
      </c>
      <c r="AV1201" s="171">
        <f t="shared" si="434"/>
        <v>1</v>
      </c>
      <c r="AW1201" s="171">
        <f t="shared" si="435"/>
        <v>1</v>
      </c>
      <c r="AX1201" s="171">
        <f t="shared" si="444"/>
        <v>1</v>
      </c>
      <c r="AY1201" s="171">
        <f t="shared" si="436"/>
        <v>0</v>
      </c>
      <c r="AZ1201" s="171">
        <f t="shared" si="437"/>
        <v>1</v>
      </c>
      <c r="BA1201" s="172">
        <f t="shared" si="438"/>
        <v>1</v>
      </c>
      <c r="BB1201" s="175">
        <f t="shared" si="439"/>
        <v>18</v>
      </c>
      <c r="BC1201" s="176">
        <f t="shared" si="440"/>
        <v>17</v>
      </c>
      <c r="BD1201" s="176">
        <f t="shared" si="441"/>
        <v>18</v>
      </c>
      <c r="BE1201" s="240" t="str">
        <f t="shared" si="431"/>
        <v/>
      </c>
      <c r="BF1201" s="990"/>
      <c r="BG1201" s="990"/>
      <c r="BH1201" s="991">
        <f>IF(AND(Input_Product=Elig!$C1201,Elig_MatchAll_Ct&lt;22,$BC1201=(Elig_MatchAll_Ct-1),AF1201=0),C1201,0)</f>
        <v>0</v>
      </c>
      <c r="BI1201" s="991">
        <f>IF(AND(Input_Product=Elig!$C1201,Elig_MatchAll_Ct&lt;22,$BC1201=(Elig_MatchAll_Ct-1),AG1201=0),D1201,0)</f>
        <v>0</v>
      </c>
      <c r="BJ1201" s="991">
        <f>IF(AND(Input_Product=Elig!$C1201,Elig_MatchAll_Ct&lt;22,$BC1201=(Elig_MatchAll_Ct-1),AH1201=0),E1201,0)</f>
        <v>0</v>
      </c>
      <c r="BK1201" s="991">
        <f>IF(AND(Input_Product=Elig!$C1201,Elig_MatchAll_Ct&lt;22,$BC1201=(Elig_MatchAll_Ct-1),AI1201=0),F1201,0)</f>
        <v>0</v>
      </c>
      <c r="BL1201" s="991">
        <f>IF(AND(Input_Product=Elig!$C1201,Elig_MatchAll_Ct&lt;22,$BC1201=(Elig_MatchAll_Ct-1),AJ1201=0),G1201,0)</f>
        <v>0</v>
      </c>
      <c r="BM1201" s="991">
        <f>IF(AND(Input_Product=Elig!$C1201,Elig_MatchAll_Ct&lt;22,$BC1201=(Elig_MatchAll_Ct-1),AK1201=0),H1201,0)</f>
        <v>0</v>
      </c>
      <c r="BN1201" s="991">
        <f>IF(AND(Input_Product=Elig!$C1201,Elig_MatchAll_Ct&lt;22,$BC1201=(Elig_MatchAll_Ct-1),AL1201=0),I1201,0)</f>
        <v>0</v>
      </c>
      <c r="BO1201" s="991">
        <f>IF(AND(Input_Product=Elig!$C1201,Elig_MatchAll_Ct&lt;22,$BC1201=(Elig_MatchAll_Ct-1),AM1201=0),J1201,0)</f>
        <v>0</v>
      </c>
      <c r="BP1201" s="991">
        <f>IF(AND(Input_Product=Elig!$C1201,Elig_MatchAll_Ct&lt;22,$BC1201=(Elig_MatchAll_Ct-1),AN1201=0),K1201,0)</f>
        <v>0</v>
      </c>
      <c r="BQ1201" s="991">
        <f>IF(AND(Input_Product=Elig!$C1201,Elig_MatchAll_Ct&lt;22,$BC1201=(Elig_MatchAll_Ct-1),AP1201=0),L1201,0)</f>
        <v>0</v>
      </c>
      <c r="BR1201" s="991">
        <f>IF(AND(Input_Product=Elig!$C1201,Elig_MatchAll_Ct&lt;22,$BC1201=(Elig_MatchAll_Ct-1),AO1201=0),M1201,0)</f>
        <v>0</v>
      </c>
      <c r="BS1201" s="991">
        <f>IF(AND(Input_Product=Elig!$C1201,Elig_MatchAll_Ct&lt;22,$BC1201=(Elig_MatchAll_Ct-1),AQ1201=0),N1201,0)</f>
        <v>0</v>
      </c>
      <c r="BT1201" s="991">
        <f>IF(AND(Input_Product=Elig!$C1201,Elig_MatchAll_Ct&lt;22,$BC1201=(Elig_MatchAll_Ct-1),AR1201=0),O1201,0)</f>
        <v>0</v>
      </c>
      <c r="BU1201" s="991">
        <f>IF(AND(Input_Product=Elig!$C1201,Elig_MatchAll_Ct&lt;22,$BC1201=(Elig_MatchAll_Ct-1),AS1201=0),P1201,0)</f>
        <v>0</v>
      </c>
      <c r="BV1201" s="992">
        <f>IF(AND(Input_Product=Elig!$C1201,Elig_MatchAll_Ct&lt;22,$BC1201=(Elig_MatchAll_Ct-1),AT1201=0),Q1201,0)</f>
        <v>0</v>
      </c>
      <c r="BW1201" s="993">
        <f>IF(AND(Input_Product=Elig!$C1201,Elig_MatchAll_Ct&lt;22,$BC1201=(Elig_MatchAll_Ct-1),AU1201=0),R1201,0)</f>
        <v>0</v>
      </c>
      <c r="BX1201" s="994">
        <f>IF(AND(Input_Product=Elig!$C1201,Elig_MatchAll_Ct&lt;22,$BC1201=(Elig_MatchAll_Ct-1),AU1201=0),S1201,0)</f>
        <v>0</v>
      </c>
      <c r="BY1201" s="993">
        <f>IF(AND(Input_Product=Elig!$C1201,Elig_MatchAll_Ct&lt;22,$BC1201=(Elig_MatchAll_Ct-1),AV1201=0),T1201,0)</f>
        <v>0</v>
      </c>
      <c r="BZ1201" s="994">
        <f>IF(AND(Input_Product=Elig!$C1201,Elig_MatchAll_Ct&lt;22,$BC1201=(Elig_MatchAll_Ct-1),AV1201=0),U1201,0)</f>
        <v>0</v>
      </c>
      <c r="CA1201" s="993">
        <f>IF(AND(Input_Product=Elig!$C1201,Elig_MatchAll_Ct&lt;22,$BC1201=(Elig_MatchAll_Ct-1),AW1201=0),V1201,0)</f>
        <v>0</v>
      </c>
      <c r="CB1201" s="994">
        <f>IF(AND(Input_Product=Elig!$C1201,Elig_MatchAll_Ct&lt;22,$BC1201=(Elig_MatchAll_Ct-1),AW1201=0),W1201,0)</f>
        <v>0</v>
      </c>
      <c r="CC1201" s="993">
        <f>IF(AND(Input_Product=Elig!$C1201,Elig_MatchAll_Ct&lt;22,$BC1201=(Elig_MatchAll_Ct-1),AX1201=0),X1201,0)</f>
        <v>0</v>
      </c>
      <c r="CD1201" s="994">
        <f>IF(AND(Input_Product=Elig!$C1201,Elig_MatchAll_Ct&lt;22,$BC1201=(Elig_MatchAll_Ct-1),AX1201=0),Y1201,0)</f>
        <v>0</v>
      </c>
      <c r="CE1201" s="993">
        <f>IF(AND(Input_LTV&lt;=AE1201,Input_Product=Elig!$C1201,Elig_MatchAll_Ct&lt;22,$BC1201=(Elig_MatchAll_Ct-1),AY1201=0),Z1201,0)</f>
        <v>0</v>
      </c>
      <c r="CF1201" s="994">
        <f>IF(AND(Input_LTV&lt;=AE1201,Input_Product=Elig!$C1201,Elig_MatchAll_Ct&lt;22,$BC1201=(Elig_MatchAll_Ct-1),AY1201=0),AA1201,0)</f>
        <v>0</v>
      </c>
      <c r="CG1201" s="993">
        <f>IF(AND(Input_Product=Elig!$C1201,Elig_MatchAll_Ct&lt;22,$BC1201=(Elig_MatchAll_Ct-1),AZ1201=0),AB1201,0)</f>
        <v>0</v>
      </c>
      <c r="CH1201" s="994">
        <f>IF(AND(Input_Product=Elig!$C1201,Elig_MatchAll_Ct&lt;22,$BC1201=(Elig_MatchAll_Ct-1),AZ1201=0),AC1201,0)</f>
        <v>0</v>
      </c>
      <c r="CI1201" s="993">
        <f>IF(AND(Input_Product=Elig!$C1201,Elig_MatchAll_Ct&lt;22,$BC1201=(Elig_MatchAll_Ct-1),BA1201=0),AD1201,0)</f>
        <v>0</v>
      </c>
      <c r="CJ1201" s="994">
        <f>IF(AND(Input_Product=Elig!$C1201,Elig_MatchAll_Ct&lt;22,$BC1201=(Elig_MatchAll_Ct-1),BA1201=0),AE1201,0)</f>
        <v>0</v>
      </c>
    </row>
    <row r="1202" spans="2:88" ht="10.15" customHeight="1" x14ac:dyDescent="0.25">
      <c r="B1202" s="1918" t="s">
        <v>2492</v>
      </c>
      <c r="C1202" s="1223" t="str">
        <f t="shared" si="443"/>
        <v xml:space="preserve"> </v>
      </c>
      <c r="D1202" s="1224" t="s">
        <v>2218</v>
      </c>
      <c r="E1202" s="1224" t="s">
        <v>167</v>
      </c>
      <c r="F1202" s="1224" t="s">
        <v>330</v>
      </c>
      <c r="G1202" s="1225" t="s">
        <v>468</v>
      </c>
      <c r="H1202" s="1225" t="s">
        <v>136</v>
      </c>
      <c r="I1202" s="1224" t="s">
        <v>16</v>
      </c>
      <c r="J1202" s="1224" t="s">
        <v>1311</v>
      </c>
      <c r="K1202" s="1225" t="s">
        <v>3022</v>
      </c>
      <c r="L1202" s="1224" t="s">
        <v>2768</v>
      </c>
      <c r="M1202" s="1224" t="s">
        <v>2677</v>
      </c>
      <c r="N1202" s="1225" t="s">
        <v>2685</v>
      </c>
      <c r="O1202" s="1224" t="s">
        <v>310</v>
      </c>
      <c r="P1202" s="1224" t="s">
        <v>291</v>
      </c>
      <c r="Q1202" s="1224" t="s">
        <v>294</v>
      </c>
      <c r="R1202" s="1224">
        <v>125000</v>
      </c>
      <c r="S1202" s="1224">
        <v>1000000</v>
      </c>
      <c r="T1202" s="1224">
        <v>0</v>
      </c>
      <c r="U1202" s="1224">
        <f t="shared" si="442"/>
        <v>1000000</v>
      </c>
      <c r="V1202" s="1224">
        <v>0</v>
      </c>
      <c r="W1202" s="1224">
        <v>50</v>
      </c>
      <c r="X1202" s="1224">
        <v>0</v>
      </c>
      <c r="Y1202" s="1224">
        <v>999</v>
      </c>
      <c r="Z1202" s="1226">
        <v>680</v>
      </c>
      <c r="AA1202" s="1226">
        <v>699</v>
      </c>
      <c r="AB1202" s="1226">
        <v>3</v>
      </c>
      <c r="AC1202" s="1226">
        <v>999999</v>
      </c>
      <c r="AD1202" s="1224">
        <v>0</v>
      </c>
      <c r="AE1202" s="1227">
        <v>75</v>
      </c>
      <c r="AF1202" s="170">
        <v>0</v>
      </c>
      <c r="AG1202" s="171">
        <v>1</v>
      </c>
      <c r="AH1202" s="171">
        <v>1</v>
      </c>
      <c r="AI1202" s="171">
        <v>0</v>
      </c>
      <c r="AJ1202" s="171">
        <v>0</v>
      </c>
      <c r="AK1202" s="171">
        <v>1</v>
      </c>
      <c r="AL1202" s="171">
        <v>1</v>
      </c>
      <c r="AM1202" s="171">
        <v>1</v>
      </c>
      <c r="AN1202" s="171">
        <v>1</v>
      </c>
      <c r="AO1202" s="171">
        <v>1</v>
      </c>
      <c r="AP1202" s="171">
        <v>1</v>
      </c>
      <c r="AQ1202" s="171">
        <v>1</v>
      </c>
      <c r="AR1202" s="171">
        <v>1</v>
      </c>
      <c r="AS1202" s="171">
        <v>1</v>
      </c>
      <c r="AT1202" s="171">
        <v>1</v>
      </c>
      <c r="AU1202" s="171">
        <f t="shared" si="433"/>
        <v>1</v>
      </c>
      <c r="AV1202" s="171">
        <f t="shared" si="434"/>
        <v>1</v>
      </c>
      <c r="AW1202" s="171">
        <f t="shared" si="435"/>
        <v>1</v>
      </c>
      <c r="AX1202" s="171">
        <f t="shared" si="444"/>
        <v>1</v>
      </c>
      <c r="AY1202" s="171">
        <f t="shared" si="436"/>
        <v>0</v>
      </c>
      <c r="AZ1202" s="171">
        <f t="shared" si="437"/>
        <v>1</v>
      </c>
      <c r="BA1202" s="172">
        <f t="shared" si="438"/>
        <v>1</v>
      </c>
      <c r="BB1202" s="175">
        <f t="shared" si="439"/>
        <v>18</v>
      </c>
      <c r="BC1202" s="176">
        <f t="shared" si="440"/>
        <v>17</v>
      </c>
      <c r="BD1202" s="176">
        <f t="shared" si="441"/>
        <v>18</v>
      </c>
      <c r="BE1202" s="240" t="str">
        <f t="shared" si="431"/>
        <v/>
      </c>
      <c r="BF1202" s="990"/>
      <c r="BG1202" s="990"/>
      <c r="BH1202" s="991">
        <f>IF(AND(Input_Product=Elig!$C1202,Elig_MatchAll_Ct&lt;22,$BC1202=(Elig_MatchAll_Ct-1),AF1202=0),C1202,0)</f>
        <v>0</v>
      </c>
      <c r="BI1202" s="991">
        <f>IF(AND(Input_Product=Elig!$C1202,Elig_MatchAll_Ct&lt;22,$BC1202=(Elig_MatchAll_Ct-1),AG1202=0),D1202,0)</f>
        <v>0</v>
      </c>
      <c r="BJ1202" s="991">
        <f>IF(AND(Input_Product=Elig!$C1202,Elig_MatchAll_Ct&lt;22,$BC1202=(Elig_MatchAll_Ct-1),AH1202=0),E1202,0)</f>
        <v>0</v>
      </c>
      <c r="BK1202" s="991">
        <f>IF(AND(Input_Product=Elig!$C1202,Elig_MatchAll_Ct&lt;22,$BC1202=(Elig_MatchAll_Ct-1),AI1202=0),F1202,0)</f>
        <v>0</v>
      </c>
      <c r="BL1202" s="991">
        <f>IF(AND(Input_Product=Elig!$C1202,Elig_MatchAll_Ct&lt;22,$BC1202=(Elig_MatchAll_Ct-1),AJ1202=0),G1202,0)</f>
        <v>0</v>
      </c>
      <c r="BM1202" s="991">
        <f>IF(AND(Input_Product=Elig!$C1202,Elig_MatchAll_Ct&lt;22,$BC1202=(Elig_MatchAll_Ct-1),AK1202=0),H1202,0)</f>
        <v>0</v>
      </c>
      <c r="BN1202" s="991">
        <f>IF(AND(Input_Product=Elig!$C1202,Elig_MatchAll_Ct&lt;22,$BC1202=(Elig_MatchAll_Ct-1),AL1202=0),I1202,0)</f>
        <v>0</v>
      </c>
      <c r="BO1202" s="991">
        <f>IF(AND(Input_Product=Elig!$C1202,Elig_MatchAll_Ct&lt;22,$BC1202=(Elig_MatchAll_Ct-1),AM1202=0),J1202,0)</f>
        <v>0</v>
      </c>
      <c r="BP1202" s="991">
        <f>IF(AND(Input_Product=Elig!$C1202,Elig_MatchAll_Ct&lt;22,$BC1202=(Elig_MatchAll_Ct-1),AN1202=0),K1202,0)</f>
        <v>0</v>
      </c>
      <c r="BQ1202" s="991">
        <f>IF(AND(Input_Product=Elig!$C1202,Elig_MatchAll_Ct&lt;22,$BC1202=(Elig_MatchAll_Ct-1),AP1202=0),L1202,0)</f>
        <v>0</v>
      </c>
      <c r="BR1202" s="991">
        <f>IF(AND(Input_Product=Elig!$C1202,Elig_MatchAll_Ct&lt;22,$BC1202=(Elig_MatchAll_Ct-1),AO1202=0),M1202,0)</f>
        <v>0</v>
      </c>
      <c r="BS1202" s="991">
        <f>IF(AND(Input_Product=Elig!$C1202,Elig_MatchAll_Ct&lt;22,$BC1202=(Elig_MatchAll_Ct-1),AQ1202=0),N1202,0)</f>
        <v>0</v>
      </c>
      <c r="BT1202" s="991">
        <f>IF(AND(Input_Product=Elig!$C1202,Elig_MatchAll_Ct&lt;22,$BC1202=(Elig_MatchAll_Ct-1),AR1202=0),O1202,0)</f>
        <v>0</v>
      </c>
      <c r="BU1202" s="991">
        <f>IF(AND(Input_Product=Elig!$C1202,Elig_MatchAll_Ct&lt;22,$BC1202=(Elig_MatchAll_Ct-1),AS1202=0),P1202,0)</f>
        <v>0</v>
      </c>
      <c r="BV1202" s="992">
        <f>IF(AND(Input_Product=Elig!$C1202,Elig_MatchAll_Ct&lt;22,$BC1202=(Elig_MatchAll_Ct-1),AT1202=0),Q1202,0)</f>
        <v>0</v>
      </c>
      <c r="BW1202" s="993">
        <f>IF(AND(Input_Product=Elig!$C1202,Elig_MatchAll_Ct&lt;22,$BC1202=(Elig_MatchAll_Ct-1),AU1202=0),R1202,0)</f>
        <v>0</v>
      </c>
      <c r="BX1202" s="994">
        <f>IF(AND(Input_Product=Elig!$C1202,Elig_MatchAll_Ct&lt;22,$BC1202=(Elig_MatchAll_Ct-1),AU1202=0),S1202,0)</f>
        <v>0</v>
      </c>
      <c r="BY1202" s="993">
        <f>IF(AND(Input_Product=Elig!$C1202,Elig_MatchAll_Ct&lt;22,$BC1202=(Elig_MatchAll_Ct-1),AV1202=0),T1202,0)</f>
        <v>0</v>
      </c>
      <c r="BZ1202" s="994">
        <f>IF(AND(Input_Product=Elig!$C1202,Elig_MatchAll_Ct&lt;22,$BC1202=(Elig_MatchAll_Ct-1),AV1202=0),U1202,0)</f>
        <v>0</v>
      </c>
      <c r="CA1202" s="993">
        <f>IF(AND(Input_Product=Elig!$C1202,Elig_MatchAll_Ct&lt;22,$BC1202=(Elig_MatchAll_Ct-1),AW1202=0),V1202,0)</f>
        <v>0</v>
      </c>
      <c r="CB1202" s="994">
        <f>IF(AND(Input_Product=Elig!$C1202,Elig_MatchAll_Ct&lt;22,$BC1202=(Elig_MatchAll_Ct-1),AW1202=0),W1202,0)</f>
        <v>0</v>
      </c>
      <c r="CC1202" s="993">
        <f>IF(AND(Input_Product=Elig!$C1202,Elig_MatchAll_Ct&lt;22,$BC1202=(Elig_MatchAll_Ct-1),AX1202=0),X1202,0)</f>
        <v>0</v>
      </c>
      <c r="CD1202" s="994">
        <f>IF(AND(Input_Product=Elig!$C1202,Elig_MatchAll_Ct&lt;22,$BC1202=(Elig_MatchAll_Ct-1),AX1202=0),Y1202,0)</f>
        <v>0</v>
      </c>
      <c r="CE1202" s="993">
        <f>IF(AND(Input_LTV&lt;=AE1202,Input_Product=Elig!$C1202,Elig_MatchAll_Ct&lt;22,$BC1202=(Elig_MatchAll_Ct-1),AY1202=0),Z1202,0)</f>
        <v>0</v>
      </c>
      <c r="CF1202" s="994">
        <f>IF(AND(Input_LTV&lt;=AE1202,Input_Product=Elig!$C1202,Elig_MatchAll_Ct&lt;22,$BC1202=(Elig_MatchAll_Ct-1),AY1202=0),AA1202,0)</f>
        <v>0</v>
      </c>
      <c r="CG1202" s="993">
        <f>IF(AND(Input_Product=Elig!$C1202,Elig_MatchAll_Ct&lt;22,$BC1202=(Elig_MatchAll_Ct-1),AZ1202=0),AB1202,0)</f>
        <v>0</v>
      </c>
      <c r="CH1202" s="994">
        <f>IF(AND(Input_Product=Elig!$C1202,Elig_MatchAll_Ct&lt;22,$BC1202=(Elig_MatchAll_Ct-1),AZ1202=0),AC1202,0)</f>
        <v>0</v>
      </c>
      <c r="CI1202" s="993">
        <f>IF(AND(Input_Product=Elig!$C1202,Elig_MatchAll_Ct&lt;22,$BC1202=(Elig_MatchAll_Ct-1),BA1202=0),AD1202,0)</f>
        <v>0</v>
      </c>
      <c r="CJ1202" s="994">
        <f>IF(AND(Input_Product=Elig!$C1202,Elig_MatchAll_Ct&lt;22,$BC1202=(Elig_MatchAll_Ct-1),BA1202=0),AE1202,0)</f>
        <v>0</v>
      </c>
    </row>
    <row r="1203" spans="2:88" ht="10.15" customHeight="1" x14ac:dyDescent="0.25">
      <c r="B1203" s="1918" t="s">
        <v>2493</v>
      </c>
      <c r="C1203" s="1228" t="str">
        <f t="shared" si="443"/>
        <v xml:space="preserve"> </v>
      </c>
      <c r="D1203" s="1229" t="s">
        <v>2218</v>
      </c>
      <c r="E1203" s="1229" t="s">
        <v>167</v>
      </c>
      <c r="F1203" s="1229" t="s">
        <v>330</v>
      </c>
      <c r="G1203" s="1230" t="s">
        <v>468</v>
      </c>
      <c r="H1203" s="1230" t="s">
        <v>136</v>
      </c>
      <c r="I1203" s="1229" t="s">
        <v>16</v>
      </c>
      <c r="J1203" s="1229" t="s">
        <v>1311</v>
      </c>
      <c r="K1203" s="1230" t="s">
        <v>3022</v>
      </c>
      <c r="L1203" s="1229" t="s">
        <v>2768</v>
      </c>
      <c r="M1203" s="1229" t="s">
        <v>2677</v>
      </c>
      <c r="N1203" s="1230" t="s">
        <v>2685</v>
      </c>
      <c r="O1203" s="1229" t="s">
        <v>310</v>
      </c>
      <c r="P1203" s="1229" t="s">
        <v>291</v>
      </c>
      <c r="Q1203" s="1229" t="s">
        <v>294</v>
      </c>
      <c r="R1203" s="1229">
        <v>125000</v>
      </c>
      <c r="S1203" s="1229">
        <v>1000000</v>
      </c>
      <c r="T1203" s="1229">
        <v>0</v>
      </c>
      <c r="U1203" s="1229">
        <f t="shared" si="442"/>
        <v>1000000</v>
      </c>
      <c r="V1203" s="1229">
        <v>0</v>
      </c>
      <c r="W1203" s="1229">
        <v>50</v>
      </c>
      <c r="X1203" s="1229">
        <v>0</v>
      </c>
      <c r="Y1203" s="1229">
        <v>999</v>
      </c>
      <c r="Z1203" s="1231">
        <v>660</v>
      </c>
      <c r="AA1203" s="1231">
        <v>679</v>
      </c>
      <c r="AB1203" s="1231">
        <v>3</v>
      </c>
      <c r="AC1203" s="1231">
        <v>999999</v>
      </c>
      <c r="AD1203" s="1229">
        <v>0</v>
      </c>
      <c r="AE1203" s="1232">
        <v>70</v>
      </c>
      <c r="AF1203" s="170">
        <v>0</v>
      </c>
      <c r="AG1203" s="171">
        <v>1</v>
      </c>
      <c r="AH1203" s="171">
        <v>1</v>
      </c>
      <c r="AI1203" s="171">
        <v>0</v>
      </c>
      <c r="AJ1203" s="171">
        <v>0</v>
      </c>
      <c r="AK1203" s="171">
        <v>1</v>
      </c>
      <c r="AL1203" s="171">
        <v>1</v>
      </c>
      <c r="AM1203" s="171">
        <v>1</v>
      </c>
      <c r="AN1203" s="171">
        <v>1</v>
      </c>
      <c r="AO1203" s="171">
        <v>1</v>
      </c>
      <c r="AP1203" s="171">
        <v>1</v>
      </c>
      <c r="AQ1203" s="171">
        <v>1</v>
      </c>
      <c r="AR1203" s="171">
        <v>1</v>
      </c>
      <c r="AS1203" s="171">
        <v>1</v>
      </c>
      <c r="AT1203" s="171">
        <v>1</v>
      </c>
      <c r="AU1203" s="171">
        <f t="shared" si="433"/>
        <v>1</v>
      </c>
      <c r="AV1203" s="171">
        <f t="shared" si="434"/>
        <v>1</v>
      </c>
      <c r="AW1203" s="171">
        <f t="shared" si="435"/>
        <v>1</v>
      </c>
      <c r="AX1203" s="171">
        <f t="shared" si="444"/>
        <v>1</v>
      </c>
      <c r="AY1203" s="171">
        <f t="shared" si="436"/>
        <v>0</v>
      </c>
      <c r="AZ1203" s="171">
        <f t="shared" si="437"/>
        <v>1</v>
      </c>
      <c r="BA1203" s="172">
        <f t="shared" si="438"/>
        <v>1</v>
      </c>
      <c r="BB1203" s="175">
        <f t="shared" si="439"/>
        <v>18</v>
      </c>
      <c r="BC1203" s="176">
        <f t="shared" si="440"/>
        <v>17</v>
      </c>
      <c r="BD1203" s="176">
        <f t="shared" si="441"/>
        <v>18</v>
      </c>
      <c r="BE1203" s="240" t="str">
        <f t="shared" si="431"/>
        <v/>
      </c>
      <c r="BF1203" s="990"/>
      <c r="BG1203" s="990"/>
      <c r="BH1203" s="991">
        <f>IF(AND(Input_Product=Elig!$C1203,Elig_MatchAll_Ct&lt;22,$BC1203=(Elig_MatchAll_Ct-1),AF1203=0),C1203,0)</f>
        <v>0</v>
      </c>
      <c r="BI1203" s="991">
        <f>IF(AND(Input_Product=Elig!$C1203,Elig_MatchAll_Ct&lt;22,$BC1203=(Elig_MatchAll_Ct-1),AG1203=0),D1203,0)</f>
        <v>0</v>
      </c>
      <c r="BJ1203" s="991">
        <f>IF(AND(Input_Product=Elig!$C1203,Elig_MatchAll_Ct&lt;22,$BC1203=(Elig_MatchAll_Ct-1),AH1203=0),E1203,0)</f>
        <v>0</v>
      </c>
      <c r="BK1203" s="991">
        <f>IF(AND(Input_Product=Elig!$C1203,Elig_MatchAll_Ct&lt;22,$BC1203=(Elig_MatchAll_Ct-1),AI1203=0),F1203,0)</f>
        <v>0</v>
      </c>
      <c r="BL1203" s="991">
        <f>IF(AND(Input_Product=Elig!$C1203,Elig_MatchAll_Ct&lt;22,$BC1203=(Elig_MatchAll_Ct-1),AJ1203=0),G1203,0)</f>
        <v>0</v>
      </c>
      <c r="BM1203" s="991">
        <f>IF(AND(Input_Product=Elig!$C1203,Elig_MatchAll_Ct&lt;22,$BC1203=(Elig_MatchAll_Ct-1),AK1203=0),H1203,0)</f>
        <v>0</v>
      </c>
      <c r="BN1203" s="991">
        <f>IF(AND(Input_Product=Elig!$C1203,Elig_MatchAll_Ct&lt;22,$BC1203=(Elig_MatchAll_Ct-1),AL1203=0),I1203,0)</f>
        <v>0</v>
      </c>
      <c r="BO1203" s="991">
        <f>IF(AND(Input_Product=Elig!$C1203,Elig_MatchAll_Ct&lt;22,$BC1203=(Elig_MatchAll_Ct-1),AM1203=0),J1203,0)</f>
        <v>0</v>
      </c>
      <c r="BP1203" s="991">
        <f>IF(AND(Input_Product=Elig!$C1203,Elig_MatchAll_Ct&lt;22,$BC1203=(Elig_MatchAll_Ct-1),AN1203=0),K1203,0)</f>
        <v>0</v>
      </c>
      <c r="BQ1203" s="991">
        <f>IF(AND(Input_Product=Elig!$C1203,Elig_MatchAll_Ct&lt;22,$BC1203=(Elig_MatchAll_Ct-1),AP1203=0),L1203,0)</f>
        <v>0</v>
      </c>
      <c r="BR1203" s="991">
        <f>IF(AND(Input_Product=Elig!$C1203,Elig_MatchAll_Ct&lt;22,$BC1203=(Elig_MatchAll_Ct-1),AO1203=0),M1203,0)</f>
        <v>0</v>
      </c>
      <c r="BS1203" s="991">
        <f>IF(AND(Input_Product=Elig!$C1203,Elig_MatchAll_Ct&lt;22,$BC1203=(Elig_MatchAll_Ct-1),AQ1203=0),N1203,0)</f>
        <v>0</v>
      </c>
      <c r="BT1203" s="991">
        <f>IF(AND(Input_Product=Elig!$C1203,Elig_MatchAll_Ct&lt;22,$BC1203=(Elig_MatchAll_Ct-1),AR1203=0),O1203,0)</f>
        <v>0</v>
      </c>
      <c r="BU1203" s="991">
        <f>IF(AND(Input_Product=Elig!$C1203,Elig_MatchAll_Ct&lt;22,$BC1203=(Elig_MatchAll_Ct-1),AS1203=0),P1203,0)</f>
        <v>0</v>
      </c>
      <c r="BV1203" s="992">
        <f>IF(AND(Input_Product=Elig!$C1203,Elig_MatchAll_Ct&lt;22,$BC1203=(Elig_MatchAll_Ct-1),AT1203=0),Q1203,0)</f>
        <v>0</v>
      </c>
      <c r="BW1203" s="993">
        <f>IF(AND(Input_Product=Elig!$C1203,Elig_MatchAll_Ct&lt;22,$BC1203=(Elig_MatchAll_Ct-1),AU1203=0),R1203,0)</f>
        <v>0</v>
      </c>
      <c r="BX1203" s="994">
        <f>IF(AND(Input_Product=Elig!$C1203,Elig_MatchAll_Ct&lt;22,$BC1203=(Elig_MatchAll_Ct-1),AU1203=0),S1203,0)</f>
        <v>0</v>
      </c>
      <c r="BY1203" s="993">
        <f>IF(AND(Input_Product=Elig!$C1203,Elig_MatchAll_Ct&lt;22,$BC1203=(Elig_MatchAll_Ct-1),AV1203=0),T1203,0)</f>
        <v>0</v>
      </c>
      <c r="BZ1203" s="994">
        <f>IF(AND(Input_Product=Elig!$C1203,Elig_MatchAll_Ct&lt;22,$BC1203=(Elig_MatchAll_Ct-1),AV1203=0),U1203,0)</f>
        <v>0</v>
      </c>
      <c r="CA1203" s="993">
        <f>IF(AND(Input_Product=Elig!$C1203,Elig_MatchAll_Ct&lt;22,$BC1203=(Elig_MatchAll_Ct-1),AW1203=0),V1203,0)</f>
        <v>0</v>
      </c>
      <c r="CB1203" s="994">
        <f>IF(AND(Input_Product=Elig!$C1203,Elig_MatchAll_Ct&lt;22,$BC1203=(Elig_MatchAll_Ct-1),AW1203=0),W1203,0)</f>
        <v>0</v>
      </c>
      <c r="CC1203" s="993">
        <f>IF(AND(Input_Product=Elig!$C1203,Elig_MatchAll_Ct&lt;22,$BC1203=(Elig_MatchAll_Ct-1),AX1203=0),X1203,0)</f>
        <v>0</v>
      </c>
      <c r="CD1203" s="994">
        <f>IF(AND(Input_Product=Elig!$C1203,Elig_MatchAll_Ct&lt;22,$BC1203=(Elig_MatchAll_Ct-1),AX1203=0),Y1203,0)</f>
        <v>0</v>
      </c>
      <c r="CE1203" s="993">
        <f>IF(AND(Input_LTV&lt;=AE1203,Input_Product=Elig!$C1203,Elig_MatchAll_Ct&lt;22,$BC1203=(Elig_MatchAll_Ct-1),AY1203=0),Z1203,0)</f>
        <v>0</v>
      </c>
      <c r="CF1203" s="994">
        <f>IF(AND(Input_LTV&lt;=AE1203,Input_Product=Elig!$C1203,Elig_MatchAll_Ct&lt;22,$BC1203=(Elig_MatchAll_Ct-1),AY1203=0),AA1203,0)</f>
        <v>0</v>
      </c>
      <c r="CG1203" s="993">
        <f>IF(AND(Input_Product=Elig!$C1203,Elig_MatchAll_Ct&lt;22,$BC1203=(Elig_MatchAll_Ct-1),AZ1203=0),AB1203,0)</f>
        <v>0</v>
      </c>
      <c r="CH1203" s="994">
        <f>IF(AND(Input_Product=Elig!$C1203,Elig_MatchAll_Ct&lt;22,$BC1203=(Elig_MatchAll_Ct-1),AZ1203=0),AC1203,0)</f>
        <v>0</v>
      </c>
      <c r="CI1203" s="993">
        <f>IF(AND(Input_Product=Elig!$C1203,Elig_MatchAll_Ct&lt;22,$BC1203=(Elig_MatchAll_Ct-1),BA1203=0),AD1203,0)</f>
        <v>0</v>
      </c>
      <c r="CJ1203" s="994">
        <f>IF(AND(Input_Product=Elig!$C1203,Elig_MatchAll_Ct&lt;22,$BC1203=(Elig_MatchAll_Ct-1),BA1203=0),AE1203,0)</f>
        <v>0</v>
      </c>
    </row>
    <row r="1204" spans="2:88" ht="10.15" customHeight="1" x14ac:dyDescent="0.25">
      <c r="B1204" s="1918" t="s">
        <v>2494</v>
      </c>
      <c r="C1204" s="1218" t="str">
        <f t="shared" si="443"/>
        <v xml:space="preserve"> </v>
      </c>
      <c r="D1204" s="1219" t="s">
        <v>2218</v>
      </c>
      <c r="E1204" s="1219" t="s">
        <v>167</v>
      </c>
      <c r="F1204" s="1219" t="s">
        <v>330</v>
      </c>
      <c r="G1204" s="1220" t="s">
        <v>468</v>
      </c>
      <c r="H1204" s="1220" t="s">
        <v>136</v>
      </c>
      <c r="I1204" s="1219" t="s">
        <v>16</v>
      </c>
      <c r="J1204" s="1219" t="s">
        <v>1311</v>
      </c>
      <c r="K1204" s="1220" t="s">
        <v>3022</v>
      </c>
      <c r="L1204" s="1219" t="s">
        <v>2768</v>
      </c>
      <c r="M1204" s="1219" t="s">
        <v>2677</v>
      </c>
      <c r="N1204" s="1220" t="s">
        <v>2685</v>
      </c>
      <c r="O1204" s="1219" t="s">
        <v>310</v>
      </c>
      <c r="P1204" s="1219" t="s">
        <v>291</v>
      </c>
      <c r="Q1204" s="1219" t="s">
        <v>294</v>
      </c>
      <c r="R1204" s="1219">
        <v>1000000.01</v>
      </c>
      <c r="S1204" s="1219">
        <v>1500000</v>
      </c>
      <c r="T1204" s="1219">
        <v>0</v>
      </c>
      <c r="U1204" s="1219">
        <f t="shared" si="442"/>
        <v>1500000</v>
      </c>
      <c r="V1204" s="1219">
        <v>0</v>
      </c>
      <c r="W1204" s="1219">
        <v>50</v>
      </c>
      <c r="X1204" s="1219">
        <v>0</v>
      </c>
      <c r="Y1204" s="1219">
        <v>999</v>
      </c>
      <c r="Z1204" s="1221">
        <v>720</v>
      </c>
      <c r="AA1204" s="1221">
        <v>999</v>
      </c>
      <c r="AB1204" s="1221">
        <v>6</v>
      </c>
      <c r="AC1204" s="1221">
        <v>999999</v>
      </c>
      <c r="AD1204" s="1219">
        <v>0</v>
      </c>
      <c r="AE1204" s="1222">
        <v>80</v>
      </c>
      <c r="AF1204" s="170">
        <v>0</v>
      </c>
      <c r="AG1204" s="171">
        <v>1</v>
      </c>
      <c r="AH1204" s="171">
        <v>1</v>
      </c>
      <c r="AI1204" s="171">
        <v>0</v>
      </c>
      <c r="AJ1204" s="171">
        <v>0</v>
      </c>
      <c r="AK1204" s="171">
        <v>1</v>
      </c>
      <c r="AL1204" s="171">
        <v>1</v>
      </c>
      <c r="AM1204" s="171">
        <v>1</v>
      </c>
      <c r="AN1204" s="171">
        <v>1</v>
      </c>
      <c r="AO1204" s="171">
        <v>1</v>
      </c>
      <c r="AP1204" s="171">
        <v>1</v>
      </c>
      <c r="AQ1204" s="171">
        <v>1</v>
      </c>
      <c r="AR1204" s="171">
        <v>1</v>
      </c>
      <c r="AS1204" s="171">
        <v>1</v>
      </c>
      <c r="AT1204" s="171">
        <v>1</v>
      </c>
      <c r="AU1204" s="171">
        <f t="shared" si="433"/>
        <v>0</v>
      </c>
      <c r="AV1204" s="171">
        <f t="shared" si="434"/>
        <v>1</v>
      </c>
      <c r="AW1204" s="171">
        <f t="shared" si="435"/>
        <v>1</v>
      </c>
      <c r="AX1204" s="171">
        <f t="shared" si="444"/>
        <v>1</v>
      </c>
      <c r="AY1204" s="171">
        <f t="shared" si="436"/>
        <v>1</v>
      </c>
      <c r="AZ1204" s="171">
        <f t="shared" si="437"/>
        <v>1</v>
      </c>
      <c r="BA1204" s="172">
        <f t="shared" si="438"/>
        <v>1</v>
      </c>
      <c r="BB1204" s="175">
        <f t="shared" si="439"/>
        <v>18</v>
      </c>
      <c r="BC1204" s="176">
        <f t="shared" si="440"/>
        <v>17</v>
      </c>
      <c r="BD1204" s="176">
        <f t="shared" si="441"/>
        <v>18</v>
      </c>
      <c r="BE1204" s="240" t="str">
        <f t="shared" si="431"/>
        <v/>
      </c>
      <c r="BF1204" s="990"/>
      <c r="BG1204" s="990"/>
      <c r="BH1204" s="991">
        <f>IF(AND(Input_Product=Elig!$C1204,Elig_MatchAll_Ct&lt;22,$BC1204=(Elig_MatchAll_Ct-1),AF1204=0),C1204,0)</f>
        <v>0</v>
      </c>
      <c r="BI1204" s="991">
        <f>IF(AND(Input_Product=Elig!$C1204,Elig_MatchAll_Ct&lt;22,$BC1204=(Elig_MatchAll_Ct-1),AG1204=0),D1204,0)</f>
        <v>0</v>
      </c>
      <c r="BJ1204" s="991">
        <f>IF(AND(Input_Product=Elig!$C1204,Elig_MatchAll_Ct&lt;22,$BC1204=(Elig_MatchAll_Ct-1),AH1204=0),E1204,0)</f>
        <v>0</v>
      </c>
      <c r="BK1204" s="991">
        <f>IF(AND(Input_Product=Elig!$C1204,Elig_MatchAll_Ct&lt;22,$BC1204=(Elig_MatchAll_Ct-1),AI1204=0),F1204,0)</f>
        <v>0</v>
      </c>
      <c r="BL1204" s="991">
        <f>IF(AND(Input_Product=Elig!$C1204,Elig_MatchAll_Ct&lt;22,$BC1204=(Elig_MatchAll_Ct-1),AJ1204=0),G1204,0)</f>
        <v>0</v>
      </c>
      <c r="BM1204" s="991">
        <f>IF(AND(Input_Product=Elig!$C1204,Elig_MatchAll_Ct&lt;22,$BC1204=(Elig_MatchAll_Ct-1),AK1204=0),H1204,0)</f>
        <v>0</v>
      </c>
      <c r="BN1204" s="991">
        <f>IF(AND(Input_Product=Elig!$C1204,Elig_MatchAll_Ct&lt;22,$BC1204=(Elig_MatchAll_Ct-1),AL1204=0),I1204,0)</f>
        <v>0</v>
      </c>
      <c r="BO1204" s="991">
        <f>IF(AND(Input_Product=Elig!$C1204,Elig_MatchAll_Ct&lt;22,$BC1204=(Elig_MatchAll_Ct-1),AM1204=0),J1204,0)</f>
        <v>0</v>
      </c>
      <c r="BP1204" s="991">
        <f>IF(AND(Input_Product=Elig!$C1204,Elig_MatchAll_Ct&lt;22,$BC1204=(Elig_MatchAll_Ct-1),AN1204=0),K1204,0)</f>
        <v>0</v>
      </c>
      <c r="BQ1204" s="991">
        <f>IF(AND(Input_Product=Elig!$C1204,Elig_MatchAll_Ct&lt;22,$BC1204=(Elig_MatchAll_Ct-1),AP1204=0),L1204,0)</f>
        <v>0</v>
      </c>
      <c r="BR1204" s="991">
        <f>IF(AND(Input_Product=Elig!$C1204,Elig_MatchAll_Ct&lt;22,$BC1204=(Elig_MatchAll_Ct-1),AO1204=0),M1204,0)</f>
        <v>0</v>
      </c>
      <c r="BS1204" s="991">
        <f>IF(AND(Input_Product=Elig!$C1204,Elig_MatchAll_Ct&lt;22,$BC1204=(Elig_MatchAll_Ct-1),AQ1204=0),N1204,0)</f>
        <v>0</v>
      </c>
      <c r="BT1204" s="991">
        <f>IF(AND(Input_Product=Elig!$C1204,Elig_MatchAll_Ct&lt;22,$BC1204=(Elig_MatchAll_Ct-1),AR1204=0),O1204,0)</f>
        <v>0</v>
      </c>
      <c r="BU1204" s="991">
        <f>IF(AND(Input_Product=Elig!$C1204,Elig_MatchAll_Ct&lt;22,$BC1204=(Elig_MatchAll_Ct-1),AS1204=0),P1204,0)</f>
        <v>0</v>
      </c>
      <c r="BV1204" s="992">
        <f>IF(AND(Input_Product=Elig!$C1204,Elig_MatchAll_Ct&lt;22,$BC1204=(Elig_MatchAll_Ct-1),AT1204=0),Q1204,0)</f>
        <v>0</v>
      </c>
      <c r="BW1204" s="993">
        <f>IF(AND(Input_Product=Elig!$C1204,Elig_MatchAll_Ct&lt;22,$BC1204=(Elig_MatchAll_Ct-1),AU1204=0),R1204,0)</f>
        <v>0</v>
      </c>
      <c r="BX1204" s="994">
        <f>IF(AND(Input_Product=Elig!$C1204,Elig_MatchAll_Ct&lt;22,$BC1204=(Elig_MatchAll_Ct-1),AU1204=0),S1204,0)</f>
        <v>0</v>
      </c>
      <c r="BY1204" s="993">
        <f>IF(AND(Input_Product=Elig!$C1204,Elig_MatchAll_Ct&lt;22,$BC1204=(Elig_MatchAll_Ct-1),AV1204=0),T1204,0)</f>
        <v>0</v>
      </c>
      <c r="BZ1204" s="994">
        <f>IF(AND(Input_Product=Elig!$C1204,Elig_MatchAll_Ct&lt;22,$BC1204=(Elig_MatchAll_Ct-1),AV1204=0),U1204,0)</f>
        <v>0</v>
      </c>
      <c r="CA1204" s="993">
        <f>IF(AND(Input_Product=Elig!$C1204,Elig_MatchAll_Ct&lt;22,$BC1204=(Elig_MatchAll_Ct-1),AW1204=0),V1204,0)</f>
        <v>0</v>
      </c>
      <c r="CB1204" s="994">
        <f>IF(AND(Input_Product=Elig!$C1204,Elig_MatchAll_Ct&lt;22,$BC1204=(Elig_MatchAll_Ct-1),AW1204=0),W1204,0)</f>
        <v>0</v>
      </c>
      <c r="CC1204" s="993">
        <f>IF(AND(Input_Product=Elig!$C1204,Elig_MatchAll_Ct&lt;22,$BC1204=(Elig_MatchAll_Ct-1),AX1204=0),X1204,0)</f>
        <v>0</v>
      </c>
      <c r="CD1204" s="994">
        <f>IF(AND(Input_Product=Elig!$C1204,Elig_MatchAll_Ct&lt;22,$BC1204=(Elig_MatchAll_Ct-1),AX1204=0),Y1204,0)</f>
        <v>0</v>
      </c>
      <c r="CE1204" s="993">
        <f>IF(AND(Input_LTV&lt;=AE1204,Input_Product=Elig!$C1204,Elig_MatchAll_Ct&lt;22,$BC1204=(Elig_MatchAll_Ct-1),AY1204=0),Z1204,0)</f>
        <v>0</v>
      </c>
      <c r="CF1204" s="994">
        <f>IF(AND(Input_LTV&lt;=AE1204,Input_Product=Elig!$C1204,Elig_MatchAll_Ct&lt;22,$BC1204=(Elig_MatchAll_Ct-1),AY1204=0),AA1204,0)</f>
        <v>0</v>
      </c>
      <c r="CG1204" s="993">
        <f>IF(AND(Input_Product=Elig!$C1204,Elig_MatchAll_Ct&lt;22,$BC1204=(Elig_MatchAll_Ct-1),AZ1204=0),AB1204,0)</f>
        <v>0</v>
      </c>
      <c r="CH1204" s="994">
        <f>IF(AND(Input_Product=Elig!$C1204,Elig_MatchAll_Ct&lt;22,$BC1204=(Elig_MatchAll_Ct-1),AZ1204=0),AC1204,0)</f>
        <v>0</v>
      </c>
      <c r="CI1204" s="993">
        <f>IF(AND(Input_Product=Elig!$C1204,Elig_MatchAll_Ct&lt;22,$BC1204=(Elig_MatchAll_Ct-1),BA1204=0),AD1204,0)</f>
        <v>0</v>
      </c>
      <c r="CJ1204" s="994">
        <f>IF(AND(Input_Product=Elig!$C1204,Elig_MatchAll_Ct&lt;22,$BC1204=(Elig_MatchAll_Ct-1),BA1204=0),AE1204,0)</f>
        <v>0</v>
      </c>
    </row>
    <row r="1205" spans="2:88" ht="10.15" customHeight="1" x14ac:dyDescent="0.25">
      <c r="B1205" s="1918" t="s">
        <v>2495</v>
      </c>
      <c r="C1205" s="1223" t="str">
        <f t="shared" si="443"/>
        <v xml:space="preserve"> </v>
      </c>
      <c r="D1205" s="1224" t="s">
        <v>2218</v>
      </c>
      <c r="E1205" s="1224" t="s">
        <v>167</v>
      </c>
      <c r="F1205" s="1224" t="s">
        <v>330</v>
      </c>
      <c r="G1205" s="1225" t="s">
        <v>468</v>
      </c>
      <c r="H1205" s="1225" t="s">
        <v>136</v>
      </c>
      <c r="I1205" s="1224" t="s">
        <v>16</v>
      </c>
      <c r="J1205" s="1224" t="s">
        <v>1311</v>
      </c>
      <c r="K1205" s="1225" t="s">
        <v>3022</v>
      </c>
      <c r="L1205" s="1224" t="s">
        <v>2768</v>
      </c>
      <c r="M1205" s="1224" t="s">
        <v>2677</v>
      </c>
      <c r="N1205" s="1225" t="s">
        <v>2685</v>
      </c>
      <c r="O1205" s="1224" t="s">
        <v>310</v>
      </c>
      <c r="P1205" s="1224" t="s">
        <v>291</v>
      </c>
      <c r="Q1205" s="1224" t="s">
        <v>294</v>
      </c>
      <c r="R1205" s="1224">
        <v>1000000.01</v>
      </c>
      <c r="S1205" s="1224">
        <v>1500000</v>
      </c>
      <c r="T1205" s="1224">
        <v>0</v>
      </c>
      <c r="U1205" s="1224">
        <f t="shared" si="442"/>
        <v>1500000</v>
      </c>
      <c r="V1205" s="1224">
        <v>0</v>
      </c>
      <c r="W1205" s="1224">
        <v>50</v>
      </c>
      <c r="X1205" s="1224">
        <v>0</v>
      </c>
      <c r="Y1205" s="1224">
        <v>999</v>
      </c>
      <c r="Z1205" s="1226">
        <v>700</v>
      </c>
      <c r="AA1205" s="1226">
        <v>719</v>
      </c>
      <c r="AB1205" s="1226">
        <v>6</v>
      </c>
      <c r="AC1205" s="1226">
        <v>999999</v>
      </c>
      <c r="AD1205" s="1224">
        <v>0</v>
      </c>
      <c r="AE1205" s="1227">
        <v>80</v>
      </c>
      <c r="AF1205" s="170">
        <v>0</v>
      </c>
      <c r="AG1205" s="171">
        <v>1</v>
      </c>
      <c r="AH1205" s="171">
        <v>1</v>
      </c>
      <c r="AI1205" s="171">
        <v>0</v>
      </c>
      <c r="AJ1205" s="171">
        <v>0</v>
      </c>
      <c r="AK1205" s="171">
        <v>1</v>
      </c>
      <c r="AL1205" s="171">
        <v>1</v>
      </c>
      <c r="AM1205" s="171">
        <v>1</v>
      </c>
      <c r="AN1205" s="171">
        <v>1</v>
      </c>
      <c r="AO1205" s="171">
        <v>1</v>
      </c>
      <c r="AP1205" s="171">
        <v>1</v>
      </c>
      <c r="AQ1205" s="171">
        <v>1</v>
      </c>
      <c r="AR1205" s="171">
        <v>1</v>
      </c>
      <c r="AS1205" s="171">
        <v>1</v>
      </c>
      <c r="AT1205" s="171">
        <v>1</v>
      </c>
      <c r="AU1205" s="171">
        <f t="shared" si="433"/>
        <v>0</v>
      </c>
      <c r="AV1205" s="171">
        <f t="shared" si="434"/>
        <v>1</v>
      </c>
      <c r="AW1205" s="171">
        <f t="shared" si="435"/>
        <v>1</v>
      </c>
      <c r="AX1205" s="171">
        <f t="shared" si="444"/>
        <v>1</v>
      </c>
      <c r="AY1205" s="171">
        <f t="shared" si="436"/>
        <v>0</v>
      </c>
      <c r="AZ1205" s="171">
        <f t="shared" si="437"/>
        <v>1</v>
      </c>
      <c r="BA1205" s="172">
        <f t="shared" si="438"/>
        <v>1</v>
      </c>
      <c r="BB1205" s="175">
        <f t="shared" si="439"/>
        <v>17</v>
      </c>
      <c r="BC1205" s="176">
        <f t="shared" si="440"/>
        <v>16</v>
      </c>
      <c r="BD1205" s="176">
        <f t="shared" si="441"/>
        <v>17</v>
      </c>
      <c r="BE1205" s="240" t="str">
        <f t="shared" si="431"/>
        <v/>
      </c>
      <c r="BF1205" s="990"/>
      <c r="BG1205" s="990"/>
      <c r="BH1205" s="991">
        <f>IF(AND(Input_Product=Elig!$C1205,Elig_MatchAll_Ct&lt;22,$BC1205=(Elig_MatchAll_Ct-1),AF1205=0),C1205,0)</f>
        <v>0</v>
      </c>
      <c r="BI1205" s="991">
        <f>IF(AND(Input_Product=Elig!$C1205,Elig_MatchAll_Ct&lt;22,$BC1205=(Elig_MatchAll_Ct-1),AG1205=0),D1205,0)</f>
        <v>0</v>
      </c>
      <c r="BJ1205" s="991">
        <f>IF(AND(Input_Product=Elig!$C1205,Elig_MatchAll_Ct&lt;22,$BC1205=(Elig_MatchAll_Ct-1),AH1205=0),E1205,0)</f>
        <v>0</v>
      </c>
      <c r="BK1205" s="991">
        <f>IF(AND(Input_Product=Elig!$C1205,Elig_MatchAll_Ct&lt;22,$BC1205=(Elig_MatchAll_Ct-1),AI1205=0),F1205,0)</f>
        <v>0</v>
      </c>
      <c r="BL1205" s="991">
        <f>IF(AND(Input_Product=Elig!$C1205,Elig_MatchAll_Ct&lt;22,$BC1205=(Elig_MatchAll_Ct-1),AJ1205=0),G1205,0)</f>
        <v>0</v>
      </c>
      <c r="BM1205" s="991">
        <f>IF(AND(Input_Product=Elig!$C1205,Elig_MatchAll_Ct&lt;22,$BC1205=(Elig_MatchAll_Ct-1),AK1205=0),H1205,0)</f>
        <v>0</v>
      </c>
      <c r="BN1205" s="991">
        <f>IF(AND(Input_Product=Elig!$C1205,Elig_MatchAll_Ct&lt;22,$BC1205=(Elig_MatchAll_Ct-1),AL1205=0),I1205,0)</f>
        <v>0</v>
      </c>
      <c r="BO1205" s="991">
        <f>IF(AND(Input_Product=Elig!$C1205,Elig_MatchAll_Ct&lt;22,$BC1205=(Elig_MatchAll_Ct-1),AM1205=0),J1205,0)</f>
        <v>0</v>
      </c>
      <c r="BP1205" s="991">
        <f>IF(AND(Input_Product=Elig!$C1205,Elig_MatchAll_Ct&lt;22,$BC1205=(Elig_MatchAll_Ct-1),AN1205=0),K1205,0)</f>
        <v>0</v>
      </c>
      <c r="BQ1205" s="991">
        <f>IF(AND(Input_Product=Elig!$C1205,Elig_MatchAll_Ct&lt;22,$BC1205=(Elig_MatchAll_Ct-1),AP1205=0),L1205,0)</f>
        <v>0</v>
      </c>
      <c r="BR1205" s="991">
        <f>IF(AND(Input_Product=Elig!$C1205,Elig_MatchAll_Ct&lt;22,$BC1205=(Elig_MatchAll_Ct-1),AO1205=0),M1205,0)</f>
        <v>0</v>
      </c>
      <c r="BS1205" s="991">
        <f>IF(AND(Input_Product=Elig!$C1205,Elig_MatchAll_Ct&lt;22,$BC1205=(Elig_MatchAll_Ct-1),AQ1205=0),N1205,0)</f>
        <v>0</v>
      </c>
      <c r="BT1205" s="991">
        <f>IF(AND(Input_Product=Elig!$C1205,Elig_MatchAll_Ct&lt;22,$BC1205=(Elig_MatchAll_Ct-1),AR1205=0),O1205,0)</f>
        <v>0</v>
      </c>
      <c r="BU1205" s="991">
        <f>IF(AND(Input_Product=Elig!$C1205,Elig_MatchAll_Ct&lt;22,$BC1205=(Elig_MatchAll_Ct-1),AS1205=0),P1205,0)</f>
        <v>0</v>
      </c>
      <c r="BV1205" s="992">
        <f>IF(AND(Input_Product=Elig!$C1205,Elig_MatchAll_Ct&lt;22,$BC1205=(Elig_MatchAll_Ct-1),AT1205=0),Q1205,0)</f>
        <v>0</v>
      </c>
      <c r="BW1205" s="993">
        <f>IF(AND(Input_Product=Elig!$C1205,Elig_MatchAll_Ct&lt;22,$BC1205=(Elig_MatchAll_Ct-1),AU1205=0),R1205,0)</f>
        <v>0</v>
      </c>
      <c r="BX1205" s="994">
        <f>IF(AND(Input_Product=Elig!$C1205,Elig_MatchAll_Ct&lt;22,$BC1205=(Elig_MatchAll_Ct-1),AU1205=0),S1205,0)</f>
        <v>0</v>
      </c>
      <c r="BY1205" s="993">
        <f>IF(AND(Input_Product=Elig!$C1205,Elig_MatchAll_Ct&lt;22,$BC1205=(Elig_MatchAll_Ct-1),AV1205=0),T1205,0)</f>
        <v>0</v>
      </c>
      <c r="BZ1205" s="994">
        <f>IF(AND(Input_Product=Elig!$C1205,Elig_MatchAll_Ct&lt;22,$BC1205=(Elig_MatchAll_Ct-1),AV1205=0),U1205,0)</f>
        <v>0</v>
      </c>
      <c r="CA1205" s="993">
        <f>IF(AND(Input_Product=Elig!$C1205,Elig_MatchAll_Ct&lt;22,$BC1205=(Elig_MatchAll_Ct-1),AW1205=0),V1205,0)</f>
        <v>0</v>
      </c>
      <c r="CB1205" s="994">
        <f>IF(AND(Input_Product=Elig!$C1205,Elig_MatchAll_Ct&lt;22,$BC1205=(Elig_MatchAll_Ct-1),AW1205=0),W1205,0)</f>
        <v>0</v>
      </c>
      <c r="CC1205" s="993">
        <f>IF(AND(Input_Product=Elig!$C1205,Elig_MatchAll_Ct&lt;22,$BC1205=(Elig_MatchAll_Ct-1),AX1205=0),X1205,0)</f>
        <v>0</v>
      </c>
      <c r="CD1205" s="994">
        <f>IF(AND(Input_Product=Elig!$C1205,Elig_MatchAll_Ct&lt;22,$BC1205=(Elig_MatchAll_Ct-1),AX1205=0),Y1205,0)</f>
        <v>0</v>
      </c>
      <c r="CE1205" s="993">
        <f>IF(AND(Input_LTV&lt;=AE1205,Input_Product=Elig!$C1205,Elig_MatchAll_Ct&lt;22,$BC1205=(Elig_MatchAll_Ct-1),AY1205=0),Z1205,0)</f>
        <v>0</v>
      </c>
      <c r="CF1205" s="994">
        <f>IF(AND(Input_LTV&lt;=AE1205,Input_Product=Elig!$C1205,Elig_MatchAll_Ct&lt;22,$BC1205=(Elig_MatchAll_Ct-1),AY1205=0),AA1205,0)</f>
        <v>0</v>
      </c>
      <c r="CG1205" s="993">
        <f>IF(AND(Input_Product=Elig!$C1205,Elig_MatchAll_Ct&lt;22,$BC1205=(Elig_MatchAll_Ct-1),AZ1205=0),AB1205,0)</f>
        <v>0</v>
      </c>
      <c r="CH1205" s="994">
        <f>IF(AND(Input_Product=Elig!$C1205,Elig_MatchAll_Ct&lt;22,$BC1205=(Elig_MatchAll_Ct-1),AZ1205=0),AC1205,0)</f>
        <v>0</v>
      </c>
      <c r="CI1205" s="993">
        <f>IF(AND(Input_Product=Elig!$C1205,Elig_MatchAll_Ct&lt;22,$BC1205=(Elig_MatchAll_Ct-1),BA1205=0),AD1205,0)</f>
        <v>0</v>
      </c>
      <c r="CJ1205" s="994">
        <f>IF(AND(Input_Product=Elig!$C1205,Elig_MatchAll_Ct&lt;22,$BC1205=(Elig_MatchAll_Ct-1),BA1205=0),AE1205,0)</f>
        <v>0</v>
      </c>
    </row>
    <row r="1206" spans="2:88" ht="10.15" customHeight="1" x14ac:dyDescent="0.25">
      <c r="B1206" s="1918" t="s">
        <v>2496</v>
      </c>
      <c r="C1206" s="1223" t="str">
        <f t="shared" si="443"/>
        <v xml:space="preserve"> </v>
      </c>
      <c r="D1206" s="1224" t="s">
        <v>2218</v>
      </c>
      <c r="E1206" s="1224" t="s">
        <v>167</v>
      </c>
      <c r="F1206" s="1224" t="s">
        <v>330</v>
      </c>
      <c r="G1206" s="1225" t="s">
        <v>468</v>
      </c>
      <c r="H1206" s="1225" t="s">
        <v>136</v>
      </c>
      <c r="I1206" s="1224" t="s">
        <v>16</v>
      </c>
      <c r="J1206" s="1224" t="s">
        <v>1311</v>
      </c>
      <c r="K1206" s="1225" t="s">
        <v>3022</v>
      </c>
      <c r="L1206" s="1224" t="s">
        <v>2768</v>
      </c>
      <c r="M1206" s="1224" t="s">
        <v>2677</v>
      </c>
      <c r="N1206" s="1225" t="s">
        <v>2685</v>
      </c>
      <c r="O1206" s="1224" t="s">
        <v>310</v>
      </c>
      <c r="P1206" s="1224" t="s">
        <v>291</v>
      </c>
      <c r="Q1206" s="1224" t="s">
        <v>294</v>
      </c>
      <c r="R1206" s="1224">
        <v>1000000.01</v>
      </c>
      <c r="S1206" s="1224">
        <v>1500000</v>
      </c>
      <c r="T1206" s="1224">
        <v>0</v>
      </c>
      <c r="U1206" s="1224">
        <f t="shared" si="442"/>
        <v>1500000</v>
      </c>
      <c r="V1206" s="1224">
        <v>0</v>
      </c>
      <c r="W1206" s="1224">
        <v>50</v>
      </c>
      <c r="X1206" s="1224">
        <v>0</v>
      </c>
      <c r="Y1206" s="1224">
        <v>999</v>
      </c>
      <c r="Z1206" s="1226">
        <v>680</v>
      </c>
      <c r="AA1206" s="1226">
        <v>699</v>
      </c>
      <c r="AB1206" s="1226">
        <v>6</v>
      </c>
      <c r="AC1206" s="1226">
        <v>999999</v>
      </c>
      <c r="AD1206" s="1224">
        <v>0</v>
      </c>
      <c r="AE1206" s="1227">
        <v>75</v>
      </c>
      <c r="AF1206" s="170">
        <v>0</v>
      </c>
      <c r="AG1206" s="171">
        <v>1</v>
      </c>
      <c r="AH1206" s="171">
        <v>1</v>
      </c>
      <c r="AI1206" s="171">
        <v>0</v>
      </c>
      <c r="AJ1206" s="171">
        <v>0</v>
      </c>
      <c r="AK1206" s="171">
        <v>1</v>
      </c>
      <c r="AL1206" s="171">
        <v>1</v>
      </c>
      <c r="AM1206" s="171">
        <v>1</v>
      </c>
      <c r="AN1206" s="171">
        <v>1</v>
      </c>
      <c r="AO1206" s="171">
        <v>1</v>
      </c>
      <c r="AP1206" s="171">
        <v>1</v>
      </c>
      <c r="AQ1206" s="171">
        <v>1</v>
      </c>
      <c r="AR1206" s="171">
        <v>1</v>
      </c>
      <c r="AS1206" s="171">
        <v>1</v>
      </c>
      <c r="AT1206" s="171">
        <v>1</v>
      </c>
      <c r="AU1206" s="171">
        <f t="shared" si="433"/>
        <v>0</v>
      </c>
      <c r="AV1206" s="171">
        <f t="shared" si="434"/>
        <v>1</v>
      </c>
      <c r="AW1206" s="171">
        <f t="shared" si="435"/>
        <v>1</v>
      </c>
      <c r="AX1206" s="171">
        <f t="shared" si="444"/>
        <v>1</v>
      </c>
      <c r="AY1206" s="171">
        <f t="shared" si="436"/>
        <v>0</v>
      </c>
      <c r="AZ1206" s="171">
        <f t="shared" si="437"/>
        <v>1</v>
      </c>
      <c r="BA1206" s="172">
        <f t="shared" si="438"/>
        <v>1</v>
      </c>
      <c r="BB1206" s="175">
        <f t="shared" si="439"/>
        <v>17</v>
      </c>
      <c r="BC1206" s="176">
        <f t="shared" si="440"/>
        <v>16</v>
      </c>
      <c r="BD1206" s="176">
        <f t="shared" si="441"/>
        <v>17</v>
      </c>
      <c r="BE1206" s="240" t="str">
        <f t="shared" si="431"/>
        <v/>
      </c>
      <c r="BF1206" s="990"/>
      <c r="BG1206" s="990"/>
      <c r="BH1206" s="991">
        <f>IF(AND(Input_Product=Elig!$C1206,Elig_MatchAll_Ct&lt;22,$BC1206=(Elig_MatchAll_Ct-1),AF1206=0),C1206,0)</f>
        <v>0</v>
      </c>
      <c r="BI1206" s="991">
        <f>IF(AND(Input_Product=Elig!$C1206,Elig_MatchAll_Ct&lt;22,$BC1206=(Elig_MatchAll_Ct-1),AG1206=0),D1206,0)</f>
        <v>0</v>
      </c>
      <c r="BJ1206" s="991">
        <f>IF(AND(Input_Product=Elig!$C1206,Elig_MatchAll_Ct&lt;22,$BC1206=(Elig_MatchAll_Ct-1),AH1206=0),E1206,0)</f>
        <v>0</v>
      </c>
      <c r="BK1206" s="991">
        <f>IF(AND(Input_Product=Elig!$C1206,Elig_MatchAll_Ct&lt;22,$BC1206=(Elig_MatchAll_Ct-1),AI1206=0),F1206,0)</f>
        <v>0</v>
      </c>
      <c r="BL1206" s="991">
        <f>IF(AND(Input_Product=Elig!$C1206,Elig_MatchAll_Ct&lt;22,$BC1206=(Elig_MatchAll_Ct-1),AJ1206=0),G1206,0)</f>
        <v>0</v>
      </c>
      <c r="BM1206" s="991">
        <f>IF(AND(Input_Product=Elig!$C1206,Elig_MatchAll_Ct&lt;22,$BC1206=(Elig_MatchAll_Ct-1),AK1206=0),H1206,0)</f>
        <v>0</v>
      </c>
      <c r="BN1206" s="991">
        <f>IF(AND(Input_Product=Elig!$C1206,Elig_MatchAll_Ct&lt;22,$BC1206=(Elig_MatchAll_Ct-1),AL1206=0),I1206,0)</f>
        <v>0</v>
      </c>
      <c r="BO1206" s="991">
        <f>IF(AND(Input_Product=Elig!$C1206,Elig_MatchAll_Ct&lt;22,$BC1206=(Elig_MatchAll_Ct-1),AM1206=0),J1206,0)</f>
        <v>0</v>
      </c>
      <c r="BP1206" s="991">
        <f>IF(AND(Input_Product=Elig!$C1206,Elig_MatchAll_Ct&lt;22,$BC1206=(Elig_MatchAll_Ct-1),AN1206=0),K1206,0)</f>
        <v>0</v>
      </c>
      <c r="BQ1206" s="991">
        <f>IF(AND(Input_Product=Elig!$C1206,Elig_MatchAll_Ct&lt;22,$BC1206=(Elig_MatchAll_Ct-1),AP1206=0),L1206,0)</f>
        <v>0</v>
      </c>
      <c r="BR1206" s="991">
        <f>IF(AND(Input_Product=Elig!$C1206,Elig_MatchAll_Ct&lt;22,$BC1206=(Elig_MatchAll_Ct-1),AO1206=0),M1206,0)</f>
        <v>0</v>
      </c>
      <c r="BS1206" s="991">
        <f>IF(AND(Input_Product=Elig!$C1206,Elig_MatchAll_Ct&lt;22,$BC1206=(Elig_MatchAll_Ct-1),AQ1206=0),N1206,0)</f>
        <v>0</v>
      </c>
      <c r="BT1206" s="991">
        <f>IF(AND(Input_Product=Elig!$C1206,Elig_MatchAll_Ct&lt;22,$BC1206=(Elig_MatchAll_Ct-1),AR1206=0),O1206,0)</f>
        <v>0</v>
      </c>
      <c r="BU1206" s="991">
        <f>IF(AND(Input_Product=Elig!$C1206,Elig_MatchAll_Ct&lt;22,$BC1206=(Elig_MatchAll_Ct-1),AS1206=0),P1206,0)</f>
        <v>0</v>
      </c>
      <c r="BV1206" s="992">
        <f>IF(AND(Input_Product=Elig!$C1206,Elig_MatchAll_Ct&lt;22,$BC1206=(Elig_MatchAll_Ct-1),AT1206=0),Q1206,0)</f>
        <v>0</v>
      </c>
      <c r="BW1206" s="993">
        <f>IF(AND(Input_Product=Elig!$C1206,Elig_MatchAll_Ct&lt;22,$BC1206=(Elig_MatchAll_Ct-1),AU1206=0),R1206,0)</f>
        <v>0</v>
      </c>
      <c r="BX1206" s="994">
        <f>IF(AND(Input_Product=Elig!$C1206,Elig_MatchAll_Ct&lt;22,$BC1206=(Elig_MatchAll_Ct-1),AU1206=0),S1206,0)</f>
        <v>0</v>
      </c>
      <c r="BY1206" s="993">
        <f>IF(AND(Input_Product=Elig!$C1206,Elig_MatchAll_Ct&lt;22,$BC1206=(Elig_MatchAll_Ct-1),AV1206=0),T1206,0)</f>
        <v>0</v>
      </c>
      <c r="BZ1206" s="994">
        <f>IF(AND(Input_Product=Elig!$C1206,Elig_MatchAll_Ct&lt;22,$BC1206=(Elig_MatchAll_Ct-1),AV1206=0),U1206,0)</f>
        <v>0</v>
      </c>
      <c r="CA1206" s="993">
        <f>IF(AND(Input_Product=Elig!$C1206,Elig_MatchAll_Ct&lt;22,$BC1206=(Elig_MatchAll_Ct-1),AW1206=0),V1206,0)</f>
        <v>0</v>
      </c>
      <c r="CB1206" s="994">
        <f>IF(AND(Input_Product=Elig!$C1206,Elig_MatchAll_Ct&lt;22,$BC1206=(Elig_MatchAll_Ct-1),AW1206=0),W1206,0)</f>
        <v>0</v>
      </c>
      <c r="CC1206" s="993">
        <f>IF(AND(Input_Product=Elig!$C1206,Elig_MatchAll_Ct&lt;22,$BC1206=(Elig_MatchAll_Ct-1),AX1206=0),X1206,0)</f>
        <v>0</v>
      </c>
      <c r="CD1206" s="994">
        <f>IF(AND(Input_Product=Elig!$C1206,Elig_MatchAll_Ct&lt;22,$BC1206=(Elig_MatchAll_Ct-1),AX1206=0),Y1206,0)</f>
        <v>0</v>
      </c>
      <c r="CE1206" s="993">
        <f>IF(AND(Input_LTV&lt;=AE1206,Input_Product=Elig!$C1206,Elig_MatchAll_Ct&lt;22,$BC1206=(Elig_MatchAll_Ct-1),AY1206=0),Z1206,0)</f>
        <v>0</v>
      </c>
      <c r="CF1206" s="994">
        <f>IF(AND(Input_LTV&lt;=AE1206,Input_Product=Elig!$C1206,Elig_MatchAll_Ct&lt;22,$BC1206=(Elig_MatchAll_Ct-1),AY1206=0),AA1206,0)</f>
        <v>0</v>
      </c>
      <c r="CG1206" s="993">
        <f>IF(AND(Input_Product=Elig!$C1206,Elig_MatchAll_Ct&lt;22,$BC1206=(Elig_MatchAll_Ct-1),AZ1206=0),AB1206,0)</f>
        <v>0</v>
      </c>
      <c r="CH1206" s="994">
        <f>IF(AND(Input_Product=Elig!$C1206,Elig_MatchAll_Ct&lt;22,$BC1206=(Elig_MatchAll_Ct-1),AZ1206=0),AC1206,0)</f>
        <v>0</v>
      </c>
      <c r="CI1206" s="993">
        <f>IF(AND(Input_Product=Elig!$C1206,Elig_MatchAll_Ct&lt;22,$BC1206=(Elig_MatchAll_Ct-1),BA1206=0),AD1206,0)</f>
        <v>0</v>
      </c>
      <c r="CJ1206" s="994">
        <f>IF(AND(Input_Product=Elig!$C1206,Elig_MatchAll_Ct&lt;22,$BC1206=(Elig_MatchAll_Ct-1),BA1206=0),AE1206,0)</f>
        <v>0</v>
      </c>
    </row>
    <row r="1207" spans="2:88" ht="10.15" customHeight="1" x14ac:dyDescent="0.25">
      <c r="B1207" s="1918" t="s">
        <v>2497</v>
      </c>
      <c r="C1207" s="1228" t="str">
        <f t="shared" si="443"/>
        <v xml:space="preserve"> </v>
      </c>
      <c r="D1207" s="1229" t="s">
        <v>2218</v>
      </c>
      <c r="E1207" s="1229" t="s">
        <v>167</v>
      </c>
      <c r="F1207" s="1229" t="s">
        <v>330</v>
      </c>
      <c r="G1207" s="1230" t="s">
        <v>468</v>
      </c>
      <c r="H1207" s="1230" t="s">
        <v>136</v>
      </c>
      <c r="I1207" s="1229" t="s">
        <v>16</v>
      </c>
      <c r="J1207" s="1229" t="s">
        <v>1311</v>
      </c>
      <c r="K1207" s="1230" t="s">
        <v>3022</v>
      </c>
      <c r="L1207" s="1229" t="s">
        <v>2768</v>
      </c>
      <c r="M1207" s="1229" t="s">
        <v>2677</v>
      </c>
      <c r="N1207" s="1230" t="s">
        <v>2685</v>
      </c>
      <c r="O1207" s="1229" t="s">
        <v>310</v>
      </c>
      <c r="P1207" s="1229" t="s">
        <v>291</v>
      </c>
      <c r="Q1207" s="1229" t="s">
        <v>294</v>
      </c>
      <c r="R1207" s="1229">
        <v>1000000.01</v>
      </c>
      <c r="S1207" s="1229">
        <v>1500000</v>
      </c>
      <c r="T1207" s="1229">
        <v>0</v>
      </c>
      <c r="U1207" s="1229">
        <f t="shared" si="442"/>
        <v>1500000</v>
      </c>
      <c r="V1207" s="1229">
        <v>0</v>
      </c>
      <c r="W1207" s="1229">
        <v>50</v>
      </c>
      <c r="X1207" s="1229">
        <v>0</v>
      </c>
      <c r="Y1207" s="1229">
        <v>999</v>
      </c>
      <c r="Z1207" s="1231">
        <v>660</v>
      </c>
      <c r="AA1207" s="1231">
        <v>679</v>
      </c>
      <c r="AB1207" s="1231">
        <v>6</v>
      </c>
      <c r="AC1207" s="1231">
        <v>999999</v>
      </c>
      <c r="AD1207" s="1229">
        <v>0</v>
      </c>
      <c r="AE1207" s="1232">
        <v>70</v>
      </c>
      <c r="AF1207" s="170">
        <v>0</v>
      </c>
      <c r="AG1207" s="171">
        <v>1</v>
      </c>
      <c r="AH1207" s="171">
        <v>1</v>
      </c>
      <c r="AI1207" s="171">
        <v>0</v>
      </c>
      <c r="AJ1207" s="171">
        <v>0</v>
      </c>
      <c r="AK1207" s="171">
        <v>1</v>
      </c>
      <c r="AL1207" s="171">
        <v>1</v>
      </c>
      <c r="AM1207" s="171">
        <v>1</v>
      </c>
      <c r="AN1207" s="171">
        <v>1</v>
      </c>
      <c r="AO1207" s="171">
        <v>1</v>
      </c>
      <c r="AP1207" s="171">
        <v>1</v>
      </c>
      <c r="AQ1207" s="171">
        <v>1</v>
      </c>
      <c r="AR1207" s="171">
        <v>1</v>
      </c>
      <c r="AS1207" s="171">
        <v>1</v>
      </c>
      <c r="AT1207" s="171">
        <v>1</v>
      </c>
      <c r="AU1207" s="171">
        <f t="shared" si="433"/>
        <v>0</v>
      </c>
      <c r="AV1207" s="171">
        <f t="shared" si="434"/>
        <v>1</v>
      </c>
      <c r="AW1207" s="171">
        <f t="shared" si="435"/>
        <v>1</v>
      </c>
      <c r="AX1207" s="171">
        <f t="shared" si="444"/>
        <v>1</v>
      </c>
      <c r="AY1207" s="171">
        <f t="shared" si="436"/>
        <v>0</v>
      </c>
      <c r="AZ1207" s="171">
        <f t="shared" si="437"/>
        <v>1</v>
      </c>
      <c r="BA1207" s="172">
        <f t="shared" si="438"/>
        <v>1</v>
      </c>
      <c r="BB1207" s="175">
        <f t="shared" si="439"/>
        <v>17</v>
      </c>
      <c r="BC1207" s="176">
        <f t="shared" si="440"/>
        <v>16</v>
      </c>
      <c r="BD1207" s="176">
        <f t="shared" si="441"/>
        <v>17</v>
      </c>
      <c r="BE1207" s="240" t="str">
        <f t="shared" si="431"/>
        <v/>
      </c>
      <c r="BF1207" s="990"/>
      <c r="BG1207" s="990"/>
      <c r="BH1207" s="991">
        <f>IF(AND(Input_Product=Elig!$C1207,Elig_MatchAll_Ct&lt;22,$BC1207=(Elig_MatchAll_Ct-1),AF1207=0),C1207,0)</f>
        <v>0</v>
      </c>
      <c r="BI1207" s="991">
        <f>IF(AND(Input_Product=Elig!$C1207,Elig_MatchAll_Ct&lt;22,$BC1207=(Elig_MatchAll_Ct-1),AG1207=0),D1207,0)</f>
        <v>0</v>
      </c>
      <c r="BJ1207" s="991">
        <f>IF(AND(Input_Product=Elig!$C1207,Elig_MatchAll_Ct&lt;22,$BC1207=(Elig_MatchAll_Ct-1),AH1207=0),E1207,0)</f>
        <v>0</v>
      </c>
      <c r="BK1207" s="991">
        <f>IF(AND(Input_Product=Elig!$C1207,Elig_MatchAll_Ct&lt;22,$BC1207=(Elig_MatchAll_Ct-1),AI1207=0),F1207,0)</f>
        <v>0</v>
      </c>
      <c r="BL1207" s="991">
        <f>IF(AND(Input_Product=Elig!$C1207,Elig_MatchAll_Ct&lt;22,$BC1207=(Elig_MatchAll_Ct-1),AJ1207=0),G1207,0)</f>
        <v>0</v>
      </c>
      <c r="BM1207" s="991">
        <f>IF(AND(Input_Product=Elig!$C1207,Elig_MatchAll_Ct&lt;22,$BC1207=(Elig_MatchAll_Ct-1),AK1207=0),H1207,0)</f>
        <v>0</v>
      </c>
      <c r="BN1207" s="991">
        <f>IF(AND(Input_Product=Elig!$C1207,Elig_MatchAll_Ct&lt;22,$BC1207=(Elig_MatchAll_Ct-1),AL1207=0),I1207,0)</f>
        <v>0</v>
      </c>
      <c r="BO1207" s="991">
        <f>IF(AND(Input_Product=Elig!$C1207,Elig_MatchAll_Ct&lt;22,$BC1207=(Elig_MatchAll_Ct-1),AM1207=0),J1207,0)</f>
        <v>0</v>
      </c>
      <c r="BP1207" s="991">
        <f>IF(AND(Input_Product=Elig!$C1207,Elig_MatchAll_Ct&lt;22,$BC1207=(Elig_MatchAll_Ct-1),AN1207=0),K1207,0)</f>
        <v>0</v>
      </c>
      <c r="BQ1207" s="991">
        <f>IF(AND(Input_Product=Elig!$C1207,Elig_MatchAll_Ct&lt;22,$BC1207=(Elig_MatchAll_Ct-1),AP1207=0),L1207,0)</f>
        <v>0</v>
      </c>
      <c r="BR1207" s="991">
        <f>IF(AND(Input_Product=Elig!$C1207,Elig_MatchAll_Ct&lt;22,$BC1207=(Elig_MatchAll_Ct-1),AO1207=0),M1207,0)</f>
        <v>0</v>
      </c>
      <c r="BS1207" s="991">
        <f>IF(AND(Input_Product=Elig!$C1207,Elig_MatchAll_Ct&lt;22,$BC1207=(Elig_MatchAll_Ct-1),AQ1207=0),N1207,0)</f>
        <v>0</v>
      </c>
      <c r="BT1207" s="991">
        <f>IF(AND(Input_Product=Elig!$C1207,Elig_MatchAll_Ct&lt;22,$BC1207=(Elig_MatchAll_Ct-1),AR1207=0),O1207,0)</f>
        <v>0</v>
      </c>
      <c r="BU1207" s="991">
        <f>IF(AND(Input_Product=Elig!$C1207,Elig_MatchAll_Ct&lt;22,$BC1207=(Elig_MatchAll_Ct-1),AS1207=0),P1207,0)</f>
        <v>0</v>
      </c>
      <c r="BV1207" s="992">
        <f>IF(AND(Input_Product=Elig!$C1207,Elig_MatchAll_Ct&lt;22,$BC1207=(Elig_MatchAll_Ct-1),AT1207=0),Q1207,0)</f>
        <v>0</v>
      </c>
      <c r="BW1207" s="993">
        <f>IF(AND(Input_Product=Elig!$C1207,Elig_MatchAll_Ct&lt;22,$BC1207=(Elig_MatchAll_Ct-1),AU1207=0),R1207,0)</f>
        <v>0</v>
      </c>
      <c r="BX1207" s="994">
        <f>IF(AND(Input_Product=Elig!$C1207,Elig_MatchAll_Ct&lt;22,$BC1207=(Elig_MatchAll_Ct-1),AU1207=0),S1207,0)</f>
        <v>0</v>
      </c>
      <c r="BY1207" s="993">
        <f>IF(AND(Input_Product=Elig!$C1207,Elig_MatchAll_Ct&lt;22,$BC1207=(Elig_MatchAll_Ct-1),AV1207=0),T1207,0)</f>
        <v>0</v>
      </c>
      <c r="BZ1207" s="994">
        <f>IF(AND(Input_Product=Elig!$C1207,Elig_MatchAll_Ct&lt;22,$BC1207=(Elig_MatchAll_Ct-1),AV1207=0),U1207,0)</f>
        <v>0</v>
      </c>
      <c r="CA1207" s="993">
        <f>IF(AND(Input_Product=Elig!$C1207,Elig_MatchAll_Ct&lt;22,$BC1207=(Elig_MatchAll_Ct-1),AW1207=0),V1207,0)</f>
        <v>0</v>
      </c>
      <c r="CB1207" s="994">
        <f>IF(AND(Input_Product=Elig!$C1207,Elig_MatchAll_Ct&lt;22,$BC1207=(Elig_MatchAll_Ct-1),AW1207=0),W1207,0)</f>
        <v>0</v>
      </c>
      <c r="CC1207" s="993">
        <f>IF(AND(Input_Product=Elig!$C1207,Elig_MatchAll_Ct&lt;22,$BC1207=(Elig_MatchAll_Ct-1),AX1207=0),X1207,0)</f>
        <v>0</v>
      </c>
      <c r="CD1207" s="994">
        <f>IF(AND(Input_Product=Elig!$C1207,Elig_MatchAll_Ct&lt;22,$BC1207=(Elig_MatchAll_Ct-1),AX1207=0),Y1207,0)</f>
        <v>0</v>
      </c>
      <c r="CE1207" s="993">
        <f>IF(AND(Input_LTV&lt;=AE1207,Input_Product=Elig!$C1207,Elig_MatchAll_Ct&lt;22,$BC1207=(Elig_MatchAll_Ct-1),AY1207=0),Z1207,0)</f>
        <v>0</v>
      </c>
      <c r="CF1207" s="994">
        <f>IF(AND(Input_LTV&lt;=AE1207,Input_Product=Elig!$C1207,Elig_MatchAll_Ct&lt;22,$BC1207=(Elig_MatchAll_Ct-1),AY1207=0),AA1207,0)</f>
        <v>0</v>
      </c>
      <c r="CG1207" s="993">
        <f>IF(AND(Input_Product=Elig!$C1207,Elig_MatchAll_Ct&lt;22,$BC1207=(Elig_MatchAll_Ct-1),AZ1207=0),AB1207,0)</f>
        <v>0</v>
      </c>
      <c r="CH1207" s="994">
        <f>IF(AND(Input_Product=Elig!$C1207,Elig_MatchAll_Ct&lt;22,$BC1207=(Elig_MatchAll_Ct-1),AZ1207=0),AC1207,0)</f>
        <v>0</v>
      </c>
      <c r="CI1207" s="993">
        <f>IF(AND(Input_Product=Elig!$C1207,Elig_MatchAll_Ct&lt;22,$BC1207=(Elig_MatchAll_Ct-1),BA1207=0),AD1207,0)</f>
        <v>0</v>
      </c>
      <c r="CJ1207" s="994">
        <f>IF(AND(Input_Product=Elig!$C1207,Elig_MatchAll_Ct&lt;22,$BC1207=(Elig_MatchAll_Ct-1),BA1207=0),AE1207,0)</f>
        <v>0</v>
      </c>
    </row>
    <row r="1208" spans="2:88" ht="10.15" customHeight="1" x14ac:dyDescent="0.25">
      <c r="B1208" s="1918" t="s">
        <v>2498</v>
      </c>
      <c r="C1208" s="1218" t="str">
        <f t="shared" si="443"/>
        <v xml:space="preserve"> </v>
      </c>
      <c r="D1208" s="1219" t="s">
        <v>2218</v>
      </c>
      <c r="E1208" s="1219" t="s">
        <v>167</v>
      </c>
      <c r="F1208" s="1219" t="s">
        <v>330</v>
      </c>
      <c r="G1208" s="1220" t="s">
        <v>468</v>
      </c>
      <c r="H1208" s="1220" t="s">
        <v>136</v>
      </c>
      <c r="I1208" s="1219" t="s">
        <v>16</v>
      </c>
      <c r="J1208" s="1219" t="s">
        <v>1311</v>
      </c>
      <c r="K1208" s="1220" t="s">
        <v>3022</v>
      </c>
      <c r="L1208" s="1219" t="s">
        <v>2768</v>
      </c>
      <c r="M1208" s="1219" t="s">
        <v>2677</v>
      </c>
      <c r="N1208" s="1220" t="s">
        <v>2685</v>
      </c>
      <c r="O1208" s="1219" t="s">
        <v>310</v>
      </c>
      <c r="P1208" s="1219" t="s">
        <v>291</v>
      </c>
      <c r="Q1208" s="1219" t="s">
        <v>294</v>
      </c>
      <c r="R1208" s="1219">
        <v>1500000.01</v>
      </c>
      <c r="S1208" s="1219">
        <v>2000000</v>
      </c>
      <c r="T1208" s="1219">
        <v>0</v>
      </c>
      <c r="U1208" s="1219">
        <f t="shared" si="442"/>
        <v>2000000</v>
      </c>
      <c r="V1208" s="1219">
        <v>0</v>
      </c>
      <c r="W1208" s="1219">
        <v>50</v>
      </c>
      <c r="X1208" s="1219">
        <v>0</v>
      </c>
      <c r="Y1208" s="1219">
        <v>999</v>
      </c>
      <c r="Z1208" s="1221">
        <v>720</v>
      </c>
      <c r="AA1208" s="1221">
        <v>999</v>
      </c>
      <c r="AB1208" s="1221">
        <v>6</v>
      </c>
      <c r="AC1208" s="1221">
        <v>999999</v>
      </c>
      <c r="AD1208" s="1219">
        <v>0</v>
      </c>
      <c r="AE1208" s="1222">
        <v>80</v>
      </c>
      <c r="AF1208" s="170">
        <v>0</v>
      </c>
      <c r="AG1208" s="171">
        <v>1</v>
      </c>
      <c r="AH1208" s="171">
        <v>1</v>
      </c>
      <c r="AI1208" s="171">
        <v>0</v>
      </c>
      <c r="AJ1208" s="171">
        <v>0</v>
      </c>
      <c r="AK1208" s="171">
        <v>1</v>
      </c>
      <c r="AL1208" s="171">
        <v>1</v>
      </c>
      <c r="AM1208" s="171">
        <v>1</v>
      </c>
      <c r="AN1208" s="171">
        <v>1</v>
      </c>
      <c r="AO1208" s="171">
        <v>1</v>
      </c>
      <c r="AP1208" s="171">
        <v>1</v>
      </c>
      <c r="AQ1208" s="171">
        <v>1</v>
      </c>
      <c r="AR1208" s="171">
        <v>1</v>
      </c>
      <c r="AS1208" s="171">
        <v>1</v>
      </c>
      <c r="AT1208" s="171">
        <v>1</v>
      </c>
      <c r="AU1208" s="171">
        <f t="shared" si="433"/>
        <v>0</v>
      </c>
      <c r="AV1208" s="171">
        <f t="shared" si="434"/>
        <v>1</v>
      </c>
      <c r="AW1208" s="171">
        <f t="shared" si="435"/>
        <v>1</v>
      </c>
      <c r="AX1208" s="171">
        <f t="shared" si="444"/>
        <v>1</v>
      </c>
      <c r="AY1208" s="171">
        <f t="shared" si="436"/>
        <v>1</v>
      </c>
      <c r="AZ1208" s="171">
        <f t="shared" si="437"/>
        <v>1</v>
      </c>
      <c r="BA1208" s="172">
        <f t="shared" si="438"/>
        <v>1</v>
      </c>
      <c r="BB1208" s="175">
        <f t="shared" si="439"/>
        <v>18</v>
      </c>
      <c r="BC1208" s="176">
        <f t="shared" si="440"/>
        <v>17</v>
      </c>
      <c r="BD1208" s="176">
        <f t="shared" si="441"/>
        <v>18</v>
      </c>
      <c r="BE1208" s="240" t="str">
        <f t="shared" si="431"/>
        <v/>
      </c>
      <c r="BF1208" s="990"/>
      <c r="BG1208" s="990"/>
      <c r="BH1208" s="991">
        <f>IF(AND(Input_Product=Elig!$C1208,Elig_MatchAll_Ct&lt;22,$BC1208=(Elig_MatchAll_Ct-1),AF1208=0),C1208,0)</f>
        <v>0</v>
      </c>
      <c r="BI1208" s="991">
        <f>IF(AND(Input_Product=Elig!$C1208,Elig_MatchAll_Ct&lt;22,$BC1208=(Elig_MatchAll_Ct-1),AG1208=0),D1208,0)</f>
        <v>0</v>
      </c>
      <c r="BJ1208" s="991">
        <f>IF(AND(Input_Product=Elig!$C1208,Elig_MatchAll_Ct&lt;22,$BC1208=(Elig_MatchAll_Ct-1),AH1208=0),E1208,0)</f>
        <v>0</v>
      </c>
      <c r="BK1208" s="991">
        <f>IF(AND(Input_Product=Elig!$C1208,Elig_MatchAll_Ct&lt;22,$BC1208=(Elig_MatchAll_Ct-1),AI1208=0),F1208,0)</f>
        <v>0</v>
      </c>
      <c r="BL1208" s="991">
        <f>IF(AND(Input_Product=Elig!$C1208,Elig_MatchAll_Ct&lt;22,$BC1208=(Elig_MatchAll_Ct-1),AJ1208=0),G1208,0)</f>
        <v>0</v>
      </c>
      <c r="BM1208" s="991">
        <f>IF(AND(Input_Product=Elig!$C1208,Elig_MatchAll_Ct&lt;22,$BC1208=(Elig_MatchAll_Ct-1),AK1208=0),H1208,0)</f>
        <v>0</v>
      </c>
      <c r="BN1208" s="991">
        <f>IF(AND(Input_Product=Elig!$C1208,Elig_MatchAll_Ct&lt;22,$BC1208=(Elig_MatchAll_Ct-1),AL1208=0),I1208,0)</f>
        <v>0</v>
      </c>
      <c r="BO1208" s="991">
        <f>IF(AND(Input_Product=Elig!$C1208,Elig_MatchAll_Ct&lt;22,$BC1208=(Elig_MatchAll_Ct-1),AM1208=0),J1208,0)</f>
        <v>0</v>
      </c>
      <c r="BP1208" s="991">
        <f>IF(AND(Input_Product=Elig!$C1208,Elig_MatchAll_Ct&lt;22,$BC1208=(Elig_MatchAll_Ct-1),AN1208=0),K1208,0)</f>
        <v>0</v>
      </c>
      <c r="BQ1208" s="991">
        <f>IF(AND(Input_Product=Elig!$C1208,Elig_MatchAll_Ct&lt;22,$BC1208=(Elig_MatchAll_Ct-1),AP1208=0),L1208,0)</f>
        <v>0</v>
      </c>
      <c r="BR1208" s="991">
        <f>IF(AND(Input_Product=Elig!$C1208,Elig_MatchAll_Ct&lt;22,$BC1208=(Elig_MatchAll_Ct-1),AO1208=0),M1208,0)</f>
        <v>0</v>
      </c>
      <c r="BS1208" s="991">
        <f>IF(AND(Input_Product=Elig!$C1208,Elig_MatchAll_Ct&lt;22,$BC1208=(Elig_MatchAll_Ct-1),AQ1208=0),N1208,0)</f>
        <v>0</v>
      </c>
      <c r="BT1208" s="991">
        <f>IF(AND(Input_Product=Elig!$C1208,Elig_MatchAll_Ct&lt;22,$BC1208=(Elig_MatchAll_Ct-1),AR1208=0),O1208,0)</f>
        <v>0</v>
      </c>
      <c r="BU1208" s="991">
        <f>IF(AND(Input_Product=Elig!$C1208,Elig_MatchAll_Ct&lt;22,$BC1208=(Elig_MatchAll_Ct-1),AS1208=0),P1208,0)</f>
        <v>0</v>
      </c>
      <c r="BV1208" s="992">
        <f>IF(AND(Input_Product=Elig!$C1208,Elig_MatchAll_Ct&lt;22,$BC1208=(Elig_MatchAll_Ct-1),AT1208=0),Q1208,0)</f>
        <v>0</v>
      </c>
      <c r="BW1208" s="993">
        <f>IF(AND(Input_Product=Elig!$C1208,Elig_MatchAll_Ct&lt;22,$BC1208=(Elig_MatchAll_Ct-1),AU1208=0),R1208,0)</f>
        <v>0</v>
      </c>
      <c r="BX1208" s="994">
        <f>IF(AND(Input_Product=Elig!$C1208,Elig_MatchAll_Ct&lt;22,$BC1208=(Elig_MatchAll_Ct-1),AU1208=0),S1208,0)</f>
        <v>0</v>
      </c>
      <c r="BY1208" s="993">
        <f>IF(AND(Input_Product=Elig!$C1208,Elig_MatchAll_Ct&lt;22,$BC1208=(Elig_MatchAll_Ct-1),AV1208=0),T1208,0)</f>
        <v>0</v>
      </c>
      <c r="BZ1208" s="994">
        <f>IF(AND(Input_Product=Elig!$C1208,Elig_MatchAll_Ct&lt;22,$BC1208=(Elig_MatchAll_Ct-1),AV1208=0),U1208,0)</f>
        <v>0</v>
      </c>
      <c r="CA1208" s="993">
        <f>IF(AND(Input_Product=Elig!$C1208,Elig_MatchAll_Ct&lt;22,$BC1208=(Elig_MatchAll_Ct-1),AW1208=0),V1208,0)</f>
        <v>0</v>
      </c>
      <c r="CB1208" s="994">
        <f>IF(AND(Input_Product=Elig!$C1208,Elig_MatchAll_Ct&lt;22,$BC1208=(Elig_MatchAll_Ct-1),AW1208=0),W1208,0)</f>
        <v>0</v>
      </c>
      <c r="CC1208" s="993">
        <f>IF(AND(Input_Product=Elig!$C1208,Elig_MatchAll_Ct&lt;22,$BC1208=(Elig_MatchAll_Ct-1),AX1208=0),X1208,0)</f>
        <v>0</v>
      </c>
      <c r="CD1208" s="994">
        <f>IF(AND(Input_Product=Elig!$C1208,Elig_MatchAll_Ct&lt;22,$BC1208=(Elig_MatchAll_Ct-1),AX1208=0),Y1208,0)</f>
        <v>0</v>
      </c>
      <c r="CE1208" s="993">
        <f>IF(AND(Input_LTV&lt;=AE1208,Input_Product=Elig!$C1208,Elig_MatchAll_Ct&lt;22,$BC1208=(Elig_MatchAll_Ct-1),AY1208=0),Z1208,0)</f>
        <v>0</v>
      </c>
      <c r="CF1208" s="994">
        <f>IF(AND(Input_LTV&lt;=AE1208,Input_Product=Elig!$C1208,Elig_MatchAll_Ct&lt;22,$BC1208=(Elig_MatchAll_Ct-1),AY1208=0),AA1208,0)</f>
        <v>0</v>
      </c>
      <c r="CG1208" s="993">
        <f>IF(AND(Input_Product=Elig!$C1208,Elig_MatchAll_Ct&lt;22,$BC1208=(Elig_MatchAll_Ct-1),AZ1208=0),AB1208,0)</f>
        <v>0</v>
      </c>
      <c r="CH1208" s="994">
        <f>IF(AND(Input_Product=Elig!$C1208,Elig_MatchAll_Ct&lt;22,$BC1208=(Elig_MatchAll_Ct-1),AZ1208=0),AC1208,0)</f>
        <v>0</v>
      </c>
      <c r="CI1208" s="993">
        <f>IF(AND(Input_Product=Elig!$C1208,Elig_MatchAll_Ct&lt;22,$BC1208=(Elig_MatchAll_Ct-1),BA1208=0),AD1208,0)</f>
        <v>0</v>
      </c>
      <c r="CJ1208" s="994">
        <f>IF(AND(Input_Product=Elig!$C1208,Elig_MatchAll_Ct&lt;22,$BC1208=(Elig_MatchAll_Ct-1),BA1208=0),AE1208,0)</f>
        <v>0</v>
      </c>
    </row>
    <row r="1209" spans="2:88" ht="10.15" customHeight="1" x14ac:dyDescent="0.25">
      <c r="B1209" s="1918" t="s">
        <v>2499</v>
      </c>
      <c r="C1209" s="1223" t="str">
        <f t="shared" si="443"/>
        <v xml:space="preserve"> </v>
      </c>
      <c r="D1209" s="1224" t="s">
        <v>2218</v>
      </c>
      <c r="E1209" s="1224" t="s">
        <v>167</v>
      </c>
      <c r="F1209" s="1224" t="s">
        <v>330</v>
      </c>
      <c r="G1209" s="1225" t="s">
        <v>468</v>
      </c>
      <c r="H1209" s="1225" t="s">
        <v>136</v>
      </c>
      <c r="I1209" s="1224" t="s">
        <v>16</v>
      </c>
      <c r="J1209" s="1224" t="s">
        <v>1311</v>
      </c>
      <c r="K1209" s="1225" t="s">
        <v>3022</v>
      </c>
      <c r="L1209" s="1224" t="s">
        <v>2768</v>
      </c>
      <c r="M1209" s="1224" t="s">
        <v>2677</v>
      </c>
      <c r="N1209" s="1225" t="s">
        <v>2685</v>
      </c>
      <c r="O1209" s="1224" t="s">
        <v>310</v>
      </c>
      <c r="P1209" s="1224" t="s">
        <v>291</v>
      </c>
      <c r="Q1209" s="1224" t="s">
        <v>294</v>
      </c>
      <c r="R1209" s="1224">
        <v>1500000.01</v>
      </c>
      <c r="S1209" s="1224">
        <v>2000000</v>
      </c>
      <c r="T1209" s="1224">
        <v>0</v>
      </c>
      <c r="U1209" s="1224">
        <f t="shared" si="442"/>
        <v>2000000</v>
      </c>
      <c r="V1209" s="1224">
        <v>0</v>
      </c>
      <c r="W1209" s="1224">
        <v>50</v>
      </c>
      <c r="X1209" s="1224">
        <v>0</v>
      </c>
      <c r="Y1209" s="1224">
        <v>999</v>
      </c>
      <c r="Z1209" s="1226">
        <v>700</v>
      </c>
      <c r="AA1209" s="1226">
        <v>719</v>
      </c>
      <c r="AB1209" s="1226">
        <v>6</v>
      </c>
      <c r="AC1209" s="1226">
        <v>999999</v>
      </c>
      <c r="AD1209" s="1224">
        <v>0</v>
      </c>
      <c r="AE1209" s="1227">
        <v>80</v>
      </c>
      <c r="AF1209" s="170">
        <v>0</v>
      </c>
      <c r="AG1209" s="171">
        <v>1</v>
      </c>
      <c r="AH1209" s="171">
        <v>1</v>
      </c>
      <c r="AI1209" s="171">
        <v>0</v>
      </c>
      <c r="AJ1209" s="171">
        <v>0</v>
      </c>
      <c r="AK1209" s="171">
        <v>1</v>
      </c>
      <c r="AL1209" s="171">
        <v>1</v>
      </c>
      <c r="AM1209" s="171">
        <v>1</v>
      </c>
      <c r="AN1209" s="171">
        <v>1</v>
      </c>
      <c r="AO1209" s="171">
        <v>1</v>
      </c>
      <c r="AP1209" s="171">
        <v>1</v>
      </c>
      <c r="AQ1209" s="171">
        <v>1</v>
      </c>
      <c r="AR1209" s="171">
        <v>1</v>
      </c>
      <c r="AS1209" s="171">
        <v>1</v>
      </c>
      <c r="AT1209" s="171">
        <v>1</v>
      </c>
      <c r="AU1209" s="171">
        <f t="shared" si="433"/>
        <v>0</v>
      </c>
      <c r="AV1209" s="171">
        <f t="shared" si="434"/>
        <v>1</v>
      </c>
      <c r="AW1209" s="171">
        <f t="shared" si="435"/>
        <v>1</v>
      </c>
      <c r="AX1209" s="171">
        <f t="shared" si="444"/>
        <v>1</v>
      </c>
      <c r="AY1209" s="171">
        <f t="shared" si="436"/>
        <v>0</v>
      </c>
      <c r="AZ1209" s="171">
        <f t="shared" si="437"/>
        <v>1</v>
      </c>
      <c r="BA1209" s="172">
        <f t="shared" si="438"/>
        <v>1</v>
      </c>
      <c r="BB1209" s="175">
        <f t="shared" si="439"/>
        <v>17</v>
      </c>
      <c r="BC1209" s="176">
        <f t="shared" si="440"/>
        <v>16</v>
      </c>
      <c r="BD1209" s="176">
        <f t="shared" si="441"/>
        <v>17</v>
      </c>
      <c r="BE1209" s="240" t="str">
        <f t="shared" si="431"/>
        <v/>
      </c>
      <c r="BF1209" s="990"/>
      <c r="BG1209" s="990"/>
      <c r="BH1209" s="991">
        <f>IF(AND(Input_Product=Elig!$C1209,Elig_MatchAll_Ct&lt;22,$BC1209=(Elig_MatchAll_Ct-1),AF1209=0),C1209,0)</f>
        <v>0</v>
      </c>
      <c r="BI1209" s="991">
        <f>IF(AND(Input_Product=Elig!$C1209,Elig_MatchAll_Ct&lt;22,$BC1209=(Elig_MatchAll_Ct-1),AG1209=0),D1209,0)</f>
        <v>0</v>
      </c>
      <c r="BJ1209" s="991">
        <f>IF(AND(Input_Product=Elig!$C1209,Elig_MatchAll_Ct&lt;22,$BC1209=(Elig_MatchAll_Ct-1),AH1209=0),E1209,0)</f>
        <v>0</v>
      </c>
      <c r="BK1209" s="991">
        <f>IF(AND(Input_Product=Elig!$C1209,Elig_MatchAll_Ct&lt;22,$BC1209=(Elig_MatchAll_Ct-1),AI1209=0),F1209,0)</f>
        <v>0</v>
      </c>
      <c r="BL1209" s="991">
        <f>IF(AND(Input_Product=Elig!$C1209,Elig_MatchAll_Ct&lt;22,$BC1209=(Elig_MatchAll_Ct-1),AJ1209=0),G1209,0)</f>
        <v>0</v>
      </c>
      <c r="BM1209" s="991">
        <f>IF(AND(Input_Product=Elig!$C1209,Elig_MatchAll_Ct&lt;22,$BC1209=(Elig_MatchAll_Ct-1),AK1209=0),H1209,0)</f>
        <v>0</v>
      </c>
      <c r="BN1209" s="991">
        <f>IF(AND(Input_Product=Elig!$C1209,Elig_MatchAll_Ct&lt;22,$BC1209=(Elig_MatchAll_Ct-1),AL1209=0),I1209,0)</f>
        <v>0</v>
      </c>
      <c r="BO1209" s="991">
        <f>IF(AND(Input_Product=Elig!$C1209,Elig_MatchAll_Ct&lt;22,$BC1209=(Elig_MatchAll_Ct-1),AM1209=0),J1209,0)</f>
        <v>0</v>
      </c>
      <c r="BP1209" s="991">
        <f>IF(AND(Input_Product=Elig!$C1209,Elig_MatchAll_Ct&lt;22,$BC1209=(Elig_MatchAll_Ct-1),AN1209=0),K1209,0)</f>
        <v>0</v>
      </c>
      <c r="BQ1209" s="991">
        <f>IF(AND(Input_Product=Elig!$C1209,Elig_MatchAll_Ct&lt;22,$BC1209=(Elig_MatchAll_Ct-1),AP1209=0),L1209,0)</f>
        <v>0</v>
      </c>
      <c r="BR1209" s="991">
        <f>IF(AND(Input_Product=Elig!$C1209,Elig_MatchAll_Ct&lt;22,$BC1209=(Elig_MatchAll_Ct-1),AO1209=0),M1209,0)</f>
        <v>0</v>
      </c>
      <c r="BS1209" s="991">
        <f>IF(AND(Input_Product=Elig!$C1209,Elig_MatchAll_Ct&lt;22,$BC1209=(Elig_MatchAll_Ct-1),AQ1209=0),N1209,0)</f>
        <v>0</v>
      </c>
      <c r="BT1209" s="991">
        <f>IF(AND(Input_Product=Elig!$C1209,Elig_MatchAll_Ct&lt;22,$BC1209=(Elig_MatchAll_Ct-1),AR1209=0),O1209,0)</f>
        <v>0</v>
      </c>
      <c r="BU1209" s="991">
        <f>IF(AND(Input_Product=Elig!$C1209,Elig_MatchAll_Ct&lt;22,$BC1209=(Elig_MatchAll_Ct-1),AS1209=0),P1209,0)</f>
        <v>0</v>
      </c>
      <c r="BV1209" s="992">
        <f>IF(AND(Input_Product=Elig!$C1209,Elig_MatchAll_Ct&lt;22,$BC1209=(Elig_MatchAll_Ct-1),AT1209=0),Q1209,0)</f>
        <v>0</v>
      </c>
      <c r="BW1209" s="993">
        <f>IF(AND(Input_Product=Elig!$C1209,Elig_MatchAll_Ct&lt;22,$BC1209=(Elig_MatchAll_Ct-1),AU1209=0),R1209,0)</f>
        <v>0</v>
      </c>
      <c r="BX1209" s="994">
        <f>IF(AND(Input_Product=Elig!$C1209,Elig_MatchAll_Ct&lt;22,$BC1209=(Elig_MatchAll_Ct-1),AU1209=0),S1209,0)</f>
        <v>0</v>
      </c>
      <c r="BY1209" s="993">
        <f>IF(AND(Input_Product=Elig!$C1209,Elig_MatchAll_Ct&lt;22,$BC1209=(Elig_MatchAll_Ct-1),AV1209=0),T1209,0)</f>
        <v>0</v>
      </c>
      <c r="BZ1209" s="994">
        <f>IF(AND(Input_Product=Elig!$C1209,Elig_MatchAll_Ct&lt;22,$BC1209=(Elig_MatchAll_Ct-1),AV1209=0),U1209,0)</f>
        <v>0</v>
      </c>
      <c r="CA1209" s="993">
        <f>IF(AND(Input_Product=Elig!$C1209,Elig_MatchAll_Ct&lt;22,$BC1209=(Elig_MatchAll_Ct-1),AW1209=0),V1209,0)</f>
        <v>0</v>
      </c>
      <c r="CB1209" s="994">
        <f>IF(AND(Input_Product=Elig!$C1209,Elig_MatchAll_Ct&lt;22,$BC1209=(Elig_MatchAll_Ct-1),AW1209=0),W1209,0)</f>
        <v>0</v>
      </c>
      <c r="CC1209" s="993">
        <f>IF(AND(Input_Product=Elig!$C1209,Elig_MatchAll_Ct&lt;22,$BC1209=(Elig_MatchAll_Ct-1),AX1209=0),X1209,0)</f>
        <v>0</v>
      </c>
      <c r="CD1209" s="994">
        <f>IF(AND(Input_Product=Elig!$C1209,Elig_MatchAll_Ct&lt;22,$BC1209=(Elig_MatchAll_Ct-1),AX1209=0),Y1209,0)</f>
        <v>0</v>
      </c>
      <c r="CE1209" s="993">
        <f>IF(AND(Input_LTV&lt;=AE1209,Input_Product=Elig!$C1209,Elig_MatchAll_Ct&lt;22,$BC1209=(Elig_MatchAll_Ct-1),AY1209=0),Z1209,0)</f>
        <v>0</v>
      </c>
      <c r="CF1209" s="994">
        <f>IF(AND(Input_LTV&lt;=AE1209,Input_Product=Elig!$C1209,Elig_MatchAll_Ct&lt;22,$BC1209=(Elig_MatchAll_Ct-1),AY1209=0),AA1209,0)</f>
        <v>0</v>
      </c>
      <c r="CG1209" s="993">
        <f>IF(AND(Input_Product=Elig!$C1209,Elig_MatchAll_Ct&lt;22,$BC1209=(Elig_MatchAll_Ct-1),AZ1209=0),AB1209,0)</f>
        <v>0</v>
      </c>
      <c r="CH1209" s="994">
        <f>IF(AND(Input_Product=Elig!$C1209,Elig_MatchAll_Ct&lt;22,$BC1209=(Elig_MatchAll_Ct-1),AZ1209=0),AC1209,0)</f>
        <v>0</v>
      </c>
      <c r="CI1209" s="993">
        <f>IF(AND(Input_Product=Elig!$C1209,Elig_MatchAll_Ct&lt;22,$BC1209=(Elig_MatchAll_Ct-1),BA1209=0),AD1209,0)</f>
        <v>0</v>
      </c>
      <c r="CJ1209" s="994">
        <f>IF(AND(Input_Product=Elig!$C1209,Elig_MatchAll_Ct&lt;22,$BC1209=(Elig_MatchAll_Ct-1),BA1209=0),AE1209,0)</f>
        <v>0</v>
      </c>
    </row>
    <row r="1210" spans="2:88" ht="10.15" customHeight="1" x14ac:dyDescent="0.25">
      <c r="B1210" s="1918" t="s">
        <v>2500</v>
      </c>
      <c r="C1210" s="1223" t="str">
        <f t="shared" si="443"/>
        <v xml:space="preserve"> </v>
      </c>
      <c r="D1210" s="1224" t="s">
        <v>2218</v>
      </c>
      <c r="E1210" s="1224" t="s">
        <v>167</v>
      </c>
      <c r="F1210" s="1224" t="s">
        <v>330</v>
      </c>
      <c r="G1210" s="1225" t="s">
        <v>468</v>
      </c>
      <c r="H1210" s="1225" t="s">
        <v>136</v>
      </c>
      <c r="I1210" s="1224" t="s">
        <v>16</v>
      </c>
      <c r="J1210" s="1224" t="s">
        <v>1311</v>
      </c>
      <c r="K1210" s="1225" t="s">
        <v>3022</v>
      </c>
      <c r="L1210" s="1224" t="s">
        <v>2768</v>
      </c>
      <c r="M1210" s="1224" t="s">
        <v>2677</v>
      </c>
      <c r="N1210" s="1225" t="s">
        <v>2685</v>
      </c>
      <c r="O1210" s="1224" t="s">
        <v>310</v>
      </c>
      <c r="P1210" s="1224" t="s">
        <v>291</v>
      </c>
      <c r="Q1210" s="1224" t="s">
        <v>294</v>
      </c>
      <c r="R1210" s="1224">
        <v>1500000.01</v>
      </c>
      <c r="S1210" s="1224">
        <v>2000000</v>
      </c>
      <c r="T1210" s="1224">
        <v>0</v>
      </c>
      <c r="U1210" s="1224">
        <f t="shared" si="442"/>
        <v>2000000</v>
      </c>
      <c r="V1210" s="1224">
        <v>0</v>
      </c>
      <c r="W1210" s="1224">
        <v>50</v>
      </c>
      <c r="X1210" s="1224">
        <v>0</v>
      </c>
      <c r="Y1210" s="1224">
        <v>999</v>
      </c>
      <c r="Z1210" s="1226">
        <v>680</v>
      </c>
      <c r="AA1210" s="1226">
        <v>699</v>
      </c>
      <c r="AB1210" s="1226">
        <v>6</v>
      </c>
      <c r="AC1210" s="1226">
        <v>999999</v>
      </c>
      <c r="AD1210" s="1224">
        <v>0</v>
      </c>
      <c r="AE1210" s="1227">
        <v>75</v>
      </c>
      <c r="AF1210" s="170">
        <v>0</v>
      </c>
      <c r="AG1210" s="171">
        <v>1</v>
      </c>
      <c r="AH1210" s="171">
        <v>1</v>
      </c>
      <c r="AI1210" s="171">
        <v>0</v>
      </c>
      <c r="AJ1210" s="171">
        <v>0</v>
      </c>
      <c r="AK1210" s="171">
        <v>1</v>
      </c>
      <c r="AL1210" s="171">
        <v>1</v>
      </c>
      <c r="AM1210" s="171">
        <v>1</v>
      </c>
      <c r="AN1210" s="171">
        <v>1</v>
      </c>
      <c r="AO1210" s="171">
        <v>1</v>
      </c>
      <c r="AP1210" s="171">
        <v>1</v>
      </c>
      <c r="AQ1210" s="171">
        <v>1</v>
      </c>
      <c r="AR1210" s="171">
        <v>1</v>
      </c>
      <c r="AS1210" s="171">
        <v>1</v>
      </c>
      <c r="AT1210" s="171">
        <v>1</v>
      </c>
      <c r="AU1210" s="171">
        <f t="shared" si="433"/>
        <v>0</v>
      </c>
      <c r="AV1210" s="171">
        <f t="shared" si="434"/>
        <v>1</v>
      </c>
      <c r="AW1210" s="171">
        <f t="shared" si="435"/>
        <v>1</v>
      </c>
      <c r="AX1210" s="171">
        <f t="shared" si="444"/>
        <v>1</v>
      </c>
      <c r="AY1210" s="171">
        <f t="shared" si="436"/>
        <v>0</v>
      </c>
      <c r="AZ1210" s="171">
        <f t="shared" si="437"/>
        <v>1</v>
      </c>
      <c r="BA1210" s="172">
        <f t="shared" si="438"/>
        <v>1</v>
      </c>
      <c r="BB1210" s="175">
        <f t="shared" si="439"/>
        <v>17</v>
      </c>
      <c r="BC1210" s="176">
        <f t="shared" si="440"/>
        <v>16</v>
      </c>
      <c r="BD1210" s="176">
        <f t="shared" si="441"/>
        <v>17</v>
      </c>
      <c r="BE1210" s="240" t="str">
        <f t="shared" si="431"/>
        <v/>
      </c>
      <c r="BF1210" s="990"/>
      <c r="BG1210" s="990"/>
      <c r="BH1210" s="991">
        <f>IF(AND(Input_Product=Elig!$C1210,Elig_MatchAll_Ct&lt;22,$BC1210=(Elig_MatchAll_Ct-1),AF1210=0),C1210,0)</f>
        <v>0</v>
      </c>
      <c r="BI1210" s="991">
        <f>IF(AND(Input_Product=Elig!$C1210,Elig_MatchAll_Ct&lt;22,$BC1210=(Elig_MatchAll_Ct-1),AG1210=0),D1210,0)</f>
        <v>0</v>
      </c>
      <c r="BJ1210" s="991">
        <f>IF(AND(Input_Product=Elig!$C1210,Elig_MatchAll_Ct&lt;22,$BC1210=(Elig_MatchAll_Ct-1),AH1210=0),E1210,0)</f>
        <v>0</v>
      </c>
      <c r="BK1210" s="991">
        <f>IF(AND(Input_Product=Elig!$C1210,Elig_MatchAll_Ct&lt;22,$BC1210=(Elig_MatchAll_Ct-1),AI1210=0),F1210,0)</f>
        <v>0</v>
      </c>
      <c r="BL1210" s="991">
        <f>IF(AND(Input_Product=Elig!$C1210,Elig_MatchAll_Ct&lt;22,$BC1210=(Elig_MatchAll_Ct-1),AJ1210=0),G1210,0)</f>
        <v>0</v>
      </c>
      <c r="BM1210" s="991">
        <f>IF(AND(Input_Product=Elig!$C1210,Elig_MatchAll_Ct&lt;22,$BC1210=(Elig_MatchAll_Ct-1),AK1210=0),H1210,0)</f>
        <v>0</v>
      </c>
      <c r="BN1210" s="991">
        <f>IF(AND(Input_Product=Elig!$C1210,Elig_MatchAll_Ct&lt;22,$BC1210=(Elig_MatchAll_Ct-1),AL1210=0),I1210,0)</f>
        <v>0</v>
      </c>
      <c r="BO1210" s="991">
        <f>IF(AND(Input_Product=Elig!$C1210,Elig_MatchAll_Ct&lt;22,$BC1210=(Elig_MatchAll_Ct-1),AM1210=0),J1210,0)</f>
        <v>0</v>
      </c>
      <c r="BP1210" s="991">
        <f>IF(AND(Input_Product=Elig!$C1210,Elig_MatchAll_Ct&lt;22,$BC1210=(Elig_MatchAll_Ct-1),AN1210=0),K1210,0)</f>
        <v>0</v>
      </c>
      <c r="BQ1210" s="991">
        <f>IF(AND(Input_Product=Elig!$C1210,Elig_MatchAll_Ct&lt;22,$BC1210=(Elig_MatchAll_Ct-1),AP1210=0),L1210,0)</f>
        <v>0</v>
      </c>
      <c r="BR1210" s="991">
        <f>IF(AND(Input_Product=Elig!$C1210,Elig_MatchAll_Ct&lt;22,$BC1210=(Elig_MatchAll_Ct-1),AO1210=0),M1210,0)</f>
        <v>0</v>
      </c>
      <c r="BS1210" s="991">
        <f>IF(AND(Input_Product=Elig!$C1210,Elig_MatchAll_Ct&lt;22,$BC1210=(Elig_MatchAll_Ct-1),AQ1210=0),N1210,0)</f>
        <v>0</v>
      </c>
      <c r="BT1210" s="991">
        <f>IF(AND(Input_Product=Elig!$C1210,Elig_MatchAll_Ct&lt;22,$BC1210=(Elig_MatchAll_Ct-1),AR1210=0),O1210,0)</f>
        <v>0</v>
      </c>
      <c r="BU1210" s="991">
        <f>IF(AND(Input_Product=Elig!$C1210,Elig_MatchAll_Ct&lt;22,$BC1210=(Elig_MatchAll_Ct-1),AS1210=0),P1210,0)</f>
        <v>0</v>
      </c>
      <c r="BV1210" s="992">
        <f>IF(AND(Input_Product=Elig!$C1210,Elig_MatchAll_Ct&lt;22,$BC1210=(Elig_MatchAll_Ct-1),AT1210=0),Q1210,0)</f>
        <v>0</v>
      </c>
      <c r="BW1210" s="993">
        <f>IF(AND(Input_Product=Elig!$C1210,Elig_MatchAll_Ct&lt;22,$BC1210=(Elig_MatchAll_Ct-1),AU1210=0),R1210,0)</f>
        <v>0</v>
      </c>
      <c r="BX1210" s="994">
        <f>IF(AND(Input_Product=Elig!$C1210,Elig_MatchAll_Ct&lt;22,$BC1210=(Elig_MatchAll_Ct-1),AU1210=0),S1210,0)</f>
        <v>0</v>
      </c>
      <c r="BY1210" s="993">
        <f>IF(AND(Input_Product=Elig!$C1210,Elig_MatchAll_Ct&lt;22,$BC1210=(Elig_MatchAll_Ct-1),AV1210=0),T1210,0)</f>
        <v>0</v>
      </c>
      <c r="BZ1210" s="994">
        <f>IF(AND(Input_Product=Elig!$C1210,Elig_MatchAll_Ct&lt;22,$BC1210=(Elig_MatchAll_Ct-1),AV1210=0),U1210,0)</f>
        <v>0</v>
      </c>
      <c r="CA1210" s="993">
        <f>IF(AND(Input_Product=Elig!$C1210,Elig_MatchAll_Ct&lt;22,$BC1210=(Elig_MatchAll_Ct-1),AW1210=0),V1210,0)</f>
        <v>0</v>
      </c>
      <c r="CB1210" s="994">
        <f>IF(AND(Input_Product=Elig!$C1210,Elig_MatchAll_Ct&lt;22,$BC1210=(Elig_MatchAll_Ct-1),AW1210=0),W1210,0)</f>
        <v>0</v>
      </c>
      <c r="CC1210" s="993">
        <f>IF(AND(Input_Product=Elig!$C1210,Elig_MatchAll_Ct&lt;22,$BC1210=(Elig_MatchAll_Ct-1),AX1210=0),X1210,0)</f>
        <v>0</v>
      </c>
      <c r="CD1210" s="994">
        <f>IF(AND(Input_Product=Elig!$C1210,Elig_MatchAll_Ct&lt;22,$BC1210=(Elig_MatchAll_Ct-1),AX1210=0),Y1210,0)</f>
        <v>0</v>
      </c>
      <c r="CE1210" s="993">
        <f>IF(AND(Input_LTV&lt;=AE1210,Input_Product=Elig!$C1210,Elig_MatchAll_Ct&lt;22,$BC1210=(Elig_MatchAll_Ct-1),AY1210=0),Z1210,0)</f>
        <v>0</v>
      </c>
      <c r="CF1210" s="994">
        <f>IF(AND(Input_LTV&lt;=AE1210,Input_Product=Elig!$C1210,Elig_MatchAll_Ct&lt;22,$BC1210=(Elig_MatchAll_Ct-1),AY1210=0),AA1210,0)</f>
        <v>0</v>
      </c>
      <c r="CG1210" s="993">
        <f>IF(AND(Input_Product=Elig!$C1210,Elig_MatchAll_Ct&lt;22,$BC1210=(Elig_MatchAll_Ct-1),AZ1210=0),AB1210,0)</f>
        <v>0</v>
      </c>
      <c r="CH1210" s="994">
        <f>IF(AND(Input_Product=Elig!$C1210,Elig_MatchAll_Ct&lt;22,$BC1210=(Elig_MatchAll_Ct-1),AZ1210=0),AC1210,0)</f>
        <v>0</v>
      </c>
      <c r="CI1210" s="993">
        <f>IF(AND(Input_Product=Elig!$C1210,Elig_MatchAll_Ct&lt;22,$BC1210=(Elig_MatchAll_Ct-1),BA1210=0),AD1210,0)</f>
        <v>0</v>
      </c>
      <c r="CJ1210" s="994">
        <f>IF(AND(Input_Product=Elig!$C1210,Elig_MatchAll_Ct&lt;22,$BC1210=(Elig_MatchAll_Ct-1),BA1210=0),AE1210,0)</f>
        <v>0</v>
      </c>
    </row>
    <row r="1211" spans="2:88" ht="10.15" customHeight="1" x14ac:dyDescent="0.25">
      <c r="B1211" s="1918" t="s">
        <v>2501</v>
      </c>
      <c r="C1211" s="1228" t="str">
        <f t="shared" si="443"/>
        <v xml:space="preserve"> </v>
      </c>
      <c r="D1211" s="1229" t="s">
        <v>2218</v>
      </c>
      <c r="E1211" s="1229" t="s">
        <v>167</v>
      </c>
      <c r="F1211" s="1229" t="s">
        <v>330</v>
      </c>
      <c r="G1211" s="1230" t="s">
        <v>468</v>
      </c>
      <c r="H1211" s="1230" t="s">
        <v>136</v>
      </c>
      <c r="I1211" s="1229" t="s">
        <v>16</v>
      </c>
      <c r="J1211" s="1229" t="s">
        <v>1311</v>
      </c>
      <c r="K1211" s="1230" t="s">
        <v>3022</v>
      </c>
      <c r="L1211" s="1229" t="s">
        <v>2768</v>
      </c>
      <c r="M1211" s="1229" t="s">
        <v>2677</v>
      </c>
      <c r="N1211" s="1230" t="s">
        <v>2685</v>
      </c>
      <c r="O1211" s="1229" t="s">
        <v>310</v>
      </c>
      <c r="P1211" s="1229" t="s">
        <v>291</v>
      </c>
      <c r="Q1211" s="1229" t="s">
        <v>294</v>
      </c>
      <c r="R1211" s="1229">
        <v>1500000.01</v>
      </c>
      <c r="S1211" s="1229">
        <v>2000000</v>
      </c>
      <c r="T1211" s="1229">
        <v>0</v>
      </c>
      <c r="U1211" s="1229">
        <f t="shared" si="442"/>
        <v>2000000</v>
      </c>
      <c r="V1211" s="1229">
        <v>0</v>
      </c>
      <c r="W1211" s="1229">
        <v>50</v>
      </c>
      <c r="X1211" s="1229">
        <v>0</v>
      </c>
      <c r="Y1211" s="1229">
        <v>999</v>
      </c>
      <c r="Z1211" s="1231">
        <v>660</v>
      </c>
      <c r="AA1211" s="1231">
        <v>679</v>
      </c>
      <c r="AB1211" s="1231">
        <v>6</v>
      </c>
      <c r="AC1211" s="1231">
        <v>999999</v>
      </c>
      <c r="AD1211" s="1229">
        <v>0</v>
      </c>
      <c r="AE1211" s="1232">
        <v>70</v>
      </c>
      <c r="AF1211" s="170">
        <v>0</v>
      </c>
      <c r="AG1211" s="171">
        <v>1</v>
      </c>
      <c r="AH1211" s="171">
        <v>1</v>
      </c>
      <c r="AI1211" s="171">
        <v>0</v>
      </c>
      <c r="AJ1211" s="171">
        <v>0</v>
      </c>
      <c r="AK1211" s="171">
        <v>1</v>
      </c>
      <c r="AL1211" s="171">
        <v>1</v>
      </c>
      <c r="AM1211" s="171">
        <v>1</v>
      </c>
      <c r="AN1211" s="171">
        <v>1</v>
      </c>
      <c r="AO1211" s="171">
        <v>1</v>
      </c>
      <c r="AP1211" s="171">
        <v>1</v>
      </c>
      <c r="AQ1211" s="171">
        <v>1</v>
      </c>
      <c r="AR1211" s="171">
        <v>1</v>
      </c>
      <c r="AS1211" s="171">
        <v>1</v>
      </c>
      <c r="AT1211" s="171">
        <v>1</v>
      </c>
      <c r="AU1211" s="171">
        <f t="shared" si="433"/>
        <v>0</v>
      </c>
      <c r="AV1211" s="171">
        <f t="shared" si="434"/>
        <v>1</v>
      </c>
      <c r="AW1211" s="171">
        <f t="shared" si="435"/>
        <v>1</v>
      </c>
      <c r="AX1211" s="171">
        <f t="shared" si="444"/>
        <v>1</v>
      </c>
      <c r="AY1211" s="171">
        <f t="shared" si="436"/>
        <v>0</v>
      </c>
      <c r="AZ1211" s="171">
        <f t="shared" si="437"/>
        <v>1</v>
      </c>
      <c r="BA1211" s="172">
        <f t="shared" si="438"/>
        <v>1</v>
      </c>
      <c r="BB1211" s="175">
        <f t="shared" si="439"/>
        <v>17</v>
      </c>
      <c r="BC1211" s="176">
        <f t="shared" si="440"/>
        <v>16</v>
      </c>
      <c r="BD1211" s="176">
        <f t="shared" si="441"/>
        <v>17</v>
      </c>
      <c r="BE1211" s="240" t="str">
        <f t="shared" si="431"/>
        <v/>
      </c>
      <c r="BF1211" s="990"/>
      <c r="BG1211" s="990"/>
      <c r="BH1211" s="991">
        <f>IF(AND(Input_Product=Elig!$C1211,Elig_MatchAll_Ct&lt;22,$BC1211=(Elig_MatchAll_Ct-1),AF1211=0),C1211,0)</f>
        <v>0</v>
      </c>
      <c r="BI1211" s="991">
        <f>IF(AND(Input_Product=Elig!$C1211,Elig_MatchAll_Ct&lt;22,$BC1211=(Elig_MatchAll_Ct-1),AG1211=0),D1211,0)</f>
        <v>0</v>
      </c>
      <c r="BJ1211" s="991">
        <f>IF(AND(Input_Product=Elig!$C1211,Elig_MatchAll_Ct&lt;22,$BC1211=(Elig_MatchAll_Ct-1),AH1211=0),E1211,0)</f>
        <v>0</v>
      </c>
      <c r="BK1211" s="991">
        <f>IF(AND(Input_Product=Elig!$C1211,Elig_MatchAll_Ct&lt;22,$BC1211=(Elig_MatchAll_Ct-1),AI1211=0),F1211,0)</f>
        <v>0</v>
      </c>
      <c r="BL1211" s="991">
        <f>IF(AND(Input_Product=Elig!$C1211,Elig_MatchAll_Ct&lt;22,$BC1211=(Elig_MatchAll_Ct-1),AJ1211=0),G1211,0)</f>
        <v>0</v>
      </c>
      <c r="BM1211" s="991">
        <f>IF(AND(Input_Product=Elig!$C1211,Elig_MatchAll_Ct&lt;22,$BC1211=(Elig_MatchAll_Ct-1),AK1211=0),H1211,0)</f>
        <v>0</v>
      </c>
      <c r="BN1211" s="991">
        <f>IF(AND(Input_Product=Elig!$C1211,Elig_MatchAll_Ct&lt;22,$BC1211=(Elig_MatchAll_Ct-1),AL1211=0),I1211,0)</f>
        <v>0</v>
      </c>
      <c r="BO1211" s="991">
        <f>IF(AND(Input_Product=Elig!$C1211,Elig_MatchAll_Ct&lt;22,$BC1211=(Elig_MatchAll_Ct-1),AM1211=0),J1211,0)</f>
        <v>0</v>
      </c>
      <c r="BP1211" s="991">
        <f>IF(AND(Input_Product=Elig!$C1211,Elig_MatchAll_Ct&lt;22,$BC1211=(Elig_MatchAll_Ct-1),AN1211=0),K1211,0)</f>
        <v>0</v>
      </c>
      <c r="BQ1211" s="991">
        <f>IF(AND(Input_Product=Elig!$C1211,Elig_MatchAll_Ct&lt;22,$BC1211=(Elig_MatchAll_Ct-1),AP1211=0),L1211,0)</f>
        <v>0</v>
      </c>
      <c r="BR1211" s="991">
        <f>IF(AND(Input_Product=Elig!$C1211,Elig_MatchAll_Ct&lt;22,$BC1211=(Elig_MatchAll_Ct-1),AO1211=0),M1211,0)</f>
        <v>0</v>
      </c>
      <c r="BS1211" s="991">
        <f>IF(AND(Input_Product=Elig!$C1211,Elig_MatchAll_Ct&lt;22,$BC1211=(Elig_MatchAll_Ct-1),AQ1211=0),N1211,0)</f>
        <v>0</v>
      </c>
      <c r="BT1211" s="991">
        <f>IF(AND(Input_Product=Elig!$C1211,Elig_MatchAll_Ct&lt;22,$BC1211=(Elig_MatchAll_Ct-1),AR1211=0),O1211,0)</f>
        <v>0</v>
      </c>
      <c r="BU1211" s="991">
        <f>IF(AND(Input_Product=Elig!$C1211,Elig_MatchAll_Ct&lt;22,$BC1211=(Elig_MatchAll_Ct-1),AS1211=0),P1211,0)</f>
        <v>0</v>
      </c>
      <c r="BV1211" s="992">
        <f>IF(AND(Input_Product=Elig!$C1211,Elig_MatchAll_Ct&lt;22,$BC1211=(Elig_MatchAll_Ct-1),AT1211=0),Q1211,0)</f>
        <v>0</v>
      </c>
      <c r="BW1211" s="993">
        <f>IF(AND(Input_Product=Elig!$C1211,Elig_MatchAll_Ct&lt;22,$BC1211=(Elig_MatchAll_Ct-1),AU1211=0),R1211,0)</f>
        <v>0</v>
      </c>
      <c r="BX1211" s="994">
        <f>IF(AND(Input_Product=Elig!$C1211,Elig_MatchAll_Ct&lt;22,$BC1211=(Elig_MatchAll_Ct-1),AU1211=0),S1211,0)</f>
        <v>0</v>
      </c>
      <c r="BY1211" s="993">
        <f>IF(AND(Input_Product=Elig!$C1211,Elig_MatchAll_Ct&lt;22,$BC1211=(Elig_MatchAll_Ct-1),AV1211=0),T1211,0)</f>
        <v>0</v>
      </c>
      <c r="BZ1211" s="994">
        <f>IF(AND(Input_Product=Elig!$C1211,Elig_MatchAll_Ct&lt;22,$BC1211=(Elig_MatchAll_Ct-1),AV1211=0),U1211,0)</f>
        <v>0</v>
      </c>
      <c r="CA1211" s="993">
        <f>IF(AND(Input_Product=Elig!$C1211,Elig_MatchAll_Ct&lt;22,$BC1211=(Elig_MatchAll_Ct-1),AW1211=0),V1211,0)</f>
        <v>0</v>
      </c>
      <c r="CB1211" s="994">
        <f>IF(AND(Input_Product=Elig!$C1211,Elig_MatchAll_Ct&lt;22,$BC1211=(Elig_MatchAll_Ct-1),AW1211=0),W1211,0)</f>
        <v>0</v>
      </c>
      <c r="CC1211" s="993">
        <f>IF(AND(Input_Product=Elig!$C1211,Elig_MatchAll_Ct&lt;22,$BC1211=(Elig_MatchAll_Ct-1),AX1211=0),X1211,0)</f>
        <v>0</v>
      </c>
      <c r="CD1211" s="994">
        <f>IF(AND(Input_Product=Elig!$C1211,Elig_MatchAll_Ct&lt;22,$BC1211=(Elig_MatchAll_Ct-1),AX1211=0),Y1211,0)</f>
        <v>0</v>
      </c>
      <c r="CE1211" s="993">
        <f>IF(AND(Input_LTV&lt;=AE1211,Input_Product=Elig!$C1211,Elig_MatchAll_Ct&lt;22,$BC1211=(Elig_MatchAll_Ct-1),AY1211=0),Z1211,0)</f>
        <v>0</v>
      </c>
      <c r="CF1211" s="994">
        <f>IF(AND(Input_LTV&lt;=AE1211,Input_Product=Elig!$C1211,Elig_MatchAll_Ct&lt;22,$BC1211=(Elig_MatchAll_Ct-1),AY1211=0),AA1211,0)</f>
        <v>0</v>
      </c>
      <c r="CG1211" s="993">
        <f>IF(AND(Input_Product=Elig!$C1211,Elig_MatchAll_Ct&lt;22,$BC1211=(Elig_MatchAll_Ct-1),AZ1211=0),AB1211,0)</f>
        <v>0</v>
      </c>
      <c r="CH1211" s="994">
        <f>IF(AND(Input_Product=Elig!$C1211,Elig_MatchAll_Ct&lt;22,$BC1211=(Elig_MatchAll_Ct-1),AZ1211=0),AC1211,0)</f>
        <v>0</v>
      </c>
      <c r="CI1211" s="993">
        <f>IF(AND(Input_Product=Elig!$C1211,Elig_MatchAll_Ct&lt;22,$BC1211=(Elig_MatchAll_Ct-1),BA1211=0),AD1211,0)</f>
        <v>0</v>
      </c>
      <c r="CJ1211" s="994">
        <f>IF(AND(Input_Product=Elig!$C1211,Elig_MatchAll_Ct&lt;22,$BC1211=(Elig_MatchAll_Ct-1),BA1211=0),AE1211,0)</f>
        <v>0</v>
      </c>
    </row>
    <row r="1212" spans="2:88" ht="10.15" customHeight="1" x14ac:dyDescent="0.25">
      <c r="B1212" s="1918" t="s">
        <v>2502</v>
      </c>
      <c r="C1212" s="1218" t="str">
        <f t="shared" si="443"/>
        <v xml:space="preserve"> </v>
      </c>
      <c r="D1212" s="1219" t="s">
        <v>2218</v>
      </c>
      <c r="E1212" s="1219" t="s">
        <v>167</v>
      </c>
      <c r="F1212" s="1219" t="s">
        <v>330</v>
      </c>
      <c r="G1212" s="1220" t="s">
        <v>468</v>
      </c>
      <c r="H1212" s="1220" t="s">
        <v>136</v>
      </c>
      <c r="I1212" s="1219" t="s">
        <v>16</v>
      </c>
      <c r="J1212" s="1219" t="s">
        <v>1311</v>
      </c>
      <c r="K1212" s="1220" t="s">
        <v>3022</v>
      </c>
      <c r="L1212" s="1219" t="s">
        <v>2768</v>
      </c>
      <c r="M1212" s="1219" t="s">
        <v>2677</v>
      </c>
      <c r="N1212" s="1220" t="s">
        <v>2685</v>
      </c>
      <c r="O1212" s="1219" t="s">
        <v>310</v>
      </c>
      <c r="P1212" s="1219" t="s">
        <v>291</v>
      </c>
      <c r="Q1212" s="1219" t="s">
        <v>294</v>
      </c>
      <c r="R1212" s="1219">
        <v>2000000.01</v>
      </c>
      <c r="S1212" s="1219">
        <v>2500000</v>
      </c>
      <c r="T1212" s="1219">
        <v>0</v>
      </c>
      <c r="U1212" s="1219">
        <f t="shared" si="442"/>
        <v>2500000</v>
      </c>
      <c r="V1212" s="1219">
        <v>0</v>
      </c>
      <c r="W1212" s="1219">
        <v>50</v>
      </c>
      <c r="X1212" s="1219">
        <v>0</v>
      </c>
      <c r="Y1212" s="1219">
        <v>999</v>
      </c>
      <c r="Z1212" s="1221">
        <v>720</v>
      </c>
      <c r="AA1212" s="1221">
        <v>999</v>
      </c>
      <c r="AB1212" s="1221">
        <v>6</v>
      </c>
      <c r="AC1212" s="1221">
        <v>999999</v>
      </c>
      <c r="AD1212" s="1219">
        <v>0</v>
      </c>
      <c r="AE1212" s="1222">
        <v>80</v>
      </c>
      <c r="AF1212" s="170">
        <v>0</v>
      </c>
      <c r="AG1212" s="171">
        <v>1</v>
      </c>
      <c r="AH1212" s="171">
        <v>1</v>
      </c>
      <c r="AI1212" s="171">
        <v>0</v>
      </c>
      <c r="AJ1212" s="171">
        <v>0</v>
      </c>
      <c r="AK1212" s="171">
        <v>1</v>
      </c>
      <c r="AL1212" s="171">
        <v>1</v>
      </c>
      <c r="AM1212" s="171">
        <v>1</v>
      </c>
      <c r="AN1212" s="171">
        <v>1</v>
      </c>
      <c r="AO1212" s="171">
        <v>1</v>
      </c>
      <c r="AP1212" s="171">
        <v>1</v>
      </c>
      <c r="AQ1212" s="171">
        <v>1</v>
      </c>
      <c r="AR1212" s="171">
        <v>1</v>
      </c>
      <c r="AS1212" s="171">
        <v>1</v>
      </c>
      <c r="AT1212" s="171">
        <v>1</v>
      </c>
      <c r="AU1212" s="171">
        <f t="shared" si="433"/>
        <v>0</v>
      </c>
      <c r="AV1212" s="171">
        <f t="shared" si="434"/>
        <v>1</v>
      </c>
      <c r="AW1212" s="171">
        <f t="shared" si="435"/>
        <v>1</v>
      </c>
      <c r="AX1212" s="171">
        <f t="shared" si="444"/>
        <v>1</v>
      </c>
      <c r="AY1212" s="171">
        <f t="shared" si="436"/>
        <v>1</v>
      </c>
      <c r="AZ1212" s="171">
        <f t="shared" si="437"/>
        <v>1</v>
      </c>
      <c r="BA1212" s="172">
        <f t="shared" si="438"/>
        <v>1</v>
      </c>
      <c r="BB1212" s="175">
        <f t="shared" si="439"/>
        <v>18</v>
      </c>
      <c r="BC1212" s="176">
        <f t="shared" si="440"/>
        <v>17</v>
      </c>
      <c r="BD1212" s="176">
        <f t="shared" si="441"/>
        <v>18</v>
      </c>
      <c r="BE1212" s="240" t="str">
        <f t="shared" si="431"/>
        <v/>
      </c>
      <c r="BF1212" s="990"/>
      <c r="BG1212" s="990"/>
      <c r="BH1212" s="991">
        <f>IF(AND(Input_Product=Elig!$C1212,Elig_MatchAll_Ct&lt;22,$BC1212=(Elig_MatchAll_Ct-1),AF1212=0),C1212,0)</f>
        <v>0</v>
      </c>
      <c r="BI1212" s="991">
        <f>IF(AND(Input_Product=Elig!$C1212,Elig_MatchAll_Ct&lt;22,$BC1212=(Elig_MatchAll_Ct-1),AG1212=0),D1212,0)</f>
        <v>0</v>
      </c>
      <c r="BJ1212" s="991">
        <f>IF(AND(Input_Product=Elig!$C1212,Elig_MatchAll_Ct&lt;22,$BC1212=(Elig_MatchAll_Ct-1),AH1212=0),E1212,0)</f>
        <v>0</v>
      </c>
      <c r="BK1212" s="991">
        <f>IF(AND(Input_Product=Elig!$C1212,Elig_MatchAll_Ct&lt;22,$BC1212=(Elig_MatchAll_Ct-1),AI1212=0),F1212,0)</f>
        <v>0</v>
      </c>
      <c r="BL1212" s="991">
        <f>IF(AND(Input_Product=Elig!$C1212,Elig_MatchAll_Ct&lt;22,$BC1212=(Elig_MatchAll_Ct-1),AJ1212=0),G1212,0)</f>
        <v>0</v>
      </c>
      <c r="BM1212" s="991">
        <f>IF(AND(Input_Product=Elig!$C1212,Elig_MatchAll_Ct&lt;22,$BC1212=(Elig_MatchAll_Ct-1),AK1212=0),H1212,0)</f>
        <v>0</v>
      </c>
      <c r="BN1212" s="991">
        <f>IF(AND(Input_Product=Elig!$C1212,Elig_MatchAll_Ct&lt;22,$BC1212=(Elig_MatchAll_Ct-1),AL1212=0),I1212,0)</f>
        <v>0</v>
      </c>
      <c r="BO1212" s="991">
        <f>IF(AND(Input_Product=Elig!$C1212,Elig_MatchAll_Ct&lt;22,$BC1212=(Elig_MatchAll_Ct-1),AM1212=0),J1212,0)</f>
        <v>0</v>
      </c>
      <c r="BP1212" s="991">
        <f>IF(AND(Input_Product=Elig!$C1212,Elig_MatchAll_Ct&lt;22,$BC1212=(Elig_MatchAll_Ct-1),AN1212=0),K1212,0)</f>
        <v>0</v>
      </c>
      <c r="BQ1212" s="991">
        <f>IF(AND(Input_Product=Elig!$C1212,Elig_MatchAll_Ct&lt;22,$BC1212=(Elig_MatchAll_Ct-1),AP1212=0),L1212,0)</f>
        <v>0</v>
      </c>
      <c r="BR1212" s="991">
        <f>IF(AND(Input_Product=Elig!$C1212,Elig_MatchAll_Ct&lt;22,$BC1212=(Elig_MatchAll_Ct-1),AO1212=0),M1212,0)</f>
        <v>0</v>
      </c>
      <c r="BS1212" s="991">
        <f>IF(AND(Input_Product=Elig!$C1212,Elig_MatchAll_Ct&lt;22,$BC1212=(Elig_MatchAll_Ct-1),AQ1212=0),N1212,0)</f>
        <v>0</v>
      </c>
      <c r="BT1212" s="991">
        <f>IF(AND(Input_Product=Elig!$C1212,Elig_MatchAll_Ct&lt;22,$BC1212=(Elig_MatchAll_Ct-1),AR1212=0),O1212,0)</f>
        <v>0</v>
      </c>
      <c r="BU1212" s="991">
        <f>IF(AND(Input_Product=Elig!$C1212,Elig_MatchAll_Ct&lt;22,$BC1212=(Elig_MatchAll_Ct-1),AS1212=0),P1212,0)</f>
        <v>0</v>
      </c>
      <c r="BV1212" s="992">
        <f>IF(AND(Input_Product=Elig!$C1212,Elig_MatchAll_Ct&lt;22,$BC1212=(Elig_MatchAll_Ct-1),AT1212=0),Q1212,0)</f>
        <v>0</v>
      </c>
      <c r="BW1212" s="993">
        <f>IF(AND(Input_Product=Elig!$C1212,Elig_MatchAll_Ct&lt;22,$BC1212=(Elig_MatchAll_Ct-1),AU1212=0),R1212,0)</f>
        <v>0</v>
      </c>
      <c r="BX1212" s="994">
        <f>IF(AND(Input_Product=Elig!$C1212,Elig_MatchAll_Ct&lt;22,$BC1212=(Elig_MatchAll_Ct-1),AU1212=0),S1212,0)</f>
        <v>0</v>
      </c>
      <c r="BY1212" s="993">
        <f>IF(AND(Input_Product=Elig!$C1212,Elig_MatchAll_Ct&lt;22,$BC1212=(Elig_MatchAll_Ct-1),AV1212=0),T1212,0)</f>
        <v>0</v>
      </c>
      <c r="BZ1212" s="994">
        <f>IF(AND(Input_Product=Elig!$C1212,Elig_MatchAll_Ct&lt;22,$BC1212=(Elig_MatchAll_Ct-1),AV1212=0),U1212,0)</f>
        <v>0</v>
      </c>
      <c r="CA1212" s="993">
        <f>IF(AND(Input_Product=Elig!$C1212,Elig_MatchAll_Ct&lt;22,$BC1212=(Elig_MatchAll_Ct-1),AW1212=0),V1212,0)</f>
        <v>0</v>
      </c>
      <c r="CB1212" s="994">
        <f>IF(AND(Input_Product=Elig!$C1212,Elig_MatchAll_Ct&lt;22,$BC1212=(Elig_MatchAll_Ct-1),AW1212=0),W1212,0)</f>
        <v>0</v>
      </c>
      <c r="CC1212" s="993">
        <f>IF(AND(Input_Product=Elig!$C1212,Elig_MatchAll_Ct&lt;22,$BC1212=(Elig_MatchAll_Ct-1),AX1212=0),X1212,0)</f>
        <v>0</v>
      </c>
      <c r="CD1212" s="994">
        <f>IF(AND(Input_Product=Elig!$C1212,Elig_MatchAll_Ct&lt;22,$BC1212=(Elig_MatchAll_Ct-1),AX1212=0),Y1212,0)</f>
        <v>0</v>
      </c>
      <c r="CE1212" s="993">
        <f>IF(AND(Input_LTV&lt;=AE1212,Input_Product=Elig!$C1212,Elig_MatchAll_Ct&lt;22,$BC1212=(Elig_MatchAll_Ct-1),AY1212=0),Z1212,0)</f>
        <v>0</v>
      </c>
      <c r="CF1212" s="994">
        <f>IF(AND(Input_LTV&lt;=AE1212,Input_Product=Elig!$C1212,Elig_MatchAll_Ct&lt;22,$BC1212=(Elig_MatchAll_Ct-1),AY1212=0),AA1212,0)</f>
        <v>0</v>
      </c>
      <c r="CG1212" s="993">
        <f>IF(AND(Input_Product=Elig!$C1212,Elig_MatchAll_Ct&lt;22,$BC1212=(Elig_MatchAll_Ct-1),AZ1212=0),AB1212,0)</f>
        <v>0</v>
      </c>
      <c r="CH1212" s="994">
        <f>IF(AND(Input_Product=Elig!$C1212,Elig_MatchAll_Ct&lt;22,$BC1212=(Elig_MatchAll_Ct-1),AZ1212=0),AC1212,0)</f>
        <v>0</v>
      </c>
      <c r="CI1212" s="993">
        <f>IF(AND(Input_Product=Elig!$C1212,Elig_MatchAll_Ct&lt;22,$BC1212=(Elig_MatchAll_Ct-1),BA1212=0),AD1212,0)</f>
        <v>0</v>
      </c>
      <c r="CJ1212" s="994">
        <f>IF(AND(Input_Product=Elig!$C1212,Elig_MatchAll_Ct&lt;22,$BC1212=(Elig_MatchAll_Ct-1),BA1212=0),AE1212,0)</f>
        <v>0</v>
      </c>
    </row>
    <row r="1213" spans="2:88" ht="10.15" customHeight="1" x14ac:dyDescent="0.25">
      <c r="B1213" s="1918" t="s">
        <v>2503</v>
      </c>
      <c r="C1213" s="1223" t="str">
        <f t="shared" si="443"/>
        <v xml:space="preserve"> </v>
      </c>
      <c r="D1213" s="1224" t="s">
        <v>2218</v>
      </c>
      <c r="E1213" s="1224" t="s">
        <v>167</v>
      </c>
      <c r="F1213" s="1224" t="s">
        <v>330</v>
      </c>
      <c r="G1213" s="1225" t="s">
        <v>468</v>
      </c>
      <c r="H1213" s="1225" t="s">
        <v>136</v>
      </c>
      <c r="I1213" s="1224" t="s">
        <v>16</v>
      </c>
      <c r="J1213" s="1224" t="s">
        <v>1311</v>
      </c>
      <c r="K1213" s="1225" t="s">
        <v>3022</v>
      </c>
      <c r="L1213" s="1224" t="s">
        <v>2768</v>
      </c>
      <c r="M1213" s="1224" t="s">
        <v>2677</v>
      </c>
      <c r="N1213" s="1225" t="s">
        <v>2685</v>
      </c>
      <c r="O1213" s="1224" t="s">
        <v>310</v>
      </c>
      <c r="P1213" s="1224" t="s">
        <v>291</v>
      </c>
      <c r="Q1213" s="1224" t="s">
        <v>294</v>
      </c>
      <c r="R1213" s="1224">
        <v>2000000.01</v>
      </c>
      <c r="S1213" s="1224">
        <v>2500000</v>
      </c>
      <c r="T1213" s="1224">
        <v>0</v>
      </c>
      <c r="U1213" s="1224">
        <f t="shared" si="442"/>
        <v>2500000</v>
      </c>
      <c r="V1213" s="1224">
        <v>0</v>
      </c>
      <c r="W1213" s="1224">
        <v>50</v>
      </c>
      <c r="X1213" s="1224">
        <v>0</v>
      </c>
      <c r="Y1213" s="1224">
        <v>999</v>
      </c>
      <c r="Z1213" s="1226">
        <v>700</v>
      </c>
      <c r="AA1213" s="1226">
        <v>719</v>
      </c>
      <c r="AB1213" s="1226">
        <v>6</v>
      </c>
      <c r="AC1213" s="1226">
        <v>999999</v>
      </c>
      <c r="AD1213" s="1224">
        <v>0</v>
      </c>
      <c r="AE1213" s="1227">
        <v>80</v>
      </c>
      <c r="AF1213" s="170">
        <v>0</v>
      </c>
      <c r="AG1213" s="171">
        <v>1</v>
      </c>
      <c r="AH1213" s="171">
        <v>1</v>
      </c>
      <c r="AI1213" s="171">
        <v>0</v>
      </c>
      <c r="AJ1213" s="171">
        <v>0</v>
      </c>
      <c r="AK1213" s="171">
        <v>1</v>
      </c>
      <c r="AL1213" s="171">
        <v>1</v>
      </c>
      <c r="AM1213" s="171">
        <v>1</v>
      </c>
      <c r="AN1213" s="171">
        <v>1</v>
      </c>
      <c r="AO1213" s="171">
        <v>1</v>
      </c>
      <c r="AP1213" s="171">
        <v>1</v>
      </c>
      <c r="AQ1213" s="171">
        <v>1</v>
      </c>
      <c r="AR1213" s="171">
        <v>1</v>
      </c>
      <c r="AS1213" s="171">
        <v>1</v>
      </c>
      <c r="AT1213" s="171">
        <v>1</v>
      </c>
      <c r="AU1213" s="171">
        <f t="shared" si="433"/>
        <v>0</v>
      </c>
      <c r="AV1213" s="171">
        <f t="shared" si="434"/>
        <v>1</v>
      </c>
      <c r="AW1213" s="171">
        <f t="shared" si="435"/>
        <v>1</v>
      </c>
      <c r="AX1213" s="171">
        <f t="shared" si="444"/>
        <v>1</v>
      </c>
      <c r="AY1213" s="171">
        <f t="shared" si="436"/>
        <v>0</v>
      </c>
      <c r="AZ1213" s="171">
        <f t="shared" si="437"/>
        <v>1</v>
      </c>
      <c r="BA1213" s="172">
        <f t="shared" si="438"/>
        <v>1</v>
      </c>
      <c r="BB1213" s="175">
        <f t="shared" si="439"/>
        <v>17</v>
      </c>
      <c r="BC1213" s="176">
        <f t="shared" si="440"/>
        <v>16</v>
      </c>
      <c r="BD1213" s="176">
        <f t="shared" si="441"/>
        <v>17</v>
      </c>
      <c r="BE1213" s="240" t="str">
        <f t="shared" si="431"/>
        <v/>
      </c>
      <c r="BF1213" s="990"/>
      <c r="BG1213" s="990"/>
      <c r="BH1213" s="991">
        <f>IF(AND(Input_Product=Elig!$C1213,Elig_MatchAll_Ct&lt;22,$BC1213=(Elig_MatchAll_Ct-1),AF1213=0),C1213,0)</f>
        <v>0</v>
      </c>
      <c r="BI1213" s="991">
        <f>IF(AND(Input_Product=Elig!$C1213,Elig_MatchAll_Ct&lt;22,$BC1213=(Elig_MatchAll_Ct-1),AG1213=0),D1213,0)</f>
        <v>0</v>
      </c>
      <c r="BJ1213" s="991">
        <f>IF(AND(Input_Product=Elig!$C1213,Elig_MatchAll_Ct&lt;22,$BC1213=(Elig_MatchAll_Ct-1),AH1213=0),E1213,0)</f>
        <v>0</v>
      </c>
      <c r="BK1213" s="991">
        <f>IF(AND(Input_Product=Elig!$C1213,Elig_MatchAll_Ct&lt;22,$BC1213=(Elig_MatchAll_Ct-1),AI1213=0),F1213,0)</f>
        <v>0</v>
      </c>
      <c r="BL1213" s="991">
        <f>IF(AND(Input_Product=Elig!$C1213,Elig_MatchAll_Ct&lt;22,$BC1213=(Elig_MatchAll_Ct-1),AJ1213=0),G1213,0)</f>
        <v>0</v>
      </c>
      <c r="BM1213" s="991">
        <f>IF(AND(Input_Product=Elig!$C1213,Elig_MatchAll_Ct&lt;22,$BC1213=(Elig_MatchAll_Ct-1),AK1213=0),H1213,0)</f>
        <v>0</v>
      </c>
      <c r="BN1213" s="991">
        <f>IF(AND(Input_Product=Elig!$C1213,Elig_MatchAll_Ct&lt;22,$BC1213=(Elig_MatchAll_Ct-1),AL1213=0),I1213,0)</f>
        <v>0</v>
      </c>
      <c r="BO1213" s="991">
        <f>IF(AND(Input_Product=Elig!$C1213,Elig_MatchAll_Ct&lt;22,$BC1213=(Elig_MatchAll_Ct-1),AM1213=0),J1213,0)</f>
        <v>0</v>
      </c>
      <c r="BP1213" s="991">
        <f>IF(AND(Input_Product=Elig!$C1213,Elig_MatchAll_Ct&lt;22,$BC1213=(Elig_MatchAll_Ct-1),AN1213=0),K1213,0)</f>
        <v>0</v>
      </c>
      <c r="BQ1213" s="991">
        <f>IF(AND(Input_Product=Elig!$C1213,Elig_MatchAll_Ct&lt;22,$BC1213=(Elig_MatchAll_Ct-1),AP1213=0),L1213,0)</f>
        <v>0</v>
      </c>
      <c r="BR1213" s="991">
        <f>IF(AND(Input_Product=Elig!$C1213,Elig_MatchAll_Ct&lt;22,$BC1213=(Elig_MatchAll_Ct-1),AO1213=0),M1213,0)</f>
        <v>0</v>
      </c>
      <c r="BS1213" s="991">
        <f>IF(AND(Input_Product=Elig!$C1213,Elig_MatchAll_Ct&lt;22,$BC1213=(Elig_MatchAll_Ct-1),AQ1213=0),N1213,0)</f>
        <v>0</v>
      </c>
      <c r="BT1213" s="991">
        <f>IF(AND(Input_Product=Elig!$C1213,Elig_MatchAll_Ct&lt;22,$BC1213=(Elig_MatchAll_Ct-1),AR1213=0),O1213,0)</f>
        <v>0</v>
      </c>
      <c r="BU1213" s="991">
        <f>IF(AND(Input_Product=Elig!$C1213,Elig_MatchAll_Ct&lt;22,$BC1213=(Elig_MatchAll_Ct-1),AS1213=0),P1213,0)</f>
        <v>0</v>
      </c>
      <c r="BV1213" s="992">
        <f>IF(AND(Input_Product=Elig!$C1213,Elig_MatchAll_Ct&lt;22,$BC1213=(Elig_MatchAll_Ct-1),AT1213=0),Q1213,0)</f>
        <v>0</v>
      </c>
      <c r="BW1213" s="993">
        <f>IF(AND(Input_Product=Elig!$C1213,Elig_MatchAll_Ct&lt;22,$BC1213=(Elig_MatchAll_Ct-1),AU1213=0),R1213,0)</f>
        <v>0</v>
      </c>
      <c r="BX1213" s="994">
        <f>IF(AND(Input_Product=Elig!$C1213,Elig_MatchAll_Ct&lt;22,$BC1213=(Elig_MatchAll_Ct-1),AU1213=0),S1213,0)</f>
        <v>0</v>
      </c>
      <c r="BY1213" s="993">
        <f>IF(AND(Input_Product=Elig!$C1213,Elig_MatchAll_Ct&lt;22,$BC1213=(Elig_MatchAll_Ct-1),AV1213=0),T1213,0)</f>
        <v>0</v>
      </c>
      <c r="BZ1213" s="994">
        <f>IF(AND(Input_Product=Elig!$C1213,Elig_MatchAll_Ct&lt;22,$BC1213=(Elig_MatchAll_Ct-1),AV1213=0),U1213,0)</f>
        <v>0</v>
      </c>
      <c r="CA1213" s="993">
        <f>IF(AND(Input_Product=Elig!$C1213,Elig_MatchAll_Ct&lt;22,$BC1213=(Elig_MatchAll_Ct-1),AW1213=0),V1213,0)</f>
        <v>0</v>
      </c>
      <c r="CB1213" s="994">
        <f>IF(AND(Input_Product=Elig!$C1213,Elig_MatchAll_Ct&lt;22,$BC1213=(Elig_MatchAll_Ct-1),AW1213=0),W1213,0)</f>
        <v>0</v>
      </c>
      <c r="CC1213" s="993">
        <f>IF(AND(Input_Product=Elig!$C1213,Elig_MatchAll_Ct&lt;22,$BC1213=(Elig_MatchAll_Ct-1),AX1213=0),X1213,0)</f>
        <v>0</v>
      </c>
      <c r="CD1213" s="994">
        <f>IF(AND(Input_Product=Elig!$C1213,Elig_MatchAll_Ct&lt;22,$BC1213=(Elig_MatchAll_Ct-1),AX1213=0),Y1213,0)</f>
        <v>0</v>
      </c>
      <c r="CE1213" s="993">
        <f>IF(AND(Input_LTV&lt;=AE1213,Input_Product=Elig!$C1213,Elig_MatchAll_Ct&lt;22,$BC1213=(Elig_MatchAll_Ct-1),AY1213=0),Z1213,0)</f>
        <v>0</v>
      </c>
      <c r="CF1213" s="994">
        <f>IF(AND(Input_LTV&lt;=AE1213,Input_Product=Elig!$C1213,Elig_MatchAll_Ct&lt;22,$BC1213=(Elig_MatchAll_Ct-1),AY1213=0),AA1213,0)</f>
        <v>0</v>
      </c>
      <c r="CG1213" s="993">
        <f>IF(AND(Input_Product=Elig!$C1213,Elig_MatchAll_Ct&lt;22,$BC1213=(Elig_MatchAll_Ct-1),AZ1213=0),AB1213,0)</f>
        <v>0</v>
      </c>
      <c r="CH1213" s="994">
        <f>IF(AND(Input_Product=Elig!$C1213,Elig_MatchAll_Ct&lt;22,$BC1213=(Elig_MatchAll_Ct-1),AZ1213=0),AC1213,0)</f>
        <v>0</v>
      </c>
      <c r="CI1213" s="993">
        <f>IF(AND(Input_Product=Elig!$C1213,Elig_MatchAll_Ct&lt;22,$BC1213=(Elig_MatchAll_Ct-1),BA1213=0),AD1213,0)</f>
        <v>0</v>
      </c>
      <c r="CJ1213" s="994">
        <f>IF(AND(Input_Product=Elig!$C1213,Elig_MatchAll_Ct&lt;22,$BC1213=(Elig_MatchAll_Ct-1),BA1213=0),AE1213,0)</f>
        <v>0</v>
      </c>
    </row>
    <row r="1214" spans="2:88" ht="10.15" customHeight="1" x14ac:dyDescent="0.25">
      <c r="B1214" s="1918" t="s">
        <v>2504</v>
      </c>
      <c r="C1214" s="1228" t="str">
        <f t="shared" si="443"/>
        <v xml:space="preserve"> </v>
      </c>
      <c r="D1214" s="1229" t="s">
        <v>2218</v>
      </c>
      <c r="E1214" s="1229" t="s">
        <v>167</v>
      </c>
      <c r="F1214" s="1229" t="s">
        <v>330</v>
      </c>
      <c r="G1214" s="1230" t="s">
        <v>468</v>
      </c>
      <c r="H1214" s="1230" t="s">
        <v>136</v>
      </c>
      <c r="I1214" s="1229" t="s">
        <v>16</v>
      </c>
      <c r="J1214" s="1229" t="s">
        <v>1311</v>
      </c>
      <c r="K1214" s="1230" t="s">
        <v>3022</v>
      </c>
      <c r="L1214" s="1229" t="s">
        <v>2768</v>
      </c>
      <c r="M1214" s="1229" t="s">
        <v>2677</v>
      </c>
      <c r="N1214" s="1230" t="s">
        <v>2685</v>
      </c>
      <c r="O1214" s="1229" t="s">
        <v>310</v>
      </c>
      <c r="P1214" s="1229" t="s">
        <v>291</v>
      </c>
      <c r="Q1214" s="1229" t="s">
        <v>294</v>
      </c>
      <c r="R1214" s="1229">
        <v>2000000.01</v>
      </c>
      <c r="S1214" s="1229">
        <v>2500000</v>
      </c>
      <c r="T1214" s="1229">
        <v>0</v>
      </c>
      <c r="U1214" s="1229">
        <f t="shared" si="442"/>
        <v>2500000</v>
      </c>
      <c r="V1214" s="1229">
        <v>0</v>
      </c>
      <c r="W1214" s="1229">
        <v>50</v>
      </c>
      <c r="X1214" s="1229">
        <v>0</v>
      </c>
      <c r="Y1214" s="1229">
        <v>999</v>
      </c>
      <c r="Z1214" s="1231">
        <v>680</v>
      </c>
      <c r="AA1214" s="1231">
        <v>699</v>
      </c>
      <c r="AB1214" s="1231">
        <v>6</v>
      </c>
      <c r="AC1214" s="1231">
        <v>999999</v>
      </c>
      <c r="AD1214" s="1229">
        <v>0</v>
      </c>
      <c r="AE1214" s="1232">
        <v>75</v>
      </c>
      <c r="AF1214" s="170">
        <v>0</v>
      </c>
      <c r="AG1214" s="171">
        <v>1</v>
      </c>
      <c r="AH1214" s="171">
        <v>1</v>
      </c>
      <c r="AI1214" s="171">
        <v>0</v>
      </c>
      <c r="AJ1214" s="171">
        <v>0</v>
      </c>
      <c r="AK1214" s="171">
        <v>1</v>
      </c>
      <c r="AL1214" s="171">
        <v>1</v>
      </c>
      <c r="AM1214" s="171">
        <v>1</v>
      </c>
      <c r="AN1214" s="171">
        <v>1</v>
      </c>
      <c r="AO1214" s="171">
        <v>1</v>
      </c>
      <c r="AP1214" s="171">
        <v>1</v>
      </c>
      <c r="AQ1214" s="171">
        <v>1</v>
      </c>
      <c r="AR1214" s="171">
        <v>1</v>
      </c>
      <c r="AS1214" s="171">
        <v>1</v>
      </c>
      <c r="AT1214" s="171">
        <v>1</v>
      </c>
      <c r="AU1214" s="171">
        <f t="shared" si="433"/>
        <v>0</v>
      </c>
      <c r="AV1214" s="171">
        <f t="shared" si="434"/>
        <v>1</v>
      </c>
      <c r="AW1214" s="171">
        <f t="shared" si="435"/>
        <v>1</v>
      </c>
      <c r="AX1214" s="171">
        <f t="shared" si="444"/>
        <v>1</v>
      </c>
      <c r="AY1214" s="171">
        <f t="shared" si="436"/>
        <v>0</v>
      </c>
      <c r="AZ1214" s="171">
        <f t="shared" si="437"/>
        <v>1</v>
      </c>
      <c r="BA1214" s="172">
        <f t="shared" si="438"/>
        <v>1</v>
      </c>
      <c r="BB1214" s="175">
        <f t="shared" si="439"/>
        <v>17</v>
      </c>
      <c r="BC1214" s="176">
        <f t="shared" si="440"/>
        <v>16</v>
      </c>
      <c r="BD1214" s="176">
        <f t="shared" si="441"/>
        <v>17</v>
      </c>
      <c r="BE1214" s="240" t="str">
        <f t="shared" si="431"/>
        <v/>
      </c>
      <c r="BF1214" s="990"/>
      <c r="BG1214" s="990"/>
      <c r="BH1214" s="991">
        <f>IF(AND(Input_Product=Elig!$C1214,Elig_MatchAll_Ct&lt;22,$BC1214=(Elig_MatchAll_Ct-1),AF1214=0),C1214,0)</f>
        <v>0</v>
      </c>
      <c r="BI1214" s="991">
        <f>IF(AND(Input_Product=Elig!$C1214,Elig_MatchAll_Ct&lt;22,$BC1214=(Elig_MatchAll_Ct-1),AG1214=0),D1214,0)</f>
        <v>0</v>
      </c>
      <c r="BJ1214" s="991">
        <f>IF(AND(Input_Product=Elig!$C1214,Elig_MatchAll_Ct&lt;22,$BC1214=(Elig_MatchAll_Ct-1),AH1214=0),E1214,0)</f>
        <v>0</v>
      </c>
      <c r="BK1214" s="991">
        <f>IF(AND(Input_Product=Elig!$C1214,Elig_MatchAll_Ct&lt;22,$BC1214=(Elig_MatchAll_Ct-1),AI1214=0),F1214,0)</f>
        <v>0</v>
      </c>
      <c r="BL1214" s="991">
        <f>IF(AND(Input_Product=Elig!$C1214,Elig_MatchAll_Ct&lt;22,$BC1214=(Elig_MatchAll_Ct-1),AJ1214=0),G1214,0)</f>
        <v>0</v>
      </c>
      <c r="BM1214" s="991">
        <f>IF(AND(Input_Product=Elig!$C1214,Elig_MatchAll_Ct&lt;22,$BC1214=(Elig_MatchAll_Ct-1),AK1214=0),H1214,0)</f>
        <v>0</v>
      </c>
      <c r="BN1214" s="991">
        <f>IF(AND(Input_Product=Elig!$C1214,Elig_MatchAll_Ct&lt;22,$BC1214=(Elig_MatchAll_Ct-1),AL1214=0),I1214,0)</f>
        <v>0</v>
      </c>
      <c r="BO1214" s="991">
        <f>IF(AND(Input_Product=Elig!$C1214,Elig_MatchAll_Ct&lt;22,$BC1214=(Elig_MatchAll_Ct-1),AM1214=0),J1214,0)</f>
        <v>0</v>
      </c>
      <c r="BP1214" s="991">
        <f>IF(AND(Input_Product=Elig!$C1214,Elig_MatchAll_Ct&lt;22,$BC1214=(Elig_MatchAll_Ct-1),AN1214=0),K1214,0)</f>
        <v>0</v>
      </c>
      <c r="BQ1214" s="991">
        <f>IF(AND(Input_Product=Elig!$C1214,Elig_MatchAll_Ct&lt;22,$BC1214=(Elig_MatchAll_Ct-1),AP1214=0),L1214,0)</f>
        <v>0</v>
      </c>
      <c r="BR1214" s="991">
        <f>IF(AND(Input_Product=Elig!$C1214,Elig_MatchAll_Ct&lt;22,$BC1214=(Elig_MatchAll_Ct-1),AO1214=0),M1214,0)</f>
        <v>0</v>
      </c>
      <c r="BS1214" s="991">
        <f>IF(AND(Input_Product=Elig!$C1214,Elig_MatchAll_Ct&lt;22,$BC1214=(Elig_MatchAll_Ct-1),AQ1214=0),N1214,0)</f>
        <v>0</v>
      </c>
      <c r="BT1214" s="991">
        <f>IF(AND(Input_Product=Elig!$C1214,Elig_MatchAll_Ct&lt;22,$BC1214=(Elig_MatchAll_Ct-1),AR1214=0),O1214,0)</f>
        <v>0</v>
      </c>
      <c r="BU1214" s="991">
        <f>IF(AND(Input_Product=Elig!$C1214,Elig_MatchAll_Ct&lt;22,$BC1214=(Elig_MatchAll_Ct-1),AS1214=0),P1214,0)</f>
        <v>0</v>
      </c>
      <c r="BV1214" s="992">
        <f>IF(AND(Input_Product=Elig!$C1214,Elig_MatchAll_Ct&lt;22,$BC1214=(Elig_MatchAll_Ct-1),AT1214=0),Q1214,0)</f>
        <v>0</v>
      </c>
      <c r="BW1214" s="993">
        <f>IF(AND(Input_Product=Elig!$C1214,Elig_MatchAll_Ct&lt;22,$BC1214=(Elig_MatchAll_Ct-1),AU1214=0),R1214,0)</f>
        <v>0</v>
      </c>
      <c r="BX1214" s="994">
        <f>IF(AND(Input_Product=Elig!$C1214,Elig_MatchAll_Ct&lt;22,$BC1214=(Elig_MatchAll_Ct-1),AU1214=0),S1214,0)</f>
        <v>0</v>
      </c>
      <c r="BY1214" s="993">
        <f>IF(AND(Input_Product=Elig!$C1214,Elig_MatchAll_Ct&lt;22,$BC1214=(Elig_MatchAll_Ct-1),AV1214=0),T1214,0)</f>
        <v>0</v>
      </c>
      <c r="BZ1214" s="994">
        <f>IF(AND(Input_Product=Elig!$C1214,Elig_MatchAll_Ct&lt;22,$BC1214=(Elig_MatchAll_Ct-1),AV1214=0),U1214,0)</f>
        <v>0</v>
      </c>
      <c r="CA1214" s="993">
        <f>IF(AND(Input_Product=Elig!$C1214,Elig_MatchAll_Ct&lt;22,$BC1214=(Elig_MatchAll_Ct-1),AW1214=0),V1214,0)</f>
        <v>0</v>
      </c>
      <c r="CB1214" s="994">
        <f>IF(AND(Input_Product=Elig!$C1214,Elig_MatchAll_Ct&lt;22,$BC1214=(Elig_MatchAll_Ct-1),AW1214=0),W1214,0)</f>
        <v>0</v>
      </c>
      <c r="CC1214" s="993">
        <f>IF(AND(Input_Product=Elig!$C1214,Elig_MatchAll_Ct&lt;22,$BC1214=(Elig_MatchAll_Ct-1),AX1214=0),X1214,0)</f>
        <v>0</v>
      </c>
      <c r="CD1214" s="994">
        <f>IF(AND(Input_Product=Elig!$C1214,Elig_MatchAll_Ct&lt;22,$BC1214=(Elig_MatchAll_Ct-1),AX1214=0),Y1214,0)</f>
        <v>0</v>
      </c>
      <c r="CE1214" s="993">
        <f>IF(AND(Input_LTV&lt;=AE1214,Input_Product=Elig!$C1214,Elig_MatchAll_Ct&lt;22,$BC1214=(Elig_MatchAll_Ct-1),AY1214=0),Z1214,0)</f>
        <v>0</v>
      </c>
      <c r="CF1214" s="994">
        <f>IF(AND(Input_LTV&lt;=AE1214,Input_Product=Elig!$C1214,Elig_MatchAll_Ct&lt;22,$BC1214=(Elig_MatchAll_Ct-1),AY1214=0),AA1214,0)</f>
        <v>0</v>
      </c>
      <c r="CG1214" s="993">
        <f>IF(AND(Input_Product=Elig!$C1214,Elig_MatchAll_Ct&lt;22,$BC1214=(Elig_MatchAll_Ct-1),AZ1214=0),AB1214,0)</f>
        <v>0</v>
      </c>
      <c r="CH1214" s="994">
        <f>IF(AND(Input_Product=Elig!$C1214,Elig_MatchAll_Ct&lt;22,$BC1214=(Elig_MatchAll_Ct-1),AZ1214=0),AC1214,0)</f>
        <v>0</v>
      </c>
      <c r="CI1214" s="993">
        <f>IF(AND(Input_Product=Elig!$C1214,Elig_MatchAll_Ct&lt;22,$BC1214=(Elig_MatchAll_Ct-1),BA1214=0),AD1214,0)</f>
        <v>0</v>
      </c>
      <c r="CJ1214" s="994">
        <f>IF(AND(Input_Product=Elig!$C1214,Elig_MatchAll_Ct&lt;22,$BC1214=(Elig_MatchAll_Ct-1),BA1214=0),AE1214,0)</f>
        <v>0</v>
      </c>
    </row>
    <row r="1215" spans="2:88" ht="10.15" customHeight="1" x14ac:dyDescent="0.25">
      <c r="B1215" s="1918" t="s">
        <v>2505</v>
      </c>
      <c r="C1215" s="1218" t="str">
        <f t="shared" si="443"/>
        <v xml:space="preserve"> </v>
      </c>
      <c r="D1215" s="1219" t="s">
        <v>2218</v>
      </c>
      <c r="E1215" s="1219" t="s">
        <v>167</v>
      </c>
      <c r="F1215" s="1219" t="s">
        <v>330</v>
      </c>
      <c r="G1215" s="1220" t="s">
        <v>468</v>
      </c>
      <c r="H1215" s="1220" t="s">
        <v>136</v>
      </c>
      <c r="I1215" s="1219" t="s">
        <v>16</v>
      </c>
      <c r="J1215" s="1219" t="s">
        <v>1311</v>
      </c>
      <c r="K1215" s="1220" t="s">
        <v>3022</v>
      </c>
      <c r="L1215" s="1219" t="s">
        <v>2768</v>
      </c>
      <c r="M1215" s="1219" t="s">
        <v>2677</v>
      </c>
      <c r="N1215" s="1220" t="s">
        <v>2685</v>
      </c>
      <c r="O1215" s="1219" t="s">
        <v>310</v>
      </c>
      <c r="P1215" s="1219" t="s">
        <v>291</v>
      </c>
      <c r="Q1215" s="1219" t="s">
        <v>294</v>
      </c>
      <c r="R1215" s="1219">
        <v>2500000.0099999998</v>
      </c>
      <c r="S1215" s="1219">
        <v>3000000</v>
      </c>
      <c r="T1215" s="1219">
        <v>0</v>
      </c>
      <c r="U1215" s="1219">
        <f t="shared" si="442"/>
        <v>3000000</v>
      </c>
      <c r="V1215" s="1219">
        <v>0</v>
      </c>
      <c r="W1215" s="1219">
        <v>50</v>
      </c>
      <c r="X1215" s="1219">
        <v>0</v>
      </c>
      <c r="Y1215" s="1219">
        <v>999</v>
      </c>
      <c r="Z1215" s="1221">
        <v>720</v>
      </c>
      <c r="AA1215" s="1221">
        <v>999</v>
      </c>
      <c r="AB1215" s="1221">
        <v>6</v>
      </c>
      <c r="AC1215" s="1221">
        <v>999999</v>
      </c>
      <c r="AD1215" s="1219">
        <v>0</v>
      </c>
      <c r="AE1215" s="1222">
        <v>75</v>
      </c>
      <c r="AF1215" s="170">
        <v>0</v>
      </c>
      <c r="AG1215" s="171">
        <v>1</v>
      </c>
      <c r="AH1215" s="171">
        <v>1</v>
      </c>
      <c r="AI1215" s="171">
        <v>0</v>
      </c>
      <c r="AJ1215" s="171">
        <v>0</v>
      </c>
      <c r="AK1215" s="171">
        <v>1</v>
      </c>
      <c r="AL1215" s="171">
        <v>1</v>
      </c>
      <c r="AM1215" s="171">
        <v>1</v>
      </c>
      <c r="AN1215" s="171">
        <v>1</v>
      </c>
      <c r="AO1215" s="171">
        <v>1</v>
      </c>
      <c r="AP1215" s="171">
        <v>1</v>
      </c>
      <c r="AQ1215" s="171">
        <v>1</v>
      </c>
      <c r="AR1215" s="171">
        <v>1</v>
      </c>
      <c r="AS1215" s="171">
        <v>1</v>
      </c>
      <c r="AT1215" s="171">
        <v>1</v>
      </c>
      <c r="AU1215" s="171">
        <f t="shared" si="433"/>
        <v>0</v>
      </c>
      <c r="AV1215" s="171">
        <f t="shared" si="434"/>
        <v>1</v>
      </c>
      <c r="AW1215" s="171">
        <f t="shared" si="435"/>
        <v>1</v>
      </c>
      <c r="AX1215" s="171">
        <f t="shared" si="444"/>
        <v>1</v>
      </c>
      <c r="AY1215" s="171">
        <f t="shared" si="436"/>
        <v>1</v>
      </c>
      <c r="AZ1215" s="171">
        <f t="shared" si="437"/>
        <v>1</v>
      </c>
      <c r="BA1215" s="172">
        <f t="shared" si="438"/>
        <v>1</v>
      </c>
      <c r="BB1215" s="175">
        <f t="shared" si="439"/>
        <v>18</v>
      </c>
      <c r="BC1215" s="176">
        <f t="shared" si="440"/>
        <v>17</v>
      </c>
      <c r="BD1215" s="176">
        <f t="shared" si="441"/>
        <v>18</v>
      </c>
      <c r="BE1215" s="240" t="str">
        <f t="shared" si="431"/>
        <v/>
      </c>
      <c r="BF1215" s="990"/>
      <c r="BG1215" s="990"/>
      <c r="BH1215" s="991">
        <f>IF(AND(Input_Product=Elig!$C1215,Elig_MatchAll_Ct&lt;22,$BC1215=(Elig_MatchAll_Ct-1),AF1215=0),C1215,0)</f>
        <v>0</v>
      </c>
      <c r="BI1215" s="991">
        <f>IF(AND(Input_Product=Elig!$C1215,Elig_MatchAll_Ct&lt;22,$BC1215=(Elig_MatchAll_Ct-1),AG1215=0),D1215,0)</f>
        <v>0</v>
      </c>
      <c r="BJ1215" s="991">
        <f>IF(AND(Input_Product=Elig!$C1215,Elig_MatchAll_Ct&lt;22,$BC1215=(Elig_MatchAll_Ct-1),AH1215=0),E1215,0)</f>
        <v>0</v>
      </c>
      <c r="BK1215" s="991">
        <f>IF(AND(Input_Product=Elig!$C1215,Elig_MatchAll_Ct&lt;22,$BC1215=(Elig_MatchAll_Ct-1),AI1215=0),F1215,0)</f>
        <v>0</v>
      </c>
      <c r="BL1215" s="991">
        <f>IF(AND(Input_Product=Elig!$C1215,Elig_MatchAll_Ct&lt;22,$BC1215=(Elig_MatchAll_Ct-1),AJ1215=0),G1215,0)</f>
        <v>0</v>
      </c>
      <c r="BM1215" s="991">
        <f>IF(AND(Input_Product=Elig!$C1215,Elig_MatchAll_Ct&lt;22,$BC1215=(Elig_MatchAll_Ct-1),AK1215=0),H1215,0)</f>
        <v>0</v>
      </c>
      <c r="BN1215" s="991">
        <f>IF(AND(Input_Product=Elig!$C1215,Elig_MatchAll_Ct&lt;22,$BC1215=(Elig_MatchAll_Ct-1),AL1215=0),I1215,0)</f>
        <v>0</v>
      </c>
      <c r="BO1215" s="991">
        <f>IF(AND(Input_Product=Elig!$C1215,Elig_MatchAll_Ct&lt;22,$BC1215=(Elig_MatchAll_Ct-1),AM1215=0),J1215,0)</f>
        <v>0</v>
      </c>
      <c r="BP1215" s="991">
        <f>IF(AND(Input_Product=Elig!$C1215,Elig_MatchAll_Ct&lt;22,$BC1215=(Elig_MatchAll_Ct-1),AN1215=0),K1215,0)</f>
        <v>0</v>
      </c>
      <c r="BQ1215" s="991">
        <f>IF(AND(Input_Product=Elig!$C1215,Elig_MatchAll_Ct&lt;22,$BC1215=(Elig_MatchAll_Ct-1),AP1215=0),L1215,0)</f>
        <v>0</v>
      </c>
      <c r="BR1215" s="991">
        <f>IF(AND(Input_Product=Elig!$C1215,Elig_MatchAll_Ct&lt;22,$BC1215=(Elig_MatchAll_Ct-1),AO1215=0),M1215,0)</f>
        <v>0</v>
      </c>
      <c r="BS1215" s="991">
        <f>IF(AND(Input_Product=Elig!$C1215,Elig_MatchAll_Ct&lt;22,$BC1215=(Elig_MatchAll_Ct-1),AQ1215=0),N1215,0)</f>
        <v>0</v>
      </c>
      <c r="BT1215" s="991">
        <f>IF(AND(Input_Product=Elig!$C1215,Elig_MatchAll_Ct&lt;22,$BC1215=(Elig_MatchAll_Ct-1),AR1215=0),O1215,0)</f>
        <v>0</v>
      </c>
      <c r="BU1215" s="991">
        <f>IF(AND(Input_Product=Elig!$C1215,Elig_MatchAll_Ct&lt;22,$BC1215=(Elig_MatchAll_Ct-1),AS1215=0),P1215,0)</f>
        <v>0</v>
      </c>
      <c r="BV1215" s="992">
        <f>IF(AND(Input_Product=Elig!$C1215,Elig_MatchAll_Ct&lt;22,$BC1215=(Elig_MatchAll_Ct-1),AT1215=0),Q1215,0)</f>
        <v>0</v>
      </c>
      <c r="BW1215" s="993">
        <f>IF(AND(Input_Product=Elig!$C1215,Elig_MatchAll_Ct&lt;22,$BC1215=(Elig_MatchAll_Ct-1),AU1215=0),R1215,0)</f>
        <v>0</v>
      </c>
      <c r="BX1215" s="994">
        <f>IF(AND(Input_Product=Elig!$C1215,Elig_MatchAll_Ct&lt;22,$BC1215=(Elig_MatchAll_Ct-1),AU1215=0),S1215,0)</f>
        <v>0</v>
      </c>
      <c r="BY1215" s="993">
        <f>IF(AND(Input_Product=Elig!$C1215,Elig_MatchAll_Ct&lt;22,$BC1215=(Elig_MatchAll_Ct-1),AV1215=0),T1215,0)</f>
        <v>0</v>
      </c>
      <c r="BZ1215" s="994">
        <f>IF(AND(Input_Product=Elig!$C1215,Elig_MatchAll_Ct&lt;22,$BC1215=(Elig_MatchAll_Ct-1),AV1215=0),U1215,0)</f>
        <v>0</v>
      </c>
      <c r="CA1215" s="993">
        <f>IF(AND(Input_Product=Elig!$C1215,Elig_MatchAll_Ct&lt;22,$BC1215=(Elig_MatchAll_Ct-1),AW1215=0),V1215,0)</f>
        <v>0</v>
      </c>
      <c r="CB1215" s="994">
        <f>IF(AND(Input_Product=Elig!$C1215,Elig_MatchAll_Ct&lt;22,$BC1215=(Elig_MatchAll_Ct-1),AW1215=0),W1215,0)</f>
        <v>0</v>
      </c>
      <c r="CC1215" s="993">
        <f>IF(AND(Input_Product=Elig!$C1215,Elig_MatchAll_Ct&lt;22,$BC1215=(Elig_MatchAll_Ct-1),AX1215=0),X1215,0)</f>
        <v>0</v>
      </c>
      <c r="CD1215" s="994">
        <f>IF(AND(Input_Product=Elig!$C1215,Elig_MatchAll_Ct&lt;22,$BC1215=(Elig_MatchAll_Ct-1),AX1215=0),Y1215,0)</f>
        <v>0</v>
      </c>
      <c r="CE1215" s="993">
        <f>IF(AND(Input_LTV&lt;=AE1215,Input_Product=Elig!$C1215,Elig_MatchAll_Ct&lt;22,$BC1215=(Elig_MatchAll_Ct-1),AY1215=0),Z1215,0)</f>
        <v>0</v>
      </c>
      <c r="CF1215" s="994">
        <f>IF(AND(Input_LTV&lt;=AE1215,Input_Product=Elig!$C1215,Elig_MatchAll_Ct&lt;22,$BC1215=(Elig_MatchAll_Ct-1),AY1215=0),AA1215,0)</f>
        <v>0</v>
      </c>
      <c r="CG1215" s="993">
        <f>IF(AND(Input_Product=Elig!$C1215,Elig_MatchAll_Ct&lt;22,$BC1215=(Elig_MatchAll_Ct-1),AZ1215=0),AB1215,0)</f>
        <v>0</v>
      </c>
      <c r="CH1215" s="994">
        <f>IF(AND(Input_Product=Elig!$C1215,Elig_MatchAll_Ct&lt;22,$BC1215=(Elig_MatchAll_Ct-1),AZ1215=0),AC1215,0)</f>
        <v>0</v>
      </c>
      <c r="CI1215" s="993">
        <f>IF(AND(Input_Product=Elig!$C1215,Elig_MatchAll_Ct&lt;22,$BC1215=(Elig_MatchAll_Ct-1),BA1215=0),AD1215,0)</f>
        <v>0</v>
      </c>
      <c r="CJ1215" s="994">
        <f>IF(AND(Input_Product=Elig!$C1215,Elig_MatchAll_Ct&lt;22,$BC1215=(Elig_MatchAll_Ct-1),BA1215=0),AE1215,0)</f>
        <v>0</v>
      </c>
    </row>
    <row r="1216" spans="2:88" ht="10.15" customHeight="1" x14ac:dyDescent="0.25">
      <c r="B1216" s="1918" t="s">
        <v>2506</v>
      </c>
      <c r="C1216" s="1223" t="str">
        <f t="shared" si="443"/>
        <v xml:space="preserve"> </v>
      </c>
      <c r="D1216" s="1224" t="s">
        <v>2218</v>
      </c>
      <c r="E1216" s="1224" t="s">
        <v>167</v>
      </c>
      <c r="F1216" s="1224" t="s">
        <v>330</v>
      </c>
      <c r="G1216" s="1225" t="s">
        <v>468</v>
      </c>
      <c r="H1216" s="1225" t="s">
        <v>136</v>
      </c>
      <c r="I1216" s="1224" t="s">
        <v>16</v>
      </c>
      <c r="J1216" s="1224" t="s">
        <v>1311</v>
      </c>
      <c r="K1216" s="1225" t="s">
        <v>3022</v>
      </c>
      <c r="L1216" s="1224" t="s">
        <v>2768</v>
      </c>
      <c r="M1216" s="1224" t="s">
        <v>2677</v>
      </c>
      <c r="N1216" s="1225" t="s">
        <v>2685</v>
      </c>
      <c r="O1216" s="1224" t="s">
        <v>310</v>
      </c>
      <c r="P1216" s="1224" t="s">
        <v>291</v>
      </c>
      <c r="Q1216" s="1224" t="s">
        <v>294</v>
      </c>
      <c r="R1216" s="1224">
        <v>2500000.0099999998</v>
      </c>
      <c r="S1216" s="1224">
        <v>3000000</v>
      </c>
      <c r="T1216" s="1224">
        <v>0</v>
      </c>
      <c r="U1216" s="1224">
        <f t="shared" si="442"/>
        <v>3000000</v>
      </c>
      <c r="V1216" s="1224">
        <v>0</v>
      </c>
      <c r="W1216" s="1224">
        <v>50</v>
      </c>
      <c r="X1216" s="1224">
        <v>0</v>
      </c>
      <c r="Y1216" s="1224">
        <v>999</v>
      </c>
      <c r="Z1216" s="1226">
        <v>700</v>
      </c>
      <c r="AA1216" s="1226">
        <v>719</v>
      </c>
      <c r="AB1216" s="1226">
        <v>6</v>
      </c>
      <c r="AC1216" s="1226">
        <v>999999</v>
      </c>
      <c r="AD1216" s="1224">
        <v>0</v>
      </c>
      <c r="AE1216" s="1227">
        <v>75</v>
      </c>
      <c r="AF1216" s="170">
        <v>0</v>
      </c>
      <c r="AG1216" s="171">
        <v>1</v>
      </c>
      <c r="AH1216" s="171">
        <v>1</v>
      </c>
      <c r="AI1216" s="171">
        <v>0</v>
      </c>
      <c r="AJ1216" s="171">
        <v>0</v>
      </c>
      <c r="AK1216" s="171">
        <v>1</v>
      </c>
      <c r="AL1216" s="171">
        <v>1</v>
      </c>
      <c r="AM1216" s="171">
        <v>1</v>
      </c>
      <c r="AN1216" s="171">
        <v>1</v>
      </c>
      <c r="AO1216" s="171">
        <v>1</v>
      </c>
      <c r="AP1216" s="171">
        <v>1</v>
      </c>
      <c r="AQ1216" s="171">
        <v>1</v>
      </c>
      <c r="AR1216" s="171">
        <v>1</v>
      </c>
      <c r="AS1216" s="171">
        <v>1</v>
      </c>
      <c r="AT1216" s="171">
        <v>1</v>
      </c>
      <c r="AU1216" s="171">
        <f t="shared" si="433"/>
        <v>0</v>
      </c>
      <c r="AV1216" s="171">
        <f t="shared" si="434"/>
        <v>1</v>
      </c>
      <c r="AW1216" s="171">
        <f t="shared" si="435"/>
        <v>1</v>
      </c>
      <c r="AX1216" s="171">
        <f t="shared" si="444"/>
        <v>1</v>
      </c>
      <c r="AY1216" s="171">
        <f t="shared" si="436"/>
        <v>0</v>
      </c>
      <c r="AZ1216" s="171">
        <f t="shared" si="437"/>
        <v>1</v>
      </c>
      <c r="BA1216" s="172">
        <f t="shared" si="438"/>
        <v>1</v>
      </c>
      <c r="BB1216" s="175">
        <f t="shared" si="439"/>
        <v>17</v>
      </c>
      <c r="BC1216" s="176">
        <f t="shared" si="440"/>
        <v>16</v>
      </c>
      <c r="BD1216" s="176">
        <f t="shared" si="441"/>
        <v>17</v>
      </c>
      <c r="BE1216" s="240" t="str">
        <f t="shared" si="431"/>
        <v/>
      </c>
      <c r="BF1216" s="990"/>
      <c r="BG1216" s="990"/>
      <c r="BH1216" s="991">
        <f>IF(AND(Input_Product=Elig!$C1216,Elig_MatchAll_Ct&lt;22,$BC1216=(Elig_MatchAll_Ct-1),AF1216=0),C1216,0)</f>
        <v>0</v>
      </c>
      <c r="BI1216" s="991">
        <f>IF(AND(Input_Product=Elig!$C1216,Elig_MatchAll_Ct&lt;22,$BC1216=(Elig_MatchAll_Ct-1),AG1216=0),D1216,0)</f>
        <v>0</v>
      </c>
      <c r="BJ1216" s="991">
        <f>IF(AND(Input_Product=Elig!$C1216,Elig_MatchAll_Ct&lt;22,$BC1216=(Elig_MatchAll_Ct-1),AH1216=0),E1216,0)</f>
        <v>0</v>
      </c>
      <c r="BK1216" s="991">
        <f>IF(AND(Input_Product=Elig!$C1216,Elig_MatchAll_Ct&lt;22,$BC1216=(Elig_MatchAll_Ct-1),AI1216=0),F1216,0)</f>
        <v>0</v>
      </c>
      <c r="BL1216" s="991">
        <f>IF(AND(Input_Product=Elig!$C1216,Elig_MatchAll_Ct&lt;22,$BC1216=(Elig_MatchAll_Ct-1),AJ1216=0),G1216,0)</f>
        <v>0</v>
      </c>
      <c r="BM1216" s="991">
        <f>IF(AND(Input_Product=Elig!$C1216,Elig_MatchAll_Ct&lt;22,$BC1216=(Elig_MatchAll_Ct-1),AK1216=0),H1216,0)</f>
        <v>0</v>
      </c>
      <c r="BN1216" s="991">
        <f>IF(AND(Input_Product=Elig!$C1216,Elig_MatchAll_Ct&lt;22,$BC1216=(Elig_MatchAll_Ct-1),AL1216=0),I1216,0)</f>
        <v>0</v>
      </c>
      <c r="BO1216" s="991">
        <f>IF(AND(Input_Product=Elig!$C1216,Elig_MatchAll_Ct&lt;22,$BC1216=(Elig_MatchAll_Ct-1),AM1216=0),J1216,0)</f>
        <v>0</v>
      </c>
      <c r="BP1216" s="991">
        <f>IF(AND(Input_Product=Elig!$C1216,Elig_MatchAll_Ct&lt;22,$BC1216=(Elig_MatchAll_Ct-1),AN1216=0),K1216,0)</f>
        <v>0</v>
      </c>
      <c r="BQ1216" s="991">
        <f>IF(AND(Input_Product=Elig!$C1216,Elig_MatchAll_Ct&lt;22,$BC1216=(Elig_MatchAll_Ct-1),AP1216=0),L1216,0)</f>
        <v>0</v>
      </c>
      <c r="BR1216" s="991">
        <f>IF(AND(Input_Product=Elig!$C1216,Elig_MatchAll_Ct&lt;22,$BC1216=(Elig_MatchAll_Ct-1),AO1216=0),M1216,0)</f>
        <v>0</v>
      </c>
      <c r="BS1216" s="991">
        <f>IF(AND(Input_Product=Elig!$C1216,Elig_MatchAll_Ct&lt;22,$BC1216=(Elig_MatchAll_Ct-1),AQ1216=0),N1216,0)</f>
        <v>0</v>
      </c>
      <c r="BT1216" s="991">
        <f>IF(AND(Input_Product=Elig!$C1216,Elig_MatchAll_Ct&lt;22,$BC1216=(Elig_MatchAll_Ct-1),AR1216=0),O1216,0)</f>
        <v>0</v>
      </c>
      <c r="BU1216" s="991">
        <f>IF(AND(Input_Product=Elig!$C1216,Elig_MatchAll_Ct&lt;22,$BC1216=(Elig_MatchAll_Ct-1),AS1216=0),P1216,0)</f>
        <v>0</v>
      </c>
      <c r="BV1216" s="992">
        <f>IF(AND(Input_Product=Elig!$C1216,Elig_MatchAll_Ct&lt;22,$BC1216=(Elig_MatchAll_Ct-1),AT1216=0),Q1216,0)</f>
        <v>0</v>
      </c>
      <c r="BW1216" s="993">
        <f>IF(AND(Input_Product=Elig!$C1216,Elig_MatchAll_Ct&lt;22,$BC1216=(Elig_MatchAll_Ct-1),AU1216=0),R1216,0)</f>
        <v>0</v>
      </c>
      <c r="BX1216" s="994">
        <f>IF(AND(Input_Product=Elig!$C1216,Elig_MatchAll_Ct&lt;22,$BC1216=(Elig_MatchAll_Ct-1),AU1216=0),S1216,0)</f>
        <v>0</v>
      </c>
      <c r="BY1216" s="993">
        <f>IF(AND(Input_Product=Elig!$C1216,Elig_MatchAll_Ct&lt;22,$BC1216=(Elig_MatchAll_Ct-1),AV1216=0),T1216,0)</f>
        <v>0</v>
      </c>
      <c r="BZ1216" s="994">
        <f>IF(AND(Input_Product=Elig!$C1216,Elig_MatchAll_Ct&lt;22,$BC1216=(Elig_MatchAll_Ct-1),AV1216=0),U1216,0)</f>
        <v>0</v>
      </c>
      <c r="CA1216" s="993">
        <f>IF(AND(Input_Product=Elig!$C1216,Elig_MatchAll_Ct&lt;22,$BC1216=(Elig_MatchAll_Ct-1),AW1216=0),V1216,0)</f>
        <v>0</v>
      </c>
      <c r="CB1216" s="994">
        <f>IF(AND(Input_Product=Elig!$C1216,Elig_MatchAll_Ct&lt;22,$BC1216=(Elig_MatchAll_Ct-1),AW1216=0),W1216,0)</f>
        <v>0</v>
      </c>
      <c r="CC1216" s="993">
        <f>IF(AND(Input_Product=Elig!$C1216,Elig_MatchAll_Ct&lt;22,$BC1216=(Elig_MatchAll_Ct-1),AX1216=0),X1216,0)</f>
        <v>0</v>
      </c>
      <c r="CD1216" s="994">
        <f>IF(AND(Input_Product=Elig!$C1216,Elig_MatchAll_Ct&lt;22,$BC1216=(Elig_MatchAll_Ct-1),AX1216=0),Y1216,0)</f>
        <v>0</v>
      </c>
      <c r="CE1216" s="993">
        <f>IF(AND(Input_LTV&lt;=AE1216,Input_Product=Elig!$C1216,Elig_MatchAll_Ct&lt;22,$BC1216=(Elig_MatchAll_Ct-1),AY1216=0),Z1216,0)</f>
        <v>0</v>
      </c>
      <c r="CF1216" s="994">
        <f>IF(AND(Input_LTV&lt;=AE1216,Input_Product=Elig!$C1216,Elig_MatchAll_Ct&lt;22,$BC1216=(Elig_MatchAll_Ct-1),AY1216=0),AA1216,0)</f>
        <v>0</v>
      </c>
      <c r="CG1216" s="993">
        <f>IF(AND(Input_Product=Elig!$C1216,Elig_MatchAll_Ct&lt;22,$BC1216=(Elig_MatchAll_Ct-1),AZ1216=0),AB1216,0)</f>
        <v>0</v>
      </c>
      <c r="CH1216" s="994">
        <f>IF(AND(Input_Product=Elig!$C1216,Elig_MatchAll_Ct&lt;22,$BC1216=(Elig_MatchAll_Ct-1),AZ1216=0),AC1216,0)</f>
        <v>0</v>
      </c>
      <c r="CI1216" s="993">
        <f>IF(AND(Input_Product=Elig!$C1216,Elig_MatchAll_Ct&lt;22,$BC1216=(Elig_MatchAll_Ct-1),BA1216=0),AD1216,0)</f>
        <v>0</v>
      </c>
      <c r="CJ1216" s="994">
        <f>IF(AND(Input_Product=Elig!$C1216,Elig_MatchAll_Ct&lt;22,$BC1216=(Elig_MatchAll_Ct-1),BA1216=0),AE1216,0)</f>
        <v>0</v>
      </c>
    </row>
    <row r="1217" spans="2:88" ht="10.15" customHeight="1" x14ac:dyDescent="0.25">
      <c r="B1217" s="1918" t="s">
        <v>2507</v>
      </c>
      <c r="C1217" s="1228" t="str">
        <f t="shared" si="443"/>
        <v xml:space="preserve"> </v>
      </c>
      <c r="D1217" s="1229" t="s">
        <v>2218</v>
      </c>
      <c r="E1217" s="1229" t="s">
        <v>167</v>
      </c>
      <c r="F1217" s="1229" t="s">
        <v>330</v>
      </c>
      <c r="G1217" s="1230" t="s">
        <v>468</v>
      </c>
      <c r="H1217" s="1230" t="s">
        <v>136</v>
      </c>
      <c r="I1217" s="1229" t="s">
        <v>16</v>
      </c>
      <c r="J1217" s="1229" t="s">
        <v>1311</v>
      </c>
      <c r="K1217" s="1230" t="s">
        <v>3022</v>
      </c>
      <c r="L1217" s="1229" t="s">
        <v>2768</v>
      </c>
      <c r="M1217" s="1229" t="s">
        <v>2677</v>
      </c>
      <c r="N1217" s="1230" t="s">
        <v>2685</v>
      </c>
      <c r="O1217" s="1229" t="s">
        <v>310</v>
      </c>
      <c r="P1217" s="1229" t="s">
        <v>291</v>
      </c>
      <c r="Q1217" s="1229" t="s">
        <v>294</v>
      </c>
      <c r="R1217" s="1229">
        <v>2500000.0099999998</v>
      </c>
      <c r="S1217" s="1229">
        <v>3000000</v>
      </c>
      <c r="T1217" s="1229">
        <v>0</v>
      </c>
      <c r="U1217" s="1229">
        <f t="shared" si="442"/>
        <v>3000000</v>
      </c>
      <c r="V1217" s="1229">
        <v>0</v>
      </c>
      <c r="W1217" s="1229">
        <v>50</v>
      </c>
      <c r="X1217" s="1229">
        <v>0</v>
      </c>
      <c r="Y1217" s="1229">
        <v>999</v>
      </c>
      <c r="Z1217" s="1231">
        <v>680</v>
      </c>
      <c r="AA1217" s="1231">
        <v>699</v>
      </c>
      <c r="AB1217" s="1231">
        <v>6</v>
      </c>
      <c r="AC1217" s="1231">
        <v>999999</v>
      </c>
      <c r="AD1217" s="1229">
        <v>0</v>
      </c>
      <c r="AE1217" s="1232">
        <v>75</v>
      </c>
      <c r="AF1217" s="170">
        <v>0</v>
      </c>
      <c r="AG1217" s="171">
        <v>1</v>
      </c>
      <c r="AH1217" s="171">
        <v>1</v>
      </c>
      <c r="AI1217" s="171">
        <v>0</v>
      </c>
      <c r="AJ1217" s="171">
        <v>0</v>
      </c>
      <c r="AK1217" s="171">
        <v>1</v>
      </c>
      <c r="AL1217" s="171">
        <v>1</v>
      </c>
      <c r="AM1217" s="171">
        <v>1</v>
      </c>
      <c r="AN1217" s="171">
        <v>1</v>
      </c>
      <c r="AO1217" s="171">
        <v>1</v>
      </c>
      <c r="AP1217" s="171">
        <v>1</v>
      </c>
      <c r="AQ1217" s="171">
        <v>1</v>
      </c>
      <c r="AR1217" s="171">
        <v>1</v>
      </c>
      <c r="AS1217" s="171">
        <v>1</v>
      </c>
      <c r="AT1217" s="171">
        <v>1</v>
      </c>
      <c r="AU1217" s="171">
        <f t="shared" si="433"/>
        <v>0</v>
      </c>
      <c r="AV1217" s="171">
        <f t="shared" si="434"/>
        <v>1</v>
      </c>
      <c r="AW1217" s="171">
        <f t="shared" si="435"/>
        <v>1</v>
      </c>
      <c r="AX1217" s="171">
        <f t="shared" si="444"/>
        <v>1</v>
      </c>
      <c r="AY1217" s="171">
        <f t="shared" si="436"/>
        <v>0</v>
      </c>
      <c r="AZ1217" s="171">
        <f t="shared" si="437"/>
        <v>1</v>
      </c>
      <c r="BA1217" s="172">
        <f t="shared" si="438"/>
        <v>1</v>
      </c>
      <c r="BB1217" s="175">
        <f t="shared" si="439"/>
        <v>17</v>
      </c>
      <c r="BC1217" s="176">
        <f t="shared" si="440"/>
        <v>16</v>
      </c>
      <c r="BD1217" s="176">
        <f t="shared" si="441"/>
        <v>17</v>
      </c>
      <c r="BE1217" s="240" t="str">
        <f t="shared" si="431"/>
        <v/>
      </c>
      <c r="BF1217" s="990"/>
      <c r="BG1217" s="990"/>
      <c r="BH1217" s="991">
        <f>IF(AND(Input_Product=Elig!$C1217,Elig_MatchAll_Ct&lt;22,$BC1217=(Elig_MatchAll_Ct-1),AF1217=0),C1217,0)</f>
        <v>0</v>
      </c>
      <c r="BI1217" s="991">
        <f>IF(AND(Input_Product=Elig!$C1217,Elig_MatchAll_Ct&lt;22,$BC1217=(Elig_MatchAll_Ct-1),AG1217=0),D1217,0)</f>
        <v>0</v>
      </c>
      <c r="BJ1217" s="991">
        <f>IF(AND(Input_Product=Elig!$C1217,Elig_MatchAll_Ct&lt;22,$BC1217=(Elig_MatchAll_Ct-1),AH1217=0),E1217,0)</f>
        <v>0</v>
      </c>
      <c r="BK1217" s="991">
        <f>IF(AND(Input_Product=Elig!$C1217,Elig_MatchAll_Ct&lt;22,$BC1217=(Elig_MatchAll_Ct-1),AI1217=0),F1217,0)</f>
        <v>0</v>
      </c>
      <c r="BL1217" s="991">
        <f>IF(AND(Input_Product=Elig!$C1217,Elig_MatchAll_Ct&lt;22,$BC1217=(Elig_MatchAll_Ct-1),AJ1217=0),G1217,0)</f>
        <v>0</v>
      </c>
      <c r="BM1217" s="991">
        <f>IF(AND(Input_Product=Elig!$C1217,Elig_MatchAll_Ct&lt;22,$BC1217=(Elig_MatchAll_Ct-1),AK1217=0),H1217,0)</f>
        <v>0</v>
      </c>
      <c r="BN1217" s="991">
        <f>IF(AND(Input_Product=Elig!$C1217,Elig_MatchAll_Ct&lt;22,$BC1217=(Elig_MatchAll_Ct-1),AL1217=0),I1217,0)</f>
        <v>0</v>
      </c>
      <c r="BO1217" s="991">
        <f>IF(AND(Input_Product=Elig!$C1217,Elig_MatchAll_Ct&lt;22,$BC1217=(Elig_MatchAll_Ct-1),AM1217=0),J1217,0)</f>
        <v>0</v>
      </c>
      <c r="BP1217" s="991">
        <f>IF(AND(Input_Product=Elig!$C1217,Elig_MatchAll_Ct&lt;22,$BC1217=(Elig_MatchAll_Ct-1),AN1217=0),K1217,0)</f>
        <v>0</v>
      </c>
      <c r="BQ1217" s="991">
        <f>IF(AND(Input_Product=Elig!$C1217,Elig_MatchAll_Ct&lt;22,$BC1217=(Elig_MatchAll_Ct-1),AP1217=0),L1217,0)</f>
        <v>0</v>
      </c>
      <c r="BR1217" s="991">
        <f>IF(AND(Input_Product=Elig!$C1217,Elig_MatchAll_Ct&lt;22,$BC1217=(Elig_MatchAll_Ct-1),AO1217=0),M1217,0)</f>
        <v>0</v>
      </c>
      <c r="BS1217" s="991">
        <f>IF(AND(Input_Product=Elig!$C1217,Elig_MatchAll_Ct&lt;22,$BC1217=(Elig_MatchAll_Ct-1),AQ1217=0),N1217,0)</f>
        <v>0</v>
      </c>
      <c r="BT1217" s="991">
        <f>IF(AND(Input_Product=Elig!$C1217,Elig_MatchAll_Ct&lt;22,$BC1217=(Elig_MatchAll_Ct-1),AR1217=0),O1217,0)</f>
        <v>0</v>
      </c>
      <c r="BU1217" s="991">
        <f>IF(AND(Input_Product=Elig!$C1217,Elig_MatchAll_Ct&lt;22,$BC1217=(Elig_MatchAll_Ct-1),AS1217=0),P1217,0)</f>
        <v>0</v>
      </c>
      <c r="BV1217" s="992">
        <f>IF(AND(Input_Product=Elig!$C1217,Elig_MatchAll_Ct&lt;22,$BC1217=(Elig_MatchAll_Ct-1),AT1217=0),Q1217,0)</f>
        <v>0</v>
      </c>
      <c r="BW1217" s="993">
        <f>IF(AND(Input_Product=Elig!$C1217,Elig_MatchAll_Ct&lt;22,$BC1217=(Elig_MatchAll_Ct-1),AU1217=0),R1217,0)</f>
        <v>0</v>
      </c>
      <c r="BX1217" s="994">
        <f>IF(AND(Input_Product=Elig!$C1217,Elig_MatchAll_Ct&lt;22,$BC1217=(Elig_MatchAll_Ct-1),AU1217=0),S1217,0)</f>
        <v>0</v>
      </c>
      <c r="BY1217" s="993">
        <f>IF(AND(Input_Product=Elig!$C1217,Elig_MatchAll_Ct&lt;22,$BC1217=(Elig_MatchAll_Ct-1),AV1217=0),T1217,0)</f>
        <v>0</v>
      </c>
      <c r="BZ1217" s="994">
        <f>IF(AND(Input_Product=Elig!$C1217,Elig_MatchAll_Ct&lt;22,$BC1217=(Elig_MatchAll_Ct-1),AV1217=0),U1217,0)</f>
        <v>0</v>
      </c>
      <c r="CA1217" s="993">
        <f>IF(AND(Input_Product=Elig!$C1217,Elig_MatchAll_Ct&lt;22,$BC1217=(Elig_MatchAll_Ct-1),AW1217=0),V1217,0)</f>
        <v>0</v>
      </c>
      <c r="CB1217" s="994">
        <f>IF(AND(Input_Product=Elig!$C1217,Elig_MatchAll_Ct&lt;22,$BC1217=(Elig_MatchAll_Ct-1),AW1217=0),W1217,0)</f>
        <v>0</v>
      </c>
      <c r="CC1217" s="993">
        <f>IF(AND(Input_Product=Elig!$C1217,Elig_MatchAll_Ct&lt;22,$BC1217=(Elig_MatchAll_Ct-1),AX1217=0),X1217,0)</f>
        <v>0</v>
      </c>
      <c r="CD1217" s="994">
        <f>IF(AND(Input_Product=Elig!$C1217,Elig_MatchAll_Ct&lt;22,$BC1217=(Elig_MatchAll_Ct-1),AX1217=0),Y1217,0)</f>
        <v>0</v>
      </c>
      <c r="CE1217" s="993">
        <f>IF(AND(Input_LTV&lt;=AE1217,Input_Product=Elig!$C1217,Elig_MatchAll_Ct&lt;22,$BC1217=(Elig_MatchAll_Ct-1),AY1217=0),Z1217,0)</f>
        <v>0</v>
      </c>
      <c r="CF1217" s="994">
        <f>IF(AND(Input_LTV&lt;=AE1217,Input_Product=Elig!$C1217,Elig_MatchAll_Ct&lt;22,$BC1217=(Elig_MatchAll_Ct-1),AY1217=0),AA1217,0)</f>
        <v>0</v>
      </c>
      <c r="CG1217" s="993">
        <f>IF(AND(Input_Product=Elig!$C1217,Elig_MatchAll_Ct&lt;22,$BC1217=(Elig_MatchAll_Ct-1),AZ1217=0),AB1217,0)</f>
        <v>0</v>
      </c>
      <c r="CH1217" s="994">
        <f>IF(AND(Input_Product=Elig!$C1217,Elig_MatchAll_Ct&lt;22,$BC1217=(Elig_MatchAll_Ct-1),AZ1217=0),AC1217,0)</f>
        <v>0</v>
      </c>
      <c r="CI1217" s="993">
        <f>IF(AND(Input_Product=Elig!$C1217,Elig_MatchAll_Ct&lt;22,$BC1217=(Elig_MatchAll_Ct-1),BA1217=0),AD1217,0)</f>
        <v>0</v>
      </c>
      <c r="CJ1217" s="994">
        <f>IF(AND(Input_Product=Elig!$C1217,Elig_MatchAll_Ct&lt;22,$BC1217=(Elig_MatchAll_Ct-1),BA1217=0),AE1217,0)</f>
        <v>0</v>
      </c>
    </row>
    <row r="1218" spans="2:88" ht="10.15" customHeight="1" x14ac:dyDescent="0.25">
      <c r="B1218" s="1918" t="s">
        <v>2508</v>
      </c>
      <c r="C1218" s="1218" t="str">
        <f t="shared" si="443"/>
        <v xml:space="preserve"> </v>
      </c>
      <c r="D1218" s="1219" t="s">
        <v>2218</v>
      </c>
      <c r="E1218" s="1219" t="s">
        <v>167</v>
      </c>
      <c r="F1218" s="1219" t="s">
        <v>330</v>
      </c>
      <c r="G1218" s="1220" t="s">
        <v>179</v>
      </c>
      <c r="H1218" s="1220" t="s">
        <v>136</v>
      </c>
      <c r="I1218" s="1219" t="s">
        <v>16</v>
      </c>
      <c r="J1218" s="1219" t="s">
        <v>1311</v>
      </c>
      <c r="K1218" s="1220" t="s">
        <v>3022</v>
      </c>
      <c r="L1218" s="1219" t="s">
        <v>2768</v>
      </c>
      <c r="M1218" s="1219" t="s">
        <v>2677</v>
      </c>
      <c r="N1218" s="1220" t="s">
        <v>2685</v>
      </c>
      <c r="O1218" s="1219" t="s">
        <v>310</v>
      </c>
      <c r="P1218" s="1219" t="s">
        <v>291</v>
      </c>
      <c r="Q1218" s="1219" t="s">
        <v>294</v>
      </c>
      <c r="R1218" s="1219">
        <v>125000</v>
      </c>
      <c r="S1218" s="1219">
        <v>1000000</v>
      </c>
      <c r="T1218" s="1219">
        <v>0</v>
      </c>
      <c r="U1218" s="1219">
        <f t="shared" si="442"/>
        <v>1000000</v>
      </c>
      <c r="V1218" s="1219">
        <v>0</v>
      </c>
      <c r="W1218" s="1219">
        <v>50</v>
      </c>
      <c r="X1218" s="1219">
        <v>0</v>
      </c>
      <c r="Y1218" s="1219">
        <v>999</v>
      </c>
      <c r="Z1218" s="1221">
        <v>720</v>
      </c>
      <c r="AA1218" s="1221">
        <v>999</v>
      </c>
      <c r="AB1218" s="1221">
        <v>3</v>
      </c>
      <c r="AC1218" s="1221">
        <v>999999</v>
      </c>
      <c r="AD1218" s="1219">
        <v>0</v>
      </c>
      <c r="AE1218" s="1222">
        <v>80</v>
      </c>
      <c r="AF1218" s="170">
        <v>0</v>
      </c>
      <c r="AG1218" s="171">
        <v>1</v>
      </c>
      <c r="AH1218" s="171">
        <v>1</v>
      </c>
      <c r="AI1218" s="171">
        <v>0</v>
      </c>
      <c r="AJ1218" s="171">
        <v>0</v>
      </c>
      <c r="AK1218" s="171">
        <v>1</v>
      </c>
      <c r="AL1218" s="171">
        <v>1</v>
      </c>
      <c r="AM1218" s="171">
        <v>1</v>
      </c>
      <c r="AN1218" s="171">
        <v>1</v>
      </c>
      <c r="AO1218" s="171">
        <v>1</v>
      </c>
      <c r="AP1218" s="171">
        <v>1</v>
      </c>
      <c r="AQ1218" s="171">
        <v>1</v>
      </c>
      <c r="AR1218" s="171">
        <v>1</v>
      </c>
      <c r="AS1218" s="171">
        <v>1</v>
      </c>
      <c r="AT1218" s="171">
        <v>1</v>
      </c>
      <c r="AU1218" s="171">
        <f t="shared" si="433"/>
        <v>1</v>
      </c>
      <c r="AV1218" s="171">
        <f t="shared" si="434"/>
        <v>1</v>
      </c>
      <c r="AW1218" s="171">
        <f t="shared" si="435"/>
        <v>1</v>
      </c>
      <c r="AX1218" s="171">
        <f t="shared" si="444"/>
        <v>1</v>
      </c>
      <c r="AY1218" s="171">
        <f t="shared" si="436"/>
        <v>1</v>
      </c>
      <c r="AZ1218" s="171">
        <f t="shared" si="437"/>
        <v>1</v>
      </c>
      <c r="BA1218" s="172">
        <f t="shared" si="438"/>
        <v>1</v>
      </c>
      <c r="BB1218" s="175">
        <f t="shared" si="439"/>
        <v>19</v>
      </c>
      <c r="BC1218" s="176">
        <f t="shared" si="440"/>
        <v>18</v>
      </c>
      <c r="BD1218" s="176">
        <f t="shared" si="441"/>
        <v>19</v>
      </c>
      <c r="BE1218" s="240" t="str">
        <f t="shared" si="431"/>
        <v/>
      </c>
      <c r="BF1218" s="990"/>
      <c r="BG1218" s="990"/>
      <c r="BH1218" s="991">
        <f>IF(AND(Input_Product=Elig!$C1218,Elig_MatchAll_Ct&lt;22,$BC1218=(Elig_MatchAll_Ct-1),AF1218=0),C1218,0)</f>
        <v>0</v>
      </c>
      <c r="BI1218" s="991">
        <f>IF(AND(Input_Product=Elig!$C1218,Elig_MatchAll_Ct&lt;22,$BC1218=(Elig_MatchAll_Ct-1),AG1218=0),D1218,0)</f>
        <v>0</v>
      </c>
      <c r="BJ1218" s="991">
        <f>IF(AND(Input_Product=Elig!$C1218,Elig_MatchAll_Ct&lt;22,$BC1218=(Elig_MatchAll_Ct-1),AH1218=0),E1218,0)</f>
        <v>0</v>
      </c>
      <c r="BK1218" s="991">
        <f>IF(AND(Input_Product=Elig!$C1218,Elig_MatchAll_Ct&lt;22,$BC1218=(Elig_MatchAll_Ct-1),AI1218=0),F1218,0)</f>
        <v>0</v>
      </c>
      <c r="BL1218" s="991">
        <f>IF(AND(Input_Product=Elig!$C1218,Elig_MatchAll_Ct&lt;22,$BC1218=(Elig_MatchAll_Ct-1),AJ1218=0),G1218,0)</f>
        <v>0</v>
      </c>
      <c r="BM1218" s="991">
        <f>IF(AND(Input_Product=Elig!$C1218,Elig_MatchAll_Ct&lt;22,$BC1218=(Elig_MatchAll_Ct-1),AK1218=0),H1218,0)</f>
        <v>0</v>
      </c>
      <c r="BN1218" s="991">
        <f>IF(AND(Input_Product=Elig!$C1218,Elig_MatchAll_Ct&lt;22,$BC1218=(Elig_MatchAll_Ct-1),AL1218=0),I1218,0)</f>
        <v>0</v>
      </c>
      <c r="BO1218" s="991">
        <f>IF(AND(Input_Product=Elig!$C1218,Elig_MatchAll_Ct&lt;22,$BC1218=(Elig_MatchAll_Ct-1),AM1218=0),J1218,0)</f>
        <v>0</v>
      </c>
      <c r="BP1218" s="991">
        <f>IF(AND(Input_Product=Elig!$C1218,Elig_MatchAll_Ct&lt;22,$BC1218=(Elig_MatchAll_Ct-1),AN1218=0),K1218,0)</f>
        <v>0</v>
      </c>
      <c r="BQ1218" s="991">
        <f>IF(AND(Input_Product=Elig!$C1218,Elig_MatchAll_Ct&lt;22,$BC1218=(Elig_MatchAll_Ct-1),AP1218=0),L1218,0)</f>
        <v>0</v>
      </c>
      <c r="BR1218" s="991">
        <f>IF(AND(Input_Product=Elig!$C1218,Elig_MatchAll_Ct&lt;22,$BC1218=(Elig_MatchAll_Ct-1),AO1218=0),M1218,0)</f>
        <v>0</v>
      </c>
      <c r="BS1218" s="991">
        <f>IF(AND(Input_Product=Elig!$C1218,Elig_MatchAll_Ct&lt;22,$BC1218=(Elig_MatchAll_Ct-1),AQ1218=0),N1218,0)</f>
        <v>0</v>
      </c>
      <c r="BT1218" s="991">
        <f>IF(AND(Input_Product=Elig!$C1218,Elig_MatchAll_Ct&lt;22,$BC1218=(Elig_MatchAll_Ct-1),AR1218=0),O1218,0)</f>
        <v>0</v>
      </c>
      <c r="BU1218" s="991">
        <f>IF(AND(Input_Product=Elig!$C1218,Elig_MatchAll_Ct&lt;22,$BC1218=(Elig_MatchAll_Ct-1),AS1218=0),P1218,0)</f>
        <v>0</v>
      </c>
      <c r="BV1218" s="992">
        <f>IF(AND(Input_Product=Elig!$C1218,Elig_MatchAll_Ct&lt;22,$BC1218=(Elig_MatchAll_Ct-1),AT1218=0),Q1218,0)</f>
        <v>0</v>
      </c>
      <c r="BW1218" s="993">
        <f>IF(AND(Input_Product=Elig!$C1218,Elig_MatchAll_Ct&lt;22,$BC1218=(Elig_MatchAll_Ct-1),AU1218=0),R1218,0)</f>
        <v>0</v>
      </c>
      <c r="BX1218" s="994">
        <f>IF(AND(Input_Product=Elig!$C1218,Elig_MatchAll_Ct&lt;22,$BC1218=(Elig_MatchAll_Ct-1),AU1218=0),S1218,0)</f>
        <v>0</v>
      </c>
      <c r="BY1218" s="993">
        <f>IF(AND(Input_Product=Elig!$C1218,Elig_MatchAll_Ct&lt;22,$BC1218=(Elig_MatchAll_Ct-1),AV1218=0),T1218,0)</f>
        <v>0</v>
      </c>
      <c r="BZ1218" s="994">
        <f>IF(AND(Input_Product=Elig!$C1218,Elig_MatchAll_Ct&lt;22,$BC1218=(Elig_MatchAll_Ct-1),AV1218=0),U1218,0)</f>
        <v>0</v>
      </c>
      <c r="CA1218" s="993">
        <f>IF(AND(Input_Product=Elig!$C1218,Elig_MatchAll_Ct&lt;22,$BC1218=(Elig_MatchAll_Ct-1),AW1218=0),V1218,0)</f>
        <v>0</v>
      </c>
      <c r="CB1218" s="994">
        <f>IF(AND(Input_Product=Elig!$C1218,Elig_MatchAll_Ct&lt;22,$BC1218=(Elig_MatchAll_Ct-1),AW1218=0),W1218,0)</f>
        <v>0</v>
      </c>
      <c r="CC1218" s="993">
        <f>IF(AND(Input_Product=Elig!$C1218,Elig_MatchAll_Ct&lt;22,$BC1218=(Elig_MatchAll_Ct-1),AX1218=0),X1218,0)</f>
        <v>0</v>
      </c>
      <c r="CD1218" s="994">
        <f>IF(AND(Input_Product=Elig!$C1218,Elig_MatchAll_Ct&lt;22,$BC1218=(Elig_MatchAll_Ct-1),AX1218=0),Y1218,0)</f>
        <v>0</v>
      </c>
      <c r="CE1218" s="993">
        <f>IF(AND(Input_LTV&lt;=AE1218,Input_Product=Elig!$C1218,Elig_MatchAll_Ct&lt;22,$BC1218=(Elig_MatchAll_Ct-1),AY1218=0),Z1218,0)</f>
        <v>0</v>
      </c>
      <c r="CF1218" s="994">
        <f>IF(AND(Input_LTV&lt;=AE1218,Input_Product=Elig!$C1218,Elig_MatchAll_Ct&lt;22,$BC1218=(Elig_MatchAll_Ct-1),AY1218=0),AA1218,0)</f>
        <v>0</v>
      </c>
      <c r="CG1218" s="993">
        <f>IF(AND(Input_Product=Elig!$C1218,Elig_MatchAll_Ct&lt;22,$BC1218=(Elig_MatchAll_Ct-1),AZ1218=0),AB1218,0)</f>
        <v>0</v>
      </c>
      <c r="CH1218" s="994">
        <f>IF(AND(Input_Product=Elig!$C1218,Elig_MatchAll_Ct&lt;22,$BC1218=(Elig_MatchAll_Ct-1),AZ1218=0),AC1218,0)</f>
        <v>0</v>
      </c>
      <c r="CI1218" s="993">
        <f>IF(AND(Input_Product=Elig!$C1218,Elig_MatchAll_Ct&lt;22,$BC1218=(Elig_MatchAll_Ct-1),BA1218=0),AD1218,0)</f>
        <v>0</v>
      </c>
      <c r="CJ1218" s="994">
        <f>IF(AND(Input_Product=Elig!$C1218,Elig_MatchAll_Ct&lt;22,$BC1218=(Elig_MatchAll_Ct-1),BA1218=0),AE1218,0)</f>
        <v>0</v>
      </c>
    </row>
    <row r="1219" spans="2:88" ht="10.15" customHeight="1" x14ac:dyDescent="0.25">
      <c r="B1219" s="1918" t="s">
        <v>2509</v>
      </c>
      <c r="C1219" s="1223" t="str">
        <f t="shared" si="443"/>
        <v xml:space="preserve"> </v>
      </c>
      <c r="D1219" s="1224" t="s">
        <v>2218</v>
      </c>
      <c r="E1219" s="1224" t="s">
        <v>167</v>
      </c>
      <c r="F1219" s="1224" t="s">
        <v>330</v>
      </c>
      <c r="G1219" s="1225" t="s">
        <v>179</v>
      </c>
      <c r="H1219" s="1225" t="s">
        <v>136</v>
      </c>
      <c r="I1219" s="1224" t="s">
        <v>16</v>
      </c>
      <c r="J1219" s="1224" t="s">
        <v>1311</v>
      </c>
      <c r="K1219" s="1225" t="s">
        <v>3022</v>
      </c>
      <c r="L1219" s="1224" t="s">
        <v>2768</v>
      </c>
      <c r="M1219" s="1224" t="s">
        <v>2677</v>
      </c>
      <c r="N1219" s="1225" t="s">
        <v>2685</v>
      </c>
      <c r="O1219" s="1224" t="s">
        <v>310</v>
      </c>
      <c r="P1219" s="1224" t="s">
        <v>291</v>
      </c>
      <c r="Q1219" s="1224" t="s">
        <v>294</v>
      </c>
      <c r="R1219" s="1224">
        <v>125000</v>
      </c>
      <c r="S1219" s="1224">
        <v>1000000</v>
      </c>
      <c r="T1219" s="1224">
        <v>0</v>
      </c>
      <c r="U1219" s="1224">
        <f t="shared" si="442"/>
        <v>1000000</v>
      </c>
      <c r="V1219" s="1224">
        <v>0</v>
      </c>
      <c r="W1219" s="1224">
        <v>50</v>
      </c>
      <c r="X1219" s="1224">
        <v>0</v>
      </c>
      <c r="Y1219" s="1224">
        <v>999</v>
      </c>
      <c r="Z1219" s="1226">
        <v>700</v>
      </c>
      <c r="AA1219" s="1226">
        <v>719</v>
      </c>
      <c r="AB1219" s="1226">
        <v>3</v>
      </c>
      <c r="AC1219" s="1226">
        <v>999999</v>
      </c>
      <c r="AD1219" s="1224">
        <v>0</v>
      </c>
      <c r="AE1219" s="1227">
        <v>75</v>
      </c>
      <c r="AF1219" s="170">
        <v>0</v>
      </c>
      <c r="AG1219" s="171">
        <v>1</v>
      </c>
      <c r="AH1219" s="171">
        <v>1</v>
      </c>
      <c r="AI1219" s="171">
        <v>0</v>
      </c>
      <c r="AJ1219" s="171">
        <v>0</v>
      </c>
      <c r="AK1219" s="171">
        <v>1</v>
      </c>
      <c r="AL1219" s="171">
        <v>1</v>
      </c>
      <c r="AM1219" s="171">
        <v>1</v>
      </c>
      <c r="AN1219" s="171">
        <v>1</v>
      </c>
      <c r="AO1219" s="171">
        <v>1</v>
      </c>
      <c r="AP1219" s="171">
        <v>1</v>
      </c>
      <c r="AQ1219" s="171">
        <v>1</v>
      </c>
      <c r="AR1219" s="171">
        <v>1</v>
      </c>
      <c r="AS1219" s="171">
        <v>1</v>
      </c>
      <c r="AT1219" s="171">
        <v>1</v>
      </c>
      <c r="AU1219" s="171">
        <f t="shared" si="433"/>
        <v>1</v>
      </c>
      <c r="AV1219" s="171">
        <f t="shared" si="434"/>
        <v>1</v>
      </c>
      <c r="AW1219" s="171">
        <f t="shared" si="435"/>
        <v>1</v>
      </c>
      <c r="AX1219" s="171">
        <f t="shared" si="444"/>
        <v>1</v>
      </c>
      <c r="AY1219" s="171">
        <f t="shared" si="436"/>
        <v>0</v>
      </c>
      <c r="AZ1219" s="171">
        <f t="shared" si="437"/>
        <v>1</v>
      </c>
      <c r="BA1219" s="172">
        <f t="shared" si="438"/>
        <v>1</v>
      </c>
      <c r="BB1219" s="175">
        <f t="shared" si="439"/>
        <v>18</v>
      </c>
      <c r="BC1219" s="176">
        <f t="shared" si="440"/>
        <v>17</v>
      </c>
      <c r="BD1219" s="176">
        <f t="shared" si="441"/>
        <v>18</v>
      </c>
      <c r="BE1219" s="240" t="str">
        <f t="shared" si="431"/>
        <v/>
      </c>
      <c r="BF1219" s="990"/>
      <c r="BG1219" s="990"/>
      <c r="BH1219" s="991">
        <f>IF(AND(Input_Product=Elig!$C1219,Elig_MatchAll_Ct&lt;22,$BC1219=(Elig_MatchAll_Ct-1),AF1219=0),C1219,0)</f>
        <v>0</v>
      </c>
      <c r="BI1219" s="991">
        <f>IF(AND(Input_Product=Elig!$C1219,Elig_MatchAll_Ct&lt;22,$BC1219=(Elig_MatchAll_Ct-1),AG1219=0),D1219,0)</f>
        <v>0</v>
      </c>
      <c r="BJ1219" s="991">
        <f>IF(AND(Input_Product=Elig!$C1219,Elig_MatchAll_Ct&lt;22,$BC1219=(Elig_MatchAll_Ct-1),AH1219=0),E1219,0)</f>
        <v>0</v>
      </c>
      <c r="BK1219" s="991">
        <f>IF(AND(Input_Product=Elig!$C1219,Elig_MatchAll_Ct&lt;22,$BC1219=(Elig_MatchAll_Ct-1),AI1219=0),F1219,0)</f>
        <v>0</v>
      </c>
      <c r="BL1219" s="991">
        <f>IF(AND(Input_Product=Elig!$C1219,Elig_MatchAll_Ct&lt;22,$BC1219=(Elig_MatchAll_Ct-1),AJ1219=0),G1219,0)</f>
        <v>0</v>
      </c>
      <c r="BM1219" s="991">
        <f>IF(AND(Input_Product=Elig!$C1219,Elig_MatchAll_Ct&lt;22,$BC1219=(Elig_MatchAll_Ct-1),AK1219=0),H1219,0)</f>
        <v>0</v>
      </c>
      <c r="BN1219" s="991">
        <f>IF(AND(Input_Product=Elig!$C1219,Elig_MatchAll_Ct&lt;22,$BC1219=(Elig_MatchAll_Ct-1),AL1219=0),I1219,0)</f>
        <v>0</v>
      </c>
      <c r="BO1219" s="991">
        <f>IF(AND(Input_Product=Elig!$C1219,Elig_MatchAll_Ct&lt;22,$BC1219=(Elig_MatchAll_Ct-1),AM1219=0),J1219,0)</f>
        <v>0</v>
      </c>
      <c r="BP1219" s="991">
        <f>IF(AND(Input_Product=Elig!$C1219,Elig_MatchAll_Ct&lt;22,$BC1219=(Elig_MatchAll_Ct-1),AN1219=0),K1219,0)</f>
        <v>0</v>
      </c>
      <c r="BQ1219" s="991">
        <f>IF(AND(Input_Product=Elig!$C1219,Elig_MatchAll_Ct&lt;22,$BC1219=(Elig_MatchAll_Ct-1),AP1219=0),L1219,0)</f>
        <v>0</v>
      </c>
      <c r="BR1219" s="991">
        <f>IF(AND(Input_Product=Elig!$C1219,Elig_MatchAll_Ct&lt;22,$BC1219=(Elig_MatchAll_Ct-1),AO1219=0),M1219,0)</f>
        <v>0</v>
      </c>
      <c r="BS1219" s="991">
        <f>IF(AND(Input_Product=Elig!$C1219,Elig_MatchAll_Ct&lt;22,$BC1219=(Elig_MatchAll_Ct-1),AQ1219=0),N1219,0)</f>
        <v>0</v>
      </c>
      <c r="BT1219" s="991">
        <f>IF(AND(Input_Product=Elig!$C1219,Elig_MatchAll_Ct&lt;22,$BC1219=(Elig_MatchAll_Ct-1),AR1219=0),O1219,0)</f>
        <v>0</v>
      </c>
      <c r="BU1219" s="991">
        <f>IF(AND(Input_Product=Elig!$C1219,Elig_MatchAll_Ct&lt;22,$BC1219=(Elig_MatchAll_Ct-1),AS1219=0),P1219,0)</f>
        <v>0</v>
      </c>
      <c r="BV1219" s="992">
        <f>IF(AND(Input_Product=Elig!$C1219,Elig_MatchAll_Ct&lt;22,$BC1219=(Elig_MatchAll_Ct-1),AT1219=0),Q1219,0)</f>
        <v>0</v>
      </c>
      <c r="BW1219" s="993">
        <f>IF(AND(Input_Product=Elig!$C1219,Elig_MatchAll_Ct&lt;22,$BC1219=(Elig_MatchAll_Ct-1),AU1219=0),R1219,0)</f>
        <v>0</v>
      </c>
      <c r="BX1219" s="994">
        <f>IF(AND(Input_Product=Elig!$C1219,Elig_MatchAll_Ct&lt;22,$BC1219=(Elig_MatchAll_Ct-1),AU1219=0),S1219,0)</f>
        <v>0</v>
      </c>
      <c r="BY1219" s="993">
        <f>IF(AND(Input_Product=Elig!$C1219,Elig_MatchAll_Ct&lt;22,$BC1219=(Elig_MatchAll_Ct-1),AV1219=0),T1219,0)</f>
        <v>0</v>
      </c>
      <c r="BZ1219" s="994">
        <f>IF(AND(Input_Product=Elig!$C1219,Elig_MatchAll_Ct&lt;22,$BC1219=(Elig_MatchAll_Ct-1),AV1219=0),U1219,0)</f>
        <v>0</v>
      </c>
      <c r="CA1219" s="993">
        <f>IF(AND(Input_Product=Elig!$C1219,Elig_MatchAll_Ct&lt;22,$BC1219=(Elig_MatchAll_Ct-1),AW1219=0),V1219,0)</f>
        <v>0</v>
      </c>
      <c r="CB1219" s="994">
        <f>IF(AND(Input_Product=Elig!$C1219,Elig_MatchAll_Ct&lt;22,$BC1219=(Elig_MatchAll_Ct-1),AW1219=0),W1219,0)</f>
        <v>0</v>
      </c>
      <c r="CC1219" s="993">
        <f>IF(AND(Input_Product=Elig!$C1219,Elig_MatchAll_Ct&lt;22,$BC1219=(Elig_MatchAll_Ct-1),AX1219=0),X1219,0)</f>
        <v>0</v>
      </c>
      <c r="CD1219" s="994">
        <f>IF(AND(Input_Product=Elig!$C1219,Elig_MatchAll_Ct&lt;22,$BC1219=(Elig_MatchAll_Ct-1),AX1219=0),Y1219,0)</f>
        <v>0</v>
      </c>
      <c r="CE1219" s="993">
        <f>IF(AND(Input_LTV&lt;=AE1219,Input_Product=Elig!$C1219,Elig_MatchAll_Ct&lt;22,$BC1219=(Elig_MatchAll_Ct-1),AY1219=0),Z1219,0)</f>
        <v>0</v>
      </c>
      <c r="CF1219" s="994">
        <f>IF(AND(Input_LTV&lt;=AE1219,Input_Product=Elig!$C1219,Elig_MatchAll_Ct&lt;22,$BC1219=(Elig_MatchAll_Ct-1),AY1219=0),AA1219,0)</f>
        <v>0</v>
      </c>
      <c r="CG1219" s="993">
        <f>IF(AND(Input_Product=Elig!$C1219,Elig_MatchAll_Ct&lt;22,$BC1219=(Elig_MatchAll_Ct-1),AZ1219=0),AB1219,0)</f>
        <v>0</v>
      </c>
      <c r="CH1219" s="994">
        <f>IF(AND(Input_Product=Elig!$C1219,Elig_MatchAll_Ct&lt;22,$BC1219=(Elig_MatchAll_Ct-1),AZ1219=0),AC1219,0)</f>
        <v>0</v>
      </c>
      <c r="CI1219" s="993">
        <f>IF(AND(Input_Product=Elig!$C1219,Elig_MatchAll_Ct&lt;22,$BC1219=(Elig_MatchAll_Ct-1),BA1219=0),AD1219,0)</f>
        <v>0</v>
      </c>
      <c r="CJ1219" s="994">
        <f>IF(AND(Input_Product=Elig!$C1219,Elig_MatchAll_Ct&lt;22,$BC1219=(Elig_MatchAll_Ct-1),BA1219=0),AE1219,0)</f>
        <v>0</v>
      </c>
    </row>
    <row r="1220" spans="2:88" ht="10.15" customHeight="1" x14ac:dyDescent="0.25">
      <c r="B1220" s="1918" t="s">
        <v>2510</v>
      </c>
      <c r="C1220" s="1223" t="str">
        <f t="shared" ref="C1220:C1235" si="445">Input_Name_Product14</f>
        <v xml:space="preserve"> </v>
      </c>
      <c r="D1220" s="1224" t="s">
        <v>2218</v>
      </c>
      <c r="E1220" s="1224" t="s">
        <v>167</v>
      </c>
      <c r="F1220" s="1224" t="s">
        <v>330</v>
      </c>
      <c r="G1220" s="1225" t="s">
        <v>179</v>
      </c>
      <c r="H1220" s="1225" t="s">
        <v>136</v>
      </c>
      <c r="I1220" s="1224" t="s">
        <v>16</v>
      </c>
      <c r="J1220" s="1224" t="s">
        <v>1311</v>
      </c>
      <c r="K1220" s="1225" t="s">
        <v>3022</v>
      </c>
      <c r="L1220" s="1224" t="s">
        <v>2768</v>
      </c>
      <c r="M1220" s="1224" t="s">
        <v>2677</v>
      </c>
      <c r="N1220" s="1225" t="s">
        <v>2685</v>
      </c>
      <c r="O1220" s="1224" t="s">
        <v>310</v>
      </c>
      <c r="P1220" s="1224" t="s">
        <v>291</v>
      </c>
      <c r="Q1220" s="1224" t="s">
        <v>294</v>
      </c>
      <c r="R1220" s="1224">
        <v>125000</v>
      </c>
      <c r="S1220" s="1224">
        <v>1000000</v>
      </c>
      <c r="T1220" s="1224">
        <v>0</v>
      </c>
      <c r="U1220" s="1224">
        <f t="shared" si="442"/>
        <v>1000000</v>
      </c>
      <c r="V1220" s="1224">
        <v>0</v>
      </c>
      <c r="W1220" s="1224">
        <v>50</v>
      </c>
      <c r="X1220" s="1224">
        <v>0</v>
      </c>
      <c r="Y1220" s="1224">
        <v>999</v>
      </c>
      <c r="Z1220" s="1226">
        <v>680</v>
      </c>
      <c r="AA1220" s="1226">
        <v>699</v>
      </c>
      <c r="AB1220" s="1226">
        <v>3</v>
      </c>
      <c r="AC1220" s="1226">
        <v>999999</v>
      </c>
      <c r="AD1220" s="1224">
        <v>0</v>
      </c>
      <c r="AE1220" s="1227">
        <v>75</v>
      </c>
      <c r="AF1220" s="170">
        <v>0</v>
      </c>
      <c r="AG1220" s="171">
        <v>1</v>
      </c>
      <c r="AH1220" s="171">
        <v>1</v>
      </c>
      <c r="AI1220" s="171">
        <v>0</v>
      </c>
      <c r="AJ1220" s="171">
        <v>0</v>
      </c>
      <c r="AK1220" s="171">
        <v>1</v>
      </c>
      <c r="AL1220" s="171">
        <v>1</v>
      </c>
      <c r="AM1220" s="171">
        <v>1</v>
      </c>
      <c r="AN1220" s="171">
        <v>1</v>
      </c>
      <c r="AO1220" s="171">
        <v>1</v>
      </c>
      <c r="AP1220" s="171">
        <v>1</v>
      </c>
      <c r="AQ1220" s="171">
        <v>1</v>
      </c>
      <c r="AR1220" s="171">
        <v>1</v>
      </c>
      <c r="AS1220" s="171">
        <v>1</v>
      </c>
      <c r="AT1220" s="171">
        <v>1</v>
      </c>
      <c r="AU1220" s="171">
        <f t="shared" si="433"/>
        <v>1</v>
      </c>
      <c r="AV1220" s="171">
        <f t="shared" si="434"/>
        <v>1</v>
      </c>
      <c r="AW1220" s="171">
        <f t="shared" si="435"/>
        <v>1</v>
      </c>
      <c r="AX1220" s="171">
        <f t="shared" si="444"/>
        <v>1</v>
      </c>
      <c r="AY1220" s="171">
        <f t="shared" si="436"/>
        <v>0</v>
      </c>
      <c r="AZ1220" s="171">
        <f t="shared" si="437"/>
        <v>1</v>
      </c>
      <c r="BA1220" s="172">
        <f t="shared" si="438"/>
        <v>1</v>
      </c>
      <c r="BB1220" s="175">
        <f t="shared" si="439"/>
        <v>18</v>
      </c>
      <c r="BC1220" s="176">
        <f t="shared" si="440"/>
        <v>17</v>
      </c>
      <c r="BD1220" s="176">
        <f t="shared" si="441"/>
        <v>18</v>
      </c>
      <c r="BE1220" s="240" t="str">
        <f t="shared" si="431"/>
        <v/>
      </c>
      <c r="BF1220" s="990"/>
      <c r="BG1220" s="990"/>
      <c r="BH1220" s="991">
        <f>IF(AND(Input_Product=Elig!$C1220,Elig_MatchAll_Ct&lt;22,$BC1220=(Elig_MatchAll_Ct-1),AF1220=0),C1220,0)</f>
        <v>0</v>
      </c>
      <c r="BI1220" s="991">
        <f>IF(AND(Input_Product=Elig!$C1220,Elig_MatchAll_Ct&lt;22,$BC1220=(Elig_MatchAll_Ct-1),AG1220=0),D1220,0)</f>
        <v>0</v>
      </c>
      <c r="BJ1220" s="991">
        <f>IF(AND(Input_Product=Elig!$C1220,Elig_MatchAll_Ct&lt;22,$BC1220=(Elig_MatchAll_Ct-1),AH1220=0),E1220,0)</f>
        <v>0</v>
      </c>
      <c r="BK1220" s="991">
        <f>IF(AND(Input_Product=Elig!$C1220,Elig_MatchAll_Ct&lt;22,$BC1220=(Elig_MatchAll_Ct-1),AI1220=0),F1220,0)</f>
        <v>0</v>
      </c>
      <c r="BL1220" s="991">
        <f>IF(AND(Input_Product=Elig!$C1220,Elig_MatchAll_Ct&lt;22,$BC1220=(Elig_MatchAll_Ct-1),AJ1220=0),G1220,0)</f>
        <v>0</v>
      </c>
      <c r="BM1220" s="991">
        <f>IF(AND(Input_Product=Elig!$C1220,Elig_MatchAll_Ct&lt;22,$BC1220=(Elig_MatchAll_Ct-1),AK1220=0),H1220,0)</f>
        <v>0</v>
      </c>
      <c r="BN1220" s="991">
        <f>IF(AND(Input_Product=Elig!$C1220,Elig_MatchAll_Ct&lt;22,$BC1220=(Elig_MatchAll_Ct-1),AL1220=0),I1220,0)</f>
        <v>0</v>
      </c>
      <c r="BO1220" s="991">
        <f>IF(AND(Input_Product=Elig!$C1220,Elig_MatchAll_Ct&lt;22,$BC1220=(Elig_MatchAll_Ct-1),AM1220=0),J1220,0)</f>
        <v>0</v>
      </c>
      <c r="BP1220" s="991">
        <f>IF(AND(Input_Product=Elig!$C1220,Elig_MatchAll_Ct&lt;22,$BC1220=(Elig_MatchAll_Ct-1),AN1220=0),K1220,0)</f>
        <v>0</v>
      </c>
      <c r="BQ1220" s="991">
        <f>IF(AND(Input_Product=Elig!$C1220,Elig_MatchAll_Ct&lt;22,$BC1220=(Elig_MatchAll_Ct-1),AP1220=0),L1220,0)</f>
        <v>0</v>
      </c>
      <c r="BR1220" s="991">
        <f>IF(AND(Input_Product=Elig!$C1220,Elig_MatchAll_Ct&lt;22,$BC1220=(Elig_MatchAll_Ct-1),AO1220=0),M1220,0)</f>
        <v>0</v>
      </c>
      <c r="BS1220" s="991">
        <f>IF(AND(Input_Product=Elig!$C1220,Elig_MatchAll_Ct&lt;22,$BC1220=(Elig_MatchAll_Ct-1),AQ1220=0),N1220,0)</f>
        <v>0</v>
      </c>
      <c r="BT1220" s="991">
        <f>IF(AND(Input_Product=Elig!$C1220,Elig_MatchAll_Ct&lt;22,$BC1220=(Elig_MatchAll_Ct-1),AR1220=0),O1220,0)</f>
        <v>0</v>
      </c>
      <c r="BU1220" s="991">
        <f>IF(AND(Input_Product=Elig!$C1220,Elig_MatchAll_Ct&lt;22,$BC1220=(Elig_MatchAll_Ct-1),AS1220=0),P1220,0)</f>
        <v>0</v>
      </c>
      <c r="BV1220" s="992">
        <f>IF(AND(Input_Product=Elig!$C1220,Elig_MatchAll_Ct&lt;22,$BC1220=(Elig_MatchAll_Ct-1),AT1220=0),Q1220,0)</f>
        <v>0</v>
      </c>
      <c r="BW1220" s="993">
        <f>IF(AND(Input_Product=Elig!$C1220,Elig_MatchAll_Ct&lt;22,$BC1220=(Elig_MatchAll_Ct-1),AU1220=0),R1220,0)</f>
        <v>0</v>
      </c>
      <c r="BX1220" s="994">
        <f>IF(AND(Input_Product=Elig!$C1220,Elig_MatchAll_Ct&lt;22,$BC1220=(Elig_MatchAll_Ct-1),AU1220=0),S1220,0)</f>
        <v>0</v>
      </c>
      <c r="BY1220" s="993">
        <f>IF(AND(Input_Product=Elig!$C1220,Elig_MatchAll_Ct&lt;22,$BC1220=(Elig_MatchAll_Ct-1),AV1220=0),T1220,0)</f>
        <v>0</v>
      </c>
      <c r="BZ1220" s="994">
        <f>IF(AND(Input_Product=Elig!$C1220,Elig_MatchAll_Ct&lt;22,$BC1220=(Elig_MatchAll_Ct-1),AV1220=0),U1220,0)</f>
        <v>0</v>
      </c>
      <c r="CA1220" s="993">
        <f>IF(AND(Input_Product=Elig!$C1220,Elig_MatchAll_Ct&lt;22,$BC1220=(Elig_MatchAll_Ct-1),AW1220=0),V1220,0)</f>
        <v>0</v>
      </c>
      <c r="CB1220" s="994">
        <f>IF(AND(Input_Product=Elig!$C1220,Elig_MatchAll_Ct&lt;22,$BC1220=(Elig_MatchAll_Ct-1),AW1220=0),W1220,0)</f>
        <v>0</v>
      </c>
      <c r="CC1220" s="993">
        <f>IF(AND(Input_Product=Elig!$C1220,Elig_MatchAll_Ct&lt;22,$BC1220=(Elig_MatchAll_Ct-1),AX1220=0),X1220,0)</f>
        <v>0</v>
      </c>
      <c r="CD1220" s="994">
        <f>IF(AND(Input_Product=Elig!$C1220,Elig_MatchAll_Ct&lt;22,$BC1220=(Elig_MatchAll_Ct-1),AX1220=0),Y1220,0)</f>
        <v>0</v>
      </c>
      <c r="CE1220" s="993">
        <f>IF(AND(Input_LTV&lt;=AE1220,Input_Product=Elig!$C1220,Elig_MatchAll_Ct&lt;22,$BC1220=(Elig_MatchAll_Ct-1),AY1220=0),Z1220,0)</f>
        <v>0</v>
      </c>
      <c r="CF1220" s="994">
        <f>IF(AND(Input_LTV&lt;=AE1220,Input_Product=Elig!$C1220,Elig_MatchAll_Ct&lt;22,$BC1220=(Elig_MatchAll_Ct-1),AY1220=0),AA1220,0)</f>
        <v>0</v>
      </c>
      <c r="CG1220" s="993">
        <f>IF(AND(Input_Product=Elig!$C1220,Elig_MatchAll_Ct&lt;22,$BC1220=(Elig_MatchAll_Ct-1),AZ1220=0),AB1220,0)</f>
        <v>0</v>
      </c>
      <c r="CH1220" s="994">
        <f>IF(AND(Input_Product=Elig!$C1220,Elig_MatchAll_Ct&lt;22,$BC1220=(Elig_MatchAll_Ct-1),AZ1220=0),AC1220,0)</f>
        <v>0</v>
      </c>
      <c r="CI1220" s="993">
        <f>IF(AND(Input_Product=Elig!$C1220,Elig_MatchAll_Ct&lt;22,$BC1220=(Elig_MatchAll_Ct-1),BA1220=0),AD1220,0)</f>
        <v>0</v>
      </c>
      <c r="CJ1220" s="994">
        <f>IF(AND(Input_Product=Elig!$C1220,Elig_MatchAll_Ct&lt;22,$BC1220=(Elig_MatchAll_Ct-1),BA1220=0),AE1220,0)</f>
        <v>0</v>
      </c>
    </row>
    <row r="1221" spans="2:88" ht="10.15" customHeight="1" x14ac:dyDescent="0.25">
      <c r="B1221" s="1918" t="s">
        <v>2511</v>
      </c>
      <c r="C1221" s="1228" t="str">
        <f t="shared" si="445"/>
        <v xml:space="preserve"> </v>
      </c>
      <c r="D1221" s="1229" t="s">
        <v>2218</v>
      </c>
      <c r="E1221" s="1229" t="s">
        <v>167</v>
      </c>
      <c r="F1221" s="1229" t="s">
        <v>330</v>
      </c>
      <c r="G1221" s="1230" t="s">
        <v>179</v>
      </c>
      <c r="H1221" s="1230" t="s">
        <v>136</v>
      </c>
      <c r="I1221" s="1229" t="s">
        <v>16</v>
      </c>
      <c r="J1221" s="1229" t="s">
        <v>1311</v>
      </c>
      <c r="K1221" s="1230" t="s">
        <v>3022</v>
      </c>
      <c r="L1221" s="1229" t="s">
        <v>2768</v>
      </c>
      <c r="M1221" s="1229" t="s">
        <v>2677</v>
      </c>
      <c r="N1221" s="1230" t="s">
        <v>2685</v>
      </c>
      <c r="O1221" s="1229" t="s">
        <v>310</v>
      </c>
      <c r="P1221" s="1229" t="s">
        <v>291</v>
      </c>
      <c r="Q1221" s="1229" t="s">
        <v>294</v>
      </c>
      <c r="R1221" s="1229">
        <v>125000</v>
      </c>
      <c r="S1221" s="1229">
        <v>1000000</v>
      </c>
      <c r="T1221" s="1229">
        <v>0</v>
      </c>
      <c r="U1221" s="1229">
        <f t="shared" si="442"/>
        <v>1000000</v>
      </c>
      <c r="V1221" s="1229">
        <v>0</v>
      </c>
      <c r="W1221" s="1229">
        <v>50</v>
      </c>
      <c r="X1221" s="1229">
        <v>0</v>
      </c>
      <c r="Y1221" s="1229">
        <v>999</v>
      </c>
      <c r="Z1221" s="1231">
        <v>660</v>
      </c>
      <c r="AA1221" s="1231">
        <v>679</v>
      </c>
      <c r="AB1221" s="1231">
        <v>3</v>
      </c>
      <c r="AC1221" s="1231">
        <v>999999</v>
      </c>
      <c r="AD1221" s="1229">
        <v>0</v>
      </c>
      <c r="AE1221" s="1232">
        <v>70</v>
      </c>
      <c r="AF1221" s="170">
        <v>0</v>
      </c>
      <c r="AG1221" s="171">
        <v>1</v>
      </c>
      <c r="AH1221" s="171">
        <v>1</v>
      </c>
      <c r="AI1221" s="171">
        <v>0</v>
      </c>
      <c r="AJ1221" s="171">
        <v>0</v>
      </c>
      <c r="AK1221" s="171">
        <v>1</v>
      </c>
      <c r="AL1221" s="171">
        <v>1</v>
      </c>
      <c r="AM1221" s="171">
        <v>1</v>
      </c>
      <c r="AN1221" s="171">
        <v>1</v>
      </c>
      <c r="AO1221" s="171">
        <v>1</v>
      </c>
      <c r="AP1221" s="171">
        <v>1</v>
      </c>
      <c r="AQ1221" s="171">
        <v>1</v>
      </c>
      <c r="AR1221" s="171">
        <v>1</v>
      </c>
      <c r="AS1221" s="171">
        <v>1</v>
      </c>
      <c r="AT1221" s="171">
        <v>1</v>
      </c>
      <c r="AU1221" s="171">
        <f t="shared" si="433"/>
        <v>1</v>
      </c>
      <c r="AV1221" s="171">
        <f t="shared" si="434"/>
        <v>1</v>
      </c>
      <c r="AW1221" s="171">
        <f t="shared" si="435"/>
        <v>1</v>
      </c>
      <c r="AX1221" s="171">
        <f t="shared" si="444"/>
        <v>1</v>
      </c>
      <c r="AY1221" s="171">
        <f t="shared" si="436"/>
        <v>0</v>
      </c>
      <c r="AZ1221" s="171">
        <f t="shared" si="437"/>
        <v>1</v>
      </c>
      <c r="BA1221" s="172">
        <f t="shared" si="438"/>
        <v>1</v>
      </c>
      <c r="BB1221" s="175">
        <f t="shared" si="439"/>
        <v>18</v>
      </c>
      <c r="BC1221" s="176">
        <f t="shared" si="440"/>
        <v>17</v>
      </c>
      <c r="BD1221" s="176">
        <f t="shared" si="441"/>
        <v>18</v>
      </c>
      <c r="BE1221" s="240" t="str">
        <f t="shared" si="431"/>
        <v/>
      </c>
      <c r="BF1221" s="990"/>
      <c r="BG1221" s="990"/>
      <c r="BH1221" s="991">
        <f>IF(AND(Input_Product=Elig!$C1221,Elig_MatchAll_Ct&lt;22,$BC1221=(Elig_MatchAll_Ct-1),AF1221=0),C1221,0)</f>
        <v>0</v>
      </c>
      <c r="BI1221" s="991">
        <f>IF(AND(Input_Product=Elig!$C1221,Elig_MatchAll_Ct&lt;22,$BC1221=(Elig_MatchAll_Ct-1),AG1221=0),D1221,0)</f>
        <v>0</v>
      </c>
      <c r="BJ1221" s="991">
        <f>IF(AND(Input_Product=Elig!$C1221,Elig_MatchAll_Ct&lt;22,$BC1221=(Elig_MatchAll_Ct-1),AH1221=0),E1221,0)</f>
        <v>0</v>
      </c>
      <c r="BK1221" s="991">
        <f>IF(AND(Input_Product=Elig!$C1221,Elig_MatchAll_Ct&lt;22,$BC1221=(Elig_MatchAll_Ct-1),AI1221=0),F1221,0)</f>
        <v>0</v>
      </c>
      <c r="BL1221" s="991">
        <f>IF(AND(Input_Product=Elig!$C1221,Elig_MatchAll_Ct&lt;22,$BC1221=(Elig_MatchAll_Ct-1),AJ1221=0),G1221,0)</f>
        <v>0</v>
      </c>
      <c r="BM1221" s="991">
        <f>IF(AND(Input_Product=Elig!$C1221,Elig_MatchAll_Ct&lt;22,$BC1221=(Elig_MatchAll_Ct-1),AK1221=0),H1221,0)</f>
        <v>0</v>
      </c>
      <c r="BN1221" s="991">
        <f>IF(AND(Input_Product=Elig!$C1221,Elig_MatchAll_Ct&lt;22,$BC1221=(Elig_MatchAll_Ct-1),AL1221=0),I1221,0)</f>
        <v>0</v>
      </c>
      <c r="BO1221" s="991">
        <f>IF(AND(Input_Product=Elig!$C1221,Elig_MatchAll_Ct&lt;22,$BC1221=(Elig_MatchAll_Ct-1),AM1221=0),J1221,0)</f>
        <v>0</v>
      </c>
      <c r="BP1221" s="991">
        <f>IF(AND(Input_Product=Elig!$C1221,Elig_MatchAll_Ct&lt;22,$BC1221=(Elig_MatchAll_Ct-1),AN1221=0),K1221,0)</f>
        <v>0</v>
      </c>
      <c r="BQ1221" s="991">
        <f>IF(AND(Input_Product=Elig!$C1221,Elig_MatchAll_Ct&lt;22,$BC1221=(Elig_MatchAll_Ct-1),AP1221=0),L1221,0)</f>
        <v>0</v>
      </c>
      <c r="BR1221" s="991">
        <f>IF(AND(Input_Product=Elig!$C1221,Elig_MatchAll_Ct&lt;22,$BC1221=(Elig_MatchAll_Ct-1),AO1221=0),M1221,0)</f>
        <v>0</v>
      </c>
      <c r="BS1221" s="991">
        <f>IF(AND(Input_Product=Elig!$C1221,Elig_MatchAll_Ct&lt;22,$BC1221=(Elig_MatchAll_Ct-1),AQ1221=0),N1221,0)</f>
        <v>0</v>
      </c>
      <c r="BT1221" s="991">
        <f>IF(AND(Input_Product=Elig!$C1221,Elig_MatchAll_Ct&lt;22,$BC1221=(Elig_MatchAll_Ct-1),AR1221=0),O1221,0)</f>
        <v>0</v>
      </c>
      <c r="BU1221" s="991">
        <f>IF(AND(Input_Product=Elig!$C1221,Elig_MatchAll_Ct&lt;22,$BC1221=(Elig_MatchAll_Ct-1),AS1221=0),P1221,0)</f>
        <v>0</v>
      </c>
      <c r="BV1221" s="992">
        <f>IF(AND(Input_Product=Elig!$C1221,Elig_MatchAll_Ct&lt;22,$BC1221=(Elig_MatchAll_Ct-1),AT1221=0),Q1221,0)</f>
        <v>0</v>
      </c>
      <c r="BW1221" s="993">
        <f>IF(AND(Input_Product=Elig!$C1221,Elig_MatchAll_Ct&lt;22,$BC1221=(Elig_MatchAll_Ct-1),AU1221=0),R1221,0)</f>
        <v>0</v>
      </c>
      <c r="BX1221" s="994">
        <f>IF(AND(Input_Product=Elig!$C1221,Elig_MatchAll_Ct&lt;22,$BC1221=(Elig_MatchAll_Ct-1),AU1221=0),S1221,0)</f>
        <v>0</v>
      </c>
      <c r="BY1221" s="993">
        <f>IF(AND(Input_Product=Elig!$C1221,Elig_MatchAll_Ct&lt;22,$BC1221=(Elig_MatchAll_Ct-1),AV1221=0),T1221,0)</f>
        <v>0</v>
      </c>
      <c r="BZ1221" s="994">
        <f>IF(AND(Input_Product=Elig!$C1221,Elig_MatchAll_Ct&lt;22,$BC1221=(Elig_MatchAll_Ct-1),AV1221=0),U1221,0)</f>
        <v>0</v>
      </c>
      <c r="CA1221" s="993">
        <f>IF(AND(Input_Product=Elig!$C1221,Elig_MatchAll_Ct&lt;22,$BC1221=(Elig_MatchAll_Ct-1),AW1221=0),V1221,0)</f>
        <v>0</v>
      </c>
      <c r="CB1221" s="994">
        <f>IF(AND(Input_Product=Elig!$C1221,Elig_MatchAll_Ct&lt;22,$BC1221=(Elig_MatchAll_Ct-1),AW1221=0),W1221,0)</f>
        <v>0</v>
      </c>
      <c r="CC1221" s="993">
        <f>IF(AND(Input_Product=Elig!$C1221,Elig_MatchAll_Ct&lt;22,$BC1221=(Elig_MatchAll_Ct-1),AX1221=0),X1221,0)</f>
        <v>0</v>
      </c>
      <c r="CD1221" s="994">
        <f>IF(AND(Input_Product=Elig!$C1221,Elig_MatchAll_Ct&lt;22,$BC1221=(Elig_MatchAll_Ct-1),AX1221=0),Y1221,0)</f>
        <v>0</v>
      </c>
      <c r="CE1221" s="993">
        <f>IF(AND(Input_LTV&lt;=AE1221,Input_Product=Elig!$C1221,Elig_MatchAll_Ct&lt;22,$BC1221=(Elig_MatchAll_Ct-1),AY1221=0),Z1221,0)</f>
        <v>0</v>
      </c>
      <c r="CF1221" s="994">
        <f>IF(AND(Input_LTV&lt;=AE1221,Input_Product=Elig!$C1221,Elig_MatchAll_Ct&lt;22,$BC1221=(Elig_MatchAll_Ct-1),AY1221=0),AA1221,0)</f>
        <v>0</v>
      </c>
      <c r="CG1221" s="993">
        <f>IF(AND(Input_Product=Elig!$C1221,Elig_MatchAll_Ct&lt;22,$BC1221=(Elig_MatchAll_Ct-1),AZ1221=0),AB1221,0)</f>
        <v>0</v>
      </c>
      <c r="CH1221" s="994">
        <f>IF(AND(Input_Product=Elig!$C1221,Elig_MatchAll_Ct&lt;22,$BC1221=(Elig_MatchAll_Ct-1),AZ1221=0),AC1221,0)</f>
        <v>0</v>
      </c>
      <c r="CI1221" s="993">
        <f>IF(AND(Input_Product=Elig!$C1221,Elig_MatchAll_Ct&lt;22,$BC1221=(Elig_MatchAll_Ct-1),BA1221=0),AD1221,0)</f>
        <v>0</v>
      </c>
      <c r="CJ1221" s="994">
        <f>IF(AND(Input_Product=Elig!$C1221,Elig_MatchAll_Ct&lt;22,$BC1221=(Elig_MatchAll_Ct-1),BA1221=0),AE1221,0)</f>
        <v>0</v>
      </c>
    </row>
    <row r="1222" spans="2:88" ht="10.15" customHeight="1" x14ac:dyDescent="0.25">
      <c r="B1222" s="1918" t="s">
        <v>2512</v>
      </c>
      <c r="C1222" s="1218" t="str">
        <f t="shared" si="445"/>
        <v xml:space="preserve"> </v>
      </c>
      <c r="D1222" s="1219" t="s">
        <v>2218</v>
      </c>
      <c r="E1222" s="1219" t="s">
        <v>167</v>
      </c>
      <c r="F1222" s="1219" t="s">
        <v>330</v>
      </c>
      <c r="G1222" s="1220" t="s">
        <v>179</v>
      </c>
      <c r="H1222" s="1220" t="s">
        <v>136</v>
      </c>
      <c r="I1222" s="1219" t="s">
        <v>16</v>
      </c>
      <c r="J1222" s="1219" t="s">
        <v>1311</v>
      </c>
      <c r="K1222" s="1220" t="s">
        <v>3022</v>
      </c>
      <c r="L1222" s="1219" t="s">
        <v>2768</v>
      </c>
      <c r="M1222" s="1219" t="s">
        <v>2677</v>
      </c>
      <c r="N1222" s="1220" t="s">
        <v>2685</v>
      </c>
      <c r="O1222" s="1219" t="s">
        <v>310</v>
      </c>
      <c r="P1222" s="1219" t="s">
        <v>291</v>
      </c>
      <c r="Q1222" s="1219" t="s">
        <v>294</v>
      </c>
      <c r="R1222" s="1219">
        <v>1000000.01</v>
      </c>
      <c r="S1222" s="1219">
        <v>1500000</v>
      </c>
      <c r="T1222" s="1219">
        <v>0</v>
      </c>
      <c r="U1222" s="1219">
        <f t="shared" si="442"/>
        <v>1500000</v>
      </c>
      <c r="V1222" s="1219">
        <v>0</v>
      </c>
      <c r="W1222" s="1219">
        <v>50</v>
      </c>
      <c r="X1222" s="1219">
        <v>0</v>
      </c>
      <c r="Y1222" s="1219">
        <v>999</v>
      </c>
      <c r="Z1222" s="1221">
        <v>720</v>
      </c>
      <c r="AA1222" s="1221">
        <v>999</v>
      </c>
      <c r="AB1222" s="1221">
        <v>6</v>
      </c>
      <c r="AC1222" s="1221">
        <v>999999</v>
      </c>
      <c r="AD1222" s="1219">
        <v>0</v>
      </c>
      <c r="AE1222" s="1222">
        <v>80</v>
      </c>
      <c r="AF1222" s="170">
        <v>0</v>
      </c>
      <c r="AG1222" s="171">
        <v>1</v>
      </c>
      <c r="AH1222" s="171">
        <v>1</v>
      </c>
      <c r="AI1222" s="171">
        <v>0</v>
      </c>
      <c r="AJ1222" s="171">
        <v>0</v>
      </c>
      <c r="AK1222" s="171">
        <v>1</v>
      </c>
      <c r="AL1222" s="171">
        <v>1</v>
      </c>
      <c r="AM1222" s="171">
        <v>1</v>
      </c>
      <c r="AN1222" s="171">
        <v>1</v>
      </c>
      <c r="AO1222" s="171">
        <v>1</v>
      </c>
      <c r="AP1222" s="171">
        <v>1</v>
      </c>
      <c r="AQ1222" s="171">
        <v>1</v>
      </c>
      <c r="AR1222" s="171">
        <v>1</v>
      </c>
      <c r="AS1222" s="171">
        <v>1</v>
      </c>
      <c r="AT1222" s="171">
        <v>1</v>
      </c>
      <c r="AU1222" s="171">
        <f t="shared" si="433"/>
        <v>0</v>
      </c>
      <c r="AV1222" s="171">
        <f t="shared" si="434"/>
        <v>1</v>
      </c>
      <c r="AW1222" s="171">
        <f t="shared" si="435"/>
        <v>1</v>
      </c>
      <c r="AX1222" s="171">
        <f t="shared" si="444"/>
        <v>1</v>
      </c>
      <c r="AY1222" s="171">
        <f t="shared" si="436"/>
        <v>1</v>
      </c>
      <c r="AZ1222" s="171">
        <f t="shared" si="437"/>
        <v>1</v>
      </c>
      <c r="BA1222" s="172">
        <f t="shared" si="438"/>
        <v>1</v>
      </c>
      <c r="BB1222" s="175">
        <f t="shared" si="439"/>
        <v>18</v>
      </c>
      <c r="BC1222" s="176">
        <f t="shared" si="440"/>
        <v>17</v>
      </c>
      <c r="BD1222" s="176">
        <f t="shared" si="441"/>
        <v>18</v>
      </c>
      <c r="BE1222" s="240" t="str">
        <f t="shared" si="431"/>
        <v/>
      </c>
      <c r="BF1222" s="990"/>
      <c r="BG1222" s="990"/>
      <c r="BH1222" s="991">
        <f>IF(AND(Input_Product=Elig!$C1222,Elig_MatchAll_Ct&lt;22,$BC1222=(Elig_MatchAll_Ct-1),AF1222=0),C1222,0)</f>
        <v>0</v>
      </c>
      <c r="BI1222" s="991">
        <f>IF(AND(Input_Product=Elig!$C1222,Elig_MatchAll_Ct&lt;22,$BC1222=(Elig_MatchAll_Ct-1),AG1222=0),D1222,0)</f>
        <v>0</v>
      </c>
      <c r="BJ1222" s="991">
        <f>IF(AND(Input_Product=Elig!$C1222,Elig_MatchAll_Ct&lt;22,$BC1222=(Elig_MatchAll_Ct-1),AH1222=0),E1222,0)</f>
        <v>0</v>
      </c>
      <c r="BK1222" s="991">
        <f>IF(AND(Input_Product=Elig!$C1222,Elig_MatchAll_Ct&lt;22,$BC1222=(Elig_MatchAll_Ct-1),AI1222=0),F1222,0)</f>
        <v>0</v>
      </c>
      <c r="BL1222" s="991">
        <f>IF(AND(Input_Product=Elig!$C1222,Elig_MatchAll_Ct&lt;22,$BC1222=(Elig_MatchAll_Ct-1),AJ1222=0),G1222,0)</f>
        <v>0</v>
      </c>
      <c r="BM1222" s="991">
        <f>IF(AND(Input_Product=Elig!$C1222,Elig_MatchAll_Ct&lt;22,$BC1222=(Elig_MatchAll_Ct-1),AK1222=0),H1222,0)</f>
        <v>0</v>
      </c>
      <c r="BN1222" s="991">
        <f>IF(AND(Input_Product=Elig!$C1222,Elig_MatchAll_Ct&lt;22,$BC1222=(Elig_MatchAll_Ct-1),AL1222=0),I1222,0)</f>
        <v>0</v>
      </c>
      <c r="BO1222" s="991">
        <f>IF(AND(Input_Product=Elig!$C1222,Elig_MatchAll_Ct&lt;22,$BC1222=(Elig_MatchAll_Ct-1),AM1222=0),J1222,0)</f>
        <v>0</v>
      </c>
      <c r="BP1222" s="991">
        <f>IF(AND(Input_Product=Elig!$C1222,Elig_MatchAll_Ct&lt;22,$BC1222=(Elig_MatchAll_Ct-1),AN1222=0),K1222,0)</f>
        <v>0</v>
      </c>
      <c r="BQ1222" s="991">
        <f>IF(AND(Input_Product=Elig!$C1222,Elig_MatchAll_Ct&lt;22,$BC1222=(Elig_MatchAll_Ct-1),AP1222=0),L1222,0)</f>
        <v>0</v>
      </c>
      <c r="BR1222" s="991">
        <f>IF(AND(Input_Product=Elig!$C1222,Elig_MatchAll_Ct&lt;22,$BC1222=(Elig_MatchAll_Ct-1),AO1222=0),M1222,0)</f>
        <v>0</v>
      </c>
      <c r="BS1222" s="991">
        <f>IF(AND(Input_Product=Elig!$C1222,Elig_MatchAll_Ct&lt;22,$BC1222=(Elig_MatchAll_Ct-1),AQ1222=0),N1222,0)</f>
        <v>0</v>
      </c>
      <c r="BT1222" s="991">
        <f>IF(AND(Input_Product=Elig!$C1222,Elig_MatchAll_Ct&lt;22,$BC1222=(Elig_MatchAll_Ct-1),AR1222=0),O1222,0)</f>
        <v>0</v>
      </c>
      <c r="BU1222" s="991">
        <f>IF(AND(Input_Product=Elig!$C1222,Elig_MatchAll_Ct&lt;22,$BC1222=(Elig_MatchAll_Ct-1),AS1222=0),P1222,0)</f>
        <v>0</v>
      </c>
      <c r="BV1222" s="992">
        <f>IF(AND(Input_Product=Elig!$C1222,Elig_MatchAll_Ct&lt;22,$BC1222=(Elig_MatchAll_Ct-1),AT1222=0),Q1222,0)</f>
        <v>0</v>
      </c>
      <c r="BW1222" s="993">
        <f>IF(AND(Input_Product=Elig!$C1222,Elig_MatchAll_Ct&lt;22,$BC1222=(Elig_MatchAll_Ct-1),AU1222=0),R1222,0)</f>
        <v>0</v>
      </c>
      <c r="BX1222" s="994">
        <f>IF(AND(Input_Product=Elig!$C1222,Elig_MatchAll_Ct&lt;22,$BC1222=(Elig_MatchAll_Ct-1),AU1222=0),S1222,0)</f>
        <v>0</v>
      </c>
      <c r="BY1222" s="993">
        <f>IF(AND(Input_Product=Elig!$C1222,Elig_MatchAll_Ct&lt;22,$BC1222=(Elig_MatchAll_Ct-1),AV1222=0),T1222,0)</f>
        <v>0</v>
      </c>
      <c r="BZ1222" s="994">
        <f>IF(AND(Input_Product=Elig!$C1222,Elig_MatchAll_Ct&lt;22,$BC1222=(Elig_MatchAll_Ct-1),AV1222=0),U1222,0)</f>
        <v>0</v>
      </c>
      <c r="CA1222" s="993">
        <f>IF(AND(Input_Product=Elig!$C1222,Elig_MatchAll_Ct&lt;22,$BC1222=(Elig_MatchAll_Ct-1),AW1222=0),V1222,0)</f>
        <v>0</v>
      </c>
      <c r="CB1222" s="994">
        <f>IF(AND(Input_Product=Elig!$C1222,Elig_MatchAll_Ct&lt;22,$BC1222=(Elig_MatchAll_Ct-1),AW1222=0),W1222,0)</f>
        <v>0</v>
      </c>
      <c r="CC1222" s="993">
        <f>IF(AND(Input_Product=Elig!$C1222,Elig_MatchAll_Ct&lt;22,$BC1222=(Elig_MatchAll_Ct-1),AX1222=0),X1222,0)</f>
        <v>0</v>
      </c>
      <c r="CD1222" s="994">
        <f>IF(AND(Input_Product=Elig!$C1222,Elig_MatchAll_Ct&lt;22,$BC1222=(Elig_MatchAll_Ct-1),AX1222=0),Y1222,0)</f>
        <v>0</v>
      </c>
      <c r="CE1222" s="993">
        <f>IF(AND(Input_LTV&lt;=AE1222,Input_Product=Elig!$C1222,Elig_MatchAll_Ct&lt;22,$BC1222=(Elig_MatchAll_Ct-1),AY1222=0),Z1222,0)</f>
        <v>0</v>
      </c>
      <c r="CF1222" s="994">
        <f>IF(AND(Input_LTV&lt;=AE1222,Input_Product=Elig!$C1222,Elig_MatchAll_Ct&lt;22,$BC1222=(Elig_MatchAll_Ct-1),AY1222=0),AA1222,0)</f>
        <v>0</v>
      </c>
      <c r="CG1222" s="993">
        <f>IF(AND(Input_Product=Elig!$C1222,Elig_MatchAll_Ct&lt;22,$BC1222=(Elig_MatchAll_Ct-1),AZ1222=0),AB1222,0)</f>
        <v>0</v>
      </c>
      <c r="CH1222" s="994">
        <f>IF(AND(Input_Product=Elig!$C1222,Elig_MatchAll_Ct&lt;22,$BC1222=(Elig_MatchAll_Ct-1),AZ1222=0),AC1222,0)</f>
        <v>0</v>
      </c>
      <c r="CI1222" s="993">
        <f>IF(AND(Input_Product=Elig!$C1222,Elig_MatchAll_Ct&lt;22,$BC1222=(Elig_MatchAll_Ct-1),BA1222=0),AD1222,0)</f>
        <v>0</v>
      </c>
      <c r="CJ1222" s="994">
        <f>IF(AND(Input_Product=Elig!$C1222,Elig_MatchAll_Ct&lt;22,$BC1222=(Elig_MatchAll_Ct-1),BA1222=0),AE1222,0)</f>
        <v>0</v>
      </c>
    </row>
    <row r="1223" spans="2:88" ht="10.15" customHeight="1" x14ac:dyDescent="0.25">
      <c r="B1223" s="1918" t="s">
        <v>2513</v>
      </c>
      <c r="C1223" s="1223" t="str">
        <f t="shared" si="445"/>
        <v xml:space="preserve"> </v>
      </c>
      <c r="D1223" s="1224" t="s">
        <v>2218</v>
      </c>
      <c r="E1223" s="1224" t="s">
        <v>167</v>
      </c>
      <c r="F1223" s="1224" t="s">
        <v>330</v>
      </c>
      <c r="G1223" s="1225" t="s">
        <v>179</v>
      </c>
      <c r="H1223" s="1225" t="s">
        <v>136</v>
      </c>
      <c r="I1223" s="1224" t="s">
        <v>16</v>
      </c>
      <c r="J1223" s="1224" t="s">
        <v>1311</v>
      </c>
      <c r="K1223" s="1225" t="s">
        <v>3022</v>
      </c>
      <c r="L1223" s="1224" t="s">
        <v>2768</v>
      </c>
      <c r="M1223" s="1224" t="s">
        <v>2677</v>
      </c>
      <c r="N1223" s="1225" t="s">
        <v>2685</v>
      </c>
      <c r="O1223" s="1224" t="s">
        <v>310</v>
      </c>
      <c r="P1223" s="1224" t="s">
        <v>291</v>
      </c>
      <c r="Q1223" s="1224" t="s">
        <v>294</v>
      </c>
      <c r="R1223" s="1224">
        <v>1000000.01</v>
      </c>
      <c r="S1223" s="1224">
        <v>1500000</v>
      </c>
      <c r="T1223" s="1224">
        <v>0</v>
      </c>
      <c r="U1223" s="1224">
        <f t="shared" si="442"/>
        <v>1500000</v>
      </c>
      <c r="V1223" s="1224">
        <v>0</v>
      </c>
      <c r="W1223" s="1224">
        <v>50</v>
      </c>
      <c r="X1223" s="1224">
        <v>0</v>
      </c>
      <c r="Y1223" s="1224">
        <v>999</v>
      </c>
      <c r="Z1223" s="1226">
        <v>700</v>
      </c>
      <c r="AA1223" s="1226">
        <v>719</v>
      </c>
      <c r="AB1223" s="1226">
        <v>6</v>
      </c>
      <c r="AC1223" s="1226">
        <v>999999</v>
      </c>
      <c r="AD1223" s="1224">
        <v>0</v>
      </c>
      <c r="AE1223" s="1227">
        <v>75</v>
      </c>
      <c r="AF1223" s="170">
        <v>0</v>
      </c>
      <c r="AG1223" s="171">
        <v>1</v>
      </c>
      <c r="AH1223" s="171">
        <v>1</v>
      </c>
      <c r="AI1223" s="171">
        <v>0</v>
      </c>
      <c r="AJ1223" s="171">
        <v>0</v>
      </c>
      <c r="AK1223" s="171">
        <v>1</v>
      </c>
      <c r="AL1223" s="171">
        <v>1</v>
      </c>
      <c r="AM1223" s="171">
        <v>1</v>
      </c>
      <c r="AN1223" s="171">
        <v>1</v>
      </c>
      <c r="AO1223" s="171">
        <v>1</v>
      </c>
      <c r="AP1223" s="171">
        <v>1</v>
      </c>
      <c r="AQ1223" s="171">
        <v>1</v>
      </c>
      <c r="AR1223" s="171">
        <v>1</v>
      </c>
      <c r="AS1223" s="171">
        <v>1</v>
      </c>
      <c r="AT1223" s="171">
        <v>1</v>
      </c>
      <c r="AU1223" s="171">
        <f t="shared" si="433"/>
        <v>0</v>
      </c>
      <c r="AV1223" s="171">
        <f t="shared" si="434"/>
        <v>1</v>
      </c>
      <c r="AW1223" s="171">
        <f t="shared" si="435"/>
        <v>1</v>
      </c>
      <c r="AX1223" s="171">
        <f t="shared" si="444"/>
        <v>1</v>
      </c>
      <c r="AY1223" s="171">
        <f t="shared" si="436"/>
        <v>0</v>
      </c>
      <c r="AZ1223" s="171">
        <f t="shared" si="437"/>
        <v>1</v>
      </c>
      <c r="BA1223" s="172">
        <f t="shared" si="438"/>
        <v>1</v>
      </c>
      <c r="BB1223" s="175">
        <f t="shared" si="439"/>
        <v>17</v>
      </c>
      <c r="BC1223" s="176">
        <f t="shared" si="440"/>
        <v>16</v>
      </c>
      <c r="BD1223" s="176">
        <f t="shared" si="441"/>
        <v>17</v>
      </c>
      <c r="BE1223" s="240" t="str">
        <f t="shared" ref="BE1223:BE1316" si="446">IF(BD1223=21,C1223,"")</f>
        <v/>
      </c>
      <c r="BF1223" s="990"/>
      <c r="BG1223" s="990"/>
      <c r="BH1223" s="991">
        <f>IF(AND(Input_Product=Elig!$C1223,Elig_MatchAll_Ct&lt;22,$BC1223=(Elig_MatchAll_Ct-1),AF1223=0),C1223,0)</f>
        <v>0</v>
      </c>
      <c r="BI1223" s="991">
        <f>IF(AND(Input_Product=Elig!$C1223,Elig_MatchAll_Ct&lt;22,$BC1223=(Elig_MatchAll_Ct-1),AG1223=0),D1223,0)</f>
        <v>0</v>
      </c>
      <c r="BJ1223" s="991">
        <f>IF(AND(Input_Product=Elig!$C1223,Elig_MatchAll_Ct&lt;22,$BC1223=(Elig_MatchAll_Ct-1),AH1223=0),E1223,0)</f>
        <v>0</v>
      </c>
      <c r="BK1223" s="991">
        <f>IF(AND(Input_Product=Elig!$C1223,Elig_MatchAll_Ct&lt;22,$BC1223=(Elig_MatchAll_Ct-1),AI1223=0),F1223,0)</f>
        <v>0</v>
      </c>
      <c r="BL1223" s="991">
        <f>IF(AND(Input_Product=Elig!$C1223,Elig_MatchAll_Ct&lt;22,$BC1223=(Elig_MatchAll_Ct-1),AJ1223=0),G1223,0)</f>
        <v>0</v>
      </c>
      <c r="BM1223" s="991">
        <f>IF(AND(Input_Product=Elig!$C1223,Elig_MatchAll_Ct&lt;22,$BC1223=(Elig_MatchAll_Ct-1),AK1223=0),H1223,0)</f>
        <v>0</v>
      </c>
      <c r="BN1223" s="991">
        <f>IF(AND(Input_Product=Elig!$C1223,Elig_MatchAll_Ct&lt;22,$BC1223=(Elig_MatchAll_Ct-1),AL1223=0),I1223,0)</f>
        <v>0</v>
      </c>
      <c r="BO1223" s="991">
        <f>IF(AND(Input_Product=Elig!$C1223,Elig_MatchAll_Ct&lt;22,$BC1223=(Elig_MatchAll_Ct-1),AM1223=0),J1223,0)</f>
        <v>0</v>
      </c>
      <c r="BP1223" s="991">
        <f>IF(AND(Input_Product=Elig!$C1223,Elig_MatchAll_Ct&lt;22,$BC1223=(Elig_MatchAll_Ct-1),AN1223=0),K1223,0)</f>
        <v>0</v>
      </c>
      <c r="BQ1223" s="991">
        <f>IF(AND(Input_Product=Elig!$C1223,Elig_MatchAll_Ct&lt;22,$BC1223=(Elig_MatchAll_Ct-1),AP1223=0),L1223,0)</f>
        <v>0</v>
      </c>
      <c r="BR1223" s="991">
        <f>IF(AND(Input_Product=Elig!$C1223,Elig_MatchAll_Ct&lt;22,$BC1223=(Elig_MatchAll_Ct-1),AO1223=0),M1223,0)</f>
        <v>0</v>
      </c>
      <c r="BS1223" s="991">
        <f>IF(AND(Input_Product=Elig!$C1223,Elig_MatchAll_Ct&lt;22,$BC1223=(Elig_MatchAll_Ct-1),AQ1223=0),N1223,0)</f>
        <v>0</v>
      </c>
      <c r="BT1223" s="991">
        <f>IF(AND(Input_Product=Elig!$C1223,Elig_MatchAll_Ct&lt;22,$BC1223=(Elig_MatchAll_Ct-1),AR1223=0),O1223,0)</f>
        <v>0</v>
      </c>
      <c r="BU1223" s="991">
        <f>IF(AND(Input_Product=Elig!$C1223,Elig_MatchAll_Ct&lt;22,$BC1223=(Elig_MatchAll_Ct-1),AS1223=0),P1223,0)</f>
        <v>0</v>
      </c>
      <c r="BV1223" s="992">
        <f>IF(AND(Input_Product=Elig!$C1223,Elig_MatchAll_Ct&lt;22,$BC1223=(Elig_MatchAll_Ct-1),AT1223=0),Q1223,0)</f>
        <v>0</v>
      </c>
      <c r="BW1223" s="993">
        <f>IF(AND(Input_Product=Elig!$C1223,Elig_MatchAll_Ct&lt;22,$BC1223=(Elig_MatchAll_Ct-1),AU1223=0),R1223,0)</f>
        <v>0</v>
      </c>
      <c r="BX1223" s="994">
        <f>IF(AND(Input_Product=Elig!$C1223,Elig_MatchAll_Ct&lt;22,$BC1223=(Elig_MatchAll_Ct-1),AU1223=0),S1223,0)</f>
        <v>0</v>
      </c>
      <c r="BY1223" s="993">
        <f>IF(AND(Input_Product=Elig!$C1223,Elig_MatchAll_Ct&lt;22,$BC1223=(Elig_MatchAll_Ct-1),AV1223=0),T1223,0)</f>
        <v>0</v>
      </c>
      <c r="BZ1223" s="994">
        <f>IF(AND(Input_Product=Elig!$C1223,Elig_MatchAll_Ct&lt;22,$BC1223=(Elig_MatchAll_Ct-1),AV1223=0),U1223,0)</f>
        <v>0</v>
      </c>
      <c r="CA1223" s="993">
        <f>IF(AND(Input_Product=Elig!$C1223,Elig_MatchAll_Ct&lt;22,$BC1223=(Elig_MatchAll_Ct-1),AW1223=0),V1223,0)</f>
        <v>0</v>
      </c>
      <c r="CB1223" s="994">
        <f>IF(AND(Input_Product=Elig!$C1223,Elig_MatchAll_Ct&lt;22,$BC1223=(Elig_MatchAll_Ct-1),AW1223=0),W1223,0)</f>
        <v>0</v>
      </c>
      <c r="CC1223" s="993">
        <f>IF(AND(Input_Product=Elig!$C1223,Elig_MatchAll_Ct&lt;22,$BC1223=(Elig_MatchAll_Ct-1),AX1223=0),X1223,0)</f>
        <v>0</v>
      </c>
      <c r="CD1223" s="994">
        <f>IF(AND(Input_Product=Elig!$C1223,Elig_MatchAll_Ct&lt;22,$BC1223=(Elig_MatchAll_Ct-1),AX1223=0),Y1223,0)</f>
        <v>0</v>
      </c>
      <c r="CE1223" s="993">
        <f>IF(AND(Input_LTV&lt;=AE1223,Input_Product=Elig!$C1223,Elig_MatchAll_Ct&lt;22,$BC1223=(Elig_MatchAll_Ct-1),AY1223=0),Z1223,0)</f>
        <v>0</v>
      </c>
      <c r="CF1223" s="994">
        <f>IF(AND(Input_LTV&lt;=AE1223,Input_Product=Elig!$C1223,Elig_MatchAll_Ct&lt;22,$BC1223=(Elig_MatchAll_Ct-1),AY1223=0),AA1223,0)</f>
        <v>0</v>
      </c>
      <c r="CG1223" s="993">
        <f>IF(AND(Input_Product=Elig!$C1223,Elig_MatchAll_Ct&lt;22,$BC1223=(Elig_MatchAll_Ct-1),AZ1223=0),AB1223,0)</f>
        <v>0</v>
      </c>
      <c r="CH1223" s="994">
        <f>IF(AND(Input_Product=Elig!$C1223,Elig_MatchAll_Ct&lt;22,$BC1223=(Elig_MatchAll_Ct-1),AZ1223=0),AC1223,0)</f>
        <v>0</v>
      </c>
      <c r="CI1223" s="993">
        <f>IF(AND(Input_Product=Elig!$C1223,Elig_MatchAll_Ct&lt;22,$BC1223=(Elig_MatchAll_Ct-1),BA1223=0),AD1223,0)</f>
        <v>0</v>
      </c>
      <c r="CJ1223" s="994">
        <f>IF(AND(Input_Product=Elig!$C1223,Elig_MatchAll_Ct&lt;22,$BC1223=(Elig_MatchAll_Ct-1),BA1223=0),AE1223,0)</f>
        <v>0</v>
      </c>
    </row>
    <row r="1224" spans="2:88" ht="10.15" customHeight="1" x14ac:dyDescent="0.25">
      <c r="B1224" s="1918" t="s">
        <v>2514</v>
      </c>
      <c r="C1224" s="1223" t="str">
        <f t="shared" si="445"/>
        <v xml:space="preserve"> </v>
      </c>
      <c r="D1224" s="1224" t="s">
        <v>2218</v>
      </c>
      <c r="E1224" s="1224" t="s">
        <v>167</v>
      </c>
      <c r="F1224" s="1224" t="s">
        <v>330</v>
      </c>
      <c r="G1224" s="1225" t="s">
        <v>179</v>
      </c>
      <c r="H1224" s="1225" t="s">
        <v>136</v>
      </c>
      <c r="I1224" s="1224" t="s">
        <v>16</v>
      </c>
      <c r="J1224" s="1224" t="s">
        <v>1311</v>
      </c>
      <c r="K1224" s="1225" t="s">
        <v>3022</v>
      </c>
      <c r="L1224" s="1224" t="s">
        <v>2768</v>
      </c>
      <c r="M1224" s="1224" t="s">
        <v>2677</v>
      </c>
      <c r="N1224" s="1225" t="s">
        <v>2685</v>
      </c>
      <c r="O1224" s="1224" t="s">
        <v>310</v>
      </c>
      <c r="P1224" s="1224" t="s">
        <v>291</v>
      </c>
      <c r="Q1224" s="1224" t="s">
        <v>294</v>
      </c>
      <c r="R1224" s="1224">
        <v>1000000.01</v>
      </c>
      <c r="S1224" s="1224">
        <v>1500000</v>
      </c>
      <c r="T1224" s="1224">
        <v>0</v>
      </c>
      <c r="U1224" s="1224">
        <f t="shared" si="442"/>
        <v>1500000</v>
      </c>
      <c r="V1224" s="1224">
        <v>0</v>
      </c>
      <c r="W1224" s="1224">
        <v>50</v>
      </c>
      <c r="X1224" s="1224">
        <v>0</v>
      </c>
      <c r="Y1224" s="1224">
        <v>999</v>
      </c>
      <c r="Z1224" s="1226">
        <v>680</v>
      </c>
      <c r="AA1224" s="1226">
        <v>699</v>
      </c>
      <c r="AB1224" s="1226">
        <v>6</v>
      </c>
      <c r="AC1224" s="1226">
        <v>999999</v>
      </c>
      <c r="AD1224" s="1224">
        <v>0</v>
      </c>
      <c r="AE1224" s="1227">
        <v>75</v>
      </c>
      <c r="AF1224" s="170">
        <v>0</v>
      </c>
      <c r="AG1224" s="171">
        <v>1</v>
      </c>
      <c r="AH1224" s="171">
        <v>1</v>
      </c>
      <c r="AI1224" s="171">
        <v>0</v>
      </c>
      <c r="AJ1224" s="171">
        <v>0</v>
      </c>
      <c r="AK1224" s="171">
        <v>1</v>
      </c>
      <c r="AL1224" s="171">
        <v>1</v>
      </c>
      <c r="AM1224" s="171">
        <v>1</v>
      </c>
      <c r="AN1224" s="171">
        <v>1</v>
      </c>
      <c r="AO1224" s="171">
        <v>1</v>
      </c>
      <c r="AP1224" s="171">
        <v>1</v>
      </c>
      <c r="AQ1224" s="171">
        <v>1</v>
      </c>
      <c r="AR1224" s="171">
        <v>1</v>
      </c>
      <c r="AS1224" s="171">
        <v>1</v>
      </c>
      <c r="AT1224" s="171">
        <v>1</v>
      </c>
      <c r="AU1224" s="171">
        <f t="shared" si="433"/>
        <v>0</v>
      </c>
      <c r="AV1224" s="171">
        <f t="shared" si="434"/>
        <v>1</v>
      </c>
      <c r="AW1224" s="171">
        <f t="shared" si="435"/>
        <v>1</v>
      </c>
      <c r="AX1224" s="171">
        <f t="shared" si="444"/>
        <v>1</v>
      </c>
      <c r="AY1224" s="171">
        <f t="shared" si="436"/>
        <v>0</v>
      </c>
      <c r="AZ1224" s="171">
        <f t="shared" si="437"/>
        <v>1</v>
      </c>
      <c r="BA1224" s="172">
        <f t="shared" si="438"/>
        <v>1</v>
      </c>
      <c r="BB1224" s="175">
        <f t="shared" si="439"/>
        <v>17</v>
      </c>
      <c r="BC1224" s="176">
        <f t="shared" si="440"/>
        <v>16</v>
      </c>
      <c r="BD1224" s="176">
        <f t="shared" si="441"/>
        <v>17</v>
      </c>
      <c r="BE1224" s="240" t="str">
        <f t="shared" si="446"/>
        <v/>
      </c>
      <c r="BF1224" s="990"/>
      <c r="BG1224" s="990"/>
      <c r="BH1224" s="991">
        <f>IF(AND(Input_Product=Elig!$C1224,Elig_MatchAll_Ct&lt;22,$BC1224=(Elig_MatchAll_Ct-1),AF1224=0),C1224,0)</f>
        <v>0</v>
      </c>
      <c r="BI1224" s="991">
        <f>IF(AND(Input_Product=Elig!$C1224,Elig_MatchAll_Ct&lt;22,$BC1224=(Elig_MatchAll_Ct-1),AG1224=0),D1224,0)</f>
        <v>0</v>
      </c>
      <c r="BJ1224" s="991">
        <f>IF(AND(Input_Product=Elig!$C1224,Elig_MatchAll_Ct&lt;22,$BC1224=(Elig_MatchAll_Ct-1),AH1224=0),E1224,0)</f>
        <v>0</v>
      </c>
      <c r="BK1224" s="991">
        <f>IF(AND(Input_Product=Elig!$C1224,Elig_MatchAll_Ct&lt;22,$BC1224=(Elig_MatchAll_Ct-1),AI1224=0),F1224,0)</f>
        <v>0</v>
      </c>
      <c r="BL1224" s="991">
        <f>IF(AND(Input_Product=Elig!$C1224,Elig_MatchAll_Ct&lt;22,$BC1224=(Elig_MatchAll_Ct-1),AJ1224=0),G1224,0)</f>
        <v>0</v>
      </c>
      <c r="BM1224" s="991">
        <f>IF(AND(Input_Product=Elig!$C1224,Elig_MatchAll_Ct&lt;22,$BC1224=(Elig_MatchAll_Ct-1),AK1224=0),H1224,0)</f>
        <v>0</v>
      </c>
      <c r="BN1224" s="991">
        <f>IF(AND(Input_Product=Elig!$C1224,Elig_MatchAll_Ct&lt;22,$BC1224=(Elig_MatchAll_Ct-1),AL1224=0),I1224,0)</f>
        <v>0</v>
      </c>
      <c r="BO1224" s="991">
        <f>IF(AND(Input_Product=Elig!$C1224,Elig_MatchAll_Ct&lt;22,$BC1224=(Elig_MatchAll_Ct-1),AM1224=0),J1224,0)</f>
        <v>0</v>
      </c>
      <c r="BP1224" s="991">
        <f>IF(AND(Input_Product=Elig!$C1224,Elig_MatchAll_Ct&lt;22,$BC1224=(Elig_MatchAll_Ct-1),AN1224=0),K1224,0)</f>
        <v>0</v>
      </c>
      <c r="BQ1224" s="991">
        <f>IF(AND(Input_Product=Elig!$C1224,Elig_MatchAll_Ct&lt;22,$BC1224=(Elig_MatchAll_Ct-1),AP1224=0),L1224,0)</f>
        <v>0</v>
      </c>
      <c r="BR1224" s="991">
        <f>IF(AND(Input_Product=Elig!$C1224,Elig_MatchAll_Ct&lt;22,$BC1224=(Elig_MatchAll_Ct-1),AO1224=0),M1224,0)</f>
        <v>0</v>
      </c>
      <c r="BS1224" s="991">
        <f>IF(AND(Input_Product=Elig!$C1224,Elig_MatchAll_Ct&lt;22,$BC1224=(Elig_MatchAll_Ct-1),AQ1224=0),N1224,0)</f>
        <v>0</v>
      </c>
      <c r="BT1224" s="991">
        <f>IF(AND(Input_Product=Elig!$C1224,Elig_MatchAll_Ct&lt;22,$BC1224=(Elig_MatchAll_Ct-1),AR1224=0),O1224,0)</f>
        <v>0</v>
      </c>
      <c r="BU1224" s="991">
        <f>IF(AND(Input_Product=Elig!$C1224,Elig_MatchAll_Ct&lt;22,$BC1224=(Elig_MatchAll_Ct-1),AS1224=0),P1224,0)</f>
        <v>0</v>
      </c>
      <c r="BV1224" s="992">
        <f>IF(AND(Input_Product=Elig!$C1224,Elig_MatchAll_Ct&lt;22,$BC1224=(Elig_MatchAll_Ct-1),AT1224=0),Q1224,0)</f>
        <v>0</v>
      </c>
      <c r="BW1224" s="993">
        <f>IF(AND(Input_Product=Elig!$C1224,Elig_MatchAll_Ct&lt;22,$BC1224=(Elig_MatchAll_Ct-1),AU1224=0),R1224,0)</f>
        <v>0</v>
      </c>
      <c r="BX1224" s="994">
        <f>IF(AND(Input_Product=Elig!$C1224,Elig_MatchAll_Ct&lt;22,$BC1224=(Elig_MatchAll_Ct-1),AU1224=0),S1224,0)</f>
        <v>0</v>
      </c>
      <c r="BY1224" s="993">
        <f>IF(AND(Input_Product=Elig!$C1224,Elig_MatchAll_Ct&lt;22,$BC1224=(Elig_MatchAll_Ct-1),AV1224=0),T1224,0)</f>
        <v>0</v>
      </c>
      <c r="BZ1224" s="994">
        <f>IF(AND(Input_Product=Elig!$C1224,Elig_MatchAll_Ct&lt;22,$BC1224=(Elig_MatchAll_Ct-1),AV1224=0),U1224,0)</f>
        <v>0</v>
      </c>
      <c r="CA1224" s="993">
        <f>IF(AND(Input_Product=Elig!$C1224,Elig_MatchAll_Ct&lt;22,$BC1224=(Elig_MatchAll_Ct-1),AW1224=0),V1224,0)</f>
        <v>0</v>
      </c>
      <c r="CB1224" s="994">
        <f>IF(AND(Input_Product=Elig!$C1224,Elig_MatchAll_Ct&lt;22,$BC1224=(Elig_MatchAll_Ct-1),AW1224=0),W1224,0)</f>
        <v>0</v>
      </c>
      <c r="CC1224" s="993">
        <f>IF(AND(Input_Product=Elig!$C1224,Elig_MatchAll_Ct&lt;22,$BC1224=(Elig_MatchAll_Ct-1),AX1224=0),X1224,0)</f>
        <v>0</v>
      </c>
      <c r="CD1224" s="994">
        <f>IF(AND(Input_Product=Elig!$C1224,Elig_MatchAll_Ct&lt;22,$BC1224=(Elig_MatchAll_Ct-1),AX1224=0),Y1224,0)</f>
        <v>0</v>
      </c>
      <c r="CE1224" s="993">
        <f>IF(AND(Input_LTV&lt;=AE1224,Input_Product=Elig!$C1224,Elig_MatchAll_Ct&lt;22,$BC1224=(Elig_MatchAll_Ct-1),AY1224=0),Z1224,0)</f>
        <v>0</v>
      </c>
      <c r="CF1224" s="994">
        <f>IF(AND(Input_LTV&lt;=AE1224,Input_Product=Elig!$C1224,Elig_MatchAll_Ct&lt;22,$BC1224=(Elig_MatchAll_Ct-1),AY1224=0),AA1224,0)</f>
        <v>0</v>
      </c>
      <c r="CG1224" s="993">
        <f>IF(AND(Input_Product=Elig!$C1224,Elig_MatchAll_Ct&lt;22,$BC1224=(Elig_MatchAll_Ct-1),AZ1224=0),AB1224,0)</f>
        <v>0</v>
      </c>
      <c r="CH1224" s="994">
        <f>IF(AND(Input_Product=Elig!$C1224,Elig_MatchAll_Ct&lt;22,$BC1224=(Elig_MatchAll_Ct-1),AZ1224=0),AC1224,0)</f>
        <v>0</v>
      </c>
      <c r="CI1224" s="993">
        <f>IF(AND(Input_Product=Elig!$C1224,Elig_MatchAll_Ct&lt;22,$BC1224=(Elig_MatchAll_Ct-1),BA1224=0),AD1224,0)</f>
        <v>0</v>
      </c>
      <c r="CJ1224" s="994">
        <f>IF(AND(Input_Product=Elig!$C1224,Elig_MatchAll_Ct&lt;22,$BC1224=(Elig_MatchAll_Ct-1),BA1224=0),AE1224,0)</f>
        <v>0</v>
      </c>
    </row>
    <row r="1225" spans="2:88" ht="10.15" customHeight="1" x14ac:dyDescent="0.25">
      <c r="B1225" s="1918" t="s">
        <v>2515</v>
      </c>
      <c r="C1225" s="1228" t="str">
        <f t="shared" si="445"/>
        <v xml:space="preserve"> </v>
      </c>
      <c r="D1225" s="1229" t="s">
        <v>2218</v>
      </c>
      <c r="E1225" s="1229" t="s">
        <v>167</v>
      </c>
      <c r="F1225" s="1229" t="s">
        <v>330</v>
      </c>
      <c r="G1225" s="1230" t="s">
        <v>179</v>
      </c>
      <c r="H1225" s="1230" t="s">
        <v>136</v>
      </c>
      <c r="I1225" s="1229" t="s">
        <v>16</v>
      </c>
      <c r="J1225" s="1229" t="s">
        <v>1311</v>
      </c>
      <c r="K1225" s="1230" t="s">
        <v>3022</v>
      </c>
      <c r="L1225" s="1229" t="s">
        <v>2768</v>
      </c>
      <c r="M1225" s="1229" t="s">
        <v>2677</v>
      </c>
      <c r="N1225" s="1230" t="s">
        <v>2685</v>
      </c>
      <c r="O1225" s="1229" t="s">
        <v>310</v>
      </c>
      <c r="P1225" s="1229" t="s">
        <v>291</v>
      </c>
      <c r="Q1225" s="1229" t="s">
        <v>294</v>
      </c>
      <c r="R1225" s="1229">
        <v>1000000.01</v>
      </c>
      <c r="S1225" s="1229">
        <v>1500000</v>
      </c>
      <c r="T1225" s="1229">
        <v>0</v>
      </c>
      <c r="U1225" s="1229">
        <f t="shared" si="442"/>
        <v>1500000</v>
      </c>
      <c r="V1225" s="1229">
        <v>0</v>
      </c>
      <c r="W1225" s="1229">
        <v>50</v>
      </c>
      <c r="X1225" s="1229">
        <v>0</v>
      </c>
      <c r="Y1225" s="1229">
        <v>999</v>
      </c>
      <c r="Z1225" s="1231">
        <v>660</v>
      </c>
      <c r="AA1225" s="1231">
        <v>679</v>
      </c>
      <c r="AB1225" s="1231">
        <v>6</v>
      </c>
      <c r="AC1225" s="1231">
        <v>999999</v>
      </c>
      <c r="AD1225" s="1229">
        <v>0</v>
      </c>
      <c r="AE1225" s="1232">
        <v>70</v>
      </c>
      <c r="AF1225" s="170">
        <v>0</v>
      </c>
      <c r="AG1225" s="171">
        <v>1</v>
      </c>
      <c r="AH1225" s="171">
        <v>1</v>
      </c>
      <c r="AI1225" s="171">
        <v>0</v>
      </c>
      <c r="AJ1225" s="171">
        <v>0</v>
      </c>
      <c r="AK1225" s="171">
        <v>1</v>
      </c>
      <c r="AL1225" s="171">
        <v>1</v>
      </c>
      <c r="AM1225" s="171">
        <v>1</v>
      </c>
      <c r="AN1225" s="171">
        <v>1</v>
      </c>
      <c r="AO1225" s="171">
        <v>1</v>
      </c>
      <c r="AP1225" s="171">
        <v>1</v>
      </c>
      <c r="AQ1225" s="171">
        <v>1</v>
      </c>
      <c r="AR1225" s="171">
        <v>1</v>
      </c>
      <c r="AS1225" s="171">
        <v>1</v>
      </c>
      <c r="AT1225" s="171">
        <v>1</v>
      </c>
      <c r="AU1225" s="171">
        <f t="shared" si="433"/>
        <v>0</v>
      </c>
      <c r="AV1225" s="171">
        <f t="shared" si="434"/>
        <v>1</v>
      </c>
      <c r="AW1225" s="171">
        <f t="shared" si="435"/>
        <v>1</v>
      </c>
      <c r="AX1225" s="171">
        <f t="shared" si="444"/>
        <v>1</v>
      </c>
      <c r="AY1225" s="171">
        <f t="shared" si="436"/>
        <v>0</v>
      </c>
      <c r="AZ1225" s="171">
        <f t="shared" si="437"/>
        <v>1</v>
      </c>
      <c r="BA1225" s="172">
        <f t="shared" si="438"/>
        <v>1</v>
      </c>
      <c r="BB1225" s="175">
        <f t="shared" si="439"/>
        <v>17</v>
      </c>
      <c r="BC1225" s="176">
        <f t="shared" si="440"/>
        <v>16</v>
      </c>
      <c r="BD1225" s="176">
        <f t="shared" si="441"/>
        <v>17</v>
      </c>
      <c r="BE1225" s="240" t="str">
        <f t="shared" si="446"/>
        <v/>
      </c>
      <c r="BF1225" s="990"/>
      <c r="BG1225" s="990"/>
      <c r="BH1225" s="991">
        <f>IF(AND(Input_Product=Elig!$C1225,Elig_MatchAll_Ct&lt;22,$BC1225=(Elig_MatchAll_Ct-1),AF1225=0),C1225,0)</f>
        <v>0</v>
      </c>
      <c r="BI1225" s="991">
        <f>IF(AND(Input_Product=Elig!$C1225,Elig_MatchAll_Ct&lt;22,$BC1225=(Elig_MatchAll_Ct-1),AG1225=0),D1225,0)</f>
        <v>0</v>
      </c>
      <c r="BJ1225" s="991">
        <f>IF(AND(Input_Product=Elig!$C1225,Elig_MatchAll_Ct&lt;22,$BC1225=(Elig_MatchAll_Ct-1),AH1225=0),E1225,0)</f>
        <v>0</v>
      </c>
      <c r="BK1225" s="991">
        <f>IF(AND(Input_Product=Elig!$C1225,Elig_MatchAll_Ct&lt;22,$BC1225=(Elig_MatchAll_Ct-1),AI1225=0),F1225,0)</f>
        <v>0</v>
      </c>
      <c r="BL1225" s="991">
        <f>IF(AND(Input_Product=Elig!$C1225,Elig_MatchAll_Ct&lt;22,$BC1225=(Elig_MatchAll_Ct-1),AJ1225=0),G1225,0)</f>
        <v>0</v>
      </c>
      <c r="BM1225" s="991">
        <f>IF(AND(Input_Product=Elig!$C1225,Elig_MatchAll_Ct&lt;22,$BC1225=(Elig_MatchAll_Ct-1),AK1225=0),H1225,0)</f>
        <v>0</v>
      </c>
      <c r="BN1225" s="991">
        <f>IF(AND(Input_Product=Elig!$C1225,Elig_MatchAll_Ct&lt;22,$BC1225=(Elig_MatchAll_Ct-1),AL1225=0),I1225,0)</f>
        <v>0</v>
      </c>
      <c r="BO1225" s="991">
        <f>IF(AND(Input_Product=Elig!$C1225,Elig_MatchAll_Ct&lt;22,$BC1225=(Elig_MatchAll_Ct-1),AM1225=0),J1225,0)</f>
        <v>0</v>
      </c>
      <c r="BP1225" s="991">
        <f>IF(AND(Input_Product=Elig!$C1225,Elig_MatchAll_Ct&lt;22,$BC1225=(Elig_MatchAll_Ct-1),AN1225=0),K1225,0)</f>
        <v>0</v>
      </c>
      <c r="BQ1225" s="991">
        <f>IF(AND(Input_Product=Elig!$C1225,Elig_MatchAll_Ct&lt;22,$BC1225=(Elig_MatchAll_Ct-1),AP1225=0),L1225,0)</f>
        <v>0</v>
      </c>
      <c r="BR1225" s="991">
        <f>IF(AND(Input_Product=Elig!$C1225,Elig_MatchAll_Ct&lt;22,$BC1225=(Elig_MatchAll_Ct-1),AO1225=0),M1225,0)</f>
        <v>0</v>
      </c>
      <c r="BS1225" s="991">
        <f>IF(AND(Input_Product=Elig!$C1225,Elig_MatchAll_Ct&lt;22,$BC1225=(Elig_MatchAll_Ct-1),AQ1225=0),N1225,0)</f>
        <v>0</v>
      </c>
      <c r="BT1225" s="991">
        <f>IF(AND(Input_Product=Elig!$C1225,Elig_MatchAll_Ct&lt;22,$BC1225=(Elig_MatchAll_Ct-1),AR1225=0),O1225,0)</f>
        <v>0</v>
      </c>
      <c r="BU1225" s="991">
        <f>IF(AND(Input_Product=Elig!$C1225,Elig_MatchAll_Ct&lt;22,$BC1225=(Elig_MatchAll_Ct-1),AS1225=0),P1225,0)</f>
        <v>0</v>
      </c>
      <c r="BV1225" s="992">
        <f>IF(AND(Input_Product=Elig!$C1225,Elig_MatchAll_Ct&lt;22,$BC1225=(Elig_MatchAll_Ct-1),AT1225=0),Q1225,0)</f>
        <v>0</v>
      </c>
      <c r="BW1225" s="993">
        <f>IF(AND(Input_Product=Elig!$C1225,Elig_MatchAll_Ct&lt;22,$BC1225=(Elig_MatchAll_Ct-1),AU1225=0),R1225,0)</f>
        <v>0</v>
      </c>
      <c r="BX1225" s="994">
        <f>IF(AND(Input_Product=Elig!$C1225,Elig_MatchAll_Ct&lt;22,$BC1225=(Elig_MatchAll_Ct-1),AU1225=0),S1225,0)</f>
        <v>0</v>
      </c>
      <c r="BY1225" s="993">
        <f>IF(AND(Input_Product=Elig!$C1225,Elig_MatchAll_Ct&lt;22,$BC1225=(Elig_MatchAll_Ct-1),AV1225=0),T1225,0)</f>
        <v>0</v>
      </c>
      <c r="BZ1225" s="994">
        <f>IF(AND(Input_Product=Elig!$C1225,Elig_MatchAll_Ct&lt;22,$BC1225=(Elig_MatchAll_Ct-1),AV1225=0),U1225,0)</f>
        <v>0</v>
      </c>
      <c r="CA1225" s="993">
        <f>IF(AND(Input_Product=Elig!$C1225,Elig_MatchAll_Ct&lt;22,$BC1225=(Elig_MatchAll_Ct-1),AW1225=0),V1225,0)</f>
        <v>0</v>
      </c>
      <c r="CB1225" s="994">
        <f>IF(AND(Input_Product=Elig!$C1225,Elig_MatchAll_Ct&lt;22,$BC1225=(Elig_MatchAll_Ct-1),AW1225=0),W1225,0)</f>
        <v>0</v>
      </c>
      <c r="CC1225" s="993">
        <f>IF(AND(Input_Product=Elig!$C1225,Elig_MatchAll_Ct&lt;22,$BC1225=(Elig_MatchAll_Ct-1),AX1225=0),X1225,0)</f>
        <v>0</v>
      </c>
      <c r="CD1225" s="994">
        <f>IF(AND(Input_Product=Elig!$C1225,Elig_MatchAll_Ct&lt;22,$BC1225=(Elig_MatchAll_Ct-1),AX1225=0),Y1225,0)</f>
        <v>0</v>
      </c>
      <c r="CE1225" s="993">
        <f>IF(AND(Input_LTV&lt;=AE1225,Input_Product=Elig!$C1225,Elig_MatchAll_Ct&lt;22,$BC1225=(Elig_MatchAll_Ct-1),AY1225=0),Z1225,0)</f>
        <v>0</v>
      </c>
      <c r="CF1225" s="994">
        <f>IF(AND(Input_LTV&lt;=AE1225,Input_Product=Elig!$C1225,Elig_MatchAll_Ct&lt;22,$BC1225=(Elig_MatchAll_Ct-1),AY1225=0),AA1225,0)</f>
        <v>0</v>
      </c>
      <c r="CG1225" s="993">
        <f>IF(AND(Input_Product=Elig!$C1225,Elig_MatchAll_Ct&lt;22,$BC1225=(Elig_MatchAll_Ct-1),AZ1225=0),AB1225,0)</f>
        <v>0</v>
      </c>
      <c r="CH1225" s="994">
        <f>IF(AND(Input_Product=Elig!$C1225,Elig_MatchAll_Ct&lt;22,$BC1225=(Elig_MatchAll_Ct-1),AZ1225=0),AC1225,0)</f>
        <v>0</v>
      </c>
      <c r="CI1225" s="993">
        <f>IF(AND(Input_Product=Elig!$C1225,Elig_MatchAll_Ct&lt;22,$BC1225=(Elig_MatchAll_Ct-1),BA1225=0),AD1225,0)</f>
        <v>0</v>
      </c>
      <c r="CJ1225" s="994">
        <f>IF(AND(Input_Product=Elig!$C1225,Elig_MatchAll_Ct&lt;22,$BC1225=(Elig_MatchAll_Ct-1),BA1225=0),AE1225,0)</f>
        <v>0</v>
      </c>
    </row>
    <row r="1226" spans="2:88" ht="10.15" customHeight="1" x14ac:dyDescent="0.25">
      <c r="B1226" s="1918" t="s">
        <v>2516</v>
      </c>
      <c r="C1226" s="1218" t="str">
        <f t="shared" si="445"/>
        <v xml:space="preserve"> </v>
      </c>
      <c r="D1226" s="1219" t="s">
        <v>2218</v>
      </c>
      <c r="E1226" s="1219" t="s">
        <v>167</v>
      </c>
      <c r="F1226" s="1219" t="s">
        <v>330</v>
      </c>
      <c r="G1226" s="1220" t="s">
        <v>179</v>
      </c>
      <c r="H1226" s="1220" t="s">
        <v>136</v>
      </c>
      <c r="I1226" s="1219" t="s">
        <v>16</v>
      </c>
      <c r="J1226" s="1219" t="s">
        <v>1311</v>
      </c>
      <c r="K1226" s="1220" t="s">
        <v>3022</v>
      </c>
      <c r="L1226" s="1219" t="s">
        <v>2768</v>
      </c>
      <c r="M1226" s="1219" t="s">
        <v>2677</v>
      </c>
      <c r="N1226" s="1220" t="s">
        <v>2685</v>
      </c>
      <c r="O1226" s="1219" t="s">
        <v>310</v>
      </c>
      <c r="P1226" s="1219" t="s">
        <v>291</v>
      </c>
      <c r="Q1226" s="1219" t="s">
        <v>294</v>
      </c>
      <c r="R1226" s="1219">
        <v>1500000.01</v>
      </c>
      <c r="S1226" s="1219">
        <v>2000000</v>
      </c>
      <c r="T1226" s="1219">
        <v>0</v>
      </c>
      <c r="U1226" s="1219">
        <f t="shared" si="442"/>
        <v>2000000</v>
      </c>
      <c r="V1226" s="1219">
        <v>0</v>
      </c>
      <c r="W1226" s="1219">
        <v>50</v>
      </c>
      <c r="X1226" s="1219">
        <v>0</v>
      </c>
      <c r="Y1226" s="1219">
        <v>999</v>
      </c>
      <c r="Z1226" s="1221">
        <v>720</v>
      </c>
      <c r="AA1226" s="1221">
        <v>999</v>
      </c>
      <c r="AB1226" s="1221">
        <v>6</v>
      </c>
      <c r="AC1226" s="1221">
        <v>999999</v>
      </c>
      <c r="AD1226" s="1219">
        <v>0</v>
      </c>
      <c r="AE1226" s="1222">
        <v>80</v>
      </c>
      <c r="AF1226" s="170">
        <v>0</v>
      </c>
      <c r="AG1226" s="171">
        <v>1</v>
      </c>
      <c r="AH1226" s="171">
        <v>1</v>
      </c>
      <c r="AI1226" s="171">
        <v>0</v>
      </c>
      <c r="AJ1226" s="171">
        <v>0</v>
      </c>
      <c r="AK1226" s="171">
        <v>1</v>
      </c>
      <c r="AL1226" s="171">
        <v>1</v>
      </c>
      <c r="AM1226" s="171">
        <v>1</v>
      </c>
      <c r="AN1226" s="171">
        <v>1</v>
      </c>
      <c r="AO1226" s="171">
        <v>1</v>
      </c>
      <c r="AP1226" s="171">
        <v>1</v>
      </c>
      <c r="AQ1226" s="171">
        <v>1</v>
      </c>
      <c r="AR1226" s="171">
        <v>1</v>
      </c>
      <c r="AS1226" s="171">
        <v>1</v>
      </c>
      <c r="AT1226" s="171">
        <v>1</v>
      </c>
      <c r="AU1226" s="171">
        <f t="shared" si="433"/>
        <v>0</v>
      </c>
      <c r="AV1226" s="171">
        <f t="shared" si="434"/>
        <v>1</v>
      </c>
      <c r="AW1226" s="171">
        <f t="shared" si="435"/>
        <v>1</v>
      </c>
      <c r="AX1226" s="171">
        <f t="shared" si="444"/>
        <v>1</v>
      </c>
      <c r="AY1226" s="171">
        <f t="shared" si="436"/>
        <v>1</v>
      </c>
      <c r="AZ1226" s="171">
        <f t="shared" si="437"/>
        <v>1</v>
      </c>
      <c r="BA1226" s="172">
        <f t="shared" si="438"/>
        <v>1</v>
      </c>
      <c r="BB1226" s="175">
        <f t="shared" si="439"/>
        <v>18</v>
      </c>
      <c r="BC1226" s="176">
        <f t="shared" si="440"/>
        <v>17</v>
      </c>
      <c r="BD1226" s="176">
        <f t="shared" si="441"/>
        <v>18</v>
      </c>
      <c r="BE1226" s="240" t="str">
        <f t="shared" si="446"/>
        <v/>
      </c>
      <c r="BF1226" s="990"/>
      <c r="BG1226" s="990"/>
      <c r="BH1226" s="991">
        <f>IF(AND(Input_Product=Elig!$C1226,Elig_MatchAll_Ct&lt;22,$BC1226=(Elig_MatchAll_Ct-1),AF1226=0),C1226,0)</f>
        <v>0</v>
      </c>
      <c r="BI1226" s="991">
        <f>IF(AND(Input_Product=Elig!$C1226,Elig_MatchAll_Ct&lt;22,$BC1226=(Elig_MatchAll_Ct-1),AG1226=0),D1226,0)</f>
        <v>0</v>
      </c>
      <c r="BJ1226" s="991">
        <f>IF(AND(Input_Product=Elig!$C1226,Elig_MatchAll_Ct&lt;22,$BC1226=(Elig_MatchAll_Ct-1),AH1226=0),E1226,0)</f>
        <v>0</v>
      </c>
      <c r="BK1226" s="991">
        <f>IF(AND(Input_Product=Elig!$C1226,Elig_MatchAll_Ct&lt;22,$BC1226=(Elig_MatchAll_Ct-1),AI1226=0),F1226,0)</f>
        <v>0</v>
      </c>
      <c r="BL1226" s="991">
        <f>IF(AND(Input_Product=Elig!$C1226,Elig_MatchAll_Ct&lt;22,$BC1226=(Elig_MatchAll_Ct-1),AJ1226=0),G1226,0)</f>
        <v>0</v>
      </c>
      <c r="BM1226" s="991">
        <f>IF(AND(Input_Product=Elig!$C1226,Elig_MatchAll_Ct&lt;22,$BC1226=(Elig_MatchAll_Ct-1),AK1226=0),H1226,0)</f>
        <v>0</v>
      </c>
      <c r="BN1226" s="991">
        <f>IF(AND(Input_Product=Elig!$C1226,Elig_MatchAll_Ct&lt;22,$BC1226=(Elig_MatchAll_Ct-1),AL1226=0),I1226,0)</f>
        <v>0</v>
      </c>
      <c r="BO1226" s="991">
        <f>IF(AND(Input_Product=Elig!$C1226,Elig_MatchAll_Ct&lt;22,$BC1226=(Elig_MatchAll_Ct-1),AM1226=0),J1226,0)</f>
        <v>0</v>
      </c>
      <c r="BP1226" s="991">
        <f>IF(AND(Input_Product=Elig!$C1226,Elig_MatchAll_Ct&lt;22,$BC1226=(Elig_MatchAll_Ct-1),AN1226=0),K1226,0)</f>
        <v>0</v>
      </c>
      <c r="BQ1226" s="991">
        <f>IF(AND(Input_Product=Elig!$C1226,Elig_MatchAll_Ct&lt;22,$BC1226=(Elig_MatchAll_Ct-1),AP1226=0),L1226,0)</f>
        <v>0</v>
      </c>
      <c r="BR1226" s="991">
        <f>IF(AND(Input_Product=Elig!$C1226,Elig_MatchAll_Ct&lt;22,$BC1226=(Elig_MatchAll_Ct-1),AO1226=0),M1226,0)</f>
        <v>0</v>
      </c>
      <c r="BS1226" s="991">
        <f>IF(AND(Input_Product=Elig!$C1226,Elig_MatchAll_Ct&lt;22,$BC1226=(Elig_MatchAll_Ct-1),AQ1226=0),N1226,0)</f>
        <v>0</v>
      </c>
      <c r="BT1226" s="991">
        <f>IF(AND(Input_Product=Elig!$C1226,Elig_MatchAll_Ct&lt;22,$BC1226=(Elig_MatchAll_Ct-1),AR1226=0),O1226,0)</f>
        <v>0</v>
      </c>
      <c r="BU1226" s="991">
        <f>IF(AND(Input_Product=Elig!$C1226,Elig_MatchAll_Ct&lt;22,$BC1226=(Elig_MatchAll_Ct-1),AS1226=0),P1226,0)</f>
        <v>0</v>
      </c>
      <c r="BV1226" s="992">
        <f>IF(AND(Input_Product=Elig!$C1226,Elig_MatchAll_Ct&lt;22,$BC1226=(Elig_MatchAll_Ct-1),AT1226=0),Q1226,0)</f>
        <v>0</v>
      </c>
      <c r="BW1226" s="993">
        <f>IF(AND(Input_Product=Elig!$C1226,Elig_MatchAll_Ct&lt;22,$BC1226=(Elig_MatchAll_Ct-1),AU1226=0),R1226,0)</f>
        <v>0</v>
      </c>
      <c r="BX1226" s="994">
        <f>IF(AND(Input_Product=Elig!$C1226,Elig_MatchAll_Ct&lt;22,$BC1226=(Elig_MatchAll_Ct-1),AU1226=0),S1226,0)</f>
        <v>0</v>
      </c>
      <c r="BY1226" s="993">
        <f>IF(AND(Input_Product=Elig!$C1226,Elig_MatchAll_Ct&lt;22,$BC1226=(Elig_MatchAll_Ct-1),AV1226=0),T1226,0)</f>
        <v>0</v>
      </c>
      <c r="BZ1226" s="994">
        <f>IF(AND(Input_Product=Elig!$C1226,Elig_MatchAll_Ct&lt;22,$BC1226=(Elig_MatchAll_Ct-1),AV1226=0),U1226,0)</f>
        <v>0</v>
      </c>
      <c r="CA1226" s="993">
        <f>IF(AND(Input_Product=Elig!$C1226,Elig_MatchAll_Ct&lt;22,$BC1226=(Elig_MatchAll_Ct-1),AW1226=0),V1226,0)</f>
        <v>0</v>
      </c>
      <c r="CB1226" s="994">
        <f>IF(AND(Input_Product=Elig!$C1226,Elig_MatchAll_Ct&lt;22,$BC1226=(Elig_MatchAll_Ct-1),AW1226=0),W1226,0)</f>
        <v>0</v>
      </c>
      <c r="CC1226" s="993">
        <f>IF(AND(Input_Product=Elig!$C1226,Elig_MatchAll_Ct&lt;22,$BC1226=(Elig_MatchAll_Ct-1),AX1226=0),X1226,0)</f>
        <v>0</v>
      </c>
      <c r="CD1226" s="994">
        <f>IF(AND(Input_Product=Elig!$C1226,Elig_MatchAll_Ct&lt;22,$BC1226=(Elig_MatchAll_Ct-1),AX1226=0),Y1226,0)</f>
        <v>0</v>
      </c>
      <c r="CE1226" s="993">
        <f>IF(AND(Input_LTV&lt;=AE1226,Input_Product=Elig!$C1226,Elig_MatchAll_Ct&lt;22,$BC1226=(Elig_MatchAll_Ct-1),AY1226=0),Z1226,0)</f>
        <v>0</v>
      </c>
      <c r="CF1226" s="994">
        <f>IF(AND(Input_LTV&lt;=AE1226,Input_Product=Elig!$C1226,Elig_MatchAll_Ct&lt;22,$BC1226=(Elig_MatchAll_Ct-1),AY1226=0),AA1226,0)</f>
        <v>0</v>
      </c>
      <c r="CG1226" s="993">
        <f>IF(AND(Input_Product=Elig!$C1226,Elig_MatchAll_Ct&lt;22,$BC1226=(Elig_MatchAll_Ct-1),AZ1226=0),AB1226,0)</f>
        <v>0</v>
      </c>
      <c r="CH1226" s="994">
        <f>IF(AND(Input_Product=Elig!$C1226,Elig_MatchAll_Ct&lt;22,$BC1226=(Elig_MatchAll_Ct-1),AZ1226=0),AC1226,0)</f>
        <v>0</v>
      </c>
      <c r="CI1226" s="993">
        <f>IF(AND(Input_Product=Elig!$C1226,Elig_MatchAll_Ct&lt;22,$BC1226=(Elig_MatchAll_Ct-1),BA1226=0),AD1226,0)</f>
        <v>0</v>
      </c>
      <c r="CJ1226" s="994">
        <f>IF(AND(Input_Product=Elig!$C1226,Elig_MatchAll_Ct&lt;22,$BC1226=(Elig_MatchAll_Ct-1),BA1226=0),AE1226,0)</f>
        <v>0</v>
      </c>
    </row>
    <row r="1227" spans="2:88" ht="10.15" customHeight="1" x14ac:dyDescent="0.25">
      <c r="B1227" s="1918" t="s">
        <v>2517</v>
      </c>
      <c r="C1227" s="1223" t="str">
        <f t="shared" si="445"/>
        <v xml:space="preserve"> </v>
      </c>
      <c r="D1227" s="1224" t="s">
        <v>2218</v>
      </c>
      <c r="E1227" s="1224" t="s">
        <v>167</v>
      </c>
      <c r="F1227" s="1224" t="s">
        <v>330</v>
      </c>
      <c r="G1227" s="1225" t="s">
        <v>179</v>
      </c>
      <c r="H1227" s="1225" t="s">
        <v>136</v>
      </c>
      <c r="I1227" s="1224" t="s">
        <v>16</v>
      </c>
      <c r="J1227" s="1224" t="s">
        <v>1311</v>
      </c>
      <c r="K1227" s="1225" t="s">
        <v>3022</v>
      </c>
      <c r="L1227" s="1224" t="s">
        <v>2768</v>
      </c>
      <c r="M1227" s="1224" t="s">
        <v>2677</v>
      </c>
      <c r="N1227" s="1225" t="s">
        <v>2685</v>
      </c>
      <c r="O1227" s="1224" t="s">
        <v>310</v>
      </c>
      <c r="P1227" s="1224" t="s">
        <v>291</v>
      </c>
      <c r="Q1227" s="1224" t="s">
        <v>294</v>
      </c>
      <c r="R1227" s="1224">
        <v>1500000.01</v>
      </c>
      <c r="S1227" s="1224">
        <v>2000000</v>
      </c>
      <c r="T1227" s="1224">
        <v>0</v>
      </c>
      <c r="U1227" s="1224">
        <f t="shared" si="442"/>
        <v>2000000</v>
      </c>
      <c r="V1227" s="1224">
        <v>0</v>
      </c>
      <c r="W1227" s="1224">
        <v>50</v>
      </c>
      <c r="X1227" s="1224">
        <v>0</v>
      </c>
      <c r="Y1227" s="1224">
        <v>999</v>
      </c>
      <c r="Z1227" s="1226">
        <v>700</v>
      </c>
      <c r="AA1227" s="1226">
        <v>719</v>
      </c>
      <c r="AB1227" s="1226">
        <v>6</v>
      </c>
      <c r="AC1227" s="1226">
        <v>999999</v>
      </c>
      <c r="AD1227" s="1224">
        <v>0</v>
      </c>
      <c r="AE1227" s="1227">
        <v>75</v>
      </c>
      <c r="AF1227" s="170">
        <v>0</v>
      </c>
      <c r="AG1227" s="171">
        <v>1</v>
      </c>
      <c r="AH1227" s="171">
        <v>1</v>
      </c>
      <c r="AI1227" s="171">
        <v>0</v>
      </c>
      <c r="AJ1227" s="171">
        <v>0</v>
      </c>
      <c r="AK1227" s="171">
        <v>1</v>
      </c>
      <c r="AL1227" s="171">
        <v>1</v>
      </c>
      <c r="AM1227" s="171">
        <v>1</v>
      </c>
      <c r="AN1227" s="171">
        <v>1</v>
      </c>
      <c r="AO1227" s="171">
        <v>1</v>
      </c>
      <c r="AP1227" s="171">
        <v>1</v>
      </c>
      <c r="AQ1227" s="171">
        <v>1</v>
      </c>
      <c r="AR1227" s="171">
        <v>1</v>
      </c>
      <c r="AS1227" s="171">
        <v>1</v>
      </c>
      <c r="AT1227" s="171">
        <v>1</v>
      </c>
      <c r="AU1227" s="171">
        <f t="shared" si="433"/>
        <v>0</v>
      </c>
      <c r="AV1227" s="171">
        <f t="shared" si="434"/>
        <v>1</v>
      </c>
      <c r="AW1227" s="171">
        <f t="shared" si="435"/>
        <v>1</v>
      </c>
      <c r="AX1227" s="171">
        <f t="shared" si="444"/>
        <v>1</v>
      </c>
      <c r="AY1227" s="171">
        <f t="shared" si="436"/>
        <v>0</v>
      </c>
      <c r="AZ1227" s="171">
        <f t="shared" si="437"/>
        <v>1</v>
      </c>
      <c r="BA1227" s="172">
        <f t="shared" si="438"/>
        <v>1</v>
      </c>
      <c r="BB1227" s="175">
        <f t="shared" si="439"/>
        <v>17</v>
      </c>
      <c r="BC1227" s="176">
        <f t="shared" si="440"/>
        <v>16</v>
      </c>
      <c r="BD1227" s="176">
        <f t="shared" si="441"/>
        <v>17</v>
      </c>
      <c r="BE1227" s="240" t="str">
        <f t="shared" si="446"/>
        <v/>
      </c>
      <c r="BF1227" s="990"/>
      <c r="BG1227" s="990"/>
      <c r="BH1227" s="991">
        <f>IF(AND(Input_Product=Elig!$C1227,Elig_MatchAll_Ct&lt;22,$BC1227=(Elig_MatchAll_Ct-1),AF1227=0),C1227,0)</f>
        <v>0</v>
      </c>
      <c r="BI1227" s="991">
        <f>IF(AND(Input_Product=Elig!$C1227,Elig_MatchAll_Ct&lt;22,$BC1227=(Elig_MatchAll_Ct-1),AG1227=0),D1227,0)</f>
        <v>0</v>
      </c>
      <c r="BJ1227" s="991">
        <f>IF(AND(Input_Product=Elig!$C1227,Elig_MatchAll_Ct&lt;22,$BC1227=(Elig_MatchAll_Ct-1),AH1227=0),E1227,0)</f>
        <v>0</v>
      </c>
      <c r="BK1227" s="991">
        <f>IF(AND(Input_Product=Elig!$C1227,Elig_MatchAll_Ct&lt;22,$BC1227=(Elig_MatchAll_Ct-1),AI1227=0),F1227,0)</f>
        <v>0</v>
      </c>
      <c r="BL1227" s="991">
        <f>IF(AND(Input_Product=Elig!$C1227,Elig_MatchAll_Ct&lt;22,$BC1227=(Elig_MatchAll_Ct-1),AJ1227=0),G1227,0)</f>
        <v>0</v>
      </c>
      <c r="BM1227" s="991">
        <f>IF(AND(Input_Product=Elig!$C1227,Elig_MatchAll_Ct&lt;22,$BC1227=(Elig_MatchAll_Ct-1),AK1227=0),H1227,0)</f>
        <v>0</v>
      </c>
      <c r="BN1227" s="991">
        <f>IF(AND(Input_Product=Elig!$C1227,Elig_MatchAll_Ct&lt;22,$BC1227=(Elig_MatchAll_Ct-1),AL1227=0),I1227,0)</f>
        <v>0</v>
      </c>
      <c r="BO1227" s="991">
        <f>IF(AND(Input_Product=Elig!$C1227,Elig_MatchAll_Ct&lt;22,$BC1227=(Elig_MatchAll_Ct-1),AM1227=0),J1227,0)</f>
        <v>0</v>
      </c>
      <c r="BP1227" s="991">
        <f>IF(AND(Input_Product=Elig!$C1227,Elig_MatchAll_Ct&lt;22,$BC1227=(Elig_MatchAll_Ct-1),AN1227=0),K1227,0)</f>
        <v>0</v>
      </c>
      <c r="BQ1227" s="991">
        <f>IF(AND(Input_Product=Elig!$C1227,Elig_MatchAll_Ct&lt;22,$BC1227=(Elig_MatchAll_Ct-1),AP1227=0),L1227,0)</f>
        <v>0</v>
      </c>
      <c r="BR1227" s="991">
        <f>IF(AND(Input_Product=Elig!$C1227,Elig_MatchAll_Ct&lt;22,$BC1227=(Elig_MatchAll_Ct-1),AO1227=0),M1227,0)</f>
        <v>0</v>
      </c>
      <c r="BS1227" s="991">
        <f>IF(AND(Input_Product=Elig!$C1227,Elig_MatchAll_Ct&lt;22,$BC1227=(Elig_MatchAll_Ct-1),AQ1227=0),N1227,0)</f>
        <v>0</v>
      </c>
      <c r="BT1227" s="991">
        <f>IF(AND(Input_Product=Elig!$C1227,Elig_MatchAll_Ct&lt;22,$BC1227=(Elig_MatchAll_Ct-1),AR1227=0),O1227,0)</f>
        <v>0</v>
      </c>
      <c r="BU1227" s="991">
        <f>IF(AND(Input_Product=Elig!$C1227,Elig_MatchAll_Ct&lt;22,$BC1227=(Elig_MatchAll_Ct-1),AS1227=0),P1227,0)</f>
        <v>0</v>
      </c>
      <c r="BV1227" s="992">
        <f>IF(AND(Input_Product=Elig!$C1227,Elig_MatchAll_Ct&lt;22,$BC1227=(Elig_MatchAll_Ct-1),AT1227=0),Q1227,0)</f>
        <v>0</v>
      </c>
      <c r="BW1227" s="993">
        <f>IF(AND(Input_Product=Elig!$C1227,Elig_MatchAll_Ct&lt;22,$BC1227=(Elig_MatchAll_Ct-1),AU1227=0),R1227,0)</f>
        <v>0</v>
      </c>
      <c r="BX1227" s="994">
        <f>IF(AND(Input_Product=Elig!$C1227,Elig_MatchAll_Ct&lt;22,$BC1227=(Elig_MatchAll_Ct-1),AU1227=0),S1227,0)</f>
        <v>0</v>
      </c>
      <c r="BY1227" s="993">
        <f>IF(AND(Input_Product=Elig!$C1227,Elig_MatchAll_Ct&lt;22,$BC1227=(Elig_MatchAll_Ct-1),AV1227=0),T1227,0)</f>
        <v>0</v>
      </c>
      <c r="BZ1227" s="994">
        <f>IF(AND(Input_Product=Elig!$C1227,Elig_MatchAll_Ct&lt;22,$BC1227=(Elig_MatchAll_Ct-1),AV1227=0),U1227,0)</f>
        <v>0</v>
      </c>
      <c r="CA1227" s="993">
        <f>IF(AND(Input_Product=Elig!$C1227,Elig_MatchAll_Ct&lt;22,$BC1227=(Elig_MatchAll_Ct-1),AW1227=0),V1227,0)</f>
        <v>0</v>
      </c>
      <c r="CB1227" s="994">
        <f>IF(AND(Input_Product=Elig!$C1227,Elig_MatchAll_Ct&lt;22,$BC1227=(Elig_MatchAll_Ct-1),AW1227=0),W1227,0)</f>
        <v>0</v>
      </c>
      <c r="CC1227" s="993">
        <f>IF(AND(Input_Product=Elig!$C1227,Elig_MatchAll_Ct&lt;22,$BC1227=(Elig_MatchAll_Ct-1),AX1227=0),X1227,0)</f>
        <v>0</v>
      </c>
      <c r="CD1227" s="994">
        <f>IF(AND(Input_Product=Elig!$C1227,Elig_MatchAll_Ct&lt;22,$BC1227=(Elig_MatchAll_Ct-1),AX1227=0),Y1227,0)</f>
        <v>0</v>
      </c>
      <c r="CE1227" s="993">
        <f>IF(AND(Input_LTV&lt;=AE1227,Input_Product=Elig!$C1227,Elig_MatchAll_Ct&lt;22,$BC1227=(Elig_MatchAll_Ct-1),AY1227=0),Z1227,0)</f>
        <v>0</v>
      </c>
      <c r="CF1227" s="994">
        <f>IF(AND(Input_LTV&lt;=AE1227,Input_Product=Elig!$C1227,Elig_MatchAll_Ct&lt;22,$BC1227=(Elig_MatchAll_Ct-1),AY1227=0),AA1227,0)</f>
        <v>0</v>
      </c>
      <c r="CG1227" s="993">
        <f>IF(AND(Input_Product=Elig!$C1227,Elig_MatchAll_Ct&lt;22,$BC1227=(Elig_MatchAll_Ct-1),AZ1227=0),AB1227,0)</f>
        <v>0</v>
      </c>
      <c r="CH1227" s="994">
        <f>IF(AND(Input_Product=Elig!$C1227,Elig_MatchAll_Ct&lt;22,$BC1227=(Elig_MatchAll_Ct-1),AZ1227=0),AC1227,0)</f>
        <v>0</v>
      </c>
      <c r="CI1227" s="993">
        <f>IF(AND(Input_Product=Elig!$C1227,Elig_MatchAll_Ct&lt;22,$BC1227=(Elig_MatchAll_Ct-1),BA1227=0),AD1227,0)</f>
        <v>0</v>
      </c>
      <c r="CJ1227" s="994">
        <f>IF(AND(Input_Product=Elig!$C1227,Elig_MatchAll_Ct&lt;22,$BC1227=(Elig_MatchAll_Ct-1),BA1227=0),AE1227,0)</f>
        <v>0</v>
      </c>
    </row>
    <row r="1228" spans="2:88" ht="10.15" customHeight="1" x14ac:dyDescent="0.25">
      <c r="B1228" s="1918" t="s">
        <v>2518</v>
      </c>
      <c r="C1228" s="1223" t="str">
        <f t="shared" si="445"/>
        <v xml:space="preserve"> </v>
      </c>
      <c r="D1228" s="1224" t="s">
        <v>2218</v>
      </c>
      <c r="E1228" s="1224" t="s">
        <v>167</v>
      </c>
      <c r="F1228" s="1224" t="s">
        <v>330</v>
      </c>
      <c r="G1228" s="1225" t="s">
        <v>179</v>
      </c>
      <c r="H1228" s="1225" t="s">
        <v>136</v>
      </c>
      <c r="I1228" s="1224" t="s">
        <v>16</v>
      </c>
      <c r="J1228" s="1224" t="s">
        <v>1311</v>
      </c>
      <c r="K1228" s="1225" t="s">
        <v>3022</v>
      </c>
      <c r="L1228" s="1224" t="s">
        <v>2768</v>
      </c>
      <c r="M1228" s="1224" t="s">
        <v>2677</v>
      </c>
      <c r="N1228" s="1225" t="s">
        <v>2685</v>
      </c>
      <c r="O1228" s="1224" t="s">
        <v>310</v>
      </c>
      <c r="P1228" s="1224" t="s">
        <v>291</v>
      </c>
      <c r="Q1228" s="1224" t="s">
        <v>294</v>
      </c>
      <c r="R1228" s="1224">
        <v>1500000.01</v>
      </c>
      <c r="S1228" s="1224">
        <v>2000000</v>
      </c>
      <c r="T1228" s="1224">
        <v>0</v>
      </c>
      <c r="U1228" s="1224">
        <f t="shared" si="442"/>
        <v>2000000</v>
      </c>
      <c r="V1228" s="1224">
        <v>0</v>
      </c>
      <c r="W1228" s="1224">
        <v>50</v>
      </c>
      <c r="X1228" s="1224">
        <v>0</v>
      </c>
      <c r="Y1228" s="1224">
        <v>999</v>
      </c>
      <c r="Z1228" s="1226">
        <v>680</v>
      </c>
      <c r="AA1228" s="1226">
        <v>699</v>
      </c>
      <c r="AB1228" s="1226">
        <v>6</v>
      </c>
      <c r="AC1228" s="1226">
        <v>999999</v>
      </c>
      <c r="AD1228" s="1224">
        <v>0</v>
      </c>
      <c r="AE1228" s="1227">
        <v>75</v>
      </c>
      <c r="AF1228" s="170">
        <v>0</v>
      </c>
      <c r="AG1228" s="171">
        <v>1</v>
      </c>
      <c r="AH1228" s="171">
        <v>1</v>
      </c>
      <c r="AI1228" s="171">
        <v>0</v>
      </c>
      <c r="AJ1228" s="171">
        <v>0</v>
      </c>
      <c r="AK1228" s="171">
        <v>1</v>
      </c>
      <c r="AL1228" s="171">
        <v>1</v>
      </c>
      <c r="AM1228" s="171">
        <v>1</v>
      </c>
      <c r="AN1228" s="171">
        <v>1</v>
      </c>
      <c r="AO1228" s="171">
        <v>1</v>
      </c>
      <c r="AP1228" s="171">
        <v>1</v>
      </c>
      <c r="AQ1228" s="171">
        <v>1</v>
      </c>
      <c r="AR1228" s="171">
        <v>1</v>
      </c>
      <c r="AS1228" s="171">
        <v>1</v>
      </c>
      <c r="AT1228" s="171">
        <v>1</v>
      </c>
      <c r="AU1228" s="171">
        <f t="shared" si="433"/>
        <v>0</v>
      </c>
      <c r="AV1228" s="171">
        <f t="shared" si="434"/>
        <v>1</v>
      </c>
      <c r="AW1228" s="171">
        <f t="shared" si="435"/>
        <v>1</v>
      </c>
      <c r="AX1228" s="171">
        <f t="shared" si="444"/>
        <v>1</v>
      </c>
      <c r="AY1228" s="171">
        <f t="shared" si="436"/>
        <v>0</v>
      </c>
      <c r="AZ1228" s="171">
        <f t="shared" si="437"/>
        <v>1</v>
      </c>
      <c r="BA1228" s="172">
        <f t="shared" si="438"/>
        <v>1</v>
      </c>
      <c r="BB1228" s="175">
        <f t="shared" si="439"/>
        <v>17</v>
      </c>
      <c r="BC1228" s="176">
        <f t="shared" si="440"/>
        <v>16</v>
      </c>
      <c r="BD1228" s="176">
        <f t="shared" si="441"/>
        <v>17</v>
      </c>
      <c r="BE1228" s="240" t="str">
        <f t="shared" si="446"/>
        <v/>
      </c>
      <c r="BF1228" s="990"/>
      <c r="BG1228" s="990"/>
      <c r="BH1228" s="991">
        <f>IF(AND(Input_Product=Elig!$C1228,Elig_MatchAll_Ct&lt;22,$BC1228=(Elig_MatchAll_Ct-1),AF1228=0),C1228,0)</f>
        <v>0</v>
      </c>
      <c r="BI1228" s="991">
        <f>IF(AND(Input_Product=Elig!$C1228,Elig_MatchAll_Ct&lt;22,$BC1228=(Elig_MatchAll_Ct-1),AG1228=0),D1228,0)</f>
        <v>0</v>
      </c>
      <c r="BJ1228" s="991">
        <f>IF(AND(Input_Product=Elig!$C1228,Elig_MatchAll_Ct&lt;22,$BC1228=(Elig_MatchAll_Ct-1),AH1228=0),E1228,0)</f>
        <v>0</v>
      </c>
      <c r="BK1228" s="991">
        <f>IF(AND(Input_Product=Elig!$C1228,Elig_MatchAll_Ct&lt;22,$BC1228=(Elig_MatchAll_Ct-1),AI1228=0),F1228,0)</f>
        <v>0</v>
      </c>
      <c r="BL1228" s="991">
        <f>IF(AND(Input_Product=Elig!$C1228,Elig_MatchAll_Ct&lt;22,$BC1228=(Elig_MatchAll_Ct-1),AJ1228=0),G1228,0)</f>
        <v>0</v>
      </c>
      <c r="BM1228" s="991">
        <f>IF(AND(Input_Product=Elig!$C1228,Elig_MatchAll_Ct&lt;22,$BC1228=(Elig_MatchAll_Ct-1),AK1228=0),H1228,0)</f>
        <v>0</v>
      </c>
      <c r="BN1228" s="991">
        <f>IF(AND(Input_Product=Elig!$C1228,Elig_MatchAll_Ct&lt;22,$BC1228=(Elig_MatchAll_Ct-1),AL1228=0),I1228,0)</f>
        <v>0</v>
      </c>
      <c r="BO1228" s="991">
        <f>IF(AND(Input_Product=Elig!$C1228,Elig_MatchAll_Ct&lt;22,$BC1228=(Elig_MatchAll_Ct-1),AM1228=0),J1228,0)</f>
        <v>0</v>
      </c>
      <c r="BP1228" s="991">
        <f>IF(AND(Input_Product=Elig!$C1228,Elig_MatchAll_Ct&lt;22,$BC1228=(Elig_MatchAll_Ct-1),AN1228=0),K1228,0)</f>
        <v>0</v>
      </c>
      <c r="BQ1228" s="991">
        <f>IF(AND(Input_Product=Elig!$C1228,Elig_MatchAll_Ct&lt;22,$BC1228=(Elig_MatchAll_Ct-1),AP1228=0),L1228,0)</f>
        <v>0</v>
      </c>
      <c r="BR1228" s="991">
        <f>IF(AND(Input_Product=Elig!$C1228,Elig_MatchAll_Ct&lt;22,$BC1228=(Elig_MatchAll_Ct-1),AO1228=0),M1228,0)</f>
        <v>0</v>
      </c>
      <c r="BS1228" s="991">
        <f>IF(AND(Input_Product=Elig!$C1228,Elig_MatchAll_Ct&lt;22,$BC1228=(Elig_MatchAll_Ct-1),AQ1228=0),N1228,0)</f>
        <v>0</v>
      </c>
      <c r="BT1228" s="991">
        <f>IF(AND(Input_Product=Elig!$C1228,Elig_MatchAll_Ct&lt;22,$BC1228=(Elig_MatchAll_Ct-1),AR1228=0),O1228,0)</f>
        <v>0</v>
      </c>
      <c r="BU1228" s="991">
        <f>IF(AND(Input_Product=Elig!$C1228,Elig_MatchAll_Ct&lt;22,$BC1228=(Elig_MatchAll_Ct-1),AS1228=0),P1228,0)</f>
        <v>0</v>
      </c>
      <c r="BV1228" s="992">
        <f>IF(AND(Input_Product=Elig!$C1228,Elig_MatchAll_Ct&lt;22,$BC1228=(Elig_MatchAll_Ct-1),AT1228=0),Q1228,0)</f>
        <v>0</v>
      </c>
      <c r="BW1228" s="993">
        <f>IF(AND(Input_Product=Elig!$C1228,Elig_MatchAll_Ct&lt;22,$BC1228=(Elig_MatchAll_Ct-1),AU1228=0),R1228,0)</f>
        <v>0</v>
      </c>
      <c r="BX1228" s="994">
        <f>IF(AND(Input_Product=Elig!$C1228,Elig_MatchAll_Ct&lt;22,$BC1228=(Elig_MatchAll_Ct-1),AU1228=0),S1228,0)</f>
        <v>0</v>
      </c>
      <c r="BY1228" s="993">
        <f>IF(AND(Input_Product=Elig!$C1228,Elig_MatchAll_Ct&lt;22,$BC1228=(Elig_MatchAll_Ct-1),AV1228=0),T1228,0)</f>
        <v>0</v>
      </c>
      <c r="BZ1228" s="994">
        <f>IF(AND(Input_Product=Elig!$C1228,Elig_MatchAll_Ct&lt;22,$BC1228=(Elig_MatchAll_Ct-1),AV1228=0),U1228,0)</f>
        <v>0</v>
      </c>
      <c r="CA1228" s="993">
        <f>IF(AND(Input_Product=Elig!$C1228,Elig_MatchAll_Ct&lt;22,$BC1228=(Elig_MatchAll_Ct-1),AW1228=0),V1228,0)</f>
        <v>0</v>
      </c>
      <c r="CB1228" s="994">
        <f>IF(AND(Input_Product=Elig!$C1228,Elig_MatchAll_Ct&lt;22,$BC1228=(Elig_MatchAll_Ct-1),AW1228=0),W1228,0)</f>
        <v>0</v>
      </c>
      <c r="CC1228" s="993">
        <f>IF(AND(Input_Product=Elig!$C1228,Elig_MatchAll_Ct&lt;22,$BC1228=(Elig_MatchAll_Ct-1),AX1228=0),X1228,0)</f>
        <v>0</v>
      </c>
      <c r="CD1228" s="994">
        <f>IF(AND(Input_Product=Elig!$C1228,Elig_MatchAll_Ct&lt;22,$BC1228=(Elig_MatchAll_Ct-1),AX1228=0),Y1228,0)</f>
        <v>0</v>
      </c>
      <c r="CE1228" s="993">
        <f>IF(AND(Input_LTV&lt;=AE1228,Input_Product=Elig!$C1228,Elig_MatchAll_Ct&lt;22,$BC1228=(Elig_MatchAll_Ct-1),AY1228=0),Z1228,0)</f>
        <v>0</v>
      </c>
      <c r="CF1228" s="994">
        <f>IF(AND(Input_LTV&lt;=AE1228,Input_Product=Elig!$C1228,Elig_MatchAll_Ct&lt;22,$BC1228=(Elig_MatchAll_Ct-1),AY1228=0),AA1228,0)</f>
        <v>0</v>
      </c>
      <c r="CG1228" s="993">
        <f>IF(AND(Input_Product=Elig!$C1228,Elig_MatchAll_Ct&lt;22,$BC1228=(Elig_MatchAll_Ct-1),AZ1228=0),AB1228,0)</f>
        <v>0</v>
      </c>
      <c r="CH1228" s="994">
        <f>IF(AND(Input_Product=Elig!$C1228,Elig_MatchAll_Ct&lt;22,$BC1228=(Elig_MatchAll_Ct-1),AZ1228=0),AC1228,0)</f>
        <v>0</v>
      </c>
      <c r="CI1228" s="993">
        <f>IF(AND(Input_Product=Elig!$C1228,Elig_MatchAll_Ct&lt;22,$BC1228=(Elig_MatchAll_Ct-1),BA1228=0),AD1228,0)</f>
        <v>0</v>
      </c>
      <c r="CJ1228" s="994">
        <f>IF(AND(Input_Product=Elig!$C1228,Elig_MatchAll_Ct&lt;22,$BC1228=(Elig_MatchAll_Ct-1),BA1228=0),AE1228,0)</f>
        <v>0</v>
      </c>
    </row>
    <row r="1229" spans="2:88" ht="10.15" customHeight="1" x14ac:dyDescent="0.25">
      <c r="B1229" s="1918" t="s">
        <v>2519</v>
      </c>
      <c r="C1229" s="1228" t="str">
        <f t="shared" si="445"/>
        <v xml:space="preserve"> </v>
      </c>
      <c r="D1229" s="1229" t="s">
        <v>2218</v>
      </c>
      <c r="E1229" s="1229" t="s">
        <v>167</v>
      </c>
      <c r="F1229" s="1229" t="s">
        <v>330</v>
      </c>
      <c r="G1229" s="1230" t="s">
        <v>179</v>
      </c>
      <c r="H1229" s="1230" t="s">
        <v>136</v>
      </c>
      <c r="I1229" s="1229" t="s">
        <v>16</v>
      </c>
      <c r="J1229" s="1229" t="s">
        <v>1311</v>
      </c>
      <c r="K1229" s="1230" t="s">
        <v>3022</v>
      </c>
      <c r="L1229" s="1229" t="s">
        <v>2768</v>
      </c>
      <c r="M1229" s="1229" t="s">
        <v>2677</v>
      </c>
      <c r="N1229" s="1230" t="s">
        <v>2685</v>
      </c>
      <c r="O1229" s="1229" t="s">
        <v>310</v>
      </c>
      <c r="P1229" s="1229" t="s">
        <v>291</v>
      </c>
      <c r="Q1229" s="1229" t="s">
        <v>294</v>
      </c>
      <c r="R1229" s="1229">
        <v>1500000.01</v>
      </c>
      <c r="S1229" s="1229">
        <v>2000000</v>
      </c>
      <c r="T1229" s="1229">
        <v>0</v>
      </c>
      <c r="U1229" s="1229">
        <f t="shared" si="442"/>
        <v>2000000</v>
      </c>
      <c r="V1229" s="1229">
        <v>0</v>
      </c>
      <c r="W1229" s="1229">
        <v>50</v>
      </c>
      <c r="X1229" s="1229">
        <v>0</v>
      </c>
      <c r="Y1229" s="1229">
        <v>999</v>
      </c>
      <c r="Z1229" s="1231">
        <v>660</v>
      </c>
      <c r="AA1229" s="1231">
        <v>679</v>
      </c>
      <c r="AB1229" s="1231">
        <v>6</v>
      </c>
      <c r="AC1229" s="1231">
        <v>999999</v>
      </c>
      <c r="AD1229" s="1229">
        <v>0</v>
      </c>
      <c r="AE1229" s="1232">
        <v>70</v>
      </c>
      <c r="AF1229" s="170">
        <v>0</v>
      </c>
      <c r="AG1229" s="171">
        <v>1</v>
      </c>
      <c r="AH1229" s="171">
        <v>1</v>
      </c>
      <c r="AI1229" s="171">
        <v>0</v>
      </c>
      <c r="AJ1229" s="171">
        <v>0</v>
      </c>
      <c r="AK1229" s="171">
        <v>1</v>
      </c>
      <c r="AL1229" s="171">
        <v>1</v>
      </c>
      <c r="AM1229" s="171">
        <v>1</v>
      </c>
      <c r="AN1229" s="171">
        <v>1</v>
      </c>
      <c r="AO1229" s="171">
        <v>1</v>
      </c>
      <c r="AP1229" s="171">
        <v>1</v>
      </c>
      <c r="AQ1229" s="171">
        <v>1</v>
      </c>
      <c r="AR1229" s="171">
        <v>1</v>
      </c>
      <c r="AS1229" s="171">
        <v>1</v>
      </c>
      <c r="AT1229" s="171">
        <v>1</v>
      </c>
      <c r="AU1229" s="171">
        <f t="shared" ref="AU1229:AU1322" si="447">IF(AND(Input_LoanAmt&gt;=Elig_LoanAmt_Min,Input_LoanAmt&lt;=Elig_LoanAmt_Max),1,0)</f>
        <v>0</v>
      </c>
      <c r="AV1229" s="171">
        <f t="shared" ref="AV1229:AV1322" si="448">IF(AND(Input_CashoutAmt&gt;=Elig_CashoutAmt_Min,Input_CashoutAmt&lt;=Elig_CashoutAmt_Max),1,0)</f>
        <v>1</v>
      </c>
      <c r="AW1229" s="171">
        <f t="shared" ref="AW1229:AW1322" si="449">IF(AND(Input_DTI&gt;=Elig_DTI_Min,Input_DTI&lt;=Elig_DTI_Max),1,0)</f>
        <v>1</v>
      </c>
      <c r="AX1229" s="171">
        <f t="shared" si="444"/>
        <v>1</v>
      </c>
      <c r="AY1229" s="171">
        <f t="shared" ref="AY1229:AY1322" si="450">IF(AND(Input_CreditScore&gt;=Elig_CreditScore_Min,Input_CreditScore&lt;=Elig_CreditScore_Max),1,0)</f>
        <v>0</v>
      </c>
      <c r="AZ1229" s="171">
        <f t="shared" ref="AZ1229:AZ1322" si="451">IF(AND(Input_ReservesMonths&gt;=Elig_Reserves_Min,Input_ReservesMonths&lt;=Elig_Reserves_Max),1,0)</f>
        <v>1</v>
      </c>
      <c r="BA1229" s="172">
        <f t="shared" ref="BA1229:BA1322" si="452">IF(AND(Input_LTV&gt;=Elig_LTV_Min,Input_LTV&lt;=Elig_LTV_Max),1,0)</f>
        <v>1</v>
      </c>
      <c r="BB1229" s="175">
        <f t="shared" si="439"/>
        <v>17</v>
      </c>
      <c r="BC1229" s="176">
        <f t="shared" si="440"/>
        <v>16</v>
      </c>
      <c r="BD1229" s="176">
        <f t="shared" si="441"/>
        <v>17</v>
      </c>
      <c r="BE1229" s="240" t="str">
        <f t="shared" si="446"/>
        <v/>
      </c>
      <c r="BF1229" s="990"/>
      <c r="BG1229" s="990"/>
      <c r="BH1229" s="991">
        <f>IF(AND(Input_Product=Elig!$C1229,Elig_MatchAll_Ct&lt;22,$BC1229=(Elig_MatchAll_Ct-1),AF1229=0),C1229,0)</f>
        <v>0</v>
      </c>
      <c r="BI1229" s="991">
        <f>IF(AND(Input_Product=Elig!$C1229,Elig_MatchAll_Ct&lt;22,$BC1229=(Elig_MatchAll_Ct-1),AG1229=0),D1229,0)</f>
        <v>0</v>
      </c>
      <c r="BJ1229" s="991">
        <f>IF(AND(Input_Product=Elig!$C1229,Elig_MatchAll_Ct&lt;22,$BC1229=(Elig_MatchAll_Ct-1),AH1229=0),E1229,0)</f>
        <v>0</v>
      </c>
      <c r="BK1229" s="991">
        <f>IF(AND(Input_Product=Elig!$C1229,Elig_MatchAll_Ct&lt;22,$BC1229=(Elig_MatchAll_Ct-1),AI1229=0),F1229,0)</f>
        <v>0</v>
      </c>
      <c r="BL1229" s="991">
        <f>IF(AND(Input_Product=Elig!$C1229,Elig_MatchAll_Ct&lt;22,$BC1229=(Elig_MatchAll_Ct-1),AJ1229=0),G1229,0)</f>
        <v>0</v>
      </c>
      <c r="BM1229" s="991">
        <f>IF(AND(Input_Product=Elig!$C1229,Elig_MatchAll_Ct&lt;22,$BC1229=(Elig_MatchAll_Ct-1),AK1229=0),H1229,0)</f>
        <v>0</v>
      </c>
      <c r="BN1229" s="991">
        <f>IF(AND(Input_Product=Elig!$C1229,Elig_MatchAll_Ct&lt;22,$BC1229=(Elig_MatchAll_Ct-1),AL1229=0),I1229,0)</f>
        <v>0</v>
      </c>
      <c r="BO1229" s="991">
        <f>IF(AND(Input_Product=Elig!$C1229,Elig_MatchAll_Ct&lt;22,$BC1229=(Elig_MatchAll_Ct-1),AM1229=0),J1229,0)</f>
        <v>0</v>
      </c>
      <c r="BP1229" s="991">
        <f>IF(AND(Input_Product=Elig!$C1229,Elig_MatchAll_Ct&lt;22,$BC1229=(Elig_MatchAll_Ct-1),AN1229=0),K1229,0)</f>
        <v>0</v>
      </c>
      <c r="BQ1229" s="991">
        <f>IF(AND(Input_Product=Elig!$C1229,Elig_MatchAll_Ct&lt;22,$BC1229=(Elig_MatchAll_Ct-1),AP1229=0),L1229,0)</f>
        <v>0</v>
      </c>
      <c r="BR1229" s="991">
        <f>IF(AND(Input_Product=Elig!$C1229,Elig_MatchAll_Ct&lt;22,$BC1229=(Elig_MatchAll_Ct-1),AO1229=0),M1229,0)</f>
        <v>0</v>
      </c>
      <c r="BS1229" s="991">
        <f>IF(AND(Input_Product=Elig!$C1229,Elig_MatchAll_Ct&lt;22,$BC1229=(Elig_MatchAll_Ct-1),AQ1229=0),N1229,0)</f>
        <v>0</v>
      </c>
      <c r="BT1229" s="991">
        <f>IF(AND(Input_Product=Elig!$C1229,Elig_MatchAll_Ct&lt;22,$BC1229=(Elig_MatchAll_Ct-1),AR1229=0),O1229,0)</f>
        <v>0</v>
      </c>
      <c r="BU1229" s="991">
        <f>IF(AND(Input_Product=Elig!$C1229,Elig_MatchAll_Ct&lt;22,$BC1229=(Elig_MatchAll_Ct-1),AS1229=0),P1229,0)</f>
        <v>0</v>
      </c>
      <c r="BV1229" s="992">
        <f>IF(AND(Input_Product=Elig!$C1229,Elig_MatchAll_Ct&lt;22,$BC1229=(Elig_MatchAll_Ct-1),AT1229=0),Q1229,0)</f>
        <v>0</v>
      </c>
      <c r="BW1229" s="993">
        <f>IF(AND(Input_Product=Elig!$C1229,Elig_MatchAll_Ct&lt;22,$BC1229=(Elig_MatchAll_Ct-1),AU1229=0),R1229,0)</f>
        <v>0</v>
      </c>
      <c r="BX1229" s="994">
        <f>IF(AND(Input_Product=Elig!$C1229,Elig_MatchAll_Ct&lt;22,$BC1229=(Elig_MatchAll_Ct-1),AU1229=0),S1229,0)</f>
        <v>0</v>
      </c>
      <c r="BY1229" s="993">
        <f>IF(AND(Input_Product=Elig!$C1229,Elig_MatchAll_Ct&lt;22,$BC1229=(Elig_MatchAll_Ct-1),AV1229=0),T1229,0)</f>
        <v>0</v>
      </c>
      <c r="BZ1229" s="994">
        <f>IF(AND(Input_Product=Elig!$C1229,Elig_MatchAll_Ct&lt;22,$BC1229=(Elig_MatchAll_Ct-1),AV1229=0),U1229,0)</f>
        <v>0</v>
      </c>
      <c r="CA1229" s="993">
        <f>IF(AND(Input_Product=Elig!$C1229,Elig_MatchAll_Ct&lt;22,$BC1229=(Elig_MatchAll_Ct-1),AW1229=0),V1229,0)</f>
        <v>0</v>
      </c>
      <c r="CB1229" s="994">
        <f>IF(AND(Input_Product=Elig!$C1229,Elig_MatchAll_Ct&lt;22,$BC1229=(Elig_MatchAll_Ct-1),AW1229=0),W1229,0)</f>
        <v>0</v>
      </c>
      <c r="CC1229" s="993">
        <f>IF(AND(Input_Product=Elig!$C1229,Elig_MatchAll_Ct&lt;22,$BC1229=(Elig_MatchAll_Ct-1),AX1229=0),X1229,0)</f>
        <v>0</v>
      </c>
      <c r="CD1229" s="994">
        <f>IF(AND(Input_Product=Elig!$C1229,Elig_MatchAll_Ct&lt;22,$BC1229=(Elig_MatchAll_Ct-1),AX1229=0),Y1229,0)</f>
        <v>0</v>
      </c>
      <c r="CE1229" s="993">
        <f>IF(AND(Input_LTV&lt;=AE1229,Input_Product=Elig!$C1229,Elig_MatchAll_Ct&lt;22,$BC1229=(Elig_MatchAll_Ct-1),AY1229=0),Z1229,0)</f>
        <v>0</v>
      </c>
      <c r="CF1229" s="994">
        <f>IF(AND(Input_LTV&lt;=AE1229,Input_Product=Elig!$C1229,Elig_MatchAll_Ct&lt;22,$BC1229=(Elig_MatchAll_Ct-1),AY1229=0),AA1229,0)</f>
        <v>0</v>
      </c>
      <c r="CG1229" s="993">
        <f>IF(AND(Input_Product=Elig!$C1229,Elig_MatchAll_Ct&lt;22,$BC1229=(Elig_MatchAll_Ct-1),AZ1229=0),AB1229,0)</f>
        <v>0</v>
      </c>
      <c r="CH1229" s="994">
        <f>IF(AND(Input_Product=Elig!$C1229,Elig_MatchAll_Ct&lt;22,$BC1229=(Elig_MatchAll_Ct-1),AZ1229=0),AC1229,0)</f>
        <v>0</v>
      </c>
      <c r="CI1229" s="993">
        <f>IF(AND(Input_Product=Elig!$C1229,Elig_MatchAll_Ct&lt;22,$BC1229=(Elig_MatchAll_Ct-1),BA1229=0),AD1229,0)</f>
        <v>0</v>
      </c>
      <c r="CJ1229" s="994">
        <f>IF(AND(Input_Product=Elig!$C1229,Elig_MatchAll_Ct&lt;22,$BC1229=(Elig_MatchAll_Ct-1),BA1229=0),AE1229,0)</f>
        <v>0</v>
      </c>
    </row>
    <row r="1230" spans="2:88" ht="10.15" customHeight="1" x14ac:dyDescent="0.25">
      <c r="B1230" s="1918" t="s">
        <v>2520</v>
      </c>
      <c r="C1230" s="1218" t="str">
        <f t="shared" si="445"/>
        <v xml:space="preserve"> </v>
      </c>
      <c r="D1230" s="1219" t="s">
        <v>2218</v>
      </c>
      <c r="E1230" s="1219" t="s">
        <v>167</v>
      </c>
      <c r="F1230" s="1219" t="s">
        <v>330</v>
      </c>
      <c r="G1230" s="1220" t="s">
        <v>179</v>
      </c>
      <c r="H1230" s="1220" t="s">
        <v>136</v>
      </c>
      <c r="I1230" s="1219" t="s">
        <v>16</v>
      </c>
      <c r="J1230" s="1219" t="s">
        <v>1311</v>
      </c>
      <c r="K1230" s="1220" t="s">
        <v>3022</v>
      </c>
      <c r="L1230" s="1219" t="s">
        <v>2768</v>
      </c>
      <c r="M1230" s="1219" t="s">
        <v>2677</v>
      </c>
      <c r="N1230" s="1220" t="s">
        <v>2685</v>
      </c>
      <c r="O1230" s="1219" t="s">
        <v>310</v>
      </c>
      <c r="P1230" s="1219" t="s">
        <v>291</v>
      </c>
      <c r="Q1230" s="1219" t="s">
        <v>294</v>
      </c>
      <c r="R1230" s="1219">
        <v>2000000.01</v>
      </c>
      <c r="S1230" s="1219">
        <v>2500000</v>
      </c>
      <c r="T1230" s="1219">
        <v>0</v>
      </c>
      <c r="U1230" s="1219">
        <f t="shared" si="442"/>
        <v>2500000</v>
      </c>
      <c r="V1230" s="1219">
        <v>0</v>
      </c>
      <c r="W1230" s="1219">
        <v>50</v>
      </c>
      <c r="X1230" s="1219">
        <v>0</v>
      </c>
      <c r="Y1230" s="1219">
        <v>999</v>
      </c>
      <c r="Z1230" s="1221">
        <v>720</v>
      </c>
      <c r="AA1230" s="1221">
        <v>999</v>
      </c>
      <c r="AB1230" s="1221">
        <v>6</v>
      </c>
      <c r="AC1230" s="1221">
        <v>999999</v>
      </c>
      <c r="AD1230" s="1219">
        <v>0</v>
      </c>
      <c r="AE1230" s="1222">
        <v>80</v>
      </c>
      <c r="AF1230" s="170">
        <v>0</v>
      </c>
      <c r="AG1230" s="171">
        <v>1</v>
      </c>
      <c r="AH1230" s="171">
        <v>1</v>
      </c>
      <c r="AI1230" s="171">
        <v>0</v>
      </c>
      <c r="AJ1230" s="171">
        <v>0</v>
      </c>
      <c r="AK1230" s="171">
        <v>1</v>
      </c>
      <c r="AL1230" s="171">
        <v>1</v>
      </c>
      <c r="AM1230" s="171">
        <v>1</v>
      </c>
      <c r="AN1230" s="171">
        <v>1</v>
      </c>
      <c r="AO1230" s="171">
        <v>1</v>
      </c>
      <c r="AP1230" s="171">
        <v>1</v>
      </c>
      <c r="AQ1230" s="171">
        <v>1</v>
      </c>
      <c r="AR1230" s="171">
        <v>1</v>
      </c>
      <c r="AS1230" s="171">
        <v>1</v>
      </c>
      <c r="AT1230" s="171">
        <v>1</v>
      </c>
      <c r="AU1230" s="171">
        <f t="shared" si="447"/>
        <v>0</v>
      </c>
      <c r="AV1230" s="171">
        <f t="shared" si="448"/>
        <v>1</v>
      </c>
      <c r="AW1230" s="171">
        <f t="shared" si="449"/>
        <v>1</v>
      </c>
      <c r="AX1230" s="171">
        <f t="shared" si="444"/>
        <v>1</v>
      </c>
      <c r="AY1230" s="171">
        <f t="shared" si="450"/>
        <v>1</v>
      </c>
      <c r="AZ1230" s="171">
        <f t="shared" si="451"/>
        <v>1</v>
      </c>
      <c r="BA1230" s="172">
        <f t="shared" si="452"/>
        <v>1</v>
      </c>
      <c r="BB1230" s="175">
        <f t="shared" si="439"/>
        <v>18</v>
      </c>
      <c r="BC1230" s="176">
        <f t="shared" si="440"/>
        <v>17</v>
      </c>
      <c r="BD1230" s="176">
        <f t="shared" si="441"/>
        <v>18</v>
      </c>
      <c r="BE1230" s="240" t="str">
        <f t="shared" si="446"/>
        <v/>
      </c>
      <c r="BF1230" s="990"/>
      <c r="BG1230" s="990"/>
      <c r="BH1230" s="991">
        <f>IF(AND(Input_Product=Elig!$C1230,Elig_MatchAll_Ct&lt;22,$BC1230=(Elig_MatchAll_Ct-1),AF1230=0),C1230,0)</f>
        <v>0</v>
      </c>
      <c r="BI1230" s="991">
        <f>IF(AND(Input_Product=Elig!$C1230,Elig_MatchAll_Ct&lt;22,$BC1230=(Elig_MatchAll_Ct-1),AG1230=0),D1230,0)</f>
        <v>0</v>
      </c>
      <c r="BJ1230" s="991">
        <f>IF(AND(Input_Product=Elig!$C1230,Elig_MatchAll_Ct&lt;22,$BC1230=(Elig_MatchAll_Ct-1),AH1230=0),E1230,0)</f>
        <v>0</v>
      </c>
      <c r="BK1230" s="991">
        <f>IF(AND(Input_Product=Elig!$C1230,Elig_MatchAll_Ct&lt;22,$BC1230=(Elig_MatchAll_Ct-1),AI1230=0),F1230,0)</f>
        <v>0</v>
      </c>
      <c r="BL1230" s="991">
        <f>IF(AND(Input_Product=Elig!$C1230,Elig_MatchAll_Ct&lt;22,$BC1230=(Elig_MatchAll_Ct-1),AJ1230=0),G1230,0)</f>
        <v>0</v>
      </c>
      <c r="BM1230" s="991">
        <f>IF(AND(Input_Product=Elig!$C1230,Elig_MatchAll_Ct&lt;22,$BC1230=(Elig_MatchAll_Ct-1),AK1230=0),H1230,0)</f>
        <v>0</v>
      </c>
      <c r="BN1230" s="991">
        <f>IF(AND(Input_Product=Elig!$C1230,Elig_MatchAll_Ct&lt;22,$BC1230=(Elig_MatchAll_Ct-1),AL1230=0),I1230,0)</f>
        <v>0</v>
      </c>
      <c r="BO1230" s="991">
        <f>IF(AND(Input_Product=Elig!$C1230,Elig_MatchAll_Ct&lt;22,$BC1230=(Elig_MatchAll_Ct-1),AM1230=0),J1230,0)</f>
        <v>0</v>
      </c>
      <c r="BP1230" s="991">
        <f>IF(AND(Input_Product=Elig!$C1230,Elig_MatchAll_Ct&lt;22,$BC1230=(Elig_MatchAll_Ct-1),AN1230=0),K1230,0)</f>
        <v>0</v>
      </c>
      <c r="BQ1230" s="991">
        <f>IF(AND(Input_Product=Elig!$C1230,Elig_MatchAll_Ct&lt;22,$BC1230=(Elig_MatchAll_Ct-1),AP1230=0),L1230,0)</f>
        <v>0</v>
      </c>
      <c r="BR1230" s="991">
        <f>IF(AND(Input_Product=Elig!$C1230,Elig_MatchAll_Ct&lt;22,$BC1230=(Elig_MatchAll_Ct-1),AO1230=0),M1230,0)</f>
        <v>0</v>
      </c>
      <c r="BS1230" s="991">
        <f>IF(AND(Input_Product=Elig!$C1230,Elig_MatchAll_Ct&lt;22,$BC1230=(Elig_MatchAll_Ct-1),AQ1230=0),N1230,0)</f>
        <v>0</v>
      </c>
      <c r="BT1230" s="991">
        <f>IF(AND(Input_Product=Elig!$C1230,Elig_MatchAll_Ct&lt;22,$BC1230=(Elig_MatchAll_Ct-1),AR1230=0),O1230,0)</f>
        <v>0</v>
      </c>
      <c r="BU1230" s="991">
        <f>IF(AND(Input_Product=Elig!$C1230,Elig_MatchAll_Ct&lt;22,$BC1230=(Elig_MatchAll_Ct-1),AS1230=0),P1230,0)</f>
        <v>0</v>
      </c>
      <c r="BV1230" s="992">
        <f>IF(AND(Input_Product=Elig!$C1230,Elig_MatchAll_Ct&lt;22,$BC1230=(Elig_MatchAll_Ct-1),AT1230=0),Q1230,0)</f>
        <v>0</v>
      </c>
      <c r="BW1230" s="993">
        <f>IF(AND(Input_Product=Elig!$C1230,Elig_MatchAll_Ct&lt;22,$BC1230=(Elig_MatchAll_Ct-1),AU1230=0),R1230,0)</f>
        <v>0</v>
      </c>
      <c r="BX1230" s="994">
        <f>IF(AND(Input_Product=Elig!$C1230,Elig_MatchAll_Ct&lt;22,$BC1230=(Elig_MatchAll_Ct-1),AU1230=0),S1230,0)</f>
        <v>0</v>
      </c>
      <c r="BY1230" s="993">
        <f>IF(AND(Input_Product=Elig!$C1230,Elig_MatchAll_Ct&lt;22,$BC1230=(Elig_MatchAll_Ct-1),AV1230=0),T1230,0)</f>
        <v>0</v>
      </c>
      <c r="BZ1230" s="994">
        <f>IF(AND(Input_Product=Elig!$C1230,Elig_MatchAll_Ct&lt;22,$BC1230=(Elig_MatchAll_Ct-1),AV1230=0),U1230,0)</f>
        <v>0</v>
      </c>
      <c r="CA1230" s="993">
        <f>IF(AND(Input_Product=Elig!$C1230,Elig_MatchAll_Ct&lt;22,$BC1230=(Elig_MatchAll_Ct-1),AW1230=0),V1230,0)</f>
        <v>0</v>
      </c>
      <c r="CB1230" s="994">
        <f>IF(AND(Input_Product=Elig!$C1230,Elig_MatchAll_Ct&lt;22,$BC1230=(Elig_MatchAll_Ct-1),AW1230=0),W1230,0)</f>
        <v>0</v>
      </c>
      <c r="CC1230" s="993">
        <f>IF(AND(Input_Product=Elig!$C1230,Elig_MatchAll_Ct&lt;22,$BC1230=(Elig_MatchAll_Ct-1),AX1230=0),X1230,0)</f>
        <v>0</v>
      </c>
      <c r="CD1230" s="994">
        <f>IF(AND(Input_Product=Elig!$C1230,Elig_MatchAll_Ct&lt;22,$BC1230=(Elig_MatchAll_Ct-1),AX1230=0),Y1230,0)</f>
        <v>0</v>
      </c>
      <c r="CE1230" s="993">
        <f>IF(AND(Input_LTV&lt;=AE1230,Input_Product=Elig!$C1230,Elig_MatchAll_Ct&lt;22,$BC1230=(Elig_MatchAll_Ct-1),AY1230=0),Z1230,0)</f>
        <v>0</v>
      </c>
      <c r="CF1230" s="994">
        <f>IF(AND(Input_LTV&lt;=AE1230,Input_Product=Elig!$C1230,Elig_MatchAll_Ct&lt;22,$BC1230=(Elig_MatchAll_Ct-1),AY1230=0),AA1230,0)</f>
        <v>0</v>
      </c>
      <c r="CG1230" s="993">
        <f>IF(AND(Input_Product=Elig!$C1230,Elig_MatchAll_Ct&lt;22,$BC1230=(Elig_MatchAll_Ct-1),AZ1230=0),AB1230,0)</f>
        <v>0</v>
      </c>
      <c r="CH1230" s="994">
        <f>IF(AND(Input_Product=Elig!$C1230,Elig_MatchAll_Ct&lt;22,$BC1230=(Elig_MatchAll_Ct-1),AZ1230=0),AC1230,0)</f>
        <v>0</v>
      </c>
      <c r="CI1230" s="993">
        <f>IF(AND(Input_Product=Elig!$C1230,Elig_MatchAll_Ct&lt;22,$BC1230=(Elig_MatchAll_Ct-1),BA1230=0),AD1230,0)</f>
        <v>0</v>
      </c>
      <c r="CJ1230" s="994">
        <f>IF(AND(Input_Product=Elig!$C1230,Elig_MatchAll_Ct&lt;22,$BC1230=(Elig_MatchAll_Ct-1),BA1230=0),AE1230,0)</f>
        <v>0</v>
      </c>
    </row>
    <row r="1231" spans="2:88" ht="10.15" customHeight="1" x14ac:dyDescent="0.25">
      <c r="B1231" s="1918" t="s">
        <v>2521</v>
      </c>
      <c r="C1231" s="1223" t="str">
        <f t="shared" si="445"/>
        <v xml:space="preserve"> </v>
      </c>
      <c r="D1231" s="1224" t="s">
        <v>2218</v>
      </c>
      <c r="E1231" s="1224" t="s">
        <v>167</v>
      </c>
      <c r="F1231" s="1224" t="s">
        <v>330</v>
      </c>
      <c r="G1231" s="1225" t="s">
        <v>179</v>
      </c>
      <c r="H1231" s="1225" t="s">
        <v>136</v>
      </c>
      <c r="I1231" s="1224" t="s">
        <v>16</v>
      </c>
      <c r="J1231" s="1224" t="s">
        <v>1311</v>
      </c>
      <c r="K1231" s="1225" t="s">
        <v>3022</v>
      </c>
      <c r="L1231" s="1224" t="s">
        <v>2768</v>
      </c>
      <c r="M1231" s="1224" t="s">
        <v>2677</v>
      </c>
      <c r="N1231" s="1225" t="s">
        <v>2685</v>
      </c>
      <c r="O1231" s="1224" t="s">
        <v>310</v>
      </c>
      <c r="P1231" s="1224" t="s">
        <v>291</v>
      </c>
      <c r="Q1231" s="1224" t="s">
        <v>294</v>
      </c>
      <c r="R1231" s="1224">
        <v>2000000.01</v>
      </c>
      <c r="S1231" s="1224">
        <v>2500000</v>
      </c>
      <c r="T1231" s="1224">
        <v>0</v>
      </c>
      <c r="U1231" s="1224">
        <f t="shared" si="442"/>
        <v>2500000</v>
      </c>
      <c r="V1231" s="1224">
        <v>0</v>
      </c>
      <c r="W1231" s="1224">
        <v>50</v>
      </c>
      <c r="X1231" s="1224">
        <v>0</v>
      </c>
      <c r="Y1231" s="1224">
        <v>999</v>
      </c>
      <c r="Z1231" s="1226">
        <v>700</v>
      </c>
      <c r="AA1231" s="1226">
        <v>719</v>
      </c>
      <c r="AB1231" s="1226">
        <v>6</v>
      </c>
      <c r="AC1231" s="1226">
        <v>999999</v>
      </c>
      <c r="AD1231" s="1224">
        <v>0</v>
      </c>
      <c r="AE1231" s="1227">
        <v>75</v>
      </c>
      <c r="AF1231" s="170">
        <v>0</v>
      </c>
      <c r="AG1231" s="171">
        <v>1</v>
      </c>
      <c r="AH1231" s="171">
        <v>1</v>
      </c>
      <c r="AI1231" s="171">
        <v>0</v>
      </c>
      <c r="AJ1231" s="171">
        <v>0</v>
      </c>
      <c r="AK1231" s="171">
        <v>1</v>
      </c>
      <c r="AL1231" s="171">
        <v>1</v>
      </c>
      <c r="AM1231" s="171">
        <v>1</v>
      </c>
      <c r="AN1231" s="171">
        <v>1</v>
      </c>
      <c r="AO1231" s="171">
        <v>1</v>
      </c>
      <c r="AP1231" s="171">
        <v>1</v>
      </c>
      <c r="AQ1231" s="171">
        <v>1</v>
      </c>
      <c r="AR1231" s="171">
        <v>1</v>
      </c>
      <c r="AS1231" s="171">
        <v>1</v>
      </c>
      <c r="AT1231" s="171">
        <v>1</v>
      </c>
      <c r="AU1231" s="171">
        <f t="shared" si="447"/>
        <v>0</v>
      </c>
      <c r="AV1231" s="171">
        <f t="shared" si="448"/>
        <v>1</v>
      </c>
      <c r="AW1231" s="171">
        <f t="shared" si="449"/>
        <v>1</v>
      </c>
      <c r="AX1231" s="171">
        <f t="shared" si="444"/>
        <v>1</v>
      </c>
      <c r="AY1231" s="171">
        <f t="shared" si="450"/>
        <v>0</v>
      </c>
      <c r="AZ1231" s="171">
        <f t="shared" si="451"/>
        <v>1</v>
      </c>
      <c r="BA1231" s="172">
        <f t="shared" si="452"/>
        <v>1</v>
      </c>
      <c r="BB1231" s="175">
        <f t="shared" si="439"/>
        <v>17</v>
      </c>
      <c r="BC1231" s="176">
        <f t="shared" si="440"/>
        <v>16</v>
      </c>
      <c r="BD1231" s="176">
        <f t="shared" si="441"/>
        <v>17</v>
      </c>
      <c r="BE1231" s="240" t="str">
        <f t="shared" si="446"/>
        <v/>
      </c>
      <c r="BF1231" s="990"/>
      <c r="BG1231" s="990"/>
      <c r="BH1231" s="991">
        <f>IF(AND(Input_Product=Elig!$C1231,Elig_MatchAll_Ct&lt;22,$BC1231=(Elig_MatchAll_Ct-1),AF1231=0),C1231,0)</f>
        <v>0</v>
      </c>
      <c r="BI1231" s="991">
        <f>IF(AND(Input_Product=Elig!$C1231,Elig_MatchAll_Ct&lt;22,$BC1231=(Elig_MatchAll_Ct-1),AG1231=0),D1231,0)</f>
        <v>0</v>
      </c>
      <c r="BJ1231" s="991">
        <f>IF(AND(Input_Product=Elig!$C1231,Elig_MatchAll_Ct&lt;22,$BC1231=(Elig_MatchAll_Ct-1),AH1231=0),E1231,0)</f>
        <v>0</v>
      </c>
      <c r="BK1231" s="991">
        <f>IF(AND(Input_Product=Elig!$C1231,Elig_MatchAll_Ct&lt;22,$BC1231=(Elig_MatchAll_Ct-1),AI1231=0),F1231,0)</f>
        <v>0</v>
      </c>
      <c r="BL1231" s="991">
        <f>IF(AND(Input_Product=Elig!$C1231,Elig_MatchAll_Ct&lt;22,$BC1231=(Elig_MatchAll_Ct-1),AJ1231=0),G1231,0)</f>
        <v>0</v>
      </c>
      <c r="BM1231" s="991">
        <f>IF(AND(Input_Product=Elig!$C1231,Elig_MatchAll_Ct&lt;22,$BC1231=(Elig_MatchAll_Ct-1),AK1231=0),H1231,0)</f>
        <v>0</v>
      </c>
      <c r="BN1231" s="991">
        <f>IF(AND(Input_Product=Elig!$C1231,Elig_MatchAll_Ct&lt;22,$BC1231=(Elig_MatchAll_Ct-1),AL1231=0),I1231,0)</f>
        <v>0</v>
      </c>
      <c r="BO1231" s="991">
        <f>IF(AND(Input_Product=Elig!$C1231,Elig_MatchAll_Ct&lt;22,$BC1231=(Elig_MatchAll_Ct-1),AM1231=0),J1231,0)</f>
        <v>0</v>
      </c>
      <c r="BP1231" s="991">
        <f>IF(AND(Input_Product=Elig!$C1231,Elig_MatchAll_Ct&lt;22,$BC1231=(Elig_MatchAll_Ct-1),AN1231=0),K1231,0)</f>
        <v>0</v>
      </c>
      <c r="BQ1231" s="991">
        <f>IF(AND(Input_Product=Elig!$C1231,Elig_MatchAll_Ct&lt;22,$BC1231=(Elig_MatchAll_Ct-1),AP1231=0),L1231,0)</f>
        <v>0</v>
      </c>
      <c r="BR1231" s="991">
        <f>IF(AND(Input_Product=Elig!$C1231,Elig_MatchAll_Ct&lt;22,$BC1231=(Elig_MatchAll_Ct-1),AO1231=0),M1231,0)</f>
        <v>0</v>
      </c>
      <c r="BS1231" s="991">
        <f>IF(AND(Input_Product=Elig!$C1231,Elig_MatchAll_Ct&lt;22,$BC1231=(Elig_MatchAll_Ct-1),AQ1231=0),N1231,0)</f>
        <v>0</v>
      </c>
      <c r="BT1231" s="991">
        <f>IF(AND(Input_Product=Elig!$C1231,Elig_MatchAll_Ct&lt;22,$BC1231=(Elig_MatchAll_Ct-1),AR1231=0),O1231,0)</f>
        <v>0</v>
      </c>
      <c r="BU1231" s="991">
        <f>IF(AND(Input_Product=Elig!$C1231,Elig_MatchAll_Ct&lt;22,$BC1231=(Elig_MatchAll_Ct-1),AS1231=0),P1231,0)</f>
        <v>0</v>
      </c>
      <c r="BV1231" s="992">
        <f>IF(AND(Input_Product=Elig!$C1231,Elig_MatchAll_Ct&lt;22,$BC1231=(Elig_MatchAll_Ct-1),AT1231=0),Q1231,0)</f>
        <v>0</v>
      </c>
      <c r="BW1231" s="993">
        <f>IF(AND(Input_Product=Elig!$C1231,Elig_MatchAll_Ct&lt;22,$BC1231=(Elig_MatchAll_Ct-1),AU1231=0),R1231,0)</f>
        <v>0</v>
      </c>
      <c r="BX1231" s="994">
        <f>IF(AND(Input_Product=Elig!$C1231,Elig_MatchAll_Ct&lt;22,$BC1231=(Elig_MatchAll_Ct-1),AU1231=0),S1231,0)</f>
        <v>0</v>
      </c>
      <c r="BY1231" s="993">
        <f>IF(AND(Input_Product=Elig!$C1231,Elig_MatchAll_Ct&lt;22,$BC1231=(Elig_MatchAll_Ct-1),AV1231=0),T1231,0)</f>
        <v>0</v>
      </c>
      <c r="BZ1231" s="994">
        <f>IF(AND(Input_Product=Elig!$C1231,Elig_MatchAll_Ct&lt;22,$BC1231=(Elig_MatchAll_Ct-1),AV1231=0),U1231,0)</f>
        <v>0</v>
      </c>
      <c r="CA1231" s="993">
        <f>IF(AND(Input_Product=Elig!$C1231,Elig_MatchAll_Ct&lt;22,$BC1231=(Elig_MatchAll_Ct-1),AW1231=0),V1231,0)</f>
        <v>0</v>
      </c>
      <c r="CB1231" s="994">
        <f>IF(AND(Input_Product=Elig!$C1231,Elig_MatchAll_Ct&lt;22,$BC1231=(Elig_MatchAll_Ct-1),AW1231=0),W1231,0)</f>
        <v>0</v>
      </c>
      <c r="CC1231" s="993">
        <f>IF(AND(Input_Product=Elig!$C1231,Elig_MatchAll_Ct&lt;22,$BC1231=(Elig_MatchAll_Ct-1),AX1231=0),X1231,0)</f>
        <v>0</v>
      </c>
      <c r="CD1231" s="994">
        <f>IF(AND(Input_Product=Elig!$C1231,Elig_MatchAll_Ct&lt;22,$BC1231=(Elig_MatchAll_Ct-1),AX1231=0),Y1231,0)</f>
        <v>0</v>
      </c>
      <c r="CE1231" s="993">
        <f>IF(AND(Input_LTV&lt;=AE1231,Input_Product=Elig!$C1231,Elig_MatchAll_Ct&lt;22,$BC1231=(Elig_MatchAll_Ct-1),AY1231=0),Z1231,0)</f>
        <v>0</v>
      </c>
      <c r="CF1231" s="994">
        <f>IF(AND(Input_LTV&lt;=AE1231,Input_Product=Elig!$C1231,Elig_MatchAll_Ct&lt;22,$BC1231=(Elig_MatchAll_Ct-1),AY1231=0),AA1231,0)</f>
        <v>0</v>
      </c>
      <c r="CG1231" s="993">
        <f>IF(AND(Input_Product=Elig!$C1231,Elig_MatchAll_Ct&lt;22,$BC1231=(Elig_MatchAll_Ct-1),AZ1231=0),AB1231,0)</f>
        <v>0</v>
      </c>
      <c r="CH1231" s="994">
        <f>IF(AND(Input_Product=Elig!$C1231,Elig_MatchAll_Ct&lt;22,$BC1231=(Elig_MatchAll_Ct-1),AZ1231=0),AC1231,0)</f>
        <v>0</v>
      </c>
      <c r="CI1231" s="993">
        <f>IF(AND(Input_Product=Elig!$C1231,Elig_MatchAll_Ct&lt;22,$BC1231=(Elig_MatchAll_Ct-1),BA1231=0),AD1231,0)</f>
        <v>0</v>
      </c>
      <c r="CJ1231" s="994">
        <f>IF(AND(Input_Product=Elig!$C1231,Elig_MatchAll_Ct&lt;22,$BC1231=(Elig_MatchAll_Ct-1),BA1231=0),AE1231,0)</f>
        <v>0</v>
      </c>
    </row>
    <row r="1232" spans="2:88" ht="10.15" customHeight="1" x14ac:dyDescent="0.25">
      <c r="B1232" s="1918" t="s">
        <v>2522</v>
      </c>
      <c r="C1232" s="1228" t="str">
        <f t="shared" si="445"/>
        <v xml:space="preserve"> </v>
      </c>
      <c r="D1232" s="1229" t="s">
        <v>2218</v>
      </c>
      <c r="E1232" s="1229" t="s">
        <v>167</v>
      </c>
      <c r="F1232" s="1229" t="s">
        <v>330</v>
      </c>
      <c r="G1232" s="1230" t="s">
        <v>179</v>
      </c>
      <c r="H1232" s="1230" t="s">
        <v>136</v>
      </c>
      <c r="I1232" s="1229" t="s">
        <v>16</v>
      </c>
      <c r="J1232" s="1229" t="s">
        <v>1311</v>
      </c>
      <c r="K1232" s="1230" t="s">
        <v>3022</v>
      </c>
      <c r="L1232" s="1229" t="s">
        <v>2768</v>
      </c>
      <c r="M1232" s="1229" t="s">
        <v>2677</v>
      </c>
      <c r="N1232" s="1230" t="s">
        <v>2685</v>
      </c>
      <c r="O1232" s="1229" t="s">
        <v>310</v>
      </c>
      <c r="P1232" s="1229" t="s">
        <v>291</v>
      </c>
      <c r="Q1232" s="1229" t="s">
        <v>294</v>
      </c>
      <c r="R1232" s="1229">
        <v>2000000.01</v>
      </c>
      <c r="S1232" s="1229">
        <v>2500000</v>
      </c>
      <c r="T1232" s="1229">
        <v>0</v>
      </c>
      <c r="U1232" s="1229">
        <f t="shared" si="442"/>
        <v>2500000</v>
      </c>
      <c r="V1232" s="1229">
        <v>0</v>
      </c>
      <c r="W1232" s="1229">
        <v>50</v>
      </c>
      <c r="X1232" s="1229">
        <v>0</v>
      </c>
      <c r="Y1232" s="1229">
        <v>999</v>
      </c>
      <c r="Z1232" s="1231">
        <v>680</v>
      </c>
      <c r="AA1232" s="1231">
        <v>699</v>
      </c>
      <c r="AB1232" s="1231">
        <v>6</v>
      </c>
      <c r="AC1232" s="1231">
        <v>999999</v>
      </c>
      <c r="AD1232" s="1229">
        <v>0</v>
      </c>
      <c r="AE1232" s="1232">
        <v>75</v>
      </c>
      <c r="AF1232" s="170">
        <v>0</v>
      </c>
      <c r="AG1232" s="171">
        <v>1</v>
      </c>
      <c r="AH1232" s="171">
        <v>1</v>
      </c>
      <c r="AI1232" s="171">
        <v>0</v>
      </c>
      <c r="AJ1232" s="171">
        <v>0</v>
      </c>
      <c r="AK1232" s="171">
        <v>1</v>
      </c>
      <c r="AL1232" s="171">
        <v>1</v>
      </c>
      <c r="AM1232" s="171">
        <v>1</v>
      </c>
      <c r="AN1232" s="171">
        <v>1</v>
      </c>
      <c r="AO1232" s="171">
        <v>1</v>
      </c>
      <c r="AP1232" s="171">
        <v>1</v>
      </c>
      <c r="AQ1232" s="171">
        <v>1</v>
      </c>
      <c r="AR1232" s="171">
        <v>1</v>
      </c>
      <c r="AS1232" s="171">
        <v>1</v>
      </c>
      <c r="AT1232" s="171">
        <v>1</v>
      </c>
      <c r="AU1232" s="171">
        <f t="shared" si="447"/>
        <v>0</v>
      </c>
      <c r="AV1232" s="171">
        <f t="shared" si="448"/>
        <v>1</v>
      </c>
      <c r="AW1232" s="171">
        <f t="shared" si="449"/>
        <v>1</v>
      </c>
      <c r="AX1232" s="171">
        <f t="shared" si="444"/>
        <v>1</v>
      </c>
      <c r="AY1232" s="171">
        <f t="shared" si="450"/>
        <v>0</v>
      </c>
      <c r="AZ1232" s="171">
        <f t="shared" si="451"/>
        <v>1</v>
      </c>
      <c r="BA1232" s="172">
        <f t="shared" si="452"/>
        <v>1</v>
      </c>
      <c r="BB1232" s="175">
        <f t="shared" si="439"/>
        <v>17</v>
      </c>
      <c r="BC1232" s="176">
        <f t="shared" si="440"/>
        <v>16</v>
      </c>
      <c r="BD1232" s="176">
        <f t="shared" si="441"/>
        <v>17</v>
      </c>
      <c r="BE1232" s="240" t="str">
        <f t="shared" si="446"/>
        <v/>
      </c>
      <c r="BF1232" s="990"/>
      <c r="BG1232" s="990"/>
      <c r="BH1232" s="991">
        <f>IF(AND(Input_Product=Elig!$C1232,Elig_MatchAll_Ct&lt;22,$BC1232=(Elig_MatchAll_Ct-1),AF1232=0),C1232,0)</f>
        <v>0</v>
      </c>
      <c r="BI1232" s="991">
        <f>IF(AND(Input_Product=Elig!$C1232,Elig_MatchAll_Ct&lt;22,$BC1232=(Elig_MatchAll_Ct-1),AG1232=0),D1232,0)</f>
        <v>0</v>
      </c>
      <c r="BJ1232" s="991">
        <f>IF(AND(Input_Product=Elig!$C1232,Elig_MatchAll_Ct&lt;22,$BC1232=(Elig_MatchAll_Ct-1),AH1232=0),E1232,0)</f>
        <v>0</v>
      </c>
      <c r="BK1232" s="991">
        <f>IF(AND(Input_Product=Elig!$C1232,Elig_MatchAll_Ct&lt;22,$BC1232=(Elig_MatchAll_Ct-1),AI1232=0),F1232,0)</f>
        <v>0</v>
      </c>
      <c r="BL1232" s="991">
        <f>IF(AND(Input_Product=Elig!$C1232,Elig_MatchAll_Ct&lt;22,$BC1232=(Elig_MatchAll_Ct-1),AJ1232=0),G1232,0)</f>
        <v>0</v>
      </c>
      <c r="BM1232" s="991">
        <f>IF(AND(Input_Product=Elig!$C1232,Elig_MatchAll_Ct&lt;22,$BC1232=(Elig_MatchAll_Ct-1),AK1232=0),H1232,0)</f>
        <v>0</v>
      </c>
      <c r="BN1232" s="991">
        <f>IF(AND(Input_Product=Elig!$C1232,Elig_MatchAll_Ct&lt;22,$BC1232=(Elig_MatchAll_Ct-1),AL1232=0),I1232,0)</f>
        <v>0</v>
      </c>
      <c r="BO1232" s="991">
        <f>IF(AND(Input_Product=Elig!$C1232,Elig_MatchAll_Ct&lt;22,$BC1232=(Elig_MatchAll_Ct-1),AM1232=0),J1232,0)</f>
        <v>0</v>
      </c>
      <c r="BP1232" s="991">
        <f>IF(AND(Input_Product=Elig!$C1232,Elig_MatchAll_Ct&lt;22,$BC1232=(Elig_MatchAll_Ct-1),AN1232=0),K1232,0)</f>
        <v>0</v>
      </c>
      <c r="BQ1232" s="991">
        <f>IF(AND(Input_Product=Elig!$C1232,Elig_MatchAll_Ct&lt;22,$BC1232=(Elig_MatchAll_Ct-1),AP1232=0),L1232,0)</f>
        <v>0</v>
      </c>
      <c r="BR1232" s="991">
        <f>IF(AND(Input_Product=Elig!$C1232,Elig_MatchAll_Ct&lt;22,$BC1232=(Elig_MatchAll_Ct-1),AO1232=0),M1232,0)</f>
        <v>0</v>
      </c>
      <c r="BS1232" s="991">
        <f>IF(AND(Input_Product=Elig!$C1232,Elig_MatchAll_Ct&lt;22,$BC1232=(Elig_MatchAll_Ct-1),AQ1232=0),N1232,0)</f>
        <v>0</v>
      </c>
      <c r="BT1232" s="991">
        <f>IF(AND(Input_Product=Elig!$C1232,Elig_MatchAll_Ct&lt;22,$BC1232=(Elig_MatchAll_Ct-1),AR1232=0),O1232,0)</f>
        <v>0</v>
      </c>
      <c r="BU1232" s="991">
        <f>IF(AND(Input_Product=Elig!$C1232,Elig_MatchAll_Ct&lt;22,$BC1232=(Elig_MatchAll_Ct-1),AS1232=0),P1232,0)</f>
        <v>0</v>
      </c>
      <c r="BV1232" s="992">
        <f>IF(AND(Input_Product=Elig!$C1232,Elig_MatchAll_Ct&lt;22,$BC1232=(Elig_MatchAll_Ct-1),AT1232=0),Q1232,0)</f>
        <v>0</v>
      </c>
      <c r="BW1232" s="993">
        <f>IF(AND(Input_Product=Elig!$C1232,Elig_MatchAll_Ct&lt;22,$BC1232=(Elig_MatchAll_Ct-1),AU1232=0),R1232,0)</f>
        <v>0</v>
      </c>
      <c r="BX1232" s="994">
        <f>IF(AND(Input_Product=Elig!$C1232,Elig_MatchAll_Ct&lt;22,$BC1232=(Elig_MatchAll_Ct-1),AU1232=0),S1232,0)</f>
        <v>0</v>
      </c>
      <c r="BY1232" s="993">
        <f>IF(AND(Input_Product=Elig!$C1232,Elig_MatchAll_Ct&lt;22,$BC1232=(Elig_MatchAll_Ct-1),AV1232=0),T1232,0)</f>
        <v>0</v>
      </c>
      <c r="BZ1232" s="994">
        <f>IF(AND(Input_Product=Elig!$C1232,Elig_MatchAll_Ct&lt;22,$BC1232=(Elig_MatchAll_Ct-1),AV1232=0),U1232,0)</f>
        <v>0</v>
      </c>
      <c r="CA1232" s="993">
        <f>IF(AND(Input_Product=Elig!$C1232,Elig_MatchAll_Ct&lt;22,$BC1232=(Elig_MatchAll_Ct-1),AW1232=0),V1232,0)</f>
        <v>0</v>
      </c>
      <c r="CB1232" s="994">
        <f>IF(AND(Input_Product=Elig!$C1232,Elig_MatchAll_Ct&lt;22,$BC1232=(Elig_MatchAll_Ct-1),AW1232=0),W1232,0)</f>
        <v>0</v>
      </c>
      <c r="CC1232" s="993">
        <f>IF(AND(Input_Product=Elig!$C1232,Elig_MatchAll_Ct&lt;22,$BC1232=(Elig_MatchAll_Ct-1),AX1232=0),X1232,0)</f>
        <v>0</v>
      </c>
      <c r="CD1232" s="994">
        <f>IF(AND(Input_Product=Elig!$C1232,Elig_MatchAll_Ct&lt;22,$BC1232=(Elig_MatchAll_Ct-1),AX1232=0),Y1232,0)</f>
        <v>0</v>
      </c>
      <c r="CE1232" s="993">
        <f>IF(AND(Input_LTV&lt;=AE1232,Input_Product=Elig!$C1232,Elig_MatchAll_Ct&lt;22,$BC1232=(Elig_MatchAll_Ct-1),AY1232=0),Z1232,0)</f>
        <v>0</v>
      </c>
      <c r="CF1232" s="994">
        <f>IF(AND(Input_LTV&lt;=AE1232,Input_Product=Elig!$C1232,Elig_MatchAll_Ct&lt;22,$BC1232=(Elig_MatchAll_Ct-1),AY1232=0),AA1232,0)</f>
        <v>0</v>
      </c>
      <c r="CG1232" s="993">
        <f>IF(AND(Input_Product=Elig!$C1232,Elig_MatchAll_Ct&lt;22,$BC1232=(Elig_MatchAll_Ct-1),AZ1232=0),AB1232,0)</f>
        <v>0</v>
      </c>
      <c r="CH1232" s="994">
        <f>IF(AND(Input_Product=Elig!$C1232,Elig_MatchAll_Ct&lt;22,$BC1232=(Elig_MatchAll_Ct-1),AZ1232=0),AC1232,0)</f>
        <v>0</v>
      </c>
      <c r="CI1232" s="993">
        <f>IF(AND(Input_Product=Elig!$C1232,Elig_MatchAll_Ct&lt;22,$BC1232=(Elig_MatchAll_Ct-1),BA1232=0),AD1232,0)</f>
        <v>0</v>
      </c>
      <c r="CJ1232" s="994">
        <f>IF(AND(Input_Product=Elig!$C1232,Elig_MatchAll_Ct&lt;22,$BC1232=(Elig_MatchAll_Ct-1),BA1232=0),AE1232,0)</f>
        <v>0</v>
      </c>
    </row>
    <row r="1233" spans="2:88" ht="10.15" customHeight="1" x14ac:dyDescent="0.25">
      <c r="B1233" s="1918" t="s">
        <v>2523</v>
      </c>
      <c r="C1233" s="1218" t="str">
        <f t="shared" si="445"/>
        <v xml:space="preserve"> </v>
      </c>
      <c r="D1233" s="1219" t="s">
        <v>2218</v>
      </c>
      <c r="E1233" s="1219" t="s">
        <v>167</v>
      </c>
      <c r="F1233" s="1219" t="s">
        <v>330</v>
      </c>
      <c r="G1233" s="1220" t="s">
        <v>179</v>
      </c>
      <c r="H1233" s="1220" t="s">
        <v>136</v>
      </c>
      <c r="I1233" s="1219" t="s">
        <v>16</v>
      </c>
      <c r="J1233" s="1219" t="s">
        <v>1311</v>
      </c>
      <c r="K1233" s="1220" t="s">
        <v>3022</v>
      </c>
      <c r="L1233" s="1219" t="s">
        <v>2768</v>
      </c>
      <c r="M1233" s="1219" t="s">
        <v>2677</v>
      </c>
      <c r="N1233" s="1220" t="s">
        <v>2685</v>
      </c>
      <c r="O1233" s="1219" t="s">
        <v>310</v>
      </c>
      <c r="P1233" s="1219" t="s">
        <v>291</v>
      </c>
      <c r="Q1233" s="1219" t="s">
        <v>294</v>
      </c>
      <c r="R1233" s="1219">
        <v>2500000.0099999998</v>
      </c>
      <c r="S1233" s="1219">
        <v>3000000</v>
      </c>
      <c r="T1233" s="1219">
        <v>0</v>
      </c>
      <c r="U1233" s="1219">
        <f t="shared" si="442"/>
        <v>3000000</v>
      </c>
      <c r="V1233" s="1219">
        <v>0</v>
      </c>
      <c r="W1233" s="1219">
        <v>50</v>
      </c>
      <c r="X1233" s="1219">
        <v>0</v>
      </c>
      <c r="Y1233" s="1219">
        <v>999</v>
      </c>
      <c r="Z1233" s="1221">
        <v>720</v>
      </c>
      <c r="AA1233" s="1221">
        <v>999</v>
      </c>
      <c r="AB1233" s="1221">
        <v>6</v>
      </c>
      <c r="AC1233" s="1221">
        <v>999999</v>
      </c>
      <c r="AD1233" s="1219">
        <v>0</v>
      </c>
      <c r="AE1233" s="1222">
        <v>75</v>
      </c>
      <c r="AF1233" s="170">
        <v>0</v>
      </c>
      <c r="AG1233" s="171">
        <v>1</v>
      </c>
      <c r="AH1233" s="171">
        <v>1</v>
      </c>
      <c r="AI1233" s="171">
        <v>0</v>
      </c>
      <c r="AJ1233" s="171">
        <v>0</v>
      </c>
      <c r="AK1233" s="171">
        <v>1</v>
      </c>
      <c r="AL1233" s="171">
        <v>1</v>
      </c>
      <c r="AM1233" s="171">
        <v>1</v>
      </c>
      <c r="AN1233" s="171">
        <v>1</v>
      </c>
      <c r="AO1233" s="171">
        <v>1</v>
      </c>
      <c r="AP1233" s="171">
        <v>1</v>
      </c>
      <c r="AQ1233" s="171">
        <v>1</v>
      </c>
      <c r="AR1233" s="171">
        <v>1</v>
      </c>
      <c r="AS1233" s="171">
        <v>1</v>
      </c>
      <c r="AT1233" s="171">
        <v>1</v>
      </c>
      <c r="AU1233" s="171">
        <f t="shared" si="447"/>
        <v>0</v>
      </c>
      <c r="AV1233" s="171">
        <f t="shared" si="448"/>
        <v>1</v>
      </c>
      <c r="AW1233" s="171">
        <f t="shared" si="449"/>
        <v>1</v>
      </c>
      <c r="AX1233" s="171">
        <f t="shared" si="444"/>
        <v>1</v>
      </c>
      <c r="AY1233" s="171">
        <f t="shared" si="450"/>
        <v>1</v>
      </c>
      <c r="AZ1233" s="171">
        <f t="shared" si="451"/>
        <v>1</v>
      </c>
      <c r="BA1233" s="172">
        <f t="shared" si="452"/>
        <v>1</v>
      </c>
      <c r="BB1233" s="175">
        <f t="shared" si="439"/>
        <v>18</v>
      </c>
      <c r="BC1233" s="176">
        <f t="shared" si="440"/>
        <v>17</v>
      </c>
      <c r="BD1233" s="176">
        <f t="shared" si="441"/>
        <v>18</v>
      </c>
      <c r="BE1233" s="240" t="str">
        <f t="shared" si="446"/>
        <v/>
      </c>
      <c r="BF1233" s="990"/>
      <c r="BG1233" s="990"/>
      <c r="BH1233" s="991">
        <f>IF(AND(Input_Product=Elig!$C1233,Elig_MatchAll_Ct&lt;22,$BC1233=(Elig_MatchAll_Ct-1),AF1233=0),C1233,0)</f>
        <v>0</v>
      </c>
      <c r="BI1233" s="991">
        <f>IF(AND(Input_Product=Elig!$C1233,Elig_MatchAll_Ct&lt;22,$BC1233=(Elig_MatchAll_Ct-1),AG1233=0),D1233,0)</f>
        <v>0</v>
      </c>
      <c r="BJ1233" s="991">
        <f>IF(AND(Input_Product=Elig!$C1233,Elig_MatchAll_Ct&lt;22,$BC1233=(Elig_MatchAll_Ct-1),AH1233=0),E1233,0)</f>
        <v>0</v>
      </c>
      <c r="BK1233" s="991">
        <f>IF(AND(Input_Product=Elig!$C1233,Elig_MatchAll_Ct&lt;22,$BC1233=(Elig_MatchAll_Ct-1),AI1233=0),F1233,0)</f>
        <v>0</v>
      </c>
      <c r="BL1233" s="991">
        <f>IF(AND(Input_Product=Elig!$C1233,Elig_MatchAll_Ct&lt;22,$BC1233=(Elig_MatchAll_Ct-1),AJ1233=0),G1233,0)</f>
        <v>0</v>
      </c>
      <c r="BM1233" s="991">
        <f>IF(AND(Input_Product=Elig!$C1233,Elig_MatchAll_Ct&lt;22,$BC1233=(Elig_MatchAll_Ct-1),AK1233=0),H1233,0)</f>
        <v>0</v>
      </c>
      <c r="BN1233" s="991">
        <f>IF(AND(Input_Product=Elig!$C1233,Elig_MatchAll_Ct&lt;22,$BC1233=(Elig_MatchAll_Ct-1),AL1233=0),I1233,0)</f>
        <v>0</v>
      </c>
      <c r="BO1233" s="991">
        <f>IF(AND(Input_Product=Elig!$C1233,Elig_MatchAll_Ct&lt;22,$BC1233=(Elig_MatchAll_Ct-1),AM1233=0),J1233,0)</f>
        <v>0</v>
      </c>
      <c r="BP1233" s="991">
        <f>IF(AND(Input_Product=Elig!$C1233,Elig_MatchAll_Ct&lt;22,$BC1233=(Elig_MatchAll_Ct-1),AN1233=0),K1233,0)</f>
        <v>0</v>
      </c>
      <c r="BQ1233" s="991">
        <f>IF(AND(Input_Product=Elig!$C1233,Elig_MatchAll_Ct&lt;22,$BC1233=(Elig_MatchAll_Ct-1),AP1233=0),L1233,0)</f>
        <v>0</v>
      </c>
      <c r="BR1233" s="991">
        <f>IF(AND(Input_Product=Elig!$C1233,Elig_MatchAll_Ct&lt;22,$BC1233=(Elig_MatchAll_Ct-1),AO1233=0),M1233,0)</f>
        <v>0</v>
      </c>
      <c r="BS1233" s="991">
        <f>IF(AND(Input_Product=Elig!$C1233,Elig_MatchAll_Ct&lt;22,$BC1233=(Elig_MatchAll_Ct-1),AQ1233=0),N1233,0)</f>
        <v>0</v>
      </c>
      <c r="BT1233" s="991">
        <f>IF(AND(Input_Product=Elig!$C1233,Elig_MatchAll_Ct&lt;22,$BC1233=(Elig_MatchAll_Ct-1),AR1233=0),O1233,0)</f>
        <v>0</v>
      </c>
      <c r="BU1233" s="991">
        <f>IF(AND(Input_Product=Elig!$C1233,Elig_MatchAll_Ct&lt;22,$BC1233=(Elig_MatchAll_Ct-1),AS1233=0),P1233,0)</f>
        <v>0</v>
      </c>
      <c r="BV1233" s="992">
        <f>IF(AND(Input_Product=Elig!$C1233,Elig_MatchAll_Ct&lt;22,$BC1233=(Elig_MatchAll_Ct-1),AT1233=0),Q1233,0)</f>
        <v>0</v>
      </c>
      <c r="BW1233" s="993">
        <f>IF(AND(Input_Product=Elig!$C1233,Elig_MatchAll_Ct&lt;22,$BC1233=(Elig_MatchAll_Ct-1),AU1233=0),R1233,0)</f>
        <v>0</v>
      </c>
      <c r="BX1233" s="994">
        <f>IF(AND(Input_Product=Elig!$C1233,Elig_MatchAll_Ct&lt;22,$BC1233=(Elig_MatchAll_Ct-1),AU1233=0),S1233,0)</f>
        <v>0</v>
      </c>
      <c r="BY1233" s="993">
        <f>IF(AND(Input_Product=Elig!$C1233,Elig_MatchAll_Ct&lt;22,$BC1233=(Elig_MatchAll_Ct-1),AV1233=0),T1233,0)</f>
        <v>0</v>
      </c>
      <c r="BZ1233" s="994">
        <f>IF(AND(Input_Product=Elig!$C1233,Elig_MatchAll_Ct&lt;22,$BC1233=(Elig_MatchAll_Ct-1),AV1233=0),U1233,0)</f>
        <v>0</v>
      </c>
      <c r="CA1233" s="993">
        <f>IF(AND(Input_Product=Elig!$C1233,Elig_MatchAll_Ct&lt;22,$BC1233=(Elig_MatchAll_Ct-1),AW1233=0),V1233,0)</f>
        <v>0</v>
      </c>
      <c r="CB1233" s="994">
        <f>IF(AND(Input_Product=Elig!$C1233,Elig_MatchAll_Ct&lt;22,$BC1233=(Elig_MatchAll_Ct-1),AW1233=0),W1233,0)</f>
        <v>0</v>
      </c>
      <c r="CC1233" s="993">
        <f>IF(AND(Input_Product=Elig!$C1233,Elig_MatchAll_Ct&lt;22,$BC1233=(Elig_MatchAll_Ct-1),AX1233=0),X1233,0)</f>
        <v>0</v>
      </c>
      <c r="CD1233" s="994">
        <f>IF(AND(Input_Product=Elig!$C1233,Elig_MatchAll_Ct&lt;22,$BC1233=(Elig_MatchAll_Ct-1),AX1233=0),Y1233,0)</f>
        <v>0</v>
      </c>
      <c r="CE1233" s="993">
        <f>IF(AND(Input_LTV&lt;=AE1233,Input_Product=Elig!$C1233,Elig_MatchAll_Ct&lt;22,$BC1233=(Elig_MatchAll_Ct-1),AY1233=0),Z1233,0)</f>
        <v>0</v>
      </c>
      <c r="CF1233" s="994">
        <f>IF(AND(Input_LTV&lt;=AE1233,Input_Product=Elig!$C1233,Elig_MatchAll_Ct&lt;22,$BC1233=(Elig_MatchAll_Ct-1),AY1233=0),AA1233,0)</f>
        <v>0</v>
      </c>
      <c r="CG1233" s="993">
        <f>IF(AND(Input_Product=Elig!$C1233,Elig_MatchAll_Ct&lt;22,$BC1233=(Elig_MatchAll_Ct-1),AZ1233=0),AB1233,0)</f>
        <v>0</v>
      </c>
      <c r="CH1233" s="994">
        <f>IF(AND(Input_Product=Elig!$C1233,Elig_MatchAll_Ct&lt;22,$BC1233=(Elig_MatchAll_Ct-1),AZ1233=0),AC1233,0)</f>
        <v>0</v>
      </c>
      <c r="CI1233" s="993">
        <f>IF(AND(Input_Product=Elig!$C1233,Elig_MatchAll_Ct&lt;22,$BC1233=(Elig_MatchAll_Ct-1),BA1233=0),AD1233,0)</f>
        <v>0</v>
      </c>
      <c r="CJ1233" s="994">
        <f>IF(AND(Input_Product=Elig!$C1233,Elig_MatchAll_Ct&lt;22,$BC1233=(Elig_MatchAll_Ct-1),BA1233=0),AE1233,0)</f>
        <v>0</v>
      </c>
    </row>
    <row r="1234" spans="2:88" ht="10.15" customHeight="1" x14ac:dyDescent="0.25">
      <c r="B1234" s="1918" t="s">
        <v>2524</v>
      </c>
      <c r="C1234" s="1223" t="str">
        <f t="shared" si="445"/>
        <v xml:space="preserve"> </v>
      </c>
      <c r="D1234" s="1224" t="s">
        <v>2218</v>
      </c>
      <c r="E1234" s="1224" t="s">
        <v>167</v>
      </c>
      <c r="F1234" s="1224" t="s">
        <v>330</v>
      </c>
      <c r="G1234" s="1225" t="s">
        <v>179</v>
      </c>
      <c r="H1234" s="1225" t="s">
        <v>136</v>
      </c>
      <c r="I1234" s="1224" t="s">
        <v>16</v>
      </c>
      <c r="J1234" s="1224" t="s">
        <v>1311</v>
      </c>
      <c r="K1234" s="1225" t="s">
        <v>3022</v>
      </c>
      <c r="L1234" s="1224" t="s">
        <v>2768</v>
      </c>
      <c r="M1234" s="1224" t="s">
        <v>2677</v>
      </c>
      <c r="N1234" s="1225" t="s">
        <v>2685</v>
      </c>
      <c r="O1234" s="1224" t="s">
        <v>310</v>
      </c>
      <c r="P1234" s="1224" t="s">
        <v>291</v>
      </c>
      <c r="Q1234" s="1224" t="s">
        <v>294</v>
      </c>
      <c r="R1234" s="1224">
        <v>2500000.0099999998</v>
      </c>
      <c r="S1234" s="1224">
        <v>3000000</v>
      </c>
      <c r="T1234" s="1224">
        <v>0</v>
      </c>
      <c r="U1234" s="1224">
        <f t="shared" si="442"/>
        <v>3000000</v>
      </c>
      <c r="V1234" s="1224">
        <v>0</v>
      </c>
      <c r="W1234" s="1224">
        <v>50</v>
      </c>
      <c r="X1234" s="1224">
        <v>0</v>
      </c>
      <c r="Y1234" s="1224">
        <v>999</v>
      </c>
      <c r="Z1234" s="1226">
        <v>700</v>
      </c>
      <c r="AA1234" s="1226">
        <v>719</v>
      </c>
      <c r="AB1234" s="1226">
        <v>6</v>
      </c>
      <c r="AC1234" s="1226">
        <v>999999</v>
      </c>
      <c r="AD1234" s="1224">
        <v>0</v>
      </c>
      <c r="AE1234" s="1227">
        <v>75</v>
      </c>
      <c r="AF1234" s="170">
        <v>0</v>
      </c>
      <c r="AG1234" s="171">
        <v>1</v>
      </c>
      <c r="AH1234" s="171">
        <v>1</v>
      </c>
      <c r="AI1234" s="171">
        <v>0</v>
      </c>
      <c r="AJ1234" s="171">
        <v>0</v>
      </c>
      <c r="AK1234" s="171">
        <v>1</v>
      </c>
      <c r="AL1234" s="171">
        <v>1</v>
      </c>
      <c r="AM1234" s="171">
        <v>1</v>
      </c>
      <c r="AN1234" s="171">
        <v>1</v>
      </c>
      <c r="AO1234" s="171">
        <v>1</v>
      </c>
      <c r="AP1234" s="171">
        <v>1</v>
      </c>
      <c r="AQ1234" s="171">
        <v>1</v>
      </c>
      <c r="AR1234" s="171">
        <v>1</v>
      </c>
      <c r="AS1234" s="171">
        <v>1</v>
      </c>
      <c r="AT1234" s="171">
        <v>1</v>
      </c>
      <c r="AU1234" s="171">
        <f t="shared" si="447"/>
        <v>0</v>
      </c>
      <c r="AV1234" s="171">
        <f t="shared" si="448"/>
        <v>1</v>
      </c>
      <c r="AW1234" s="171">
        <f t="shared" si="449"/>
        <v>1</v>
      </c>
      <c r="AX1234" s="171">
        <f t="shared" si="444"/>
        <v>1</v>
      </c>
      <c r="AY1234" s="171">
        <f t="shared" si="450"/>
        <v>0</v>
      </c>
      <c r="AZ1234" s="171">
        <f t="shared" si="451"/>
        <v>1</v>
      </c>
      <c r="BA1234" s="172">
        <f t="shared" si="452"/>
        <v>1</v>
      </c>
      <c r="BB1234" s="175">
        <f t="shared" si="439"/>
        <v>17</v>
      </c>
      <c r="BC1234" s="176">
        <f t="shared" si="440"/>
        <v>16</v>
      </c>
      <c r="BD1234" s="176">
        <f t="shared" si="441"/>
        <v>17</v>
      </c>
      <c r="BE1234" s="240" t="str">
        <f t="shared" si="446"/>
        <v/>
      </c>
      <c r="BF1234" s="990"/>
      <c r="BG1234" s="990"/>
      <c r="BH1234" s="991">
        <f>IF(AND(Input_Product=Elig!$C1234,Elig_MatchAll_Ct&lt;22,$BC1234=(Elig_MatchAll_Ct-1),AF1234=0),C1234,0)</f>
        <v>0</v>
      </c>
      <c r="BI1234" s="991">
        <f>IF(AND(Input_Product=Elig!$C1234,Elig_MatchAll_Ct&lt;22,$BC1234=(Elig_MatchAll_Ct-1),AG1234=0),D1234,0)</f>
        <v>0</v>
      </c>
      <c r="BJ1234" s="991">
        <f>IF(AND(Input_Product=Elig!$C1234,Elig_MatchAll_Ct&lt;22,$BC1234=(Elig_MatchAll_Ct-1),AH1234=0),E1234,0)</f>
        <v>0</v>
      </c>
      <c r="BK1234" s="991">
        <f>IF(AND(Input_Product=Elig!$C1234,Elig_MatchAll_Ct&lt;22,$BC1234=(Elig_MatchAll_Ct-1),AI1234=0),F1234,0)</f>
        <v>0</v>
      </c>
      <c r="BL1234" s="991">
        <f>IF(AND(Input_Product=Elig!$C1234,Elig_MatchAll_Ct&lt;22,$BC1234=(Elig_MatchAll_Ct-1),AJ1234=0),G1234,0)</f>
        <v>0</v>
      </c>
      <c r="BM1234" s="991">
        <f>IF(AND(Input_Product=Elig!$C1234,Elig_MatchAll_Ct&lt;22,$BC1234=(Elig_MatchAll_Ct-1),AK1234=0),H1234,0)</f>
        <v>0</v>
      </c>
      <c r="BN1234" s="991">
        <f>IF(AND(Input_Product=Elig!$C1234,Elig_MatchAll_Ct&lt;22,$BC1234=(Elig_MatchAll_Ct-1),AL1234=0),I1234,0)</f>
        <v>0</v>
      </c>
      <c r="BO1234" s="991">
        <f>IF(AND(Input_Product=Elig!$C1234,Elig_MatchAll_Ct&lt;22,$BC1234=(Elig_MatchAll_Ct-1),AM1234=0),J1234,0)</f>
        <v>0</v>
      </c>
      <c r="BP1234" s="991">
        <f>IF(AND(Input_Product=Elig!$C1234,Elig_MatchAll_Ct&lt;22,$BC1234=(Elig_MatchAll_Ct-1),AN1234=0),K1234,0)</f>
        <v>0</v>
      </c>
      <c r="BQ1234" s="991">
        <f>IF(AND(Input_Product=Elig!$C1234,Elig_MatchAll_Ct&lt;22,$BC1234=(Elig_MatchAll_Ct-1),AP1234=0),L1234,0)</f>
        <v>0</v>
      </c>
      <c r="BR1234" s="991">
        <f>IF(AND(Input_Product=Elig!$C1234,Elig_MatchAll_Ct&lt;22,$BC1234=(Elig_MatchAll_Ct-1),AO1234=0),M1234,0)</f>
        <v>0</v>
      </c>
      <c r="BS1234" s="991">
        <f>IF(AND(Input_Product=Elig!$C1234,Elig_MatchAll_Ct&lt;22,$BC1234=(Elig_MatchAll_Ct-1),AQ1234=0),N1234,0)</f>
        <v>0</v>
      </c>
      <c r="BT1234" s="991">
        <f>IF(AND(Input_Product=Elig!$C1234,Elig_MatchAll_Ct&lt;22,$BC1234=(Elig_MatchAll_Ct-1),AR1234=0),O1234,0)</f>
        <v>0</v>
      </c>
      <c r="BU1234" s="991">
        <f>IF(AND(Input_Product=Elig!$C1234,Elig_MatchAll_Ct&lt;22,$BC1234=(Elig_MatchAll_Ct-1),AS1234=0),P1234,0)</f>
        <v>0</v>
      </c>
      <c r="BV1234" s="992">
        <f>IF(AND(Input_Product=Elig!$C1234,Elig_MatchAll_Ct&lt;22,$BC1234=(Elig_MatchAll_Ct-1),AT1234=0),Q1234,0)</f>
        <v>0</v>
      </c>
      <c r="BW1234" s="993">
        <f>IF(AND(Input_Product=Elig!$C1234,Elig_MatchAll_Ct&lt;22,$BC1234=(Elig_MatchAll_Ct-1),AU1234=0),R1234,0)</f>
        <v>0</v>
      </c>
      <c r="BX1234" s="994">
        <f>IF(AND(Input_Product=Elig!$C1234,Elig_MatchAll_Ct&lt;22,$BC1234=(Elig_MatchAll_Ct-1),AU1234=0),S1234,0)</f>
        <v>0</v>
      </c>
      <c r="BY1234" s="993">
        <f>IF(AND(Input_Product=Elig!$C1234,Elig_MatchAll_Ct&lt;22,$BC1234=(Elig_MatchAll_Ct-1),AV1234=0),T1234,0)</f>
        <v>0</v>
      </c>
      <c r="BZ1234" s="994">
        <f>IF(AND(Input_Product=Elig!$C1234,Elig_MatchAll_Ct&lt;22,$BC1234=(Elig_MatchAll_Ct-1),AV1234=0),U1234,0)</f>
        <v>0</v>
      </c>
      <c r="CA1234" s="993">
        <f>IF(AND(Input_Product=Elig!$C1234,Elig_MatchAll_Ct&lt;22,$BC1234=(Elig_MatchAll_Ct-1),AW1234=0),V1234,0)</f>
        <v>0</v>
      </c>
      <c r="CB1234" s="994">
        <f>IF(AND(Input_Product=Elig!$C1234,Elig_MatchAll_Ct&lt;22,$BC1234=(Elig_MatchAll_Ct-1),AW1234=0),W1234,0)</f>
        <v>0</v>
      </c>
      <c r="CC1234" s="993">
        <f>IF(AND(Input_Product=Elig!$C1234,Elig_MatchAll_Ct&lt;22,$BC1234=(Elig_MatchAll_Ct-1),AX1234=0),X1234,0)</f>
        <v>0</v>
      </c>
      <c r="CD1234" s="994">
        <f>IF(AND(Input_Product=Elig!$C1234,Elig_MatchAll_Ct&lt;22,$BC1234=(Elig_MatchAll_Ct-1),AX1234=0),Y1234,0)</f>
        <v>0</v>
      </c>
      <c r="CE1234" s="993">
        <f>IF(AND(Input_LTV&lt;=AE1234,Input_Product=Elig!$C1234,Elig_MatchAll_Ct&lt;22,$BC1234=(Elig_MatchAll_Ct-1),AY1234=0),Z1234,0)</f>
        <v>0</v>
      </c>
      <c r="CF1234" s="994">
        <f>IF(AND(Input_LTV&lt;=AE1234,Input_Product=Elig!$C1234,Elig_MatchAll_Ct&lt;22,$BC1234=(Elig_MatchAll_Ct-1),AY1234=0),AA1234,0)</f>
        <v>0</v>
      </c>
      <c r="CG1234" s="993">
        <f>IF(AND(Input_Product=Elig!$C1234,Elig_MatchAll_Ct&lt;22,$BC1234=(Elig_MatchAll_Ct-1),AZ1234=0),AB1234,0)</f>
        <v>0</v>
      </c>
      <c r="CH1234" s="994">
        <f>IF(AND(Input_Product=Elig!$C1234,Elig_MatchAll_Ct&lt;22,$BC1234=(Elig_MatchAll_Ct-1),AZ1234=0),AC1234,0)</f>
        <v>0</v>
      </c>
      <c r="CI1234" s="993">
        <f>IF(AND(Input_Product=Elig!$C1234,Elig_MatchAll_Ct&lt;22,$BC1234=(Elig_MatchAll_Ct-1),BA1234=0),AD1234,0)</f>
        <v>0</v>
      </c>
      <c r="CJ1234" s="994">
        <f>IF(AND(Input_Product=Elig!$C1234,Elig_MatchAll_Ct&lt;22,$BC1234=(Elig_MatchAll_Ct-1),BA1234=0),AE1234,0)</f>
        <v>0</v>
      </c>
    </row>
    <row r="1235" spans="2:88" ht="10.15" customHeight="1" x14ac:dyDescent="0.25">
      <c r="B1235" s="1918" t="s">
        <v>2525</v>
      </c>
      <c r="C1235" s="1228" t="str">
        <f t="shared" si="445"/>
        <v xml:space="preserve"> </v>
      </c>
      <c r="D1235" s="1229" t="s">
        <v>2218</v>
      </c>
      <c r="E1235" s="1229" t="s">
        <v>167</v>
      </c>
      <c r="F1235" s="1229" t="s">
        <v>330</v>
      </c>
      <c r="G1235" s="1230" t="s">
        <v>179</v>
      </c>
      <c r="H1235" s="1230" t="s">
        <v>136</v>
      </c>
      <c r="I1235" s="1229" t="s">
        <v>16</v>
      </c>
      <c r="J1235" s="1229" t="s">
        <v>1311</v>
      </c>
      <c r="K1235" s="1230" t="s">
        <v>3022</v>
      </c>
      <c r="L1235" s="1229" t="s">
        <v>2768</v>
      </c>
      <c r="M1235" s="1229" t="s">
        <v>2677</v>
      </c>
      <c r="N1235" s="1230" t="s">
        <v>2685</v>
      </c>
      <c r="O1235" s="1229" t="s">
        <v>310</v>
      </c>
      <c r="P1235" s="1229" t="s">
        <v>291</v>
      </c>
      <c r="Q1235" s="1229" t="s">
        <v>294</v>
      </c>
      <c r="R1235" s="1229">
        <v>2500000.0099999998</v>
      </c>
      <c r="S1235" s="1229">
        <v>3000000</v>
      </c>
      <c r="T1235" s="1229">
        <v>0</v>
      </c>
      <c r="U1235" s="1229">
        <f t="shared" si="442"/>
        <v>3000000</v>
      </c>
      <c r="V1235" s="1229">
        <v>0</v>
      </c>
      <c r="W1235" s="1229">
        <v>50</v>
      </c>
      <c r="X1235" s="1229">
        <v>0</v>
      </c>
      <c r="Y1235" s="1229">
        <v>999</v>
      </c>
      <c r="Z1235" s="1231">
        <v>680</v>
      </c>
      <c r="AA1235" s="1231">
        <v>699</v>
      </c>
      <c r="AB1235" s="1231">
        <v>6</v>
      </c>
      <c r="AC1235" s="1231">
        <v>999999</v>
      </c>
      <c r="AD1235" s="1229">
        <v>0</v>
      </c>
      <c r="AE1235" s="1232">
        <v>75</v>
      </c>
      <c r="AF1235" s="170">
        <v>0</v>
      </c>
      <c r="AG1235" s="171">
        <v>1</v>
      </c>
      <c r="AH1235" s="171">
        <v>1</v>
      </c>
      <c r="AI1235" s="171">
        <v>0</v>
      </c>
      <c r="AJ1235" s="171">
        <v>0</v>
      </c>
      <c r="AK1235" s="171">
        <v>1</v>
      </c>
      <c r="AL1235" s="171">
        <v>1</v>
      </c>
      <c r="AM1235" s="171">
        <v>1</v>
      </c>
      <c r="AN1235" s="171">
        <v>1</v>
      </c>
      <c r="AO1235" s="171">
        <v>1</v>
      </c>
      <c r="AP1235" s="171">
        <v>1</v>
      </c>
      <c r="AQ1235" s="171">
        <v>1</v>
      </c>
      <c r="AR1235" s="171">
        <v>1</v>
      </c>
      <c r="AS1235" s="171">
        <v>1</v>
      </c>
      <c r="AT1235" s="171">
        <v>1</v>
      </c>
      <c r="AU1235" s="171">
        <f t="shared" si="447"/>
        <v>0</v>
      </c>
      <c r="AV1235" s="171">
        <f t="shared" si="448"/>
        <v>1</v>
      </c>
      <c r="AW1235" s="171">
        <f t="shared" si="449"/>
        <v>1</v>
      </c>
      <c r="AX1235" s="171">
        <f t="shared" si="444"/>
        <v>1</v>
      </c>
      <c r="AY1235" s="171">
        <f t="shared" si="450"/>
        <v>0</v>
      </c>
      <c r="AZ1235" s="171">
        <f t="shared" si="451"/>
        <v>1</v>
      </c>
      <c r="BA1235" s="172">
        <f t="shared" si="452"/>
        <v>1</v>
      </c>
      <c r="BB1235" s="175">
        <f t="shared" si="439"/>
        <v>17</v>
      </c>
      <c r="BC1235" s="176">
        <f t="shared" si="440"/>
        <v>16</v>
      </c>
      <c r="BD1235" s="176">
        <f t="shared" si="441"/>
        <v>17</v>
      </c>
      <c r="BE1235" s="240" t="str">
        <f t="shared" si="446"/>
        <v/>
      </c>
      <c r="BF1235" s="990"/>
      <c r="BG1235" s="990"/>
      <c r="BH1235" s="991">
        <f>IF(AND(Input_Product=Elig!$C1235,Elig_MatchAll_Ct&lt;22,$BC1235=(Elig_MatchAll_Ct-1),AF1235=0),C1235,0)</f>
        <v>0</v>
      </c>
      <c r="BI1235" s="991">
        <f>IF(AND(Input_Product=Elig!$C1235,Elig_MatchAll_Ct&lt;22,$BC1235=(Elig_MatchAll_Ct-1),AG1235=0),D1235,0)</f>
        <v>0</v>
      </c>
      <c r="BJ1235" s="991">
        <f>IF(AND(Input_Product=Elig!$C1235,Elig_MatchAll_Ct&lt;22,$BC1235=(Elig_MatchAll_Ct-1),AH1235=0),E1235,0)</f>
        <v>0</v>
      </c>
      <c r="BK1235" s="991">
        <f>IF(AND(Input_Product=Elig!$C1235,Elig_MatchAll_Ct&lt;22,$BC1235=(Elig_MatchAll_Ct-1),AI1235=0),F1235,0)</f>
        <v>0</v>
      </c>
      <c r="BL1235" s="991">
        <f>IF(AND(Input_Product=Elig!$C1235,Elig_MatchAll_Ct&lt;22,$BC1235=(Elig_MatchAll_Ct-1),AJ1235=0),G1235,0)</f>
        <v>0</v>
      </c>
      <c r="BM1235" s="991">
        <f>IF(AND(Input_Product=Elig!$C1235,Elig_MatchAll_Ct&lt;22,$BC1235=(Elig_MatchAll_Ct-1),AK1235=0),H1235,0)</f>
        <v>0</v>
      </c>
      <c r="BN1235" s="991">
        <f>IF(AND(Input_Product=Elig!$C1235,Elig_MatchAll_Ct&lt;22,$BC1235=(Elig_MatchAll_Ct-1),AL1235=0),I1235,0)</f>
        <v>0</v>
      </c>
      <c r="BO1235" s="991">
        <f>IF(AND(Input_Product=Elig!$C1235,Elig_MatchAll_Ct&lt;22,$BC1235=(Elig_MatchAll_Ct-1),AM1235=0),J1235,0)</f>
        <v>0</v>
      </c>
      <c r="BP1235" s="991">
        <f>IF(AND(Input_Product=Elig!$C1235,Elig_MatchAll_Ct&lt;22,$BC1235=(Elig_MatchAll_Ct-1),AN1235=0),K1235,0)</f>
        <v>0</v>
      </c>
      <c r="BQ1235" s="991">
        <f>IF(AND(Input_Product=Elig!$C1235,Elig_MatchAll_Ct&lt;22,$BC1235=(Elig_MatchAll_Ct-1),AP1235=0),L1235,0)</f>
        <v>0</v>
      </c>
      <c r="BR1235" s="991">
        <f>IF(AND(Input_Product=Elig!$C1235,Elig_MatchAll_Ct&lt;22,$BC1235=(Elig_MatchAll_Ct-1),AO1235=0),M1235,0)</f>
        <v>0</v>
      </c>
      <c r="BS1235" s="991">
        <f>IF(AND(Input_Product=Elig!$C1235,Elig_MatchAll_Ct&lt;22,$BC1235=(Elig_MatchAll_Ct-1),AQ1235=0),N1235,0)</f>
        <v>0</v>
      </c>
      <c r="BT1235" s="991">
        <f>IF(AND(Input_Product=Elig!$C1235,Elig_MatchAll_Ct&lt;22,$BC1235=(Elig_MatchAll_Ct-1),AR1235=0),O1235,0)</f>
        <v>0</v>
      </c>
      <c r="BU1235" s="991">
        <f>IF(AND(Input_Product=Elig!$C1235,Elig_MatchAll_Ct&lt;22,$BC1235=(Elig_MatchAll_Ct-1),AS1235=0),P1235,0)</f>
        <v>0</v>
      </c>
      <c r="BV1235" s="992">
        <f>IF(AND(Input_Product=Elig!$C1235,Elig_MatchAll_Ct&lt;22,$BC1235=(Elig_MatchAll_Ct-1),AT1235=0),Q1235,0)</f>
        <v>0</v>
      </c>
      <c r="BW1235" s="993">
        <f>IF(AND(Input_Product=Elig!$C1235,Elig_MatchAll_Ct&lt;22,$BC1235=(Elig_MatchAll_Ct-1),AU1235=0),R1235,0)</f>
        <v>0</v>
      </c>
      <c r="BX1235" s="994">
        <f>IF(AND(Input_Product=Elig!$C1235,Elig_MatchAll_Ct&lt;22,$BC1235=(Elig_MatchAll_Ct-1),AU1235=0),S1235,0)</f>
        <v>0</v>
      </c>
      <c r="BY1235" s="993">
        <f>IF(AND(Input_Product=Elig!$C1235,Elig_MatchAll_Ct&lt;22,$BC1235=(Elig_MatchAll_Ct-1),AV1235=0),T1235,0)</f>
        <v>0</v>
      </c>
      <c r="BZ1235" s="994">
        <f>IF(AND(Input_Product=Elig!$C1235,Elig_MatchAll_Ct&lt;22,$BC1235=(Elig_MatchAll_Ct-1),AV1235=0),U1235,0)</f>
        <v>0</v>
      </c>
      <c r="CA1235" s="993">
        <f>IF(AND(Input_Product=Elig!$C1235,Elig_MatchAll_Ct&lt;22,$BC1235=(Elig_MatchAll_Ct-1),AW1235=0),V1235,0)</f>
        <v>0</v>
      </c>
      <c r="CB1235" s="994">
        <f>IF(AND(Input_Product=Elig!$C1235,Elig_MatchAll_Ct&lt;22,$BC1235=(Elig_MatchAll_Ct-1),AW1235=0),W1235,0)</f>
        <v>0</v>
      </c>
      <c r="CC1235" s="993">
        <f>IF(AND(Input_Product=Elig!$C1235,Elig_MatchAll_Ct&lt;22,$BC1235=(Elig_MatchAll_Ct-1),AX1235=0),X1235,0)</f>
        <v>0</v>
      </c>
      <c r="CD1235" s="994">
        <f>IF(AND(Input_Product=Elig!$C1235,Elig_MatchAll_Ct&lt;22,$BC1235=(Elig_MatchAll_Ct-1),AX1235=0),Y1235,0)</f>
        <v>0</v>
      </c>
      <c r="CE1235" s="993">
        <f>IF(AND(Input_LTV&lt;=AE1235,Input_Product=Elig!$C1235,Elig_MatchAll_Ct&lt;22,$BC1235=(Elig_MatchAll_Ct-1),AY1235=0),Z1235,0)</f>
        <v>0</v>
      </c>
      <c r="CF1235" s="994">
        <f>IF(AND(Input_LTV&lt;=AE1235,Input_Product=Elig!$C1235,Elig_MatchAll_Ct&lt;22,$BC1235=(Elig_MatchAll_Ct-1),AY1235=0),AA1235,0)</f>
        <v>0</v>
      </c>
      <c r="CG1235" s="993">
        <f>IF(AND(Input_Product=Elig!$C1235,Elig_MatchAll_Ct&lt;22,$BC1235=(Elig_MatchAll_Ct-1),AZ1235=0),AB1235,0)</f>
        <v>0</v>
      </c>
      <c r="CH1235" s="994">
        <f>IF(AND(Input_Product=Elig!$C1235,Elig_MatchAll_Ct&lt;22,$BC1235=(Elig_MatchAll_Ct-1),AZ1235=0),AC1235,0)</f>
        <v>0</v>
      </c>
      <c r="CI1235" s="993">
        <f>IF(AND(Input_Product=Elig!$C1235,Elig_MatchAll_Ct&lt;22,$BC1235=(Elig_MatchAll_Ct-1),BA1235=0),AD1235,0)</f>
        <v>0</v>
      </c>
      <c r="CJ1235" s="994">
        <f>IF(AND(Input_Product=Elig!$C1235,Elig_MatchAll_Ct&lt;22,$BC1235=(Elig_MatchAll_Ct-1),BA1235=0),AE1235,0)</f>
        <v>0</v>
      </c>
    </row>
    <row r="1236" spans="2:88" ht="10.15" customHeight="1" x14ac:dyDescent="0.25">
      <c r="B1236" s="1919" t="s">
        <v>2589</v>
      </c>
      <c r="C1236" s="1353" t="str">
        <f t="shared" ref="C1236:C1295" si="453">Input_Name_Product15</f>
        <v xml:space="preserve"> </v>
      </c>
      <c r="D1236" s="1354" t="s">
        <v>2218</v>
      </c>
      <c r="E1236" s="1354" t="s">
        <v>167</v>
      </c>
      <c r="F1236" s="1354" t="s">
        <v>330</v>
      </c>
      <c r="G1236" s="1355" t="s">
        <v>181</v>
      </c>
      <c r="H1236" s="1355" t="s">
        <v>136</v>
      </c>
      <c r="I1236" s="1354" t="s">
        <v>34</v>
      </c>
      <c r="J1236" s="1354" t="s">
        <v>1311</v>
      </c>
      <c r="K1236" s="1355" t="s">
        <v>3022</v>
      </c>
      <c r="L1236" s="1354" t="s">
        <v>2768</v>
      </c>
      <c r="M1236" s="1354" t="s">
        <v>2677</v>
      </c>
      <c r="N1236" s="1355" t="s">
        <v>2685</v>
      </c>
      <c r="O1236" s="1354" t="s">
        <v>2526</v>
      </c>
      <c r="P1236" s="1354" t="s">
        <v>291</v>
      </c>
      <c r="Q1236" s="1354" t="s">
        <v>294</v>
      </c>
      <c r="R1236" s="1354">
        <v>100000</v>
      </c>
      <c r="S1236" s="1354">
        <v>1000000</v>
      </c>
      <c r="T1236" s="1354">
        <v>0</v>
      </c>
      <c r="U1236" s="1354">
        <v>0</v>
      </c>
      <c r="V1236" s="1354">
        <v>0</v>
      </c>
      <c r="W1236" s="1354">
        <v>50</v>
      </c>
      <c r="X1236" s="1354">
        <v>0.8</v>
      </c>
      <c r="Y1236" s="1354">
        <v>999</v>
      </c>
      <c r="Z1236" s="2043">
        <v>720</v>
      </c>
      <c r="AA1236" s="2043">
        <v>999</v>
      </c>
      <c r="AB1236" s="2043">
        <v>3</v>
      </c>
      <c r="AC1236" s="2043">
        <v>999999</v>
      </c>
      <c r="AD1236" s="1354">
        <v>0</v>
      </c>
      <c r="AE1236" s="2044">
        <v>80</v>
      </c>
      <c r="AF1236" s="170">
        <v>0</v>
      </c>
      <c r="AG1236" s="171">
        <v>1</v>
      </c>
      <c r="AH1236" s="171">
        <v>1</v>
      </c>
      <c r="AI1236" s="171">
        <v>0</v>
      </c>
      <c r="AJ1236" s="171">
        <v>0</v>
      </c>
      <c r="AK1236" s="171">
        <v>1</v>
      </c>
      <c r="AL1236" s="171">
        <v>0</v>
      </c>
      <c r="AM1236" s="171">
        <v>1</v>
      </c>
      <c r="AN1236" s="171">
        <v>1</v>
      </c>
      <c r="AO1236" s="171">
        <v>1</v>
      </c>
      <c r="AP1236" s="171">
        <v>1</v>
      </c>
      <c r="AQ1236" s="171">
        <v>1</v>
      </c>
      <c r="AR1236" s="171">
        <v>1</v>
      </c>
      <c r="AS1236" s="171">
        <v>1</v>
      </c>
      <c r="AT1236" s="171">
        <v>1</v>
      </c>
      <c r="AU1236" s="171">
        <f t="shared" si="447"/>
        <v>1</v>
      </c>
      <c r="AV1236" s="171">
        <f t="shared" si="448"/>
        <v>0</v>
      </c>
      <c r="AW1236" s="171">
        <f t="shared" si="449"/>
        <v>1</v>
      </c>
      <c r="AX1236" s="171">
        <f t="shared" si="444"/>
        <v>0</v>
      </c>
      <c r="AY1236" s="171">
        <f t="shared" si="450"/>
        <v>1</v>
      </c>
      <c r="AZ1236" s="171">
        <f t="shared" si="451"/>
        <v>1</v>
      </c>
      <c r="BA1236" s="172">
        <f t="shared" si="452"/>
        <v>1</v>
      </c>
      <c r="BB1236" s="175">
        <f t="shared" ref="BB1236:BB1329" si="454">SUM(AF1236:BA1236)</f>
        <v>16</v>
      </c>
      <c r="BC1236" s="176">
        <f t="shared" ref="BC1236:BC1329" si="455">SUM(AF1236:AZ1236)</f>
        <v>15</v>
      </c>
      <c r="BD1236" s="176">
        <f t="shared" ref="BD1236:BD1329" si="456">SUM(AG1236:BA1236)</f>
        <v>16</v>
      </c>
      <c r="BE1236" s="240" t="str">
        <f t="shared" si="446"/>
        <v/>
      </c>
      <c r="BF1236" s="990"/>
      <c r="BG1236" s="990"/>
      <c r="BH1236" s="991">
        <f>IF(AND(Input_Product=Elig!$C1236,Elig_MatchAll_Ct&lt;22,$BC1236=(Elig_MatchAll_Ct-1),AF1236=0),C1236,0)</f>
        <v>0</v>
      </c>
      <c r="BI1236" s="991">
        <f>IF(AND(Input_Product=Elig!$C1236,Elig_MatchAll_Ct&lt;22,$BC1236=(Elig_MatchAll_Ct-1),AG1236=0),D1236,0)</f>
        <v>0</v>
      </c>
      <c r="BJ1236" s="991">
        <f>IF(AND(Input_Product=Elig!$C1236,Elig_MatchAll_Ct&lt;22,$BC1236=(Elig_MatchAll_Ct-1),AH1236=0),E1236,0)</f>
        <v>0</v>
      </c>
      <c r="BK1236" s="991">
        <f>IF(AND(Input_Product=Elig!$C1236,Elig_MatchAll_Ct&lt;22,$BC1236=(Elig_MatchAll_Ct-1),AI1236=0),F1236,0)</f>
        <v>0</v>
      </c>
      <c r="BL1236" s="991">
        <f>IF(AND(Input_Product=Elig!$C1236,Elig_MatchAll_Ct&lt;22,$BC1236=(Elig_MatchAll_Ct-1),AJ1236=0),G1236,0)</f>
        <v>0</v>
      </c>
      <c r="BM1236" s="991">
        <f>IF(AND(Input_Product=Elig!$C1236,Elig_MatchAll_Ct&lt;22,$BC1236=(Elig_MatchAll_Ct-1),AK1236=0),H1236,0)</f>
        <v>0</v>
      </c>
      <c r="BN1236" s="991">
        <f>IF(AND(Input_Product=Elig!$C1236,Elig_MatchAll_Ct&lt;22,$BC1236=(Elig_MatchAll_Ct-1),AL1236=0),I1236,0)</f>
        <v>0</v>
      </c>
      <c r="BO1236" s="991">
        <f>IF(AND(Input_Product=Elig!$C1236,Elig_MatchAll_Ct&lt;22,$BC1236=(Elig_MatchAll_Ct-1),AM1236=0),J1236,0)</f>
        <v>0</v>
      </c>
      <c r="BP1236" s="991">
        <f>IF(AND(Input_Product=Elig!$C1236,Elig_MatchAll_Ct&lt;22,$BC1236=(Elig_MatchAll_Ct-1),AN1236=0),K1236,0)</f>
        <v>0</v>
      </c>
      <c r="BQ1236" s="991">
        <f>IF(AND(Input_Product=Elig!$C1236,Elig_MatchAll_Ct&lt;22,$BC1236=(Elig_MatchAll_Ct-1),AP1236=0),L1236,0)</f>
        <v>0</v>
      </c>
      <c r="BR1236" s="991">
        <f>IF(AND(Input_Product=Elig!$C1236,Elig_MatchAll_Ct&lt;22,$BC1236=(Elig_MatchAll_Ct-1),AO1236=0),M1236,0)</f>
        <v>0</v>
      </c>
      <c r="BS1236" s="991">
        <f>IF(AND(Input_Product=Elig!$C1236,Elig_MatchAll_Ct&lt;22,$BC1236=(Elig_MatchAll_Ct-1),AQ1236=0),N1236,0)</f>
        <v>0</v>
      </c>
      <c r="BT1236" s="991">
        <f>IF(AND(Input_Product=Elig!$C1236,Elig_MatchAll_Ct&lt;22,$BC1236=(Elig_MatchAll_Ct-1),AR1236=0),O1236,0)</f>
        <v>0</v>
      </c>
      <c r="BU1236" s="991">
        <f>IF(AND(Input_Product=Elig!$C1236,Elig_MatchAll_Ct&lt;22,$BC1236=(Elig_MatchAll_Ct-1),AS1236=0),P1236,0)</f>
        <v>0</v>
      </c>
      <c r="BV1236" s="992">
        <f>IF(AND(Input_Product=Elig!$C1236,Elig_MatchAll_Ct&lt;22,$BC1236=(Elig_MatchAll_Ct-1),AT1236=0),Q1236,0)</f>
        <v>0</v>
      </c>
      <c r="BW1236" s="993">
        <f>IF(AND(Input_Product=Elig!$C1236,Elig_MatchAll_Ct&lt;22,$BC1236=(Elig_MatchAll_Ct-1),AU1236=0),R1236,0)</f>
        <v>0</v>
      </c>
      <c r="BX1236" s="994">
        <f>IF(AND(Input_Product=Elig!$C1236,Elig_MatchAll_Ct&lt;22,$BC1236=(Elig_MatchAll_Ct-1),AU1236=0),S1236,0)</f>
        <v>0</v>
      </c>
      <c r="BY1236" s="993">
        <f>IF(AND(Input_Product=Elig!$C1236,Elig_MatchAll_Ct&lt;22,$BC1236=(Elig_MatchAll_Ct-1),AV1236=0),T1236,0)</f>
        <v>0</v>
      </c>
      <c r="BZ1236" s="994">
        <f>IF(AND(Input_Product=Elig!$C1236,Elig_MatchAll_Ct&lt;22,$BC1236=(Elig_MatchAll_Ct-1),AV1236=0),U1236,0)</f>
        <v>0</v>
      </c>
      <c r="CA1236" s="993">
        <f>IF(AND(Input_Product=Elig!$C1236,Elig_MatchAll_Ct&lt;22,$BC1236=(Elig_MatchAll_Ct-1),AW1236=0),V1236,0)</f>
        <v>0</v>
      </c>
      <c r="CB1236" s="994">
        <f>IF(AND(Input_Product=Elig!$C1236,Elig_MatchAll_Ct&lt;22,$BC1236=(Elig_MatchAll_Ct-1),AW1236=0),W1236,0)</f>
        <v>0</v>
      </c>
      <c r="CC1236" s="993">
        <f>IF(AND(Input_Product=Elig!$C1236,Elig_MatchAll_Ct&lt;22,$BC1236=(Elig_MatchAll_Ct-1),AX1236=0),X1236,0)</f>
        <v>0</v>
      </c>
      <c r="CD1236" s="994">
        <f>IF(AND(Input_Product=Elig!$C1236,Elig_MatchAll_Ct&lt;22,$BC1236=(Elig_MatchAll_Ct-1),AX1236=0),Y1236,0)</f>
        <v>0</v>
      </c>
      <c r="CE1236" s="993">
        <f>IF(AND(Input_LTV&lt;=AE1236,Input_Product=Elig!$C1236,Elig_MatchAll_Ct&lt;22,$BC1236=(Elig_MatchAll_Ct-1),AY1236=0),Z1236,0)</f>
        <v>0</v>
      </c>
      <c r="CF1236" s="994">
        <f>IF(AND(Input_LTV&lt;=AE1236,Input_Product=Elig!$C1236,Elig_MatchAll_Ct&lt;22,$BC1236=(Elig_MatchAll_Ct-1),AY1236=0),AA1236,0)</f>
        <v>0</v>
      </c>
      <c r="CG1236" s="993">
        <f>IF(AND(Input_Product=Elig!$C1236,Elig_MatchAll_Ct&lt;22,$BC1236=(Elig_MatchAll_Ct-1),AZ1236=0),AB1236,0)</f>
        <v>0</v>
      </c>
      <c r="CH1236" s="994">
        <f>IF(AND(Input_Product=Elig!$C1236,Elig_MatchAll_Ct&lt;22,$BC1236=(Elig_MatchAll_Ct-1),AZ1236=0),AC1236,0)</f>
        <v>0</v>
      </c>
      <c r="CI1236" s="993">
        <f>IF(AND(Input_Product=Elig!$C1236,Elig_MatchAll_Ct&lt;22,$BC1236=(Elig_MatchAll_Ct-1),BA1236=0),AD1236,0)</f>
        <v>0</v>
      </c>
      <c r="CJ1236" s="994">
        <f>IF(AND(Input_Product=Elig!$C1236,Elig_MatchAll_Ct&lt;22,$BC1236=(Elig_MatchAll_Ct-1),BA1236=0),AE1236,0)</f>
        <v>0</v>
      </c>
    </row>
    <row r="1237" spans="2:88" ht="10.15" customHeight="1" x14ac:dyDescent="0.25">
      <c r="B1237" s="1920" t="s">
        <v>2590</v>
      </c>
      <c r="C1237" s="1359" t="str">
        <f t="shared" si="453"/>
        <v xml:space="preserve"> </v>
      </c>
      <c r="D1237" s="1360" t="s">
        <v>2218</v>
      </c>
      <c r="E1237" s="1360" t="s">
        <v>167</v>
      </c>
      <c r="F1237" s="1360" t="s">
        <v>330</v>
      </c>
      <c r="G1237" s="1361" t="s">
        <v>181</v>
      </c>
      <c r="H1237" s="1361" t="s">
        <v>136</v>
      </c>
      <c r="I1237" s="1360" t="s">
        <v>34</v>
      </c>
      <c r="J1237" s="1360" t="s">
        <v>1311</v>
      </c>
      <c r="K1237" s="1361" t="s">
        <v>3022</v>
      </c>
      <c r="L1237" s="1360" t="s">
        <v>2768</v>
      </c>
      <c r="M1237" s="1360" t="s">
        <v>2677</v>
      </c>
      <c r="N1237" s="1361" t="s">
        <v>2685</v>
      </c>
      <c r="O1237" s="1360" t="s">
        <v>2526</v>
      </c>
      <c r="P1237" s="1360" t="s">
        <v>291</v>
      </c>
      <c r="Q1237" s="1360" t="s">
        <v>294</v>
      </c>
      <c r="R1237" s="1360">
        <v>100000</v>
      </c>
      <c r="S1237" s="1360">
        <v>1000000</v>
      </c>
      <c r="T1237" s="1360">
        <v>0</v>
      </c>
      <c r="U1237" s="1360">
        <v>0</v>
      </c>
      <c r="V1237" s="1360">
        <v>0</v>
      </c>
      <c r="W1237" s="1360">
        <v>50</v>
      </c>
      <c r="X1237" s="1360">
        <v>0.8</v>
      </c>
      <c r="Y1237" s="1360">
        <v>999</v>
      </c>
      <c r="Z1237" s="2045">
        <v>700</v>
      </c>
      <c r="AA1237" s="2045">
        <v>719</v>
      </c>
      <c r="AB1237" s="2045">
        <v>3</v>
      </c>
      <c r="AC1237" s="2045">
        <v>999999</v>
      </c>
      <c r="AD1237" s="1360">
        <v>0</v>
      </c>
      <c r="AE1237" s="2046">
        <v>80</v>
      </c>
      <c r="AF1237" s="170">
        <v>0</v>
      </c>
      <c r="AG1237" s="171">
        <v>1</v>
      </c>
      <c r="AH1237" s="171">
        <v>1</v>
      </c>
      <c r="AI1237" s="171">
        <v>0</v>
      </c>
      <c r="AJ1237" s="171">
        <v>0</v>
      </c>
      <c r="AK1237" s="171">
        <v>1</v>
      </c>
      <c r="AL1237" s="171">
        <v>0</v>
      </c>
      <c r="AM1237" s="171">
        <v>1</v>
      </c>
      <c r="AN1237" s="171">
        <v>1</v>
      </c>
      <c r="AO1237" s="171">
        <v>1</v>
      </c>
      <c r="AP1237" s="171">
        <v>1</v>
      </c>
      <c r="AQ1237" s="171">
        <v>1</v>
      </c>
      <c r="AR1237" s="171">
        <v>1</v>
      </c>
      <c r="AS1237" s="171">
        <v>1</v>
      </c>
      <c r="AT1237" s="171">
        <v>1</v>
      </c>
      <c r="AU1237" s="171">
        <f t="shared" si="447"/>
        <v>1</v>
      </c>
      <c r="AV1237" s="171">
        <f t="shared" si="448"/>
        <v>0</v>
      </c>
      <c r="AW1237" s="171">
        <f t="shared" si="449"/>
        <v>1</v>
      </c>
      <c r="AX1237" s="171">
        <f t="shared" si="444"/>
        <v>0</v>
      </c>
      <c r="AY1237" s="171">
        <f t="shared" si="450"/>
        <v>0</v>
      </c>
      <c r="AZ1237" s="171">
        <f t="shared" si="451"/>
        <v>1</v>
      </c>
      <c r="BA1237" s="172">
        <f t="shared" si="452"/>
        <v>1</v>
      </c>
      <c r="BB1237" s="175">
        <f t="shared" si="454"/>
        <v>15</v>
      </c>
      <c r="BC1237" s="176">
        <f t="shared" si="455"/>
        <v>14</v>
      </c>
      <c r="BD1237" s="176">
        <f t="shared" si="456"/>
        <v>15</v>
      </c>
      <c r="BE1237" s="240" t="str">
        <f t="shared" si="446"/>
        <v/>
      </c>
      <c r="BF1237" s="990"/>
      <c r="BG1237" s="990"/>
      <c r="BH1237" s="991">
        <f>IF(AND(Input_Product=Elig!$C1237,Elig_MatchAll_Ct&lt;22,$BC1237=(Elig_MatchAll_Ct-1),AF1237=0),C1237,0)</f>
        <v>0</v>
      </c>
      <c r="BI1237" s="991">
        <f>IF(AND(Input_Product=Elig!$C1237,Elig_MatchAll_Ct&lt;22,$BC1237=(Elig_MatchAll_Ct-1),AG1237=0),D1237,0)</f>
        <v>0</v>
      </c>
      <c r="BJ1237" s="991">
        <f>IF(AND(Input_Product=Elig!$C1237,Elig_MatchAll_Ct&lt;22,$BC1237=(Elig_MatchAll_Ct-1),AH1237=0),E1237,0)</f>
        <v>0</v>
      </c>
      <c r="BK1237" s="991">
        <f>IF(AND(Input_Product=Elig!$C1237,Elig_MatchAll_Ct&lt;22,$BC1237=(Elig_MatchAll_Ct-1),AI1237=0),F1237,0)</f>
        <v>0</v>
      </c>
      <c r="BL1237" s="991">
        <f>IF(AND(Input_Product=Elig!$C1237,Elig_MatchAll_Ct&lt;22,$BC1237=(Elig_MatchAll_Ct-1),AJ1237=0),G1237,0)</f>
        <v>0</v>
      </c>
      <c r="BM1237" s="991">
        <f>IF(AND(Input_Product=Elig!$C1237,Elig_MatchAll_Ct&lt;22,$BC1237=(Elig_MatchAll_Ct-1),AK1237=0),H1237,0)</f>
        <v>0</v>
      </c>
      <c r="BN1237" s="991">
        <f>IF(AND(Input_Product=Elig!$C1237,Elig_MatchAll_Ct&lt;22,$BC1237=(Elig_MatchAll_Ct-1),AL1237=0),I1237,0)</f>
        <v>0</v>
      </c>
      <c r="BO1237" s="991">
        <f>IF(AND(Input_Product=Elig!$C1237,Elig_MatchAll_Ct&lt;22,$BC1237=(Elig_MatchAll_Ct-1),AM1237=0),J1237,0)</f>
        <v>0</v>
      </c>
      <c r="BP1237" s="991">
        <f>IF(AND(Input_Product=Elig!$C1237,Elig_MatchAll_Ct&lt;22,$BC1237=(Elig_MatchAll_Ct-1),AN1237=0),K1237,0)</f>
        <v>0</v>
      </c>
      <c r="BQ1237" s="991">
        <f>IF(AND(Input_Product=Elig!$C1237,Elig_MatchAll_Ct&lt;22,$BC1237=(Elig_MatchAll_Ct-1),AP1237=0),L1237,0)</f>
        <v>0</v>
      </c>
      <c r="BR1237" s="991">
        <f>IF(AND(Input_Product=Elig!$C1237,Elig_MatchAll_Ct&lt;22,$BC1237=(Elig_MatchAll_Ct-1),AO1237=0),M1237,0)</f>
        <v>0</v>
      </c>
      <c r="BS1237" s="991">
        <f>IF(AND(Input_Product=Elig!$C1237,Elig_MatchAll_Ct&lt;22,$BC1237=(Elig_MatchAll_Ct-1),AQ1237=0),N1237,0)</f>
        <v>0</v>
      </c>
      <c r="BT1237" s="991">
        <f>IF(AND(Input_Product=Elig!$C1237,Elig_MatchAll_Ct&lt;22,$BC1237=(Elig_MatchAll_Ct-1),AR1237=0),O1237,0)</f>
        <v>0</v>
      </c>
      <c r="BU1237" s="991">
        <f>IF(AND(Input_Product=Elig!$C1237,Elig_MatchAll_Ct&lt;22,$BC1237=(Elig_MatchAll_Ct-1),AS1237=0),P1237,0)</f>
        <v>0</v>
      </c>
      <c r="BV1237" s="992">
        <f>IF(AND(Input_Product=Elig!$C1237,Elig_MatchAll_Ct&lt;22,$BC1237=(Elig_MatchAll_Ct-1),AT1237=0),Q1237,0)</f>
        <v>0</v>
      </c>
      <c r="BW1237" s="993">
        <f>IF(AND(Input_Product=Elig!$C1237,Elig_MatchAll_Ct&lt;22,$BC1237=(Elig_MatchAll_Ct-1),AU1237=0),R1237,0)</f>
        <v>0</v>
      </c>
      <c r="BX1237" s="994">
        <f>IF(AND(Input_Product=Elig!$C1237,Elig_MatchAll_Ct&lt;22,$BC1237=(Elig_MatchAll_Ct-1),AU1237=0),S1237,0)</f>
        <v>0</v>
      </c>
      <c r="BY1237" s="993">
        <f>IF(AND(Input_Product=Elig!$C1237,Elig_MatchAll_Ct&lt;22,$BC1237=(Elig_MatchAll_Ct-1),AV1237=0),T1237,0)</f>
        <v>0</v>
      </c>
      <c r="BZ1237" s="994">
        <f>IF(AND(Input_Product=Elig!$C1237,Elig_MatchAll_Ct&lt;22,$BC1237=(Elig_MatchAll_Ct-1),AV1237=0),U1237,0)</f>
        <v>0</v>
      </c>
      <c r="CA1237" s="993">
        <f>IF(AND(Input_Product=Elig!$C1237,Elig_MatchAll_Ct&lt;22,$BC1237=(Elig_MatchAll_Ct-1),AW1237=0),V1237,0)</f>
        <v>0</v>
      </c>
      <c r="CB1237" s="994">
        <f>IF(AND(Input_Product=Elig!$C1237,Elig_MatchAll_Ct&lt;22,$BC1237=(Elig_MatchAll_Ct-1),AW1237=0),W1237,0)</f>
        <v>0</v>
      </c>
      <c r="CC1237" s="993">
        <f>IF(AND(Input_Product=Elig!$C1237,Elig_MatchAll_Ct&lt;22,$BC1237=(Elig_MatchAll_Ct-1),AX1237=0),X1237,0)</f>
        <v>0</v>
      </c>
      <c r="CD1237" s="994">
        <f>IF(AND(Input_Product=Elig!$C1237,Elig_MatchAll_Ct&lt;22,$BC1237=(Elig_MatchAll_Ct-1),AX1237=0),Y1237,0)</f>
        <v>0</v>
      </c>
      <c r="CE1237" s="993">
        <f>IF(AND(Input_LTV&lt;=AE1237,Input_Product=Elig!$C1237,Elig_MatchAll_Ct&lt;22,$BC1237=(Elig_MatchAll_Ct-1),AY1237=0),Z1237,0)</f>
        <v>0</v>
      </c>
      <c r="CF1237" s="994">
        <f>IF(AND(Input_LTV&lt;=AE1237,Input_Product=Elig!$C1237,Elig_MatchAll_Ct&lt;22,$BC1237=(Elig_MatchAll_Ct-1),AY1237=0),AA1237,0)</f>
        <v>0</v>
      </c>
      <c r="CG1237" s="993">
        <f>IF(AND(Input_Product=Elig!$C1237,Elig_MatchAll_Ct&lt;22,$BC1237=(Elig_MatchAll_Ct-1),AZ1237=0),AB1237,0)</f>
        <v>0</v>
      </c>
      <c r="CH1237" s="994">
        <f>IF(AND(Input_Product=Elig!$C1237,Elig_MatchAll_Ct&lt;22,$BC1237=(Elig_MatchAll_Ct-1),AZ1237=0),AC1237,0)</f>
        <v>0</v>
      </c>
      <c r="CI1237" s="993">
        <f>IF(AND(Input_Product=Elig!$C1237,Elig_MatchAll_Ct&lt;22,$BC1237=(Elig_MatchAll_Ct-1),BA1237=0),AD1237,0)</f>
        <v>0</v>
      </c>
      <c r="CJ1237" s="994">
        <f>IF(AND(Input_Product=Elig!$C1237,Elig_MatchAll_Ct&lt;22,$BC1237=(Elig_MatchAll_Ct-1),BA1237=0),AE1237,0)</f>
        <v>0</v>
      </c>
    </row>
    <row r="1238" spans="2:88" ht="10.15" customHeight="1" x14ac:dyDescent="0.25">
      <c r="B1238" s="1920" t="s">
        <v>2591</v>
      </c>
      <c r="C1238" s="1356" t="str">
        <f t="shared" si="453"/>
        <v xml:space="preserve"> </v>
      </c>
      <c r="D1238" s="1357" t="s">
        <v>2218</v>
      </c>
      <c r="E1238" s="1357" t="s">
        <v>167</v>
      </c>
      <c r="F1238" s="1357" t="s">
        <v>330</v>
      </c>
      <c r="G1238" s="1358" t="s">
        <v>181</v>
      </c>
      <c r="H1238" s="1358" t="s">
        <v>136</v>
      </c>
      <c r="I1238" s="1357" t="s">
        <v>34</v>
      </c>
      <c r="J1238" s="1357" t="s">
        <v>1311</v>
      </c>
      <c r="K1238" s="1358" t="s">
        <v>3022</v>
      </c>
      <c r="L1238" s="1357" t="s">
        <v>2768</v>
      </c>
      <c r="M1238" s="1357" t="s">
        <v>2677</v>
      </c>
      <c r="N1238" s="1358" t="s">
        <v>2685</v>
      </c>
      <c r="O1238" s="1357" t="s">
        <v>2526</v>
      </c>
      <c r="P1238" s="1357" t="s">
        <v>291</v>
      </c>
      <c r="Q1238" s="1357" t="s">
        <v>294</v>
      </c>
      <c r="R1238" s="1357">
        <v>100000</v>
      </c>
      <c r="S1238" s="1357">
        <v>1000000</v>
      </c>
      <c r="T1238" s="1357">
        <v>0</v>
      </c>
      <c r="U1238" s="1357">
        <v>0</v>
      </c>
      <c r="V1238" s="1357">
        <v>0</v>
      </c>
      <c r="W1238" s="1357">
        <v>50</v>
      </c>
      <c r="X1238" s="1357">
        <v>0.8</v>
      </c>
      <c r="Y1238" s="1357">
        <v>999</v>
      </c>
      <c r="Z1238" s="2047">
        <v>660</v>
      </c>
      <c r="AA1238" s="2047">
        <v>660</v>
      </c>
      <c r="AB1238" s="2047">
        <v>3</v>
      </c>
      <c r="AC1238" s="2047">
        <v>999999</v>
      </c>
      <c r="AD1238" s="1357">
        <v>0</v>
      </c>
      <c r="AE1238" s="2048">
        <v>80</v>
      </c>
      <c r="AF1238" s="170">
        <v>0</v>
      </c>
      <c r="AG1238" s="171">
        <v>1</v>
      </c>
      <c r="AH1238" s="171">
        <v>1</v>
      </c>
      <c r="AI1238" s="171">
        <v>0</v>
      </c>
      <c r="AJ1238" s="171">
        <v>0</v>
      </c>
      <c r="AK1238" s="171">
        <v>1</v>
      </c>
      <c r="AL1238" s="171">
        <v>0</v>
      </c>
      <c r="AM1238" s="171">
        <v>1</v>
      </c>
      <c r="AN1238" s="171">
        <v>1</v>
      </c>
      <c r="AO1238" s="171">
        <v>1</v>
      </c>
      <c r="AP1238" s="171">
        <v>1</v>
      </c>
      <c r="AQ1238" s="171">
        <v>1</v>
      </c>
      <c r="AR1238" s="171">
        <v>1</v>
      </c>
      <c r="AS1238" s="171">
        <v>1</v>
      </c>
      <c r="AT1238" s="171">
        <v>1</v>
      </c>
      <c r="AU1238" s="171">
        <f t="shared" si="447"/>
        <v>1</v>
      </c>
      <c r="AV1238" s="171">
        <f t="shared" si="448"/>
        <v>0</v>
      </c>
      <c r="AW1238" s="171">
        <f t="shared" si="449"/>
        <v>1</v>
      </c>
      <c r="AX1238" s="171">
        <f t="shared" si="444"/>
        <v>0</v>
      </c>
      <c r="AY1238" s="171">
        <f t="shared" si="450"/>
        <v>0</v>
      </c>
      <c r="AZ1238" s="171">
        <f t="shared" si="451"/>
        <v>1</v>
      </c>
      <c r="BA1238" s="172">
        <f t="shared" si="452"/>
        <v>1</v>
      </c>
      <c r="BB1238" s="175">
        <f t="shared" si="454"/>
        <v>15</v>
      </c>
      <c r="BC1238" s="176">
        <f t="shared" si="455"/>
        <v>14</v>
      </c>
      <c r="BD1238" s="176">
        <f t="shared" si="456"/>
        <v>15</v>
      </c>
      <c r="BE1238" s="240" t="str">
        <f t="shared" si="446"/>
        <v/>
      </c>
      <c r="BF1238" s="990"/>
      <c r="BG1238" s="990"/>
      <c r="BH1238" s="991">
        <f>IF(AND(Input_Product=Elig!$C1238,Elig_MatchAll_Ct&lt;22,$BC1238=(Elig_MatchAll_Ct-1),AF1238=0),C1238,0)</f>
        <v>0</v>
      </c>
      <c r="BI1238" s="991">
        <f>IF(AND(Input_Product=Elig!$C1238,Elig_MatchAll_Ct&lt;22,$BC1238=(Elig_MatchAll_Ct-1),AG1238=0),D1238,0)</f>
        <v>0</v>
      </c>
      <c r="BJ1238" s="991">
        <f>IF(AND(Input_Product=Elig!$C1238,Elig_MatchAll_Ct&lt;22,$BC1238=(Elig_MatchAll_Ct-1),AH1238=0),E1238,0)</f>
        <v>0</v>
      </c>
      <c r="BK1238" s="991">
        <f>IF(AND(Input_Product=Elig!$C1238,Elig_MatchAll_Ct&lt;22,$BC1238=(Elig_MatchAll_Ct-1),AI1238=0),F1238,0)</f>
        <v>0</v>
      </c>
      <c r="BL1238" s="991">
        <f>IF(AND(Input_Product=Elig!$C1238,Elig_MatchAll_Ct&lt;22,$BC1238=(Elig_MatchAll_Ct-1),AJ1238=0),G1238,0)</f>
        <v>0</v>
      </c>
      <c r="BM1238" s="991">
        <f>IF(AND(Input_Product=Elig!$C1238,Elig_MatchAll_Ct&lt;22,$BC1238=(Elig_MatchAll_Ct-1),AK1238=0),H1238,0)</f>
        <v>0</v>
      </c>
      <c r="BN1238" s="991">
        <f>IF(AND(Input_Product=Elig!$C1238,Elig_MatchAll_Ct&lt;22,$BC1238=(Elig_MatchAll_Ct-1),AL1238=0),I1238,0)</f>
        <v>0</v>
      </c>
      <c r="BO1238" s="991">
        <f>IF(AND(Input_Product=Elig!$C1238,Elig_MatchAll_Ct&lt;22,$BC1238=(Elig_MatchAll_Ct-1),AM1238=0),J1238,0)</f>
        <v>0</v>
      </c>
      <c r="BP1238" s="991">
        <f>IF(AND(Input_Product=Elig!$C1238,Elig_MatchAll_Ct&lt;22,$BC1238=(Elig_MatchAll_Ct-1),AN1238=0),K1238,0)</f>
        <v>0</v>
      </c>
      <c r="BQ1238" s="991">
        <f>IF(AND(Input_Product=Elig!$C1238,Elig_MatchAll_Ct&lt;22,$BC1238=(Elig_MatchAll_Ct-1),AP1238=0),L1238,0)</f>
        <v>0</v>
      </c>
      <c r="BR1238" s="991">
        <f>IF(AND(Input_Product=Elig!$C1238,Elig_MatchAll_Ct&lt;22,$BC1238=(Elig_MatchAll_Ct-1),AO1238=0),M1238,0)</f>
        <v>0</v>
      </c>
      <c r="BS1238" s="991">
        <f>IF(AND(Input_Product=Elig!$C1238,Elig_MatchAll_Ct&lt;22,$BC1238=(Elig_MatchAll_Ct-1),AQ1238=0),N1238,0)</f>
        <v>0</v>
      </c>
      <c r="BT1238" s="991">
        <f>IF(AND(Input_Product=Elig!$C1238,Elig_MatchAll_Ct&lt;22,$BC1238=(Elig_MatchAll_Ct-1),AR1238=0),O1238,0)</f>
        <v>0</v>
      </c>
      <c r="BU1238" s="991">
        <f>IF(AND(Input_Product=Elig!$C1238,Elig_MatchAll_Ct&lt;22,$BC1238=(Elig_MatchAll_Ct-1),AS1238=0),P1238,0)</f>
        <v>0</v>
      </c>
      <c r="BV1238" s="992">
        <f>IF(AND(Input_Product=Elig!$C1238,Elig_MatchAll_Ct&lt;22,$BC1238=(Elig_MatchAll_Ct-1),AT1238=0),Q1238,0)</f>
        <v>0</v>
      </c>
      <c r="BW1238" s="993">
        <f>IF(AND(Input_Product=Elig!$C1238,Elig_MatchAll_Ct&lt;22,$BC1238=(Elig_MatchAll_Ct-1),AU1238=0),R1238,0)</f>
        <v>0</v>
      </c>
      <c r="BX1238" s="994">
        <f>IF(AND(Input_Product=Elig!$C1238,Elig_MatchAll_Ct&lt;22,$BC1238=(Elig_MatchAll_Ct-1),AU1238=0),S1238,0)</f>
        <v>0</v>
      </c>
      <c r="BY1238" s="993">
        <f>IF(AND(Input_Product=Elig!$C1238,Elig_MatchAll_Ct&lt;22,$BC1238=(Elig_MatchAll_Ct-1),AV1238=0),T1238,0)</f>
        <v>0</v>
      </c>
      <c r="BZ1238" s="994">
        <f>IF(AND(Input_Product=Elig!$C1238,Elig_MatchAll_Ct&lt;22,$BC1238=(Elig_MatchAll_Ct-1),AV1238=0),U1238,0)</f>
        <v>0</v>
      </c>
      <c r="CA1238" s="993">
        <f>IF(AND(Input_Product=Elig!$C1238,Elig_MatchAll_Ct&lt;22,$BC1238=(Elig_MatchAll_Ct-1),AW1238=0),V1238,0)</f>
        <v>0</v>
      </c>
      <c r="CB1238" s="994">
        <f>IF(AND(Input_Product=Elig!$C1238,Elig_MatchAll_Ct&lt;22,$BC1238=(Elig_MatchAll_Ct-1),AW1238=0),W1238,0)</f>
        <v>0</v>
      </c>
      <c r="CC1238" s="993">
        <f>IF(AND(Input_Product=Elig!$C1238,Elig_MatchAll_Ct&lt;22,$BC1238=(Elig_MatchAll_Ct-1),AX1238=0),X1238,0)</f>
        <v>0</v>
      </c>
      <c r="CD1238" s="994">
        <f>IF(AND(Input_Product=Elig!$C1238,Elig_MatchAll_Ct&lt;22,$BC1238=(Elig_MatchAll_Ct-1),AX1238=0),Y1238,0)</f>
        <v>0</v>
      </c>
      <c r="CE1238" s="993">
        <f>IF(AND(Input_LTV&lt;=AE1238,Input_Product=Elig!$C1238,Elig_MatchAll_Ct&lt;22,$BC1238=(Elig_MatchAll_Ct-1),AY1238=0),Z1238,0)</f>
        <v>0</v>
      </c>
      <c r="CF1238" s="994">
        <f>IF(AND(Input_LTV&lt;=AE1238,Input_Product=Elig!$C1238,Elig_MatchAll_Ct&lt;22,$BC1238=(Elig_MatchAll_Ct-1),AY1238=0),AA1238,0)</f>
        <v>0</v>
      </c>
      <c r="CG1238" s="993">
        <f>IF(AND(Input_Product=Elig!$C1238,Elig_MatchAll_Ct&lt;22,$BC1238=(Elig_MatchAll_Ct-1),AZ1238=0),AB1238,0)</f>
        <v>0</v>
      </c>
      <c r="CH1238" s="994">
        <f>IF(AND(Input_Product=Elig!$C1238,Elig_MatchAll_Ct&lt;22,$BC1238=(Elig_MatchAll_Ct-1),AZ1238=0),AC1238,0)</f>
        <v>0</v>
      </c>
      <c r="CI1238" s="993">
        <f>IF(AND(Input_Product=Elig!$C1238,Elig_MatchAll_Ct&lt;22,$BC1238=(Elig_MatchAll_Ct-1),BA1238=0),AD1238,0)</f>
        <v>0</v>
      </c>
      <c r="CJ1238" s="994">
        <f>IF(AND(Input_Product=Elig!$C1238,Elig_MatchAll_Ct&lt;22,$BC1238=(Elig_MatchAll_Ct-1),BA1238=0),AE1238,0)</f>
        <v>0</v>
      </c>
    </row>
    <row r="1239" spans="2:88" ht="10.15" customHeight="1" x14ac:dyDescent="0.25">
      <c r="B1239" s="1920" t="s">
        <v>2592</v>
      </c>
      <c r="C1239" s="1353" t="str">
        <f t="shared" si="453"/>
        <v xml:space="preserve"> </v>
      </c>
      <c r="D1239" s="1354" t="s">
        <v>2218</v>
      </c>
      <c r="E1239" s="1354" t="s">
        <v>167</v>
      </c>
      <c r="F1239" s="1354" t="s">
        <v>330</v>
      </c>
      <c r="G1239" s="1355" t="s">
        <v>181</v>
      </c>
      <c r="H1239" s="1355" t="s">
        <v>136</v>
      </c>
      <c r="I1239" s="1354" t="s">
        <v>34</v>
      </c>
      <c r="J1239" s="1354" t="s">
        <v>1311</v>
      </c>
      <c r="K1239" s="1355" t="s">
        <v>3022</v>
      </c>
      <c r="L1239" s="1354" t="s">
        <v>2768</v>
      </c>
      <c r="M1239" s="1354" t="s">
        <v>2677</v>
      </c>
      <c r="N1239" s="1355" t="s">
        <v>2685</v>
      </c>
      <c r="O1239" s="1354" t="s">
        <v>2526</v>
      </c>
      <c r="P1239" s="1354" t="s">
        <v>291</v>
      </c>
      <c r="Q1239" s="1354" t="s">
        <v>294</v>
      </c>
      <c r="R1239" s="1354">
        <v>1000000.01</v>
      </c>
      <c r="S1239" s="1354">
        <v>1500000</v>
      </c>
      <c r="T1239" s="1354">
        <v>0</v>
      </c>
      <c r="U1239" s="1354">
        <v>0</v>
      </c>
      <c r="V1239" s="1354">
        <v>0</v>
      </c>
      <c r="W1239" s="1354">
        <v>50</v>
      </c>
      <c r="X1239" s="1354">
        <v>0.8</v>
      </c>
      <c r="Y1239" s="1354">
        <v>999</v>
      </c>
      <c r="Z1239" s="2043">
        <v>720</v>
      </c>
      <c r="AA1239" s="2043">
        <v>999</v>
      </c>
      <c r="AB1239" s="2043">
        <v>6</v>
      </c>
      <c r="AC1239" s="2043">
        <v>999999</v>
      </c>
      <c r="AD1239" s="1354">
        <v>0</v>
      </c>
      <c r="AE1239" s="2044">
        <v>80</v>
      </c>
      <c r="AF1239" s="170">
        <v>0</v>
      </c>
      <c r="AG1239" s="171">
        <v>1</v>
      </c>
      <c r="AH1239" s="171">
        <v>1</v>
      </c>
      <c r="AI1239" s="171">
        <v>0</v>
      </c>
      <c r="AJ1239" s="171">
        <v>0</v>
      </c>
      <c r="AK1239" s="171">
        <v>1</v>
      </c>
      <c r="AL1239" s="171">
        <v>0</v>
      </c>
      <c r="AM1239" s="171">
        <v>1</v>
      </c>
      <c r="AN1239" s="171">
        <v>1</v>
      </c>
      <c r="AO1239" s="171">
        <v>1</v>
      </c>
      <c r="AP1239" s="171">
        <v>1</v>
      </c>
      <c r="AQ1239" s="171">
        <v>1</v>
      </c>
      <c r="AR1239" s="171">
        <v>1</v>
      </c>
      <c r="AS1239" s="171">
        <v>1</v>
      </c>
      <c r="AT1239" s="171">
        <v>1</v>
      </c>
      <c r="AU1239" s="171">
        <f t="shared" si="447"/>
        <v>0</v>
      </c>
      <c r="AV1239" s="171">
        <f t="shared" si="448"/>
        <v>0</v>
      </c>
      <c r="AW1239" s="171">
        <f t="shared" si="449"/>
        <v>1</v>
      </c>
      <c r="AX1239" s="171">
        <f t="shared" si="444"/>
        <v>0</v>
      </c>
      <c r="AY1239" s="171">
        <f t="shared" si="450"/>
        <v>1</v>
      </c>
      <c r="AZ1239" s="171">
        <f t="shared" si="451"/>
        <v>1</v>
      </c>
      <c r="BA1239" s="172">
        <f t="shared" si="452"/>
        <v>1</v>
      </c>
      <c r="BB1239" s="175">
        <f t="shared" si="454"/>
        <v>15</v>
      </c>
      <c r="BC1239" s="176">
        <f t="shared" si="455"/>
        <v>14</v>
      </c>
      <c r="BD1239" s="176">
        <f t="shared" si="456"/>
        <v>15</v>
      </c>
      <c r="BE1239" s="240" t="str">
        <f t="shared" si="446"/>
        <v/>
      </c>
      <c r="BF1239" s="990"/>
      <c r="BG1239" s="990"/>
      <c r="BH1239" s="991">
        <f>IF(AND(Input_Product=Elig!$C1239,Elig_MatchAll_Ct&lt;22,$BC1239=(Elig_MatchAll_Ct-1),AF1239=0),C1239,0)</f>
        <v>0</v>
      </c>
      <c r="BI1239" s="991">
        <f>IF(AND(Input_Product=Elig!$C1239,Elig_MatchAll_Ct&lt;22,$BC1239=(Elig_MatchAll_Ct-1),AG1239=0),D1239,0)</f>
        <v>0</v>
      </c>
      <c r="BJ1239" s="991">
        <f>IF(AND(Input_Product=Elig!$C1239,Elig_MatchAll_Ct&lt;22,$BC1239=(Elig_MatchAll_Ct-1),AH1239=0),E1239,0)</f>
        <v>0</v>
      </c>
      <c r="BK1239" s="991">
        <f>IF(AND(Input_Product=Elig!$C1239,Elig_MatchAll_Ct&lt;22,$BC1239=(Elig_MatchAll_Ct-1),AI1239=0),F1239,0)</f>
        <v>0</v>
      </c>
      <c r="BL1239" s="991">
        <f>IF(AND(Input_Product=Elig!$C1239,Elig_MatchAll_Ct&lt;22,$BC1239=(Elig_MatchAll_Ct-1),AJ1239=0),G1239,0)</f>
        <v>0</v>
      </c>
      <c r="BM1239" s="991">
        <f>IF(AND(Input_Product=Elig!$C1239,Elig_MatchAll_Ct&lt;22,$BC1239=(Elig_MatchAll_Ct-1),AK1239=0),H1239,0)</f>
        <v>0</v>
      </c>
      <c r="BN1239" s="991">
        <f>IF(AND(Input_Product=Elig!$C1239,Elig_MatchAll_Ct&lt;22,$BC1239=(Elig_MatchAll_Ct-1),AL1239=0),I1239,0)</f>
        <v>0</v>
      </c>
      <c r="BO1239" s="991">
        <f>IF(AND(Input_Product=Elig!$C1239,Elig_MatchAll_Ct&lt;22,$BC1239=(Elig_MatchAll_Ct-1),AM1239=0),J1239,0)</f>
        <v>0</v>
      </c>
      <c r="BP1239" s="991">
        <f>IF(AND(Input_Product=Elig!$C1239,Elig_MatchAll_Ct&lt;22,$BC1239=(Elig_MatchAll_Ct-1),AN1239=0),K1239,0)</f>
        <v>0</v>
      </c>
      <c r="BQ1239" s="991">
        <f>IF(AND(Input_Product=Elig!$C1239,Elig_MatchAll_Ct&lt;22,$BC1239=(Elig_MatchAll_Ct-1),AP1239=0),L1239,0)</f>
        <v>0</v>
      </c>
      <c r="BR1239" s="991">
        <f>IF(AND(Input_Product=Elig!$C1239,Elig_MatchAll_Ct&lt;22,$BC1239=(Elig_MatchAll_Ct-1),AO1239=0),M1239,0)</f>
        <v>0</v>
      </c>
      <c r="BS1239" s="991">
        <f>IF(AND(Input_Product=Elig!$C1239,Elig_MatchAll_Ct&lt;22,$BC1239=(Elig_MatchAll_Ct-1),AQ1239=0),N1239,0)</f>
        <v>0</v>
      </c>
      <c r="BT1239" s="991">
        <f>IF(AND(Input_Product=Elig!$C1239,Elig_MatchAll_Ct&lt;22,$BC1239=(Elig_MatchAll_Ct-1),AR1239=0),O1239,0)</f>
        <v>0</v>
      </c>
      <c r="BU1239" s="991">
        <f>IF(AND(Input_Product=Elig!$C1239,Elig_MatchAll_Ct&lt;22,$BC1239=(Elig_MatchAll_Ct-1),AS1239=0),P1239,0)</f>
        <v>0</v>
      </c>
      <c r="BV1239" s="992">
        <f>IF(AND(Input_Product=Elig!$C1239,Elig_MatchAll_Ct&lt;22,$BC1239=(Elig_MatchAll_Ct-1),AT1239=0),Q1239,0)</f>
        <v>0</v>
      </c>
      <c r="BW1239" s="993">
        <f>IF(AND(Input_Product=Elig!$C1239,Elig_MatchAll_Ct&lt;22,$BC1239=(Elig_MatchAll_Ct-1),AU1239=0),R1239,0)</f>
        <v>0</v>
      </c>
      <c r="BX1239" s="994">
        <f>IF(AND(Input_Product=Elig!$C1239,Elig_MatchAll_Ct&lt;22,$BC1239=(Elig_MatchAll_Ct-1),AU1239=0),S1239,0)</f>
        <v>0</v>
      </c>
      <c r="BY1239" s="993">
        <f>IF(AND(Input_Product=Elig!$C1239,Elig_MatchAll_Ct&lt;22,$BC1239=(Elig_MatchAll_Ct-1),AV1239=0),T1239,0)</f>
        <v>0</v>
      </c>
      <c r="BZ1239" s="994">
        <f>IF(AND(Input_Product=Elig!$C1239,Elig_MatchAll_Ct&lt;22,$BC1239=(Elig_MatchAll_Ct-1),AV1239=0),U1239,0)</f>
        <v>0</v>
      </c>
      <c r="CA1239" s="993">
        <f>IF(AND(Input_Product=Elig!$C1239,Elig_MatchAll_Ct&lt;22,$BC1239=(Elig_MatchAll_Ct-1),AW1239=0),V1239,0)</f>
        <v>0</v>
      </c>
      <c r="CB1239" s="994">
        <f>IF(AND(Input_Product=Elig!$C1239,Elig_MatchAll_Ct&lt;22,$BC1239=(Elig_MatchAll_Ct-1),AW1239=0),W1239,0)</f>
        <v>0</v>
      </c>
      <c r="CC1239" s="993">
        <f>IF(AND(Input_Product=Elig!$C1239,Elig_MatchAll_Ct&lt;22,$BC1239=(Elig_MatchAll_Ct-1),AX1239=0),X1239,0)</f>
        <v>0</v>
      </c>
      <c r="CD1239" s="994">
        <f>IF(AND(Input_Product=Elig!$C1239,Elig_MatchAll_Ct&lt;22,$BC1239=(Elig_MatchAll_Ct-1),AX1239=0),Y1239,0)</f>
        <v>0</v>
      </c>
      <c r="CE1239" s="993">
        <f>IF(AND(Input_LTV&lt;=AE1239,Input_Product=Elig!$C1239,Elig_MatchAll_Ct&lt;22,$BC1239=(Elig_MatchAll_Ct-1),AY1239=0),Z1239,0)</f>
        <v>0</v>
      </c>
      <c r="CF1239" s="994">
        <f>IF(AND(Input_LTV&lt;=AE1239,Input_Product=Elig!$C1239,Elig_MatchAll_Ct&lt;22,$BC1239=(Elig_MatchAll_Ct-1),AY1239=0),AA1239,0)</f>
        <v>0</v>
      </c>
      <c r="CG1239" s="993">
        <f>IF(AND(Input_Product=Elig!$C1239,Elig_MatchAll_Ct&lt;22,$BC1239=(Elig_MatchAll_Ct-1),AZ1239=0),AB1239,0)</f>
        <v>0</v>
      </c>
      <c r="CH1239" s="994">
        <f>IF(AND(Input_Product=Elig!$C1239,Elig_MatchAll_Ct&lt;22,$BC1239=(Elig_MatchAll_Ct-1),AZ1239=0),AC1239,0)</f>
        <v>0</v>
      </c>
      <c r="CI1239" s="993">
        <f>IF(AND(Input_Product=Elig!$C1239,Elig_MatchAll_Ct&lt;22,$BC1239=(Elig_MatchAll_Ct-1),BA1239=0),AD1239,0)</f>
        <v>0</v>
      </c>
      <c r="CJ1239" s="994">
        <f>IF(AND(Input_Product=Elig!$C1239,Elig_MatchAll_Ct&lt;22,$BC1239=(Elig_MatchAll_Ct-1),BA1239=0),AE1239,0)</f>
        <v>0</v>
      </c>
    </row>
    <row r="1240" spans="2:88" ht="10.15" customHeight="1" x14ac:dyDescent="0.25">
      <c r="B1240" s="1920" t="s">
        <v>2593</v>
      </c>
      <c r="C1240" s="1359" t="str">
        <f t="shared" si="453"/>
        <v xml:space="preserve"> </v>
      </c>
      <c r="D1240" s="1360" t="s">
        <v>2218</v>
      </c>
      <c r="E1240" s="1360" t="s">
        <v>167</v>
      </c>
      <c r="F1240" s="1360" t="s">
        <v>330</v>
      </c>
      <c r="G1240" s="1361" t="s">
        <v>181</v>
      </c>
      <c r="H1240" s="1361" t="s">
        <v>136</v>
      </c>
      <c r="I1240" s="1360" t="s">
        <v>34</v>
      </c>
      <c r="J1240" s="1360" t="s">
        <v>1311</v>
      </c>
      <c r="K1240" s="1361" t="s">
        <v>3022</v>
      </c>
      <c r="L1240" s="1360" t="s">
        <v>2768</v>
      </c>
      <c r="M1240" s="1360" t="s">
        <v>2677</v>
      </c>
      <c r="N1240" s="1361" t="s">
        <v>2685</v>
      </c>
      <c r="O1240" s="1360" t="s">
        <v>2526</v>
      </c>
      <c r="P1240" s="1360" t="s">
        <v>291</v>
      </c>
      <c r="Q1240" s="1360" t="s">
        <v>294</v>
      </c>
      <c r="R1240" s="1360">
        <v>1000000.01</v>
      </c>
      <c r="S1240" s="1360">
        <v>1500000</v>
      </c>
      <c r="T1240" s="1360">
        <v>0</v>
      </c>
      <c r="U1240" s="1360">
        <v>0</v>
      </c>
      <c r="V1240" s="1360">
        <v>0</v>
      </c>
      <c r="W1240" s="1360">
        <v>50</v>
      </c>
      <c r="X1240" s="1360">
        <v>0.8</v>
      </c>
      <c r="Y1240" s="1360">
        <v>999</v>
      </c>
      <c r="Z1240" s="2045">
        <v>700</v>
      </c>
      <c r="AA1240" s="2045">
        <v>719</v>
      </c>
      <c r="AB1240" s="2045">
        <v>6</v>
      </c>
      <c r="AC1240" s="2045">
        <v>999999</v>
      </c>
      <c r="AD1240" s="1360">
        <v>0</v>
      </c>
      <c r="AE1240" s="2046">
        <v>80</v>
      </c>
      <c r="AF1240" s="170">
        <v>0</v>
      </c>
      <c r="AG1240" s="171">
        <v>1</v>
      </c>
      <c r="AH1240" s="171">
        <v>1</v>
      </c>
      <c r="AI1240" s="171">
        <v>0</v>
      </c>
      <c r="AJ1240" s="171">
        <v>0</v>
      </c>
      <c r="AK1240" s="171">
        <v>1</v>
      </c>
      <c r="AL1240" s="171">
        <v>0</v>
      </c>
      <c r="AM1240" s="171">
        <v>1</v>
      </c>
      <c r="AN1240" s="171">
        <v>1</v>
      </c>
      <c r="AO1240" s="171">
        <v>1</v>
      </c>
      <c r="AP1240" s="171">
        <v>1</v>
      </c>
      <c r="AQ1240" s="171">
        <v>1</v>
      </c>
      <c r="AR1240" s="171">
        <v>1</v>
      </c>
      <c r="AS1240" s="171">
        <v>1</v>
      </c>
      <c r="AT1240" s="171">
        <v>1</v>
      </c>
      <c r="AU1240" s="171">
        <f t="shared" si="447"/>
        <v>0</v>
      </c>
      <c r="AV1240" s="171">
        <f t="shared" si="448"/>
        <v>0</v>
      </c>
      <c r="AW1240" s="171">
        <f t="shared" si="449"/>
        <v>1</v>
      </c>
      <c r="AX1240" s="171">
        <f t="shared" si="444"/>
        <v>0</v>
      </c>
      <c r="AY1240" s="171">
        <f t="shared" si="450"/>
        <v>0</v>
      </c>
      <c r="AZ1240" s="171">
        <f t="shared" si="451"/>
        <v>1</v>
      </c>
      <c r="BA1240" s="172">
        <f t="shared" si="452"/>
        <v>1</v>
      </c>
      <c r="BB1240" s="175">
        <f t="shared" si="454"/>
        <v>14</v>
      </c>
      <c r="BC1240" s="176">
        <f t="shared" si="455"/>
        <v>13</v>
      </c>
      <c r="BD1240" s="176">
        <f t="shared" si="456"/>
        <v>14</v>
      </c>
      <c r="BE1240" s="240" t="str">
        <f t="shared" si="446"/>
        <v/>
      </c>
      <c r="BF1240" s="990"/>
      <c r="BG1240" s="990"/>
      <c r="BH1240" s="991">
        <f>IF(AND(Input_Product=Elig!$C1240,Elig_MatchAll_Ct&lt;22,$BC1240=(Elig_MatchAll_Ct-1),AF1240=0),C1240,0)</f>
        <v>0</v>
      </c>
      <c r="BI1240" s="991">
        <f>IF(AND(Input_Product=Elig!$C1240,Elig_MatchAll_Ct&lt;22,$BC1240=(Elig_MatchAll_Ct-1),AG1240=0),D1240,0)</f>
        <v>0</v>
      </c>
      <c r="BJ1240" s="991">
        <f>IF(AND(Input_Product=Elig!$C1240,Elig_MatchAll_Ct&lt;22,$BC1240=(Elig_MatchAll_Ct-1),AH1240=0),E1240,0)</f>
        <v>0</v>
      </c>
      <c r="BK1240" s="991">
        <f>IF(AND(Input_Product=Elig!$C1240,Elig_MatchAll_Ct&lt;22,$BC1240=(Elig_MatchAll_Ct-1),AI1240=0),F1240,0)</f>
        <v>0</v>
      </c>
      <c r="BL1240" s="991">
        <f>IF(AND(Input_Product=Elig!$C1240,Elig_MatchAll_Ct&lt;22,$BC1240=(Elig_MatchAll_Ct-1),AJ1240=0),G1240,0)</f>
        <v>0</v>
      </c>
      <c r="BM1240" s="991">
        <f>IF(AND(Input_Product=Elig!$C1240,Elig_MatchAll_Ct&lt;22,$BC1240=(Elig_MatchAll_Ct-1),AK1240=0),H1240,0)</f>
        <v>0</v>
      </c>
      <c r="BN1240" s="991">
        <f>IF(AND(Input_Product=Elig!$C1240,Elig_MatchAll_Ct&lt;22,$BC1240=(Elig_MatchAll_Ct-1),AL1240=0),I1240,0)</f>
        <v>0</v>
      </c>
      <c r="BO1240" s="991">
        <f>IF(AND(Input_Product=Elig!$C1240,Elig_MatchAll_Ct&lt;22,$BC1240=(Elig_MatchAll_Ct-1),AM1240=0),J1240,0)</f>
        <v>0</v>
      </c>
      <c r="BP1240" s="991">
        <f>IF(AND(Input_Product=Elig!$C1240,Elig_MatchAll_Ct&lt;22,$BC1240=(Elig_MatchAll_Ct-1),AN1240=0),K1240,0)</f>
        <v>0</v>
      </c>
      <c r="BQ1240" s="991">
        <f>IF(AND(Input_Product=Elig!$C1240,Elig_MatchAll_Ct&lt;22,$BC1240=(Elig_MatchAll_Ct-1),AP1240=0),L1240,0)</f>
        <v>0</v>
      </c>
      <c r="BR1240" s="991">
        <f>IF(AND(Input_Product=Elig!$C1240,Elig_MatchAll_Ct&lt;22,$BC1240=(Elig_MatchAll_Ct-1),AO1240=0),M1240,0)</f>
        <v>0</v>
      </c>
      <c r="BS1240" s="991">
        <f>IF(AND(Input_Product=Elig!$C1240,Elig_MatchAll_Ct&lt;22,$BC1240=(Elig_MatchAll_Ct-1),AQ1240=0),N1240,0)</f>
        <v>0</v>
      </c>
      <c r="BT1240" s="991">
        <f>IF(AND(Input_Product=Elig!$C1240,Elig_MatchAll_Ct&lt;22,$BC1240=(Elig_MatchAll_Ct-1),AR1240=0),O1240,0)</f>
        <v>0</v>
      </c>
      <c r="BU1240" s="991">
        <f>IF(AND(Input_Product=Elig!$C1240,Elig_MatchAll_Ct&lt;22,$BC1240=(Elig_MatchAll_Ct-1),AS1240=0),P1240,0)</f>
        <v>0</v>
      </c>
      <c r="BV1240" s="992">
        <f>IF(AND(Input_Product=Elig!$C1240,Elig_MatchAll_Ct&lt;22,$BC1240=(Elig_MatchAll_Ct-1),AT1240=0),Q1240,0)</f>
        <v>0</v>
      </c>
      <c r="BW1240" s="993">
        <f>IF(AND(Input_Product=Elig!$C1240,Elig_MatchAll_Ct&lt;22,$BC1240=(Elig_MatchAll_Ct-1),AU1240=0),R1240,0)</f>
        <v>0</v>
      </c>
      <c r="BX1240" s="994">
        <f>IF(AND(Input_Product=Elig!$C1240,Elig_MatchAll_Ct&lt;22,$BC1240=(Elig_MatchAll_Ct-1),AU1240=0),S1240,0)</f>
        <v>0</v>
      </c>
      <c r="BY1240" s="993">
        <f>IF(AND(Input_Product=Elig!$C1240,Elig_MatchAll_Ct&lt;22,$BC1240=(Elig_MatchAll_Ct-1),AV1240=0),T1240,0)</f>
        <v>0</v>
      </c>
      <c r="BZ1240" s="994">
        <f>IF(AND(Input_Product=Elig!$C1240,Elig_MatchAll_Ct&lt;22,$BC1240=(Elig_MatchAll_Ct-1),AV1240=0),U1240,0)</f>
        <v>0</v>
      </c>
      <c r="CA1240" s="993">
        <f>IF(AND(Input_Product=Elig!$C1240,Elig_MatchAll_Ct&lt;22,$BC1240=(Elig_MatchAll_Ct-1),AW1240=0),V1240,0)</f>
        <v>0</v>
      </c>
      <c r="CB1240" s="994">
        <f>IF(AND(Input_Product=Elig!$C1240,Elig_MatchAll_Ct&lt;22,$BC1240=(Elig_MatchAll_Ct-1),AW1240=0),W1240,0)</f>
        <v>0</v>
      </c>
      <c r="CC1240" s="993">
        <f>IF(AND(Input_Product=Elig!$C1240,Elig_MatchAll_Ct&lt;22,$BC1240=(Elig_MatchAll_Ct-1),AX1240=0),X1240,0)</f>
        <v>0</v>
      </c>
      <c r="CD1240" s="994">
        <f>IF(AND(Input_Product=Elig!$C1240,Elig_MatchAll_Ct&lt;22,$BC1240=(Elig_MatchAll_Ct-1),AX1240=0),Y1240,0)</f>
        <v>0</v>
      </c>
      <c r="CE1240" s="993">
        <f>IF(AND(Input_LTV&lt;=AE1240,Input_Product=Elig!$C1240,Elig_MatchAll_Ct&lt;22,$BC1240=(Elig_MatchAll_Ct-1),AY1240=0),Z1240,0)</f>
        <v>0</v>
      </c>
      <c r="CF1240" s="994">
        <f>IF(AND(Input_LTV&lt;=AE1240,Input_Product=Elig!$C1240,Elig_MatchAll_Ct&lt;22,$BC1240=(Elig_MatchAll_Ct-1),AY1240=0),AA1240,0)</f>
        <v>0</v>
      </c>
      <c r="CG1240" s="993">
        <f>IF(AND(Input_Product=Elig!$C1240,Elig_MatchAll_Ct&lt;22,$BC1240=(Elig_MatchAll_Ct-1),AZ1240=0),AB1240,0)</f>
        <v>0</v>
      </c>
      <c r="CH1240" s="994">
        <f>IF(AND(Input_Product=Elig!$C1240,Elig_MatchAll_Ct&lt;22,$BC1240=(Elig_MatchAll_Ct-1),AZ1240=0),AC1240,0)</f>
        <v>0</v>
      </c>
      <c r="CI1240" s="993">
        <f>IF(AND(Input_Product=Elig!$C1240,Elig_MatchAll_Ct&lt;22,$BC1240=(Elig_MatchAll_Ct-1),BA1240=0),AD1240,0)</f>
        <v>0</v>
      </c>
      <c r="CJ1240" s="994">
        <f>IF(AND(Input_Product=Elig!$C1240,Elig_MatchAll_Ct&lt;22,$BC1240=(Elig_MatchAll_Ct-1),BA1240=0),AE1240,0)</f>
        <v>0</v>
      </c>
    </row>
    <row r="1241" spans="2:88" ht="10.15" customHeight="1" x14ac:dyDescent="0.25">
      <c r="B1241" s="1920" t="s">
        <v>2594</v>
      </c>
      <c r="C1241" s="1356" t="str">
        <f t="shared" si="453"/>
        <v xml:space="preserve"> </v>
      </c>
      <c r="D1241" s="1357" t="s">
        <v>2218</v>
      </c>
      <c r="E1241" s="1357" t="s">
        <v>167</v>
      </c>
      <c r="F1241" s="1357" t="s">
        <v>330</v>
      </c>
      <c r="G1241" s="1358" t="s">
        <v>181</v>
      </c>
      <c r="H1241" s="1358" t="s">
        <v>136</v>
      </c>
      <c r="I1241" s="1357" t="s">
        <v>34</v>
      </c>
      <c r="J1241" s="1357" t="s">
        <v>1311</v>
      </c>
      <c r="K1241" s="1358" t="s">
        <v>3022</v>
      </c>
      <c r="L1241" s="1357" t="s">
        <v>2768</v>
      </c>
      <c r="M1241" s="1357" t="s">
        <v>2677</v>
      </c>
      <c r="N1241" s="1358" t="s">
        <v>2685</v>
      </c>
      <c r="O1241" s="1357" t="s">
        <v>2526</v>
      </c>
      <c r="P1241" s="1357" t="s">
        <v>291</v>
      </c>
      <c r="Q1241" s="1357" t="s">
        <v>294</v>
      </c>
      <c r="R1241" s="1357">
        <v>1000000.01</v>
      </c>
      <c r="S1241" s="1357">
        <v>1500000</v>
      </c>
      <c r="T1241" s="1357">
        <v>0</v>
      </c>
      <c r="U1241" s="1357">
        <v>0</v>
      </c>
      <c r="V1241" s="1357">
        <v>0</v>
      </c>
      <c r="W1241" s="1357">
        <v>50</v>
      </c>
      <c r="X1241" s="1357">
        <v>0.8</v>
      </c>
      <c r="Y1241" s="1357">
        <v>999</v>
      </c>
      <c r="Z1241" s="2047">
        <v>660</v>
      </c>
      <c r="AA1241" s="2047">
        <v>660</v>
      </c>
      <c r="AB1241" s="2047">
        <v>6</v>
      </c>
      <c r="AC1241" s="2047">
        <v>999999</v>
      </c>
      <c r="AD1241" s="1357">
        <v>0</v>
      </c>
      <c r="AE1241" s="2048">
        <v>80</v>
      </c>
      <c r="AF1241" s="170">
        <v>0</v>
      </c>
      <c r="AG1241" s="171">
        <v>1</v>
      </c>
      <c r="AH1241" s="171">
        <v>1</v>
      </c>
      <c r="AI1241" s="171">
        <v>0</v>
      </c>
      <c r="AJ1241" s="171">
        <v>0</v>
      </c>
      <c r="AK1241" s="171">
        <v>1</v>
      </c>
      <c r="AL1241" s="171">
        <v>0</v>
      </c>
      <c r="AM1241" s="171">
        <v>1</v>
      </c>
      <c r="AN1241" s="171">
        <v>1</v>
      </c>
      <c r="AO1241" s="171">
        <v>1</v>
      </c>
      <c r="AP1241" s="171">
        <v>1</v>
      </c>
      <c r="AQ1241" s="171">
        <v>1</v>
      </c>
      <c r="AR1241" s="171">
        <v>1</v>
      </c>
      <c r="AS1241" s="171">
        <v>1</v>
      </c>
      <c r="AT1241" s="171">
        <v>1</v>
      </c>
      <c r="AU1241" s="171">
        <f t="shared" si="447"/>
        <v>0</v>
      </c>
      <c r="AV1241" s="171">
        <f t="shared" si="448"/>
        <v>0</v>
      </c>
      <c r="AW1241" s="171">
        <f t="shared" si="449"/>
        <v>1</v>
      </c>
      <c r="AX1241" s="171">
        <f t="shared" si="444"/>
        <v>0</v>
      </c>
      <c r="AY1241" s="171">
        <f t="shared" si="450"/>
        <v>0</v>
      </c>
      <c r="AZ1241" s="171">
        <f t="shared" si="451"/>
        <v>1</v>
      </c>
      <c r="BA1241" s="172">
        <f t="shared" si="452"/>
        <v>1</v>
      </c>
      <c r="BB1241" s="175">
        <f t="shared" si="454"/>
        <v>14</v>
      </c>
      <c r="BC1241" s="176">
        <f t="shared" si="455"/>
        <v>13</v>
      </c>
      <c r="BD1241" s="176">
        <f t="shared" si="456"/>
        <v>14</v>
      </c>
      <c r="BE1241" s="240" t="str">
        <f t="shared" si="446"/>
        <v/>
      </c>
      <c r="BF1241" s="990"/>
      <c r="BG1241" s="990"/>
      <c r="BH1241" s="991">
        <f>IF(AND(Input_Product=Elig!$C1241,Elig_MatchAll_Ct&lt;22,$BC1241=(Elig_MatchAll_Ct-1),AF1241=0),C1241,0)</f>
        <v>0</v>
      </c>
      <c r="BI1241" s="991">
        <f>IF(AND(Input_Product=Elig!$C1241,Elig_MatchAll_Ct&lt;22,$BC1241=(Elig_MatchAll_Ct-1),AG1241=0),D1241,0)</f>
        <v>0</v>
      </c>
      <c r="BJ1241" s="991">
        <f>IF(AND(Input_Product=Elig!$C1241,Elig_MatchAll_Ct&lt;22,$BC1241=(Elig_MatchAll_Ct-1),AH1241=0),E1241,0)</f>
        <v>0</v>
      </c>
      <c r="BK1241" s="991">
        <f>IF(AND(Input_Product=Elig!$C1241,Elig_MatchAll_Ct&lt;22,$BC1241=(Elig_MatchAll_Ct-1),AI1241=0),F1241,0)</f>
        <v>0</v>
      </c>
      <c r="BL1241" s="991">
        <f>IF(AND(Input_Product=Elig!$C1241,Elig_MatchAll_Ct&lt;22,$BC1241=(Elig_MatchAll_Ct-1),AJ1241=0),G1241,0)</f>
        <v>0</v>
      </c>
      <c r="BM1241" s="991">
        <f>IF(AND(Input_Product=Elig!$C1241,Elig_MatchAll_Ct&lt;22,$BC1241=(Elig_MatchAll_Ct-1),AK1241=0),H1241,0)</f>
        <v>0</v>
      </c>
      <c r="BN1241" s="991">
        <f>IF(AND(Input_Product=Elig!$C1241,Elig_MatchAll_Ct&lt;22,$BC1241=(Elig_MatchAll_Ct-1),AL1241=0),I1241,0)</f>
        <v>0</v>
      </c>
      <c r="BO1241" s="991">
        <f>IF(AND(Input_Product=Elig!$C1241,Elig_MatchAll_Ct&lt;22,$BC1241=(Elig_MatchAll_Ct-1),AM1241=0),J1241,0)</f>
        <v>0</v>
      </c>
      <c r="BP1241" s="991">
        <f>IF(AND(Input_Product=Elig!$C1241,Elig_MatchAll_Ct&lt;22,$BC1241=(Elig_MatchAll_Ct-1),AN1241=0),K1241,0)</f>
        <v>0</v>
      </c>
      <c r="BQ1241" s="991">
        <f>IF(AND(Input_Product=Elig!$C1241,Elig_MatchAll_Ct&lt;22,$BC1241=(Elig_MatchAll_Ct-1),AP1241=0),L1241,0)</f>
        <v>0</v>
      </c>
      <c r="BR1241" s="991">
        <f>IF(AND(Input_Product=Elig!$C1241,Elig_MatchAll_Ct&lt;22,$BC1241=(Elig_MatchAll_Ct-1),AO1241=0),M1241,0)</f>
        <v>0</v>
      </c>
      <c r="BS1241" s="991">
        <f>IF(AND(Input_Product=Elig!$C1241,Elig_MatchAll_Ct&lt;22,$BC1241=(Elig_MatchAll_Ct-1),AQ1241=0),N1241,0)</f>
        <v>0</v>
      </c>
      <c r="BT1241" s="991">
        <f>IF(AND(Input_Product=Elig!$C1241,Elig_MatchAll_Ct&lt;22,$BC1241=(Elig_MatchAll_Ct-1),AR1241=0),O1241,0)</f>
        <v>0</v>
      </c>
      <c r="BU1241" s="991">
        <f>IF(AND(Input_Product=Elig!$C1241,Elig_MatchAll_Ct&lt;22,$BC1241=(Elig_MatchAll_Ct-1),AS1241=0),P1241,0)</f>
        <v>0</v>
      </c>
      <c r="BV1241" s="992">
        <f>IF(AND(Input_Product=Elig!$C1241,Elig_MatchAll_Ct&lt;22,$BC1241=(Elig_MatchAll_Ct-1),AT1241=0),Q1241,0)</f>
        <v>0</v>
      </c>
      <c r="BW1241" s="993">
        <f>IF(AND(Input_Product=Elig!$C1241,Elig_MatchAll_Ct&lt;22,$BC1241=(Elig_MatchAll_Ct-1),AU1241=0),R1241,0)</f>
        <v>0</v>
      </c>
      <c r="BX1241" s="994">
        <f>IF(AND(Input_Product=Elig!$C1241,Elig_MatchAll_Ct&lt;22,$BC1241=(Elig_MatchAll_Ct-1),AU1241=0),S1241,0)</f>
        <v>0</v>
      </c>
      <c r="BY1241" s="993">
        <f>IF(AND(Input_Product=Elig!$C1241,Elig_MatchAll_Ct&lt;22,$BC1241=(Elig_MatchAll_Ct-1),AV1241=0),T1241,0)</f>
        <v>0</v>
      </c>
      <c r="BZ1241" s="994">
        <f>IF(AND(Input_Product=Elig!$C1241,Elig_MatchAll_Ct&lt;22,$BC1241=(Elig_MatchAll_Ct-1),AV1241=0),U1241,0)</f>
        <v>0</v>
      </c>
      <c r="CA1241" s="993">
        <f>IF(AND(Input_Product=Elig!$C1241,Elig_MatchAll_Ct&lt;22,$BC1241=(Elig_MatchAll_Ct-1),AW1241=0),V1241,0)</f>
        <v>0</v>
      </c>
      <c r="CB1241" s="994">
        <f>IF(AND(Input_Product=Elig!$C1241,Elig_MatchAll_Ct&lt;22,$BC1241=(Elig_MatchAll_Ct-1),AW1241=0),W1241,0)</f>
        <v>0</v>
      </c>
      <c r="CC1241" s="993">
        <f>IF(AND(Input_Product=Elig!$C1241,Elig_MatchAll_Ct&lt;22,$BC1241=(Elig_MatchAll_Ct-1),AX1241=0),X1241,0)</f>
        <v>0</v>
      </c>
      <c r="CD1241" s="994">
        <f>IF(AND(Input_Product=Elig!$C1241,Elig_MatchAll_Ct&lt;22,$BC1241=(Elig_MatchAll_Ct-1),AX1241=0),Y1241,0)</f>
        <v>0</v>
      </c>
      <c r="CE1241" s="993">
        <f>IF(AND(Input_LTV&lt;=AE1241,Input_Product=Elig!$C1241,Elig_MatchAll_Ct&lt;22,$BC1241=(Elig_MatchAll_Ct-1),AY1241=0),Z1241,0)</f>
        <v>0</v>
      </c>
      <c r="CF1241" s="994">
        <f>IF(AND(Input_LTV&lt;=AE1241,Input_Product=Elig!$C1241,Elig_MatchAll_Ct&lt;22,$BC1241=(Elig_MatchAll_Ct-1),AY1241=0),AA1241,0)</f>
        <v>0</v>
      </c>
      <c r="CG1241" s="993">
        <f>IF(AND(Input_Product=Elig!$C1241,Elig_MatchAll_Ct&lt;22,$BC1241=(Elig_MatchAll_Ct-1),AZ1241=0),AB1241,0)</f>
        <v>0</v>
      </c>
      <c r="CH1241" s="994">
        <f>IF(AND(Input_Product=Elig!$C1241,Elig_MatchAll_Ct&lt;22,$BC1241=(Elig_MatchAll_Ct-1),AZ1241=0),AC1241,0)</f>
        <v>0</v>
      </c>
      <c r="CI1241" s="993">
        <f>IF(AND(Input_Product=Elig!$C1241,Elig_MatchAll_Ct&lt;22,$BC1241=(Elig_MatchAll_Ct-1),BA1241=0),AD1241,0)</f>
        <v>0</v>
      </c>
      <c r="CJ1241" s="994">
        <f>IF(AND(Input_Product=Elig!$C1241,Elig_MatchAll_Ct&lt;22,$BC1241=(Elig_MatchAll_Ct-1),BA1241=0),AE1241,0)</f>
        <v>0</v>
      </c>
    </row>
    <row r="1242" spans="2:88" ht="10.15" customHeight="1" x14ac:dyDescent="0.25">
      <c r="B1242" s="1920" t="s">
        <v>2595</v>
      </c>
      <c r="C1242" s="1353" t="str">
        <f t="shared" si="453"/>
        <v xml:space="preserve"> </v>
      </c>
      <c r="D1242" s="1354" t="s">
        <v>2218</v>
      </c>
      <c r="E1242" s="1354" t="s">
        <v>167</v>
      </c>
      <c r="F1242" s="1354" t="s">
        <v>330</v>
      </c>
      <c r="G1242" s="1355" t="s">
        <v>181</v>
      </c>
      <c r="H1242" s="1355" t="s">
        <v>136</v>
      </c>
      <c r="I1242" s="1354" t="s">
        <v>34</v>
      </c>
      <c r="J1242" s="1354" t="s">
        <v>1311</v>
      </c>
      <c r="K1242" s="1355" t="s">
        <v>3022</v>
      </c>
      <c r="L1242" s="1354" t="s">
        <v>2768</v>
      </c>
      <c r="M1242" s="1354" t="s">
        <v>2677</v>
      </c>
      <c r="N1242" s="1355" t="s">
        <v>2685</v>
      </c>
      <c r="O1242" s="1354" t="s">
        <v>2526</v>
      </c>
      <c r="P1242" s="1354" t="s">
        <v>291</v>
      </c>
      <c r="Q1242" s="1354" t="s">
        <v>294</v>
      </c>
      <c r="R1242" s="1354">
        <v>1500000.01</v>
      </c>
      <c r="S1242" s="1354">
        <v>2000000</v>
      </c>
      <c r="T1242" s="1354">
        <v>0</v>
      </c>
      <c r="U1242" s="1354">
        <v>0</v>
      </c>
      <c r="V1242" s="1354">
        <v>0</v>
      </c>
      <c r="W1242" s="1354">
        <v>50</v>
      </c>
      <c r="X1242" s="1354">
        <v>0.8</v>
      </c>
      <c r="Y1242" s="1354">
        <v>999</v>
      </c>
      <c r="Z1242" s="2043">
        <v>720</v>
      </c>
      <c r="AA1242" s="2043">
        <v>999</v>
      </c>
      <c r="AB1242" s="2043">
        <v>6</v>
      </c>
      <c r="AC1242" s="2043">
        <v>999999</v>
      </c>
      <c r="AD1242" s="1354">
        <v>0</v>
      </c>
      <c r="AE1242" s="2044">
        <v>75</v>
      </c>
      <c r="AF1242" s="170">
        <v>0</v>
      </c>
      <c r="AG1242" s="171">
        <v>1</v>
      </c>
      <c r="AH1242" s="171">
        <v>1</v>
      </c>
      <c r="AI1242" s="171">
        <v>0</v>
      </c>
      <c r="AJ1242" s="171">
        <v>0</v>
      </c>
      <c r="AK1242" s="171">
        <v>1</v>
      </c>
      <c r="AL1242" s="171">
        <v>0</v>
      </c>
      <c r="AM1242" s="171">
        <v>1</v>
      </c>
      <c r="AN1242" s="171">
        <v>1</v>
      </c>
      <c r="AO1242" s="171">
        <v>1</v>
      </c>
      <c r="AP1242" s="171">
        <v>1</v>
      </c>
      <c r="AQ1242" s="171">
        <v>1</v>
      </c>
      <c r="AR1242" s="171">
        <v>1</v>
      </c>
      <c r="AS1242" s="171">
        <v>1</v>
      </c>
      <c r="AT1242" s="171">
        <v>1</v>
      </c>
      <c r="AU1242" s="171">
        <f t="shared" si="447"/>
        <v>0</v>
      </c>
      <c r="AV1242" s="171">
        <f t="shared" si="448"/>
        <v>0</v>
      </c>
      <c r="AW1242" s="171">
        <f t="shared" si="449"/>
        <v>1</v>
      </c>
      <c r="AX1242" s="171">
        <f t="shared" si="444"/>
        <v>0</v>
      </c>
      <c r="AY1242" s="171">
        <f t="shared" si="450"/>
        <v>1</v>
      </c>
      <c r="AZ1242" s="171">
        <f t="shared" si="451"/>
        <v>1</v>
      </c>
      <c r="BA1242" s="172">
        <f t="shared" si="452"/>
        <v>1</v>
      </c>
      <c r="BB1242" s="175">
        <f t="shared" si="454"/>
        <v>15</v>
      </c>
      <c r="BC1242" s="176">
        <f t="shared" si="455"/>
        <v>14</v>
      </c>
      <c r="BD1242" s="176">
        <f t="shared" si="456"/>
        <v>15</v>
      </c>
      <c r="BE1242" s="240" t="str">
        <f t="shared" si="446"/>
        <v/>
      </c>
      <c r="BF1242" s="990"/>
      <c r="BG1242" s="990"/>
      <c r="BH1242" s="991">
        <f>IF(AND(Input_Product=Elig!$C1242,Elig_MatchAll_Ct&lt;22,$BC1242=(Elig_MatchAll_Ct-1),AF1242=0),C1242,0)</f>
        <v>0</v>
      </c>
      <c r="BI1242" s="991">
        <f>IF(AND(Input_Product=Elig!$C1242,Elig_MatchAll_Ct&lt;22,$BC1242=(Elig_MatchAll_Ct-1),AG1242=0),D1242,0)</f>
        <v>0</v>
      </c>
      <c r="BJ1242" s="991">
        <f>IF(AND(Input_Product=Elig!$C1242,Elig_MatchAll_Ct&lt;22,$BC1242=(Elig_MatchAll_Ct-1),AH1242=0),E1242,0)</f>
        <v>0</v>
      </c>
      <c r="BK1242" s="991">
        <f>IF(AND(Input_Product=Elig!$C1242,Elig_MatchAll_Ct&lt;22,$BC1242=(Elig_MatchAll_Ct-1),AI1242=0),F1242,0)</f>
        <v>0</v>
      </c>
      <c r="BL1242" s="991">
        <f>IF(AND(Input_Product=Elig!$C1242,Elig_MatchAll_Ct&lt;22,$BC1242=(Elig_MatchAll_Ct-1),AJ1242=0),G1242,0)</f>
        <v>0</v>
      </c>
      <c r="BM1242" s="991">
        <f>IF(AND(Input_Product=Elig!$C1242,Elig_MatchAll_Ct&lt;22,$BC1242=(Elig_MatchAll_Ct-1),AK1242=0),H1242,0)</f>
        <v>0</v>
      </c>
      <c r="BN1242" s="991">
        <f>IF(AND(Input_Product=Elig!$C1242,Elig_MatchAll_Ct&lt;22,$BC1242=(Elig_MatchAll_Ct-1),AL1242=0),I1242,0)</f>
        <v>0</v>
      </c>
      <c r="BO1242" s="991">
        <f>IF(AND(Input_Product=Elig!$C1242,Elig_MatchAll_Ct&lt;22,$BC1242=(Elig_MatchAll_Ct-1),AM1242=0),J1242,0)</f>
        <v>0</v>
      </c>
      <c r="BP1242" s="991">
        <f>IF(AND(Input_Product=Elig!$C1242,Elig_MatchAll_Ct&lt;22,$BC1242=(Elig_MatchAll_Ct-1),AN1242=0),K1242,0)</f>
        <v>0</v>
      </c>
      <c r="BQ1242" s="991">
        <f>IF(AND(Input_Product=Elig!$C1242,Elig_MatchAll_Ct&lt;22,$BC1242=(Elig_MatchAll_Ct-1),AP1242=0),L1242,0)</f>
        <v>0</v>
      </c>
      <c r="BR1242" s="991">
        <f>IF(AND(Input_Product=Elig!$C1242,Elig_MatchAll_Ct&lt;22,$BC1242=(Elig_MatchAll_Ct-1),AO1242=0),M1242,0)</f>
        <v>0</v>
      </c>
      <c r="BS1242" s="991">
        <f>IF(AND(Input_Product=Elig!$C1242,Elig_MatchAll_Ct&lt;22,$BC1242=(Elig_MatchAll_Ct-1),AQ1242=0),N1242,0)</f>
        <v>0</v>
      </c>
      <c r="BT1242" s="991">
        <f>IF(AND(Input_Product=Elig!$C1242,Elig_MatchAll_Ct&lt;22,$BC1242=(Elig_MatchAll_Ct-1),AR1242=0),O1242,0)</f>
        <v>0</v>
      </c>
      <c r="BU1242" s="991">
        <f>IF(AND(Input_Product=Elig!$C1242,Elig_MatchAll_Ct&lt;22,$BC1242=(Elig_MatchAll_Ct-1),AS1242=0),P1242,0)</f>
        <v>0</v>
      </c>
      <c r="BV1242" s="992">
        <f>IF(AND(Input_Product=Elig!$C1242,Elig_MatchAll_Ct&lt;22,$BC1242=(Elig_MatchAll_Ct-1),AT1242=0),Q1242,0)</f>
        <v>0</v>
      </c>
      <c r="BW1242" s="993">
        <f>IF(AND(Input_Product=Elig!$C1242,Elig_MatchAll_Ct&lt;22,$BC1242=(Elig_MatchAll_Ct-1),AU1242=0),R1242,0)</f>
        <v>0</v>
      </c>
      <c r="BX1242" s="994">
        <f>IF(AND(Input_Product=Elig!$C1242,Elig_MatchAll_Ct&lt;22,$BC1242=(Elig_MatchAll_Ct-1),AU1242=0),S1242,0)</f>
        <v>0</v>
      </c>
      <c r="BY1242" s="993">
        <f>IF(AND(Input_Product=Elig!$C1242,Elig_MatchAll_Ct&lt;22,$BC1242=(Elig_MatchAll_Ct-1),AV1242=0),T1242,0)</f>
        <v>0</v>
      </c>
      <c r="BZ1242" s="994">
        <f>IF(AND(Input_Product=Elig!$C1242,Elig_MatchAll_Ct&lt;22,$BC1242=(Elig_MatchAll_Ct-1),AV1242=0),U1242,0)</f>
        <v>0</v>
      </c>
      <c r="CA1242" s="993">
        <f>IF(AND(Input_Product=Elig!$C1242,Elig_MatchAll_Ct&lt;22,$BC1242=(Elig_MatchAll_Ct-1),AW1242=0),V1242,0)</f>
        <v>0</v>
      </c>
      <c r="CB1242" s="994">
        <f>IF(AND(Input_Product=Elig!$C1242,Elig_MatchAll_Ct&lt;22,$BC1242=(Elig_MatchAll_Ct-1),AW1242=0),W1242,0)</f>
        <v>0</v>
      </c>
      <c r="CC1242" s="993">
        <f>IF(AND(Input_Product=Elig!$C1242,Elig_MatchAll_Ct&lt;22,$BC1242=(Elig_MatchAll_Ct-1),AX1242=0),X1242,0)</f>
        <v>0</v>
      </c>
      <c r="CD1242" s="994">
        <f>IF(AND(Input_Product=Elig!$C1242,Elig_MatchAll_Ct&lt;22,$BC1242=(Elig_MatchAll_Ct-1),AX1242=0),Y1242,0)</f>
        <v>0</v>
      </c>
      <c r="CE1242" s="993">
        <f>IF(AND(Input_LTV&lt;=AE1242,Input_Product=Elig!$C1242,Elig_MatchAll_Ct&lt;22,$BC1242=(Elig_MatchAll_Ct-1),AY1242=0),Z1242,0)</f>
        <v>0</v>
      </c>
      <c r="CF1242" s="994">
        <f>IF(AND(Input_LTV&lt;=AE1242,Input_Product=Elig!$C1242,Elig_MatchAll_Ct&lt;22,$BC1242=(Elig_MatchAll_Ct-1),AY1242=0),AA1242,0)</f>
        <v>0</v>
      </c>
      <c r="CG1242" s="993">
        <f>IF(AND(Input_Product=Elig!$C1242,Elig_MatchAll_Ct&lt;22,$BC1242=(Elig_MatchAll_Ct-1),AZ1242=0),AB1242,0)</f>
        <v>0</v>
      </c>
      <c r="CH1242" s="994">
        <f>IF(AND(Input_Product=Elig!$C1242,Elig_MatchAll_Ct&lt;22,$BC1242=(Elig_MatchAll_Ct-1),AZ1242=0),AC1242,0)</f>
        <v>0</v>
      </c>
      <c r="CI1242" s="993">
        <f>IF(AND(Input_Product=Elig!$C1242,Elig_MatchAll_Ct&lt;22,$BC1242=(Elig_MatchAll_Ct-1),BA1242=0),AD1242,0)</f>
        <v>0</v>
      </c>
      <c r="CJ1242" s="994">
        <f>IF(AND(Input_Product=Elig!$C1242,Elig_MatchAll_Ct&lt;22,$BC1242=(Elig_MatchAll_Ct-1),BA1242=0),AE1242,0)</f>
        <v>0</v>
      </c>
    </row>
    <row r="1243" spans="2:88" ht="10.15" customHeight="1" x14ac:dyDescent="0.25">
      <c r="B1243" s="1920" t="s">
        <v>2596</v>
      </c>
      <c r="C1243" s="1359" t="str">
        <f t="shared" si="453"/>
        <v xml:space="preserve"> </v>
      </c>
      <c r="D1243" s="1360" t="s">
        <v>2218</v>
      </c>
      <c r="E1243" s="1360" t="s">
        <v>167</v>
      </c>
      <c r="F1243" s="1360" t="s">
        <v>330</v>
      </c>
      <c r="G1243" s="1361" t="s">
        <v>181</v>
      </c>
      <c r="H1243" s="1361" t="s">
        <v>136</v>
      </c>
      <c r="I1243" s="1360" t="s">
        <v>34</v>
      </c>
      <c r="J1243" s="1360" t="s">
        <v>1311</v>
      </c>
      <c r="K1243" s="1361" t="s">
        <v>3022</v>
      </c>
      <c r="L1243" s="1360" t="s">
        <v>2768</v>
      </c>
      <c r="M1243" s="1360" t="s">
        <v>2677</v>
      </c>
      <c r="N1243" s="1361" t="s">
        <v>2685</v>
      </c>
      <c r="O1243" s="1360" t="s">
        <v>2526</v>
      </c>
      <c r="P1243" s="1360" t="s">
        <v>291</v>
      </c>
      <c r="Q1243" s="1360" t="s">
        <v>294</v>
      </c>
      <c r="R1243" s="1360">
        <v>1500000.01</v>
      </c>
      <c r="S1243" s="1360">
        <v>2000000</v>
      </c>
      <c r="T1243" s="1360">
        <v>0</v>
      </c>
      <c r="U1243" s="1360">
        <v>0</v>
      </c>
      <c r="V1243" s="1360">
        <v>0</v>
      </c>
      <c r="W1243" s="1360">
        <v>50</v>
      </c>
      <c r="X1243" s="1360">
        <v>0.8</v>
      </c>
      <c r="Y1243" s="1360">
        <v>999</v>
      </c>
      <c r="Z1243" s="2045">
        <v>700</v>
      </c>
      <c r="AA1243" s="2045">
        <v>719</v>
      </c>
      <c r="AB1243" s="2045">
        <v>6</v>
      </c>
      <c r="AC1243" s="2045">
        <v>999999</v>
      </c>
      <c r="AD1243" s="1360">
        <v>0</v>
      </c>
      <c r="AE1243" s="2046">
        <v>75</v>
      </c>
      <c r="AF1243" s="170">
        <v>0</v>
      </c>
      <c r="AG1243" s="171">
        <v>1</v>
      </c>
      <c r="AH1243" s="171">
        <v>1</v>
      </c>
      <c r="AI1243" s="171">
        <v>0</v>
      </c>
      <c r="AJ1243" s="171">
        <v>0</v>
      </c>
      <c r="AK1243" s="171">
        <v>1</v>
      </c>
      <c r="AL1243" s="171">
        <v>0</v>
      </c>
      <c r="AM1243" s="171">
        <v>1</v>
      </c>
      <c r="AN1243" s="171">
        <v>1</v>
      </c>
      <c r="AO1243" s="171">
        <v>1</v>
      </c>
      <c r="AP1243" s="171">
        <v>1</v>
      </c>
      <c r="AQ1243" s="171">
        <v>1</v>
      </c>
      <c r="AR1243" s="171">
        <v>1</v>
      </c>
      <c r="AS1243" s="171">
        <v>1</v>
      </c>
      <c r="AT1243" s="171">
        <v>1</v>
      </c>
      <c r="AU1243" s="171">
        <f t="shared" si="447"/>
        <v>0</v>
      </c>
      <c r="AV1243" s="171">
        <f t="shared" si="448"/>
        <v>0</v>
      </c>
      <c r="AW1243" s="171">
        <f t="shared" si="449"/>
        <v>1</v>
      </c>
      <c r="AX1243" s="171">
        <f t="shared" si="444"/>
        <v>0</v>
      </c>
      <c r="AY1243" s="171">
        <f t="shared" si="450"/>
        <v>0</v>
      </c>
      <c r="AZ1243" s="171">
        <f t="shared" si="451"/>
        <v>1</v>
      </c>
      <c r="BA1243" s="172">
        <f t="shared" si="452"/>
        <v>1</v>
      </c>
      <c r="BB1243" s="175">
        <f t="shared" si="454"/>
        <v>14</v>
      </c>
      <c r="BC1243" s="176">
        <f t="shared" si="455"/>
        <v>13</v>
      </c>
      <c r="BD1243" s="176">
        <f t="shared" si="456"/>
        <v>14</v>
      </c>
      <c r="BE1243" s="240" t="str">
        <f t="shared" si="446"/>
        <v/>
      </c>
      <c r="BF1243" s="990"/>
      <c r="BG1243" s="990"/>
      <c r="BH1243" s="991">
        <f>IF(AND(Input_Product=Elig!$C1243,Elig_MatchAll_Ct&lt;22,$BC1243=(Elig_MatchAll_Ct-1),AF1243=0),C1243,0)</f>
        <v>0</v>
      </c>
      <c r="BI1243" s="991">
        <f>IF(AND(Input_Product=Elig!$C1243,Elig_MatchAll_Ct&lt;22,$BC1243=(Elig_MatchAll_Ct-1),AG1243=0),D1243,0)</f>
        <v>0</v>
      </c>
      <c r="BJ1243" s="991">
        <f>IF(AND(Input_Product=Elig!$C1243,Elig_MatchAll_Ct&lt;22,$BC1243=(Elig_MatchAll_Ct-1),AH1243=0),E1243,0)</f>
        <v>0</v>
      </c>
      <c r="BK1243" s="991">
        <f>IF(AND(Input_Product=Elig!$C1243,Elig_MatchAll_Ct&lt;22,$BC1243=(Elig_MatchAll_Ct-1),AI1243=0),F1243,0)</f>
        <v>0</v>
      </c>
      <c r="BL1243" s="991">
        <f>IF(AND(Input_Product=Elig!$C1243,Elig_MatchAll_Ct&lt;22,$BC1243=(Elig_MatchAll_Ct-1),AJ1243=0),G1243,0)</f>
        <v>0</v>
      </c>
      <c r="BM1243" s="991">
        <f>IF(AND(Input_Product=Elig!$C1243,Elig_MatchAll_Ct&lt;22,$BC1243=(Elig_MatchAll_Ct-1),AK1243=0),H1243,0)</f>
        <v>0</v>
      </c>
      <c r="BN1243" s="991">
        <f>IF(AND(Input_Product=Elig!$C1243,Elig_MatchAll_Ct&lt;22,$BC1243=(Elig_MatchAll_Ct-1),AL1243=0),I1243,0)</f>
        <v>0</v>
      </c>
      <c r="BO1243" s="991">
        <f>IF(AND(Input_Product=Elig!$C1243,Elig_MatchAll_Ct&lt;22,$BC1243=(Elig_MatchAll_Ct-1),AM1243=0),J1243,0)</f>
        <v>0</v>
      </c>
      <c r="BP1243" s="991">
        <f>IF(AND(Input_Product=Elig!$C1243,Elig_MatchAll_Ct&lt;22,$BC1243=(Elig_MatchAll_Ct-1),AN1243=0),K1243,0)</f>
        <v>0</v>
      </c>
      <c r="BQ1243" s="991">
        <f>IF(AND(Input_Product=Elig!$C1243,Elig_MatchAll_Ct&lt;22,$BC1243=(Elig_MatchAll_Ct-1),AP1243=0),L1243,0)</f>
        <v>0</v>
      </c>
      <c r="BR1243" s="991">
        <f>IF(AND(Input_Product=Elig!$C1243,Elig_MatchAll_Ct&lt;22,$BC1243=(Elig_MatchAll_Ct-1),AO1243=0),M1243,0)</f>
        <v>0</v>
      </c>
      <c r="BS1243" s="991">
        <f>IF(AND(Input_Product=Elig!$C1243,Elig_MatchAll_Ct&lt;22,$BC1243=(Elig_MatchAll_Ct-1),AQ1243=0),N1243,0)</f>
        <v>0</v>
      </c>
      <c r="BT1243" s="991">
        <f>IF(AND(Input_Product=Elig!$C1243,Elig_MatchAll_Ct&lt;22,$BC1243=(Elig_MatchAll_Ct-1),AR1243=0),O1243,0)</f>
        <v>0</v>
      </c>
      <c r="BU1243" s="991">
        <f>IF(AND(Input_Product=Elig!$C1243,Elig_MatchAll_Ct&lt;22,$BC1243=(Elig_MatchAll_Ct-1),AS1243=0),P1243,0)</f>
        <v>0</v>
      </c>
      <c r="BV1243" s="992">
        <f>IF(AND(Input_Product=Elig!$C1243,Elig_MatchAll_Ct&lt;22,$BC1243=(Elig_MatchAll_Ct-1),AT1243=0),Q1243,0)</f>
        <v>0</v>
      </c>
      <c r="BW1243" s="993">
        <f>IF(AND(Input_Product=Elig!$C1243,Elig_MatchAll_Ct&lt;22,$BC1243=(Elig_MatchAll_Ct-1),AU1243=0),R1243,0)</f>
        <v>0</v>
      </c>
      <c r="BX1243" s="994">
        <f>IF(AND(Input_Product=Elig!$C1243,Elig_MatchAll_Ct&lt;22,$BC1243=(Elig_MatchAll_Ct-1),AU1243=0),S1243,0)</f>
        <v>0</v>
      </c>
      <c r="BY1243" s="993">
        <f>IF(AND(Input_Product=Elig!$C1243,Elig_MatchAll_Ct&lt;22,$BC1243=(Elig_MatchAll_Ct-1),AV1243=0),T1243,0)</f>
        <v>0</v>
      </c>
      <c r="BZ1243" s="994">
        <f>IF(AND(Input_Product=Elig!$C1243,Elig_MatchAll_Ct&lt;22,$BC1243=(Elig_MatchAll_Ct-1),AV1243=0),U1243,0)</f>
        <v>0</v>
      </c>
      <c r="CA1243" s="993">
        <f>IF(AND(Input_Product=Elig!$C1243,Elig_MatchAll_Ct&lt;22,$BC1243=(Elig_MatchAll_Ct-1),AW1243=0),V1243,0)</f>
        <v>0</v>
      </c>
      <c r="CB1243" s="994">
        <f>IF(AND(Input_Product=Elig!$C1243,Elig_MatchAll_Ct&lt;22,$BC1243=(Elig_MatchAll_Ct-1),AW1243=0),W1243,0)</f>
        <v>0</v>
      </c>
      <c r="CC1243" s="993">
        <f>IF(AND(Input_Product=Elig!$C1243,Elig_MatchAll_Ct&lt;22,$BC1243=(Elig_MatchAll_Ct-1),AX1243=0),X1243,0)</f>
        <v>0</v>
      </c>
      <c r="CD1243" s="994">
        <f>IF(AND(Input_Product=Elig!$C1243,Elig_MatchAll_Ct&lt;22,$BC1243=(Elig_MatchAll_Ct-1),AX1243=0),Y1243,0)</f>
        <v>0</v>
      </c>
      <c r="CE1243" s="993">
        <f>IF(AND(Input_LTV&lt;=AE1243,Input_Product=Elig!$C1243,Elig_MatchAll_Ct&lt;22,$BC1243=(Elig_MatchAll_Ct-1),AY1243=0),Z1243,0)</f>
        <v>0</v>
      </c>
      <c r="CF1243" s="994">
        <f>IF(AND(Input_LTV&lt;=AE1243,Input_Product=Elig!$C1243,Elig_MatchAll_Ct&lt;22,$BC1243=(Elig_MatchAll_Ct-1),AY1243=0),AA1243,0)</f>
        <v>0</v>
      </c>
      <c r="CG1243" s="993">
        <f>IF(AND(Input_Product=Elig!$C1243,Elig_MatchAll_Ct&lt;22,$BC1243=(Elig_MatchAll_Ct-1),AZ1243=0),AB1243,0)</f>
        <v>0</v>
      </c>
      <c r="CH1243" s="994">
        <f>IF(AND(Input_Product=Elig!$C1243,Elig_MatchAll_Ct&lt;22,$BC1243=(Elig_MatchAll_Ct-1),AZ1243=0),AC1243,0)</f>
        <v>0</v>
      </c>
      <c r="CI1243" s="993">
        <f>IF(AND(Input_Product=Elig!$C1243,Elig_MatchAll_Ct&lt;22,$BC1243=(Elig_MatchAll_Ct-1),BA1243=0),AD1243,0)</f>
        <v>0</v>
      </c>
      <c r="CJ1243" s="994">
        <f>IF(AND(Input_Product=Elig!$C1243,Elig_MatchAll_Ct&lt;22,$BC1243=(Elig_MatchAll_Ct-1),BA1243=0),AE1243,0)</f>
        <v>0</v>
      </c>
    </row>
    <row r="1244" spans="2:88" ht="10.15" customHeight="1" x14ac:dyDescent="0.25">
      <c r="B1244" s="1920" t="s">
        <v>2597</v>
      </c>
      <c r="C1244" s="1356" t="str">
        <f t="shared" si="453"/>
        <v xml:space="preserve"> </v>
      </c>
      <c r="D1244" s="1357" t="s">
        <v>2218</v>
      </c>
      <c r="E1244" s="1357" t="s">
        <v>167</v>
      </c>
      <c r="F1244" s="1357" t="s">
        <v>330</v>
      </c>
      <c r="G1244" s="1358" t="s">
        <v>181</v>
      </c>
      <c r="H1244" s="1358" t="s">
        <v>136</v>
      </c>
      <c r="I1244" s="1357" t="s">
        <v>34</v>
      </c>
      <c r="J1244" s="1357" t="s">
        <v>1311</v>
      </c>
      <c r="K1244" s="1358" t="s">
        <v>3022</v>
      </c>
      <c r="L1244" s="1357" t="s">
        <v>2768</v>
      </c>
      <c r="M1244" s="1357" t="s">
        <v>2677</v>
      </c>
      <c r="N1244" s="1358" t="s">
        <v>2685</v>
      </c>
      <c r="O1244" s="1357" t="s">
        <v>2526</v>
      </c>
      <c r="P1244" s="1357" t="s">
        <v>291</v>
      </c>
      <c r="Q1244" s="1357" t="s">
        <v>294</v>
      </c>
      <c r="R1244" s="1357">
        <v>1500000.01</v>
      </c>
      <c r="S1244" s="1357">
        <v>2000000</v>
      </c>
      <c r="T1244" s="1357">
        <v>0</v>
      </c>
      <c r="U1244" s="1357">
        <v>0</v>
      </c>
      <c r="V1244" s="1357">
        <v>0</v>
      </c>
      <c r="W1244" s="1357">
        <v>50</v>
      </c>
      <c r="X1244" s="1357">
        <v>0.8</v>
      </c>
      <c r="Y1244" s="1357">
        <v>999</v>
      </c>
      <c r="Z1244" s="2047">
        <v>660</v>
      </c>
      <c r="AA1244" s="2047">
        <v>660</v>
      </c>
      <c r="AB1244" s="2047">
        <v>6</v>
      </c>
      <c r="AC1244" s="2047">
        <v>999999</v>
      </c>
      <c r="AD1244" s="1357">
        <v>0</v>
      </c>
      <c r="AE1244" s="2048">
        <v>75</v>
      </c>
      <c r="AF1244" s="170">
        <v>0</v>
      </c>
      <c r="AG1244" s="171">
        <v>1</v>
      </c>
      <c r="AH1244" s="171">
        <v>1</v>
      </c>
      <c r="AI1244" s="171">
        <v>0</v>
      </c>
      <c r="AJ1244" s="171">
        <v>0</v>
      </c>
      <c r="AK1244" s="171">
        <v>1</v>
      </c>
      <c r="AL1244" s="171">
        <v>0</v>
      </c>
      <c r="AM1244" s="171">
        <v>1</v>
      </c>
      <c r="AN1244" s="171">
        <v>1</v>
      </c>
      <c r="AO1244" s="171">
        <v>1</v>
      </c>
      <c r="AP1244" s="171">
        <v>1</v>
      </c>
      <c r="AQ1244" s="171">
        <v>1</v>
      </c>
      <c r="AR1244" s="171">
        <v>1</v>
      </c>
      <c r="AS1244" s="171">
        <v>1</v>
      </c>
      <c r="AT1244" s="171">
        <v>1</v>
      </c>
      <c r="AU1244" s="171">
        <f t="shared" si="447"/>
        <v>0</v>
      </c>
      <c r="AV1244" s="171">
        <f t="shared" si="448"/>
        <v>0</v>
      </c>
      <c r="AW1244" s="171">
        <f t="shared" si="449"/>
        <v>1</v>
      </c>
      <c r="AX1244" s="171">
        <f t="shared" si="444"/>
        <v>0</v>
      </c>
      <c r="AY1244" s="171">
        <f t="shared" si="450"/>
        <v>0</v>
      </c>
      <c r="AZ1244" s="171">
        <f t="shared" si="451"/>
        <v>1</v>
      </c>
      <c r="BA1244" s="172">
        <f t="shared" si="452"/>
        <v>1</v>
      </c>
      <c r="BB1244" s="175">
        <f t="shared" si="454"/>
        <v>14</v>
      </c>
      <c r="BC1244" s="176">
        <f t="shared" si="455"/>
        <v>13</v>
      </c>
      <c r="BD1244" s="176">
        <f t="shared" si="456"/>
        <v>14</v>
      </c>
      <c r="BE1244" s="240" t="str">
        <f t="shared" si="446"/>
        <v/>
      </c>
      <c r="BF1244" s="990"/>
      <c r="BG1244" s="990"/>
      <c r="BH1244" s="991">
        <f>IF(AND(Input_Product=Elig!$C1244,Elig_MatchAll_Ct&lt;22,$BC1244=(Elig_MatchAll_Ct-1),AF1244=0),C1244,0)</f>
        <v>0</v>
      </c>
      <c r="BI1244" s="991">
        <f>IF(AND(Input_Product=Elig!$C1244,Elig_MatchAll_Ct&lt;22,$BC1244=(Elig_MatchAll_Ct-1),AG1244=0),D1244,0)</f>
        <v>0</v>
      </c>
      <c r="BJ1244" s="991">
        <f>IF(AND(Input_Product=Elig!$C1244,Elig_MatchAll_Ct&lt;22,$BC1244=(Elig_MatchAll_Ct-1),AH1244=0),E1244,0)</f>
        <v>0</v>
      </c>
      <c r="BK1244" s="991">
        <f>IF(AND(Input_Product=Elig!$C1244,Elig_MatchAll_Ct&lt;22,$BC1244=(Elig_MatchAll_Ct-1),AI1244=0),F1244,0)</f>
        <v>0</v>
      </c>
      <c r="BL1244" s="991">
        <f>IF(AND(Input_Product=Elig!$C1244,Elig_MatchAll_Ct&lt;22,$BC1244=(Elig_MatchAll_Ct-1),AJ1244=0),G1244,0)</f>
        <v>0</v>
      </c>
      <c r="BM1244" s="991">
        <f>IF(AND(Input_Product=Elig!$C1244,Elig_MatchAll_Ct&lt;22,$BC1244=(Elig_MatchAll_Ct-1),AK1244=0),H1244,0)</f>
        <v>0</v>
      </c>
      <c r="BN1244" s="991">
        <f>IF(AND(Input_Product=Elig!$C1244,Elig_MatchAll_Ct&lt;22,$BC1244=(Elig_MatchAll_Ct-1),AL1244=0),I1244,0)</f>
        <v>0</v>
      </c>
      <c r="BO1244" s="991">
        <f>IF(AND(Input_Product=Elig!$C1244,Elig_MatchAll_Ct&lt;22,$BC1244=(Elig_MatchAll_Ct-1),AM1244=0),J1244,0)</f>
        <v>0</v>
      </c>
      <c r="BP1244" s="991">
        <f>IF(AND(Input_Product=Elig!$C1244,Elig_MatchAll_Ct&lt;22,$BC1244=(Elig_MatchAll_Ct-1),AN1244=0),K1244,0)</f>
        <v>0</v>
      </c>
      <c r="BQ1244" s="991">
        <f>IF(AND(Input_Product=Elig!$C1244,Elig_MatchAll_Ct&lt;22,$BC1244=(Elig_MatchAll_Ct-1),AP1244=0),L1244,0)</f>
        <v>0</v>
      </c>
      <c r="BR1244" s="991">
        <f>IF(AND(Input_Product=Elig!$C1244,Elig_MatchAll_Ct&lt;22,$BC1244=(Elig_MatchAll_Ct-1),AO1244=0),M1244,0)</f>
        <v>0</v>
      </c>
      <c r="BS1244" s="991">
        <f>IF(AND(Input_Product=Elig!$C1244,Elig_MatchAll_Ct&lt;22,$BC1244=(Elig_MatchAll_Ct-1),AQ1244=0),N1244,0)</f>
        <v>0</v>
      </c>
      <c r="BT1244" s="991">
        <f>IF(AND(Input_Product=Elig!$C1244,Elig_MatchAll_Ct&lt;22,$BC1244=(Elig_MatchAll_Ct-1),AR1244=0),O1244,0)</f>
        <v>0</v>
      </c>
      <c r="BU1244" s="991">
        <f>IF(AND(Input_Product=Elig!$C1244,Elig_MatchAll_Ct&lt;22,$BC1244=(Elig_MatchAll_Ct-1),AS1244=0),P1244,0)</f>
        <v>0</v>
      </c>
      <c r="BV1244" s="992">
        <f>IF(AND(Input_Product=Elig!$C1244,Elig_MatchAll_Ct&lt;22,$BC1244=(Elig_MatchAll_Ct-1),AT1244=0),Q1244,0)</f>
        <v>0</v>
      </c>
      <c r="BW1244" s="993">
        <f>IF(AND(Input_Product=Elig!$C1244,Elig_MatchAll_Ct&lt;22,$BC1244=(Elig_MatchAll_Ct-1),AU1244=0),R1244,0)</f>
        <v>0</v>
      </c>
      <c r="BX1244" s="994">
        <f>IF(AND(Input_Product=Elig!$C1244,Elig_MatchAll_Ct&lt;22,$BC1244=(Elig_MatchAll_Ct-1),AU1244=0),S1244,0)</f>
        <v>0</v>
      </c>
      <c r="BY1244" s="993">
        <f>IF(AND(Input_Product=Elig!$C1244,Elig_MatchAll_Ct&lt;22,$BC1244=(Elig_MatchAll_Ct-1),AV1244=0),T1244,0)</f>
        <v>0</v>
      </c>
      <c r="BZ1244" s="994">
        <f>IF(AND(Input_Product=Elig!$C1244,Elig_MatchAll_Ct&lt;22,$BC1244=(Elig_MatchAll_Ct-1),AV1244=0),U1244,0)</f>
        <v>0</v>
      </c>
      <c r="CA1244" s="993">
        <f>IF(AND(Input_Product=Elig!$C1244,Elig_MatchAll_Ct&lt;22,$BC1244=(Elig_MatchAll_Ct-1),AW1244=0),V1244,0)</f>
        <v>0</v>
      </c>
      <c r="CB1244" s="994">
        <f>IF(AND(Input_Product=Elig!$C1244,Elig_MatchAll_Ct&lt;22,$BC1244=(Elig_MatchAll_Ct-1),AW1244=0),W1244,0)</f>
        <v>0</v>
      </c>
      <c r="CC1244" s="993">
        <f>IF(AND(Input_Product=Elig!$C1244,Elig_MatchAll_Ct&lt;22,$BC1244=(Elig_MatchAll_Ct-1),AX1244=0),X1244,0)</f>
        <v>0</v>
      </c>
      <c r="CD1244" s="994">
        <f>IF(AND(Input_Product=Elig!$C1244,Elig_MatchAll_Ct&lt;22,$BC1244=(Elig_MatchAll_Ct-1),AX1244=0),Y1244,0)</f>
        <v>0</v>
      </c>
      <c r="CE1244" s="993">
        <f>IF(AND(Input_LTV&lt;=AE1244,Input_Product=Elig!$C1244,Elig_MatchAll_Ct&lt;22,$BC1244=(Elig_MatchAll_Ct-1),AY1244=0),Z1244,0)</f>
        <v>0</v>
      </c>
      <c r="CF1244" s="994">
        <f>IF(AND(Input_LTV&lt;=AE1244,Input_Product=Elig!$C1244,Elig_MatchAll_Ct&lt;22,$BC1244=(Elig_MatchAll_Ct-1),AY1244=0),AA1244,0)</f>
        <v>0</v>
      </c>
      <c r="CG1244" s="993">
        <f>IF(AND(Input_Product=Elig!$C1244,Elig_MatchAll_Ct&lt;22,$BC1244=(Elig_MatchAll_Ct-1),AZ1244=0),AB1244,0)</f>
        <v>0</v>
      </c>
      <c r="CH1244" s="994">
        <f>IF(AND(Input_Product=Elig!$C1244,Elig_MatchAll_Ct&lt;22,$BC1244=(Elig_MatchAll_Ct-1),AZ1244=0),AC1244,0)</f>
        <v>0</v>
      </c>
      <c r="CI1244" s="993">
        <f>IF(AND(Input_Product=Elig!$C1244,Elig_MatchAll_Ct&lt;22,$BC1244=(Elig_MatchAll_Ct-1),BA1244=0),AD1244,0)</f>
        <v>0</v>
      </c>
      <c r="CJ1244" s="994">
        <f>IF(AND(Input_Product=Elig!$C1244,Elig_MatchAll_Ct&lt;22,$BC1244=(Elig_MatchAll_Ct-1),BA1244=0),AE1244,0)</f>
        <v>0</v>
      </c>
    </row>
    <row r="1245" spans="2:88" ht="10.15" customHeight="1" x14ac:dyDescent="0.25">
      <c r="B1245" s="1920" t="s">
        <v>2598</v>
      </c>
      <c r="C1245" s="1353" t="str">
        <f t="shared" si="453"/>
        <v xml:space="preserve"> </v>
      </c>
      <c r="D1245" s="1354" t="s">
        <v>2218</v>
      </c>
      <c r="E1245" s="1354" t="s">
        <v>167</v>
      </c>
      <c r="F1245" s="1354" t="s">
        <v>330</v>
      </c>
      <c r="G1245" s="1355" t="s">
        <v>181</v>
      </c>
      <c r="H1245" s="1355" t="s">
        <v>136</v>
      </c>
      <c r="I1245" s="1354" t="s">
        <v>34</v>
      </c>
      <c r="J1245" s="1354" t="s">
        <v>1311</v>
      </c>
      <c r="K1245" s="1355" t="s">
        <v>3022</v>
      </c>
      <c r="L1245" s="1354" t="s">
        <v>2768</v>
      </c>
      <c r="M1245" s="1354" t="s">
        <v>2677</v>
      </c>
      <c r="N1245" s="1355" t="s">
        <v>2685</v>
      </c>
      <c r="O1245" s="1354" t="s">
        <v>2526</v>
      </c>
      <c r="P1245" s="1354" t="s">
        <v>291</v>
      </c>
      <c r="Q1245" s="1354" t="s">
        <v>294</v>
      </c>
      <c r="R1245" s="1354">
        <v>2000000.01</v>
      </c>
      <c r="S1245" s="1354">
        <v>2500000</v>
      </c>
      <c r="T1245" s="1354">
        <v>0</v>
      </c>
      <c r="U1245" s="1354">
        <v>0</v>
      </c>
      <c r="V1245" s="1354">
        <v>0</v>
      </c>
      <c r="W1245" s="1354">
        <v>50</v>
      </c>
      <c r="X1245" s="1354">
        <v>0.8</v>
      </c>
      <c r="Y1245" s="1354">
        <v>999</v>
      </c>
      <c r="Z1245" s="2043">
        <v>720</v>
      </c>
      <c r="AA1245" s="2043">
        <v>999</v>
      </c>
      <c r="AB1245" s="2043">
        <v>6</v>
      </c>
      <c r="AC1245" s="2043">
        <v>999999</v>
      </c>
      <c r="AD1245" s="1354">
        <v>0</v>
      </c>
      <c r="AE1245" s="2044">
        <v>70</v>
      </c>
      <c r="AF1245" s="170">
        <v>0</v>
      </c>
      <c r="AG1245" s="171">
        <v>1</v>
      </c>
      <c r="AH1245" s="171">
        <v>1</v>
      </c>
      <c r="AI1245" s="171">
        <v>0</v>
      </c>
      <c r="AJ1245" s="171">
        <v>0</v>
      </c>
      <c r="AK1245" s="171">
        <v>1</v>
      </c>
      <c r="AL1245" s="171">
        <v>0</v>
      </c>
      <c r="AM1245" s="171">
        <v>1</v>
      </c>
      <c r="AN1245" s="171">
        <v>1</v>
      </c>
      <c r="AO1245" s="171">
        <v>1</v>
      </c>
      <c r="AP1245" s="171">
        <v>1</v>
      </c>
      <c r="AQ1245" s="171">
        <v>1</v>
      </c>
      <c r="AR1245" s="171">
        <v>1</v>
      </c>
      <c r="AS1245" s="171">
        <v>1</v>
      </c>
      <c r="AT1245" s="171">
        <v>1</v>
      </c>
      <c r="AU1245" s="171">
        <f t="shared" si="447"/>
        <v>0</v>
      </c>
      <c r="AV1245" s="171">
        <f t="shared" si="448"/>
        <v>0</v>
      </c>
      <c r="AW1245" s="171">
        <f t="shared" si="449"/>
        <v>1</v>
      </c>
      <c r="AX1245" s="171">
        <f t="shared" si="444"/>
        <v>0</v>
      </c>
      <c r="AY1245" s="171">
        <f t="shared" si="450"/>
        <v>1</v>
      </c>
      <c r="AZ1245" s="171">
        <f t="shared" si="451"/>
        <v>1</v>
      </c>
      <c r="BA1245" s="172">
        <f t="shared" si="452"/>
        <v>1</v>
      </c>
      <c r="BB1245" s="175">
        <f t="shared" si="454"/>
        <v>15</v>
      </c>
      <c r="BC1245" s="176">
        <f t="shared" si="455"/>
        <v>14</v>
      </c>
      <c r="BD1245" s="176">
        <f t="shared" si="456"/>
        <v>15</v>
      </c>
      <c r="BE1245" s="240" t="str">
        <f t="shared" si="446"/>
        <v/>
      </c>
      <c r="BF1245" s="990"/>
      <c r="BG1245" s="990"/>
      <c r="BH1245" s="991">
        <f>IF(AND(Input_Product=Elig!$C1245,Elig_MatchAll_Ct&lt;22,$BC1245=(Elig_MatchAll_Ct-1),AF1245=0),C1245,0)</f>
        <v>0</v>
      </c>
      <c r="BI1245" s="991">
        <f>IF(AND(Input_Product=Elig!$C1245,Elig_MatchAll_Ct&lt;22,$BC1245=(Elig_MatchAll_Ct-1),AG1245=0),D1245,0)</f>
        <v>0</v>
      </c>
      <c r="BJ1245" s="991">
        <f>IF(AND(Input_Product=Elig!$C1245,Elig_MatchAll_Ct&lt;22,$BC1245=(Elig_MatchAll_Ct-1),AH1245=0),E1245,0)</f>
        <v>0</v>
      </c>
      <c r="BK1245" s="991">
        <f>IF(AND(Input_Product=Elig!$C1245,Elig_MatchAll_Ct&lt;22,$BC1245=(Elig_MatchAll_Ct-1),AI1245=0),F1245,0)</f>
        <v>0</v>
      </c>
      <c r="BL1245" s="991">
        <f>IF(AND(Input_Product=Elig!$C1245,Elig_MatchAll_Ct&lt;22,$BC1245=(Elig_MatchAll_Ct-1),AJ1245=0),G1245,0)</f>
        <v>0</v>
      </c>
      <c r="BM1245" s="991">
        <f>IF(AND(Input_Product=Elig!$C1245,Elig_MatchAll_Ct&lt;22,$BC1245=(Elig_MatchAll_Ct-1),AK1245=0),H1245,0)</f>
        <v>0</v>
      </c>
      <c r="BN1245" s="991">
        <f>IF(AND(Input_Product=Elig!$C1245,Elig_MatchAll_Ct&lt;22,$BC1245=(Elig_MatchAll_Ct-1),AL1245=0),I1245,0)</f>
        <v>0</v>
      </c>
      <c r="BO1245" s="991">
        <f>IF(AND(Input_Product=Elig!$C1245,Elig_MatchAll_Ct&lt;22,$BC1245=(Elig_MatchAll_Ct-1),AM1245=0),J1245,0)</f>
        <v>0</v>
      </c>
      <c r="BP1245" s="991">
        <f>IF(AND(Input_Product=Elig!$C1245,Elig_MatchAll_Ct&lt;22,$BC1245=(Elig_MatchAll_Ct-1),AN1245=0),K1245,0)</f>
        <v>0</v>
      </c>
      <c r="BQ1245" s="991">
        <f>IF(AND(Input_Product=Elig!$C1245,Elig_MatchAll_Ct&lt;22,$BC1245=(Elig_MatchAll_Ct-1),AP1245=0),L1245,0)</f>
        <v>0</v>
      </c>
      <c r="BR1245" s="991">
        <f>IF(AND(Input_Product=Elig!$C1245,Elig_MatchAll_Ct&lt;22,$BC1245=(Elig_MatchAll_Ct-1),AO1245=0),M1245,0)</f>
        <v>0</v>
      </c>
      <c r="BS1245" s="991">
        <f>IF(AND(Input_Product=Elig!$C1245,Elig_MatchAll_Ct&lt;22,$BC1245=(Elig_MatchAll_Ct-1),AQ1245=0),N1245,0)</f>
        <v>0</v>
      </c>
      <c r="BT1245" s="991">
        <f>IF(AND(Input_Product=Elig!$C1245,Elig_MatchAll_Ct&lt;22,$BC1245=(Elig_MatchAll_Ct-1),AR1245=0),O1245,0)</f>
        <v>0</v>
      </c>
      <c r="BU1245" s="991">
        <f>IF(AND(Input_Product=Elig!$C1245,Elig_MatchAll_Ct&lt;22,$BC1245=(Elig_MatchAll_Ct-1),AS1245=0),P1245,0)</f>
        <v>0</v>
      </c>
      <c r="BV1245" s="992">
        <f>IF(AND(Input_Product=Elig!$C1245,Elig_MatchAll_Ct&lt;22,$BC1245=(Elig_MatchAll_Ct-1),AT1245=0),Q1245,0)</f>
        <v>0</v>
      </c>
      <c r="BW1245" s="993">
        <f>IF(AND(Input_Product=Elig!$C1245,Elig_MatchAll_Ct&lt;22,$BC1245=(Elig_MatchAll_Ct-1),AU1245=0),R1245,0)</f>
        <v>0</v>
      </c>
      <c r="BX1245" s="994">
        <f>IF(AND(Input_Product=Elig!$C1245,Elig_MatchAll_Ct&lt;22,$BC1245=(Elig_MatchAll_Ct-1),AU1245=0),S1245,0)</f>
        <v>0</v>
      </c>
      <c r="BY1245" s="993">
        <f>IF(AND(Input_Product=Elig!$C1245,Elig_MatchAll_Ct&lt;22,$BC1245=(Elig_MatchAll_Ct-1),AV1245=0),T1245,0)</f>
        <v>0</v>
      </c>
      <c r="BZ1245" s="994">
        <f>IF(AND(Input_Product=Elig!$C1245,Elig_MatchAll_Ct&lt;22,$BC1245=(Elig_MatchAll_Ct-1),AV1245=0),U1245,0)</f>
        <v>0</v>
      </c>
      <c r="CA1245" s="993">
        <f>IF(AND(Input_Product=Elig!$C1245,Elig_MatchAll_Ct&lt;22,$BC1245=(Elig_MatchAll_Ct-1),AW1245=0),V1245,0)</f>
        <v>0</v>
      </c>
      <c r="CB1245" s="994">
        <f>IF(AND(Input_Product=Elig!$C1245,Elig_MatchAll_Ct&lt;22,$BC1245=(Elig_MatchAll_Ct-1),AW1245=0),W1245,0)</f>
        <v>0</v>
      </c>
      <c r="CC1245" s="993">
        <f>IF(AND(Input_Product=Elig!$C1245,Elig_MatchAll_Ct&lt;22,$BC1245=(Elig_MatchAll_Ct-1),AX1245=0),X1245,0)</f>
        <v>0</v>
      </c>
      <c r="CD1245" s="994">
        <f>IF(AND(Input_Product=Elig!$C1245,Elig_MatchAll_Ct&lt;22,$BC1245=(Elig_MatchAll_Ct-1),AX1245=0),Y1245,0)</f>
        <v>0</v>
      </c>
      <c r="CE1245" s="993">
        <f>IF(AND(Input_LTV&lt;=AE1245,Input_Product=Elig!$C1245,Elig_MatchAll_Ct&lt;22,$BC1245=(Elig_MatchAll_Ct-1),AY1245=0),Z1245,0)</f>
        <v>0</v>
      </c>
      <c r="CF1245" s="994">
        <f>IF(AND(Input_LTV&lt;=AE1245,Input_Product=Elig!$C1245,Elig_MatchAll_Ct&lt;22,$BC1245=(Elig_MatchAll_Ct-1),AY1245=0),AA1245,0)</f>
        <v>0</v>
      </c>
      <c r="CG1245" s="993">
        <f>IF(AND(Input_Product=Elig!$C1245,Elig_MatchAll_Ct&lt;22,$BC1245=(Elig_MatchAll_Ct-1),AZ1245=0),AB1245,0)</f>
        <v>0</v>
      </c>
      <c r="CH1245" s="994">
        <f>IF(AND(Input_Product=Elig!$C1245,Elig_MatchAll_Ct&lt;22,$BC1245=(Elig_MatchAll_Ct-1),AZ1245=0),AC1245,0)</f>
        <v>0</v>
      </c>
      <c r="CI1245" s="993">
        <f>IF(AND(Input_Product=Elig!$C1245,Elig_MatchAll_Ct&lt;22,$BC1245=(Elig_MatchAll_Ct-1),BA1245=0),AD1245,0)</f>
        <v>0</v>
      </c>
      <c r="CJ1245" s="994">
        <f>IF(AND(Input_Product=Elig!$C1245,Elig_MatchAll_Ct&lt;22,$BC1245=(Elig_MatchAll_Ct-1),BA1245=0),AE1245,0)</f>
        <v>0</v>
      </c>
    </row>
    <row r="1246" spans="2:88" ht="10.15" customHeight="1" x14ac:dyDescent="0.25">
      <c r="B1246" s="1920" t="s">
        <v>2599</v>
      </c>
      <c r="C1246" s="1359" t="str">
        <f t="shared" si="453"/>
        <v xml:space="preserve"> </v>
      </c>
      <c r="D1246" s="1360" t="s">
        <v>2218</v>
      </c>
      <c r="E1246" s="1360" t="s">
        <v>167</v>
      </c>
      <c r="F1246" s="1360" t="s">
        <v>330</v>
      </c>
      <c r="G1246" s="1361" t="s">
        <v>181</v>
      </c>
      <c r="H1246" s="1361" t="s">
        <v>136</v>
      </c>
      <c r="I1246" s="1360" t="s">
        <v>34</v>
      </c>
      <c r="J1246" s="1360" t="s">
        <v>1311</v>
      </c>
      <c r="K1246" s="1361" t="s">
        <v>3022</v>
      </c>
      <c r="L1246" s="1360" t="s">
        <v>2768</v>
      </c>
      <c r="M1246" s="1360" t="s">
        <v>2677</v>
      </c>
      <c r="N1246" s="1361" t="s">
        <v>2685</v>
      </c>
      <c r="O1246" s="1360" t="s">
        <v>2526</v>
      </c>
      <c r="P1246" s="1360" t="s">
        <v>291</v>
      </c>
      <c r="Q1246" s="1360" t="s">
        <v>294</v>
      </c>
      <c r="R1246" s="1360">
        <v>2000000.01</v>
      </c>
      <c r="S1246" s="1360">
        <v>2500000</v>
      </c>
      <c r="T1246" s="1360">
        <v>0</v>
      </c>
      <c r="U1246" s="1360">
        <v>0</v>
      </c>
      <c r="V1246" s="1360">
        <v>0</v>
      </c>
      <c r="W1246" s="1360">
        <v>50</v>
      </c>
      <c r="X1246" s="1360">
        <v>0.8</v>
      </c>
      <c r="Y1246" s="1360">
        <v>999</v>
      </c>
      <c r="Z1246" s="2045">
        <v>700</v>
      </c>
      <c r="AA1246" s="2045">
        <v>719</v>
      </c>
      <c r="AB1246" s="2045">
        <v>6</v>
      </c>
      <c r="AC1246" s="2045">
        <v>999999</v>
      </c>
      <c r="AD1246" s="1360">
        <v>0</v>
      </c>
      <c r="AE1246" s="2046">
        <v>70</v>
      </c>
      <c r="AF1246" s="170">
        <v>0</v>
      </c>
      <c r="AG1246" s="171">
        <v>1</v>
      </c>
      <c r="AH1246" s="171">
        <v>1</v>
      </c>
      <c r="AI1246" s="171">
        <v>0</v>
      </c>
      <c r="AJ1246" s="171">
        <v>0</v>
      </c>
      <c r="AK1246" s="171">
        <v>1</v>
      </c>
      <c r="AL1246" s="171">
        <v>0</v>
      </c>
      <c r="AM1246" s="171">
        <v>1</v>
      </c>
      <c r="AN1246" s="171">
        <v>1</v>
      </c>
      <c r="AO1246" s="171">
        <v>1</v>
      </c>
      <c r="AP1246" s="171">
        <v>1</v>
      </c>
      <c r="AQ1246" s="171">
        <v>1</v>
      </c>
      <c r="AR1246" s="171">
        <v>1</v>
      </c>
      <c r="AS1246" s="171">
        <v>1</v>
      </c>
      <c r="AT1246" s="171">
        <v>1</v>
      </c>
      <c r="AU1246" s="171">
        <f t="shared" si="447"/>
        <v>0</v>
      </c>
      <c r="AV1246" s="171">
        <f t="shared" si="448"/>
        <v>0</v>
      </c>
      <c r="AW1246" s="171">
        <f t="shared" si="449"/>
        <v>1</v>
      </c>
      <c r="AX1246" s="171">
        <f t="shared" si="444"/>
        <v>0</v>
      </c>
      <c r="AY1246" s="171">
        <f t="shared" si="450"/>
        <v>0</v>
      </c>
      <c r="AZ1246" s="171">
        <f t="shared" si="451"/>
        <v>1</v>
      </c>
      <c r="BA1246" s="172">
        <f t="shared" si="452"/>
        <v>1</v>
      </c>
      <c r="BB1246" s="175">
        <f t="shared" si="454"/>
        <v>14</v>
      </c>
      <c r="BC1246" s="176">
        <f t="shared" si="455"/>
        <v>13</v>
      </c>
      <c r="BD1246" s="176">
        <f t="shared" si="456"/>
        <v>14</v>
      </c>
      <c r="BE1246" s="240" t="str">
        <f t="shared" si="446"/>
        <v/>
      </c>
      <c r="BF1246" s="990"/>
      <c r="BG1246" s="990"/>
      <c r="BH1246" s="991">
        <f>IF(AND(Input_Product=Elig!$C1246,Elig_MatchAll_Ct&lt;22,$BC1246=(Elig_MatchAll_Ct-1),AF1246=0),C1246,0)</f>
        <v>0</v>
      </c>
      <c r="BI1246" s="991">
        <f>IF(AND(Input_Product=Elig!$C1246,Elig_MatchAll_Ct&lt;22,$BC1246=(Elig_MatchAll_Ct-1),AG1246=0),D1246,0)</f>
        <v>0</v>
      </c>
      <c r="BJ1246" s="991">
        <f>IF(AND(Input_Product=Elig!$C1246,Elig_MatchAll_Ct&lt;22,$BC1246=(Elig_MatchAll_Ct-1),AH1246=0),E1246,0)</f>
        <v>0</v>
      </c>
      <c r="BK1246" s="991">
        <f>IF(AND(Input_Product=Elig!$C1246,Elig_MatchAll_Ct&lt;22,$BC1246=(Elig_MatchAll_Ct-1),AI1246=0),F1246,0)</f>
        <v>0</v>
      </c>
      <c r="BL1246" s="991">
        <f>IF(AND(Input_Product=Elig!$C1246,Elig_MatchAll_Ct&lt;22,$BC1246=(Elig_MatchAll_Ct-1),AJ1246=0),G1246,0)</f>
        <v>0</v>
      </c>
      <c r="BM1246" s="991">
        <f>IF(AND(Input_Product=Elig!$C1246,Elig_MatchAll_Ct&lt;22,$BC1246=(Elig_MatchAll_Ct-1),AK1246=0),H1246,0)</f>
        <v>0</v>
      </c>
      <c r="BN1246" s="991">
        <f>IF(AND(Input_Product=Elig!$C1246,Elig_MatchAll_Ct&lt;22,$BC1246=(Elig_MatchAll_Ct-1),AL1246=0),I1246,0)</f>
        <v>0</v>
      </c>
      <c r="BO1246" s="991">
        <f>IF(AND(Input_Product=Elig!$C1246,Elig_MatchAll_Ct&lt;22,$BC1246=(Elig_MatchAll_Ct-1),AM1246=0),J1246,0)</f>
        <v>0</v>
      </c>
      <c r="BP1246" s="991">
        <f>IF(AND(Input_Product=Elig!$C1246,Elig_MatchAll_Ct&lt;22,$BC1246=(Elig_MatchAll_Ct-1),AN1246=0),K1246,0)</f>
        <v>0</v>
      </c>
      <c r="BQ1246" s="991">
        <f>IF(AND(Input_Product=Elig!$C1246,Elig_MatchAll_Ct&lt;22,$BC1246=(Elig_MatchAll_Ct-1),AP1246=0),L1246,0)</f>
        <v>0</v>
      </c>
      <c r="BR1246" s="991">
        <f>IF(AND(Input_Product=Elig!$C1246,Elig_MatchAll_Ct&lt;22,$BC1246=(Elig_MatchAll_Ct-1),AO1246=0),M1246,0)</f>
        <v>0</v>
      </c>
      <c r="BS1246" s="991">
        <f>IF(AND(Input_Product=Elig!$C1246,Elig_MatchAll_Ct&lt;22,$BC1246=(Elig_MatchAll_Ct-1),AQ1246=0),N1246,0)</f>
        <v>0</v>
      </c>
      <c r="BT1246" s="991">
        <f>IF(AND(Input_Product=Elig!$C1246,Elig_MatchAll_Ct&lt;22,$BC1246=(Elig_MatchAll_Ct-1),AR1246=0),O1246,0)</f>
        <v>0</v>
      </c>
      <c r="BU1246" s="991">
        <f>IF(AND(Input_Product=Elig!$C1246,Elig_MatchAll_Ct&lt;22,$BC1246=(Elig_MatchAll_Ct-1),AS1246=0),P1246,0)</f>
        <v>0</v>
      </c>
      <c r="BV1246" s="992">
        <f>IF(AND(Input_Product=Elig!$C1246,Elig_MatchAll_Ct&lt;22,$BC1246=(Elig_MatchAll_Ct-1),AT1246=0),Q1246,0)</f>
        <v>0</v>
      </c>
      <c r="BW1246" s="993">
        <f>IF(AND(Input_Product=Elig!$C1246,Elig_MatchAll_Ct&lt;22,$BC1246=(Elig_MatchAll_Ct-1),AU1246=0),R1246,0)</f>
        <v>0</v>
      </c>
      <c r="BX1246" s="994">
        <f>IF(AND(Input_Product=Elig!$C1246,Elig_MatchAll_Ct&lt;22,$BC1246=(Elig_MatchAll_Ct-1),AU1246=0),S1246,0)</f>
        <v>0</v>
      </c>
      <c r="BY1246" s="993">
        <f>IF(AND(Input_Product=Elig!$C1246,Elig_MatchAll_Ct&lt;22,$BC1246=(Elig_MatchAll_Ct-1),AV1246=0),T1246,0)</f>
        <v>0</v>
      </c>
      <c r="BZ1246" s="994">
        <f>IF(AND(Input_Product=Elig!$C1246,Elig_MatchAll_Ct&lt;22,$BC1246=(Elig_MatchAll_Ct-1),AV1246=0),U1246,0)</f>
        <v>0</v>
      </c>
      <c r="CA1246" s="993">
        <f>IF(AND(Input_Product=Elig!$C1246,Elig_MatchAll_Ct&lt;22,$BC1246=(Elig_MatchAll_Ct-1),AW1246=0),V1246,0)</f>
        <v>0</v>
      </c>
      <c r="CB1246" s="994">
        <f>IF(AND(Input_Product=Elig!$C1246,Elig_MatchAll_Ct&lt;22,$BC1246=(Elig_MatchAll_Ct-1),AW1246=0),W1246,0)</f>
        <v>0</v>
      </c>
      <c r="CC1246" s="993">
        <f>IF(AND(Input_Product=Elig!$C1246,Elig_MatchAll_Ct&lt;22,$BC1246=(Elig_MatchAll_Ct-1),AX1246=0),X1246,0)</f>
        <v>0</v>
      </c>
      <c r="CD1246" s="994">
        <f>IF(AND(Input_Product=Elig!$C1246,Elig_MatchAll_Ct&lt;22,$BC1246=(Elig_MatchAll_Ct-1),AX1246=0),Y1246,0)</f>
        <v>0</v>
      </c>
      <c r="CE1246" s="993">
        <f>IF(AND(Input_LTV&lt;=AE1246,Input_Product=Elig!$C1246,Elig_MatchAll_Ct&lt;22,$BC1246=(Elig_MatchAll_Ct-1),AY1246=0),Z1246,0)</f>
        <v>0</v>
      </c>
      <c r="CF1246" s="994">
        <f>IF(AND(Input_LTV&lt;=AE1246,Input_Product=Elig!$C1246,Elig_MatchAll_Ct&lt;22,$BC1246=(Elig_MatchAll_Ct-1),AY1246=0),AA1246,0)</f>
        <v>0</v>
      </c>
      <c r="CG1246" s="993">
        <f>IF(AND(Input_Product=Elig!$C1246,Elig_MatchAll_Ct&lt;22,$BC1246=(Elig_MatchAll_Ct-1),AZ1246=0),AB1246,0)</f>
        <v>0</v>
      </c>
      <c r="CH1246" s="994">
        <f>IF(AND(Input_Product=Elig!$C1246,Elig_MatchAll_Ct&lt;22,$BC1246=(Elig_MatchAll_Ct-1),AZ1246=0),AC1246,0)</f>
        <v>0</v>
      </c>
      <c r="CI1246" s="993">
        <f>IF(AND(Input_Product=Elig!$C1246,Elig_MatchAll_Ct&lt;22,$BC1246=(Elig_MatchAll_Ct-1),BA1246=0),AD1246,0)</f>
        <v>0</v>
      </c>
      <c r="CJ1246" s="994">
        <f>IF(AND(Input_Product=Elig!$C1246,Elig_MatchAll_Ct&lt;22,$BC1246=(Elig_MatchAll_Ct-1),BA1246=0),AE1246,0)</f>
        <v>0</v>
      </c>
    </row>
    <row r="1247" spans="2:88" ht="10.15" customHeight="1" x14ac:dyDescent="0.25">
      <c r="B1247" s="1920" t="s">
        <v>2600</v>
      </c>
      <c r="C1247" s="1356" t="str">
        <f t="shared" si="453"/>
        <v xml:space="preserve"> </v>
      </c>
      <c r="D1247" s="1357" t="s">
        <v>2218</v>
      </c>
      <c r="E1247" s="1357" t="s">
        <v>167</v>
      </c>
      <c r="F1247" s="1357" t="s">
        <v>330</v>
      </c>
      <c r="G1247" s="1358" t="s">
        <v>181</v>
      </c>
      <c r="H1247" s="1358" t="s">
        <v>136</v>
      </c>
      <c r="I1247" s="1357" t="s">
        <v>34</v>
      </c>
      <c r="J1247" s="1357" t="s">
        <v>1311</v>
      </c>
      <c r="K1247" s="1358" t="s">
        <v>3022</v>
      </c>
      <c r="L1247" s="1357" t="s">
        <v>2768</v>
      </c>
      <c r="M1247" s="1357" t="s">
        <v>2677</v>
      </c>
      <c r="N1247" s="1358" t="s">
        <v>2685</v>
      </c>
      <c r="O1247" s="1357" t="s">
        <v>2526</v>
      </c>
      <c r="P1247" s="1357" t="s">
        <v>291</v>
      </c>
      <c r="Q1247" s="1357" t="s">
        <v>294</v>
      </c>
      <c r="R1247" s="1357">
        <v>2000000.01</v>
      </c>
      <c r="S1247" s="1357">
        <v>2500000</v>
      </c>
      <c r="T1247" s="1357">
        <v>0</v>
      </c>
      <c r="U1247" s="1357">
        <v>0</v>
      </c>
      <c r="V1247" s="1357">
        <v>0</v>
      </c>
      <c r="W1247" s="1357">
        <v>50</v>
      </c>
      <c r="X1247" s="1357">
        <v>0.8</v>
      </c>
      <c r="Y1247" s="1357">
        <v>999</v>
      </c>
      <c r="Z1247" s="2047">
        <v>660</v>
      </c>
      <c r="AA1247" s="2047">
        <v>660</v>
      </c>
      <c r="AB1247" s="2047">
        <v>6</v>
      </c>
      <c r="AC1247" s="2047">
        <v>999999</v>
      </c>
      <c r="AD1247" s="1357">
        <v>0</v>
      </c>
      <c r="AE1247" s="2048">
        <v>70</v>
      </c>
      <c r="AF1247" s="170">
        <v>0</v>
      </c>
      <c r="AG1247" s="171">
        <v>1</v>
      </c>
      <c r="AH1247" s="171">
        <v>1</v>
      </c>
      <c r="AI1247" s="171">
        <v>0</v>
      </c>
      <c r="AJ1247" s="171">
        <v>0</v>
      </c>
      <c r="AK1247" s="171">
        <v>1</v>
      </c>
      <c r="AL1247" s="171">
        <v>0</v>
      </c>
      <c r="AM1247" s="171">
        <v>1</v>
      </c>
      <c r="AN1247" s="171">
        <v>1</v>
      </c>
      <c r="AO1247" s="171">
        <v>1</v>
      </c>
      <c r="AP1247" s="171">
        <v>1</v>
      </c>
      <c r="AQ1247" s="171">
        <v>1</v>
      </c>
      <c r="AR1247" s="171">
        <v>1</v>
      </c>
      <c r="AS1247" s="171">
        <v>1</v>
      </c>
      <c r="AT1247" s="171">
        <v>1</v>
      </c>
      <c r="AU1247" s="171">
        <f t="shared" si="447"/>
        <v>0</v>
      </c>
      <c r="AV1247" s="171">
        <f t="shared" si="448"/>
        <v>0</v>
      </c>
      <c r="AW1247" s="171">
        <f t="shared" si="449"/>
        <v>1</v>
      </c>
      <c r="AX1247" s="171">
        <f t="shared" si="444"/>
        <v>0</v>
      </c>
      <c r="AY1247" s="171">
        <f t="shared" si="450"/>
        <v>0</v>
      </c>
      <c r="AZ1247" s="171">
        <f t="shared" si="451"/>
        <v>1</v>
      </c>
      <c r="BA1247" s="172">
        <f t="shared" si="452"/>
        <v>1</v>
      </c>
      <c r="BB1247" s="175">
        <f t="shared" si="454"/>
        <v>14</v>
      </c>
      <c r="BC1247" s="176">
        <f t="shared" si="455"/>
        <v>13</v>
      </c>
      <c r="BD1247" s="176">
        <f t="shared" si="456"/>
        <v>14</v>
      </c>
      <c r="BE1247" s="240" t="str">
        <f t="shared" si="446"/>
        <v/>
      </c>
      <c r="BF1247" s="990"/>
      <c r="BG1247" s="990"/>
      <c r="BH1247" s="991">
        <f>IF(AND(Input_Product=Elig!$C1247,Elig_MatchAll_Ct&lt;22,$BC1247=(Elig_MatchAll_Ct-1),AF1247=0),C1247,0)</f>
        <v>0</v>
      </c>
      <c r="BI1247" s="991">
        <f>IF(AND(Input_Product=Elig!$C1247,Elig_MatchAll_Ct&lt;22,$BC1247=(Elig_MatchAll_Ct-1),AG1247=0),D1247,0)</f>
        <v>0</v>
      </c>
      <c r="BJ1247" s="991">
        <f>IF(AND(Input_Product=Elig!$C1247,Elig_MatchAll_Ct&lt;22,$BC1247=(Elig_MatchAll_Ct-1),AH1247=0),E1247,0)</f>
        <v>0</v>
      </c>
      <c r="BK1247" s="991">
        <f>IF(AND(Input_Product=Elig!$C1247,Elig_MatchAll_Ct&lt;22,$BC1247=(Elig_MatchAll_Ct-1),AI1247=0),F1247,0)</f>
        <v>0</v>
      </c>
      <c r="BL1247" s="991">
        <f>IF(AND(Input_Product=Elig!$C1247,Elig_MatchAll_Ct&lt;22,$BC1247=(Elig_MatchAll_Ct-1),AJ1247=0),G1247,0)</f>
        <v>0</v>
      </c>
      <c r="BM1247" s="991">
        <f>IF(AND(Input_Product=Elig!$C1247,Elig_MatchAll_Ct&lt;22,$BC1247=(Elig_MatchAll_Ct-1),AK1247=0),H1247,0)</f>
        <v>0</v>
      </c>
      <c r="BN1247" s="991">
        <f>IF(AND(Input_Product=Elig!$C1247,Elig_MatchAll_Ct&lt;22,$BC1247=(Elig_MatchAll_Ct-1),AL1247=0),I1247,0)</f>
        <v>0</v>
      </c>
      <c r="BO1247" s="991">
        <f>IF(AND(Input_Product=Elig!$C1247,Elig_MatchAll_Ct&lt;22,$BC1247=(Elig_MatchAll_Ct-1),AM1247=0),J1247,0)</f>
        <v>0</v>
      </c>
      <c r="BP1247" s="991">
        <f>IF(AND(Input_Product=Elig!$C1247,Elig_MatchAll_Ct&lt;22,$BC1247=(Elig_MatchAll_Ct-1),AN1247=0),K1247,0)</f>
        <v>0</v>
      </c>
      <c r="BQ1247" s="991">
        <f>IF(AND(Input_Product=Elig!$C1247,Elig_MatchAll_Ct&lt;22,$BC1247=(Elig_MatchAll_Ct-1),AP1247=0),L1247,0)</f>
        <v>0</v>
      </c>
      <c r="BR1247" s="991">
        <f>IF(AND(Input_Product=Elig!$C1247,Elig_MatchAll_Ct&lt;22,$BC1247=(Elig_MatchAll_Ct-1),AO1247=0),M1247,0)</f>
        <v>0</v>
      </c>
      <c r="BS1247" s="991">
        <f>IF(AND(Input_Product=Elig!$C1247,Elig_MatchAll_Ct&lt;22,$BC1247=(Elig_MatchAll_Ct-1),AQ1247=0),N1247,0)</f>
        <v>0</v>
      </c>
      <c r="BT1247" s="991">
        <f>IF(AND(Input_Product=Elig!$C1247,Elig_MatchAll_Ct&lt;22,$BC1247=(Elig_MatchAll_Ct-1),AR1247=0),O1247,0)</f>
        <v>0</v>
      </c>
      <c r="BU1247" s="991">
        <f>IF(AND(Input_Product=Elig!$C1247,Elig_MatchAll_Ct&lt;22,$BC1247=(Elig_MatchAll_Ct-1),AS1247=0),P1247,0)</f>
        <v>0</v>
      </c>
      <c r="BV1247" s="992">
        <f>IF(AND(Input_Product=Elig!$C1247,Elig_MatchAll_Ct&lt;22,$BC1247=(Elig_MatchAll_Ct-1),AT1247=0),Q1247,0)</f>
        <v>0</v>
      </c>
      <c r="BW1247" s="993">
        <f>IF(AND(Input_Product=Elig!$C1247,Elig_MatchAll_Ct&lt;22,$BC1247=(Elig_MatchAll_Ct-1),AU1247=0),R1247,0)</f>
        <v>0</v>
      </c>
      <c r="BX1247" s="994">
        <f>IF(AND(Input_Product=Elig!$C1247,Elig_MatchAll_Ct&lt;22,$BC1247=(Elig_MatchAll_Ct-1),AU1247=0),S1247,0)</f>
        <v>0</v>
      </c>
      <c r="BY1247" s="993">
        <f>IF(AND(Input_Product=Elig!$C1247,Elig_MatchAll_Ct&lt;22,$BC1247=(Elig_MatchAll_Ct-1),AV1247=0),T1247,0)</f>
        <v>0</v>
      </c>
      <c r="BZ1247" s="994">
        <f>IF(AND(Input_Product=Elig!$C1247,Elig_MatchAll_Ct&lt;22,$BC1247=(Elig_MatchAll_Ct-1),AV1247=0),U1247,0)</f>
        <v>0</v>
      </c>
      <c r="CA1247" s="993">
        <f>IF(AND(Input_Product=Elig!$C1247,Elig_MatchAll_Ct&lt;22,$BC1247=(Elig_MatchAll_Ct-1),AW1247=0),V1247,0)</f>
        <v>0</v>
      </c>
      <c r="CB1247" s="994">
        <f>IF(AND(Input_Product=Elig!$C1247,Elig_MatchAll_Ct&lt;22,$BC1247=(Elig_MatchAll_Ct-1),AW1247=0),W1247,0)</f>
        <v>0</v>
      </c>
      <c r="CC1247" s="993">
        <f>IF(AND(Input_Product=Elig!$C1247,Elig_MatchAll_Ct&lt;22,$BC1247=(Elig_MatchAll_Ct-1),AX1247=0),X1247,0)</f>
        <v>0</v>
      </c>
      <c r="CD1247" s="994">
        <f>IF(AND(Input_Product=Elig!$C1247,Elig_MatchAll_Ct&lt;22,$BC1247=(Elig_MatchAll_Ct-1),AX1247=0),Y1247,0)</f>
        <v>0</v>
      </c>
      <c r="CE1247" s="993">
        <f>IF(AND(Input_LTV&lt;=AE1247,Input_Product=Elig!$C1247,Elig_MatchAll_Ct&lt;22,$BC1247=(Elig_MatchAll_Ct-1),AY1247=0),Z1247,0)</f>
        <v>0</v>
      </c>
      <c r="CF1247" s="994">
        <f>IF(AND(Input_LTV&lt;=AE1247,Input_Product=Elig!$C1247,Elig_MatchAll_Ct&lt;22,$BC1247=(Elig_MatchAll_Ct-1),AY1247=0),AA1247,0)</f>
        <v>0</v>
      </c>
      <c r="CG1247" s="993">
        <f>IF(AND(Input_Product=Elig!$C1247,Elig_MatchAll_Ct&lt;22,$BC1247=(Elig_MatchAll_Ct-1),AZ1247=0),AB1247,0)</f>
        <v>0</v>
      </c>
      <c r="CH1247" s="994">
        <f>IF(AND(Input_Product=Elig!$C1247,Elig_MatchAll_Ct&lt;22,$BC1247=(Elig_MatchAll_Ct-1),AZ1247=0),AC1247,0)</f>
        <v>0</v>
      </c>
      <c r="CI1247" s="993">
        <f>IF(AND(Input_Product=Elig!$C1247,Elig_MatchAll_Ct&lt;22,$BC1247=(Elig_MatchAll_Ct-1),BA1247=0),AD1247,0)</f>
        <v>0</v>
      </c>
      <c r="CJ1247" s="994">
        <f>IF(AND(Input_Product=Elig!$C1247,Elig_MatchAll_Ct&lt;22,$BC1247=(Elig_MatchAll_Ct-1),BA1247=0),AE1247,0)</f>
        <v>0</v>
      </c>
    </row>
    <row r="1248" spans="2:88" ht="10.15" customHeight="1" x14ac:dyDescent="0.25">
      <c r="B1248" s="1920" t="s">
        <v>2601</v>
      </c>
      <c r="C1248" s="1353" t="str">
        <f t="shared" si="453"/>
        <v xml:space="preserve"> </v>
      </c>
      <c r="D1248" s="1354" t="s">
        <v>2218</v>
      </c>
      <c r="E1248" s="1354" t="s">
        <v>167</v>
      </c>
      <c r="F1248" s="1354" t="s">
        <v>330</v>
      </c>
      <c r="G1248" s="1355" t="s">
        <v>181</v>
      </c>
      <c r="H1248" s="1355" t="s">
        <v>136</v>
      </c>
      <c r="I1248" s="1354" t="s">
        <v>34</v>
      </c>
      <c r="J1248" s="1354" t="s">
        <v>1311</v>
      </c>
      <c r="K1248" s="1355" t="s">
        <v>3022</v>
      </c>
      <c r="L1248" s="1354" t="s">
        <v>2768</v>
      </c>
      <c r="M1248" s="1354" t="s">
        <v>2677</v>
      </c>
      <c r="N1248" s="1355" t="s">
        <v>2685</v>
      </c>
      <c r="O1248" s="1354" t="s">
        <v>2526</v>
      </c>
      <c r="P1248" s="1354" t="s">
        <v>291</v>
      </c>
      <c r="Q1248" s="1354" t="s">
        <v>294</v>
      </c>
      <c r="R1248" s="1354">
        <v>2500000.0099999998</v>
      </c>
      <c r="S1248" s="1354">
        <v>3000000</v>
      </c>
      <c r="T1248" s="1354">
        <v>0</v>
      </c>
      <c r="U1248" s="1354">
        <v>0</v>
      </c>
      <c r="V1248" s="1354">
        <v>0</v>
      </c>
      <c r="W1248" s="1354">
        <v>50</v>
      </c>
      <c r="X1248" s="1354">
        <v>0.8</v>
      </c>
      <c r="Y1248" s="1354">
        <v>999</v>
      </c>
      <c r="Z1248" s="2043">
        <v>720</v>
      </c>
      <c r="AA1248" s="2043">
        <v>999</v>
      </c>
      <c r="AB1248" s="2043">
        <v>6</v>
      </c>
      <c r="AC1248" s="2043">
        <v>999999</v>
      </c>
      <c r="AD1248" s="1354">
        <v>0</v>
      </c>
      <c r="AE1248" s="2044">
        <v>70</v>
      </c>
      <c r="AF1248" s="170">
        <v>0</v>
      </c>
      <c r="AG1248" s="171">
        <v>1</v>
      </c>
      <c r="AH1248" s="171">
        <v>1</v>
      </c>
      <c r="AI1248" s="171">
        <v>0</v>
      </c>
      <c r="AJ1248" s="171">
        <v>0</v>
      </c>
      <c r="AK1248" s="171">
        <v>1</v>
      </c>
      <c r="AL1248" s="171">
        <v>0</v>
      </c>
      <c r="AM1248" s="171">
        <v>1</v>
      </c>
      <c r="AN1248" s="171">
        <v>1</v>
      </c>
      <c r="AO1248" s="171">
        <v>1</v>
      </c>
      <c r="AP1248" s="171">
        <v>1</v>
      </c>
      <c r="AQ1248" s="171">
        <v>1</v>
      </c>
      <c r="AR1248" s="171">
        <v>1</v>
      </c>
      <c r="AS1248" s="171">
        <v>1</v>
      </c>
      <c r="AT1248" s="171">
        <v>1</v>
      </c>
      <c r="AU1248" s="171">
        <f t="shared" si="447"/>
        <v>0</v>
      </c>
      <c r="AV1248" s="171">
        <f t="shared" si="448"/>
        <v>0</v>
      </c>
      <c r="AW1248" s="171">
        <f t="shared" si="449"/>
        <v>1</v>
      </c>
      <c r="AX1248" s="171">
        <f t="shared" si="444"/>
        <v>0</v>
      </c>
      <c r="AY1248" s="171">
        <f t="shared" si="450"/>
        <v>1</v>
      </c>
      <c r="AZ1248" s="171">
        <f t="shared" si="451"/>
        <v>1</v>
      </c>
      <c r="BA1248" s="172">
        <f t="shared" si="452"/>
        <v>1</v>
      </c>
      <c r="BB1248" s="175">
        <f t="shared" si="454"/>
        <v>15</v>
      </c>
      <c r="BC1248" s="176">
        <f t="shared" si="455"/>
        <v>14</v>
      </c>
      <c r="BD1248" s="176">
        <f t="shared" si="456"/>
        <v>15</v>
      </c>
      <c r="BE1248" s="240" t="str">
        <f t="shared" si="446"/>
        <v/>
      </c>
      <c r="BF1248" s="990"/>
      <c r="BG1248" s="990"/>
      <c r="BH1248" s="991">
        <f>IF(AND(Input_Product=Elig!$C1248,Elig_MatchAll_Ct&lt;22,$BC1248=(Elig_MatchAll_Ct-1),AF1248=0),C1248,0)</f>
        <v>0</v>
      </c>
      <c r="BI1248" s="991">
        <f>IF(AND(Input_Product=Elig!$C1248,Elig_MatchAll_Ct&lt;22,$BC1248=(Elig_MatchAll_Ct-1),AG1248=0),D1248,0)</f>
        <v>0</v>
      </c>
      <c r="BJ1248" s="991">
        <f>IF(AND(Input_Product=Elig!$C1248,Elig_MatchAll_Ct&lt;22,$BC1248=(Elig_MatchAll_Ct-1),AH1248=0),E1248,0)</f>
        <v>0</v>
      </c>
      <c r="BK1248" s="991">
        <f>IF(AND(Input_Product=Elig!$C1248,Elig_MatchAll_Ct&lt;22,$BC1248=(Elig_MatchAll_Ct-1),AI1248=0),F1248,0)</f>
        <v>0</v>
      </c>
      <c r="BL1248" s="991">
        <f>IF(AND(Input_Product=Elig!$C1248,Elig_MatchAll_Ct&lt;22,$BC1248=(Elig_MatchAll_Ct-1),AJ1248=0),G1248,0)</f>
        <v>0</v>
      </c>
      <c r="BM1248" s="991">
        <f>IF(AND(Input_Product=Elig!$C1248,Elig_MatchAll_Ct&lt;22,$BC1248=(Elig_MatchAll_Ct-1),AK1248=0),H1248,0)</f>
        <v>0</v>
      </c>
      <c r="BN1248" s="991">
        <f>IF(AND(Input_Product=Elig!$C1248,Elig_MatchAll_Ct&lt;22,$BC1248=(Elig_MatchAll_Ct-1),AL1248=0),I1248,0)</f>
        <v>0</v>
      </c>
      <c r="BO1248" s="991">
        <f>IF(AND(Input_Product=Elig!$C1248,Elig_MatchAll_Ct&lt;22,$BC1248=(Elig_MatchAll_Ct-1),AM1248=0),J1248,0)</f>
        <v>0</v>
      </c>
      <c r="BP1248" s="991">
        <f>IF(AND(Input_Product=Elig!$C1248,Elig_MatchAll_Ct&lt;22,$BC1248=(Elig_MatchAll_Ct-1),AN1248=0),K1248,0)</f>
        <v>0</v>
      </c>
      <c r="BQ1248" s="991">
        <f>IF(AND(Input_Product=Elig!$C1248,Elig_MatchAll_Ct&lt;22,$BC1248=(Elig_MatchAll_Ct-1),AP1248=0),L1248,0)</f>
        <v>0</v>
      </c>
      <c r="BR1248" s="991">
        <f>IF(AND(Input_Product=Elig!$C1248,Elig_MatchAll_Ct&lt;22,$BC1248=(Elig_MatchAll_Ct-1),AO1248=0),M1248,0)</f>
        <v>0</v>
      </c>
      <c r="BS1248" s="991">
        <f>IF(AND(Input_Product=Elig!$C1248,Elig_MatchAll_Ct&lt;22,$BC1248=(Elig_MatchAll_Ct-1),AQ1248=0),N1248,0)</f>
        <v>0</v>
      </c>
      <c r="BT1248" s="991">
        <f>IF(AND(Input_Product=Elig!$C1248,Elig_MatchAll_Ct&lt;22,$BC1248=(Elig_MatchAll_Ct-1),AR1248=0),O1248,0)</f>
        <v>0</v>
      </c>
      <c r="BU1248" s="991">
        <f>IF(AND(Input_Product=Elig!$C1248,Elig_MatchAll_Ct&lt;22,$BC1248=(Elig_MatchAll_Ct-1),AS1248=0),P1248,0)</f>
        <v>0</v>
      </c>
      <c r="BV1248" s="992">
        <f>IF(AND(Input_Product=Elig!$C1248,Elig_MatchAll_Ct&lt;22,$BC1248=(Elig_MatchAll_Ct-1),AT1248=0),Q1248,0)</f>
        <v>0</v>
      </c>
      <c r="BW1248" s="993">
        <f>IF(AND(Input_Product=Elig!$C1248,Elig_MatchAll_Ct&lt;22,$BC1248=(Elig_MatchAll_Ct-1),AU1248=0),R1248,0)</f>
        <v>0</v>
      </c>
      <c r="BX1248" s="994">
        <f>IF(AND(Input_Product=Elig!$C1248,Elig_MatchAll_Ct&lt;22,$BC1248=(Elig_MatchAll_Ct-1),AU1248=0),S1248,0)</f>
        <v>0</v>
      </c>
      <c r="BY1248" s="993">
        <f>IF(AND(Input_Product=Elig!$C1248,Elig_MatchAll_Ct&lt;22,$BC1248=(Elig_MatchAll_Ct-1),AV1248=0),T1248,0)</f>
        <v>0</v>
      </c>
      <c r="BZ1248" s="994">
        <f>IF(AND(Input_Product=Elig!$C1248,Elig_MatchAll_Ct&lt;22,$BC1248=(Elig_MatchAll_Ct-1),AV1248=0),U1248,0)</f>
        <v>0</v>
      </c>
      <c r="CA1248" s="993">
        <f>IF(AND(Input_Product=Elig!$C1248,Elig_MatchAll_Ct&lt;22,$BC1248=(Elig_MatchAll_Ct-1),AW1248=0),V1248,0)</f>
        <v>0</v>
      </c>
      <c r="CB1248" s="994">
        <f>IF(AND(Input_Product=Elig!$C1248,Elig_MatchAll_Ct&lt;22,$BC1248=(Elig_MatchAll_Ct-1),AW1248=0),W1248,0)</f>
        <v>0</v>
      </c>
      <c r="CC1248" s="993">
        <f>IF(AND(Input_Product=Elig!$C1248,Elig_MatchAll_Ct&lt;22,$BC1248=(Elig_MatchAll_Ct-1),AX1248=0),X1248,0)</f>
        <v>0</v>
      </c>
      <c r="CD1248" s="994">
        <f>IF(AND(Input_Product=Elig!$C1248,Elig_MatchAll_Ct&lt;22,$BC1248=(Elig_MatchAll_Ct-1),AX1248=0),Y1248,0)</f>
        <v>0</v>
      </c>
      <c r="CE1248" s="993">
        <f>IF(AND(Input_LTV&lt;=AE1248,Input_Product=Elig!$C1248,Elig_MatchAll_Ct&lt;22,$BC1248=(Elig_MatchAll_Ct-1),AY1248=0),Z1248,0)</f>
        <v>0</v>
      </c>
      <c r="CF1248" s="994">
        <f>IF(AND(Input_LTV&lt;=AE1248,Input_Product=Elig!$C1248,Elig_MatchAll_Ct&lt;22,$BC1248=(Elig_MatchAll_Ct-1),AY1248=0),AA1248,0)</f>
        <v>0</v>
      </c>
      <c r="CG1248" s="993">
        <f>IF(AND(Input_Product=Elig!$C1248,Elig_MatchAll_Ct&lt;22,$BC1248=(Elig_MatchAll_Ct-1),AZ1248=0),AB1248,0)</f>
        <v>0</v>
      </c>
      <c r="CH1248" s="994">
        <f>IF(AND(Input_Product=Elig!$C1248,Elig_MatchAll_Ct&lt;22,$BC1248=(Elig_MatchAll_Ct-1),AZ1248=0),AC1248,0)</f>
        <v>0</v>
      </c>
      <c r="CI1248" s="993">
        <f>IF(AND(Input_Product=Elig!$C1248,Elig_MatchAll_Ct&lt;22,$BC1248=(Elig_MatchAll_Ct-1),BA1248=0),AD1248,0)</f>
        <v>0</v>
      </c>
      <c r="CJ1248" s="994">
        <f>IF(AND(Input_Product=Elig!$C1248,Elig_MatchAll_Ct&lt;22,$BC1248=(Elig_MatchAll_Ct-1),BA1248=0),AE1248,0)</f>
        <v>0</v>
      </c>
    </row>
    <row r="1249" spans="2:88" ht="10.15" customHeight="1" x14ac:dyDescent="0.25">
      <c r="B1249" s="1920" t="s">
        <v>2602</v>
      </c>
      <c r="C1249" s="1359" t="str">
        <f t="shared" si="453"/>
        <v xml:space="preserve"> </v>
      </c>
      <c r="D1249" s="1360" t="s">
        <v>2218</v>
      </c>
      <c r="E1249" s="1360" t="s">
        <v>167</v>
      </c>
      <c r="F1249" s="1360" t="s">
        <v>330</v>
      </c>
      <c r="G1249" s="1361" t="s">
        <v>181</v>
      </c>
      <c r="H1249" s="1361" t="s">
        <v>136</v>
      </c>
      <c r="I1249" s="1360" t="s">
        <v>34</v>
      </c>
      <c r="J1249" s="1360" t="s">
        <v>1311</v>
      </c>
      <c r="K1249" s="1361" t="s">
        <v>3022</v>
      </c>
      <c r="L1249" s="1360" t="s">
        <v>2768</v>
      </c>
      <c r="M1249" s="1360" t="s">
        <v>2677</v>
      </c>
      <c r="N1249" s="1361" t="s">
        <v>2685</v>
      </c>
      <c r="O1249" s="1360" t="s">
        <v>2526</v>
      </c>
      <c r="P1249" s="1360" t="s">
        <v>291</v>
      </c>
      <c r="Q1249" s="1360" t="s">
        <v>294</v>
      </c>
      <c r="R1249" s="1360">
        <v>2500000.0099999998</v>
      </c>
      <c r="S1249" s="1360">
        <v>3000000</v>
      </c>
      <c r="T1249" s="1360">
        <v>0</v>
      </c>
      <c r="U1249" s="1360">
        <v>0</v>
      </c>
      <c r="V1249" s="1360">
        <v>0</v>
      </c>
      <c r="W1249" s="1360">
        <v>50</v>
      </c>
      <c r="X1249" s="1360">
        <v>0.8</v>
      </c>
      <c r="Y1249" s="1360">
        <v>999</v>
      </c>
      <c r="Z1249" s="2045">
        <v>700</v>
      </c>
      <c r="AA1249" s="2045">
        <v>719</v>
      </c>
      <c r="AB1249" s="2045">
        <v>6</v>
      </c>
      <c r="AC1249" s="2045">
        <v>999999</v>
      </c>
      <c r="AD1249" s="1360">
        <v>0</v>
      </c>
      <c r="AE1249" s="2046">
        <v>70</v>
      </c>
      <c r="AF1249" s="170">
        <v>0</v>
      </c>
      <c r="AG1249" s="171">
        <v>1</v>
      </c>
      <c r="AH1249" s="171">
        <v>1</v>
      </c>
      <c r="AI1249" s="171">
        <v>0</v>
      </c>
      <c r="AJ1249" s="171">
        <v>0</v>
      </c>
      <c r="AK1249" s="171">
        <v>1</v>
      </c>
      <c r="AL1249" s="171">
        <v>0</v>
      </c>
      <c r="AM1249" s="171">
        <v>1</v>
      </c>
      <c r="AN1249" s="171">
        <v>1</v>
      </c>
      <c r="AO1249" s="171">
        <v>1</v>
      </c>
      <c r="AP1249" s="171">
        <v>1</v>
      </c>
      <c r="AQ1249" s="171">
        <v>1</v>
      </c>
      <c r="AR1249" s="171">
        <v>1</v>
      </c>
      <c r="AS1249" s="171">
        <v>1</v>
      </c>
      <c r="AT1249" s="171">
        <v>1</v>
      </c>
      <c r="AU1249" s="171">
        <f t="shared" si="447"/>
        <v>0</v>
      </c>
      <c r="AV1249" s="171">
        <f t="shared" si="448"/>
        <v>0</v>
      </c>
      <c r="AW1249" s="171">
        <f t="shared" si="449"/>
        <v>1</v>
      </c>
      <c r="AX1249" s="171">
        <f t="shared" si="444"/>
        <v>0</v>
      </c>
      <c r="AY1249" s="171">
        <f t="shared" si="450"/>
        <v>0</v>
      </c>
      <c r="AZ1249" s="171">
        <f t="shared" si="451"/>
        <v>1</v>
      </c>
      <c r="BA1249" s="172">
        <f t="shared" si="452"/>
        <v>1</v>
      </c>
      <c r="BB1249" s="175">
        <f t="shared" si="454"/>
        <v>14</v>
      </c>
      <c r="BC1249" s="176">
        <f t="shared" si="455"/>
        <v>13</v>
      </c>
      <c r="BD1249" s="176">
        <f t="shared" si="456"/>
        <v>14</v>
      </c>
      <c r="BE1249" s="240" t="str">
        <f t="shared" si="446"/>
        <v/>
      </c>
      <c r="BF1249" s="990"/>
      <c r="BG1249" s="990"/>
      <c r="BH1249" s="991">
        <f>IF(AND(Input_Product=Elig!$C1249,Elig_MatchAll_Ct&lt;22,$BC1249=(Elig_MatchAll_Ct-1),AF1249=0),C1249,0)</f>
        <v>0</v>
      </c>
      <c r="BI1249" s="991">
        <f>IF(AND(Input_Product=Elig!$C1249,Elig_MatchAll_Ct&lt;22,$BC1249=(Elig_MatchAll_Ct-1),AG1249=0),D1249,0)</f>
        <v>0</v>
      </c>
      <c r="BJ1249" s="991">
        <f>IF(AND(Input_Product=Elig!$C1249,Elig_MatchAll_Ct&lt;22,$BC1249=(Elig_MatchAll_Ct-1),AH1249=0),E1249,0)</f>
        <v>0</v>
      </c>
      <c r="BK1249" s="991">
        <f>IF(AND(Input_Product=Elig!$C1249,Elig_MatchAll_Ct&lt;22,$BC1249=(Elig_MatchAll_Ct-1),AI1249=0),F1249,0)</f>
        <v>0</v>
      </c>
      <c r="BL1249" s="991">
        <f>IF(AND(Input_Product=Elig!$C1249,Elig_MatchAll_Ct&lt;22,$BC1249=(Elig_MatchAll_Ct-1),AJ1249=0),G1249,0)</f>
        <v>0</v>
      </c>
      <c r="BM1249" s="991">
        <f>IF(AND(Input_Product=Elig!$C1249,Elig_MatchAll_Ct&lt;22,$BC1249=(Elig_MatchAll_Ct-1),AK1249=0),H1249,0)</f>
        <v>0</v>
      </c>
      <c r="BN1249" s="991">
        <f>IF(AND(Input_Product=Elig!$C1249,Elig_MatchAll_Ct&lt;22,$BC1249=(Elig_MatchAll_Ct-1),AL1249=0),I1249,0)</f>
        <v>0</v>
      </c>
      <c r="BO1249" s="991">
        <f>IF(AND(Input_Product=Elig!$C1249,Elig_MatchAll_Ct&lt;22,$BC1249=(Elig_MatchAll_Ct-1),AM1249=0),J1249,0)</f>
        <v>0</v>
      </c>
      <c r="BP1249" s="991">
        <f>IF(AND(Input_Product=Elig!$C1249,Elig_MatchAll_Ct&lt;22,$BC1249=(Elig_MatchAll_Ct-1),AN1249=0),K1249,0)</f>
        <v>0</v>
      </c>
      <c r="BQ1249" s="991">
        <f>IF(AND(Input_Product=Elig!$C1249,Elig_MatchAll_Ct&lt;22,$BC1249=(Elig_MatchAll_Ct-1),AP1249=0),L1249,0)</f>
        <v>0</v>
      </c>
      <c r="BR1249" s="991">
        <f>IF(AND(Input_Product=Elig!$C1249,Elig_MatchAll_Ct&lt;22,$BC1249=(Elig_MatchAll_Ct-1),AO1249=0),M1249,0)</f>
        <v>0</v>
      </c>
      <c r="BS1249" s="991">
        <f>IF(AND(Input_Product=Elig!$C1249,Elig_MatchAll_Ct&lt;22,$BC1249=(Elig_MatchAll_Ct-1),AQ1249=0),N1249,0)</f>
        <v>0</v>
      </c>
      <c r="BT1249" s="991">
        <f>IF(AND(Input_Product=Elig!$C1249,Elig_MatchAll_Ct&lt;22,$BC1249=(Elig_MatchAll_Ct-1),AR1249=0),O1249,0)</f>
        <v>0</v>
      </c>
      <c r="BU1249" s="991">
        <f>IF(AND(Input_Product=Elig!$C1249,Elig_MatchAll_Ct&lt;22,$BC1249=(Elig_MatchAll_Ct-1),AS1249=0),P1249,0)</f>
        <v>0</v>
      </c>
      <c r="BV1249" s="992">
        <f>IF(AND(Input_Product=Elig!$C1249,Elig_MatchAll_Ct&lt;22,$BC1249=(Elig_MatchAll_Ct-1),AT1249=0),Q1249,0)</f>
        <v>0</v>
      </c>
      <c r="BW1249" s="993">
        <f>IF(AND(Input_Product=Elig!$C1249,Elig_MatchAll_Ct&lt;22,$BC1249=(Elig_MatchAll_Ct-1),AU1249=0),R1249,0)</f>
        <v>0</v>
      </c>
      <c r="BX1249" s="994">
        <f>IF(AND(Input_Product=Elig!$C1249,Elig_MatchAll_Ct&lt;22,$BC1249=(Elig_MatchAll_Ct-1),AU1249=0),S1249,0)</f>
        <v>0</v>
      </c>
      <c r="BY1249" s="993">
        <f>IF(AND(Input_Product=Elig!$C1249,Elig_MatchAll_Ct&lt;22,$BC1249=(Elig_MatchAll_Ct-1),AV1249=0),T1249,0)</f>
        <v>0</v>
      </c>
      <c r="BZ1249" s="994">
        <f>IF(AND(Input_Product=Elig!$C1249,Elig_MatchAll_Ct&lt;22,$BC1249=(Elig_MatchAll_Ct-1),AV1249=0),U1249,0)</f>
        <v>0</v>
      </c>
      <c r="CA1249" s="993">
        <f>IF(AND(Input_Product=Elig!$C1249,Elig_MatchAll_Ct&lt;22,$BC1249=(Elig_MatchAll_Ct-1),AW1249=0),V1249,0)</f>
        <v>0</v>
      </c>
      <c r="CB1249" s="994">
        <f>IF(AND(Input_Product=Elig!$C1249,Elig_MatchAll_Ct&lt;22,$BC1249=(Elig_MatchAll_Ct-1),AW1249=0),W1249,0)</f>
        <v>0</v>
      </c>
      <c r="CC1249" s="993">
        <f>IF(AND(Input_Product=Elig!$C1249,Elig_MatchAll_Ct&lt;22,$BC1249=(Elig_MatchAll_Ct-1),AX1249=0),X1249,0)</f>
        <v>0</v>
      </c>
      <c r="CD1249" s="994">
        <f>IF(AND(Input_Product=Elig!$C1249,Elig_MatchAll_Ct&lt;22,$BC1249=(Elig_MatchAll_Ct-1),AX1249=0),Y1249,0)</f>
        <v>0</v>
      </c>
      <c r="CE1249" s="993">
        <f>IF(AND(Input_LTV&lt;=AE1249,Input_Product=Elig!$C1249,Elig_MatchAll_Ct&lt;22,$BC1249=(Elig_MatchAll_Ct-1),AY1249=0),Z1249,0)</f>
        <v>0</v>
      </c>
      <c r="CF1249" s="994">
        <f>IF(AND(Input_LTV&lt;=AE1249,Input_Product=Elig!$C1249,Elig_MatchAll_Ct&lt;22,$BC1249=(Elig_MatchAll_Ct-1),AY1249=0),AA1249,0)</f>
        <v>0</v>
      </c>
      <c r="CG1249" s="993">
        <f>IF(AND(Input_Product=Elig!$C1249,Elig_MatchAll_Ct&lt;22,$BC1249=(Elig_MatchAll_Ct-1),AZ1249=0),AB1249,0)</f>
        <v>0</v>
      </c>
      <c r="CH1249" s="994">
        <f>IF(AND(Input_Product=Elig!$C1249,Elig_MatchAll_Ct&lt;22,$BC1249=(Elig_MatchAll_Ct-1),AZ1249=0),AC1249,0)</f>
        <v>0</v>
      </c>
      <c r="CI1249" s="993">
        <f>IF(AND(Input_Product=Elig!$C1249,Elig_MatchAll_Ct&lt;22,$BC1249=(Elig_MatchAll_Ct-1),BA1249=0),AD1249,0)</f>
        <v>0</v>
      </c>
      <c r="CJ1249" s="994">
        <f>IF(AND(Input_Product=Elig!$C1249,Elig_MatchAll_Ct&lt;22,$BC1249=(Elig_MatchAll_Ct-1),BA1249=0),AE1249,0)</f>
        <v>0</v>
      </c>
    </row>
    <row r="1250" spans="2:88" ht="10.15" customHeight="1" x14ac:dyDescent="0.25">
      <c r="B1250" s="1920" t="s">
        <v>2603</v>
      </c>
      <c r="C1250" s="1356" t="str">
        <f t="shared" si="453"/>
        <v xml:space="preserve"> </v>
      </c>
      <c r="D1250" s="1357" t="s">
        <v>2218</v>
      </c>
      <c r="E1250" s="1357" t="s">
        <v>167</v>
      </c>
      <c r="F1250" s="1357" t="s">
        <v>330</v>
      </c>
      <c r="G1250" s="1358" t="s">
        <v>181</v>
      </c>
      <c r="H1250" s="1358" t="s">
        <v>136</v>
      </c>
      <c r="I1250" s="1357" t="s">
        <v>34</v>
      </c>
      <c r="J1250" s="1357" t="s">
        <v>1311</v>
      </c>
      <c r="K1250" s="1358" t="s">
        <v>3022</v>
      </c>
      <c r="L1250" s="1357" t="s">
        <v>2768</v>
      </c>
      <c r="M1250" s="1357" t="s">
        <v>2677</v>
      </c>
      <c r="N1250" s="1358" t="s">
        <v>2685</v>
      </c>
      <c r="O1250" s="1357" t="s">
        <v>2526</v>
      </c>
      <c r="P1250" s="1357" t="s">
        <v>291</v>
      </c>
      <c r="Q1250" s="1357" t="s">
        <v>294</v>
      </c>
      <c r="R1250" s="1357">
        <v>2500000.0099999998</v>
      </c>
      <c r="S1250" s="1357">
        <v>3000000</v>
      </c>
      <c r="T1250" s="1357">
        <v>0</v>
      </c>
      <c r="U1250" s="1357">
        <v>0</v>
      </c>
      <c r="V1250" s="1357">
        <v>0</v>
      </c>
      <c r="W1250" s="1357">
        <v>50</v>
      </c>
      <c r="X1250" s="1357">
        <v>0.8</v>
      </c>
      <c r="Y1250" s="1357">
        <v>999</v>
      </c>
      <c r="Z1250" s="2047">
        <v>660</v>
      </c>
      <c r="AA1250" s="2047">
        <v>660</v>
      </c>
      <c r="AB1250" s="2047">
        <v>6</v>
      </c>
      <c r="AC1250" s="2047">
        <v>999999</v>
      </c>
      <c r="AD1250" s="1357">
        <v>0</v>
      </c>
      <c r="AE1250" s="2048">
        <v>70</v>
      </c>
      <c r="AF1250" s="170">
        <v>0</v>
      </c>
      <c r="AG1250" s="171">
        <v>1</v>
      </c>
      <c r="AH1250" s="171">
        <v>1</v>
      </c>
      <c r="AI1250" s="171">
        <v>0</v>
      </c>
      <c r="AJ1250" s="171">
        <v>0</v>
      </c>
      <c r="AK1250" s="171">
        <v>1</v>
      </c>
      <c r="AL1250" s="171">
        <v>0</v>
      </c>
      <c r="AM1250" s="171">
        <v>1</v>
      </c>
      <c r="AN1250" s="171">
        <v>1</v>
      </c>
      <c r="AO1250" s="171">
        <v>1</v>
      </c>
      <c r="AP1250" s="171">
        <v>1</v>
      </c>
      <c r="AQ1250" s="171">
        <v>1</v>
      </c>
      <c r="AR1250" s="171">
        <v>1</v>
      </c>
      <c r="AS1250" s="171">
        <v>1</v>
      </c>
      <c r="AT1250" s="171">
        <v>1</v>
      </c>
      <c r="AU1250" s="171">
        <f t="shared" si="447"/>
        <v>0</v>
      </c>
      <c r="AV1250" s="171">
        <f t="shared" si="448"/>
        <v>0</v>
      </c>
      <c r="AW1250" s="171">
        <f t="shared" si="449"/>
        <v>1</v>
      </c>
      <c r="AX1250" s="171">
        <f t="shared" si="444"/>
        <v>0</v>
      </c>
      <c r="AY1250" s="171">
        <f t="shared" si="450"/>
        <v>0</v>
      </c>
      <c r="AZ1250" s="171">
        <f t="shared" si="451"/>
        <v>1</v>
      </c>
      <c r="BA1250" s="172">
        <f t="shared" si="452"/>
        <v>1</v>
      </c>
      <c r="BB1250" s="175">
        <f t="shared" si="454"/>
        <v>14</v>
      </c>
      <c r="BC1250" s="176">
        <f t="shared" si="455"/>
        <v>13</v>
      </c>
      <c r="BD1250" s="176">
        <f t="shared" si="456"/>
        <v>14</v>
      </c>
      <c r="BE1250" s="240" t="str">
        <f t="shared" si="446"/>
        <v/>
      </c>
      <c r="BF1250" s="990"/>
      <c r="BG1250" s="990"/>
      <c r="BH1250" s="991">
        <f>IF(AND(Input_Product=Elig!$C1250,Elig_MatchAll_Ct&lt;22,$BC1250=(Elig_MatchAll_Ct-1),AF1250=0),C1250,0)</f>
        <v>0</v>
      </c>
      <c r="BI1250" s="991">
        <f>IF(AND(Input_Product=Elig!$C1250,Elig_MatchAll_Ct&lt;22,$BC1250=(Elig_MatchAll_Ct-1),AG1250=0),D1250,0)</f>
        <v>0</v>
      </c>
      <c r="BJ1250" s="991">
        <f>IF(AND(Input_Product=Elig!$C1250,Elig_MatchAll_Ct&lt;22,$BC1250=(Elig_MatchAll_Ct-1),AH1250=0),E1250,0)</f>
        <v>0</v>
      </c>
      <c r="BK1250" s="991">
        <f>IF(AND(Input_Product=Elig!$C1250,Elig_MatchAll_Ct&lt;22,$BC1250=(Elig_MatchAll_Ct-1),AI1250=0),F1250,0)</f>
        <v>0</v>
      </c>
      <c r="BL1250" s="991">
        <f>IF(AND(Input_Product=Elig!$C1250,Elig_MatchAll_Ct&lt;22,$BC1250=(Elig_MatchAll_Ct-1),AJ1250=0),G1250,0)</f>
        <v>0</v>
      </c>
      <c r="BM1250" s="991">
        <f>IF(AND(Input_Product=Elig!$C1250,Elig_MatchAll_Ct&lt;22,$BC1250=(Elig_MatchAll_Ct-1),AK1250=0),H1250,0)</f>
        <v>0</v>
      </c>
      <c r="BN1250" s="991">
        <f>IF(AND(Input_Product=Elig!$C1250,Elig_MatchAll_Ct&lt;22,$BC1250=(Elig_MatchAll_Ct-1),AL1250=0),I1250,0)</f>
        <v>0</v>
      </c>
      <c r="BO1250" s="991">
        <f>IF(AND(Input_Product=Elig!$C1250,Elig_MatchAll_Ct&lt;22,$BC1250=(Elig_MatchAll_Ct-1),AM1250=0),J1250,0)</f>
        <v>0</v>
      </c>
      <c r="BP1250" s="991">
        <f>IF(AND(Input_Product=Elig!$C1250,Elig_MatchAll_Ct&lt;22,$BC1250=(Elig_MatchAll_Ct-1),AN1250=0),K1250,0)</f>
        <v>0</v>
      </c>
      <c r="BQ1250" s="991">
        <f>IF(AND(Input_Product=Elig!$C1250,Elig_MatchAll_Ct&lt;22,$BC1250=(Elig_MatchAll_Ct-1),AP1250=0),L1250,0)</f>
        <v>0</v>
      </c>
      <c r="BR1250" s="991">
        <f>IF(AND(Input_Product=Elig!$C1250,Elig_MatchAll_Ct&lt;22,$BC1250=(Elig_MatchAll_Ct-1),AO1250=0),M1250,0)</f>
        <v>0</v>
      </c>
      <c r="BS1250" s="991">
        <f>IF(AND(Input_Product=Elig!$C1250,Elig_MatchAll_Ct&lt;22,$BC1250=(Elig_MatchAll_Ct-1),AQ1250=0),N1250,0)</f>
        <v>0</v>
      </c>
      <c r="BT1250" s="991">
        <f>IF(AND(Input_Product=Elig!$C1250,Elig_MatchAll_Ct&lt;22,$BC1250=(Elig_MatchAll_Ct-1),AR1250=0),O1250,0)</f>
        <v>0</v>
      </c>
      <c r="BU1250" s="991">
        <f>IF(AND(Input_Product=Elig!$C1250,Elig_MatchAll_Ct&lt;22,$BC1250=(Elig_MatchAll_Ct-1),AS1250=0),P1250,0)</f>
        <v>0</v>
      </c>
      <c r="BV1250" s="992">
        <f>IF(AND(Input_Product=Elig!$C1250,Elig_MatchAll_Ct&lt;22,$BC1250=(Elig_MatchAll_Ct-1),AT1250=0),Q1250,0)</f>
        <v>0</v>
      </c>
      <c r="BW1250" s="993">
        <f>IF(AND(Input_Product=Elig!$C1250,Elig_MatchAll_Ct&lt;22,$BC1250=(Elig_MatchAll_Ct-1),AU1250=0),R1250,0)</f>
        <v>0</v>
      </c>
      <c r="BX1250" s="994">
        <f>IF(AND(Input_Product=Elig!$C1250,Elig_MatchAll_Ct&lt;22,$BC1250=(Elig_MatchAll_Ct-1),AU1250=0),S1250,0)</f>
        <v>0</v>
      </c>
      <c r="BY1250" s="993">
        <f>IF(AND(Input_Product=Elig!$C1250,Elig_MatchAll_Ct&lt;22,$BC1250=(Elig_MatchAll_Ct-1),AV1250=0),T1250,0)</f>
        <v>0</v>
      </c>
      <c r="BZ1250" s="994">
        <f>IF(AND(Input_Product=Elig!$C1250,Elig_MatchAll_Ct&lt;22,$BC1250=(Elig_MatchAll_Ct-1),AV1250=0),U1250,0)</f>
        <v>0</v>
      </c>
      <c r="CA1250" s="993">
        <f>IF(AND(Input_Product=Elig!$C1250,Elig_MatchAll_Ct&lt;22,$BC1250=(Elig_MatchAll_Ct-1),AW1250=0),V1250,0)</f>
        <v>0</v>
      </c>
      <c r="CB1250" s="994">
        <f>IF(AND(Input_Product=Elig!$C1250,Elig_MatchAll_Ct&lt;22,$BC1250=(Elig_MatchAll_Ct-1),AW1250=0),W1250,0)</f>
        <v>0</v>
      </c>
      <c r="CC1250" s="993">
        <f>IF(AND(Input_Product=Elig!$C1250,Elig_MatchAll_Ct&lt;22,$BC1250=(Elig_MatchAll_Ct-1),AX1250=0),X1250,0)</f>
        <v>0</v>
      </c>
      <c r="CD1250" s="994">
        <f>IF(AND(Input_Product=Elig!$C1250,Elig_MatchAll_Ct&lt;22,$BC1250=(Elig_MatchAll_Ct-1),AX1250=0),Y1250,0)</f>
        <v>0</v>
      </c>
      <c r="CE1250" s="993">
        <f>IF(AND(Input_LTV&lt;=AE1250,Input_Product=Elig!$C1250,Elig_MatchAll_Ct&lt;22,$BC1250=(Elig_MatchAll_Ct-1),AY1250=0),Z1250,0)</f>
        <v>0</v>
      </c>
      <c r="CF1250" s="994">
        <f>IF(AND(Input_LTV&lt;=AE1250,Input_Product=Elig!$C1250,Elig_MatchAll_Ct&lt;22,$BC1250=(Elig_MatchAll_Ct-1),AY1250=0),AA1250,0)</f>
        <v>0</v>
      </c>
      <c r="CG1250" s="993">
        <f>IF(AND(Input_Product=Elig!$C1250,Elig_MatchAll_Ct&lt;22,$BC1250=(Elig_MatchAll_Ct-1),AZ1250=0),AB1250,0)</f>
        <v>0</v>
      </c>
      <c r="CH1250" s="994">
        <f>IF(AND(Input_Product=Elig!$C1250,Elig_MatchAll_Ct&lt;22,$BC1250=(Elig_MatchAll_Ct-1),AZ1250=0),AC1250,0)</f>
        <v>0</v>
      </c>
      <c r="CI1250" s="993">
        <f>IF(AND(Input_Product=Elig!$C1250,Elig_MatchAll_Ct&lt;22,$BC1250=(Elig_MatchAll_Ct-1),BA1250=0),AD1250,0)</f>
        <v>0</v>
      </c>
      <c r="CJ1250" s="994">
        <f>IF(AND(Input_Product=Elig!$C1250,Elig_MatchAll_Ct&lt;22,$BC1250=(Elig_MatchAll_Ct-1),BA1250=0),AE1250,0)</f>
        <v>0</v>
      </c>
    </row>
    <row r="1251" spans="2:88" ht="10.15" customHeight="1" x14ac:dyDescent="0.25">
      <c r="B1251" s="1920" t="s">
        <v>2604</v>
      </c>
      <c r="C1251" s="1353" t="str">
        <f t="shared" si="453"/>
        <v xml:space="preserve"> </v>
      </c>
      <c r="D1251" s="1354" t="s">
        <v>2218</v>
      </c>
      <c r="E1251" s="1354" t="s">
        <v>167</v>
      </c>
      <c r="F1251" s="1354" t="s">
        <v>330</v>
      </c>
      <c r="G1251" s="1355" t="s">
        <v>181</v>
      </c>
      <c r="H1251" s="1355" t="s">
        <v>136</v>
      </c>
      <c r="I1251" s="2482" t="s">
        <v>35</v>
      </c>
      <c r="J1251" s="1354" t="s">
        <v>1311</v>
      </c>
      <c r="K1251" s="1355" t="s">
        <v>3022</v>
      </c>
      <c r="L1251" s="1354" t="s">
        <v>2768</v>
      </c>
      <c r="M1251" s="1354" t="s">
        <v>2677</v>
      </c>
      <c r="N1251" s="1355" t="s">
        <v>2685</v>
      </c>
      <c r="O1251" s="1354" t="s">
        <v>2526</v>
      </c>
      <c r="P1251" s="1354" t="s">
        <v>291</v>
      </c>
      <c r="Q1251" s="1354" t="s">
        <v>294</v>
      </c>
      <c r="R1251" s="1354">
        <v>100000</v>
      </c>
      <c r="S1251" s="1354">
        <v>1000000</v>
      </c>
      <c r="T1251" s="1354">
        <v>0</v>
      </c>
      <c r="U1251" s="1354">
        <v>0</v>
      </c>
      <c r="V1251" s="1354">
        <v>0</v>
      </c>
      <c r="W1251" s="1354">
        <v>50</v>
      </c>
      <c r="X1251" s="1354">
        <v>0.8</v>
      </c>
      <c r="Y1251" s="1354">
        <v>999</v>
      </c>
      <c r="Z1251" s="2043">
        <v>720</v>
      </c>
      <c r="AA1251" s="2043">
        <v>999</v>
      </c>
      <c r="AB1251" s="2488">
        <v>0</v>
      </c>
      <c r="AC1251" s="2043">
        <v>999999</v>
      </c>
      <c r="AD1251" s="1354">
        <v>0</v>
      </c>
      <c r="AE1251" s="2485">
        <v>65</v>
      </c>
      <c r="AF1251" s="170">
        <v>0</v>
      </c>
      <c r="AG1251" s="171">
        <v>1</v>
      </c>
      <c r="AH1251" s="171">
        <v>1</v>
      </c>
      <c r="AI1251" s="171">
        <v>0</v>
      </c>
      <c r="AJ1251" s="171">
        <v>0</v>
      </c>
      <c r="AK1251" s="171">
        <v>1</v>
      </c>
      <c r="AL1251" s="171">
        <v>0</v>
      </c>
      <c r="AM1251" s="171">
        <v>1</v>
      </c>
      <c r="AN1251" s="171">
        <v>1</v>
      </c>
      <c r="AO1251" s="171">
        <v>1</v>
      </c>
      <c r="AP1251" s="171">
        <v>1</v>
      </c>
      <c r="AQ1251" s="171">
        <v>1</v>
      </c>
      <c r="AR1251" s="171">
        <v>1</v>
      </c>
      <c r="AS1251" s="171">
        <v>1</v>
      </c>
      <c r="AT1251" s="171">
        <v>1</v>
      </c>
      <c r="AU1251" s="171">
        <f t="shared" si="447"/>
        <v>1</v>
      </c>
      <c r="AV1251" s="171">
        <f t="shared" si="448"/>
        <v>0</v>
      </c>
      <c r="AW1251" s="171">
        <f t="shared" si="449"/>
        <v>1</v>
      </c>
      <c r="AX1251" s="171">
        <f t="shared" si="444"/>
        <v>0</v>
      </c>
      <c r="AY1251" s="171">
        <f t="shared" si="450"/>
        <v>1</v>
      </c>
      <c r="AZ1251" s="171">
        <f t="shared" si="451"/>
        <v>1</v>
      </c>
      <c r="BA1251" s="172">
        <f t="shared" si="452"/>
        <v>1</v>
      </c>
      <c r="BB1251" s="175">
        <f t="shared" ref="BB1251:BB1265" si="457">SUM(AF1251:BA1251)</f>
        <v>16</v>
      </c>
      <c r="BC1251" s="176">
        <f t="shared" ref="BC1251:BC1265" si="458">SUM(AF1251:AZ1251)</f>
        <v>15</v>
      </c>
      <c r="BD1251" s="176">
        <f t="shared" ref="BD1251:BD1265" si="459">SUM(AG1251:BA1251)</f>
        <v>16</v>
      </c>
      <c r="BE1251" s="240" t="str">
        <f t="shared" ref="BE1251:BE1265" si="460">IF(BD1251=21,C1251,"")</f>
        <v/>
      </c>
      <c r="BF1251" s="990"/>
      <c r="BG1251" s="990"/>
      <c r="BH1251" s="991">
        <f>IF(AND(Input_Product=Elig!$C1251,Elig_MatchAll_Ct&lt;22,$BC1251=(Elig_MatchAll_Ct-1),AF1251=0),C1251,0)</f>
        <v>0</v>
      </c>
      <c r="BI1251" s="991">
        <f>IF(AND(Input_Product=Elig!$C1251,Elig_MatchAll_Ct&lt;22,$BC1251=(Elig_MatchAll_Ct-1),AG1251=0),D1251,0)</f>
        <v>0</v>
      </c>
      <c r="BJ1251" s="991">
        <f>IF(AND(Input_Product=Elig!$C1251,Elig_MatchAll_Ct&lt;22,$BC1251=(Elig_MatchAll_Ct-1),AH1251=0),E1251,0)</f>
        <v>0</v>
      </c>
      <c r="BK1251" s="991">
        <f>IF(AND(Input_Product=Elig!$C1251,Elig_MatchAll_Ct&lt;22,$BC1251=(Elig_MatchAll_Ct-1),AI1251=0),F1251,0)</f>
        <v>0</v>
      </c>
      <c r="BL1251" s="991">
        <f>IF(AND(Input_Product=Elig!$C1251,Elig_MatchAll_Ct&lt;22,$BC1251=(Elig_MatchAll_Ct-1),AJ1251=0),G1251,0)</f>
        <v>0</v>
      </c>
      <c r="BM1251" s="991">
        <f>IF(AND(Input_Product=Elig!$C1251,Elig_MatchAll_Ct&lt;22,$BC1251=(Elig_MatchAll_Ct-1),AK1251=0),H1251,0)</f>
        <v>0</v>
      </c>
      <c r="BN1251" s="991">
        <f>IF(AND(Input_Product=Elig!$C1251,Elig_MatchAll_Ct&lt;22,$BC1251=(Elig_MatchAll_Ct-1),AL1251=0),I1251,0)</f>
        <v>0</v>
      </c>
      <c r="BO1251" s="991">
        <f>IF(AND(Input_Product=Elig!$C1251,Elig_MatchAll_Ct&lt;22,$BC1251=(Elig_MatchAll_Ct-1),AM1251=0),J1251,0)</f>
        <v>0</v>
      </c>
      <c r="BP1251" s="991">
        <f>IF(AND(Input_Product=Elig!$C1251,Elig_MatchAll_Ct&lt;22,$BC1251=(Elig_MatchAll_Ct-1),AN1251=0),K1251,0)</f>
        <v>0</v>
      </c>
      <c r="BQ1251" s="991">
        <f>IF(AND(Input_Product=Elig!$C1251,Elig_MatchAll_Ct&lt;22,$BC1251=(Elig_MatchAll_Ct-1),AP1251=0),L1251,0)</f>
        <v>0</v>
      </c>
      <c r="BR1251" s="991">
        <f>IF(AND(Input_Product=Elig!$C1251,Elig_MatchAll_Ct&lt;22,$BC1251=(Elig_MatchAll_Ct-1),AO1251=0),M1251,0)</f>
        <v>0</v>
      </c>
      <c r="BS1251" s="991">
        <f>IF(AND(Input_Product=Elig!$C1251,Elig_MatchAll_Ct&lt;22,$BC1251=(Elig_MatchAll_Ct-1),AQ1251=0),N1251,0)</f>
        <v>0</v>
      </c>
      <c r="BT1251" s="991">
        <f>IF(AND(Input_Product=Elig!$C1251,Elig_MatchAll_Ct&lt;22,$BC1251=(Elig_MatchAll_Ct-1),AR1251=0),O1251,0)</f>
        <v>0</v>
      </c>
      <c r="BU1251" s="991">
        <f>IF(AND(Input_Product=Elig!$C1251,Elig_MatchAll_Ct&lt;22,$BC1251=(Elig_MatchAll_Ct-1),AS1251=0),P1251,0)</f>
        <v>0</v>
      </c>
      <c r="BV1251" s="992">
        <f>IF(AND(Input_Product=Elig!$C1251,Elig_MatchAll_Ct&lt;22,$BC1251=(Elig_MatchAll_Ct-1),AT1251=0),Q1251,0)</f>
        <v>0</v>
      </c>
      <c r="BW1251" s="993">
        <f>IF(AND(Input_Product=Elig!$C1251,Elig_MatchAll_Ct&lt;22,$BC1251=(Elig_MatchAll_Ct-1),AU1251=0),R1251,0)</f>
        <v>0</v>
      </c>
      <c r="BX1251" s="994">
        <f>IF(AND(Input_Product=Elig!$C1251,Elig_MatchAll_Ct&lt;22,$BC1251=(Elig_MatchAll_Ct-1),AU1251=0),S1251,0)</f>
        <v>0</v>
      </c>
      <c r="BY1251" s="993">
        <f>IF(AND(Input_Product=Elig!$C1251,Elig_MatchAll_Ct&lt;22,$BC1251=(Elig_MatchAll_Ct-1),AV1251=0),T1251,0)</f>
        <v>0</v>
      </c>
      <c r="BZ1251" s="994">
        <f>IF(AND(Input_Product=Elig!$C1251,Elig_MatchAll_Ct&lt;22,$BC1251=(Elig_MatchAll_Ct-1),AV1251=0),U1251,0)</f>
        <v>0</v>
      </c>
      <c r="CA1251" s="993">
        <f>IF(AND(Input_Product=Elig!$C1251,Elig_MatchAll_Ct&lt;22,$BC1251=(Elig_MatchAll_Ct-1),AW1251=0),V1251,0)</f>
        <v>0</v>
      </c>
      <c r="CB1251" s="994">
        <f>IF(AND(Input_Product=Elig!$C1251,Elig_MatchAll_Ct&lt;22,$BC1251=(Elig_MatchAll_Ct-1),AW1251=0),W1251,0)</f>
        <v>0</v>
      </c>
      <c r="CC1251" s="993">
        <f>IF(AND(Input_Product=Elig!$C1251,Elig_MatchAll_Ct&lt;22,$BC1251=(Elig_MatchAll_Ct-1),AX1251=0),X1251,0)</f>
        <v>0</v>
      </c>
      <c r="CD1251" s="994">
        <f>IF(AND(Input_Product=Elig!$C1251,Elig_MatchAll_Ct&lt;22,$BC1251=(Elig_MatchAll_Ct-1),AX1251=0),Y1251,0)</f>
        <v>0</v>
      </c>
      <c r="CE1251" s="993">
        <f>IF(AND(Input_LTV&lt;=AE1251,Input_Product=Elig!$C1251,Elig_MatchAll_Ct&lt;22,$BC1251=(Elig_MatchAll_Ct-1),AY1251=0),Z1251,0)</f>
        <v>0</v>
      </c>
      <c r="CF1251" s="994">
        <f>IF(AND(Input_LTV&lt;=AE1251,Input_Product=Elig!$C1251,Elig_MatchAll_Ct&lt;22,$BC1251=(Elig_MatchAll_Ct-1),AY1251=0),AA1251,0)</f>
        <v>0</v>
      </c>
      <c r="CG1251" s="993">
        <f>IF(AND(Input_Product=Elig!$C1251,Elig_MatchAll_Ct&lt;22,$BC1251=(Elig_MatchAll_Ct-1),AZ1251=0),AB1251,0)</f>
        <v>0</v>
      </c>
      <c r="CH1251" s="994">
        <f>IF(AND(Input_Product=Elig!$C1251,Elig_MatchAll_Ct&lt;22,$BC1251=(Elig_MatchAll_Ct-1),AZ1251=0),AC1251,0)</f>
        <v>0</v>
      </c>
      <c r="CI1251" s="993">
        <f>IF(AND(Input_Product=Elig!$C1251,Elig_MatchAll_Ct&lt;22,$BC1251=(Elig_MatchAll_Ct-1),BA1251=0),AD1251,0)</f>
        <v>0</v>
      </c>
      <c r="CJ1251" s="994">
        <f>IF(AND(Input_Product=Elig!$C1251,Elig_MatchAll_Ct&lt;22,$BC1251=(Elig_MatchAll_Ct-1),BA1251=0),AE1251,0)</f>
        <v>0</v>
      </c>
    </row>
    <row r="1252" spans="2:88" ht="10.15" customHeight="1" x14ac:dyDescent="0.25">
      <c r="B1252" s="1920" t="s">
        <v>2605</v>
      </c>
      <c r="C1252" s="1359" t="str">
        <f t="shared" si="453"/>
        <v xml:space="preserve"> </v>
      </c>
      <c r="D1252" s="1360" t="s">
        <v>2218</v>
      </c>
      <c r="E1252" s="1360" t="s">
        <v>167</v>
      </c>
      <c r="F1252" s="1360" t="s">
        <v>330</v>
      </c>
      <c r="G1252" s="1361" t="s">
        <v>181</v>
      </c>
      <c r="H1252" s="1361" t="s">
        <v>136</v>
      </c>
      <c r="I1252" s="2483" t="s">
        <v>35</v>
      </c>
      <c r="J1252" s="1360" t="s">
        <v>1311</v>
      </c>
      <c r="K1252" s="1361" t="s">
        <v>3022</v>
      </c>
      <c r="L1252" s="1360" t="s">
        <v>2768</v>
      </c>
      <c r="M1252" s="1360" t="s">
        <v>2677</v>
      </c>
      <c r="N1252" s="1361" t="s">
        <v>2685</v>
      </c>
      <c r="O1252" s="1360" t="s">
        <v>2526</v>
      </c>
      <c r="P1252" s="1360" t="s">
        <v>291</v>
      </c>
      <c r="Q1252" s="1360" t="s">
        <v>294</v>
      </c>
      <c r="R1252" s="1360">
        <v>100000</v>
      </c>
      <c r="S1252" s="1360">
        <v>1000000</v>
      </c>
      <c r="T1252" s="1360">
        <v>0</v>
      </c>
      <c r="U1252" s="1360">
        <v>0</v>
      </c>
      <c r="V1252" s="1360">
        <v>0</v>
      </c>
      <c r="W1252" s="1360">
        <v>50</v>
      </c>
      <c r="X1252" s="1360">
        <v>0.8</v>
      </c>
      <c r="Y1252" s="1360">
        <v>999</v>
      </c>
      <c r="Z1252" s="2045">
        <v>700</v>
      </c>
      <c r="AA1252" s="2045">
        <v>719</v>
      </c>
      <c r="AB1252" s="2489">
        <v>0</v>
      </c>
      <c r="AC1252" s="2045">
        <v>999999</v>
      </c>
      <c r="AD1252" s="1360">
        <v>0</v>
      </c>
      <c r="AE1252" s="2486">
        <v>65</v>
      </c>
      <c r="AF1252" s="170">
        <v>0</v>
      </c>
      <c r="AG1252" s="171">
        <v>1</v>
      </c>
      <c r="AH1252" s="171">
        <v>1</v>
      </c>
      <c r="AI1252" s="171">
        <v>0</v>
      </c>
      <c r="AJ1252" s="171">
        <v>0</v>
      </c>
      <c r="AK1252" s="171">
        <v>1</v>
      </c>
      <c r="AL1252" s="171">
        <v>0</v>
      </c>
      <c r="AM1252" s="171">
        <v>1</v>
      </c>
      <c r="AN1252" s="171">
        <v>1</v>
      </c>
      <c r="AO1252" s="171">
        <v>1</v>
      </c>
      <c r="AP1252" s="171">
        <v>1</v>
      </c>
      <c r="AQ1252" s="171">
        <v>1</v>
      </c>
      <c r="AR1252" s="171">
        <v>1</v>
      </c>
      <c r="AS1252" s="171">
        <v>1</v>
      </c>
      <c r="AT1252" s="171">
        <v>1</v>
      </c>
      <c r="AU1252" s="171">
        <f t="shared" si="447"/>
        <v>1</v>
      </c>
      <c r="AV1252" s="171">
        <f t="shared" si="448"/>
        <v>0</v>
      </c>
      <c r="AW1252" s="171">
        <f t="shared" si="449"/>
        <v>1</v>
      </c>
      <c r="AX1252" s="171">
        <f t="shared" si="444"/>
        <v>0</v>
      </c>
      <c r="AY1252" s="171">
        <f t="shared" si="450"/>
        <v>0</v>
      </c>
      <c r="AZ1252" s="171">
        <f t="shared" si="451"/>
        <v>1</v>
      </c>
      <c r="BA1252" s="172">
        <f t="shared" si="452"/>
        <v>1</v>
      </c>
      <c r="BB1252" s="175">
        <f t="shared" si="457"/>
        <v>15</v>
      </c>
      <c r="BC1252" s="176">
        <f t="shared" si="458"/>
        <v>14</v>
      </c>
      <c r="BD1252" s="176">
        <f t="shared" si="459"/>
        <v>15</v>
      </c>
      <c r="BE1252" s="240" t="str">
        <f t="shared" si="460"/>
        <v/>
      </c>
      <c r="BF1252" s="990"/>
      <c r="BG1252" s="990"/>
      <c r="BH1252" s="991">
        <f>IF(AND(Input_Product=Elig!$C1252,Elig_MatchAll_Ct&lt;22,$BC1252=(Elig_MatchAll_Ct-1),AF1252=0),C1252,0)</f>
        <v>0</v>
      </c>
      <c r="BI1252" s="991">
        <f>IF(AND(Input_Product=Elig!$C1252,Elig_MatchAll_Ct&lt;22,$BC1252=(Elig_MatchAll_Ct-1),AG1252=0),D1252,0)</f>
        <v>0</v>
      </c>
      <c r="BJ1252" s="991">
        <f>IF(AND(Input_Product=Elig!$C1252,Elig_MatchAll_Ct&lt;22,$BC1252=(Elig_MatchAll_Ct-1),AH1252=0),E1252,0)</f>
        <v>0</v>
      </c>
      <c r="BK1252" s="991">
        <f>IF(AND(Input_Product=Elig!$C1252,Elig_MatchAll_Ct&lt;22,$BC1252=(Elig_MatchAll_Ct-1),AI1252=0),F1252,0)</f>
        <v>0</v>
      </c>
      <c r="BL1252" s="991">
        <f>IF(AND(Input_Product=Elig!$C1252,Elig_MatchAll_Ct&lt;22,$BC1252=(Elig_MatchAll_Ct-1),AJ1252=0),G1252,0)</f>
        <v>0</v>
      </c>
      <c r="BM1252" s="991">
        <f>IF(AND(Input_Product=Elig!$C1252,Elig_MatchAll_Ct&lt;22,$BC1252=(Elig_MatchAll_Ct-1),AK1252=0),H1252,0)</f>
        <v>0</v>
      </c>
      <c r="BN1252" s="991">
        <f>IF(AND(Input_Product=Elig!$C1252,Elig_MatchAll_Ct&lt;22,$BC1252=(Elig_MatchAll_Ct-1),AL1252=0),I1252,0)</f>
        <v>0</v>
      </c>
      <c r="BO1252" s="991">
        <f>IF(AND(Input_Product=Elig!$C1252,Elig_MatchAll_Ct&lt;22,$BC1252=(Elig_MatchAll_Ct-1),AM1252=0),J1252,0)</f>
        <v>0</v>
      </c>
      <c r="BP1252" s="991">
        <f>IF(AND(Input_Product=Elig!$C1252,Elig_MatchAll_Ct&lt;22,$BC1252=(Elig_MatchAll_Ct-1),AN1252=0),K1252,0)</f>
        <v>0</v>
      </c>
      <c r="BQ1252" s="991">
        <f>IF(AND(Input_Product=Elig!$C1252,Elig_MatchAll_Ct&lt;22,$BC1252=(Elig_MatchAll_Ct-1),AP1252=0),L1252,0)</f>
        <v>0</v>
      </c>
      <c r="BR1252" s="991">
        <f>IF(AND(Input_Product=Elig!$C1252,Elig_MatchAll_Ct&lt;22,$BC1252=(Elig_MatchAll_Ct-1),AO1252=0),M1252,0)</f>
        <v>0</v>
      </c>
      <c r="BS1252" s="991">
        <f>IF(AND(Input_Product=Elig!$C1252,Elig_MatchAll_Ct&lt;22,$BC1252=(Elig_MatchAll_Ct-1),AQ1252=0),N1252,0)</f>
        <v>0</v>
      </c>
      <c r="BT1252" s="991">
        <f>IF(AND(Input_Product=Elig!$C1252,Elig_MatchAll_Ct&lt;22,$BC1252=(Elig_MatchAll_Ct-1),AR1252=0),O1252,0)</f>
        <v>0</v>
      </c>
      <c r="BU1252" s="991">
        <f>IF(AND(Input_Product=Elig!$C1252,Elig_MatchAll_Ct&lt;22,$BC1252=(Elig_MatchAll_Ct-1),AS1252=0),P1252,0)</f>
        <v>0</v>
      </c>
      <c r="BV1252" s="992">
        <f>IF(AND(Input_Product=Elig!$C1252,Elig_MatchAll_Ct&lt;22,$BC1252=(Elig_MatchAll_Ct-1),AT1252=0),Q1252,0)</f>
        <v>0</v>
      </c>
      <c r="BW1252" s="993">
        <f>IF(AND(Input_Product=Elig!$C1252,Elig_MatchAll_Ct&lt;22,$BC1252=(Elig_MatchAll_Ct-1),AU1252=0),R1252,0)</f>
        <v>0</v>
      </c>
      <c r="BX1252" s="994">
        <f>IF(AND(Input_Product=Elig!$C1252,Elig_MatchAll_Ct&lt;22,$BC1252=(Elig_MatchAll_Ct-1),AU1252=0),S1252,0)</f>
        <v>0</v>
      </c>
      <c r="BY1252" s="993">
        <f>IF(AND(Input_Product=Elig!$C1252,Elig_MatchAll_Ct&lt;22,$BC1252=(Elig_MatchAll_Ct-1),AV1252=0),T1252,0)</f>
        <v>0</v>
      </c>
      <c r="BZ1252" s="994">
        <f>IF(AND(Input_Product=Elig!$C1252,Elig_MatchAll_Ct&lt;22,$BC1252=(Elig_MatchAll_Ct-1),AV1252=0),U1252,0)</f>
        <v>0</v>
      </c>
      <c r="CA1252" s="993">
        <f>IF(AND(Input_Product=Elig!$C1252,Elig_MatchAll_Ct&lt;22,$BC1252=(Elig_MatchAll_Ct-1),AW1252=0),V1252,0)</f>
        <v>0</v>
      </c>
      <c r="CB1252" s="994">
        <f>IF(AND(Input_Product=Elig!$C1252,Elig_MatchAll_Ct&lt;22,$BC1252=(Elig_MatchAll_Ct-1),AW1252=0),W1252,0)</f>
        <v>0</v>
      </c>
      <c r="CC1252" s="993">
        <f>IF(AND(Input_Product=Elig!$C1252,Elig_MatchAll_Ct&lt;22,$BC1252=(Elig_MatchAll_Ct-1),AX1252=0),X1252,0)</f>
        <v>0</v>
      </c>
      <c r="CD1252" s="994">
        <f>IF(AND(Input_Product=Elig!$C1252,Elig_MatchAll_Ct&lt;22,$BC1252=(Elig_MatchAll_Ct-1),AX1252=0),Y1252,0)</f>
        <v>0</v>
      </c>
      <c r="CE1252" s="993">
        <f>IF(AND(Input_LTV&lt;=AE1252,Input_Product=Elig!$C1252,Elig_MatchAll_Ct&lt;22,$BC1252=(Elig_MatchAll_Ct-1),AY1252=0),Z1252,0)</f>
        <v>0</v>
      </c>
      <c r="CF1252" s="994">
        <f>IF(AND(Input_LTV&lt;=AE1252,Input_Product=Elig!$C1252,Elig_MatchAll_Ct&lt;22,$BC1252=(Elig_MatchAll_Ct-1),AY1252=0),AA1252,0)</f>
        <v>0</v>
      </c>
      <c r="CG1252" s="993">
        <f>IF(AND(Input_Product=Elig!$C1252,Elig_MatchAll_Ct&lt;22,$BC1252=(Elig_MatchAll_Ct-1),AZ1252=0),AB1252,0)</f>
        <v>0</v>
      </c>
      <c r="CH1252" s="994">
        <f>IF(AND(Input_Product=Elig!$C1252,Elig_MatchAll_Ct&lt;22,$BC1252=(Elig_MatchAll_Ct-1),AZ1252=0),AC1252,0)</f>
        <v>0</v>
      </c>
      <c r="CI1252" s="993">
        <f>IF(AND(Input_Product=Elig!$C1252,Elig_MatchAll_Ct&lt;22,$BC1252=(Elig_MatchAll_Ct-1),BA1252=0),AD1252,0)</f>
        <v>0</v>
      </c>
      <c r="CJ1252" s="994">
        <f>IF(AND(Input_Product=Elig!$C1252,Elig_MatchAll_Ct&lt;22,$BC1252=(Elig_MatchAll_Ct-1),BA1252=0),AE1252,0)</f>
        <v>0</v>
      </c>
    </row>
    <row r="1253" spans="2:88" ht="10.15" customHeight="1" x14ac:dyDescent="0.25">
      <c r="B1253" s="1920" t="s">
        <v>2606</v>
      </c>
      <c r="C1253" s="1356" t="str">
        <f t="shared" si="453"/>
        <v xml:space="preserve"> </v>
      </c>
      <c r="D1253" s="1357" t="s">
        <v>2218</v>
      </c>
      <c r="E1253" s="1357" t="s">
        <v>167</v>
      </c>
      <c r="F1253" s="1357" t="s">
        <v>330</v>
      </c>
      <c r="G1253" s="1358" t="s">
        <v>181</v>
      </c>
      <c r="H1253" s="1358" t="s">
        <v>136</v>
      </c>
      <c r="I1253" s="2484" t="s">
        <v>35</v>
      </c>
      <c r="J1253" s="1357" t="s">
        <v>1311</v>
      </c>
      <c r="K1253" s="1358" t="s">
        <v>3022</v>
      </c>
      <c r="L1253" s="1357" t="s">
        <v>2768</v>
      </c>
      <c r="M1253" s="1357" t="s">
        <v>2677</v>
      </c>
      <c r="N1253" s="1358" t="s">
        <v>2685</v>
      </c>
      <c r="O1253" s="1357" t="s">
        <v>2526</v>
      </c>
      <c r="P1253" s="1357" t="s">
        <v>291</v>
      </c>
      <c r="Q1253" s="1357" t="s">
        <v>294</v>
      </c>
      <c r="R1253" s="1357">
        <v>100000</v>
      </c>
      <c r="S1253" s="1357">
        <v>1000000</v>
      </c>
      <c r="T1253" s="1357">
        <v>0</v>
      </c>
      <c r="U1253" s="1357">
        <v>0</v>
      </c>
      <c r="V1253" s="1357">
        <v>0</v>
      </c>
      <c r="W1253" s="1357">
        <v>50</v>
      </c>
      <c r="X1253" s="1357">
        <v>0.8</v>
      </c>
      <c r="Y1253" s="1357">
        <v>999</v>
      </c>
      <c r="Z1253" s="2047">
        <v>660</v>
      </c>
      <c r="AA1253" s="2047">
        <v>660</v>
      </c>
      <c r="AB1253" s="2490">
        <v>0</v>
      </c>
      <c r="AC1253" s="2047">
        <v>999999</v>
      </c>
      <c r="AD1253" s="1357">
        <v>0</v>
      </c>
      <c r="AE1253" s="2487">
        <v>65</v>
      </c>
      <c r="AF1253" s="170">
        <v>0</v>
      </c>
      <c r="AG1253" s="171">
        <v>1</v>
      </c>
      <c r="AH1253" s="171">
        <v>1</v>
      </c>
      <c r="AI1253" s="171">
        <v>0</v>
      </c>
      <c r="AJ1253" s="171">
        <v>0</v>
      </c>
      <c r="AK1253" s="171">
        <v>1</v>
      </c>
      <c r="AL1253" s="171">
        <v>0</v>
      </c>
      <c r="AM1253" s="171">
        <v>1</v>
      </c>
      <c r="AN1253" s="171">
        <v>1</v>
      </c>
      <c r="AO1253" s="171">
        <v>1</v>
      </c>
      <c r="AP1253" s="171">
        <v>1</v>
      </c>
      <c r="AQ1253" s="171">
        <v>1</v>
      </c>
      <c r="AR1253" s="171">
        <v>1</v>
      </c>
      <c r="AS1253" s="171">
        <v>1</v>
      </c>
      <c r="AT1253" s="171">
        <v>1</v>
      </c>
      <c r="AU1253" s="171">
        <f t="shared" si="447"/>
        <v>1</v>
      </c>
      <c r="AV1253" s="171">
        <f t="shared" si="448"/>
        <v>0</v>
      </c>
      <c r="AW1253" s="171">
        <f t="shared" si="449"/>
        <v>1</v>
      </c>
      <c r="AX1253" s="171">
        <f t="shared" si="444"/>
        <v>0</v>
      </c>
      <c r="AY1253" s="171">
        <f t="shared" si="450"/>
        <v>0</v>
      </c>
      <c r="AZ1253" s="171">
        <f t="shared" si="451"/>
        <v>1</v>
      </c>
      <c r="BA1253" s="172">
        <f t="shared" si="452"/>
        <v>1</v>
      </c>
      <c r="BB1253" s="175">
        <f t="shared" si="457"/>
        <v>15</v>
      </c>
      <c r="BC1253" s="176">
        <f t="shared" si="458"/>
        <v>14</v>
      </c>
      <c r="BD1253" s="176">
        <f t="shared" si="459"/>
        <v>15</v>
      </c>
      <c r="BE1253" s="240" t="str">
        <f t="shared" si="460"/>
        <v/>
      </c>
      <c r="BF1253" s="990"/>
      <c r="BG1253" s="990"/>
      <c r="BH1253" s="991">
        <f>IF(AND(Input_Product=Elig!$C1253,Elig_MatchAll_Ct&lt;22,$BC1253=(Elig_MatchAll_Ct-1),AF1253=0),C1253,0)</f>
        <v>0</v>
      </c>
      <c r="BI1253" s="991">
        <f>IF(AND(Input_Product=Elig!$C1253,Elig_MatchAll_Ct&lt;22,$BC1253=(Elig_MatchAll_Ct-1),AG1253=0),D1253,0)</f>
        <v>0</v>
      </c>
      <c r="BJ1253" s="991">
        <f>IF(AND(Input_Product=Elig!$C1253,Elig_MatchAll_Ct&lt;22,$BC1253=(Elig_MatchAll_Ct-1),AH1253=0),E1253,0)</f>
        <v>0</v>
      </c>
      <c r="BK1253" s="991">
        <f>IF(AND(Input_Product=Elig!$C1253,Elig_MatchAll_Ct&lt;22,$BC1253=(Elig_MatchAll_Ct-1),AI1253=0),F1253,0)</f>
        <v>0</v>
      </c>
      <c r="BL1253" s="991">
        <f>IF(AND(Input_Product=Elig!$C1253,Elig_MatchAll_Ct&lt;22,$BC1253=(Elig_MatchAll_Ct-1),AJ1253=0),G1253,0)</f>
        <v>0</v>
      </c>
      <c r="BM1253" s="991">
        <f>IF(AND(Input_Product=Elig!$C1253,Elig_MatchAll_Ct&lt;22,$BC1253=(Elig_MatchAll_Ct-1),AK1253=0),H1253,0)</f>
        <v>0</v>
      </c>
      <c r="BN1253" s="991">
        <f>IF(AND(Input_Product=Elig!$C1253,Elig_MatchAll_Ct&lt;22,$BC1253=(Elig_MatchAll_Ct-1),AL1253=0),I1253,0)</f>
        <v>0</v>
      </c>
      <c r="BO1253" s="991">
        <f>IF(AND(Input_Product=Elig!$C1253,Elig_MatchAll_Ct&lt;22,$BC1253=(Elig_MatchAll_Ct-1),AM1253=0),J1253,0)</f>
        <v>0</v>
      </c>
      <c r="BP1253" s="991">
        <f>IF(AND(Input_Product=Elig!$C1253,Elig_MatchAll_Ct&lt;22,$BC1253=(Elig_MatchAll_Ct-1),AN1253=0),K1253,0)</f>
        <v>0</v>
      </c>
      <c r="BQ1253" s="991">
        <f>IF(AND(Input_Product=Elig!$C1253,Elig_MatchAll_Ct&lt;22,$BC1253=(Elig_MatchAll_Ct-1),AP1253=0),L1253,0)</f>
        <v>0</v>
      </c>
      <c r="BR1253" s="991">
        <f>IF(AND(Input_Product=Elig!$C1253,Elig_MatchAll_Ct&lt;22,$BC1253=(Elig_MatchAll_Ct-1),AO1253=0),M1253,0)</f>
        <v>0</v>
      </c>
      <c r="BS1253" s="991">
        <f>IF(AND(Input_Product=Elig!$C1253,Elig_MatchAll_Ct&lt;22,$BC1253=(Elig_MatchAll_Ct-1),AQ1253=0),N1253,0)</f>
        <v>0</v>
      </c>
      <c r="BT1253" s="991">
        <f>IF(AND(Input_Product=Elig!$C1253,Elig_MatchAll_Ct&lt;22,$BC1253=(Elig_MatchAll_Ct-1),AR1253=0),O1253,0)</f>
        <v>0</v>
      </c>
      <c r="BU1253" s="991">
        <f>IF(AND(Input_Product=Elig!$C1253,Elig_MatchAll_Ct&lt;22,$BC1253=(Elig_MatchAll_Ct-1),AS1253=0),P1253,0)</f>
        <v>0</v>
      </c>
      <c r="BV1253" s="992">
        <f>IF(AND(Input_Product=Elig!$C1253,Elig_MatchAll_Ct&lt;22,$BC1253=(Elig_MatchAll_Ct-1),AT1253=0),Q1253,0)</f>
        <v>0</v>
      </c>
      <c r="BW1253" s="993">
        <f>IF(AND(Input_Product=Elig!$C1253,Elig_MatchAll_Ct&lt;22,$BC1253=(Elig_MatchAll_Ct-1),AU1253=0),R1253,0)</f>
        <v>0</v>
      </c>
      <c r="BX1253" s="994">
        <f>IF(AND(Input_Product=Elig!$C1253,Elig_MatchAll_Ct&lt;22,$BC1253=(Elig_MatchAll_Ct-1),AU1253=0),S1253,0)</f>
        <v>0</v>
      </c>
      <c r="BY1253" s="993">
        <f>IF(AND(Input_Product=Elig!$C1253,Elig_MatchAll_Ct&lt;22,$BC1253=(Elig_MatchAll_Ct-1),AV1253=0),T1253,0)</f>
        <v>0</v>
      </c>
      <c r="BZ1253" s="994">
        <f>IF(AND(Input_Product=Elig!$C1253,Elig_MatchAll_Ct&lt;22,$BC1253=(Elig_MatchAll_Ct-1),AV1253=0),U1253,0)</f>
        <v>0</v>
      </c>
      <c r="CA1253" s="993">
        <f>IF(AND(Input_Product=Elig!$C1253,Elig_MatchAll_Ct&lt;22,$BC1253=(Elig_MatchAll_Ct-1),AW1253=0),V1253,0)</f>
        <v>0</v>
      </c>
      <c r="CB1253" s="994">
        <f>IF(AND(Input_Product=Elig!$C1253,Elig_MatchAll_Ct&lt;22,$BC1253=(Elig_MatchAll_Ct-1),AW1253=0),W1253,0)</f>
        <v>0</v>
      </c>
      <c r="CC1253" s="993">
        <f>IF(AND(Input_Product=Elig!$C1253,Elig_MatchAll_Ct&lt;22,$BC1253=(Elig_MatchAll_Ct-1),AX1253=0),X1253,0)</f>
        <v>0</v>
      </c>
      <c r="CD1253" s="994">
        <f>IF(AND(Input_Product=Elig!$C1253,Elig_MatchAll_Ct&lt;22,$BC1253=(Elig_MatchAll_Ct-1),AX1253=0),Y1253,0)</f>
        <v>0</v>
      </c>
      <c r="CE1253" s="993">
        <f>IF(AND(Input_LTV&lt;=AE1253,Input_Product=Elig!$C1253,Elig_MatchAll_Ct&lt;22,$BC1253=(Elig_MatchAll_Ct-1),AY1253=0),Z1253,0)</f>
        <v>0</v>
      </c>
      <c r="CF1253" s="994">
        <f>IF(AND(Input_LTV&lt;=AE1253,Input_Product=Elig!$C1253,Elig_MatchAll_Ct&lt;22,$BC1253=(Elig_MatchAll_Ct-1),AY1253=0),AA1253,0)</f>
        <v>0</v>
      </c>
      <c r="CG1253" s="993">
        <f>IF(AND(Input_Product=Elig!$C1253,Elig_MatchAll_Ct&lt;22,$BC1253=(Elig_MatchAll_Ct-1),AZ1253=0),AB1253,0)</f>
        <v>0</v>
      </c>
      <c r="CH1253" s="994">
        <f>IF(AND(Input_Product=Elig!$C1253,Elig_MatchAll_Ct&lt;22,$BC1253=(Elig_MatchAll_Ct-1),AZ1253=0),AC1253,0)</f>
        <v>0</v>
      </c>
      <c r="CI1253" s="993">
        <f>IF(AND(Input_Product=Elig!$C1253,Elig_MatchAll_Ct&lt;22,$BC1253=(Elig_MatchAll_Ct-1),BA1253=0),AD1253,0)</f>
        <v>0</v>
      </c>
      <c r="CJ1253" s="994">
        <f>IF(AND(Input_Product=Elig!$C1253,Elig_MatchAll_Ct&lt;22,$BC1253=(Elig_MatchAll_Ct-1),BA1253=0),AE1253,0)</f>
        <v>0</v>
      </c>
    </row>
    <row r="1254" spans="2:88" ht="10.15" customHeight="1" x14ac:dyDescent="0.25">
      <c r="B1254" s="1920" t="s">
        <v>2607</v>
      </c>
      <c r="C1254" s="1353" t="str">
        <f t="shared" si="453"/>
        <v xml:space="preserve"> </v>
      </c>
      <c r="D1254" s="1354" t="s">
        <v>2218</v>
      </c>
      <c r="E1254" s="1354" t="s">
        <v>167</v>
      </c>
      <c r="F1254" s="1354" t="s">
        <v>330</v>
      </c>
      <c r="G1254" s="1355" t="s">
        <v>181</v>
      </c>
      <c r="H1254" s="1355" t="s">
        <v>136</v>
      </c>
      <c r="I1254" s="2482" t="s">
        <v>35</v>
      </c>
      <c r="J1254" s="1354" t="s">
        <v>1311</v>
      </c>
      <c r="K1254" s="1355" t="s">
        <v>3022</v>
      </c>
      <c r="L1254" s="1354" t="s">
        <v>2768</v>
      </c>
      <c r="M1254" s="1354" t="s">
        <v>2677</v>
      </c>
      <c r="N1254" s="1355" t="s">
        <v>2685</v>
      </c>
      <c r="O1254" s="1354" t="s">
        <v>2526</v>
      </c>
      <c r="P1254" s="1354" t="s">
        <v>291</v>
      </c>
      <c r="Q1254" s="1354" t="s">
        <v>294</v>
      </c>
      <c r="R1254" s="1354">
        <v>1000000.01</v>
      </c>
      <c r="S1254" s="1354">
        <v>1500000</v>
      </c>
      <c r="T1254" s="1354">
        <v>0</v>
      </c>
      <c r="U1254" s="1354">
        <v>0</v>
      </c>
      <c r="V1254" s="1354">
        <v>0</v>
      </c>
      <c r="W1254" s="1354">
        <v>50</v>
      </c>
      <c r="X1254" s="1354">
        <v>0.8</v>
      </c>
      <c r="Y1254" s="1354">
        <v>999</v>
      </c>
      <c r="Z1254" s="2043">
        <v>720</v>
      </c>
      <c r="AA1254" s="2043">
        <v>999</v>
      </c>
      <c r="AB1254" s="2488">
        <v>0</v>
      </c>
      <c r="AC1254" s="2043">
        <v>999999</v>
      </c>
      <c r="AD1254" s="1354">
        <v>0</v>
      </c>
      <c r="AE1254" s="2485">
        <v>65</v>
      </c>
      <c r="AF1254" s="170">
        <v>0</v>
      </c>
      <c r="AG1254" s="171">
        <v>1</v>
      </c>
      <c r="AH1254" s="171">
        <v>1</v>
      </c>
      <c r="AI1254" s="171">
        <v>0</v>
      </c>
      <c r="AJ1254" s="171">
        <v>0</v>
      </c>
      <c r="AK1254" s="171">
        <v>1</v>
      </c>
      <c r="AL1254" s="171">
        <v>0</v>
      </c>
      <c r="AM1254" s="171">
        <v>1</v>
      </c>
      <c r="AN1254" s="171">
        <v>1</v>
      </c>
      <c r="AO1254" s="171">
        <v>1</v>
      </c>
      <c r="AP1254" s="171">
        <v>1</v>
      </c>
      <c r="AQ1254" s="171">
        <v>1</v>
      </c>
      <c r="AR1254" s="171">
        <v>1</v>
      </c>
      <c r="AS1254" s="171">
        <v>1</v>
      </c>
      <c r="AT1254" s="171">
        <v>1</v>
      </c>
      <c r="AU1254" s="171">
        <f t="shared" si="447"/>
        <v>0</v>
      </c>
      <c r="AV1254" s="171">
        <f t="shared" si="448"/>
        <v>0</v>
      </c>
      <c r="AW1254" s="171">
        <f t="shared" si="449"/>
        <v>1</v>
      </c>
      <c r="AX1254" s="171">
        <f t="shared" si="444"/>
        <v>0</v>
      </c>
      <c r="AY1254" s="171">
        <f t="shared" si="450"/>
        <v>1</v>
      </c>
      <c r="AZ1254" s="171">
        <f t="shared" si="451"/>
        <v>1</v>
      </c>
      <c r="BA1254" s="172">
        <f t="shared" si="452"/>
        <v>1</v>
      </c>
      <c r="BB1254" s="175">
        <f t="shared" si="457"/>
        <v>15</v>
      </c>
      <c r="BC1254" s="176">
        <f t="shared" si="458"/>
        <v>14</v>
      </c>
      <c r="BD1254" s="176">
        <f t="shared" si="459"/>
        <v>15</v>
      </c>
      <c r="BE1254" s="240" t="str">
        <f t="shared" si="460"/>
        <v/>
      </c>
      <c r="BF1254" s="990"/>
      <c r="BG1254" s="990"/>
      <c r="BH1254" s="991">
        <f>IF(AND(Input_Product=Elig!$C1254,Elig_MatchAll_Ct&lt;22,$BC1254=(Elig_MatchAll_Ct-1),AF1254=0),C1254,0)</f>
        <v>0</v>
      </c>
      <c r="BI1254" s="991">
        <f>IF(AND(Input_Product=Elig!$C1254,Elig_MatchAll_Ct&lt;22,$BC1254=(Elig_MatchAll_Ct-1),AG1254=0),D1254,0)</f>
        <v>0</v>
      </c>
      <c r="BJ1254" s="991">
        <f>IF(AND(Input_Product=Elig!$C1254,Elig_MatchAll_Ct&lt;22,$BC1254=(Elig_MatchAll_Ct-1),AH1254=0),E1254,0)</f>
        <v>0</v>
      </c>
      <c r="BK1254" s="991">
        <f>IF(AND(Input_Product=Elig!$C1254,Elig_MatchAll_Ct&lt;22,$BC1254=(Elig_MatchAll_Ct-1),AI1254=0),F1254,0)</f>
        <v>0</v>
      </c>
      <c r="BL1254" s="991">
        <f>IF(AND(Input_Product=Elig!$C1254,Elig_MatchAll_Ct&lt;22,$BC1254=(Elig_MatchAll_Ct-1),AJ1254=0),G1254,0)</f>
        <v>0</v>
      </c>
      <c r="BM1254" s="991">
        <f>IF(AND(Input_Product=Elig!$C1254,Elig_MatchAll_Ct&lt;22,$BC1254=(Elig_MatchAll_Ct-1),AK1254=0),H1254,0)</f>
        <v>0</v>
      </c>
      <c r="BN1254" s="991">
        <f>IF(AND(Input_Product=Elig!$C1254,Elig_MatchAll_Ct&lt;22,$BC1254=(Elig_MatchAll_Ct-1),AL1254=0),I1254,0)</f>
        <v>0</v>
      </c>
      <c r="BO1254" s="991">
        <f>IF(AND(Input_Product=Elig!$C1254,Elig_MatchAll_Ct&lt;22,$BC1254=(Elig_MatchAll_Ct-1),AM1254=0),J1254,0)</f>
        <v>0</v>
      </c>
      <c r="BP1254" s="991">
        <f>IF(AND(Input_Product=Elig!$C1254,Elig_MatchAll_Ct&lt;22,$BC1254=(Elig_MatchAll_Ct-1),AN1254=0),K1254,0)</f>
        <v>0</v>
      </c>
      <c r="BQ1254" s="991">
        <f>IF(AND(Input_Product=Elig!$C1254,Elig_MatchAll_Ct&lt;22,$BC1254=(Elig_MatchAll_Ct-1),AP1254=0),L1254,0)</f>
        <v>0</v>
      </c>
      <c r="BR1254" s="991">
        <f>IF(AND(Input_Product=Elig!$C1254,Elig_MatchAll_Ct&lt;22,$BC1254=(Elig_MatchAll_Ct-1),AO1254=0),M1254,0)</f>
        <v>0</v>
      </c>
      <c r="BS1254" s="991">
        <f>IF(AND(Input_Product=Elig!$C1254,Elig_MatchAll_Ct&lt;22,$BC1254=(Elig_MatchAll_Ct-1),AQ1254=0),N1254,0)</f>
        <v>0</v>
      </c>
      <c r="BT1254" s="991">
        <f>IF(AND(Input_Product=Elig!$C1254,Elig_MatchAll_Ct&lt;22,$BC1254=(Elig_MatchAll_Ct-1),AR1254=0),O1254,0)</f>
        <v>0</v>
      </c>
      <c r="BU1254" s="991">
        <f>IF(AND(Input_Product=Elig!$C1254,Elig_MatchAll_Ct&lt;22,$BC1254=(Elig_MatchAll_Ct-1),AS1254=0),P1254,0)</f>
        <v>0</v>
      </c>
      <c r="BV1254" s="992">
        <f>IF(AND(Input_Product=Elig!$C1254,Elig_MatchAll_Ct&lt;22,$BC1254=(Elig_MatchAll_Ct-1),AT1254=0),Q1254,0)</f>
        <v>0</v>
      </c>
      <c r="BW1254" s="993">
        <f>IF(AND(Input_Product=Elig!$C1254,Elig_MatchAll_Ct&lt;22,$BC1254=(Elig_MatchAll_Ct-1),AU1254=0),R1254,0)</f>
        <v>0</v>
      </c>
      <c r="BX1254" s="994">
        <f>IF(AND(Input_Product=Elig!$C1254,Elig_MatchAll_Ct&lt;22,$BC1254=(Elig_MatchAll_Ct-1),AU1254=0),S1254,0)</f>
        <v>0</v>
      </c>
      <c r="BY1254" s="993">
        <f>IF(AND(Input_Product=Elig!$C1254,Elig_MatchAll_Ct&lt;22,$BC1254=(Elig_MatchAll_Ct-1),AV1254=0),T1254,0)</f>
        <v>0</v>
      </c>
      <c r="BZ1254" s="994">
        <f>IF(AND(Input_Product=Elig!$C1254,Elig_MatchAll_Ct&lt;22,$BC1254=(Elig_MatchAll_Ct-1),AV1254=0),U1254,0)</f>
        <v>0</v>
      </c>
      <c r="CA1254" s="993">
        <f>IF(AND(Input_Product=Elig!$C1254,Elig_MatchAll_Ct&lt;22,$BC1254=(Elig_MatchAll_Ct-1),AW1254=0),V1254,0)</f>
        <v>0</v>
      </c>
      <c r="CB1254" s="994">
        <f>IF(AND(Input_Product=Elig!$C1254,Elig_MatchAll_Ct&lt;22,$BC1254=(Elig_MatchAll_Ct-1),AW1254=0),W1254,0)</f>
        <v>0</v>
      </c>
      <c r="CC1254" s="993">
        <f>IF(AND(Input_Product=Elig!$C1254,Elig_MatchAll_Ct&lt;22,$BC1254=(Elig_MatchAll_Ct-1),AX1254=0),X1254,0)</f>
        <v>0</v>
      </c>
      <c r="CD1254" s="994">
        <f>IF(AND(Input_Product=Elig!$C1254,Elig_MatchAll_Ct&lt;22,$BC1254=(Elig_MatchAll_Ct-1),AX1254=0),Y1254,0)</f>
        <v>0</v>
      </c>
      <c r="CE1254" s="993">
        <f>IF(AND(Input_LTV&lt;=AE1254,Input_Product=Elig!$C1254,Elig_MatchAll_Ct&lt;22,$BC1254=(Elig_MatchAll_Ct-1),AY1254=0),Z1254,0)</f>
        <v>0</v>
      </c>
      <c r="CF1254" s="994">
        <f>IF(AND(Input_LTV&lt;=AE1254,Input_Product=Elig!$C1254,Elig_MatchAll_Ct&lt;22,$BC1254=(Elig_MatchAll_Ct-1),AY1254=0),AA1254,0)</f>
        <v>0</v>
      </c>
      <c r="CG1254" s="993">
        <f>IF(AND(Input_Product=Elig!$C1254,Elig_MatchAll_Ct&lt;22,$BC1254=(Elig_MatchAll_Ct-1),AZ1254=0),AB1254,0)</f>
        <v>0</v>
      </c>
      <c r="CH1254" s="994">
        <f>IF(AND(Input_Product=Elig!$C1254,Elig_MatchAll_Ct&lt;22,$BC1254=(Elig_MatchAll_Ct-1),AZ1254=0),AC1254,0)</f>
        <v>0</v>
      </c>
      <c r="CI1254" s="993">
        <f>IF(AND(Input_Product=Elig!$C1254,Elig_MatchAll_Ct&lt;22,$BC1254=(Elig_MatchAll_Ct-1),BA1254=0),AD1254,0)</f>
        <v>0</v>
      </c>
      <c r="CJ1254" s="994">
        <f>IF(AND(Input_Product=Elig!$C1254,Elig_MatchAll_Ct&lt;22,$BC1254=(Elig_MatchAll_Ct-1),BA1254=0),AE1254,0)</f>
        <v>0</v>
      </c>
    </row>
    <row r="1255" spans="2:88" ht="10.15" customHeight="1" x14ac:dyDescent="0.25">
      <c r="B1255" s="1920" t="s">
        <v>2608</v>
      </c>
      <c r="C1255" s="1359" t="str">
        <f t="shared" si="453"/>
        <v xml:space="preserve"> </v>
      </c>
      <c r="D1255" s="1360" t="s">
        <v>2218</v>
      </c>
      <c r="E1255" s="1360" t="s">
        <v>167</v>
      </c>
      <c r="F1255" s="1360" t="s">
        <v>330</v>
      </c>
      <c r="G1255" s="1361" t="s">
        <v>181</v>
      </c>
      <c r="H1255" s="1361" t="s">
        <v>136</v>
      </c>
      <c r="I1255" s="2483" t="s">
        <v>35</v>
      </c>
      <c r="J1255" s="1360" t="s">
        <v>1311</v>
      </c>
      <c r="K1255" s="1361" t="s">
        <v>3022</v>
      </c>
      <c r="L1255" s="1360" t="s">
        <v>2768</v>
      </c>
      <c r="M1255" s="1360" t="s">
        <v>2677</v>
      </c>
      <c r="N1255" s="1361" t="s">
        <v>2685</v>
      </c>
      <c r="O1255" s="1360" t="s">
        <v>2526</v>
      </c>
      <c r="P1255" s="1360" t="s">
        <v>291</v>
      </c>
      <c r="Q1255" s="1360" t="s">
        <v>294</v>
      </c>
      <c r="R1255" s="1360">
        <v>1000000.01</v>
      </c>
      <c r="S1255" s="1360">
        <v>1500000</v>
      </c>
      <c r="T1255" s="1360">
        <v>0</v>
      </c>
      <c r="U1255" s="1360">
        <v>0</v>
      </c>
      <c r="V1255" s="1360">
        <v>0</v>
      </c>
      <c r="W1255" s="1360">
        <v>50</v>
      </c>
      <c r="X1255" s="1360">
        <v>0.8</v>
      </c>
      <c r="Y1255" s="1360">
        <v>999</v>
      </c>
      <c r="Z1255" s="2045">
        <v>700</v>
      </c>
      <c r="AA1255" s="2045">
        <v>719</v>
      </c>
      <c r="AB1255" s="2489">
        <v>0</v>
      </c>
      <c r="AC1255" s="2045">
        <v>999999</v>
      </c>
      <c r="AD1255" s="1360">
        <v>0</v>
      </c>
      <c r="AE1255" s="2486">
        <v>65</v>
      </c>
      <c r="AF1255" s="170">
        <v>0</v>
      </c>
      <c r="AG1255" s="171">
        <v>1</v>
      </c>
      <c r="AH1255" s="171">
        <v>1</v>
      </c>
      <c r="AI1255" s="171">
        <v>0</v>
      </c>
      <c r="AJ1255" s="171">
        <v>0</v>
      </c>
      <c r="AK1255" s="171">
        <v>1</v>
      </c>
      <c r="AL1255" s="171">
        <v>0</v>
      </c>
      <c r="AM1255" s="171">
        <v>1</v>
      </c>
      <c r="AN1255" s="171">
        <v>1</v>
      </c>
      <c r="AO1255" s="171">
        <v>1</v>
      </c>
      <c r="AP1255" s="171">
        <v>1</v>
      </c>
      <c r="AQ1255" s="171">
        <v>1</v>
      </c>
      <c r="AR1255" s="171">
        <v>1</v>
      </c>
      <c r="AS1255" s="171">
        <v>1</v>
      </c>
      <c r="AT1255" s="171">
        <v>1</v>
      </c>
      <c r="AU1255" s="171">
        <f t="shared" si="447"/>
        <v>0</v>
      </c>
      <c r="AV1255" s="171">
        <f t="shared" si="448"/>
        <v>0</v>
      </c>
      <c r="AW1255" s="171">
        <f t="shared" si="449"/>
        <v>1</v>
      </c>
      <c r="AX1255" s="171">
        <f t="shared" si="444"/>
        <v>0</v>
      </c>
      <c r="AY1255" s="171">
        <f t="shared" si="450"/>
        <v>0</v>
      </c>
      <c r="AZ1255" s="171">
        <f t="shared" si="451"/>
        <v>1</v>
      </c>
      <c r="BA1255" s="172">
        <f t="shared" si="452"/>
        <v>1</v>
      </c>
      <c r="BB1255" s="175">
        <f t="shared" si="457"/>
        <v>14</v>
      </c>
      <c r="BC1255" s="176">
        <f t="shared" si="458"/>
        <v>13</v>
      </c>
      <c r="BD1255" s="176">
        <f t="shared" si="459"/>
        <v>14</v>
      </c>
      <c r="BE1255" s="240" t="str">
        <f t="shared" si="460"/>
        <v/>
      </c>
      <c r="BF1255" s="990"/>
      <c r="BG1255" s="990"/>
      <c r="BH1255" s="991">
        <f>IF(AND(Input_Product=Elig!$C1255,Elig_MatchAll_Ct&lt;22,$BC1255=(Elig_MatchAll_Ct-1),AF1255=0),C1255,0)</f>
        <v>0</v>
      </c>
      <c r="BI1255" s="991">
        <f>IF(AND(Input_Product=Elig!$C1255,Elig_MatchAll_Ct&lt;22,$BC1255=(Elig_MatchAll_Ct-1),AG1255=0),D1255,0)</f>
        <v>0</v>
      </c>
      <c r="BJ1255" s="991">
        <f>IF(AND(Input_Product=Elig!$C1255,Elig_MatchAll_Ct&lt;22,$BC1255=(Elig_MatchAll_Ct-1),AH1255=0),E1255,0)</f>
        <v>0</v>
      </c>
      <c r="BK1255" s="991">
        <f>IF(AND(Input_Product=Elig!$C1255,Elig_MatchAll_Ct&lt;22,$BC1255=(Elig_MatchAll_Ct-1),AI1255=0),F1255,0)</f>
        <v>0</v>
      </c>
      <c r="BL1255" s="991">
        <f>IF(AND(Input_Product=Elig!$C1255,Elig_MatchAll_Ct&lt;22,$BC1255=(Elig_MatchAll_Ct-1),AJ1255=0),G1255,0)</f>
        <v>0</v>
      </c>
      <c r="BM1255" s="991">
        <f>IF(AND(Input_Product=Elig!$C1255,Elig_MatchAll_Ct&lt;22,$BC1255=(Elig_MatchAll_Ct-1),AK1255=0),H1255,0)</f>
        <v>0</v>
      </c>
      <c r="BN1255" s="991">
        <f>IF(AND(Input_Product=Elig!$C1255,Elig_MatchAll_Ct&lt;22,$BC1255=(Elig_MatchAll_Ct-1),AL1255=0),I1255,0)</f>
        <v>0</v>
      </c>
      <c r="BO1255" s="991">
        <f>IF(AND(Input_Product=Elig!$C1255,Elig_MatchAll_Ct&lt;22,$BC1255=(Elig_MatchAll_Ct-1),AM1255=0),J1255,0)</f>
        <v>0</v>
      </c>
      <c r="BP1255" s="991">
        <f>IF(AND(Input_Product=Elig!$C1255,Elig_MatchAll_Ct&lt;22,$BC1255=(Elig_MatchAll_Ct-1),AN1255=0),K1255,0)</f>
        <v>0</v>
      </c>
      <c r="BQ1255" s="991">
        <f>IF(AND(Input_Product=Elig!$C1255,Elig_MatchAll_Ct&lt;22,$BC1255=(Elig_MatchAll_Ct-1),AP1255=0),L1255,0)</f>
        <v>0</v>
      </c>
      <c r="BR1255" s="991">
        <f>IF(AND(Input_Product=Elig!$C1255,Elig_MatchAll_Ct&lt;22,$BC1255=(Elig_MatchAll_Ct-1),AO1255=0),M1255,0)</f>
        <v>0</v>
      </c>
      <c r="BS1255" s="991">
        <f>IF(AND(Input_Product=Elig!$C1255,Elig_MatchAll_Ct&lt;22,$BC1255=(Elig_MatchAll_Ct-1),AQ1255=0),N1255,0)</f>
        <v>0</v>
      </c>
      <c r="BT1255" s="991">
        <f>IF(AND(Input_Product=Elig!$C1255,Elig_MatchAll_Ct&lt;22,$BC1255=(Elig_MatchAll_Ct-1),AR1255=0),O1255,0)</f>
        <v>0</v>
      </c>
      <c r="BU1255" s="991">
        <f>IF(AND(Input_Product=Elig!$C1255,Elig_MatchAll_Ct&lt;22,$BC1255=(Elig_MatchAll_Ct-1),AS1255=0),P1255,0)</f>
        <v>0</v>
      </c>
      <c r="BV1255" s="992">
        <f>IF(AND(Input_Product=Elig!$C1255,Elig_MatchAll_Ct&lt;22,$BC1255=(Elig_MatchAll_Ct-1),AT1255=0),Q1255,0)</f>
        <v>0</v>
      </c>
      <c r="BW1255" s="993">
        <f>IF(AND(Input_Product=Elig!$C1255,Elig_MatchAll_Ct&lt;22,$BC1255=(Elig_MatchAll_Ct-1),AU1255=0),R1255,0)</f>
        <v>0</v>
      </c>
      <c r="BX1255" s="994">
        <f>IF(AND(Input_Product=Elig!$C1255,Elig_MatchAll_Ct&lt;22,$BC1255=(Elig_MatchAll_Ct-1),AU1255=0),S1255,0)</f>
        <v>0</v>
      </c>
      <c r="BY1255" s="993">
        <f>IF(AND(Input_Product=Elig!$C1255,Elig_MatchAll_Ct&lt;22,$BC1255=(Elig_MatchAll_Ct-1),AV1255=0),T1255,0)</f>
        <v>0</v>
      </c>
      <c r="BZ1255" s="994">
        <f>IF(AND(Input_Product=Elig!$C1255,Elig_MatchAll_Ct&lt;22,$BC1255=(Elig_MatchAll_Ct-1),AV1255=0),U1255,0)</f>
        <v>0</v>
      </c>
      <c r="CA1255" s="993">
        <f>IF(AND(Input_Product=Elig!$C1255,Elig_MatchAll_Ct&lt;22,$BC1255=(Elig_MatchAll_Ct-1),AW1255=0),V1255,0)</f>
        <v>0</v>
      </c>
      <c r="CB1255" s="994">
        <f>IF(AND(Input_Product=Elig!$C1255,Elig_MatchAll_Ct&lt;22,$BC1255=(Elig_MatchAll_Ct-1),AW1255=0),W1255,0)</f>
        <v>0</v>
      </c>
      <c r="CC1255" s="993">
        <f>IF(AND(Input_Product=Elig!$C1255,Elig_MatchAll_Ct&lt;22,$BC1255=(Elig_MatchAll_Ct-1),AX1255=0),X1255,0)</f>
        <v>0</v>
      </c>
      <c r="CD1255" s="994">
        <f>IF(AND(Input_Product=Elig!$C1255,Elig_MatchAll_Ct&lt;22,$BC1255=(Elig_MatchAll_Ct-1),AX1255=0),Y1255,0)</f>
        <v>0</v>
      </c>
      <c r="CE1255" s="993">
        <f>IF(AND(Input_LTV&lt;=AE1255,Input_Product=Elig!$C1255,Elig_MatchAll_Ct&lt;22,$BC1255=(Elig_MatchAll_Ct-1),AY1255=0),Z1255,0)</f>
        <v>0</v>
      </c>
      <c r="CF1255" s="994">
        <f>IF(AND(Input_LTV&lt;=AE1255,Input_Product=Elig!$C1255,Elig_MatchAll_Ct&lt;22,$BC1255=(Elig_MatchAll_Ct-1),AY1255=0),AA1255,0)</f>
        <v>0</v>
      </c>
      <c r="CG1255" s="993">
        <f>IF(AND(Input_Product=Elig!$C1255,Elig_MatchAll_Ct&lt;22,$BC1255=(Elig_MatchAll_Ct-1),AZ1255=0),AB1255,0)</f>
        <v>0</v>
      </c>
      <c r="CH1255" s="994">
        <f>IF(AND(Input_Product=Elig!$C1255,Elig_MatchAll_Ct&lt;22,$BC1255=(Elig_MatchAll_Ct-1),AZ1255=0),AC1255,0)</f>
        <v>0</v>
      </c>
      <c r="CI1255" s="993">
        <f>IF(AND(Input_Product=Elig!$C1255,Elig_MatchAll_Ct&lt;22,$BC1255=(Elig_MatchAll_Ct-1),BA1255=0),AD1255,0)</f>
        <v>0</v>
      </c>
      <c r="CJ1255" s="994">
        <f>IF(AND(Input_Product=Elig!$C1255,Elig_MatchAll_Ct&lt;22,$BC1255=(Elig_MatchAll_Ct-1),BA1255=0),AE1255,0)</f>
        <v>0</v>
      </c>
    </row>
    <row r="1256" spans="2:88" ht="10.15" customHeight="1" x14ac:dyDescent="0.25">
      <c r="B1256" s="1920" t="s">
        <v>2615</v>
      </c>
      <c r="C1256" s="1356" t="str">
        <f t="shared" si="453"/>
        <v xml:space="preserve"> </v>
      </c>
      <c r="D1256" s="1357" t="s">
        <v>2218</v>
      </c>
      <c r="E1256" s="1357" t="s">
        <v>167</v>
      </c>
      <c r="F1256" s="1357" t="s">
        <v>330</v>
      </c>
      <c r="G1256" s="1358" t="s">
        <v>181</v>
      </c>
      <c r="H1256" s="1358" t="s">
        <v>136</v>
      </c>
      <c r="I1256" s="2484" t="s">
        <v>35</v>
      </c>
      <c r="J1256" s="1357" t="s">
        <v>1311</v>
      </c>
      <c r="K1256" s="1358" t="s">
        <v>3022</v>
      </c>
      <c r="L1256" s="1357" t="s">
        <v>2768</v>
      </c>
      <c r="M1256" s="1357" t="s">
        <v>2677</v>
      </c>
      <c r="N1256" s="1358" t="s">
        <v>2685</v>
      </c>
      <c r="O1256" s="1357" t="s">
        <v>2526</v>
      </c>
      <c r="P1256" s="1357" t="s">
        <v>291</v>
      </c>
      <c r="Q1256" s="1357" t="s">
        <v>294</v>
      </c>
      <c r="R1256" s="1357">
        <v>1000000.01</v>
      </c>
      <c r="S1256" s="1357">
        <v>1500000</v>
      </c>
      <c r="T1256" s="1357">
        <v>0</v>
      </c>
      <c r="U1256" s="1357">
        <v>0</v>
      </c>
      <c r="V1256" s="1357">
        <v>0</v>
      </c>
      <c r="W1256" s="1357">
        <v>50</v>
      </c>
      <c r="X1256" s="1357">
        <v>0.8</v>
      </c>
      <c r="Y1256" s="1357">
        <v>999</v>
      </c>
      <c r="Z1256" s="2047">
        <v>660</v>
      </c>
      <c r="AA1256" s="2047">
        <v>660</v>
      </c>
      <c r="AB1256" s="2490">
        <v>0</v>
      </c>
      <c r="AC1256" s="2047">
        <v>999999</v>
      </c>
      <c r="AD1256" s="1357">
        <v>0</v>
      </c>
      <c r="AE1256" s="2487">
        <v>65</v>
      </c>
      <c r="AF1256" s="170">
        <v>0</v>
      </c>
      <c r="AG1256" s="171">
        <v>1</v>
      </c>
      <c r="AH1256" s="171">
        <v>1</v>
      </c>
      <c r="AI1256" s="171">
        <v>0</v>
      </c>
      <c r="AJ1256" s="171">
        <v>0</v>
      </c>
      <c r="AK1256" s="171">
        <v>1</v>
      </c>
      <c r="AL1256" s="171">
        <v>0</v>
      </c>
      <c r="AM1256" s="171">
        <v>1</v>
      </c>
      <c r="AN1256" s="171">
        <v>1</v>
      </c>
      <c r="AO1256" s="171">
        <v>1</v>
      </c>
      <c r="AP1256" s="171">
        <v>1</v>
      </c>
      <c r="AQ1256" s="171">
        <v>1</v>
      </c>
      <c r="AR1256" s="171">
        <v>1</v>
      </c>
      <c r="AS1256" s="171">
        <v>1</v>
      </c>
      <c r="AT1256" s="171">
        <v>1</v>
      </c>
      <c r="AU1256" s="171">
        <f t="shared" si="447"/>
        <v>0</v>
      </c>
      <c r="AV1256" s="171">
        <f t="shared" si="448"/>
        <v>0</v>
      </c>
      <c r="AW1256" s="171">
        <f t="shared" si="449"/>
        <v>1</v>
      </c>
      <c r="AX1256" s="171">
        <f t="shared" si="444"/>
        <v>0</v>
      </c>
      <c r="AY1256" s="171">
        <f t="shared" si="450"/>
        <v>0</v>
      </c>
      <c r="AZ1256" s="171">
        <f t="shared" si="451"/>
        <v>1</v>
      </c>
      <c r="BA1256" s="172">
        <f t="shared" si="452"/>
        <v>1</v>
      </c>
      <c r="BB1256" s="175">
        <f t="shared" si="457"/>
        <v>14</v>
      </c>
      <c r="BC1256" s="176">
        <f t="shared" si="458"/>
        <v>13</v>
      </c>
      <c r="BD1256" s="176">
        <f t="shared" si="459"/>
        <v>14</v>
      </c>
      <c r="BE1256" s="240" t="str">
        <f t="shared" si="460"/>
        <v/>
      </c>
      <c r="BF1256" s="990"/>
      <c r="BG1256" s="990"/>
      <c r="BH1256" s="991">
        <f>IF(AND(Input_Product=Elig!$C1256,Elig_MatchAll_Ct&lt;22,$BC1256=(Elig_MatchAll_Ct-1),AF1256=0),C1256,0)</f>
        <v>0</v>
      </c>
      <c r="BI1256" s="991">
        <f>IF(AND(Input_Product=Elig!$C1256,Elig_MatchAll_Ct&lt;22,$BC1256=(Elig_MatchAll_Ct-1),AG1256=0),D1256,0)</f>
        <v>0</v>
      </c>
      <c r="BJ1256" s="991">
        <f>IF(AND(Input_Product=Elig!$C1256,Elig_MatchAll_Ct&lt;22,$BC1256=(Elig_MatchAll_Ct-1),AH1256=0),E1256,0)</f>
        <v>0</v>
      </c>
      <c r="BK1256" s="991">
        <f>IF(AND(Input_Product=Elig!$C1256,Elig_MatchAll_Ct&lt;22,$BC1256=(Elig_MatchAll_Ct-1),AI1256=0),F1256,0)</f>
        <v>0</v>
      </c>
      <c r="BL1256" s="991">
        <f>IF(AND(Input_Product=Elig!$C1256,Elig_MatchAll_Ct&lt;22,$BC1256=(Elig_MatchAll_Ct-1),AJ1256=0),G1256,0)</f>
        <v>0</v>
      </c>
      <c r="BM1256" s="991">
        <f>IF(AND(Input_Product=Elig!$C1256,Elig_MatchAll_Ct&lt;22,$BC1256=(Elig_MatchAll_Ct-1),AK1256=0),H1256,0)</f>
        <v>0</v>
      </c>
      <c r="BN1256" s="991">
        <f>IF(AND(Input_Product=Elig!$C1256,Elig_MatchAll_Ct&lt;22,$BC1256=(Elig_MatchAll_Ct-1),AL1256=0),I1256,0)</f>
        <v>0</v>
      </c>
      <c r="BO1256" s="991">
        <f>IF(AND(Input_Product=Elig!$C1256,Elig_MatchAll_Ct&lt;22,$BC1256=(Elig_MatchAll_Ct-1),AM1256=0),J1256,0)</f>
        <v>0</v>
      </c>
      <c r="BP1256" s="991">
        <f>IF(AND(Input_Product=Elig!$C1256,Elig_MatchAll_Ct&lt;22,$BC1256=(Elig_MatchAll_Ct-1),AN1256=0),K1256,0)</f>
        <v>0</v>
      </c>
      <c r="BQ1256" s="991">
        <f>IF(AND(Input_Product=Elig!$C1256,Elig_MatchAll_Ct&lt;22,$BC1256=(Elig_MatchAll_Ct-1),AP1256=0),L1256,0)</f>
        <v>0</v>
      </c>
      <c r="BR1256" s="991">
        <f>IF(AND(Input_Product=Elig!$C1256,Elig_MatchAll_Ct&lt;22,$BC1256=(Elig_MatchAll_Ct-1),AO1256=0),M1256,0)</f>
        <v>0</v>
      </c>
      <c r="BS1256" s="991">
        <f>IF(AND(Input_Product=Elig!$C1256,Elig_MatchAll_Ct&lt;22,$BC1256=(Elig_MatchAll_Ct-1),AQ1256=0),N1256,0)</f>
        <v>0</v>
      </c>
      <c r="BT1256" s="991">
        <f>IF(AND(Input_Product=Elig!$C1256,Elig_MatchAll_Ct&lt;22,$BC1256=(Elig_MatchAll_Ct-1),AR1256=0),O1256,0)</f>
        <v>0</v>
      </c>
      <c r="BU1256" s="991">
        <f>IF(AND(Input_Product=Elig!$C1256,Elig_MatchAll_Ct&lt;22,$BC1256=(Elig_MatchAll_Ct-1),AS1256=0),P1256,0)</f>
        <v>0</v>
      </c>
      <c r="BV1256" s="992">
        <f>IF(AND(Input_Product=Elig!$C1256,Elig_MatchAll_Ct&lt;22,$BC1256=(Elig_MatchAll_Ct-1),AT1256=0),Q1256,0)</f>
        <v>0</v>
      </c>
      <c r="BW1256" s="993">
        <f>IF(AND(Input_Product=Elig!$C1256,Elig_MatchAll_Ct&lt;22,$BC1256=(Elig_MatchAll_Ct-1),AU1256=0),R1256,0)</f>
        <v>0</v>
      </c>
      <c r="BX1256" s="994">
        <f>IF(AND(Input_Product=Elig!$C1256,Elig_MatchAll_Ct&lt;22,$BC1256=(Elig_MatchAll_Ct-1),AU1256=0),S1256,0)</f>
        <v>0</v>
      </c>
      <c r="BY1256" s="993">
        <f>IF(AND(Input_Product=Elig!$C1256,Elig_MatchAll_Ct&lt;22,$BC1256=(Elig_MatchAll_Ct-1),AV1256=0),T1256,0)</f>
        <v>0</v>
      </c>
      <c r="BZ1256" s="994">
        <f>IF(AND(Input_Product=Elig!$C1256,Elig_MatchAll_Ct&lt;22,$BC1256=(Elig_MatchAll_Ct-1),AV1256=0),U1256,0)</f>
        <v>0</v>
      </c>
      <c r="CA1256" s="993">
        <f>IF(AND(Input_Product=Elig!$C1256,Elig_MatchAll_Ct&lt;22,$BC1256=(Elig_MatchAll_Ct-1),AW1256=0),V1256,0)</f>
        <v>0</v>
      </c>
      <c r="CB1256" s="994">
        <f>IF(AND(Input_Product=Elig!$C1256,Elig_MatchAll_Ct&lt;22,$BC1256=(Elig_MatchAll_Ct-1),AW1256=0),W1256,0)</f>
        <v>0</v>
      </c>
      <c r="CC1256" s="993">
        <f>IF(AND(Input_Product=Elig!$C1256,Elig_MatchAll_Ct&lt;22,$BC1256=(Elig_MatchAll_Ct-1),AX1256=0),X1256,0)</f>
        <v>0</v>
      </c>
      <c r="CD1256" s="994">
        <f>IF(AND(Input_Product=Elig!$C1256,Elig_MatchAll_Ct&lt;22,$BC1256=(Elig_MatchAll_Ct-1),AX1256=0),Y1256,0)</f>
        <v>0</v>
      </c>
      <c r="CE1256" s="993">
        <f>IF(AND(Input_LTV&lt;=AE1256,Input_Product=Elig!$C1256,Elig_MatchAll_Ct&lt;22,$BC1256=(Elig_MatchAll_Ct-1),AY1256=0),Z1256,0)</f>
        <v>0</v>
      </c>
      <c r="CF1256" s="994">
        <f>IF(AND(Input_LTV&lt;=AE1256,Input_Product=Elig!$C1256,Elig_MatchAll_Ct&lt;22,$BC1256=(Elig_MatchAll_Ct-1),AY1256=0),AA1256,0)</f>
        <v>0</v>
      </c>
      <c r="CG1256" s="993">
        <f>IF(AND(Input_Product=Elig!$C1256,Elig_MatchAll_Ct&lt;22,$BC1256=(Elig_MatchAll_Ct-1),AZ1256=0),AB1256,0)</f>
        <v>0</v>
      </c>
      <c r="CH1256" s="994">
        <f>IF(AND(Input_Product=Elig!$C1256,Elig_MatchAll_Ct&lt;22,$BC1256=(Elig_MatchAll_Ct-1),AZ1256=0),AC1256,0)</f>
        <v>0</v>
      </c>
      <c r="CI1256" s="993">
        <f>IF(AND(Input_Product=Elig!$C1256,Elig_MatchAll_Ct&lt;22,$BC1256=(Elig_MatchAll_Ct-1),BA1256=0),AD1256,0)</f>
        <v>0</v>
      </c>
      <c r="CJ1256" s="994">
        <f>IF(AND(Input_Product=Elig!$C1256,Elig_MatchAll_Ct&lt;22,$BC1256=(Elig_MatchAll_Ct-1),BA1256=0),AE1256,0)</f>
        <v>0</v>
      </c>
    </row>
    <row r="1257" spans="2:88" ht="10.15" customHeight="1" x14ac:dyDescent="0.25">
      <c r="B1257" s="1920" t="s">
        <v>2616</v>
      </c>
      <c r="C1257" s="1353" t="str">
        <f t="shared" si="453"/>
        <v xml:space="preserve"> </v>
      </c>
      <c r="D1257" s="1354" t="s">
        <v>2218</v>
      </c>
      <c r="E1257" s="1354" t="s">
        <v>167</v>
      </c>
      <c r="F1257" s="1354" t="s">
        <v>330</v>
      </c>
      <c r="G1257" s="1355" t="s">
        <v>181</v>
      </c>
      <c r="H1257" s="1355" t="s">
        <v>136</v>
      </c>
      <c r="I1257" s="2482" t="s">
        <v>35</v>
      </c>
      <c r="J1257" s="1354" t="s">
        <v>1311</v>
      </c>
      <c r="K1257" s="1355" t="s">
        <v>3022</v>
      </c>
      <c r="L1257" s="1354" t="s">
        <v>2768</v>
      </c>
      <c r="M1257" s="1354" t="s">
        <v>2677</v>
      </c>
      <c r="N1257" s="1355" t="s">
        <v>2685</v>
      </c>
      <c r="O1257" s="1354" t="s">
        <v>2526</v>
      </c>
      <c r="P1257" s="1354" t="s">
        <v>291</v>
      </c>
      <c r="Q1257" s="1354" t="s">
        <v>294</v>
      </c>
      <c r="R1257" s="1354">
        <v>1500000.01</v>
      </c>
      <c r="S1257" s="1354">
        <v>2000000</v>
      </c>
      <c r="T1257" s="1354">
        <v>0</v>
      </c>
      <c r="U1257" s="1354">
        <v>0</v>
      </c>
      <c r="V1257" s="1354">
        <v>0</v>
      </c>
      <c r="W1257" s="1354">
        <v>50</v>
      </c>
      <c r="X1257" s="1354">
        <v>0.8</v>
      </c>
      <c r="Y1257" s="1354">
        <v>999</v>
      </c>
      <c r="Z1257" s="2043">
        <v>720</v>
      </c>
      <c r="AA1257" s="2043">
        <v>999</v>
      </c>
      <c r="AB1257" s="2488">
        <v>0</v>
      </c>
      <c r="AC1257" s="2043">
        <v>999999</v>
      </c>
      <c r="AD1257" s="1354">
        <v>0</v>
      </c>
      <c r="AE1257" s="2485">
        <v>65</v>
      </c>
      <c r="AF1257" s="170">
        <v>0</v>
      </c>
      <c r="AG1257" s="171">
        <v>1</v>
      </c>
      <c r="AH1257" s="171">
        <v>1</v>
      </c>
      <c r="AI1257" s="171">
        <v>0</v>
      </c>
      <c r="AJ1257" s="171">
        <v>0</v>
      </c>
      <c r="AK1257" s="171">
        <v>1</v>
      </c>
      <c r="AL1257" s="171">
        <v>0</v>
      </c>
      <c r="AM1257" s="171">
        <v>1</v>
      </c>
      <c r="AN1257" s="171">
        <v>1</v>
      </c>
      <c r="AO1257" s="171">
        <v>1</v>
      </c>
      <c r="AP1257" s="171">
        <v>1</v>
      </c>
      <c r="AQ1257" s="171">
        <v>1</v>
      </c>
      <c r="AR1257" s="171">
        <v>1</v>
      </c>
      <c r="AS1257" s="171">
        <v>1</v>
      </c>
      <c r="AT1257" s="171">
        <v>1</v>
      </c>
      <c r="AU1257" s="171">
        <f t="shared" si="447"/>
        <v>0</v>
      </c>
      <c r="AV1257" s="171">
        <f t="shared" si="448"/>
        <v>0</v>
      </c>
      <c r="AW1257" s="171">
        <f t="shared" si="449"/>
        <v>1</v>
      </c>
      <c r="AX1257" s="171">
        <f t="shared" si="444"/>
        <v>0</v>
      </c>
      <c r="AY1257" s="171">
        <f t="shared" si="450"/>
        <v>1</v>
      </c>
      <c r="AZ1257" s="171">
        <f t="shared" si="451"/>
        <v>1</v>
      </c>
      <c r="BA1257" s="172">
        <f t="shared" si="452"/>
        <v>1</v>
      </c>
      <c r="BB1257" s="175">
        <f t="shared" si="457"/>
        <v>15</v>
      </c>
      <c r="BC1257" s="176">
        <f t="shared" si="458"/>
        <v>14</v>
      </c>
      <c r="BD1257" s="176">
        <f t="shared" si="459"/>
        <v>15</v>
      </c>
      <c r="BE1257" s="240" t="str">
        <f t="shared" si="460"/>
        <v/>
      </c>
      <c r="BF1257" s="990"/>
      <c r="BG1257" s="990"/>
      <c r="BH1257" s="991">
        <f>IF(AND(Input_Product=Elig!$C1257,Elig_MatchAll_Ct&lt;22,$BC1257=(Elig_MatchAll_Ct-1),AF1257=0),C1257,0)</f>
        <v>0</v>
      </c>
      <c r="BI1257" s="991">
        <f>IF(AND(Input_Product=Elig!$C1257,Elig_MatchAll_Ct&lt;22,$BC1257=(Elig_MatchAll_Ct-1),AG1257=0),D1257,0)</f>
        <v>0</v>
      </c>
      <c r="BJ1257" s="991">
        <f>IF(AND(Input_Product=Elig!$C1257,Elig_MatchAll_Ct&lt;22,$BC1257=(Elig_MatchAll_Ct-1),AH1257=0),E1257,0)</f>
        <v>0</v>
      </c>
      <c r="BK1257" s="991">
        <f>IF(AND(Input_Product=Elig!$C1257,Elig_MatchAll_Ct&lt;22,$BC1257=(Elig_MatchAll_Ct-1),AI1257=0),F1257,0)</f>
        <v>0</v>
      </c>
      <c r="BL1257" s="991">
        <f>IF(AND(Input_Product=Elig!$C1257,Elig_MatchAll_Ct&lt;22,$BC1257=(Elig_MatchAll_Ct-1),AJ1257=0),G1257,0)</f>
        <v>0</v>
      </c>
      <c r="BM1257" s="991">
        <f>IF(AND(Input_Product=Elig!$C1257,Elig_MatchAll_Ct&lt;22,$BC1257=(Elig_MatchAll_Ct-1),AK1257=0),H1257,0)</f>
        <v>0</v>
      </c>
      <c r="BN1257" s="991">
        <f>IF(AND(Input_Product=Elig!$C1257,Elig_MatchAll_Ct&lt;22,$BC1257=(Elig_MatchAll_Ct-1),AL1257=0),I1257,0)</f>
        <v>0</v>
      </c>
      <c r="BO1257" s="991">
        <f>IF(AND(Input_Product=Elig!$C1257,Elig_MatchAll_Ct&lt;22,$BC1257=(Elig_MatchAll_Ct-1),AM1257=0),J1257,0)</f>
        <v>0</v>
      </c>
      <c r="BP1257" s="991">
        <f>IF(AND(Input_Product=Elig!$C1257,Elig_MatchAll_Ct&lt;22,$BC1257=(Elig_MatchAll_Ct-1),AN1257=0),K1257,0)</f>
        <v>0</v>
      </c>
      <c r="BQ1257" s="991">
        <f>IF(AND(Input_Product=Elig!$C1257,Elig_MatchAll_Ct&lt;22,$BC1257=(Elig_MatchAll_Ct-1),AP1257=0),L1257,0)</f>
        <v>0</v>
      </c>
      <c r="BR1257" s="991">
        <f>IF(AND(Input_Product=Elig!$C1257,Elig_MatchAll_Ct&lt;22,$BC1257=(Elig_MatchAll_Ct-1),AO1257=0),M1257,0)</f>
        <v>0</v>
      </c>
      <c r="BS1257" s="991">
        <f>IF(AND(Input_Product=Elig!$C1257,Elig_MatchAll_Ct&lt;22,$BC1257=(Elig_MatchAll_Ct-1),AQ1257=0),N1257,0)</f>
        <v>0</v>
      </c>
      <c r="BT1257" s="991">
        <f>IF(AND(Input_Product=Elig!$C1257,Elig_MatchAll_Ct&lt;22,$BC1257=(Elig_MatchAll_Ct-1),AR1257=0),O1257,0)</f>
        <v>0</v>
      </c>
      <c r="BU1257" s="991">
        <f>IF(AND(Input_Product=Elig!$C1257,Elig_MatchAll_Ct&lt;22,$BC1257=(Elig_MatchAll_Ct-1),AS1257=0),P1257,0)</f>
        <v>0</v>
      </c>
      <c r="BV1257" s="992">
        <f>IF(AND(Input_Product=Elig!$C1257,Elig_MatchAll_Ct&lt;22,$BC1257=(Elig_MatchAll_Ct-1),AT1257=0),Q1257,0)</f>
        <v>0</v>
      </c>
      <c r="BW1257" s="993">
        <f>IF(AND(Input_Product=Elig!$C1257,Elig_MatchAll_Ct&lt;22,$BC1257=(Elig_MatchAll_Ct-1),AU1257=0),R1257,0)</f>
        <v>0</v>
      </c>
      <c r="BX1257" s="994">
        <f>IF(AND(Input_Product=Elig!$C1257,Elig_MatchAll_Ct&lt;22,$BC1257=(Elig_MatchAll_Ct-1),AU1257=0),S1257,0)</f>
        <v>0</v>
      </c>
      <c r="BY1257" s="993">
        <f>IF(AND(Input_Product=Elig!$C1257,Elig_MatchAll_Ct&lt;22,$BC1257=(Elig_MatchAll_Ct-1),AV1257=0),T1257,0)</f>
        <v>0</v>
      </c>
      <c r="BZ1257" s="994">
        <f>IF(AND(Input_Product=Elig!$C1257,Elig_MatchAll_Ct&lt;22,$BC1257=(Elig_MatchAll_Ct-1),AV1257=0),U1257,0)</f>
        <v>0</v>
      </c>
      <c r="CA1257" s="993">
        <f>IF(AND(Input_Product=Elig!$C1257,Elig_MatchAll_Ct&lt;22,$BC1257=(Elig_MatchAll_Ct-1),AW1257=0),V1257,0)</f>
        <v>0</v>
      </c>
      <c r="CB1257" s="994">
        <f>IF(AND(Input_Product=Elig!$C1257,Elig_MatchAll_Ct&lt;22,$BC1257=(Elig_MatchAll_Ct-1),AW1257=0),W1257,0)</f>
        <v>0</v>
      </c>
      <c r="CC1257" s="993">
        <f>IF(AND(Input_Product=Elig!$C1257,Elig_MatchAll_Ct&lt;22,$BC1257=(Elig_MatchAll_Ct-1),AX1257=0),X1257,0)</f>
        <v>0</v>
      </c>
      <c r="CD1257" s="994">
        <f>IF(AND(Input_Product=Elig!$C1257,Elig_MatchAll_Ct&lt;22,$BC1257=(Elig_MatchAll_Ct-1),AX1257=0),Y1257,0)</f>
        <v>0</v>
      </c>
      <c r="CE1257" s="993">
        <f>IF(AND(Input_LTV&lt;=AE1257,Input_Product=Elig!$C1257,Elig_MatchAll_Ct&lt;22,$BC1257=(Elig_MatchAll_Ct-1),AY1257=0),Z1257,0)</f>
        <v>0</v>
      </c>
      <c r="CF1257" s="994">
        <f>IF(AND(Input_LTV&lt;=AE1257,Input_Product=Elig!$C1257,Elig_MatchAll_Ct&lt;22,$BC1257=(Elig_MatchAll_Ct-1),AY1257=0),AA1257,0)</f>
        <v>0</v>
      </c>
      <c r="CG1257" s="993">
        <f>IF(AND(Input_Product=Elig!$C1257,Elig_MatchAll_Ct&lt;22,$BC1257=(Elig_MatchAll_Ct-1),AZ1257=0),AB1257,0)</f>
        <v>0</v>
      </c>
      <c r="CH1257" s="994">
        <f>IF(AND(Input_Product=Elig!$C1257,Elig_MatchAll_Ct&lt;22,$BC1257=(Elig_MatchAll_Ct-1),AZ1257=0),AC1257,0)</f>
        <v>0</v>
      </c>
      <c r="CI1257" s="993">
        <f>IF(AND(Input_Product=Elig!$C1257,Elig_MatchAll_Ct&lt;22,$BC1257=(Elig_MatchAll_Ct-1),BA1257=0),AD1257,0)</f>
        <v>0</v>
      </c>
      <c r="CJ1257" s="994">
        <f>IF(AND(Input_Product=Elig!$C1257,Elig_MatchAll_Ct&lt;22,$BC1257=(Elig_MatchAll_Ct-1),BA1257=0),AE1257,0)</f>
        <v>0</v>
      </c>
    </row>
    <row r="1258" spans="2:88" ht="10.15" customHeight="1" x14ac:dyDescent="0.25">
      <c r="B1258" s="1920" t="s">
        <v>2617</v>
      </c>
      <c r="C1258" s="1359" t="str">
        <f t="shared" si="453"/>
        <v xml:space="preserve"> </v>
      </c>
      <c r="D1258" s="1360" t="s">
        <v>2218</v>
      </c>
      <c r="E1258" s="1360" t="s">
        <v>167</v>
      </c>
      <c r="F1258" s="1360" t="s">
        <v>330</v>
      </c>
      <c r="G1258" s="1361" t="s">
        <v>181</v>
      </c>
      <c r="H1258" s="1361" t="s">
        <v>136</v>
      </c>
      <c r="I1258" s="2483" t="s">
        <v>35</v>
      </c>
      <c r="J1258" s="1360" t="s">
        <v>1311</v>
      </c>
      <c r="K1258" s="1361" t="s">
        <v>3022</v>
      </c>
      <c r="L1258" s="1360" t="s">
        <v>2768</v>
      </c>
      <c r="M1258" s="1360" t="s">
        <v>2677</v>
      </c>
      <c r="N1258" s="1361" t="s">
        <v>2685</v>
      </c>
      <c r="O1258" s="1360" t="s">
        <v>2526</v>
      </c>
      <c r="P1258" s="1360" t="s">
        <v>291</v>
      </c>
      <c r="Q1258" s="1360" t="s">
        <v>294</v>
      </c>
      <c r="R1258" s="1360">
        <v>1500000.01</v>
      </c>
      <c r="S1258" s="1360">
        <v>2000000</v>
      </c>
      <c r="T1258" s="1360">
        <v>0</v>
      </c>
      <c r="U1258" s="1360">
        <v>0</v>
      </c>
      <c r="V1258" s="1360">
        <v>0</v>
      </c>
      <c r="W1258" s="1360">
        <v>50</v>
      </c>
      <c r="X1258" s="1360">
        <v>0.8</v>
      </c>
      <c r="Y1258" s="1360">
        <v>999</v>
      </c>
      <c r="Z1258" s="2045">
        <v>700</v>
      </c>
      <c r="AA1258" s="2045">
        <v>719</v>
      </c>
      <c r="AB1258" s="2489">
        <v>0</v>
      </c>
      <c r="AC1258" s="2045">
        <v>999999</v>
      </c>
      <c r="AD1258" s="1360">
        <v>0</v>
      </c>
      <c r="AE1258" s="2486">
        <v>65</v>
      </c>
      <c r="AF1258" s="170">
        <v>0</v>
      </c>
      <c r="AG1258" s="171">
        <v>1</v>
      </c>
      <c r="AH1258" s="171">
        <v>1</v>
      </c>
      <c r="AI1258" s="171">
        <v>0</v>
      </c>
      <c r="AJ1258" s="171">
        <v>0</v>
      </c>
      <c r="AK1258" s="171">
        <v>1</v>
      </c>
      <c r="AL1258" s="171">
        <v>0</v>
      </c>
      <c r="AM1258" s="171">
        <v>1</v>
      </c>
      <c r="AN1258" s="171">
        <v>1</v>
      </c>
      <c r="AO1258" s="171">
        <v>1</v>
      </c>
      <c r="AP1258" s="171">
        <v>1</v>
      </c>
      <c r="AQ1258" s="171">
        <v>1</v>
      </c>
      <c r="AR1258" s="171">
        <v>1</v>
      </c>
      <c r="AS1258" s="171">
        <v>1</v>
      </c>
      <c r="AT1258" s="171">
        <v>1</v>
      </c>
      <c r="AU1258" s="171">
        <f t="shared" si="447"/>
        <v>0</v>
      </c>
      <c r="AV1258" s="171">
        <f t="shared" si="448"/>
        <v>0</v>
      </c>
      <c r="AW1258" s="171">
        <f t="shared" si="449"/>
        <v>1</v>
      </c>
      <c r="AX1258" s="171">
        <f t="shared" si="444"/>
        <v>0</v>
      </c>
      <c r="AY1258" s="171">
        <f t="shared" si="450"/>
        <v>0</v>
      </c>
      <c r="AZ1258" s="171">
        <f t="shared" si="451"/>
        <v>1</v>
      </c>
      <c r="BA1258" s="172">
        <f t="shared" si="452"/>
        <v>1</v>
      </c>
      <c r="BB1258" s="175">
        <f t="shared" si="457"/>
        <v>14</v>
      </c>
      <c r="BC1258" s="176">
        <f t="shared" si="458"/>
        <v>13</v>
      </c>
      <c r="BD1258" s="176">
        <f t="shared" si="459"/>
        <v>14</v>
      </c>
      <c r="BE1258" s="240" t="str">
        <f t="shared" si="460"/>
        <v/>
      </c>
      <c r="BF1258" s="990"/>
      <c r="BG1258" s="990"/>
      <c r="BH1258" s="991">
        <f>IF(AND(Input_Product=Elig!$C1258,Elig_MatchAll_Ct&lt;22,$BC1258=(Elig_MatchAll_Ct-1),AF1258=0),C1258,0)</f>
        <v>0</v>
      </c>
      <c r="BI1258" s="991">
        <f>IF(AND(Input_Product=Elig!$C1258,Elig_MatchAll_Ct&lt;22,$BC1258=(Elig_MatchAll_Ct-1),AG1258=0),D1258,0)</f>
        <v>0</v>
      </c>
      <c r="BJ1258" s="991">
        <f>IF(AND(Input_Product=Elig!$C1258,Elig_MatchAll_Ct&lt;22,$BC1258=(Elig_MatchAll_Ct-1),AH1258=0),E1258,0)</f>
        <v>0</v>
      </c>
      <c r="BK1258" s="991">
        <f>IF(AND(Input_Product=Elig!$C1258,Elig_MatchAll_Ct&lt;22,$BC1258=(Elig_MatchAll_Ct-1),AI1258=0),F1258,0)</f>
        <v>0</v>
      </c>
      <c r="BL1258" s="991">
        <f>IF(AND(Input_Product=Elig!$C1258,Elig_MatchAll_Ct&lt;22,$BC1258=(Elig_MatchAll_Ct-1),AJ1258=0),G1258,0)</f>
        <v>0</v>
      </c>
      <c r="BM1258" s="991">
        <f>IF(AND(Input_Product=Elig!$C1258,Elig_MatchAll_Ct&lt;22,$BC1258=(Elig_MatchAll_Ct-1),AK1258=0),H1258,0)</f>
        <v>0</v>
      </c>
      <c r="BN1258" s="991">
        <f>IF(AND(Input_Product=Elig!$C1258,Elig_MatchAll_Ct&lt;22,$BC1258=(Elig_MatchAll_Ct-1),AL1258=0),I1258,0)</f>
        <v>0</v>
      </c>
      <c r="BO1258" s="991">
        <f>IF(AND(Input_Product=Elig!$C1258,Elig_MatchAll_Ct&lt;22,$BC1258=(Elig_MatchAll_Ct-1),AM1258=0),J1258,0)</f>
        <v>0</v>
      </c>
      <c r="BP1258" s="991">
        <f>IF(AND(Input_Product=Elig!$C1258,Elig_MatchAll_Ct&lt;22,$BC1258=(Elig_MatchAll_Ct-1),AN1258=0),K1258,0)</f>
        <v>0</v>
      </c>
      <c r="BQ1258" s="991">
        <f>IF(AND(Input_Product=Elig!$C1258,Elig_MatchAll_Ct&lt;22,$BC1258=(Elig_MatchAll_Ct-1),AP1258=0),L1258,0)</f>
        <v>0</v>
      </c>
      <c r="BR1258" s="991">
        <f>IF(AND(Input_Product=Elig!$C1258,Elig_MatchAll_Ct&lt;22,$BC1258=(Elig_MatchAll_Ct-1),AO1258=0),M1258,0)</f>
        <v>0</v>
      </c>
      <c r="BS1258" s="991">
        <f>IF(AND(Input_Product=Elig!$C1258,Elig_MatchAll_Ct&lt;22,$BC1258=(Elig_MatchAll_Ct-1),AQ1258=0),N1258,0)</f>
        <v>0</v>
      </c>
      <c r="BT1258" s="991">
        <f>IF(AND(Input_Product=Elig!$C1258,Elig_MatchAll_Ct&lt;22,$BC1258=(Elig_MatchAll_Ct-1),AR1258=0),O1258,0)</f>
        <v>0</v>
      </c>
      <c r="BU1258" s="991">
        <f>IF(AND(Input_Product=Elig!$C1258,Elig_MatchAll_Ct&lt;22,$BC1258=(Elig_MatchAll_Ct-1),AS1258=0),P1258,0)</f>
        <v>0</v>
      </c>
      <c r="BV1258" s="992">
        <f>IF(AND(Input_Product=Elig!$C1258,Elig_MatchAll_Ct&lt;22,$BC1258=(Elig_MatchAll_Ct-1),AT1258=0),Q1258,0)</f>
        <v>0</v>
      </c>
      <c r="BW1258" s="993">
        <f>IF(AND(Input_Product=Elig!$C1258,Elig_MatchAll_Ct&lt;22,$BC1258=(Elig_MatchAll_Ct-1),AU1258=0),R1258,0)</f>
        <v>0</v>
      </c>
      <c r="BX1258" s="994">
        <f>IF(AND(Input_Product=Elig!$C1258,Elig_MatchAll_Ct&lt;22,$BC1258=(Elig_MatchAll_Ct-1),AU1258=0),S1258,0)</f>
        <v>0</v>
      </c>
      <c r="BY1258" s="993">
        <f>IF(AND(Input_Product=Elig!$C1258,Elig_MatchAll_Ct&lt;22,$BC1258=(Elig_MatchAll_Ct-1),AV1258=0),T1258,0)</f>
        <v>0</v>
      </c>
      <c r="BZ1258" s="994">
        <f>IF(AND(Input_Product=Elig!$C1258,Elig_MatchAll_Ct&lt;22,$BC1258=(Elig_MatchAll_Ct-1),AV1258=0),U1258,0)</f>
        <v>0</v>
      </c>
      <c r="CA1258" s="993">
        <f>IF(AND(Input_Product=Elig!$C1258,Elig_MatchAll_Ct&lt;22,$BC1258=(Elig_MatchAll_Ct-1),AW1258=0),V1258,0)</f>
        <v>0</v>
      </c>
      <c r="CB1258" s="994">
        <f>IF(AND(Input_Product=Elig!$C1258,Elig_MatchAll_Ct&lt;22,$BC1258=(Elig_MatchAll_Ct-1),AW1258=0),W1258,0)</f>
        <v>0</v>
      </c>
      <c r="CC1258" s="993">
        <f>IF(AND(Input_Product=Elig!$C1258,Elig_MatchAll_Ct&lt;22,$BC1258=(Elig_MatchAll_Ct-1),AX1258=0),X1258,0)</f>
        <v>0</v>
      </c>
      <c r="CD1258" s="994">
        <f>IF(AND(Input_Product=Elig!$C1258,Elig_MatchAll_Ct&lt;22,$BC1258=(Elig_MatchAll_Ct-1),AX1258=0),Y1258,0)</f>
        <v>0</v>
      </c>
      <c r="CE1258" s="993">
        <f>IF(AND(Input_LTV&lt;=AE1258,Input_Product=Elig!$C1258,Elig_MatchAll_Ct&lt;22,$BC1258=(Elig_MatchAll_Ct-1),AY1258=0),Z1258,0)</f>
        <v>0</v>
      </c>
      <c r="CF1258" s="994">
        <f>IF(AND(Input_LTV&lt;=AE1258,Input_Product=Elig!$C1258,Elig_MatchAll_Ct&lt;22,$BC1258=(Elig_MatchAll_Ct-1),AY1258=0),AA1258,0)</f>
        <v>0</v>
      </c>
      <c r="CG1258" s="993">
        <f>IF(AND(Input_Product=Elig!$C1258,Elig_MatchAll_Ct&lt;22,$BC1258=(Elig_MatchAll_Ct-1),AZ1258=0),AB1258,0)</f>
        <v>0</v>
      </c>
      <c r="CH1258" s="994">
        <f>IF(AND(Input_Product=Elig!$C1258,Elig_MatchAll_Ct&lt;22,$BC1258=(Elig_MatchAll_Ct-1),AZ1258=0),AC1258,0)</f>
        <v>0</v>
      </c>
      <c r="CI1258" s="993">
        <f>IF(AND(Input_Product=Elig!$C1258,Elig_MatchAll_Ct&lt;22,$BC1258=(Elig_MatchAll_Ct-1),BA1258=0),AD1258,0)</f>
        <v>0</v>
      </c>
      <c r="CJ1258" s="994">
        <f>IF(AND(Input_Product=Elig!$C1258,Elig_MatchAll_Ct&lt;22,$BC1258=(Elig_MatchAll_Ct-1),BA1258=0),AE1258,0)</f>
        <v>0</v>
      </c>
    </row>
    <row r="1259" spans="2:88" ht="10.15" customHeight="1" x14ac:dyDescent="0.25">
      <c r="B1259" s="1920" t="s">
        <v>2618</v>
      </c>
      <c r="C1259" s="1356" t="str">
        <f t="shared" si="453"/>
        <v xml:space="preserve"> </v>
      </c>
      <c r="D1259" s="1357" t="s">
        <v>2218</v>
      </c>
      <c r="E1259" s="1357" t="s">
        <v>167</v>
      </c>
      <c r="F1259" s="1357" t="s">
        <v>330</v>
      </c>
      <c r="G1259" s="1358" t="s">
        <v>181</v>
      </c>
      <c r="H1259" s="1358" t="s">
        <v>136</v>
      </c>
      <c r="I1259" s="2484" t="s">
        <v>35</v>
      </c>
      <c r="J1259" s="1357" t="s">
        <v>1311</v>
      </c>
      <c r="K1259" s="1358" t="s">
        <v>3022</v>
      </c>
      <c r="L1259" s="1357" t="s">
        <v>2768</v>
      </c>
      <c r="M1259" s="1357" t="s">
        <v>2677</v>
      </c>
      <c r="N1259" s="1358" t="s">
        <v>2685</v>
      </c>
      <c r="O1259" s="1357" t="s">
        <v>2526</v>
      </c>
      <c r="P1259" s="1357" t="s">
        <v>291</v>
      </c>
      <c r="Q1259" s="1357" t="s">
        <v>294</v>
      </c>
      <c r="R1259" s="1357">
        <v>1500000.01</v>
      </c>
      <c r="S1259" s="1357">
        <v>2000000</v>
      </c>
      <c r="T1259" s="1357">
        <v>0</v>
      </c>
      <c r="U1259" s="1357">
        <v>0</v>
      </c>
      <c r="V1259" s="1357">
        <v>0</v>
      </c>
      <c r="W1259" s="1357">
        <v>50</v>
      </c>
      <c r="X1259" s="1357">
        <v>0.8</v>
      </c>
      <c r="Y1259" s="1357">
        <v>999</v>
      </c>
      <c r="Z1259" s="2047">
        <v>660</v>
      </c>
      <c r="AA1259" s="2047">
        <v>660</v>
      </c>
      <c r="AB1259" s="2490">
        <v>0</v>
      </c>
      <c r="AC1259" s="2047">
        <v>999999</v>
      </c>
      <c r="AD1259" s="1357">
        <v>0</v>
      </c>
      <c r="AE1259" s="2487">
        <v>65</v>
      </c>
      <c r="AF1259" s="170">
        <v>0</v>
      </c>
      <c r="AG1259" s="171">
        <v>1</v>
      </c>
      <c r="AH1259" s="171">
        <v>1</v>
      </c>
      <c r="AI1259" s="171">
        <v>0</v>
      </c>
      <c r="AJ1259" s="171">
        <v>0</v>
      </c>
      <c r="AK1259" s="171">
        <v>1</v>
      </c>
      <c r="AL1259" s="171">
        <v>0</v>
      </c>
      <c r="AM1259" s="171">
        <v>1</v>
      </c>
      <c r="AN1259" s="171">
        <v>1</v>
      </c>
      <c r="AO1259" s="171">
        <v>1</v>
      </c>
      <c r="AP1259" s="171">
        <v>1</v>
      </c>
      <c r="AQ1259" s="171">
        <v>1</v>
      </c>
      <c r="AR1259" s="171">
        <v>1</v>
      </c>
      <c r="AS1259" s="171">
        <v>1</v>
      </c>
      <c r="AT1259" s="171">
        <v>1</v>
      </c>
      <c r="AU1259" s="171">
        <f t="shared" si="447"/>
        <v>0</v>
      </c>
      <c r="AV1259" s="171">
        <f t="shared" si="448"/>
        <v>0</v>
      </c>
      <c r="AW1259" s="171">
        <f t="shared" si="449"/>
        <v>1</v>
      </c>
      <c r="AX1259" s="171">
        <f t="shared" si="444"/>
        <v>0</v>
      </c>
      <c r="AY1259" s="171">
        <f t="shared" si="450"/>
        <v>0</v>
      </c>
      <c r="AZ1259" s="171">
        <f t="shared" si="451"/>
        <v>1</v>
      </c>
      <c r="BA1259" s="172">
        <f t="shared" si="452"/>
        <v>1</v>
      </c>
      <c r="BB1259" s="175">
        <f t="shared" si="457"/>
        <v>14</v>
      </c>
      <c r="BC1259" s="176">
        <f t="shared" si="458"/>
        <v>13</v>
      </c>
      <c r="BD1259" s="176">
        <f t="shared" si="459"/>
        <v>14</v>
      </c>
      <c r="BE1259" s="240" t="str">
        <f t="shared" si="460"/>
        <v/>
      </c>
      <c r="BF1259" s="990"/>
      <c r="BG1259" s="990"/>
      <c r="BH1259" s="991">
        <f>IF(AND(Input_Product=Elig!$C1259,Elig_MatchAll_Ct&lt;22,$BC1259=(Elig_MatchAll_Ct-1),AF1259=0),C1259,0)</f>
        <v>0</v>
      </c>
      <c r="BI1259" s="991">
        <f>IF(AND(Input_Product=Elig!$C1259,Elig_MatchAll_Ct&lt;22,$BC1259=(Elig_MatchAll_Ct-1),AG1259=0),D1259,0)</f>
        <v>0</v>
      </c>
      <c r="BJ1259" s="991">
        <f>IF(AND(Input_Product=Elig!$C1259,Elig_MatchAll_Ct&lt;22,$BC1259=(Elig_MatchAll_Ct-1),AH1259=0),E1259,0)</f>
        <v>0</v>
      </c>
      <c r="BK1259" s="991">
        <f>IF(AND(Input_Product=Elig!$C1259,Elig_MatchAll_Ct&lt;22,$BC1259=(Elig_MatchAll_Ct-1),AI1259=0),F1259,0)</f>
        <v>0</v>
      </c>
      <c r="BL1259" s="991">
        <f>IF(AND(Input_Product=Elig!$C1259,Elig_MatchAll_Ct&lt;22,$BC1259=(Elig_MatchAll_Ct-1),AJ1259=0),G1259,0)</f>
        <v>0</v>
      </c>
      <c r="BM1259" s="991">
        <f>IF(AND(Input_Product=Elig!$C1259,Elig_MatchAll_Ct&lt;22,$BC1259=(Elig_MatchAll_Ct-1),AK1259=0),H1259,0)</f>
        <v>0</v>
      </c>
      <c r="BN1259" s="991">
        <f>IF(AND(Input_Product=Elig!$C1259,Elig_MatchAll_Ct&lt;22,$BC1259=(Elig_MatchAll_Ct-1),AL1259=0),I1259,0)</f>
        <v>0</v>
      </c>
      <c r="BO1259" s="991">
        <f>IF(AND(Input_Product=Elig!$C1259,Elig_MatchAll_Ct&lt;22,$BC1259=(Elig_MatchAll_Ct-1),AM1259=0),J1259,0)</f>
        <v>0</v>
      </c>
      <c r="BP1259" s="991">
        <f>IF(AND(Input_Product=Elig!$C1259,Elig_MatchAll_Ct&lt;22,$BC1259=(Elig_MatchAll_Ct-1),AN1259=0),K1259,0)</f>
        <v>0</v>
      </c>
      <c r="BQ1259" s="991">
        <f>IF(AND(Input_Product=Elig!$C1259,Elig_MatchAll_Ct&lt;22,$BC1259=(Elig_MatchAll_Ct-1),AP1259=0),L1259,0)</f>
        <v>0</v>
      </c>
      <c r="BR1259" s="991">
        <f>IF(AND(Input_Product=Elig!$C1259,Elig_MatchAll_Ct&lt;22,$BC1259=(Elig_MatchAll_Ct-1),AO1259=0),M1259,0)</f>
        <v>0</v>
      </c>
      <c r="BS1259" s="991">
        <f>IF(AND(Input_Product=Elig!$C1259,Elig_MatchAll_Ct&lt;22,$BC1259=(Elig_MatchAll_Ct-1),AQ1259=0),N1259,0)</f>
        <v>0</v>
      </c>
      <c r="BT1259" s="991">
        <f>IF(AND(Input_Product=Elig!$C1259,Elig_MatchAll_Ct&lt;22,$BC1259=(Elig_MatchAll_Ct-1),AR1259=0),O1259,0)</f>
        <v>0</v>
      </c>
      <c r="BU1259" s="991">
        <f>IF(AND(Input_Product=Elig!$C1259,Elig_MatchAll_Ct&lt;22,$BC1259=(Elig_MatchAll_Ct-1),AS1259=0),P1259,0)</f>
        <v>0</v>
      </c>
      <c r="BV1259" s="992">
        <f>IF(AND(Input_Product=Elig!$C1259,Elig_MatchAll_Ct&lt;22,$BC1259=(Elig_MatchAll_Ct-1),AT1259=0),Q1259,0)</f>
        <v>0</v>
      </c>
      <c r="BW1259" s="993">
        <f>IF(AND(Input_Product=Elig!$C1259,Elig_MatchAll_Ct&lt;22,$BC1259=(Elig_MatchAll_Ct-1),AU1259=0),R1259,0)</f>
        <v>0</v>
      </c>
      <c r="BX1259" s="994">
        <f>IF(AND(Input_Product=Elig!$C1259,Elig_MatchAll_Ct&lt;22,$BC1259=(Elig_MatchAll_Ct-1),AU1259=0),S1259,0)</f>
        <v>0</v>
      </c>
      <c r="BY1259" s="993">
        <f>IF(AND(Input_Product=Elig!$C1259,Elig_MatchAll_Ct&lt;22,$BC1259=(Elig_MatchAll_Ct-1),AV1259=0),T1259,0)</f>
        <v>0</v>
      </c>
      <c r="BZ1259" s="994">
        <f>IF(AND(Input_Product=Elig!$C1259,Elig_MatchAll_Ct&lt;22,$BC1259=(Elig_MatchAll_Ct-1),AV1259=0),U1259,0)</f>
        <v>0</v>
      </c>
      <c r="CA1259" s="993">
        <f>IF(AND(Input_Product=Elig!$C1259,Elig_MatchAll_Ct&lt;22,$BC1259=(Elig_MatchAll_Ct-1),AW1259=0),V1259,0)</f>
        <v>0</v>
      </c>
      <c r="CB1259" s="994">
        <f>IF(AND(Input_Product=Elig!$C1259,Elig_MatchAll_Ct&lt;22,$BC1259=(Elig_MatchAll_Ct-1),AW1259=0),W1259,0)</f>
        <v>0</v>
      </c>
      <c r="CC1259" s="993">
        <f>IF(AND(Input_Product=Elig!$C1259,Elig_MatchAll_Ct&lt;22,$BC1259=(Elig_MatchAll_Ct-1),AX1259=0),X1259,0)</f>
        <v>0</v>
      </c>
      <c r="CD1259" s="994">
        <f>IF(AND(Input_Product=Elig!$C1259,Elig_MatchAll_Ct&lt;22,$BC1259=(Elig_MatchAll_Ct-1),AX1259=0),Y1259,0)</f>
        <v>0</v>
      </c>
      <c r="CE1259" s="993">
        <f>IF(AND(Input_LTV&lt;=AE1259,Input_Product=Elig!$C1259,Elig_MatchAll_Ct&lt;22,$BC1259=(Elig_MatchAll_Ct-1),AY1259=0),Z1259,0)</f>
        <v>0</v>
      </c>
      <c r="CF1259" s="994">
        <f>IF(AND(Input_LTV&lt;=AE1259,Input_Product=Elig!$C1259,Elig_MatchAll_Ct&lt;22,$BC1259=(Elig_MatchAll_Ct-1),AY1259=0),AA1259,0)</f>
        <v>0</v>
      </c>
      <c r="CG1259" s="993">
        <f>IF(AND(Input_Product=Elig!$C1259,Elig_MatchAll_Ct&lt;22,$BC1259=(Elig_MatchAll_Ct-1),AZ1259=0),AB1259,0)</f>
        <v>0</v>
      </c>
      <c r="CH1259" s="994">
        <f>IF(AND(Input_Product=Elig!$C1259,Elig_MatchAll_Ct&lt;22,$BC1259=(Elig_MatchAll_Ct-1),AZ1259=0),AC1259,0)</f>
        <v>0</v>
      </c>
      <c r="CI1259" s="993">
        <f>IF(AND(Input_Product=Elig!$C1259,Elig_MatchAll_Ct&lt;22,$BC1259=(Elig_MatchAll_Ct-1),BA1259=0),AD1259,0)</f>
        <v>0</v>
      </c>
      <c r="CJ1259" s="994">
        <f>IF(AND(Input_Product=Elig!$C1259,Elig_MatchAll_Ct&lt;22,$BC1259=(Elig_MatchAll_Ct-1),BA1259=0),AE1259,0)</f>
        <v>0</v>
      </c>
    </row>
    <row r="1260" spans="2:88" ht="10.15" customHeight="1" x14ac:dyDescent="0.25">
      <c r="B1260" s="1920" t="s">
        <v>2619</v>
      </c>
      <c r="C1260" s="1353" t="str">
        <f t="shared" si="453"/>
        <v xml:space="preserve"> </v>
      </c>
      <c r="D1260" s="1354" t="s">
        <v>2218</v>
      </c>
      <c r="E1260" s="1354" t="s">
        <v>167</v>
      </c>
      <c r="F1260" s="1354" t="s">
        <v>330</v>
      </c>
      <c r="G1260" s="1355" t="s">
        <v>181</v>
      </c>
      <c r="H1260" s="1355" t="s">
        <v>136</v>
      </c>
      <c r="I1260" s="2482" t="s">
        <v>35</v>
      </c>
      <c r="J1260" s="1354" t="s">
        <v>1311</v>
      </c>
      <c r="K1260" s="1355" t="s">
        <v>3022</v>
      </c>
      <c r="L1260" s="1354" t="s">
        <v>2768</v>
      </c>
      <c r="M1260" s="1354" t="s">
        <v>2677</v>
      </c>
      <c r="N1260" s="1355" t="s">
        <v>2685</v>
      </c>
      <c r="O1260" s="1354" t="s">
        <v>2526</v>
      </c>
      <c r="P1260" s="1354" t="s">
        <v>291</v>
      </c>
      <c r="Q1260" s="1354" t="s">
        <v>294</v>
      </c>
      <c r="R1260" s="1354">
        <v>2000000.01</v>
      </c>
      <c r="S1260" s="1354">
        <v>2500000</v>
      </c>
      <c r="T1260" s="1354">
        <v>0</v>
      </c>
      <c r="U1260" s="1354">
        <v>0</v>
      </c>
      <c r="V1260" s="1354">
        <v>0</v>
      </c>
      <c r="W1260" s="1354">
        <v>50</v>
      </c>
      <c r="X1260" s="1354">
        <v>0.8</v>
      </c>
      <c r="Y1260" s="1354">
        <v>999</v>
      </c>
      <c r="Z1260" s="2043">
        <v>720</v>
      </c>
      <c r="AA1260" s="2043">
        <v>999</v>
      </c>
      <c r="AB1260" s="2488">
        <v>0</v>
      </c>
      <c r="AC1260" s="2043">
        <v>999999</v>
      </c>
      <c r="AD1260" s="1354">
        <v>0</v>
      </c>
      <c r="AE1260" s="2485">
        <v>65</v>
      </c>
      <c r="AF1260" s="170">
        <v>0</v>
      </c>
      <c r="AG1260" s="171">
        <v>1</v>
      </c>
      <c r="AH1260" s="171">
        <v>1</v>
      </c>
      <c r="AI1260" s="171">
        <v>0</v>
      </c>
      <c r="AJ1260" s="171">
        <v>0</v>
      </c>
      <c r="AK1260" s="171">
        <v>1</v>
      </c>
      <c r="AL1260" s="171">
        <v>0</v>
      </c>
      <c r="AM1260" s="171">
        <v>1</v>
      </c>
      <c r="AN1260" s="171">
        <v>1</v>
      </c>
      <c r="AO1260" s="171">
        <v>1</v>
      </c>
      <c r="AP1260" s="171">
        <v>1</v>
      </c>
      <c r="AQ1260" s="171">
        <v>1</v>
      </c>
      <c r="AR1260" s="171">
        <v>1</v>
      </c>
      <c r="AS1260" s="171">
        <v>1</v>
      </c>
      <c r="AT1260" s="171">
        <v>1</v>
      </c>
      <c r="AU1260" s="171">
        <f t="shared" si="447"/>
        <v>0</v>
      </c>
      <c r="AV1260" s="171">
        <f t="shared" si="448"/>
        <v>0</v>
      </c>
      <c r="AW1260" s="171">
        <f t="shared" si="449"/>
        <v>1</v>
      </c>
      <c r="AX1260" s="171">
        <f t="shared" si="444"/>
        <v>0</v>
      </c>
      <c r="AY1260" s="171">
        <f t="shared" si="450"/>
        <v>1</v>
      </c>
      <c r="AZ1260" s="171">
        <f t="shared" si="451"/>
        <v>1</v>
      </c>
      <c r="BA1260" s="172">
        <f t="shared" si="452"/>
        <v>1</v>
      </c>
      <c r="BB1260" s="175">
        <f t="shared" si="457"/>
        <v>15</v>
      </c>
      <c r="BC1260" s="176">
        <f t="shared" si="458"/>
        <v>14</v>
      </c>
      <c r="BD1260" s="176">
        <f t="shared" si="459"/>
        <v>15</v>
      </c>
      <c r="BE1260" s="240" t="str">
        <f t="shared" si="460"/>
        <v/>
      </c>
      <c r="BF1260" s="990"/>
      <c r="BG1260" s="990"/>
      <c r="BH1260" s="991">
        <f>IF(AND(Input_Product=Elig!$C1260,Elig_MatchAll_Ct&lt;22,$BC1260=(Elig_MatchAll_Ct-1),AF1260=0),C1260,0)</f>
        <v>0</v>
      </c>
      <c r="BI1260" s="991">
        <f>IF(AND(Input_Product=Elig!$C1260,Elig_MatchAll_Ct&lt;22,$BC1260=(Elig_MatchAll_Ct-1),AG1260=0),D1260,0)</f>
        <v>0</v>
      </c>
      <c r="BJ1260" s="991">
        <f>IF(AND(Input_Product=Elig!$C1260,Elig_MatchAll_Ct&lt;22,$BC1260=(Elig_MatchAll_Ct-1),AH1260=0),E1260,0)</f>
        <v>0</v>
      </c>
      <c r="BK1260" s="991">
        <f>IF(AND(Input_Product=Elig!$C1260,Elig_MatchAll_Ct&lt;22,$BC1260=(Elig_MatchAll_Ct-1),AI1260=0),F1260,0)</f>
        <v>0</v>
      </c>
      <c r="BL1260" s="991">
        <f>IF(AND(Input_Product=Elig!$C1260,Elig_MatchAll_Ct&lt;22,$BC1260=(Elig_MatchAll_Ct-1),AJ1260=0),G1260,0)</f>
        <v>0</v>
      </c>
      <c r="BM1260" s="991">
        <f>IF(AND(Input_Product=Elig!$C1260,Elig_MatchAll_Ct&lt;22,$BC1260=(Elig_MatchAll_Ct-1),AK1260=0),H1260,0)</f>
        <v>0</v>
      </c>
      <c r="BN1260" s="991">
        <f>IF(AND(Input_Product=Elig!$C1260,Elig_MatchAll_Ct&lt;22,$BC1260=(Elig_MatchAll_Ct-1),AL1260=0),I1260,0)</f>
        <v>0</v>
      </c>
      <c r="BO1260" s="991">
        <f>IF(AND(Input_Product=Elig!$C1260,Elig_MatchAll_Ct&lt;22,$BC1260=(Elig_MatchAll_Ct-1),AM1260=0),J1260,0)</f>
        <v>0</v>
      </c>
      <c r="BP1260" s="991">
        <f>IF(AND(Input_Product=Elig!$C1260,Elig_MatchAll_Ct&lt;22,$BC1260=(Elig_MatchAll_Ct-1),AN1260=0),K1260,0)</f>
        <v>0</v>
      </c>
      <c r="BQ1260" s="991">
        <f>IF(AND(Input_Product=Elig!$C1260,Elig_MatchAll_Ct&lt;22,$BC1260=(Elig_MatchAll_Ct-1),AP1260=0),L1260,0)</f>
        <v>0</v>
      </c>
      <c r="BR1260" s="991">
        <f>IF(AND(Input_Product=Elig!$C1260,Elig_MatchAll_Ct&lt;22,$BC1260=(Elig_MatchAll_Ct-1),AO1260=0),M1260,0)</f>
        <v>0</v>
      </c>
      <c r="BS1260" s="991">
        <f>IF(AND(Input_Product=Elig!$C1260,Elig_MatchAll_Ct&lt;22,$BC1260=(Elig_MatchAll_Ct-1),AQ1260=0),N1260,0)</f>
        <v>0</v>
      </c>
      <c r="BT1260" s="991">
        <f>IF(AND(Input_Product=Elig!$C1260,Elig_MatchAll_Ct&lt;22,$BC1260=(Elig_MatchAll_Ct-1),AR1260=0),O1260,0)</f>
        <v>0</v>
      </c>
      <c r="BU1260" s="991">
        <f>IF(AND(Input_Product=Elig!$C1260,Elig_MatchAll_Ct&lt;22,$BC1260=(Elig_MatchAll_Ct-1),AS1260=0),P1260,0)</f>
        <v>0</v>
      </c>
      <c r="BV1260" s="992">
        <f>IF(AND(Input_Product=Elig!$C1260,Elig_MatchAll_Ct&lt;22,$BC1260=(Elig_MatchAll_Ct-1),AT1260=0),Q1260,0)</f>
        <v>0</v>
      </c>
      <c r="BW1260" s="993">
        <f>IF(AND(Input_Product=Elig!$C1260,Elig_MatchAll_Ct&lt;22,$BC1260=(Elig_MatchAll_Ct-1),AU1260=0),R1260,0)</f>
        <v>0</v>
      </c>
      <c r="BX1260" s="994">
        <f>IF(AND(Input_Product=Elig!$C1260,Elig_MatchAll_Ct&lt;22,$BC1260=(Elig_MatchAll_Ct-1),AU1260=0),S1260,0)</f>
        <v>0</v>
      </c>
      <c r="BY1260" s="993">
        <f>IF(AND(Input_Product=Elig!$C1260,Elig_MatchAll_Ct&lt;22,$BC1260=(Elig_MatchAll_Ct-1),AV1260=0),T1260,0)</f>
        <v>0</v>
      </c>
      <c r="BZ1260" s="994">
        <f>IF(AND(Input_Product=Elig!$C1260,Elig_MatchAll_Ct&lt;22,$BC1260=(Elig_MatchAll_Ct-1),AV1260=0),U1260,0)</f>
        <v>0</v>
      </c>
      <c r="CA1260" s="993">
        <f>IF(AND(Input_Product=Elig!$C1260,Elig_MatchAll_Ct&lt;22,$BC1260=(Elig_MatchAll_Ct-1),AW1260=0),V1260,0)</f>
        <v>0</v>
      </c>
      <c r="CB1260" s="994">
        <f>IF(AND(Input_Product=Elig!$C1260,Elig_MatchAll_Ct&lt;22,$BC1260=(Elig_MatchAll_Ct-1),AW1260=0),W1260,0)</f>
        <v>0</v>
      </c>
      <c r="CC1260" s="993">
        <f>IF(AND(Input_Product=Elig!$C1260,Elig_MatchAll_Ct&lt;22,$BC1260=(Elig_MatchAll_Ct-1),AX1260=0),X1260,0)</f>
        <v>0</v>
      </c>
      <c r="CD1260" s="994">
        <f>IF(AND(Input_Product=Elig!$C1260,Elig_MatchAll_Ct&lt;22,$BC1260=(Elig_MatchAll_Ct-1),AX1260=0),Y1260,0)</f>
        <v>0</v>
      </c>
      <c r="CE1260" s="993">
        <f>IF(AND(Input_LTV&lt;=AE1260,Input_Product=Elig!$C1260,Elig_MatchAll_Ct&lt;22,$BC1260=(Elig_MatchAll_Ct-1),AY1260=0),Z1260,0)</f>
        <v>0</v>
      </c>
      <c r="CF1260" s="994">
        <f>IF(AND(Input_LTV&lt;=AE1260,Input_Product=Elig!$C1260,Elig_MatchAll_Ct&lt;22,$BC1260=(Elig_MatchAll_Ct-1),AY1260=0),AA1260,0)</f>
        <v>0</v>
      </c>
      <c r="CG1260" s="993">
        <f>IF(AND(Input_Product=Elig!$C1260,Elig_MatchAll_Ct&lt;22,$BC1260=(Elig_MatchAll_Ct-1),AZ1260=0),AB1260,0)</f>
        <v>0</v>
      </c>
      <c r="CH1260" s="994">
        <f>IF(AND(Input_Product=Elig!$C1260,Elig_MatchAll_Ct&lt;22,$BC1260=(Elig_MatchAll_Ct-1),AZ1260=0),AC1260,0)</f>
        <v>0</v>
      </c>
      <c r="CI1260" s="993">
        <f>IF(AND(Input_Product=Elig!$C1260,Elig_MatchAll_Ct&lt;22,$BC1260=(Elig_MatchAll_Ct-1),BA1260=0),AD1260,0)</f>
        <v>0</v>
      </c>
      <c r="CJ1260" s="994">
        <f>IF(AND(Input_Product=Elig!$C1260,Elig_MatchAll_Ct&lt;22,$BC1260=(Elig_MatchAll_Ct-1),BA1260=0),AE1260,0)</f>
        <v>0</v>
      </c>
    </row>
    <row r="1261" spans="2:88" ht="10.15" customHeight="1" x14ac:dyDescent="0.25">
      <c r="B1261" s="1920" t="s">
        <v>2620</v>
      </c>
      <c r="C1261" s="1359" t="str">
        <f t="shared" si="453"/>
        <v xml:space="preserve"> </v>
      </c>
      <c r="D1261" s="1360" t="s">
        <v>2218</v>
      </c>
      <c r="E1261" s="1360" t="s">
        <v>167</v>
      </c>
      <c r="F1261" s="1360" t="s">
        <v>330</v>
      </c>
      <c r="G1261" s="1361" t="s">
        <v>181</v>
      </c>
      <c r="H1261" s="1361" t="s">
        <v>136</v>
      </c>
      <c r="I1261" s="2483" t="s">
        <v>35</v>
      </c>
      <c r="J1261" s="1360" t="s">
        <v>1311</v>
      </c>
      <c r="K1261" s="1361" t="s">
        <v>3022</v>
      </c>
      <c r="L1261" s="1360" t="s">
        <v>2768</v>
      </c>
      <c r="M1261" s="1360" t="s">
        <v>2677</v>
      </c>
      <c r="N1261" s="1361" t="s">
        <v>2685</v>
      </c>
      <c r="O1261" s="1360" t="s">
        <v>2526</v>
      </c>
      <c r="P1261" s="1360" t="s">
        <v>291</v>
      </c>
      <c r="Q1261" s="1360" t="s">
        <v>294</v>
      </c>
      <c r="R1261" s="1360">
        <v>2000000.01</v>
      </c>
      <c r="S1261" s="1360">
        <v>2500000</v>
      </c>
      <c r="T1261" s="1360">
        <v>0</v>
      </c>
      <c r="U1261" s="1360">
        <v>0</v>
      </c>
      <c r="V1261" s="1360">
        <v>0</v>
      </c>
      <c r="W1261" s="1360">
        <v>50</v>
      </c>
      <c r="X1261" s="1360">
        <v>0.8</v>
      </c>
      <c r="Y1261" s="1360">
        <v>999</v>
      </c>
      <c r="Z1261" s="2045">
        <v>700</v>
      </c>
      <c r="AA1261" s="2045">
        <v>719</v>
      </c>
      <c r="AB1261" s="2489">
        <v>0</v>
      </c>
      <c r="AC1261" s="2045">
        <v>999999</v>
      </c>
      <c r="AD1261" s="1360">
        <v>0</v>
      </c>
      <c r="AE1261" s="2486">
        <v>65</v>
      </c>
      <c r="AF1261" s="170">
        <v>0</v>
      </c>
      <c r="AG1261" s="171">
        <v>1</v>
      </c>
      <c r="AH1261" s="171">
        <v>1</v>
      </c>
      <c r="AI1261" s="171">
        <v>0</v>
      </c>
      <c r="AJ1261" s="171">
        <v>0</v>
      </c>
      <c r="AK1261" s="171">
        <v>1</v>
      </c>
      <c r="AL1261" s="171">
        <v>0</v>
      </c>
      <c r="AM1261" s="171">
        <v>1</v>
      </c>
      <c r="AN1261" s="171">
        <v>1</v>
      </c>
      <c r="AO1261" s="171">
        <v>1</v>
      </c>
      <c r="AP1261" s="171">
        <v>1</v>
      </c>
      <c r="AQ1261" s="171">
        <v>1</v>
      </c>
      <c r="AR1261" s="171">
        <v>1</v>
      </c>
      <c r="AS1261" s="171">
        <v>1</v>
      </c>
      <c r="AT1261" s="171">
        <v>1</v>
      </c>
      <c r="AU1261" s="171">
        <f t="shared" si="447"/>
        <v>0</v>
      </c>
      <c r="AV1261" s="171">
        <f t="shared" si="448"/>
        <v>0</v>
      </c>
      <c r="AW1261" s="171">
        <f t="shared" si="449"/>
        <v>1</v>
      </c>
      <c r="AX1261" s="171">
        <f t="shared" si="444"/>
        <v>0</v>
      </c>
      <c r="AY1261" s="171">
        <f t="shared" si="450"/>
        <v>0</v>
      </c>
      <c r="AZ1261" s="171">
        <f t="shared" si="451"/>
        <v>1</v>
      </c>
      <c r="BA1261" s="172">
        <f t="shared" si="452"/>
        <v>1</v>
      </c>
      <c r="BB1261" s="175">
        <f t="shared" si="457"/>
        <v>14</v>
      </c>
      <c r="BC1261" s="176">
        <f t="shared" si="458"/>
        <v>13</v>
      </c>
      <c r="BD1261" s="176">
        <f t="shared" si="459"/>
        <v>14</v>
      </c>
      <c r="BE1261" s="240" t="str">
        <f t="shared" si="460"/>
        <v/>
      </c>
      <c r="BF1261" s="990"/>
      <c r="BG1261" s="990"/>
      <c r="BH1261" s="991">
        <f>IF(AND(Input_Product=Elig!$C1261,Elig_MatchAll_Ct&lt;22,$BC1261=(Elig_MatchAll_Ct-1),AF1261=0),C1261,0)</f>
        <v>0</v>
      </c>
      <c r="BI1261" s="991">
        <f>IF(AND(Input_Product=Elig!$C1261,Elig_MatchAll_Ct&lt;22,$BC1261=(Elig_MatchAll_Ct-1),AG1261=0),D1261,0)</f>
        <v>0</v>
      </c>
      <c r="BJ1261" s="991">
        <f>IF(AND(Input_Product=Elig!$C1261,Elig_MatchAll_Ct&lt;22,$BC1261=(Elig_MatchAll_Ct-1),AH1261=0),E1261,0)</f>
        <v>0</v>
      </c>
      <c r="BK1261" s="991">
        <f>IF(AND(Input_Product=Elig!$C1261,Elig_MatchAll_Ct&lt;22,$BC1261=(Elig_MatchAll_Ct-1),AI1261=0),F1261,0)</f>
        <v>0</v>
      </c>
      <c r="BL1261" s="991">
        <f>IF(AND(Input_Product=Elig!$C1261,Elig_MatchAll_Ct&lt;22,$BC1261=(Elig_MatchAll_Ct-1),AJ1261=0),G1261,0)</f>
        <v>0</v>
      </c>
      <c r="BM1261" s="991">
        <f>IF(AND(Input_Product=Elig!$C1261,Elig_MatchAll_Ct&lt;22,$BC1261=(Elig_MatchAll_Ct-1),AK1261=0),H1261,0)</f>
        <v>0</v>
      </c>
      <c r="BN1261" s="991">
        <f>IF(AND(Input_Product=Elig!$C1261,Elig_MatchAll_Ct&lt;22,$BC1261=(Elig_MatchAll_Ct-1),AL1261=0),I1261,0)</f>
        <v>0</v>
      </c>
      <c r="BO1261" s="991">
        <f>IF(AND(Input_Product=Elig!$C1261,Elig_MatchAll_Ct&lt;22,$BC1261=(Elig_MatchAll_Ct-1),AM1261=0),J1261,0)</f>
        <v>0</v>
      </c>
      <c r="BP1261" s="991">
        <f>IF(AND(Input_Product=Elig!$C1261,Elig_MatchAll_Ct&lt;22,$BC1261=(Elig_MatchAll_Ct-1),AN1261=0),K1261,0)</f>
        <v>0</v>
      </c>
      <c r="BQ1261" s="991">
        <f>IF(AND(Input_Product=Elig!$C1261,Elig_MatchAll_Ct&lt;22,$BC1261=(Elig_MatchAll_Ct-1),AP1261=0),L1261,0)</f>
        <v>0</v>
      </c>
      <c r="BR1261" s="991">
        <f>IF(AND(Input_Product=Elig!$C1261,Elig_MatchAll_Ct&lt;22,$BC1261=(Elig_MatchAll_Ct-1),AO1261=0),M1261,0)</f>
        <v>0</v>
      </c>
      <c r="BS1261" s="991">
        <f>IF(AND(Input_Product=Elig!$C1261,Elig_MatchAll_Ct&lt;22,$BC1261=(Elig_MatchAll_Ct-1),AQ1261=0),N1261,0)</f>
        <v>0</v>
      </c>
      <c r="BT1261" s="991">
        <f>IF(AND(Input_Product=Elig!$C1261,Elig_MatchAll_Ct&lt;22,$BC1261=(Elig_MatchAll_Ct-1),AR1261=0),O1261,0)</f>
        <v>0</v>
      </c>
      <c r="BU1261" s="991">
        <f>IF(AND(Input_Product=Elig!$C1261,Elig_MatchAll_Ct&lt;22,$BC1261=(Elig_MatchAll_Ct-1),AS1261=0),P1261,0)</f>
        <v>0</v>
      </c>
      <c r="BV1261" s="992">
        <f>IF(AND(Input_Product=Elig!$C1261,Elig_MatchAll_Ct&lt;22,$BC1261=(Elig_MatchAll_Ct-1),AT1261=0),Q1261,0)</f>
        <v>0</v>
      </c>
      <c r="BW1261" s="993">
        <f>IF(AND(Input_Product=Elig!$C1261,Elig_MatchAll_Ct&lt;22,$BC1261=(Elig_MatchAll_Ct-1),AU1261=0),R1261,0)</f>
        <v>0</v>
      </c>
      <c r="BX1261" s="994">
        <f>IF(AND(Input_Product=Elig!$C1261,Elig_MatchAll_Ct&lt;22,$BC1261=(Elig_MatchAll_Ct-1),AU1261=0),S1261,0)</f>
        <v>0</v>
      </c>
      <c r="BY1261" s="993">
        <f>IF(AND(Input_Product=Elig!$C1261,Elig_MatchAll_Ct&lt;22,$BC1261=(Elig_MatchAll_Ct-1),AV1261=0),T1261,0)</f>
        <v>0</v>
      </c>
      <c r="BZ1261" s="994">
        <f>IF(AND(Input_Product=Elig!$C1261,Elig_MatchAll_Ct&lt;22,$BC1261=(Elig_MatchAll_Ct-1),AV1261=0),U1261,0)</f>
        <v>0</v>
      </c>
      <c r="CA1261" s="993">
        <f>IF(AND(Input_Product=Elig!$C1261,Elig_MatchAll_Ct&lt;22,$BC1261=(Elig_MatchAll_Ct-1),AW1261=0),V1261,0)</f>
        <v>0</v>
      </c>
      <c r="CB1261" s="994">
        <f>IF(AND(Input_Product=Elig!$C1261,Elig_MatchAll_Ct&lt;22,$BC1261=(Elig_MatchAll_Ct-1),AW1261=0),W1261,0)</f>
        <v>0</v>
      </c>
      <c r="CC1261" s="993">
        <f>IF(AND(Input_Product=Elig!$C1261,Elig_MatchAll_Ct&lt;22,$BC1261=(Elig_MatchAll_Ct-1),AX1261=0),X1261,0)</f>
        <v>0</v>
      </c>
      <c r="CD1261" s="994">
        <f>IF(AND(Input_Product=Elig!$C1261,Elig_MatchAll_Ct&lt;22,$BC1261=(Elig_MatchAll_Ct-1),AX1261=0),Y1261,0)</f>
        <v>0</v>
      </c>
      <c r="CE1261" s="993">
        <f>IF(AND(Input_LTV&lt;=AE1261,Input_Product=Elig!$C1261,Elig_MatchAll_Ct&lt;22,$BC1261=(Elig_MatchAll_Ct-1),AY1261=0),Z1261,0)</f>
        <v>0</v>
      </c>
      <c r="CF1261" s="994">
        <f>IF(AND(Input_LTV&lt;=AE1261,Input_Product=Elig!$C1261,Elig_MatchAll_Ct&lt;22,$BC1261=(Elig_MatchAll_Ct-1),AY1261=0),AA1261,0)</f>
        <v>0</v>
      </c>
      <c r="CG1261" s="993">
        <f>IF(AND(Input_Product=Elig!$C1261,Elig_MatchAll_Ct&lt;22,$BC1261=(Elig_MatchAll_Ct-1),AZ1261=0),AB1261,0)</f>
        <v>0</v>
      </c>
      <c r="CH1261" s="994">
        <f>IF(AND(Input_Product=Elig!$C1261,Elig_MatchAll_Ct&lt;22,$BC1261=(Elig_MatchAll_Ct-1),AZ1261=0),AC1261,0)</f>
        <v>0</v>
      </c>
      <c r="CI1261" s="993">
        <f>IF(AND(Input_Product=Elig!$C1261,Elig_MatchAll_Ct&lt;22,$BC1261=(Elig_MatchAll_Ct-1),BA1261=0),AD1261,0)</f>
        <v>0</v>
      </c>
      <c r="CJ1261" s="994">
        <f>IF(AND(Input_Product=Elig!$C1261,Elig_MatchAll_Ct&lt;22,$BC1261=(Elig_MatchAll_Ct-1),BA1261=0),AE1261,0)</f>
        <v>0</v>
      </c>
    </row>
    <row r="1262" spans="2:88" ht="10.15" customHeight="1" x14ac:dyDescent="0.25">
      <c r="B1262" s="1920" t="s">
        <v>2621</v>
      </c>
      <c r="C1262" s="1356" t="str">
        <f t="shared" si="453"/>
        <v xml:space="preserve"> </v>
      </c>
      <c r="D1262" s="1357" t="s">
        <v>2218</v>
      </c>
      <c r="E1262" s="1357" t="s">
        <v>167</v>
      </c>
      <c r="F1262" s="1357" t="s">
        <v>330</v>
      </c>
      <c r="G1262" s="1358" t="s">
        <v>181</v>
      </c>
      <c r="H1262" s="1358" t="s">
        <v>136</v>
      </c>
      <c r="I1262" s="2484" t="s">
        <v>35</v>
      </c>
      <c r="J1262" s="1357" t="s">
        <v>1311</v>
      </c>
      <c r="K1262" s="1358" t="s">
        <v>3022</v>
      </c>
      <c r="L1262" s="1357" t="s">
        <v>2768</v>
      </c>
      <c r="M1262" s="1357" t="s">
        <v>2677</v>
      </c>
      <c r="N1262" s="1358" t="s">
        <v>2685</v>
      </c>
      <c r="O1262" s="1357" t="s">
        <v>2526</v>
      </c>
      <c r="P1262" s="1357" t="s">
        <v>291</v>
      </c>
      <c r="Q1262" s="1357" t="s">
        <v>294</v>
      </c>
      <c r="R1262" s="1357">
        <v>2000000.01</v>
      </c>
      <c r="S1262" s="1357">
        <v>2500000</v>
      </c>
      <c r="T1262" s="1357">
        <v>0</v>
      </c>
      <c r="U1262" s="1357">
        <v>0</v>
      </c>
      <c r="V1262" s="1357">
        <v>0</v>
      </c>
      <c r="W1262" s="1357">
        <v>50</v>
      </c>
      <c r="X1262" s="1357">
        <v>0.8</v>
      </c>
      <c r="Y1262" s="1357">
        <v>999</v>
      </c>
      <c r="Z1262" s="2047">
        <v>660</v>
      </c>
      <c r="AA1262" s="2047">
        <v>660</v>
      </c>
      <c r="AB1262" s="2490">
        <v>0</v>
      </c>
      <c r="AC1262" s="2047">
        <v>999999</v>
      </c>
      <c r="AD1262" s="1357">
        <v>0</v>
      </c>
      <c r="AE1262" s="2487">
        <v>65</v>
      </c>
      <c r="AF1262" s="170">
        <v>0</v>
      </c>
      <c r="AG1262" s="171">
        <v>1</v>
      </c>
      <c r="AH1262" s="171">
        <v>1</v>
      </c>
      <c r="AI1262" s="171">
        <v>0</v>
      </c>
      <c r="AJ1262" s="171">
        <v>0</v>
      </c>
      <c r="AK1262" s="171">
        <v>1</v>
      </c>
      <c r="AL1262" s="171">
        <v>0</v>
      </c>
      <c r="AM1262" s="171">
        <v>1</v>
      </c>
      <c r="AN1262" s="171">
        <v>1</v>
      </c>
      <c r="AO1262" s="171">
        <v>1</v>
      </c>
      <c r="AP1262" s="171">
        <v>1</v>
      </c>
      <c r="AQ1262" s="171">
        <v>1</v>
      </c>
      <c r="AR1262" s="171">
        <v>1</v>
      </c>
      <c r="AS1262" s="171">
        <v>1</v>
      </c>
      <c r="AT1262" s="171">
        <v>1</v>
      </c>
      <c r="AU1262" s="171">
        <f t="shared" si="447"/>
        <v>0</v>
      </c>
      <c r="AV1262" s="171">
        <f t="shared" si="448"/>
        <v>0</v>
      </c>
      <c r="AW1262" s="171">
        <f t="shared" si="449"/>
        <v>1</v>
      </c>
      <c r="AX1262" s="171">
        <f t="shared" si="444"/>
        <v>0</v>
      </c>
      <c r="AY1262" s="171">
        <f t="shared" si="450"/>
        <v>0</v>
      </c>
      <c r="AZ1262" s="171">
        <f t="shared" si="451"/>
        <v>1</v>
      </c>
      <c r="BA1262" s="172">
        <f t="shared" si="452"/>
        <v>1</v>
      </c>
      <c r="BB1262" s="175">
        <f t="shared" si="457"/>
        <v>14</v>
      </c>
      <c r="BC1262" s="176">
        <f t="shared" si="458"/>
        <v>13</v>
      </c>
      <c r="BD1262" s="176">
        <f t="shared" si="459"/>
        <v>14</v>
      </c>
      <c r="BE1262" s="240" t="str">
        <f t="shared" si="460"/>
        <v/>
      </c>
      <c r="BF1262" s="990"/>
      <c r="BG1262" s="990"/>
      <c r="BH1262" s="991">
        <f>IF(AND(Input_Product=Elig!$C1262,Elig_MatchAll_Ct&lt;22,$BC1262=(Elig_MatchAll_Ct-1),AF1262=0),C1262,0)</f>
        <v>0</v>
      </c>
      <c r="BI1262" s="991">
        <f>IF(AND(Input_Product=Elig!$C1262,Elig_MatchAll_Ct&lt;22,$BC1262=(Elig_MatchAll_Ct-1),AG1262=0),D1262,0)</f>
        <v>0</v>
      </c>
      <c r="BJ1262" s="991">
        <f>IF(AND(Input_Product=Elig!$C1262,Elig_MatchAll_Ct&lt;22,$BC1262=(Elig_MatchAll_Ct-1),AH1262=0),E1262,0)</f>
        <v>0</v>
      </c>
      <c r="BK1262" s="991">
        <f>IF(AND(Input_Product=Elig!$C1262,Elig_MatchAll_Ct&lt;22,$BC1262=(Elig_MatchAll_Ct-1),AI1262=0),F1262,0)</f>
        <v>0</v>
      </c>
      <c r="BL1262" s="991">
        <f>IF(AND(Input_Product=Elig!$C1262,Elig_MatchAll_Ct&lt;22,$BC1262=(Elig_MatchAll_Ct-1),AJ1262=0),G1262,0)</f>
        <v>0</v>
      </c>
      <c r="BM1262" s="991">
        <f>IF(AND(Input_Product=Elig!$C1262,Elig_MatchAll_Ct&lt;22,$BC1262=(Elig_MatchAll_Ct-1),AK1262=0),H1262,0)</f>
        <v>0</v>
      </c>
      <c r="BN1262" s="991">
        <f>IF(AND(Input_Product=Elig!$C1262,Elig_MatchAll_Ct&lt;22,$BC1262=(Elig_MatchAll_Ct-1),AL1262=0),I1262,0)</f>
        <v>0</v>
      </c>
      <c r="BO1262" s="991">
        <f>IF(AND(Input_Product=Elig!$C1262,Elig_MatchAll_Ct&lt;22,$BC1262=(Elig_MatchAll_Ct-1),AM1262=0),J1262,0)</f>
        <v>0</v>
      </c>
      <c r="BP1262" s="991">
        <f>IF(AND(Input_Product=Elig!$C1262,Elig_MatchAll_Ct&lt;22,$BC1262=(Elig_MatchAll_Ct-1),AN1262=0),K1262,0)</f>
        <v>0</v>
      </c>
      <c r="BQ1262" s="991">
        <f>IF(AND(Input_Product=Elig!$C1262,Elig_MatchAll_Ct&lt;22,$BC1262=(Elig_MatchAll_Ct-1),AP1262=0),L1262,0)</f>
        <v>0</v>
      </c>
      <c r="BR1262" s="991">
        <f>IF(AND(Input_Product=Elig!$C1262,Elig_MatchAll_Ct&lt;22,$BC1262=(Elig_MatchAll_Ct-1),AO1262=0),M1262,0)</f>
        <v>0</v>
      </c>
      <c r="BS1262" s="991">
        <f>IF(AND(Input_Product=Elig!$C1262,Elig_MatchAll_Ct&lt;22,$BC1262=(Elig_MatchAll_Ct-1),AQ1262=0),N1262,0)</f>
        <v>0</v>
      </c>
      <c r="BT1262" s="991">
        <f>IF(AND(Input_Product=Elig!$C1262,Elig_MatchAll_Ct&lt;22,$BC1262=(Elig_MatchAll_Ct-1),AR1262=0),O1262,0)</f>
        <v>0</v>
      </c>
      <c r="BU1262" s="991">
        <f>IF(AND(Input_Product=Elig!$C1262,Elig_MatchAll_Ct&lt;22,$BC1262=(Elig_MatchAll_Ct-1),AS1262=0),P1262,0)</f>
        <v>0</v>
      </c>
      <c r="BV1262" s="992">
        <f>IF(AND(Input_Product=Elig!$C1262,Elig_MatchAll_Ct&lt;22,$BC1262=(Elig_MatchAll_Ct-1),AT1262=0),Q1262,0)</f>
        <v>0</v>
      </c>
      <c r="BW1262" s="993">
        <f>IF(AND(Input_Product=Elig!$C1262,Elig_MatchAll_Ct&lt;22,$BC1262=(Elig_MatchAll_Ct-1),AU1262=0),R1262,0)</f>
        <v>0</v>
      </c>
      <c r="BX1262" s="994">
        <f>IF(AND(Input_Product=Elig!$C1262,Elig_MatchAll_Ct&lt;22,$BC1262=(Elig_MatchAll_Ct-1),AU1262=0),S1262,0)</f>
        <v>0</v>
      </c>
      <c r="BY1262" s="993">
        <f>IF(AND(Input_Product=Elig!$C1262,Elig_MatchAll_Ct&lt;22,$BC1262=(Elig_MatchAll_Ct-1),AV1262=0),T1262,0)</f>
        <v>0</v>
      </c>
      <c r="BZ1262" s="994">
        <f>IF(AND(Input_Product=Elig!$C1262,Elig_MatchAll_Ct&lt;22,$BC1262=(Elig_MatchAll_Ct-1),AV1262=0),U1262,0)</f>
        <v>0</v>
      </c>
      <c r="CA1262" s="993">
        <f>IF(AND(Input_Product=Elig!$C1262,Elig_MatchAll_Ct&lt;22,$BC1262=(Elig_MatchAll_Ct-1),AW1262=0),V1262,0)</f>
        <v>0</v>
      </c>
      <c r="CB1262" s="994">
        <f>IF(AND(Input_Product=Elig!$C1262,Elig_MatchAll_Ct&lt;22,$BC1262=(Elig_MatchAll_Ct-1),AW1262=0),W1262,0)</f>
        <v>0</v>
      </c>
      <c r="CC1262" s="993">
        <f>IF(AND(Input_Product=Elig!$C1262,Elig_MatchAll_Ct&lt;22,$BC1262=(Elig_MatchAll_Ct-1),AX1262=0),X1262,0)</f>
        <v>0</v>
      </c>
      <c r="CD1262" s="994">
        <f>IF(AND(Input_Product=Elig!$C1262,Elig_MatchAll_Ct&lt;22,$BC1262=(Elig_MatchAll_Ct-1),AX1262=0),Y1262,0)</f>
        <v>0</v>
      </c>
      <c r="CE1262" s="993">
        <f>IF(AND(Input_LTV&lt;=AE1262,Input_Product=Elig!$C1262,Elig_MatchAll_Ct&lt;22,$BC1262=(Elig_MatchAll_Ct-1),AY1262=0),Z1262,0)</f>
        <v>0</v>
      </c>
      <c r="CF1262" s="994">
        <f>IF(AND(Input_LTV&lt;=AE1262,Input_Product=Elig!$C1262,Elig_MatchAll_Ct&lt;22,$BC1262=(Elig_MatchAll_Ct-1),AY1262=0),AA1262,0)</f>
        <v>0</v>
      </c>
      <c r="CG1262" s="993">
        <f>IF(AND(Input_Product=Elig!$C1262,Elig_MatchAll_Ct&lt;22,$BC1262=(Elig_MatchAll_Ct-1),AZ1262=0),AB1262,0)</f>
        <v>0</v>
      </c>
      <c r="CH1262" s="994">
        <f>IF(AND(Input_Product=Elig!$C1262,Elig_MatchAll_Ct&lt;22,$BC1262=(Elig_MatchAll_Ct-1),AZ1262=0),AC1262,0)</f>
        <v>0</v>
      </c>
      <c r="CI1262" s="993">
        <f>IF(AND(Input_Product=Elig!$C1262,Elig_MatchAll_Ct&lt;22,$BC1262=(Elig_MatchAll_Ct-1),BA1262=0),AD1262,0)</f>
        <v>0</v>
      </c>
      <c r="CJ1262" s="994">
        <f>IF(AND(Input_Product=Elig!$C1262,Elig_MatchAll_Ct&lt;22,$BC1262=(Elig_MatchAll_Ct-1),BA1262=0),AE1262,0)</f>
        <v>0</v>
      </c>
    </row>
    <row r="1263" spans="2:88" ht="10.15" customHeight="1" x14ac:dyDescent="0.25">
      <c r="B1263" s="1920" t="s">
        <v>2622</v>
      </c>
      <c r="C1263" s="1353" t="str">
        <f t="shared" si="453"/>
        <v xml:space="preserve"> </v>
      </c>
      <c r="D1263" s="1354" t="s">
        <v>2218</v>
      </c>
      <c r="E1263" s="1354" t="s">
        <v>167</v>
      </c>
      <c r="F1263" s="1354" t="s">
        <v>330</v>
      </c>
      <c r="G1263" s="1355" t="s">
        <v>181</v>
      </c>
      <c r="H1263" s="1355" t="s">
        <v>136</v>
      </c>
      <c r="I1263" s="2482" t="s">
        <v>35</v>
      </c>
      <c r="J1263" s="1354" t="s">
        <v>1311</v>
      </c>
      <c r="K1263" s="1355" t="s">
        <v>3022</v>
      </c>
      <c r="L1263" s="1354" t="s">
        <v>2768</v>
      </c>
      <c r="M1263" s="1354" t="s">
        <v>2677</v>
      </c>
      <c r="N1263" s="1355" t="s">
        <v>2685</v>
      </c>
      <c r="O1263" s="1354" t="s">
        <v>2526</v>
      </c>
      <c r="P1263" s="1354" t="s">
        <v>291</v>
      </c>
      <c r="Q1263" s="1354" t="s">
        <v>294</v>
      </c>
      <c r="R1263" s="1354">
        <v>2500000.0099999998</v>
      </c>
      <c r="S1263" s="1354">
        <v>3000000</v>
      </c>
      <c r="T1263" s="1354">
        <v>0</v>
      </c>
      <c r="U1263" s="1354">
        <v>0</v>
      </c>
      <c r="V1263" s="1354">
        <v>0</v>
      </c>
      <c r="W1263" s="1354">
        <v>50</v>
      </c>
      <c r="X1263" s="1354">
        <v>0.8</v>
      </c>
      <c r="Y1263" s="1354">
        <v>999</v>
      </c>
      <c r="Z1263" s="2043">
        <v>720</v>
      </c>
      <c r="AA1263" s="2043">
        <v>999</v>
      </c>
      <c r="AB1263" s="2488">
        <v>0</v>
      </c>
      <c r="AC1263" s="2043">
        <v>999999</v>
      </c>
      <c r="AD1263" s="1354">
        <v>0</v>
      </c>
      <c r="AE1263" s="2485">
        <v>65</v>
      </c>
      <c r="AF1263" s="170">
        <v>0</v>
      </c>
      <c r="AG1263" s="171">
        <v>1</v>
      </c>
      <c r="AH1263" s="171">
        <v>1</v>
      </c>
      <c r="AI1263" s="171">
        <v>0</v>
      </c>
      <c r="AJ1263" s="171">
        <v>0</v>
      </c>
      <c r="AK1263" s="171">
        <v>1</v>
      </c>
      <c r="AL1263" s="171">
        <v>0</v>
      </c>
      <c r="AM1263" s="171">
        <v>1</v>
      </c>
      <c r="AN1263" s="171">
        <v>1</v>
      </c>
      <c r="AO1263" s="171">
        <v>1</v>
      </c>
      <c r="AP1263" s="171">
        <v>1</v>
      </c>
      <c r="AQ1263" s="171">
        <v>1</v>
      </c>
      <c r="AR1263" s="171">
        <v>1</v>
      </c>
      <c r="AS1263" s="171">
        <v>1</v>
      </c>
      <c r="AT1263" s="171">
        <v>1</v>
      </c>
      <c r="AU1263" s="171">
        <f t="shared" si="447"/>
        <v>0</v>
      </c>
      <c r="AV1263" s="171">
        <f t="shared" si="448"/>
        <v>0</v>
      </c>
      <c r="AW1263" s="171">
        <f t="shared" si="449"/>
        <v>1</v>
      </c>
      <c r="AX1263" s="171">
        <f t="shared" si="444"/>
        <v>0</v>
      </c>
      <c r="AY1263" s="171">
        <f t="shared" si="450"/>
        <v>1</v>
      </c>
      <c r="AZ1263" s="171">
        <f t="shared" si="451"/>
        <v>1</v>
      </c>
      <c r="BA1263" s="172">
        <f t="shared" si="452"/>
        <v>1</v>
      </c>
      <c r="BB1263" s="175">
        <f t="shared" si="457"/>
        <v>15</v>
      </c>
      <c r="BC1263" s="176">
        <f t="shared" si="458"/>
        <v>14</v>
      </c>
      <c r="BD1263" s="176">
        <f t="shared" si="459"/>
        <v>15</v>
      </c>
      <c r="BE1263" s="240" t="str">
        <f t="shared" si="460"/>
        <v/>
      </c>
      <c r="BF1263" s="990"/>
      <c r="BG1263" s="990"/>
      <c r="BH1263" s="991">
        <f>IF(AND(Input_Product=Elig!$C1263,Elig_MatchAll_Ct&lt;22,$BC1263=(Elig_MatchAll_Ct-1),AF1263=0),C1263,0)</f>
        <v>0</v>
      </c>
      <c r="BI1263" s="991">
        <f>IF(AND(Input_Product=Elig!$C1263,Elig_MatchAll_Ct&lt;22,$BC1263=(Elig_MatchAll_Ct-1),AG1263=0),D1263,0)</f>
        <v>0</v>
      </c>
      <c r="BJ1263" s="991">
        <f>IF(AND(Input_Product=Elig!$C1263,Elig_MatchAll_Ct&lt;22,$BC1263=(Elig_MatchAll_Ct-1),AH1263=0),E1263,0)</f>
        <v>0</v>
      </c>
      <c r="BK1263" s="991">
        <f>IF(AND(Input_Product=Elig!$C1263,Elig_MatchAll_Ct&lt;22,$BC1263=(Elig_MatchAll_Ct-1),AI1263=0),F1263,0)</f>
        <v>0</v>
      </c>
      <c r="BL1263" s="991">
        <f>IF(AND(Input_Product=Elig!$C1263,Elig_MatchAll_Ct&lt;22,$BC1263=(Elig_MatchAll_Ct-1),AJ1263=0),G1263,0)</f>
        <v>0</v>
      </c>
      <c r="BM1263" s="991">
        <f>IF(AND(Input_Product=Elig!$C1263,Elig_MatchAll_Ct&lt;22,$BC1263=(Elig_MatchAll_Ct-1),AK1263=0),H1263,0)</f>
        <v>0</v>
      </c>
      <c r="BN1263" s="991">
        <f>IF(AND(Input_Product=Elig!$C1263,Elig_MatchAll_Ct&lt;22,$BC1263=(Elig_MatchAll_Ct-1),AL1263=0),I1263,0)</f>
        <v>0</v>
      </c>
      <c r="BO1263" s="991">
        <f>IF(AND(Input_Product=Elig!$C1263,Elig_MatchAll_Ct&lt;22,$BC1263=(Elig_MatchAll_Ct-1),AM1263=0),J1263,0)</f>
        <v>0</v>
      </c>
      <c r="BP1263" s="991">
        <f>IF(AND(Input_Product=Elig!$C1263,Elig_MatchAll_Ct&lt;22,$BC1263=(Elig_MatchAll_Ct-1),AN1263=0),K1263,0)</f>
        <v>0</v>
      </c>
      <c r="BQ1263" s="991">
        <f>IF(AND(Input_Product=Elig!$C1263,Elig_MatchAll_Ct&lt;22,$BC1263=(Elig_MatchAll_Ct-1),AP1263=0),L1263,0)</f>
        <v>0</v>
      </c>
      <c r="BR1263" s="991">
        <f>IF(AND(Input_Product=Elig!$C1263,Elig_MatchAll_Ct&lt;22,$BC1263=(Elig_MatchAll_Ct-1),AO1263=0),M1263,0)</f>
        <v>0</v>
      </c>
      <c r="BS1263" s="991">
        <f>IF(AND(Input_Product=Elig!$C1263,Elig_MatchAll_Ct&lt;22,$BC1263=(Elig_MatchAll_Ct-1),AQ1263=0),N1263,0)</f>
        <v>0</v>
      </c>
      <c r="BT1263" s="991">
        <f>IF(AND(Input_Product=Elig!$C1263,Elig_MatchAll_Ct&lt;22,$BC1263=(Elig_MatchAll_Ct-1),AR1263=0),O1263,0)</f>
        <v>0</v>
      </c>
      <c r="BU1263" s="991">
        <f>IF(AND(Input_Product=Elig!$C1263,Elig_MatchAll_Ct&lt;22,$BC1263=(Elig_MatchAll_Ct-1),AS1263=0),P1263,0)</f>
        <v>0</v>
      </c>
      <c r="BV1263" s="992">
        <f>IF(AND(Input_Product=Elig!$C1263,Elig_MatchAll_Ct&lt;22,$BC1263=(Elig_MatchAll_Ct-1),AT1263=0),Q1263,0)</f>
        <v>0</v>
      </c>
      <c r="BW1263" s="993">
        <f>IF(AND(Input_Product=Elig!$C1263,Elig_MatchAll_Ct&lt;22,$BC1263=(Elig_MatchAll_Ct-1),AU1263=0),R1263,0)</f>
        <v>0</v>
      </c>
      <c r="BX1263" s="994">
        <f>IF(AND(Input_Product=Elig!$C1263,Elig_MatchAll_Ct&lt;22,$BC1263=(Elig_MatchAll_Ct-1),AU1263=0),S1263,0)</f>
        <v>0</v>
      </c>
      <c r="BY1263" s="993">
        <f>IF(AND(Input_Product=Elig!$C1263,Elig_MatchAll_Ct&lt;22,$BC1263=(Elig_MatchAll_Ct-1),AV1263=0),T1263,0)</f>
        <v>0</v>
      </c>
      <c r="BZ1263" s="994">
        <f>IF(AND(Input_Product=Elig!$C1263,Elig_MatchAll_Ct&lt;22,$BC1263=(Elig_MatchAll_Ct-1),AV1263=0),U1263,0)</f>
        <v>0</v>
      </c>
      <c r="CA1263" s="993">
        <f>IF(AND(Input_Product=Elig!$C1263,Elig_MatchAll_Ct&lt;22,$BC1263=(Elig_MatchAll_Ct-1),AW1263=0),V1263,0)</f>
        <v>0</v>
      </c>
      <c r="CB1263" s="994">
        <f>IF(AND(Input_Product=Elig!$C1263,Elig_MatchAll_Ct&lt;22,$BC1263=(Elig_MatchAll_Ct-1),AW1263=0),W1263,0)</f>
        <v>0</v>
      </c>
      <c r="CC1263" s="993">
        <f>IF(AND(Input_Product=Elig!$C1263,Elig_MatchAll_Ct&lt;22,$BC1263=(Elig_MatchAll_Ct-1),AX1263=0),X1263,0)</f>
        <v>0</v>
      </c>
      <c r="CD1263" s="994">
        <f>IF(AND(Input_Product=Elig!$C1263,Elig_MatchAll_Ct&lt;22,$BC1263=(Elig_MatchAll_Ct-1),AX1263=0),Y1263,0)</f>
        <v>0</v>
      </c>
      <c r="CE1263" s="993">
        <f>IF(AND(Input_LTV&lt;=AE1263,Input_Product=Elig!$C1263,Elig_MatchAll_Ct&lt;22,$BC1263=(Elig_MatchAll_Ct-1),AY1263=0),Z1263,0)</f>
        <v>0</v>
      </c>
      <c r="CF1263" s="994">
        <f>IF(AND(Input_LTV&lt;=AE1263,Input_Product=Elig!$C1263,Elig_MatchAll_Ct&lt;22,$BC1263=(Elig_MatchAll_Ct-1),AY1263=0),AA1263,0)</f>
        <v>0</v>
      </c>
      <c r="CG1263" s="993">
        <f>IF(AND(Input_Product=Elig!$C1263,Elig_MatchAll_Ct&lt;22,$BC1263=(Elig_MatchAll_Ct-1),AZ1263=0),AB1263,0)</f>
        <v>0</v>
      </c>
      <c r="CH1263" s="994">
        <f>IF(AND(Input_Product=Elig!$C1263,Elig_MatchAll_Ct&lt;22,$BC1263=(Elig_MatchAll_Ct-1),AZ1263=0),AC1263,0)</f>
        <v>0</v>
      </c>
      <c r="CI1263" s="993">
        <f>IF(AND(Input_Product=Elig!$C1263,Elig_MatchAll_Ct&lt;22,$BC1263=(Elig_MatchAll_Ct-1),BA1263=0),AD1263,0)</f>
        <v>0</v>
      </c>
      <c r="CJ1263" s="994">
        <f>IF(AND(Input_Product=Elig!$C1263,Elig_MatchAll_Ct&lt;22,$BC1263=(Elig_MatchAll_Ct-1),BA1263=0),AE1263,0)</f>
        <v>0</v>
      </c>
    </row>
    <row r="1264" spans="2:88" ht="10.15" customHeight="1" x14ac:dyDescent="0.25">
      <c r="B1264" s="1920" t="s">
        <v>2623</v>
      </c>
      <c r="C1264" s="1359" t="str">
        <f t="shared" si="453"/>
        <v xml:space="preserve"> </v>
      </c>
      <c r="D1264" s="1360" t="s">
        <v>2218</v>
      </c>
      <c r="E1264" s="1360" t="s">
        <v>167</v>
      </c>
      <c r="F1264" s="1360" t="s">
        <v>330</v>
      </c>
      <c r="G1264" s="1361" t="s">
        <v>181</v>
      </c>
      <c r="H1264" s="1361" t="s">
        <v>136</v>
      </c>
      <c r="I1264" s="2483" t="s">
        <v>35</v>
      </c>
      <c r="J1264" s="1360" t="s">
        <v>1311</v>
      </c>
      <c r="K1264" s="1361" t="s">
        <v>3022</v>
      </c>
      <c r="L1264" s="1360" t="s">
        <v>2768</v>
      </c>
      <c r="M1264" s="1360" t="s">
        <v>2677</v>
      </c>
      <c r="N1264" s="1361" t="s">
        <v>2685</v>
      </c>
      <c r="O1264" s="1360" t="s">
        <v>2526</v>
      </c>
      <c r="P1264" s="1360" t="s">
        <v>291</v>
      </c>
      <c r="Q1264" s="1360" t="s">
        <v>294</v>
      </c>
      <c r="R1264" s="1360">
        <v>2500000.0099999998</v>
      </c>
      <c r="S1264" s="1360">
        <v>3000000</v>
      </c>
      <c r="T1264" s="1360">
        <v>0</v>
      </c>
      <c r="U1264" s="1360">
        <v>0</v>
      </c>
      <c r="V1264" s="1360">
        <v>0</v>
      </c>
      <c r="W1264" s="1360">
        <v>50</v>
      </c>
      <c r="X1264" s="1360">
        <v>0.8</v>
      </c>
      <c r="Y1264" s="1360">
        <v>999</v>
      </c>
      <c r="Z1264" s="2045">
        <v>700</v>
      </c>
      <c r="AA1264" s="2045">
        <v>719</v>
      </c>
      <c r="AB1264" s="2489">
        <v>0</v>
      </c>
      <c r="AC1264" s="2045">
        <v>999999</v>
      </c>
      <c r="AD1264" s="1360">
        <v>0</v>
      </c>
      <c r="AE1264" s="2486">
        <v>65</v>
      </c>
      <c r="AF1264" s="170">
        <v>0</v>
      </c>
      <c r="AG1264" s="171">
        <v>1</v>
      </c>
      <c r="AH1264" s="171">
        <v>1</v>
      </c>
      <c r="AI1264" s="171">
        <v>0</v>
      </c>
      <c r="AJ1264" s="171">
        <v>0</v>
      </c>
      <c r="AK1264" s="171">
        <v>1</v>
      </c>
      <c r="AL1264" s="171">
        <v>0</v>
      </c>
      <c r="AM1264" s="171">
        <v>1</v>
      </c>
      <c r="AN1264" s="171">
        <v>1</v>
      </c>
      <c r="AO1264" s="171">
        <v>1</v>
      </c>
      <c r="AP1264" s="171">
        <v>1</v>
      </c>
      <c r="AQ1264" s="171">
        <v>1</v>
      </c>
      <c r="AR1264" s="171">
        <v>1</v>
      </c>
      <c r="AS1264" s="171">
        <v>1</v>
      </c>
      <c r="AT1264" s="171">
        <v>1</v>
      </c>
      <c r="AU1264" s="171">
        <f t="shared" si="447"/>
        <v>0</v>
      </c>
      <c r="AV1264" s="171">
        <f t="shared" si="448"/>
        <v>0</v>
      </c>
      <c r="AW1264" s="171">
        <f t="shared" si="449"/>
        <v>1</v>
      </c>
      <c r="AX1264" s="171">
        <f t="shared" si="444"/>
        <v>0</v>
      </c>
      <c r="AY1264" s="171">
        <f t="shared" si="450"/>
        <v>0</v>
      </c>
      <c r="AZ1264" s="171">
        <f t="shared" si="451"/>
        <v>1</v>
      </c>
      <c r="BA1264" s="172">
        <f t="shared" si="452"/>
        <v>1</v>
      </c>
      <c r="BB1264" s="175">
        <f t="shared" si="457"/>
        <v>14</v>
      </c>
      <c r="BC1264" s="176">
        <f t="shared" si="458"/>
        <v>13</v>
      </c>
      <c r="BD1264" s="176">
        <f t="shared" si="459"/>
        <v>14</v>
      </c>
      <c r="BE1264" s="240" t="str">
        <f t="shared" si="460"/>
        <v/>
      </c>
      <c r="BF1264" s="990"/>
      <c r="BG1264" s="990"/>
      <c r="BH1264" s="991">
        <f>IF(AND(Input_Product=Elig!$C1264,Elig_MatchAll_Ct&lt;22,$BC1264=(Elig_MatchAll_Ct-1),AF1264=0),C1264,0)</f>
        <v>0</v>
      </c>
      <c r="BI1264" s="991">
        <f>IF(AND(Input_Product=Elig!$C1264,Elig_MatchAll_Ct&lt;22,$BC1264=(Elig_MatchAll_Ct-1),AG1264=0),D1264,0)</f>
        <v>0</v>
      </c>
      <c r="BJ1264" s="991">
        <f>IF(AND(Input_Product=Elig!$C1264,Elig_MatchAll_Ct&lt;22,$BC1264=(Elig_MatchAll_Ct-1),AH1264=0),E1264,0)</f>
        <v>0</v>
      </c>
      <c r="BK1264" s="991">
        <f>IF(AND(Input_Product=Elig!$C1264,Elig_MatchAll_Ct&lt;22,$BC1264=(Elig_MatchAll_Ct-1),AI1264=0),F1264,0)</f>
        <v>0</v>
      </c>
      <c r="BL1264" s="991">
        <f>IF(AND(Input_Product=Elig!$C1264,Elig_MatchAll_Ct&lt;22,$BC1264=(Elig_MatchAll_Ct-1),AJ1264=0),G1264,0)</f>
        <v>0</v>
      </c>
      <c r="BM1264" s="991">
        <f>IF(AND(Input_Product=Elig!$C1264,Elig_MatchAll_Ct&lt;22,$BC1264=(Elig_MatchAll_Ct-1),AK1264=0),H1264,0)</f>
        <v>0</v>
      </c>
      <c r="BN1264" s="991">
        <f>IF(AND(Input_Product=Elig!$C1264,Elig_MatchAll_Ct&lt;22,$BC1264=(Elig_MatchAll_Ct-1),AL1264=0),I1264,0)</f>
        <v>0</v>
      </c>
      <c r="BO1264" s="991">
        <f>IF(AND(Input_Product=Elig!$C1264,Elig_MatchAll_Ct&lt;22,$BC1264=(Elig_MatchAll_Ct-1),AM1264=0),J1264,0)</f>
        <v>0</v>
      </c>
      <c r="BP1264" s="991">
        <f>IF(AND(Input_Product=Elig!$C1264,Elig_MatchAll_Ct&lt;22,$BC1264=(Elig_MatchAll_Ct-1),AN1264=0),K1264,0)</f>
        <v>0</v>
      </c>
      <c r="BQ1264" s="991">
        <f>IF(AND(Input_Product=Elig!$C1264,Elig_MatchAll_Ct&lt;22,$BC1264=(Elig_MatchAll_Ct-1),AP1264=0),L1264,0)</f>
        <v>0</v>
      </c>
      <c r="BR1264" s="991">
        <f>IF(AND(Input_Product=Elig!$C1264,Elig_MatchAll_Ct&lt;22,$BC1264=(Elig_MatchAll_Ct-1),AO1264=0),M1264,0)</f>
        <v>0</v>
      </c>
      <c r="BS1264" s="991">
        <f>IF(AND(Input_Product=Elig!$C1264,Elig_MatchAll_Ct&lt;22,$BC1264=(Elig_MatchAll_Ct-1),AQ1264=0),N1264,0)</f>
        <v>0</v>
      </c>
      <c r="BT1264" s="991">
        <f>IF(AND(Input_Product=Elig!$C1264,Elig_MatchAll_Ct&lt;22,$BC1264=(Elig_MatchAll_Ct-1),AR1264=0),O1264,0)</f>
        <v>0</v>
      </c>
      <c r="BU1264" s="991">
        <f>IF(AND(Input_Product=Elig!$C1264,Elig_MatchAll_Ct&lt;22,$BC1264=(Elig_MatchAll_Ct-1),AS1264=0),P1264,0)</f>
        <v>0</v>
      </c>
      <c r="BV1264" s="992">
        <f>IF(AND(Input_Product=Elig!$C1264,Elig_MatchAll_Ct&lt;22,$BC1264=(Elig_MatchAll_Ct-1),AT1264=0),Q1264,0)</f>
        <v>0</v>
      </c>
      <c r="BW1264" s="993">
        <f>IF(AND(Input_Product=Elig!$C1264,Elig_MatchAll_Ct&lt;22,$BC1264=(Elig_MatchAll_Ct-1),AU1264=0),R1264,0)</f>
        <v>0</v>
      </c>
      <c r="BX1264" s="994">
        <f>IF(AND(Input_Product=Elig!$C1264,Elig_MatchAll_Ct&lt;22,$BC1264=(Elig_MatchAll_Ct-1),AU1264=0),S1264,0)</f>
        <v>0</v>
      </c>
      <c r="BY1264" s="993">
        <f>IF(AND(Input_Product=Elig!$C1264,Elig_MatchAll_Ct&lt;22,$BC1264=(Elig_MatchAll_Ct-1),AV1264=0),T1264,0)</f>
        <v>0</v>
      </c>
      <c r="BZ1264" s="994">
        <f>IF(AND(Input_Product=Elig!$C1264,Elig_MatchAll_Ct&lt;22,$BC1264=(Elig_MatchAll_Ct-1),AV1264=0),U1264,0)</f>
        <v>0</v>
      </c>
      <c r="CA1264" s="993">
        <f>IF(AND(Input_Product=Elig!$C1264,Elig_MatchAll_Ct&lt;22,$BC1264=(Elig_MatchAll_Ct-1),AW1264=0),V1264,0)</f>
        <v>0</v>
      </c>
      <c r="CB1264" s="994">
        <f>IF(AND(Input_Product=Elig!$C1264,Elig_MatchAll_Ct&lt;22,$BC1264=(Elig_MatchAll_Ct-1),AW1264=0),W1264,0)</f>
        <v>0</v>
      </c>
      <c r="CC1264" s="993">
        <f>IF(AND(Input_Product=Elig!$C1264,Elig_MatchAll_Ct&lt;22,$BC1264=(Elig_MatchAll_Ct-1),AX1264=0),X1264,0)</f>
        <v>0</v>
      </c>
      <c r="CD1264" s="994">
        <f>IF(AND(Input_Product=Elig!$C1264,Elig_MatchAll_Ct&lt;22,$BC1264=(Elig_MatchAll_Ct-1),AX1264=0),Y1264,0)</f>
        <v>0</v>
      </c>
      <c r="CE1264" s="993">
        <f>IF(AND(Input_LTV&lt;=AE1264,Input_Product=Elig!$C1264,Elig_MatchAll_Ct&lt;22,$BC1264=(Elig_MatchAll_Ct-1),AY1264=0),Z1264,0)</f>
        <v>0</v>
      </c>
      <c r="CF1264" s="994">
        <f>IF(AND(Input_LTV&lt;=AE1264,Input_Product=Elig!$C1264,Elig_MatchAll_Ct&lt;22,$BC1264=(Elig_MatchAll_Ct-1),AY1264=0),AA1264,0)</f>
        <v>0</v>
      </c>
      <c r="CG1264" s="993">
        <f>IF(AND(Input_Product=Elig!$C1264,Elig_MatchAll_Ct&lt;22,$BC1264=(Elig_MatchAll_Ct-1),AZ1264=0),AB1264,0)</f>
        <v>0</v>
      </c>
      <c r="CH1264" s="994">
        <f>IF(AND(Input_Product=Elig!$C1264,Elig_MatchAll_Ct&lt;22,$BC1264=(Elig_MatchAll_Ct-1),AZ1264=0),AC1264,0)</f>
        <v>0</v>
      </c>
      <c r="CI1264" s="993">
        <f>IF(AND(Input_Product=Elig!$C1264,Elig_MatchAll_Ct&lt;22,$BC1264=(Elig_MatchAll_Ct-1),BA1264=0),AD1264,0)</f>
        <v>0</v>
      </c>
      <c r="CJ1264" s="994">
        <f>IF(AND(Input_Product=Elig!$C1264,Elig_MatchAll_Ct&lt;22,$BC1264=(Elig_MatchAll_Ct-1),BA1264=0),AE1264,0)</f>
        <v>0</v>
      </c>
    </row>
    <row r="1265" spans="2:88" ht="10.15" customHeight="1" x14ac:dyDescent="0.25">
      <c r="B1265" s="1920" t="s">
        <v>2624</v>
      </c>
      <c r="C1265" s="1356" t="str">
        <f t="shared" si="453"/>
        <v xml:space="preserve"> </v>
      </c>
      <c r="D1265" s="1357" t="s">
        <v>2218</v>
      </c>
      <c r="E1265" s="1357" t="s">
        <v>167</v>
      </c>
      <c r="F1265" s="1357" t="s">
        <v>330</v>
      </c>
      <c r="G1265" s="1358" t="s">
        <v>181</v>
      </c>
      <c r="H1265" s="1358" t="s">
        <v>136</v>
      </c>
      <c r="I1265" s="2484" t="s">
        <v>35</v>
      </c>
      <c r="J1265" s="1357" t="s">
        <v>1311</v>
      </c>
      <c r="K1265" s="1358" t="s">
        <v>3022</v>
      </c>
      <c r="L1265" s="1357" t="s">
        <v>2768</v>
      </c>
      <c r="M1265" s="1357" t="s">
        <v>2677</v>
      </c>
      <c r="N1265" s="1358" t="s">
        <v>2685</v>
      </c>
      <c r="O1265" s="1357" t="s">
        <v>2526</v>
      </c>
      <c r="P1265" s="1357" t="s">
        <v>291</v>
      </c>
      <c r="Q1265" s="1357" t="s">
        <v>294</v>
      </c>
      <c r="R1265" s="1357">
        <v>2500000.0099999998</v>
      </c>
      <c r="S1265" s="1357">
        <v>3000000</v>
      </c>
      <c r="T1265" s="1357">
        <v>0</v>
      </c>
      <c r="U1265" s="1357">
        <v>0</v>
      </c>
      <c r="V1265" s="1357">
        <v>0</v>
      </c>
      <c r="W1265" s="1357">
        <v>50</v>
      </c>
      <c r="X1265" s="1357">
        <v>0.8</v>
      </c>
      <c r="Y1265" s="1357">
        <v>999</v>
      </c>
      <c r="Z1265" s="2047">
        <v>660</v>
      </c>
      <c r="AA1265" s="2047">
        <v>660</v>
      </c>
      <c r="AB1265" s="2490">
        <v>0</v>
      </c>
      <c r="AC1265" s="2047">
        <v>999999</v>
      </c>
      <c r="AD1265" s="1357">
        <v>0</v>
      </c>
      <c r="AE1265" s="2487">
        <v>65</v>
      </c>
      <c r="AF1265" s="170">
        <v>0</v>
      </c>
      <c r="AG1265" s="171">
        <v>1</v>
      </c>
      <c r="AH1265" s="171">
        <v>1</v>
      </c>
      <c r="AI1265" s="171">
        <v>0</v>
      </c>
      <c r="AJ1265" s="171">
        <v>0</v>
      </c>
      <c r="AK1265" s="171">
        <v>1</v>
      </c>
      <c r="AL1265" s="171">
        <v>0</v>
      </c>
      <c r="AM1265" s="171">
        <v>1</v>
      </c>
      <c r="AN1265" s="171">
        <v>1</v>
      </c>
      <c r="AO1265" s="171">
        <v>1</v>
      </c>
      <c r="AP1265" s="171">
        <v>1</v>
      </c>
      <c r="AQ1265" s="171">
        <v>1</v>
      </c>
      <c r="AR1265" s="171">
        <v>1</v>
      </c>
      <c r="AS1265" s="171">
        <v>1</v>
      </c>
      <c r="AT1265" s="171">
        <v>1</v>
      </c>
      <c r="AU1265" s="171">
        <f t="shared" si="447"/>
        <v>0</v>
      </c>
      <c r="AV1265" s="171">
        <f t="shared" si="448"/>
        <v>0</v>
      </c>
      <c r="AW1265" s="171">
        <f t="shared" si="449"/>
        <v>1</v>
      </c>
      <c r="AX1265" s="171">
        <f t="shared" si="444"/>
        <v>0</v>
      </c>
      <c r="AY1265" s="171">
        <f t="shared" si="450"/>
        <v>0</v>
      </c>
      <c r="AZ1265" s="171">
        <f t="shared" si="451"/>
        <v>1</v>
      </c>
      <c r="BA1265" s="172">
        <f t="shared" si="452"/>
        <v>1</v>
      </c>
      <c r="BB1265" s="175">
        <f t="shared" si="457"/>
        <v>14</v>
      </c>
      <c r="BC1265" s="176">
        <f t="shared" si="458"/>
        <v>13</v>
      </c>
      <c r="BD1265" s="176">
        <f t="shared" si="459"/>
        <v>14</v>
      </c>
      <c r="BE1265" s="240" t="str">
        <f t="shared" si="460"/>
        <v/>
      </c>
      <c r="BF1265" s="990"/>
      <c r="BG1265" s="990"/>
      <c r="BH1265" s="991">
        <f>IF(AND(Input_Product=Elig!$C1265,Elig_MatchAll_Ct&lt;22,$BC1265=(Elig_MatchAll_Ct-1),AF1265=0),C1265,0)</f>
        <v>0</v>
      </c>
      <c r="BI1265" s="991">
        <f>IF(AND(Input_Product=Elig!$C1265,Elig_MatchAll_Ct&lt;22,$BC1265=(Elig_MatchAll_Ct-1),AG1265=0),D1265,0)</f>
        <v>0</v>
      </c>
      <c r="BJ1265" s="991">
        <f>IF(AND(Input_Product=Elig!$C1265,Elig_MatchAll_Ct&lt;22,$BC1265=(Elig_MatchAll_Ct-1),AH1265=0),E1265,0)</f>
        <v>0</v>
      </c>
      <c r="BK1265" s="991">
        <f>IF(AND(Input_Product=Elig!$C1265,Elig_MatchAll_Ct&lt;22,$BC1265=(Elig_MatchAll_Ct-1),AI1265=0),F1265,0)</f>
        <v>0</v>
      </c>
      <c r="BL1265" s="991">
        <f>IF(AND(Input_Product=Elig!$C1265,Elig_MatchAll_Ct&lt;22,$BC1265=(Elig_MatchAll_Ct-1),AJ1265=0),G1265,0)</f>
        <v>0</v>
      </c>
      <c r="BM1265" s="991">
        <f>IF(AND(Input_Product=Elig!$C1265,Elig_MatchAll_Ct&lt;22,$BC1265=(Elig_MatchAll_Ct-1),AK1265=0),H1265,0)</f>
        <v>0</v>
      </c>
      <c r="BN1265" s="991">
        <f>IF(AND(Input_Product=Elig!$C1265,Elig_MatchAll_Ct&lt;22,$BC1265=(Elig_MatchAll_Ct-1),AL1265=0),I1265,0)</f>
        <v>0</v>
      </c>
      <c r="BO1265" s="991">
        <f>IF(AND(Input_Product=Elig!$C1265,Elig_MatchAll_Ct&lt;22,$BC1265=(Elig_MatchAll_Ct-1),AM1265=0),J1265,0)</f>
        <v>0</v>
      </c>
      <c r="BP1265" s="991">
        <f>IF(AND(Input_Product=Elig!$C1265,Elig_MatchAll_Ct&lt;22,$BC1265=(Elig_MatchAll_Ct-1),AN1265=0),K1265,0)</f>
        <v>0</v>
      </c>
      <c r="BQ1265" s="991">
        <f>IF(AND(Input_Product=Elig!$C1265,Elig_MatchAll_Ct&lt;22,$BC1265=(Elig_MatchAll_Ct-1),AP1265=0),L1265,0)</f>
        <v>0</v>
      </c>
      <c r="BR1265" s="991">
        <f>IF(AND(Input_Product=Elig!$C1265,Elig_MatchAll_Ct&lt;22,$BC1265=(Elig_MatchAll_Ct-1),AO1265=0),M1265,0)</f>
        <v>0</v>
      </c>
      <c r="BS1265" s="991">
        <f>IF(AND(Input_Product=Elig!$C1265,Elig_MatchAll_Ct&lt;22,$BC1265=(Elig_MatchAll_Ct-1),AQ1265=0),N1265,0)</f>
        <v>0</v>
      </c>
      <c r="BT1265" s="991">
        <f>IF(AND(Input_Product=Elig!$C1265,Elig_MatchAll_Ct&lt;22,$BC1265=(Elig_MatchAll_Ct-1),AR1265=0),O1265,0)</f>
        <v>0</v>
      </c>
      <c r="BU1265" s="991">
        <f>IF(AND(Input_Product=Elig!$C1265,Elig_MatchAll_Ct&lt;22,$BC1265=(Elig_MatchAll_Ct-1),AS1265=0),P1265,0)</f>
        <v>0</v>
      </c>
      <c r="BV1265" s="992">
        <f>IF(AND(Input_Product=Elig!$C1265,Elig_MatchAll_Ct&lt;22,$BC1265=(Elig_MatchAll_Ct-1),AT1265=0),Q1265,0)</f>
        <v>0</v>
      </c>
      <c r="BW1265" s="993">
        <f>IF(AND(Input_Product=Elig!$C1265,Elig_MatchAll_Ct&lt;22,$BC1265=(Elig_MatchAll_Ct-1),AU1265=0),R1265,0)</f>
        <v>0</v>
      </c>
      <c r="BX1265" s="994">
        <f>IF(AND(Input_Product=Elig!$C1265,Elig_MatchAll_Ct&lt;22,$BC1265=(Elig_MatchAll_Ct-1),AU1265=0),S1265,0)</f>
        <v>0</v>
      </c>
      <c r="BY1265" s="993">
        <f>IF(AND(Input_Product=Elig!$C1265,Elig_MatchAll_Ct&lt;22,$BC1265=(Elig_MatchAll_Ct-1),AV1265=0),T1265,0)</f>
        <v>0</v>
      </c>
      <c r="BZ1265" s="994">
        <f>IF(AND(Input_Product=Elig!$C1265,Elig_MatchAll_Ct&lt;22,$BC1265=(Elig_MatchAll_Ct-1),AV1265=0),U1265,0)</f>
        <v>0</v>
      </c>
      <c r="CA1265" s="993">
        <f>IF(AND(Input_Product=Elig!$C1265,Elig_MatchAll_Ct&lt;22,$BC1265=(Elig_MatchAll_Ct-1),AW1265=0),V1265,0)</f>
        <v>0</v>
      </c>
      <c r="CB1265" s="994">
        <f>IF(AND(Input_Product=Elig!$C1265,Elig_MatchAll_Ct&lt;22,$BC1265=(Elig_MatchAll_Ct-1),AW1265=0),W1265,0)</f>
        <v>0</v>
      </c>
      <c r="CC1265" s="993">
        <f>IF(AND(Input_Product=Elig!$C1265,Elig_MatchAll_Ct&lt;22,$BC1265=(Elig_MatchAll_Ct-1),AX1265=0),X1265,0)</f>
        <v>0</v>
      </c>
      <c r="CD1265" s="994">
        <f>IF(AND(Input_Product=Elig!$C1265,Elig_MatchAll_Ct&lt;22,$BC1265=(Elig_MatchAll_Ct-1),AX1265=0),Y1265,0)</f>
        <v>0</v>
      </c>
      <c r="CE1265" s="993">
        <f>IF(AND(Input_LTV&lt;=AE1265,Input_Product=Elig!$C1265,Elig_MatchAll_Ct&lt;22,$BC1265=(Elig_MatchAll_Ct-1),AY1265=0),Z1265,0)</f>
        <v>0</v>
      </c>
      <c r="CF1265" s="994">
        <f>IF(AND(Input_LTV&lt;=AE1265,Input_Product=Elig!$C1265,Elig_MatchAll_Ct&lt;22,$BC1265=(Elig_MatchAll_Ct-1),AY1265=0),AA1265,0)</f>
        <v>0</v>
      </c>
      <c r="CG1265" s="993">
        <f>IF(AND(Input_Product=Elig!$C1265,Elig_MatchAll_Ct&lt;22,$BC1265=(Elig_MatchAll_Ct-1),AZ1265=0),AB1265,0)</f>
        <v>0</v>
      </c>
      <c r="CH1265" s="994">
        <f>IF(AND(Input_Product=Elig!$C1265,Elig_MatchAll_Ct&lt;22,$BC1265=(Elig_MatchAll_Ct-1),AZ1265=0),AC1265,0)</f>
        <v>0</v>
      </c>
      <c r="CI1265" s="993">
        <f>IF(AND(Input_Product=Elig!$C1265,Elig_MatchAll_Ct&lt;22,$BC1265=(Elig_MatchAll_Ct-1),BA1265=0),AD1265,0)</f>
        <v>0</v>
      </c>
      <c r="CJ1265" s="994">
        <f>IF(AND(Input_Product=Elig!$C1265,Elig_MatchAll_Ct&lt;22,$BC1265=(Elig_MatchAll_Ct-1),BA1265=0),AE1265,0)</f>
        <v>0</v>
      </c>
    </row>
    <row r="1266" spans="2:88" ht="10.15" customHeight="1" x14ac:dyDescent="0.25">
      <c r="B1266" s="1920" t="s">
        <v>4209</v>
      </c>
      <c r="C1266" s="1353" t="str">
        <f t="shared" si="453"/>
        <v xml:space="preserve"> </v>
      </c>
      <c r="D1266" s="1354" t="s">
        <v>2218</v>
      </c>
      <c r="E1266" s="1354" t="s">
        <v>167</v>
      </c>
      <c r="F1266" s="1354" t="s">
        <v>330</v>
      </c>
      <c r="G1266" s="1355" t="s">
        <v>181</v>
      </c>
      <c r="H1266" s="1355" t="s">
        <v>136</v>
      </c>
      <c r="I1266" s="2482" t="s">
        <v>35</v>
      </c>
      <c r="J1266" s="1354" t="s">
        <v>1311</v>
      </c>
      <c r="K1266" s="1355" t="s">
        <v>3022</v>
      </c>
      <c r="L1266" s="1354" t="s">
        <v>2768</v>
      </c>
      <c r="M1266" s="1354" t="s">
        <v>2677</v>
      </c>
      <c r="N1266" s="1355" t="s">
        <v>2685</v>
      </c>
      <c r="O1266" s="1354" t="s">
        <v>2526</v>
      </c>
      <c r="P1266" s="1354" t="s">
        <v>291</v>
      </c>
      <c r="Q1266" s="1354" t="s">
        <v>294</v>
      </c>
      <c r="R1266" s="1354">
        <v>100000</v>
      </c>
      <c r="S1266" s="1354">
        <v>1000000</v>
      </c>
      <c r="T1266" s="1354">
        <v>0</v>
      </c>
      <c r="U1266" s="1354">
        <v>0</v>
      </c>
      <c r="V1266" s="1354">
        <v>0</v>
      </c>
      <c r="W1266" s="1354">
        <v>50</v>
      </c>
      <c r="X1266" s="1354">
        <v>0.8</v>
      </c>
      <c r="Y1266" s="1354">
        <v>999</v>
      </c>
      <c r="Z1266" s="2043">
        <v>720</v>
      </c>
      <c r="AA1266" s="2043">
        <v>999</v>
      </c>
      <c r="AB1266" s="2043">
        <v>3</v>
      </c>
      <c r="AC1266" s="2043">
        <v>999999</v>
      </c>
      <c r="AD1266" s="2482">
        <v>65.010000000000005</v>
      </c>
      <c r="AE1266" s="2044">
        <v>80</v>
      </c>
      <c r="AF1266" s="170">
        <v>0</v>
      </c>
      <c r="AG1266" s="171">
        <v>1</v>
      </c>
      <c r="AH1266" s="171">
        <v>1</v>
      </c>
      <c r="AI1266" s="171">
        <v>0</v>
      </c>
      <c r="AJ1266" s="171">
        <v>0</v>
      </c>
      <c r="AK1266" s="171">
        <v>1</v>
      </c>
      <c r="AL1266" s="171">
        <v>0</v>
      </c>
      <c r="AM1266" s="171">
        <v>1</v>
      </c>
      <c r="AN1266" s="171">
        <v>1</v>
      </c>
      <c r="AO1266" s="171">
        <v>1</v>
      </c>
      <c r="AP1266" s="171">
        <v>1</v>
      </c>
      <c r="AQ1266" s="171">
        <v>1</v>
      </c>
      <c r="AR1266" s="171">
        <v>1</v>
      </c>
      <c r="AS1266" s="171">
        <v>1</v>
      </c>
      <c r="AT1266" s="171">
        <v>1</v>
      </c>
      <c r="AU1266" s="171">
        <f t="shared" si="447"/>
        <v>1</v>
      </c>
      <c r="AV1266" s="171">
        <f t="shared" si="448"/>
        <v>0</v>
      </c>
      <c r="AW1266" s="171">
        <f t="shared" si="449"/>
        <v>1</v>
      </c>
      <c r="AX1266" s="171">
        <f t="shared" si="444"/>
        <v>0</v>
      </c>
      <c r="AY1266" s="171">
        <f t="shared" si="450"/>
        <v>1</v>
      </c>
      <c r="AZ1266" s="171">
        <f t="shared" si="451"/>
        <v>1</v>
      </c>
      <c r="BA1266" s="172">
        <f t="shared" si="452"/>
        <v>0</v>
      </c>
      <c r="BB1266" s="175">
        <f t="shared" ref="BB1266:BB1280" si="461">SUM(AF1266:BA1266)</f>
        <v>15</v>
      </c>
      <c r="BC1266" s="176">
        <f t="shared" ref="BC1266:BC1280" si="462">SUM(AF1266:AZ1266)</f>
        <v>15</v>
      </c>
      <c r="BD1266" s="176">
        <f t="shared" ref="BD1266:BD1280" si="463">SUM(AG1266:BA1266)</f>
        <v>15</v>
      </c>
      <c r="BE1266" s="240" t="str">
        <f t="shared" ref="BE1266:BE1280" si="464">IF(BD1266=21,C1266,"")</f>
        <v/>
      </c>
      <c r="BF1266" s="990"/>
      <c r="BG1266" s="990"/>
      <c r="BH1266" s="991">
        <f>IF(AND(Input_Product=Elig!$C1266,Elig_MatchAll_Ct&lt;22,$BC1266=(Elig_MatchAll_Ct-1),AF1266=0),C1266,0)</f>
        <v>0</v>
      </c>
      <c r="BI1266" s="991">
        <f>IF(AND(Input_Product=Elig!$C1266,Elig_MatchAll_Ct&lt;22,$BC1266=(Elig_MatchAll_Ct-1),AG1266=0),D1266,0)</f>
        <v>0</v>
      </c>
      <c r="BJ1266" s="991">
        <f>IF(AND(Input_Product=Elig!$C1266,Elig_MatchAll_Ct&lt;22,$BC1266=(Elig_MatchAll_Ct-1),AH1266=0),E1266,0)</f>
        <v>0</v>
      </c>
      <c r="BK1266" s="991">
        <f>IF(AND(Input_Product=Elig!$C1266,Elig_MatchAll_Ct&lt;22,$BC1266=(Elig_MatchAll_Ct-1),AI1266=0),F1266,0)</f>
        <v>0</v>
      </c>
      <c r="BL1266" s="991">
        <f>IF(AND(Input_Product=Elig!$C1266,Elig_MatchAll_Ct&lt;22,$BC1266=(Elig_MatchAll_Ct-1),AJ1266=0),G1266,0)</f>
        <v>0</v>
      </c>
      <c r="BM1266" s="991">
        <f>IF(AND(Input_Product=Elig!$C1266,Elig_MatchAll_Ct&lt;22,$BC1266=(Elig_MatchAll_Ct-1),AK1266=0),H1266,0)</f>
        <v>0</v>
      </c>
      <c r="BN1266" s="991">
        <f>IF(AND(Input_Product=Elig!$C1266,Elig_MatchAll_Ct&lt;22,$BC1266=(Elig_MatchAll_Ct-1),AL1266=0),I1266,0)</f>
        <v>0</v>
      </c>
      <c r="BO1266" s="991">
        <f>IF(AND(Input_Product=Elig!$C1266,Elig_MatchAll_Ct&lt;22,$BC1266=(Elig_MatchAll_Ct-1),AM1266=0),J1266,0)</f>
        <v>0</v>
      </c>
      <c r="BP1266" s="991">
        <f>IF(AND(Input_Product=Elig!$C1266,Elig_MatchAll_Ct&lt;22,$BC1266=(Elig_MatchAll_Ct-1),AN1266=0),K1266,0)</f>
        <v>0</v>
      </c>
      <c r="BQ1266" s="991">
        <f>IF(AND(Input_Product=Elig!$C1266,Elig_MatchAll_Ct&lt;22,$BC1266=(Elig_MatchAll_Ct-1),AP1266=0),L1266,0)</f>
        <v>0</v>
      </c>
      <c r="BR1266" s="991">
        <f>IF(AND(Input_Product=Elig!$C1266,Elig_MatchAll_Ct&lt;22,$BC1266=(Elig_MatchAll_Ct-1),AO1266=0),M1266,0)</f>
        <v>0</v>
      </c>
      <c r="BS1266" s="991">
        <f>IF(AND(Input_Product=Elig!$C1266,Elig_MatchAll_Ct&lt;22,$BC1266=(Elig_MatchAll_Ct-1),AQ1266=0),N1266,0)</f>
        <v>0</v>
      </c>
      <c r="BT1266" s="991">
        <f>IF(AND(Input_Product=Elig!$C1266,Elig_MatchAll_Ct&lt;22,$BC1266=(Elig_MatchAll_Ct-1),AR1266=0),O1266,0)</f>
        <v>0</v>
      </c>
      <c r="BU1266" s="991">
        <f>IF(AND(Input_Product=Elig!$C1266,Elig_MatchAll_Ct&lt;22,$BC1266=(Elig_MatchAll_Ct-1),AS1266=0),P1266,0)</f>
        <v>0</v>
      </c>
      <c r="BV1266" s="992">
        <f>IF(AND(Input_Product=Elig!$C1266,Elig_MatchAll_Ct&lt;22,$BC1266=(Elig_MatchAll_Ct-1),AT1266=0),Q1266,0)</f>
        <v>0</v>
      </c>
      <c r="BW1266" s="993">
        <f>IF(AND(Input_Product=Elig!$C1266,Elig_MatchAll_Ct&lt;22,$BC1266=(Elig_MatchAll_Ct-1),AU1266=0),R1266,0)</f>
        <v>0</v>
      </c>
      <c r="BX1266" s="994">
        <f>IF(AND(Input_Product=Elig!$C1266,Elig_MatchAll_Ct&lt;22,$BC1266=(Elig_MatchAll_Ct-1),AU1266=0),S1266,0)</f>
        <v>0</v>
      </c>
      <c r="BY1266" s="993">
        <f>IF(AND(Input_Product=Elig!$C1266,Elig_MatchAll_Ct&lt;22,$BC1266=(Elig_MatchAll_Ct-1),AV1266=0),T1266,0)</f>
        <v>0</v>
      </c>
      <c r="BZ1266" s="994">
        <f>IF(AND(Input_Product=Elig!$C1266,Elig_MatchAll_Ct&lt;22,$BC1266=(Elig_MatchAll_Ct-1),AV1266=0),U1266,0)</f>
        <v>0</v>
      </c>
      <c r="CA1266" s="993">
        <f>IF(AND(Input_Product=Elig!$C1266,Elig_MatchAll_Ct&lt;22,$BC1266=(Elig_MatchAll_Ct-1),AW1266=0),V1266,0)</f>
        <v>0</v>
      </c>
      <c r="CB1266" s="994">
        <f>IF(AND(Input_Product=Elig!$C1266,Elig_MatchAll_Ct&lt;22,$BC1266=(Elig_MatchAll_Ct-1),AW1266=0),W1266,0)</f>
        <v>0</v>
      </c>
      <c r="CC1266" s="993">
        <f>IF(AND(Input_Product=Elig!$C1266,Elig_MatchAll_Ct&lt;22,$BC1266=(Elig_MatchAll_Ct-1),AX1266=0),X1266,0)</f>
        <v>0</v>
      </c>
      <c r="CD1266" s="994">
        <f>IF(AND(Input_Product=Elig!$C1266,Elig_MatchAll_Ct&lt;22,$BC1266=(Elig_MatchAll_Ct-1),AX1266=0),Y1266,0)</f>
        <v>0</v>
      </c>
      <c r="CE1266" s="993">
        <f>IF(AND(Input_LTV&lt;=AE1266,Input_Product=Elig!$C1266,Elig_MatchAll_Ct&lt;22,$BC1266=(Elig_MatchAll_Ct-1),AY1266=0),Z1266,0)</f>
        <v>0</v>
      </c>
      <c r="CF1266" s="994">
        <f>IF(AND(Input_LTV&lt;=AE1266,Input_Product=Elig!$C1266,Elig_MatchAll_Ct&lt;22,$BC1266=(Elig_MatchAll_Ct-1),AY1266=0),AA1266,0)</f>
        <v>0</v>
      </c>
      <c r="CG1266" s="993">
        <f>IF(AND(Input_Product=Elig!$C1266,Elig_MatchAll_Ct&lt;22,$BC1266=(Elig_MatchAll_Ct-1),AZ1266=0),AB1266,0)</f>
        <v>0</v>
      </c>
      <c r="CH1266" s="994">
        <f>IF(AND(Input_Product=Elig!$C1266,Elig_MatchAll_Ct&lt;22,$BC1266=(Elig_MatchAll_Ct-1),AZ1266=0),AC1266,0)</f>
        <v>0</v>
      </c>
      <c r="CI1266" s="993">
        <f>IF(AND(Input_Product=Elig!$C1266,Elig_MatchAll_Ct&lt;22,$BC1266=(Elig_MatchAll_Ct-1),BA1266=0),AD1266,0)</f>
        <v>0</v>
      </c>
      <c r="CJ1266" s="994">
        <f>IF(AND(Input_Product=Elig!$C1266,Elig_MatchAll_Ct&lt;22,$BC1266=(Elig_MatchAll_Ct-1),BA1266=0),AE1266,0)</f>
        <v>0</v>
      </c>
    </row>
    <row r="1267" spans="2:88" ht="10.15" customHeight="1" x14ac:dyDescent="0.25">
      <c r="B1267" s="1920" t="s">
        <v>4210</v>
      </c>
      <c r="C1267" s="1359" t="str">
        <f t="shared" si="453"/>
        <v xml:space="preserve"> </v>
      </c>
      <c r="D1267" s="1360" t="s">
        <v>2218</v>
      </c>
      <c r="E1267" s="1360" t="s">
        <v>167</v>
      </c>
      <c r="F1267" s="1360" t="s">
        <v>330</v>
      </c>
      <c r="G1267" s="1361" t="s">
        <v>181</v>
      </c>
      <c r="H1267" s="1361" t="s">
        <v>136</v>
      </c>
      <c r="I1267" s="2483" t="s">
        <v>35</v>
      </c>
      <c r="J1267" s="1360" t="s">
        <v>1311</v>
      </c>
      <c r="K1267" s="1361" t="s">
        <v>3022</v>
      </c>
      <c r="L1267" s="1360" t="s">
        <v>2768</v>
      </c>
      <c r="M1267" s="1360" t="s">
        <v>2677</v>
      </c>
      <c r="N1267" s="1361" t="s">
        <v>2685</v>
      </c>
      <c r="O1267" s="1360" t="s">
        <v>2526</v>
      </c>
      <c r="P1267" s="1360" t="s">
        <v>291</v>
      </c>
      <c r="Q1267" s="1360" t="s">
        <v>294</v>
      </c>
      <c r="R1267" s="1360">
        <v>100000</v>
      </c>
      <c r="S1267" s="1360">
        <v>1000000</v>
      </c>
      <c r="T1267" s="1360">
        <v>0</v>
      </c>
      <c r="U1267" s="1360">
        <v>0</v>
      </c>
      <c r="V1267" s="1360">
        <v>0</v>
      </c>
      <c r="W1267" s="1360">
        <v>50</v>
      </c>
      <c r="X1267" s="1360">
        <v>0.8</v>
      </c>
      <c r="Y1267" s="1360">
        <v>999</v>
      </c>
      <c r="Z1267" s="2045">
        <v>700</v>
      </c>
      <c r="AA1267" s="2045">
        <v>719</v>
      </c>
      <c r="AB1267" s="2045">
        <v>3</v>
      </c>
      <c r="AC1267" s="2045">
        <v>999999</v>
      </c>
      <c r="AD1267" s="2483">
        <v>65.010000000000005</v>
      </c>
      <c r="AE1267" s="2046">
        <v>80</v>
      </c>
      <c r="AF1267" s="170">
        <v>0</v>
      </c>
      <c r="AG1267" s="171">
        <v>1</v>
      </c>
      <c r="AH1267" s="171">
        <v>1</v>
      </c>
      <c r="AI1267" s="171">
        <v>0</v>
      </c>
      <c r="AJ1267" s="171">
        <v>0</v>
      </c>
      <c r="AK1267" s="171">
        <v>1</v>
      </c>
      <c r="AL1267" s="171">
        <v>0</v>
      </c>
      <c r="AM1267" s="171">
        <v>1</v>
      </c>
      <c r="AN1267" s="171">
        <v>1</v>
      </c>
      <c r="AO1267" s="171">
        <v>1</v>
      </c>
      <c r="AP1267" s="171">
        <v>1</v>
      </c>
      <c r="AQ1267" s="171">
        <v>1</v>
      </c>
      <c r="AR1267" s="171">
        <v>1</v>
      </c>
      <c r="AS1267" s="171">
        <v>1</v>
      </c>
      <c r="AT1267" s="171">
        <v>1</v>
      </c>
      <c r="AU1267" s="171">
        <f t="shared" si="447"/>
        <v>1</v>
      </c>
      <c r="AV1267" s="171">
        <f t="shared" si="448"/>
        <v>0</v>
      </c>
      <c r="AW1267" s="171">
        <f t="shared" si="449"/>
        <v>1</v>
      </c>
      <c r="AX1267" s="171">
        <f t="shared" si="444"/>
        <v>0</v>
      </c>
      <c r="AY1267" s="171">
        <f t="shared" si="450"/>
        <v>0</v>
      </c>
      <c r="AZ1267" s="171">
        <f t="shared" si="451"/>
        <v>1</v>
      </c>
      <c r="BA1267" s="172">
        <f t="shared" si="452"/>
        <v>0</v>
      </c>
      <c r="BB1267" s="175">
        <f t="shared" si="461"/>
        <v>14</v>
      </c>
      <c r="BC1267" s="176">
        <f t="shared" si="462"/>
        <v>14</v>
      </c>
      <c r="BD1267" s="176">
        <f t="shared" si="463"/>
        <v>14</v>
      </c>
      <c r="BE1267" s="240" t="str">
        <f t="shared" si="464"/>
        <v/>
      </c>
      <c r="BF1267" s="990"/>
      <c r="BG1267" s="990"/>
      <c r="BH1267" s="991">
        <f>IF(AND(Input_Product=Elig!$C1267,Elig_MatchAll_Ct&lt;22,$BC1267=(Elig_MatchAll_Ct-1),AF1267=0),C1267,0)</f>
        <v>0</v>
      </c>
      <c r="BI1267" s="991">
        <f>IF(AND(Input_Product=Elig!$C1267,Elig_MatchAll_Ct&lt;22,$BC1267=(Elig_MatchAll_Ct-1),AG1267=0),D1267,0)</f>
        <v>0</v>
      </c>
      <c r="BJ1267" s="991">
        <f>IF(AND(Input_Product=Elig!$C1267,Elig_MatchAll_Ct&lt;22,$BC1267=(Elig_MatchAll_Ct-1),AH1267=0),E1267,0)</f>
        <v>0</v>
      </c>
      <c r="BK1267" s="991">
        <f>IF(AND(Input_Product=Elig!$C1267,Elig_MatchAll_Ct&lt;22,$BC1267=(Elig_MatchAll_Ct-1),AI1267=0),F1267,0)</f>
        <v>0</v>
      </c>
      <c r="BL1267" s="991">
        <f>IF(AND(Input_Product=Elig!$C1267,Elig_MatchAll_Ct&lt;22,$BC1267=(Elig_MatchAll_Ct-1),AJ1267=0),G1267,0)</f>
        <v>0</v>
      </c>
      <c r="BM1267" s="991">
        <f>IF(AND(Input_Product=Elig!$C1267,Elig_MatchAll_Ct&lt;22,$BC1267=(Elig_MatchAll_Ct-1),AK1267=0),H1267,0)</f>
        <v>0</v>
      </c>
      <c r="BN1267" s="991">
        <f>IF(AND(Input_Product=Elig!$C1267,Elig_MatchAll_Ct&lt;22,$BC1267=(Elig_MatchAll_Ct-1),AL1267=0),I1267,0)</f>
        <v>0</v>
      </c>
      <c r="BO1267" s="991">
        <f>IF(AND(Input_Product=Elig!$C1267,Elig_MatchAll_Ct&lt;22,$BC1267=(Elig_MatchAll_Ct-1),AM1267=0),J1267,0)</f>
        <v>0</v>
      </c>
      <c r="BP1267" s="991">
        <f>IF(AND(Input_Product=Elig!$C1267,Elig_MatchAll_Ct&lt;22,$BC1267=(Elig_MatchAll_Ct-1),AN1267=0),K1267,0)</f>
        <v>0</v>
      </c>
      <c r="BQ1267" s="991">
        <f>IF(AND(Input_Product=Elig!$C1267,Elig_MatchAll_Ct&lt;22,$BC1267=(Elig_MatchAll_Ct-1),AP1267=0),L1267,0)</f>
        <v>0</v>
      </c>
      <c r="BR1267" s="991">
        <f>IF(AND(Input_Product=Elig!$C1267,Elig_MatchAll_Ct&lt;22,$BC1267=(Elig_MatchAll_Ct-1),AO1267=0),M1267,0)</f>
        <v>0</v>
      </c>
      <c r="BS1267" s="991">
        <f>IF(AND(Input_Product=Elig!$C1267,Elig_MatchAll_Ct&lt;22,$BC1267=(Elig_MatchAll_Ct-1),AQ1267=0),N1267,0)</f>
        <v>0</v>
      </c>
      <c r="BT1267" s="991">
        <f>IF(AND(Input_Product=Elig!$C1267,Elig_MatchAll_Ct&lt;22,$BC1267=(Elig_MatchAll_Ct-1),AR1267=0),O1267,0)</f>
        <v>0</v>
      </c>
      <c r="BU1267" s="991">
        <f>IF(AND(Input_Product=Elig!$C1267,Elig_MatchAll_Ct&lt;22,$BC1267=(Elig_MatchAll_Ct-1),AS1267=0),P1267,0)</f>
        <v>0</v>
      </c>
      <c r="BV1267" s="992">
        <f>IF(AND(Input_Product=Elig!$C1267,Elig_MatchAll_Ct&lt;22,$BC1267=(Elig_MatchAll_Ct-1),AT1267=0),Q1267,0)</f>
        <v>0</v>
      </c>
      <c r="BW1267" s="993">
        <f>IF(AND(Input_Product=Elig!$C1267,Elig_MatchAll_Ct&lt;22,$BC1267=(Elig_MatchAll_Ct-1),AU1267=0),R1267,0)</f>
        <v>0</v>
      </c>
      <c r="BX1267" s="994">
        <f>IF(AND(Input_Product=Elig!$C1267,Elig_MatchAll_Ct&lt;22,$BC1267=(Elig_MatchAll_Ct-1),AU1267=0),S1267,0)</f>
        <v>0</v>
      </c>
      <c r="BY1267" s="993">
        <f>IF(AND(Input_Product=Elig!$C1267,Elig_MatchAll_Ct&lt;22,$BC1267=(Elig_MatchAll_Ct-1),AV1267=0),T1267,0)</f>
        <v>0</v>
      </c>
      <c r="BZ1267" s="994">
        <f>IF(AND(Input_Product=Elig!$C1267,Elig_MatchAll_Ct&lt;22,$BC1267=(Elig_MatchAll_Ct-1),AV1267=0),U1267,0)</f>
        <v>0</v>
      </c>
      <c r="CA1267" s="993">
        <f>IF(AND(Input_Product=Elig!$C1267,Elig_MatchAll_Ct&lt;22,$BC1267=(Elig_MatchAll_Ct-1),AW1267=0),V1267,0)</f>
        <v>0</v>
      </c>
      <c r="CB1267" s="994">
        <f>IF(AND(Input_Product=Elig!$C1267,Elig_MatchAll_Ct&lt;22,$BC1267=(Elig_MatchAll_Ct-1),AW1267=0),W1267,0)</f>
        <v>0</v>
      </c>
      <c r="CC1267" s="993">
        <f>IF(AND(Input_Product=Elig!$C1267,Elig_MatchAll_Ct&lt;22,$BC1267=(Elig_MatchAll_Ct-1),AX1267=0),X1267,0)</f>
        <v>0</v>
      </c>
      <c r="CD1267" s="994">
        <f>IF(AND(Input_Product=Elig!$C1267,Elig_MatchAll_Ct&lt;22,$BC1267=(Elig_MatchAll_Ct-1),AX1267=0),Y1267,0)</f>
        <v>0</v>
      </c>
      <c r="CE1267" s="993">
        <f>IF(AND(Input_LTV&lt;=AE1267,Input_Product=Elig!$C1267,Elig_MatchAll_Ct&lt;22,$BC1267=(Elig_MatchAll_Ct-1),AY1267=0),Z1267,0)</f>
        <v>0</v>
      </c>
      <c r="CF1267" s="994">
        <f>IF(AND(Input_LTV&lt;=AE1267,Input_Product=Elig!$C1267,Elig_MatchAll_Ct&lt;22,$BC1267=(Elig_MatchAll_Ct-1),AY1267=0),AA1267,0)</f>
        <v>0</v>
      </c>
      <c r="CG1267" s="993">
        <f>IF(AND(Input_Product=Elig!$C1267,Elig_MatchAll_Ct&lt;22,$BC1267=(Elig_MatchAll_Ct-1),AZ1267=0),AB1267,0)</f>
        <v>0</v>
      </c>
      <c r="CH1267" s="994">
        <f>IF(AND(Input_Product=Elig!$C1267,Elig_MatchAll_Ct&lt;22,$BC1267=(Elig_MatchAll_Ct-1),AZ1267=0),AC1267,0)</f>
        <v>0</v>
      </c>
      <c r="CI1267" s="993">
        <f>IF(AND(Input_Product=Elig!$C1267,Elig_MatchAll_Ct&lt;22,$BC1267=(Elig_MatchAll_Ct-1),BA1267=0),AD1267,0)</f>
        <v>0</v>
      </c>
      <c r="CJ1267" s="994">
        <f>IF(AND(Input_Product=Elig!$C1267,Elig_MatchAll_Ct&lt;22,$BC1267=(Elig_MatchAll_Ct-1),BA1267=0),AE1267,0)</f>
        <v>0</v>
      </c>
    </row>
    <row r="1268" spans="2:88" ht="10.15" customHeight="1" x14ac:dyDescent="0.25">
      <c r="B1268" s="1920" t="s">
        <v>4211</v>
      </c>
      <c r="C1268" s="1356" t="str">
        <f t="shared" si="453"/>
        <v xml:space="preserve"> </v>
      </c>
      <c r="D1268" s="1357" t="s">
        <v>2218</v>
      </c>
      <c r="E1268" s="1357" t="s">
        <v>167</v>
      </c>
      <c r="F1268" s="1357" t="s">
        <v>330</v>
      </c>
      <c r="G1268" s="1358" t="s">
        <v>181</v>
      </c>
      <c r="H1268" s="1358" t="s">
        <v>136</v>
      </c>
      <c r="I1268" s="2484" t="s">
        <v>35</v>
      </c>
      <c r="J1268" s="1357" t="s">
        <v>1311</v>
      </c>
      <c r="K1268" s="1358" t="s">
        <v>3022</v>
      </c>
      <c r="L1268" s="1357" t="s">
        <v>2768</v>
      </c>
      <c r="M1268" s="1357" t="s">
        <v>2677</v>
      </c>
      <c r="N1268" s="1358" t="s">
        <v>2685</v>
      </c>
      <c r="O1268" s="1357" t="s">
        <v>2526</v>
      </c>
      <c r="P1268" s="1357" t="s">
        <v>291</v>
      </c>
      <c r="Q1268" s="1357" t="s">
        <v>294</v>
      </c>
      <c r="R1268" s="1357">
        <v>100000</v>
      </c>
      <c r="S1268" s="1357">
        <v>1000000</v>
      </c>
      <c r="T1268" s="1357">
        <v>0</v>
      </c>
      <c r="U1268" s="1357">
        <v>0</v>
      </c>
      <c r="V1268" s="1357">
        <v>0</v>
      </c>
      <c r="W1268" s="1357">
        <v>50</v>
      </c>
      <c r="X1268" s="1357">
        <v>0.8</v>
      </c>
      <c r="Y1268" s="1357">
        <v>999</v>
      </c>
      <c r="Z1268" s="2047">
        <v>660</v>
      </c>
      <c r="AA1268" s="2047">
        <v>660</v>
      </c>
      <c r="AB1268" s="2047">
        <v>3</v>
      </c>
      <c r="AC1268" s="2047">
        <v>999999</v>
      </c>
      <c r="AD1268" s="2484">
        <v>65.010000000000005</v>
      </c>
      <c r="AE1268" s="2048">
        <v>80</v>
      </c>
      <c r="AF1268" s="170">
        <v>0</v>
      </c>
      <c r="AG1268" s="171">
        <v>1</v>
      </c>
      <c r="AH1268" s="171">
        <v>1</v>
      </c>
      <c r="AI1268" s="171">
        <v>0</v>
      </c>
      <c r="AJ1268" s="171">
        <v>0</v>
      </c>
      <c r="AK1268" s="171">
        <v>1</v>
      </c>
      <c r="AL1268" s="171">
        <v>0</v>
      </c>
      <c r="AM1268" s="171">
        <v>1</v>
      </c>
      <c r="AN1268" s="171">
        <v>1</v>
      </c>
      <c r="AO1268" s="171">
        <v>1</v>
      </c>
      <c r="AP1268" s="171">
        <v>1</v>
      </c>
      <c r="AQ1268" s="171">
        <v>1</v>
      </c>
      <c r="AR1268" s="171">
        <v>1</v>
      </c>
      <c r="AS1268" s="171">
        <v>1</v>
      </c>
      <c r="AT1268" s="171">
        <v>1</v>
      </c>
      <c r="AU1268" s="171">
        <f t="shared" si="447"/>
        <v>1</v>
      </c>
      <c r="AV1268" s="171">
        <f t="shared" si="448"/>
        <v>0</v>
      </c>
      <c r="AW1268" s="171">
        <f t="shared" si="449"/>
        <v>1</v>
      </c>
      <c r="AX1268" s="171">
        <f t="shared" si="444"/>
        <v>0</v>
      </c>
      <c r="AY1268" s="171">
        <f t="shared" si="450"/>
        <v>0</v>
      </c>
      <c r="AZ1268" s="171">
        <f t="shared" si="451"/>
        <v>1</v>
      </c>
      <c r="BA1268" s="172">
        <f t="shared" si="452"/>
        <v>0</v>
      </c>
      <c r="BB1268" s="175">
        <f t="shared" si="461"/>
        <v>14</v>
      </c>
      <c r="BC1268" s="176">
        <f t="shared" si="462"/>
        <v>14</v>
      </c>
      <c r="BD1268" s="176">
        <f t="shared" si="463"/>
        <v>14</v>
      </c>
      <c r="BE1268" s="240" t="str">
        <f t="shared" si="464"/>
        <v/>
      </c>
      <c r="BF1268" s="990"/>
      <c r="BG1268" s="990"/>
      <c r="BH1268" s="991">
        <f>IF(AND(Input_Product=Elig!$C1268,Elig_MatchAll_Ct&lt;22,$BC1268=(Elig_MatchAll_Ct-1),AF1268=0),C1268,0)</f>
        <v>0</v>
      </c>
      <c r="BI1268" s="991">
        <f>IF(AND(Input_Product=Elig!$C1268,Elig_MatchAll_Ct&lt;22,$BC1268=(Elig_MatchAll_Ct-1),AG1268=0),D1268,0)</f>
        <v>0</v>
      </c>
      <c r="BJ1268" s="991">
        <f>IF(AND(Input_Product=Elig!$C1268,Elig_MatchAll_Ct&lt;22,$BC1268=(Elig_MatchAll_Ct-1),AH1268=0),E1268,0)</f>
        <v>0</v>
      </c>
      <c r="BK1268" s="991">
        <f>IF(AND(Input_Product=Elig!$C1268,Elig_MatchAll_Ct&lt;22,$BC1268=(Elig_MatchAll_Ct-1),AI1268=0),F1268,0)</f>
        <v>0</v>
      </c>
      <c r="BL1268" s="991">
        <f>IF(AND(Input_Product=Elig!$C1268,Elig_MatchAll_Ct&lt;22,$BC1268=(Elig_MatchAll_Ct-1),AJ1268=0),G1268,0)</f>
        <v>0</v>
      </c>
      <c r="BM1268" s="991">
        <f>IF(AND(Input_Product=Elig!$C1268,Elig_MatchAll_Ct&lt;22,$BC1268=(Elig_MatchAll_Ct-1),AK1268=0),H1268,0)</f>
        <v>0</v>
      </c>
      <c r="BN1268" s="991">
        <f>IF(AND(Input_Product=Elig!$C1268,Elig_MatchAll_Ct&lt;22,$BC1268=(Elig_MatchAll_Ct-1),AL1268=0),I1268,0)</f>
        <v>0</v>
      </c>
      <c r="BO1268" s="991">
        <f>IF(AND(Input_Product=Elig!$C1268,Elig_MatchAll_Ct&lt;22,$BC1268=(Elig_MatchAll_Ct-1),AM1268=0),J1268,0)</f>
        <v>0</v>
      </c>
      <c r="BP1268" s="991">
        <f>IF(AND(Input_Product=Elig!$C1268,Elig_MatchAll_Ct&lt;22,$BC1268=(Elig_MatchAll_Ct-1),AN1268=0),K1268,0)</f>
        <v>0</v>
      </c>
      <c r="BQ1268" s="991">
        <f>IF(AND(Input_Product=Elig!$C1268,Elig_MatchAll_Ct&lt;22,$BC1268=(Elig_MatchAll_Ct-1),AP1268=0),L1268,0)</f>
        <v>0</v>
      </c>
      <c r="BR1268" s="991">
        <f>IF(AND(Input_Product=Elig!$C1268,Elig_MatchAll_Ct&lt;22,$BC1268=(Elig_MatchAll_Ct-1),AO1268=0),M1268,0)</f>
        <v>0</v>
      </c>
      <c r="BS1268" s="991">
        <f>IF(AND(Input_Product=Elig!$C1268,Elig_MatchAll_Ct&lt;22,$BC1268=(Elig_MatchAll_Ct-1),AQ1268=0),N1268,0)</f>
        <v>0</v>
      </c>
      <c r="BT1268" s="991">
        <f>IF(AND(Input_Product=Elig!$C1268,Elig_MatchAll_Ct&lt;22,$BC1268=(Elig_MatchAll_Ct-1),AR1268=0),O1268,0)</f>
        <v>0</v>
      </c>
      <c r="BU1268" s="991">
        <f>IF(AND(Input_Product=Elig!$C1268,Elig_MatchAll_Ct&lt;22,$BC1268=(Elig_MatchAll_Ct-1),AS1268=0),P1268,0)</f>
        <v>0</v>
      </c>
      <c r="BV1268" s="992">
        <f>IF(AND(Input_Product=Elig!$C1268,Elig_MatchAll_Ct&lt;22,$BC1268=(Elig_MatchAll_Ct-1),AT1268=0),Q1268,0)</f>
        <v>0</v>
      </c>
      <c r="BW1268" s="993">
        <f>IF(AND(Input_Product=Elig!$C1268,Elig_MatchAll_Ct&lt;22,$BC1268=(Elig_MatchAll_Ct-1),AU1268=0),R1268,0)</f>
        <v>0</v>
      </c>
      <c r="BX1268" s="994">
        <f>IF(AND(Input_Product=Elig!$C1268,Elig_MatchAll_Ct&lt;22,$BC1268=(Elig_MatchAll_Ct-1),AU1268=0),S1268,0)</f>
        <v>0</v>
      </c>
      <c r="BY1268" s="993">
        <f>IF(AND(Input_Product=Elig!$C1268,Elig_MatchAll_Ct&lt;22,$BC1268=(Elig_MatchAll_Ct-1),AV1268=0),T1268,0)</f>
        <v>0</v>
      </c>
      <c r="BZ1268" s="994">
        <f>IF(AND(Input_Product=Elig!$C1268,Elig_MatchAll_Ct&lt;22,$BC1268=(Elig_MatchAll_Ct-1),AV1268=0),U1268,0)</f>
        <v>0</v>
      </c>
      <c r="CA1268" s="993">
        <f>IF(AND(Input_Product=Elig!$C1268,Elig_MatchAll_Ct&lt;22,$BC1268=(Elig_MatchAll_Ct-1),AW1268=0),V1268,0)</f>
        <v>0</v>
      </c>
      <c r="CB1268" s="994">
        <f>IF(AND(Input_Product=Elig!$C1268,Elig_MatchAll_Ct&lt;22,$BC1268=(Elig_MatchAll_Ct-1),AW1268=0),W1268,0)</f>
        <v>0</v>
      </c>
      <c r="CC1268" s="993">
        <f>IF(AND(Input_Product=Elig!$C1268,Elig_MatchAll_Ct&lt;22,$BC1268=(Elig_MatchAll_Ct-1),AX1268=0),X1268,0)</f>
        <v>0</v>
      </c>
      <c r="CD1268" s="994">
        <f>IF(AND(Input_Product=Elig!$C1268,Elig_MatchAll_Ct&lt;22,$BC1268=(Elig_MatchAll_Ct-1),AX1268=0),Y1268,0)</f>
        <v>0</v>
      </c>
      <c r="CE1268" s="993">
        <f>IF(AND(Input_LTV&lt;=AE1268,Input_Product=Elig!$C1268,Elig_MatchAll_Ct&lt;22,$BC1268=(Elig_MatchAll_Ct-1),AY1268=0),Z1268,0)</f>
        <v>0</v>
      </c>
      <c r="CF1268" s="994">
        <f>IF(AND(Input_LTV&lt;=AE1268,Input_Product=Elig!$C1268,Elig_MatchAll_Ct&lt;22,$BC1268=(Elig_MatchAll_Ct-1),AY1268=0),AA1268,0)</f>
        <v>0</v>
      </c>
      <c r="CG1268" s="993">
        <f>IF(AND(Input_Product=Elig!$C1268,Elig_MatchAll_Ct&lt;22,$BC1268=(Elig_MatchAll_Ct-1),AZ1268=0),AB1268,0)</f>
        <v>0</v>
      </c>
      <c r="CH1268" s="994">
        <f>IF(AND(Input_Product=Elig!$C1268,Elig_MatchAll_Ct&lt;22,$BC1268=(Elig_MatchAll_Ct-1),AZ1268=0),AC1268,0)</f>
        <v>0</v>
      </c>
      <c r="CI1268" s="993">
        <f>IF(AND(Input_Product=Elig!$C1268,Elig_MatchAll_Ct&lt;22,$BC1268=(Elig_MatchAll_Ct-1),BA1268=0),AD1268,0)</f>
        <v>0</v>
      </c>
      <c r="CJ1268" s="994">
        <f>IF(AND(Input_Product=Elig!$C1268,Elig_MatchAll_Ct&lt;22,$BC1268=(Elig_MatchAll_Ct-1),BA1268=0),AE1268,0)</f>
        <v>0</v>
      </c>
    </row>
    <row r="1269" spans="2:88" ht="10.15" customHeight="1" x14ac:dyDescent="0.25">
      <c r="B1269" s="1920" t="s">
        <v>4212</v>
      </c>
      <c r="C1269" s="1353" t="str">
        <f t="shared" si="453"/>
        <v xml:space="preserve"> </v>
      </c>
      <c r="D1269" s="1354" t="s">
        <v>2218</v>
      </c>
      <c r="E1269" s="1354" t="s">
        <v>167</v>
      </c>
      <c r="F1269" s="1354" t="s">
        <v>330</v>
      </c>
      <c r="G1269" s="1355" t="s">
        <v>181</v>
      </c>
      <c r="H1269" s="1355" t="s">
        <v>136</v>
      </c>
      <c r="I1269" s="2482" t="s">
        <v>35</v>
      </c>
      <c r="J1269" s="1354" t="s">
        <v>1311</v>
      </c>
      <c r="K1269" s="1355" t="s">
        <v>3022</v>
      </c>
      <c r="L1269" s="1354" t="s">
        <v>2768</v>
      </c>
      <c r="M1269" s="1354" t="s">
        <v>2677</v>
      </c>
      <c r="N1269" s="1355" t="s">
        <v>2685</v>
      </c>
      <c r="O1269" s="1354" t="s">
        <v>2526</v>
      </c>
      <c r="P1269" s="1354" t="s">
        <v>291</v>
      </c>
      <c r="Q1269" s="1354" t="s">
        <v>294</v>
      </c>
      <c r="R1269" s="1354">
        <v>1000000.01</v>
      </c>
      <c r="S1269" s="1354">
        <v>1500000</v>
      </c>
      <c r="T1269" s="1354">
        <v>0</v>
      </c>
      <c r="U1269" s="1354">
        <v>0</v>
      </c>
      <c r="V1269" s="1354">
        <v>0</v>
      </c>
      <c r="W1269" s="1354">
        <v>50</v>
      </c>
      <c r="X1269" s="1354">
        <v>0.8</v>
      </c>
      <c r="Y1269" s="1354">
        <v>999</v>
      </c>
      <c r="Z1269" s="2043">
        <v>720</v>
      </c>
      <c r="AA1269" s="2043">
        <v>999</v>
      </c>
      <c r="AB1269" s="2043">
        <v>6</v>
      </c>
      <c r="AC1269" s="2043">
        <v>999999</v>
      </c>
      <c r="AD1269" s="2482">
        <v>65.010000000000005</v>
      </c>
      <c r="AE1269" s="2044">
        <v>80</v>
      </c>
      <c r="AF1269" s="170">
        <v>0</v>
      </c>
      <c r="AG1269" s="171">
        <v>1</v>
      </c>
      <c r="AH1269" s="171">
        <v>1</v>
      </c>
      <c r="AI1269" s="171">
        <v>0</v>
      </c>
      <c r="AJ1269" s="171">
        <v>0</v>
      </c>
      <c r="AK1269" s="171">
        <v>1</v>
      </c>
      <c r="AL1269" s="171">
        <v>0</v>
      </c>
      <c r="AM1269" s="171">
        <v>1</v>
      </c>
      <c r="AN1269" s="171">
        <v>1</v>
      </c>
      <c r="AO1269" s="171">
        <v>1</v>
      </c>
      <c r="AP1269" s="171">
        <v>1</v>
      </c>
      <c r="AQ1269" s="171">
        <v>1</v>
      </c>
      <c r="AR1269" s="171">
        <v>1</v>
      </c>
      <c r="AS1269" s="171">
        <v>1</v>
      </c>
      <c r="AT1269" s="171">
        <v>1</v>
      </c>
      <c r="AU1269" s="171">
        <f t="shared" si="447"/>
        <v>0</v>
      </c>
      <c r="AV1269" s="171">
        <f t="shared" si="448"/>
        <v>0</v>
      </c>
      <c r="AW1269" s="171">
        <f t="shared" si="449"/>
        <v>1</v>
      </c>
      <c r="AX1269" s="171">
        <f t="shared" si="444"/>
        <v>0</v>
      </c>
      <c r="AY1269" s="171">
        <f t="shared" si="450"/>
        <v>1</v>
      </c>
      <c r="AZ1269" s="171">
        <f t="shared" si="451"/>
        <v>1</v>
      </c>
      <c r="BA1269" s="172">
        <f t="shared" si="452"/>
        <v>0</v>
      </c>
      <c r="BB1269" s="175">
        <f t="shared" si="461"/>
        <v>14</v>
      </c>
      <c r="BC1269" s="176">
        <f t="shared" si="462"/>
        <v>14</v>
      </c>
      <c r="BD1269" s="176">
        <f t="shared" si="463"/>
        <v>14</v>
      </c>
      <c r="BE1269" s="240" t="str">
        <f t="shared" si="464"/>
        <v/>
      </c>
      <c r="BF1269" s="990"/>
      <c r="BG1269" s="990"/>
      <c r="BH1269" s="991">
        <f>IF(AND(Input_Product=Elig!$C1269,Elig_MatchAll_Ct&lt;22,$BC1269=(Elig_MatchAll_Ct-1),AF1269=0),C1269,0)</f>
        <v>0</v>
      </c>
      <c r="BI1269" s="991">
        <f>IF(AND(Input_Product=Elig!$C1269,Elig_MatchAll_Ct&lt;22,$BC1269=(Elig_MatchAll_Ct-1),AG1269=0),D1269,0)</f>
        <v>0</v>
      </c>
      <c r="BJ1269" s="991">
        <f>IF(AND(Input_Product=Elig!$C1269,Elig_MatchAll_Ct&lt;22,$BC1269=(Elig_MatchAll_Ct-1),AH1269=0),E1269,0)</f>
        <v>0</v>
      </c>
      <c r="BK1269" s="991">
        <f>IF(AND(Input_Product=Elig!$C1269,Elig_MatchAll_Ct&lt;22,$BC1269=(Elig_MatchAll_Ct-1),AI1269=0),F1269,0)</f>
        <v>0</v>
      </c>
      <c r="BL1269" s="991">
        <f>IF(AND(Input_Product=Elig!$C1269,Elig_MatchAll_Ct&lt;22,$BC1269=(Elig_MatchAll_Ct-1),AJ1269=0),G1269,0)</f>
        <v>0</v>
      </c>
      <c r="BM1269" s="991">
        <f>IF(AND(Input_Product=Elig!$C1269,Elig_MatchAll_Ct&lt;22,$BC1269=(Elig_MatchAll_Ct-1),AK1269=0),H1269,0)</f>
        <v>0</v>
      </c>
      <c r="BN1269" s="991">
        <f>IF(AND(Input_Product=Elig!$C1269,Elig_MatchAll_Ct&lt;22,$BC1269=(Elig_MatchAll_Ct-1),AL1269=0),I1269,0)</f>
        <v>0</v>
      </c>
      <c r="BO1269" s="991">
        <f>IF(AND(Input_Product=Elig!$C1269,Elig_MatchAll_Ct&lt;22,$BC1269=(Elig_MatchAll_Ct-1),AM1269=0),J1269,0)</f>
        <v>0</v>
      </c>
      <c r="BP1269" s="991">
        <f>IF(AND(Input_Product=Elig!$C1269,Elig_MatchAll_Ct&lt;22,$BC1269=(Elig_MatchAll_Ct-1),AN1269=0),K1269,0)</f>
        <v>0</v>
      </c>
      <c r="BQ1269" s="991">
        <f>IF(AND(Input_Product=Elig!$C1269,Elig_MatchAll_Ct&lt;22,$BC1269=(Elig_MatchAll_Ct-1),AP1269=0),L1269,0)</f>
        <v>0</v>
      </c>
      <c r="BR1269" s="991">
        <f>IF(AND(Input_Product=Elig!$C1269,Elig_MatchAll_Ct&lt;22,$BC1269=(Elig_MatchAll_Ct-1),AO1269=0),M1269,0)</f>
        <v>0</v>
      </c>
      <c r="BS1269" s="991">
        <f>IF(AND(Input_Product=Elig!$C1269,Elig_MatchAll_Ct&lt;22,$BC1269=(Elig_MatchAll_Ct-1),AQ1269=0),N1269,0)</f>
        <v>0</v>
      </c>
      <c r="BT1269" s="991">
        <f>IF(AND(Input_Product=Elig!$C1269,Elig_MatchAll_Ct&lt;22,$BC1269=(Elig_MatchAll_Ct-1),AR1269=0),O1269,0)</f>
        <v>0</v>
      </c>
      <c r="BU1269" s="991">
        <f>IF(AND(Input_Product=Elig!$C1269,Elig_MatchAll_Ct&lt;22,$BC1269=(Elig_MatchAll_Ct-1),AS1269=0),P1269,0)</f>
        <v>0</v>
      </c>
      <c r="BV1269" s="992">
        <f>IF(AND(Input_Product=Elig!$C1269,Elig_MatchAll_Ct&lt;22,$BC1269=(Elig_MatchAll_Ct-1),AT1269=0),Q1269,0)</f>
        <v>0</v>
      </c>
      <c r="BW1269" s="993">
        <f>IF(AND(Input_Product=Elig!$C1269,Elig_MatchAll_Ct&lt;22,$BC1269=(Elig_MatchAll_Ct-1),AU1269=0),R1269,0)</f>
        <v>0</v>
      </c>
      <c r="BX1269" s="994">
        <f>IF(AND(Input_Product=Elig!$C1269,Elig_MatchAll_Ct&lt;22,$BC1269=(Elig_MatchAll_Ct-1),AU1269=0),S1269,0)</f>
        <v>0</v>
      </c>
      <c r="BY1269" s="993">
        <f>IF(AND(Input_Product=Elig!$C1269,Elig_MatchAll_Ct&lt;22,$BC1269=(Elig_MatchAll_Ct-1),AV1269=0),T1269,0)</f>
        <v>0</v>
      </c>
      <c r="BZ1269" s="994">
        <f>IF(AND(Input_Product=Elig!$C1269,Elig_MatchAll_Ct&lt;22,$BC1269=(Elig_MatchAll_Ct-1),AV1269=0),U1269,0)</f>
        <v>0</v>
      </c>
      <c r="CA1269" s="993">
        <f>IF(AND(Input_Product=Elig!$C1269,Elig_MatchAll_Ct&lt;22,$BC1269=(Elig_MatchAll_Ct-1),AW1269=0),V1269,0)</f>
        <v>0</v>
      </c>
      <c r="CB1269" s="994">
        <f>IF(AND(Input_Product=Elig!$C1269,Elig_MatchAll_Ct&lt;22,$BC1269=(Elig_MatchAll_Ct-1),AW1269=0),W1269,0)</f>
        <v>0</v>
      </c>
      <c r="CC1269" s="993">
        <f>IF(AND(Input_Product=Elig!$C1269,Elig_MatchAll_Ct&lt;22,$BC1269=(Elig_MatchAll_Ct-1),AX1269=0),X1269,0)</f>
        <v>0</v>
      </c>
      <c r="CD1269" s="994">
        <f>IF(AND(Input_Product=Elig!$C1269,Elig_MatchAll_Ct&lt;22,$BC1269=(Elig_MatchAll_Ct-1),AX1269=0),Y1269,0)</f>
        <v>0</v>
      </c>
      <c r="CE1269" s="993">
        <f>IF(AND(Input_LTV&lt;=AE1269,Input_Product=Elig!$C1269,Elig_MatchAll_Ct&lt;22,$BC1269=(Elig_MatchAll_Ct-1),AY1269=0),Z1269,0)</f>
        <v>0</v>
      </c>
      <c r="CF1269" s="994">
        <f>IF(AND(Input_LTV&lt;=AE1269,Input_Product=Elig!$C1269,Elig_MatchAll_Ct&lt;22,$BC1269=(Elig_MatchAll_Ct-1),AY1269=0),AA1269,0)</f>
        <v>0</v>
      </c>
      <c r="CG1269" s="993">
        <f>IF(AND(Input_Product=Elig!$C1269,Elig_MatchAll_Ct&lt;22,$BC1269=(Elig_MatchAll_Ct-1),AZ1269=0),AB1269,0)</f>
        <v>0</v>
      </c>
      <c r="CH1269" s="994">
        <f>IF(AND(Input_Product=Elig!$C1269,Elig_MatchAll_Ct&lt;22,$BC1269=(Elig_MatchAll_Ct-1),AZ1269=0),AC1269,0)</f>
        <v>0</v>
      </c>
      <c r="CI1269" s="993">
        <f>IF(AND(Input_Product=Elig!$C1269,Elig_MatchAll_Ct&lt;22,$BC1269=(Elig_MatchAll_Ct-1),BA1269=0),AD1269,0)</f>
        <v>0</v>
      </c>
      <c r="CJ1269" s="994">
        <f>IF(AND(Input_Product=Elig!$C1269,Elig_MatchAll_Ct&lt;22,$BC1269=(Elig_MatchAll_Ct-1),BA1269=0),AE1269,0)</f>
        <v>0</v>
      </c>
    </row>
    <row r="1270" spans="2:88" ht="10.15" customHeight="1" x14ac:dyDescent="0.25">
      <c r="B1270" s="1920" t="s">
        <v>4213</v>
      </c>
      <c r="C1270" s="1359" t="str">
        <f t="shared" si="453"/>
        <v xml:space="preserve"> </v>
      </c>
      <c r="D1270" s="1360" t="s">
        <v>2218</v>
      </c>
      <c r="E1270" s="1360" t="s">
        <v>167</v>
      </c>
      <c r="F1270" s="1360" t="s">
        <v>330</v>
      </c>
      <c r="G1270" s="1361" t="s">
        <v>181</v>
      </c>
      <c r="H1270" s="1361" t="s">
        <v>136</v>
      </c>
      <c r="I1270" s="2483" t="s">
        <v>35</v>
      </c>
      <c r="J1270" s="1360" t="s">
        <v>1311</v>
      </c>
      <c r="K1270" s="1361" t="s">
        <v>3022</v>
      </c>
      <c r="L1270" s="1360" t="s">
        <v>2768</v>
      </c>
      <c r="M1270" s="1360" t="s">
        <v>2677</v>
      </c>
      <c r="N1270" s="1361" t="s">
        <v>2685</v>
      </c>
      <c r="O1270" s="1360" t="s">
        <v>2526</v>
      </c>
      <c r="P1270" s="1360" t="s">
        <v>291</v>
      </c>
      <c r="Q1270" s="1360" t="s">
        <v>294</v>
      </c>
      <c r="R1270" s="1360">
        <v>1000000.01</v>
      </c>
      <c r="S1270" s="1360">
        <v>1500000</v>
      </c>
      <c r="T1270" s="1360">
        <v>0</v>
      </c>
      <c r="U1270" s="1360">
        <v>0</v>
      </c>
      <c r="V1270" s="1360">
        <v>0</v>
      </c>
      <c r="W1270" s="1360">
        <v>50</v>
      </c>
      <c r="X1270" s="1360">
        <v>0.8</v>
      </c>
      <c r="Y1270" s="1360">
        <v>999</v>
      </c>
      <c r="Z1270" s="2045">
        <v>700</v>
      </c>
      <c r="AA1270" s="2045">
        <v>719</v>
      </c>
      <c r="AB1270" s="2045">
        <v>6</v>
      </c>
      <c r="AC1270" s="2045">
        <v>999999</v>
      </c>
      <c r="AD1270" s="2483">
        <v>65.010000000000005</v>
      </c>
      <c r="AE1270" s="2046">
        <v>80</v>
      </c>
      <c r="AF1270" s="170">
        <v>0</v>
      </c>
      <c r="AG1270" s="171">
        <v>1</v>
      </c>
      <c r="AH1270" s="171">
        <v>1</v>
      </c>
      <c r="AI1270" s="171">
        <v>0</v>
      </c>
      <c r="AJ1270" s="171">
        <v>0</v>
      </c>
      <c r="AK1270" s="171">
        <v>1</v>
      </c>
      <c r="AL1270" s="171">
        <v>0</v>
      </c>
      <c r="AM1270" s="171">
        <v>1</v>
      </c>
      <c r="AN1270" s="171">
        <v>1</v>
      </c>
      <c r="AO1270" s="171">
        <v>1</v>
      </c>
      <c r="AP1270" s="171">
        <v>1</v>
      </c>
      <c r="AQ1270" s="171">
        <v>1</v>
      </c>
      <c r="AR1270" s="171">
        <v>1</v>
      </c>
      <c r="AS1270" s="171">
        <v>1</v>
      </c>
      <c r="AT1270" s="171">
        <v>1</v>
      </c>
      <c r="AU1270" s="171">
        <f t="shared" si="447"/>
        <v>0</v>
      </c>
      <c r="AV1270" s="171">
        <f t="shared" si="448"/>
        <v>0</v>
      </c>
      <c r="AW1270" s="171">
        <f t="shared" si="449"/>
        <v>1</v>
      </c>
      <c r="AX1270" s="171">
        <f t="shared" si="444"/>
        <v>0</v>
      </c>
      <c r="AY1270" s="171">
        <f t="shared" si="450"/>
        <v>0</v>
      </c>
      <c r="AZ1270" s="171">
        <f t="shared" si="451"/>
        <v>1</v>
      </c>
      <c r="BA1270" s="172">
        <f t="shared" si="452"/>
        <v>0</v>
      </c>
      <c r="BB1270" s="175">
        <f t="shared" si="461"/>
        <v>13</v>
      </c>
      <c r="BC1270" s="176">
        <f t="shared" si="462"/>
        <v>13</v>
      </c>
      <c r="BD1270" s="176">
        <f t="shared" si="463"/>
        <v>13</v>
      </c>
      <c r="BE1270" s="240" t="str">
        <f t="shared" si="464"/>
        <v/>
      </c>
      <c r="BF1270" s="990"/>
      <c r="BG1270" s="990"/>
      <c r="BH1270" s="991">
        <f>IF(AND(Input_Product=Elig!$C1270,Elig_MatchAll_Ct&lt;22,$BC1270=(Elig_MatchAll_Ct-1),AF1270=0),C1270,0)</f>
        <v>0</v>
      </c>
      <c r="BI1270" s="991">
        <f>IF(AND(Input_Product=Elig!$C1270,Elig_MatchAll_Ct&lt;22,$BC1270=(Elig_MatchAll_Ct-1),AG1270=0),D1270,0)</f>
        <v>0</v>
      </c>
      <c r="BJ1270" s="991">
        <f>IF(AND(Input_Product=Elig!$C1270,Elig_MatchAll_Ct&lt;22,$BC1270=(Elig_MatchAll_Ct-1),AH1270=0),E1270,0)</f>
        <v>0</v>
      </c>
      <c r="BK1270" s="991">
        <f>IF(AND(Input_Product=Elig!$C1270,Elig_MatchAll_Ct&lt;22,$BC1270=(Elig_MatchAll_Ct-1),AI1270=0),F1270,0)</f>
        <v>0</v>
      </c>
      <c r="BL1270" s="991">
        <f>IF(AND(Input_Product=Elig!$C1270,Elig_MatchAll_Ct&lt;22,$BC1270=(Elig_MatchAll_Ct-1),AJ1270=0),G1270,0)</f>
        <v>0</v>
      </c>
      <c r="BM1270" s="991">
        <f>IF(AND(Input_Product=Elig!$C1270,Elig_MatchAll_Ct&lt;22,$BC1270=(Elig_MatchAll_Ct-1),AK1270=0),H1270,0)</f>
        <v>0</v>
      </c>
      <c r="BN1270" s="991">
        <f>IF(AND(Input_Product=Elig!$C1270,Elig_MatchAll_Ct&lt;22,$BC1270=(Elig_MatchAll_Ct-1),AL1270=0),I1270,0)</f>
        <v>0</v>
      </c>
      <c r="BO1270" s="991">
        <f>IF(AND(Input_Product=Elig!$C1270,Elig_MatchAll_Ct&lt;22,$BC1270=(Elig_MatchAll_Ct-1),AM1270=0),J1270,0)</f>
        <v>0</v>
      </c>
      <c r="BP1270" s="991">
        <f>IF(AND(Input_Product=Elig!$C1270,Elig_MatchAll_Ct&lt;22,$BC1270=(Elig_MatchAll_Ct-1),AN1270=0),K1270,0)</f>
        <v>0</v>
      </c>
      <c r="BQ1270" s="991">
        <f>IF(AND(Input_Product=Elig!$C1270,Elig_MatchAll_Ct&lt;22,$BC1270=(Elig_MatchAll_Ct-1),AP1270=0),L1270,0)</f>
        <v>0</v>
      </c>
      <c r="BR1270" s="991">
        <f>IF(AND(Input_Product=Elig!$C1270,Elig_MatchAll_Ct&lt;22,$BC1270=(Elig_MatchAll_Ct-1),AO1270=0),M1270,0)</f>
        <v>0</v>
      </c>
      <c r="BS1270" s="991">
        <f>IF(AND(Input_Product=Elig!$C1270,Elig_MatchAll_Ct&lt;22,$BC1270=(Elig_MatchAll_Ct-1),AQ1270=0),N1270,0)</f>
        <v>0</v>
      </c>
      <c r="BT1270" s="991">
        <f>IF(AND(Input_Product=Elig!$C1270,Elig_MatchAll_Ct&lt;22,$BC1270=(Elig_MatchAll_Ct-1),AR1270=0),O1270,0)</f>
        <v>0</v>
      </c>
      <c r="BU1270" s="991">
        <f>IF(AND(Input_Product=Elig!$C1270,Elig_MatchAll_Ct&lt;22,$BC1270=(Elig_MatchAll_Ct-1),AS1270=0),P1270,0)</f>
        <v>0</v>
      </c>
      <c r="BV1270" s="992">
        <f>IF(AND(Input_Product=Elig!$C1270,Elig_MatchAll_Ct&lt;22,$BC1270=(Elig_MatchAll_Ct-1),AT1270=0),Q1270,0)</f>
        <v>0</v>
      </c>
      <c r="BW1270" s="993">
        <f>IF(AND(Input_Product=Elig!$C1270,Elig_MatchAll_Ct&lt;22,$BC1270=(Elig_MatchAll_Ct-1),AU1270=0),R1270,0)</f>
        <v>0</v>
      </c>
      <c r="BX1270" s="994">
        <f>IF(AND(Input_Product=Elig!$C1270,Elig_MatchAll_Ct&lt;22,$BC1270=(Elig_MatchAll_Ct-1),AU1270=0),S1270,0)</f>
        <v>0</v>
      </c>
      <c r="BY1270" s="993">
        <f>IF(AND(Input_Product=Elig!$C1270,Elig_MatchAll_Ct&lt;22,$BC1270=(Elig_MatchAll_Ct-1),AV1270=0),T1270,0)</f>
        <v>0</v>
      </c>
      <c r="BZ1270" s="994">
        <f>IF(AND(Input_Product=Elig!$C1270,Elig_MatchAll_Ct&lt;22,$BC1270=(Elig_MatchAll_Ct-1),AV1270=0),U1270,0)</f>
        <v>0</v>
      </c>
      <c r="CA1270" s="993">
        <f>IF(AND(Input_Product=Elig!$C1270,Elig_MatchAll_Ct&lt;22,$BC1270=(Elig_MatchAll_Ct-1),AW1270=0),V1270,0)</f>
        <v>0</v>
      </c>
      <c r="CB1270" s="994">
        <f>IF(AND(Input_Product=Elig!$C1270,Elig_MatchAll_Ct&lt;22,$BC1270=(Elig_MatchAll_Ct-1),AW1270=0),W1270,0)</f>
        <v>0</v>
      </c>
      <c r="CC1270" s="993">
        <f>IF(AND(Input_Product=Elig!$C1270,Elig_MatchAll_Ct&lt;22,$BC1270=(Elig_MatchAll_Ct-1),AX1270=0),X1270,0)</f>
        <v>0</v>
      </c>
      <c r="CD1270" s="994">
        <f>IF(AND(Input_Product=Elig!$C1270,Elig_MatchAll_Ct&lt;22,$BC1270=(Elig_MatchAll_Ct-1),AX1270=0),Y1270,0)</f>
        <v>0</v>
      </c>
      <c r="CE1270" s="993">
        <f>IF(AND(Input_LTV&lt;=AE1270,Input_Product=Elig!$C1270,Elig_MatchAll_Ct&lt;22,$BC1270=(Elig_MatchAll_Ct-1),AY1270=0),Z1270,0)</f>
        <v>0</v>
      </c>
      <c r="CF1270" s="994">
        <f>IF(AND(Input_LTV&lt;=AE1270,Input_Product=Elig!$C1270,Elig_MatchAll_Ct&lt;22,$BC1270=(Elig_MatchAll_Ct-1),AY1270=0),AA1270,0)</f>
        <v>0</v>
      </c>
      <c r="CG1270" s="993">
        <f>IF(AND(Input_Product=Elig!$C1270,Elig_MatchAll_Ct&lt;22,$BC1270=(Elig_MatchAll_Ct-1),AZ1270=0),AB1270,0)</f>
        <v>0</v>
      </c>
      <c r="CH1270" s="994">
        <f>IF(AND(Input_Product=Elig!$C1270,Elig_MatchAll_Ct&lt;22,$BC1270=(Elig_MatchAll_Ct-1),AZ1270=0),AC1270,0)</f>
        <v>0</v>
      </c>
      <c r="CI1270" s="993">
        <f>IF(AND(Input_Product=Elig!$C1270,Elig_MatchAll_Ct&lt;22,$BC1270=(Elig_MatchAll_Ct-1),BA1270=0),AD1270,0)</f>
        <v>0</v>
      </c>
      <c r="CJ1270" s="994">
        <f>IF(AND(Input_Product=Elig!$C1270,Elig_MatchAll_Ct&lt;22,$BC1270=(Elig_MatchAll_Ct-1),BA1270=0),AE1270,0)</f>
        <v>0</v>
      </c>
    </row>
    <row r="1271" spans="2:88" ht="10.15" customHeight="1" x14ac:dyDescent="0.25">
      <c r="B1271" s="1920" t="s">
        <v>4214</v>
      </c>
      <c r="C1271" s="1356" t="str">
        <f t="shared" si="453"/>
        <v xml:space="preserve"> </v>
      </c>
      <c r="D1271" s="1357" t="s">
        <v>2218</v>
      </c>
      <c r="E1271" s="1357" t="s">
        <v>167</v>
      </c>
      <c r="F1271" s="1357" t="s">
        <v>330</v>
      </c>
      <c r="G1271" s="1358" t="s">
        <v>181</v>
      </c>
      <c r="H1271" s="1358" t="s">
        <v>136</v>
      </c>
      <c r="I1271" s="2484" t="s">
        <v>35</v>
      </c>
      <c r="J1271" s="1357" t="s">
        <v>1311</v>
      </c>
      <c r="K1271" s="1358" t="s">
        <v>3022</v>
      </c>
      <c r="L1271" s="1357" t="s">
        <v>2768</v>
      </c>
      <c r="M1271" s="1357" t="s">
        <v>2677</v>
      </c>
      <c r="N1271" s="1358" t="s">
        <v>2685</v>
      </c>
      <c r="O1271" s="1357" t="s">
        <v>2526</v>
      </c>
      <c r="P1271" s="1357" t="s">
        <v>291</v>
      </c>
      <c r="Q1271" s="1357" t="s">
        <v>294</v>
      </c>
      <c r="R1271" s="1357">
        <v>1000000.01</v>
      </c>
      <c r="S1271" s="1357">
        <v>1500000</v>
      </c>
      <c r="T1271" s="1357">
        <v>0</v>
      </c>
      <c r="U1271" s="1357">
        <v>0</v>
      </c>
      <c r="V1271" s="1357">
        <v>0</v>
      </c>
      <c r="W1271" s="1357">
        <v>50</v>
      </c>
      <c r="X1271" s="1357">
        <v>0.8</v>
      </c>
      <c r="Y1271" s="1357">
        <v>999</v>
      </c>
      <c r="Z1271" s="2047">
        <v>660</v>
      </c>
      <c r="AA1271" s="2047">
        <v>660</v>
      </c>
      <c r="AB1271" s="2047">
        <v>6</v>
      </c>
      <c r="AC1271" s="2047">
        <v>999999</v>
      </c>
      <c r="AD1271" s="2484">
        <v>65.010000000000005</v>
      </c>
      <c r="AE1271" s="2048">
        <v>80</v>
      </c>
      <c r="AF1271" s="170">
        <v>0</v>
      </c>
      <c r="AG1271" s="171">
        <v>1</v>
      </c>
      <c r="AH1271" s="171">
        <v>1</v>
      </c>
      <c r="AI1271" s="171">
        <v>0</v>
      </c>
      <c r="AJ1271" s="171">
        <v>0</v>
      </c>
      <c r="AK1271" s="171">
        <v>1</v>
      </c>
      <c r="AL1271" s="171">
        <v>0</v>
      </c>
      <c r="AM1271" s="171">
        <v>1</v>
      </c>
      <c r="AN1271" s="171">
        <v>1</v>
      </c>
      <c r="AO1271" s="171">
        <v>1</v>
      </c>
      <c r="AP1271" s="171">
        <v>1</v>
      </c>
      <c r="AQ1271" s="171">
        <v>1</v>
      </c>
      <c r="AR1271" s="171">
        <v>1</v>
      </c>
      <c r="AS1271" s="171">
        <v>1</v>
      </c>
      <c r="AT1271" s="171">
        <v>1</v>
      </c>
      <c r="AU1271" s="171">
        <f t="shared" si="447"/>
        <v>0</v>
      </c>
      <c r="AV1271" s="171">
        <f t="shared" si="448"/>
        <v>0</v>
      </c>
      <c r="AW1271" s="171">
        <f t="shared" si="449"/>
        <v>1</v>
      </c>
      <c r="AX1271" s="171">
        <f t="shared" si="444"/>
        <v>0</v>
      </c>
      <c r="AY1271" s="171">
        <f t="shared" si="450"/>
        <v>0</v>
      </c>
      <c r="AZ1271" s="171">
        <f t="shared" si="451"/>
        <v>1</v>
      </c>
      <c r="BA1271" s="172">
        <f t="shared" si="452"/>
        <v>0</v>
      </c>
      <c r="BB1271" s="175">
        <f t="shared" si="461"/>
        <v>13</v>
      </c>
      <c r="BC1271" s="176">
        <f t="shared" si="462"/>
        <v>13</v>
      </c>
      <c r="BD1271" s="176">
        <f t="shared" si="463"/>
        <v>13</v>
      </c>
      <c r="BE1271" s="240" t="str">
        <f t="shared" si="464"/>
        <v/>
      </c>
      <c r="BF1271" s="990"/>
      <c r="BG1271" s="990"/>
      <c r="BH1271" s="991">
        <f>IF(AND(Input_Product=Elig!$C1271,Elig_MatchAll_Ct&lt;22,$BC1271=(Elig_MatchAll_Ct-1),AF1271=0),C1271,0)</f>
        <v>0</v>
      </c>
      <c r="BI1271" s="991">
        <f>IF(AND(Input_Product=Elig!$C1271,Elig_MatchAll_Ct&lt;22,$BC1271=(Elig_MatchAll_Ct-1),AG1271=0),D1271,0)</f>
        <v>0</v>
      </c>
      <c r="BJ1271" s="991">
        <f>IF(AND(Input_Product=Elig!$C1271,Elig_MatchAll_Ct&lt;22,$BC1271=(Elig_MatchAll_Ct-1),AH1271=0),E1271,0)</f>
        <v>0</v>
      </c>
      <c r="BK1271" s="991">
        <f>IF(AND(Input_Product=Elig!$C1271,Elig_MatchAll_Ct&lt;22,$BC1271=(Elig_MatchAll_Ct-1),AI1271=0),F1271,0)</f>
        <v>0</v>
      </c>
      <c r="BL1271" s="991">
        <f>IF(AND(Input_Product=Elig!$C1271,Elig_MatchAll_Ct&lt;22,$BC1271=(Elig_MatchAll_Ct-1),AJ1271=0),G1271,0)</f>
        <v>0</v>
      </c>
      <c r="BM1271" s="991">
        <f>IF(AND(Input_Product=Elig!$C1271,Elig_MatchAll_Ct&lt;22,$BC1271=(Elig_MatchAll_Ct-1),AK1271=0),H1271,0)</f>
        <v>0</v>
      </c>
      <c r="BN1271" s="991">
        <f>IF(AND(Input_Product=Elig!$C1271,Elig_MatchAll_Ct&lt;22,$BC1271=(Elig_MatchAll_Ct-1),AL1271=0),I1271,0)</f>
        <v>0</v>
      </c>
      <c r="BO1271" s="991">
        <f>IF(AND(Input_Product=Elig!$C1271,Elig_MatchAll_Ct&lt;22,$BC1271=(Elig_MatchAll_Ct-1),AM1271=0),J1271,0)</f>
        <v>0</v>
      </c>
      <c r="BP1271" s="991">
        <f>IF(AND(Input_Product=Elig!$C1271,Elig_MatchAll_Ct&lt;22,$BC1271=(Elig_MatchAll_Ct-1),AN1271=0),K1271,0)</f>
        <v>0</v>
      </c>
      <c r="BQ1271" s="991">
        <f>IF(AND(Input_Product=Elig!$C1271,Elig_MatchAll_Ct&lt;22,$BC1271=(Elig_MatchAll_Ct-1),AP1271=0),L1271,0)</f>
        <v>0</v>
      </c>
      <c r="BR1271" s="991">
        <f>IF(AND(Input_Product=Elig!$C1271,Elig_MatchAll_Ct&lt;22,$BC1271=(Elig_MatchAll_Ct-1),AO1271=0),M1271,0)</f>
        <v>0</v>
      </c>
      <c r="BS1271" s="991">
        <f>IF(AND(Input_Product=Elig!$C1271,Elig_MatchAll_Ct&lt;22,$BC1271=(Elig_MatchAll_Ct-1),AQ1271=0),N1271,0)</f>
        <v>0</v>
      </c>
      <c r="BT1271" s="991">
        <f>IF(AND(Input_Product=Elig!$C1271,Elig_MatchAll_Ct&lt;22,$BC1271=(Elig_MatchAll_Ct-1),AR1271=0),O1271,0)</f>
        <v>0</v>
      </c>
      <c r="BU1271" s="991">
        <f>IF(AND(Input_Product=Elig!$C1271,Elig_MatchAll_Ct&lt;22,$BC1271=(Elig_MatchAll_Ct-1),AS1271=0),P1271,0)</f>
        <v>0</v>
      </c>
      <c r="BV1271" s="992">
        <f>IF(AND(Input_Product=Elig!$C1271,Elig_MatchAll_Ct&lt;22,$BC1271=(Elig_MatchAll_Ct-1),AT1271=0),Q1271,0)</f>
        <v>0</v>
      </c>
      <c r="BW1271" s="993">
        <f>IF(AND(Input_Product=Elig!$C1271,Elig_MatchAll_Ct&lt;22,$BC1271=(Elig_MatchAll_Ct-1),AU1271=0),R1271,0)</f>
        <v>0</v>
      </c>
      <c r="BX1271" s="994">
        <f>IF(AND(Input_Product=Elig!$C1271,Elig_MatchAll_Ct&lt;22,$BC1271=(Elig_MatchAll_Ct-1),AU1271=0),S1271,0)</f>
        <v>0</v>
      </c>
      <c r="BY1271" s="993">
        <f>IF(AND(Input_Product=Elig!$C1271,Elig_MatchAll_Ct&lt;22,$BC1271=(Elig_MatchAll_Ct-1),AV1271=0),T1271,0)</f>
        <v>0</v>
      </c>
      <c r="BZ1271" s="994">
        <f>IF(AND(Input_Product=Elig!$C1271,Elig_MatchAll_Ct&lt;22,$BC1271=(Elig_MatchAll_Ct-1),AV1271=0),U1271,0)</f>
        <v>0</v>
      </c>
      <c r="CA1271" s="993">
        <f>IF(AND(Input_Product=Elig!$C1271,Elig_MatchAll_Ct&lt;22,$BC1271=(Elig_MatchAll_Ct-1),AW1271=0),V1271,0)</f>
        <v>0</v>
      </c>
      <c r="CB1271" s="994">
        <f>IF(AND(Input_Product=Elig!$C1271,Elig_MatchAll_Ct&lt;22,$BC1271=(Elig_MatchAll_Ct-1),AW1271=0),W1271,0)</f>
        <v>0</v>
      </c>
      <c r="CC1271" s="993">
        <f>IF(AND(Input_Product=Elig!$C1271,Elig_MatchAll_Ct&lt;22,$BC1271=(Elig_MatchAll_Ct-1),AX1271=0),X1271,0)</f>
        <v>0</v>
      </c>
      <c r="CD1271" s="994">
        <f>IF(AND(Input_Product=Elig!$C1271,Elig_MatchAll_Ct&lt;22,$BC1271=(Elig_MatchAll_Ct-1),AX1271=0),Y1271,0)</f>
        <v>0</v>
      </c>
      <c r="CE1271" s="993">
        <f>IF(AND(Input_LTV&lt;=AE1271,Input_Product=Elig!$C1271,Elig_MatchAll_Ct&lt;22,$BC1271=(Elig_MatchAll_Ct-1),AY1271=0),Z1271,0)</f>
        <v>0</v>
      </c>
      <c r="CF1271" s="994">
        <f>IF(AND(Input_LTV&lt;=AE1271,Input_Product=Elig!$C1271,Elig_MatchAll_Ct&lt;22,$BC1271=(Elig_MatchAll_Ct-1),AY1271=0),AA1271,0)</f>
        <v>0</v>
      </c>
      <c r="CG1271" s="993">
        <f>IF(AND(Input_Product=Elig!$C1271,Elig_MatchAll_Ct&lt;22,$BC1271=(Elig_MatchAll_Ct-1),AZ1271=0),AB1271,0)</f>
        <v>0</v>
      </c>
      <c r="CH1271" s="994">
        <f>IF(AND(Input_Product=Elig!$C1271,Elig_MatchAll_Ct&lt;22,$BC1271=(Elig_MatchAll_Ct-1),AZ1271=0),AC1271,0)</f>
        <v>0</v>
      </c>
      <c r="CI1271" s="993">
        <f>IF(AND(Input_Product=Elig!$C1271,Elig_MatchAll_Ct&lt;22,$BC1271=(Elig_MatchAll_Ct-1),BA1271=0),AD1271,0)</f>
        <v>0</v>
      </c>
      <c r="CJ1271" s="994">
        <f>IF(AND(Input_Product=Elig!$C1271,Elig_MatchAll_Ct&lt;22,$BC1271=(Elig_MatchAll_Ct-1),BA1271=0),AE1271,0)</f>
        <v>0</v>
      </c>
    </row>
    <row r="1272" spans="2:88" ht="10.15" customHeight="1" x14ac:dyDescent="0.25">
      <c r="B1272" s="1920" t="s">
        <v>4215</v>
      </c>
      <c r="C1272" s="1353" t="str">
        <f t="shared" si="453"/>
        <v xml:space="preserve"> </v>
      </c>
      <c r="D1272" s="1354" t="s">
        <v>2218</v>
      </c>
      <c r="E1272" s="1354" t="s">
        <v>167</v>
      </c>
      <c r="F1272" s="1354" t="s">
        <v>330</v>
      </c>
      <c r="G1272" s="1355" t="s">
        <v>181</v>
      </c>
      <c r="H1272" s="1355" t="s">
        <v>136</v>
      </c>
      <c r="I1272" s="2482" t="s">
        <v>35</v>
      </c>
      <c r="J1272" s="1354" t="s">
        <v>1311</v>
      </c>
      <c r="K1272" s="1355" t="s">
        <v>3022</v>
      </c>
      <c r="L1272" s="1354" t="s">
        <v>2768</v>
      </c>
      <c r="M1272" s="1354" t="s">
        <v>2677</v>
      </c>
      <c r="N1272" s="1355" t="s">
        <v>2685</v>
      </c>
      <c r="O1272" s="1354" t="s">
        <v>2526</v>
      </c>
      <c r="P1272" s="1354" t="s">
        <v>291</v>
      </c>
      <c r="Q1272" s="1354" t="s">
        <v>294</v>
      </c>
      <c r="R1272" s="1354">
        <v>1500000.01</v>
      </c>
      <c r="S1272" s="1354">
        <v>2000000</v>
      </c>
      <c r="T1272" s="1354">
        <v>0</v>
      </c>
      <c r="U1272" s="1354">
        <v>0</v>
      </c>
      <c r="V1272" s="1354">
        <v>0</v>
      </c>
      <c r="W1272" s="1354">
        <v>50</v>
      </c>
      <c r="X1272" s="1354">
        <v>0.8</v>
      </c>
      <c r="Y1272" s="1354">
        <v>999</v>
      </c>
      <c r="Z1272" s="2043">
        <v>720</v>
      </c>
      <c r="AA1272" s="2043">
        <v>999</v>
      </c>
      <c r="AB1272" s="2043">
        <v>6</v>
      </c>
      <c r="AC1272" s="2043">
        <v>999999</v>
      </c>
      <c r="AD1272" s="2482">
        <v>65.010000000000005</v>
      </c>
      <c r="AE1272" s="2044">
        <v>75</v>
      </c>
      <c r="AF1272" s="170">
        <v>0</v>
      </c>
      <c r="AG1272" s="171">
        <v>1</v>
      </c>
      <c r="AH1272" s="171">
        <v>1</v>
      </c>
      <c r="AI1272" s="171">
        <v>0</v>
      </c>
      <c r="AJ1272" s="171">
        <v>0</v>
      </c>
      <c r="AK1272" s="171">
        <v>1</v>
      </c>
      <c r="AL1272" s="171">
        <v>0</v>
      </c>
      <c r="AM1272" s="171">
        <v>1</v>
      </c>
      <c r="AN1272" s="171">
        <v>1</v>
      </c>
      <c r="AO1272" s="171">
        <v>1</v>
      </c>
      <c r="AP1272" s="171">
        <v>1</v>
      </c>
      <c r="AQ1272" s="171">
        <v>1</v>
      </c>
      <c r="AR1272" s="171">
        <v>1</v>
      </c>
      <c r="AS1272" s="171">
        <v>1</v>
      </c>
      <c r="AT1272" s="171">
        <v>1</v>
      </c>
      <c r="AU1272" s="171">
        <f t="shared" si="447"/>
        <v>0</v>
      </c>
      <c r="AV1272" s="171">
        <f t="shared" si="448"/>
        <v>0</v>
      </c>
      <c r="AW1272" s="171">
        <f t="shared" si="449"/>
        <v>1</v>
      </c>
      <c r="AX1272" s="171">
        <f t="shared" si="444"/>
        <v>0</v>
      </c>
      <c r="AY1272" s="171">
        <f t="shared" si="450"/>
        <v>1</v>
      </c>
      <c r="AZ1272" s="171">
        <f t="shared" si="451"/>
        <v>1</v>
      </c>
      <c r="BA1272" s="172">
        <f t="shared" si="452"/>
        <v>0</v>
      </c>
      <c r="BB1272" s="175">
        <f t="shared" si="461"/>
        <v>14</v>
      </c>
      <c r="BC1272" s="176">
        <f t="shared" si="462"/>
        <v>14</v>
      </c>
      <c r="BD1272" s="176">
        <f t="shared" si="463"/>
        <v>14</v>
      </c>
      <c r="BE1272" s="240" t="str">
        <f t="shared" si="464"/>
        <v/>
      </c>
      <c r="BF1272" s="990"/>
      <c r="BG1272" s="990"/>
      <c r="BH1272" s="991">
        <f>IF(AND(Input_Product=Elig!$C1272,Elig_MatchAll_Ct&lt;22,$BC1272=(Elig_MatchAll_Ct-1),AF1272=0),C1272,0)</f>
        <v>0</v>
      </c>
      <c r="BI1272" s="991">
        <f>IF(AND(Input_Product=Elig!$C1272,Elig_MatchAll_Ct&lt;22,$BC1272=(Elig_MatchAll_Ct-1),AG1272=0),D1272,0)</f>
        <v>0</v>
      </c>
      <c r="BJ1272" s="991">
        <f>IF(AND(Input_Product=Elig!$C1272,Elig_MatchAll_Ct&lt;22,$BC1272=(Elig_MatchAll_Ct-1),AH1272=0),E1272,0)</f>
        <v>0</v>
      </c>
      <c r="BK1272" s="991">
        <f>IF(AND(Input_Product=Elig!$C1272,Elig_MatchAll_Ct&lt;22,$BC1272=(Elig_MatchAll_Ct-1),AI1272=0),F1272,0)</f>
        <v>0</v>
      </c>
      <c r="BL1272" s="991">
        <f>IF(AND(Input_Product=Elig!$C1272,Elig_MatchAll_Ct&lt;22,$BC1272=(Elig_MatchAll_Ct-1),AJ1272=0),G1272,0)</f>
        <v>0</v>
      </c>
      <c r="BM1272" s="991">
        <f>IF(AND(Input_Product=Elig!$C1272,Elig_MatchAll_Ct&lt;22,$BC1272=(Elig_MatchAll_Ct-1),AK1272=0),H1272,0)</f>
        <v>0</v>
      </c>
      <c r="BN1272" s="991">
        <f>IF(AND(Input_Product=Elig!$C1272,Elig_MatchAll_Ct&lt;22,$BC1272=(Elig_MatchAll_Ct-1),AL1272=0),I1272,0)</f>
        <v>0</v>
      </c>
      <c r="BO1272" s="991">
        <f>IF(AND(Input_Product=Elig!$C1272,Elig_MatchAll_Ct&lt;22,$BC1272=(Elig_MatchAll_Ct-1),AM1272=0),J1272,0)</f>
        <v>0</v>
      </c>
      <c r="BP1272" s="991">
        <f>IF(AND(Input_Product=Elig!$C1272,Elig_MatchAll_Ct&lt;22,$BC1272=(Elig_MatchAll_Ct-1),AN1272=0),K1272,0)</f>
        <v>0</v>
      </c>
      <c r="BQ1272" s="991">
        <f>IF(AND(Input_Product=Elig!$C1272,Elig_MatchAll_Ct&lt;22,$BC1272=(Elig_MatchAll_Ct-1),AP1272=0),L1272,0)</f>
        <v>0</v>
      </c>
      <c r="BR1272" s="991">
        <f>IF(AND(Input_Product=Elig!$C1272,Elig_MatchAll_Ct&lt;22,$BC1272=(Elig_MatchAll_Ct-1),AO1272=0),M1272,0)</f>
        <v>0</v>
      </c>
      <c r="BS1272" s="991">
        <f>IF(AND(Input_Product=Elig!$C1272,Elig_MatchAll_Ct&lt;22,$BC1272=(Elig_MatchAll_Ct-1),AQ1272=0),N1272,0)</f>
        <v>0</v>
      </c>
      <c r="BT1272" s="991">
        <f>IF(AND(Input_Product=Elig!$C1272,Elig_MatchAll_Ct&lt;22,$BC1272=(Elig_MatchAll_Ct-1),AR1272=0),O1272,0)</f>
        <v>0</v>
      </c>
      <c r="BU1272" s="991">
        <f>IF(AND(Input_Product=Elig!$C1272,Elig_MatchAll_Ct&lt;22,$BC1272=(Elig_MatchAll_Ct-1),AS1272=0),P1272,0)</f>
        <v>0</v>
      </c>
      <c r="BV1272" s="992">
        <f>IF(AND(Input_Product=Elig!$C1272,Elig_MatchAll_Ct&lt;22,$BC1272=(Elig_MatchAll_Ct-1),AT1272=0),Q1272,0)</f>
        <v>0</v>
      </c>
      <c r="BW1272" s="993">
        <f>IF(AND(Input_Product=Elig!$C1272,Elig_MatchAll_Ct&lt;22,$BC1272=(Elig_MatchAll_Ct-1),AU1272=0),R1272,0)</f>
        <v>0</v>
      </c>
      <c r="BX1272" s="994">
        <f>IF(AND(Input_Product=Elig!$C1272,Elig_MatchAll_Ct&lt;22,$BC1272=(Elig_MatchAll_Ct-1),AU1272=0),S1272,0)</f>
        <v>0</v>
      </c>
      <c r="BY1272" s="993">
        <f>IF(AND(Input_Product=Elig!$C1272,Elig_MatchAll_Ct&lt;22,$BC1272=(Elig_MatchAll_Ct-1),AV1272=0),T1272,0)</f>
        <v>0</v>
      </c>
      <c r="BZ1272" s="994">
        <f>IF(AND(Input_Product=Elig!$C1272,Elig_MatchAll_Ct&lt;22,$BC1272=(Elig_MatchAll_Ct-1),AV1272=0),U1272,0)</f>
        <v>0</v>
      </c>
      <c r="CA1272" s="993">
        <f>IF(AND(Input_Product=Elig!$C1272,Elig_MatchAll_Ct&lt;22,$BC1272=(Elig_MatchAll_Ct-1),AW1272=0),V1272,0)</f>
        <v>0</v>
      </c>
      <c r="CB1272" s="994">
        <f>IF(AND(Input_Product=Elig!$C1272,Elig_MatchAll_Ct&lt;22,$BC1272=(Elig_MatchAll_Ct-1),AW1272=0),W1272,0)</f>
        <v>0</v>
      </c>
      <c r="CC1272" s="993">
        <f>IF(AND(Input_Product=Elig!$C1272,Elig_MatchAll_Ct&lt;22,$BC1272=(Elig_MatchAll_Ct-1),AX1272=0),X1272,0)</f>
        <v>0</v>
      </c>
      <c r="CD1272" s="994">
        <f>IF(AND(Input_Product=Elig!$C1272,Elig_MatchAll_Ct&lt;22,$BC1272=(Elig_MatchAll_Ct-1),AX1272=0),Y1272,0)</f>
        <v>0</v>
      </c>
      <c r="CE1272" s="993">
        <f>IF(AND(Input_LTV&lt;=AE1272,Input_Product=Elig!$C1272,Elig_MatchAll_Ct&lt;22,$BC1272=(Elig_MatchAll_Ct-1),AY1272=0),Z1272,0)</f>
        <v>0</v>
      </c>
      <c r="CF1272" s="994">
        <f>IF(AND(Input_LTV&lt;=AE1272,Input_Product=Elig!$C1272,Elig_MatchAll_Ct&lt;22,$BC1272=(Elig_MatchAll_Ct-1),AY1272=0),AA1272,0)</f>
        <v>0</v>
      </c>
      <c r="CG1272" s="993">
        <f>IF(AND(Input_Product=Elig!$C1272,Elig_MatchAll_Ct&lt;22,$BC1272=(Elig_MatchAll_Ct-1),AZ1272=0),AB1272,0)</f>
        <v>0</v>
      </c>
      <c r="CH1272" s="994">
        <f>IF(AND(Input_Product=Elig!$C1272,Elig_MatchAll_Ct&lt;22,$BC1272=(Elig_MatchAll_Ct-1),AZ1272=0),AC1272,0)</f>
        <v>0</v>
      </c>
      <c r="CI1272" s="993">
        <f>IF(AND(Input_Product=Elig!$C1272,Elig_MatchAll_Ct&lt;22,$BC1272=(Elig_MatchAll_Ct-1),BA1272=0),AD1272,0)</f>
        <v>0</v>
      </c>
      <c r="CJ1272" s="994">
        <f>IF(AND(Input_Product=Elig!$C1272,Elig_MatchAll_Ct&lt;22,$BC1272=(Elig_MatchAll_Ct-1),BA1272=0),AE1272,0)</f>
        <v>0</v>
      </c>
    </row>
    <row r="1273" spans="2:88" ht="10.15" customHeight="1" x14ac:dyDescent="0.25">
      <c r="B1273" s="1920" t="s">
        <v>4216</v>
      </c>
      <c r="C1273" s="1359" t="str">
        <f t="shared" si="453"/>
        <v xml:space="preserve"> </v>
      </c>
      <c r="D1273" s="1360" t="s">
        <v>2218</v>
      </c>
      <c r="E1273" s="1360" t="s">
        <v>167</v>
      </c>
      <c r="F1273" s="1360" t="s">
        <v>330</v>
      </c>
      <c r="G1273" s="1361" t="s">
        <v>181</v>
      </c>
      <c r="H1273" s="1361" t="s">
        <v>136</v>
      </c>
      <c r="I1273" s="2483" t="s">
        <v>35</v>
      </c>
      <c r="J1273" s="1360" t="s">
        <v>1311</v>
      </c>
      <c r="K1273" s="1361" t="s">
        <v>3022</v>
      </c>
      <c r="L1273" s="1360" t="s">
        <v>2768</v>
      </c>
      <c r="M1273" s="1360" t="s">
        <v>2677</v>
      </c>
      <c r="N1273" s="1361" t="s">
        <v>2685</v>
      </c>
      <c r="O1273" s="1360" t="s">
        <v>2526</v>
      </c>
      <c r="P1273" s="1360" t="s">
        <v>291</v>
      </c>
      <c r="Q1273" s="1360" t="s">
        <v>294</v>
      </c>
      <c r="R1273" s="1360">
        <v>1500000.01</v>
      </c>
      <c r="S1273" s="1360">
        <v>2000000</v>
      </c>
      <c r="T1273" s="1360">
        <v>0</v>
      </c>
      <c r="U1273" s="1360">
        <v>0</v>
      </c>
      <c r="V1273" s="1360">
        <v>0</v>
      </c>
      <c r="W1273" s="1360">
        <v>50</v>
      </c>
      <c r="X1273" s="1360">
        <v>0.8</v>
      </c>
      <c r="Y1273" s="1360">
        <v>999</v>
      </c>
      <c r="Z1273" s="2045">
        <v>700</v>
      </c>
      <c r="AA1273" s="2045">
        <v>719</v>
      </c>
      <c r="AB1273" s="2045">
        <v>6</v>
      </c>
      <c r="AC1273" s="2045">
        <v>999999</v>
      </c>
      <c r="AD1273" s="2483">
        <v>65.010000000000005</v>
      </c>
      <c r="AE1273" s="2046">
        <v>75</v>
      </c>
      <c r="AF1273" s="170">
        <v>0</v>
      </c>
      <c r="AG1273" s="171">
        <v>1</v>
      </c>
      <c r="AH1273" s="171">
        <v>1</v>
      </c>
      <c r="AI1273" s="171">
        <v>0</v>
      </c>
      <c r="AJ1273" s="171">
        <v>0</v>
      </c>
      <c r="AK1273" s="171">
        <v>1</v>
      </c>
      <c r="AL1273" s="171">
        <v>0</v>
      </c>
      <c r="AM1273" s="171">
        <v>1</v>
      </c>
      <c r="AN1273" s="171">
        <v>1</v>
      </c>
      <c r="AO1273" s="171">
        <v>1</v>
      </c>
      <c r="AP1273" s="171">
        <v>1</v>
      </c>
      <c r="AQ1273" s="171">
        <v>1</v>
      </c>
      <c r="AR1273" s="171">
        <v>1</v>
      </c>
      <c r="AS1273" s="171">
        <v>1</v>
      </c>
      <c r="AT1273" s="171">
        <v>1</v>
      </c>
      <c r="AU1273" s="171">
        <f t="shared" si="447"/>
        <v>0</v>
      </c>
      <c r="AV1273" s="171">
        <f t="shared" si="448"/>
        <v>0</v>
      </c>
      <c r="AW1273" s="171">
        <f t="shared" si="449"/>
        <v>1</v>
      </c>
      <c r="AX1273" s="171">
        <f t="shared" si="444"/>
        <v>0</v>
      </c>
      <c r="AY1273" s="171">
        <f t="shared" si="450"/>
        <v>0</v>
      </c>
      <c r="AZ1273" s="171">
        <f t="shared" si="451"/>
        <v>1</v>
      </c>
      <c r="BA1273" s="172">
        <f t="shared" si="452"/>
        <v>0</v>
      </c>
      <c r="BB1273" s="175">
        <f t="shared" si="461"/>
        <v>13</v>
      </c>
      <c r="BC1273" s="176">
        <f t="shared" si="462"/>
        <v>13</v>
      </c>
      <c r="BD1273" s="176">
        <f t="shared" si="463"/>
        <v>13</v>
      </c>
      <c r="BE1273" s="240" t="str">
        <f t="shared" si="464"/>
        <v/>
      </c>
      <c r="BF1273" s="990"/>
      <c r="BG1273" s="990"/>
      <c r="BH1273" s="991">
        <f>IF(AND(Input_Product=Elig!$C1273,Elig_MatchAll_Ct&lt;22,$BC1273=(Elig_MatchAll_Ct-1),AF1273=0),C1273,0)</f>
        <v>0</v>
      </c>
      <c r="BI1273" s="991">
        <f>IF(AND(Input_Product=Elig!$C1273,Elig_MatchAll_Ct&lt;22,$BC1273=(Elig_MatchAll_Ct-1),AG1273=0),D1273,0)</f>
        <v>0</v>
      </c>
      <c r="BJ1273" s="991">
        <f>IF(AND(Input_Product=Elig!$C1273,Elig_MatchAll_Ct&lt;22,$BC1273=(Elig_MatchAll_Ct-1),AH1273=0),E1273,0)</f>
        <v>0</v>
      </c>
      <c r="BK1273" s="991">
        <f>IF(AND(Input_Product=Elig!$C1273,Elig_MatchAll_Ct&lt;22,$BC1273=(Elig_MatchAll_Ct-1),AI1273=0),F1273,0)</f>
        <v>0</v>
      </c>
      <c r="BL1273" s="991">
        <f>IF(AND(Input_Product=Elig!$C1273,Elig_MatchAll_Ct&lt;22,$BC1273=(Elig_MatchAll_Ct-1),AJ1273=0),G1273,0)</f>
        <v>0</v>
      </c>
      <c r="BM1273" s="991">
        <f>IF(AND(Input_Product=Elig!$C1273,Elig_MatchAll_Ct&lt;22,$BC1273=(Elig_MatchAll_Ct-1),AK1273=0),H1273,0)</f>
        <v>0</v>
      </c>
      <c r="BN1273" s="991">
        <f>IF(AND(Input_Product=Elig!$C1273,Elig_MatchAll_Ct&lt;22,$BC1273=(Elig_MatchAll_Ct-1),AL1273=0),I1273,0)</f>
        <v>0</v>
      </c>
      <c r="BO1273" s="991">
        <f>IF(AND(Input_Product=Elig!$C1273,Elig_MatchAll_Ct&lt;22,$BC1273=(Elig_MatchAll_Ct-1),AM1273=0),J1273,0)</f>
        <v>0</v>
      </c>
      <c r="BP1273" s="991">
        <f>IF(AND(Input_Product=Elig!$C1273,Elig_MatchAll_Ct&lt;22,$BC1273=(Elig_MatchAll_Ct-1),AN1273=0),K1273,0)</f>
        <v>0</v>
      </c>
      <c r="BQ1273" s="991">
        <f>IF(AND(Input_Product=Elig!$C1273,Elig_MatchAll_Ct&lt;22,$BC1273=(Elig_MatchAll_Ct-1),AP1273=0),L1273,0)</f>
        <v>0</v>
      </c>
      <c r="BR1273" s="991">
        <f>IF(AND(Input_Product=Elig!$C1273,Elig_MatchAll_Ct&lt;22,$BC1273=(Elig_MatchAll_Ct-1),AO1273=0),M1273,0)</f>
        <v>0</v>
      </c>
      <c r="BS1273" s="991">
        <f>IF(AND(Input_Product=Elig!$C1273,Elig_MatchAll_Ct&lt;22,$BC1273=(Elig_MatchAll_Ct-1),AQ1273=0),N1273,0)</f>
        <v>0</v>
      </c>
      <c r="BT1273" s="991">
        <f>IF(AND(Input_Product=Elig!$C1273,Elig_MatchAll_Ct&lt;22,$BC1273=(Elig_MatchAll_Ct-1),AR1273=0),O1273,0)</f>
        <v>0</v>
      </c>
      <c r="BU1273" s="991">
        <f>IF(AND(Input_Product=Elig!$C1273,Elig_MatchAll_Ct&lt;22,$BC1273=(Elig_MatchAll_Ct-1),AS1273=0),P1273,0)</f>
        <v>0</v>
      </c>
      <c r="BV1273" s="992">
        <f>IF(AND(Input_Product=Elig!$C1273,Elig_MatchAll_Ct&lt;22,$BC1273=(Elig_MatchAll_Ct-1),AT1273=0),Q1273,0)</f>
        <v>0</v>
      </c>
      <c r="BW1273" s="993">
        <f>IF(AND(Input_Product=Elig!$C1273,Elig_MatchAll_Ct&lt;22,$BC1273=(Elig_MatchAll_Ct-1),AU1273=0),R1273,0)</f>
        <v>0</v>
      </c>
      <c r="BX1273" s="994">
        <f>IF(AND(Input_Product=Elig!$C1273,Elig_MatchAll_Ct&lt;22,$BC1273=(Elig_MatchAll_Ct-1),AU1273=0),S1273,0)</f>
        <v>0</v>
      </c>
      <c r="BY1273" s="993">
        <f>IF(AND(Input_Product=Elig!$C1273,Elig_MatchAll_Ct&lt;22,$BC1273=(Elig_MatchAll_Ct-1),AV1273=0),T1273,0)</f>
        <v>0</v>
      </c>
      <c r="BZ1273" s="994">
        <f>IF(AND(Input_Product=Elig!$C1273,Elig_MatchAll_Ct&lt;22,$BC1273=(Elig_MatchAll_Ct-1),AV1273=0),U1273,0)</f>
        <v>0</v>
      </c>
      <c r="CA1273" s="993">
        <f>IF(AND(Input_Product=Elig!$C1273,Elig_MatchAll_Ct&lt;22,$BC1273=(Elig_MatchAll_Ct-1),AW1273=0),V1273,0)</f>
        <v>0</v>
      </c>
      <c r="CB1273" s="994">
        <f>IF(AND(Input_Product=Elig!$C1273,Elig_MatchAll_Ct&lt;22,$BC1273=(Elig_MatchAll_Ct-1),AW1273=0),W1273,0)</f>
        <v>0</v>
      </c>
      <c r="CC1273" s="993">
        <f>IF(AND(Input_Product=Elig!$C1273,Elig_MatchAll_Ct&lt;22,$BC1273=(Elig_MatchAll_Ct-1),AX1273=0),X1273,0)</f>
        <v>0</v>
      </c>
      <c r="CD1273" s="994">
        <f>IF(AND(Input_Product=Elig!$C1273,Elig_MatchAll_Ct&lt;22,$BC1273=(Elig_MatchAll_Ct-1),AX1273=0),Y1273,0)</f>
        <v>0</v>
      </c>
      <c r="CE1273" s="993">
        <f>IF(AND(Input_LTV&lt;=AE1273,Input_Product=Elig!$C1273,Elig_MatchAll_Ct&lt;22,$BC1273=(Elig_MatchAll_Ct-1),AY1273=0),Z1273,0)</f>
        <v>0</v>
      </c>
      <c r="CF1273" s="994">
        <f>IF(AND(Input_LTV&lt;=AE1273,Input_Product=Elig!$C1273,Elig_MatchAll_Ct&lt;22,$BC1273=(Elig_MatchAll_Ct-1),AY1273=0),AA1273,0)</f>
        <v>0</v>
      </c>
      <c r="CG1273" s="993">
        <f>IF(AND(Input_Product=Elig!$C1273,Elig_MatchAll_Ct&lt;22,$BC1273=(Elig_MatchAll_Ct-1),AZ1273=0),AB1273,0)</f>
        <v>0</v>
      </c>
      <c r="CH1273" s="994">
        <f>IF(AND(Input_Product=Elig!$C1273,Elig_MatchAll_Ct&lt;22,$BC1273=(Elig_MatchAll_Ct-1),AZ1273=0),AC1273,0)</f>
        <v>0</v>
      </c>
      <c r="CI1273" s="993">
        <f>IF(AND(Input_Product=Elig!$C1273,Elig_MatchAll_Ct&lt;22,$BC1273=(Elig_MatchAll_Ct-1),BA1273=0),AD1273,0)</f>
        <v>0</v>
      </c>
      <c r="CJ1273" s="994">
        <f>IF(AND(Input_Product=Elig!$C1273,Elig_MatchAll_Ct&lt;22,$BC1273=(Elig_MatchAll_Ct-1),BA1273=0),AE1273,0)</f>
        <v>0</v>
      </c>
    </row>
    <row r="1274" spans="2:88" ht="10.15" customHeight="1" x14ac:dyDescent="0.25">
      <c r="B1274" s="1920" t="s">
        <v>4217</v>
      </c>
      <c r="C1274" s="1356" t="str">
        <f t="shared" si="453"/>
        <v xml:space="preserve"> </v>
      </c>
      <c r="D1274" s="1357" t="s">
        <v>2218</v>
      </c>
      <c r="E1274" s="1357" t="s">
        <v>167</v>
      </c>
      <c r="F1274" s="1357" t="s">
        <v>330</v>
      </c>
      <c r="G1274" s="1358" t="s">
        <v>181</v>
      </c>
      <c r="H1274" s="1358" t="s">
        <v>136</v>
      </c>
      <c r="I1274" s="2484" t="s">
        <v>35</v>
      </c>
      <c r="J1274" s="1357" t="s">
        <v>1311</v>
      </c>
      <c r="K1274" s="1358" t="s">
        <v>3022</v>
      </c>
      <c r="L1274" s="1357" t="s">
        <v>2768</v>
      </c>
      <c r="M1274" s="1357" t="s">
        <v>2677</v>
      </c>
      <c r="N1274" s="1358" t="s">
        <v>2685</v>
      </c>
      <c r="O1274" s="1357" t="s">
        <v>2526</v>
      </c>
      <c r="P1274" s="1357" t="s">
        <v>291</v>
      </c>
      <c r="Q1274" s="1357" t="s">
        <v>294</v>
      </c>
      <c r="R1274" s="1357">
        <v>1500000.01</v>
      </c>
      <c r="S1274" s="1357">
        <v>2000000</v>
      </c>
      <c r="T1274" s="1357">
        <v>0</v>
      </c>
      <c r="U1274" s="1357">
        <v>0</v>
      </c>
      <c r="V1274" s="1357">
        <v>0</v>
      </c>
      <c r="W1274" s="1357">
        <v>50</v>
      </c>
      <c r="X1274" s="1357">
        <v>0.8</v>
      </c>
      <c r="Y1274" s="1357">
        <v>999</v>
      </c>
      <c r="Z1274" s="2047">
        <v>660</v>
      </c>
      <c r="AA1274" s="2047">
        <v>660</v>
      </c>
      <c r="AB1274" s="2047">
        <v>6</v>
      </c>
      <c r="AC1274" s="2047">
        <v>999999</v>
      </c>
      <c r="AD1274" s="2484">
        <v>65.010000000000005</v>
      </c>
      <c r="AE1274" s="2048">
        <v>75</v>
      </c>
      <c r="AF1274" s="170">
        <v>0</v>
      </c>
      <c r="AG1274" s="171">
        <v>1</v>
      </c>
      <c r="AH1274" s="171">
        <v>1</v>
      </c>
      <c r="AI1274" s="171">
        <v>0</v>
      </c>
      <c r="AJ1274" s="171">
        <v>0</v>
      </c>
      <c r="AK1274" s="171">
        <v>1</v>
      </c>
      <c r="AL1274" s="171">
        <v>0</v>
      </c>
      <c r="AM1274" s="171">
        <v>1</v>
      </c>
      <c r="AN1274" s="171">
        <v>1</v>
      </c>
      <c r="AO1274" s="171">
        <v>1</v>
      </c>
      <c r="AP1274" s="171">
        <v>1</v>
      </c>
      <c r="AQ1274" s="171">
        <v>1</v>
      </c>
      <c r="AR1274" s="171">
        <v>1</v>
      </c>
      <c r="AS1274" s="171">
        <v>1</v>
      </c>
      <c r="AT1274" s="171">
        <v>1</v>
      </c>
      <c r="AU1274" s="171">
        <f t="shared" si="447"/>
        <v>0</v>
      </c>
      <c r="AV1274" s="171">
        <f t="shared" si="448"/>
        <v>0</v>
      </c>
      <c r="AW1274" s="171">
        <f t="shared" si="449"/>
        <v>1</v>
      </c>
      <c r="AX1274" s="171">
        <f t="shared" si="444"/>
        <v>0</v>
      </c>
      <c r="AY1274" s="171">
        <f t="shared" si="450"/>
        <v>0</v>
      </c>
      <c r="AZ1274" s="171">
        <f t="shared" si="451"/>
        <v>1</v>
      </c>
      <c r="BA1274" s="172">
        <f t="shared" si="452"/>
        <v>0</v>
      </c>
      <c r="BB1274" s="175">
        <f t="shared" si="461"/>
        <v>13</v>
      </c>
      <c r="BC1274" s="176">
        <f t="shared" si="462"/>
        <v>13</v>
      </c>
      <c r="BD1274" s="176">
        <f t="shared" si="463"/>
        <v>13</v>
      </c>
      <c r="BE1274" s="240" t="str">
        <f t="shared" si="464"/>
        <v/>
      </c>
      <c r="BF1274" s="990"/>
      <c r="BG1274" s="990"/>
      <c r="BH1274" s="991">
        <f>IF(AND(Input_Product=Elig!$C1274,Elig_MatchAll_Ct&lt;22,$BC1274=(Elig_MatchAll_Ct-1),AF1274=0),C1274,0)</f>
        <v>0</v>
      </c>
      <c r="BI1274" s="991">
        <f>IF(AND(Input_Product=Elig!$C1274,Elig_MatchAll_Ct&lt;22,$BC1274=(Elig_MatchAll_Ct-1),AG1274=0),D1274,0)</f>
        <v>0</v>
      </c>
      <c r="BJ1274" s="991">
        <f>IF(AND(Input_Product=Elig!$C1274,Elig_MatchAll_Ct&lt;22,$BC1274=(Elig_MatchAll_Ct-1),AH1274=0),E1274,0)</f>
        <v>0</v>
      </c>
      <c r="BK1274" s="991">
        <f>IF(AND(Input_Product=Elig!$C1274,Elig_MatchAll_Ct&lt;22,$BC1274=(Elig_MatchAll_Ct-1),AI1274=0),F1274,0)</f>
        <v>0</v>
      </c>
      <c r="BL1274" s="991">
        <f>IF(AND(Input_Product=Elig!$C1274,Elig_MatchAll_Ct&lt;22,$BC1274=(Elig_MatchAll_Ct-1),AJ1274=0),G1274,0)</f>
        <v>0</v>
      </c>
      <c r="BM1274" s="991">
        <f>IF(AND(Input_Product=Elig!$C1274,Elig_MatchAll_Ct&lt;22,$BC1274=(Elig_MatchAll_Ct-1),AK1274=0),H1274,0)</f>
        <v>0</v>
      </c>
      <c r="BN1274" s="991">
        <f>IF(AND(Input_Product=Elig!$C1274,Elig_MatchAll_Ct&lt;22,$BC1274=(Elig_MatchAll_Ct-1),AL1274=0),I1274,0)</f>
        <v>0</v>
      </c>
      <c r="BO1274" s="991">
        <f>IF(AND(Input_Product=Elig!$C1274,Elig_MatchAll_Ct&lt;22,$BC1274=(Elig_MatchAll_Ct-1),AM1274=0),J1274,0)</f>
        <v>0</v>
      </c>
      <c r="BP1274" s="991">
        <f>IF(AND(Input_Product=Elig!$C1274,Elig_MatchAll_Ct&lt;22,$BC1274=(Elig_MatchAll_Ct-1),AN1274=0),K1274,0)</f>
        <v>0</v>
      </c>
      <c r="BQ1274" s="991">
        <f>IF(AND(Input_Product=Elig!$C1274,Elig_MatchAll_Ct&lt;22,$BC1274=(Elig_MatchAll_Ct-1),AP1274=0),L1274,0)</f>
        <v>0</v>
      </c>
      <c r="BR1274" s="991">
        <f>IF(AND(Input_Product=Elig!$C1274,Elig_MatchAll_Ct&lt;22,$BC1274=(Elig_MatchAll_Ct-1),AO1274=0),M1274,0)</f>
        <v>0</v>
      </c>
      <c r="BS1274" s="991">
        <f>IF(AND(Input_Product=Elig!$C1274,Elig_MatchAll_Ct&lt;22,$BC1274=(Elig_MatchAll_Ct-1),AQ1274=0),N1274,0)</f>
        <v>0</v>
      </c>
      <c r="BT1274" s="991">
        <f>IF(AND(Input_Product=Elig!$C1274,Elig_MatchAll_Ct&lt;22,$BC1274=(Elig_MatchAll_Ct-1),AR1274=0),O1274,0)</f>
        <v>0</v>
      </c>
      <c r="BU1274" s="991">
        <f>IF(AND(Input_Product=Elig!$C1274,Elig_MatchAll_Ct&lt;22,$BC1274=(Elig_MatchAll_Ct-1),AS1274=0),P1274,0)</f>
        <v>0</v>
      </c>
      <c r="BV1274" s="992">
        <f>IF(AND(Input_Product=Elig!$C1274,Elig_MatchAll_Ct&lt;22,$BC1274=(Elig_MatchAll_Ct-1),AT1274=0),Q1274,0)</f>
        <v>0</v>
      </c>
      <c r="BW1274" s="993">
        <f>IF(AND(Input_Product=Elig!$C1274,Elig_MatchAll_Ct&lt;22,$BC1274=(Elig_MatchAll_Ct-1),AU1274=0),R1274,0)</f>
        <v>0</v>
      </c>
      <c r="BX1274" s="994">
        <f>IF(AND(Input_Product=Elig!$C1274,Elig_MatchAll_Ct&lt;22,$BC1274=(Elig_MatchAll_Ct-1),AU1274=0),S1274,0)</f>
        <v>0</v>
      </c>
      <c r="BY1274" s="993">
        <f>IF(AND(Input_Product=Elig!$C1274,Elig_MatchAll_Ct&lt;22,$BC1274=(Elig_MatchAll_Ct-1),AV1274=0),T1274,0)</f>
        <v>0</v>
      </c>
      <c r="BZ1274" s="994">
        <f>IF(AND(Input_Product=Elig!$C1274,Elig_MatchAll_Ct&lt;22,$BC1274=(Elig_MatchAll_Ct-1),AV1274=0),U1274,0)</f>
        <v>0</v>
      </c>
      <c r="CA1274" s="993">
        <f>IF(AND(Input_Product=Elig!$C1274,Elig_MatchAll_Ct&lt;22,$BC1274=(Elig_MatchAll_Ct-1),AW1274=0),V1274,0)</f>
        <v>0</v>
      </c>
      <c r="CB1274" s="994">
        <f>IF(AND(Input_Product=Elig!$C1274,Elig_MatchAll_Ct&lt;22,$BC1274=(Elig_MatchAll_Ct-1),AW1274=0),W1274,0)</f>
        <v>0</v>
      </c>
      <c r="CC1274" s="993">
        <f>IF(AND(Input_Product=Elig!$C1274,Elig_MatchAll_Ct&lt;22,$BC1274=(Elig_MatchAll_Ct-1),AX1274=0),X1274,0)</f>
        <v>0</v>
      </c>
      <c r="CD1274" s="994">
        <f>IF(AND(Input_Product=Elig!$C1274,Elig_MatchAll_Ct&lt;22,$BC1274=(Elig_MatchAll_Ct-1),AX1274=0),Y1274,0)</f>
        <v>0</v>
      </c>
      <c r="CE1274" s="993">
        <f>IF(AND(Input_LTV&lt;=AE1274,Input_Product=Elig!$C1274,Elig_MatchAll_Ct&lt;22,$BC1274=(Elig_MatchAll_Ct-1),AY1274=0),Z1274,0)</f>
        <v>0</v>
      </c>
      <c r="CF1274" s="994">
        <f>IF(AND(Input_LTV&lt;=AE1274,Input_Product=Elig!$C1274,Elig_MatchAll_Ct&lt;22,$BC1274=(Elig_MatchAll_Ct-1),AY1274=0),AA1274,0)</f>
        <v>0</v>
      </c>
      <c r="CG1274" s="993">
        <f>IF(AND(Input_Product=Elig!$C1274,Elig_MatchAll_Ct&lt;22,$BC1274=(Elig_MatchAll_Ct-1),AZ1274=0),AB1274,0)</f>
        <v>0</v>
      </c>
      <c r="CH1274" s="994">
        <f>IF(AND(Input_Product=Elig!$C1274,Elig_MatchAll_Ct&lt;22,$BC1274=(Elig_MatchAll_Ct-1),AZ1274=0),AC1274,0)</f>
        <v>0</v>
      </c>
      <c r="CI1274" s="993">
        <f>IF(AND(Input_Product=Elig!$C1274,Elig_MatchAll_Ct&lt;22,$BC1274=(Elig_MatchAll_Ct-1),BA1274=0),AD1274,0)</f>
        <v>0</v>
      </c>
      <c r="CJ1274" s="994">
        <f>IF(AND(Input_Product=Elig!$C1274,Elig_MatchAll_Ct&lt;22,$BC1274=(Elig_MatchAll_Ct-1),BA1274=0),AE1274,0)</f>
        <v>0</v>
      </c>
    </row>
    <row r="1275" spans="2:88" ht="10.15" customHeight="1" x14ac:dyDescent="0.25">
      <c r="B1275" s="1920" t="s">
        <v>4218</v>
      </c>
      <c r="C1275" s="1353" t="str">
        <f t="shared" si="453"/>
        <v xml:space="preserve"> </v>
      </c>
      <c r="D1275" s="1354" t="s">
        <v>2218</v>
      </c>
      <c r="E1275" s="1354" t="s">
        <v>167</v>
      </c>
      <c r="F1275" s="1354" t="s">
        <v>330</v>
      </c>
      <c r="G1275" s="1355" t="s">
        <v>181</v>
      </c>
      <c r="H1275" s="1355" t="s">
        <v>136</v>
      </c>
      <c r="I1275" s="2482" t="s">
        <v>35</v>
      </c>
      <c r="J1275" s="1354" t="s">
        <v>1311</v>
      </c>
      <c r="K1275" s="1355" t="s">
        <v>3022</v>
      </c>
      <c r="L1275" s="1354" t="s">
        <v>2768</v>
      </c>
      <c r="M1275" s="1354" t="s">
        <v>2677</v>
      </c>
      <c r="N1275" s="1355" t="s">
        <v>2685</v>
      </c>
      <c r="O1275" s="1354" t="s">
        <v>2526</v>
      </c>
      <c r="P1275" s="1354" t="s">
        <v>291</v>
      </c>
      <c r="Q1275" s="1354" t="s">
        <v>294</v>
      </c>
      <c r="R1275" s="1354">
        <v>2000000.01</v>
      </c>
      <c r="S1275" s="1354">
        <v>2500000</v>
      </c>
      <c r="T1275" s="1354">
        <v>0</v>
      </c>
      <c r="U1275" s="1354">
        <v>0</v>
      </c>
      <c r="V1275" s="1354">
        <v>0</v>
      </c>
      <c r="W1275" s="1354">
        <v>50</v>
      </c>
      <c r="X1275" s="1354">
        <v>0.8</v>
      </c>
      <c r="Y1275" s="1354">
        <v>999</v>
      </c>
      <c r="Z1275" s="2043">
        <v>720</v>
      </c>
      <c r="AA1275" s="2043">
        <v>999</v>
      </c>
      <c r="AB1275" s="2043">
        <v>6</v>
      </c>
      <c r="AC1275" s="2043">
        <v>999999</v>
      </c>
      <c r="AD1275" s="2482">
        <v>65.010000000000005</v>
      </c>
      <c r="AE1275" s="2044">
        <v>70</v>
      </c>
      <c r="AF1275" s="170">
        <v>0</v>
      </c>
      <c r="AG1275" s="171">
        <v>1</v>
      </c>
      <c r="AH1275" s="171">
        <v>1</v>
      </c>
      <c r="AI1275" s="171">
        <v>0</v>
      </c>
      <c r="AJ1275" s="171">
        <v>0</v>
      </c>
      <c r="AK1275" s="171">
        <v>1</v>
      </c>
      <c r="AL1275" s="171">
        <v>0</v>
      </c>
      <c r="AM1275" s="171">
        <v>1</v>
      </c>
      <c r="AN1275" s="171">
        <v>1</v>
      </c>
      <c r="AO1275" s="171">
        <v>1</v>
      </c>
      <c r="AP1275" s="171">
        <v>1</v>
      </c>
      <c r="AQ1275" s="171">
        <v>1</v>
      </c>
      <c r="AR1275" s="171">
        <v>1</v>
      </c>
      <c r="AS1275" s="171">
        <v>1</v>
      </c>
      <c r="AT1275" s="171">
        <v>1</v>
      </c>
      <c r="AU1275" s="171">
        <f t="shared" si="447"/>
        <v>0</v>
      </c>
      <c r="AV1275" s="171">
        <f t="shared" si="448"/>
        <v>0</v>
      </c>
      <c r="AW1275" s="171">
        <f t="shared" si="449"/>
        <v>1</v>
      </c>
      <c r="AX1275" s="171">
        <f t="shared" si="444"/>
        <v>0</v>
      </c>
      <c r="AY1275" s="171">
        <f t="shared" si="450"/>
        <v>1</v>
      </c>
      <c r="AZ1275" s="171">
        <f t="shared" si="451"/>
        <v>1</v>
      </c>
      <c r="BA1275" s="172">
        <f t="shared" si="452"/>
        <v>0</v>
      </c>
      <c r="BB1275" s="175">
        <f t="shared" si="461"/>
        <v>14</v>
      </c>
      <c r="BC1275" s="176">
        <f t="shared" si="462"/>
        <v>14</v>
      </c>
      <c r="BD1275" s="176">
        <f t="shared" si="463"/>
        <v>14</v>
      </c>
      <c r="BE1275" s="240" t="str">
        <f t="shared" si="464"/>
        <v/>
      </c>
      <c r="BF1275" s="990"/>
      <c r="BG1275" s="990"/>
      <c r="BH1275" s="991">
        <f>IF(AND(Input_Product=Elig!$C1275,Elig_MatchAll_Ct&lt;22,$BC1275=(Elig_MatchAll_Ct-1),AF1275=0),C1275,0)</f>
        <v>0</v>
      </c>
      <c r="BI1275" s="991">
        <f>IF(AND(Input_Product=Elig!$C1275,Elig_MatchAll_Ct&lt;22,$BC1275=(Elig_MatchAll_Ct-1),AG1275=0),D1275,0)</f>
        <v>0</v>
      </c>
      <c r="BJ1275" s="991">
        <f>IF(AND(Input_Product=Elig!$C1275,Elig_MatchAll_Ct&lt;22,$BC1275=(Elig_MatchAll_Ct-1),AH1275=0),E1275,0)</f>
        <v>0</v>
      </c>
      <c r="BK1275" s="991">
        <f>IF(AND(Input_Product=Elig!$C1275,Elig_MatchAll_Ct&lt;22,$BC1275=(Elig_MatchAll_Ct-1),AI1275=0),F1275,0)</f>
        <v>0</v>
      </c>
      <c r="BL1275" s="991">
        <f>IF(AND(Input_Product=Elig!$C1275,Elig_MatchAll_Ct&lt;22,$BC1275=(Elig_MatchAll_Ct-1),AJ1275=0),G1275,0)</f>
        <v>0</v>
      </c>
      <c r="BM1275" s="991">
        <f>IF(AND(Input_Product=Elig!$C1275,Elig_MatchAll_Ct&lt;22,$BC1275=(Elig_MatchAll_Ct-1),AK1275=0),H1275,0)</f>
        <v>0</v>
      </c>
      <c r="BN1275" s="991">
        <f>IF(AND(Input_Product=Elig!$C1275,Elig_MatchAll_Ct&lt;22,$BC1275=(Elig_MatchAll_Ct-1),AL1275=0),I1275,0)</f>
        <v>0</v>
      </c>
      <c r="BO1275" s="991">
        <f>IF(AND(Input_Product=Elig!$C1275,Elig_MatchAll_Ct&lt;22,$BC1275=(Elig_MatchAll_Ct-1),AM1275=0),J1275,0)</f>
        <v>0</v>
      </c>
      <c r="BP1275" s="991">
        <f>IF(AND(Input_Product=Elig!$C1275,Elig_MatchAll_Ct&lt;22,$BC1275=(Elig_MatchAll_Ct-1),AN1275=0),K1275,0)</f>
        <v>0</v>
      </c>
      <c r="BQ1275" s="991">
        <f>IF(AND(Input_Product=Elig!$C1275,Elig_MatchAll_Ct&lt;22,$BC1275=(Elig_MatchAll_Ct-1),AP1275=0),L1275,0)</f>
        <v>0</v>
      </c>
      <c r="BR1275" s="991">
        <f>IF(AND(Input_Product=Elig!$C1275,Elig_MatchAll_Ct&lt;22,$BC1275=(Elig_MatchAll_Ct-1),AO1275=0),M1275,0)</f>
        <v>0</v>
      </c>
      <c r="BS1275" s="991">
        <f>IF(AND(Input_Product=Elig!$C1275,Elig_MatchAll_Ct&lt;22,$BC1275=(Elig_MatchAll_Ct-1),AQ1275=0),N1275,0)</f>
        <v>0</v>
      </c>
      <c r="BT1275" s="991">
        <f>IF(AND(Input_Product=Elig!$C1275,Elig_MatchAll_Ct&lt;22,$BC1275=(Elig_MatchAll_Ct-1),AR1275=0),O1275,0)</f>
        <v>0</v>
      </c>
      <c r="BU1275" s="991">
        <f>IF(AND(Input_Product=Elig!$C1275,Elig_MatchAll_Ct&lt;22,$BC1275=(Elig_MatchAll_Ct-1),AS1275=0),P1275,0)</f>
        <v>0</v>
      </c>
      <c r="BV1275" s="992">
        <f>IF(AND(Input_Product=Elig!$C1275,Elig_MatchAll_Ct&lt;22,$BC1275=(Elig_MatchAll_Ct-1),AT1275=0),Q1275,0)</f>
        <v>0</v>
      </c>
      <c r="BW1275" s="993">
        <f>IF(AND(Input_Product=Elig!$C1275,Elig_MatchAll_Ct&lt;22,$BC1275=(Elig_MatchAll_Ct-1),AU1275=0),R1275,0)</f>
        <v>0</v>
      </c>
      <c r="BX1275" s="994">
        <f>IF(AND(Input_Product=Elig!$C1275,Elig_MatchAll_Ct&lt;22,$BC1275=(Elig_MatchAll_Ct-1),AU1275=0),S1275,0)</f>
        <v>0</v>
      </c>
      <c r="BY1275" s="993">
        <f>IF(AND(Input_Product=Elig!$C1275,Elig_MatchAll_Ct&lt;22,$BC1275=(Elig_MatchAll_Ct-1),AV1275=0),T1275,0)</f>
        <v>0</v>
      </c>
      <c r="BZ1275" s="994">
        <f>IF(AND(Input_Product=Elig!$C1275,Elig_MatchAll_Ct&lt;22,$BC1275=(Elig_MatchAll_Ct-1),AV1275=0),U1275,0)</f>
        <v>0</v>
      </c>
      <c r="CA1275" s="993">
        <f>IF(AND(Input_Product=Elig!$C1275,Elig_MatchAll_Ct&lt;22,$BC1275=(Elig_MatchAll_Ct-1),AW1275=0),V1275,0)</f>
        <v>0</v>
      </c>
      <c r="CB1275" s="994">
        <f>IF(AND(Input_Product=Elig!$C1275,Elig_MatchAll_Ct&lt;22,$BC1275=(Elig_MatchAll_Ct-1),AW1275=0),W1275,0)</f>
        <v>0</v>
      </c>
      <c r="CC1275" s="993">
        <f>IF(AND(Input_Product=Elig!$C1275,Elig_MatchAll_Ct&lt;22,$BC1275=(Elig_MatchAll_Ct-1),AX1275=0),X1275,0)</f>
        <v>0</v>
      </c>
      <c r="CD1275" s="994">
        <f>IF(AND(Input_Product=Elig!$C1275,Elig_MatchAll_Ct&lt;22,$BC1275=(Elig_MatchAll_Ct-1),AX1275=0),Y1275,0)</f>
        <v>0</v>
      </c>
      <c r="CE1275" s="993">
        <f>IF(AND(Input_LTV&lt;=AE1275,Input_Product=Elig!$C1275,Elig_MatchAll_Ct&lt;22,$BC1275=(Elig_MatchAll_Ct-1),AY1275=0),Z1275,0)</f>
        <v>0</v>
      </c>
      <c r="CF1275" s="994">
        <f>IF(AND(Input_LTV&lt;=AE1275,Input_Product=Elig!$C1275,Elig_MatchAll_Ct&lt;22,$BC1275=(Elig_MatchAll_Ct-1),AY1275=0),AA1275,0)</f>
        <v>0</v>
      </c>
      <c r="CG1275" s="993">
        <f>IF(AND(Input_Product=Elig!$C1275,Elig_MatchAll_Ct&lt;22,$BC1275=(Elig_MatchAll_Ct-1),AZ1275=0),AB1275,0)</f>
        <v>0</v>
      </c>
      <c r="CH1275" s="994">
        <f>IF(AND(Input_Product=Elig!$C1275,Elig_MatchAll_Ct&lt;22,$BC1275=(Elig_MatchAll_Ct-1),AZ1275=0),AC1275,0)</f>
        <v>0</v>
      </c>
      <c r="CI1275" s="993">
        <f>IF(AND(Input_Product=Elig!$C1275,Elig_MatchAll_Ct&lt;22,$BC1275=(Elig_MatchAll_Ct-1),BA1275=0),AD1275,0)</f>
        <v>0</v>
      </c>
      <c r="CJ1275" s="994">
        <f>IF(AND(Input_Product=Elig!$C1275,Elig_MatchAll_Ct&lt;22,$BC1275=(Elig_MatchAll_Ct-1),BA1275=0),AE1275,0)</f>
        <v>0</v>
      </c>
    </row>
    <row r="1276" spans="2:88" ht="10.15" customHeight="1" x14ac:dyDescent="0.25">
      <c r="B1276" s="1920" t="s">
        <v>4219</v>
      </c>
      <c r="C1276" s="1359" t="str">
        <f t="shared" si="453"/>
        <v xml:space="preserve"> </v>
      </c>
      <c r="D1276" s="1360" t="s">
        <v>2218</v>
      </c>
      <c r="E1276" s="1360" t="s">
        <v>167</v>
      </c>
      <c r="F1276" s="1360" t="s">
        <v>330</v>
      </c>
      <c r="G1276" s="1361" t="s">
        <v>181</v>
      </c>
      <c r="H1276" s="1361" t="s">
        <v>136</v>
      </c>
      <c r="I1276" s="2483" t="s">
        <v>35</v>
      </c>
      <c r="J1276" s="1360" t="s">
        <v>1311</v>
      </c>
      <c r="K1276" s="1361" t="s">
        <v>3022</v>
      </c>
      <c r="L1276" s="1360" t="s">
        <v>2768</v>
      </c>
      <c r="M1276" s="1360" t="s">
        <v>2677</v>
      </c>
      <c r="N1276" s="1361" t="s">
        <v>2685</v>
      </c>
      <c r="O1276" s="1360" t="s">
        <v>2526</v>
      </c>
      <c r="P1276" s="1360" t="s">
        <v>291</v>
      </c>
      <c r="Q1276" s="1360" t="s">
        <v>294</v>
      </c>
      <c r="R1276" s="1360">
        <v>2000000.01</v>
      </c>
      <c r="S1276" s="1360">
        <v>2500000</v>
      </c>
      <c r="T1276" s="1360">
        <v>0</v>
      </c>
      <c r="U1276" s="1360">
        <v>0</v>
      </c>
      <c r="V1276" s="1360">
        <v>0</v>
      </c>
      <c r="W1276" s="1360">
        <v>50</v>
      </c>
      <c r="X1276" s="1360">
        <v>0.8</v>
      </c>
      <c r="Y1276" s="1360">
        <v>999</v>
      </c>
      <c r="Z1276" s="2045">
        <v>700</v>
      </c>
      <c r="AA1276" s="2045">
        <v>719</v>
      </c>
      <c r="AB1276" s="2045">
        <v>6</v>
      </c>
      <c r="AC1276" s="2045">
        <v>999999</v>
      </c>
      <c r="AD1276" s="2483">
        <v>65.010000000000005</v>
      </c>
      <c r="AE1276" s="2046">
        <v>70</v>
      </c>
      <c r="AF1276" s="170">
        <v>0</v>
      </c>
      <c r="AG1276" s="171">
        <v>1</v>
      </c>
      <c r="AH1276" s="171">
        <v>1</v>
      </c>
      <c r="AI1276" s="171">
        <v>0</v>
      </c>
      <c r="AJ1276" s="171">
        <v>0</v>
      </c>
      <c r="AK1276" s="171">
        <v>1</v>
      </c>
      <c r="AL1276" s="171">
        <v>0</v>
      </c>
      <c r="AM1276" s="171">
        <v>1</v>
      </c>
      <c r="AN1276" s="171">
        <v>1</v>
      </c>
      <c r="AO1276" s="171">
        <v>1</v>
      </c>
      <c r="AP1276" s="171">
        <v>1</v>
      </c>
      <c r="AQ1276" s="171">
        <v>1</v>
      </c>
      <c r="AR1276" s="171">
        <v>1</v>
      </c>
      <c r="AS1276" s="171">
        <v>1</v>
      </c>
      <c r="AT1276" s="171">
        <v>1</v>
      </c>
      <c r="AU1276" s="171">
        <f t="shared" si="447"/>
        <v>0</v>
      </c>
      <c r="AV1276" s="171">
        <f t="shared" si="448"/>
        <v>0</v>
      </c>
      <c r="AW1276" s="171">
        <f t="shared" si="449"/>
        <v>1</v>
      </c>
      <c r="AX1276" s="171">
        <f t="shared" si="444"/>
        <v>0</v>
      </c>
      <c r="AY1276" s="171">
        <f t="shared" si="450"/>
        <v>0</v>
      </c>
      <c r="AZ1276" s="171">
        <f t="shared" si="451"/>
        <v>1</v>
      </c>
      <c r="BA1276" s="172">
        <f t="shared" si="452"/>
        <v>0</v>
      </c>
      <c r="BB1276" s="175">
        <f t="shared" si="461"/>
        <v>13</v>
      </c>
      <c r="BC1276" s="176">
        <f t="shared" si="462"/>
        <v>13</v>
      </c>
      <c r="BD1276" s="176">
        <f t="shared" si="463"/>
        <v>13</v>
      </c>
      <c r="BE1276" s="240" t="str">
        <f t="shared" si="464"/>
        <v/>
      </c>
      <c r="BF1276" s="990"/>
      <c r="BG1276" s="990"/>
      <c r="BH1276" s="991">
        <f>IF(AND(Input_Product=Elig!$C1276,Elig_MatchAll_Ct&lt;22,$BC1276=(Elig_MatchAll_Ct-1),AF1276=0),C1276,0)</f>
        <v>0</v>
      </c>
      <c r="BI1276" s="991">
        <f>IF(AND(Input_Product=Elig!$C1276,Elig_MatchAll_Ct&lt;22,$BC1276=(Elig_MatchAll_Ct-1),AG1276=0),D1276,0)</f>
        <v>0</v>
      </c>
      <c r="BJ1276" s="991">
        <f>IF(AND(Input_Product=Elig!$C1276,Elig_MatchAll_Ct&lt;22,$BC1276=(Elig_MatchAll_Ct-1),AH1276=0),E1276,0)</f>
        <v>0</v>
      </c>
      <c r="BK1276" s="991">
        <f>IF(AND(Input_Product=Elig!$C1276,Elig_MatchAll_Ct&lt;22,$BC1276=(Elig_MatchAll_Ct-1),AI1276=0),F1276,0)</f>
        <v>0</v>
      </c>
      <c r="BL1276" s="991">
        <f>IF(AND(Input_Product=Elig!$C1276,Elig_MatchAll_Ct&lt;22,$BC1276=(Elig_MatchAll_Ct-1),AJ1276=0),G1276,0)</f>
        <v>0</v>
      </c>
      <c r="BM1276" s="991">
        <f>IF(AND(Input_Product=Elig!$C1276,Elig_MatchAll_Ct&lt;22,$BC1276=(Elig_MatchAll_Ct-1),AK1276=0),H1276,0)</f>
        <v>0</v>
      </c>
      <c r="BN1276" s="991">
        <f>IF(AND(Input_Product=Elig!$C1276,Elig_MatchAll_Ct&lt;22,$BC1276=(Elig_MatchAll_Ct-1),AL1276=0),I1276,0)</f>
        <v>0</v>
      </c>
      <c r="BO1276" s="991">
        <f>IF(AND(Input_Product=Elig!$C1276,Elig_MatchAll_Ct&lt;22,$BC1276=(Elig_MatchAll_Ct-1),AM1276=0),J1276,0)</f>
        <v>0</v>
      </c>
      <c r="BP1276" s="991">
        <f>IF(AND(Input_Product=Elig!$C1276,Elig_MatchAll_Ct&lt;22,$BC1276=(Elig_MatchAll_Ct-1),AN1276=0),K1276,0)</f>
        <v>0</v>
      </c>
      <c r="BQ1276" s="991">
        <f>IF(AND(Input_Product=Elig!$C1276,Elig_MatchAll_Ct&lt;22,$BC1276=(Elig_MatchAll_Ct-1),AP1276=0),L1276,0)</f>
        <v>0</v>
      </c>
      <c r="BR1276" s="991">
        <f>IF(AND(Input_Product=Elig!$C1276,Elig_MatchAll_Ct&lt;22,$BC1276=(Elig_MatchAll_Ct-1),AO1276=0),M1276,0)</f>
        <v>0</v>
      </c>
      <c r="BS1276" s="991">
        <f>IF(AND(Input_Product=Elig!$C1276,Elig_MatchAll_Ct&lt;22,$BC1276=(Elig_MatchAll_Ct-1),AQ1276=0),N1276,0)</f>
        <v>0</v>
      </c>
      <c r="BT1276" s="991">
        <f>IF(AND(Input_Product=Elig!$C1276,Elig_MatchAll_Ct&lt;22,$BC1276=(Elig_MatchAll_Ct-1),AR1276=0),O1276,0)</f>
        <v>0</v>
      </c>
      <c r="BU1276" s="991">
        <f>IF(AND(Input_Product=Elig!$C1276,Elig_MatchAll_Ct&lt;22,$BC1276=(Elig_MatchAll_Ct-1),AS1276=0),P1276,0)</f>
        <v>0</v>
      </c>
      <c r="BV1276" s="992">
        <f>IF(AND(Input_Product=Elig!$C1276,Elig_MatchAll_Ct&lt;22,$BC1276=(Elig_MatchAll_Ct-1),AT1276=0),Q1276,0)</f>
        <v>0</v>
      </c>
      <c r="BW1276" s="993">
        <f>IF(AND(Input_Product=Elig!$C1276,Elig_MatchAll_Ct&lt;22,$BC1276=(Elig_MatchAll_Ct-1),AU1276=0),R1276,0)</f>
        <v>0</v>
      </c>
      <c r="BX1276" s="994">
        <f>IF(AND(Input_Product=Elig!$C1276,Elig_MatchAll_Ct&lt;22,$BC1276=(Elig_MatchAll_Ct-1),AU1276=0),S1276,0)</f>
        <v>0</v>
      </c>
      <c r="BY1276" s="993">
        <f>IF(AND(Input_Product=Elig!$C1276,Elig_MatchAll_Ct&lt;22,$BC1276=(Elig_MatchAll_Ct-1),AV1276=0),T1276,0)</f>
        <v>0</v>
      </c>
      <c r="BZ1276" s="994">
        <f>IF(AND(Input_Product=Elig!$C1276,Elig_MatchAll_Ct&lt;22,$BC1276=(Elig_MatchAll_Ct-1),AV1276=0),U1276,0)</f>
        <v>0</v>
      </c>
      <c r="CA1276" s="993">
        <f>IF(AND(Input_Product=Elig!$C1276,Elig_MatchAll_Ct&lt;22,$BC1276=(Elig_MatchAll_Ct-1),AW1276=0),V1276,0)</f>
        <v>0</v>
      </c>
      <c r="CB1276" s="994">
        <f>IF(AND(Input_Product=Elig!$C1276,Elig_MatchAll_Ct&lt;22,$BC1276=(Elig_MatchAll_Ct-1),AW1276=0),W1276,0)</f>
        <v>0</v>
      </c>
      <c r="CC1276" s="993">
        <f>IF(AND(Input_Product=Elig!$C1276,Elig_MatchAll_Ct&lt;22,$BC1276=(Elig_MatchAll_Ct-1),AX1276=0),X1276,0)</f>
        <v>0</v>
      </c>
      <c r="CD1276" s="994">
        <f>IF(AND(Input_Product=Elig!$C1276,Elig_MatchAll_Ct&lt;22,$BC1276=(Elig_MatchAll_Ct-1),AX1276=0),Y1276,0)</f>
        <v>0</v>
      </c>
      <c r="CE1276" s="993">
        <f>IF(AND(Input_LTV&lt;=AE1276,Input_Product=Elig!$C1276,Elig_MatchAll_Ct&lt;22,$BC1276=(Elig_MatchAll_Ct-1),AY1276=0),Z1276,0)</f>
        <v>0</v>
      </c>
      <c r="CF1276" s="994">
        <f>IF(AND(Input_LTV&lt;=AE1276,Input_Product=Elig!$C1276,Elig_MatchAll_Ct&lt;22,$BC1276=(Elig_MatchAll_Ct-1),AY1276=0),AA1276,0)</f>
        <v>0</v>
      </c>
      <c r="CG1276" s="993">
        <f>IF(AND(Input_Product=Elig!$C1276,Elig_MatchAll_Ct&lt;22,$BC1276=(Elig_MatchAll_Ct-1),AZ1276=0),AB1276,0)</f>
        <v>0</v>
      </c>
      <c r="CH1276" s="994">
        <f>IF(AND(Input_Product=Elig!$C1276,Elig_MatchAll_Ct&lt;22,$BC1276=(Elig_MatchAll_Ct-1),AZ1276=0),AC1276,0)</f>
        <v>0</v>
      </c>
      <c r="CI1276" s="993">
        <f>IF(AND(Input_Product=Elig!$C1276,Elig_MatchAll_Ct&lt;22,$BC1276=(Elig_MatchAll_Ct-1),BA1276=0),AD1276,0)</f>
        <v>0</v>
      </c>
      <c r="CJ1276" s="994">
        <f>IF(AND(Input_Product=Elig!$C1276,Elig_MatchAll_Ct&lt;22,$BC1276=(Elig_MatchAll_Ct-1),BA1276=0),AE1276,0)</f>
        <v>0</v>
      </c>
    </row>
    <row r="1277" spans="2:88" ht="10.15" customHeight="1" x14ac:dyDescent="0.25">
      <c r="B1277" s="1920" t="s">
        <v>4220</v>
      </c>
      <c r="C1277" s="1356" t="str">
        <f t="shared" si="453"/>
        <v xml:space="preserve"> </v>
      </c>
      <c r="D1277" s="1357" t="s">
        <v>2218</v>
      </c>
      <c r="E1277" s="1357" t="s">
        <v>167</v>
      </c>
      <c r="F1277" s="1357" t="s">
        <v>330</v>
      </c>
      <c r="G1277" s="1358" t="s">
        <v>181</v>
      </c>
      <c r="H1277" s="1358" t="s">
        <v>136</v>
      </c>
      <c r="I1277" s="2484" t="s">
        <v>35</v>
      </c>
      <c r="J1277" s="1357" t="s">
        <v>1311</v>
      </c>
      <c r="K1277" s="1358" t="s">
        <v>3022</v>
      </c>
      <c r="L1277" s="1357" t="s">
        <v>2768</v>
      </c>
      <c r="M1277" s="1357" t="s">
        <v>2677</v>
      </c>
      <c r="N1277" s="1358" t="s">
        <v>2685</v>
      </c>
      <c r="O1277" s="1357" t="s">
        <v>2526</v>
      </c>
      <c r="P1277" s="1357" t="s">
        <v>291</v>
      </c>
      <c r="Q1277" s="1357" t="s">
        <v>294</v>
      </c>
      <c r="R1277" s="1357">
        <v>2000000.01</v>
      </c>
      <c r="S1277" s="1357">
        <v>2500000</v>
      </c>
      <c r="T1277" s="1357">
        <v>0</v>
      </c>
      <c r="U1277" s="1357">
        <v>0</v>
      </c>
      <c r="V1277" s="1357">
        <v>0</v>
      </c>
      <c r="W1277" s="1357">
        <v>50</v>
      </c>
      <c r="X1277" s="1357">
        <v>0.8</v>
      </c>
      <c r="Y1277" s="1357">
        <v>999</v>
      </c>
      <c r="Z1277" s="2047">
        <v>660</v>
      </c>
      <c r="AA1277" s="2047">
        <v>660</v>
      </c>
      <c r="AB1277" s="2047">
        <v>6</v>
      </c>
      <c r="AC1277" s="2047">
        <v>999999</v>
      </c>
      <c r="AD1277" s="2484">
        <v>65.010000000000005</v>
      </c>
      <c r="AE1277" s="2048">
        <v>70</v>
      </c>
      <c r="AF1277" s="170">
        <v>0</v>
      </c>
      <c r="AG1277" s="171">
        <v>1</v>
      </c>
      <c r="AH1277" s="171">
        <v>1</v>
      </c>
      <c r="AI1277" s="171">
        <v>0</v>
      </c>
      <c r="AJ1277" s="171">
        <v>0</v>
      </c>
      <c r="AK1277" s="171">
        <v>1</v>
      </c>
      <c r="AL1277" s="171">
        <v>0</v>
      </c>
      <c r="AM1277" s="171">
        <v>1</v>
      </c>
      <c r="AN1277" s="171">
        <v>1</v>
      </c>
      <c r="AO1277" s="171">
        <v>1</v>
      </c>
      <c r="AP1277" s="171">
        <v>1</v>
      </c>
      <c r="AQ1277" s="171">
        <v>1</v>
      </c>
      <c r="AR1277" s="171">
        <v>1</v>
      </c>
      <c r="AS1277" s="171">
        <v>1</v>
      </c>
      <c r="AT1277" s="171">
        <v>1</v>
      </c>
      <c r="AU1277" s="171">
        <f t="shared" si="447"/>
        <v>0</v>
      </c>
      <c r="AV1277" s="171">
        <f t="shared" si="448"/>
        <v>0</v>
      </c>
      <c r="AW1277" s="171">
        <f t="shared" si="449"/>
        <v>1</v>
      </c>
      <c r="AX1277" s="171">
        <f t="shared" si="444"/>
        <v>0</v>
      </c>
      <c r="AY1277" s="171">
        <f t="shared" si="450"/>
        <v>0</v>
      </c>
      <c r="AZ1277" s="171">
        <f t="shared" si="451"/>
        <v>1</v>
      </c>
      <c r="BA1277" s="172">
        <f t="shared" si="452"/>
        <v>0</v>
      </c>
      <c r="BB1277" s="175">
        <f t="shared" si="461"/>
        <v>13</v>
      </c>
      <c r="BC1277" s="176">
        <f t="shared" si="462"/>
        <v>13</v>
      </c>
      <c r="BD1277" s="176">
        <f t="shared" si="463"/>
        <v>13</v>
      </c>
      <c r="BE1277" s="240" t="str">
        <f t="shared" si="464"/>
        <v/>
      </c>
      <c r="BF1277" s="990"/>
      <c r="BG1277" s="990"/>
      <c r="BH1277" s="991">
        <f>IF(AND(Input_Product=Elig!$C1277,Elig_MatchAll_Ct&lt;22,$BC1277=(Elig_MatchAll_Ct-1),AF1277=0),C1277,0)</f>
        <v>0</v>
      </c>
      <c r="BI1277" s="991">
        <f>IF(AND(Input_Product=Elig!$C1277,Elig_MatchAll_Ct&lt;22,$BC1277=(Elig_MatchAll_Ct-1),AG1277=0),D1277,0)</f>
        <v>0</v>
      </c>
      <c r="BJ1277" s="991">
        <f>IF(AND(Input_Product=Elig!$C1277,Elig_MatchAll_Ct&lt;22,$BC1277=(Elig_MatchAll_Ct-1),AH1277=0),E1277,0)</f>
        <v>0</v>
      </c>
      <c r="BK1277" s="991">
        <f>IF(AND(Input_Product=Elig!$C1277,Elig_MatchAll_Ct&lt;22,$BC1277=(Elig_MatchAll_Ct-1),AI1277=0),F1277,0)</f>
        <v>0</v>
      </c>
      <c r="BL1277" s="991">
        <f>IF(AND(Input_Product=Elig!$C1277,Elig_MatchAll_Ct&lt;22,$BC1277=(Elig_MatchAll_Ct-1),AJ1277=0),G1277,0)</f>
        <v>0</v>
      </c>
      <c r="BM1277" s="991">
        <f>IF(AND(Input_Product=Elig!$C1277,Elig_MatchAll_Ct&lt;22,$BC1277=(Elig_MatchAll_Ct-1),AK1277=0),H1277,0)</f>
        <v>0</v>
      </c>
      <c r="BN1277" s="991">
        <f>IF(AND(Input_Product=Elig!$C1277,Elig_MatchAll_Ct&lt;22,$BC1277=(Elig_MatchAll_Ct-1),AL1277=0),I1277,0)</f>
        <v>0</v>
      </c>
      <c r="BO1277" s="991">
        <f>IF(AND(Input_Product=Elig!$C1277,Elig_MatchAll_Ct&lt;22,$BC1277=(Elig_MatchAll_Ct-1),AM1277=0),J1277,0)</f>
        <v>0</v>
      </c>
      <c r="BP1277" s="991">
        <f>IF(AND(Input_Product=Elig!$C1277,Elig_MatchAll_Ct&lt;22,$BC1277=(Elig_MatchAll_Ct-1),AN1277=0),K1277,0)</f>
        <v>0</v>
      </c>
      <c r="BQ1277" s="991">
        <f>IF(AND(Input_Product=Elig!$C1277,Elig_MatchAll_Ct&lt;22,$BC1277=(Elig_MatchAll_Ct-1),AP1277=0),L1277,0)</f>
        <v>0</v>
      </c>
      <c r="BR1277" s="991">
        <f>IF(AND(Input_Product=Elig!$C1277,Elig_MatchAll_Ct&lt;22,$BC1277=(Elig_MatchAll_Ct-1),AO1277=0),M1277,0)</f>
        <v>0</v>
      </c>
      <c r="BS1277" s="991">
        <f>IF(AND(Input_Product=Elig!$C1277,Elig_MatchAll_Ct&lt;22,$BC1277=(Elig_MatchAll_Ct-1),AQ1277=0),N1277,0)</f>
        <v>0</v>
      </c>
      <c r="BT1277" s="991">
        <f>IF(AND(Input_Product=Elig!$C1277,Elig_MatchAll_Ct&lt;22,$BC1277=(Elig_MatchAll_Ct-1),AR1277=0),O1277,0)</f>
        <v>0</v>
      </c>
      <c r="BU1277" s="991">
        <f>IF(AND(Input_Product=Elig!$C1277,Elig_MatchAll_Ct&lt;22,$BC1277=(Elig_MatchAll_Ct-1),AS1277=0),P1277,0)</f>
        <v>0</v>
      </c>
      <c r="BV1277" s="992">
        <f>IF(AND(Input_Product=Elig!$C1277,Elig_MatchAll_Ct&lt;22,$BC1277=(Elig_MatchAll_Ct-1),AT1277=0),Q1277,0)</f>
        <v>0</v>
      </c>
      <c r="BW1277" s="993">
        <f>IF(AND(Input_Product=Elig!$C1277,Elig_MatchAll_Ct&lt;22,$BC1277=(Elig_MatchAll_Ct-1),AU1277=0),R1277,0)</f>
        <v>0</v>
      </c>
      <c r="BX1277" s="994">
        <f>IF(AND(Input_Product=Elig!$C1277,Elig_MatchAll_Ct&lt;22,$BC1277=(Elig_MatchAll_Ct-1),AU1277=0),S1277,0)</f>
        <v>0</v>
      </c>
      <c r="BY1277" s="993">
        <f>IF(AND(Input_Product=Elig!$C1277,Elig_MatchAll_Ct&lt;22,$BC1277=(Elig_MatchAll_Ct-1),AV1277=0),T1277,0)</f>
        <v>0</v>
      </c>
      <c r="BZ1277" s="994">
        <f>IF(AND(Input_Product=Elig!$C1277,Elig_MatchAll_Ct&lt;22,$BC1277=(Elig_MatchAll_Ct-1),AV1277=0),U1277,0)</f>
        <v>0</v>
      </c>
      <c r="CA1277" s="993">
        <f>IF(AND(Input_Product=Elig!$C1277,Elig_MatchAll_Ct&lt;22,$BC1277=(Elig_MatchAll_Ct-1),AW1277=0),V1277,0)</f>
        <v>0</v>
      </c>
      <c r="CB1277" s="994">
        <f>IF(AND(Input_Product=Elig!$C1277,Elig_MatchAll_Ct&lt;22,$BC1277=(Elig_MatchAll_Ct-1),AW1277=0),W1277,0)</f>
        <v>0</v>
      </c>
      <c r="CC1277" s="993">
        <f>IF(AND(Input_Product=Elig!$C1277,Elig_MatchAll_Ct&lt;22,$BC1277=(Elig_MatchAll_Ct-1),AX1277=0),X1277,0)</f>
        <v>0</v>
      </c>
      <c r="CD1277" s="994">
        <f>IF(AND(Input_Product=Elig!$C1277,Elig_MatchAll_Ct&lt;22,$BC1277=(Elig_MatchAll_Ct-1),AX1277=0),Y1277,0)</f>
        <v>0</v>
      </c>
      <c r="CE1277" s="993">
        <f>IF(AND(Input_LTV&lt;=AE1277,Input_Product=Elig!$C1277,Elig_MatchAll_Ct&lt;22,$BC1277=(Elig_MatchAll_Ct-1),AY1277=0),Z1277,0)</f>
        <v>0</v>
      </c>
      <c r="CF1277" s="994">
        <f>IF(AND(Input_LTV&lt;=AE1277,Input_Product=Elig!$C1277,Elig_MatchAll_Ct&lt;22,$BC1277=(Elig_MatchAll_Ct-1),AY1277=0),AA1277,0)</f>
        <v>0</v>
      </c>
      <c r="CG1277" s="993">
        <f>IF(AND(Input_Product=Elig!$C1277,Elig_MatchAll_Ct&lt;22,$BC1277=(Elig_MatchAll_Ct-1),AZ1277=0),AB1277,0)</f>
        <v>0</v>
      </c>
      <c r="CH1277" s="994">
        <f>IF(AND(Input_Product=Elig!$C1277,Elig_MatchAll_Ct&lt;22,$BC1277=(Elig_MatchAll_Ct-1),AZ1277=0),AC1277,0)</f>
        <v>0</v>
      </c>
      <c r="CI1277" s="993">
        <f>IF(AND(Input_Product=Elig!$C1277,Elig_MatchAll_Ct&lt;22,$BC1277=(Elig_MatchAll_Ct-1),BA1277=0),AD1277,0)</f>
        <v>0</v>
      </c>
      <c r="CJ1277" s="994">
        <f>IF(AND(Input_Product=Elig!$C1277,Elig_MatchAll_Ct&lt;22,$BC1277=(Elig_MatchAll_Ct-1),BA1277=0),AE1277,0)</f>
        <v>0</v>
      </c>
    </row>
    <row r="1278" spans="2:88" ht="10.15" customHeight="1" x14ac:dyDescent="0.25">
      <c r="B1278" s="1920" t="s">
        <v>4221</v>
      </c>
      <c r="C1278" s="1353" t="str">
        <f t="shared" si="453"/>
        <v xml:space="preserve"> </v>
      </c>
      <c r="D1278" s="1354" t="s">
        <v>2218</v>
      </c>
      <c r="E1278" s="1354" t="s">
        <v>167</v>
      </c>
      <c r="F1278" s="1354" t="s">
        <v>330</v>
      </c>
      <c r="G1278" s="1355" t="s">
        <v>181</v>
      </c>
      <c r="H1278" s="1355" t="s">
        <v>136</v>
      </c>
      <c r="I1278" s="2482" t="s">
        <v>35</v>
      </c>
      <c r="J1278" s="1354" t="s">
        <v>1311</v>
      </c>
      <c r="K1278" s="1355" t="s">
        <v>3022</v>
      </c>
      <c r="L1278" s="1354" t="s">
        <v>2768</v>
      </c>
      <c r="M1278" s="1354" t="s">
        <v>2677</v>
      </c>
      <c r="N1278" s="1355" t="s">
        <v>2685</v>
      </c>
      <c r="O1278" s="1354" t="s">
        <v>2526</v>
      </c>
      <c r="P1278" s="1354" t="s">
        <v>291</v>
      </c>
      <c r="Q1278" s="1354" t="s">
        <v>294</v>
      </c>
      <c r="R1278" s="1354">
        <v>2500000.0099999998</v>
      </c>
      <c r="S1278" s="1354">
        <v>3000000</v>
      </c>
      <c r="T1278" s="1354">
        <v>0</v>
      </c>
      <c r="U1278" s="1354">
        <v>0</v>
      </c>
      <c r="V1278" s="1354">
        <v>0</v>
      </c>
      <c r="W1278" s="1354">
        <v>50</v>
      </c>
      <c r="X1278" s="1354">
        <v>0.8</v>
      </c>
      <c r="Y1278" s="1354">
        <v>999</v>
      </c>
      <c r="Z1278" s="2043">
        <v>720</v>
      </c>
      <c r="AA1278" s="2043">
        <v>999</v>
      </c>
      <c r="AB1278" s="2043">
        <v>6</v>
      </c>
      <c r="AC1278" s="2043">
        <v>999999</v>
      </c>
      <c r="AD1278" s="2482">
        <v>65.010000000000005</v>
      </c>
      <c r="AE1278" s="2044">
        <v>70</v>
      </c>
      <c r="AF1278" s="170">
        <v>0</v>
      </c>
      <c r="AG1278" s="171">
        <v>1</v>
      </c>
      <c r="AH1278" s="171">
        <v>1</v>
      </c>
      <c r="AI1278" s="171">
        <v>0</v>
      </c>
      <c r="AJ1278" s="171">
        <v>0</v>
      </c>
      <c r="AK1278" s="171">
        <v>1</v>
      </c>
      <c r="AL1278" s="171">
        <v>0</v>
      </c>
      <c r="AM1278" s="171">
        <v>1</v>
      </c>
      <c r="AN1278" s="171">
        <v>1</v>
      </c>
      <c r="AO1278" s="171">
        <v>1</v>
      </c>
      <c r="AP1278" s="171">
        <v>1</v>
      </c>
      <c r="AQ1278" s="171">
        <v>1</v>
      </c>
      <c r="AR1278" s="171">
        <v>1</v>
      </c>
      <c r="AS1278" s="171">
        <v>1</v>
      </c>
      <c r="AT1278" s="171">
        <v>1</v>
      </c>
      <c r="AU1278" s="171">
        <f t="shared" si="447"/>
        <v>0</v>
      </c>
      <c r="AV1278" s="171">
        <f t="shared" si="448"/>
        <v>0</v>
      </c>
      <c r="AW1278" s="171">
        <f t="shared" si="449"/>
        <v>1</v>
      </c>
      <c r="AX1278" s="171">
        <f t="shared" si="444"/>
        <v>0</v>
      </c>
      <c r="AY1278" s="171">
        <f t="shared" si="450"/>
        <v>1</v>
      </c>
      <c r="AZ1278" s="171">
        <f t="shared" si="451"/>
        <v>1</v>
      </c>
      <c r="BA1278" s="172">
        <f t="shared" si="452"/>
        <v>0</v>
      </c>
      <c r="BB1278" s="175">
        <f t="shared" si="461"/>
        <v>14</v>
      </c>
      <c r="BC1278" s="176">
        <f t="shared" si="462"/>
        <v>14</v>
      </c>
      <c r="BD1278" s="176">
        <f t="shared" si="463"/>
        <v>14</v>
      </c>
      <c r="BE1278" s="240" t="str">
        <f t="shared" si="464"/>
        <v/>
      </c>
      <c r="BF1278" s="990"/>
      <c r="BG1278" s="990"/>
      <c r="BH1278" s="991">
        <f>IF(AND(Input_Product=Elig!$C1278,Elig_MatchAll_Ct&lt;22,$BC1278=(Elig_MatchAll_Ct-1),AF1278=0),C1278,0)</f>
        <v>0</v>
      </c>
      <c r="BI1278" s="991">
        <f>IF(AND(Input_Product=Elig!$C1278,Elig_MatchAll_Ct&lt;22,$BC1278=(Elig_MatchAll_Ct-1),AG1278=0),D1278,0)</f>
        <v>0</v>
      </c>
      <c r="BJ1278" s="991">
        <f>IF(AND(Input_Product=Elig!$C1278,Elig_MatchAll_Ct&lt;22,$BC1278=(Elig_MatchAll_Ct-1),AH1278=0),E1278,0)</f>
        <v>0</v>
      </c>
      <c r="BK1278" s="991">
        <f>IF(AND(Input_Product=Elig!$C1278,Elig_MatchAll_Ct&lt;22,$BC1278=(Elig_MatchAll_Ct-1),AI1278=0),F1278,0)</f>
        <v>0</v>
      </c>
      <c r="BL1278" s="991">
        <f>IF(AND(Input_Product=Elig!$C1278,Elig_MatchAll_Ct&lt;22,$BC1278=(Elig_MatchAll_Ct-1),AJ1278=0),G1278,0)</f>
        <v>0</v>
      </c>
      <c r="BM1278" s="991">
        <f>IF(AND(Input_Product=Elig!$C1278,Elig_MatchAll_Ct&lt;22,$BC1278=(Elig_MatchAll_Ct-1),AK1278=0),H1278,0)</f>
        <v>0</v>
      </c>
      <c r="BN1278" s="991">
        <f>IF(AND(Input_Product=Elig!$C1278,Elig_MatchAll_Ct&lt;22,$BC1278=(Elig_MatchAll_Ct-1),AL1278=0),I1278,0)</f>
        <v>0</v>
      </c>
      <c r="BO1278" s="991">
        <f>IF(AND(Input_Product=Elig!$C1278,Elig_MatchAll_Ct&lt;22,$BC1278=(Elig_MatchAll_Ct-1),AM1278=0),J1278,0)</f>
        <v>0</v>
      </c>
      <c r="BP1278" s="991">
        <f>IF(AND(Input_Product=Elig!$C1278,Elig_MatchAll_Ct&lt;22,$BC1278=(Elig_MatchAll_Ct-1),AN1278=0),K1278,0)</f>
        <v>0</v>
      </c>
      <c r="BQ1278" s="991">
        <f>IF(AND(Input_Product=Elig!$C1278,Elig_MatchAll_Ct&lt;22,$BC1278=(Elig_MatchAll_Ct-1),AP1278=0),L1278,0)</f>
        <v>0</v>
      </c>
      <c r="BR1278" s="991">
        <f>IF(AND(Input_Product=Elig!$C1278,Elig_MatchAll_Ct&lt;22,$BC1278=(Elig_MatchAll_Ct-1),AO1278=0),M1278,0)</f>
        <v>0</v>
      </c>
      <c r="BS1278" s="991">
        <f>IF(AND(Input_Product=Elig!$C1278,Elig_MatchAll_Ct&lt;22,$BC1278=(Elig_MatchAll_Ct-1),AQ1278=0),N1278,0)</f>
        <v>0</v>
      </c>
      <c r="BT1278" s="991">
        <f>IF(AND(Input_Product=Elig!$C1278,Elig_MatchAll_Ct&lt;22,$BC1278=(Elig_MatchAll_Ct-1),AR1278=0),O1278,0)</f>
        <v>0</v>
      </c>
      <c r="BU1278" s="991">
        <f>IF(AND(Input_Product=Elig!$C1278,Elig_MatchAll_Ct&lt;22,$BC1278=(Elig_MatchAll_Ct-1),AS1278=0),P1278,0)</f>
        <v>0</v>
      </c>
      <c r="BV1278" s="992">
        <f>IF(AND(Input_Product=Elig!$C1278,Elig_MatchAll_Ct&lt;22,$BC1278=(Elig_MatchAll_Ct-1),AT1278=0),Q1278,0)</f>
        <v>0</v>
      </c>
      <c r="BW1278" s="993">
        <f>IF(AND(Input_Product=Elig!$C1278,Elig_MatchAll_Ct&lt;22,$BC1278=(Elig_MatchAll_Ct-1),AU1278=0),R1278,0)</f>
        <v>0</v>
      </c>
      <c r="BX1278" s="994">
        <f>IF(AND(Input_Product=Elig!$C1278,Elig_MatchAll_Ct&lt;22,$BC1278=(Elig_MatchAll_Ct-1),AU1278=0),S1278,0)</f>
        <v>0</v>
      </c>
      <c r="BY1278" s="993">
        <f>IF(AND(Input_Product=Elig!$C1278,Elig_MatchAll_Ct&lt;22,$BC1278=(Elig_MatchAll_Ct-1),AV1278=0),T1278,0)</f>
        <v>0</v>
      </c>
      <c r="BZ1278" s="994">
        <f>IF(AND(Input_Product=Elig!$C1278,Elig_MatchAll_Ct&lt;22,$BC1278=(Elig_MatchAll_Ct-1),AV1278=0),U1278,0)</f>
        <v>0</v>
      </c>
      <c r="CA1278" s="993">
        <f>IF(AND(Input_Product=Elig!$C1278,Elig_MatchAll_Ct&lt;22,$BC1278=(Elig_MatchAll_Ct-1),AW1278=0),V1278,0)</f>
        <v>0</v>
      </c>
      <c r="CB1278" s="994">
        <f>IF(AND(Input_Product=Elig!$C1278,Elig_MatchAll_Ct&lt;22,$BC1278=(Elig_MatchAll_Ct-1),AW1278=0),W1278,0)</f>
        <v>0</v>
      </c>
      <c r="CC1278" s="993">
        <f>IF(AND(Input_Product=Elig!$C1278,Elig_MatchAll_Ct&lt;22,$BC1278=(Elig_MatchAll_Ct-1),AX1278=0),X1278,0)</f>
        <v>0</v>
      </c>
      <c r="CD1278" s="994">
        <f>IF(AND(Input_Product=Elig!$C1278,Elig_MatchAll_Ct&lt;22,$BC1278=(Elig_MatchAll_Ct-1),AX1278=0),Y1278,0)</f>
        <v>0</v>
      </c>
      <c r="CE1278" s="993">
        <f>IF(AND(Input_LTV&lt;=AE1278,Input_Product=Elig!$C1278,Elig_MatchAll_Ct&lt;22,$BC1278=(Elig_MatchAll_Ct-1),AY1278=0),Z1278,0)</f>
        <v>0</v>
      </c>
      <c r="CF1278" s="994">
        <f>IF(AND(Input_LTV&lt;=AE1278,Input_Product=Elig!$C1278,Elig_MatchAll_Ct&lt;22,$BC1278=(Elig_MatchAll_Ct-1),AY1278=0),AA1278,0)</f>
        <v>0</v>
      </c>
      <c r="CG1278" s="993">
        <f>IF(AND(Input_Product=Elig!$C1278,Elig_MatchAll_Ct&lt;22,$BC1278=(Elig_MatchAll_Ct-1),AZ1278=0),AB1278,0)</f>
        <v>0</v>
      </c>
      <c r="CH1278" s="994">
        <f>IF(AND(Input_Product=Elig!$C1278,Elig_MatchAll_Ct&lt;22,$BC1278=(Elig_MatchAll_Ct-1),AZ1278=0),AC1278,0)</f>
        <v>0</v>
      </c>
      <c r="CI1278" s="993">
        <f>IF(AND(Input_Product=Elig!$C1278,Elig_MatchAll_Ct&lt;22,$BC1278=(Elig_MatchAll_Ct-1),BA1278=0),AD1278,0)</f>
        <v>0</v>
      </c>
      <c r="CJ1278" s="994">
        <f>IF(AND(Input_Product=Elig!$C1278,Elig_MatchAll_Ct&lt;22,$BC1278=(Elig_MatchAll_Ct-1),BA1278=0),AE1278,0)</f>
        <v>0</v>
      </c>
    </row>
    <row r="1279" spans="2:88" ht="10.15" customHeight="1" x14ac:dyDescent="0.25">
      <c r="B1279" s="1920" t="s">
        <v>4222</v>
      </c>
      <c r="C1279" s="1359" t="str">
        <f t="shared" si="453"/>
        <v xml:space="preserve"> </v>
      </c>
      <c r="D1279" s="1360" t="s">
        <v>2218</v>
      </c>
      <c r="E1279" s="1360" t="s">
        <v>167</v>
      </c>
      <c r="F1279" s="1360" t="s">
        <v>330</v>
      </c>
      <c r="G1279" s="1361" t="s">
        <v>181</v>
      </c>
      <c r="H1279" s="1361" t="s">
        <v>136</v>
      </c>
      <c r="I1279" s="2483" t="s">
        <v>35</v>
      </c>
      <c r="J1279" s="1360" t="s">
        <v>1311</v>
      </c>
      <c r="K1279" s="1361" t="s">
        <v>3022</v>
      </c>
      <c r="L1279" s="1360" t="s">
        <v>2768</v>
      </c>
      <c r="M1279" s="1360" t="s">
        <v>2677</v>
      </c>
      <c r="N1279" s="1361" t="s">
        <v>2685</v>
      </c>
      <c r="O1279" s="1360" t="s">
        <v>2526</v>
      </c>
      <c r="P1279" s="1360" t="s">
        <v>291</v>
      </c>
      <c r="Q1279" s="1360" t="s">
        <v>294</v>
      </c>
      <c r="R1279" s="1360">
        <v>2500000.0099999998</v>
      </c>
      <c r="S1279" s="1360">
        <v>3000000</v>
      </c>
      <c r="T1279" s="1360">
        <v>0</v>
      </c>
      <c r="U1279" s="1360">
        <v>0</v>
      </c>
      <c r="V1279" s="1360">
        <v>0</v>
      </c>
      <c r="W1279" s="1360">
        <v>50</v>
      </c>
      <c r="X1279" s="1360">
        <v>0.8</v>
      </c>
      <c r="Y1279" s="1360">
        <v>999</v>
      </c>
      <c r="Z1279" s="2045">
        <v>700</v>
      </c>
      <c r="AA1279" s="2045">
        <v>719</v>
      </c>
      <c r="AB1279" s="2045">
        <v>6</v>
      </c>
      <c r="AC1279" s="2045">
        <v>999999</v>
      </c>
      <c r="AD1279" s="2483">
        <v>65.010000000000005</v>
      </c>
      <c r="AE1279" s="2046">
        <v>70</v>
      </c>
      <c r="AF1279" s="170">
        <v>0</v>
      </c>
      <c r="AG1279" s="171">
        <v>1</v>
      </c>
      <c r="AH1279" s="171">
        <v>1</v>
      </c>
      <c r="AI1279" s="171">
        <v>0</v>
      </c>
      <c r="AJ1279" s="171">
        <v>0</v>
      </c>
      <c r="AK1279" s="171">
        <v>1</v>
      </c>
      <c r="AL1279" s="171">
        <v>0</v>
      </c>
      <c r="AM1279" s="171">
        <v>1</v>
      </c>
      <c r="AN1279" s="171">
        <v>1</v>
      </c>
      <c r="AO1279" s="171">
        <v>1</v>
      </c>
      <c r="AP1279" s="171">
        <v>1</v>
      </c>
      <c r="AQ1279" s="171">
        <v>1</v>
      </c>
      <c r="AR1279" s="171">
        <v>1</v>
      </c>
      <c r="AS1279" s="171">
        <v>1</v>
      </c>
      <c r="AT1279" s="171">
        <v>1</v>
      </c>
      <c r="AU1279" s="171">
        <f t="shared" si="447"/>
        <v>0</v>
      </c>
      <c r="AV1279" s="171">
        <f t="shared" si="448"/>
        <v>0</v>
      </c>
      <c r="AW1279" s="171">
        <f t="shared" si="449"/>
        <v>1</v>
      </c>
      <c r="AX1279" s="171">
        <f t="shared" si="444"/>
        <v>0</v>
      </c>
      <c r="AY1279" s="171">
        <f t="shared" si="450"/>
        <v>0</v>
      </c>
      <c r="AZ1279" s="171">
        <f t="shared" si="451"/>
        <v>1</v>
      </c>
      <c r="BA1279" s="172">
        <f t="shared" si="452"/>
        <v>0</v>
      </c>
      <c r="BB1279" s="175">
        <f t="shared" si="461"/>
        <v>13</v>
      </c>
      <c r="BC1279" s="176">
        <f t="shared" si="462"/>
        <v>13</v>
      </c>
      <c r="BD1279" s="176">
        <f t="shared" si="463"/>
        <v>13</v>
      </c>
      <c r="BE1279" s="240" t="str">
        <f t="shared" si="464"/>
        <v/>
      </c>
      <c r="BF1279" s="990"/>
      <c r="BG1279" s="990"/>
      <c r="BH1279" s="991">
        <f>IF(AND(Input_Product=Elig!$C1279,Elig_MatchAll_Ct&lt;22,$BC1279=(Elig_MatchAll_Ct-1),AF1279=0),C1279,0)</f>
        <v>0</v>
      </c>
      <c r="BI1279" s="991">
        <f>IF(AND(Input_Product=Elig!$C1279,Elig_MatchAll_Ct&lt;22,$BC1279=(Elig_MatchAll_Ct-1),AG1279=0),D1279,0)</f>
        <v>0</v>
      </c>
      <c r="BJ1279" s="991">
        <f>IF(AND(Input_Product=Elig!$C1279,Elig_MatchAll_Ct&lt;22,$BC1279=(Elig_MatchAll_Ct-1),AH1279=0),E1279,0)</f>
        <v>0</v>
      </c>
      <c r="BK1279" s="991">
        <f>IF(AND(Input_Product=Elig!$C1279,Elig_MatchAll_Ct&lt;22,$BC1279=(Elig_MatchAll_Ct-1),AI1279=0),F1279,0)</f>
        <v>0</v>
      </c>
      <c r="BL1279" s="991">
        <f>IF(AND(Input_Product=Elig!$C1279,Elig_MatchAll_Ct&lt;22,$BC1279=(Elig_MatchAll_Ct-1),AJ1279=0),G1279,0)</f>
        <v>0</v>
      </c>
      <c r="BM1279" s="991">
        <f>IF(AND(Input_Product=Elig!$C1279,Elig_MatchAll_Ct&lt;22,$BC1279=(Elig_MatchAll_Ct-1),AK1279=0),H1279,0)</f>
        <v>0</v>
      </c>
      <c r="BN1279" s="991">
        <f>IF(AND(Input_Product=Elig!$C1279,Elig_MatchAll_Ct&lt;22,$BC1279=(Elig_MatchAll_Ct-1),AL1279=0),I1279,0)</f>
        <v>0</v>
      </c>
      <c r="BO1279" s="991">
        <f>IF(AND(Input_Product=Elig!$C1279,Elig_MatchAll_Ct&lt;22,$BC1279=(Elig_MatchAll_Ct-1),AM1279=0),J1279,0)</f>
        <v>0</v>
      </c>
      <c r="BP1279" s="991">
        <f>IF(AND(Input_Product=Elig!$C1279,Elig_MatchAll_Ct&lt;22,$BC1279=(Elig_MatchAll_Ct-1),AN1279=0),K1279,0)</f>
        <v>0</v>
      </c>
      <c r="BQ1279" s="991">
        <f>IF(AND(Input_Product=Elig!$C1279,Elig_MatchAll_Ct&lt;22,$BC1279=(Elig_MatchAll_Ct-1),AP1279=0),L1279,0)</f>
        <v>0</v>
      </c>
      <c r="BR1279" s="991">
        <f>IF(AND(Input_Product=Elig!$C1279,Elig_MatchAll_Ct&lt;22,$BC1279=(Elig_MatchAll_Ct-1),AO1279=0),M1279,0)</f>
        <v>0</v>
      </c>
      <c r="BS1279" s="991">
        <f>IF(AND(Input_Product=Elig!$C1279,Elig_MatchAll_Ct&lt;22,$BC1279=(Elig_MatchAll_Ct-1),AQ1279=0),N1279,0)</f>
        <v>0</v>
      </c>
      <c r="BT1279" s="991">
        <f>IF(AND(Input_Product=Elig!$C1279,Elig_MatchAll_Ct&lt;22,$BC1279=(Elig_MatchAll_Ct-1),AR1279=0),O1279,0)</f>
        <v>0</v>
      </c>
      <c r="BU1279" s="991">
        <f>IF(AND(Input_Product=Elig!$C1279,Elig_MatchAll_Ct&lt;22,$BC1279=(Elig_MatchAll_Ct-1),AS1279=0),P1279,0)</f>
        <v>0</v>
      </c>
      <c r="BV1279" s="992">
        <f>IF(AND(Input_Product=Elig!$C1279,Elig_MatchAll_Ct&lt;22,$BC1279=(Elig_MatchAll_Ct-1),AT1279=0),Q1279,0)</f>
        <v>0</v>
      </c>
      <c r="BW1279" s="993">
        <f>IF(AND(Input_Product=Elig!$C1279,Elig_MatchAll_Ct&lt;22,$BC1279=(Elig_MatchAll_Ct-1),AU1279=0),R1279,0)</f>
        <v>0</v>
      </c>
      <c r="BX1279" s="994">
        <f>IF(AND(Input_Product=Elig!$C1279,Elig_MatchAll_Ct&lt;22,$BC1279=(Elig_MatchAll_Ct-1),AU1279=0),S1279,0)</f>
        <v>0</v>
      </c>
      <c r="BY1279" s="993">
        <f>IF(AND(Input_Product=Elig!$C1279,Elig_MatchAll_Ct&lt;22,$BC1279=(Elig_MatchAll_Ct-1),AV1279=0),T1279,0)</f>
        <v>0</v>
      </c>
      <c r="BZ1279" s="994">
        <f>IF(AND(Input_Product=Elig!$C1279,Elig_MatchAll_Ct&lt;22,$BC1279=(Elig_MatchAll_Ct-1),AV1279=0),U1279,0)</f>
        <v>0</v>
      </c>
      <c r="CA1279" s="993">
        <f>IF(AND(Input_Product=Elig!$C1279,Elig_MatchAll_Ct&lt;22,$BC1279=(Elig_MatchAll_Ct-1),AW1279=0),V1279,0)</f>
        <v>0</v>
      </c>
      <c r="CB1279" s="994">
        <f>IF(AND(Input_Product=Elig!$C1279,Elig_MatchAll_Ct&lt;22,$BC1279=(Elig_MatchAll_Ct-1),AW1279=0),W1279,0)</f>
        <v>0</v>
      </c>
      <c r="CC1279" s="993">
        <f>IF(AND(Input_Product=Elig!$C1279,Elig_MatchAll_Ct&lt;22,$BC1279=(Elig_MatchAll_Ct-1),AX1279=0),X1279,0)</f>
        <v>0</v>
      </c>
      <c r="CD1279" s="994">
        <f>IF(AND(Input_Product=Elig!$C1279,Elig_MatchAll_Ct&lt;22,$BC1279=(Elig_MatchAll_Ct-1),AX1279=0),Y1279,0)</f>
        <v>0</v>
      </c>
      <c r="CE1279" s="993">
        <f>IF(AND(Input_LTV&lt;=AE1279,Input_Product=Elig!$C1279,Elig_MatchAll_Ct&lt;22,$BC1279=(Elig_MatchAll_Ct-1),AY1279=0),Z1279,0)</f>
        <v>0</v>
      </c>
      <c r="CF1279" s="994">
        <f>IF(AND(Input_LTV&lt;=AE1279,Input_Product=Elig!$C1279,Elig_MatchAll_Ct&lt;22,$BC1279=(Elig_MatchAll_Ct-1),AY1279=0),AA1279,0)</f>
        <v>0</v>
      </c>
      <c r="CG1279" s="993">
        <f>IF(AND(Input_Product=Elig!$C1279,Elig_MatchAll_Ct&lt;22,$BC1279=(Elig_MatchAll_Ct-1),AZ1279=0),AB1279,0)</f>
        <v>0</v>
      </c>
      <c r="CH1279" s="994">
        <f>IF(AND(Input_Product=Elig!$C1279,Elig_MatchAll_Ct&lt;22,$BC1279=(Elig_MatchAll_Ct-1),AZ1279=0),AC1279,0)</f>
        <v>0</v>
      </c>
      <c r="CI1279" s="993">
        <f>IF(AND(Input_Product=Elig!$C1279,Elig_MatchAll_Ct&lt;22,$BC1279=(Elig_MatchAll_Ct-1),BA1279=0),AD1279,0)</f>
        <v>0</v>
      </c>
      <c r="CJ1279" s="994">
        <f>IF(AND(Input_Product=Elig!$C1279,Elig_MatchAll_Ct&lt;22,$BC1279=(Elig_MatchAll_Ct-1),BA1279=0),AE1279,0)</f>
        <v>0</v>
      </c>
    </row>
    <row r="1280" spans="2:88" ht="10.15" customHeight="1" x14ac:dyDescent="0.25">
      <c r="B1280" s="1920" t="s">
        <v>4223</v>
      </c>
      <c r="C1280" s="1356" t="str">
        <f t="shared" si="453"/>
        <v xml:space="preserve"> </v>
      </c>
      <c r="D1280" s="1357" t="s">
        <v>2218</v>
      </c>
      <c r="E1280" s="1357" t="s">
        <v>167</v>
      </c>
      <c r="F1280" s="1357" t="s">
        <v>330</v>
      </c>
      <c r="G1280" s="1358" t="s">
        <v>181</v>
      </c>
      <c r="H1280" s="1358" t="s">
        <v>136</v>
      </c>
      <c r="I1280" s="2484" t="s">
        <v>35</v>
      </c>
      <c r="J1280" s="1357" t="s">
        <v>1311</v>
      </c>
      <c r="K1280" s="1358" t="s">
        <v>3022</v>
      </c>
      <c r="L1280" s="1357" t="s">
        <v>2768</v>
      </c>
      <c r="M1280" s="1357" t="s">
        <v>2677</v>
      </c>
      <c r="N1280" s="1358" t="s">
        <v>2685</v>
      </c>
      <c r="O1280" s="1357" t="s">
        <v>2526</v>
      </c>
      <c r="P1280" s="1357" t="s">
        <v>291</v>
      </c>
      <c r="Q1280" s="1357" t="s">
        <v>294</v>
      </c>
      <c r="R1280" s="1357">
        <v>2500000.0099999998</v>
      </c>
      <c r="S1280" s="1357">
        <v>3000000</v>
      </c>
      <c r="T1280" s="1357">
        <v>0</v>
      </c>
      <c r="U1280" s="1357">
        <v>0</v>
      </c>
      <c r="V1280" s="1357">
        <v>0</v>
      </c>
      <c r="W1280" s="1357">
        <v>50</v>
      </c>
      <c r="X1280" s="1357">
        <v>0.8</v>
      </c>
      <c r="Y1280" s="1357">
        <v>999</v>
      </c>
      <c r="Z1280" s="2047">
        <v>660</v>
      </c>
      <c r="AA1280" s="2047">
        <v>660</v>
      </c>
      <c r="AB1280" s="2047">
        <v>6</v>
      </c>
      <c r="AC1280" s="2047">
        <v>999999</v>
      </c>
      <c r="AD1280" s="2484">
        <v>65.010000000000005</v>
      </c>
      <c r="AE1280" s="2048">
        <v>70</v>
      </c>
      <c r="AF1280" s="170">
        <v>0</v>
      </c>
      <c r="AG1280" s="171">
        <v>1</v>
      </c>
      <c r="AH1280" s="171">
        <v>1</v>
      </c>
      <c r="AI1280" s="171">
        <v>0</v>
      </c>
      <c r="AJ1280" s="171">
        <v>0</v>
      </c>
      <c r="AK1280" s="171">
        <v>1</v>
      </c>
      <c r="AL1280" s="171">
        <v>0</v>
      </c>
      <c r="AM1280" s="171">
        <v>1</v>
      </c>
      <c r="AN1280" s="171">
        <v>1</v>
      </c>
      <c r="AO1280" s="171">
        <v>1</v>
      </c>
      <c r="AP1280" s="171">
        <v>1</v>
      </c>
      <c r="AQ1280" s="171">
        <v>1</v>
      </c>
      <c r="AR1280" s="171">
        <v>1</v>
      </c>
      <c r="AS1280" s="171">
        <v>1</v>
      </c>
      <c r="AT1280" s="171">
        <v>1</v>
      </c>
      <c r="AU1280" s="171">
        <f t="shared" si="447"/>
        <v>0</v>
      </c>
      <c r="AV1280" s="171">
        <f t="shared" si="448"/>
        <v>0</v>
      </c>
      <c r="AW1280" s="171">
        <f t="shared" si="449"/>
        <v>1</v>
      </c>
      <c r="AX1280" s="171">
        <f t="shared" si="444"/>
        <v>0</v>
      </c>
      <c r="AY1280" s="171">
        <f t="shared" si="450"/>
        <v>0</v>
      </c>
      <c r="AZ1280" s="171">
        <f t="shared" si="451"/>
        <v>1</v>
      </c>
      <c r="BA1280" s="172">
        <f t="shared" si="452"/>
        <v>0</v>
      </c>
      <c r="BB1280" s="175">
        <f t="shared" si="461"/>
        <v>13</v>
      </c>
      <c r="BC1280" s="176">
        <f t="shared" si="462"/>
        <v>13</v>
      </c>
      <c r="BD1280" s="176">
        <f t="shared" si="463"/>
        <v>13</v>
      </c>
      <c r="BE1280" s="240" t="str">
        <f t="shared" si="464"/>
        <v/>
      </c>
      <c r="BF1280" s="990"/>
      <c r="BG1280" s="990"/>
      <c r="BH1280" s="991">
        <f>IF(AND(Input_Product=Elig!$C1280,Elig_MatchAll_Ct&lt;22,$BC1280=(Elig_MatchAll_Ct-1),AF1280=0),C1280,0)</f>
        <v>0</v>
      </c>
      <c r="BI1280" s="991">
        <f>IF(AND(Input_Product=Elig!$C1280,Elig_MatchAll_Ct&lt;22,$BC1280=(Elig_MatchAll_Ct-1),AG1280=0),D1280,0)</f>
        <v>0</v>
      </c>
      <c r="BJ1280" s="991">
        <f>IF(AND(Input_Product=Elig!$C1280,Elig_MatchAll_Ct&lt;22,$BC1280=(Elig_MatchAll_Ct-1),AH1280=0),E1280,0)</f>
        <v>0</v>
      </c>
      <c r="BK1280" s="991">
        <f>IF(AND(Input_Product=Elig!$C1280,Elig_MatchAll_Ct&lt;22,$BC1280=(Elig_MatchAll_Ct-1),AI1280=0),F1280,0)</f>
        <v>0</v>
      </c>
      <c r="BL1280" s="991">
        <f>IF(AND(Input_Product=Elig!$C1280,Elig_MatchAll_Ct&lt;22,$BC1280=(Elig_MatchAll_Ct-1),AJ1280=0),G1280,0)</f>
        <v>0</v>
      </c>
      <c r="BM1280" s="991">
        <f>IF(AND(Input_Product=Elig!$C1280,Elig_MatchAll_Ct&lt;22,$BC1280=(Elig_MatchAll_Ct-1),AK1280=0),H1280,0)</f>
        <v>0</v>
      </c>
      <c r="BN1280" s="991">
        <f>IF(AND(Input_Product=Elig!$C1280,Elig_MatchAll_Ct&lt;22,$BC1280=(Elig_MatchAll_Ct-1),AL1280=0),I1280,0)</f>
        <v>0</v>
      </c>
      <c r="BO1280" s="991">
        <f>IF(AND(Input_Product=Elig!$C1280,Elig_MatchAll_Ct&lt;22,$BC1280=(Elig_MatchAll_Ct-1),AM1280=0),J1280,0)</f>
        <v>0</v>
      </c>
      <c r="BP1280" s="991">
        <f>IF(AND(Input_Product=Elig!$C1280,Elig_MatchAll_Ct&lt;22,$BC1280=(Elig_MatchAll_Ct-1),AN1280=0),K1280,0)</f>
        <v>0</v>
      </c>
      <c r="BQ1280" s="991">
        <f>IF(AND(Input_Product=Elig!$C1280,Elig_MatchAll_Ct&lt;22,$BC1280=(Elig_MatchAll_Ct-1),AP1280=0),L1280,0)</f>
        <v>0</v>
      </c>
      <c r="BR1280" s="991">
        <f>IF(AND(Input_Product=Elig!$C1280,Elig_MatchAll_Ct&lt;22,$BC1280=(Elig_MatchAll_Ct-1),AO1280=0),M1280,0)</f>
        <v>0</v>
      </c>
      <c r="BS1280" s="991">
        <f>IF(AND(Input_Product=Elig!$C1280,Elig_MatchAll_Ct&lt;22,$BC1280=(Elig_MatchAll_Ct-1),AQ1280=0),N1280,0)</f>
        <v>0</v>
      </c>
      <c r="BT1280" s="991">
        <f>IF(AND(Input_Product=Elig!$C1280,Elig_MatchAll_Ct&lt;22,$BC1280=(Elig_MatchAll_Ct-1),AR1280=0),O1280,0)</f>
        <v>0</v>
      </c>
      <c r="BU1280" s="991">
        <f>IF(AND(Input_Product=Elig!$C1280,Elig_MatchAll_Ct&lt;22,$BC1280=(Elig_MatchAll_Ct-1),AS1280=0),P1280,0)</f>
        <v>0</v>
      </c>
      <c r="BV1280" s="992">
        <f>IF(AND(Input_Product=Elig!$C1280,Elig_MatchAll_Ct&lt;22,$BC1280=(Elig_MatchAll_Ct-1),AT1280=0),Q1280,0)</f>
        <v>0</v>
      </c>
      <c r="BW1280" s="993">
        <f>IF(AND(Input_Product=Elig!$C1280,Elig_MatchAll_Ct&lt;22,$BC1280=(Elig_MatchAll_Ct-1),AU1280=0),R1280,0)</f>
        <v>0</v>
      </c>
      <c r="BX1280" s="994">
        <f>IF(AND(Input_Product=Elig!$C1280,Elig_MatchAll_Ct&lt;22,$BC1280=(Elig_MatchAll_Ct-1),AU1280=0),S1280,0)</f>
        <v>0</v>
      </c>
      <c r="BY1280" s="993">
        <f>IF(AND(Input_Product=Elig!$C1280,Elig_MatchAll_Ct&lt;22,$BC1280=(Elig_MatchAll_Ct-1),AV1280=0),T1280,0)</f>
        <v>0</v>
      </c>
      <c r="BZ1280" s="994">
        <f>IF(AND(Input_Product=Elig!$C1280,Elig_MatchAll_Ct&lt;22,$BC1280=(Elig_MatchAll_Ct-1),AV1280=0),U1280,0)</f>
        <v>0</v>
      </c>
      <c r="CA1280" s="993">
        <f>IF(AND(Input_Product=Elig!$C1280,Elig_MatchAll_Ct&lt;22,$BC1280=(Elig_MatchAll_Ct-1),AW1280=0),V1280,0)</f>
        <v>0</v>
      </c>
      <c r="CB1280" s="994">
        <f>IF(AND(Input_Product=Elig!$C1280,Elig_MatchAll_Ct&lt;22,$BC1280=(Elig_MatchAll_Ct-1),AW1280=0),W1280,0)</f>
        <v>0</v>
      </c>
      <c r="CC1280" s="993">
        <f>IF(AND(Input_Product=Elig!$C1280,Elig_MatchAll_Ct&lt;22,$BC1280=(Elig_MatchAll_Ct-1),AX1280=0),X1280,0)</f>
        <v>0</v>
      </c>
      <c r="CD1280" s="994">
        <f>IF(AND(Input_Product=Elig!$C1280,Elig_MatchAll_Ct&lt;22,$BC1280=(Elig_MatchAll_Ct-1),AX1280=0),Y1280,0)</f>
        <v>0</v>
      </c>
      <c r="CE1280" s="993">
        <f>IF(AND(Input_LTV&lt;=AE1280,Input_Product=Elig!$C1280,Elig_MatchAll_Ct&lt;22,$BC1280=(Elig_MatchAll_Ct-1),AY1280=0),Z1280,0)</f>
        <v>0</v>
      </c>
      <c r="CF1280" s="994">
        <f>IF(AND(Input_LTV&lt;=AE1280,Input_Product=Elig!$C1280,Elig_MatchAll_Ct&lt;22,$BC1280=(Elig_MatchAll_Ct-1),AY1280=0),AA1280,0)</f>
        <v>0</v>
      </c>
      <c r="CG1280" s="993">
        <f>IF(AND(Input_Product=Elig!$C1280,Elig_MatchAll_Ct&lt;22,$BC1280=(Elig_MatchAll_Ct-1),AZ1280=0),AB1280,0)</f>
        <v>0</v>
      </c>
      <c r="CH1280" s="994">
        <f>IF(AND(Input_Product=Elig!$C1280,Elig_MatchAll_Ct&lt;22,$BC1280=(Elig_MatchAll_Ct-1),AZ1280=0),AC1280,0)</f>
        <v>0</v>
      </c>
      <c r="CI1280" s="993">
        <f>IF(AND(Input_Product=Elig!$C1280,Elig_MatchAll_Ct&lt;22,$BC1280=(Elig_MatchAll_Ct-1),BA1280=0),AD1280,0)</f>
        <v>0</v>
      </c>
      <c r="CJ1280" s="994">
        <f>IF(AND(Input_Product=Elig!$C1280,Elig_MatchAll_Ct&lt;22,$BC1280=(Elig_MatchAll_Ct-1),BA1280=0),AE1280,0)</f>
        <v>0</v>
      </c>
    </row>
    <row r="1281" spans="2:88" ht="10.15" customHeight="1" x14ac:dyDescent="0.25">
      <c r="B1281" s="1920" t="s">
        <v>4224</v>
      </c>
      <c r="C1281" s="1353" t="str">
        <f t="shared" si="453"/>
        <v xml:space="preserve"> </v>
      </c>
      <c r="D1281" s="1354" t="s">
        <v>2218</v>
      </c>
      <c r="E1281" s="1354" t="s">
        <v>167</v>
      </c>
      <c r="F1281" s="1354" t="s">
        <v>330</v>
      </c>
      <c r="G1281" s="1355" t="s">
        <v>181</v>
      </c>
      <c r="H1281" s="1355" t="s">
        <v>136</v>
      </c>
      <c r="I1281" s="1354" t="s">
        <v>16</v>
      </c>
      <c r="J1281" s="1354" t="s">
        <v>1311</v>
      </c>
      <c r="K1281" s="1355" t="s">
        <v>3022</v>
      </c>
      <c r="L1281" s="1354" t="s">
        <v>2768</v>
      </c>
      <c r="M1281" s="1354" t="s">
        <v>2677</v>
      </c>
      <c r="N1281" s="1355" t="s">
        <v>2685</v>
      </c>
      <c r="O1281" s="1354" t="s">
        <v>2526</v>
      </c>
      <c r="P1281" s="1354" t="s">
        <v>291</v>
      </c>
      <c r="Q1281" s="1354" t="s">
        <v>294</v>
      </c>
      <c r="R1281" s="1354">
        <v>100000</v>
      </c>
      <c r="S1281" s="1354">
        <v>1000000</v>
      </c>
      <c r="T1281" s="1354">
        <v>0</v>
      </c>
      <c r="U1281" s="1354">
        <f>S1281</f>
        <v>1000000</v>
      </c>
      <c r="V1281" s="1354">
        <v>0</v>
      </c>
      <c r="W1281" s="1354">
        <v>50</v>
      </c>
      <c r="X1281" s="1354">
        <v>0.8</v>
      </c>
      <c r="Y1281" s="1354">
        <v>999</v>
      </c>
      <c r="Z1281" s="2043">
        <v>720</v>
      </c>
      <c r="AA1281" s="2043">
        <v>999</v>
      </c>
      <c r="AB1281" s="2043">
        <v>3</v>
      </c>
      <c r="AC1281" s="2043">
        <v>999999</v>
      </c>
      <c r="AD1281" s="1354">
        <v>0</v>
      </c>
      <c r="AE1281" s="2044">
        <v>75</v>
      </c>
      <c r="AF1281" s="170">
        <v>0</v>
      </c>
      <c r="AG1281" s="171">
        <v>1</v>
      </c>
      <c r="AH1281" s="171">
        <v>1</v>
      </c>
      <c r="AI1281" s="171">
        <v>0</v>
      </c>
      <c r="AJ1281" s="171">
        <v>0</v>
      </c>
      <c r="AK1281" s="171">
        <v>1</v>
      </c>
      <c r="AL1281" s="171">
        <v>1</v>
      </c>
      <c r="AM1281" s="171">
        <v>1</v>
      </c>
      <c r="AN1281" s="171">
        <v>1</v>
      </c>
      <c r="AO1281" s="171">
        <v>1</v>
      </c>
      <c r="AP1281" s="171">
        <v>1</v>
      </c>
      <c r="AQ1281" s="171">
        <v>1</v>
      </c>
      <c r="AR1281" s="171">
        <v>1</v>
      </c>
      <c r="AS1281" s="171">
        <v>1</v>
      </c>
      <c r="AT1281" s="171">
        <v>1</v>
      </c>
      <c r="AU1281" s="171">
        <f t="shared" si="447"/>
        <v>1</v>
      </c>
      <c r="AV1281" s="171">
        <f t="shared" si="448"/>
        <v>1</v>
      </c>
      <c r="AW1281" s="171">
        <f t="shared" si="449"/>
        <v>1</v>
      </c>
      <c r="AX1281" s="171">
        <f t="shared" si="444"/>
        <v>0</v>
      </c>
      <c r="AY1281" s="171">
        <f t="shared" si="450"/>
        <v>1</v>
      </c>
      <c r="AZ1281" s="171">
        <f t="shared" si="451"/>
        <v>1</v>
      </c>
      <c r="BA1281" s="172">
        <f t="shared" si="452"/>
        <v>1</v>
      </c>
      <c r="BB1281" s="175">
        <f t="shared" si="454"/>
        <v>18</v>
      </c>
      <c r="BC1281" s="176">
        <f t="shared" si="455"/>
        <v>17</v>
      </c>
      <c r="BD1281" s="176">
        <f t="shared" si="456"/>
        <v>18</v>
      </c>
      <c r="BE1281" s="240" t="str">
        <f t="shared" si="446"/>
        <v/>
      </c>
      <c r="BF1281" s="990"/>
      <c r="BG1281" s="990"/>
      <c r="BH1281" s="991">
        <f>IF(AND(Input_Product=Elig!$C1281,Elig_MatchAll_Ct&lt;22,$BC1281=(Elig_MatchAll_Ct-1),AF1281=0),C1281,0)</f>
        <v>0</v>
      </c>
      <c r="BI1281" s="991">
        <f>IF(AND(Input_Product=Elig!$C1281,Elig_MatchAll_Ct&lt;22,$BC1281=(Elig_MatchAll_Ct-1),AG1281=0),D1281,0)</f>
        <v>0</v>
      </c>
      <c r="BJ1281" s="991">
        <f>IF(AND(Input_Product=Elig!$C1281,Elig_MatchAll_Ct&lt;22,$BC1281=(Elig_MatchAll_Ct-1),AH1281=0),E1281,0)</f>
        <v>0</v>
      </c>
      <c r="BK1281" s="991">
        <f>IF(AND(Input_Product=Elig!$C1281,Elig_MatchAll_Ct&lt;22,$BC1281=(Elig_MatchAll_Ct-1),AI1281=0),F1281,0)</f>
        <v>0</v>
      </c>
      <c r="BL1281" s="991">
        <f>IF(AND(Input_Product=Elig!$C1281,Elig_MatchAll_Ct&lt;22,$BC1281=(Elig_MatchAll_Ct-1),AJ1281=0),G1281,0)</f>
        <v>0</v>
      </c>
      <c r="BM1281" s="991">
        <f>IF(AND(Input_Product=Elig!$C1281,Elig_MatchAll_Ct&lt;22,$BC1281=(Elig_MatchAll_Ct-1),AK1281=0),H1281,0)</f>
        <v>0</v>
      </c>
      <c r="BN1281" s="991">
        <f>IF(AND(Input_Product=Elig!$C1281,Elig_MatchAll_Ct&lt;22,$BC1281=(Elig_MatchAll_Ct-1),AL1281=0),I1281,0)</f>
        <v>0</v>
      </c>
      <c r="BO1281" s="991">
        <f>IF(AND(Input_Product=Elig!$C1281,Elig_MatchAll_Ct&lt;22,$BC1281=(Elig_MatchAll_Ct-1),AM1281=0),J1281,0)</f>
        <v>0</v>
      </c>
      <c r="BP1281" s="991">
        <f>IF(AND(Input_Product=Elig!$C1281,Elig_MatchAll_Ct&lt;22,$BC1281=(Elig_MatchAll_Ct-1),AN1281=0),K1281,0)</f>
        <v>0</v>
      </c>
      <c r="BQ1281" s="991">
        <f>IF(AND(Input_Product=Elig!$C1281,Elig_MatchAll_Ct&lt;22,$BC1281=(Elig_MatchAll_Ct-1),AP1281=0),L1281,0)</f>
        <v>0</v>
      </c>
      <c r="BR1281" s="991">
        <f>IF(AND(Input_Product=Elig!$C1281,Elig_MatchAll_Ct&lt;22,$BC1281=(Elig_MatchAll_Ct-1),AO1281=0),M1281,0)</f>
        <v>0</v>
      </c>
      <c r="BS1281" s="991">
        <f>IF(AND(Input_Product=Elig!$C1281,Elig_MatchAll_Ct&lt;22,$BC1281=(Elig_MatchAll_Ct-1),AQ1281=0),N1281,0)</f>
        <v>0</v>
      </c>
      <c r="BT1281" s="991">
        <f>IF(AND(Input_Product=Elig!$C1281,Elig_MatchAll_Ct&lt;22,$BC1281=(Elig_MatchAll_Ct-1),AR1281=0),O1281,0)</f>
        <v>0</v>
      </c>
      <c r="BU1281" s="991">
        <f>IF(AND(Input_Product=Elig!$C1281,Elig_MatchAll_Ct&lt;22,$BC1281=(Elig_MatchAll_Ct-1),AS1281=0),P1281,0)</f>
        <v>0</v>
      </c>
      <c r="BV1281" s="992">
        <f>IF(AND(Input_Product=Elig!$C1281,Elig_MatchAll_Ct&lt;22,$BC1281=(Elig_MatchAll_Ct-1),AT1281=0),Q1281,0)</f>
        <v>0</v>
      </c>
      <c r="BW1281" s="993">
        <f>IF(AND(Input_Product=Elig!$C1281,Elig_MatchAll_Ct&lt;22,$BC1281=(Elig_MatchAll_Ct-1),AU1281=0),R1281,0)</f>
        <v>0</v>
      </c>
      <c r="BX1281" s="994">
        <f>IF(AND(Input_Product=Elig!$C1281,Elig_MatchAll_Ct&lt;22,$BC1281=(Elig_MatchAll_Ct-1),AU1281=0),S1281,0)</f>
        <v>0</v>
      </c>
      <c r="BY1281" s="993">
        <f>IF(AND(Input_Product=Elig!$C1281,Elig_MatchAll_Ct&lt;22,$BC1281=(Elig_MatchAll_Ct-1),AV1281=0),T1281,0)</f>
        <v>0</v>
      </c>
      <c r="BZ1281" s="994">
        <f>IF(AND(Input_Product=Elig!$C1281,Elig_MatchAll_Ct&lt;22,$BC1281=(Elig_MatchAll_Ct-1),AV1281=0),U1281,0)</f>
        <v>0</v>
      </c>
      <c r="CA1281" s="993">
        <f>IF(AND(Input_Product=Elig!$C1281,Elig_MatchAll_Ct&lt;22,$BC1281=(Elig_MatchAll_Ct-1),AW1281=0),V1281,0)</f>
        <v>0</v>
      </c>
      <c r="CB1281" s="994">
        <f>IF(AND(Input_Product=Elig!$C1281,Elig_MatchAll_Ct&lt;22,$BC1281=(Elig_MatchAll_Ct-1),AW1281=0),W1281,0)</f>
        <v>0</v>
      </c>
      <c r="CC1281" s="993">
        <f>IF(AND(Input_Product=Elig!$C1281,Elig_MatchAll_Ct&lt;22,$BC1281=(Elig_MatchAll_Ct-1),AX1281=0),X1281,0)</f>
        <v>0</v>
      </c>
      <c r="CD1281" s="994">
        <f>IF(AND(Input_Product=Elig!$C1281,Elig_MatchAll_Ct&lt;22,$BC1281=(Elig_MatchAll_Ct-1),AX1281=0),Y1281,0)</f>
        <v>0</v>
      </c>
      <c r="CE1281" s="993">
        <f>IF(AND(Input_LTV&lt;=AE1281,Input_Product=Elig!$C1281,Elig_MatchAll_Ct&lt;22,$BC1281=(Elig_MatchAll_Ct-1),AY1281=0),Z1281,0)</f>
        <v>0</v>
      </c>
      <c r="CF1281" s="994">
        <f>IF(AND(Input_LTV&lt;=AE1281,Input_Product=Elig!$C1281,Elig_MatchAll_Ct&lt;22,$BC1281=(Elig_MatchAll_Ct-1),AY1281=0),AA1281,0)</f>
        <v>0</v>
      </c>
      <c r="CG1281" s="993">
        <f>IF(AND(Input_Product=Elig!$C1281,Elig_MatchAll_Ct&lt;22,$BC1281=(Elig_MatchAll_Ct-1),AZ1281=0),AB1281,0)</f>
        <v>0</v>
      </c>
      <c r="CH1281" s="994">
        <f>IF(AND(Input_Product=Elig!$C1281,Elig_MatchAll_Ct&lt;22,$BC1281=(Elig_MatchAll_Ct-1),AZ1281=0),AC1281,0)</f>
        <v>0</v>
      </c>
      <c r="CI1281" s="993">
        <f>IF(AND(Input_Product=Elig!$C1281,Elig_MatchAll_Ct&lt;22,$BC1281=(Elig_MatchAll_Ct-1),BA1281=0),AD1281,0)</f>
        <v>0</v>
      </c>
      <c r="CJ1281" s="994">
        <f>IF(AND(Input_Product=Elig!$C1281,Elig_MatchAll_Ct&lt;22,$BC1281=(Elig_MatchAll_Ct-1),BA1281=0),AE1281,0)</f>
        <v>0</v>
      </c>
    </row>
    <row r="1282" spans="2:88" ht="10.15" customHeight="1" x14ac:dyDescent="0.25">
      <c r="B1282" s="1920" t="s">
        <v>4225</v>
      </c>
      <c r="C1282" s="1359" t="str">
        <f t="shared" si="453"/>
        <v xml:space="preserve"> </v>
      </c>
      <c r="D1282" s="1360" t="s">
        <v>2218</v>
      </c>
      <c r="E1282" s="1360" t="s">
        <v>167</v>
      </c>
      <c r="F1282" s="1360" t="s">
        <v>330</v>
      </c>
      <c r="G1282" s="1361" t="s">
        <v>181</v>
      </c>
      <c r="H1282" s="1361" t="s">
        <v>136</v>
      </c>
      <c r="I1282" s="1360" t="s">
        <v>16</v>
      </c>
      <c r="J1282" s="1360" t="s">
        <v>1311</v>
      </c>
      <c r="K1282" s="1361" t="s">
        <v>3022</v>
      </c>
      <c r="L1282" s="1360" t="s">
        <v>2768</v>
      </c>
      <c r="M1282" s="1360" t="s">
        <v>2677</v>
      </c>
      <c r="N1282" s="1361" t="s">
        <v>2685</v>
      </c>
      <c r="O1282" s="1360" t="s">
        <v>2526</v>
      </c>
      <c r="P1282" s="1360" t="s">
        <v>291</v>
      </c>
      <c r="Q1282" s="1360" t="s">
        <v>294</v>
      </c>
      <c r="R1282" s="1360">
        <v>100000</v>
      </c>
      <c r="S1282" s="1360">
        <v>1000000</v>
      </c>
      <c r="T1282" s="1360">
        <v>0</v>
      </c>
      <c r="U1282" s="1360">
        <f t="shared" ref="U1282:U1294" si="465">S1282</f>
        <v>1000000</v>
      </c>
      <c r="V1282" s="1360">
        <v>0</v>
      </c>
      <c r="W1282" s="1360">
        <v>50</v>
      </c>
      <c r="X1282" s="1360">
        <v>0.8</v>
      </c>
      <c r="Y1282" s="1360">
        <v>999</v>
      </c>
      <c r="Z1282" s="2045">
        <v>700</v>
      </c>
      <c r="AA1282" s="2045">
        <v>719</v>
      </c>
      <c r="AB1282" s="2045">
        <v>3</v>
      </c>
      <c r="AC1282" s="2045">
        <v>999999</v>
      </c>
      <c r="AD1282" s="1360">
        <v>0</v>
      </c>
      <c r="AE1282" s="2046">
        <v>75</v>
      </c>
      <c r="AF1282" s="170">
        <v>0</v>
      </c>
      <c r="AG1282" s="171">
        <v>1</v>
      </c>
      <c r="AH1282" s="171">
        <v>1</v>
      </c>
      <c r="AI1282" s="171">
        <v>0</v>
      </c>
      <c r="AJ1282" s="171">
        <v>0</v>
      </c>
      <c r="AK1282" s="171">
        <v>1</v>
      </c>
      <c r="AL1282" s="171">
        <v>1</v>
      </c>
      <c r="AM1282" s="171">
        <v>1</v>
      </c>
      <c r="AN1282" s="171">
        <v>1</v>
      </c>
      <c r="AO1282" s="171">
        <v>1</v>
      </c>
      <c r="AP1282" s="171">
        <v>1</v>
      </c>
      <c r="AQ1282" s="171">
        <v>1</v>
      </c>
      <c r="AR1282" s="171">
        <v>1</v>
      </c>
      <c r="AS1282" s="171">
        <v>1</v>
      </c>
      <c r="AT1282" s="171">
        <v>1</v>
      </c>
      <c r="AU1282" s="171">
        <f t="shared" si="447"/>
        <v>1</v>
      </c>
      <c r="AV1282" s="171">
        <f t="shared" si="448"/>
        <v>1</v>
      </c>
      <c r="AW1282" s="171">
        <f t="shared" si="449"/>
        <v>1</v>
      </c>
      <c r="AX1282" s="171">
        <f t="shared" si="444"/>
        <v>0</v>
      </c>
      <c r="AY1282" s="171">
        <f t="shared" si="450"/>
        <v>0</v>
      </c>
      <c r="AZ1282" s="171">
        <f t="shared" si="451"/>
        <v>1</v>
      </c>
      <c r="BA1282" s="172">
        <f t="shared" si="452"/>
        <v>1</v>
      </c>
      <c r="BB1282" s="175">
        <f t="shared" si="454"/>
        <v>17</v>
      </c>
      <c r="BC1282" s="176">
        <f t="shared" si="455"/>
        <v>16</v>
      </c>
      <c r="BD1282" s="176">
        <f t="shared" si="456"/>
        <v>17</v>
      </c>
      <c r="BE1282" s="240" t="str">
        <f t="shared" si="446"/>
        <v/>
      </c>
      <c r="BF1282" s="990"/>
      <c r="BG1282" s="990"/>
      <c r="BH1282" s="991">
        <f>IF(AND(Input_Product=Elig!$C1282,Elig_MatchAll_Ct&lt;22,$BC1282=(Elig_MatchAll_Ct-1),AF1282=0),C1282,0)</f>
        <v>0</v>
      </c>
      <c r="BI1282" s="991">
        <f>IF(AND(Input_Product=Elig!$C1282,Elig_MatchAll_Ct&lt;22,$BC1282=(Elig_MatchAll_Ct-1),AG1282=0),D1282,0)</f>
        <v>0</v>
      </c>
      <c r="BJ1282" s="991">
        <f>IF(AND(Input_Product=Elig!$C1282,Elig_MatchAll_Ct&lt;22,$BC1282=(Elig_MatchAll_Ct-1),AH1282=0),E1282,0)</f>
        <v>0</v>
      </c>
      <c r="BK1282" s="991">
        <f>IF(AND(Input_Product=Elig!$C1282,Elig_MatchAll_Ct&lt;22,$BC1282=(Elig_MatchAll_Ct-1),AI1282=0),F1282,0)</f>
        <v>0</v>
      </c>
      <c r="BL1282" s="991">
        <f>IF(AND(Input_Product=Elig!$C1282,Elig_MatchAll_Ct&lt;22,$BC1282=(Elig_MatchAll_Ct-1),AJ1282=0),G1282,0)</f>
        <v>0</v>
      </c>
      <c r="BM1282" s="991">
        <f>IF(AND(Input_Product=Elig!$C1282,Elig_MatchAll_Ct&lt;22,$BC1282=(Elig_MatchAll_Ct-1),AK1282=0),H1282,0)</f>
        <v>0</v>
      </c>
      <c r="BN1282" s="991">
        <f>IF(AND(Input_Product=Elig!$C1282,Elig_MatchAll_Ct&lt;22,$BC1282=(Elig_MatchAll_Ct-1),AL1282=0),I1282,0)</f>
        <v>0</v>
      </c>
      <c r="BO1282" s="991">
        <f>IF(AND(Input_Product=Elig!$C1282,Elig_MatchAll_Ct&lt;22,$BC1282=(Elig_MatchAll_Ct-1),AM1282=0),J1282,0)</f>
        <v>0</v>
      </c>
      <c r="BP1282" s="991">
        <f>IF(AND(Input_Product=Elig!$C1282,Elig_MatchAll_Ct&lt;22,$BC1282=(Elig_MatchAll_Ct-1),AN1282=0),K1282,0)</f>
        <v>0</v>
      </c>
      <c r="BQ1282" s="991">
        <f>IF(AND(Input_Product=Elig!$C1282,Elig_MatchAll_Ct&lt;22,$BC1282=(Elig_MatchAll_Ct-1),AP1282=0),L1282,0)</f>
        <v>0</v>
      </c>
      <c r="BR1282" s="991">
        <f>IF(AND(Input_Product=Elig!$C1282,Elig_MatchAll_Ct&lt;22,$BC1282=(Elig_MatchAll_Ct-1),AO1282=0),M1282,0)</f>
        <v>0</v>
      </c>
      <c r="BS1282" s="991">
        <f>IF(AND(Input_Product=Elig!$C1282,Elig_MatchAll_Ct&lt;22,$BC1282=(Elig_MatchAll_Ct-1),AQ1282=0),N1282,0)</f>
        <v>0</v>
      </c>
      <c r="BT1282" s="991">
        <f>IF(AND(Input_Product=Elig!$C1282,Elig_MatchAll_Ct&lt;22,$BC1282=(Elig_MatchAll_Ct-1),AR1282=0),O1282,0)</f>
        <v>0</v>
      </c>
      <c r="BU1282" s="991">
        <f>IF(AND(Input_Product=Elig!$C1282,Elig_MatchAll_Ct&lt;22,$BC1282=(Elig_MatchAll_Ct-1),AS1282=0),P1282,0)</f>
        <v>0</v>
      </c>
      <c r="BV1282" s="992">
        <f>IF(AND(Input_Product=Elig!$C1282,Elig_MatchAll_Ct&lt;22,$BC1282=(Elig_MatchAll_Ct-1),AT1282=0),Q1282,0)</f>
        <v>0</v>
      </c>
      <c r="BW1282" s="993">
        <f>IF(AND(Input_Product=Elig!$C1282,Elig_MatchAll_Ct&lt;22,$BC1282=(Elig_MatchAll_Ct-1),AU1282=0),R1282,0)</f>
        <v>0</v>
      </c>
      <c r="BX1282" s="994">
        <f>IF(AND(Input_Product=Elig!$C1282,Elig_MatchAll_Ct&lt;22,$BC1282=(Elig_MatchAll_Ct-1),AU1282=0),S1282,0)</f>
        <v>0</v>
      </c>
      <c r="BY1282" s="993">
        <f>IF(AND(Input_Product=Elig!$C1282,Elig_MatchAll_Ct&lt;22,$BC1282=(Elig_MatchAll_Ct-1),AV1282=0),T1282,0)</f>
        <v>0</v>
      </c>
      <c r="BZ1282" s="994">
        <f>IF(AND(Input_Product=Elig!$C1282,Elig_MatchAll_Ct&lt;22,$BC1282=(Elig_MatchAll_Ct-1),AV1282=0),U1282,0)</f>
        <v>0</v>
      </c>
      <c r="CA1282" s="993">
        <f>IF(AND(Input_Product=Elig!$C1282,Elig_MatchAll_Ct&lt;22,$BC1282=(Elig_MatchAll_Ct-1),AW1282=0),V1282,0)</f>
        <v>0</v>
      </c>
      <c r="CB1282" s="994">
        <f>IF(AND(Input_Product=Elig!$C1282,Elig_MatchAll_Ct&lt;22,$BC1282=(Elig_MatchAll_Ct-1),AW1282=0),W1282,0)</f>
        <v>0</v>
      </c>
      <c r="CC1282" s="993">
        <f>IF(AND(Input_Product=Elig!$C1282,Elig_MatchAll_Ct&lt;22,$BC1282=(Elig_MatchAll_Ct-1),AX1282=0),X1282,0)</f>
        <v>0</v>
      </c>
      <c r="CD1282" s="994">
        <f>IF(AND(Input_Product=Elig!$C1282,Elig_MatchAll_Ct&lt;22,$BC1282=(Elig_MatchAll_Ct-1),AX1282=0),Y1282,0)</f>
        <v>0</v>
      </c>
      <c r="CE1282" s="993">
        <f>IF(AND(Input_LTV&lt;=AE1282,Input_Product=Elig!$C1282,Elig_MatchAll_Ct&lt;22,$BC1282=(Elig_MatchAll_Ct-1),AY1282=0),Z1282,0)</f>
        <v>0</v>
      </c>
      <c r="CF1282" s="994">
        <f>IF(AND(Input_LTV&lt;=AE1282,Input_Product=Elig!$C1282,Elig_MatchAll_Ct&lt;22,$BC1282=(Elig_MatchAll_Ct-1),AY1282=0),AA1282,0)</f>
        <v>0</v>
      </c>
      <c r="CG1282" s="993">
        <f>IF(AND(Input_Product=Elig!$C1282,Elig_MatchAll_Ct&lt;22,$BC1282=(Elig_MatchAll_Ct-1),AZ1282=0),AB1282,0)</f>
        <v>0</v>
      </c>
      <c r="CH1282" s="994">
        <f>IF(AND(Input_Product=Elig!$C1282,Elig_MatchAll_Ct&lt;22,$BC1282=(Elig_MatchAll_Ct-1),AZ1282=0),AC1282,0)</f>
        <v>0</v>
      </c>
      <c r="CI1282" s="993">
        <f>IF(AND(Input_Product=Elig!$C1282,Elig_MatchAll_Ct&lt;22,$BC1282=(Elig_MatchAll_Ct-1),BA1282=0),AD1282,0)</f>
        <v>0</v>
      </c>
      <c r="CJ1282" s="994">
        <f>IF(AND(Input_Product=Elig!$C1282,Elig_MatchAll_Ct&lt;22,$BC1282=(Elig_MatchAll_Ct-1),BA1282=0),AE1282,0)</f>
        <v>0</v>
      </c>
    </row>
    <row r="1283" spans="2:88" ht="10.15" customHeight="1" x14ac:dyDescent="0.25">
      <c r="B1283" s="1920" t="s">
        <v>4226</v>
      </c>
      <c r="C1283" s="1356" t="str">
        <f t="shared" si="453"/>
        <v xml:space="preserve"> </v>
      </c>
      <c r="D1283" s="1357" t="s">
        <v>2218</v>
      </c>
      <c r="E1283" s="1357" t="s">
        <v>167</v>
      </c>
      <c r="F1283" s="1357" t="s">
        <v>330</v>
      </c>
      <c r="G1283" s="1358" t="s">
        <v>181</v>
      </c>
      <c r="H1283" s="1358" t="s">
        <v>136</v>
      </c>
      <c r="I1283" s="1357" t="s">
        <v>16</v>
      </c>
      <c r="J1283" s="1357" t="s">
        <v>1311</v>
      </c>
      <c r="K1283" s="1358" t="s">
        <v>3022</v>
      </c>
      <c r="L1283" s="1357" t="s">
        <v>2768</v>
      </c>
      <c r="M1283" s="1357" t="s">
        <v>2677</v>
      </c>
      <c r="N1283" s="1358" t="s">
        <v>2685</v>
      </c>
      <c r="O1283" s="1357" t="s">
        <v>2526</v>
      </c>
      <c r="P1283" s="1357" t="s">
        <v>291</v>
      </c>
      <c r="Q1283" s="1357" t="s">
        <v>294</v>
      </c>
      <c r="R1283" s="1357">
        <v>100000</v>
      </c>
      <c r="S1283" s="1357">
        <v>1000000</v>
      </c>
      <c r="T1283" s="1357">
        <v>0</v>
      </c>
      <c r="U1283" s="1357">
        <f t="shared" ref="U1283" si="466">S1283</f>
        <v>1000000</v>
      </c>
      <c r="V1283" s="1357">
        <v>0</v>
      </c>
      <c r="W1283" s="1357">
        <v>50</v>
      </c>
      <c r="X1283" s="1357">
        <v>0.8</v>
      </c>
      <c r="Y1283" s="1357">
        <v>999</v>
      </c>
      <c r="Z1283" s="2047">
        <v>660</v>
      </c>
      <c r="AA1283" s="2047">
        <v>660</v>
      </c>
      <c r="AB1283" s="2047">
        <v>3</v>
      </c>
      <c r="AC1283" s="2047">
        <v>999999</v>
      </c>
      <c r="AD1283" s="1357">
        <v>0</v>
      </c>
      <c r="AE1283" s="2048">
        <v>75</v>
      </c>
      <c r="AF1283" s="170">
        <v>0</v>
      </c>
      <c r="AG1283" s="171">
        <v>1</v>
      </c>
      <c r="AH1283" s="171">
        <v>1</v>
      </c>
      <c r="AI1283" s="171">
        <v>0</v>
      </c>
      <c r="AJ1283" s="171">
        <v>0</v>
      </c>
      <c r="AK1283" s="171">
        <v>1</v>
      </c>
      <c r="AL1283" s="171">
        <v>1</v>
      </c>
      <c r="AM1283" s="171">
        <v>1</v>
      </c>
      <c r="AN1283" s="171">
        <v>1</v>
      </c>
      <c r="AO1283" s="171">
        <v>1</v>
      </c>
      <c r="AP1283" s="171">
        <v>1</v>
      </c>
      <c r="AQ1283" s="171">
        <v>1</v>
      </c>
      <c r="AR1283" s="171">
        <v>1</v>
      </c>
      <c r="AS1283" s="171">
        <v>1</v>
      </c>
      <c r="AT1283" s="171">
        <v>1</v>
      </c>
      <c r="AU1283" s="171">
        <f t="shared" si="447"/>
        <v>1</v>
      </c>
      <c r="AV1283" s="171">
        <f t="shared" si="448"/>
        <v>1</v>
      </c>
      <c r="AW1283" s="171">
        <f t="shared" si="449"/>
        <v>1</v>
      </c>
      <c r="AX1283" s="171">
        <f t="shared" ref="AX1283:AX1346" si="467">IF(AND(Input_DSCR&gt;=Elig_DSCR_Min,Input_DSCR&lt;=Elig_DSCR_Max),1,0)</f>
        <v>0</v>
      </c>
      <c r="AY1283" s="171">
        <f t="shared" si="450"/>
        <v>0</v>
      </c>
      <c r="AZ1283" s="171">
        <f t="shared" si="451"/>
        <v>1</v>
      </c>
      <c r="BA1283" s="172">
        <f t="shared" si="452"/>
        <v>1</v>
      </c>
      <c r="BB1283" s="175">
        <f t="shared" si="454"/>
        <v>17</v>
      </c>
      <c r="BC1283" s="176">
        <f t="shared" si="455"/>
        <v>16</v>
      </c>
      <c r="BD1283" s="176">
        <f t="shared" si="456"/>
        <v>17</v>
      </c>
      <c r="BE1283" s="240" t="str">
        <f t="shared" si="446"/>
        <v/>
      </c>
      <c r="BF1283" s="990"/>
      <c r="BG1283" s="990"/>
      <c r="BH1283" s="991">
        <f>IF(AND(Input_Product=Elig!$C1283,Elig_MatchAll_Ct&lt;22,$BC1283=(Elig_MatchAll_Ct-1),AF1283=0),C1283,0)</f>
        <v>0</v>
      </c>
      <c r="BI1283" s="991">
        <f>IF(AND(Input_Product=Elig!$C1283,Elig_MatchAll_Ct&lt;22,$BC1283=(Elig_MatchAll_Ct-1),AG1283=0),D1283,0)</f>
        <v>0</v>
      </c>
      <c r="BJ1283" s="991">
        <f>IF(AND(Input_Product=Elig!$C1283,Elig_MatchAll_Ct&lt;22,$BC1283=(Elig_MatchAll_Ct-1),AH1283=0),E1283,0)</f>
        <v>0</v>
      </c>
      <c r="BK1283" s="991">
        <f>IF(AND(Input_Product=Elig!$C1283,Elig_MatchAll_Ct&lt;22,$BC1283=(Elig_MatchAll_Ct-1),AI1283=0),F1283,0)</f>
        <v>0</v>
      </c>
      <c r="BL1283" s="991">
        <f>IF(AND(Input_Product=Elig!$C1283,Elig_MatchAll_Ct&lt;22,$BC1283=(Elig_MatchAll_Ct-1),AJ1283=0),G1283,0)</f>
        <v>0</v>
      </c>
      <c r="BM1283" s="991">
        <f>IF(AND(Input_Product=Elig!$C1283,Elig_MatchAll_Ct&lt;22,$BC1283=(Elig_MatchAll_Ct-1),AK1283=0),H1283,0)</f>
        <v>0</v>
      </c>
      <c r="BN1283" s="991">
        <f>IF(AND(Input_Product=Elig!$C1283,Elig_MatchAll_Ct&lt;22,$BC1283=(Elig_MatchAll_Ct-1),AL1283=0),I1283,0)</f>
        <v>0</v>
      </c>
      <c r="BO1283" s="991">
        <f>IF(AND(Input_Product=Elig!$C1283,Elig_MatchAll_Ct&lt;22,$BC1283=(Elig_MatchAll_Ct-1),AM1283=0),J1283,0)</f>
        <v>0</v>
      </c>
      <c r="BP1283" s="991">
        <f>IF(AND(Input_Product=Elig!$C1283,Elig_MatchAll_Ct&lt;22,$BC1283=(Elig_MatchAll_Ct-1),AN1283=0),K1283,0)</f>
        <v>0</v>
      </c>
      <c r="BQ1283" s="991">
        <f>IF(AND(Input_Product=Elig!$C1283,Elig_MatchAll_Ct&lt;22,$BC1283=(Elig_MatchAll_Ct-1),AP1283=0),L1283,0)</f>
        <v>0</v>
      </c>
      <c r="BR1283" s="991">
        <f>IF(AND(Input_Product=Elig!$C1283,Elig_MatchAll_Ct&lt;22,$BC1283=(Elig_MatchAll_Ct-1),AO1283=0),M1283,0)</f>
        <v>0</v>
      </c>
      <c r="BS1283" s="991">
        <f>IF(AND(Input_Product=Elig!$C1283,Elig_MatchAll_Ct&lt;22,$BC1283=(Elig_MatchAll_Ct-1),AQ1283=0),N1283,0)</f>
        <v>0</v>
      </c>
      <c r="BT1283" s="991">
        <f>IF(AND(Input_Product=Elig!$C1283,Elig_MatchAll_Ct&lt;22,$BC1283=(Elig_MatchAll_Ct-1),AR1283=0),O1283,0)</f>
        <v>0</v>
      </c>
      <c r="BU1283" s="991">
        <f>IF(AND(Input_Product=Elig!$C1283,Elig_MatchAll_Ct&lt;22,$BC1283=(Elig_MatchAll_Ct-1),AS1283=0),P1283,0)</f>
        <v>0</v>
      </c>
      <c r="BV1283" s="992">
        <f>IF(AND(Input_Product=Elig!$C1283,Elig_MatchAll_Ct&lt;22,$BC1283=(Elig_MatchAll_Ct-1),AT1283=0),Q1283,0)</f>
        <v>0</v>
      </c>
      <c r="BW1283" s="993">
        <f>IF(AND(Input_Product=Elig!$C1283,Elig_MatchAll_Ct&lt;22,$BC1283=(Elig_MatchAll_Ct-1),AU1283=0),R1283,0)</f>
        <v>0</v>
      </c>
      <c r="BX1283" s="994">
        <f>IF(AND(Input_Product=Elig!$C1283,Elig_MatchAll_Ct&lt;22,$BC1283=(Elig_MatchAll_Ct-1),AU1283=0),S1283,0)</f>
        <v>0</v>
      </c>
      <c r="BY1283" s="993">
        <f>IF(AND(Input_Product=Elig!$C1283,Elig_MatchAll_Ct&lt;22,$BC1283=(Elig_MatchAll_Ct-1),AV1283=0),T1283,0)</f>
        <v>0</v>
      </c>
      <c r="BZ1283" s="994">
        <f>IF(AND(Input_Product=Elig!$C1283,Elig_MatchAll_Ct&lt;22,$BC1283=(Elig_MatchAll_Ct-1),AV1283=0),U1283,0)</f>
        <v>0</v>
      </c>
      <c r="CA1283" s="993">
        <f>IF(AND(Input_Product=Elig!$C1283,Elig_MatchAll_Ct&lt;22,$BC1283=(Elig_MatchAll_Ct-1),AW1283=0),V1283,0)</f>
        <v>0</v>
      </c>
      <c r="CB1283" s="994">
        <f>IF(AND(Input_Product=Elig!$C1283,Elig_MatchAll_Ct&lt;22,$BC1283=(Elig_MatchAll_Ct-1),AW1283=0),W1283,0)</f>
        <v>0</v>
      </c>
      <c r="CC1283" s="993">
        <f>IF(AND(Input_Product=Elig!$C1283,Elig_MatchAll_Ct&lt;22,$BC1283=(Elig_MatchAll_Ct-1),AX1283=0),X1283,0)</f>
        <v>0</v>
      </c>
      <c r="CD1283" s="994">
        <f>IF(AND(Input_Product=Elig!$C1283,Elig_MatchAll_Ct&lt;22,$BC1283=(Elig_MatchAll_Ct-1),AX1283=0),Y1283,0)</f>
        <v>0</v>
      </c>
      <c r="CE1283" s="993">
        <f>IF(AND(Input_LTV&lt;=AE1283,Input_Product=Elig!$C1283,Elig_MatchAll_Ct&lt;22,$BC1283=(Elig_MatchAll_Ct-1),AY1283=0),Z1283,0)</f>
        <v>0</v>
      </c>
      <c r="CF1283" s="994">
        <f>IF(AND(Input_LTV&lt;=AE1283,Input_Product=Elig!$C1283,Elig_MatchAll_Ct&lt;22,$BC1283=(Elig_MatchAll_Ct-1),AY1283=0),AA1283,0)</f>
        <v>0</v>
      </c>
      <c r="CG1283" s="993">
        <f>IF(AND(Input_Product=Elig!$C1283,Elig_MatchAll_Ct&lt;22,$BC1283=(Elig_MatchAll_Ct-1),AZ1283=0),AB1283,0)</f>
        <v>0</v>
      </c>
      <c r="CH1283" s="994">
        <f>IF(AND(Input_Product=Elig!$C1283,Elig_MatchAll_Ct&lt;22,$BC1283=(Elig_MatchAll_Ct-1),AZ1283=0),AC1283,0)</f>
        <v>0</v>
      </c>
      <c r="CI1283" s="993">
        <f>IF(AND(Input_Product=Elig!$C1283,Elig_MatchAll_Ct&lt;22,$BC1283=(Elig_MatchAll_Ct-1),BA1283=0),AD1283,0)</f>
        <v>0</v>
      </c>
      <c r="CJ1283" s="994">
        <f>IF(AND(Input_Product=Elig!$C1283,Elig_MatchAll_Ct&lt;22,$BC1283=(Elig_MatchAll_Ct-1),BA1283=0),AE1283,0)</f>
        <v>0</v>
      </c>
    </row>
    <row r="1284" spans="2:88" ht="10.15" customHeight="1" x14ac:dyDescent="0.25">
      <c r="B1284" s="1920" t="s">
        <v>4227</v>
      </c>
      <c r="C1284" s="1353" t="str">
        <f t="shared" si="453"/>
        <v xml:space="preserve"> </v>
      </c>
      <c r="D1284" s="1354" t="s">
        <v>2218</v>
      </c>
      <c r="E1284" s="1354" t="s">
        <v>167</v>
      </c>
      <c r="F1284" s="1354" t="s">
        <v>330</v>
      </c>
      <c r="G1284" s="1355" t="s">
        <v>181</v>
      </c>
      <c r="H1284" s="1355" t="s">
        <v>136</v>
      </c>
      <c r="I1284" s="1354" t="s">
        <v>16</v>
      </c>
      <c r="J1284" s="1354" t="s">
        <v>1311</v>
      </c>
      <c r="K1284" s="1355" t="s">
        <v>3022</v>
      </c>
      <c r="L1284" s="1354" t="s">
        <v>2768</v>
      </c>
      <c r="M1284" s="1354" t="s">
        <v>2677</v>
      </c>
      <c r="N1284" s="1355" t="s">
        <v>2685</v>
      </c>
      <c r="O1284" s="1354" t="s">
        <v>2526</v>
      </c>
      <c r="P1284" s="1354" t="s">
        <v>291</v>
      </c>
      <c r="Q1284" s="1354" t="s">
        <v>294</v>
      </c>
      <c r="R1284" s="1354">
        <v>1000000.01</v>
      </c>
      <c r="S1284" s="1354">
        <v>1500000</v>
      </c>
      <c r="T1284" s="1354">
        <v>0</v>
      </c>
      <c r="U1284" s="1354">
        <f t="shared" si="465"/>
        <v>1500000</v>
      </c>
      <c r="V1284" s="1354">
        <v>0</v>
      </c>
      <c r="W1284" s="1354">
        <v>50</v>
      </c>
      <c r="X1284" s="1354">
        <v>0.8</v>
      </c>
      <c r="Y1284" s="1354">
        <v>999</v>
      </c>
      <c r="Z1284" s="2043">
        <v>720</v>
      </c>
      <c r="AA1284" s="2043">
        <v>999</v>
      </c>
      <c r="AB1284" s="2043">
        <v>6</v>
      </c>
      <c r="AC1284" s="2043">
        <v>999999</v>
      </c>
      <c r="AD1284" s="1354">
        <v>0</v>
      </c>
      <c r="AE1284" s="2044">
        <v>75</v>
      </c>
      <c r="AF1284" s="170">
        <v>0</v>
      </c>
      <c r="AG1284" s="171">
        <v>1</v>
      </c>
      <c r="AH1284" s="171">
        <v>1</v>
      </c>
      <c r="AI1284" s="171">
        <v>0</v>
      </c>
      <c r="AJ1284" s="171">
        <v>0</v>
      </c>
      <c r="AK1284" s="171">
        <v>1</v>
      </c>
      <c r="AL1284" s="171">
        <v>1</v>
      </c>
      <c r="AM1284" s="171">
        <v>1</v>
      </c>
      <c r="AN1284" s="171">
        <v>1</v>
      </c>
      <c r="AO1284" s="171">
        <v>1</v>
      </c>
      <c r="AP1284" s="171">
        <v>1</v>
      </c>
      <c r="AQ1284" s="171">
        <v>1</v>
      </c>
      <c r="AR1284" s="171">
        <v>1</v>
      </c>
      <c r="AS1284" s="171">
        <v>1</v>
      </c>
      <c r="AT1284" s="171">
        <v>1</v>
      </c>
      <c r="AU1284" s="171">
        <f t="shared" si="447"/>
        <v>0</v>
      </c>
      <c r="AV1284" s="171">
        <f t="shared" si="448"/>
        <v>1</v>
      </c>
      <c r="AW1284" s="171">
        <f t="shared" si="449"/>
        <v>1</v>
      </c>
      <c r="AX1284" s="171">
        <f t="shared" si="467"/>
        <v>0</v>
      </c>
      <c r="AY1284" s="171">
        <f t="shared" si="450"/>
        <v>1</v>
      </c>
      <c r="AZ1284" s="171">
        <f t="shared" si="451"/>
        <v>1</v>
      </c>
      <c r="BA1284" s="172">
        <f t="shared" si="452"/>
        <v>1</v>
      </c>
      <c r="BB1284" s="175">
        <f t="shared" si="454"/>
        <v>17</v>
      </c>
      <c r="BC1284" s="176">
        <f t="shared" si="455"/>
        <v>16</v>
      </c>
      <c r="BD1284" s="176">
        <f t="shared" si="456"/>
        <v>17</v>
      </c>
      <c r="BE1284" s="240" t="str">
        <f t="shared" si="446"/>
        <v/>
      </c>
      <c r="BF1284" s="990"/>
      <c r="BG1284" s="990"/>
      <c r="BH1284" s="991">
        <f>IF(AND(Input_Product=Elig!$C1284,Elig_MatchAll_Ct&lt;22,$BC1284=(Elig_MatchAll_Ct-1),AF1284=0),C1284,0)</f>
        <v>0</v>
      </c>
      <c r="BI1284" s="991">
        <f>IF(AND(Input_Product=Elig!$C1284,Elig_MatchAll_Ct&lt;22,$BC1284=(Elig_MatchAll_Ct-1),AG1284=0),D1284,0)</f>
        <v>0</v>
      </c>
      <c r="BJ1284" s="991">
        <f>IF(AND(Input_Product=Elig!$C1284,Elig_MatchAll_Ct&lt;22,$BC1284=(Elig_MatchAll_Ct-1),AH1284=0),E1284,0)</f>
        <v>0</v>
      </c>
      <c r="BK1284" s="991">
        <f>IF(AND(Input_Product=Elig!$C1284,Elig_MatchAll_Ct&lt;22,$BC1284=(Elig_MatchAll_Ct-1),AI1284=0),F1284,0)</f>
        <v>0</v>
      </c>
      <c r="BL1284" s="991">
        <f>IF(AND(Input_Product=Elig!$C1284,Elig_MatchAll_Ct&lt;22,$BC1284=(Elig_MatchAll_Ct-1),AJ1284=0),G1284,0)</f>
        <v>0</v>
      </c>
      <c r="BM1284" s="991">
        <f>IF(AND(Input_Product=Elig!$C1284,Elig_MatchAll_Ct&lt;22,$BC1284=(Elig_MatchAll_Ct-1),AK1284=0),H1284,0)</f>
        <v>0</v>
      </c>
      <c r="BN1284" s="991">
        <f>IF(AND(Input_Product=Elig!$C1284,Elig_MatchAll_Ct&lt;22,$BC1284=(Elig_MatchAll_Ct-1),AL1284=0),I1284,0)</f>
        <v>0</v>
      </c>
      <c r="BO1284" s="991">
        <f>IF(AND(Input_Product=Elig!$C1284,Elig_MatchAll_Ct&lt;22,$BC1284=(Elig_MatchAll_Ct-1),AM1284=0),J1284,0)</f>
        <v>0</v>
      </c>
      <c r="BP1284" s="991">
        <f>IF(AND(Input_Product=Elig!$C1284,Elig_MatchAll_Ct&lt;22,$BC1284=(Elig_MatchAll_Ct-1),AN1284=0),K1284,0)</f>
        <v>0</v>
      </c>
      <c r="BQ1284" s="991">
        <f>IF(AND(Input_Product=Elig!$C1284,Elig_MatchAll_Ct&lt;22,$BC1284=(Elig_MatchAll_Ct-1),AP1284=0),L1284,0)</f>
        <v>0</v>
      </c>
      <c r="BR1284" s="991">
        <f>IF(AND(Input_Product=Elig!$C1284,Elig_MatchAll_Ct&lt;22,$BC1284=(Elig_MatchAll_Ct-1),AO1284=0),M1284,0)</f>
        <v>0</v>
      </c>
      <c r="BS1284" s="991">
        <f>IF(AND(Input_Product=Elig!$C1284,Elig_MatchAll_Ct&lt;22,$BC1284=(Elig_MatchAll_Ct-1),AQ1284=0),N1284,0)</f>
        <v>0</v>
      </c>
      <c r="BT1284" s="991">
        <f>IF(AND(Input_Product=Elig!$C1284,Elig_MatchAll_Ct&lt;22,$BC1284=(Elig_MatchAll_Ct-1),AR1284=0),O1284,0)</f>
        <v>0</v>
      </c>
      <c r="BU1284" s="991">
        <f>IF(AND(Input_Product=Elig!$C1284,Elig_MatchAll_Ct&lt;22,$BC1284=(Elig_MatchAll_Ct-1),AS1284=0),P1284,0)</f>
        <v>0</v>
      </c>
      <c r="BV1284" s="992">
        <f>IF(AND(Input_Product=Elig!$C1284,Elig_MatchAll_Ct&lt;22,$BC1284=(Elig_MatchAll_Ct-1),AT1284=0),Q1284,0)</f>
        <v>0</v>
      </c>
      <c r="BW1284" s="993">
        <f>IF(AND(Input_Product=Elig!$C1284,Elig_MatchAll_Ct&lt;22,$BC1284=(Elig_MatchAll_Ct-1),AU1284=0),R1284,0)</f>
        <v>0</v>
      </c>
      <c r="BX1284" s="994">
        <f>IF(AND(Input_Product=Elig!$C1284,Elig_MatchAll_Ct&lt;22,$BC1284=(Elig_MatchAll_Ct-1),AU1284=0),S1284,0)</f>
        <v>0</v>
      </c>
      <c r="BY1284" s="993">
        <f>IF(AND(Input_Product=Elig!$C1284,Elig_MatchAll_Ct&lt;22,$BC1284=(Elig_MatchAll_Ct-1),AV1284=0),T1284,0)</f>
        <v>0</v>
      </c>
      <c r="BZ1284" s="994">
        <f>IF(AND(Input_Product=Elig!$C1284,Elig_MatchAll_Ct&lt;22,$BC1284=(Elig_MatchAll_Ct-1),AV1284=0),U1284,0)</f>
        <v>0</v>
      </c>
      <c r="CA1284" s="993">
        <f>IF(AND(Input_Product=Elig!$C1284,Elig_MatchAll_Ct&lt;22,$BC1284=(Elig_MatchAll_Ct-1),AW1284=0),V1284,0)</f>
        <v>0</v>
      </c>
      <c r="CB1284" s="994">
        <f>IF(AND(Input_Product=Elig!$C1284,Elig_MatchAll_Ct&lt;22,$BC1284=(Elig_MatchAll_Ct-1),AW1284=0),W1284,0)</f>
        <v>0</v>
      </c>
      <c r="CC1284" s="993">
        <f>IF(AND(Input_Product=Elig!$C1284,Elig_MatchAll_Ct&lt;22,$BC1284=(Elig_MatchAll_Ct-1),AX1284=0),X1284,0)</f>
        <v>0</v>
      </c>
      <c r="CD1284" s="994">
        <f>IF(AND(Input_Product=Elig!$C1284,Elig_MatchAll_Ct&lt;22,$BC1284=(Elig_MatchAll_Ct-1),AX1284=0),Y1284,0)</f>
        <v>0</v>
      </c>
      <c r="CE1284" s="993">
        <f>IF(AND(Input_LTV&lt;=AE1284,Input_Product=Elig!$C1284,Elig_MatchAll_Ct&lt;22,$BC1284=(Elig_MatchAll_Ct-1),AY1284=0),Z1284,0)</f>
        <v>0</v>
      </c>
      <c r="CF1284" s="994">
        <f>IF(AND(Input_LTV&lt;=AE1284,Input_Product=Elig!$C1284,Elig_MatchAll_Ct&lt;22,$BC1284=(Elig_MatchAll_Ct-1),AY1284=0),AA1284,0)</f>
        <v>0</v>
      </c>
      <c r="CG1284" s="993">
        <f>IF(AND(Input_Product=Elig!$C1284,Elig_MatchAll_Ct&lt;22,$BC1284=(Elig_MatchAll_Ct-1),AZ1284=0),AB1284,0)</f>
        <v>0</v>
      </c>
      <c r="CH1284" s="994">
        <f>IF(AND(Input_Product=Elig!$C1284,Elig_MatchAll_Ct&lt;22,$BC1284=(Elig_MatchAll_Ct-1),AZ1284=0),AC1284,0)</f>
        <v>0</v>
      </c>
      <c r="CI1284" s="993">
        <f>IF(AND(Input_Product=Elig!$C1284,Elig_MatchAll_Ct&lt;22,$BC1284=(Elig_MatchAll_Ct-1),BA1284=0),AD1284,0)</f>
        <v>0</v>
      </c>
      <c r="CJ1284" s="994">
        <f>IF(AND(Input_Product=Elig!$C1284,Elig_MatchAll_Ct&lt;22,$BC1284=(Elig_MatchAll_Ct-1),BA1284=0),AE1284,0)</f>
        <v>0</v>
      </c>
    </row>
    <row r="1285" spans="2:88" ht="10.15" customHeight="1" x14ac:dyDescent="0.25">
      <c r="B1285" s="1920" t="s">
        <v>4228</v>
      </c>
      <c r="C1285" s="1359" t="str">
        <f t="shared" si="453"/>
        <v xml:space="preserve"> </v>
      </c>
      <c r="D1285" s="1360" t="s">
        <v>2218</v>
      </c>
      <c r="E1285" s="1360" t="s">
        <v>167</v>
      </c>
      <c r="F1285" s="1360" t="s">
        <v>330</v>
      </c>
      <c r="G1285" s="1361" t="s">
        <v>181</v>
      </c>
      <c r="H1285" s="1361" t="s">
        <v>136</v>
      </c>
      <c r="I1285" s="1360" t="s">
        <v>16</v>
      </c>
      <c r="J1285" s="1360" t="s">
        <v>1311</v>
      </c>
      <c r="K1285" s="1361" t="s">
        <v>3022</v>
      </c>
      <c r="L1285" s="1360" t="s">
        <v>2768</v>
      </c>
      <c r="M1285" s="1360" t="s">
        <v>2677</v>
      </c>
      <c r="N1285" s="1361" t="s">
        <v>2685</v>
      </c>
      <c r="O1285" s="1360" t="s">
        <v>2526</v>
      </c>
      <c r="P1285" s="1360" t="s">
        <v>291</v>
      </c>
      <c r="Q1285" s="1360" t="s">
        <v>294</v>
      </c>
      <c r="R1285" s="1360">
        <v>1000000.01</v>
      </c>
      <c r="S1285" s="1360">
        <v>1500000</v>
      </c>
      <c r="T1285" s="1360">
        <v>0</v>
      </c>
      <c r="U1285" s="1360">
        <f t="shared" si="465"/>
        <v>1500000</v>
      </c>
      <c r="V1285" s="1360">
        <v>0</v>
      </c>
      <c r="W1285" s="1360">
        <v>50</v>
      </c>
      <c r="X1285" s="1360">
        <v>0.8</v>
      </c>
      <c r="Y1285" s="1360">
        <v>999</v>
      </c>
      <c r="Z1285" s="2045">
        <v>700</v>
      </c>
      <c r="AA1285" s="2045">
        <v>719</v>
      </c>
      <c r="AB1285" s="2045">
        <v>6</v>
      </c>
      <c r="AC1285" s="2045">
        <v>999999</v>
      </c>
      <c r="AD1285" s="1360">
        <v>0</v>
      </c>
      <c r="AE1285" s="2046">
        <v>75</v>
      </c>
      <c r="AF1285" s="170">
        <v>0</v>
      </c>
      <c r="AG1285" s="171">
        <v>1</v>
      </c>
      <c r="AH1285" s="171">
        <v>1</v>
      </c>
      <c r="AI1285" s="171">
        <v>0</v>
      </c>
      <c r="AJ1285" s="171">
        <v>0</v>
      </c>
      <c r="AK1285" s="171">
        <v>1</v>
      </c>
      <c r="AL1285" s="171">
        <v>1</v>
      </c>
      <c r="AM1285" s="171">
        <v>1</v>
      </c>
      <c r="AN1285" s="171">
        <v>1</v>
      </c>
      <c r="AO1285" s="171">
        <v>1</v>
      </c>
      <c r="AP1285" s="171">
        <v>1</v>
      </c>
      <c r="AQ1285" s="171">
        <v>1</v>
      </c>
      <c r="AR1285" s="171">
        <v>1</v>
      </c>
      <c r="AS1285" s="171">
        <v>1</v>
      </c>
      <c r="AT1285" s="171">
        <v>1</v>
      </c>
      <c r="AU1285" s="171">
        <f t="shared" si="447"/>
        <v>0</v>
      </c>
      <c r="AV1285" s="171">
        <f t="shared" si="448"/>
        <v>1</v>
      </c>
      <c r="AW1285" s="171">
        <f t="shared" si="449"/>
        <v>1</v>
      </c>
      <c r="AX1285" s="171">
        <f t="shared" si="467"/>
        <v>0</v>
      </c>
      <c r="AY1285" s="171">
        <f t="shared" si="450"/>
        <v>0</v>
      </c>
      <c r="AZ1285" s="171">
        <f t="shared" si="451"/>
        <v>1</v>
      </c>
      <c r="BA1285" s="172">
        <f t="shared" si="452"/>
        <v>1</v>
      </c>
      <c r="BB1285" s="175">
        <f t="shared" si="454"/>
        <v>16</v>
      </c>
      <c r="BC1285" s="176">
        <f t="shared" si="455"/>
        <v>15</v>
      </c>
      <c r="BD1285" s="176">
        <f t="shared" si="456"/>
        <v>16</v>
      </c>
      <c r="BE1285" s="240" t="str">
        <f t="shared" si="446"/>
        <v/>
      </c>
      <c r="BF1285" s="990"/>
      <c r="BG1285" s="990"/>
      <c r="BH1285" s="991">
        <f>IF(AND(Input_Product=Elig!$C1285,Elig_MatchAll_Ct&lt;22,$BC1285=(Elig_MatchAll_Ct-1),AF1285=0),C1285,0)</f>
        <v>0</v>
      </c>
      <c r="BI1285" s="991">
        <f>IF(AND(Input_Product=Elig!$C1285,Elig_MatchAll_Ct&lt;22,$BC1285=(Elig_MatchAll_Ct-1),AG1285=0),D1285,0)</f>
        <v>0</v>
      </c>
      <c r="BJ1285" s="991">
        <f>IF(AND(Input_Product=Elig!$C1285,Elig_MatchAll_Ct&lt;22,$BC1285=(Elig_MatchAll_Ct-1),AH1285=0),E1285,0)</f>
        <v>0</v>
      </c>
      <c r="BK1285" s="991">
        <f>IF(AND(Input_Product=Elig!$C1285,Elig_MatchAll_Ct&lt;22,$BC1285=(Elig_MatchAll_Ct-1),AI1285=0),F1285,0)</f>
        <v>0</v>
      </c>
      <c r="BL1285" s="991">
        <f>IF(AND(Input_Product=Elig!$C1285,Elig_MatchAll_Ct&lt;22,$BC1285=(Elig_MatchAll_Ct-1),AJ1285=0),G1285,0)</f>
        <v>0</v>
      </c>
      <c r="BM1285" s="991">
        <f>IF(AND(Input_Product=Elig!$C1285,Elig_MatchAll_Ct&lt;22,$BC1285=(Elig_MatchAll_Ct-1),AK1285=0),H1285,0)</f>
        <v>0</v>
      </c>
      <c r="BN1285" s="991">
        <f>IF(AND(Input_Product=Elig!$C1285,Elig_MatchAll_Ct&lt;22,$BC1285=(Elig_MatchAll_Ct-1),AL1285=0),I1285,0)</f>
        <v>0</v>
      </c>
      <c r="BO1285" s="991">
        <f>IF(AND(Input_Product=Elig!$C1285,Elig_MatchAll_Ct&lt;22,$BC1285=(Elig_MatchAll_Ct-1),AM1285=0),J1285,0)</f>
        <v>0</v>
      </c>
      <c r="BP1285" s="991">
        <f>IF(AND(Input_Product=Elig!$C1285,Elig_MatchAll_Ct&lt;22,$BC1285=(Elig_MatchAll_Ct-1),AN1285=0),K1285,0)</f>
        <v>0</v>
      </c>
      <c r="BQ1285" s="991">
        <f>IF(AND(Input_Product=Elig!$C1285,Elig_MatchAll_Ct&lt;22,$BC1285=(Elig_MatchAll_Ct-1),AP1285=0),L1285,0)</f>
        <v>0</v>
      </c>
      <c r="BR1285" s="991">
        <f>IF(AND(Input_Product=Elig!$C1285,Elig_MatchAll_Ct&lt;22,$BC1285=(Elig_MatchAll_Ct-1),AO1285=0),M1285,0)</f>
        <v>0</v>
      </c>
      <c r="BS1285" s="991">
        <f>IF(AND(Input_Product=Elig!$C1285,Elig_MatchAll_Ct&lt;22,$BC1285=(Elig_MatchAll_Ct-1),AQ1285=0),N1285,0)</f>
        <v>0</v>
      </c>
      <c r="BT1285" s="991">
        <f>IF(AND(Input_Product=Elig!$C1285,Elig_MatchAll_Ct&lt;22,$BC1285=(Elig_MatchAll_Ct-1),AR1285=0),O1285,0)</f>
        <v>0</v>
      </c>
      <c r="BU1285" s="991">
        <f>IF(AND(Input_Product=Elig!$C1285,Elig_MatchAll_Ct&lt;22,$BC1285=(Elig_MatchAll_Ct-1),AS1285=0),P1285,0)</f>
        <v>0</v>
      </c>
      <c r="BV1285" s="992">
        <f>IF(AND(Input_Product=Elig!$C1285,Elig_MatchAll_Ct&lt;22,$BC1285=(Elig_MatchAll_Ct-1),AT1285=0),Q1285,0)</f>
        <v>0</v>
      </c>
      <c r="BW1285" s="993">
        <f>IF(AND(Input_Product=Elig!$C1285,Elig_MatchAll_Ct&lt;22,$BC1285=(Elig_MatchAll_Ct-1),AU1285=0),R1285,0)</f>
        <v>0</v>
      </c>
      <c r="BX1285" s="994">
        <f>IF(AND(Input_Product=Elig!$C1285,Elig_MatchAll_Ct&lt;22,$BC1285=(Elig_MatchAll_Ct-1),AU1285=0),S1285,0)</f>
        <v>0</v>
      </c>
      <c r="BY1285" s="993">
        <f>IF(AND(Input_Product=Elig!$C1285,Elig_MatchAll_Ct&lt;22,$BC1285=(Elig_MatchAll_Ct-1),AV1285=0),T1285,0)</f>
        <v>0</v>
      </c>
      <c r="BZ1285" s="994">
        <f>IF(AND(Input_Product=Elig!$C1285,Elig_MatchAll_Ct&lt;22,$BC1285=(Elig_MatchAll_Ct-1),AV1285=0),U1285,0)</f>
        <v>0</v>
      </c>
      <c r="CA1285" s="993">
        <f>IF(AND(Input_Product=Elig!$C1285,Elig_MatchAll_Ct&lt;22,$BC1285=(Elig_MatchAll_Ct-1),AW1285=0),V1285,0)</f>
        <v>0</v>
      </c>
      <c r="CB1285" s="994">
        <f>IF(AND(Input_Product=Elig!$C1285,Elig_MatchAll_Ct&lt;22,$BC1285=(Elig_MatchAll_Ct-1),AW1285=0),W1285,0)</f>
        <v>0</v>
      </c>
      <c r="CC1285" s="993">
        <f>IF(AND(Input_Product=Elig!$C1285,Elig_MatchAll_Ct&lt;22,$BC1285=(Elig_MatchAll_Ct-1),AX1285=0),X1285,0)</f>
        <v>0</v>
      </c>
      <c r="CD1285" s="994">
        <f>IF(AND(Input_Product=Elig!$C1285,Elig_MatchAll_Ct&lt;22,$BC1285=(Elig_MatchAll_Ct-1),AX1285=0),Y1285,0)</f>
        <v>0</v>
      </c>
      <c r="CE1285" s="993">
        <f>IF(AND(Input_LTV&lt;=AE1285,Input_Product=Elig!$C1285,Elig_MatchAll_Ct&lt;22,$BC1285=(Elig_MatchAll_Ct-1),AY1285=0),Z1285,0)</f>
        <v>0</v>
      </c>
      <c r="CF1285" s="994">
        <f>IF(AND(Input_LTV&lt;=AE1285,Input_Product=Elig!$C1285,Elig_MatchAll_Ct&lt;22,$BC1285=(Elig_MatchAll_Ct-1),AY1285=0),AA1285,0)</f>
        <v>0</v>
      </c>
      <c r="CG1285" s="993">
        <f>IF(AND(Input_Product=Elig!$C1285,Elig_MatchAll_Ct&lt;22,$BC1285=(Elig_MatchAll_Ct-1),AZ1285=0),AB1285,0)</f>
        <v>0</v>
      </c>
      <c r="CH1285" s="994">
        <f>IF(AND(Input_Product=Elig!$C1285,Elig_MatchAll_Ct&lt;22,$BC1285=(Elig_MatchAll_Ct-1),AZ1285=0),AC1285,0)</f>
        <v>0</v>
      </c>
      <c r="CI1285" s="993">
        <f>IF(AND(Input_Product=Elig!$C1285,Elig_MatchAll_Ct&lt;22,$BC1285=(Elig_MatchAll_Ct-1),BA1285=0),AD1285,0)</f>
        <v>0</v>
      </c>
      <c r="CJ1285" s="994">
        <f>IF(AND(Input_Product=Elig!$C1285,Elig_MatchAll_Ct&lt;22,$BC1285=(Elig_MatchAll_Ct-1),BA1285=0),AE1285,0)</f>
        <v>0</v>
      </c>
    </row>
    <row r="1286" spans="2:88" ht="10.15" customHeight="1" x14ac:dyDescent="0.25">
      <c r="B1286" s="1920" t="s">
        <v>4229</v>
      </c>
      <c r="C1286" s="1356" t="str">
        <f t="shared" si="453"/>
        <v xml:space="preserve"> </v>
      </c>
      <c r="D1286" s="1357" t="s">
        <v>2218</v>
      </c>
      <c r="E1286" s="1357" t="s">
        <v>167</v>
      </c>
      <c r="F1286" s="1357" t="s">
        <v>330</v>
      </c>
      <c r="G1286" s="1358" t="s">
        <v>181</v>
      </c>
      <c r="H1286" s="1358" t="s">
        <v>136</v>
      </c>
      <c r="I1286" s="1357" t="s">
        <v>16</v>
      </c>
      <c r="J1286" s="1357" t="s">
        <v>1311</v>
      </c>
      <c r="K1286" s="1358" t="s">
        <v>3022</v>
      </c>
      <c r="L1286" s="1357" t="s">
        <v>2768</v>
      </c>
      <c r="M1286" s="1357" t="s">
        <v>2677</v>
      </c>
      <c r="N1286" s="1358" t="s">
        <v>2685</v>
      </c>
      <c r="O1286" s="1357" t="s">
        <v>2526</v>
      </c>
      <c r="P1286" s="1357" t="s">
        <v>291</v>
      </c>
      <c r="Q1286" s="1357" t="s">
        <v>294</v>
      </c>
      <c r="R1286" s="1357">
        <v>1000000.01</v>
      </c>
      <c r="S1286" s="1357">
        <v>1500000</v>
      </c>
      <c r="T1286" s="1357">
        <v>0</v>
      </c>
      <c r="U1286" s="1357">
        <f t="shared" ref="U1286" si="468">S1286</f>
        <v>1500000</v>
      </c>
      <c r="V1286" s="1357">
        <v>0</v>
      </c>
      <c r="W1286" s="1357">
        <v>50</v>
      </c>
      <c r="X1286" s="1357">
        <v>0.8</v>
      </c>
      <c r="Y1286" s="1357">
        <v>999</v>
      </c>
      <c r="Z1286" s="2047">
        <v>660</v>
      </c>
      <c r="AA1286" s="2047">
        <v>660</v>
      </c>
      <c r="AB1286" s="2047">
        <v>6</v>
      </c>
      <c r="AC1286" s="2047">
        <v>999999</v>
      </c>
      <c r="AD1286" s="1357">
        <v>0</v>
      </c>
      <c r="AE1286" s="2048">
        <v>75</v>
      </c>
      <c r="AF1286" s="170">
        <v>0</v>
      </c>
      <c r="AG1286" s="171">
        <v>1</v>
      </c>
      <c r="AH1286" s="171">
        <v>1</v>
      </c>
      <c r="AI1286" s="171">
        <v>0</v>
      </c>
      <c r="AJ1286" s="171">
        <v>0</v>
      </c>
      <c r="AK1286" s="171">
        <v>1</v>
      </c>
      <c r="AL1286" s="171">
        <v>1</v>
      </c>
      <c r="AM1286" s="171">
        <v>1</v>
      </c>
      <c r="AN1286" s="171">
        <v>1</v>
      </c>
      <c r="AO1286" s="171">
        <v>1</v>
      </c>
      <c r="AP1286" s="171">
        <v>1</v>
      </c>
      <c r="AQ1286" s="171">
        <v>1</v>
      </c>
      <c r="AR1286" s="171">
        <v>1</v>
      </c>
      <c r="AS1286" s="171">
        <v>1</v>
      </c>
      <c r="AT1286" s="171">
        <v>1</v>
      </c>
      <c r="AU1286" s="171">
        <f t="shared" si="447"/>
        <v>0</v>
      </c>
      <c r="AV1286" s="171">
        <f t="shared" si="448"/>
        <v>1</v>
      </c>
      <c r="AW1286" s="171">
        <f t="shared" si="449"/>
        <v>1</v>
      </c>
      <c r="AX1286" s="171">
        <f t="shared" si="467"/>
        <v>0</v>
      </c>
      <c r="AY1286" s="171">
        <f t="shared" si="450"/>
        <v>0</v>
      </c>
      <c r="AZ1286" s="171">
        <f t="shared" si="451"/>
        <v>1</v>
      </c>
      <c r="BA1286" s="172">
        <f t="shared" si="452"/>
        <v>1</v>
      </c>
      <c r="BB1286" s="175">
        <f t="shared" si="454"/>
        <v>16</v>
      </c>
      <c r="BC1286" s="176">
        <f t="shared" si="455"/>
        <v>15</v>
      </c>
      <c r="BD1286" s="176">
        <f t="shared" si="456"/>
        <v>16</v>
      </c>
      <c r="BE1286" s="240" t="str">
        <f t="shared" si="446"/>
        <v/>
      </c>
      <c r="BF1286" s="990"/>
      <c r="BG1286" s="990"/>
      <c r="BH1286" s="991">
        <f>IF(AND(Input_Product=Elig!$C1286,Elig_MatchAll_Ct&lt;22,$BC1286=(Elig_MatchAll_Ct-1),AF1286=0),C1286,0)</f>
        <v>0</v>
      </c>
      <c r="BI1286" s="991">
        <f>IF(AND(Input_Product=Elig!$C1286,Elig_MatchAll_Ct&lt;22,$BC1286=(Elig_MatchAll_Ct-1),AG1286=0),D1286,0)</f>
        <v>0</v>
      </c>
      <c r="BJ1286" s="991">
        <f>IF(AND(Input_Product=Elig!$C1286,Elig_MatchAll_Ct&lt;22,$BC1286=(Elig_MatchAll_Ct-1),AH1286=0),E1286,0)</f>
        <v>0</v>
      </c>
      <c r="BK1286" s="991">
        <f>IF(AND(Input_Product=Elig!$C1286,Elig_MatchAll_Ct&lt;22,$BC1286=(Elig_MatchAll_Ct-1),AI1286=0),F1286,0)</f>
        <v>0</v>
      </c>
      <c r="BL1286" s="991">
        <f>IF(AND(Input_Product=Elig!$C1286,Elig_MatchAll_Ct&lt;22,$BC1286=(Elig_MatchAll_Ct-1),AJ1286=0),G1286,0)</f>
        <v>0</v>
      </c>
      <c r="BM1286" s="991">
        <f>IF(AND(Input_Product=Elig!$C1286,Elig_MatchAll_Ct&lt;22,$BC1286=(Elig_MatchAll_Ct-1),AK1286=0),H1286,0)</f>
        <v>0</v>
      </c>
      <c r="BN1286" s="991">
        <f>IF(AND(Input_Product=Elig!$C1286,Elig_MatchAll_Ct&lt;22,$BC1286=(Elig_MatchAll_Ct-1),AL1286=0),I1286,0)</f>
        <v>0</v>
      </c>
      <c r="BO1286" s="991">
        <f>IF(AND(Input_Product=Elig!$C1286,Elig_MatchAll_Ct&lt;22,$BC1286=(Elig_MatchAll_Ct-1),AM1286=0),J1286,0)</f>
        <v>0</v>
      </c>
      <c r="BP1286" s="991">
        <f>IF(AND(Input_Product=Elig!$C1286,Elig_MatchAll_Ct&lt;22,$BC1286=(Elig_MatchAll_Ct-1),AN1286=0),K1286,0)</f>
        <v>0</v>
      </c>
      <c r="BQ1286" s="991">
        <f>IF(AND(Input_Product=Elig!$C1286,Elig_MatchAll_Ct&lt;22,$BC1286=(Elig_MatchAll_Ct-1),AP1286=0),L1286,0)</f>
        <v>0</v>
      </c>
      <c r="BR1286" s="991">
        <f>IF(AND(Input_Product=Elig!$C1286,Elig_MatchAll_Ct&lt;22,$BC1286=(Elig_MatchAll_Ct-1),AO1286=0),M1286,0)</f>
        <v>0</v>
      </c>
      <c r="BS1286" s="991">
        <f>IF(AND(Input_Product=Elig!$C1286,Elig_MatchAll_Ct&lt;22,$BC1286=(Elig_MatchAll_Ct-1),AQ1286=0),N1286,0)</f>
        <v>0</v>
      </c>
      <c r="BT1286" s="991">
        <f>IF(AND(Input_Product=Elig!$C1286,Elig_MatchAll_Ct&lt;22,$BC1286=(Elig_MatchAll_Ct-1),AR1286=0),O1286,0)</f>
        <v>0</v>
      </c>
      <c r="BU1286" s="991">
        <f>IF(AND(Input_Product=Elig!$C1286,Elig_MatchAll_Ct&lt;22,$BC1286=(Elig_MatchAll_Ct-1),AS1286=0),P1286,0)</f>
        <v>0</v>
      </c>
      <c r="BV1286" s="992">
        <f>IF(AND(Input_Product=Elig!$C1286,Elig_MatchAll_Ct&lt;22,$BC1286=(Elig_MatchAll_Ct-1),AT1286=0),Q1286,0)</f>
        <v>0</v>
      </c>
      <c r="BW1286" s="993">
        <f>IF(AND(Input_Product=Elig!$C1286,Elig_MatchAll_Ct&lt;22,$BC1286=(Elig_MatchAll_Ct-1),AU1286=0),R1286,0)</f>
        <v>0</v>
      </c>
      <c r="BX1286" s="994">
        <f>IF(AND(Input_Product=Elig!$C1286,Elig_MatchAll_Ct&lt;22,$BC1286=(Elig_MatchAll_Ct-1),AU1286=0),S1286,0)</f>
        <v>0</v>
      </c>
      <c r="BY1286" s="993">
        <f>IF(AND(Input_Product=Elig!$C1286,Elig_MatchAll_Ct&lt;22,$BC1286=(Elig_MatchAll_Ct-1),AV1286=0),T1286,0)</f>
        <v>0</v>
      </c>
      <c r="BZ1286" s="994">
        <f>IF(AND(Input_Product=Elig!$C1286,Elig_MatchAll_Ct&lt;22,$BC1286=(Elig_MatchAll_Ct-1),AV1286=0),U1286,0)</f>
        <v>0</v>
      </c>
      <c r="CA1286" s="993">
        <f>IF(AND(Input_Product=Elig!$C1286,Elig_MatchAll_Ct&lt;22,$BC1286=(Elig_MatchAll_Ct-1),AW1286=0),V1286,0)</f>
        <v>0</v>
      </c>
      <c r="CB1286" s="994">
        <f>IF(AND(Input_Product=Elig!$C1286,Elig_MatchAll_Ct&lt;22,$BC1286=(Elig_MatchAll_Ct-1),AW1286=0),W1286,0)</f>
        <v>0</v>
      </c>
      <c r="CC1286" s="993">
        <f>IF(AND(Input_Product=Elig!$C1286,Elig_MatchAll_Ct&lt;22,$BC1286=(Elig_MatchAll_Ct-1),AX1286=0),X1286,0)</f>
        <v>0</v>
      </c>
      <c r="CD1286" s="994">
        <f>IF(AND(Input_Product=Elig!$C1286,Elig_MatchAll_Ct&lt;22,$BC1286=(Elig_MatchAll_Ct-1),AX1286=0),Y1286,0)</f>
        <v>0</v>
      </c>
      <c r="CE1286" s="993">
        <f>IF(AND(Input_LTV&lt;=AE1286,Input_Product=Elig!$C1286,Elig_MatchAll_Ct&lt;22,$BC1286=(Elig_MatchAll_Ct-1),AY1286=0),Z1286,0)</f>
        <v>0</v>
      </c>
      <c r="CF1286" s="994">
        <f>IF(AND(Input_LTV&lt;=AE1286,Input_Product=Elig!$C1286,Elig_MatchAll_Ct&lt;22,$BC1286=(Elig_MatchAll_Ct-1),AY1286=0),AA1286,0)</f>
        <v>0</v>
      </c>
      <c r="CG1286" s="993">
        <f>IF(AND(Input_Product=Elig!$C1286,Elig_MatchAll_Ct&lt;22,$BC1286=(Elig_MatchAll_Ct-1),AZ1286=0),AB1286,0)</f>
        <v>0</v>
      </c>
      <c r="CH1286" s="994">
        <f>IF(AND(Input_Product=Elig!$C1286,Elig_MatchAll_Ct&lt;22,$BC1286=(Elig_MatchAll_Ct-1),AZ1286=0),AC1286,0)</f>
        <v>0</v>
      </c>
      <c r="CI1286" s="993">
        <f>IF(AND(Input_Product=Elig!$C1286,Elig_MatchAll_Ct&lt;22,$BC1286=(Elig_MatchAll_Ct-1),BA1286=0),AD1286,0)</f>
        <v>0</v>
      </c>
      <c r="CJ1286" s="994">
        <f>IF(AND(Input_Product=Elig!$C1286,Elig_MatchAll_Ct&lt;22,$BC1286=(Elig_MatchAll_Ct-1),BA1286=0),AE1286,0)</f>
        <v>0</v>
      </c>
    </row>
    <row r="1287" spans="2:88" ht="10.15" customHeight="1" x14ac:dyDescent="0.25">
      <c r="B1287" s="1920" t="s">
        <v>4230</v>
      </c>
      <c r="C1287" s="1353" t="str">
        <f t="shared" si="453"/>
        <v xml:space="preserve"> </v>
      </c>
      <c r="D1287" s="1354" t="s">
        <v>2218</v>
      </c>
      <c r="E1287" s="1354" t="s">
        <v>167</v>
      </c>
      <c r="F1287" s="1354" t="s">
        <v>330</v>
      </c>
      <c r="G1287" s="1355" t="s">
        <v>181</v>
      </c>
      <c r="H1287" s="1355" t="s">
        <v>136</v>
      </c>
      <c r="I1287" s="1354" t="s">
        <v>16</v>
      </c>
      <c r="J1287" s="1354" t="s">
        <v>1311</v>
      </c>
      <c r="K1287" s="1355" t="s">
        <v>3022</v>
      </c>
      <c r="L1287" s="1354" t="s">
        <v>2768</v>
      </c>
      <c r="M1287" s="1354" t="s">
        <v>2677</v>
      </c>
      <c r="N1287" s="1355" t="s">
        <v>2685</v>
      </c>
      <c r="O1287" s="1354" t="s">
        <v>2526</v>
      </c>
      <c r="P1287" s="1354" t="s">
        <v>291</v>
      </c>
      <c r="Q1287" s="1354" t="s">
        <v>294</v>
      </c>
      <c r="R1287" s="1354">
        <v>1500000.01</v>
      </c>
      <c r="S1287" s="1354">
        <v>2000000</v>
      </c>
      <c r="T1287" s="1354">
        <v>0</v>
      </c>
      <c r="U1287" s="1354">
        <f t="shared" si="465"/>
        <v>2000000</v>
      </c>
      <c r="V1287" s="1354">
        <v>0</v>
      </c>
      <c r="W1287" s="1354">
        <v>50</v>
      </c>
      <c r="X1287" s="1354">
        <v>0.8</v>
      </c>
      <c r="Y1287" s="1354">
        <v>999</v>
      </c>
      <c r="Z1287" s="2043">
        <v>720</v>
      </c>
      <c r="AA1287" s="2043">
        <v>999</v>
      </c>
      <c r="AB1287" s="2043">
        <v>6</v>
      </c>
      <c r="AC1287" s="2043">
        <v>999999</v>
      </c>
      <c r="AD1287" s="1354">
        <v>0</v>
      </c>
      <c r="AE1287" s="2044">
        <v>65</v>
      </c>
      <c r="AF1287" s="170">
        <v>0</v>
      </c>
      <c r="AG1287" s="171">
        <v>1</v>
      </c>
      <c r="AH1287" s="171">
        <v>1</v>
      </c>
      <c r="AI1287" s="171">
        <v>0</v>
      </c>
      <c r="AJ1287" s="171">
        <v>0</v>
      </c>
      <c r="AK1287" s="171">
        <v>1</v>
      </c>
      <c r="AL1287" s="171">
        <v>1</v>
      </c>
      <c r="AM1287" s="171">
        <v>1</v>
      </c>
      <c r="AN1287" s="171">
        <v>1</v>
      </c>
      <c r="AO1287" s="171">
        <v>1</v>
      </c>
      <c r="AP1287" s="171">
        <v>1</v>
      </c>
      <c r="AQ1287" s="171">
        <v>1</v>
      </c>
      <c r="AR1287" s="171">
        <v>1</v>
      </c>
      <c r="AS1287" s="171">
        <v>1</v>
      </c>
      <c r="AT1287" s="171">
        <v>1</v>
      </c>
      <c r="AU1287" s="171">
        <f t="shared" si="447"/>
        <v>0</v>
      </c>
      <c r="AV1287" s="171">
        <f t="shared" si="448"/>
        <v>1</v>
      </c>
      <c r="AW1287" s="171">
        <f t="shared" si="449"/>
        <v>1</v>
      </c>
      <c r="AX1287" s="171">
        <f t="shared" si="467"/>
        <v>0</v>
      </c>
      <c r="AY1287" s="171">
        <f t="shared" si="450"/>
        <v>1</v>
      </c>
      <c r="AZ1287" s="171">
        <f t="shared" si="451"/>
        <v>1</v>
      </c>
      <c r="BA1287" s="172">
        <f t="shared" si="452"/>
        <v>1</v>
      </c>
      <c r="BB1287" s="175">
        <f t="shared" si="454"/>
        <v>17</v>
      </c>
      <c r="BC1287" s="176">
        <f t="shared" si="455"/>
        <v>16</v>
      </c>
      <c r="BD1287" s="176">
        <f t="shared" si="456"/>
        <v>17</v>
      </c>
      <c r="BE1287" s="240" t="str">
        <f t="shared" si="446"/>
        <v/>
      </c>
      <c r="BF1287" s="990"/>
      <c r="BG1287" s="990"/>
      <c r="BH1287" s="991">
        <f>IF(AND(Input_Product=Elig!$C1287,Elig_MatchAll_Ct&lt;22,$BC1287=(Elig_MatchAll_Ct-1),AF1287=0),C1287,0)</f>
        <v>0</v>
      </c>
      <c r="BI1287" s="991">
        <f>IF(AND(Input_Product=Elig!$C1287,Elig_MatchAll_Ct&lt;22,$BC1287=(Elig_MatchAll_Ct-1),AG1287=0),D1287,0)</f>
        <v>0</v>
      </c>
      <c r="BJ1287" s="991">
        <f>IF(AND(Input_Product=Elig!$C1287,Elig_MatchAll_Ct&lt;22,$BC1287=(Elig_MatchAll_Ct-1),AH1287=0),E1287,0)</f>
        <v>0</v>
      </c>
      <c r="BK1287" s="991">
        <f>IF(AND(Input_Product=Elig!$C1287,Elig_MatchAll_Ct&lt;22,$BC1287=(Elig_MatchAll_Ct-1),AI1287=0),F1287,0)</f>
        <v>0</v>
      </c>
      <c r="BL1287" s="991">
        <f>IF(AND(Input_Product=Elig!$C1287,Elig_MatchAll_Ct&lt;22,$BC1287=(Elig_MatchAll_Ct-1),AJ1287=0),G1287,0)</f>
        <v>0</v>
      </c>
      <c r="BM1287" s="991">
        <f>IF(AND(Input_Product=Elig!$C1287,Elig_MatchAll_Ct&lt;22,$BC1287=(Elig_MatchAll_Ct-1),AK1287=0),H1287,0)</f>
        <v>0</v>
      </c>
      <c r="BN1287" s="991">
        <f>IF(AND(Input_Product=Elig!$C1287,Elig_MatchAll_Ct&lt;22,$BC1287=(Elig_MatchAll_Ct-1),AL1287=0),I1287,0)</f>
        <v>0</v>
      </c>
      <c r="BO1287" s="991">
        <f>IF(AND(Input_Product=Elig!$C1287,Elig_MatchAll_Ct&lt;22,$BC1287=(Elig_MatchAll_Ct-1),AM1287=0),J1287,0)</f>
        <v>0</v>
      </c>
      <c r="BP1287" s="991">
        <f>IF(AND(Input_Product=Elig!$C1287,Elig_MatchAll_Ct&lt;22,$BC1287=(Elig_MatchAll_Ct-1),AN1287=0),K1287,0)</f>
        <v>0</v>
      </c>
      <c r="BQ1287" s="991">
        <f>IF(AND(Input_Product=Elig!$C1287,Elig_MatchAll_Ct&lt;22,$BC1287=(Elig_MatchAll_Ct-1),AP1287=0),L1287,0)</f>
        <v>0</v>
      </c>
      <c r="BR1287" s="991">
        <f>IF(AND(Input_Product=Elig!$C1287,Elig_MatchAll_Ct&lt;22,$BC1287=(Elig_MatchAll_Ct-1),AO1287=0),M1287,0)</f>
        <v>0</v>
      </c>
      <c r="BS1287" s="991">
        <f>IF(AND(Input_Product=Elig!$C1287,Elig_MatchAll_Ct&lt;22,$BC1287=(Elig_MatchAll_Ct-1),AQ1287=0),N1287,0)</f>
        <v>0</v>
      </c>
      <c r="BT1287" s="991">
        <f>IF(AND(Input_Product=Elig!$C1287,Elig_MatchAll_Ct&lt;22,$BC1287=(Elig_MatchAll_Ct-1),AR1287=0),O1287,0)</f>
        <v>0</v>
      </c>
      <c r="BU1287" s="991">
        <f>IF(AND(Input_Product=Elig!$C1287,Elig_MatchAll_Ct&lt;22,$BC1287=(Elig_MatchAll_Ct-1),AS1287=0),P1287,0)</f>
        <v>0</v>
      </c>
      <c r="BV1287" s="992">
        <f>IF(AND(Input_Product=Elig!$C1287,Elig_MatchAll_Ct&lt;22,$BC1287=(Elig_MatchAll_Ct-1),AT1287=0),Q1287,0)</f>
        <v>0</v>
      </c>
      <c r="BW1287" s="993">
        <f>IF(AND(Input_Product=Elig!$C1287,Elig_MatchAll_Ct&lt;22,$BC1287=(Elig_MatchAll_Ct-1),AU1287=0),R1287,0)</f>
        <v>0</v>
      </c>
      <c r="BX1287" s="994">
        <f>IF(AND(Input_Product=Elig!$C1287,Elig_MatchAll_Ct&lt;22,$BC1287=(Elig_MatchAll_Ct-1),AU1287=0),S1287,0)</f>
        <v>0</v>
      </c>
      <c r="BY1287" s="993">
        <f>IF(AND(Input_Product=Elig!$C1287,Elig_MatchAll_Ct&lt;22,$BC1287=(Elig_MatchAll_Ct-1),AV1287=0),T1287,0)</f>
        <v>0</v>
      </c>
      <c r="BZ1287" s="994">
        <f>IF(AND(Input_Product=Elig!$C1287,Elig_MatchAll_Ct&lt;22,$BC1287=(Elig_MatchAll_Ct-1),AV1287=0),U1287,0)</f>
        <v>0</v>
      </c>
      <c r="CA1287" s="993">
        <f>IF(AND(Input_Product=Elig!$C1287,Elig_MatchAll_Ct&lt;22,$BC1287=(Elig_MatchAll_Ct-1),AW1287=0),V1287,0)</f>
        <v>0</v>
      </c>
      <c r="CB1287" s="994">
        <f>IF(AND(Input_Product=Elig!$C1287,Elig_MatchAll_Ct&lt;22,$BC1287=(Elig_MatchAll_Ct-1),AW1287=0),W1287,0)</f>
        <v>0</v>
      </c>
      <c r="CC1287" s="993">
        <f>IF(AND(Input_Product=Elig!$C1287,Elig_MatchAll_Ct&lt;22,$BC1287=(Elig_MatchAll_Ct-1),AX1287=0),X1287,0)</f>
        <v>0</v>
      </c>
      <c r="CD1287" s="994">
        <f>IF(AND(Input_Product=Elig!$C1287,Elig_MatchAll_Ct&lt;22,$BC1287=(Elig_MatchAll_Ct-1),AX1287=0),Y1287,0)</f>
        <v>0</v>
      </c>
      <c r="CE1287" s="993">
        <f>IF(AND(Input_LTV&lt;=AE1287,Input_Product=Elig!$C1287,Elig_MatchAll_Ct&lt;22,$BC1287=(Elig_MatchAll_Ct-1),AY1287=0),Z1287,0)</f>
        <v>0</v>
      </c>
      <c r="CF1287" s="994">
        <f>IF(AND(Input_LTV&lt;=AE1287,Input_Product=Elig!$C1287,Elig_MatchAll_Ct&lt;22,$BC1287=(Elig_MatchAll_Ct-1),AY1287=0),AA1287,0)</f>
        <v>0</v>
      </c>
      <c r="CG1287" s="993">
        <f>IF(AND(Input_Product=Elig!$C1287,Elig_MatchAll_Ct&lt;22,$BC1287=(Elig_MatchAll_Ct-1),AZ1287=0),AB1287,0)</f>
        <v>0</v>
      </c>
      <c r="CH1287" s="994">
        <f>IF(AND(Input_Product=Elig!$C1287,Elig_MatchAll_Ct&lt;22,$BC1287=(Elig_MatchAll_Ct-1),AZ1287=0),AC1287,0)</f>
        <v>0</v>
      </c>
      <c r="CI1287" s="993">
        <f>IF(AND(Input_Product=Elig!$C1287,Elig_MatchAll_Ct&lt;22,$BC1287=(Elig_MatchAll_Ct-1),BA1287=0),AD1287,0)</f>
        <v>0</v>
      </c>
      <c r="CJ1287" s="994">
        <f>IF(AND(Input_Product=Elig!$C1287,Elig_MatchAll_Ct&lt;22,$BC1287=(Elig_MatchAll_Ct-1),BA1287=0),AE1287,0)</f>
        <v>0</v>
      </c>
    </row>
    <row r="1288" spans="2:88" ht="10.15" customHeight="1" x14ac:dyDescent="0.25">
      <c r="B1288" s="1920" t="s">
        <v>4231</v>
      </c>
      <c r="C1288" s="1359" t="str">
        <f t="shared" si="453"/>
        <v xml:space="preserve"> </v>
      </c>
      <c r="D1288" s="1360" t="s">
        <v>2218</v>
      </c>
      <c r="E1288" s="1360" t="s">
        <v>167</v>
      </c>
      <c r="F1288" s="1360" t="s">
        <v>330</v>
      </c>
      <c r="G1288" s="1361" t="s">
        <v>181</v>
      </c>
      <c r="H1288" s="1361" t="s">
        <v>136</v>
      </c>
      <c r="I1288" s="1360" t="s">
        <v>16</v>
      </c>
      <c r="J1288" s="1360" t="s">
        <v>1311</v>
      </c>
      <c r="K1288" s="1361" t="s">
        <v>3022</v>
      </c>
      <c r="L1288" s="1360" t="s">
        <v>2768</v>
      </c>
      <c r="M1288" s="1360" t="s">
        <v>2677</v>
      </c>
      <c r="N1288" s="1361" t="s">
        <v>2685</v>
      </c>
      <c r="O1288" s="1360" t="s">
        <v>2526</v>
      </c>
      <c r="P1288" s="1360" t="s">
        <v>291</v>
      </c>
      <c r="Q1288" s="1360" t="s">
        <v>294</v>
      </c>
      <c r="R1288" s="1360">
        <v>1500000.01</v>
      </c>
      <c r="S1288" s="1360">
        <v>2000000</v>
      </c>
      <c r="T1288" s="1360">
        <v>0</v>
      </c>
      <c r="U1288" s="1360">
        <f t="shared" si="465"/>
        <v>2000000</v>
      </c>
      <c r="V1288" s="1360">
        <v>0</v>
      </c>
      <c r="W1288" s="1360">
        <v>50</v>
      </c>
      <c r="X1288" s="1360">
        <v>0.8</v>
      </c>
      <c r="Y1288" s="1360">
        <v>999</v>
      </c>
      <c r="Z1288" s="2045">
        <v>700</v>
      </c>
      <c r="AA1288" s="2045">
        <v>719</v>
      </c>
      <c r="AB1288" s="2045">
        <v>6</v>
      </c>
      <c r="AC1288" s="2045">
        <v>999999</v>
      </c>
      <c r="AD1288" s="1360">
        <v>0</v>
      </c>
      <c r="AE1288" s="2046">
        <v>65</v>
      </c>
      <c r="AF1288" s="170">
        <v>0</v>
      </c>
      <c r="AG1288" s="171">
        <v>1</v>
      </c>
      <c r="AH1288" s="171">
        <v>1</v>
      </c>
      <c r="AI1288" s="171">
        <v>0</v>
      </c>
      <c r="AJ1288" s="171">
        <v>0</v>
      </c>
      <c r="AK1288" s="171">
        <v>1</v>
      </c>
      <c r="AL1288" s="171">
        <v>1</v>
      </c>
      <c r="AM1288" s="171">
        <v>1</v>
      </c>
      <c r="AN1288" s="171">
        <v>1</v>
      </c>
      <c r="AO1288" s="171">
        <v>1</v>
      </c>
      <c r="AP1288" s="171">
        <v>1</v>
      </c>
      <c r="AQ1288" s="171">
        <v>1</v>
      </c>
      <c r="AR1288" s="171">
        <v>1</v>
      </c>
      <c r="AS1288" s="171">
        <v>1</v>
      </c>
      <c r="AT1288" s="171">
        <v>1</v>
      </c>
      <c r="AU1288" s="171">
        <f t="shared" si="447"/>
        <v>0</v>
      </c>
      <c r="AV1288" s="171">
        <f t="shared" si="448"/>
        <v>1</v>
      </c>
      <c r="AW1288" s="171">
        <f t="shared" si="449"/>
        <v>1</v>
      </c>
      <c r="AX1288" s="171">
        <f t="shared" si="467"/>
        <v>0</v>
      </c>
      <c r="AY1288" s="171">
        <f t="shared" si="450"/>
        <v>0</v>
      </c>
      <c r="AZ1288" s="171">
        <f t="shared" si="451"/>
        <v>1</v>
      </c>
      <c r="BA1288" s="172">
        <f t="shared" si="452"/>
        <v>1</v>
      </c>
      <c r="BB1288" s="175">
        <f t="shared" si="454"/>
        <v>16</v>
      </c>
      <c r="BC1288" s="176">
        <f t="shared" si="455"/>
        <v>15</v>
      </c>
      <c r="BD1288" s="176">
        <f t="shared" si="456"/>
        <v>16</v>
      </c>
      <c r="BE1288" s="240" t="str">
        <f t="shared" si="446"/>
        <v/>
      </c>
      <c r="BF1288" s="990"/>
      <c r="BG1288" s="990"/>
      <c r="BH1288" s="991">
        <f>IF(AND(Input_Product=Elig!$C1288,Elig_MatchAll_Ct&lt;22,$BC1288=(Elig_MatchAll_Ct-1),AF1288=0),C1288,0)</f>
        <v>0</v>
      </c>
      <c r="BI1288" s="991">
        <f>IF(AND(Input_Product=Elig!$C1288,Elig_MatchAll_Ct&lt;22,$BC1288=(Elig_MatchAll_Ct-1),AG1288=0),D1288,0)</f>
        <v>0</v>
      </c>
      <c r="BJ1288" s="991">
        <f>IF(AND(Input_Product=Elig!$C1288,Elig_MatchAll_Ct&lt;22,$BC1288=(Elig_MatchAll_Ct-1),AH1288=0),E1288,0)</f>
        <v>0</v>
      </c>
      <c r="BK1288" s="991">
        <f>IF(AND(Input_Product=Elig!$C1288,Elig_MatchAll_Ct&lt;22,$BC1288=(Elig_MatchAll_Ct-1),AI1288=0),F1288,0)</f>
        <v>0</v>
      </c>
      <c r="BL1288" s="991">
        <f>IF(AND(Input_Product=Elig!$C1288,Elig_MatchAll_Ct&lt;22,$BC1288=(Elig_MatchAll_Ct-1),AJ1288=0),G1288,0)</f>
        <v>0</v>
      </c>
      <c r="BM1288" s="991">
        <f>IF(AND(Input_Product=Elig!$C1288,Elig_MatchAll_Ct&lt;22,$BC1288=(Elig_MatchAll_Ct-1),AK1288=0),H1288,0)</f>
        <v>0</v>
      </c>
      <c r="BN1288" s="991">
        <f>IF(AND(Input_Product=Elig!$C1288,Elig_MatchAll_Ct&lt;22,$BC1288=(Elig_MatchAll_Ct-1),AL1288=0),I1288,0)</f>
        <v>0</v>
      </c>
      <c r="BO1288" s="991">
        <f>IF(AND(Input_Product=Elig!$C1288,Elig_MatchAll_Ct&lt;22,$BC1288=(Elig_MatchAll_Ct-1),AM1288=0),J1288,0)</f>
        <v>0</v>
      </c>
      <c r="BP1288" s="991">
        <f>IF(AND(Input_Product=Elig!$C1288,Elig_MatchAll_Ct&lt;22,$BC1288=(Elig_MatchAll_Ct-1),AN1288=0),K1288,0)</f>
        <v>0</v>
      </c>
      <c r="BQ1288" s="991">
        <f>IF(AND(Input_Product=Elig!$C1288,Elig_MatchAll_Ct&lt;22,$BC1288=(Elig_MatchAll_Ct-1),AP1288=0),L1288,0)</f>
        <v>0</v>
      </c>
      <c r="BR1288" s="991">
        <f>IF(AND(Input_Product=Elig!$C1288,Elig_MatchAll_Ct&lt;22,$BC1288=(Elig_MatchAll_Ct-1),AO1288=0),M1288,0)</f>
        <v>0</v>
      </c>
      <c r="BS1288" s="991">
        <f>IF(AND(Input_Product=Elig!$C1288,Elig_MatchAll_Ct&lt;22,$BC1288=(Elig_MatchAll_Ct-1),AQ1288=0),N1288,0)</f>
        <v>0</v>
      </c>
      <c r="BT1288" s="991">
        <f>IF(AND(Input_Product=Elig!$C1288,Elig_MatchAll_Ct&lt;22,$BC1288=(Elig_MatchAll_Ct-1),AR1288=0),O1288,0)</f>
        <v>0</v>
      </c>
      <c r="BU1288" s="991">
        <f>IF(AND(Input_Product=Elig!$C1288,Elig_MatchAll_Ct&lt;22,$BC1288=(Elig_MatchAll_Ct-1),AS1288=0),P1288,0)</f>
        <v>0</v>
      </c>
      <c r="BV1288" s="992">
        <f>IF(AND(Input_Product=Elig!$C1288,Elig_MatchAll_Ct&lt;22,$BC1288=(Elig_MatchAll_Ct-1),AT1288=0),Q1288,0)</f>
        <v>0</v>
      </c>
      <c r="BW1288" s="993">
        <f>IF(AND(Input_Product=Elig!$C1288,Elig_MatchAll_Ct&lt;22,$BC1288=(Elig_MatchAll_Ct-1),AU1288=0),R1288,0)</f>
        <v>0</v>
      </c>
      <c r="BX1288" s="994">
        <f>IF(AND(Input_Product=Elig!$C1288,Elig_MatchAll_Ct&lt;22,$BC1288=(Elig_MatchAll_Ct-1),AU1288=0),S1288,0)</f>
        <v>0</v>
      </c>
      <c r="BY1288" s="993">
        <f>IF(AND(Input_Product=Elig!$C1288,Elig_MatchAll_Ct&lt;22,$BC1288=(Elig_MatchAll_Ct-1),AV1288=0),T1288,0)</f>
        <v>0</v>
      </c>
      <c r="BZ1288" s="994">
        <f>IF(AND(Input_Product=Elig!$C1288,Elig_MatchAll_Ct&lt;22,$BC1288=(Elig_MatchAll_Ct-1),AV1288=0),U1288,0)</f>
        <v>0</v>
      </c>
      <c r="CA1288" s="993">
        <f>IF(AND(Input_Product=Elig!$C1288,Elig_MatchAll_Ct&lt;22,$BC1288=(Elig_MatchAll_Ct-1),AW1288=0),V1288,0)</f>
        <v>0</v>
      </c>
      <c r="CB1288" s="994">
        <f>IF(AND(Input_Product=Elig!$C1288,Elig_MatchAll_Ct&lt;22,$BC1288=(Elig_MatchAll_Ct-1),AW1288=0),W1288,0)</f>
        <v>0</v>
      </c>
      <c r="CC1288" s="993">
        <f>IF(AND(Input_Product=Elig!$C1288,Elig_MatchAll_Ct&lt;22,$BC1288=(Elig_MatchAll_Ct-1),AX1288=0),X1288,0)</f>
        <v>0</v>
      </c>
      <c r="CD1288" s="994">
        <f>IF(AND(Input_Product=Elig!$C1288,Elig_MatchAll_Ct&lt;22,$BC1288=(Elig_MatchAll_Ct-1),AX1288=0),Y1288,0)</f>
        <v>0</v>
      </c>
      <c r="CE1288" s="993">
        <f>IF(AND(Input_LTV&lt;=AE1288,Input_Product=Elig!$C1288,Elig_MatchAll_Ct&lt;22,$BC1288=(Elig_MatchAll_Ct-1),AY1288=0),Z1288,0)</f>
        <v>0</v>
      </c>
      <c r="CF1288" s="994">
        <f>IF(AND(Input_LTV&lt;=AE1288,Input_Product=Elig!$C1288,Elig_MatchAll_Ct&lt;22,$BC1288=(Elig_MatchAll_Ct-1),AY1288=0),AA1288,0)</f>
        <v>0</v>
      </c>
      <c r="CG1288" s="993">
        <f>IF(AND(Input_Product=Elig!$C1288,Elig_MatchAll_Ct&lt;22,$BC1288=(Elig_MatchAll_Ct-1),AZ1288=0),AB1288,0)</f>
        <v>0</v>
      </c>
      <c r="CH1288" s="994">
        <f>IF(AND(Input_Product=Elig!$C1288,Elig_MatchAll_Ct&lt;22,$BC1288=(Elig_MatchAll_Ct-1),AZ1288=0),AC1288,0)</f>
        <v>0</v>
      </c>
      <c r="CI1288" s="993">
        <f>IF(AND(Input_Product=Elig!$C1288,Elig_MatchAll_Ct&lt;22,$BC1288=(Elig_MatchAll_Ct-1),BA1288=0),AD1288,0)</f>
        <v>0</v>
      </c>
      <c r="CJ1288" s="994">
        <f>IF(AND(Input_Product=Elig!$C1288,Elig_MatchAll_Ct&lt;22,$BC1288=(Elig_MatchAll_Ct-1),BA1288=0),AE1288,0)</f>
        <v>0</v>
      </c>
    </row>
    <row r="1289" spans="2:88" ht="10.15" customHeight="1" x14ac:dyDescent="0.25">
      <c r="B1289" s="1920" t="s">
        <v>4232</v>
      </c>
      <c r="C1289" s="1356" t="str">
        <f t="shared" si="453"/>
        <v xml:space="preserve"> </v>
      </c>
      <c r="D1289" s="1357" t="s">
        <v>2218</v>
      </c>
      <c r="E1289" s="1357" t="s">
        <v>167</v>
      </c>
      <c r="F1289" s="1357" t="s">
        <v>330</v>
      </c>
      <c r="G1289" s="1358" t="s">
        <v>181</v>
      </c>
      <c r="H1289" s="1358" t="s">
        <v>136</v>
      </c>
      <c r="I1289" s="1357" t="s">
        <v>16</v>
      </c>
      <c r="J1289" s="1357" t="s">
        <v>1311</v>
      </c>
      <c r="K1289" s="1358" t="s">
        <v>3022</v>
      </c>
      <c r="L1289" s="1357" t="s">
        <v>2768</v>
      </c>
      <c r="M1289" s="1357" t="s">
        <v>2677</v>
      </c>
      <c r="N1289" s="1358" t="s">
        <v>2685</v>
      </c>
      <c r="O1289" s="1357" t="s">
        <v>2526</v>
      </c>
      <c r="P1289" s="1357" t="s">
        <v>291</v>
      </c>
      <c r="Q1289" s="1357" t="s">
        <v>294</v>
      </c>
      <c r="R1289" s="1357">
        <v>1500000.01</v>
      </c>
      <c r="S1289" s="1357">
        <v>2000000</v>
      </c>
      <c r="T1289" s="1357">
        <v>0</v>
      </c>
      <c r="U1289" s="1357">
        <f t="shared" ref="U1289" si="469">S1289</f>
        <v>2000000</v>
      </c>
      <c r="V1289" s="1357">
        <v>0</v>
      </c>
      <c r="W1289" s="1357">
        <v>50</v>
      </c>
      <c r="X1289" s="1357">
        <v>0.8</v>
      </c>
      <c r="Y1289" s="1357">
        <v>999</v>
      </c>
      <c r="Z1289" s="2047">
        <v>660</v>
      </c>
      <c r="AA1289" s="2047">
        <v>660</v>
      </c>
      <c r="AB1289" s="2047">
        <v>6</v>
      </c>
      <c r="AC1289" s="2047">
        <v>999999</v>
      </c>
      <c r="AD1289" s="1357">
        <v>0</v>
      </c>
      <c r="AE1289" s="2048">
        <v>65</v>
      </c>
      <c r="AF1289" s="170">
        <v>0</v>
      </c>
      <c r="AG1289" s="171">
        <v>1</v>
      </c>
      <c r="AH1289" s="171">
        <v>1</v>
      </c>
      <c r="AI1289" s="171">
        <v>0</v>
      </c>
      <c r="AJ1289" s="171">
        <v>0</v>
      </c>
      <c r="AK1289" s="171">
        <v>1</v>
      </c>
      <c r="AL1289" s="171">
        <v>1</v>
      </c>
      <c r="AM1289" s="171">
        <v>1</v>
      </c>
      <c r="AN1289" s="171">
        <v>1</v>
      </c>
      <c r="AO1289" s="171">
        <v>1</v>
      </c>
      <c r="AP1289" s="171">
        <v>1</v>
      </c>
      <c r="AQ1289" s="171">
        <v>1</v>
      </c>
      <c r="AR1289" s="171">
        <v>1</v>
      </c>
      <c r="AS1289" s="171">
        <v>1</v>
      </c>
      <c r="AT1289" s="171">
        <v>1</v>
      </c>
      <c r="AU1289" s="171">
        <f t="shared" si="447"/>
        <v>0</v>
      </c>
      <c r="AV1289" s="171">
        <f t="shared" si="448"/>
        <v>1</v>
      </c>
      <c r="AW1289" s="171">
        <f t="shared" si="449"/>
        <v>1</v>
      </c>
      <c r="AX1289" s="171">
        <f t="shared" si="467"/>
        <v>0</v>
      </c>
      <c r="AY1289" s="171">
        <f t="shared" si="450"/>
        <v>0</v>
      </c>
      <c r="AZ1289" s="171">
        <f t="shared" si="451"/>
        <v>1</v>
      </c>
      <c r="BA1289" s="172">
        <f t="shared" si="452"/>
        <v>1</v>
      </c>
      <c r="BB1289" s="175">
        <f t="shared" si="454"/>
        <v>16</v>
      </c>
      <c r="BC1289" s="176">
        <f t="shared" si="455"/>
        <v>15</v>
      </c>
      <c r="BD1289" s="176">
        <f t="shared" si="456"/>
        <v>16</v>
      </c>
      <c r="BE1289" s="240" t="str">
        <f t="shared" si="446"/>
        <v/>
      </c>
      <c r="BF1289" s="990"/>
      <c r="BG1289" s="990"/>
      <c r="BH1289" s="991">
        <f>IF(AND(Input_Product=Elig!$C1289,Elig_MatchAll_Ct&lt;22,$BC1289=(Elig_MatchAll_Ct-1),AF1289=0),C1289,0)</f>
        <v>0</v>
      </c>
      <c r="BI1289" s="991">
        <f>IF(AND(Input_Product=Elig!$C1289,Elig_MatchAll_Ct&lt;22,$BC1289=(Elig_MatchAll_Ct-1),AG1289=0),D1289,0)</f>
        <v>0</v>
      </c>
      <c r="BJ1289" s="991">
        <f>IF(AND(Input_Product=Elig!$C1289,Elig_MatchAll_Ct&lt;22,$BC1289=(Elig_MatchAll_Ct-1),AH1289=0),E1289,0)</f>
        <v>0</v>
      </c>
      <c r="BK1289" s="991">
        <f>IF(AND(Input_Product=Elig!$C1289,Elig_MatchAll_Ct&lt;22,$BC1289=(Elig_MatchAll_Ct-1),AI1289=0),F1289,0)</f>
        <v>0</v>
      </c>
      <c r="BL1289" s="991">
        <f>IF(AND(Input_Product=Elig!$C1289,Elig_MatchAll_Ct&lt;22,$BC1289=(Elig_MatchAll_Ct-1),AJ1289=0),G1289,0)</f>
        <v>0</v>
      </c>
      <c r="BM1289" s="991">
        <f>IF(AND(Input_Product=Elig!$C1289,Elig_MatchAll_Ct&lt;22,$BC1289=(Elig_MatchAll_Ct-1),AK1289=0),H1289,0)</f>
        <v>0</v>
      </c>
      <c r="BN1289" s="991">
        <f>IF(AND(Input_Product=Elig!$C1289,Elig_MatchAll_Ct&lt;22,$BC1289=(Elig_MatchAll_Ct-1),AL1289=0),I1289,0)</f>
        <v>0</v>
      </c>
      <c r="BO1289" s="991">
        <f>IF(AND(Input_Product=Elig!$C1289,Elig_MatchAll_Ct&lt;22,$BC1289=(Elig_MatchAll_Ct-1),AM1289=0),J1289,0)</f>
        <v>0</v>
      </c>
      <c r="BP1289" s="991">
        <f>IF(AND(Input_Product=Elig!$C1289,Elig_MatchAll_Ct&lt;22,$BC1289=(Elig_MatchAll_Ct-1),AN1289=0),K1289,0)</f>
        <v>0</v>
      </c>
      <c r="BQ1289" s="991">
        <f>IF(AND(Input_Product=Elig!$C1289,Elig_MatchAll_Ct&lt;22,$BC1289=(Elig_MatchAll_Ct-1),AP1289=0),L1289,0)</f>
        <v>0</v>
      </c>
      <c r="BR1289" s="991">
        <f>IF(AND(Input_Product=Elig!$C1289,Elig_MatchAll_Ct&lt;22,$BC1289=(Elig_MatchAll_Ct-1),AO1289=0),M1289,0)</f>
        <v>0</v>
      </c>
      <c r="BS1289" s="991">
        <f>IF(AND(Input_Product=Elig!$C1289,Elig_MatchAll_Ct&lt;22,$BC1289=(Elig_MatchAll_Ct-1),AQ1289=0),N1289,0)</f>
        <v>0</v>
      </c>
      <c r="BT1289" s="991">
        <f>IF(AND(Input_Product=Elig!$C1289,Elig_MatchAll_Ct&lt;22,$BC1289=(Elig_MatchAll_Ct-1),AR1289=0),O1289,0)</f>
        <v>0</v>
      </c>
      <c r="BU1289" s="991">
        <f>IF(AND(Input_Product=Elig!$C1289,Elig_MatchAll_Ct&lt;22,$BC1289=(Elig_MatchAll_Ct-1),AS1289=0),P1289,0)</f>
        <v>0</v>
      </c>
      <c r="BV1289" s="992">
        <f>IF(AND(Input_Product=Elig!$C1289,Elig_MatchAll_Ct&lt;22,$BC1289=(Elig_MatchAll_Ct-1),AT1289=0),Q1289,0)</f>
        <v>0</v>
      </c>
      <c r="BW1289" s="993">
        <f>IF(AND(Input_Product=Elig!$C1289,Elig_MatchAll_Ct&lt;22,$BC1289=(Elig_MatchAll_Ct-1),AU1289=0),R1289,0)</f>
        <v>0</v>
      </c>
      <c r="BX1289" s="994">
        <f>IF(AND(Input_Product=Elig!$C1289,Elig_MatchAll_Ct&lt;22,$BC1289=(Elig_MatchAll_Ct-1),AU1289=0),S1289,0)</f>
        <v>0</v>
      </c>
      <c r="BY1289" s="993">
        <f>IF(AND(Input_Product=Elig!$C1289,Elig_MatchAll_Ct&lt;22,$BC1289=(Elig_MatchAll_Ct-1),AV1289=0),T1289,0)</f>
        <v>0</v>
      </c>
      <c r="BZ1289" s="994">
        <f>IF(AND(Input_Product=Elig!$C1289,Elig_MatchAll_Ct&lt;22,$BC1289=(Elig_MatchAll_Ct-1),AV1289=0),U1289,0)</f>
        <v>0</v>
      </c>
      <c r="CA1289" s="993">
        <f>IF(AND(Input_Product=Elig!$C1289,Elig_MatchAll_Ct&lt;22,$BC1289=(Elig_MatchAll_Ct-1),AW1289=0),V1289,0)</f>
        <v>0</v>
      </c>
      <c r="CB1289" s="994">
        <f>IF(AND(Input_Product=Elig!$C1289,Elig_MatchAll_Ct&lt;22,$BC1289=(Elig_MatchAll_Ct-1),AW1289=0),W1289,0)</f>
        <v>0</v>
      </c>
      <c r="CC1289" s="993">
        <f>IF(AND(Input_Product=Elig!$C1289,Elig_MatchAll_Ct&lt;22,$BC1289=(Elig_MatchAll_Ct-1),AX1289=0),X1289,0)</f>
        <v>0</v>
      </c>
      <c r="CD1289" s="994">
        <f>IF(AND(Input_Product=Elig!$C1289,Elig_MatchAll_Ct&lt;22,$BC1289=(Elig_MatchAll_Ct-1),AX1289=0),Y1289,0)</f>
        <v>0</v>
      </c>
      <c r="CE1289" s="993">
        <f>IF(AND(Input_LTV&lt;=AE1289,Input_Product=Elig!$C1289,Elig_MatchAll_Ct&lt;22,$BC1289=(Elig_MatchAll_Ct-1),AY1289=0),Z1289,0)</f>
        <v>0</v>
      </c>
      <c r="CF1289" s="994">
        <f>IF(AND(Input_LTV&lt;=AE1289,Input_Product=Elig!$C1289,Elig_MatchAll_Ct&lt;22,$BC1289=(Elig_MatchAll_Ct-1),AY1289=0),AA1289,0)</f>
        <v>0</v>
      </c>
      <c r="CG1289" s="993">
        <f>IF(AND(Input_Product=Elig!$C1289,Elig_MatchAll_Ct&lt;22,$BC1289=(Elig_MatchAll_Ct-1),AZ1289=0),AB1289,0)</f>
        <v>0</v>
      </c>
      <c r="CH1289" s="994">
        <f>IF(AND(Input_Product=Elig!$C1289,Elig_MatchAll_Ct&lt;22,$BC1289=(Elig_MatchAll_Ct-1),AZ1289=0),AC1289,0)</f>
        <v>0</v>
      </c>
      <c r="CI1289" s="993">
        <f>IF(AND(Input_Product=Elig!$C1289,Elig_MatchAll_Ct&lt;22,$BC1289=(Elig_MatchAll_Ct-1),BA1289=0),AD1289,0)</f>
        <v>0</v>
      </c>
      <c r="CJ1289" s="994">
        <f>IF(AND(Input_Product=Elig!$C1289,Elig_MatchAll_Ct&lt;22,$BC1289=(Elig_MatchAll_Ct-1),BA1289=0),AE1289,0)</f>
        <v>0</v>
      </c>
    </row>
    <row r="1290" spans="2:88" ht="10.15" customHeight="1" x14ac:dyDescent="0.25">
      <c r="B1290" s="1920" t="s">
        <v>4233</v>
      </c>
      <c r="C1290" s="1353" t="str">
        <f t="shared" si="453"/>
        <v xml:space="preserve"> </v>
      </c>
      <c r="D1290" s="1354" t="s">
        <v>2218</v>
      </c>
      <c r="E1290" s="1354" t="s">
        <v>167</v>
      </c>
      <c r="F1290" s="1354" t="s">
        <v>330</v>
      </c>
      <c r="G1290" s="1355" t="s">
        <v>181</v>
      </c>
      <c r="H1290" s="1355" t="s">
        <v>136</v>
      </c>
      <c r="I1290" s="1354" t="s">
        <v>16</v>
      </c>
      <c r="J1290" s="1354" t="s">
        <v>1311</v>
      </c>
      <c r="K1290" s="1355" t="s">
        <v>3022</v>
      </c>
      <c r="L1290" s="1354" t="s">
        <v>2768</v>
      </c>
      <c r="M1290" s="1354" t="s">
        <v>2677</v>
      </c>
      <c r="N1290" s="1355" t="s">
        <v>2685</v>
      </c>
      <c r="O1290" s="1354" t="s">
        <v>2526</v>
      </c>
      <c r="P1290" s="1354" t="s">
        <v>291</v>
      </c>
      <c r="Q1290" s="1354" t="s">
        <v>294</v>
      </c>
      <c r="R1290" s="1354">
        <v>2000000.01</v>
      </c>
      <c r="S1290" s="1354">
        <v>2500000</v>
      </c>
      <c r="T1290" s="1354">
        <v>0</v>
      </c>
      <c r="U1290" s="1354">
        <f t="shared" si="465"/>
        <v>2500000</v>
      </c>
      <c r="V1290" s="1354">
        <v>0</v>
      </c>
      <c r="W1290" s="1354">
        <v>50</v>
      </c>
      <c r="X1290" s="1354">
        <v>0.8</v>
      </c>
      <c r="Y1290" s="1354">
        <v>999</v>
      </c>
      <c r="Z1290" s="2043">
        <v>720</v>
      </c>
      <c r="AA1290" s="2043">
        <v>999</v>
      </c>
      <c r="AB1290" s="2043">
        <v>6</v>
      </c>
      <c r="AC1290" s="2043">
        <v>999999</v>
      </c>
      <c r="AD1290" s="1354">
        <v>0</v>
      </c>
      <c r="AE1290" s="2044">
        <v>65</v>
      </c>
      <c r="AF1290" s="170">
        <v>0</v>
      </c>
      <c r="AG1290" s="171">
        <v>1</v>
      </c>
      <c r="AH1290" s="171">
        <v>1</v>
      </c>
      <c r="AI1290" s="171">
        <v>0</v>
      </c>
      <c r="AJ1290" s="171">
        <v>0</v>
      </c>
      <c r="AK1290" s="171">
        <v>1</v>
      </c>
      <c r="AL1290" s="171">
        <v>1</v>
      </c>
      <c r="AM1290" s="171">
        <v>1</v>
      </c>
      <c r="AN1290" s="171">
        <v>1</v>
      </c>
      <c r="AO1290" s="171">
        <v>1</v>
      </c>
      <c r="AP1290" s="171">
        <v>1</v>
      </c>
      <c r="AQ1290" s="171">
        <v>1</v>
      </c>
      <c r="AR1290" s="171">
        <v>1</v>
      </c>
      <c r="AS1290" s="171">
        <v>1</v>
      </c>
      <c r="AT1290" s="171">
        <v>1</v>
      </c>
      <c r="AU1290" s="171">
        <f t="shared" si="447"/>
        <v>0</v>
      </c>
      <c r="AV1290" s="171">
        <f t="shared" si="448"/>
        <v>1</v>
      </c>
      <c r="AW1290" s="171">
        <f t="shared" si="449"/>
        <v>1</v>
      </c>
      <c r="AX1290" s="171">
        <f t="shared" si="467"/>
        <v>0</v>
      </c>
      <c r="AY1290" s="171">
        <f t="shared" si="450"/>
        <v>1</v>
      </c>
      <c r="AZ1290" s="171">
        <f t="shared" si="451"/>
        <v>1</v>
      </c>
      <c r="BA1290" s="172">
        <f t="shared" si="452"/>
        <v>1</v>
      </c>
      <c r="BB1290" s="175">
        <f t="shared" si="454"/>
        <v>17</v>
      </c>
      <c r="BC1290" s="176">
        <f t="shared" si="455"/>
        <v>16</v>
      </c>
      <c r="BD1290" s="176">
        <f t="shared" si="456"/>
        <v>17</v>
      </c>
      <c r="BE1290" s="240" t="str">
        <f t="shared" si="446"/>
        <v/>
      </c>
      <c r="BF1290" s="990"/>
      <c r="BG1290" s="990"/>
      <c r="BH1290" s="991">
        <f>IF(AND(Input_Product=Elig!$C1290,Elig_MatchAll_Ct&lt;22,$BC1290=(Elig_MatchAll_Ct-1),AF1290=0),C1290,0)</f>
        <v>0</v>
      </c>
      <c r="BI1290" s="991">
        <f>IF(AND(Input_Product=Elig!$C1290,Elig_MatchAll_Ct&lt;22,$BC1290=(Elig_MatchAll_Ct-1),AG1290=0),D1290,0)</f>
        <v>0</v>
      </c>
      <c r="BJ1290" s="991">
        <f>IF(AND(Input_Product=Elig!$C1290,Elig_MatchAll_Ct&lt;22,$BC1290=(Elig_MatchAll_Ct-1),AH1290=0),E1290,0)</f>
        <v>0</v>
      </c>
      <c r="BK1290" s="991">
        <f>IF(AND(Input_Product=Elig!$C1290,Elig_MatchAll_Ct&lt;22,$BC1290=(Elig_MatchAll_Ct-1),AI1290=0),F1290,0)</f>
        <v>0</v>
      </c>
      <c r="BL1290" s="991">
        <f>IF(AND(Input_Product=Elig!$C1290,Elig_MatchAll_Ct&lt;22,$BC1290=(Elig_MatchAll_Ct-1),AJ1290=0),G1290,0)</f>
        <v>0</v>
      </c>
      <c r="BM1290" s="991">
        <f>IF(AND(Input_Product=Elig!$C1290,Elig_MatchAll_Ct&lt;22,$BC1290=(Elig_MatchAll_Ct-1),AK1290=0),H1290,0)</f>
        <v>0</v>
      </c>
      <c r="BN1290" s="991">
        <f>IF(AND(Input_Product=Elig!$C1290,Elig_MatchAll_Ct&lt;22,$BC1290=(Elig_MatchAll_Ct-1),AL1290=0),I1290,0)</f>
        <v>0</v>
      </c>
      <c r="BO1290" s="991">
        <f>IF(AND(Input_Product=Elig!$C1290,Elig_MatchAll_Ct&lt;22,$BC1290=(Elig_MatchAll_Ct-1),AM1290=0),J1290,0)</f>
        <v>0</v>
      </c>
      <c r="BP1290" s="991">
        <f>IF(AND(Input_Product=Elig!$C1290,Elig_MatchAll_Ct&lt;22,$BC1290=(Elig_MatchAll_Ct-1),AN1290=0),K1290,0)</f>
        <v>0</v>
      </c>
      <c r="BQ1290" s="991">
        <f>IF(AND(Input_Product=Elig!$C1290,Elig_MatchAll_Ct&lt;22,$BC1290=(Elig_MatchAll_Ct-1),AP1290=0),L1290,0)</f>
        <v>0</v>
      </c>
      <c r="BR1290" s="991">
        <f>IF(AND(Input_Product=Elig!$C1290,Elig_MatchAll_Ct&lt;22,$BC1290=(Elig_MatchAll_Ct-1),AO1290=0),M1290,0)</f>
        <v>0</v>
      </c>
      <c r="BS1290" s="991">
        <f>IF(AND(Input_Product=Elig!$C1290,Elig_MatchAll_Ct&lt;22,$BC1290=(Elig_MatchAll_Ct-1),AQ1290=0),N1290,0)</f>
        <v>0</v>
      </c>
      <c r="BT1290" s="991">
        <f>IF(AND(Input_Product=Elig!$C1290,Elig_MatchAll_Ct&lt;22,$BC1290=(Elig_MatchAll_Ct-1),AR1290=0),O1290,0)</f>
        <v>0</v>
      </c>
      <c r="BU1290" s="991">
        <f>IF(AND(Input_Product=Elig!$C1290,Elig_MatchAll_Ct&lt;22,$BC1290=(Elig_MatchAll_Ct-1),AS1290=0),P1290,0)</f>
        <v>0</v>
      </c>
      <c r="BV1290" s="992">
        <f>IF(AND(Input_Product=Elig!$C1290,Elig_MatchAll_Ct&lt;22,$BC1290=(Elig_MatchAll_Ct-1),AT1290=0),Q1290,0)</f>
        <v>0</v>
      </c>
      <c r="BW1290" s="993">
        <f>IF(AND(Input_Product=Elig!$C1290,Elig_MatchAll_Ct&lt;22,$BC1290=(Elig_MatchAll_Ct-1),AU1290=0),R1290,0)</f>
        <v>0</v>
      </c>
      <c r="BX1290" s="994">
        <f>IF(AND(Input_Product=Elig!$C1290,Elig_MatchAll_Ct&lt;22,$BC1290=(Elig_MatchAll_Ct-1),AU1290=0),S1290,0)</f>
        <v>0</v>
      </c>
      <c r="BY1290" s="993">
        <f>IF(AND(Input_Product=Elig!$C1290,Elig_MatchAll_Ct&lt;22,$BC1290=(Elig_MatchAll_Ct-1),AV1290=0),T1290,0)</f>
        <v>0</v>
      </c>
      <c r="BZ1290" s="994">
        <f>IF(AND(Input_Product=Elig!$C1290,Elig_MatchAll_Ct&lt;22,$BC1290=(Elig_MatchAll_Ct-1),AV1290=0),U1290,0)</f>
        <v>0</v>
      </c>
      <c r="CA1290" s="993">
        <f>IF(AND(Input_Product=Elig!$C1290,Elig_MatchAll_Ct&lt;22,$BC1290=(Elig_MatchAll_Ct-1),AW1290=0),V1290,0)</f>
        <v>0</v>
      </c>
      <c r="CB1290" s="994">
        <f>IF(AND(Input_Product=Elig!$C1290,Elig_MatchAll_Ct&lt;22,$BC1290=(Elig_MatchAll_Ct-1),AW1290=0),W1290,0)</f>
        <v>0</v>
      </c>
      <c r="CC1290" s="993">
        <f>IF(AND(Input_Product=Elig!$C1290,Elig_MatchAll_Ct&lt;22,$BC1290=(Elig_MatchAll_Ct-1),AX1290=0),X1290,0)</f>
        <v>0</v>
      </c>
      <c r="CD1290" s="994">
        <f>IF(AND(Input_Product=Elig!$C1290,Elig_MatchAll_Ct&lt;22,$BC1290=(Elig_MatchAll_Ct-1),AX1290=0),Y1290,0)</f>
        <v>0</v>
      </c>
      <c r="CE1290" s="993">
        <f>IF(AND(Input_LTV&lt;=AE1290,Input_Product=Elig!$C1290,Elig_MatchAll_Ct&lt;22,$BC1290=(Elig_MatchAll_Ct-1),AY1290=0),Z1290,0)</f>
        <v>0</v>
      </c>
      <c r="CF1290" s="994">
        <f>IF(AND(Input_LTV&lt;=AE1290,Input_Product=Elig!$C1290,Elig_MatchAll_Ct&lt;22,$BC1290=(Elig_MatchAll_Ct-1),AY1290=0),AA1290,0)</f>
        <v>0</v>
      </c>
      <c r="CG1290" s="993">
        <f>IF(AND(Input_Product=Elig!$C1290,Elig_MatchAll_Ct&lt;22,$BC1290=(Elig_MatchAll_Ct-1),AZ1290=0),AB1290,0)</f>
        <v>0</v>
      </c>
      <c r="CH1290" s="994">
        <f>IF(AND(Input_Product=Elig!$C1290,Elig_MatchAll_Ct&lt;22,$BC1290=(Elig_MatchAll_Ct-1),AZ1290=0),AC1290,0)</f>
        <v>0</v>
      </c>
      <c r="CI1290" s="993">
        <f>IF(AND(Input_Product=Elig!$C1290,Elig_MatchAll_Ct&lt;22,$BC1290=(Elig_MatchAll_Ct-1),BA1290=0),AD1290,0)</f>
        <v>0</v>
      </c>
      <c r="CJ1290" s="994">
        <f>IF(AND(Input_Product=Elig!$C1290,Elig_MatchAll_Ct&lt;22,$BC1290=(Elig_MatchAll_Ct-1),BA1290=0),AE1290,0)</f>
        <v>0</v>
      </c>
    </row>
    <row r="1291" spans="2:88" ht="10.15" customHeight="1" x14ac:dyDescent="0.25">
      <c r="B1291" s="1920" t="s">
        <v>4234</v>
      </c>
      <c r="C1291" s="1359" t="str">
        <f t="shared" si="453"/>
        <v xml:space="preserve"> </v>
      </c>
      <c r="D1291" s="1360" t="s">
        <v>2218</v>
      </c>
      <c r="E1291" s="1360" t="s">
        <v>167</v>
      </c>
      <c r="F1291" s="1360" t="s">
        <v>330</v>
      </c>
      <c r="G1291" s="1361" t="s">
        <v>181</v>
      </c>
      <c r="H1291" s="1361" t="s">
        <v>136</v>
      </c>
      <c r="I1291" s="1360" t="s">
        <v>16</v>
      </c>
      <c r="J1291" s="1360" t="s">
        <v>1311</v>
      </c>
      <c r="K1291" s="1361" t="s">
        <v>3022</v>
      </c>
      <c r="L1291" s="1360" t="s">
        <v>2768</v>
      </c>
      <c r="M1291" s="1360" t="s">
        <v>2677</v>
      </c>
      <c r="N1291" s="1361" t="s">
        <v>2685</v>
      </c>
      <c r="O1291" s="1360" t="s">
        <v>2526</v>
      </c>
      <c r="P1291" s="1360" t="s">
        <v>291</v>
      </c>
      <c r="Q1291" s="1360" t="s">
        <v>294</v>
      </c>
      <c r="R1291" s="1360">
        <v>2000000.01</v>
      </c>
      <c r="S1291" s="1360">
        <v>2500000</v>
      </c>
      <c r="T1291" s="1360">
        <v>0</v>
      </c>
      <c r="U1291" s="1360">
        <f t="shared" si="465"/>
        <v>2500000</v>
      </c>
      <c r="V1291" s="1360">
        <v>0</v>
      </c>
      <c r="W1291" s="1360">
        <v>50</v>
      </c>
      <c r="X1291" s="1360">
        <v>0.8</v>
      </c>
      <c r="Y1291" s="1360">
        <v>999</v>
      </c>
      <c r="Z1291" s="2045">
        <v>700</v>
      </c>
      <c r="AA1291" s="2045">
        <v>719</v>
      </c>
      <c r="AB1291" s="2045">
        <v>6</v>
      </c>
      <c r="AC1291" s="2045">
        <v>999999</v>
      </c>
      <c r="AD1291" s="1360">
        <v>0</v>
      </c>
      <c r="AE1291" s="2046">
        <v>65</v>
      </c>
      <c r="AF1291" s="170">
        <v>0</v>
      </c>
      <c r="AG1291" s="171">
        <v>1</v>
      </c>
      <c r="AH1291" s="171">
        <v>1</v>
      </c>
      <c r="AI1291" s="171">
        <v>0</v>
      </c>
      <c r="AJ1291" s="171">
        <v>0</v>
      </c>
      <c r="AK1291" s="171">
        <v>1</v>
      </c>
      <c r="AL1291" s="171">
        <v>1</v>
      </c>
      <c r="AM1291" s="171">
        <v>1</v>
      </c>
      <c r="AN1291" s="171">
        <v>1</v>
      </c>
      <c r="AO1291" s="171">
        <v>1</v>
      </c>
      <c r="AP1291" s="171">
        <v>1</v>
      </c>
      <c r="AQ1291" s="171">
        <v>1</v>
      </c>
      <c r="AR1291" s="171">
        <v>1</v>
      </c>
      <c r="AS1291" s="171">
        <v>1</v>
      </c>
      <c r="AT1291" s="171">
        <v>1</v>
      </c>
      <c r="AU1291" s="171">
        <f t="shared" si="447"/>
        <v>0</v>
      </c>
      <c r="AV1291" s="171">
        <f t="shared" si="448"/>
        <v>1</v>
      </c>
      <c r="AW1291" s="171">
        <f t="shared" si="449"/>
        <v>1</v>
      </c>
      <c r="AX1291" s="171">
        <f t="shared" si="467"/>
        <v>0</v>
      </c>
      <c r="AY1291" s="171">
        <f t="shared" si="450"/>
        <v>0</v>
      </c>
      <c r="AZ1291" s="171">
        <f t="shared" si="451"/>
        <v>1</v>
      </c>
      <c r="BA1291" s="172">
        <f t="shared" si="452"/>
        <v>1</v>
      </c>
      <c r="BB1291" s="175">
        <f t="shared" si="454"/>
        <v>16</v>
      </c>
      <c r="BC1291" s="176">
        <f t="shared" si="455"/>
        <v>15</v>
      </c>
      <c r="BD1291" s="176">
        <f t="shared" si="456"/>
        <v>16</v>
      </c>
      <c r="BE1291" s="240" t="str">
        <f t="shared" si="446"/>
        <v/>
      </c>
      <c r="BF1291" s="990"/>
      <c r="BG1291" s="990"/>
      <c r="BH1291" s="991">
        <f>IF(AND(Input_Product=Elig!$C1291,Elig_MatchAll_Ct&lt;22,$BC1291=(Elig_MatchAll_Ct-1),AF1291=0),C1291,0)</f>
        <v>0</v>
      </c>
      <c r="BI1291" s="991">
        <f>IF(AND(Input_Product=Elig!$C1291,Elig_MatchAll_Ct&lt;22,$BC1291=(Elig_MatchAll_Ct-1),AG1291=0),D1291,0)</f>
        <v>0</v>
      </c>
      <c r="BJ1291" s="991">
        <f>IF(AND(Input_Product=Elig!$C1291,Elig_MatchAll_Ct&lt;22,$BC1291=(Elig_MatchAll_Ct-1),AH1291=0),E1291,0)</f>
        <v>0</v>
      </c>
      <c r="BK1291" s="991">
        <f>IF(AND(Input_Product=Elig!$C1291,Elig_MatchAll_Ct&lt;22,$BC1291=(Elig_MatchAll_Ct-1),AI1291=0),F1291,0)</f>
        <v>0</v>
      </c>
      <c r="BL1291" s="991">
        <f>IF(AND(Input_Product=Elig!$C1291,Elig_MatchAll_Ct&lt;22,$BC1291=(Elig_MatchAll_Ct-1),AJ1291=0),G1291,0)</f>
        <v>0</v>
      </c>
      <c r="BM1291" s="991">
        <f>IF(AND(Input_Product=Elig!$C1291,Elig_MatchAll_Ct&lt;22,$BC1291=(Elig_MatchAll_Ct-1),AK1291=0),H1291,0)</f>
        <v>0</v>
      </c>
      <c r="BN1291" s="991">
        <f>IF(AND(Input_Product=Elig!$C1291,Elig_MatchAll_Ct&lt;22,$BC1291=(Elig_MatchAll_Ct-1),AL1291=0),I1291,0)</f>
        <v>0</v>
      </c>
      <c r="BO1291" s="991">
        <f>IF(AND(Input_Product=Elig!$C1291,Elig_MatchAll_Ct&lt;22,$BC1291=(Elig_MatchAll_Ct-1),AM1291=0),J1291,0)</f>
        <v>0</v>
      </c>
      <c r="BP1291" s="991">
        <f>IF(AND(Input_Product=Elig!$C1291,Elig_MatchAll_Ct&lt;22,$BC1291=(Elig_MatchAll_Ct-1),AN1291=0),K1291,0)</f>
        <v>0</v>
      </c>
      <c r="BQ1291" s="991">
        <f>IF(AND(Input_Product=Elig!$C1291,Elig_MatchAll_Ct&lt;22,$BC1291=(Elig_MatchAll_Ct-1),AP1291=0),L1291,0)</f>
        <v>0</v>
      </c>
      <c r="BR1291" s="991">
        <f>IF(AND(Input_Product=Elig!$C1291,Elig_MatchAll_Ct&lt;22,$BC1291=(Elig_MatchAll_Ct-1),AO1291=0),M1291,0)</f>
        <v>0</v>
      </c>
      <c r="BS1291" s="991">
        <f>IF(AND(Input_Product=Elig!$C1291,Elig_MatchAll_Ct&lt;22,$BC1291=(Elig_MatchAll_Ct-1),AQ1291=0),N1291,0)</f>
        <v>0</v>
      </c>
      <c r="BT1291" s="991">
        <f>IF(AND(Input_Product=Elig!$C1291,Elig_MatchAll_Ct&lt;22,$BC1291=(Elig_MatchAll_Ct-1),AR1291=0),O1291,0)</f>
        <v>0</v>
      </c>
      <c r="BU1291" s="991">
        <f>IF(AND(Input_Product=Elig!$C1291,Elig_MatchAll_Ct&lt;22,$BC1291=(Elig_MatchAll_Ct-1),AS1291=0),P1291,0)</f>
        <v>0</v>
      </c>
      <c r="BV1291" s="992">
        <f>IF(AND(Input_Product=Elig!$C1291,Elig_MatchAll_Ct&lt;22,$BC1291=(Elig_MatchAll_Ct-1),AT1291=0),Q1291,0)</f>
        <v>0</v>
      </c>
      <c r="BW1291" s="993">
        <f>IF(AND(Input_Product=Elig!$C1291,Elig_MatchAll_Ct&lt;22,$BC1291=(Elig_MatchAll_Ct-1),AU1291=0),R1291,0)</f>
        <v>0</v>
      </c>
      <c r="BX1291" s="994">
        <f>IF(AND(Input_Product=Elig!$C1291,Elig_MatchAll_Ct&lt;22,$BC1291=(Elig_MatchAll_Ct-1),AU1291=0),S1291,0)</f>
        <v>0</v>
      </c>
      <c r="BY1291" s="993">
        <f>IF(AND(Input_Product=Elig!$C1291,Elig_MatchAll_Ct&lt;22,$BC1291=(Elig_MatchAll_Ct-1),AV1291=0),T1291,0)</f>
        <v>0</v>
      </c>
      <c r="BZ1291" s="994">
        <f>IF(AND(Input_Product=Elig!$C1291,Elig_MatchAll_Ct&lt;22,$BC1291=(Elig_MatchAll_Ct-1),AV1291=0),U1291,0)</f>
        <v>0</v>
      </c>
      <c r="CA1291" s="993">
        <f>IF(AND(Input_Product=Elig!$C1291,Elig_MatchAll_Ct&lt;22,$BC1291=(Elig_MatchAll_Ct-1),AW1291=0),V1291,0)</f>
        <v>0</v>
      </c>
      <c r="CB1291" s="994">
        <f>IF(AND(Input_Product=Elig!$C1291,Elig_MatchAll_Ct&lt;22,$BC1291=(Elig_MatchAll_Ct-1),AW1291=0),W1291,0)</f>
        <v>0</v>
      </c>
      <c r="CC1291" s="993">
        <f>IF(AND(Input_Product=Elig!$C1291,Elig_MatchAll_Ct&lt;22,$BC1291=(Elig_MatchAll_Ct-1),AX1291=0),X1291,0)</f>
        <v>0</v>
      </c>
      <c r="CD1291" s="994">
        <f>IF(AND(Input_Product=Elig!$C1291,Elig_MatchAll_Ct&lt;22,$BC1291=(Elig_MatchAll_Ct-1),AX1291=0),Y1291,0)</f>
        <v>0</v>
      </c>
      <c r="CE1291" s="993">
        <f>IF(AND(Input_LTV&lt;=AE1291,Input_Product=Elig!$C1291,Elig_MatchAll_Ct&lt;22,$BC1291=(Elig_MatchAll_Ct-1),AY1291=0),Z1291,0)</f>
        <v>0</v>
      </c>
      <c r="CF1291" s="994">
        <f>IF(AND(Input_LTV&lt;=AE1291,Input_Product=Elig!$C1291,Elig_MatchAll_Ct&lt;22,$BC1291=(Elig_MatchAll_Ct-1),AY1291=0),AA1291,0)</f>
        <v>0</v>
      </c>
      <c r="CG1291" s="993">
        <f>IF(AND(Input_Product=Elig!$C1291,Elig_MatchAll_Ct&lt;22,$BC1291=(Elig_MatchAll_Ct-1),AZ1291=0),AB1291,0)</f>
        <v>0</v>
      </c>
      <c r="CH1291" s="994">
        <f>IF(AND(Input_Product=Elig!$C1291,Elig_MatchAll_Ct&lt;22,$BC1291=(Elig_MatchAll_Ct-1),AZ1291=0),AC1291,0)</f>
        <v>0</v>
      </c>
      <c r="CI1291" s="993">
        <f>IF(AND(Input_Product=Elig!$C1291,Elig_MatchAll_Ct&lt;22,$BC1291=(Elig_MatchAll_Ct-1),BA1291=0),AD1291,0)</f>
        <v>0</v>
      </c>
      <c r="CJ1291" s="994">
        <f>IF(AND(Input_Product=Elig!$C1291,Elig_MatchAll_Ct&lt;22,$BC1291=(Elig_MatchAll_Ct-1),BA1291=0),AE1291,0)</f>
        <v>0</v>
      </c>
    </row>
    <row r="1292" spans="2:88" ht="10.15" customHeight="1" x14ac:dyDescent="0.25">
      <c r="B1292" s="1920" t="s">
        <v>4235</v>
      </c>
      <c r="C1292" s="1356" t="str">
        <f t="shared" si="453"/>
        <v xml:space="preserve"> </v>
      </c>
      <c r="D1292" s="1357" t="s">
        <v>2218</v>
      </c>
      <c r="E1292" s="1357" t="s">
        <v>167</v>
      </c>
      <c r="F1292" s="1357" t="s">
        <v>330</v>
      </c>
      <c r="G1292" s="1358" t="s">
        <v>181</v>
      </c>
      <c r="H1292" s="1358" t="s">
        <v>136</v>
      </c>
      <c r="I1292" s="1357" t="s">
        <v>16</v>
      </c>
      <c r="J1292" s="1357" t="s">
        <v>1311</v>
      </c>
      <c r="K1292" s="1358" t="s">
        <v>3022</v>
      </c>
      <c r="L1292" s="1357" t="s">
        <v>2768</v>
      </c>
      <c r="M1292" s="1357" t="s">
        <v>2677</v>
      </c>
      <c r="N1292" s="1358" t="s">
        <v>2685</v>
      </c>
      <c r="O1292" s="1357" t="s">
        <v>2526</v>
      </c>
      <c r="P1292" s="1357" t="s">
        <v>291</v>
      </c>
      <c r="Q1292" s="1357" t="s">
        <v>294</v>
      </c>
      <c r="R1292" s="1357">
        <v>2000000.01</v>
      </c>
      <c r="S1292" s="1357">
        <v>2500000</v>
      </c>
      <c r="T1292" s="1357">
        <v>0</v>
      </c>
      <c r="U1292" s="1357">
        <f t="shared" ref="U1292" si="470">S1292</f>
        <v>2500000</v>
      </c>
      <c r="V1292" s="1357">
        <v>0</v>
      </c>
      <c r="W1292" s="1357">
        <v>50</v>
      </c>
      <c r="X1292" s="1357">
        <v>0.8</v>
      </c>
      <c r="Y1292" s="1357">
        <v>999</v>
      </c>
      <c r="Z1292" s="2047">
        <v>660</v>
      </c>
      <c r="AA1292" s="2047">
        <v>660</v>
      </c>
      <c r="AB1292" s="2047">
        <v>6</v>
      </c>
      <c r="AC1292" s="2047">
        <v>999999</v>
      </c>
      <c r="AD1292" s="1357">
        <v>0</v>
      </c>
      <c r="AE1292" s="2048">
        <v>65</v>
      </c>
      <c r="AF1292" s="170">
        <v>0</v>
      </c>
      <c r="AG1292" s="171">
        <v>1</v>
      </c>
      <c r="AH1292" s="171">
        <v>1</v>
      </c>
      <c r="AI1292" s="171">
        <v>0</v>
      </c>
      <c r="AJ1292" s="171">
        <v>0</v>
      </c>
      <c r="AK1292" s="171">
        <v>1</v>
      </c>
      <c r="AL1292" s="171">
        <v>1</v>
      </c>
      <c r="AM1292" s="171">
        <v>1</v>
      </c>
      <c r="AN1292" s="171">
        <v>1</v>
      </c>
      <c r="AO1292" s="171">
        <v>1</v>
      </c>
      <c r="AP1292" s="171">
        <v>1</v>
      </c>
      <c r="AQ1292" s="171">
        <v>1</v>
      </c>
      <c r="AR1292" s="171">
        <v>1</v>
      </c>
      <c r="AS1292" s="171">
        <v>1</v>
      </c>
      <c r="AT1292" s="171">
        <v>1</v>
      </c>
      <c r="AU1292" s="171">
        <f t="shared" si="447"/>
        <v>0</v>
      </c>
      <c r="AV1292" s="171">
        <f t="shared" si="448"/>
        <v>1</v>
      </c>
      <c r="AW1292" s="171">
        <f t="shared" si="449"/>
        <v>1</v>
      </c>
      <c r="AX1292" s="171">
        <f t="shared" si="467"/>
        <v>0</v>
      </c>
      <c r="AY1292" s="171">
        <f t="shared" si="450"/>
        <v>0</v>
      </c>
      <c r="AZ1292" s="171">
        <f t="shared" si="451"/>
        <v>1</v>
      </c>
      <c r="BA1292" s="172">
        <f t="shared" si="452"/>
        <v>1</v>
      </c>
      <c r="BB1292" s="175">
        <f t="shared" si="454"/>
        <v>16</v>
      </c>
      <c r="BC1292" s="176">
        <f t="shared" si="455"/>
        <v>15</v>
      </c>
      <c r="BD1292" s="176">
        <f t="shared" si="456"/>
        <v>16</v>
      </c>
      <c r="BE1292" s="240" t="str">
        <f t="shared" si="446"/>
        <v/>
      </c>
      <c r="BF1292" s="990"/>
      <c r="BG1292" s="990"/>
      <c r="BH1292" s="991">
        <f>IF(AND(Input_Product=Elig!$C1292,Elig_MatchAll_Ct&lt;22,$BC1292=(Elig_MatchAll_Ct-1),AF1292=0),C1292,0)</f>
        <v>0</v>
      </c>
      <c r="BI1292" s="991">
        <f>IF(AND(Input_Product=Elig!$C1292,Elig_MatchAll_Ct&lt;22,$BC1292=(Elig_MatchAll_Ct-1),AG1292=0),D1292,0)</f>
        <v>0</v>
      </c>
      <c r="BJ1292" s="991">
        <f>IF(AND(Input_Product=Elig!$C1292,Elig_MatchAll_Ct&lt;22,$BC1292=(Elig_MatchAll_Ct-1),AH1292=0),E1292,0)</f>
        <v>0</v>
      </c>
      <c r="BK1292" s="991">
        <f>IF(AND(Input_Product=Elig!$C1292,Elig_MatchAll_Ct&lt;22,$BC1292=(Elig_MatchAll_Ct-1),AI1292=0),F1292,0)</f>
        <v>0</v>
      </c>
      <c r="BL1292" s="991">
        <f>IF(AND(Input_Product=Elig!$C1292,Elig_MatchAll_Ct&lt;22,$BC1292=(Elig_MatchAll_Ct-1),AJ1292=0),G1292,0)</f>
        <v>0</v>
      </c>
      <c r="BM1292" s="991">
        <f>IF(AND(Input_Product=Elig!$C1292,Elig_MatchAll_Ct&lt;22,$BC1292=(Elig_MatchAll_Ct-1),AK1292=0),H1292,0)</f>
        <v>0</v>
      </c>
      <c r="BN1292" s="991">
        <f>IF(AND(Input_Product=Elig!$C1292,Elig_MatchAll_Ct&lt;22,$BC1292=(Elig_MatchAll_Ct-1),AL1292=0),I1292,0)</f>
        <v>0</v>
      </c>
      <c r="BO1292" s="991">
        <f>IF(AND(Input_Product=Elig!$C1292,Elig_MatchAll_Ct&lt;22,$BC1292=(Elig_MatchAll_Ct-1),AM1292=0),J1292,0)</f>
        <v>0</v>
      </c>
      <c r="BP1292" s="991">
        <f>IF(AND(Input_Product=Elig!$C1292,Elig_MatchAll_Ct&lt;22,$BC1292=(Elig_MatchAll_Ct-1),AN1292=0),K1292,0)</f>
        <v>0</v>
      </c>
      <c r="BQ1292" s="991">
        <f>IF(AND(Input_Product=Elig!$C1292,Elig_MatchAll_Ct&lt;22,$BC1292=(Elig_MatchAll_Ct-1),AP1292=0),L1292,0)</f>
        <v>0</v>
      </c>
      <c r="BR1292" s="991">
        <f>IF(AND(Input_Product=Elig!$C1292,Elig_MatchAll_Ct&lt;22,$BC1292=(Elig_MatchAll_Ct-1),AO1292=0),M1292,0)</f>
        <v>0</v>
      </c>
      <c r="BS1292" s="991">
        <f>IF(AND(Input_Product=Elig!$C1292,Elig_MatchAll_Ct&lt;22,$BC1292=(Elig_MatchAll_Ct-1),AQ1292=0),N1292,0)</f>
        <v>0</v>
      </c>
      <c r="BT1292" s="991">
        <f>IF(AND(Input_Product=Elig!$C1292,Elig_MatchAll_Ct&lt;22,$BC1292=(Elig_MatchAll_Ct-1),AR1292=0),O1292,0)</f>
        <v>0</v>
      </c>
      <c r="BU1292" s="991">
        <f>IF(AND(Input_Product=Elig!$C1292,Elig_MatchAll_Ct&lt;22,$BC1292=(Elig_MatchAll_Ct-1),AS1292=0),P1292,0)</f>
        <v>0</v>
      </c>
      <c r="BV1292" s="992">
        <f>IF(AND(Input_Product=Elig!$C1292,Elig_MatchAll_Ct&lt;22,$BC1292=(Elig_MatchAll_Ct-1),AT1292=0),Q1292,0)</f>
        <v>0</v>
      </c>
      <c r="BW1292" s="993">
        <f>IF(AND(Input_Product=Elig!$C1292,Elig_MatchAll_Ct&lt;22,$BC1292=(Elig_MatchAll_Ct-1),AU1292=0),R1292,0)</f>
        <v>0</v>
      </c>
      <c r="BX1292" s="994">
        <f>IF(AND(Input_Product=Elig!$C1292,Elig_MatchAll_Ct&lt;22,$BC1292=(Elig_MatchAll_Ct-1),AU1292=0),S1292,0)</f>
        <v>0</v>
      </c>
      <c r="BY1292" s="993">
        <f>IF(AND(Input_Product=Elig!$C1292,Elig_MatchAll_Ct&lt;22,$BC1292=(Elig_MatchAll_Ct-1),AV1292=0),T1292,0)</f>
        <v>0</v>
      </c>
      <c r="BZ1292" s="994">
        <f>IF(AND(Input_Product=Elig!$C1292,Elig_MatchAll_Ct&lt;22,$BC1292=(Elig_MatchAll_Ct-1),AV1292=0),U1292,0)</f>
        <v>0</v>
      </c>
      <c r="CA1292" s="993">
        <f>IF(AND(Input_Product=Elig!$C1292,Elig_MatchAll_Ct&lt;22,$BC1292=(Elig_MatchAll_Ct-1),AW1292=0),V1292,0)</f>
        <v>0</v>
      </c>
      <c r="CB1292" s="994">
        <f>IF(AND(Input_Product=Elig!$C1292,Elig_MatchAll_Ct&lt;22,$BC1292=(Elig_MatchAll_Ct-1),AW1292=0),W1292,0)</f>
        <v>0</v>
      </c>
      <c r="CC1292" s="993">
        <f>IF(AND(Input_Product=Elig!$C1292,Elig_MatchAll_Ct&lt;22,$BC1292=(Elig_MatchAll_Ct-1),AX1292=0),X1292,0)</f>
        <v>0</v>
      </c>
      <c r="CD1292" s="994">
        <f>IF(AND(Input_Product=Elig!$C1292,Elig_MatchAll_Ct&lt;22,$BC1292=(Elig_MatchAll_Ct-1),AX1292=0),Y1292,0)</f>
        <v>0</v>
      </c>
      <c r="CE1292" s="993">
        <f>IF(AND(Input_LTV&lt;=AE1292,Input_Product=Elig!$C1292,Elig_MatchAll_Ct&lt;22,$BC1292=(Elig_MatchAll_Ct-1),AY1292=0),Z1292,0)</f>
        <v>0</v>
      </c>
      <c r="CF1292" s="994">
        <f>IF(AND(Input_LTV&lt;=AE1292,Input_Product=Elig!$C1292,Elig_MatchAll_Ct&lt;22,$BC1292=(Elig_MatchAll_Ct-1),AY1292=0),AA1292,0)</f>
        <v>0</v>
      </c>
      <c r="CG1292" s="993">
        <f>IF(AND(Input_Product=Elig!$C1292,Elig_MatchAll_Ct&lt;22,$BC1292=(Elig_MatchAll_Ct-1),AZ1292=0),AB1292,0)</f>
        <v>0</v>
      </c>
      <c r="CH1292" s="994">
        <f>IF(AND(Input_Product=Elig!$C1292,Elig_MatchAll_Ct&lt;22,$BC1292=(Elig_MatchAll_Ct-1),AZ1292=0),AC1292,0)</f>
        <v>0</v>
      </c>
      <c r="CI1292" s="993">
        <f>IF(AND(Input_Product=Elig!$C1292,Elig_MatchAll_Ct&lt;22,$BC1292=(Elig_MatchAll_Ct-1),BA1292=0),AD1292,0)</f>
        <v>0</v>
      </c>
      <c r="CJ1292" s="994">
        <f>IF(AND(Input_Product=Elig!$C1292,Elig_MatchAll_Ct&lt;22,$BC1292=(Elig_MatchAll_Ct-1),BA1292=0),AE1292,0)</f>
        <v>0</v>
      </c>
    </row>
    <row r="1293" spans="2:88" ht="10.15" customHeight="1" x14ac:dyDescent="0.25">
      <c r="B1293" s="1920" t="s">
        <v>4236</v>
      </c>
      <c r="C1293" s="1353" t="str">
        <f t="shared" si="453"/>
        <v xml:space="preserve"> </v>
      </c>
      <c r="D1293" s="1354" t="s">
        <v>2218</v>
      </c>
      <c r="E1293" s="1354" t="s">
        <v>167</v>
      </c>
      <c r="F1293" s="1354" t="s">
        <v>330</v>
      </c>
      <c r="G1293" s="1355" t="s">
        <v>181</v>
      </c>
      <c r="H1293" s="1355" t="s">
        <v>136</v>
      </c>
      <c r="I1293" s="1354" t="s">
        <v>16</v>
      </c>
      <c r="J1293" s="1354" t="s">
        <v>1311</v>
      </c>
      <c r="K1293" s="1355" t="s">
        <v>3022</v>
      </c>
      <c r="L1293" s="1354" t="s">
        <v>2768</v>
      </c>
      <c r="M1293" s="1354" t="s">
        <v>2677</v>
      </c>
      <c r="N1293" s="1355" t="s">
        <v>2685</v>
      </c>
      <c r="O1293" s="1354" t="s">
        <v>2526</v>
      </c>
      <c r="P1293" s="1354" t="s">
        <v>291</v>
      </c>
      <c r="Q1293" s="1354" t="s">
        <v>294</v>
      </c>
      <c r="R1293" s="1354">
        <v>2500000.0099999998</v>
      </c>
      <c r="S1293" s="1354">
        <v>3000000</v>
      </c>
      <c r="T1293" s="1354">
        <v>0</v>
      </c>
      <c r="U1293" s="1354">
        <f t="shared" si="465"/>
        <v>3000000</v>
      </c>
      <c r="V1293" s="1354">
        <v>0</v>
      </c>
      <c r="W1293" s="1354">
        <v>50</v>
      </c>
      <c r="X1293" s="1354">
        <v>0.8</v>
      </c>
      <c r="Y1293" s="1354">
        <v>999</v>
      </c>
      <c r="Z1293" s="2043">
        <v>720</v>
      </c>
      <c r="AA1293" s="2043">
        <v>999</v>
      </c>
      <c r="AB1293" s="2043">
        <v>6</v>
      </c>
      <c r="AC1293" s="2043">
        <v>999999</v>
      </c>
      <c r="AD1293" s="1354">
        <v>0</v>
      </c>
      <c r="AE1293" s="2044">
        <v>65</v>
      </c>
      <c r="AF1293" s="170">
        <v>0</v>
      </c>
      <c r="AG1293" s="171">
        <v>1</v>
      </c>
      <c r="AH1293" s="171">
        <v>1</v>
      </c>
      <c r="AI1293" s="171">
        <v>0</v>
      </c>
      <c r="AJ1293" s="171">
        <v>0</v>
      </c>
      <c r="AK1293" s="171">
        <v>1</v>
      </c>
      <c r="AL1293" s="171">
        <v>1</v>
      </c>
      <c r="AM1293" s="171">
        <v>1</v>
      </c>
      <c r="AN1293" s="171">
        <v>1</v>
      </c>
      <c r="AO1293" s="171">
        <v>1</v>
      </c>
      <c r="AP1293" s="171">
        <v>1</v>
      </c>
      <c r="AQ1293" s="171">
        <v>1</v>
      </c>
      <c r="AR1293" s="171">
        <v>1</v>
      </c>
      <c r="AS1293" s="171">
        <v>1</v>
      </c>
      <c r="AT1293" s="171">
        <v>1</v>
      </c>
      <c r="AU1293" s="171">
        <f t="shared" si="447"/>
        <v>0</v>
      </c>
      <c r="AV1293" s="171">
        <f t="shared" si="448"/>
        <v>1</v>
      </c>
      <c r="AW1293" s="171">
        <f t="shared" si="449"/>
        <v>1</v>
      </c>
      <c r="AX1293" s="171">
        <f t="shared" si="467"/>
        <v>0</v>
      </c>
      <c r="AY1293" s="171">
        <f t="shared" si="450"/>
        <v>1</v>
      </c>
      <c r="AZ1293" s="171">
        <f t="shared" si="451"/>
        <v>1</v>
      </c>
      <c r="BA1293" s="172">
        <f t="shared" si="452"/>
        <v>1</v>
      </c>
      <c r="BB1293" s="175">
        <f t="shared" si="454"/>
        <v>17</v>
      </c>
      <c r="BC1293" s="176">
        <f t="shared" si="455"/>
        <v>16</v>
      </c>
      <c r="BD1293" s="176">
        <f t="shared" si="456"/>
        <v>17</v>
      </c>
      <c r="BE1293" s="240" t="str">
        <f t="shared" si="446"/>
        <v/>
      </c>
      <c r="BF1293" s="990"/>
      <c r="BG1293" s="990"/>
      <c r="BH1293" s="991">
        <f>IF(AND(Input_Product=Elig!$C1293,Elig_MatchAll_Ct&lt;22,$BC1293=(Elig_MatchAll_Ct-1),AF1293=0),C1293,0)</f>
        <v>0</v>
      </c>
      <c r="BI1293" s="991">
        <f>IF(AND(Input_Product=Elig!$C1293,Elig_MatchAll_Ct&lt;22,$BC1293=(Elig_MatchAll_Ct-1),AG1293=0),D1293,0)</f>
        <v>0</v>
      </c>
      <c r="BJ1293" s="991">
        <f>IF(AND(Input_Product=Elig!$C1293,Elig_MatchAll_Ct&lt;22,$BC1293=(Elig_MatchAll_Ct-1),AH1293=0),E1293,0)</f>
        <v>0</v>
      </c>
      <c r="BK1293" s="991">
        <f>IF(AND(Input_Product=Elig!$C1293,Elig_MatchAll_Ct&lt;22,$BC1293=(Elig_MatchAll_Ct-1),AI1293=0),F1293,0)</f>
        <v>0</v>
      </c>
      <c r="BL1293" s="991">
        <f>IF(AND(Input_Product=Elig!$C1293,Elig_MatchAll_Ct&lt;22,$BC1293=(Elig_MatchAll_Ct-1),AJ1293=0),G1293,0)</f>
        <v>0</v>
      </c>
      <c r="BM1293" s="991">
        <f>IF(AND(Input_Product=Elig!$C1293,Elig_MatchAll_Ct&lt;22,$BC1293=(Elig_MatchAll_Ct-1),AK1293=0),H1293,0)</f>
        <v>0</v>
      </c>
      <c r="BN1293" s="991">
        <f>IF(AND(Input_Product=Elig!$C1293,Elig_MatchAll_Ct&lt;22,$BC1293=(Elig_MatchAll_Ct-1),AL1293=0),I1293,0)</f>
        <v>0</v>
      </c>
      <c r="BO1293" s="991">
        <f>IF(AND(Input_Product=Elig!$C1293,Elig_MatchAll_Ct&lt;22,$BC1293=(Elig_MatchAll_Ct-1),AM1293=0),J1293,0)</f>
        <v>0</v>
      </c>
      <c r="BP1293" s="991">
        <f>IF(AND(Input_Product=Elig!$C1293,Elig_MatchAll_Ct&lt;22,$BC1293=(Elig_MatchAll_Ct-1),AN1293=0),K1293,0)</f>
        <v>0</v>
      </c>
      <c r="BQ1293" s="991">
        <f>IF(AND(Input_Product=Elig!$C1293,Elig_MatchAll_Ct&lt;22,$BC1293=(Elig_MatchAll_Ct-1),AP1293=0),L1293,0)</f>
        <v>0</v>
      </c>
      <c r="BR1293" s="991">
        <f>IF(AND(Input_Product=Elig!$C1293,Elig_MatchAll_Ct&lt;22,$BC1293=(Elig_MatchAll_Ct-1),AO1293=0),M1293,0)</f>
        <v>0</v>
      </c>
      <c r="BS1293" s="991">
        <f>IF(AND(Input_Product=Elig!$C1293,Elig_MatchAll_Ct&lt;22,$BC1293=(Elig_MatchAll_Ct-1),AQ1293=0),N1293,0)</f>
        <v>0</v>
      </c>
      <c r="BT1293" s="991">
        <f>IF(AND(Input_Product=Elig!$C1293,Elig_MatchAll_Ct&lt;22,$BC1293=(Elig_MatchAll_Ct-1),AR1293=0),O1293,0)</f>
        <v>0</v>
      </c>
      <c r="BU1293" s="991">
        <f>IF(AND(Input_Product=Elig!$C1293,Elig_MatchAll_Ct&lt;22,$BC1293=(Elig_MatchAll_Ct-1),AS1293=0),P1293,0)</f>
        <v>0</v>
      </c>
      <c r="BV1293" s="992">
        <f>IF(AND(Input_Product=Elig!$C1293,Elig_MatchAll_Ct&lt;22,$BC1293=(Elig_MatchAll_Ct-1),AT1293=0),Q1293,0)</f>
        <v>0</v>
      </c>
      <c r="BW1293" s="993">
        <f>IF(AND(Input_Product=Elig!$C1293,Elig_MatchAll_Ct&lt;22,$BC1293=(Elig_MatchAll_Ct-1),AU1293=0),R1293,0)</f>
        <v>0</v>
      </c>
      <c r="BX1293" s="994">
        <f>IF(AND(Input_Product=Elig!$C1293,Elig_MatchAll_Ct&lt;22,$BC1293=(Elig_MatchAll_Ct-1),AU1293=0),S1293,0)</f>
        <v>0</v>
      </c>
      <c r="BY1293" s="993">
        <f>IF(AND(Input_Product=Elig!$C1293,Elig_MatchAll_Ct&lt;22,$BC1293=(Elig_MatchAll_Ct-1),AV1293=0),T1293,0)</f>
        <v>0</v>
      </c>
      <c r="BZ1293" s="994">
        <f>IF(AND(Input_Product=Elig!$C1293,Elig_MatchAll_Ct&lt;22,$BC1293=(Elig_MatchAll_Ct-1),AV1293=0),U1293,0)</f>
        <v>0</v>
      </c>
      <c r="CA1293" s="993">
        <f>IF(AND(Input_Product=Elig!$C1293,Elig_MatchAll_Ct&lt;22,$BC1293=(Elig_MatchAll_Ct-1),AW1293=0),V1293,0)</f>
        <v>0</v>
      </c>
      <c r="CB1293" s="994">
        <f>IF(AND(Input_Product=Elig!$C1293,Elig_MatchAll_Ct&lt;22,$BC1293=(Elig_MatchAll_Ct-1),AW1293=0),W1293,0)</f>
        <v>0</v>
      </c>
      <c r="CC1293" s="993">
        <f>IF(AND(Input_Product=Elig!$C1293,Elig_MatchAll_Ct&lt;22,$BC1293=(Elig_MatchAll_Ct-1),AX1293=0),X1293,0)</f>
        <v>0</v>
      </c>
      <c r="CD1293" s="994">
        <f>IF(AND(Input_Product=Elig!$C1293,Elig_MatchAll_Ct&lt;22,$BC1293=(Elig_MatchAll_Ct-1),AX1293=0),Y1293,0)</f>
        <v>0</v>
      </c>
      <c r="CE1293" s="993">
        <f>IF(AND(Input_LTV&lt;=AE1293,Input_Product=Elig!$C1293,Elig_MatchAll_Ct&lt;22,$BC1293=(Elig_MatchAll_Ct-1),AY1293=0),Z1293,0)</f>
        <v>0</v>
      </c>
      <c r="CF1293" s="994">
        <f>IF(AND(Input_LTV&lt;=AE1293,Input_Product=Elig!$C1293,Elig_MatchAll_Ct&lt;22,$BC1293=(Elig_MatchAll_Ct-1),AY1293=0),AA1293,0)</f>
        <v>0</v>
      </c>
      <c r="CG1293" s="993">
        <f>IF(AND(Input_Product=Elig!$C1293,Elig_MatchAll_Ct&lt;22,$BC1293=(Elig_MatchAll_Ct-1),AZ1293=0),AB1293,0)</f>
        <v>0</v>
      </c>
      <c r="CH1293" s="994">
        <f>IF(AND(Input_Product=Elig!$C1293,Elig_MatchAll_Ct&lt;22,$BC1293=(Elig_MatchAll_Ct-1),AZ1293=0),AC1293,0)</f>
        <v>0</v>
      </c>
      <c r="CI1293" s="993">
        <f>IF(AND(Input_Product=Elig!$C1293,Elig_MatchAll_Ct&lt;22,$BC1293=(Elig_MatchAll_Ct-1),BA1293=0),AD1293,0)</f>
        <v>0</v>
      </c>
      <c r="CJ1293" s="994">
        <f>IF(AND(Input_Product=Elig!$C1293,Elig_MatchAll_Ct&lt;22,$BC1293=(Elig_MatchAll_Ct-1),BA1293=0),AE1293,0)</f>
        <v>0</v>
      </c>
    </row>
    <row r="1294" spans="2:88" ht="10.15" customHeight="1" x14ac:dyDescent="0.25">
      <c r="B1294" s="1920" t="s">
        <v>4237</v>
      </c>
      <c r="C1294" s="1359" t="str">
        <f t="shared" si="453"/>
        <v xml:space="preserve"> </v>
      </c>
      <c r="D1294" s="1360" t="s">
        <v>2218</v>
      </c>
      <c r="E1294" s="1360" t="s">
        <v>167</v>
      </c>
      <c r="F1294" s="1360" t="s">
        <v>330</v>
      </c>
      <c r="G1294" s="1361" t="s">
        <v>181</v>
      </c>
      <c r="H1294" s="1361" t="s">
        <v>136</v>
      </c>
      <c r="I1294" s="1360" t="s">
        <v>16</v>
      </c>
      <c r="J1294" s="1360" t="s">
        <v>1311</v>
      </c>
      <c r="K1294" s="1361" t="s">
        <v>3022</v>
      </c>
      <c r="L1294" s="1360" t="s">
        <v>2768</v>
      </c>
      <c r="M1294" s="1360" t="s">
        <v>2677</v>
      </c>
      <c r="N1294" s="1361" t="s">
        <v>2685</v>
      </c>
      <c r="O1294" s="1360" t="s">
        <v>2526</v>
      </c>
      <c r="P1294" s="1360" t="s">
        <v>291</v>
      </c>
      <c r="Q1294" s="1360" t="s">
        <v>294</v>
      </c>
      <c r="R1294" s="1360">
        <v>2500000.0099999998</v>
      </c>
      <c r="S1294" s="1360">
        <v>3000000</v>
      </c>
      <c r="T1294" s="1360">
        <v>0</v>
      </c>
      <c r="U1294" s="1360">
        <f t="shared" si="465"/>
        <v>3000000</v>
      </c>
      <c r="V1294" s="1360">
        <v>0</v>
      </c>
      <c r="W1294" s="1360">
        <v>50</v>
      </c>
      <c r="X1294" s="1360">
        <v>0.8</v>
      </c>
      <c r="Y1294" s="1360">
        <v>999</v>
      </c>
      <c r="Z1294" s="2045">
        <v>700</v>
      </c>
      <c r="AA1294" s="2045">
        <v>719</v>
      </c>
      <c r="AB1294" s="2045">
        <v>6</v>
      </c>
      <c r="AC1294" s="2045">
        <v>999999</v>
      </c>
      <c r="AD1294" s="1360">
        <v>0</v>
      </c>
      <c r="AE1294" s="2046">
        <v>65</v>
      </c>
      <c r="AF1294" s="170">
        <v>0</v>
      </c>
      <c r="AG1294" s="171">
        <v>1</v>
      </c>
      <c r="AH1294" s="171">
        <v>1</v>
      </c>
      <c r="AI1294" s="171">
        <v>0</v>
      </c>
      <c r="AJ1294" s="171">
        <v>0</v>
      </c>
      <c r="AK1294" s="171">
        <v>1</v>
      </c>
      <c r="AL1294" s="171">
        <v>1</v>
      </c>
      <c r="AM1294" s="171">
        <v>1</v>
      </c>
      <c r="AN1294" s="171">
        <v>1</v>
      </c>
      <c r="AO1294" s="171">
        <v>1</v>
      </c>
      <c r="AP1294" s="171">
        <v>1</v>
      </c>
      <c r="AQ1294" s="171">
        <v>1</v>
      </c>
      <c r="AR1294" s="171">
        <v>1</v>
      </c>
      <c r="AS1294" s="171">
        <v>1</v>
      </c>
      <c r="AT1294" s="171">
        <v>1</v>
      </c>
      <c r="AU1294" s="171">
        <f t="shared" si="447"/>
        <v>0</v>
      </c>
      <c r="AV1294" s="171">
        <f t="shared" si="448"/>
        <v>1</v>
      </c>
      <c r="AW1294" s="171">
        <f t="shared" si="449"/>
        <v>1</v>
      </c>
      <c r="AX1294" s="171">
        <f t="shared" si="467"/>
        <v>0</v>
      </c>
      <c r="AY1294" s="171">
        <f t="shared" si="450"/>
        <v>0</v>
      </c>
      <c r="AZ1294" s="171">
        <f t="shared" si="451"/>
        <v>1</v>
      </c>
      <c r="BA1294" s="172">
        <f t="shared" si="452"/>
        <v>1</v>
      </c>
      <c r="BB1294" s="175">
        <f t="shared" si="454"/>
        <v>16</v>
      </c>
      <c r="BC1294" s="176">
        <f t="shared" si="455"/>
        <v>15</v>
      </c>
      <c r="BD1294" s="176">
        <f t="shared" si="456"/>
        <v>16</v>
      </c>
      <c r="BE1294" s="240" t="str">
        <f t="shared" si="446"/>
        <v/>
      </c>
      <c r="BF1294" s="990"/>
      <c r="BG1294" s="990"/>
      <c r="BH1294" s="991">
        <f>IF(AND(Input_Product=Elig!$C1294,Elig_MatchAll_Ct&lt;22,$BC1294=(Elig_MatchAll_Ct-1),AF1294=0),C1294,0)</f>
        <v>0</v>
      </c>
      <c r="BI1294" s="991">
        <f>IF(AND(Input_Product=Elig!$C1294,Elig_MatchAll_Ct&lt;22,$BC1294=(Elig_MatchAll_Ct-1),AG1294=0),D1294,0)</f>
        <v>0</v>
      </c>
      <c r="BJ1294" s="991">
        <f>IF(AND(Input_Product=Elig!$C1294,Elig_MatchAll_Ct&lt;22,$BC1294=(Elig_MatchAll_Ct-1),AH1294=0),E1294,0)</f>
        <v>0</v>
      </c>
      <c r="BK1294" s="991">
        <f>IF(AND(Input_Product=Elig!$C1294,Elig_MatchAll_Ct&lt;22,$BC1294=(Elig_MatchAll_Ct-1),AI1294=0),F1294,0)</f>
        <v>0</v>
      </c>
      <c r="BL1294" s="991">
        <f>IF(AND(Input_Product=Elig!$C1294,Elig_MatchAll_Ct&lt;22,$BC1294=(Elig_MatchAll_Ct-1),AJ1294=0),G1294,0)</f>
        <v>0</v>
      </c>
      <c r="BM1294" s="991">
        <f>IF(AND(Input_Product=Elig!$C1294,Elig_MatchAll_Ct&lt;22,$BC1294=(Elig_MatchAll_Ct-1),AK1294=0),H1294,0)</f>
        <v>0</v>
      </c>
      <c r="BN1294" s="991">
        <f>IF(AND(Input_Product=Elig!$C1294,Elig_MatchAll_Ct&lt;22,$BC1294=(Elig_MatchAll_Ct-1),AL1294=0),I1294,0)</f>
        <v>0</v>
      </c>
      <c r="BO1294" s="991">
        <f>IF(AND(Input_Product=Elig!$C1294,Elig_MatchAll_Ct&lt;22,$BC1294=(Elig_MatchAll_Ct-1),AM1294=0),J1294,0)</f>
        <v>0</v>
      </c>
      <c r="BP1294" s="991">
        <f>IF(AND(Input_Product=Elig!$C1294,Elig_MatchAll_Ct&lt;22,$BC1294=(Elig_MatchAll_Ct-1),AN1294=0),K1294,0)</f>
        <v>0</v>
      </c>
      <c r="BQ1294" s="991">
        <f>IF(AND(Input_Product=Elig!$C1294,Elig_MatchAll_Ct&lt;22,$BC1294=(Elig_MatchAll_Ct-1),AP1294=0),L1294,0)</f>
        <v>0</v>
      </c>
      <c r="BR1294" s="991">
        <f>IF(AND(Input_Product=Elig!$C1294,Elig_MatchAll_Ct&lt;22,$BC1294=(Elig_MatchAll_Ct-1),AO1294=0),M1294,0)</f>
        <v>0</v>
      </c>
      <c r="BS1294" s="991">
        <f>IF(AND(Input_Product=Elig!$C1294,Elig_MatchAll_Ct&lt;22,$BC1294=(Elig_MatchAll_Ct-1),AQ1294=0),N1294,0)</f>
        <v>0</v>
      </c>
      <c r="BT1294" s="991">
        <f>IF(AND(Input_Product=Elig!$C1294,Elig_MatchAll_Ct&lt;22,$BC1294=(Elig_MatchAll_Ct-1),AR1294=0),O1294,0)</f>
        <v>0</v>
      </c>
      <c r="BU1294" s="991">
        <f>IF(AND(Input_Product=Elig!$C1294,Elig_MatchAll_Ct&lt;22,$BC1294=(Elig_MatchAll_Ct-1),AS1294=0),P1294,0)</f>
        <v>0</v>
      </c>
      <c r="BV1294" s="992">
        <f>IF(AND(Input_Product=Elig!$C1294,Elig_MatchAll_Ct&lt;22,$BC1294=(Elig_MatchAll_Ct-1),AT1294=0),Q1294,0)</f>
        <v>0</v>
      </c>
      <c r="BW1294" s="993">
        <f>IF(AND(Input_Product=Elig!$C1294,Elig_MatchAll_Ct&lt;22,$BC1294=(Elig_MatchAll_Ct-1),AU1294=0),R1294,0)</f>
        <v>0</v>
      </c>
      <c r="BX1294" s="994">
        <f>IF(AND(Input_Product=Elig!$C1294,Elig_MatchAll_Ct&lt;22,$BC1294=(Elig_MatchAll_Ct-1),AU1294=0),S1294,0)</f>
        <v>0</v>
      </c>
      <c r="BY1294" s="993">
        <f>IF(AND(Input_Product=Elig!$C1294,Elig_MatchAll_Ct&lt;22,$BC1294=(Elig_MatchAll_Ct-1),AV1294=0),T1294,0)</f>
        <v>0</v>
      </c>
      <c r="BZ1294" s="994">
        <f>IF(AND(Input_Product=Elig!$C1294,Elig_MatchAll_Ct&lt;22,$BC1294=(Elig_MatchAll_Ct-1),AV1294=0),U1294,0)</f>
        <v>0</v>
      </c>
      <c r="CA1294" s="993">
        <f>IF(AND(Input_Product=Elig!$C1294,Elig_MatchAll_Ct&lt;22,$BC1294=(Elig_MatchAll_Ct-1),AW1294=0),V1294,0)</f>
        <v>0</v>
      </c>
      <c r="CB1294" s="994">
        <f>IF(AND(Input_Product=Elig!$C1294,Elig_MatchAll_Ct&lt;22,$BC1294=(Elig_MatchAll_Ct-1),AW1294=0),W1294,0)</f>
        <v>0</v>
      </c>
      <c r="CC1294" s="993">
        <f>IF(AND(Input_Product=Elig!$C1294,Elig_MatchAll_Ct&lt;22,$BC1294=(Elig_MatchAll_Ct-1),AX1294=0),X1294,0)</f>
        <v>0</v>
      </c>
      <c r="CD1294" s="994">
        <f>IF(AND(Input_Product=Elig!$C1294,Elig_MatchAll_Ct&lt;22,$BC1294=(Elig_MatchAll_Ct-1),AX1294=0),Y1294,0)</f>
        <v>0</v>
      </c>
      <c r="CE1294" s="993">
        <f>IF(AND(Input_LTV&lt;=AE1294,Input_Product=Elig!$C1294,Elig_MatchAll_Ct&lt;22,$BC1294=(Elig_MatchAll_Ct-1),AY1294=0),Z1294,0)</f>
        <v>0</v>
      </c>
      <c r="CF1294" s="994">
        <f>IF(AND(Input_LTV&lt;=AE1294,Input_Product=Elig!$C1294,Elig_MatchAll_Ct&lt;22,$BC1294=(Elig_MatchAll_Ct-1),AY1294=0),AA1294,0)</f>
        <v>0</v>
      </c>
      <c r="CG1294" s="993">
        <f>IF(AND(Input_Product=Elig!$C1294,Elig_MatchAll_Ct&lt;22,$BC1294=(Elig_MatchAll_Ct-1),AZ1294=0),AB1294,0)</f>
        <v>0</v>
      </c>
      <c r="CH1294" s="994">
        <f>IF(AND(Input_Product=Elig!$C1294,Elig_MatchAll_Ct&lt;22,$BC1294=(Elig_MatchAll_Ct-1),AZ1294=0),AC1294,0)</f>
        <v>0</v>
      </c>
      <c r="CI1294" s="993">
        <f>IF(AND(Input_Product=Elig!$C1294,Elig_MatchAll_Ct&lt;22,$BC1294=(Elig_MatchAll_Ct-1),BA1294=0),AD1294,0)</f>
        <v>0</v>
      </c>
      <c r="CJ1294" s="994">
        <f>IF(AND(Input_Product=Elig!$C1294,Elig_MatchAll_Ct&lt;22,$BC1294=(Elig_MatchAll_Ct-1),BA1294=0),AE1294,0)</f>
        <v>0</v>
      </c>
    </row>
    <row r="1295" spans="2:88" ht="10.15" customHeight="1" x14ac:dyDescent="0.25">
      <c r="B1295" s="1920" t="s">
        <v>4238</v>
      </c>
      <c r="C1295" s="1356" t="str">
        <f t="shared" si="453"/>
        <v xml:space="preserve"> </v>
      </c>
      <c r="D1295" s="1357" t="s">
        <v>2218</v>
      </c>
      <c r="E1295" s="1357" t="s">
        <v>167</v>
      </c>
      <c r="F1295" s="1357" t="s">
        <v>330</v>
      </c>
      <c r="G1295" s="1358" t="s">
        <v>181</v>
      </c>
      <c r="H1295" s="1358" t="s">
        <v>136</v>
      </c>
      <c r="I1295" s="1357" t="s">
        <v>16</v>
      </c>
      <c r="J1295" s="1357" t="s">
        <v>1311</v>
      </c>
      <c r="K1295" s="1358" t="s">
        <v>3022</v>
      </c>
      <c r="L1295" s="1357" t="s">
        <v>2768</v>
      </c>
      <c r="M1295" s="1357" t="s">
        <v>2677</v>
      </c>
      <c r="N1295" s="1358" t="s">
        <v>2685</v>
      </c>
      <c r="O1295" s="1357" t="s">
        <v>2526</v>
      </c>
      <c r="P1295" s="1357" t="s">
        <v>291</v>
      </c>
      <c r="Q1295" s="1357" t="s">
        <v>294</v>
      </c>
      <c r="R1295" s="1357">
        <v>2500000.0099999998</v>
      </c>
      <c r="S1295" s="1357">
        <v>3000000</v>
      </c>
      <c r="T1295" s="1357">
        <v>0</v>
      </c>
      <c r="U1295" s="1357">
        <f t="shared" ref="U1295" si="471">S1295</f>
        <v>3000000</v>
      </c>
      <c r="V1295" s="1357">
        <v>0</v>
      </c>
      <c r="W1295" s="1357">
        <v>50</v>
      </c>
      <c r="X1295" s="1357">
        <v>0.8</v>
      </c>
      <c r="Y1295" s="1357">
        <v>999</v>
      </c>
      <c r="Z1295" s="2047">
        <v>660</v>
      </c>
      <c r="AA1295" s="2047">
        <v>660</v>
      </c>
      <c r="AB1295" s="2047">
        <v>6</v>
      </c>
      <c r="AC1295" s="2047">
        <v>999999</v>
      </c>
      <c r="AD1295" s="1357">
        <v>0</v>
      </c>
      <c r="AE1295" s="2048">
        <v>65</v>
      </c>
      <c r="AF1295" s="170">
        <v>0</v>
      </c>
      <c r="AG1295" s="171">
        <v>1</v>
      </c>
      <c r="AH1295" s="171">
        <v>1</v>
      </c>
      <c r="AI1295" s="171">
        <v>0</v>
      </c>
      <c r="AJ1295" s="171">
        <v>0</v>
      </c>
      <c r="AK1295" s="171">
        <v>1</v>
      </c>
      <c r="AL1295" s="171">
        <v>1</v>
      </c>
      <c r="AM1295" s="171">
        <v>1</v>
      </c>
      <c r="AN1295" s="171">
        <v>1</v>
      </c>
      <c r="AO1295" s="171">
        <v>1</v>
      </c>
      <c r="AP1295" s="171">
        <v>1</v>
      </c>
      <c r="AQ1295" s="171">
        <v>1</v>
      </c>
      <c r="AR1295" s="171">
        <v>1</v>
      </c>
      <c r="AS1295" s="171">
        <v>1</v>
      </c>
      <c r="AT1295" s="171">
        <v>1</v>
      </c>
      <c r="AU1295" s="171">
        <f t="shared" si="447"/>
        <v>0</v>
      </c>
      <c r="AV1295" s="171">
        <f t="shared" si="448"/>
        <v>1</v>
      </c>
      <c r="AW1295" s="171">
        <f t="shared" si="449"/>
        <v>1</v>
      </c>
      <c r="AX1295" s="171">
        <f t="shared" si="467"/>
        <v>0</v>
      </c>
      <c r="AY1295" s="171">
        <f t="shared" si="450"/>
        <v>0</v>
      </c>
      <c r="AZ1295" s="171">
        <f t="shared" si="451"/>
        <v>1</v>
      </c>
      <c r="BA1295" s="172">
        <f t="shared" si="452"/>
        <v>1</v>
      </c>
      <c r="BB1295" s="175">
        <f t="shared" si="454"/>
        <v>16</v>
      </c>
      <c r="BC1295" s="176">
        <f t="shared" si="455"/>
        <v>15</v>
      </c>
      <c r="BD1295" s="176">
        <f t="shared" si="456"/>
        <v>16</v>
      </c>
      <c r="BE1295" s="240" t="str">
        <f t="shared" si="446"/>
        <v/>
      </c>
      <c r="BF1295" s="990"/>
      <c r="BG1295" s="990"/>
      <c r="BH1295" s="991">
        <f>IF(AND(Input_Product=Elig!$C1295,Elig_MatchAll_Ct&lt;22,$BC1295=(Elig_MatchAll_Ct-1),AF1295=0),C1295,0)</f>
        <v>0</v>
      </c>
      <c r="BI1295" s="991">
        <f>IF(AND(Input_Product=Elig!$C1295,Elig_MatchAll_Ct&lt;22,$BC1295=(Elig_MatchAll_Ct-1),AG1295=0),D1295,0)</f>
        <v>0</v>
      </c>
      <c r="BJ1295" s="991">
        <f>IF(AND(Input_Product=Elig!$C1295,Elig_MatchAll_Ct&lt;22,$BC1295=(Elig_MatchAll_Ct-1),AH1295=0),E1295,0)</f>
        <v>0</v>
      </c>
      <c r="BK1295" s="991">
        <f>IF(AND(Input_Product=Elig!$C1295,Elig_MatchAll_Ct&lt;22,$BC1295=(Elig_MatchAll_Ct-1),AI1295=0),F1295,0)</f>
        <v>0</v>
      </c>
      <c r="BL1295" s="991">
        <f>IF(AND(Input_Product=Elig!$C1295,Elig_MatchAll_Ct&lt;22,$BC1295=(Elig_MatchAll_Ct-1),AJ1295=0),G1295,0)</f>
        <v>0</v>
      </c>
      <c r="BM1295" s="991">
        <f>IF(AND(Input_Product=Elig!$C1295,Elig_MatchAll_Ct&lt;22,$BC1295=(Elig_MatchAll_Ct-1),AK1295=0),H1295,0)</f>
        <v>0</v>
      </c>
      <c r="BN1295" s="991">
        <f>IF(AND(Input_Product=Elig!$C1295,Elig_MatchAll_Ct&lt;22,$BC1295=(Elig_MatchAll_Ct-1),AL1295=0),I1295,0)</f>
        <v>0</v>
      </c>
      <c r="BO1295" s="991">
        <f>IF(AND(Input_Product=Elig!$C1295,Elig_MatchAll_Ct&lt;22,$BC1295=(Elig_MatchAll_Ct-1),AM1295=0),J1295,0)</f>
        <v>0</v>
      </c>
      <c r="BP1295" s="991">
        <f>IF(AND(Input_Product=Elig!$C1295,Elig_MatchAll_Ct&lt;22,$BC1295=(Elig_MatchAll_Ct-1),AN1295=0),K1295,0)</f>
        <v>0</v>
      </c>
      <c r="BQ1295" s="991">
        <f>IF(AND(Input_Product=Elig!$C1295,Elig_MatchAll_Ct&lt;22,$BC1295=(Elig_MatchAll_Ct-1),AP1295=0),L1295,0)</f>
        <v>0</v>
      </c>
      <c r="BR1295" s="991">
        <f>IF(AND(Input_Product=Elig!$C1295,Elig_MatchAll_Ct&lt;22,$BC1295=(Elig_MatchAll_Ct-1),AO1295=0),M1295,0)</f>
        <v>0</v>
      </c>
      <c r="BS1295" s="991">
        <f>IF(AND(Input_Product=Elig!$C1295,Elig_MatchAll_Ct&lt;22,$BC1295=(Elig_MatchAll_Ct-1),AQ1295=0),N1295,0)</f>
        <v>0</v>
      </c>
      <c r="BT1295" s="991">
        <f>IF(AND(Input_Product=Elig!$C1295,Elig_MatchAll_Ct&lt;22,$BC1295=(Elig_MatchAll_Ct-1),AR1295=0),O1295,0)</f>
        <v>0</v>
      </c>
      <c r="BU1295" s="991">
        <f>IF(AND(Input_Product=Elig!$C1295,Elig_MatchAll_Ct&lt;22,$BC1295=(Elig_MatchAll_Ct-1),AS1295=0),P1295,0)</f>
        <v>0</v>
      </c>
      <c r="BV1295" s="992">
        <f>IF(AND(Input_Product=Elig!$C1295,Elig_MatchAll_Ct&lt;22,$BC1295=(Elig_MatchAll_Ct-1),AT1295=0),Q1295,0)</f>
        <v>0</v>
      </c>
      <c r="BW1295" s="993">
        <f>IF(AND(Input_Product=Elig!$C1295,Elig_MatchAll_Ct&lt;22,$BC1295=(Elig_MatchAll_Ct-1),AU1295=0),R1295,0)</f>
        <v>0</v>
      </c>
      <c r="BX1295" s="994">
        <f>IF(AND(Input_Product=Elig!$C1295,Elig_MatchAll_Ct&lt;22,$BC1295=(Elig_MatchAll_Ct-1),AU1295=0),S1295,0)</f>
        <v>0</v>
      </c>
      <c r="BY1295" s="993">
        <f>IF(AND(Input_Product=Elig!$C1295,Elig_MatchAll_Ct&lt;22,$BC1295=(Elig_MatchAll_Ct-1),AV1295=0),T1295,0)</f>
        <v>0</v>
      </c>
      <c r="BZ1295" s="994">
        <f>IF(AND(Input_Product=Elig!$C1295,Elig_MatchAll_Ct&lt;22,$BC1295=(Elig_MatchAll_Ct-1),AV1295=0),U1295,0)</f>
        <v>0</v>
      </c>
      <c r="CA1295" s="993">
        <f>IF(AND(Input_Product=Elig!$C1295,Elig_MatchAll_Ct&lt;22,$BC1295=(Elig_MatchAll_Ct-1),AW1295=0),V1295,0)</f>
        <v>0</v>
      </c>
      <c r="CB1295" s="994">
        <f>IF(AND(Input_Product=Elig!$C1295,Elig_MatchAll_Ct&lt;22,$BC1295=(Elig_MatchAll_Ct-1),AW1295=0),W1295,0)</f>
        <v>0</v>
      </c>
      <c r="CC1295" s="993">
        <f>IF(AND(Input_Product=Elig!$C1295,Elig_MatchAll_Ct&lt;22,$BC1295=(Elig_MatchAll_Ct-1),AX1295=0),X1295,0)</f>
        <v>0</v>
      </c>
      <c r="CD1295" s="994">
        <f>IF(AND(Input_Product=Elig!$C1295,Elig_MatchAll_Ct&lt;22,$BC1295=(Elig_MatchAll_Ct-1),AX1295=0),Y1295,0)</f>
        <v>0</v>
      </c>
      <c r="CE1295" s="993">
        <f>IF(AND(Input_LTV&lt;=AE1295,Input_Product=Elig!$C1295,Elig_MatchAll_Ct&lt;22,$BC1295=(Elig_MatchAll_Ct-1),AY1295=0),Z1295,0)</f>
        <v>0</v>
      </c>
      <c r="CF1295" s="994">
        <f>IF(AND(Input_LTV&lt;=AE1295,Input_Product=Elig!$C1295,Elig_MatchAll_Ct&lt;22,$BC1295=(Elig_MatchAll_Ct-1),AY1295=0),AA1295,0)</f>
        <v>0</v>
      </c>
      <c r="CG1295" s="993">
        <f>IF(AND(Input_Product=Elig!$C1295,Elig_MatchAll_Ct&lt;22,$BC1295=(Elig_MatchAll_Ct-1),AZ1295=0),AB1295,0)</f>
        <v>0</v>
      </c>
      <c r="CH1295" s="994">
        <f>IF(AND(Input_Product=Elig!$C1295,Elig_MatchAll_Ct&lt;22,$BC1295=(Elig_MatchAll_Ct-1),AZ1295=0),AC1295,0)</f>
        <v>0</v>
      </c>
      <c r="CI1295" s="993">
        <f>IF(AND(Input_Product=Elig!$C1295,Elig_MatchAll_Ct&lt;22,$BC1295=(Elig_MatchAll_Ct-1),BA1295=0),AD1295,0)</f>
        <v>0</v>
      </c>
      <c r="CJ1295" s="994">
        <f>IF(AND(Input_Product=Elig!$C1295,Elig_MatchAll_Ct&lt;22,$BC1295=(Elig_MatchAll_Ct-1),BA1295=0),AE1295,0)</f>
        <v>0</v>
      </c>
    </row>
    <row r="1296" spans="2:88" ht="10.15" customHeight="1" x14ac:dyDescent="0.25">
      <c r="B1296" s="1538" t="s">
        <v>2741</v>
      </c>
      <c r="C1296" s="1538" t="str">
        <f t="shared" ref="C1296:C1327" si="472">Input_Name_Product16&amp;" OO"</f>
        <v xml:space="preserve">  OO</v>
      </c>
      <c r="D1296" s="1541" t="s">
        <v>2764</v>
      </c>
      <c r="E1296" s="1541" t="s">
        <v>167</v>
      </c>
      <c r="F1296" s="1541" t="s">
        <v>2765</v>
      </c>
      <c r="G1296" s="1541" t="s">
        <v>2766</v>
      </c>
      <c r="H1296" s="1541" t="s">
        <v>2767</v>
      </c>
      <c r="I1296" s="1542" t="s">
        <v>34</v>
      </c>
      <c r="J1296" s="1542" t="s">
        <v>1311</v>
      </c>
      <c r="K1296" s="1542" t="s">
        <v>3023</v>
      </c>
      <c r="L1296" s="1541" t="s">
        <v>2768</v>
      </c>
      <c r="M1296" s="1541" t="s">
        <v>2677</v>
      </c>
      <c r="N1296" s="1541" t="s">
        <v>2685</v>
      </c>
      <c r="O1296" s="1541" t="s">
        <v>310</v>
      </c>
      <c r="P1296" s="1541" t="s">
        <v>291</v>
      </c>
      <c r="Q1296" s="1541" t="s">
        <v>294</v>
      </c>
      <c r="R1296" s="1541">
        <v>150000</v>
      </c>
      <c r="S1296" s="1541">
        <v>1000000</v>
      </c>
      <c r="T1296" s="1541">
        <v>0</v>
      </c>
      <c r="U1296" s="1541">
        <v>0</v>
      </c>
      <c r="V1296" s="1541">
        <v>0</v>
      </c>
      <c r="W1296" s="1541">
        <v>55</v>
      </c>
      <c r="X1296" s="1541">
        <v>0</v>
      </c>
      <c r="Y1296" s="1541">
        <v>0</v>
      </c>
      <c r="Z1296" s="1543">
        <v>720</v>
      </c>
      <c r="AA1296" s="1543">
        <v>999</v>
      </c>
      <c r="AB1296" s="1543">
        <v>6</v>
      </c>
      <c r="AC1296" s="1543">
        <v>999999</v>
      </c>
      <c r="AD1296" s="1541">
        <v>0</v>
      </c>
      <c r="AE1296" s="1544">
        <v>90</v>
      </c>
      <c r="AF1296" s="170">
        <v>0</v>
      </c>
      <c r="AG1296" s="171">
        <v>1</v>
      </c>
      <c r="AH1296" s="171">
        <v>1</v>
      </c>
      <c r="AI1296" s="171">
        <v>1</v>
      </c>
      <c r="AJ1296" s="171">
        <v>1</v>
      </c>
      <c r="AK1296" s="171">
        <v>1</v>
      </c>
      <c r="AL1296" s="171">
        <v>0</v>
      </c>
      <c r="AM1296" s="171">
        <v>1</v>
      </c>
      <c r="AN1296" s="171">
        <v>1</v>
      </c>
      <c r="AO1296" s="171">
        <v>1</v>
      </c>
      <c r="AP1296" s="171">
        <v>1</v>
      </c>
      <c r="AQ1296" s="171">
        <v>1</v>
      </c>
      <c r="AR1296" s="171">
        <v>1</v>
      </c>
      <c r="AS1296" s="171">
        <v>1</v>
      </c>
      <c r="AT1296" s="171">
        <v>1</v>
      </c>
      <c r="AU1296" s="171">
        <f t="shared" si="447"/>
        <v>1</v>
      </c>
      <c r="AV1296" s="171">
        <f t="shared" si="448"/>
        <v>0</v>
      </c>
      <c r="AW1296" s="171">
        <f t="shared" si="449"/>
        <v>1</v>
      </c>
      <c r="AX1296" s="171">
        <f t="shared" si="467"/>
        <v>1</v>
      </c>
      <c r="AY1296" s="171">
        <f t="shared" si="450"/>
        <v>1</v>
      </c>
      <c r="AZ1296" s="171">
        <f t="shared" si="451"/>
        <v>1</v>
      </c>
      <c r="BA1296" s="172">
        <f t="shared" si="452"/>
        <v>1</v>
      </c>
      <c r="BB1296" s="175">
        <f t="shared" si="454"/>
        <v>19</v>
      </c>
      <c r="BC1296" s="176">
        <f t="shared" si="455"/>
        <v>18</v>
      </c>
      <c r="BD1296" s="176">
        <f t="shared" si="456"/>
        <v>19</v>
      </c>
      <c r="BE1296" s="240" t="str">
        <f t="shared" si="446"/>
        <v/>
      </c>
      <c r="BF1296" s="990"/>
      <c r="BG1296" s="990"/>
      <c r="BH1296" s="991">
        <f>IF(AND(Input_Product=Elig!$C1296,Elig_MatchAll_Ct&lt;22,$BC1296=(Elig_MatchAll_Ct-1),AF1296=0),C1296,0)</f>
        <v>0</v>
      </c>
      <c r="BI1296" s="991">
        <f>IF(AND(Input_Product=Elig!$C1296,Elig_MatchAll_Ct&lt;22,$BC1296=(Elig_MatchAll_Ct-1),AG1296=0),D1296,0)</f>
        <v>0</v>
      </c>
      <c r="BJ1296" s="991">
        <f>IF(AND(Input_Product=Elig!$C1296,Elig_MatchAll_Ct&lt;22,$BC1296=(Elig_MatchAll_Ct-1),AH1296=0),E1296,0)</f>
        <v>0</v>
      </c>
      <c r="BK1296" s="991">
        <f>IF(AND(Input_Product=Elig!$C1296,Elig_MatchAll_Ct&lt;22,$BC1296=(Elig_MatchAll_Ct-1),AI1296=0),F1296,0)</f>
        <v>0</v>
      </c>
      <c r="BL1296" s="991">
        <f>IF(AND(Input_Product=Elig!$C1296,Elig_MatchAll_Ct&lt;22,$BC1296=(Elig_MatchAll_Ct-1),AJ1296=0),G1296,0)</f>
        <v>0</v>
      </c>
      <c r="BM1296" s="991">
        <f>IF(AND(Input_Product=Elig!$C1296,Elig_MatchAll_Ct&lt;22,$BC1296=(Elig_MatchAll_Ct-1),AK1296=0),H1296,0)</f>
        <v>0</v>
      </c>
      <c r="BN1296" s="991">
        <f>IF(AND(Input_Product=Elig!$C1296,Elig_MatchAll_Ct&lt;22,$BC1296=(Elig_MatchAll_Ct-1),AL1296=0),I1296,0)</f>
        <v>0</v>
      </c>
      <c r="BO1296" s="991">
        <f>IF(AND(Input_Product=Elig!$C1296,Elig_MatchAll_Ct&lt;22,$BC1296=(Elig_MatchAll_Ct-1),AM1296=0),J1296,0)</f>
        <v>0</v>
      </c>
      <c r="BP1296" s="991">
        <f>IF(AND(Input_Product=Elig!$C1296,Elig_MatchAll_Ct&lt;22,$BC1296=(Elig_MatchAll_Ct-1),AN1296=0),K1296,0)</f>
        <v>0</v>
      </c>
      <c r="BQ1296" s="991">
        <f>IF(AND(Input_Product=Elig!$C1296,Elig_MatchAll_Ct&lt;22,$BC1296=(Elig_MatchAll_Ct-1),AP1296=0),L1296,0)</f>
        <v>0</v>
      </c>
      <c r="BR1296" s="991">
        <f>IF(AND(Input_Product=Elig!$C1296,Elig_MatchAll_Ct&lt;22,$BC1296=(Elig_MatchAll_Ct-1),AO1296=0),M1296,0)</f>
        <v>0</v>
      </c>
      <c r="BS1296" s="991">
        <f>IF(AND(Input_Product=Elig!$C1296,Elig_MatchAll_Ct&lt;22,$BC1296=(Elig_MatchAll_Ct-1),AQ1296=0),N1296,0)</f>
        <v>0</v>
      </c>
      <c r="BT1296" s="991">
        <f>IF(AND(Input_Product=Elig!$C1296,Elig_MatchAll_Ct&lt;22,$BC1296=(Elig_MatchAll_Ct-1),AR1296=0),O1296,0)</f>
        <v>0</v>
      </c>
      <c r="BU1296" s="991">
        <f>IF(AND(Input_Product=Elig!$C1296,Elig_MatchAll_Ct&lt;22,$BC1296=(Elig_MatchAll_Ct-1),AS1296=0),P1296,0)</f>
        <v>0</v>
      </c>
      <c r="BV1296" s="992">
        <f>IF(AND(Input_Product=Elig!$C1296,Elig_MatchAll_Ct&lt;22,$BC1296=(Elig_MatchAll_Ct-1),AT1296=0),Q1296,0)</f>
        <v>0</v>
      </c>
      <c r="BW1296" s="993">
        <f>IF(AND(Input_Product=Elig!$C1296,Elig_MatchAll_Ct&lt;22,$BC1296=(Elig_MatchAll_Ct-1),AU1296=0),R1296,0)</f>
        <v>0</v>
      </c>
      <c r="BX1296" s="994">
        <f>IF(AND(Input_Product=Elig!$C1296,Elig_MatchAll_Ct&lt;22,$BC1296=(Elig_MatchAll_Ct-1),AU1296=0),S1296,0)</f>
        <v>0</v>
      </c>
      <c r="BY1296" s="993">
        <f>IF(AND(Input_Product=Elig!$C1296,Elig_MatchAll_Ct&lt;22,$BC1296=(Elig_MatchAll_Ct-1),AV1296=0),T1296,0)</f>
        <v>0</v>
      </c>
      <c r="BZ1296" s="994">
        <f>IF(AND(Input_Product=Elig!$C1296,Elig_MatchAll_Ct&lt;22,$BC1296=(Elig_MatchAll_Ct-1),AV1296=0),U1296,0)</f>
        <v>0</v>
      </c>
      <c r="CA1296" s="993">
        <f>IF(AND(Input_Product=Elig!$C1296,Elig_MatchAll_Ct&lt;22,$BC1296=(Elig_MatchAll_Ct-1),AW1296=0),V1296,0)</f>
        <v>0</v>
      </c>
      <c r="CB1296" s="994">
        <f>IF(AND(Input_Product=Elig!$C1296,Elig_MatchAll_Ct&lt;22,$BC1296=(Elig_MatchAll_Ct-1),AW1296=0),W1296,0)</f>
        <v>0</v>
      </c>
      <c r="CC1296" s="993">
        <f>IF(AND(Input_Product=Elig!$C1296,Elig_MatchAll_Ct&lt;22,$BC1296=(Elig_MatchAll_Ct-1),AX1296=0),X1296,0)</f>
        <v>0</v>
      </c>
      <c r="CD1296" s="994">
        <f>IF(AND(Input_Product=Elig!$C1296,Elig_MatchAll_Ct&lt;22,$BC1296=(Elig_MatchAll_Ct-1),AX1296=0),Y1296,0)</f>
        <v>0</v>
      </c>
      <c r="CE1296" s="993">
        <f>IF(AND(Input_LTV&lt;=AE1296,Input_Product=Elig!$C1296,Elig_MatchAll_Ct&lt;22,$BC1296=(Elig_MatchAll_Ct-1),AY1296=0),Z1296,0)</f>
        <v>0</v>
      </c>
      <c r="CF1296" s="994">
        <f>IF(AND(Input_LTV&lt;=AE1296,Input_Product=Elig!$C1296,Elig_MatchAll_Ct&lt;22,$BC1296=(Elig_MatchAll_Ct-1),AY1296=0),AA1296,0)</f>
        <v>0</v>
      </c>
      <c r="CG1296" s="993">
        <f>IF(AND(Input_Product=Elig!$C1296,Elig_MatchAll_Ct&lt;22,$BC1296=(Elig_MatchAll_Ct-1),AZ1296=0),AB1296,0)</f>
        <v>0</v>
      </c>
      <c r="CH1296" s="994">
        <f>IF(AND(Input_Product=Elig!$C1296,Elig_MatchAll_Ct&lt;22,$BC1296=(Elig_MatchAll_Ct-1),AZ1296=0),AC1296,0)</f>
        <v>0</v>
      </c>
      <c r="CI1296" s="993">
        <f>IF(AND(Input_Product=Elig!$C1296,Elig_MatchAll_Ct&lt;22,$BC1296=(Elig_MatchAll_Ct-1),BA1296=0),AD1296,0)</f>
        <v>0</v>
      </c>
      <c r="CJ1296" s="994">
        <f>IF(AND(Input_Product=Elig!$C1296,Elig_MatchAll_Ct&lt;22,$BC1296=(Elig_MatchAll_Ct-1),BA1296=0),AE1296,0)</f>
        <v>0</v>
      </c>
    </row>
    <row r="1297" spans="2:88" ht="10.15" customHeight="1" x14ac:dyDescent="0.25">
      <c r="B1297" s="1538" t="s">
        <v>2742</v>
      </c>
      <c r="C1297" s="1538" t="str">
        <f t="shared" si="472"/>
        <v xml:space="preserve">  OO</v>
      </c>
      <c r="D1297" s="1538" t="s">
        <v>2764</v>
      </c>
      <c r="E1297" s="1538" t="s">
        <v>167</v>
      </c>
      <c r="F1297" s="1538" t="s">
        <v>2765</v>
      </c>
      <c r="G1297" s="1538" t="s">
        <v>2766</v>
      </c>
      <c r="H1297" s="1538" t="s">
        <v>2767</v>
      </c>
      <c r="I1297" s="1539" t="s">
        <v>34</v>
      </c>
      <c r="J1297" s="1539" t="s">
        <v>1311</v>
      </c>
      <c r="K1297" s="1539" t="s">
        <v>3023</v>
      </c>
      <c r="L1297" s="1538" t="s">
        <v>2768</v>
      </c>
      <c r="M1297" s="1538" t="s">
        <v>2677</v>
      </c>
      <c r="N1297" s="1538" t="s">
        <v>2685</v>
      </c>
      <c r="O1297" s="1538" t="s">
        <v>310</v>
      </c>
      <c r="P1297" s="1538" t="s">
        <v>291</v>
      </c>
      <c r="Q1297" s="1538" t="s">
        <v>294</v>
      </c>
      <c r="R1297" s="1538">
        <v>1000000.01</v>
      </c>
      <c r="S1297" s="1538">
        <v>1500000</v>
      </c>
      <c r="T1297" s="1538">
        <v>0</v>
      </c>
      <c r="U1297" s="1538">
        <v>0</v>
      </c>
      <c r="V1297" s="1538">
        <v>0</v>
      </c>
      <c r="W1297" s="1538">
        <v>55</v>
      </c>
      <c r="X1297" s="1538">
        <v>0</v>
      </c>
      <c r="Y1297" s="1538">
        <v>0</v>
      </c>
      <c r="Z1297" s="1540">
        <v>720</v>
      </c>
      <c r="AA1297" s="1540">
        <v>999</v>
      </c>
      <c r="AB1297" s="1540">
        <v>6</v>
      </c>
      <c r="AC1297" s="1540">
        <v>999999</v>
      </c>
      <c r="AD1297" s="1538">
        <v>0</v>
      </c>
      <c r="AE1297" s="1545">
        <v>90</v>
      </c>
      <c r="AF1297" s="170">
        <v>0</v>
      </c>
      <c r="AG1297" s="171">
        <v>1</v>
      </c>
      <c r="AH1297" s="171">
        <v>1</v>
      </c>
      <c r="AI1297" s="171">
        <v>1</v>
      </c>
      <c r="AJ1297" s="171">
        <v>1</v>
      </c>
      <c r="AK1297" s="171">
        <v>1</v>
      </c>
      <c r="AL1297" s="171">
        <v>0</v>
      </c>
      <c r="AM1297" s="171">
        <v>1</v>
      </c>
      <c r="AN1297" s="171">
        <v>1</v>
      </c>
      <c r="AO1297" s="171">
        <v>1</v>
      </c>
      <c r="AP1297" s="171">
        <v>1</v>
      </c>
      <c r="AQ1297" s="171">
        <v>1</v>
      </c>
      <c r="AR1297" s="171">
        <v>1</v>
      </c>
      <c r="AS1297" s="171">
        <v>1</v>
      </c>
      <c r="AT1297" s="171">
        <v>1</v>
      </c>
      <c r="AU1297" s="171">
        <f t="shared" si="447"/>
        <v>0</v>
      </c>
      <c r="AV1297" s="171">
        <f t="shared" si="448"/>
        <v>0</v>
      </c>
      <c r="AW1297" s="171">
        <f t="shared" si="449"/>
        <v>1</v>
      </c>
      <c r="AX1297" s="171">
        <f t="shared" si="467"/>
        <v>1</v>
      </c>
      <c r="AY1297" s="171">
        <f t="shared" si="450"/>
        <v>1</v>
      </c>
      <c r="AZ1297" s="171">
        <f t="shared" si="451"/>
        <v>1</v>
      </c>
      <c r="BA1297" s="172">
        <f t="shared" si="452"/>
        <v>1</v>
      </c>
      <c r="BB1297" s="175">
        <f t="shared" si="454"/>
        <v>18</v>
      </c>
      <c r="BC1297" s="176">
        <f t="shared" si="455"/>
        <v>17</v>
      </c>
      <c r="BD1297" s="176">
        <f t="shared" si="456"/>
        <v>18</v>
      </c>
      <c r="BE1297" s="240" t="str">
        <f t="shared" si="446"/>
        <v/>
      </c>
      <c r="BF1297" s="990"/>
      <c r="BG1297" s="990"/>
      <c r="BH1297" s="991">
        <f>IF(AND(Input_Product=Elig!$C1297,Elig_MatchAll_Ct&lt;22,$BC1297=(Elig_MatchAll_Ct-1),AF1297=0),C1297,0)</f>
        <v>0</v>
      </c>
      <c r="BI1297" s="991">
        <f>IF(AND(Input_Product=Elig!$C1297,Elig_MatchAll_Ct&lt;22,$BC1297=(Elig_MatchAll_Ct-1),AG1297=0),D1297,0)</f>
        <v>0</v>
      </c>
      <c r="BJ1297" s="991">
        <f>IF(AND(Input_Product=Elig!$C1297,Elig_MatchAll_Ct&lt;22,$BC1297=(Elig_MatchAll_Ct-1),AH1297=0),E1297,0)</f>
        <v>0</v>
      </c>
      <c r="BK1297" s="991">
        <f>IF(AND(Input_Product=Elig!$C1297,Elig_MatchAll_Ct&lt;22,$BC1297=(Elig_MatchAll_Ct-1),AI1297=0),F1297,0)</f>
        <v>0</v>
      </c>
      <c r="BL1297" s="991">
        <f>IF(AND(Input_Product=Elig!$C1297,Elig_MatchAll_Ct&lt;22,$BC1297=(Elig_MatchAll_Ct-1),AJ1297=0),G1297,0)</f>
        <v>0</v>
      </c>
      <c r="BM1297" s="991">
        <f>IF(AND(Input_Product=Elig!$C1297,Elig_MatchAll_Ct&lt;22,$BC1297=(Elig_MatchAll_Ct-1),AK1297=0),H1297,0)</f>
        <v>0</v>
      </c>
      <c r="BN1297" s="991">
        <f>IF(AND(Input_Product=Elig!$C1297,Elig_MatchAll_Ct&lt;22,$BC1297=(Elig_MatchAll_Ct-1),AL1297=0),I1297,0)</f>
        <v>0</v>
      </c>
      <c r="BO1297" s="991">
        <f>IF(AND(Input_Product=Elig!$C1297,Elig_MatchAll_Ct&lt;22,$BC1297=(Elig_MatchAll_Ct-1),AM1297=0),J1297,0)</f>
        <v>0</v>
      </c>
      <c r="BP1297" s="991">
        <f>IF(AND(Input_Product=Elig!$C1297,Elig_MatchAll_Ct&lt;22,$BC1297=(Elig_MatchAll_Ct-1),AN1297=0),K1297,0)</f>
        <v>0</v>
      </c>
      <c r="BQ1297" s="991">
        <f>IF(AND(Input_Product=Elig!$C1297,Elig_MatchAll_Ct&lt;22,$BC1297=(Elig_MatchAll_Ct-1),AP1297=0),L1297,0)</f>
        <v>0</v>
      </c>
      <c r="BR1297" s="991">
        <f>IF(AND(Input_Product=Elig!$C1297,Elig_MatchAll_Ct&lt;22,$BC1297=(Elig_MatchAll_Ct-1),AO1297=0),M1297,0)</f>
        <v>0</v>
      </c>
      <c r="BS1297" s="991">
        <f>IF(AND(Input_Product=Elig!$C1297,Elig_MatchAll_Ct&lt;22,$BC1297=(Elig_MatchAll_Ct-1),AQ1297=0),N1297,0)</f>
        <v>0</v>
      </c>
      <c r="BT1297" s="991">
        <f>IF(AND(Input_Product=Elig!$C1297,Elig_MatchAll_Ct&lt;22,$BC1297=(Elig_MatchAll_Ct-1),AR1297=0),O1297,0)</f>
        <v>0</v>
      </c>
      <c r="BU1297" s="991">
        <f>IF(AND(Input_Product=Elig!$C1297,Elig_MatchAll_Ct&lt;22,$BC1297=(Elig_MatchAll_Ct-1),AS1297=0),P1297,0)</f>
        <v>0</v>
      </c>
      <c r="BV1297" s="992">
        <f>IF(AND(Input_Product=Elig!$C1297,Elig_MatchAll_Ct&lt;22,$BC1297=(Elig_MatchAll_Ct-1),AT1297=0),Q1297,0)</f>
        <v>0</v>
      </c>
      <c r="BW1297" s="993">
        <f>IF(AND(Input_Product=Elig!$C1297,Elig_MatchAll_Ct&lt;22,$BC1297=(Elig_MatchAll_Ct-1),AU1297=0),R1297,0)</f>
        <v>0</v>
      </c>
      <c r="BX1297" s="994">
        <f>IF(AND(Input_Product=Elig!$C1297,Elig_MatchAll_Ct&lt;22,$BC1297=(Elig_MatchAll_Ct-1),AU1297=0),S1297,0)</f>
        <v>0</v>
      </c>
      <c r="BY1297" s="993">
        <f>IF(AND(Input_Product=Elig!$C1297,Elig_MatchAll_Ct&lt;22,$BC1297=(Elig_MatchAll_Ct-1),AV1297=0),T1297,0)</f>
        <v>0</v>
      </c>
      <c r="BZ1297" s="994">
        <f>IF(AND(Input_Product=Elig!$C1297,Elig_MatchAll_Ct&lt;22,$BC1297=(Elig_MatchAll_Ct-1),AV1297=0),U1297,0)</f>
        <v>0</v>
      </c>
      <c r="CA1297" s="993">
        <f>IF(AND(Input_Product=Elig!$C1297,Elig_MatchAll_Ct&lt;22,$BC1297=(Elig_MatchAll_Ct-1),AW1297=0),V1297,0)</f>
        <v>0</v>
      </c>
      <c r="CB1297" s="994">
        <f>IF(AND(Input_Product=Elig!$C1297,Elig_MatchAll_Ct&lt;22,$BC1297=(Elig_MatchAll_Ct-1),AW1297=0),W1297,0)</f>
        <v>0</v>
      </c>
      <c r="CC1297" s="993">
        <f>IF(AND(Input_Product=Elig!$C1297,Elig_MatchAll_Ct&lt;22,$BC1297=(Elig_MatchAll_Ct-1),AX1297=0),X1297,0)</f>
        <v>0</v>
      </c>
      <c r="CD1297" s="994">
        <f>IF(AND(Input_Product=Elig!$C1297,Elig_MatchAll_Ct&lt;22,$BC1297=(Elig_MatchAll_Ct-1),AX1297=0),Y1297,0)</f>
        <v>0</v>
      </c>
      <c r="CE1297" s="993">
        <f>IF(AND(Input_LTV&lt;=AE1297,Input_Product=Elig!$C1297,Elig_MatchAll_Ct&lt;22,$BC1297=(Elig_MatchAll_Ct-1),AY1297=0),Z1297,0)</f>
        <v>0</v>
      </c>
      <c r="CF1297" s="994">
        <f>IF(AND(Input_LTV&lt;=AE1297,Input_Product=Elig!$C1297,Elig_MatchAll_Ct&lt;22,$BC1297=(Elig_MatchAll_Ct-1),AY1297=0),AA1297,0)</f>
        <v>0</v>
      </c>
      <c r="CG1297" s="993">
        <f>IF(AND(Input_Product=Elig!$C1297,Elig_MatchAll_Ct&lt;22,$BC1297=(Elig_MatchAll_Ct-1),AZ1297=0),AB1297,0)</f>
        <v>0</v>
      </c>
      <c r="CH1297" s="994">
        <f>IF(AND(Input_Product=Elig!$C1297,Elig_MatchAll_Ct&lt;22,$BC1297=(Elig_MatchAll_Ct-1),AZ1297=0),AC1297,0)</f>
        <v>0</v>
      </c>
      <c r="CI1297" s="993">
        <f>IF(AND(Input_Product=Elig!$C1297,Elig_MatchAll_Ct&lt;22,$BC1297=(Elig_MatchAll_Ct-1),BA1297=0),AD1297,0)</f>
        <v>0</v>
      </c>
      <c r="CJ1297" s="994">
        <f>IF(AND(Input_Product=Elig!$C1297,Elig_MatchAll_Ct&lt;22,$BC1297=(Elig_MatchAll_Ct-1),BA1297=0),AE1297,0)</f>
        <v>0</v>
      </c>
    </row>
    <row r="1298" spans="2:88" ht="10.15" customHeight="1" x14ac:dyDescent="0.25">
      <c r="B1298" s="1538" t="s">
        <v>2743</v>
      </c>
      <c r="C1298" s="1538" t="str">
        <f t="shared" si="472"/>
        <v xml:space="preserve">  OO</v>
      </c>
      <c r="D1298" s="1538" t="s">
        <v>2764</v>
      </c>
      <c r="E1298" s="1538" t="s">
        <v>167</v>
      </c>
      <c r="F1298" s="1538" t="s">
        <v>2765</v>
      </c>
      <c r="G1298" s="1538" t="s">
        <v>2766</v>
      </c>
      <c r="H1298" s="1538" t="s">
        <v>2767</v>
      </c>
      <c r="I1298" s="1539" t="s">
        <v>34</v>
      </c>
      <c r="J1298" s="1539" t="s">
        <v>1311</v>
      </c>
      <c r="K1298" s="1539" t="s">
        <v>3023</v>
      </c>
      <c r="L1298" s="1538" t="s">
        <v>2768</v>
      </c>
      <c r="M1298" s="1538" t="s">
        <v>2677</v>
      </c>
      <c r="N1298" s="1538" t="s">
        <v>2685</v>
      </c>
      <c r="O1298" s="1538" t="s">
        <v>310</v>
      </c>
      <c r="P1298" s="1538" t="s">
        <v>291</v>
      </c>
      <c r="Q1298" s="1538" t="s">
        <v>294</v>
      </c>
      <c r="R1298" s="1538">
        <v>1500000.01</v>
      </c>
      <c r="S1298" s="1538">
        <v>2000000</v>
      </c>
      <c r="T1298" s="1538">
        <v>0</v>
      </c>
      <c r="U1298" s="1538">
        <v>0</v>
      </c>
      <c r="V1298" s="1538">
        <v>0</v>
      </c>
      <c r="W1298" s="1538">
        <v>55</v>
      </c>
      <c r="X1298" s="1538">
        <v>0</v>
      </c>
      <c r="Y1298" s="1538">
        <v>0</v>
      </c>
      <c r="Z1298" s="1540">
        <v>720</v>
      </c>
      <c r="AA1298" s="1540">
        <v>999</v>
      </c>
      <c r="AB1298" s="1540">
        <v>6</v>
      </c>
      <c r="AC1298" s="1540">
        <v>999999</v>
      </c>
      <c r="AD1298" s="1538">
        <v>0</v>
      </c>
      <c r="AE1298" s="1545">
        <v>85</v>
      </c>
      <c r="AF1298" s="170">
        <v>0</v>
      </c>
      <c r="AG1298" s="171">
        <v>1</v>
      </c>
      <c r="AH1298" s="171">
        <v>1</v>
      </c>
      <c r="AI1298" s="171">
        <v>1</v>
      </c>
      <c r="AJ1298" s="171">
        <v>1</v>
      </c>
      <c r="AK1298" s="171">
        <v>1</v>
      </c>
      <c r="AL1298" s="171">
        <v>0</v>
      </c>
      <c r="AM1298" s="171">
        <v>1</v>
      </c>
      <c r="AN1298" s="171">
        <v>1</v>
      </c>
      <c r="AO1298" s="171">
        <v>1</v>
      </c>
      <c r="AP1298" s="171">
        <v>1</v>
      </c>
      <c r="AQ1298" s="171">
        <v>1</v>
      </c>
      <c r="AR1298" s="171">
        <v>1</v>
      </c>
      <c r="AS1298" s="171">
        <v>1</v>
      </c>
      <c r="AT1298" s="171">
        <v>1</v>
      </c>
      <c r="AU1298" s="171">
        <f t="shared" si="447"/>
        <v>0</v>
      </c>
      <c r="AV1298" s="171">
        <f t="shared" si="448"/>
        <v>0</v>
      </c>
      <c r="AW1298" s="171">
        <f t="shared" si="449"/>
        <v>1</v>
      </c>
      <c r="AX1298" s="171">
        <f t="shared" si="467"/>
        <v>1</v>
      </c>
      <c r="AY1298" s="171">
        <f t="shared" si="450"/>
        <v>1</v>
      </c>
      <c r="AZ1298" s="171">
        <f t="shared" si="451"/>
        <v>1</v>
      </c>
      <c r="BA1298" s="172">
        <f t="shared" si="452"/>
        <v>1</v>
      </c>
      <c r="BB1298" s="175">
        <f t="shared" si="454"/>
        <v>18</v>
      </c>
      <c r="BC1298" s="176">
        <f t="shared" si="455"/>
        <v>17</v>
      </c>
      <c r="BD1298" s="176">
        <f t="shared" si="456"/>
        <v>18</v>
      </c>
      <c r="BE1298" s="240" t="str">
        <f t="shared" si="446"/>
        <v/>
      </c>
      <c r="BF1298" s="990"/>
      <c r="BG1298" s="990"/>
      <c r="BH1298" s="991">
        <f>IF(AND(Input_Product=Elig!$C1298,Elig_MatchAll_Ct&lt;22,$BC1298=(Elig_MatchAll_Ct-1),AF1298=0),C1298,0)</f>
        <v>0</v>
      </c>
      <c r="BI1298" s="991">
        <f>IF(AND(Input_Product=Elig!$C1298,Elig_MatchAll_Ct&lt;22,$BC1298=(Elig_MatchAll_Ct-1),AG1298=0),D1298,0)</f>
        <v>0</v>
      </c>
      <c r="BJ1298" s="991">
        <f>IF(AND(Input_Product=Elig!$C1298,Elig_MatchAll_Ct&lt;22,$BC1298=(Elig_MatchAll_Ct-1),AH1298=0),E1298,0)</f>
        <v>0</v>
      </c>
      <c r="BK1298" s="991">
        <f>IF(AND(Input_Product=Elig!$C1298,Elig_MatchAll_Ct&lt;22,$BC1298=(Elig_MatchAll_Ct-1),AI1298=0),F1298,0)</f>
        <v>0</v>
      </c>
      <c r="BL1298" s="991">
        <f>IF(AND(Input_Product=Elig!$C1298,Elig_MatchAll_Ct&lt;22,$BC1298=(Elig_MatchAll_Ct-1),AJ1298=0),G1298,0)</f>
        <v>0</v>
      </c>
      <c r="BM1298" s="991">
        <f>IF(AND(Input_Product=Elig!$C1298,Elig_MatchAll_Ct&lt;22,$BC1298=(Elig_MatchAll_Ct-1),AK1298=0),H1298,0)</f>
        <v>0</v>
      </c>
      <c r="BN1298" s="991">
        <f>IF(AND(Input_Product=Elig!$C1298,Elig_MatchAll_Ct&lt;22,$BC1298=(Elig_MatchAll_Ct-1),AL1298=0),I1298,0)</f>
        <v>0</v>
      </c>
      <c r="BO1298" s="991">
        <f>IF(AND(Input_Product=Elig!$C1298,Elig_MatchAll_Ct&lt;22,$BC1298=(Elig_MatchAll_Ct-1),AM1298=0),J1298,0)</f>
        <v>0</v>
      </c>
      <c r="BP1298" s="991">
        <f>IF(AND(Input_Product=Elig!$C1298,Elig_MatchAll_Ct&lt;22,$BC1298=(Elig_MatchAll_Ct-1),AN1298=0),K1298,0)</f>
        <v>0</v>
      </c>
      <c r="BQ1298" s="991">
        <f>IF(AND(Input_Product=Elig!$C1298,Elig_MatchAll_Ct&lt;22,$BC1298=(Elig_MatchAll_Ct-1),AP1298=0),L1298,0)</f>
        <v>0</v>
      </c>
      <c r="BR1298" s="991">
        <f>IF(AND(Input_Product=Elig!$C1298,Elig_MatchAll_Ct&lt;22,$BC1298=(Elig_MatchAll_Ct-1),AO1298=0),M1298,0)</f>
        <v>0</v>
      </c>
      <c r="BS1298" s="991">
        <f>IF(AND(Input_Product=Elig!$C1298,Elig_MatchAll_Ct&lt;22,$BC1298=(Elig_MatchAll_Ct-1),AQ1298=0),N1298,0)</f>
        <v>0</v>
      </c>
      <c r="BT1298" s="991">
        <f>IF(AND(Input_Product=Elig!$C1298,Elig_MatchAll_Ct&lt;22,$BC1298=(Elig_MatchAll_Ct-1),AR1298=0),O1298,0)</f>
        <v>0</v>
      </c>
      <c r="BU1298" s="991">
        <f>IF(AND(Input_Product=Elig!$C1298,Elig_MatchAll_Ct&lt;22,$BC1298=(Elig_MatchAll_Ct-1),AS1298=0),P1298,0)</f>
        <v>0</v>
      </c>
      <c r="BV1298" s="992">
        <f>IF(AND(Input_Product=Elig!$C1298,Elig_MatchAll_Ct&lt;22,$BC1298=(Elig_MatchAll_Ct-1),AT1298=0),Q1298,0)</f>
        <v>0</v>
      </c>
      <c r="BW1298" s="993">
        <f>IF(AND(Input_Product=Elig!$C1298,Elig_MatchAll_Ct&lt;22,$BC1298=(Elig_MatchAll_Ct-1),AU1298=0),R1298,0)</f>
        <v>0</v>
      </c>
      <c r="BX1298" s="994">
        <f>IF(AND(Input_Product=Elig!$C1298,Elig_MatchAll_Ct&lt;22,$BC1298=(Elig_MatchAll_Ct-1),AU1298=0),S1298,0)</f>
        <v>0</v>
      </c>
      <c r="BY1298" s="993">
        <f>IF(AND(Input_Product=Elig!$C1298,Elig_MatchAll_Ct&lt;22,$BC1298=(Elig_MatchAll_Ct-1),AV1298=0),T1298,0)</f>
        <v>0</v>
      </c>
      <c r="BZ1298" s="994">
        <f>IF(AND(Input_Product=Elig!$C1298,Elig_MatchAll_Ct&lt;22,$BC1298=(Elig_MatchAll_Ct-1),AV1298=0),U1298,0)</f>
        <v>0</v>
      </c>
      <c r="CA1298" s="993">
        <f>IF(AND(Input_Product=Elig!$C1298,Elig_MatchAll_Ct&lt;22,$BC1298=(Elig_MatchAll_Ct-1),AW1298=0),V1298,0)</f>
        <v>0</v>
      </c>
      <c r="CB1298" s="994">
        <f>IF(AND(Input_Product=Elig!$C1298,Elig_MatchAll_Ct&lt;22,$BC1298=(Elig_MatchAll_Ct-1),AW1298=0),W1298,0)</f>
        <v>0</v>
      </c>
      <c r="CC1298" s="993">
        <f>IF(AND(Input_Product=Elig!$C1298,Elig_MatchAll_Ct&lt;22,$BC1298=(Elig_MatchAll_Ct-1),AX1298=0),X1298,0)</f>
        <v>0</v>
      </c>
      <c r="CD1298" s="994">
        <f>IF(AND(Input_Product=Elig!$C1298,Elig_MatchAll_Ct&lt;22,$BC1298=(Elig_MatchAll_Ct-1),AX1298=0),Y1298,0)</f>
        <v>0</v>
      </c>
      <c r="CE1298" s="993">
        <f>IF(AND(Input_LTV&lt;=AE1298,Input_Product=Elig!$C1298,Elig_MatchAll_Ct&lt;22,$BC1298=(Elig_MatchAll_Ct-1),AY1298=0),Z1298,0)</f>
        <v>0</v>
      </c>
      <c r="CF1298" s="994">
        <f>IF(AND(Input_LTV&lt;=AE1298,Input_Product=Elig!$C1298,Elig_MatchAll_Ct&lt;22,$BC1298=(Elig_MatchAll_Ct-1),AY1298=0),AA1298,0)</f>
        <v>0</v>
      </c>
      <c r="CG1298" s="993">
        <f>IF(AND(Input_Product=Elig!$C1298,Elig_MatchAll_Ct&lt;22,$BC1298=(Elig_MatchAll_Ct-1),AZ1298=0),AB1298,0)</f>
        <v>0</v>
      </c>
      <c r="CH1298" s="994">
        <f>IF(AND(Input_Product=Elig!$C1298,Elig_MatchAll_Ct&lt;22,$BC1298=(Elig_MatchAll_Ct-1),AZ1298=0),AC1298,0)</f>
        <v>0</v>
      </c>
      <c r="CI1298" s="993">
        <f>IF(AND(Input_Product=Elig!$C1298,Elig_MatchAll_Ct&lt;22,$BC1298=(Elig_MatchAll_Ct-1),BA1298=0),AD1298,0)</f>
        <v>0</v>
      </c>
      <c r="CJ1298" s="994">
        <f>IF(AND(Input_Product=Elig!$C1298,Elig_MatchAll_Ct&lt;22,$BC1298=(Elig_MatchAll_Ct-1),BA1298=0),AE1298,0)</f>
        <v>0</v>
      </c>
    </row>
    <row r="1299" spans="2:88" ht="10.15" customHeight="1" x14ac:dyDescent="0.25">
      <c r="B1299" s="1538" t="s">
        <v>2744</v>
      </c>
      <c r="C1299" s="1538" t="str">
        <f t="shared" si="472"/>
        <v xml:space="preserve">  OO</v>
      </c>
      <c r="D1299" s="1538" t="s">
        <v>2764</v>
      </c>
      <c r="E1299" s="1538" t="s">
        <v>167</v>
      </c>
      <c r="F1299" s="1538" t="s">
        <v>2765</v>
      </c>
      <c r="G1299" s="1538" t="s">
        <v>2766</v>
      </c>
      <c r="H1299" s="1538" t="s">
        <v>2767</v>
      </c>
      <c r="I1299" s="1539" t="s">
        <v>34</v>
      </c>
      <c r="J1299" s="1539" t="s">
        <v>1311</v>
      </c>
      <c r="K1299" s="1539" t="s">
        <v>3023</v>
      </c>
      <c r="L1299" s="1538" t="s">
        <v>2768</v>
      </c>
      <c r="M1299" s="1538" t="s">
        <v>2677</v>
      </c>
      <c r="N1299" s="1538" t="s">
        <v>2685</v>
      </c>
      <c r="O1299" s="1538" t="s">
        <v>310</v>
      </c>
      <c r="P1299" s="1538" t="s">
        <v>291</v>
      </c>
      <c r="Q1299" s="1538" t="s">
        <v>294</v>
      </c>
      <c r="R1299" s="1538">
        <v>2000000.01</v>
      </c>
      <c r="S1299" s="1538">
        <v>2500000</v>
      </c>
      <c r="T1299" s="1538">
        <v>0</v>
      </c>
      <c r="U1299" s="1538">
        <v>0</v>
      </c>
      <c r="V1299" s="1538">
        <v>0</v>
      </c>
      <c r="W1299" s="1538">
        <v>55</v>
      </c>
      <c r="X1299" s="1538">
        <v>0</v>
      </c>
      <c r="Y1299" s="1538">
        <v>0</v>
      </c>
      <c r="Z1299" s="1540">
        <v>720</v>
      </c>
      <c r="AA1299" s="1540">
        <v>999</v>
      </c>
      <c r="AB1299" s="1540">
        <v>6</v>
      </c>
      <c r="AC1299" s="1540">
        <v>999999</v>
      </c>
      <c r="AD1299" s="1538">
        <v>0</v>
      </c>
      <c r="AE1299" s="1545">
        <v>80</v>
      </c>
      <c r="AF1299" s="170">
        <v>0</v>
      </c>
      <c r="AG1299" s="171">
        <v>1</v>
      </c>
      <c r="AH1299" s="171">
        <v>1</v>
      </c>
      <c r="AI1299" s="171">
        <v>1</v>
      </c>
      <c r="AJ1299" s="171">
        <v>1</v>
      </c>
      <c r="AK1299" s="171">
        <v>1</v>
      </c>
      <c r="AL1299" s="171">
        <v>0</v>
      </c>
      <c r="AM1299" s="171">
        <v>1</v>
      </c>
      <c r="AN1299" s="171">
        <v>1</v>
      </c>
      <c r="AO1299" s="171">
        <v>1</v>
      </c>
      <c r="AP1299" s="171">
        <v>1</v>
      </c>
      <c r="AQ1299" s="171">
        <v>1</v>
      </c>
      <c r="AR1299" s="171">
        <v>1</v>
      </c>
      <c r="AS1299" s="171">
        <v>1</v>
      </c>
      <c r="AT1299" s="171">
        <v>1</v>
      </c>
      <c r="AU1299" s="171">
        <f t="shared" si="447"/>
        <v>0</v>
      </c>
      <c r="AV1299" s="171">
        <f t="shared" si="448"/>
        <v>0</v>
      </c>
      <c r="AW1299" s="171">
        <f t="shared" si="449"/>
        <v>1</v>
      </c>
      <c r="AX1299" s="171">
        <f t="shared" si="467"/>
        <v>1</v>
      </c>
      <c r="AY1299" s="171">
        <f t="shared" si="450"/>
        <v>1</v>
      </c>
      <c r="AZ1299" s="171">
        <f t="shared" si="451"/>
        <v>1</v>
      </c>
      <c r="BA1299" s="172">
        <f t="shared" si="452"/>
        <v>1</v>
      </c>
      <c r="BB1299" s="175">
        <f t="shared" si="454"/>
        <v>18</v>
      </c>
      <c r="BC1299" s="176">
        <f t="shared" si="455"/>
        <v>17</v>
      </c>
      <c r="BD1299" s="176">
        <f t="shared" si="456"/>
        <v>18</v>
      </c>
      <c r="BE1299" s="240" t="str">
        <f t="shared" si="446"/>
        <v/>
      </c>
      <c r="BF1299" s="990"/>
      <c r="BG1299" s="990"/>
      <c r="BH1299" s="991">
        <f>IF(AND(Input_Product=Elig!$C1299,Elig_MatchAll_Ct&lt;22,$BC1299=(Elig_MatchAll_Ct-1),AF1299=0),C1299,0)</f>
        <v>0</v>
      </c>
      <c r="BI1299" s="991">
        <f>IF(AND(Input_Product=Elig!$C1299,Elig_MatchAll_Ct&lt;22,$BC1299=(Elig_MatchAll_Ct-1),AG1299=0),D1299,0)</f>
        <v>0</v>
      </c>
      <c r="BJ1299" s="991">
        <f>IF(AND(Input_Product=Elig!$C1299,Elig_MatchAll_Ct&lt;22,$BC1299=(Elig_MatchAll_Ct-1),AH1299=0),E1299,0)</f>
        <v>0</v>
      </c>
      <c r="BK1299" s="991">
        <f>IF(AND(Input_Product=Elig!$C1299,Elig_MatchAll_Ct&lt;22,$BC1299=(Elig_MatchAll_Ct-1),AI1299=0),F1299,0)</f>
        <v>0</v>
      </c>
      <c r="BL1299" s="991">
        <f>IF(AND(Input_Product=Elig!$C1299,Elig_MatchAll_Ct&lt;22,$BC1299=(Elig_MatchAll_Ct-1),AJ1299=0),G1299,0)</f>
        <v>0</v>
      </c>
      <c r="BM1299" s="991">
        <f>IF(AND(Input_Product=Elig!$C1299,Elig_MatchAll_Ct&lt;22,$BC1299=(Elig_MatchAll_Ct-1),AK1299=0),H1299,0)</f>
        <v>0</v>
      </c>
      <c r="BN1299" s="991">
        <f>IF(AND(Input_Product=Elig!$C1299,Elig_MatchAll_Ct&lt;22,$BC1299=(Elig_MatchAll_Ct-1),AL1299=0),I1299,0)</f>
        <v>0</v>
      </c>
      <c r="BO1299" s="991">
        <f>IF(AND(Input_Product=Elig!$C1299,Elig_MatchAll_Ct&lt;22,$BC1299=(Elig_MatchAll_Ct-1),AM1299=0),J1299,0)</f>
        <v>0</v>
      </c>
      <c r="BP1299" s="991">
        <f>IF(AND(Input_Product=Elig!$C1299,Elig_MatchAll_Ct&lt;22,$BC1299=(Elig_MatchAll_Ct-1),AN1299=0),K1299,0)</f>
        <v>0</v>
      </c>
      <c r="BQ1299" s="991">
        <f>IF(AND(Input_Product=Elig!$C1299,Elig_MatchAll_Ct&lt;22,$BC1299=(Elig_MatchAll_Ct-1),AP1299=0),L1299,0)</f>
        <v>0</v>
      </c>
      <c r="BR1299" s="991">
        <f>IF(AND(Input_Product=Elig!$C1299,Elig_MatchAll_Ct&lt;22,$BC1299=(Elig_MatchAll_Ct-1),AO1299=0),M1299,0)</f>
        <v>0</v>
      </c>
      <c r="BS1299" s="991">
        <f>IF(AND(Input_Product=Elig!$C1299,Elig_MatchAll_Ct&lt;22,$BC1299=(Elig_MatchAll_Ct-1),AQ1299=0),N1299,0)</f>
        <v>0</v>
      </c>
      <c r="BT1299" s="991">
        <f>IF(AND(Input_Product=Elig!$C1299,Elig_MatchAll_Ct&lt;22,$BC1299=(Elig_MatchAll_Ct-1),AR1299=0),O1299,0)</f>
        <v>0</v>
      </c>
      <c r="BU1299" s="991">
        <f>IF(AND(Input_Product=Elig!$C1299,Elig_MatchAll_Ct&lt;22,$BC1299=(Elig_MatchAll_Ct-1),AS1299=0),P1299,0)</f>
        <v>0</v>
      </c>
      <c r="BV1299" s="992">
        <f>IF(AND(Input_Product=Elig!$C1299,Elig_MatchAll_Ct&lt;22,$BC1299=(Elig_MatchAll_Ct-1),AT1299=0),Q1299,0)</f>
        <v>0</v>
      </c>
      <c r="BW1299" s="993">
        <f>IF(AND(Input_Product=Elig!$C1299,Elig_MatchAll_Ct&lt;22,$BC1299=(Elig_MatchAll_Ct-1),AU1299=0),R1299,0)</f>
        <v>0</v>
      </c>
      <c r="BX1299" s="994">
        <f>IF(AND(Input_Product=Elig!$C1299,Elig_MatchAll_Ct&lt;22,$BC1299=(Elig_MatchAll_Ct-1),AU1299=0),S1299,0)</f>
        <v>0</v>
      </c>
      <c r="BY1299" s="993">
        <f>IF(AND(Input_Product=Elig!$C1299,Elig_MatchAll_Ct&lt;22,$BC1299=(Elig_MatchAll_Ct-1),AV1299=0),T1299,0)</f>
        <v>0</v>
      </c>
      <c r="BZ1299" s="994">
        <f>IF(AND(Input_Product=Elig!$C1299,Elig_MatchAll_Ct&lt;22,$BC1299=(Elig_MatchAll_Ct-1),AV1299=0),U1299,0)</f>
        <v>0</v>
      </c>
      <c r="CA1299" s="993">
        <f>IF(AND(Input_Product=Elig!$C1299,Elig_MatchAll_Ct&lt;22,$BC1299=(Elig_MatchAll_Ct-1),AW1299=0),V1299,0)</f>
        <v>0</v>
      </c>
      <c r="CB1299" s="994">
        <f>IF(AND(Input_Product=Elig!$C1299,Elig_MatchAll_Ct&lt;22,$BC1299=(Elig_MatchAll_Ct-1),AW1299=0),W1299,0)</f>
        <v>0</v>
      </c>
      <c r="CC1299" s="993">
        <f>IF(AND(Input_Product=Elig!$C1299,Elig_MatchAll_Ct&lt;22,$BC1299=(Elig_MatchAll_Ct-1),AX1299=0),X1299,0)</f>
        <v>0</v>
      </c>
      <c r="CD1299" s="994">
        <f>IF(AND(Input_Product=Elig!$C1299,Elig_MatchAll_Ct&lt;22,$BC1299=(Elig_MatchAll_Ct-1),AX1299=0),Y1299,0)</f>
        <v>0</v>
      </c>
      <c r="CE1299" s="993">
        <f>IF(AND(Input_LTV&lt;=AE1299,Input_Product=Elig!$C1299,Elig_MatchAll_Ct&lt;22,$BC1299=(Elig_MatchAll_Ct-1),AY1299=0),Z1299,0)</f>
        <v>0</v>
      </c>
      <c r="CF1299" s="994">
        <f>IF(AND(Input_LTV&lt;=AE1299,Input_Product=Elig!$C1299,Elig_MatchAll_Ct&lt;22,$BC1299=(Elig_MatchAll_Ct-1),AY1299=0),AA1299,0)</f>
        <v>0</v>
      </c>
      <c r="CG1299" s="993">
        <f>IF(AND(Input_Product=Elig!$C1299,Elig_MatchAll_Ct&lt;22,$BC1299=(Elig_MatchAll_Ct-1),AZ1299=0),AB1299,0)</f>
        <v>0</v>
      </c>
      <c r="CH1299" s="994">
        <f>IF(AND(Input_Product=Elig!$C1299,Elig_MatchAll_Ct&lt;22,$BC1299=(Elig_MatchAll_Ct-1),AZ1299=0),AC1299,0)</f>
        <v>0</v>
      </c>
      <c r="CI1299" s="993">
        <f>IF(AND(Input_Product=Elig!$C1299,Elig_MatchAll_Ct&lt;22,$BC1299=(Elig_MatchAll_Ct-1),BA1299=0),AD1299,0)</f>
        <v>0</v>
      </c>
      <c r="CJ1299" s="994">
        <f>IF(AND(Input_Product=Elig!$C1299,Elig_MatchAll_Ct&lt;22,$BC1299=(Elig_MatchAll_Ct-1),BA1299=0),AE1299,0)</f>
        <v>0</v>
      </c>
    </row>
    <row r="1300" spans="2:88" ht="10.15" customHeight="1" x14ac:dyDescent="0.25">
      <c r="B1300" s="1538" t="s">
        <v>2745</v>
      </c>
      <c r="C1300" s="1538" t="str">
        <f t="shared" si="472"/>
        <v xml:space="preserve">  OO</v>
      </c>
      <c r="D1300" s="1538" t="s">
        <v>2764</v>
      </c>
      <c r="E1300" s="1538" t="s">
        <v>167</v>
      </c>
      <c r="F1300" s="1538" t="s">
        <v>2765</v>
      </c>
      <c r="G1300" s="1538" t="s">
        <v>2766</v>
      </c>
      <c r="H1300" s="1538" t="s">
        <v>2767</v>
      </c>
      <c r="I1300" s="1539" t="s">
        <v>34</v>
      </c>
      <c r="J1300" s="1539" t="s">
        <v>1311</v>
      </c>
      <c r="K1300" s="1539" t="s">
        <v>3023</v>
      </c>
      <c r="L1300" s="1538" t="s">
        <v>2768</v>
      </c>
      <c r="M1300" s="1538" t="s">
        <v>2677</v>
      </c>
      <c r="N1300" s="1538" t="s">
        <v>2685</v>
      </c>
      <c r="O1300" s="1538" t="s">
        <v>310</v>
      </c>
      <c r="P1300" s="1538" t="s">
        <v>291</v>
      </c>
      <c r="Q1300" s="1538" t="s">
        <v>294</v>
      </c>
      <c r="R1300" s="1538">
        <v>2500000.0099999998</v>
      </c>
      <c r="S1300" s="1538">
        <v>3000000</v>
      </c>
      <c r="T1300" s="1538">
        <v>0</v>
      </c>
      <c r="U1300" s="1538">
        <v>0</v>
      </c>
      <c r="V1300" s="1538">
        <v>0</v>
      </c>
      <c r="W1300" s="1538">
        <v>55</v>
      </c>
      <c r="X1300" s="1538">
        <v>0</v>
      </c>
      <c r="Y1300" s="1538">
        <v>0</v>
      </c>
      <c r="Z1300" s="1540">
        <v>720</v>
      </c>
      <c r="AA1300" s="1540">
        <v>999</v>
      </c>
      <c r="AB1300" s="1540">
        <v>6</v>
      </c>
      <c r="AC1300" s="1540">
        <v>999999</v>
      </c>
      <c r="AD1300" s="1538">
        <v>0</v>
      </c>
      <c r="AE1300" s="1545">
        <v>75</v>
      </c>
      <c r="AF1300" s="170">
        <v>0</v>
      </c>
      <c r="AG1300" s="171">
        <v>1</v>
      </c>
      <c r="AH1300" s="171">
        <v>1</v>
      </c>
      <c r="AI1300" s="171">
        <v>1</v>
      </c>
      <c r="AJ1300" s="171">
        <v>1</v>
      </c>
      <c r="AK1300" s="171">
        <v>1</v>
      </c>
      <c r="AL1300" s="171">
        <v>0</v>
      </c>
      <c r="AM1300" s="171">
        <v>1</v>
      </c>
      <c r="AN1300" s="171">
        <v>1</v>
      </c>
      <c r="AO1300" s="171">
        <v>1</v>
      </c>
      <c r="AP1300" s="171">
        <v>1</v>
      </c>
      <c r="AQ1300" s="171">
        <v>1</v>
      </c>
      <c r="AR1300" s="171">
        <v>1</v>
      </c>
      <c r="AS1300" s="171">
        <v>1</v>
      </c>
      <c r="AT1300" s="171">
        <v>1</v>
      </c>
      <c r="AU1300" s="171">
        <f t="shared" si="447"/>
        <v>0</v>
      </c>
      <c r="AV1300" s="171">
        <f t="shared" si="448"/>
        <v>0</v>
      </c>
      <c r="AW1300" s="171">
        <f t="shared" si="449"/>
        <v>1</v>
      </c>
      <c r="AX1300" s="171">
        <f t="shared" si="467"/>
        <v>1</v>
      </c>
      <c r="AY1300" s="171">
        <f t="shared" si="450"/>
        <v>1</v>
      </c>
      <c r="AZ1300" s="171">
        <f t="shared" si="451"/>
        <v>1</v>
      </c>
      <c r="BA1300" s="172">
        <f t="shared" si="452"/>
        <v>1</v>
      </c>
      <c r="BB1300" s="175">
        <f t="shared" si="454"/>
        <v>18</v>
      </c>
      <c r="BC1300" s="176">
        <f t="shared" si="455"/>
        <v>17</v>
      </c>
      <c r="BD1300" s="176">
        <f t="shared" si="456"/>
        <v>18</v>
      </c>
      <c r="BE1300" s="240" t="str">
        <f t="shared" si="446"/>
        <v/>
      </c>
      <c r="BF1300" s="990"/>
      <c r="BG1300" s="990"/>
      <c r="BH1300" s="991">
        <f>IF(AND(Input_Product=Elig!$C1300,Elig_MatchAll_Ct&lt;22,$BC1300=(Elig_MatchAll_Ct-1),AF1300=0),C1300,0)</f>
        <v>0</v>
      </c>
      <c r="BI1300" s="991">
        <f>IF(AND(Input_Product=Elig!$C1300,Elig_MatchAll_Ct&lt;22,$BC1300=(Elig_MatchAll_Ct-1),AG1300=0),D1300,0)</f>
        <v>0</v>
      </c>
      <c r="BJ1300" s="991">
        <f>IF(AND(Input_Product=Elig!$C1300,Elig_MatchAll_Ct&lt;22,$BC1300=(Elig_MatchAll_Ct-1),AH1300=0),E1300,0)</f>
        <v>0</v>
      </c>
      <c r="BK1300" s="991">
        <f>IF(AND(Input_Product=Elig!$C1300,Elig_MatchAll_Ct&lt;22,$BC1300=(Elig_MatchAll_Ct-1),AI1300=0),F1300,0)</f>
        <v>0</v>
      </c>
      <c r="BL1300" s="991">
        <f>IF(AND(Input_Product=Elig!$C1300,Elig_MatchAll_Ct&lt;22,$BC1300=(Elig_MatchAll_Ct-1),AJ1300=0),G1300,0)</f>
        <v>0</v>
      </c>
      <c r="BM1300" s="991">
        <f>IF(AND(Input_Product=Elig!$C1300,Elig_MatchAll_Ct&lt;22,$BC1300=(Elig_MatchAll_Ct-1),AK1300=0),H1300,0)</f>
        <v>0</v>
      </c>
      <c r="BN1300" s="991">
        <f>IF(AND(Input_Product=Elig!$C1300,Elig_MatchAll_Ct&lt;22,$BC1300=(Elig_MatchAll_Ct-1),AL1300=0),I1300,0)</f>
        <v>0</v>
      </c>
      <c r="BO1300" s="991">
        <f>IF(AND(Input_Product=Elig!$C1300,Elig_MatchAll_Ct&lt;22,$BC1300=(Elig_MatchAll_Ct-1),AM1300=0),J1300,0)</f>
        <v>0</v>
      </c>
      <c r="BP1300" s="991">
        <f>IF(AND(Input_Product=Elig!$C1300,Elig_MatchAll_Ct&lt;22,$BC1300=(Elig_MatchAll_Ct-1),AN1300=0),K1300,0)</f>
        <v>0</v>
      </c>
      <c r="BQ1300" s="991">
        <f>IF(AND(Input_Product=Elig!$C1300,Elig_MatchAll_Ct&lt;22,$BC1300=(Elig_MatchAll_Ct-1),AP1300=0),L1300,0)</f>
        <v>0</v>
      </c>
      <c r="BR1300" s="991">
        <f>IF(AND(Input_Product=Elig!$C1300,Elig_MatchAll_Ct&lt;22,$BC1300=(Elig_MatchAll_Ct-1),AO1300=0),M1300,0)</f>
        <v>0</v>
      </c>
      <c r="BS1300" s="991">
        <f>IF(AND(Input_Product=Elig!$C1300,Elig_MatchAll_Ct&lt;22,$BC1300=(Elig_MatchAll_Ct-1),AQ1300=0),N1300,0)</f>
        <v>0</v>
      </c>
      <c r="BT1300" s="991">
        <f>IF(AND(Input_Product=Elig!$C1300,Elig_MatchAll_Ct&lt;22,$BC1300=(Elig_MatchAll_Ct-1),AR1300=0),O1300,0)</f>
        <v>0</v>
      </c>
      <c r="BU1300" s="991">
        <f>IF(AND(Input_Product=Elig!$C1300,Elig_MatchAll_Ct&lt;22,$BC1300=(Elig_MatchAll_Ct-1),AS1300=0),P1300,0)</f>
        <v>0</v>
      </c>
      <c r="BV1300" s="992">
        <f>IF(AND(Input_Product=Elig!$C1300,Elig_MatchAll_Ct&lt;22,$BC1300=(Elig_MatchAll_Ct-1),AT1300=0),Q1300,0)</f>
        <v>0</v>
      </c>
      <c r="BW1300" s="993">
        <f>IF(AND(Input_Product=Elig!$C1300,Elig_MatchAll_Ct&lt;22,$BC1300=(Elig_MatchAll_Ct-1),AU1300=0),R1300,0)</f>
        <v>0</v>
      </c>
      <c r="BX1300" s="994">
        <f>IF(AND(Input_Product=Elig!$C1300,Elig_MatchAll_Ct&lt;22,$BC1300=(Elig_MatchAll_Ct-1),AU1300=0),S1300,0)</f>
        <v>0</v>
      </c>
      <c r="BY1300" s="993">
        <f>IF(AND(Input_Product=Elig!$C1300,Elig_MatchAll_Ct&lt;22,$BC1300=(Elig_MatchAll_Ct-1),AV1300=0),T1300,0)</f>
        <v>0</v>
      </c>
      <c r="BZ1300" s="994">
        <f>IF(AND(Input_Product=Elig!$C1300,Elig_MatchAll_Ct&lt;22,$BC1300=(Elig_MatchAll_Ct-1),AV1300=0),U1300,0)</f>
        <v>0</v>
      </c>
      <c r="CA1300" s="993">
        <f>IF(AND(Input_Product=Elig!$C1300,Elig_MatchAll_Ct&lt;22,$BC1300=(Elig_MatchAll_Ct-1),AW1300=0),V1300,0)</f>
        <v>0</v>
      </c>
      <c r="CB1300" s="994">
        <f>IF(AND(Input_Product=Elig!$C1300,Elig_MatchAll_Ct&lt;22,$BC1300=(Elig_MatchAll_Ct-1),AW1300=0),W1300,0)</f>
        <v>0</v>
      </c>
      <c r="CC1300" s="993">
        <f>IF(AND(Input_Product=Elig!$C1300,Elig_MatchAll_Ct&lt;22,$BC1300=(Elig_MatchAll_Ct-1),AX1300=0),X1300,0)</f>
        <v>0</v>
      </c>
      <c r="CD1300" s="994">
        <f>IF(AND(Input_Product=Elig!$C1300,Elig_MatchAll_Ct&lt;22,$BC1300=(Elig_MatchAll_Ct-1),AX1300=0),Y1300,0)</f>
        <v>0</v>
      </c>
      <c r="CE1300" s="993">
        <f>IF(AND(Input_LTV&lt;=AE1300,Input_Product=Elig!$C1300,Elig_MatchAll_Ct&lt;22,$BC1300=(Elig_MatchAll_Ct-1),AY1300=0),Z1300,0)</f>
        <v>0</v>
      </c>
      <c r="CF1300" s="994">
        <f>IF(AND(Input_LTV&lt;=AE1300,Input_Product=Elig!$C1300,Elig_MatchAll_Ct&lt;22,$BC1300=(Elig_MatchAll_Ct-1),AY1300=0),AA1300,0)</f>
        <v>0</v>
      </c>
      <c r="CG1300" s="993">
        <f>IF(AND(Input_Product=Elig!$C1300,Elig_MatchAll_Ct&lt;22,$BC1300=(Elig_MatchAll_Ct-1),AZ1300=0),AB1300,0)</f>
        <v>0</v>
      </c>
      <c r="CH1300" s="994">
        <f>IF(AND(Input_Product=Elig!$C1300,Elig_MatchAll_Ct&lt;22,$BC1300=(Elig_MatchAll_Ct-1),AZ1300=0),AC1300,0)</f>
        <v>0</v>
      </c>
      <c r="CI1300" s="993">
        <f>IF(AND(Input_Product=Elig!$C1300,Elig_MatchAll_Ct&lt;22,$BC1300=(Elig_MatchAll_Ct-1),BA1300=0),AD1300,0)</f>
        <v>0</v>
      </c>
      <c r="CJ1300" s="994">
        <f>IF(AND(Input_Product=Elig!$C1300,Elig_MatchAll_Ct&lt;22,$BC1300=(Elig_MatchAll_Ct-1),BA1300=0),AE1300,0)</f>
        <v>0</v>
      </c>
    </row>
    <row r="1301" spans="2:88" ht="10.15" customHeight="1" x14ac:dyDescent="0.25">
      <c r="B1301" s="1538" t="s">
        <v>2746</v>
      </c>
      <c r="C1301" s="1538" t="str">
        <f t="shared" si="472"/>
        <v xml:space="preserve">  OO</v>
      </c>
      <c r="D1301" s="1538" t="s">
        <v>2764</v>
      </c>
      <c r="E1301" s="1538" t="s">
        <v>167</v>
      </c>
      <c r="F1301" s="1538" t="s">
        <v>2765</v>
      </c>
      <c r="G1301" s="1538" t="s">
        <v>2766</v>
      </c>
      <c r="H1301" s="1538" t="s">
        <v>2767</v>
      </c>
      <c r="I1301" s="1539" t="s">
        <v>34</v>
      </c>
      <c r="J1301" s="1539" t="s">
        <v>1311</v>
      </c>
      <c r="K1301" s="1539" t="s">
        <v>3023</v>
      </c>
      <c r="L1301" s="1538" t="s">
        <v>2768</v>
      </c>
      <c r="M1301" s="1538" t="s">
        <v>2677</v>
      </c>
      <c r="N1301" s="1538" t="s">
        <v>2685</v>
      </c>
      <c r="O1301" s="1538" t="s">
        <v>310</v>
      </c>
      <c r="P1301" s="1538" t="s">
        <v>291</v>
      </c>
      <c r="Q1301" s="1538" t="s">
        <v>294</v>
      </c>
      <c r="R1301" s="1538">
        <v>3000000.01</v>
      </c>
      <c r="S1301" s="1538">
        <v>3500000</v>
      </c>
      <c r="T1301" s="1538">
        <v>0</v>
      </c>
      <c r="U1301" s="1538">
        <v>0</v>
      </c>
      <c r="V1301" s="1538">
        <v>0</v>
      </c>
      <c r="W1301" s="1538">
        <v>55</v>
      </c>
      <c r="X1301" s="1538">
        <v>0</v>
      </c>
      <c r="Y1301" s="1538">
        <v>0</v>
      </c>
      <c r="Z1301" s="1540">
        <v>720</v>
      </c>
      <c r="AA1301" s="1540">
        <v>999</v>
      </c>
      <c r="AB1301" s="1540">
        <v>6</v>
      </c>
      <c r="AC1301" s="1540">
        <v>999999</v>
      </c>
      <c r="AD1301" s="1538">
        <v>0</v>
      </c>
      <c r="AE1301" s="1545">
        <v>70</v>
      </c>
      <c r="AF1301" s="170">
        <v>0</v>
      </c>
      <c r="AG1301" s="171">
        <v>1</v>
      </c>
      <c r="AH1301" s="171">
        <v>1</v>
      </c>
      <c r="AI1301" s="171">
        <v>1</v>
      </c>
      <c r="AJ1301" s="171">
        <v>1</v>
      </c>
      <c r="AK1301" s="171">
        <v>1</v>
      </c>
      <c r="AL1301" s="171">
        <v>0</v>
      </c>
      <c r="AM1301" s="171">
        <v>1</v>
      </c>
      <c r="AN1301" s="171">
        <v>1</v>
      </c>
      <c r="AO1301" s="171">
        <v>1</v>
      </c>
      <c r="AP1301" s="171">
        <v>1</v>
      </c>
      <c r="AQ1301" s="171">
        <v>1</v>
      </c>
      <c r="AR1301" s="171">
        <v>1</v>
      </c>
      <c r="AS1301" s="171">
        <v>1</v>
      </c>
      <c r="AT1301" s="171">
        <v>1</v>
      </c>
      <c r="AU1301" s="171">
        <f t="shared" si="447"/>
        <v>0</v>
      </c>
      <c r="AV1301" s="171">
        <f t="shared" si="448"/>
        <v>0</v>
      </c>
      <c r="AW1301" s="171">
        <f t="shared" si="449"/>
        <v>1</v>
      </c>
      <c r="AX1301" s="171">
        <f t="shared" si="467"/>
        <v>1</v>
      </c>
      <c r="AY1301" s="171">
        <f t="shared" si="450"/>
        <v>1</v>
      </c>
      <c r="AZ1301" s="171">
        <f t="shared" si="451"/>
        <v>1</v>
      </c>
      <c r="BA1301" s="172">
        <f t="shared" si="452"/>
        <v>1</v>
      </c>
      <c r="BB1301" s="175">
        <f t="shared" si="454"/>
        <v>18</v>
      </c>
      <c r="BC1301" s="176">
        <f t="shared" si="455"/>
        <v>17</v>
      </c>
      <c r="BD1301" s="176">
        <f t="shared" si="456"/>
        <v>18</v>
      </c>
      <c r="BE1301" s="240" t="str">
        <f t="shared" si="446"/>
        <v/>
      </c>
      <c r="BF1301" s="990"/>
      <c r="BG1301" s="990"/>
      <c r="BH1301" s="991">
        <f>IF(AND(Input_Product=Elig!$C1301,Elig_MatchAll_Ct&lt;22,$BC1301=(Elig_MatchAll_Ct-1),AF1301=0),C1301,0)</f>
        <v>0</v>
      </c>
      <c r="BI1301" s="991">
        <f>IF(AND(Input_Product=Elig!$C1301,Elig_MatchAll_Ct&lt;22,$BC1301=(Elig_MatchAll_Ct-1),AG1301=0),D1301,0)</f>
        <v>0</v>
      </c>
      <c r="BJ1301" s="991">
        <f>IF(AND(Input_Product=Elig!$C1301,Elig_MatchAll_Ct&lt;22,$BC1301=(Elig_MatchAll_Ct-1),AH1301=0),E1301,0)</f>
        <v>0</v>
      </c>
      <c r="BK1301" s="991">
        <f>IF(AND(Input_Product=Elig!$C1301,Elig_MatchAll_Ct&lt;22,$BC1301=(Elig_MatchAll_Ct-1),AI1301=0),F1301,0)</f>
        <v>0</v>
      </c>
      <c r="BL1301" s="991">
        <f>IF(AND(Input_Product=Elig!$C1301,Elig_MatchAll_Ct&lt;22,$BC1301=(Elig_MatchAll_Ct-1),AJ1301=0),G1301,0)</f>
        <v>0</v>
      </c>
      <c r="BM1301" s="991">
        <f>IF(AND(Input_Product=Elig!$C1301,Elig_MatchAll_Ct&lt;22,$BC1301=(Elig_MatchAll_Ct-1),AK1301=0),H1301,0)</f>
        <v>0</v>
      </c>
      <c r="BN1301" s="991">
        <f>IF(AND(Input_Product=Elig!$C1301,Elig_MatchAll_Ct&lt;22,$BC1301=(Elig_MatchAll_Ct-1),AL1301=0),I1301,0)</f>
        <v>0</v>
      </c>
      <c r="BO1301" s="991">
        <f>IF(AND(Input_Product=Elig!$C1301,Elig_MatchAll_Ct&lt;22,$BC1301=(Elig_MatchAll_Ct-1),AM1301=0),J1301,0)</f>
        <v>0</v>
      </c>
      <c r="BP1301" s="991">
        <f>IF(AND(Input_Product=Elig!$C1301,Elig_MatchAll_Ct&lt;22,$BC1301=(Elig_MatchAll_Ct-1),AN1301=0),K1301,0)</f>
        <v>0</v>
      </c>
      <c r="BQ1301" s="991">
        <f>IF(AND(Input_Product=Elig!$C1301,Elig_MatchAll_Ct&lt;22,$BC1301=(Elig_MatchAll_Ct-1),AP1301=0),L1301,0)</f>
        <v>0</v>
      </c>
      <c r="BR1301" s="991">
        <f>IF(AND(Input_Product=Elig!$C1301,Elig_MatchAll_Ct&lt;22,$BC1301=(Elig_MatchAll_Ct-1),AO1301=0),M1301,0)</f>
        <v>0</v>
      </c>
      <c r="BS1301" s="991">
        <f>IF(AND(Input_Product=Elig!$C1301,Elig_MatchAll_Ct&lt;22,$BC1301=(Elig_MatchAll_Ct-1),AQ1301=0),N1301,0)</f>
        <v>0</v>
      </c>
      <c r="BT1301" s="991">
        <f>IF(AND(Input_Product=Elig!$C1301,Elig_MatchAll_Ct&lt;22,$BC1301=(Elig_MatchAll_Ct-1),AR1301=0),O1301,0)</f>
        <v>0</v>
      </c>
      <c r="BU1301" s="991">
        <f>IF(AND(Input_Product=Elig!$C1301,Elig_MatchAll_Ct&lt;22,$BC1301=(Elig_MatchAll_Ct-1),AS1301=0),P1301,0)</f>
        <v>0</v>
      </c>
      <c r="BV1301" s="992">
        <f>IF(AND(Input_Product=Elig!$C1301,Elig_MatchAll_Ct&lt;22,$BC1301=(Elig_MatchAll_Ct-1),AT1301=0),Q1301,0)</f>
        <v>0</v>
      </c>
      <c r="BW1301" s="993">
        <f>IF(AND(Input_Product=Elig!$C1301,Elig_MatchAll_Ct&lt;22,$BC1301=(Elig_MatchAll_Ct-1),AU1301=0),R1301,0)</f>
        <v>0</v>
      </c>
      <c r="BX1301" s="994">
        <f>IF(AND(Input_Product=Elig!$C1301,Elig_MatchAll_Ct&lt;22,$BC1301=(Elig_MatchAll_Ct-1),AU1301=0),S1301,0)</f>
        <v>0</v>
      </c>
      <c r="BY1301" s="993">
        <f>IF(AND(Input_Product=Elig!$C1301,Elig_MatchAll_Ct&lt;22,$BC1301=(Elig_MatchAll_Ct-1),AV1301=0),T1301,0)</f>
        <v>0</v>
      </c>
      <c r="BZ1301" s="994">
        <f>IF(AND(Input_Product=Elig!$C1301,Elig_MatchAll_Ct&lt;22,$BC1301=(Elig_MatchAll_Ct-1),AV1301=0),U1301,0)</f>
        <v>0</v>
      </c>
      <c r="CA1301" s="993">
        <f>IF(AND(Input_Product=Elig!$C1301,Elig_MatchAll_Ct&lt;22,$BC1301=(Elig_MatchAll_Ct-1),AW1301=0),V1301,0)</f>
        <v>0</v>
      </c>
      <c r="CB1301" s="994">
        <f>IF(AND(Input_Product=Elig!$C1301,Elig_MatchAll_Ct&lt;22,$BC1301=(Elig_MatchAll_Ct-1),AW1301=0),W1301,0)</f>
        <v>0</v>
      </c>
      <c r="CC1301" s="993">
        <f>IF(AND(Input_Product=Elig!$C1301,Elig_MatchAll_Ct&lt;22,$BC1301=(Elig_MatchAll_Ct-1),AX1301=0),X1301,0)</f>
        <v>0</v>
      </c>
      <c r="CD1301" s="994">
        <f>IF(AND(Input_Product=Elig!$C1301,Elig_MatchAll_Ct&lt;22,$BC1301=(Elig_MatchAll_Ct-1),AX1301=0),Y1301,0)</f>
        <v>0</v>
      </c>
      <c r="CE1301" s="993">
        <f>IF(AND(Input_LTV&lt;=AE1301,Input_Product=Elig!$C1301,Elig_MatchAll_Ct&lt;22,$BC1301=(Elig_MatchAll_Ct-1),AY1301=0),Z1301,0)</f>
        <v>0</v>
      </c>
      <c r="CF1301" s="994">
        <f>IF(AND(Input_LTV&lt;=AE1301,Input_Product=Elig!$C1301,Elig_MatchAll_Ct&lt;22,$BC1301=(Elig_MatchAll_Ct-1),AY1301=0),AA1301,0)</f>
        <v>0</v>
      </c>
      <c r="CG1301" s="993">
        <f>IF(AND(Input_Product=Elig!$C1301,Elig_MatchAll_Ct&lt;22,$BC1301=(Elig_MatchAll_Ct-1),AZ1301=0),AB1301,0)</f>
        <v>0</v>
      </c>
      <c r="CH1301" s="994">
        <f>IF(AND(Input_Product=Elig!$C1301,Elig_MatchAll_Ct&lt;22,$BC1301=(Elig_MatchAll_Ct-1),AZ1301=0),AC1301,0)</f>
        <v>0</v>
      </c>
      <c r="CI1301" s="993">
        <f>IF(AND(Input_Product=Elig!$C1301,Elig_MatchAll_Ct&lt;22,$BC1301=(Elig_MatchAll_Ct-1),BA1301=0),AD1301,0)</f>
        <v>0</v>
      </c>
      <c r="CJ1301" s="994">
        <f>IF(AND(Input_Product=Elig!$C1301,Elig_MatchAll_Ct&lt;22,$BC1301=(Elig_MatchAll_Ct-1),BA1301=0),AE1301,0)</f>
        <v>0</v>
      </c>
    </row>
    <row r="1302" spans="2:88" ht="10.15" customHeight="1" x14ac:dyDescent="0.25">
      <c r="B1302" s="1538" t="s">
        <v>2747</v>
      </c>
      <c r="C1302" s="1538" t="str">
        <f t="shared" si="472"/>
        <v xml:space="preserve">  OO</v>
      </c>
      <c r="D1302" s="1538" t="s">
        <v>2764</v>
      </c>
      <c r="E1302" s="1538" t="s">
        <v>167</v>
      </c>
      <c r="F1302" s="1538" t="s">
        <v>2765</v>
      </c>
      <c r="G1302" s="1538" t="s">
        <v>2766</v>
      </c>
      <c r="H1302" s="1538" t="s">
        <v>2767</v>
      </c>
      <c r="I1302" s="1539" t="s">
        <v>34</v>
      </c>
      <c r="J1302" s="1539" t="s">
        <v>1311</v>
      </c>
      <c r="K1302" s="1539" t="s">
        <v>3023</v>
      </c>
      <c r="L1302" s="1538" t="s">
        <v>2768</v>
      </c>
      <c r="M1302" s="1538" t="s">
        <v>2677</v>
      </c>
      <c r="N1302" s="1538" t="s">
        <v>2685</v>
      </c>
      <c r="O1302" s="1538" t="s">
        <v>310</v>
      </c>
      <c r="P1302" s="1538" t="s">
        <v>291</v>
      </c>
      <c r="Q1302" s="1538" t="s">
        <v>294</v>
      </c>
      <c r="R1302" s="1538">
        <v>3500000.01</v>
      </c>
      <c r="S1302" s="1538">
        <v>4000000</v>
      </c>
      <c r="T1302" s="1538">
        <v>0</v>
      </c>
      <c r="U1302" s="1538">
        <v>0</v>
      </c>
      <c r="V1302" s="1538">
        <v>0</v>
      </c>
      <c r="W1302" s="1538">
        <v>55</v>
      </c>
      <c r="X1302" s="1538">
        <v>0</v>
      </c>
      <c r="Y1302" s="1538">
        <v>0</v>
      </c>
      <c r="Z1302" s="1540">
        <v>720</v>
      </c>
      <c r="AA1302" s="1540">
        <v>999</v>
      </c>
      <c r="AB1302" s="1540">
        <v>6</v>
      </c>
      <c r="AC1302" s="1540">
        <v>999999</v>
      </c>
      <c r="AD1302" s="1538">
        <v>0</v>
      </c>
      <c r="AE1302" s="1545">
        <v>70</v>
      </c>
      <c r="AF1302" s="170">
        <v>0</v>
      </c>
      <c r="AG1302" s="171">
        <v>1</v>
      </c>
      <c r="AH1302" s="171">
        <v>1</v>
      </c>
      <c r="AI1302" s="171">
        <v>1</v>
      </c>
      <c r="AJ1302" s="171">
        <v>1</v>
      </c>
      <c r="AK1302" s="171">
        <v>1</v>
      </c>
      <c r="AL1302" s="171">
        <v>0</v>
      </c>
      <c r="AM1302" s="171">
        <v>1</v>
      </c>
      <c r="AN1302" s="171">
        <v>1</v>
      </c>
      <c r="AO1302" s="171">
        <v>1</v>
      </c>
      <c r="AP1302" s="171">
        <v>1</v>
      </c>
      <c r="AQ1302" s="171">
        <v>1</v>
      </c>
      <c r="AR1302" s="171">
        <v>1</v>
      </c>
      <c r="AS1302" s="171">
        <v>1</v>
      </c>
      <c r="AT1302" s="171">
        <v>1</v>
      </c>
      <c r="AU1302" s="171">
        <f t="shared" si="447"/>
        <v>0</v>
      </c>
      <c r="AV1302" s="171">
        <f t="shared" si="448"/>
        <v>0</v>
      </c>
      <c r="AW1302" s="171">
        <f t="shared" si="449"/>
        <v>1</v>
      </c>
      <c r="AX1302" s="171">
        <f t="shared" si="467"/>
        <v>1</v>
      </c>
      <c r="AY1302" s="171">
        <f t="shared" si="450"/>
        <v>1</v>
      </c>
      <c r="AZ1302" s="171">
        <f t="shared" si="451"/>
        <v>1</v>
      </c>
      <c r="BA1302" s="172">
        <f t="shared" si="452"/>
        <v>1</v>
      </c>
      <c r="BB1302" s="175">
        <f t="shared" si="454"/>
        <v>18</v>
      </c>
      <c r="BC1302" s="176">
        <f t="shared" si="455"/>
        <v>17</v>
      </c>
      <c r="BD1302" s="176">
        <f t="shared" si="456"/>
        <v>18</v>
      </c>
      <c r="BE1302" s="240" t="str">
        <f t="shared" si="446"/>
        <v/>
      </c>
      <c r="BF1302" s="990"/>
      <c r="BG1302" s="990"/>
      <c r="BH1302" s="991">
        <f>IF(AND(Input_Product=Elig!$C1302,Elig_MatchAll_Ct&lt;22,$BC1302=(Elig_MatchAll_Ct-1),AF1302=0),C1302,0)</f>
        <v>0</v>
      </c>
      <c r="BI1302" s="991">
        <f>IF(AND(Input_Product=Elig!$C1302,Elig_MatchAll_Ct&lt;22,$BC1302=(Elig_MatchAll_Ct-1),AG1302=0),D1302,0)</f>
        <v>0</v>
      </c>
      <c r="BJ1302" s="991">
        <f>IF(AND(Input_Product=Elig!$C1302,Elig_MatchAll_Ct&lt;22,$BC1302=(Elig_MatchAll_Ct-1),AH1302=0),E1302,0)</f>
        <v>0</v>
      </c>
      <c r="BK1302" s="991">
        <f>IF(AND(Input_Product=Elig!$C1302,Elig_MatchAll_Ct&lt;22,$BC1302=(Elig_MatchAll_Ct-1),AI1302=0),F1302,0)</f>
        <v>0</v>
      </c>
      <c r="BL1302" s="991">
        <f>IF(AND(Input_Product=Elig!$C1302,Elig_MatchAll_Ct&lt;22,$BC1302=(Elig_MatchAll_Ct-1),AJ1302=0),G1302,0)</f>
        <v>0</v>
      </c>
      <c r="BM1302" s="991">
        <f>IF(AND(Input_Product=Elig!$C1302,Elig_MatchAll_Ct&lt;22,$BC1302=(Elig_MatchAll_Ct-1),AK1302=0),H1302,0)</f>
        <v>0</v>
      </c>
      <c r="BN1302" s="991">
        <f>IF(AND(Input_Product=Elig!$C1302,Elig_MatchAll_Ct&lt;22,$BC1302=(Elig_MatchAll_Ct-1),AL1302=0),I1302,0)</f>
        <v>0</v>
      </c>
      <c r="BO1302" s="991">
        <f>IF(AND(Input_Product=Elig!$C1302,Elig_MatchAll_Ct&lt;22,$BC1302=(Elig_MatchAll_Ct-1),AM1302=0),J1302,0)</f>
        <v>0</v>
      </c>
      <c r="BP1302" s="991">
        <f>IF(AND(Input_Product=Elig!$C1302,Elig_MatchAll_Ct&lt;22,$BC1302=(Elig_MatchAll_Ct-1),AN1302=0),K1302,0)</f>
        <v>0</v>
      </c>
      <c r="BQ1302" s="991">
        <f>IF(AND(Input_Product=Elig!$C1302,Elig_MatchAll_Ct&lt;22,$BC1302=(Elig_MatchAll_Ct-1),AP1302=0),L1302,0)</f>
        <v>0</v>
      </c>
      <c r="BR1302" s="991">
        <f>IF(AND(Input_Product=Elig!$C1302,Elig_MatchAll_Ct&lt;22,$BC1302=(Elig_MatchAll_Ct-1),AO1302=0),M1302,0)</f>
        <v>0</v>
      </c>
      <c r="BS1302" s="991">
        <f>IF(AND(Input_Product=Elig!$C1302,Elig_MatchAll_Ct&lt;22,$BC1302=(Elig_MatchAll_Ct-1),AQ1302=0),N1302,0)</f>
        <v>0</v>
      </c>
      <c r="BT1302" s="991">
        <f>IF(AND(Input_Product=Elig!$C1302,Elig_MatchAll_Ct&lt;22,$BC1302=(Elig_MatchAll_Ct-1),AR1302=0),O1302,0)</f>
        <v>0</v>
      </c>
      <c r="BU1302" s="991">
        <f>IF(AND(Input_Product=Elig!$C1302,Elig_MatchAll_Ct&lt;22,$BC1302=(Elig_MatchAll_Ct-1),AS1302=0),P1302,0)</f>
        <v>0</v>
      </c>
      <c r="BV1302" s="992">
        <f>IF(AND(Input_Product=Elig!$C1302,Elig_MatchAll_Ct&lt;22,$BC1302=(Elig_MatchAll_Ct-1),AT1302=0),Q1302,0)</f>
        <v>0</v>
      </c>
      <c r="BW1302" s="993">
        <f>IF(AND(Input_Product=Elig!$C1302,Elig_MatchAll_Ct&lt;22,$BC1302=(Elig_MatchAll_Ct-1),AU1302=0),R1302,0)</f>
        <v>0</v>
      </c>
      <c r="BX1302" s="994">
        <f>IF(AND(Input_Product=Elig!$C1302,Elig_MatchAll_Ct&lt;22,$BC1302=(Elig_MatchAll_Ct-1),AU1302=0),S1302,0)</f>
        <v>0</v>
      </c>
      <c r="BY1302" s="993">
        <f>IF(AND(Input_Product=Elig!$C1302,Elig_MatchAll_Ct&lt;22,$BC1302=(Elig_MatchAll_Ct-1),AV1302=0),T1302,0)</f>
        <v>0</v>
      </c>
      <c r="BZ1302" s="994">
        <f>IF(AND(Input_Product=Elig!$C1302,Elig_MatchAll_Ct&lt;22,$BC1302=(Elig_MatchAll_Ct-1),AV1302=0),U1302,0)</f>
        <v>0</v>
      </c>
      <c r="CA1302" s="993">
        <f>IF(AND(Input_Product=Elig!$C1302,Elig_MatchAll_Ct&lt;22,$BC1302=(Elig_MatchAll_Ct-1),AW1302=0),V1302,0)</f>
        <v>0</v>
      </c>
      <c r="CB1302" s="994">
        <f>IF(AND(Input_Product=Elig!$C1302,Elig_MatchAll_Ct&lt;22,$BC1302=(Elig_MatchAll_Ct-1),AW1302=0),W1302,0)</f>
        <v>0</v>
      </c>
      <c r="CC1302" s="993">
        <f>IF(AND(Input_Product=Elig!$C1302,Elig_MatchAll_Ct&lt;22,$BC1302=(Elig_MatchAll_Ct-1),AX1302=0),X1302,0)</f>
        <v>0</v>
      </c>
      <c r="CD1302" s="994">
        <f>IF(AND(Input_Product=Elig!$C1302,Elig_MatchAll_Ct&lt;22,$BC1302=(Elig_MatchAll_Ct-1),AX1302=0),Y1302,0)</f>
        <v>0</v>
      </c>
      <c r="CE1302" s="993">
        <f>IF(AND(Input_LTV&lt;=AE1302,Input_Product=Elig!$C1302,Elig_MatchAll_Ct&lt;22,$BC1302=(Elig_MatchAll_Ct-1),AY1302=0),Z1302,0)</f>
        <v>0</v>
      </c>
      <c r="CF1302" s="994">
        <f>IF(AND(Input_LTV&lt;=AE1302,Input_Product=Elig!$C1302,Elig_MatchAll_Ct&lt;22,$BC1302=(Elig_MatchAll_Ct-1),AY1302=0),AA1302,0)</f>
        <v>0</v>
      </c>
      <c r="CG1302" s="993">
        <f>IF(AND(Input_Product=Elig!$C1302,Elig_MatchAll_Ct&lt;22,$BC1302=(Elig_MatchAll_Ct-1),AZ1302=0),AB1302,0)</f>
        <v>0</v>
      </c>
      <c r="CH1302" s="994">
        <f>IF(AND(Input_Product=Elig!$C1302,Elig_MatchAll_Ct&lt;22,$BC1302=(Elig_MatchAll_Ct-1),AZ1302=0),AC1302,0)</f>
        <v>0</v>
      </c>
      <c r="CI1302" s="993">
        <f>IF(AND(Input_Product=Elig!$C1302,Elig_MatchAll_Ct&lt;22,$BC1302=(Elig_MatchAll_Ct-1),BA1302=0),AD1302,0)</f>
        <v>0</v>
      </c>
      <c r="CJ1302" s="994">
        <f>IF(AND(Input_Product=Elig!$C1302,Elig_MatchAll_Ct&lt;22,$BC1302=(Elig_MatchAll_Ct-1),BA1302=0),AE1302,0)</f>
        <v>0</v>
      </c>
    </row>
    <row r="1303" spans="2:88" ht="10.15" customHeight="1" x14ac:dyDescent="0.25">
      <c r="B1303" s="1538" t="s">
        <v>2748</v>
      </c>
      <c r="C1303" s="1538" t="str">
        <f t="shared" si="472"/>
        <v xml:space="preserve">  OO</v>
      </c>
      <c r="D1303" s="1538" t="s">
        <v>2764</v>
      </c>
      <c r="E1303" s="1538" t="s">
        <v>167</v>
      </c>
      <c r="F1303" s="1538" t="s">
        <v>2765</v>
      </c>
      <c r="G1303" s="1538" t="s">
        <v>2766</v>
      </c>
      <c r="H1303" s="1538" t="s">
        <v>2767</v>
      </c>
      <c r="I1303" s="1539" t="s">
        <v>34</v>
      </c>
      <c r="J1303" s="1539" t="s">
        <v>1311</v>
      </c>
      <c r="K1303" s="1539" t="s">
        <v>3023</v>
      </c>
      <c r="L1303" s="1538" t="s">
        <v>2768</v>
      </c>
      <c r="M1303" s="1538" t="s">
        <v>2677</v>
      </c>
      <c r="N1303" s="1538" t="s">
        <v>2685</v>
      </c>
      <c r="O1303" s="1538" t="s">
        <v>310</v>
      </c>
      <c r="P1303" s="1538" t="s">
        <v>291</v>
      </c>
      <c r="Q1303" s="1538" t="s">
        <v>294</v>
      </c>
      <c r="R1303" s="1538">
        <v>150000</v>
      </c>
      <c r="S1303" s="1538">
        <v>1000000</v>
      </c>
      <c r="T1303" s="1538">
        <v>0</v>
      </c>
      <c r="U1303" s="1538">
        <v>0</v>
      </c>
      <c r="V1303" s="1538">
        <v>0</v>
      </c>
      <c r="W1303" s="1538">
        <v>55</v>
      </c>
      <c r="X1303" s="1538">
        <v>0</v>
      </c>
      <c r="Y1303" s="1538">
        <v>0</v>
      </c>
      <c r="Z1303" s="1540">
        <v>700</v>
      </c>
      <c r="AA1303" s="1540">
        <v>719</v>
      </c>
      <c r="AB1303" s="1540">
        <v>6</v>
      </c>
      <c r="AC1303" s="1540">
        <v>999999</v>
      </c>
      <c r="AD1303" s="1538">
        <v>0</v>
      </c>
      <c r="AE1303" s="1545">
        <v>90</v>
      </c>
      <c r="AF1303" s="170">
        <v>0</v>
      </c>
      <c r="AG1303" s="171">
        <v>1</v>
      </c>
      <c r="AH1303" s="171">
        <v>1</v>
      </c>
      <c r="AI1303" s="171">
        <v>1</v>
      </c>
      <c r="AJ1303" s="171">
        <v>1</v>
      </c>
      <c r="AK1303" s="171">
        <v>1</v>
      </c>
      <c r="AL1303" s="171">
        <v>0</v>
      </c>
      <c r="AM1303" s="171">
        <v>1</v>
      </c>
      <c r="AN1303" s="171">
        <v>1</v>
      </c>
      <c r="AO1303" s="171">
        <v>1</v>
      </c>
      <c r="AP1303" s="171">
        <v>1</v>
      </c>
      <c r="AQ1303" s="171">
        <v>1</v>
      </c>
      <c r="AR1303" s="171">
        <v>1</v>
      </c>
      <c r="AS1303" s="171">
        <v>1</v>
      </c>
      <c r="AT1303" s="171">
        <v>1</v>
      </c>
      <c r="AU1303" s="171">
        <f t="shared" si="447"/>
        <v>1</v>
      </c>
      <c r="AV1303" s="171">
        <f t="shared" si="448"/>
        <v>0</v>
      </c>
      <c r="AW1303" s="171">
        <f t="shared" si="449"/>
        <v>1</v>
      </c>
      <c r="AX1303" s="171">
        <f t="shared" si="467"/>
        <v>1</v>
      </c>
      <c r="AY1303" s="171">
        <f t="shared" si="450"/>
        <v>0</v>
      </c>
      <c r="AZ1303" s="171">
        <f t="shared" si="451"/>
        <v>1</v>
      </c>
      <c r="BA1303" s="172">
        <f t="shared" si="452"/>
        <v>1</v>
      </c>
      <c r="BB1303" s="175">
        <f t="shared" si="454"/>
        <v>18</v>
      </c>
      <c r="BC1303" s="176">
        <f t="shared" si="455"/>
        <v>17</v>
      </c>
      <c r="BD1303" s="176">
        <f t="shared" si="456"/>
        <v>18</v>
      </c>
      <c r="BE1303" s="240" t="str">
        <f t="shared" si="446"/>
        <v/>
      </c>
      <c r="BF1303" s="990"/>
      <c r="BG1303" s="990"/>
      <c r="BH1303" s="991">
        <f>IF(AND(Input_Product=Elig!$C1303,Elig_MatchAll_Ct&lt;22,$BC1303=(Elig_MatchAll_Ct-1),AF1303=0),C1303,0)</f>
        <v>0</v>
      </c>
      <c r="BI1303" s="991">
        <f>IF(AND(Input_Product=Elig!$C1303,Elig_MatchAll_Ct&lt;22,$BC1303=(Elig_MatchAll_Ct-1),AG1303=0),D1303,0)</f>
        <v>0</v>
      </c>
      <c r="BJ1303" s="991">
        <f>IF(AND(Input_Product=Elig!$C1303,Elig_MatchAll_Ct&lt;22,$BC1303=(Elig_MatchAll_Ct-1),AH1303=0),E1303,0)</f>
        <v>0</v>
      </c>
      <c r="BK1303" s="991">
        <f>IF(AND(Input_Product=Elig!$C1303,Elig_MatchAll_Ct&lt;22,$BC1303=(Elig_MatchAll_Ct-1),AI1303=0),F1303,0)</f>
        <v>0</v>
      </c>
      <c r="BL1303" s="991">
        <f>IF(AND(Input_Product=Elig!$C1303,Elig_MatchAll_Ct&lt;22,$BC1303=(Elig_MatchAll_Ct-1),AJ1303=0),G1303,0)</f>
        <v>0</v>
      </c>
      <c r="BM1303" s="991">
        <f>IF(AND(Input_Product=Elig!$C1303,Elig_MatchAll_Ct&lt;22,$BC1303=(Elig_MatchAll_Ct-1),AK1303=0),H1303,0)</f>
        <v>0</v>
      </c>
      <c r="BN1303" s="991">
        <f>IF(AND(Input_Product=Elig!$C1303,Elig_MatchAll_Ct&lt;22,$BC1303=(Elig_MatchAll_Ct-1),AL1303=0),I1303,0)</f>
        <v>0</v>
      </c>
      <c r="BO1303" s="991">
        <f>IF(AND(Input_Product=Elig!$C1303,Elig_MatchAll_Ct&lt;22,$BC1303=(Elig_MatchAll_Ct-1),AM1303=0),J1303,0)</f>
        <v>0</v>
      </c>
      <c r="BP1303" s="991">
        <f>IF(AND(Input_Product=Elig!$C1303,Elig_MatchAll_Ct&lt;22,$BC1303=(Elig_MatchAll_Ct-1),AN1303=0),K1303,0)</f>
        <v>0</v>
      </c>
      <c r="BQ1303" s="991">
        <f>IF(AND(Input_Product=Elig!$C1303,Elig_MatchAll_Ct&lt;22,$BC1303=(Elig_MatchAll_Ct-1),AP1303=0),L1303,0)</f>
        <v>0</v>
      </c>
      <c r="BR1303" s="991">
        <f>IF(AND(Input_Product=Elig!$C1303,Elig_MatchAll_Ct&lt;22,$BC1303=(Elig_MatchAll_Ct-1),AO1303=0),M1303,0)</f>
        <v>0</v>
      </c>
      <c r="BS1303" s="991">
        <f>IF(AND(Input_Product=Elig!$C1303,Elig_MatchAll_Ct&lt;22,$BC1303=(Elig_MatchAll_Ct-1),AQ1303=0),N1303,0)</f>
        <v>0</v>
      </c>
      <c r="BT1303" s="991">
        <f>IF(AND(Input_Product=Elig!$C1303,Elig_MatchAll_Ct&lt;22,$BC1303=(Elig_MatchAll_Ct-1),AR1303=0),O1303,0)</f>
        <v>0</v>
      </c>
      <c r="BU1303" s="991">
        <f>IF(AND(Input_Product=Elig!$C1303,Elig_MatchAll_Ct&lt;22,$BC1303=(Elig_MatchAll_Ct-1),AS1303=0),P1303,0)</f>
        <v>0</v>
      </c>
      <c r="BV1303" s="992">
        <f>IF(AND(Input_Product=Elig!$C1303,Elig_MatchAll_Ct&lt;22,$BC1303=(Elig_MatchAll_Ct-1),AT1303=0),Q1303,0)</f>
        <v>0</v>
      </c>
      <c r="BW1303" s="993">
        <f>IF(AND(Input_Product=Elig!$C1303,Elig_MatchAll_Ct&lt;22,$BC1303=(Elig_MatchAll_Ct-1),AU1303=0),R1303,0)</f>
        <v>0</v>
      </c>
      <c r="BX1303" s="994">
        <f>IF(AND(Input_Product=Elig!$C1303,Elig_MatchAll_Ct&lt;22,$BC1303=(Elig_MatchAll_Ct-1),AU1303=0),S1303,0)</f>
        <v>0</v>
      </c>
      <c r="BY1303" s="993">
        <f>IF(AND(Input_Product=Elig!$C1303,Elig_MatchAll_Ct&lt;22,$BC1303=(Elig_MatchAll_Ct-1),AV1303=0),T1303,0)</f>
        <v>0</v>
      </c>
      <c r="BZ1303" s="994">
        <f>IF(AND(Input_Product=Elig!$C1303,Elig_MatchAll_Ct&lt;22,$BC1303=(Elig_MatchAll_Ct-1),AV1303=0),U1303,0)</f>
        <v>0</v>
      </c>
      <c r="CA1303" s="993">
        <f>IF(AND(Input_Product=Elig!$C1303,Elig_MatchAll_Ct&lt;22,$BC1303=(Elig_MatchAll_Ct-1),AW1303=0),V1303,0)</f>
        <v>0</v>
      </c>
      <c r="CB1303" s="994">
        <f>IF(AND(Input_Product=Elig!$C1303,Elig_MatchAll_Ct&lt;22,$BC1303=(Elig_MatchAll_Ct-1),AW1303=0),W1303,0)</f>
        <v>0</v>
      </c>
      <c r="CC1303" s="993">
        <f>IF(AND(Input_Product=Elig!$C1303,Elig_MatchAll_Ct&lt;22,$BC1303=(Elig_MatchAll_Ct-1),AX1303=0),X1303,0)</f>
        <v>0</v>
      </c>
      <c r="CD1303" s="994">
        <f>IF(AND(Input_Product=Elig!$C1303,Elig_MatchAll_Ct&lt;22,$BC1303=(Elig_MatchAll_Ct-1),AX1303=0),Y1303,0)</f>
        <v>0</v>
      </c>
      <c r="CE1303" s="993">
        <f>IF(AND(Input_LTV&lt;=AE1303,Input_Product=Elig!$C1303,Elig_MatchAll_Ct&lt;22,$BC1303=(Elig_MatchAll_Ct-1),AY1303=0),Z1303,0)</f>
        <v>0</v>
      </c>
      <c r="CF1303" s="994">
        <f>IF(AND(Input_LTV&lt;=AE1303,Input_Product=Elig!$C1303,Elig_MatchAll_Ct&lt;22,$BC1303=(Elig_MatchAll_Ct-1),AY1303=0),AA1303,0)</f>
        <v>0</v>
      </c>
      <c r="CG1303" s="993">
        <f>IF(AND(Input_Product=Elig!$C1303,Elig_MatchAll_Ct&lt;22,$BC1303=(Elig_MatchAll_Ct-1),AZ1303=0),AB1303,0)</f>
        <v>0</v>
      </c>
      <c r="CH1303" s="994">
        <f>IF(AND(Input_Product=Elig!$C1303,Elig_MatchAll_Ct&lt;22,$BC1303=(Elig_MatchAll_Ct-1),AZ1303=0),AC1303,0)</f>
        <v>0</v>
      </c>
      <c r="CI1303" s="993">
        <f>IF(AND(Input_Product=Elig!$C1303,Elig_MatchAll_Ct&lt;22,$BC1303=(Elig_MatchAll_Ct-1),BA1303=0),AD1303,0)</f>
        <v>0</v>
      </c>
      <c r="CJ1303" s="994">
        <f>IF(AND(Input_Product=Elig!$C1303,Elig_MatchAll_Ct&lt;22,$BC1303=(Elig_MatchAll_Ct-1),BA1303=0),AE1303,0)</f>
        <v>0</v>
      </c>
    </row>
    <row r="1304" spans="2:88" ht="10.15" customHeight="1" x14ac:dyDescent="0.25">
      <c r="B1304" s="1538" t="s">
        <v>2749</v>
      </c>
      <c r="C1304" s="1538" t="str">
        <f t="shared" si="472"/>
        <v xml:space="preserve">  OO</v>
      </c>
      <c r="D1304" s="1538" t="s">
        <v>2764</v>
      </c>
      <c r="E1304" s="1538" t="s">
        <v>167</v>
      </c>
      <c r="F1304" s="1538" t="s">
        <v>2765</v>
      </c>
      <c r="G1304" s="1538" t="s">
        <v>2766</v>
      </c>
      <c r="H1304" s="1538" t="s">
        <v>2767</v>
      </c>
      <c r="I1304" s="1539" t="s">
        <v>34</v>
      </c>
      <c r="J1304" s="1539" t="s">
        <v>1311</v>
      </c>
      <c r="K1304" s="1539" t="s">
        <v>3023</v>
      </c>
      <c r="L1304" s="1538" t="s">
        <v>2768</v>
      </c>
      <c r="M1304" s="1538" t="s">
        <v>2677</v>
      </c>
      <c r="N1304" s="1538" t="s">
        <v>2685</v>
      </c>
      <c r="O1304" s="1538" t="s">
        <v>310</v>
      </c>
      <c r="P1304" s="1538" t="s">
        <v>291</v>
      </c>
      <c r="Q1304" s="1538" t="s">
        <v>294</v>
      </c>
      <c r="R1304" s="1538">
        <v>1000000.01</v>
      </c>
      <c r="S1304" s="1538">
        <v>1500000</v>
      </c>
      <c r="T1304" s="1538">
        <v>0</v>
      </c>
      <c r="U1304" s="1538">
        <v>0</v>
      </c>
      <c r="V1304" s="1538">
        <v>0</v>
      </c>
      <c r="W1304" s="1538">
        <v>55</v>
      </c>
      <c r="X1304" s="1538">
        <v>0</v>
      </c>
      <c r="Y1304" s="1538">
        <v>0</v>
      </c>
      <c r="Z1304" s="1540">
        <v>700</v>
      </c>
      <c r="AA1304" s="1540">
        <v>719</v>
      </c>
      <c r="AB1304" s="1540">
        <v>6</v>
      </c>
      <c r="AC1304" s="1540">
        <v>999999</v>
      </c>
      <c r="AD1304" s="1538">
        <v>0</v>
      </c>
      <c r="AE1304" s="1545">
        <v>90</v>
      </c>
      <c r="AF1304" s="170">
        <v>0</v>
      </c>
      <c r="AG1304" s="171">
        <v>1</v>
      </c>
      <c r="AH1304" s="171">
        <v>1</v>
      </c>
      <c r="AI1304" s="171">
        <v>1</v>
      </c>
      <c r="AJ1304" s="171">
        <v>1</v>
      </c>
      <c r="AK1304" s="171">
        <v>1</v>
      </c>
      <c r="AL1304" s="171">
        <v>0</v>
      </c>
      <c r="AM1304" s="171">
        <v>1</v>
      </c>
      <c r="AN1304" s="171">
        <v>1</v>
      </c>
      <c r="AO1304" s="171">
        <v>1</v>
      </c>
      <c r="AP1304" s="171">
        <v>1</v>
      </c>
      <c r="AQ1304" s="171">
        <v>1</v>
      </c>
      <c r="AR1304" s="171">
        <v>1</v>
      </c>
      <c r="AS1304" s="171">
        <v>1</v>
      </c>
      <c r="AT1304" s="171">
        <v>1</v>
      </c>
      <c r="AU1304" s="171">
        <f t="shared" si="447"/>
        <v>0</v>
      </c>
      <c r="AV1304" s="171">
        <f t="shared" si="448"/>
        <v>0</v>
      </c>
      <c r="AW1304" s="171">
        <f t="shared" si="449"/>
        <v>1</v>
      </c>
      <c r="AX1304" s="171">
        <f t="shared" si="467"/>
        <v>1</v>
      </c>
      <c r="AY1304" s="171">
        <f t="shared" si="450"/>
        <v>0</v>
      </c>
      <c r="AZ1304" s="171">
        <f t="shared" si="451"/>
        <v>1</v>
      </c>
      <c r="BA1304" s="172">
        <f t="shared" si="452"/>
        <v>1</v>
      </c>
      <c r="BB1304" s="175">
        <f t="shared" si="454"/>
        <v>17</v>
      </c>
      <c r="BC1304" s="176">
        <f t="shared" si="455"/>
        <v>16</v>
      </c>
      <c r="BD1304" s="176">
        <f t="shared" si="456"/>
        <v>17</v>
      </c>
      <c r="BE1304" s="240" t="str">
        <f t="shared" si="446"/>
        <v/>
      </c>
      <c r="BF1304" s="990"/>
      <c r="BG1304" s="990"/>
      <c r="BH1304" s="991">
        <f>IF(AND(Input_Product=Elig!$C1304,Elig_MatchAll_Ct&lt;22,$BC1304=(Elig_MatchAll_Ct-1),AF1304=0),C1304,0)</f>
        <v>0</v>
      </c>
      <c r="BI1304" s="991">
        <f>IF(AND(Input_Product=Elig!$C1304,Elig_MatchAll_Ct&lt;22,$BC1304=(Elig_MatchAll_Ct-1),AG1304=0),D1304,0)</f>
        <v>0</v>
      </c>
      <c r="BJ1304" s="991">
        <f>IF(AND(Input_Product=Elig!$C1304,Elig_MatchAll_Ct&lt;22,$BC1304=(Elig_MatchAll_Ct-1),AH1304=0),E1304,0)</f>
        <v>0</v>
      </c>
      <c r="BK1304" s="991">
        <f>IF(AND(Input_Product=Elig!$C1304,Elig_MatchAll_Ct&lt;22,$BC1304=(Elig_MatchAll_Ct-1),AI1304=0),F1304,0)</f>
        <v>0</v>
      </c>
      <c r="BL1304" s="991">
        <f>IF(AND(Input_Product=Elig!$C1304,Elig_MatchAll_Ct&lt;22,$BC1304=(Elig_MatchAll_Ct-1),AJ1304=0),G1304,0)</f>
        <v>0</v>
      </c>
      <c r="BM1304" s="991">
        <f>IF(AND(Input_Product=Elig!$C1304,Elig_MatchAll_Ct&lt;22,$BC1304=(Elig_MatchAll_Ct-1),AK1304=0),H1304,0)</f>
        <v>0</v>
      </c>
      <c r="BN1304" s="991">
        <f>IF(AND(Input_Product=Elig!$C1304,Elig_MatchAll_Ct&lt;22,$BC1304=(Elig_MatchAll_Ct-1),AL1304=0),I1304,0)</f>
        <v>0</v>
      </c>
      <c r="BO1304" s="991">
        <f>IF(AND(Input_Product=Elig!$C1304,Elig_MatchAll_Ct&lt;22,$BC1304=(Elig_MatchAll_Ct-1),AM1304=0),J1304,0)</f>
        <v>0</v>
      </c>
      <c r="BP1304" s="991">
        <f>IF(AND(Input_Product=Elig!$C1304,Elig_MatchAll_Ct&lt;22,$BC1304=(Elig_MatchAll_Ct-1),AN1304=0),K1304,0)</f>
        <v>0</v>
      </c>
      <c r="BQ1304" s="991">
        <f>IF(AND(Input_Product=Elig!$C1304,Elig_MatchAll_Ct&lt;22,$BC1304=(Elig_MatchAll_Ct-1),AP1304=0),L1304,0)</f>
        <v>0</v>
      </c>
      <c r="BR1304" s="991">
        <f>IF(AND(Input_Product=Elig!$C1304,Elig_MatchAll_Ct&lt;22,$BC1304=(Elig_MatchAll_Ct-1),AO1304=0),M1304,0)</f>
        <v>0</v>
      </c>
      <c r="BS1304" s="991">
        <f>IF(AND(Input_Product=Elig!$C1304,Elig_MatchAll_Ct&lt;22,$BC1304=(Elig_MatchAll_Ct-1),AQ1304=0),N1304,0)</f>
        <v>0</v>
      </c>
      <c r="BT1304" s="991">
        <f>IF(AND(Input_Product=Elig!$C1304,Elig_MatchAll_Ct&lt;22,$BC1304=(Elig_MatchAll_Ct-1),AR1304=0),O1304,0)</f>
        <v>0</v>
      </c>
      <c r="BU1304" s="991">
        <f>IF(AND(Input_Product=Elig!$C1304,Elig_MatchAll_Ct&lt;22,$BC1304=(Elig_MatchAll_Ct-1),AS1304=0),P1304,0)</f>
        <v>0</v>
      </c>
      <c r="BV1304" s="992">
        <f>IF(AND(Input_Product=Elig!$C1304,Elig_MatchAll_Ct&lt;22,$BC1304=(Elig_MatchAll_Ct-1),AT1304=0),Q1304,0)</f>
        <v>0</v>
      </c>
      <c r="BW1304" s="993">
        <f>IF(AND(Input_Product=Elig!$C1304,Elig_MatchAll_Ct&lt;22,$BC1304=(Elig_MatchAll_Ct-1),AU1304=0),R1304,0)</f>
        <v>0</v>
      </c>
      <c r="BX1304" s="994">
        <f>IF(AND(Input_Product=Elig!$C1304,Elig_MatchAll_Ct&lt;22,$BC1304=(Elig_MatchAll_Ct-1),AU1304=0),S1304,0)</f>
        <v>0</v>
      </c>
      <c r="BY1304" s="993">
        <f>IF(AND(Input_Product=Elig!$C1304,Elig_MatchAll_Ct&lt;22,$BC1304=(Elig_MatchAll_Ct-1),AV1304=0),T1304,0)</f>
        <v>0</v>
      </c>
      <c r="BZ1304" s="994">
        <f>IF(AND(Input_Product=Elig!$C1304,Elig_MatchAll_Ct&lt;22,$BC1304=(Elig_MatchAll_Ct-1),AV1304=0),U1304,0)</f>
        <v>0</v>
      </c>
      <c r="CA1304" s="993">
        <f>IF(AND(Input_Product=Elig!$C1304,Elig_MatchAll_Ct&lt;22,$BC1304=(Elig_MatchAll_Ct-1),AW1304=0),V1304,0)</f>
        <v>0</v>
      </c>
      <c r="CB1304" s="994">
        <f>IF(AND(Input_Product=Elig!$C1304,Elig_MatchAll_Ct&lt;22,$BC1304=(Elig_MatchAll_Ct-1),AW1304=0),W1304,0)</f>
        <v>0</v>
      </c>
      <c r="CC1304" s="993">
        <f>IF(AND(Input_Product=Elig!$C1304,Elig_MatchAll_Ct&lt;22,$BC1304=(Elig_MatchAll_Ct-1),AX1304=0),X1304,0)</f>
        <v>0</v>
      </c>
      <c r="CD1304" s="994">
        <f>IF(AND(Input_Product=Elig!$C1304,Elig_MatchAll_Ct&lt;22,$BC1304=(Elig_MatchAll_Ct-1),AX1304=0),Y1304,0)</f>
        <v>0</v>
      </c>
      <c r="CE1304" s="993">
        <f>IF(AND(Input_LTV&lt;=AE1304,Input_Product=Elig!$C1304,Elig_MatchAll_Ct&lt;22,$BC1304=(Elig_MatchAll_Ct-1),AY1304=0),Z1304,0)</f>
        <v>0</v>
      </c>
      <c r="CF1304" s="994">
        <f>IF(AND(Input_LTV&lt;=AE1304,Input_Product=Elig!$C1304,Elig_MatchAll_Ct&lt;22,$BC1304=(Elig_MatchAll_Ct-1),AY1304=0),AA1304,0)</f>
        <v>0</v>
      </c>
      <c r="CG1304" s="993">
        <f>IF(AND(Input_Product=Elig!$C1304,Elig_MatchAll_Ct&lt;22,$BC1304=(Elig_MatchAll_Ct-1),AZ1304=0),AB1304,0)</f>
        <v>0</v>
      </c>
      <c r="CH1304" s="994">
        <f>IF(AND(Input_Product=Elig!$C1304,Elig_MatchAll_Ct&lt;22,$BC1304=(Elig_MatchAll_Ct-1),AZ1304=0),AC1304,0)</f>
        <v>0</v>
      </c>
      <c r="CI1304" s="993">
        <f>IF(AND(Input_Product=Elig!$C1304,Elig_MatchAll_Ct&lt;22,$BC1304=(Elig_MatchAll_Ct-1),BA1304=0),AD1304,0)</f>
        <v>0</v>
      </c>
      <c r="CJ1304" s="994">
        <f>IF(AND(Input_Product=Elig!$C1304,Elig_MatchAll_Ct&lt;22,$BC1304=(Elig_MatchAll_Ct-1),BA1304=0),AE1304,0)</f>
        <v>0</v>
      </c>
    </row>
    <row r="1305" spans="2:88" ht="10.15" customHeight="1" x14ac:dyDescent="0.25">
      <c r="B1305" s="1538" t="s">
        <v>2750</v>
      </c>
      <c r="C1305" s="1538" t="str">
        <f t="shared" si="472"/>
        <v xml:space="preserve">  OO</v>
      </c>
      <c r="D1305" s="1538" t="s">
        <v>2764</v>
      </c>
      <c r="E1305" s="1538" t="s">
        <v>167</v>
      </c>
      <c r="F1305" s="1538" t="s">
        <v>2765</v>
      </c>
      <c r="G1305" s="1538" t="s">
        <v>2766</v>
      </c>
      <c r="H1305" s="1538" t="s">
        <v>2767</v>
      </c>
      <c r="I1305" s="1539" t="s">
        <v>34</v>
      </c>
      <c r="J1305" s="1539" t="s">
        <v>1311</v>
      </c>
      <c r="K1305" s="1539" t="s">
        <v>3023</v>
      </c>
      <c r="L1305" s="1538" t="s">
        <v>2768</v>
      </c>
      <c r="M1305" s="1538" t="s">
        <v>2677</v>
      </c>
      <c r="N1305" s="1538" t="s">
        <v>2685</v>
      </c>
      <c r="O1305" s="1538" t="s">
        <v>310</v>
      </c>
      <c r="P1305" s="1538" t="s">
        <v>291</v>
      </c>
      <c r="Q1305" s="1538" t="s">
        <v>294</v>
      </c>
      <c r="R1305" s="1538">
        <v>1500000.01</v>
      </c>
      <c r="S1305" s="1538">
        <v>2000000</v>
      </c>
      <c r="T1305" s="1538">
        <v>0</v>
      </c>
      <c r="U1305" s="1538">
        <v>0</v>
      </c>
      <c r="V1305" s="1538">
        <v>0</v>
      </c>
      <c r="W1305" s="1538">
        <v>55</v>
      </c>
      <c r="X1305" s="1538">
        <v>0</v>
      </c>
      <c r="Y1305" s="1538">
        <v>0</v>
      </c>
      <c r="Z1305" s="1540">
        <v>700</v>
      </c>
      <c r="AA1305" s="1540">
        <v>719</v>
      </c>
      <c r="AB1305" s="1540">
        <v>6</v>
      </c>
      <c r="AC1305" s="1540">
        <v>999999</v>
      </c>
      <c r="AD1305" s="1538">
        <v>0</v>
      </c>
      <c r="AE1305" s="1545">
        <v>85</v>
      </c>
      <c r="AF1305" s="170">
        <v>0</v>
      </c>
      <c r="AG1305" s="171">
        <v>1</v>
      </c>
      <c r="AH1305" s="171">
        <v>1</v>
      </c>
      <c r="AI1305" s="171">
        <v>1</v>
      </c>
      <c r="AJ1305" s="171">
        <v>1</v>
      </c>
      <c r="AK1305" s="171">
        <v>1</v>
      </c>
      <c r="AL1305" s="171">
        <v>0</v>
      </c>
      <c r="AM1305" s="171">
        <v>1</v>
      </c>
      <c r="AN1305" s="171">
        <v>1</v>
      </c>
      <c r="AO1305" s="171">
        <v>1</v>
      </c>
      <c r="AP1305" s="171">
        <v>1</v>
      </c>
      <c r="AQ1305" s="171">
        <v>1</v>
      </c>
      <c r="AR1305" s="171">
        <v>1</v>
      </c>
      <c r="AS1305" s="171">
        <v>1</v>
      </c>
      <c r="AT1305" s="171">
        <v>1</v>
      </c>
      <c r="AU1305" s="171">
        <f t="shared" si="447"/>
        <v>0</v>
      </c>
      <c r="AV1305" s="171">
        <f t="shared" si="448"/>
        <v>0</v>
      </c>
      <c r="AW1305" s="171">
        <f t="shared" si="449"/>
        <v>1</v>
      </c>
      <c r="AX1305" s="171">
        <f t="shared" si="467"/>
        <v>1</v>
      </c>
      <c r="AY1305" s="171">
        <f t="shared" si="450"/>
        <v>0</v>
      </c>
      <c r="AZ1305" s="171">
        <f t="shared" si="451"/>
        <v>1</v>
      </c>
      <c r="BA1305" s="172">
        <f t="shared" si="452"/>
        <v>1</v>
      </c>
      <c r="BB1305" s="175">
        <f t="shared" si="454"/>
        <v>17</v>
      </c>
      <c r="BC1305" s="176">
        <f t="shared" si="455"/>
        <v>16</v>
      </c>
      <c r="BD1305" s="176">
        <f t="shared" si="456"/>
        <v>17</v>
      </c>
      <c r="BE1305" s="240" t="str">
        <f t="shared" si="446"/>
        <v/>
      </c>
      <c r="BF1305" s="990"/>
      <c r="BG1305" s="990"/>
      <c r="BH1305" s="991">
        <f>IF(AND(Input_Product=Elig!$C1305,Elig_MatchAll_Ct&lt;22,$BC1305=(Elig_MatchAll_Ct-1),AF1305=0),C1305,0)</f>
        <v>0</v>
      </c>
      <c r="BI1305" s="991">
        <f>IF(AND(Input_Product=Elig!$C1305,Elig_MatchAll_Ct&lt;22,$BC1305=(Elig_MatchAll_Ct-1),AG1305=0),D1305,0)</f>
        <v>0</v>
      </c>
      <c r="BJ1305" s="991">
        <f>IF(AND(Input_Product=Elig!$C1305,Elig_MatchAll_Ct&lt;22,$BC1305=(Elig_MatchAll_Ct-1),AH1305=0),E1305,0)</f>
        <v>0</v>
      </c>
      <c r="BK1305" s="991">
        <f>IF(AND(Input_Product=Elig!$C1305,Elig_MatchAll_Ct&lt;22,$BC1305=(Elig_MatchAll_Ct-1),AI1305=0),F1305,0)</f>
        <v>0</v>
      </c>
      <c r="BL1305" s="991">
        <f>IF(AND(Input_Product=Elig!$C1305,Elig_MatchAll_Ct&lt;22,$BC1305=(Elig_MatchAll_Ct-1),AJ1305=0),G1305,0)</f>
        <v>0</v>
      </c>
      <c r="BM1305" s="991">
        <f>IF(AND(Input_Product=Elig!$C1305,Elig_MatchAll_Ct&lt;22,$BC1305=(Elig_MatchAll_Ct-1),AK1305=0),H1305,0)</f>
        <v>0</v>
      </c>
      <c r="BN1305" s="991">
        <f>IF(AND(Input_Product=Elig!$C1305,Elig_MatchAll_Ct&lt;22,$BC1305=(Elig_MatchAll_Ct-1),AL1305=0),I1305,0)</f>
        <v>0</v>
      </c>
      <c r="BO1305" s="991">
        <f>IF(AND(Input_Product=Elig!$C1305,Elig_MatchAll_Ct&lt;22,$BC1305=(Elig_MatchAll_Ct-1),AM1305=0),J1305,0)</f>
        <v>0</v>
      </c>
      <c r="BP1305" s="991">
        <f>IF(AND(Input_Product=Elig!$C1305,Elig_MatchAll_Ct&lt;22,$BC1305=(Elig_MatchAll_Ct-1),AN1305=0),K1305,0)</f>
        <v>0</v>
      </c>
      <c r="BQ1305" s="991">
        <f>IF(AND(Input_Product=Elig!$C1305,Elig_MatchAll_Ct&lt;22,$BC1305=(Elig_MatchAll_Ct-1),AP1305=0),L1305,0)</f>
        <v>0</v>
      </c>
      <c r="BR1305" s="991">
        <f>IF(AND(Input_Product=Elig!$C1305,Elig_MatchAll_Ct&lt;22,$BC1305=(Elig_MatchAll_Ct-1),AO1305=0),M1305,0)</f>
        <v>0</v>
      </c>
      <c r="BS1305" s="991">
        <f>IF(AND(Input_Product=Elig!$C1305,Elig_MatchAll_Ct&lt;22,$BC1305=(Elig_MatchAll_Ct-1),AQ1305=0),N1305,0)</f>
        <v>0</v>
      </c>
      <c r="BT1305" s="991">
        <f>IF(AND(Input_Product=Elig!$C1305,Elig_MatchAll_Ct&lt;22,$BC1305=(Elig_MatchAll_Ct-1),AR1305=0),O1305,0)</f>
        <v>0</v>
      </c>
      <c r="BU1305" s="991">
        <f>IF(AND(Input_Product=Elig!$C1305,Elig_MatchAll_Ct&lt;22,$BC1305=(Elig_MatchAll_Ct-1),AS1305=0),P1305,0)</f>
        <v>0</v>
      </c>
      <c r="BV1305" s="992">
        <f>IF(AND(Input_Product=Elig!$C1305,Elig_MatchAll_Ct&lt;22,$BC1305=(Elig_MatchAll_Ct-1),AT1305=0),Q1305,0)</f>
        <v>0</v>
      </c>
      <c r="BW1305" s="993">
        <f>IF(AND(Input_Product=Elig!$C1305,Elig_MatchAll_Ct&lt;22,$BC1305=(Elig_MatchAll_Ct-1),AU1305=0),R1305,0)</f>
        <v>0</v>
      </c>
      <c r="BX1305" s="994">
        <f>IF(AND(Input_Product=Elig!$C1305,Elig_MatchAll_Ct&lt;22,$BC1305=(Elig_MatchAll_Ct-1),AU1305=0),S1305,0)</f>
        <v>0</v>
      </c>
      <c r="BY1305" s="993">
        <f>IF(AND(Input_Product=Elig!$C1305,Elig_MatchAll_Ct&lt;22,$BC1305=(Elig_MatchAll_Ct-1),AV1305=0),T1305,0)</f>
        <v>0</v>
      </c>
      <c r="BZ1305" s="994">
        <f>IF(AND(Input_Product=Elig!$C1305,Elig_MatchAll_Ct&lt;22,$BC1305=(Elig_MatchAll_Ct-1),AV1305=0),U1305,0)</f>
        <v>0</v>
      </c>
      <c r="CA1305" s="993">
        <f>IF(AND(Input_Product=Elig!$C1305,Elig_MatchAll_Ct&lt;22,$BC1305=(Elig_MatchAll_Ct-1),AW1305=0),V1305,0)</f>
        <v>0</v>
      </c>
      <c r="CB1305" s="994">
        <f>IF(AND(Input_Product=Elig!$C1305,Elig_MatchAll_Ct&lt;22,$BC1305=(Elig_MatchAll_Ct-1),AW1305=0),W1305,0)</f>
        <v>0</v>
      </c>
      <c r="CC1305" s="993">
        <f>IF(AND(Input_Product=Elig!$C1305,Elig_MatchAll_Ct&lt;22,$BC1305=(Elig_MatchAll_Ct-1),AX1305=0),X1305,0)</f>
        <v>0</v>
      </c>
      <c r="CD1305" s="994">
        <f>IF(AND(Input_Product=Elig!$C1305,Elig_MatchAll_Ct&lt;22,$BC1305=(Elig_MatchAll_Ct-1),AX1305=0),Y1305,0)</f>
        <v>0</v>
      </c>
      <c r="CE1305" s="993">
        <f>IF(AND(Input_LTV&lt;=AE1305,Input_Product=Elig!$C1305,Elig_MatchAll_Ct&lt;22,$BC1305=(Elig_MatchAll_Ct-1),AY1305=0),Z1305,0)</f>
        <v>0</v>
      </c>
      <c r="CF1305" s="994">
        <f>IF(AND(Input_LTV&lt;=AE1305,Input_Product=Elig!$C1305,Elig_MatchAll_Ct&lt;22,$BC1305=(Elig_MatchAll_Ct-1),AY1305=0),AA1305,0)</f>
        <v>0</v>
      </c>
      <c r="CG1305" s="993">
        <f>IF(AND(Input_Product=Elig!$C1305,Elig_MatchAll_Ct&lt;22,$BC1305=(Elig_MatchAll_Ct-1),AZ1305=0),AB1305,0)</f>
        <v>0</v>
      </c>
      <c r="CH1305" s="994">
        <f>IF(AND(Input_Product=Elig!$C1305,Elig_MatchAll_Ct&lt;22,$BC1305=(Elig_MatchAll_Ct-1),AZ1305=0),AC1305,0)</f>
        <v>0</v>
      </c>
      <c r="CI1305" s="993">
        <f>IF(AND(Input_Product=Elig!$C1305,Elig_MatchAll_Ct&lt;22,$BC1305=(Elig_MatchAll_Ct-1),BA1305=0),AD1305,0)</f>
        <v>0</v>
      </c>
      <c r="CJ1305" s="994">
        <f>IF(AND(Input_Product=Elig!$C1305,Elig_MatchAll_Ct&lt;22,$BC1305=(Elig_MatchAll_Ct-1),BA1305=0),AE1305,0)</f>
        <v>0</v>
      </c>
    </row>
    <row r="1306" spans="2:88" ht="10.15" customHeight="1" x14ac:dyDescent="0.25">
      <c r="B1306" s="1538" t="s">
        <v>2751</v>
      </c>
      <c r="C1306" s="1538" t="str">
        <f t="shared" si="472"/>
        <v xml:space="preserve">  OO</v>
      </c>
      <c r="D1306" s="1538" t="s">
        <v>2764</v>
      </c>
      <c r="E1306" s="1538" t="s">
        <v>167</v>
      </c>
      <c r="F1306" s="1538" t="s">
        <v>2765</v>
      </c>
      <c r="G1306" s="1538" t="s">
        <v>2766</v>
      </c>
      <c r="H1306" s="1538" t="s">
        <v>2767</v>
      </c>
      <c r="I1306" s="1539" t="s">
        <v>34</v>
      </c>
      <c r="J1306" s="1539" t="s">
        <v>1311</v>
      </c>
      <c r="K1306" s="1539" t="s">
        <v>3023</v>
      </c>
      <c r="L1306" s="1538" t="s">
        <v>2768</v>
      </c>
      <c r="M1306" s="1538" t="s">
        <v>2677</v>
      </c>
      <c r="N1306" s="1538" t="s">
        <v>2685</v>
      </c>
      <c r="O1306" s="1538" t="s">
        <v>310</v>
      </c>
      <c r="P1306" s="1538" t="s">
        <v>291</v>
      </c>
      <c r="Q1306" s="1538" t="s">
        <v>294</v>
      </c>
      <c r="R1306" s="1538">
        <v>2000000.01</v>
      </c>
      <c r="S1306" s="1538">
        <v>2500000</v>
      </c>
      <c r="T1306" s="1538">
        <v>0</v>
      </c>
      <c r="U1306" s="1538">
        <v>0</v>
      </c>
      <c r="V1306" s="1538">
        <v>0</v>
      </c>
      <c r="W1306" s="1538">
        <v>55</v>
      </c>
      <c r="X1306" s="1538">
        <v>0</v>
      </c>
      <c r="Y1306" s="1538">
        <v>0</v>
      </c>
      <c r="Z1306" s="1540">
        <v>700</v>
      </c>
      <c r="AA1306" s="1540">
        <v>719</v>
      </c>
      <c r="AB1306" s="1540">
        <v>6</v>
      </c>
      <c r="AC1306" s="1540">
        <v>999999</v>
      </c>
      <c r="AD1306" s="1538">
        <v>0</v>
      </c>
      <c r="AE1306" s="1545">
        <v>75</v>
      </c>
      <c r="AF1306" s="170">
        <v>0</v>
      </c>
      <c r="AG1306" s="171">
        <v>1</v>
      </c>
      <c r="AH1306" s="171">
        <v>1</v>
      </c>
      <c r="AI1306" s="171">
        <v>1</v>
      </c>
      <c r="AJ1306" s="171">
        <v>1</v>
      </c>
      <c r="AK1306" s="171">
        <v>1</v>
      </c>
      <c r="AL1306" s="171">
        <v>0</v>
      </c>
      <c r="AM1306" s="171">
        <v>1</v>
      </c>
      <c r="AN1306" s="171">
        <v>1</v>
      </c>
      <c r="AO1306" s="171">
        <v>1</v>
      </c>
      <c r="AP1306" s="171">
        <v>1</v>
      </c>
      <c r="AQ1306" s="171">
        <v>1</v>
      </c>
      <c r="AR1306" s="171">
        <v>1</v>
      </c>
      <c r="AS1306" s="171">
        <v>1</v>
      </c>
      <c r="AT1306" s="171">
        <v>1</v>
      </c>
      <c r="AU1306" s="171">
        <f t="shared" si="447"/>
        <v>0</v>
      </c>
      <c r="AV1306" s="171">
        <f t="shared" si="448"/>
        <v>0</v>
      </c>
      <c r="AW1306" s="171">
        <f t="shared" si="449"/>
        <v>1</v>
      </c>
      <c r="AX1306" s="171">
        <f t="shared" si="467"/>
        <v>1</v>
      </c>
      <c r="AY1306" s="171">
        <f t="shared" si="450"/>
        <v>0</v>
      </c>
      <c r="AZ1306" s="171">
        <f t="shared" si="451"/>
        <v>1</v>
      </c>
      <c r="BA1306" s="172">
        <f t="shared" si="452"/>
        <v>1</v>
      </c>
      <c r="BB1306" s="175">
        <f t="shared" si="454"/>
        <v>17</v>
      </c>
      <c r="BC1306" s="176">
        <f t="shared" si="455"/>
        <v>16</v>
      </c>
      <c r="BD1306" s="176">
        <f t="shared" si="456"/>
        <v>17</v>
      </c>
      <c r="BE1306" s="240" t="str">
        <f t="shared" si="446"/>
        <v/>
      </c>
      <c r="BF1306" s="990"/>
      <c r="BG1306" s="990"/>
      <c r="BH1306" s="991">
        <f>IF(AND(Input_Product=Elig!$C1306,Elig_MatchAll_Ct&lt;22,$BC1306=(Elig_MatchAll_Ct-1),AF1306=0),C1306,0)</f>
        <v>0</v>
      </c>
      <c r="BI1306" s="991">
        <f>IF(AND(Input_Product=Elig!$C1306,Elig_MatchAll_Ct&lt;22,$BC1306=(Elig_MatchAll_Ct-1),AG1306=0),D1306,0)</f>
        <v>0</v>
      </c>
      <c r="BJ1306" s="991">
        <f>IF(AND(Input_Product=Elig!$C1306,Elig_MatchAll_Ct&lt;22,$BC1306=(Elig_MatchAll_Ct-1),AH1306=0),E1306,0)</f>
        <v>0</v>
      </c>
      <c r="BK1306" s="991">
        <f>IF(AND(Input_Product=Elig!$C1306,Elig_MatchAll_Ct&lt;22,$BC1306=(Elig_MatchAll_Ct-1),AI1306=0),F1306,0)</f>
        <v>0</v>
      </c>
      <c r="BL1306" s="991">
        <f>IF(AND(Input_Product=Elig!$C1306,Elig_MatchAll_Ct&lt;22,$BC1306=(Elig_MatchAll_Ct-1),AJ1306=0),G1306,0)</f>
        <v>0</v>
      </c>
      <c r="BM1306" s="991">
        <f>IF(AND(Input_Product=Elig!$C1306,Elig_MatchAll_Ct&lt;22,$BC1306=(Elig_MatchAll_Ct-1),AK1306=0),H1306,0)</f>
        <v>0</v>
      </c>
      <c r="BN1306" s="991">
        <f>IF(AND(Input_Product=Elig!$C1306,Elig_MatchAll_Ct&lt;22,$BC1306=(Elig_MatchAll_Ct-1),AL1306=0),I1306,0)</f>
        <v>0</v>
      </c>
      <c r="BO1306" s="991">
        <f>IF(AND(Input_Product=Elig!$C1306,Elig_MatchAll_Ct&lt;22,$BC1306=(Elig_MatchAll_Ct-1),AM1306=0),J1306,0)</f>
        <v>0</v>
      </c>
      <c r="BP1306" s="991">
        <f>IF(AND(Input_Product=Elig!$C1306,Elig_MatchAll_Ct&lt;22,$BC1306=(Elig_MatchAll_Ct-1),AN1306=0),K1306,0)</f>
        <v>0</v>
      </c>
      <c r="BQ1306" s="991">
        <f>IF(AND(Input_Product=Elig!$C1306,Elig_MatchAll_Ct&lt;22,$BC1306=(Elig_MatchAll_Ct-1),AP1306=0),L1306,0)</f>
        <v>0</v>
      </c>
      <c r="BR1306" s="991">
        <f>IF(AND(Input_Product=Elig!$C1306,Elig_MatchAll_Ct&lt;22,$BC1306=(Elig_MatchAll_Ct-1),AO1306=0),M1306,0)</f>
        <v>0</v>
      </c>
      <c r="BS1306" s="991">
        <f>IF(AND(Input_Product=Elig!$C1306,Elig_MatchAll_Ct&lt;22,$BC1306=(Elig_MatchAll_Ct-1),AQ1306=0),N1306,0)</f>
        <v>0</v>
      </c>
      <c r="BT1306" s="991">
        <f>IF(AND(Input_Product=Elig!$C1306,Elig_MatchAll_Ct&lt;22,$BC1306=(Elig_MatchAll_Ct-1),AR1306=0),O1306,0)</f>
        <v>0</v>
      </c>
      <c r="BU1306" s="991">
        <f>IF(AND(Input_Product=Elig!$C1306,Elig_MatchAll_Ct&lt;22,$BC1306=(Elig_MatchAll_Ct-1),AS1306=0),P1306,0)</f>
        <v>0</v>
      </c>
      <c r="BV1306" s="992">
        <f>IF(AND(Input_Product=Elig!$C1306,Elig_MatchAll_Ct&lt;22,$BC1306=(Elig_MatchAll_Ct-1),AT1306=0),Q1306,0)</f>
        <v>0</v>
      </c>
      <c r="BW1306" s="993">
        <f>IF(AND(Input_Product=Elig!$C1306,Elig_MatchAll_Ct&lt;22,$BC1306=(Elig_MatchAll_Ct-1),AU1306=0),R1306,0)</f>
        <v>0</v>
      </c>
      <c r="BX1306" s="994">
        <f>IF(AND(Input_Product=Elig!$C1306,Elig_MatchAll_Ct&lt;22,$BC1306=(Elig_MatchAll_Ct-1),AU1306=0),S1306,0)</f>
        <v>0</v>
      </c>
      <c r="BY1306" s="993">
        <f>IF(AND(Input_Product=Elig!$C1306,Elig_MatchAll_Ct&lt;22,$BC1306=(Elig_MatchAll_Ct-1),AV1306=0),T1306,0)</f>
        <v>0</v>
      </c>
      <c r="BZ1306" s="994">
        <f>IF(AND(Input_Product=Elig!$C1306,Elig_MatchAll_Ct&lt;22,$BC1306=(Elig_MatchAll_Ct-1),AV1306=0),U1306,0)</f>
        <v>0</v>
      </c>
      <c r="CA1306" s="993">
        <f>IF(AND(Input_Product=Elig!$C1306,Elig_MatchAll_Ct&lt;22,$BC1306=(Elig_MatchAll_Ct-1),AW1306=0),V1306,0)</f>
        <v>0</v>
      </c>
      <c r="CB1306" s="994">
        <f>IF(AND(Input_Product=Elig!$C1306,Elig_MatchAll_Ct&lt;22,$BC1306=(Elig_MatchAll_Ct-1),AW1306=0),W1306,0)</f>
        <v>0</v>
      </c>
      <c r="CC1306" s="993">
        <f>IF(AND(Input_Product=Elig!$C1306,Elig_MatchAll_Ct&lt;22,$BC1306=(Elig_MatchAll_Ct-1),AX1306=0),X1306,0)</f>
        <v>0</v>
      </c>
      <c r="CD1306" s="994">
        <f>IF(AND(Input_Product=Elig!$C1306,Elig_MatchAll_Ct&lt;22,$BC1306=(Elig_MatchAll_Ct-1),AX1306=0),Y1306,0)</f>
        <v>0</v>
      </c>
      <c r="CE1306" s="993">
        <f>IF(AND(Input_LTV&lt;=AE1306,Input_Product=Elig!$C1306,Elig_MatchAll_Ct&lt;22,$BC1306=(Elig_MatchAll_Ct-1),AY1306=0),Z1306,0)</f>
        <v>0</v>
      </c>
      <c r="CF1306" s="994">
        <f>IF(AND(Input_LTV&lt;=AE1306,Input_Product=Elig!$C1306,Elig_MatchAll_Ct&lt;22,$BC1306=(Elig_MatchAll_Ct-1),AY1306=0),AA1306,0)</f>
        <v>0</v>
      </c>
      <c r="CG1306" s="993">
        <f>IF(AND(Input_Product=Elig!$C1306,Elig_MatchAll_Ct&lt;22,$BC1306=(Elig_MatchAll_Ct-1),AZ1306=0),AB1306,0)</f>
        <v>0</v>
      </c>
      <c r="CH1306" s="994">
        <f>IF(AND(Input_Product=Elig!$C1306,Elig_MatchAll_Ct&lt;22,$BC1306=(Elig_MatchAll_Ct-1),AZ1306=0),AC1306,0)</f>
        <v>0</v>
      </c>
      <c r="CI1306" s="993">
        <f>IF(AND(Input_Product=Elig!$C1306,Elig_MatchAll_Ct&lt;22,$BC1306=(Elig_MatchAll_Ct-1),BA1306=0),AD1306,0)</f>
        <v>0</v>
      </c>
      <c r="CJ1306" s="994">
        <f>IF(AND(Input_Product=Elig!$C1306,Elig_MatchAll_Ct&lt;22,$BC1306=(Elig_MatchAll_Ct-1),BA1306=0),AE1306,0)</f>
        <v>0</v>
      </c>
    </row>
    <row r="1307" spans="2:88" ht="10.15" customHeight="1" x14ac:dyDescent="0.25">
      <c r="B1307" s="1538" t="s">
        <v>2752</v>
      </c>
      <c r="C1307" s="1538" t="str">
        <f t="shared" si="472"/>
        <v xml:space="preserve">  OO</v>
      </c>
      <c r="D1307" s="1538" t="s">
        <v>2764</v>
      </c>
      <c r="E1307" s="1538" t="s">
        <v>167</v>
      </c>
      <c r="F1307" s="1538" t="s">
        <v>2765</v>
      </c>
      <c r="G1307" s="1538" t="s">
        <v>2766</v>
      </c>
      <c r="H1307" s="1538" t="s">
        <v>2767</v>
      </c>
      <c r="I1307" s="1539" t="s">
        <v>34</v>
      </c>
      <c r="J1307" s="1539" t="s">
        <v>1311</v>
      </c>
      <c r="K1307" s="1539" t="s">
        <v>3023</v>
      </c>
      <c r="L1307" s="1538" t="s">
        <v>2768</v>
      </c>
      <c r="M1307" s="1538" t="s">
        <v>2677</v>
      </c>
      <c r="N1307" s="1538" t="s">
        <v>2685</v>
      </c>
      <c r="O1307" s="1538" t="s">
        <v>310</v>
      </c>
      <c r="P1307" s="1538" t="s">
        <v>291</v>
      </c>
      <c r="Q1307" s="1538" t="s">
        <v>294</v>
      </c>
      <c r="R1307" s="1538">
        <v>2500000.0099999998</v>
      </c>
      <c r="S1307" s="1538">
        <v>3000000</v>
      </c>
      <c r="T1307" s="1538">
        <v>0</v>
      </c>
      <c r="U1307" s="1538">
        <v>0</v>
      </c>
      <c r="V1307" s="1538">
        <v>0</v>
      </c>
      <c r="W1307" s="1538">
        <v>55</v>
      </c>
      <c r="X1307" s="1538">
        <v>0</v>
      </c>
      <c r="Y1307" s="1538">
        <v>0</v>
      </c>
      <c r="Z1307" s="1540">
        <v>700</v>
      </c>
      <c r="AA1307" s="1540">
        <v>719</v>
      </c>
      <c r="AB1307" s="1540">
        <v>6</v>
      </c>
      <c r="AC1307" s="1540">
        <v>999999</v>
      </c>
      <c r="AD1307" s="1538">
        <v>0</v>
      </c>
      <c r="AE1307" s="1545">
        <v>75</v>
      </c>
      <c r="AF1307" s="170">
        <v>0</v>
      </c>
      <c r="AG1307" s="171">
        <v>1</v>
      </c>
      <c r="AH1307" s="171">
        <v>1</v>
      </c>
      <c r="AI1307" s="171">
        <v>1</v>
      </c>
      <c r="AJ1307" s="171">
        <v>1</v>
      </c>
      <c r="AK1307" s="171">
        <v>1</v>
      </c>
      <c r="AL1307" s="171">
        <v>0</v>
      </c>
      <c r="AM1307" s="171">
        <v>1</v>
      </c>
      <c r="AN1307" s="171">
        <v>1</v>
      </c>
      <c r="AO1307" s="171">
        <v>1</v>
      </c>
      <c r="AP1307" s="171">
        <v>1</v>
      </c>
      <c r="AQ1307" s="171">
        <v>1</v>
      </c>
      <c r="AR1307" s="171">
        <v>1</v>
      </c>
      <c r="AS1307" s="171">
        <v>1</v>
      </c>
      <c r="AT1307" s="171">
        <v>1</v>
      </c>
      <c r="AU1307" s="171">
        <f t="shared" si="447"/>
        <v>0</v>
      </c>
      <c r="AV1307" s="171">
        <f t="shared" si="448"/>
        <v>0</v>
      </c>
      <c r="AW1307" s="171">
        <f t="shared" si="449"/>
        <v>1</v>
      </c>
      <c r="AX1307" s="171">
        <f t="shared" si="467"/>
        <v>1</v>
      </c>
      <c r="AY1307" s="171">
        <f t="shared" si="450"/>
        <v>0</v>
      </c>
      <c r="AZ1307" s="171">
        <f t="shared" si="451"/>
        <v>1</v>
      </c>
      <c r="BA1307" s="172">
        <f t="shared" si="452"/>
        <v>1</v>
      </c>
      <c r="BB1307" s="175">
        <f t="shared" si="454"/>
        <v>17</v>
      </c>
      <c r="BC1307" s="176">
        <f t="shared" si="455"/>
        <v>16</v>
      </c>
      <c r="BD1307" s="176">
        <f t="shared" si="456"/>
        <v>17</v>
      </c>
      <c r="BE1307" s="240" t="str">
        <f t="shared" si="446"/>
        <v/>
      </c>
      <c r="BF1307" s="990"/>
      <c r="BG1307" s="990"/>
      <c r="BH1307" s="991">
        <f>IF(AND(Input_Product=Elig!$C1307,Elig_MatchAll_Ct&lt;22,$BC1307=(Elig_MatchAll_Ct-1),AF1307=0),C1307,0)</f>
        <v>0</v>
      </c>
      <c r="BI1307" s="991">
        <f>IF(AND(Input_Product=Elig!$C1307,Elig_MatchAll_Ct&lt;22,$BC1307=(Elig_MatchAll_Ct-1),AG1307=0),D1307,0)</f>
        <v>0</v>
      </c>
      <c r="BJ1307" s="991">
        <f>IF(AND(Input_Product=Elig!$C1307,Elig_MatchAll_Ct&lt;22,$BC1307=(Elig_MatchAll_Ct-1),AH1307=0),E1307,0)</f>
        <v>0</v>
      </c>
      <c r="BK1307" s="991">
        <f>IF(AND(Input_Product=Elig!$C1307,Elig_MatchAll_Ct&lt;22,$BC1307=(Elig_MatchAll_Ct-1),AI1307=0),F1307,0)</f>
        <v>0</v>
      </c>
      <c r="BL1307" s="991">
        <f>IF(AND(Input_Product=Elig!$C1307,Elig_MatchAll_Ct&lt;22,$BC1307=(Elig_MatchAll_Ct-1),AJ1307=0),G1307,0)</f>
        <v>0</v>
      </c>
      <c r="BM1307" s="991">
        <f>IF(AND(Input_Product=Elig!$C1307,Elig_MatchAll_Ct&lt;22,$BC1307=(Elig_MatchAll_Ct-1),AK1307=0),H1307,0)</f>
        <v>0</v>
      </c>
      <c r="BN1307" s="991">
        <f>IF(AND(Input_Product=Elig!$C1307,Elig_MatchAll_Ct&lt;22,$BC1307=(Elig_MatchAll_Ct-1),AL1307=0),I1307,0)</f>
        <v>0</v>
      </c>
      <c r="BO1307" s="991">
        <f>IF(AND(Input_Product=Elig!$C1307,Elig_MatchAll_Ct&lt;22,$BC1307=(Elig_MatchAll_Ct-1),AM1307=0),J1307,0)</f>
        <v>0</v>
      </c>
      <c r="BP1307" s="991">
        <f>IF(AND(Input_Product=Elig!$C1307,Elig_MatchAll_Ct&lt;22,$BC1307=(Elig_MatchAll_Ct-1),AN1307=0),K1307,0)</f>
        <v>0</v>
      </c>
      <c r="BQ1307" s="991">
        <f>IF(AND(Input_Product=Elig!$C1307,Elig_MatchAll_Ct&lt;22,$BC1307=(Elig_MatchAll_Ct-1),AP1307=0),L1307,0)</f>
        <v>0</v>
      </c>
      <c r="BR1307" s="991">
        <f>IF(AND(Input_Product=Elig!$C1307,Elig_MatchAll_Ct&lt;22,$BC1307=(Elig_MatchAll_Ct-1),AO1307=0),M1307,0)</f>
        <v>0</v>
      </c>
      <c r="BS1307" s="991">
        <f>IF(AND(Input_Product=Elig!$C1307,Elig_MatchAll_Ct&lt;22,$BC1307=(Elig_MatchAll_Ct-1),AQ1307=0),N1307,0)</f>
        <v>0</v>
      </c>
      <c r="BT1307" s="991">
        <f>IF(AND(Input_Product=Elig!$C1307,Elig_MatchAll_Ct&lt;22,$BC1307=(Elig_MatchAll_Ct-1),AR1307=0),O1307,0)</f>
        <v>0</v>
      </c>
      <c r="BU1307" s="991">
        <f>IF(AND(Input_Product=Elig!$C1307,Elig_MatchAll_Ct&lt;22,$BC1307=(Elig_MatchAll_Ct-1),AS1307=0),P1307,0)</f>
        <v>0</v>
      </c>
      <c r="BV1307" s="992">
        <f>IF(AND(Input_Product=Elig!$C1307,Elig_MatchAll_Ct&lt;22,$BC1307=(Elig_MatchAll_Ct-1),AT1307=0),Q1307,0)</f>
        <v>0</v>
      </c>
      <c r="BW1307" s="993">
        <f>IF(AND(Input_Product=Elig!$C1307,Elig_MatchAll_Ct&lt;22,$BC1307=(Elig_MatchAll_Ct-1),AU1307=0),R1307,0)</f>
        <v>0</v>
      </c>
      <c r="BX1307" s="994">
        <f>IF(AND(Input_Product=Elig!$C1307,Elig_MatchAll_Ct&lt;22,$BC1307=(Elig_MatchAll_Ct-1),AU1307=0),S1307,0)</f>
        <v>0</v>
      </c>
      <c r="BY1307" s="993">
        <f>IF(AND(Input_Product=Elig!$C1307,Elig_MatchAll_Ct&lt;22,$BC1307=(Elig_MatchAll_Ct-1),AV1307=0),T1307,0)</f>
        <v>0</v>
      </c>
      <c r="BZ1307" s="994">
        <f>IF(AND(Input_Product=Elig!$C1307,Elig_MatchAll_Ct&lt;22,$BC1307=(Elig_MatchAll_Ct-1),AV1307=0),U1307,0)</f>
        <v>0</v>
      </c>
      <c r="CA1307" s="993">
        <f>IF(AND(Input_Product=Elig!$C1307,Elig_MatchAll_Ct&lt;22,$BC1307=(Elig_MatchAll_Ct-1),AW1307=0),V1307,0)</f>
        <v>0</v>
      </c>
      <c r="CB1307" s="994">
        <f>IF(AND(Input_Product=Elig!$C1307,Elig_MatchAll_Ct&lt;22,$BC1307=(Elig_MatchAll_Ct-1),AW1307=0),W1307,0)</f>
        <v>0</v>
      </c>
      <c r="CC1307" s="993">
        <f>IF(AND(Input_Product=Elig!$C1307,Elig_MatchAll_Ct&lt;22,$BC1307=(Elig_MatchAll_Ct-1),AX1307=0),X1307,0)</f>
        <v>0</v>
      </c>
      <c r="CD1307" s="994">
        <f>IF(AND(Input_Product=Elig!$C1307,Elig_MatchAll_Ct&lt;22,$BC1307=(Elig_MatchAll_Ct-1),AX1307=0),Y1307,0)</f>
        <v>0</v>
      </c>
      <c r="CE1307" s="993">
        <f>IF(AND(Input_LTV&lt;=AE1307,Input_Product=Elig!$C1307,Elig_MatchAll_Ct&lt;22,$BC1307=(Elig_MatchAll_Ct-1),AY1307=0),Z1307,0)</f>
        <v>0</v>
      </c>
      <c r="CF1307" s="994">
        <f>IF(AND(Input_LTV&lt;=AE1307,Input_Product=Elig!$C1307,Elig_MatchAll_Ct&lt;22,$BC1307=(Elig_MatchAll_Ct-1),AY1307=0),AA1307,0)</f>
        <v>0</v>
      </c>
      <c r="CG1307" s="993">
        <f>IF(AND(Input_Product=Elig!$C1307,Elig_MatchAll_Ct&lt;22,$BC1307=(Elig_MatchAll_Ct-1),AZ1307=0),AB1307,0)</f>
        <v>0</v>
      </c>
      <c r="CH1307" s="994">
        <f>IF(AND(Input_Product=Elig!$C1307,Elig_MatchAll_Ct&lt;22,$BC1307=(Elig_MatchAll_Ct-1),AZ1307=0),AC1307,0)</f>
        <v>0</v>
      </c>
      <c r="CI1307" s="993">
        <f>IF(AND(Input_Product=Elig!$C1307,Elig_MatchAll_Ct&lt;22,$BC1307=(Elig_MatchAll_Ct-1),BA1307=0),AD1307,0)</f>
        <v>0</v>
      </c>
      <c r="CJ1307" s="994">
        <f>IF(AND(Input_Product=Elig!$C1307,Elig_MatchAll_Ct&lt;22,$BC1307=(Elig_MatchAll_Ct-1),BA1307=0),AE1307,0)</f>
        <v>0</v>
      </c>
    </row>
    <row r="1308" spans="2:88" ht="10.15" customHeight="1" x14ac:dyDescent="0.25">
      <c r="B1308" s="1538" t="s">
        <v>2753</v>
      </c>
      <c r="C1308" s="1538" t="str">
        <f t="shared" si="472"/>
        <v xml:space="preserve">  OO</v>
      </c>
      <c r="D1308" s="1538" t="s">
        <v>2764</v>
      </c>
      <c r="E1308" s="1538" t="s">
        <v>167</v>
      </c>
      <c r="F1308" s="1538" t="s">
        <v>2765</v>
      </c>
      <c r="G1308" s="1538" t="s">
        <v>2766</v>
      </c>
      <c r="H1308" s="1538" t="s">
        <v>2767</v>
      </c>
      <c r="I1308" s="1539" t="s">
        <v>34</v>
      </c>
      <c r="J1308" s="1539" t="s">
        <v>1311</v>
      </c>
      <c r="K1308" s="1539" t="s">
        <v>3023</v>
      </c>
      <c r="L1308" s="1538" t="s">
        <v>2768</v>
      </c>
      <c r="M1308" s="1538" t="s">
        <v>2677</v>
      </c>
      <c r="N1308" s="1538" t="s">
        <v>2685</v>
      </c>
      <c r="O1308" s="1538" t="s">
        <v>310</v>
      </c>
      <c r="P1308" s="1538" t="s">
        <v>291</v>
      </c>
      <c r="Q1308" s="1538" t="s">
        <v>294</v>
      </c>
      <c r="R1308" s="1538">
        <v>3000000.01</v>
      </c>
      <c r="S1308" s="1538">
        <v>3500000</v>
      </c>
      <c r="T1308" s="1538">
        <v>0</v>
      </c>
      <c r="U1308" s="1538">
        <v>0</v>
      </c>
      <c r="V1308" s="1538">
        <v>0</v>
      </c>
      <c r="W1308" s="1538">
        <v>55</v>
      </c>
      <c r="X1308" s="1538">
        <v>0</v>
      </c>
      <c r="Y1308" s="1538">
        <v>0</v>
      </c>
      <c r="Z1308" s="1540">
        <v>700</v>
      </c>
      <c r="AA1308" s="1540">
        <v>719</v>
      </c>
      <c r="AB1308" s="1540">
        <v>6</v>
      </c>
      <c r="AC1308" s="1540">
        <v>999999</v>
      </c>
      <c r="AD1308" s="1538">
        <v>0</v>
      </c>
      <c r="AE1308" s="1545">
        <v>70</v>
      </c>
      <c r="AF1308" s="170">
        <v>0</v>
      </c>
      <c r="AG1308" s="171">
        <v>1</v>
      </c>
      <c r="AH1308" s="171">
        <v>1</v>
      </c>
      <c r="AI1308" s="171">
        <v>1</v>
      </c>
      <c r="AJ1308" s="171">
        <v>1</v>
      </c>
      <c r="AK1308" s="171">
        <v>1</v>
      </c>
      <c r="AL1308" s="171">
        <v>0</v>
      </c>
      <c r="AM1308" s="171">
        <v>1</v>
      </c>
      <c r="AN1308" s="171">
        <v>1</v>
      </c>
      <c r="AO1308" s="171">
        <v>1</v>
      </c>
      <c r="AP1308" s="171">
        <v>1</v>
      </c>
      <c r="AQ1308" s="171">
        <v>1</v>
      </c>
      <c r="AR1308" s="171">
        <v>1</v>
      </c>
      <c r="AS1308" s="171">
        <v>1</v>
      </c>
      <c r="AT1308" s="171">
        <v>1</v>
      </c>
      <c r="AU1308" s="171">
        <f t="shared" si="447"/>
        <v>0</v>
      </c>
      <c r="AV1308" s="171">
        <f t="shared" si="448"/>
        <v>0</v>
      </c>
      <c r="AW1308" s="171">
        <f t="shared" si="449"/>
        <v>1</v>
      </c>
      <c r="AX1308" s="171">
        <f t="shared" si="467"/>
        <v>1</v>
      </c>
      <c r="AY1308" s="171">
        <f t="shared" si="450"/>
        <v>0</v>
      </c>
      <c r="AZ1308" s="171">
        <f t="shared" si="451"/>
        <v>1</v>
      </c>
      <c r="BA1308" s="172">
        <f t="shared" si="452"/>
        <v>1</v>
      </c>
      <c r="BB1308" s="175">
        <f t="shared" si="454"/>
        <v>17</v>
      </c>
      <c r="BC1308" s="176">
        <f t="shared" si="455"/>
        <v>16</v>
      </c>
      <c r="BD1308" s="176">
        <f t="shared" si="456"/>
        <v>17</v>
      </c>
      <c r="BE1308" s="240" t="str">
        <f t="shared" si="446"/>
        <v/>
      </c>
      <c r="BF1308" s="990"/>
      <c r="BG1308" s="990"/>
      <c r="BH1308" s="991">
        <f>IF(AND(Input_Product=Elig!$C1308,Elig_MatchAll_Ct&lt;22,$BC1308=(Elig_MatchAll_Ct-1),AF1308=0),C1308,0)</f>
        <v>0</v>
      </c>
      <c r="BI1308" s="991">
        <f>IF(AND(Input_Product=Elig!$C1308,Elig_MatchAll_Ct&lt;22,$BC1308=(Elig_MatchAll_Ct-1),AG1308=0),D1308,0)</f>
        <v>0</v>
      </c>
      <c r="BJ1308" s="991">
        <f>IF(AND(Input_Product=Elig!$C1308,Elig_MatchAll_Ct&lt;22,$BC1308=(Elig_MatchAll_Ct-1),AH1308=0),E1308,0)</f>
        <v>0</v>
      </c>
      <c r="BK1308" s="991">
        <f>IF(AND(Input_Product=Elig!$C1308,Elig_MatchAll_Ct&lt;22,$BC1308=(Elig_MatchAll_Ct-1),AI1308=0),F1308,0)</f>
        <v>0</v>
      </c>
      <c r="BL1308" s="991">
        <f>IF(AND(Input_Product=Elig!$C1308,Elig_MatchAll_Ct&lt;22,$BC1308=(Elig_MatchAll_Ct-1),AJ1308=0),G1308,0)</f>
        <v>0</v>
      </c>
      <c r="BM1308" s="991">
        <f>IF(AND(Input_Product=Elig!$C1308,Elig_MatchAll_Ct&lt;22,$BC1308=(Elig_MatchAll_Ct-1),AK1308=0),H1308,0)</f>
        <v>0</v>
      </c>
      <c r="BN1308" s="991">
        <f>IF(AND(Input_Product=Elig!$C1308,Elig_MatchAll_Ct&lt;22,$BC1308=(Elig_MatchAll_Ct-1),AL1308=0),I1308,0)</f>
        <v>0</v>
      </c>
      <c r="BO1308" s="991">
        <f>IF(AND(Input_Product=Elig!$C1308,Elig_MatchAll_Ct&lt;22,$BC1308=(Elig_MatchAll_Ct-1),AM1308=0),J1308,0)</f>
        <v>0</v>
      </c>
      <c r="BP1308" s="991">
        <f>IF(AND(Input_Product=Elig!$C1308,Elig_MatchAll_Ct&lt;22,$BC1308=(Elig_MatchAll_Ct-1),AN1308=0),K1308,0)</f>
        <v>0</v>
      </c>
      <c r="BQ1308" s="991">
        <f>IF(AND(Input_Product=Elig!$C1308,Elig_MatchAll_Ct&lt;22,$BC1308=(Elig_MatchAll_Ct-1),AP1308=0),L1308,0)</f>
        <v>0</v>
      </c>
      <c r="BR1308" s="991">
        <f>IF(AND(Input_Product=Elig!$C1308,Elig_MatchAll_Ct&lt;22,$BC1308=(Elig_MatchAll_Ct-1),AO1308=0),M1308,0)</f>
        <v>0</v>
      </c>
      <c r="BS1308" s="991">
        <f>IF(AND(Input_Product=Elig!$C1308,Elig_MatchAll_Ct&lt;22,$BC1308=(Elig_MatchAll_Ct-1),AQ1308=0),N1308,0)</f>
        <v>0</v>
      </c>
      <c r="BT1308" s="991">
        <f>IF(AND(Input_Product=Elig!$C1308,Elig_MatchAll_Ct&lt;22,$BC1308=(Elig_MatchAll_Ct-1),AR1308=0),O1308,0)</f>
        <v>0</v>
      </c>
      <c r="BU1308" s="991">
        <f>IF(AND(Input_Product=Elig!$C1308,Elig_MatchAll_Ct&lt;22,$BC1308=(Elig_MatchAll_Ct-1),AS1308=0),P1308,0)</f>
        <v>0</v>
      </c>
      <c r="BV1308" s="992">
        <f>IF(AND(Input_Product=Elig!$C1308,Elig_MatchAll_Ct&lt;22,$BC1308=(Elig_MatchAll_Ct-1),AT1308=0),Q1308,0)</f>
        <v>0</v>
      </c>
      <c r="BW1308" s="993">
        <f>IF(AND(Input_Product=Elig!$C1308,Elig_MatchAll_Ct&lt;22,$BC1308=(Elig_MatchAll_Ct-1),AU1308=0),R1308,0)</f>
        <v>0</v>
      </c>
      <c r="BX1308" s="994">
        <f>IF(AND(Input_Product=Elig!$C1308,Elig_MatchAll_Ct&lt;22,$BC1308=(Elig_MatchAll_Ct-1),AU1308=0),S1308,0)</f>
        <v>0</v>
      </c>
      <c r="BY1308" s="993">
        <f>IF(AND(Input_Product=Elig!$C1308,Elig_MatchAll_Ct&lt;22,$BC1308=(Elig_MatchAll_Ct-1),AV1308=0),T1308,0)</f>
        <v>0</v>
      </c>
      <c r="BZ1308" s="994">
        <f>IF(AND(Input_Product=Elig!$C1308,Elig_MatchAll_Ct&lt;22,$BC1308=(Elig_MatchAll_Ct-1),AV1308=0),U1308,0)</f>
        <v>0</v>
      </c>
      <c r="CA1308" s="993">
        <f>IF(AND(Input_Product=Elig!$C1308,Elig_MatchAll_Ct&lt;22,$BC1308=(Elig_MatchAll_Ct-1),AW1308=0),V1308,0)</f>
        <v>0</v>
      </c>
      <c r="CB1308" s="994">
        <f>IF(AND(Input_Product=Elig!$C1308,Elig_MatchAll_Ct&lt;22,$BC1308=(Elig_MatchAll_Ct-1),AW1308=0),W1308,0)</f>
        <v>0</v>
      </c>
      <c r="CC1308" s="993">
        <f>IF(AND(Input_Product=Elig!$C1308,Elig_MatchAll_Ct&lt;22,$BC1308=(Elig_MatchAll_Ct-1),AX1308=0),X1308,0)</f>
        <v>0</v>
      </c>
      <c r="CD1308" s="994">
        <f>IF(AND(Input_Product=Elig!$C1308,Elig_MatchAll_Ct&lt;22,$BC1308=(Elig_MatchAll_Ct-1),AX1308=0),Y1308,0)</f>
        <v>0</v>
      </c>
      <c r="CE1308" s="993">
        <f>IF(AND(Input_LTV&lt;=AE1308,Input_Product=Elig!$C1308,Elig_MatchAll_Ct&lt;22,$BC1308=(Elig_MatchAll_Ct-1),AY1308=0),Z1308,0)</f>
        <v>0</v>
      </c>
      <c r="CF1308" s="994">
        <f>IF(AND(Input_LTV&lt;=AE1308,Input_Product=Elig!$C1308,Elig_MatchAll_Ct&lt;22,$BC1308=(Elig_MatchAll_Ct-1),AY1308=0),AA1308,0)</f>
        <v>0</v>
      </c>
      <c r="CG1308" s="993">
        <f>IF(AND(Input_Product=Elig!$C1308,Elig_MatchAll_Ct&lt;22,$BC1308=(Elig_MatchAll_Ct-1),AZ1308=0),AB1308,0)</f>
        <v>0</v>
      </c>
      <c r="CH1308" s="994">
        <f>IF(AND(Input_Product=Elig!$C1308,Elig_MatchAll_Ct&lt;22,$BC1308=(Elig_MatchAll_Ct-1),AZ1308=0),AC1308,0)</f>
        <v>0</v>
      </c>
      <c r="CI1308" s="993">
        <f>IF(AND(Input_Product=Elig!$C1308,Elig_MatchAll_Ct&lt;22,$BC1308=(Elig_MatchAll_Ct-1),BA1308=0),AD1308,0)</f>
        <v>0</v>
      </c>
      <c r="CJ1308" s="994">
        <f>IF(AND(Input_Product=Elig!$C1308,Elig_MatchAll_Ct&lt;22,$BC1308=(Elig_MatchAll_Ct-1),BA1308=0),AE1308,0)</f>
        <v>0</v>
      </c>
    </row>
    <row r="1309" spans="2:88" ht="10.15" customHeight="1" x14ac:dyDescent="0.25">
      <c r="B1309" s="1538" t="s">
        <v>2754</v>
      </c>
      <c r="C1309" s="1538" t="str">
        <f t="shared" si="472"/>
        <v xml:space="preserve">  OO</v>
      </c>
      <c r="D1309" s="1538" t="s">
        <v>2764</v>
      </c>
      <c r="E1309" s="1538" t="s">
        <v>167</v>
      </c>
      <c r="F1309" s="1538" t="s">
        <v>2765</v>
      </c>
      <c r="G1309" s="1538" t="s">
        <v>2766</v>
      </c>
      <c r="H1309" s="1538" t="s">
        <v>2767</v>
      </c>
      <c r="I1309" s="1539" t="s">
        <v>34</v>
      </c>
      <c r="J1309" s="1539" t="s">
        <v>1311</v>
      </c>
      <c r="K1309" s="1539" t="s">
        <v>3023</v>
      </c>
      <c r="L1309" s="1538" t="s">
        <v>2768</v>
      </c>
      <c r="M1309" s="1538" t="s">
        <v>2677</v>
      </c>
      <c r="N1309" s="1538" t="s">
        <v>2685</v>
      </c>
      <c r="O1309" s="1538" t="s">
        <v>310</v>
      </c>
      <c r="P1309" s="1538" t="s">
        <v>291</v>
      </c>
      <c r="Q1309" s="1538" t="s">
        <v>294</v>
      </c>
      <c r="R1309" s="1538">
        <v>150000</v>
      </c>
      <c r="S1309" s="1538">
        <v>1000000</v>
      </c>
      <c r="T1309" s="1538">
        <v>0</v>
      </c>
      <c r="U1309" s="1538">
        <v>0</v>
      </c>
      <c r="V1309" s="1538">
        <v>0</v>
      </c>
      <c r="W1309" s="1538">
        <v>55</v>
      </c>
      <c r="X1309" s="1538">
        <v>0</v>
      </c>
      <c r="Y1309" s="1538">
        <v>0</v>
      </c>
      <c r="Z1309" s="1540">
        <v>680</v>
      </c>
      <c r="AA1309" s="1540">
        <v>699</v>
      </c>
      <c r="AB1309" s="1540">
        <v>6</v>
      </c>
      <c r="AC1309" s="1540">
        <v>999999</v>
      </c>
      <c r="AD1309" s="1538">
        <v>0</v>
      </c>
      <c r="AE1309" s="1545">
        <v>90</v>
      </c>
      <c r="AF1309" s="170">
        <v>0</v>
      </c>
      <c r="AG1309" s="171">
        <v>1</v>
      </c>
      <c r="AH1309" s="171">
        <v>1</v>
      </c>
      <c r="AI1309" s="171">
        <v>1</v>
      </c>
      <c r="AJ1309" s="171">
        <v>1</v>
      </c>
      <c r="AK1309" s="171">
        <v>1</v>
      </c>
      <c r="AL1309" s="171">
        <v>0</v>
      </c>
      <c r="AM1309" s="171">
        <v>1</v>
      </c>
      <c r="AN1309" s="171">
        <v>1</v>
      </c>
      <c r="AO1309" s="171">
        <v>1</v>
      </c>
      <c r="AP1309" s="171">
        <v>1</v>
      </c>
      <c r="AQ1309" s="171">
        <v>1</v>
      </c>
      <c r="AR1309" s="171">
        <v>1</v>
      </c>
      <c r="AS1309" s="171">
        <v>1</v>
      </c>
      <c r="AT1309" s="171">
        <v>1</v>
      </c>
      <c r="AU1309" s="171">
        <f t="shared" si="447"/>
        <v>1</v>
      </c>
      <c r="AV1309" s="171">
        <f t="shared" si="448"/>
        <v>0</v>
      </c>
      <c r="AW1309" s="171">
        <f t="shared" si="449"/>
        <v>1</v>
      </c>
      <c r="AX1309" s="171">
        <f t="shared" si="467"/>
        <v>1</v>
      </c>
      <c r="AY1309" s="171">
        <f t="shared" si="450"/>
        <v>0</v>
      </c>
      <c r="AZ1309" s="171">
        <f t="shared" si="451"/>
        <v>1</v>
      </c>
      <c r="BA1309" s="172">
        <f t="shared" si="452"/>
        <v>1</v>
      </c>
      <c r="BB1309" s="175">
        <f t="shared" si="454"/>
        <v>18</v>
      </c>
      <c r="BC1309" s="176">
        <f t="shared" si="455"/>
        <v>17</v>
      </c>
      <c r="BD1309" s="176">
        <f t="shared" si="456"/>
        <v>18</v>
      </c>
      <c r="BE1309" s="240" t="str">
        <f t="shared" si="446"/>
        <v/>
      </c>
      <c r="BF1309" s="990"/>
      <c r="BG1309" s="990"/>
      <c r="BH1309" s="991">
        <f>IF(AND(Input_Product=Elig!$C1309,Elig_MatchAll_Ct&lt;22,$BC1309=(Elig_MatchAll_Ct-1),AF1309=0),C1309,0)</f>
        <v>0</v>
      </c>
      <c r="BI1309" s="991">
        <f>IF(AND(Input_Product=Elig!$C1309,Elig_MatchAll_Ct&lt;22,$BC1309=(Elig_MatchAll_Ct-1),AG1309=0),D1309,0)</f>
        <v>0</v>
      </c>
      <c r="BJ1309" s="991">
        <f>IF(AND(Input_Product=Elig!$C1309,Elig_MatchAll_Ct&lt;22,$BC1309=(Elig_MatchAll_Ct-1),AH1309=0),E1309,0)</f>
        <v>0</v>
      </c>
      <c r="BK1309" s="991">
        <f>IF(AND(Input_Product=Elig!$C1309,Elig_MatchAll_Ct&lt;22,$BC1309=(Elig_MatchAll_Ct-1),AI1309=0),F1309,0)</f>
        <v>0</v>
      </c>
      <c r="BL1309" s="991">
        <f>IF(AND(Input_Product=Elig!$C1309,Elig_MatchAll_Ct&lt;22,$BC1309=(Elig_MatchAll_Ct-1),AJ1309=0),G1309,0)</f>
        <v>0</v>
      </c>
      <c r="BM1309" s="991">
        <f>IF(AND(Input_Product=Elig!$C1309,Elig_MatchAll_Ct&lt;22,$BC1309=(Elig_MatchAll_Ct-1),AK1309=0),H1309,0)</f>
        <v>0</v>
      </c>
      <c r="BN1309" s="991">
        <f>IF(AND(Input_Product=Elig!$C1309,Elig_MatchAll_Ct&lt;22,$BC1309=(Elig_MatchAll_Ct-1),AL1309=0),I1309,0)</f>
        <v>0</v>
      </c>
      <c r="BO1309" s="991">
        <f>IF(AND(Input_Product=Elig!$C1309,Elig_MatchAll_Ct&lt;22,$BC1309=(Elig_MatchAll_Ct-1),AM1309=0),J1309,0)</f>
        <v>0</v>
      </c>
      <c r="BP1309" s="991">
        <f>IF(AND(Input_Product=Elig!$C1309,Elig_MatchAll_Ct&lt;22,$BC1309=(Elig_MatchAll_Ct-1),AN1309=0),K1309,0)</f>
        <v>0</v>
      </c>
      <c r="BQ1309" s="991">
        <f>IF(AND(Input_Product=Elig!$C1309,Elig_MatchAll_Ct&lt;22,$BC1309=(Elig_MatchAll_Ct-1),AP1309=0),L1309,0)</f>
        <v>0</v>
      </c>
      <c r="BR1309" s="991">
        <f>IF(AND(Input_Product=Elig!$C1309,Elig_MatchAll_Ct&lt;22,$BC1309=(Elig_MatchAll_Ct-1),AO1309=0),M1309,0)</f>
        <v>0</v>
      </c>
      <c r="BS1309" s="991">
        <f>IF(AND(Input_Product=Elig!$C1309,Elig_MatchAll_Ct&lt;22,$BC1309=(Elig_MatchAll_Ct-1),AQ1309=0),N1309,0)</f>
        <v>0</v>
      </c>
      <c r="BT1309" s="991">
        <f>IF(AND(Input_Product=Elig!$C1309,Elig_MatchAll_Ct&lt;22,$BC1309=(Elig_MatchAll_Ct-1),AR1309=0),O1309,0)</f>
        <v>0</v>
      </c>
      <c r="BU1309" s="991">
        <f>IF(AND(Input_Product=Elig!$C1309,Elig_MatchAll_Ct&lt;22,$BC1309=(Elig_MatchAll_Ct-1),AS1309=0),P1309,0)</f>
        <v>0</v>
      </c>
      <c r="BV1309" s="992">
        <f>IF(AND(Input_Product=Elig!$C1309,Elig_MatchAll_Ct&lt;22,$BC1309=(Elig_MatchAll_Ct-1),AT1309=0),Q1309,0)</f>
        <v>0</v>
      </c>
      <c r="BW1309" s="993">
        <f>IF(AND(Input_Product=Elig!$C1309,Elig_MatchAll_Ct&lt;22,$BC1309=(Elig_MatchAll_Ct-1),AU1309=0),R1309,0)</f>
        <v>0</v>
      </c>
      <c r="BX1309" s="994">
        <f>IF(AND(Input_Product=Elig!$C1309,Elig_MatchAll_Ct&lt;22,$BC1309=(Elig_MatchAll_Ct-1),AU1309=0),S1309,0)</f>
        <v>0</v>
      </c>
      <c r="BY1309" s="993">
        <f>IF(AND(Input_Product=Elig!$C1309,Elig_MatchAll_Ct&lt;22,$BC1309=(Elig_MatchAll_Ct-1),AV1309=0),T1309,0)</f>
        <v>0</v>
      </c>
      <c r="BZ1309" s="994">
        <f>IF(AND(Input_Product=Elig!$C1309,Elig_MatchAll_Ct&lt;22,$BC1309=(Elig_MatchAll_Ct-1),AV1309=0),U1309,0)</f>
        <v>0</v>
      </c>
      <c r="CA1309" s="993">
        <f>IF(AND(Input_Product=Elig!$C1309,Elig_MatchAll_Ct&lt;22,$BC1309=(Elig_MatchAll_Ct-1),AW1309=0),V1309,0)</f>
        <v>0</v>
      </c>
      <c r="CB1309" s="994">
        <f>IF(AND(Input_Product=Elig!$C1309,Elig_MatchAll_Ct&lt;22,$BC1309=(Elig_MatchAll_Ct-1),AW1309=0),W1309,0)</f>
        <v>0</v>
      </c>
      <c r="CC1309" s="993">
        <f>IF(AND(Input_Product=Elig!$C1309,Elig_MatchAll_Ct&lt;22,$BC1309=(Elig_MatchAll_Ct-1),AX1309=0),X1309,0)</f>
        <v>0</v>
      </c>
      <c r="CD1309" s="994">
        <f>IF(AND(Input_Product=Elig!$C1309,Elig_MatchAll_Ct&lt;22,$BC1309=(Elig_MatchAll_Ct-1),AX1309=0),Y1309,0)</f>
        <v>0</v>
      </c>
      <c r="CE1309" s="993">
        <f>IF(AND(Input_LTV&lt;=AE1309,Input_Product=Elig!$C1309,Elig_MatchAll_Ct&lt;22,$BC1309=(Elig_MatchAll_Ct-1),AY1309=0),Z1309,0)</f>
        <v>0</v>
      </c>
      <c r="CF1309" s="994">
        <f>IF(AND(Input_LTV&lt;=AE1309,Input_Product=Elig!$C1309,Elig_MatchAll_Ct&lt;22,$BC1309=(Elig_MatchAll_Ct-1),AY1309=0),AA1309,0)</f>
        <v>0</v>
      </c>
      <c r="CG1309" s="993">
        <f>IF(AND(Input_Product=Elig!$C1309,Elig_MatchAll_Ct&lt;22,$BC1309=(Elig_MatchAll_Ct-1),AZ1309=0),AB1309,0)</f>
        <v>0</v>
      </c>
      <c r="CH1309" s="994">
        <f>IF(AND(Input_Product=Elig!$C1309,Elig_MatchAll_Ct&lt;22,$BC1309=(Elig_MatchAll_Ct-1),AZ1309=0),AC1309,0)</f>
        <v>0</v>
      </c>
      <c r="CI1309" s="993">
        <f>IF(AND(Input_Product=Elig!$C1309,Elig_MatchAll_Ct&lt;22,$BC1309=(Elig_MatchAll_Ct-1),BA1309=0),AD1309,0)</f>
        <v>0</v>
      </c>
      <c r="CJ1309" s="994">
        <f>IF(AND(Input_Product=Elig!$C1309,Elig_MatchAll_Ct&lt;22,$BC1309=(Elig_MatchAll_Ct-1),BA1309=0),AE1309,0)</f>
        <v>0</v>
      </c>
    </row>
    <row r="1310" spans="2:88" ht="10.15" customHeight="1" x14ac:dyDescent="0.25">
      <c r="B1310" s="1538" t="s">
        <v>2755</v>
      </c>
      <c r="C1310" s="1538" t="str">
        <f t="shared" si="472"/>
        <v xml:space="preserve">  OO</v>
      </c>
      <c r="D1310" s="1538" t="s">
        <v>2764</v>
      </c>
      <c r="E1310" s="1538" t="s">
        <v>167</v>
      </c>
      <c r="F1310" s="1538" t="s">
        <v>2765</v>
      </c>
      <c r="G1310" s="1538" t="s">
        <v>2766</v>
      </c>
      <c r="H1310" s="1538" t="s">
        <v>2767</v>
      </c>
      <c r="I1310" s="1539" t="s">
        <v>34</v>
      </c>
      <c r="J1310" s="1539" t="s">
        <v>1311</v>
      </c>
      <c r="K1310" s="1539" t="s">
        <v>3023</v>
      </c>
      <c r="L1310" s="1538" t="s">
        <v>2768</v>
      </c>
      <c r="M1310" s="1538" t="s">
        <v>2677</v>
      </c>
      <c r="N1310" s="1538" t="s">
        <v>2685</v>
      </c>
      <c r="O1310" s="1538" t="s">
        <v>310</v>
      </c>
      <c r="P1310" s="1538" t="s">
        <v>291</v>
      </c>
      <c r="Q1310" s="1538" t="s">
        <v>294</v>
      </c>
      <c r="R1310" s="1538">
        <v>1000000.01</v>
      </c>
      <c r="S1310" s="1538">
        <v>1500000</v>
      </c>
      <c r="T1310" s="1538">
        <v>0</v>
      </c>
      <c r="U1310" s="1538">
        <v>0</v>
      </c>
      <c r="V1310" s="1538">
        <v>0</v>
      </c>
      <c r="W1310" s="1538">
        <v>55</v>
      </c>
      <c r="X1310" s="1538">
        <v>0</v>
      </c>
      <c r="Y1310" s="1538">
        <v>0</v>
      </c>
      <c r="Z1310" s="1540">
        <v>680</v>
      </c>
      <c r="AA1310" s="1540">
        <v>699</v>
      </c>
      <c r="AB1310" s="1540">
        <v>6</v>
      </c>
      <c r="AC1310" s="1540">
        <v>999999</v>
      </c>
      <c r="AD1310" s="1538">
        <v>0</v>
      </c>
      <c r="AE1310" s="1545">
        <v>85</v>
      </c>
      <c r="AF1310" s="170">
        <v>0</v>
      </c>
      <c r="AG1310" s="171">
        <v>1</v>
      </c>
      <c r="AH1310" s="171">
        <v>1</v>
      </c>
      <c r="AI1310" s="171">
        <v>1</v>
      </c>
      <c r="AJ1310" s="171">
        <v>1</v>
      </c>
      <c r="AK1310" s="171">
        <v>1</v>
      </c>
      <c r="AL1310" s="171">
        <v>0</v>
      </c>
      <c r="AM1310" s="171">
        <v>1</v>
      </c>
      <c r="AN1310" s="171">
        <v>1</v>
      </c>
      <c r="AO1310" s="171">
        <v>1</v>
      </c>
      <c r="AP1310" s="171">
        <v>1</v>
      </c>
      <c r="AQ1310" s="171">
        <v>1</v>
      </c>
      <c r="AR1310" s="171">
        <v>1</v>
      </c>
      <c r="AS1310" s="171">
        <v>1</v>
      </c>
      <c r="AT1310" s="171">
        <v>1</v>
      </c>
      <c r="AU1310" s="171">
        <f t="shared" si="447"/>
        <v>0</v>
      </c>
      <c r="AV1310" s="171">
        <f t="shared" si="448"/>
        <v>0</v>
      </c>
      <c r="AW1310" s="171">
        <f t="shared" si="449"/>
        <v>1</v>
      </c>
      <c r="AX1310" s="171">
        <f t="shared" si="467"/>
        <v>1</v>
      </c>
      <c r="AY1310" s="171">
        <f t="shared" si="450"/>
        <v>0</v>
      </c>
      <c r="AZ1310" s="171">
        <f t="shared" si="451"/>
        <v>1</v>
      </c>
      <c r="BA1310" s="172">
        <f t="shared" si="452"/>
        <v>1</v>
      </c>
      <c r="BB1310" s="175">
        <f t="shared" si="454"/>
        <v>17</v>
      </c>
      <c r="BC1310" s="176">
        <f t="shared" si="455"/>
        <v>16</v>
      </c>
      <c r="BD1310" s="176">
        <f t="shared" si="456"/>
        <v>17</v>
      </c>
      <c r="BE1310" s="240" t="str">
        <f t="shared" si="446"/>
        <v/>
      </c>
      <c r="BF1310" s="990"/>
      <c r="BG1310" s="990"/>
      <c r="BH1310" s="991">
        <f>IF(AND(Input_Product=Elig!$C1310,Elig_MatchAll_Ct&lt;22,$BC1310=(Elig_MatchAll_Ct-1),AF1310=0),C1310,0)</f>
        <v>0</v>
      </c>
      <c r="BI1310" s="991">
        <f>IF(AND(Input_Product=Elig!$C1310,Elig_MatchAll_Ct&lt;22,$BC1310=(Elig_MatchAll_Ct-1),AG1310=0),D1310,0)</f>
        <v>0</v>
      </c>
      <c r="BJ1310" s="991">
        <f>IF(AND(Input_Product=Elig!$C1310,Elig_MatchAll_Ct&lt;22,$BC1310=(Elig_MatchAll_Ct-1),AH1310=0),E1310,0)</f>
        <v>0</v>
      </c>
      <c r="BK1310" s="991">
        <f>IF(AND(Input_Product=Elig!$C1310,Elig_MatchAll_Ct&lt;22,$BC1310=(Elig_MatchAll_Ct-1),AI1310=0),F1310,0)</f>
        <v>0</v>
      </c>
      <c r="BL1310" s="991">
        <f>IF(AND(Input_Product=Elig!$C1310,Elig_MatchAll_Ct&lt;22,$BC1310=(Elig_MatchAll_Ct-1),AJ1310=0),G1310,0)</f>
        <v>0</v>
      </c>
      <c r="BM1310" s="991">
        <f>IF(AND(Input_Product=Elig!$C1310,Elig_MatchAll_Ct&lt;22,$BC1310=(Elig_MatchAll_Ct-1),AK1310=0),H1310,0)</f>
        <v>0</v>
      </c>
      <c r="BN1310" s="991">
        <f>IF(AND(Input_Product=Elig!$C1310,Elig_MatchAll_Ct&lt;22,$BC1310=(Elig_MatchAll_Ct-1),AL1310=0),I1310,0)</f>
        <v>0</v>
      </c>
      <c r="BO1310" s="991">
        <f>IF(AND(Input_Product=Elig!$C1310,Elig_MatchAll_Ct&lt;22,$BC1310=(Elig_MatchAll_Ct-1),AM1310=0),J1310,0)</f>
        <v>0</v>
      </c>
      <c r="BP1310" s="991">
        <f>IF(AND(Input_Product=Elig!$C1310,Elig_MatchAll_Ct&lt;22,$BC1310=(Elig_MatchAll_Ct-1),AN1310=0),K1310,0)</f>
        <v>0</v>
      </c>
      <c r="BQ1310" s="991">
        <f>IF(AND(Input_Product=Elig!$C1310,Elig_MatchAll_Ct&lt;22,$BC1310=(Elig_MatchAll_Ct-1),AP1310=0),L1310,0)</f>
        <v>0</v>
      </c>
      <c r="BR1310" s="991">
        <f>IF(AND(Input_Product=Elig!$C1310,Elig_MatchAll_Ct&lt;22,$BC1310=(Elig_MatchAll_Ct-1),AO1310=0),M1310,0)</f>
        <v>0</v>
      </c>
      <c r="BS1310" s="991">
        <f>IF(AND(Input_Product=Elig!$C1310,Elig_MatchAll_Ct&lt;22,$BC1310=(Elig_MatchAll_Ct-1),AQ1310=0),N1310,0)</f>
        <v>0</v>
      </c>
      <c r="BT1310" s="991">
        <f>IF(AND(Input_Product=Elig!$C1310,Elig_MatchAll_Ct&lt;22,$BC1310=(Elig_MatchAll_Ct-1),AR1310=0),O1310,0)</f>
        <v>0</v>
      </c>
      <c r="BU1310" s="991">
        <f>IF(AND(Input_Product=Elig!$C1310,Elig_MatchAll_Ct&lt;22,$BC1310=(Elig_MatchAll_Ct-1),AS1310=0),P1310,0)</f>
        <v>0</v>
      </c>
      <c r="BV1310" s="992">
        <f>IF(AND(Input_Product=Elig!$C1310,Elig_MatchAll_Ct&lt;22,$BC1310=(Elig_MatchAll_Ct-1),AT1310=0),Q1310,0)</f>
        <v>0</v>
      </c>
      <c r="BW1310" s="993">
        <f>IF(AND(Input_Product=Elig!$C1310,Elig_MatchAll_Ct&lt;22,$BC1310=(Elig_MatchAll_Ct-1),AU1310=0),R1310,0)</f>
        <v>0</v>
      </c>
      <c r="BX1310" s="994">
        <f>IF(AND(Input_Product=Elig!$C1310,Elig_MatchAll_Ct&lt;22,$BC1310=(Elig_MatchAll_Ct-1),AU1310=0),S1310,0)</f>
        <v>0</v>
      </c>
      <c r="BY1310" s="993">
        <f>IF(AND(Input_Product=Elig!$C1310,Elig_MatchAll_Ct&lt;22,$BC1310=(Elig_MatchAll_Ct-1),AV1310=0),T1310,0)</f>
        <v>0</v>
      </c>
      <c r="BZ1310" s="994">
        <f>IF(AND(Input_Product=Elig!$C1310,Elig_MatchAll_Ct&lt;22,$BC1310=(Elig_MatchAll_Ct-1),AV1310=0),U1310,0)</f>
        <v>0</v>
      </c>
      <c r="CA1310" s="993">
        <f>IF(AND(Input_Product=Elig!$C1310,Elig_MatchAll_Ct&lt;22,$BC1310=(Elig_MatchAll_Ct-1),AW1310=0),V1310,0)</f>
        <v>0</v>
      </c>
      <c r="CB1310" s="994">
        <f>IF(AND(Input_Product=Elig!$C1310,Elig_MatchAll_Ct&lt;22,$BC1310=(Elig_MatchAll_Ct-1),AW1310=0),W1310,0)</f>
        <v>0</v>
      </c>
      <c r="CC1310" s="993">
        <f>IF(AND(Input_Product=Elig!$C1310,Elig_MatchAll_Ct&lt;22,$BC1310=(Elig_MatchAll_Ct-1),AX1310=0),X1310,0)</f>
        <v>0</v>
      </c>
      <c r="CD1310" s="994">
        <f>IF(AND(Input_Product=Elig!$C1310,Elig_MatchAll_Ct&lt;22,$BC1310=(Elig_MatchAll_Ct-1),AX1310=0),Y1310,0)</f>
        <v>0</v>
      </c>
      <c r="CE1310" s="993">
        <f>IF(AND(Input_LTV&lt;=AE1310,Input_Product=Elig!$C1310,Elig_MatchAll_Ct&lt;22,$BC1310=(Elig_MatchAll_Ct-1),AY1310=0),Z1310,0)</f>
        <v>0</v>
      </c>
      <c r="CF1310" s="994">
        <f>IF(AND(Input_LTV&lt;=AE1310,Input_Product=Elig!$C1310,Elig_MatchAll_Ct&lt;22,$BC1310=(Elig_MatchAll_Ct-1),AY1310=0),AA1310,0)</f>
        <v>0</v>
      </c>
      <c r="CG1310" s="993">
        <f>IF(AND(Input_Product=Elig!$C1310,Elig_MatchAll_Ct&lt;22,$BC1310=(Elig_MatchAll_Ct-1),AZ1310=0),AB1310,0)</f>
        <v>0</v>
      </c>
      <c r="CH1310" s="994">
        <f>IF(AND(Input_Product=Elig!$C1310,Elig_MatchAll_Ct&lt;22,$BC1310=(Elig_MatchAll_Ct-1),AZ1310=0),AC1310,0)</f>
        <v>0</v>
      </c>
      <c r="CI1310" s="993">
        <f>IF(AND(Input_Product=Elig!$C1310,Elig_MatchAll_Ct&lt;22,$BC1310=(Elig_MatchAll_Ct-1),BA1310=0),AD1310,0)</f>
        <v>0</v>
      </c>
      <c r="CJ1310" s="994">
        <f>IF(AND(Input_Product=Elig!$C1310,Elig_MatchAll_Ct&lt;22,$BC1310=(Elig_MatchAll_Ct-1),BA1310=0),AE1310,0)</f>
        <v>0</v>
      </c>
    </row>
    <row r="1311" spans="2:88" ht="10.15" customHeight="1" x14ac:dyDescent="0.25">
      <c r="B1311" s="1538" t="s">
        <v>2756</v>
      </c>
      <c r="C1311" s="1538" t="str">
        <f t="shared" si="472"/>
        <v xml:space="preserve">  OO</v>
      </c>
      <c r="D1311" s="1538" t="s">
        <v>2764</v>
      </c>
      <c r="E1311" s="1538" t="s">
        <v>167</v>
      </c>
      <c r="F1311" s="1538" t="s">
        <v>2765</v>
      </c>
      <c r="G1311" s="1538" t="s">
        <v>2766</v>
      </c>
      <c r="H1311" s="1538" t="s">
        <v>2767</v>
      </c>
      <c r="I1311" s="1539" t="s">
        <v>34</v>
      </c>
      <c r="J1311" s="1539" t="s">
        <v>1311</v>
      </c>
      <c r="K1311" s="1539" t="s">
        <v>3023</v>
      </c>
      <c r="L1311" s="1538" t="s">
        <v>2768</v>
      </c>
      <c r="M1311" s="1538" t="s">
        <v>2677</v>
      </c>
      <c r="N1311" s="1538" t="s">
        <v>2685</v>
      </c>
      <c r="O1311" s="1538" t="s">
        <v>310</v>
      </c>
      <c r="P1311" s="1538" t="s">
        <v>291</v>
      </c>
      <c r="Q1311" s="1538" t="s">
        <v>294</v>
      </c>
      <c r="R1311" s="1538">
        <v>1500000.01</v>
      </c>
      <c r="S1311" s="1538">
        <v>2000000</v>
      </c>
      <c r="T1311" s="1538">
        <v>0</v>
      </c>
      <c r="U1311" s="1538">
        <v>0</v>
      </c>
      <c r="V1311" s="1538">
        <v>0</v>
      </c>
      <c r="W1311" s="1538">
        <v>55</v>
      </c>
      <c r="X1311" s="1538">
        <v>0</v>
      </c>
      <c r="Y1311" s="1538">
        <v>0</v>
      </c>
      <c r="Z1311" s="1540">
        <v>680</v>
      </c>
      <c r="AA1311" s="1540">
        <v>699</v>
      </c>
      <c r="AB1311" s="1540">
        <v>6</v>
      </c>
      <c r="AC1311" s="1540">
        <v>999999</v>
      </c>
      <c r="AD1311" s="1538">
        <v>0</v>
      </c>
      <c r="AE1311" s="1545">
        <v>80</v>
      </c>
      <c r="AF1311" s="170">
        <v>0</v>
      </c>
      <c r="AG1311" s="171">
        <v>1</v>
      </c>
      <c r="AH1311" s="171">
        <v>1</v>
      </c>
      <c r="AI1311" s="171">
        <v>1</v>
      </c>
      <c r="AJ1311" s="171">
        <v>1</v>
      </c>
      <c r="AK1311" s="171">
        <v>1</v>
      </c>
      <c r="AL1311" s="171">
        <v>0</v>
      </c>
      <c r="AM1311" s="171">
        <v>1</v>
      </c>
      <c r="AN1311" s="171">
        <v>1</v>
      </c>
      <c r="AO1311" s="171">
        <v>1</v>
      </c>
      <c r="AP1311" s="171">
        <v>1</v>
      </c>
      <c r="AQ1311" s="171">
        <v>1</v>
      </c>
      <c r="AR1311" s="171">
        <v>1</v>
      </c>
      <c r="AS1311" s="171">
        <v>1</v>
      </c>
      <c r="AT1311" s="171">
        <v>1</v>
      </c>
      <c r="AU1311" s="171">
        <f t="shared" si="447"/>
        <v>0</v>
      </c>
      <c r="AV1311" s="171">
        <f t="shared" si="448"/>
        <v>0</v>
      </c>
      <c r="AW1311" s="171">
        <f t="shared" si="449"/>
        <v>1</v>
      </c>
      <c r="AX1311" s="171">
        <f t="shared" si="467"/>
        <v>1</v>
      </c>
      <c r="AY1311" s="171">
        <f t="shared" si="450"/>
        <v>0</v>
      </c>
      <c r="AZ1311" s="171">
        <f t="shared" si="451"/>
        <v>1</v>
      </c>
      <c r="BA1311" s="172">
        <f t="shared" si="452"/>
        <v>1</v>
      </c>
      <c r="BB1311" s="175">
        <f t="shared" si="454"/>
        <v>17</v>
      </c>
      <c r="BC1311" s="176">
        <f t="shared" si="455"/>
        <v>16</v>
      </c>
      <c r="BD1311" s="176">
        <f t="shared" si="456"/>
        <v>17</v>
      </c>
      <c r="BE1311" s="240" t="str">
        <f t="shared" si="446"/>
        <v/>
      </c>
      <c r="BF1311" s="990"/>
      <c r="BG1311" s="990"/>
      <c r="BH1311" s="991">
        <f>IF(AND(Input_Product=Elig!$C1311,Elig_MatchAll_Ct&lt;22,$BC1311=(Elig_MatchAll_Ct-1),AF1311=0),C1311,0)</f>
        <v>0</v>
      </c>
      <c r="BI1311" s="991">
        <f>IF(AND(Input_Product=Elig!$C1311,Elig_MatchAll_Ct&lt;22,$BC1311=(Elig_MatchAll_Ct-1),AG1311=0),D1311,0)</f>
        <v>0</v>
      </c>
      <c r="BJ1311" s="991">
        <f>IF(AND(Input_Product=Elig!$C1311,Elig_MatchAll_Ct&lt;22,$BC1311=(Elig_MatchAll_Ct-1),AH1311=0),E1311,0)</f>
        <v>0</v>
      </c>
      <c r="BK1311" s="991">
        <f>IF(AND(Input_Product=Elig!$C1311,Elig_MatchAll_Ct&lt;22,$BC1311=(Elig_MatchAll_Ct-1),AI1311=0),F1311,0)</f>
        <v>0</v>
      </c>
      <c r="BL1311" s="991">
        <f>IF(AND(Input_Product=Elig!$C1311,Elig_MatchAll_Ct&lt;22,$BC1311=(Elig_MatchAll_Ct-1),AJ1311=0),G1311,0)</f>
        <v>0</v>
      </c>
      <c r="BM1311" s="991">
        <f>IF(AND(Input_Product=Elig!$C1311,Elig_MatchAll_Ct&lt;22,$BC1311=(Elig_MatchAll_Ct-1),AK1311=0),H1311,0)</f>
        <v>0</v>
      </c>
      <c r="BN1311" s="991">
        <f>IF(AND(Input_Product=Elig!$C1311,Elig_MatchAll_Ct&lt;22,$BC1311=(Elig_MatchAll_Ct-1),AL1311=0),I1311,0)</f>
        <v>0</v>
      </c>
      <c r="BO1311" s="991">
        <f>IF(AND(Input_Product=Elig!$C1311,Elig_MatchAll_Ct&lt;22,$BC1311=(Elig_MatchAll_Ct-1),AM1311=0),J1311,0)</f>
        <v>0</v>
      </c>
      <c r="BP1311" s="991">
        <f>IF(AND(Input_Product=Elig!$C1311,Elig_MatchAll_Ct&lt;22,$BC1311=(Elig_MatchAll_Ct-1),AN1311=0),K1311,0)</f>
        <v>0</v>
      </c>
      <c r="BQ1311" s="991">
        <f>IF(AND(Input_Product=Elig!$C1311,Elig_MatchAll_Ct&lt;22,$BC1311=(Elig_MatchAll_Ct-1),AP1311=0),L1311,0)</f>
        <v>0</v>
      </c>
      <c r="BR1311" s="991">
        <f>IF(AND(Input_Product=Elig!$C1311,Elig_MatchAll_Ct&lt;22,$BC1311=(Elig_MatchAll_Ct-1),AO1311=0),M1311,0)</f>
        <v>0</v>
      </c>
      <c r="BS1311" s="991">
        <f>IF(AND(Input_Product=Elig!$C1311,Elig_MatchAll_Ct&lt;22,$BC1311=(Elig_MatchAll_Ct-1),AQ1311=0),N1311,0)</f>
        <v>0</v>
      </c>
      <c r="BT1311" s="991">
        <f>IF(AND(Input_Product=Elig!$C1311,Elig_MatchAll_Ct&lt;22,$BC1311=(Elig_MatchAll_Ct-1),AR1311=0),O1311,0)</f>
        <v>0</v>
      </c>
      <c r="BU1311" s="991">
        <f>IF(AND(Input_Product=Elig!$C1311,Elig_MatchAll_Ct&lt;22,$BC1311=(Elig_MatchAll_Ct-1),AS1311=0),P1311,0)</f>
        <v>0</v>
      </c>
      <c r="BV1311" s="992">
        <f>IF(AND(Input_Product=Elig!$C1311,Elig_MatchAll_Ct&lt;22,$BC1311=(Elig_MatchAll_Ct-1),AT1311=0),Q1311,0)</f>
        <v>0</v>
      </c>
      <c r="BW1311" s="993">
        <f>IF(AND(Input_Product=Elig!$C1311,Elig_MatchAll_Ct&lt;22,$BC1311=(Elig_MatchAll_Ct-1),AU1311=0),R1311,0)</f>
        <v>0</v>
      </c>
      <c r="BX1311" s="994">
        <f>IF(AND(Input_Product=Elig!$C1311,Elig_MatchAll_Ct&lt;22,$BC1311=(Elig_MatchAll_Ct-1),AU1311=0),S1311,0)</f>
        <v>0</v>
      </c>
      <c r="BY1311" s="993">
        <f>IF(AND(Input_Product=Elig!$C1311,Elig_MatchAll_Ct&lt;22,$BC1311=(Elig_MatchAll_Ct-1),AV1311=0),T1311,0)</f>
        <v>0</v>
      </c>
      <c r="BZ1311" s="994">
        <f>IF(AND(Input_Product=Elig!$C1311,Elig_MatchAll_Ct&lt;22,$BC1311=(Elig_MatchAll_Ct-1),AV1311=0),U1311,0)</f>
        <v>0</v>
      </c>
      <c r="CA1311" s="993">
        <f>IF(AND(Input_Product=Elig!$C1311,Elig_MatchAll_Ct&lt;22,$BC1311=(Elig_MatchAll_Ct-1),AW1311=0),V1311,0)</f>
        <v>0</v>
      </c>
      <c r="CB1311" s="994">
        <f>IF(AND(Input_Product=Elig!$C1311,Elig_MatchAll_Ct&lt;22,$BC1311=(Elig_MatchAll_Ct-1),AW1311=0),W1311,0)</f>
        <v>0</v>
      </c>
      <c r="CC1311" s="993">
        <f>IF(AND(Input_Product=Elig!$C1311,Elig_MatchAll_Ct&lt;22,$BC1311=(Elig_MatchAll_Ct-1),AX1311=0),X1311,0)</f>
        <v>0</v>
      </c>
      <c r="CD1311" s="994">
        <f>IF(AND(Input_Product=Elig!$C1311,Elig_MatchAll_Ct&lt;22,$BC1311=(Elig_MatchAll_Ct-1),AX1311=0),Y1311,0)</f>
        <v>0</v>
      </c>
      <c r="CE1311" s="993">
        <f>IF(AND(Input_LTV&lt;=AE1311,Input_Product=Elig!$C1311,Elig_MatchAll_Ct&lt;22,$BC1311=(Elig_MatchAll_Ct-1),AY1311=0),Z1311,0)</f>
        <v>0</v>
      </c>
      <c r="CF1311" s="994">
        <f>IF(AND(Input_LTV&lt;=AE1311,Input_Product=Elig!$C1311,Elig_MatchAll_Ct&lt;22,$BC1311=(Elig_MatchAll_Ct-1),AY1311=0),AA1311,0)</f>
        <v>0</v>
      </c>
      <c r="CG1311" s="993">
        <f>IF(AND(Input_Product=Elig!$C1311,Elig_MatchAll_Ct&lt;22,$BC1311=(Elig_MatchAll_Ct-1),AZ1311=0),AB1311,0)</f>
        <v>0</v>
      </c>
      <c r="CH1311" s="994">
        <f>IF(AND(Input_Product=Elig!$C1311,Elig_MatchAll_Ct&lt;22,$BC1311=(Elig_MatchAll_Ct-1),AZ1311=0),AC1311,0)</f>
        <v>0</v>
      </c>
      <c r="CI1311" s="993">
        <f>IF(AND(Input_Product=Elig!$C1311,Elig_MatchAll_Ct&lt;22,$BC1311=(Elig_MatchAll_Ct-1),BA1311=0),AD1311,0)</f>
        <v>0</v>
      </c>
      <c r="CJ1311" s="994">
        <f>IF(AND(Input_Product=Elig!$C1311,Elig_MatchAll_Ct&lt;22,$BC1311=(Elig_MatchAll_Ct-1),BA1311=0),AE1311,0)</f>
        <v>0</v>
      </c>
    </row>
    <row r="1312" spans="2:88" ht="10.15" customHeight="1" x14ac:dyDescent="0.25">
      <c r="B1312" s="1538" t="s">
        <v>2757</v>
      </c>
      <c r="C1312" s="1538" t="str">
        <f t="shared" si="472"/>
        <v xml:space="preserve">  OO</v>
      </c>
      <c r="D1312" s="1538" t="s">
        <v>2764</v>
      </c>
      <c r="E1312" s="1538" t="s">
        <v>167</v>
      </c>
      <c r="F1312" s="1538" t="s">
        <v>2765</v>
      </c>
      <c r="G1312" s="1538" t="s">
        <v>2766</v>
      </c>
      <c r="H1312" s="1538" t="s">
        <v>2767</v>
      </c>
      <c r="I1312" s="1539" t="s">
        <v>34</v>
      </c>
      <c r="J1312" s="1539" t="s">
        <v>1311</v>
      </c>
      <c r="K1312" s="1539" t="s">
        <v>3023</v>
      </c>
      <c r="L1312" s="1538" t="s">
        <v>2768</v>
      </c>
      <c r="M1312" s="1538" t="s">
        <v>2677</v>
      </c>
      <c r="N1312" s="1538" t="s">
        <v>2685</v>
      </c>
      <c r="O1312" s="1538" t="s">
        <v>310</v>
      </c>
      <c r="P1312" s="1538" t="s">
        <v>291</v>
      </c>
      <c r="Q1312" s="1538" t="s">
        <v>294</v>
      </c>
      <c r="R1312" s="1538">
        <v>2000000.01</v>
      </c>
      <c r="S1312" s="1538">
        <v>2500000</v>
      </c>
      <c r="T1312" s="1538">
        <v>0</v>
      </c>
      <c r="U1312" s="1538">
        <v>0</v>
      </c>
      <c r="V1312" s="1538">
        <v>0</v>
      </c>
      <c r="W1312" s="1538">
        <v>55</v>
      </c>
      <c r="X1312" s="1538">
        <v>0</v>
      </c>
      <c r="Y1312" s="1538">
        <v>0</v>
      </c>
      <c r="Z1312" s="1540">
        <v>680</v>
      </c>
      <c r="AA1312" s="1540">
        <v>699</v>
      </c>
      <c r="AB1312" s="1540">
        <v>6</v>
      </c>
      <c r="AC1312" s="1540">
        <v>999999</v>
      </c>
      <c r="AD1312" s="1538">
        <v>0</v>
      </c>
      <c r="AE1312" s="1545">
        <v>75</v>
      </c>
      <c r="AF1312" s="170">
        <v>0</v>
      </c>
      <c r="AG1312" s="171">
        <v>1</v>
      </c>
      <c r="AH1312" s="171">
        <v>1</v>
      </c>
      <c r="AI1312" s="171">
        <v>1</v>
      </c>
      <c r="AJ1312" s="171">
        <v>1</v>
      </c>
      <c r="AK1312" s="171">
        <v>1</v>
      </c>
      <c r="AL1312" s="171">
        <v>0</v>
      </c>
      <c r="AM1312" s="171">
        <v>1</v>
      </c>
      <c r="AN1312" s="171">
        <v>1</v>
      </c>
      <c r="AO1312" s="171">
        <v>1</v>
      </c>
      <c r="AP1312" s="171">
        <v>1</v>
      </c>
      <c r="AQ1312" s="171">
        <v>1</v>
      </c>
      <c r="AR1312" s="171">
        <v>1</v>
      </c>
      <c r="AS1312" s="171">
        <v>1</v>
      </c>
      <c r="AT1312" s="171">
        <v>1</v>
      </c>
      <c r="AU1312" s="171">
        <f t="shared" si="447"/>
        <v>0</v>
      </c>
      <c r="AV1312" s="171">
        <f t="shared" si="448"/>
        <v>0</v>
      </c>
      <c r="AW1312" s="171">
        <f t="shared" si="449"/>
        <v>1</v>
      </c>
      <c r="AX1312" s="171">
        <f t="shared" si="467"/>
        <v>1</v>
      </c>
      <c r="AY1312" s="171">
        <f t="shared" si="450"/>
        <v>0</v>
      </c>
      <c r="AZ1312" s="171">
        <f t="shared" si="451"/>
        <v>1</v>
      </c>
      <c r="BA1312" s="172">
        <f t="shared" si="452"/>
        <v>1</v>
      </c>
      <c r="BB1312" s="175">
        <f t="shared" si="454"/>
        <v>17</v>
      </c>
      <c r="BC1312" s="176">
        <f t="shared" si="455"/>
        <v>16</v>
      </c>
      <c r="BD1312" s="176">
        <f t="shared" si="456"/>
        <v>17</v>
      </c>
      <c r="BE1312" s="240" t="str">
        <f t="shared" si="446"/>
        <v/>
      </c>
      <c r="BF1312" s="990"/>
      <c r="BG1312" s="990"/>
      <c r="BH1312" s="991">
        <f>IF(AND(Input_Product=Elig!$C1312,Elig_MatchAll_Ct&lt;22,$BC1312=(Elig_MatchAll_Ct-1),AF1312=0),C1312,0)</f>
        <v>0</v>
      </c>
      <c r="BI1312" s="991">
        <f>IF(AND(Input_Product=Elig!$C1312,Elig_MatchAll_Ct&lt;22,$BC1312=(Elig_MatchAll_Ct-1),AG1312=0),D1312,0)</f>
        <v>0</v>
      </c>
      <c r="BJ1312" s="991">
        <f>IF(AND(Input_Product=Elig!$C1312,Elig_MatchAll_Ct&lt;22,$BC1312=(Elig_MatchAll_Ct-1),AH1312=0),E1312,0)</f>
        <v>0</v>
      </c>
      <c r="BK1312" s="991">
        <f>IF(AND(Input_Product=Elig!$C1312,Elig_MatchAll_Ct&lt;22,$BC1312=(Elig_MatchAll_Ct-1),AI1312=0),F1312,0)</f>
        <v>0</v>
      </c>
      <c r="BL1312" s="991">
        <f>IF(AND(Input_Product=Elig!$C1312,Elig_MatchAll_Ct&lt;22,$BC1312=(Elig_MatchAll_Ct-1),AJ1312=0),G1312,0)</f>
        <v>0</v>
      </c>
      <c r="BM1312" s="991">
        <f>IF(AND(Input_Product=Elig!$C1312,Elig_MatchAll_Ct&lt;22,$BC1312=(Elig_MatchAll_Ct-1),AK1312=0),H1312,0)</f>
        <v>0</v>
      </c>
      <c r="BN1312" s="991">
        <f>IF(AND(Input_Product=Elig!$C1312,Elig_MatchAll_Ct&lt;22,$BC1312=(Elig_MatchAll_Ct-1),AL1312=0),I1312,0)</f>
        <v>0</v>
      </c>
      <c r="BO1312" s="991">
        <f>IF(AND(Input_Product=Elig!$C1312,Elig_MatchAll_Ct&lt;22,$BC1312=(Elig_MatchAll_Ct-1),AM1312=0),J1312,0)</f>
        <v>0</v>
      </c>
      <c r="BP1312" s="991">
        <f>IF(AND(Input_Product=Elig!$C1312,Elig_MatchAll_Ct&lt;22,$BC1312=(Elig_MatchAll_Ct-1),AN1312=0),K1312,0)</f>
        <v>0</v>
      </c>
      <c r="BQ1312" s="991">
        <f>IF(AND(Input_Product=Elig!$C1312,Elig_MatchAll_Ct&lt;22,$BC1312=(Elig_MatchAll_Ct-1),AP1312=0),L1312,0)</f>
        <v>0</v>
      </c>
      <c r="BR1312" s="991">
        <f>IF(AND(Input_Product=Elig!$C1312,Elig_MatchAll_Ct&lt;22,$BC1312=(Elig_MatchAll_Ct-1),AO1312=0),M1312,0)</f>
        <v>0</v>
      </c>
      <c r="BS1312" s="991">
        <f>IF(AND(Input_Product=Elig!$C1312,Elig_MatchAll_Ct&lt;22,$BC1312=(Elig_MatchAll_Ct-1),AQ1312=0),N1312,0)</f>
        <v>0</v>
      </c>
      <c r="BT1312" s="991">
        <f>IF(AND(Input_Product=Elig!$C1312,Elig_MatchAll_Ct&lt;22,$BC1312=(Elig_MatchAll_Ct-1),AR1312=0),O1312,0)</f>
        <v>0</v>
      </c>
      <c r="BU1312" s="991">
        <f>IF(AND(Input_Product=Elig!$C1312,Elig_MatchAll_Ct&lt;22,$BC1312=(Elig_MatchAll_Ct-1),AS1312=0),P1312,0)</f>
        <v>0</v>
      </c>
      <c r="BV1312" s="992">
        <f>IF(AND(Input_Product=Elig!$C1312,Elig_MatchAll_Ct&lt;22,$BC1312=(Elig_MatchAll_Ct-1),AT1312=0),Q1312,0)</f>
        <v>0</v>
      </c>
      <c r="BW1312" s="993">
        <f>IF(AND(Input_Product=Elig!$C1312,Elig_MatchAll_Ct&lt;22,$BC1312=(Elig_MatchAll_Ct-1),AU1312=0),R1312,0)</f>
        <v>0</v>
      </c>
      <c r="BX1312" s="994">
        <f>IF(AND(Input_Product=Elig!$C1312,Elig_MatchAll_Ct&lt;22,$BC1312=(Elig_MatchAll_Ct-1),AU1312=0),S1312,0)</f>
        <v>0</v>
      </c>
      <c r="BY1312" s="993">
        <f>IF(AND(Input_Product=Elig!$C1312,Elig_MatchAll_Ct&lt;22,$BC1312=(Elig_MatchAll_Ct-1),AV1312=0),T1312,0)</f>
        <v>0</v>
      </c>
      <c r="BZ1312" s="994">
        <f>IF(AND(Input_Product=Elig!$C1312,Elig_MatchAll_Ct&lt;22,$BC1312=(Elig_MatchAll_Ct-1),AV1312=0),U1312,0)</f>
        <v>0</v>
      </c>
      <c r="CA1312" s="993">
        <f>IF(AND(Input_Product=Elig!$C1312,Elig_MatchAll_Ct&lt;22,$BC1312=(Elig_MatchAll_Ct-1),AW1312=0),V1312,0)</f>
        <v>0</v>
      </c>
      <c r="CB1312" s="994">
        <f>IF(AND(Input_Product=Elig!$C1312,Elig_MatchAll_Ct&lt;22,$BC1312=(Elig_MatchAll_Ct-1),AW1312=0),W1312,0)</f>
        <v>0</v>
      </c>
      <c r="CC1312" s="993">
        <f>IF(AND(Input_Product=Elig!$C1312,Elig_MatchAll_Ct&lt;22,$BC1312=(Elig_MatchAll_Ct-1),AX1312=0),X1312,0)</f>
        <v>0</v>
      </c>
      <c r="CD1312" s="994">
        <f>IF(AND(Input_Product=Elig!$C1312,Elig_MatchAll_Ct&lt;22,$BC1312=(Elig_MatchAll_Ct-1),AX1312=0),Y1312,0)</f>
        <v>0</v>
      </c>
      <c r="CE1312" s="993">
        <f>IF(AND(Input_LTV&lt;=AE1312,Input_Product=Elig!$C1312,Elig_MatchAll_Ct&lt;22,$BC1312=(Elig_MatchAll_Ct-1),AY1312=0),Z1312,0)</f>
        <v>0</v>
      </c>
      <c r="CF1312" s="994">
        <f>IF(AND(Input_LTV&lt;=AE1312,Input_Product=Elig!$C1312,Elig_MatchAll_Ct&lt;22,$BC1312=(Elig_MatchAll_Ct-1),AY1312=0),AA1312,0)</f>
        <v>0</v>
      </c>
      <c r="CG1312" s="993">
        <f>IF(AND(Input_Product=Elig!$C1312,Elig_MatchAll_Ct&lt;22,$BC1312=(Elig_MatchAll_Ct-1),AZ1312=0),AB1312,0)</f>
        <v>0</v>
      </c>
      <c r="CH1312" s="994">
        <f>IF(AND(Input_Product=Elig!$C1312,Elig_MatchAll_Ct&lt;22,$BC1312=(Elig_MatchAll_Ct-1),AZ1312=0),AC1312,0)</f>
        <v>0</v>
      </c>
      <c r="CI1312" s="993">
        <f>IF(AND(Input_Product=Elig!$C1312,Elig_MatchAll_Ct&lt;22,$BC1312=(Elig_MatchAll_Ct-1),BA1312=0),AD1312,0)</f>
        <v>0</v>
      </c>
      <c r="CJ1312" s="994">
        <f>IF(AND(Input_Product=Elig!$C1312,Elig_MatchAll_Ct&lt;22,$BC1312=(Elig_MatchAll_Ct-1),BA1312=0),AE1312,0)</f>
        <v>0</v>
      </c>
    </row>
    <row r="1313" spans="2:88" ht="10.15" customHeight="1" x14ac:dyDescent="0.25">
      <c r="B1313" s="1538" t="s">
        <v>2758</v>
      </c>
      <c r="C1313" s="1538" t="str">
        <f t="shared" si="472"/>
        <v xml:space="preserve">  OO</v>
      </c>
      <c r="D1313" s="1538" t="s">
        <v>2764</v>
      </c>
      <c r="E1313" s="1538" t="s">
        <v>167</v>
      </c>
      <c r="F1313" s="1538" t="s">
        <v>2765</v>
      </c>
      <c r="G1313" s="1538" t="s">
        <v>2766</v>
      </c>
      <c r="H1313" s="1538" t="s">
        <v>2767</v>
      </c>
      <c r="I1313" s="1539" t="s">
        <v>34</v>
      </c>
      <c r="J1313" s="1539" t="s">
        <v>1311</v>
      </c>
      <c r="K1313" s="1539" t="s">
        <v>3023</v>
      </c>
      <c r="L1313" s="1538" t="s">
        <v>2768</v>
      </c>
      <c r="M1313" s="1538" t="s">
        <v>2677</v>
      </c>
      <c r="N1313" s="1538" t="s">
        <v>2685</v>
      </c>
      <c r="O1313" s="1538" t="s">
        <v>310</v>
      </c>
      <c r="P1313" s="1538" t="s">
        <v>291</v>
      </c>
      <c r="Q1313" s="1538" t="s">
        <v>294</v>
      </c>
      <c r="R1313" s="1538">
        <v>2500000.0099999998</v>
      </c>
      <c r="S1313" s="1538">
        <v>3000000</v>
      </c>
      <c r="T1313" s="1538">
        <v>0</v>
      </c>
      <c r="U1313" s="1538">
        <v>0</v>
      </c>
      <c r="V1313" s="1538">
        <v>0</v>
      </c>
      <c r="W1313" s="1538">
        <v>55</v>
      </c>
      <c r="X1313" s="1538">
        <v>0</v>
      </c>
      <c r="Y1313" s="1538">
        <v>0</v>
      </c>
      <c r="Z1313" s="1540">
        <v>680</v>
      </c>
      <c r="AA1313" s="1540">
        <v>699</v>
      </c>
      <c r="AB1313" s="1540">
        <v>6</v>
      </c>
      <c r="AC1313" s="1540">
        <v>999999</v>
      </c>
      <c r="AD1313" s="1538">
        <v>0</v>
      </c>
      <c r="AE1313" s="1545">
        <v>70</v>
      </c>
      <c r="AF1313" s="170">
        <v>0</v>
      </c>
      <c r="AG1313" s="171">
        <v>1</v>
      </c>
      <c r="AH1313" s="171">
        <v>1</v>
      </c>
      <c r="AI1313" s="171">
        <v>1</v>
      </c>
      <c r="AJ1313" s="171">
        <v>1</v>
      </c>
      <c r="AK1313" s="171">
        <v>1</v>
      </c>
      <c r="AL1313" s="171">
        <v>0</v>
      </c>
      <c r="AM1313" s="171">
        <v>1</v>
      </c>
      <c r="AN1313" s="171">
        <v>1</v>
      </c>
      <c r="AO1313" s="171">
        <v>1</v>
      </c>
      <c r="AP1313" s="171">
        <v>1</v>
      </c>
      <c r="AQ1313" s="171">
        <v>1</v>
      </c>
      <c r="AR1313" s="171">
        <v>1</v>
      </c>
      <c r="AS1313" s="171">
        <v>1</v>
      </c>
      <c r="AT1313" s="171">
        <v>1</v>
      </c>
      <c r="AU1313" s="171">
        <f t="shared" si="447"/>
        <v>0</v>
      </c>
      <c r="AV1313" s="171">
        <f t="shared" si="448"/>
        <v>0</v>
      </c>
      <c r="AW1313" s="171">
        <f t="shared" si="449"/>
        <v>1</v>
      </c>
      <c r="AX1313" s="171">
        <f t="shared" si="467"/>
        <v>1</v>
      </c>
      <c r="AY1313" s="171">
        <f t="shared" si="450"/>
        <v>0</v>
      </c>
      <c r="AZ1313" s="171">
        <f t="shared" si="451"/>
        <v>1</v>
      </c>
      <c r="BA1313" s="172">
        <f t="shared" si="452"/>
        <v>1</v>
      </c>
      <c r="BB1313" s="175">
        <f t="shared" si="454"/>
        <v>17</v>
      </c>
      <c r="BC1313" s="176">
        <f t="shared" si="455"/>
        <v>16</v>
      </c>
      <c r="BD1313" s="176">
        <f t="shared" si="456"/>
        <v>17</v>
      </c>
      <c r="BE1313" s="240" t="str">
        <f t="shared" si="446"/>
        <v/>
      </c>
      <c r="BF1313" s="990"/>
      <c r="BG1313" s="990"/>
      <c r="BH1313" s="991">
        <f>IF(AND(Input_Product=Elig!$C1313,Elig_MatchAll_Ct&lt;22,$BC1313=(Elig_MatchAll_Ct-1),AF1313=0),C1313,0)</f>
        <v>0</v>
      </c>
      <c r="BI1313" s="991">
        <f>IF(AND(Input_Product=Elig!$C1313,Elig_MatchAll_Ct&lt;22,$BC1313=(Elig_MatchAll_Ct-1),AG1313=0),D1313,0)</f>
        <v>0</v>
      </c>
      <c r="BJ1313" s="991">
        <f>IF(AND(Input_Product=Elig!$C1313,Elig_MatchAll_Ct&lt;22,$BC1313=(Elig_MatchAll_Ct-1),AH1313=0),E1313,0)</f>
        <v>0</v>
      </c>
      <c r="BK1313" s="991">
        <f>IF(AND(Input_Product=Elig!$C1313,Elig_MatchAll_Ct&lt;22,$BC1313=(Elig_MatchAll_Ct-1),AI1313=0),F1313,0)</f>
        <v>0</v>
      </c>
      <c r="BL1313" s="991">
        <f>IF(AND(Input_Product=Elig!$C1313,Elig_MatchAll_Ct&lt;22,$BC1313=(Elig_MatchAll_Ct-1),AJ1313=0),G1313,0)</f>
        <v>0</v>
      </c>
      <c r="BM1313" s="991">
        <f>IF(AND(Input_Product=Elig!$C1313,Elig_MatchAll_Ct&lt;22,$BC1313=(Elig_MatchAll_Ct-1),AK1313=0),H1313,0)</f>
        <v>0</v>
      </c>
      <c r="BN1313" s="991">
        <f>IF(AND(Input_Product=Elig!$C1313,Elig_MatchAll_Ct&lt;22,$BC1313=(Elig_MatchAll_Ct-1),AL1313=0),I1313,0)</f>
        <v>0</v>
      </c>
      <c r="BO1313" s="991">
        <f>IF(AND(Input_Product=Elig!$C1313,Elig_MatchAll_Ct&lt;22,$BC1313=(Elig_MatchAll_Ct-1),AM1313=0),J1313,0)</f>
        <v>0</v>
      </c>
      <c r="BP1313" s="991">
        <f>IF(AND(Input_Product=Elig!$C1313,Elig_MatchAll_Ct&lt;22,$BC1313=(Elig_MatchAll_Ct-1),AN1313=0),K1313,0)</f>
        <v>0</v>
      </c>
      <c r="BQ1313" s="991">
        <f>IF(AND(Input_Product=Elig!$C1313,Elig_MatchAll_Ct&lt;22,$BC1313=(Elig_MatchAll_Ct-1),AP1313=0),L1313,0)</f>
        <v>0</v>
      </c>
      <c r="BR1313" s="991">
        <f>IF(AND(Input_Product=Elig!$C1313,Elig_MatchAll_Ct&lt;22,$BC1313=(Elig_MatchAll_Ct-1),AO1313=0),M1313,0)</f>
        <v>0</v>
      </c>
      <c r="BS1313" s="991">
        <f>IF(AND(Input_Product=Elig!$C1313,Elig_MatchAll_Ct&lt;22,$BC1313=(Elig_MatchAll_Ct-1),AQ1313=0),N1313,0)</f>
        <v>0</v>
      </c>
      <c r="BT1313" s="991">
        <f>IF(AND(Input_Product=Elig!$C1313,Elig_MatchAll_Ct&lt;22,$BC1313=(Elig_MatchAll_Ct-1),AR1313=0),O1313,0)</f>
        <v>0</v>
      </c>
      <c r="BU1313" s="991">
        <f>IF(AND(Input_Product=Elig!$C1313,Elig_MatchAll_Ct&lt;22,$BC1313=(Elig_MatchAll_Ct-1),AS1313=0),P1313,0)</f>
        <v>0</v>
      </c>
      <c r="BV1313" s="992">
        <f>IF(AND(Input_Product=Elig!$C1313,Elig_MatchAll_Ct&lt;22,$BC1313=(Elig_MatchAll_Ct-1),AT1313=0),Q1313,0)</f>
        <v>0</v>
      </c>
      <c r="BW1313" s="993">
        <f>IF(AND(Input_Product=Elig!$C1313,Elig_MatchAll_Ct&lt;22,$BC1313=(Elig_MatchAll_Ct-1),AU1313=0),R1313,0)</f>
        <v>0</v>
      </c>
      <c r="BX1313" s="994">
        <f>IF(AND(Input_Product=Elig!$C1313,Elig_MatchAll_Ct&lt;22,$BC1313=(Elig_MatchAll_Ct-1),AU1313=0),S1313,0)</f>
        <v>0</v>
      </c>
      <c r="BY1313" s="993">
        <f>IF(AND(Input_Product=Elig!$C1313,Elig_MatchAll_Ct&lt;22,$BC1313=(Elig_MatchAll_Ct-1),AV1313=0),T1313,0)</f>
        <v>0</v>
      </c>
      <c r="BZ1313" s="994">
        <f>IF(AND(Input_Product=Elig!$C1313,Elig_MatchAll_Ct&lt;22,$BC1313=(Elig_MatchAll_Ct-1),AV1313=0),U1313,0)</f>
        <v>0</v>
      </c>
      <c r="CA1313" s="993">
        <f>IF(AND(Input_Product=Elig!$C1313,Elig_MatchAll_Ct&lt;22,$BC1313=(Elig_MatchAll_Ct-1),AW1313=0),V1313,0)</f>
        <v>0</v>
      </c>
      <c r="CB1313" s="994">
        <f>IF(AND(Input_Product=Elig!$C1313,Elig_MatchAll_Ct&lt;22,$BC1313=(Elig_MatchAll_Ct-1),AW1313=0),W1313,0)</f>
        <v>0</v>
      </c>
      <c r="CC1313" s="993">
        <f>IF(AND(Input_Product=Elig!$C1313,Elig_MatchAll_Ct&lt;22,$BC1313=(Elig_MatchAll_Ct-1),AX1313=0),X1313,0)</f>
        <v>0</v>
      </c>
      <c r="CD1313" s="994">
        <f>IF(AND(Input_Product=Elig!$C1313,Elig_MatchAll_Ct&lt;22,$BC1313=(Elig_MatchAll_Ct-1),AX1313=0),Y1313,0)</f>
        <v>0</v>
      </c>
      <c r="CE1313" s="993">
        <f>IF(AND(Input_LTV&lt;=AE1313,Input_Product=Elig!$C1313,Elig_MatchAll_Ct&lt;22,$BC1313=(Elig_MatchAll_Ct-1),AY1313=0),Z1313,0)</f>
        <v>0</v>
      </c>
      <c r="CF1313" s="994">
        <f>IF(AND(Input_LTV&lt;=AE1313,Input_Product=Elig!$C1313,Elig_MatchAll_Ct&lt;22,$BC1313=(Elig_MatchAll_Ct-1),AY1313=0),AA1313,0)</f>
        <v>0</v>
      </c>
      <c r="CG1313" s="993">
        <f>IF(AND(Input_Product=Elig!$C1313,Elig_MatchAll_Ct&lt;22,$BC1313=(Elig_MatchAll_Ct-1),AZ1313=0),AB1313,0)</f>
        <v>0</v>
      </c>
      <c r="CH1313" s="994">
        <f>IF(AND(Input_Product=Elig!$C1313,Elig_MatchAll_Ct&lt;22,$BC1313=(Elig_MatchAll_Ct-1),AZ1313=0),AC1313,0)</f>
        <v>0</v>
      </c>
      <c r="CI1313" s="993">
        <f>IF(AND(Input_Product=Elig!$C1313,Elig_MatchAll_Ct&lt;22,$BC1313=(Elig_MatchAll_Ct-1),BA1313=0),AD1313,0)</f>
        <v>0</v>
      </c>
      <c r="CJ1313" s="994">
        <f>IF(AND(Input_Product=Elig!$C1313,Elig_MatchAll_Ct&lt;22,$BC1313=(Elig_MatchAll_Ct-1),BA1313=0),AE1313,0)</f>
        <v>0</v>
      </c>
    </row>
    <row r="1314" spans="2:88" ht="10.15" customHeight="1" x14ac:dyDescent="0.25">
      <c r="B1314" s="1538" t="s">
        <v>2759</v>
      </c>
      <c r="C1314" s="1538" t="str">
        <f t="shared" si="472"/>
        <v xml:space="preserve">  OO</v>
      </c>
      <c r="D1314" s="1538" t="s">
        <v>2764</v>
      </c>
      <c r="E1314" s="1538" t="s">
        <v>167</v>
      </c>
      <c r="F1314" s="1538" t="s">
        <v>2765</v>
      </c>
      <c r="G1314" s="1538" t="s">
        <v>2766</v>
      </c>
      <c r="H1314" s="1538" t="s">
        <v>2767</v>
      </c>
      <c r="I1314" s="1539" t="s">
        <v>34</v>
      </c>
      <c r="J1314" s="1539" t="s">
        <v>1311</v>
      </c>
      <c r="K1314" s="1539" t="s">
        <v>3023</v>
      </c>
      <c r="L1314" s="1538" t="s">
        <v>2768</v>
      </c>
      <c r="M1314" s="1538" t="s">
        <v>2677</v>
      </c>
      <c r="N1314" s="1538" t="s">
        <v>2685</v>
      </c>
      <c r="O1314" s="1538" t="s">
        <v>310</v>
      </c>
      <c r="P1314" s="1538" t="s">
        <v>291</v>
      </c>
      <c r="Q1314" s="1538" t="s">
        <v>294</v>
      </c>
      <c r="R1314" s="1538">
        <v>150000</v>
      </c>
      <c r="S1314" s="1538">
        <v>1000000</v>
      </c>
      <c r="T1314" s="1538">
        <v>0</v>
      </c>
      <c r="U1314" s="1538">
        <v>0</v>
      </c>
      <c r="V1314" s="1538">
        <v>0</v>
      </c>
      <c r="W1314" s="1538">
        <v>55</v>
      </c>
      <c r="X1314" s="1538">
        <v>0</v>
      </c>
      <c r="Y1314" s="1538">
        <v>0</v>
      </c>
      <c r="Z1314" s="1540">
        <v>660</v>
      </c>
      <c r="AA1314" s="1540">
        <v>679</v>
      </c>
      <c r="AB1314" s="1540">
        <v>6</v>
      </c>
      <c r="AC1314" s="1540">
        <v>999999</v>
      </c>
      <c r="AD1314" s="1538">
        <v>0</v>
      </c>
      <c r="AE1314" s="1545">
        <v>80</v>
      </c>
      <c r="AF1314" s="170">
        <v>0</v>
      </c>
      <c r="AG1314" s="171">
        <v>1</v>
      </c>
      <c r="AH1314" s="171">
        <v>1</v>
      </c>
      <c r="AI1314" s="171">
        <v>1</v>
      </c>
      <c r="AJ1314" s="171">
        <v>1</v>
      </c>
      <c r="AK1314" s="171">
        <v>1</v>
      </c>
      <c r="AL1314" s="171">
        <v>0</v>
      </c>
      <c r="AM1314" s="171">
        <v>1</v>
      </c>
      <c r="AN1314" s="171">
        <v>1</v>
      </c>
      <c r="AO1314" s="171">
        <v>1</v>
      </c>
      <c r="AP1314" s="171">
        <v>1</v>
      </c>
      <c r="AQ1314" s="171">
        <v>1</v>
      </c>
      <c r="AR1314" s="171">
        <v>1</v>
      </c>
      <c r="AS1314" s="171">
        <v>1</v>
      </c>
      <c r="AT1314" s="171">
        <v>1</v>
      </c>
      <c r="AU1314" s="171">
        <f t="shared" si="447"/>
        <v>1</v>
      </c>
      <c r="AV1314" s="171">
        <f t="shared" si="448"/>
        <v>0</v>
      </c>
      <c r="AW1314" s="171">
        <f t="shared" si="449"/>
        <v>1</v>
      </c>
      <c r="AX1314" s="171">
        <f t="shared" si="467"/>
        <v>1</v>
      </c>
      <c r="AY1314" s="171">
        <f t="shared" si="450"/>
        <v>0</v>
      </c>
      <c r="AZ1314" s="171">
        <f t="shared" si="451"/>
        <v>1</v>
      </c>
      <c r="BA1314" s="172">
        <f t="shared" si="452"/>
        <v>1</v>
      </c>
      <c r="BB1314" s="175">
        <f t="shared" si="454"/>
        <v>18</v>
      </c>
      <c r="BC1314" s="176">
        <f t="shared" si="455"/>
        <v>17</v>
      </c>
      <c r="BD1314" s="176">
        <f t="shared" si="456"/>
        <v>18</v>
      </c>
      <c r="BE1314" s="240" t="str">
        <f t="shared" si="446"/>
        <v/>
      </c>
      <c r="BF1314" s="990"/>
      <c r="BG1314" s="990"/>
      <c r="BH1314" s="991">
        <f>IF(AND(Input_Product=Elig!$C1314,Elig_MatchAll_Ct&lt;22,$BC1314=(Elig_MatchAll_Ct-1),AF1314=0),C1314,0)</f>
        <v>0</v>
      </c>
      <c r="BI1314" s="991">
        <f>IF(AND(Input_Product=Elig!$C1314,Elig_MatchAll_Ct&lt;22,$BC1314=(Elig_MatchAll_Ct-1),AG1314=0),D1314,0)</f>
        <v>0</v>
      </c>
      <c r="BJ1314" s="991">
        <f>IF(AND(Input_Product=Elig!$C1314,Elig_MatchAll_Ct&lt;22,$BC1314=(Elig_MatchAll_Ct-1),AH1314=0),E1314,0)</f>
        <v>0</v>
      </c>
      <c r="BK1314" s="991">
        <f>IF(AND(Input_Product=Elig!$C1314,Elig_MatchAll_Ct&lt;22,$BC1314=(Elig_MatchAll_Ct-1),AI1314=0),F1314,0)</f>
        <v>0</v>
      </c>
      <c r="BL1314" s="991">
        <f>IF(AND(Input_Product=Elig!$C1314,Elig_MatchAll_Ct&lt;22,$BC1314=(Elig_MatchAll_Ct-1),AJ1314=0),G1314,0)</f>
        <v>0</v>
      </c>
      <c r="BM1314" s="991">
        <f>IF(AND(Input_Product=Elig!$C1314,Elig_MatchAll_Ct&lt;22,$BC1314=(Elig_MatchAll_Ct-1),AK1314=0),H1314,0)</f>
        <v>0</v>
      </c>
      <c r="BN1314" s="991">
        <f>IF(AND(Input_Product=Elig!$C1314,Elig_MatchAll_Ct&lt;22,$BC1314=(Elig_MatchAll_Ct-1),AL1314=0),I1314,0)</f>
        <v>0</v>
      </c>
      <c r="BO1314" s="991">
        <f>IF(AND(Input_Product=Elig!$C1314,Elig_MatchAll_Ct&lt;22,$BC1314=(Elig_MatchAll_Ct-1),AM1314=0),J1314,0)</f>
        <v>0</v>
      </c>
      <c r="BP1314" s="991">
        <f>IF(AND(Input_Product=Elig!$C1314,Elig_MatchAll_Ct&lt;22,$BC1314=(Elig_MatchAll_Ct-1),AN1314=0),K1314,0)</f>
        <v>0</v>
      </c>
      <c r="BQ1314" s="991">
        <f>IF(AND(Input_Product=Elig!$C1314,Elig_MatchAll_Ct&lt;22,$BC1314=(Elig_MatchAll_Ct-1),AP1314=0),L1314,0)</f>
        <v>0</v>
      </c>
      <c r="BR1314" s="991">
        <f>IF(AND(Input_Product=Elig!$C1314,Elig_MatchAll_Ct&lt;22,$BC1314=(Elig_MatchAll_Ct-1),AO1314=0),M1314,0)</f>
        <v>0</v>
      </c>
      <c r="BS1314" s="991">
        <f>IF(AND(Input_Product=Elig!$C1314,Elig_MatchAll_Ct&lt;22,$BC1314=(Elig_MatchAll_Ct-1),AQ1314=0),N1314,0)</f>
        <v>0</v>
      </c>
      <c r="BT1314" s="991">
        <f>IF(AND(Input_Product=Elig!$C1314,Elig_MatchAll_Ct&lt;22,$BC1314=(Elig_MatchAll_Ct-1),AR1314=0),O1314,0)</f>
        <v>0</v>
      </c>
      <c r="BU1314" s="991">
        <f>IF(AND(Input_Product=Elig!$C1314,Elig_MatchAll_Ct&lt;22,$BC1314=(Elig_MatchAll_Ct-1),AS1314=0),P1314,0)</f>
        <v>0</v>
      </c>
      <c r="BV1314" s="992">
        <f>IF(AND(Input_Product=Elig!$C1314,Elig_MatchAll_Ct&lt;22,$BC1314=(Elig_MatchAll_Ct-1),AT1314=0),Q1314,0)</f>
        <v>0</v>
      </c>
      <c r="BW1314" s="993">
        <f>IF(AND(Input_Product=Elig!$C1314,Elig_MatchAll_Ct&lt;22,$BC1314=(Elig_MatchAll_Ct-1),AU1314=0),R1314,0)</f>
        <v>0</v>
      </c>
      <c r="BX1314" s="994">
        <f>IF(AND(Input_Product=Elig!$C1314,Elig_MatchAll_Ct&lt;22,$BC1314=(Elig_MatchAll_Ct-1),AU1314=0),S1314,0)</f>
        <v>0</v>
      </c>
      <c r="BY1314" s="993">
        <f>IF(AND(Input_Product=Elig!$C1314,Elig_MatchAll_Ct&lt;22,$BC1314=(Elig_MatchAll_Ct-1),AV1314=0),T1314,0)</f>
        <v>0</v>
      </c>
      <c r="BZ1314" s="994">
        <f>IF(AND(Input_Product=Elig!$C1314,Elig_MatchAll_Ct&lt;22,$BC1314=(Elig_MatchAll_Ct-1),AV1314=0),U1314,0)</f>
        <v>0</v>
      </c>
      <c r="CA1314" s="993">
        <f>IF(AND(Input_Product=Elig!$C1314,Elig_MatchAll_Ct&lt;22,$BC1314=(Elig_MatchAll_Ct-1),AW1314=0),V1314,0)</f>
        <v>0</v>
      </c>
      <c r="CB1314" s="994">
        <f>IF(AND(Input_Product=Elig!$C1314,Elig_MatchAll_Ct&lt;22,$BC1314=(Elig_MatchAll_Ct-1),AW1314=0),W1314,0)</f>
        <v>0</v>
      </c>
      <c r="CC1314" s="993">
        <f>IF(AND(Input_Product=Elig!$C1314,Elig_MatchAll_Ct&lt;22,$BC1314=(Elig_MatchAll_Ct-1),AX1314=0),X1314,0)</f>
        <v>0</v>
      </c>
      <c r="CD1314" s="994">
        <f>IF(AND(Input_Product=Elig!$C1314,Elig_MatchAll_Ct&lt;22,$BC1314=(Elig_MatchAll_Ct-1),AX1314=0),Y1314,0)</f>
        <v>0</v>
      </c>
      <c r="CE1314" s="993">
        <f>IF(AND(Input_LTV&lt;=AE1314,Input_Product=Elig!$C1314,Elig_MatchAll_Ct&lt;22,$BC1314=(Elig_MatchAll_Ct-1),AY1314=0),Z1314,0)</f>
        <v>0</v>
      </c>
      <c r="CF1314" s="994">
        <f>IF(AND(Input_LTV&lt;=AE1314,Input_Product=Elig!$C1314,Elig_MatchAll_Ct&lt;22,$BC1314=(Elig_MatchAll_Ct-1),AY1314=0),AA1314,0)</f>
        <v>0</v>
      </c>
      <c r="CG1314" s="993">
        <f>IF(AND(Input_Product=Elig!$C1314,Elig_MatchAll_Ct&lt;22,$BC1314=(Elig_MatchAll_Ct-1),AZ1314=0),AB1314,0)</f>
        <v>0</v>
      </c>
      <c r="CH1314" s="994">
        <f>IF(AND(Input_Product=Elig!$C1314,Elig_MatchAll_Ct&lt;22,$BC1314=(Elig_MatchAll_Ct-1),AZ1314=0),AC1314,0)</f>
        <v>0</v>
      </c>
      <c r="CI1314" s="993">
        <f>IF(AND(Input_Product=Elig!$C1314,Elig_MatchAll_Ct&lt;22,$BC1314=(Elig_MatchAll_Ct-1),BA1314=0),AD1314,0)</f>
        <v>0</v>
      </c>
      <c r="CJ1314" s="994">
        <f>IF(AND(Input_Product=Elig!$C1314,Elig_MatchAll_Ct&lt;22,$BC1314=(Elig_MatchAll_Ct-1),BA1314=0),AE1314,0)</f>
        <v>0</v>
      </c>
    </row>
    <row r="1315" spans="2:88" ht="10.15" customHeight="1" x14ac:dyDescent="0.25">
      <c r="B1315" s="1538" t="s">
        <v>2760</v>
      </c>
      <c r="C1315" s="1538" t="str">
        <f t="shared" si="472"/>
        <v xml:space="preserve">  OO</v>
      </c>
      <c r="D1315" s="1538" t="s">
        <v>2764</v>
      </c>
      <c r="E1315" s="1538" t="s">
        <v>167</v>
      </c>
      <c r="F1315" s="1538" t="s">
        <v>2765</v>
      </c>
      <c r="G1315" s="1538" t="s">
        <v>2766</v>
      </c>
      <c r="H1315" s="1538" t="s">
        <v>2767</v>
      </c>
      <c r="I1315" s="1539" t="s">
        <v>34</v>
      </c>
      <c r="J1315" s="1539" t="s">
        <v>1311</v>
      </c>
      <c r="K1315" s="1539" t="s">
        <v>3023</v>
      </c>
      <c r="L1315" s="1538" t="s">
        <v>2768</v>
      </c>
      <c r="M1315" s="1538" t="s">
        <v>2677</v>
      </c>
      <c r="N1315" s="1538" t="s">
        <v>2685</v>
      </c>
      <c r="O1315" s="1538" t="s">
        <v>310</v>
      </c>
      <c r="P1315" s="1538" t="s">
        <v>291</v>
      </c>
      <c r="Q1315" s="1538" t="s">
        <v>294</v>
      </c>
      <c r="R1315" s="1538">
        <v>1000000.01</v>
      </c>
      <c r="S1315" s="1538">
        <v>1500000</v>
      </c>
      <c r="T1315" s="1538">
        <v>0</v>
      </c>
      <c r="U1315" s="1538">
        <v>0</v>
      </c>
      <c r="V1315" s="1538">
        <v>0</v>
      </c>
      <c r="W1315" s="1538">
        <v>55</v>
      </c>
      <c r="X1315" s="1538">
        <v>0</v>
      </c>
      <c r="Y1315" s="1538">
        <v>0</v>
      </c>
      <c r="Z1315" s="1540">
        <v>660</v>
      </c>
      <c r="AA1315" s="1540">
        <v>679</v>
      </c>
      <c r="AB1315" s="1540">
        <v>6</v>
      </c>
      <c r="AC1315" s="1540">
        <v>999999</v>
      </c>
      <c r="AD1315" s="1538">
        <v>0</v>
      </c>
      <c r="AE1315" s="1545">
        <v>80</v>
      </c>
      <c r="AF1315" s="170">
        <v>0</v>
      </c>
      <c r="AG1315" s="171">
        <v>1</v>
      </c>
      <c r="AH1315" s="171">
        <v>1</v>
      </c>
      <c r="AI1315" s="171">
        <v>1</v>
      </c>
      <c r="AJ1315" s="171">
        <v>1</v>
      </c>
      <c r="AK1315" s="171">
        <v>1</v>
      </c>
      <c r="AL1315" s="171">
        <v>0</v>
      </c>
      <c r="AM1315" s="171">
        <v>1</v>
      </c>
      <c r="AN1315" s="171">
        <v>1</v>
      </c>
      <c r="AO1315" s="171">
        <v>1</v>
      </c>
      <c r="AP1315" s="171">
        <v>1</v>
      </c>
      <c r="AQ1315" s="171">
        <v>1</v>
      </c>
      <c r="AR1315" s="171">
        <v>1</v>
      </c>
      <c r="AS1315" s="171">
        <v>1</v>
      </c>
      <c r="AT1315" s="171">
        <v>1</v>
      </c>
      <c r="AU1315" s="171">
        <f t="shared" si="447"/>
        <v>0</v>
      </c>
      <c r="AV1315" s="171">
        <f t="shared" si="448"/>
        <v>0</v>
      </c>
      <c r="AW1315" s="171">
        <f t="shared" si="449"/>
        <v>1</v>
      </c>
      <c r="AX1315" s="171">
        <f t="shared" si="467"/>
        <v>1</v>
      </c>
      <c r="AY1315" s="171">
        <f t="shared" si="450"/>
        <v>0</v>
      </c>
      <c r="AZ1315" s="171">
        <f t="shared" si="451"/>
        <v>1</v>
      </c>
      <c r="BA1315" s="172">
        <f t="shared" si="452"/>
        <v>1</v>
      </c>
      <c r="BB1315" s="175">
        <f t="shared" si="454"/>
        <v>17</v>
      </c>
      <c r="BC1315" s="176">
        <f t="shared" si="455"/>
        <v>16</v>
      </c>
      <c r="BD1315" s="176">
        <f t="shared" si="456"/>
        <v>17</v>
      </c>
      <c r="BE1315" s="240" t="str">
        <f t="shared" si="446"/>
        <v/>
      </c>
      <c r="BF1315" s="990"/>
      <c r="BG1315" s="990"/>
      <c r="BH1315" s="991">
        <f>IF(AND(Input_Product=Elig!$C1315,Elig_MatchAll_Ct&lt;22,$BC1315=(Elig_MatchAll_Ct-1),AF1315=0),C1315,0)</f>
        <v>0</v>
      </c>
      <c r="BI1315" s="991">
        <f>IF(AND(Input_Product=Elig!$C1315,Elig_MatchAll_Ct&lt;22,$BC1315=(Elig_MatchAll_Ct-1),AG1315=0),D1315,0)</f>
        <v>0</v>
      </c>
      <c r="BJ1315" s="991">
        <f>IF(AND(Input_Product=Elig!$C1315,Elig_MatchAll_Ct&lt;22,$BC1315=(Elig_MatchAll_Ct-1),AH1315=0),E1315,0)</f>
        <v>0</v>
      </c>
      <c r="BK1315" s="991">
        <f>IF(AND(Input_Product=Elig!$C1315,Elig_MatchAll_Ct&lt;22,$BC1315=(Elig_MatchAll_Ct-1),AI1315=0),F1315,0)</f>
        <v>0</v>
      </c>
      <c r="BL1315" s="991">
        <f>IF(AND(Input_Product=Elig!$C1315,Elig_MatchAll_Ct&lt;22,$BC1315=(Elig_MatchAll_Ct-1),AJ1315=0),G1315,0)</f>
        <v>0</v>
      </c>
      <c r="BM1315" s="991">
        <f>IF(AND(Input_Product=Elig!$C1315,Elig_MatchAll_Ct&lt;22,$BC1315=(Elig_MatchAll_Ct-1),AK1315=0),H1315,0)</f>
        <v>0</v>
      </c>
      <c r="BN1315" s="991">
        <f>IF(AND(Input_Product=Elig!$C1315,Elig_MatchAll_Ct&lt;22,$BC1315=(Elig_MatchAll_Ct-1),AL1315=0),I1315,0)</f>
        <v>0</v>
      </c>
      <c r="BO1315" s="991">
        <f>IF(AND(Input_Product=Elig!$C1315,Elig_MatchAll_Ct&lt;22,$BC1315=(Elig_MatchAll_Ct-1),AM1315=0),J1315,0)</f>
        <v>0</v>
      </c>
      <c r="BP1315" s="991">
        <f>IF(AND(Input_Product=Elig!$C1315,Elig_MatchAll_Ct&lt;22,$BC1315=(Elig_MatchAll_Ct-1),AN1315=0),K1315,0)</f>
        <v>0</v>
      </c>
      <c r="BQ1315" s="991">
        <f>IF(AND(Input_Product=Elig!$C1315,Elig_MatchAll_Ct&lt;22,$BC1315=(Elig_MatchAll_Ct-1),AP1315=0),L1315,0)</f>
        <v>0</v>
      </c>
      <c r="BR1315" s="991">
        <f>IF(AND(Input_Product=Elig!$C1315,Elig_MatchAll_Ct&lt;22,$BC1315=(Elig_MatchAll_Ct-1),AO1315=0),M1315,0)</f>
        <v>0</v>
      </c>
      <c r="BS1315" s="991">
        <f>IF(AND(Input_Product=Elig!$C1315,Elig_MatchAll_Ct&lt;22,$BC1315=(Elig_MatchAll_Ct-1),AQ1315=0),N1315,0)</f>
        <v>0</v>
      </c>
      <c r="BT1315" s="991">
        <f>IF(AND(Input_Product=Elig!$C1315,Elig_MatchAll_Ct&lt;22,$BC1315=(Elig_MatchAll_Ct-1),AR1315=0),O1315,0)</f>
        <v>0</v>
      </c>
      <c r="BU1315" s="991">
        <f>IF(AND(Input_Product=Elig!$C1315,Elig_MatchAll_Ct&lt;22,$BC1315=(Elig_MatchAll_Ct-1),AS1315=0),P1315,0)</f>
        <v>0</v>
      </c>
      <c r="BV1315" s="992">
        <f>IF(AND(Input_Product=Elig!$C1315,Elig_MatchAll_Ct&lt;22,$BC1315=(Elig_MatchAll_Ct-1),AT1315=0),Q1315,0)</f>
        <v>0</v>
      </c>
      <c r="BW1315" s="993">
        <f>IF(AND(Input_Product=Elig!$C1315,Elig_MatchAll_Ct&lt;22,$BC1315=(Elig_MatchAll_Ct-1),AU1315=0),R1315,0)</f>
        <v>0</v>
      </c>
      <c r="BX1315" s="994">
        <f>IF(AND(Input_Product=Elig!$C1315,Elig_MatchAll_Ct&lt;22,$BC1315=(Elig_MatchAll_Ct-1),AU1315=0),S1315,0)</f>
        <v>0</v>
      </c>
      <c r="BY1315" s="993">
        <f>IF(AND(Input_Product=Elig!$C1315,Elig_MatchAll_Ct&lt;22,$BC1315=(Elig_MatchAll_Ct-1),AV1315=0),T1315,0)</f>
        <v>0</v>
      </c>
      <c r="BZ1315" s="994">
        <f>IF(AND(Input_Product=Elig!$C1315,Elig_MatchAll_Ct&lt;22,$BC1315=(Elig_MatchAll_Ct-1),AV1315=0),U1315,0)</f>
        <v>0</v>
      </c>
      <c r="CA1315" s="993">
        <f>IF(AND(Input_Product=Elig!$C1315,Elig_MatchAll_Ct&lt;22,$BC1315=(Elig_MatchAll_Ct-1),AW1315=0),V1315,0)</f>
        <v>0</v>
      </c>
      <c r="CB1315" s="994">
        <f>IF(AND(Input_Product=Elig!$C1315,Elig_MatchAll_Ct&lt;22,$BC1315=(Elig_MatchAll_Ct-1),AW1315=0),W1315,0)</f>
        <v>0</v>
      </c>
      <c r="CC1315" s="993">
        <f>IF(AND(Input_Product=Elig!$C1315,Elig_MatchAll_Ct&lt;22,$BC1315=(Elig_MatchAll_Ct-1),AX1315=0),X1315,0)</f>
        <v>0</v>
      </c>
      <c r="CD1315" s="994">
        <f>IF(AND(Input_Product=Elig!$C1315,Elig_MatchAll_Ct&lt;22,$BC1315=(Elig_MatchAll_Ct-1),AX1315=0),Y1315,0)</f>
        <v>0</v>
      </c>
      <c r="CE1315" s="993">
        <f>IF(AND(Input_LTV&lt;=AE1315,Input_Product=Elig!$C1315,Elig_MatchAll_Ct&lt;22,$BC1315=(Elig_MatchAll_Ct-1),AY1315=0),Z1315,0)</f>
        <v>0</v>
      </c>
      <c r="CF1315" s="994">
        <f>IF(AND(Input_LTV&lt;=AE1315,Input_Product=Elig!$C1315,Elig_MatchAll_Ct&lt;22,$BC1315=(Elig_MatchAll_Ct-1),AY1315=0),AA1315,0)</f>
        <v>0</v>
      </c>
      <c r="CG1315" s="993">
        <f>IF(AND(Input_Product=Elig!$C1315,Elig_MatchAll_Ct&lt;22,$BC1315=(Elig_MatchAll_Ct-1),AZ1315=0),AB1315,0)</f>
        <v>0</v>
      </c>
      <c r="CH1315" s="994">
        <f>IF(AND(Input_Product=Elig!$C1315,Elig_MatchAll_Ct&lt;22,$BC1315=(Elig_MatchAll_Ct-1),AZ1315=0),AC1315,0)</f>
        <v>0</v>
      </c>
      <c r="CI1315" s="993">
        <f>IF(AND(Input_Product=Elig!$C1315,Elig_MatchAll_Ct&lt;22,$BC1315=(Elig_MatchAll_Ct-1),BA1315=0),AD1315,0)</f>
        <v>0</v>
      </c>
      <c r="CJ1315" s="994">
        <f>IF(AND(Input_Product=Elig!$C1315,Elig_MatchAll_Ct&lt;22,$BC1315=(Elig_MatchAll_Ct-1),BA1315=0),AE1315,0)</f>
        <v>0</v>
      </c>
    </row>
    <row r="1316" spans="2:88" ht="10.15" customHeight="1" x14ac:dyDescent="0.25">
      <c r="B1316" s="1538" t="s">
        <v>2761</v>
      </c>
      <c r="C1316" s="1538" t="str">
        <f t="shared" si="472"/>
        <v xml:space="preserve">  OO</v>
      </c>
      <c r="D1316" s="1538" t="s">
        <v>2764</v>
      </c>
      <c r="E1316" s="1538" t="s">
        <v>167</v>
      </c>
      <c r="F1316" s="1538" t="s">
        <v>2765</v>
      </c>
      <c r="G1316" s="1538" t="s">
        <v>2766</v>
      </c>
      <c r="H1316" s="1538" t="s">
        <v>2767</v>
      </c>
      <c r="I1316" s="1539" t="s">
        <v>34</v>
      </c>
      <c r="J1316" s="1539" t="s">
        <v>1311</v>
      </c>
      <c r="K1316" s="1539" t="s">
        <v>3023</v>
      </c>
      <c r="L1316" s="1538" t="s">
        <v>2768</v>
      </c>
      <c r="M1316" s="1538" t="s">
        <v>2677</v>
      </c>
      <c r="N1316" s="1538" t="s">
        <v>2685</v>
      </c>
      <c r="O1316" s="1538" t="s">
        <v>310</v>
      </c>
      <c r="P1316" s="1538" t="s">
        <v>291</v>
      </c>
      <c r="Q1316" s="1538" t="s">
        <v>294</v>
      </c>
      <c r="R1316" s="1538">
        <v>1500000.01</v>
      </c>
      <c r="S1316" s="1538">
        <v>2000000</v>
      </c>
      <c r="T1316" s="1538">
        <v>0</v>
      </c>
      <c r="U1316" s="1538">
        <v>0</v>
      </c>
      <c r="V1316" s="1538">
        <v>0</v>
      </c>
      <c r="W1316" s="1538">
        <v>55</v>
      </c>
      <c r="X1316" s="1538">
        <v>0</v>
      </c>
      <c r="Y1316" s="1538">
        <v>0</v>
      </c>
      <c r="Z1316" s="1540">
        <v>660</v>
      </c>
      <c r="AA1316" s="1540">
        <v>679</v>
      </c>
      <c r="AB1316" s="1540">
        <v>6</v>
      </c>
      <c r="AC1316" s="1540">
        <v>999999</v>
      </c>
      <c r="AD1316" s="1538">
        <v>0</v>
      </c>
      <c r="AE1316" s="1545">
        <v>75</v>
      </c>
      <c r="AF1316" s="170">
        <v>0</v>
      </c>
      <c r="AG1316" s="171">
        <v>1</v>
      </c>
      <c r="AH1316" s="171">
        <v>1</v>
      </c>
      <c r="AI1316" s="171">
        <v>1</v>
      </c>
      <c r="AJ1316" s="171">
        <v>1</v>
      </c>
      <c r="AK1316" s="171">
        <v>1</v>
      </c>
      <c r="AL1316" s="171">
        <v>0</v>
      </c>
      <c r="AM1316" s="171">
        <v>1</v>
      </c>
      <c r="AN1316" s="171">
        <v>1</v>
      </c>
      <c r="AO1316" s="171">
        <v>1</v>
      </c>
      <c r="AP1316" s="171">
        <v>1</v>
      </c>
      <c r="AQ1316" s="171">
        <v>1</v>
      </c>
      <c r="AR1316" s="171">
        <v>1</v>
      </c>
      <c r="AS1316" s="171">
        <v>1</v>
      </c>
      <c r="AT1316" s="171">
        <v>1</v>
      </c>
      <c r="AU1316" s="171">
        <f t="shared" si="447"/>
        <v>0</v>
      </c>
      <c r="AV1316" s="171">
        <f t="shared" si="448"/>
        <v>0</v>
      </c>
      <c r="AW1316" s="171">
        <f t="shared" si="449"/>
        <v>1</v>
      </c>
      <c r="AX1316" s="171">
        <f t="shared" si="467"/>
        <v>1</v>
      </c>
      <c r="AY1316" s="171">
        <f t="shared" si="450"/>
        <v>0</v>
      </c>
      <c r="AZ1316" s="171">
        <f t="shared" si="451"/>
        <v>1</v>
      </c>
      <c r="BA1316" s="172">
        <f t="shared" si="452"/>
        <v>1</v>
      </c>
      <c r="BB1316" s="175">
        <f t="shared" si="454"/>
        <v>17</v>
      </c>
      <c r="BC1316" s="176">
        <f t="shared" si="455"/>
        <v>16</v>
      </c>
      <c r="BD1316" s="176">
        <f t="shared" si="456"/>
        <v>17</v>
      </c>
      <c r="BE1316" s="240" t="str">
        <f t="shared" si="446"/>
        <v/>
      </c>
      <c r="BF1316" s="990"/>
      <c r="BG1316" s="990"/>
      <c r="BH1316" s="991">
        <f>IF(AND(Input_Product=Elig!$C1316,Elig_MatchAll_Ct&lt;22,$BC1316=(Elig_MatchAll_Ct-1),AF1316=0),C1316,0)</f>
        <v>0</v>
      </c>
      <c r="BI1316" s="991">
        <f>IF(AND(Input_Product=Elig!$C1316,Elig_MatchAll_Ct&lt;22,$BC1316=(Elig_MatchAll_Ct-1),AG1316=0),D1316,0)</f>
        <v>0</v>
      </c>
      <c r="BJ1316" s="991">
        <f>IF(AND(Input_Product=Elig!$C1316,Elig_MatchAll_Ct&lt;22,$BC1316=(Elig_MatchAll_Ct-1),AH1316=0),E1316,0)</f>
        <v>0</v>
      </c>
      <c r="BK1316" s="991">
        <f>IF(AND(Input_Product=Elig!$C1316,Elig_MatchAll_Ct&lt;22,$BC1316=(Elig_MatchAll_Ct-1),AI1316=0),F1316,0)</f>
        <v>0</v>
      </c>
      <c r="BL1316" s="991">
        <f>IF(AND(Input_Product=Elig!$C1316,Elig_MatchAll_Ct&lt;22,$BC1316=(Elig_MatchAll_Ct-1),AJ1316=0),G1316,0)</f>
        <v>0</v>
      </c>
      <c r="BM1316" s="991">
        <f>IF(AND(Input_Product=Elig!$C1316,Elig_MatchAll_Ct&lt;22,$BC1316=(Elig_MatchAll_Ct-1),AK1316=0),H1316,0)</f>
        <v>0</v>
      </c>
      <c r="BN1316" s="991">
        <f>IF(AND(Input_Product=Elig!$C1316,Elig_MatchAll_Ct&lt;22,$BC1316=(Elig_MatchAll_Ct-1),AL1316=0),I1316,0)</f>
        <v>0</v>
      </c>
      <c r="BO1316" s="991">
        <f>IF(AND(Input_Product=Elig!$C1316,Elig_MatchAll_Ct&lt;22,$BC1316=(Elig_MatchAll_Ct-1),AM1316=0),J1316,0)</f>
        <v>0</v>
      </c>
      <c r="BP1316" s="991">
        <f>IF(AND(Input_Product=Elig!$C1316,Elig_MatchAll_Ct&lt;22,$BC1316=(Elig_MatchAll_Ct-1),AN1316=0),K1316,0)</f>
        <v>0</v>
      </c>
      <c r="BQ1316" s="991">
        <f>IF(AND(Input_Product=Elig!$C1316,Elig_MatchAll_Ct&lt;22,$BC1316=(Elig_MatchAll_Ct-1),AP1316=0),L1316,0)</f>
        <v>0</v>
      </c>
      <c r="BR1316" s="991">
        <f>IF(AND(Input_Product=Elig!$C1316,Elig_MatchAll_Ct&lt;22,$BC1316=(Elig_MatchAll_Ct-1),AO1316=0),M1316,0)</f>
        <v>0</v>
      </c>
      <c r="BS1316" s="991">
        <f>IF(AND(Input_Product=Elig!$C1316,Elig_MatchAll_Ct&lt;22,$BC1316=(Elig_MatchAll_Ct-1),AQ1316=0),N1316,0)</f>
        <v>0</v>
      </c>
      <c r="BT1316" s="991">
        <f>IF(AND(Input_Product=Elig!$C1316,Elig_MatchAll_Ct&lt;22,$BC1316=(Elig_MatchAll_Ct-1),AR1316=0),O1316,0)</f>
        <v>0</v>
      </c>
      <c r="BU1316" s="991">
        <f>IF(AND(Input_Product=Elig!$C1316,Elig_MatchAll_Ct&lt;22,$BC1316=(Elig_MatchAll_Ct-1),AS1316=0),P1316,0)</f>
        <v>0</v>
      </c>
      <c r="BV1316" s="992">
        <f>IF(AND(Input_Product=Elig!$C1316,Elig_MatchAll_Ct&lt;22,$BC1316=(Elig_MatchAll_Ct-1),AT1316=0),Q1316,0)</f>
        <v>0</v>
      </c>
      <c r="BW1316" s="993">
        <f>IF(AND(Input_Product=Elig!$C1316,Elig_MatchAll_Ct&lt;22,$BC1316=(Elig_MatchAll_Ct-1),AU1316=0),R1316,0)</f>
        <v>0</v>
      </c>
      <c r="BX1316" s="994">
        <f>IF(AND(Input_Product=Elig!$C1316,Elig_MatchAll_Ct&lt;22,$BC1316=(Elig_MatchAll_Ct-1),AU1316=0),S1316,0)</f>
        <v>0</v>
      </c>
      <c r="BY1316" s="993">
        <f>IF(AND(Input_Product=Elig!$C1316,Elig_MatchAll_Ct&lt;22,$BC1316=(Elig_MatchAll_Ct-1),AV1316=0),T1316,0)</f>
        <v>0</v>
      </c>
      <c r="BZ1316" s="994">
        <f>IF(AND(Input_Product=Elig!$C1316,Elig_MatchAll_Ct&lt;22,$BC1316=(Elig_MatchAll_Ct-1),AV1316=0),U1316,0)</f>
        <v>0</v>
      </c>
      <c r="CA1316" s="993">
        <f>IF(AND(Input_Product=Elig!$C1316,Elig_MatchAll_Ct&lt;22,$BC1316=(Elig_MatchAll_Ct-1),AW1316=0),V1316,0)</f>
        <v>0</v>
      </c>
      <c r="CB1316" s="994">
        <f>IF(AND(Input_Product=Elig!$C1316,Elig_MatchAll_Ct&lt;22,$BC1316=(Elig_MatchAll_Ct-1),AW1316=0),W1316,0)</f>
        <v>0</v>
      </c>
      <c r="CC1316" s="993">
        <f>IF(AND(Input_Product=Elig!$C1316,Elig_MatchAll_Ct&lt;22,$BC1316=(Elig_MatchAll_Ct-1),AX1316=0),X1316,0)</f>
        <v>0</v>
      </c>
      <c r="CD1316" s="994">
        <f>IF(AND(Input_Product=Elig!$C1316,Elig_MatchAll_Ct&lt;22,$BC1316=(Elig_MatchAll_Ct-1),AX1316=0),Y1316,0)</f>
        <v>0</v>
      </c>
      <c r="CE1316" s="993">
        <f>IF(AND(Input_LTV&lt;=AE1316,Input_Product=Elig!$C1316,Elig_MatchAll_Ct&lt;22,$BC1316=(Elig_MatchAll_Ct-1),AY1316=0),Z1316,0)</f>
        <v>0</v>
      </c>
      <c r="CF1316" s="994">
        <f>IF(AND(Input_LTV&lt;=AE1316,Input_Product=Elig!$C1316,Elig_MatchAll_Ct&lt;22,$BC1316=(Elig_MatchAll_Ct-1),AY1316=0),AA1316,0)</f>
        <v>0</v>
      </c>
      <c r="CG1316" s="993">
        <f>IF(AND(Input_Product=Elig!$C1316,Elig_MatchAll_Ct&lt;22,$BC1316=(Elig_MatchAll_Ct-1),AZ1316=0),AB1316,0)</f>
        <v>0</v>
      </c>
      <c r="CH1316" s="994">
        <f>IF(AND(Input_Product=Elig!$C1316,Elig_MatchAll_Ct&lt;22,$BC1316=(Elig_MatchAll_Ct-1),AZ1316=0),AC1316,0)</f>
        <v>0</v>
      </c>
      <c r="CI1316" s="993">
        <f>IF(AND(Input_Product=Elig!$C1316,Elig_MatchAll_Ct&lt;22,$BC1316=(Elig_MatchAll_Ct-1),BA1316=0),AD1316,0)</f>
        <v>0</v>
      </c>
      <c r="CJ1316" s="994">
        <f>IF(AND(Input_Product=Elig!$C1316,Elig_MatchAll_Ct&lt;22,$BC1316=(Elig_MatchAll_Ct-1),BA1316=0),AE1316,0)</f>
        <v>0</v>
      </c>
    </row>
    <row r="1317" spans="2:88" ht="10.15" customHeight="1" x14ac:dyDescent="0.25">
      <c r="B1317" s="1538" t="s">
        <v>2762</v>
      </c>
      <c r="C1317" s="1546" t="str">
        <f t="shared" si="472"/>
        <v xml:space="preserve">  OO</v>
      </c>
      <c r="D1317" s="1546" t="s">
        <v>2764</v>
      </c>
      <c r="E1317" s="1546" t="s">
        <v>167</v>
      </c>
      <c r="F1317" s="1546" t="s">
        <v>2765</v>
      </c>
      <c r="G1317" s="1546" t="s">
        <v>2766</v>
      </c>
      <c r="H1317" s="1546" t="s">
        <v>2767</v>
      </c>
      <c r="I1317" s="1547" t="s">
        <v>34</v>
      </c>
      <c r="J1317" s="1547" t="s">
        <v>1311</v>
      </c>
      <c r="K1317" s="1547" t="s">
        <v>3023</v>
      </c>
      <c r="L1317" s="1546" t="s">
        <v>2768</v>
      </c>
      <c r="M1317" s="1546" t="s">
        <v>2677</v>
      </c>
      <c r="N1317" s="1546" t="s">
        <v>2685</v>
      </c>
      <c r="O1317" s="1546" t="s">
        <v>310</v>
      </c>
      <c r="P1317" s="1546" t="s">
        <v>291</v>
      </c>
      <c r="Q1317" s="1546" t="s">
        <v>294</v>
      </c>
      <c r="R1317" s="1546">
        <v>2000000.01</v>
      </c>
      <c r="S1317" s="1546">
        <v>2500000</v>
      </c>
      <c r="T1317" s="1546">
        <v>0</v>
      </c>
      <c r="U1317" s="1546">
        <v>0</v>
      </c>
      <c r="V1317" s="1546">
        <v>0</v>
      </c>
      <c r="W1317" s="1546">
        <v>55</v>
      </c>
      <c r="X1317" s="1546">
        <v>0</v>
      </c>
      <c r="Y1317" s="1546">
        <v>0</v>
      </c>
      <c r="Z1317" s="1548">
        <v>660</v>
      </c>
      <c r="AA1317" s="1548">
        <v>679</v>
      </c>
      <c r="AB1317" s="1548">
        <v>6</v>
      </c>
      <c r="AC1317" s="1548">
        <v>999999</v>
      </c>
      <c r="AD1317" s="1546">
        <v>0</v>
      </c>
      <c r="AE1317" s="1549">
        <v>70</v>
      </c>
      <c r="AF1317" s="170">
        <v>0</v>
      </c>
      <c r="AG1317" s="171">
        <v>1</v>
      </c>
      <c r="AH1317" s="171">
        <v>1</v>
      </c>
      <c r="AI1317" s="171">
        <v>1</v>
      </c>
      <c r="AJ1317" s="171">
        <v>1</v>
      </c>
      <c r="AK1317" s="171">
        <v>1</v>
      </c>
      <c r="AL1317" s="171">
        <v>0</v>
      </c>
      <c r="AM1317" s="171">
        <v>1</v>
      </c>
      <c r="AN1317" s="171">
        <v>1</v>
      </c>
      <c r="AO1317" s="171">
        <v>1</v>
      </c>
      <c r="AP1317" s="171">
        <v>1</v>
      </c>
      <c r="AQ1317" s="171">
        <v>1</v>
      </c>
      <c r="AR1317" s="171">
        <v>1</v>
      </c>
      <c r="AS1317" s="171">
        <v>1</v>
      </c>
      <c r="AT1317" s="171">
        <v>1</v>
      </c>
      <c r="AU1317" s="171">
        <f t="shared" si="447"/>
        <v>0</v>
      </c>
      <c r="AV1317" s="171">
        <f t="shared" si="448"/>
        <v>0</v>
      </c>
      <c r="AW1317" s="171">
        <f t="shared" si="449"/>
        <v>1</v>
      </c>
      <c r="AX1317" s="171">
        <f t="shared" si="467"/>
        <v>1</v>
      </c>
      <c r="AY1317" s="171">
        <f t="shared" si="450"/>
        <v>0</v>
      </c>
      <c r="AZ1317" s="171">
        <f t="shared" si="451"/>
        <v>1</v>
      </c>
      <c r="BA1317" s="172">
        <f t="shared" si="452"/>
        <v>1</v>
      </c>
      <c r="BB1317" s="175">
        <f t="shared" si="454"/>
        <v>17</v>
      </c>
      <c r="BC1317" s="176">
        <f t="shared" si="455"/>
        <v>16</v>
      </c>
      <c r="BD1317" s="176">
        <f t="shared" si="456"/>
        <v>17</v>
      </c>
      <c r="BE1317" s="240" t="str">
        <f t="shared" ref="BE1317:BE1380" si="473">IF(BD1317=21,C1317,"")</f>
        <v/>
      </c>
      <c r="BF1317" s="990"/>
      <c r="BG1317" s="990"/>
      <c r="BH1317" s="991">
        <f>IF(AND(Input_Product=Elig!$C1317,Elig_MatchAll_Ct&lt;22,$BC1317=(Elig_MatchAll_Ct-1),AF1317=0),C1317,0)</f>
        <v>0</v>
      </c>
      <c r="BI1317" s="991">
        <f>IF(AND(Input_Product=Elig!$C1317,Elig_MatchAll_Ct&lt;22,$BC1317=(Elig_MatchAll_Ct-1),AG1317=0),D1317,0)</f>
        <v>0</v>
      </c>
      <c r="BJ1317" s="991">
        <f>IF(AND(Input_Product=Elig!$C1317,Elig_MatchAll_Ct&lt;22,$BC1317=(Elig_MatchAll_Ct-1),AH1317=0),E1317,0)</f>
        <v>0</v>
      </c>
      <c r="BK1317" s="991">
        <f>IF(AND(Input_Product=Elig!$C1317,Elig_MatchAll_Ct&lt;22,$BC1317=(Elig_MatchAll_Ct-1),AI1317=0),F1317,0)</f>
        <v>0</v>
      </c>
      <c r="BL1317" s="991">
        <f>IF(AND(Input_Product=Elig!$C1317,Elig_MatchAll_Ct&lt;22,$BC1317=(Elig_MatchAll_Ct-1),AJ1317=0),G1317,0)</f>
        <v>0</v>
      </c>
      <c r="BM1317" s="991">
        <f>IF(AND(Input_Product=Elig!$C1317,Elig_MatchAll_Ct&lt;22,$BC1317=(Elig_MatchAll_Ct-1),AK1317=0),H1317,0)</f>
        <v>0</v>
      </c>
      <c r="BN1317" s="991">
        <f>IF(AND(Input_Product=Elig!$C1317,Elig_MatchAll_Ct&lt;22,$BC1317=(Elig_MatchAll_Ct-1),AL1317=0),I1317,0)</f>
        <v>0</v>
      </c>
      <c r="BO1317" s="991">
        <f>IF(AND(Input_Product=Elig!$C1317,Elig_MatchAll_Ct&lt;22,$BC1317=(Elig_MatchAll_Ct-1),AM1317=0),J1317,0)</f>
        <v>0</v>
      </c>
      <c r="BP1317" s="991">
        <f>IF(AND(Input_Product=Elig!$C1317,Elig_MatchAll_Ct&lt;22,$BC1317=(Elig_MatchAll_Ct-1),AN1317=0),K1317,0)</f>
        <v>0</v>
      </c>
      <c r="BQ1317" s="991">
        <f>IF(AND(Input_Product=Elig!$C1317,Elig_MatchAll_Ct&lt;22,$BC1317=(Elig_MatchAll_Ct-1),AP1317=0),L1317,0)</f>
        <v>0</v>
      </c>
      <c r="BR1317" s="991">
        <f>IF(AND(Input_Product=Elig!$C1317,Elig_MatchAll_Ct&lt;22,$BC1317=(Elig_MatchAll_Ct-1),AO1317=0),M1317,0)</f>
        <v>0</v>
      </c>
      <c r="BS1317" s="991">
        <f>IF(AND(Input_Product=Elig!$C1317,Elig_MatchAll_Ct&lt;22,$BC1317=(Elig_MatchAll_Ct-1),AQ1317=0),N1317,0)</f>
        <v>0</v>
      </c>
      <c r="BT1317" s="991">
        <f>IF(AND(Input_Product=Elig!$C1317,Elig_MatchAll_Ct&lt;22,$BC1317=(Elig_MatchAll_Ct-1),AR1317=0),O1317,0)</f>
        <v>0</v>
      </c>
      <c r="BU1317" s="991">
        <f>IF(AND(Input_Product=Elig!$C1317,Elig_MatchAll_Ct&lt;22,$BC1317=(Elig_MatchAll_Ct-1),AS1317=0),P1317,0)</f>
        <v>0</v>
      </c>
      <c r="BV1317" s="992">
        <f>IF(AND(Input_Product=Elig!$C1317,Elig_MatchAll_Ct&lt;22,$BC1317=(Elig_MatchAll_Ct-1),AT1317=0),Q1317,0)</f>
        <v>0</v>
      </c>
      <c r="BW1317" s="993">
        <f>IF(AND(Input_Product=Elig!$C1317,Elig_MatchAll_Ct&lt;22,$BC1317=(Elig_MatchAll_Ct-1),AU1317=0),R1317,0)</f>
        <v>0</v>
      </c>
      <c r="BX1317" s="994">
        <f>IF(AND(Input_Product=Elig!$C1317,Elig_MatchAll_Ct&lt;22,$BC1317=(Elig_MatchAll_Ct-1),AU1317=0),S1317,0)</f>
        <v>0</v>
      </c>
      <c r="BY1317" s="993">
        <f>IF(AND(Input_Product=Elig!$C1317,Elig_MatchAll_Ct&lt;22,$BC1317=(Elig_MatchAll_Ct-1),AV1317=0),T1317,0)</f>
        <v>0</v>
      </c>
      <c r="BZ1317" s="994">
        <f>IF(AND(Input_Product=Elig!$C1317,Elig_MatchAll_Ct&lt;22,$BC1317=(Elig_MatchAll_Ct-1),AV1317=0),U1317,0)</f>
        <v>0</v>
      </c>
      <c r="CA1317" s="993">
        <f>IF(AND(Input_Product=Elig!$C1317,Elig_MatchAll_Ct&lt;22,$BC1317=(Elig_MatchAll_Ct-1),AW1317=0),V1317,0)</f>
        <v>0</v>
      </c>
      <c r="CB1317" s="994">
        <f>IF(AND(Input_Product=Elig!$C1317,Elig_MatchAll_Ct&lt;22,$BC1317=(Elig_MatchAll_Ct-1),AW1317=0),W1317,0)</f>
        <v>0</v>
      </c>
      <c r="CC1317" s="993">
        <f>IF(AND(Input_Product=Elig!$C1317,Elig_MatchAll_Ct&lt;22,$BC1317=(Elig_MatchAll_Ct-1),AX1317=0),X1317,0)</f>
        <v>0</v>
      </c>
      <c r="CD1317" s="994">
        <f>IF(AND(Input_Product=Elig!$C1317,Elig_MatchAll_Ct&lt;22,$BC1317=(Elig_MatchAll_Ct-1),AX1317=0),Y1317,0)</f>
        <v>0</v>
      </c>
      <c r="CE1317" s="993">
        <f>IF(AND(Input_LTV&lt;=AE1317,Input_Product=Elig!$C1317,Elig_MatchAll_Ct&lt;22,$BC1317=(Elig_MatchAll_Ct-1),AY1317=0),Z1317,0)</f>
        <v>0</v>
      </c>
      <c r="CF1317" s="994">
        <f>IF(AND(Input_LTV&lt;=AE1317,Input_Product=Elig!$C1317,Elig_MatchAll_Ct&lt;22,$BC1317=(Elig_MatchAll_Ct-1),AY1317=0),AA1317,0)</f>
        <v>0</v>
      </c>
      <c r="CG1317" s="993">
        <f>IF(AND(Input_Product=Elig!$C1317,Elig_MatchAll_Ct&lt;22,$BC1317=(Elig_MatchAll_Ct-1),AZ1317=0),AB1317,0)</f>
        <v>0</v>
      </c>
      <c r="CH1317" s="994">
        <f>IF(AND(Input_Product=Elig!$C1317,Elig_MatchAll_Ct&lt;22,$BC1317=(Elig_MatchAll_Ct-1),AZ1317=0),AC1317,0)</f>
        <v>0</v>
      </c>
      <c r="CI1317" s="993">
        <f>IF(AND(Input_Product=Elig!$C1317,Elig_MatchAll_Ct&lt;22,$BC1317=(Elig_MatchAll_Ct-1),BA1317=0),AD1317,0)</f>
        <v>0</v>
      </c>
      <c r="CJ1317" s="994">
        <f>IF(AND(Input_Product=Elig!$C1317,Elig_MatchAll_Ct&lt;22,$BC1317=(Elig_MatchAll_Ct-1),BA1317=0),AE1317,0)</f>
        <v>0</v>
      </c>
    </row>
    <row r="1318" spans="2:88" ht="10.15" customHeight="1" x14ac:dyDescent="0.25">
      <c r="B1318" s="1538" t="s">
        <v>2763</v>
      </c>
      <c r="C1318" s="1541" t="str">
        <f t="shared" si="472"/>
        <v xml:space="preserve">  OO</v>
      </c>
      <c r="D1318" s="1541" t="s">
        <v>2764</v>
      </c>
      <c r="E1318" s="1541" t="s">
        <v>167</v>
      </c>
      <c r="F1318" s="1541" t="s">
        <v>2765</v>
      </c>
      <c r="G1318" s="1541" t="s">
        <v>2766</v>
      </c>
      <c r="H1318" s="1541" t="s">
        <v>2767</v>
      </c>
      <c r="I1318" s="1542" t="s">
        <v>35</v>
      </c>
      <c r="J1318" s="1542" t="s">
        <v>1311</v>
      </c>
      <c r="K1318" s="1542" t="s">
        <v>3023</v>
      </c>
      <c r="L1318" s="1541" t="s">
        <v>2768</v>
      </c>
      <c r="M1318" s="1541" t="s">
        <v>2677</v>
      </c>
      <c r="N1318" s="1541" t="s">
        <v>2685</v>
      </c>
      <c r="O1318" s="1541" t="s">
        <v>310</v>
      </c>
      <c r="P1318" s="1541" t="s">
        <v>291</v>
      </c>
      <c r="Q1318" s="1541" t="s">
        <v>294</v>
      </c>
      <c r="R1318" s="1541">
        <v>150000</v>
      </c>
      <c r="S1318" s="1541">
        <v>1000000</v>
      </c>
      <c r="T1318" s="1541">
        <v>0</v>
      </c>
      <c r="U1318" s="1541">
        <v>0</v>
      </c>
      <c r="V1318" s="1541">
        <v>0</v>
      </c>
      <c r="W1318" s="1541">
        <v>55</v>
      </c>
      <c r="X1318" s="1541">
        <v>0</v>
      </c>
      <c r="Y1318" s="1541">
        <v>0</v>
      </c>
      <c r="Z1318" s="1543">
        <v>720</v>
      </c>
      <c r="AA1318" s="1543">
        <v>999</v>
      </c>
      <c r="AB1318" s="1543">
        <v>6</v>
      </c>
      <c r="AC1318" s="1543">
        <v>999999</v>
      </c>
      <c r="AD1318" s="1541">
        <v>0</v>
      </c>
      <c r="AE1318" s="1544">
        <v>85</v>
      </c>
      <c r="AF1318" s="170">
        <v>0</v>
      </c>
      <c r="AG1318" s="171">
        <v>1</v>
      </c>
      <c r="AH1318" s="171">
        <v>1</v>
      </c>
      <c r="AI1318" s="171">
        <v>1</v>
      </c>
      <c r="AJ1318" s="171">
        <v>1</v>
      </c>
      <c r="AK1318" s="171">
        <v>1</v>
      </c>
      <c r="AL1318" s="171">
        <v>0</v>
      </c>
      <c r="AM1318" s="171">
        <v>1</v>
      </c>
      <c r="AN1318" s="171">
        <v>1</v>
      </c>
      <c r="AO1318" s="171">
        <v>1</v>
      </c>
      <c r="AP1318" s="171">
        <v>1</v>
      </c>
      <c r="AQ1318" s="171">
        <v>1</v>
      </c>
      <c r="AR1318" s="171">
        <v>1</v>
      </c>
      <c r="AS1318" s="171">
        <v>1</v>
      </c>
      <c r="AT1318" s="171">
        <v>1</v>
      </c>
      <c r="AU1318" s="171">
        <f t="shared" si="447"/>
        <v>1</v>
      </c>
      <c r="AV1318" s="171">
        <f t="shared" si="448"/>
        <v>0</v>
      </c>
      <c r="AW1318" s="171">
        <f t="shared" si="449"/>
        <v>1</v>
      </c>
      <c r="AX1318" s="171">
        <f t="shared" si="467"/>
        <v>1</v>
      </c>
      <c r="AY1318" s="171">
        <f t="shared" si="450"/>
        <v>1</v>
      </c>
      <c r="AZ1318" s="171">
        <f t="shared" si="451"/>
        <v>1</v>
      </c>
      <c r="BA1318" s="172">
        <f t="shared" si="452"/>
        <v>1</v>
      </c>
      <c r="BB1318" s="175">
        <f t="shared" si="454"/>
        <v>19</v>
      </c>
      <c r="BC1318" s="176">
        <f t="shared" si="455"/>
        <v>18</v>
      </c>
      <c r="BD1318" s="176">
        <f t="shared" si="456"/>
        <v>19</v>
      </c>
      <c r="BE1318" s="240" t="str">
        <f t="shared" si="473"/>
        <v/>
      </c>
      <c r="BF1318" s="990"/>
      <c r="BG1318" s="990"/>
      <c r="BH1318" s="991">
        <f>IF(AND(Input_Product=Elig!$C1318,Elig_MatchAll_Ct&lt;22,$BC1318=(Elig_MatchAll_Ct-1),AF1318=0),C1318,0)</f>
        <v>0</v>
      </c>
      <c r="BI1318" s="991">
        <f>IF(AND(Input_Product=Elig!$C1318,Elig_MatchAll_Ct&lt;22,$BC1318=(Elig_MatchAll_Ct-1),AG1318=0),D1318,0)</f>
        <v>0</v>
      </c>
      <c r="BJ1318" s="991">
        <f>IF(AND(Input_Product=Elig!$C1318,Elig_MatchAll_Ct&lt;22,$BC1318=(Elig_MatchAll_Ct-1),AH1318=0),E1318,0)</f>
        <v>0</v>
      </c>
      <c r="BK1318" s="991">
        <f>IF(AND(Input_Product=Elig!$C1318,Elig_MatchAll_Ct&lt;22,$BC1318=(Elig_MatchAll_Ct-1),AI1318=0),F1318,0)</f>
        <v>0</v>
      </c>
      <c r="BL1318" s="991">
        <f>IF(AND(Input_Product=Elig!$C1318,Elig_MatchAll_Ct&lt;22,$BC1318=(Elig_MatchAll_Ct-1),AJ1318=0),G1318,0)</f>
        <v>0</v>
      </c>
      <c r="BM1318" s="991">
        <f>IF(AND(Input_Product=Elig!$C1318,Elig_MatchAll_Ct&lt;22,$BC1318=(Elig_MatchAll_Ct-1),AK1318=0),H1318,0)</f>
        <v>0</v>
      </c>
      <c r="BN1318" s="991">
        <f>IF(AND(Input_Product=Elig!$C1318,Elig_MatchAll_Ct&lt;22,$BC1318=(Elig_MatchAll_Ct-1),AL1318=0),I1318,0)</f>
        <v>0</v>
      </c>
      <c r="BO1318" s="991">
        <f>IF(AND(Input_Product=Elig!$C1318,Elig_MatchAll_Ct&lt;22,$BC1318=(Elig_MatchAll_Ct-1),AM1318=0),J1318,0)</f>
        <v>0</v>
      </c>
      <c r="BP1318" s="991">
        <f>IF(AND(Input_Product=Elig!$C1318,Elig_MatchAll_Ct&lt;22,$BC1318=(Elig_MatchAll_Ct-1),AN1318=0),K1318,0)</f>
        <v>0</v>
      </c>
      <c r="BQ1318" s="991">
        <f>IF(AND(Input_Product=Elig!$C1318,Elig_MatchAll_Ct&lt;22,$BC1318=(Elig_MatchAll_Ct-1),AP1318=0),L1318,0)</f>
        <v>0</v>
      </c>
      <c r="BR1318" s="991">
        <f>IF(AND(Input_Product=Elig!$C1318,Elig_MatchAll_Ct&lt;22,$BC1318=(Elig_MatchAll_Ct-1),AO1318=0),M1318,0)</f>
        <v>0</v>
      </c>
      <c r="BS1318" s="991">
        <f>IF(AND(Input_Product=Elig!$C1318,Elig_MatchAll_Ct&lt;22,$BC1318=(Elig_MatchAll_Ct-1),AQ1318=0),N1318,0)</f>
        <v>0</v>
      </c>
      <c r="BT1318" s="991">
        <f>IF(AND(Input_Product=Elig!$C1318,Elig_MatchAll_Ct&lt;22,$BC1318=(Elig_MatchAll_Ct-1),AR1318=0),O1318,0)</f>
        <v>0</v>
      </c>
      <c r="BU1318" s="991">
        <f>IF(AND(Input_Product=Elig!$C1318,Elig_MatchAll_Ct&lt;22,$BC1318=(Elig_MatchAll_Ct-1),AS1318=0),P1318,0)</f>
        <v>0</v>
      </c>
      <c r="BV1318" s="992">
        <f>IF(AND(Input_Product=Elig!$C1318,Elig_MatchAll_Ct&lt;22,$BC1318=(Elig_MatchAll_Ct-1),AT1318=0),Q1318,0)</f>
        <v>0</v>
      </c>
      <c r="BW1318" s="993">
        <f>IF(AND(Input_Product=Elig!$C1318,Elig_MatchAll_Ct&lt;22,$BC1318=(Elig_MatchAll_Ct-1),AU1318=0),R1318,0)</f>
        <v>0</v>
      </c>
      <c r="BX1318" s="994">
        <f>IF(AND(Input_Product=Elig!$C1318,Elig_MatchAll_Ct&lt;22,$BC1318=(Elig_MatchAll_Ct-1),AU1318=0),S1318,0)</f>
        <v>0</v>
      </c>
      <c r="BY1318" s="993">
        <f>IF(AND(Input_Product=Elig!$C1318,Elig_MatchAll_Ct&lt;22,$BC1318=(Elig_MatchAll_Ct-1),AV1318=0),T1318,0)</f>
        <v>0</v>
      </c>
      <c r="BZ1318" s="994">
        <f>IF(AND(Input_Product=Elig!$C1318,Elig_MatchAll_Ct&lt;22,$BC1318=(Elig_MatchAll_Ct-1),AV1318=0),U1318,0)</f>
        <v>0</v>
      </c>
      <c r="CA1318" s="993">
        <f>IF(AND(Input_Product=Elig!$C1318,Elig_MatchAll_Ct&lt;22,$BC1318=(Elig_MatchAll_Ct-1),AW1318=0),V1318,0)</f>
        <v>0</v>
      </c>
      <c r="CB1318" s="994">
        <f>IF(AND(Input_Product=Elig!$C1318,Elig_MatchAll_Ct&lt;22,$BC1318=(Elig_MatchAll_Ct-1),AW1318=0),W1318,0)</f>
        <v>0</v>
      </c>
      <c r="CC1318" s="993">
        <f>IF(AND(Input_Product=Elig!$C1318,Elig_MatchAll_Ct&lt;22,$BC1318=(Elig_MatchAll_Ct-1),AX1318=0),X1318,0)</f>
        <v>0</v>
      </c>
      <c r="CD1318" s="994">
        <f>IF(AND(Input_Product=Elig!$C1318,Elig_MatchAll_Ct&lt;22,$BC1318=(Elig_MatchAll_Ct-1),AX1318=0),Y1318,0)</f>
        <v>0</v>
      </c>
      <c r="CE1318" s="993">
        <f>IF(AND(Input_LTV&lt;=AE1318,Input_Product=Elig!$C1318,Elig_MatchAll_Ct&lt;22,$BC1318=(Elig_MatchAll_Ct-1),AY1318=0),Z1318,0)</f>
        <v>0</v>
      </c>
      <c r="CF1318" s="994">
        <f>IF(AND(Input_LTV&lt;=AE1318,Input_Product=Elig!$C1318,Elig_MatchAll_Ct&lt;22,$BC1318=(Elig_MatchAll_Ct-1),AY1318=0),AA1318,0)</f>
        <v>0</v>
      </c>
      <c r="CG1318" s="993">
        <f>IF(AND(Input_Product=Elig!$C1318,Elig_MatchAll_Ct&lt;22,$BC1318=(Elig_MatchAll_Ct-1),AZ1318=0),AB1318,0)</f>
        <v>0</v>
      </c>
      <c r="CH1318" s="994">
        <f>IF(AND(Input_Product=Elig!$C1318,Elig_MatchAll_Ct&lt;22,$BC1318=(Elig_MatchAll_Ct-1),AZ1318=0),AC1318,0)</f>
        <v>0</v>
      </c>
      <c r="CI1318" s="993">
        <f>IF(AND(Input_Product=Elig!$C1318,Elig_MatchAll_Ct&lt;22,$BC1318=(Elig_MatchAll_Ct-1),BA1318=0),AD1318,0)</f>
        <v>0</v>
      </c>
      <c r="CJ1318" s="994">
        <f>IF(AND(Input_Product=Elig!$C1318,Elig_MatchAll_Ct&lt;22,$BC1318=(Elig_MatchAll_Ct-1),BA1318=0),AE1318,0)</f>
        <v>0</v>
      </c>
    </row>
    <row r="1319" spans="2:88" ht="10.15" customHeight="1" x14ac:dyDescent="0.25">
      <c r="B1319" s="1538" t="s">
        <v>2769</v>
      </c>
      <c r="C1319" s="1538" t="str">
        <f t="shared" si="472"/>
        <v xml:space="preserve">  OO</v>
      </c>
      <c r="D1319" s="1538" t="s">
        <v>2764</v>
      </c>
      <c r="E1319" s="1538" t="s">
        <v>167</v>
      </c>
      <c r="F1319" s="1538" t="s">
        <v>2765</v>
      </c>
      <c r="G1319" s="1538" t="s">
        <v>2766</v>
      </c>
      <c r="H1319" s="1538" t="s">
        <v>2767</v>
      </c>
      <c r="I1319" s="1539" t="s">
        <v>35</v>
      </c>
      <c r="J1319" s="1539" t="s">
        <v>1311</v>
      </c>
      <c r="K1319" s="1539" t="s">
        <v>3023</v>
      </c>
      <c r="L1319" s="1538" t="s">
        <v>2768</v>
      </c>
      <c r="M1319" s="1538" t="s">
        <v>2677</v>
      </c>
      <c r="N1319" s="1538" t="s">
        <v>2685</v>
      </c>
      <c r="O1319" s="1538" t="s">
        <v>310</v>
      </c>
      <c r="P1319" s="1538" t="s">
        <v>291</v>
      </c>
      <c r="Q1319" s="1538" t="s">
        <v>294</v>
      </c>
      <c r="R1319" s="1538">
        <v>1000000.01</v>
      </c>
      <c r="S1319" s="1538">
        <v>1500000</v>
      </c>
      <c r="T1319" s="1538">
        <v>0</v>
      </c>
      <c r="U1319" s="1538">
        <v>0</v>
      </c>
      <c r="V1319" s="1538">
        <v>0</v>
      </c>
      <c r="W1319" s="1538">
        <v>55</v>
      </c>
      <c r="X1319" s="1538">
        <v>0</v>
      </c>
      <c r="Y1319" s="1538">
        <v>0</v>
      </c>
      <c r="Z1319" s="1540">
        <v>720</v>
      </c>
      <c r="AA1319" s="1540">
        <v>999</v>
      </c>
      <c r="AB1319" s="1540">
        <v>6</v>
      </c>
      <c r="AC1319" s="1540">
        <v>999999</v>
      </c>
      <c r="AD1319" s="1538">
        <v>0</v>
      </c>
      <c r="AE1319" s="1545">
        <v>85</v>
      </c>
      <c r="AF1319" s="170">
        <v>0</v>
      </c>
      <c r="AG1319" s="171">
        <v>1</v>
      </c>
      <c r="AH1319" s="171">
        <v>1</v>
      </c>
      <c r="AI1319" s="171">
        <v>1</v>
      </c>
      <c r="AJ1319" s="171">
        <v>1</v>
      </c>
      <c r="AK1319" s="171">
        <v>1</v>
      </c>
      <c r="AL1319" s="171">
        <v>0</v>
      </c>
      <c r="AM1319" s="171">
        <v>1</v>
      </c>
      <c r="AN1319" s="171">
        <v>1</v>
      </c>
      <c r="AO1319" s="171">
        <v>1</v>
      </c>
      <c r="AP1319" s="171">
        <v>1</v>
      </c>
      <c r="AQ1319" s="171">
        <v>1</v>
      </c>
      <c r="AR1319" s="171">
        <v>1</v>
      </c>
      <c r="AS1319" s="171">
        <v>1</v>
      </c>
      <c r="AT1319" s="171">
        <v>1</v>
      </c>
      <c r="AU1319" s="171">
        <f t="shared" si="447"/>
        <v>0</v>
      </c>
      <c r="AV1319" s="171">
        <f t="shared" si="448"/>
        <v>0</v>
      </c>
      <c r="AW1319" s="171">
        <f t="shared" si="449"/>
        <v>1</v>
      </c>
      <c r="AX1319" s="171">
        <f t="shared" si="467"/>
        <v>1</v>
      </c>
      <c r="AY1319" s="171">
        <f t="shared" si="450"/>
        <v>1</v>
      </c>
      <c r="AZ1319" s="171">
        <f t="shared" si="451"/>
        <v>1</v>
      </c>
      <c r="BA1319" s="172">
        <f t="shared" si="452"/>
        <v>1</v>
      </c>
      <c r="BB1319" s="175">
        <f t="shared" si="454"/>
        <v>18</v>
      </c>
      <c r="BC1319" s="176">
        <f t="shared" si="455"/>
        <v>17</v>
      </c>
      <c r="BD1319" s="176">
        <f t="shared" si="456"/>
        <v>18</v>
      </c>
      <c r="BE1319" s="240" t="str">
        <f t="shared" si="473"/>
        <v/>
      </c>
      <c r="BF1319" s="990"/>
      <c r="BG1319" s="990"/>
      <c r="BH1319" s="991">
        <f>IF(AND(Input_Product=Elig!$C1319,Elig_MatchAll_Ct&lt;22,$BC1319=(Elig_MatchAll_Ct-1),AF1319=0),C1319,0)</f>
        <v>0</v>
      </c>
      <c r="BI1319" s="991">
        <f>IF(AND(Input_Product=Elig!$C1319,Elig_MatchAll_Ct&lt;22,$BC1319=(Elig_MatchAll_Ct-1),AG1319=0),D1319,0)</f>
        <v>0</v>
      </c>
      <c r="BJ1319" s="991">
        <f>IF(AND(Input_Product=Elig!$C1319,Elig_MatchAll_Ct&lt;22,$BC1319=(Elig_MatchAll_Ct-1),AH1319=0),E1319,0)</f>
        <v>0</v>
      </c>
      <c r="BK1319" s="991">
        <f>IF(AND(Input_Product=Elig!$C1319,Elig_MatchAll_Ct&lt;22,$BC1319=(Elig_MatchAll_Ct-1),AI1319=0),F1319,0)</f>
        <v>0</v>
      </c>
      <c r="BL1319" s="991">
        <f>IF(AND(Input_Product=Elig!$C1319,Elig_MatchAll_Ct&lt;22,$BC1319=(Elig_MatchAll_Ct-1),AJ1319=0),G1319,0)</f>
        <v>0</v>
      </c>
      <c r="BM1319" s="991">
        <f>IF(AND(Input_Product=Elig!$C1319,Elig_MatchAll_Ct&lt;22,$BC1319=(Elig_MatchAll_Ct-1),AK1319=0),H1319,0)</f>
        <v>0</v>
      </c>
      <c r="BN1319" s="991">
        <f>IF(AND(Input_Product=Elig!$C1319,Elig_MatchAll_Ct&lt;22,$BC1319=(Elig_MatchAll_Ct-1),AL1319=0),I1319,0)</f>
        <v>0</v>
      </c>
      <c r="BO1319" s="991">
        <f>IF(AND(Input_Product=Elig!$C1319,Elig_MatchAll_Ct&lt;22,$BC1319=(Elig_MatchAll_Ct-1),AM1319=0),J1319,0)</f>
        <v>0</v>
      </c>
      <c r="BP1319" s="991">
        <f>IF(AND(Input_Product=Elig!$C1319,Elig_MatchAll_Ct&lt;22,$BC1319=(Elig_MatchAll_Ct-1),AN1319=0),K1319,0)</f>
        <v>0</v>
      </c>
      <c r="BQ1319" s="991">
        <f>IF(AND(Input_Product=Elig!$C1319,Elig_MatchAll_Ct&lt;22,$BC1319=(Elig_MatchAll_Ct-1),AP1319=0),L1319,0)</f>
        <v>0</v>
      </c>
      <c r="BR1319" s="991">
        <f>IF(AND(Input_Product=Elig!$C1319,Elig_MatchAll_Ct&lt;22,$BC1319=(Elig_MatchAll_Ct-1),AO1319=0),M1319,0)</f>
        <v>0</v>
      </c>
      <c r="BS1319" s="991">
        <f>IF(AND(Input_Product=Elig!$C1319,Elig_MatchAll_Ct&lt;22,$BC1319=(Elig_MatchAll_Ct-1),AQ1319=0),N1319,0)</f>
        <v>0</v>
      </c>
      <c r="BT1319" s="991">
        <f>IF(AND(Input_Product=Elig!$C1319,Elig_MatchAll_Ct&lt;22,$BC1319=(Elig_MatchAll_Ct-1),AR1319=0),O1319,0)</f>
        <v>0</v>
      </c>
      <c r="BU1319" s="991">
        <f>IF(AND(Input_Product=Elig!$C1319,Elig_MatchAll_Ct&lt;22,$BC1319=(Elig_MatchAll_Ct-1),AS1319=0),P1319,0)</f>
        <v>0</v>
      </c>
      <c r="BV1319" s="992">
        <f>IF(AND(Input_Product=Elig!$C1319,Elig_MatchAll_Ct&lt;22,$BC1319=(Elig_MatchAll_Ct-1),AT1319=0),Q1319,0)</f>
        <v>0</v>
      </c>
      <c r="BW1319" s="993">
        <f>IF(AND(Input_Product=Elig!$C1319,Elig_MatchAll_Ct&lt;22,$BC1319=(Elig_MatchAll_Ct-1),AU1319=0),R1319,0)</f>
        <v>0</v>
      </c>
      <c r="BX1319" s="994">
        <f>IF(AND(Input_Product=Elig!$C1319,Elig_MatchAll_Ct&lt;22,$BC1319=(Elig_MatchAll_Ct-1),AU1319=0),S1319,0)</f>
        <v>0</v>
      </c>
      <c r="BY1319" s="993">
        <f>IF(AND(Input_Product=Elig!$C1319,Elig_MatchAll_Ct&lt;22,$BC1319=(Elig_MatchAll_Ct-1),AV1319=0),T1319,0)</f>
        <v>0</v>
      </c>
      <c r="BZ1319" s="994">
        <f>IF(AND(Input_Product=Elig!$C1319,Elig_MatchAll_Ct&lt;22,$BC1319=(Elig_MatchAll_Ct-1),AV1319=0),U1319,0)</f>
        <v>0</v>
      </c>
      <c r="CA1319" s="993">
        <f>IF(AND(Input_Product=Elig!$C1319,Elig_MatchAll_Ct&lt;22,$BC1319=(Elig_MatchAll_Ct-1),AW1319=0),V1319,0)</f>
        <v>0</v>
      </c>
      <c r="CB1319" s="994">
        <f>IF(AND(Input_Product=Elig!$C1319,Elig_MatchAll_Ct&lt;22,$BC1319=(Elig_MatchAll_Ct-1),AW1319=0),W1319,0)</f>
        <v>0</v>
      </c>
      <c r="CC1319" s="993">
        <f>IF(AND(Input_Product=Elig!$C1319,Elig_MatchAll_Ct&lt;22,$BC1319=(Elig_MatchAll_Ct-1),AX1319=0),X1319,0)</f>
        <v>0</v>
      </c>
      <c r="CD1319" s="994">
        <f>IF(AND(Input_Product=Elig!$C1319,Elig_MatchAll_Ct&lt;22,$BC1319=(Elig_MatchAll_Ct-1),AX1319=0),Y1319,0)</f>
        <v>0</v>
      </c>
      <c r="CE1319" s="993">
        <f>IF(AND(Input_LTV&lt;=AE1319,Input_Product=Elig!$C1319,Elig_MatchAll_Ct&lt;22,$BC1319=(Elig_MatchAll_Ct-1),AY1319=0),Z1319,0)</f>
        <v>0</v>
      </c>
      <c r="CF1319" s="994">
        <f>IF(AND(Input_LTV&lt;=AE1319,Input_Product=Elig!$C1319,Elig_MatchAll_Ct&lt;22,$BC1319=(Elig_MatchAll_Ct-1),AY1319=0),AA1319,0)</f>
        <v>0</v>
      </c>
      <c r="CG1319" s="993">
        <f>IF(AND(Input_Product=Elig!$C1319,Elig_MatchAll_Ct&lt;22,$BC1319=(Elig_MatchAll_Ct-1),AZ1319=0),AB1319,0)</f>
        <v>0</v>
      </c>
      <c r="CH1319" s="994">
        <f>IF(AND(Input_Product=Elig!$C1319,Elig_MatchAll_Ct&lt;22,$BC1319=(Elig_MatchAll_Ct-1),AZ1319=0),AC1319,0)</f>
        <v>0</v>
      </c>
      <c r="CI1319" s="993">
        <f>IF(AND(Input_Product=Elig!$C1319,Elig_MatchAll_Ct&lt;22,$BC1319=(Elig_MatchAll_Ct-1),BA1319=0),AD1319,0)</f>
        <v>0</v>
      </c>
      <c r="CJ1319" s="994">
        <f>IF(AND(Input_Product=Elig!$C1319,Elig_MatchAll_Ct&lt;22,$BC1319=(Elig_MatchAll_Ct-1),BA1319=0),AE1319,0)</f>
        <v>0</v>
      </c>
    </row>
    <row r="1320" spans="2:88" ht="10.15" customHeight="1" x14ac:dyDescent="0.25">
      <c r="B1320" s="1538" t="s">
        <v>2770</v>
      </c>
      <c r="C1320" s="1538" t="str">
        <f t="shared" si="472"/>
        <v xml:space="preserve">  OO</v>
      </c>
      <c r="D1320" s="1538" t="s">
        <v>2764</v>
      </c>
      <c r="E1320" s="1538" t="s">
        <v>167</v>
      </c>
      <c r="F1320" s="1538" t="s">
        <v>2765</v>
      </c>
      <c r="G1320" s="1538" t="s">
        <v>2766</v>
      </c>
      <c r="H1320" s="1538" t="s">
        <v>2767</v>
      </c>
      <c r="I1320" s="1539" t="s">
        <v>35</v>
      </c>
      <c r="J1320" s="1539" t="s">
        <v>1311</v>
      </c>
      <c r="K1320" s="1539" t="s">
        <v>3023</v>
      </c>
      <c r="L1320" s="1538" t="s">
        <v>2768</v>
      </c>
      <c r="M1320" s="1538" t="s">
        <v>2677</v>
      </c>
      <c r="N1320" s="1538" t="s">
        <v>2685</v>
      </c>
      <c r="O1320" s="1538" t="s">
        <v>310</v>
      </c>
      <c r="P1320" s="1538" t="s">
        <v>291</v>
      </c>
      <c r="Q1320" s="1538" t="s">
        <v>294</v>
      </c>
      <c r="R1320" s="1538">
        <v>1500000.01</v>
      </c>
      <c r="S1320" s="1538">
        <v>2000000</v>
      </c>
      <c r="T1320" s="1538">
        <v>0</v>
      </c>
      <c r="U1320" s="1538">
        <v>0</v>
      </c>
      <c r="V1320" s="1538">
        <v>0</v>
      </c>
      <c r="W1320" s="1538">
        <v>55</v>
      </c>
      <c r="X1320" s="1538">
        <v>0</v>
      </c>
      <c r="Y1320" s="1538">
        <v>0</v>
      </c>
      <c r="Z1320" s="1540">
        <v>720</v>
      </c>
      <c r="AA1320" s="1540">
        <v>999</v>
      </c>
      <c r="AB1320" s="1540">
        <v>6</v>
      </c>
      <c r="AC1320" s="1540">
        <v>999999</v>
      </c>
      <c r="AD1320" s="1538">
        <v>0</v>
      </c>
      <c r="AE1320" s="1545">
        <v>80</v>
      </c>
      <c r="AF1320" s="170">
        <v>0</v>
      </c>
      <c r="AG1320" s="171">
        <v>1</v>
      </c>
      <c r="AH1320" s="171">
        <v>1</v>
      </c>
      <c r="AI1320" s="171">
        <v>1</v>
      </c>
      <c r="AJ1320" s="171">
        <v>1</v>
      </c>
      <c r="AK1320" s="171">
        <v>1</v>
      </c>
      <c r="AL1320" s="171">
        <v>0</v>
      </c>
      <c r="AM1320" s="171">
        <v>1</v>
      </c>
      <c r="AN1320" s="171">
        <v>1</v>
      </c>
      <c r="AO1320" s="171">
        <v>1</v>
      </c>
      <c r="AP1320" s="171">
        <v>1</v>
      </c>
      <c r="AQ1320" s="171">
        <v>1</v>
      </c>
      <c r="AR1320" s="171">
        <v>1</v>
      </c>
      <c r="AS1320" s="171">
        <v>1</v>
      </c>
      <c r="AT1320" s="171">
        <v>1</v>
      </c>
      <c r="AU1320" s="171">
        <f t="shared" si="447"/>
        <v>0</v>
      </c>
      <c r="AV1320" s="171">
        <f t="shared" si="448"/>
        <v>0</v>
      </c>
      <c r="AW1320" s="171">
        <f t="shared" si="449"/>
        <v>1</v>
      </c>
      <c r="AX1320" s="171">
        <f t="shared" si="467"/>
        <v>1</v>
      </c>
      <c r="AY1320" s="171">
        <f t="shared" si="450"/>
        <v>1</v>
      </c>
      <c r="AZ1320" s="171">
        <f t="shared" si="451"/>
        <v>1</v>
      </c>
      <c r="BA1320" s="172">
        <f t="shared" si="452"/>
        <v>1</v>
      </c>
      <c r="BB1320" s="175">
        <f t="shared" si="454"/>
        <v>18</v>
      </c>
      <c r="BC1320" s="176">
        <f t="shared" si="455"/>
        <v>17</v>
      </c>
      <c r="BD1320" s="176">
        <f t="shared" si="456"/>
        <v>18</v>
      </c>
      <c r="BE1320" s="240" t="str">
        <f t="shared" si="473"/>
        <v/>
      </c>
      <c r="BF1320" s="990"/>
      <c r="BG1320" s="990"/>
      <c r="BH1320" s="991">
        <f>IF(AND(Input_Product=Elig!$C1320,Elig_MatchAll_Ct&lt;22,$BC1320=(Elig_MatchAll_Ct-1),AF1320=0),C1320,0)</f>
        <v>0</v>
      </c>
      <c r="BI1320" s="991">
        <f>IF(AND(Input_Product=Elig!$C1320,Elig_MatchAll_Ct&lt;22,$BC1320=(Elig_MatchAll_Ct-1),AG1320=0),D1320,0)</f>
        <v>0</v>
      </c>
      <c r="BJ1320" s="991">
        <f>IF(AND(Input_Product=Elig!$C1320,Elig_MatchAll_Ct&lt;22,$BC1320=(Elig_MatchAll_Ct-1),AH1320=0),E1320,0)</f>
        <v>0</v>
      </c>
      <c r="BK1320" s="991">
        <f>IF(AND(Input_Product=Elig!$C1320,Elig_MatchAll_Ct&lt;22,$BC1320=(Elig_MatchAll_Ct-1),AI1320=0),F1320,0)</f>
        <v>0</v>
      </c>
      <c r="BL1320" s="991">
        <f>IF(AND(Input_Product=Elig!$C1320,Elig_MatchAll_Ct&lt;22,$BC1320=(Elig_MatchAll_Ct-1),AJ1320=0),G1320,0)</f>
        <v>0</v>
      </c>
      <c r="BM1320" s="991">
        <f>IF(AND(Input_Product=Elig!$C1320,Elig_MatchAll_Ct&lt;22,$BC1320=(Elig_MatchAll_Ct-1),AK1320=0),H1320,0)</f>
        <v>0</v>
      </c>
      <c r="BN1320" s="991">
        <f>IF(AND(Input_Product=Elig!$C1320,Elig_MatchAll_Ct&lt;22,$BC1320=(Elig_MatchAll_Ct-1),AL1320=0),I1320,0)</f>
        <v>0</v>
      </c>
      <c r="BO1320" s="991">
        <f>IF(AND(Input_Product=Elig!$C1320,Elig_MatchAll_Ct&lt;22,$BC1320=(Elig_MatchAll_Ct-1),AM1320=0),J1320,0)</f>
        <v>0</v>
      </c>
      <c r="BP1320" s="991">
        <f>IF(AND(Input_Product=Elig!$C1320,Elig_MatchAll_Ct&lt;22,$BC1320=(Elig_MatchAll_Ct-1),AN1320=0),K1320,0)</f>
        <v>0</v>
      </c>
      <c r="BQ1320" s="991">
        <f>IF(AND(Input_Product=Elig!$C1320,Elig_MatchAll_Ct&lt;22,$BC1320=(Elig_MatchAll_Ct-1),AP1320=0),L1320,0)</f>
        <v>0</v>
      </c>
      <c r="BR1320" s="991">
        <f>IF(AND(Input_Product=Elig!$C1320,Elig_MatchAll_Ct&lt;22,$BC1320=(Elig_MatchAll_Ct-1),AO1320=0),M1320,0)</f>
        <v>0</v>
      </c>
      <c r="BS1320" s="991">
        <f>IF(AND(Input_Product=Elig!$C1320,Elig_MatchAll_Ct&lt;22,$BC1320=(Elig_MatchAll_Ct-1),AQ1320=0),N1320,0)</f>
        <v>0</v>
      </c>
      <c r="BT1320" s="991">
        <f>IF(AND(Input_Product=Elig!$C1320,Elig_MatchAll_Ct&lt;22,$BC1320=(Elig_MatchAll_Ct-1),AR1320=0),O1320,0)</f>
        <v>0</v>
      </c>
      <c r="BU1320" s="991">
        <f>IF(AND(Input_Product=Elig!$C1320,Elig_MatchAll_Ct&lt;22,$BC1320=(Elig_MatchAll_Ct-1),AS1320=0),P1320,0)</f>
        <v>0</v>
      </c>
      <c r="BV1320" s="992">
        <f>IF(AND(Input_Product=Elig!$C1320,Elig_MatchAll_Ct&lt;22,$BC1320=(Elig_MatchAll_Ct-1),AT1320=0),Q1320,0)</f>
        <v>0</v>
      </c>
      <c r="BW1320" s="993">
        <f>IF(AND(Input_Product=Elig!$C1320,Elig_MatchAll_Ct&lt;22,$BC1320=(Elig_MatchAll_Ct-1),AU1320=0),R1320,0)</f>
        <v>0</v>
      </c>
      <c r="BX1320" s="994">
        <f>IF(AND(Input_Product=Elig!$C1320,Elig_MatchAll_Ct&lt;22,$BC1320=(Elig_MatchAll_Ct-1),AU1320=0),S1320,0)</f>
        <v>0</v>
      </c>
      <c r="BY1320" s="993">
        <f>IF(AND(Input_Product=Elig!$C1320,Elig_MatchAll_Ct&lt;22,$BC1320=(Elig_MatchAll_Ct-1),AV1320=0),T1320,0)</f>
        <v>0</v>
      </c>
      <c r="BZ1320" s="994">
        <f>IF(AND(Input_Product=Elig!$C1320,Elig_MatchAll_Ct&lt;22,$BC1320=(Elig_MatchAll_Ct-1),AV1320=0),U1320,0)</f>
        <v>0</v>
      </c>
      <c r="CA1320" s="993">
        <f>IF(AND(Input_Product=Elig!$C1320,Elig_MatchAll_Ct&lt;22,$BC1320=(Elig_MatchAll_Ct-1),AW1320=0),V1320,0)</f>
        <v>0</v>
      </c>
      <c r="CB1320" s="994">
        <f>IF(AND(Input_Product=Elig!$C1320,Elig_MatchAll_Ct&lt;22,$BC1320=(Elig_MatchAll_Ct-1),AW1320=0),W1320,0)</f>
        <v>0</v>
      </c>
      <c r="CC1320" s="993">
        <f>IF(AND(Input_Product=Elig!$C1320,Elig_MatchAll_Ct&lt;22,$BC1320=(Elig_MatchAll_Ct-1),AX1320=0),X1320,0)</f>
        <v>0</v>
      </c>
      <c r="CD1320" s="994">
        <f>IF(AND(Input_Product=Elig!$C1320,Elig_MatchAll_Ct&lt;22,$BC1320=(Elig_MatchAll_Ct-1),AX1320=0),Y1320,0)</f>
        <v>0</v>
      </c>
      <c r="CE1320" s="993">
        <f>IF(AND(Input_LTV&lt;=AE1320,Input_Product=Elig!$C1320,Elig_MatchAll_Ct&lt;22,$BC1320=(Elig_MatchAll_Ct-1),AY1320=0),Z1320,0)</f>
        <v>0</v>
      </c>
      <c r="CF1320" s="994">
        <f>IF(AND(Input_LTV&lt;=AE1320,Input_Product=Elig!$C1320,Elig_MatchAll_Ct&lt;22,$BC1320=(Elig_MatchAll_Ct-1),AY1320=0),AA1320,0)</f>
        <v>0</v>
      </c>
      <c r="CG1320" s="993">
        <f>IF(AND(Input_Product=Elig!$C1320,Elig_MatchAll_Ct&lt;22,$BC1320=(Elig_MatchAll_Ct-1),AZ1320=0),AB1320,0)</f>
        <v>0</v>
      </c>
      <c r="CH1320" s="994">
        <f>IF(AND(Input_Product=Elig!$C1320,Elig_MatchAll_Ct&lt;22,$BC1320=(Elig_MatchAll_Ct-1),AZ1320=0),AC1320,0)</f>
        <v>0</v>
      </c>
      <c r="CI1320" s="993">
        <f>IF(AND(Input_Product=Elig!$C1320,Elig_MatchAll_Ct&lt;22,$BC1320=(Elig_MatchAll_Ct-1),BA1320=0),AD1320,0)</f>
        <v>0</v>
      </c>
      <c r="CJ1320" s="994">
        <f>IF(AND(Input_Product=Elig!$C1320,Elig_MatchAll_Ct&lt;22,$BC1320=(Elig_MatchAll_Ct-1),BA1320=0),AE1320,0)</f>
        <v>0</v>
      </c>
    </row>
    <row r="1321" spans="2:88" ht="10.15" customHeight="1" x14ac:dyDescent="0.25">
      <c r="B1321" s="1538" t="s">
        <v>2771</v>
      </c>
      <c r="C1321" s="1538" t="str">
        <f t="shared" si="472"/>
        <v xml:space="preserve">  OO</v>
      </c>
      <c r="D1321" s="1538" t="s">
        <v>2764</v>
      </c>
      <c r="E1321" s="1538" t="s">
        <v>167</v>
      </c>
      <c r="F1321" s="1538" t="s">
        <v>2765</v>
      </c>
      <c r="G1321" s="1538" t="s">
        <v>2766</v>
      </c>
      <c r="H1321" s="1538" t="s">
        <v>2767</v>
      </c>
      <c r="I1321" s="1539" t="s">
        <v>35</v>
      </c>
      <c r="J1321" s="1539" t="s">
        <v>1311</v>
      </c>
      <c r="K1321" s="1539" t="s">
        <v>3023</v>
      </c>
      <c r="L1321" s="1538" t="s">
        <v>2768</v>
      </c>
      <c r="M1321" s="1538" t="s">
        <v>2677</v>
      </c>
      <c r="N1321" s="1538" t="s">
        <v>2685</v>
      </c>
      <c r="O1321" s="1538" t="s">
        <v>310</v>
      </c>
      <c r="P1321" s="1538" t="s">
        <v>291</v>
      </c>
      <c r="Q1321" s="1538" t="s">
        <v>294</v>
      </c>
      <c r="R1321" s="1538">
        <v>2000000.01</v>
      </c>
      <c r="S1321" s="1538">
        <v>2500000</v>
      </c>
      <c r="T1321" s="1538">
        <v>0</v>
      </c>
      <c r="U1321" s="1538">
        <v>0</v>
      </c>
      <c r="V1321" s="1538">
        <v>0</v>
      </c>
      <c r="W1321" s="1538">
        <v>55</v>
      </c>
      <c r="X1321" s="1538">
        <v>0</v>
      </c>
      <c r="Y1321" s="1538">
        <v>0</v>
      </c>
      <c r="Z1321" s="1540">
        <v>720</v>
      </c>
      <c r="AA1321" s="1540">
        <v>999</v>
      </c>
      <c r="AB1321" s="1540">
        <v>6</v>
      </c>
      <c r="AC1321" s="1540">
        <v>999999</v>
      </c>
      <c r="AD1321" s="1538">
        <v>0</v>
      </c>
      <c r="AE1321" s="1545">
        <v>75</v>
      </c>
      <c r="AF1321" s="170">
        <v>0</v>
      </c>
      <c r="AG1321" s="171">
        <v>1</v>
      </c>
      <c r="AH1321" s="171">
        <v>1</v>
      </c>
      <c r="AI1321" s="171">
        <v>1</v>
      </c>
      <c r="AJ1321" s="171">
        <v>1</v>
      </c>
      <c r="AK1321" s="171">
        <v>1</v>
      </c>
      <c r="AL1321" s="171">
        <v>0</v>
      </c>
      <c r="AM1321" s="171">
        <v>1</v>
      </c>
      <c r="AN1321" s="171">
        <v>1</v>
      </c>
      <c r="AO1321" s="171">
        <v>1</v>
      </c>
      <c r="AP1321" s="171">
        <v>1</v>
      </c>
      <c r="AQ1321" s="171">
        <v>1</v>
      </c>
      <c r="AR1321" s="171">
        <v>1</v>
      </c>
      <c r="AS1321" s="171">
        <v>1</v>
      </c>
      <c r="AT1321" s="171">
        <v>1</v>
      </c>
      <c r="AU1321" s="171">
        <f t="shared" si="447"/>
        <v>0</v>
      </c>
      <c r="AV1321" s="171">
        <f t="shared" si="448"/>
        <v>0</v>
      </c>
      <c r="AW1321" s="171">
        <f t="shared" si="449"/>
        <v>1</v>
      </c>
      <c r="AX1321" s="171">
        <f t="shared" si="467"/>
        <v>1</v>
      </c>
      <c r="AY1321" s="171">
        <f t="shared" si="450"/>
        <v>1</v>
      </c>
      <c r="AZ1321" s="171">
        <f t="shared" si="451"/>
        <v>1</v>
      </c>
      <c r="BA1321" s="172">
        <f t="shared" si="452"/>
        <v>1</v>
      </c>
      <c r="BB1321" s="175">
        <f t="shared" si="454"/>
        <v>18</v>
      </c>
      <c r="BC1321" s="176">
        <f t="shared" si="455"/>
        <v>17</v>
      </c>
      <c r="BD1321" s="176">
        <f t="shared" si="456"/>
        <v>18</v>
      </c>
      <c r="BE1321" s="240" t="str">
        <f t="shared" si="473"/>
        <v/>
      </c>
      <c r="BF1321" s="990"/>
      <c r="BG1321" s="990"/>
      <c r="BH1321" s="991">
        <f>IF(AND(Input_Product=Elig!$C1321,Elig_MatchAll_Ct&lt;22,$BC1321=(Elig_MatchAll_Ct-1),AF1321=0),C1321,0)</f>
        <v>0</v>
      </c>
      <c r="BI1321" s="991">
        <f>IF(AND(Input_Product=Elig!$C1321,Elig_MatchAll_Ct&lt;22,$BC1321=(Elig_MatchAll_Ct-1),AG1321=0),D1321,0)</f>
        <v>0</v>
      </c>
      <c r="BJ1321" s="991">
        <f>IF(AND(Input_Product=Elig!$C1321,Elig_MatchAll_Ct&lt;22,$BC1321=(Elig_MatchAll_Ct-1),AH1321=0),E1321,0)</f>
        <v>0</v>
      </c>
      <c r="BK1321" s="991">
        <f>IF(AND(Input_Product=Elig!$C1321,Elig_MatchAll_Ct&lt;22,$BC1321=(Elig_MatchAll_Ct-1),AI1321=0),F1321,0)</f>
        <v>0</v>
      </c>
      <c r="BL1321" s="991">
        <f>IF(AND(Input_Product=Elig!$C1321,Elig_MatchAll_Ct&lt;22,$BC1321=(Elig_MatchAll_Ct-1),AJ1321=0),G1321,0)</f>
        <v>0</v>
      </c>
      <c r="BM1321" s="991">
        <f>IF(AND(Input_Product=Elig!$C1321,Elig_MatchAll_Ct&lt;22,$BC1321=(Elig_MatchAll_Ct-1),AK1321=0),H1321,0)</f>
        <v>0</v>
      </c>
      <c r="BN1321" s="991">
        <f>IF(AND(Input_Product=Elig!$C1321,Elig_MatchAll_Ct&lt;22,$BC1321=(Elig_MatchAll_Ct-1),AL1321=0),I1321,0)</f>
        <v>0</v>
      </c>
      <c r="BO1321" s="991">
        <f>IF(AND(Input_Product=Elig!$C1321,Elig_MatchAll_Ct&lt;22,$BC1321=(Elig_MatchAll_Ct-1),AM1321=0),J1321,0)</f>
        <v>0</v>
      </c>
      <c r="BP1321" s="991">
        <f>IF(AND(Input_Product=Elig!$C1321,Elig_MatchAll_Ct&lt;22,$BC1321=(Elig_MatchAll_Ct-1),AN1321=0),K1321,0)</f>
        <v>0</v>
      </c>
      <c r="BQ1321" s="991">
        <f>IF(AND(Input_Product=Elig!$C1321,Elig_MatchAll_Ct&lt;22,$BC1321=(Elig_MatchAll_Ct-1),AP1321=0),L1321,0)</f>
        <v>0</v>
      </c>
      <c r="BR1321" s="991">
        <f>IF(AND(Input_Product=Elig!$C1321,Elig_MatchAll_Ct&lt;22,$BC1321=(Elig_MatchAll_Ct-1),AO1321=0),M1321,0)</f>
        <v>0</v>
      </c>
      <c r="BS1321" s="991">
        <f>IF(AND(Input_Product=Elig!$C1321,Elig_MatchAll_Ct&lt;22,$BC1321=(Elig_MatchAll_Ct-1),AQ1321=0),N1321,0)</f>
        <v>0</v>
      </c>
      <c r="BT1321" s="991">
        <f>IF(AND(Input_Product=Elig!$C1321,Elig_MatchAll_Ct&lt;22,$BC1321=(Elig_MatchAll_Ct-1),AR1321=0),O1321,0)</f>
        <v>0</v>
      </c>
      <c r="BU1321" s="991">
        <f>IF(AND(Input_Product=Elig!$C1321,Elig_MatchAll_Ct&lt;22,$BC1321=(Elig_MatchAll_Ct-1),AS1321=0),P1321,0)</f>
        <v>0</v>
      </c>
      <c r="BV1321" s="992">
        <f>IF(AND(Input_Product=Elig!$C1321,Elig_MatchAll_Ct&lt;22,$BC1321=(Elig_MatchAll_Ct-1),AT1321=0),Q1321,0)</f>
        <v>0</v>
      </c>
      <c r="BW1321" s="993">
        <f>IF(AND(Input_Product=Elig!$C1321,Elig_MatchAll_Ct&lt;22,$BC1321=(Elig_MatchAll_Ct-1),AU1321=0),R1321,0)</f>
        <v>0</v>
      </c>
      <c r="BX1321" s="994">
        <f>IF(AND(Input_Product=Elig!$C1321,Elig_MatchAll_Ct&lt;22,$BC1321=(Elig_MatchAll_Ct-1),AU1321=0),S1321,0)</f>
        <v>0</v>
      </c>
      <c r="BY1321" s="993">
        <f>IF(AND(Input_Product=Elig!$C1321,Elig_MatchAll_Ct&lt;22,$BC1321=(Elig_MatchAll_Ct-1),AV1321=0),T1321,0)</f>
        <v>0</v>
      </c>
      <c r="BZ1321" s="994">
        <f>IF(AND(Input_Product=Elig!$C1321,Elig_MatchAll_Ct&lt;22,$BC1321=(Elig_MatchAll_Ct-1),AV1321=0),U1321,0)</f>
        <v>0</v>
      </c>
      <c r="CA1321" s="993">
        <f>IF(AND(Input_Product=Elig!$C1321,Elig_MatchAll_Ct&lt;22,$BC1321=(Elig_MatchAll_Ct-1),AW1321=0),V1321,0)</f>
        <v>0</v>
      </c>
      <c r="CB1321" s="994">
        <f>IF(AND(Input_Product=Elig!$C1321,Elig_MatchAll_Ct&lt;22,$BC1321=(Elig_MatchAll_Ct-1),AW1321=0),W1321,0)</f>
        <v>0</v>
      </c>
      <c r="CC1321" s="993">
        <f>IF(AND(Input_Product=Elig!$C1321,Elig_MatchAll_Ct&lt;22,$BC1321=(Elig_MatchAll_Ct-1),AX1321=0),X1321,0)</f>
        <v>0</v>
      </c>
      <c r="CD1321" s="994">
        <f>IF(AND(Input_Product=Elig!$C1321,Elig_MatchAll_Ct&lt;22,$BC1321=(Elig_MatchAll_Ct-1),AX1321=0),Y1321,0)</f>
        <v>0</v>
      </c>
      <c r="CE1321" s="993">
        <f>IF(AND(Input_LTV&lt;=AE1321,Input_Product=Elig!$C1321,Elig_MatchAll_Ct&lt;22,$BC1321=(Elig_MatchAll_Ct-1),AY1321=0),Z1321,0)</f>
        <v>0</v>
      </c>
      <c r="CF1321" s="994">
        <f>IF(AND(Input_LTV&lt;=AE1321,Input_Product=Elig!$C1321,Elig_MatchAll_Ct&lt;22,$BC1321=(Elig_MatchAll_Ct-1),AY1321=0),AA1321,0)</f>
        <v>0</v>
      </c>
      <c r="CG1321" s="993">
        <f>IF(AND(Input_Product=Elig!$C1321,Elig_MatchAll_Ct&lt;22,$BC1321=(Elig_MatchAll_Ct-1),AZ1321=0),AB1321,0)</f>
        <v>0</v>
      </c>
      <c r="CH1321" s="994">
        <f>IF(AND(Input_Product=Elig!$C1321,Elig_MatchAll_Ct&lt;22,$BC1321=(Elig_MatchAll_Ct-1),AZ1321=0),AC1321,0)</f>
        <v>0</v>
      </c>
      <c r="CI1321" s="993">
        <f>IF(AND(Input_Product=Elig!$C1321,Elig_MatchAll_Ct&lt;22,$BC1321=(Elig_MatchAll_Ct-1),BA1321=0),AD1321,0)</f>
        <v>0</v>
      </c>
      <c r="CJ1321" s="994">
        <f>IF(AND(Input_Product=Elig!$C1321,Elig_MatchAll_Ct&lt;22,$BC1321=(Elig_MatchAll_Ct-1),BA1321=0),AE1321,0)</f>
        <v>0</v>
      </c>
    </row>
    <row r="1322" spans="2:88" ht="10.15" customHeight="1" x14ac:dyDescent="0.25">
      <c r="B1322" s="1538" t="s">
        <v>2772</v>
      </c>
      <c r="C1322" s="1538" t="str">
        <f t="shared" si="472"/>
        <v xml:space="preserve">  OO</v>
      </c>
      <c r="D1322" s="1538" t="s">
        <v>2764</v>
      </c>
      <c r="E1322" s="1538" t="s">
        <v>167</v>
      </c>
      <c r="F1322" s="1538" t="s">
        <v>2765</v>
      </c>
      <c r="G1322" s="1538" t="s">
        <v>2766</v>
      </c>
      <c r="H1322" s="1538" t="s">
        <v>2767</v>
      </c>
      <c r="I1322" s="1539" t="s">
        <v>35</v>
      </c>
      <c r="J1322" s="1539" t="s">
        <v>1311</v>
      </c>
      <c r="K1322" s="1539" t="s">
        <v>3023</v>
      </c>
      <c r="L1322" s="1538" t="s">
        <v>2768</v>
      </c>
      <c r="M1322" s="1538" t="s">
        <v>2677</v>
      </c>
      <c r="N1322" s="1538" t="s">
        <v>2685</v>
      </c>
      <c r="O1322" s="1538" t="s">
        <v>310</v>
      </c>
      <c r="P1322" s="1538" t="s">
        <v>291</v>
      </c>
      <c r="Q1322" s="1538" t="s">
        <v>294</v>
      </c>
      <c r="R1322" s="1538">
        <v>2500000.0099999998</v>
      </c>
      <c r="S1322" s="1538">
        <v>3000000</v>
      </c>
      <c r="T1322" s="1538">
        <v>0</v>
      </c>
      <c r="U1322" s="1538">
        <v>0</v>
      </c>
      <c r="V1322" s="1538">
        <v>0</v>
      </c>
      <c r="W1322" s="1538">
        <v>55</v>
      </c>
      <c r="X1322" s="1538">
        <v>0</v>
      </c>
      <c r="Y1322" s="1538">
        <v>0</v>
      </c>
      <c r="Z1322" s="1540">
        <v>720</v>
      </c>
      <c r="AA1322" s="1540">
        <v>999</v>
      </c>
      <c r="AB1322" s="1540">
        <v>6</v>
      </c>
      <c r="AC1322" s="1540">
        <v>999999</v>
      </c>
      <c r="AD1322" s="1538">
        <v>0</v>
      </c>
      <c r="AE1322" s="1545">
        <v>70</v>
      </c>
      <c r="AF1322" s="170">
        <v>0</v>
      </c>
      <c r="AG1322" s="171">
        <v>1</v>
      </c>
      <c r="AH1322" s="171">
        <v>1</v>
      </c>
      <c r="AI1322" s="171">
        <v>1</v>
      </c>
      <c r="AJ1322" s="171">
        <v>1</v>
      </c>
      <c r="AK1322" s="171">
        <v>1</v>
      </c>
      <c r="AL1322" s="171">
        <v>0</v>
      </c>
      <c r="AM1322" s="171">
        <v>1</v>
      </c>
      <c r="AN1322" s="171">
        <v>1</v>
      </c>
      <c r="AO1322" s="171">
        <v>1</v>
      </c>
      <c r="AP1322" s="171">
        <v>1</v>
      </c>
      <c r="AQ1322" s="171">
        <v>1</v>
      </c>
      <c r="AR1322" s="171">
        <v>1</v>
      </c>
      <c r="AS1322" s="171">
        <v>1</v>
      </c>
      <c r="AT1322" s="171">
        <v>1</v>
      </c>
      <c r="AU1322" s="171">
        <f t="shared" si="447"/>
        <v>0</v>
      </c>
      <c r="AV1322" s="171">
        <f t="shared" si="448"/>
        <v>0</v>
      </c>
      <c r="AW1322" s="171">
        <f t="shared" si="449"/>
        <v>1</v>
      </c>
      <c r="AX1322" s="171">
        <f t="shared" si="467"/>
        <v>1</v>
      </c>
      <c r="AY1322" s="171">
        <f t="shared" si="450"/>
        <v>1</v>
      </c>
      <c r="AZ1322" s="171">
        <f t="shared" si="451"/>
        <v>1</v>
      </c>
      <c r="BA1322" s="172">
        <f t="shared" si="452"/>
        <v>1</v>
      </c>
      <c r="BB1322" s="175">
        <f t="shared" si="454"/>
        <v>18</v>
      </c>
      <c r="BC1322" s="176">
        <f t="shared" si="455"/>
        <v>17</v>
      </c>
      <c r="BD1322" s="176">
        <f t="shared" si="456"/>
        <v>18</v>
      </c>
      <c r="BE1322" s="240" t="str">
        <f t="shared" si="473"/>
        <v/>
      </c>
      <c r="BF1322" s="990"/>
      <c r="BG1322" s="990"/>
      <c r="BH1322" s="991">
        <f>IF(AND(Input_Product=Elig!$C1322,Elig_MatchAll_Ct&lt;22,$BC1322=(Elig_MatchAll_Ct-1),AF1322=0),C1322,0)</f>
        <v>0</v>
      </c>
      <c r="BI1322" s="991">
        <f>IF(AND(Input_Product=Elig!$C1322,Elig_MatchAll_Ct&lt;22,$BC1322=(Elig_MatchAll_Ct-1),AG1322=0),D1322,0)</f>
        <v>0</v>
      </c>
      <c r="BJ1322" s="991">
        <f>IF(AND(Input_Product=Elig!$C1322,Elig_MatchAll_Ct&lt;22,$BC1322=(Elig_MatchAll_Ct-1),AH1322=0),E1322,0)</f>
        <v>0</v>
      </c>
      <c r="BK1322" s="991">
        <f>IF(AND(Input_Product=Elig!$C1322,Elig_MatchAll_Ct&lt;22,$BC1322=(Elig_MatchAll_Ct-1),AI1322=0),F1322,0)</f>
        <v>0</v>
      </c>
      <c r="BL1322" s="991">
        <f>IF(AND(Input_Product=Elig!$C1322,Elig_MatchAll_Ct&lt;22,$BC1322=(Elig_MatchAll_Ct-1),AJ1322=0),G1322,0)</f>
        <v>0</v>
      </c>
      <c r="BM1322" s="991">
        <f>IF(AND(Input_Product=Elig!$C1322,Elig_MatchAll_Ct&lt;22,$BC1322=(Elig_MatchAll_Ct-1),AK1322=0),H1322,0)</f>
        <v>0</v>
      </c>
      <c r="BN1322" s="991">
        <f>IF(AND(Input_Product=Elig!$C1322,Elig_MatchAll_Ct&lt;22,$BC1322=(Elig_MatchAll_Ct-1),AL1322=0),I1322,0)</f>
        <v>0</v>
      </c>
      <c r="BO1322" s="991">
        <f>IF(AND(Input_Product=Elig!$C1322,Elig_MatchAll_Ct&lt;22,$BC1322=(Elig_MatchAll_Ct-1),AM1322=0),J1322,0)</f>
        <v>0</v>
      </c>
      <c r="BP1322" s="991">
        <f>IF(AND(Input_Product=Elig!$C1322,Elig_MatchAll_Ct&lt;22,$BC1322=(Elig_MatchAll_Ct-1),AN1322=0),K1322,0)</f>
        <v>0</v>
      </c>
      <c r="BQ1322" s="991">
        <f>IF(AND(Input_Product=Elig!$C1322,Elig_MatchAll_Ct&lt;22,$BC1322=(Elig_MatchAll_Ct-1),AP1322=0),L1322,0)</f>
        <v>0</v>
      </c>
      <c r="BR1322" s="991">
        <f>IF(AND(Input_Product=Elig!$C1322,Elig_MatchAll_Ct&lt;22,$BC1322=(Elig_MatchAll_Ct-1),AO1322=0),M1322,0)</f>
        <v>0</v>
      </c>
      <c r="BS1322" s="991">
        <f>IF(AND(Input_Product=Elig!$C1322,Elig_MatchAll_Ct&lt;22,$BC1322=(Elig_MatchAll_Ct-1),AQ1322=0),N1322,0)</f>
        <v>0</v>
      </c>
      <c r="BT1322" s="991">
        <f>IF(AND(Input_Product=Elig!$C1322,Elig_MatchAll_Ct&lt;22,$BC1322=(Elig_MatchAll_Ct-1),AR1322=0),O1322,0)</f>
        <v>0</v>
      </c>
      <c r="BU1322" s="991">
        <f>IF(AND(Input_Product=Elig!$C1322,Elig_MatchAll_Ct&lt;22,$BC1322=(Elig_MatchAll_Ct-1),AS1322=0),P1322,0)</f>
        <v>0</v>
      </c>
      <c r="BV1322" s="992">
        <f>IF(AND(Input_Product=Elig!$C1322,Elig_MatchAll_Ct&lt;22,$BC1322=(Elig_MatchAll_Ct-1),AT1322=0),Q1322,0)</f>
        <v>0</v>
      </c>
      <c r="BW1322" s="993">
        <f>IF(AND(Input_Product=Elig!$C1322,Elig_MatchAll_Ct&lt;22,$BC1322=(Elig_MatchAll_Ct-1),AU1322=0),R1322,0)</f>
        <v>0</v>
      </c>
      <c r="BX1322" s="994">
        <f>IF(AND(Input_Product=Elig!$C1322,Elig_MatchAll_Ct&lt;22,$BC1322=(Elig_MatchAll_Ct-1),AU1322=0),S1322,0)</f>
        <v>0</v>
      </c>
      <c r="BY1322" s="993">
        <f>IF(AND(Input_Product=Elig!$C1322,Elig_MatchAll_Ct&lt;22,$BC1322=(Elig_MatchAll_Ct-1),AV1322=0),T1322,0)</f>
        <v>0</v>
      </c>
      <c r="BZ1322" s="994">
        <f>IF(AND(Input_Product=Elig!$C1322,Elig_MatchAll_Ct&lt;22,$BC1322=(Elig_MatchAll_Ct-1),AV1322=0),U1322,0)</f>
        <v>0</v>
      </c>
      <c r="CA1322" s="993">
        <f>IF(AND(Input_Product=Elig!$C1322,Elig_MatchAll_Ct&lt;22,$BC1322=(Elig_MatchAll_Ct-1),AW1322=0),V1322,0)</f>
        <v>0</v>
      </c>
      <c r="CB1322" s="994">
        <f>IF(AND(Input_Product=Elig!$C1322,Elig_MatchAll_Ct&lt;22,$BC1322=(Elig_MatchAll_Ct-1),AW1322=0),W1322,0)</f>
        <v>0</v>
      </c>
      <c r="CC1322" s="993">
        <f>IF(AND(Input_Product=Elig!$C1322,Elig_MatchAll_Ct&lt;22,$BC1322=(Elig_MatchAll_Ct-1),AX1322=0),X1322,0)</f>
        <v>0</v>
      </c>
      <c r="CD1322" s="994">
        <f>IF(AND(Input_Product=Elig!$C1322,Elig_MatchAll_Ct&lt;22,$BC1322=(Elig_MatchAll_Ct-1),AX1322=0),Y1322,0)</f>
        <v>0</v>
      </c>
      <c r="CE1322" s="993">
        <f>IF(AND(Input_LTV&lt;=AE1322,Input_Product=Elig!$C1322,Elig_MatchAll_Ct&lt;22,$BC1322=(Elig_MatchAll_Ct-1),AY1322=0),Z1322,0)</f>
        <v>0</v>
      </c>
      <c r="CF1322" s="994">
        <f>IF(AND(Input_LTV&lt;=AE1322,Input_Product=Elig!$C1322,Elig_MatchAll_Ct&lt;22,$BC1322=(Elig_MatchAll_Ct-1),AY1322=0),AA1322,0)</f>
        <v>0</v>
      </c>
      <c r="CG1322" s="993">
        <f>IF(AND(Input_Product=Elig!$C1322,Elig_MatchAll_Ct&lt;22,$BC1322=(Elig_MatchAll_Ct-1),AZ1322=0),AB1322,0)</f>
        <v>0</v>
      </c>
      <c r="CH1322" s="994">
        <f>IF(AND(Input_Product=Elig!$C1322,Elig_MatchAll_Ct&lt;22,$BC1322=(Elig_MatchAll_Ct-1),AZ1322=0),AC1322,0)</f>
        <v>0</v>
      </c>
      <c r="CI1322" s="993">
        <f>IF(AND(Input_Product=Elig!$C1322,Elig_MatchAll_Ct&lt;22,$BC1322=(Elig_MatchAll_Ct-1),BA1322=0),AD1322,0)</f>
        <v>0</v>
      </c>
      <c r="CJ1322" s="994">
        <f>IF(AND(Input_Product=Elig!$C1322,Elig_MatchAll_Ct&lt;22,$BC1322=(Elig_MatchAll_Ct-1),BA1322=0),AE1322,0)</f>
        <v>0</v>
      </c>
    </row>
    <row r="1323" spans="2:88" ht="10.15" customHeight="1" x14ac:dyDescent="0.25">
      <c r="B1323" s="1538" t="s">
        <v>2773</v>
      </c>
      <c r="C1323" s="1538" t="str">
        <f t="shared" si="472"/>
        <v xml:space="preserve">  OO</v>
      </c>
      <c r="D1323" s="1538" t="s">
        <v>2764</v>
      </c>
      <c r="E1323" s="1538" t="s">
        <v>167</v>
      </c>
      <c r="F1323" s="1538" t="s">
        <v>2765</v>
      </c>
      <c r="G1323" s="1538" t="s">
        <v>2766</v>
      </c>
      <c r="H1323" s="1538" t="s">
        <v>2767</v>
      </c>
      <c r="I1323" s="1539" t="s">
        <v>35</v>
      </c>
      <c r="J1323" s="1539" t="s">
        <v>1311</v>
      </c>
      <c r="K1323" s="1539" t="s">
        <v>3023</v>
      </c>
      <c r="L1323" s="1538" t="s">
        <v>2768</v>
      </c>
      <c r="M1323" s="1538" t="s">
        <v>2677</v>
      </c>
      <c r="N1323" s="1538" t="s">
        <v>2685</v>
      </c>
      <c r="O1323" s="1538" t="s">
        <v>310</v>
      </c>
      <c r="P1323" s="1538" t="s">
        <v>291</v>
      </c>
      <c r="Q1323" s="1538" t="s">
        <v>294</v>
      </c>
      <c r="R1323" s="1538">
        <v>3000000.01</v>
      </c>
      <c r="S1323" s="1538">
        <v>3500000</v>
      </c>
      <c r="T1323" s="1538">
        <v>0</v>
      </c>
      <c r="U1323" s="1538">
        <v>0</v>
      </c>
      <c r="V1323" s="1538">
        <v>0</v>
      </c>
      <c r="W1323" s="1538">
        <v>55</v>
      </c>
      <c r="X1323" s="1538">
        <v>0</v>
      </c>
      <c r="Y1323" s="1538">
        <v>0</v>
      </c>
      <c r="Z1323" s="1540">
        <v>720</v>
      </c>
      <c r="AA1323" s="1540">
        <v>999</v>
      </c>
      <c r="AB1323" s="1540">
        <v>6</v>
      </c>
      <c r="AC1323" s="1540">
        <v>999999</v>
      </c>
      <c r="AD1323" s="1538">
        <v>0</v>
      </c>
      <c r="AE1323" s="1545">
        <v>70</v>
      </c>
      <c r="AF1323" s="170">
        <v>0</v>
      </c>
      <c r="AG1323" s="171">
        <v>1</v>
      </c>
      <c r="AH1323" s="171">
        <v>1</v>
      </c>
      <c r="AI1323" s="171">
        <v>1</v>
      </c>
      <c r="AJ1323" s="171">
        <v>1</v>
      </c>
      <c r="AK1323" s="171">
        <v>1</v>
      </c>
      <c r="AL1323" s="171">
        <v>0</v>
      </c>
      <c r="AM1323" s="171">
        <v>1</v>
      </c>
      <c r="AN1323" s="171">
        <v>1</v>
      </c>
      <c r="AO1323" s="171">
        <v>1</v>
      </c>
      <c r="AP1323" s="171">
        <v>1</v>
      </c>
      <c r="AQ1323" s="171">
        <v>1</v>
      </c>
      <c r="AR1323" s="171">
        <v>1</v>
      </c>
      <c r="AS1323" s="171">
        <v>1</v>
      </c>
      <c r="AT1323" s="171">
        <v>1</v>
      </c>
      <c r="AU1323" s="171">
        <f t="shared" ref="AU1323:AU1386" si="474">IF(AND(Input_LoanAmt&gt;=Elig_LoanAmt_Min,Input_LoanAmt&lt;=Elig_LoanAmt_Max),1,0)</f>
        <v>0</v>
      </c>
      <c r="AV1323" s="171">
        <f t="shared" ref="AV1323:AV1386" si="475">IF(AND(Input_CashoutAmt&gt;=Elig_CashoutAmt_Min,Input_CashoutAmt&lt;=Elig_CashoutAmt_Max),1,0)</f>
        <v>0</v>
      </c>
      <c r="AW1323" s="171">
        <f t="shared" ref="AW1323:AW1386" si="476">IF(AND(Input_DTI&gt;=Elig_DTI_Min,Input_DTI&lt;=Elig_DTI_Max),1,0)</f>
        <v>1</v>
      </c>
      <c r="AX1323" s="171">
        <f t="shared" si="467"/>
        <v>1</v>
      </c>
      <c r="AY1323" s="171">
        <f t="shared" ref="AY1323:AY1386" si="477">IF(AND(Input_CreditScore&gt;=Elig_CreditScore_Min,Input_CreditScore&lt;=Elig_CreditScore_Max),1,0)</f>
        <v>1</v>
      </c>
      <c r="AZ1323" s="171">
        <f t="shared" ref="AZ1323:AZ1386" si="478">IF(AND(Input_ReservesMonths&gt;=Elig_Reserves_Min,Input_ReservesMonths&lt;=Elig_Reserves_Max),1,0)</f>
        <v>1</v>
      </c>
      <c r="BA1323" s="172">
        <f t="shared" ref="BA1323:BA1386" si="479">IF(AND(Input_LTV&gt;=Elig_LTV_Min,Input_LTV&lt;=Elig_LTV_Max),1,0)</f>
        <v>1</v>
      </c>
      <c r="BB1323" s="175">
        <f t="shared" si="454"/>
        <v>18</v>
      </c>
      <c r="BC1323" s="176">
        <f t="shared" si="455"/>
        <v>17</v>
      </c>
      <c r="BD1323" s="176">
        <f t="shared" si="456"/>
        <v>18</v>
      </c>
      <c r="BE1323" s="240" t="str">
        <f t="shared" si="473"/>
        <v/>
      </c>
      <c r="BF1323" s="990"/>
      <c r="BG1323" s="990"/>
      <c r="BH1323" s="991">
        <f>IF(AND(Input_Product=Elig!$C1323,Elig_MatchAll_Ct&lt;22,$BC1323=(Elig_MatchAll_Ct-1),AF1323=0),C1323,0)</f>
        <v>0</v>
      </c>
      <c r="BI1323" s="991">
        <f>IF(AND(Input_Product=Elig!$C1323,Elig_MatchAll_Ct&lt;22,$BC1323=(Elig_MatchAll_Ct-1),AG1323=0),D1323,0)</f>
        <v>0</v>
      </c>
      <c r="BJ1323" s="991">
        <f>IF(AND(Input_Product=Elig!$C1323,Elig_MatchAll_Ct&lt;22,$BC1323=(Elig_MatchAll_Ct-1),AH1323=0),E1323,0)</f>
        <v>0</v>
      </c>
      <c r="BK1323" s="991">
        <f>IF(AND(Input_Product=Elig!$C1323,Elig_MatchAll_Ct&lt;22,$BC1323=(Elig_MatchAll_Ct-1),AI1323=0),F1323,0)</f>
        <v>0</v>
      </c>
      <c r="BL1323" s="991">
        <f>IF(AND(Input_Product=Elig!$C1323,Elig_MatchAll_Ct&lt;22,$BC1323=(Elig_MatchAll_Ct-1),AJ1323=0),G1323,0)</f>
        <v>0</v>
      </c>
      <c r="BM1323" s="991">
        <f>IF(AND(Input_Product=Elig!$C1323,Elig_MatchAll_Ct&lt;22,$BC1323=(Elig_MatchAll_Ct-1),AK1323=0),H1323,0)</f>
        <v>0</v>
      </c>
      <c r="BN1323" s="991">
        <f>IF(AND(Input_Product=Elig!$C1323,Elig_MatchAll_Ct&lt;22,$BC1323=(Elig_MatchAll_Ct-1),AL1323=0),I1323,0)</f>
        <v>0</v>
      </c>
      <c r="BO1323" s="991">
        <f>IF(AND(Input_Product=Elig!$C1323,Elig_MatchAll_Ct&lt;22,$BC1323=(Elig_MatchAll_Ct-1),AM1323=0),J1323,0)</f>
        <v>0</v>
      </c>
      <c r="BP1323" s="991">
        <f>IF(AND(Input_Product=Elig!$C1323,Elig_MatchAll_Ct&lt;22,$BC1323=(Elig_MatchAll_Ct-1),AN1323=0),K1323,0)</f>
        <v>0</v>
      </c>
      <c r="BQ1323" s="991">
        <f>IF(AND(Input_Product=Elig!$C1323,Elig_MatchAll_Ct&lt;22,$BC1323=(Elig_MatchAll_Ct-1),AP1323=0),L1323,0)</f>
        <v>0</v>
      </c>
      <c r="BR1323" s="991">
        <f>IF(AND(Input_Product=Elig!$C1323,Elig_MatchAll_Ct&lt;22,$BC1323=(Elig_MatchAll_Ct-1),AO1323=0),M1323,0)</f>
        <v>0</v>
      </c>
      <c r="BS1323" s="991">
        <f>IF(AND(Input_Product=Elig!$C1323,Elig_MatchAll_Ct&lt;22,$BC1323=(Elig_MatchAll_Ct-1),AQ1323=0),N1323,0)</f>
        <v>0</v>
      </c>
      <c r="BT1323" s="991">
        <f>IF(AND(Input_Product=Elig!$C1323,Elig_MatchAll_Ct&lt;22,$BC1323=(Elig_MatchAll_Ct-1),AR1323=0),O1323,0)</f>
        <v>0</v>
      </c>
      <c r="BU1323" s="991">
        <f>IF(AND(Input_Product=Elig!$C1323,Elig_MatchAll_Ct&lt;22,$BC1323=(Elig_MatchAll_Ct-1),AS1323=0),P1323,0)</f>
        <v>0</v>
      </c>
      <c r="BV1323" s="992">
        <f>IF(AND(Input_Product=Elig!$C1323,Elig_MatchAll_Ct&lt;22,$BC1323=(Elig_MatchAll_Ct-1),AT1323=0),Q1323,0)</f>
        <v>0</v>
      </c>
      <c r="BW1323" s="993">
        <f>IF(AND(Input_Product=Elig!$C1323,Elig_MatchAll_Ct&lt;22,$BC1323=(Elig_MatchAll_Ct-1),AU1323=0),R1323,0)</f>
        <v>0</v>
      </c>
      <c r="BX1323" s="994">
        <f>IF(AND(Input_Product=Elig!$C1323,Elig_MatchAll_Ct&lt;22,$BC1323=(Elig_MatchAll_Ct-1),AU1323=0),S1323,0)</f>
        <v>0</v>
      </c>
      <c r="BY1323" s="993">
        <f>IF(AND(Input_Product=Elig!$C1323,Elig_MatchAll_Ct&lt;22,$BC1323=(Elig_MatchAll_Ct-1),AV1323=0),T1323,0)</f>
        <v>0</v>
      </c>
      <c r="BZ1323" s="994">
        <f>IF(AND(Input_Product=Elig!$C1323,Elig_MatchAll_Ct&lt;22,$BC1323=(Elig_MatchAll_Ct-1),AV1323=0),U1323,0)</f>
        <v>0</v>
      </c>
      <c r="CA1323" s="993">
        <f>IF(AND(Input_Product=Elig!$C1323,Elig_MatchAll_Ct&lt;22,$BC1323=(Elig_MatchAll_Ct-1),AW1323=0),V1323,0)</f>
        <v>0</v>
      </c>
      <c r="CB1323" s="994">
        <f>IF(AND(Input_Product=Elig!$C1323,Elig_MatchAll_Ct&lt;22,$BC1323=(Elig_MatchAll_Ct-1),AW1323=0),W1323,0)</f>
        <v>0</v>
      </c>
      <c r="CC1323" s="993">
        <f>IF(AND(Input_Product=Elig!$C1323,Elig_MatchAll_Ct&lt;22,$BC1323=(Elig_MatchAll_Ct-1),AX1323=0),X1323,0)</f>
        <v>0</v>
      </c>
      <c r="CD1323" s="994">
        <f>IF(AND(Input_Product=Elig!$C1323,Elig_MatchAll_Ct&lt;22,$BC1323=(Elig_MatchAll_Ct-1),AX1323=0),Y1323,0)</f>
        <v>0</v>
      </c>
      <c r="CE1323" s="993">
        <f>IF(AND(Input_LTV&lt;=AE1323,Input_Product=Elig!$C1323,Elig_MatchAll_Ct&lt;22,$BC1323=(Elig_MatchAll_Ct-1),AY1323=0),Z1323,0)</f>
        <v>0</v>
      </c>
      <c r="CF1323" s="994">
        <f>IF(AND(Input_LTV&lt;=AE1323,Input_Product=Elig!$C1323,Elig_MatchAll_Ct&lt;22,$BC1323=(Elig_MatchAll_Ct-1),AY1323=0),AA1323,0)</f>
        <v>0</v>
      </c>
      <c r="CG1323" s="993">
        <f>IF(AND(Input_Product=Elig!$C1323,Elig_MatchAll_Ct&lt;22,$BC1323=(Elig_MatchAll_Ct-1),AZ1323=0),AB1323,0)</f>
        <v>0</v>
      </c>
      <c r="CH1323" s="994">
        <f>IF(AND(Input_Product=Elig!$C1323,Elig_MatchAll_Ct&lt;22,$BC1323=(Elig_MatchAll_Ct-1),AZ1323=0),AC1323,0)</f>
        <v>0</v>
      </c>
      <c r="CI1323" s="993">
        <f>IF(AND(Input_Product=Elig!$C1323,Elig_MatchAll_Ct&lt;22,$BC1323=(Elig_MatchAll_Ct-1),BA1323=0),AD1323,0)</f>
        <v>0</v>
      </c>
      <c r="CJ1323" s="994">
        <f>IF(AND(Input_Product=Elig!$C1323,Elig_MatchAll_Ct&lt;22,$BC1323=(Elig_MatchAll_Ct-1),BA1323=0),AE1323,0)</f>
        <v>0</v>
      </c>
    </row>
    <row r="1324" spans="2:88" ht="10.15" customHeight="1" x14ac:dyDescent="0.25">
      <c r="B1324" s="1538" t="s">
        <v>2774</v>
      </c>
      <c r="C1324" s="1538" t="str">
        <f t="shared" si="472"/>
        <v xml:space="preserve">  OO</v>
      </c>
      <c r="D1324" s="1538" t="s">
        <v>2764</v>
      </c>
      <c r="E1324" s="1538" t="s">
        <v>167</v>
      </c>
      <c r="F1324" s="1538" t="s">
        <v>2765</v>
      </c>
      <c r="G1324" s="1538" t="s">
        <v>2766</v>
      </c>
      <c r="H1324" s="1538" t="s">
        <v>2767</v>
      </c>
      <c r="I1324" s="1539" t="s">
        <v>35</v>
      </c>
      <c r="J1324" s="1539" t="s">
        <v>1311</v>
      </c>
      <c r="K1324" s="1539" t="s">
        <v>3023</v>
      </c>
      <c r="L1324" s="1538" t="s">
        <v>2768</v>
      </c>
      <c r="M1324" s="1538" t="s">
        <v>2677</v>
      </c>
      <c r="N1324" s="1538" t="s">
        <v>2685</v>
      </c>
      <c r="O1324" s="1538" t="s">
        <v>310</v>
      </c>
      <c r="P1324" s="1538" t="s">
        <v>291</v>
      </c>
      <c r="Q1324" s="1538" t="s">
        <v>294</v>
      </c>
      <c r="R1324" s="1538">
        <v>3500000.01</v>
      </c>
      <c r="S1324" s="1538">
        <v>4000000</v>
      </c>
      <c r="T1324" s="1538">
        <v>0</v>
      </c>
      <c r="U1324" s="1538">
        <v>0</v>
      </c>
      <c r="V1324" s="1538">
        <v>0</v>
      </c>
      <c r="W1324" s="1538">
        <v>55</v>
      </c>
      <c r="X1324" s="1538">
        <v>0</v>
      </c>
      <c r="Y1324" s="1538">
        <v>0</v>
      </c>
      <c r="Z1324" s="1540">
        <v>720</v>
      </c>
      <c r="AA1324" s="1540">
        <v>999</v>
      </c>
      <c r="AB1324" s="1540">
        <v>6</v>
      </c>
      <c r="AC1324" s="1540">
        <v>999999</v>
      </c>
      <c r="AD1324" s="1538">
        <v>0</v>
      </c>
      <c r="AE1324" s="1545">
        <v>65</v>
      </c>
      <c r="AF1324" s="170">
        <v>0</v>
      </c>
      <c r="AG1324" s="171">
        <v>1</v>
      </c>
      <c r="AH1324" s="171">
        <v>1</v>
      </c>
      <c r="AI1324" s="171">
        <v>1</v>
      </c>
      <c r="AJ1324" s="171">
        <v>1</v>
      </c>
      <c r="AK1324" s="171">
        <v>1</v>
      </c>
      <c r="AL1324" s="171">
        <v>0</v>
      </c>
      <c r="AM1324" s="171">
        <v>1</v>
      </c>
      <c r="AN1324" s="171">
        <v>1</v>
      </c>
      <c r="AO1324" s="171">
        <v>1</v>
      </c>
      <c r="AP1324" s="171">
        <v>1</v>
      </c>
      <c r="AQ1324" s="171">
        <v>1</v>
      </c>
      <c r="AR1324" s="171">
        <v>1</v>
      </c>
      <c r="AS1324" s="171">
        <v>1</v>
      </c>
      <c r="AT1324" s="171">
        <v>1</v>
      </c>
      <c r="AU1324" s="171">
        <f t="shared" si="474"/>
        <v>0</v>
      </c>
      <c r="AV1324" s="171">
        <f t="shared" si="475"/>
        <v>0</v>
      </c>
      <c r="AW1324" s="171">
        <f t="shared" si="476"/>
        <v>1</v>
      </c>
      <c r="AX1324" s="171">
        <f t="shared" si="467"/>
        <v>1</v>
      </c>
      <c r="AY1324" s="171">
        <f t="shared" si="477"/>
        <v>1</v>
      </c>
      <c r="AZ1324" s="171">
        <f t="shared" si="478"/>
        <v>1</v>
      </c>
      <c r="BA1324" s="172">
        <f t="shared" si="479"/>
        <v>1</v>
      </c>
      <c r="BB1324" s="175">
        <f t="shared" si="454"/>
        <v>18</v>
      </c>
      <c r="BC1324" s="176">
        <f t="shared" si="455"/>
        <v>17</v>
      </c>
      <c r="BD1324" s="176">
        <f t="shared" si="456"/>
        <v>18</v>
      </c>
      <c r="BE1324" s="240" t="str">
        <f t="shared" si="473"/>
        <v/>
      </c>
      <c r="BF1324" s="990"/>
      <c r="BG1324" s="990"/>
      <c r="BH1324" s="991">
        <f>IF(AND(Input_Product=Elig!$C1324,Elig_MatchAll_Ct&lt;22,$BC1324=(Elig_MatchAll_Ct-1),AF1324=0),C1324,0)</f>
        <v>0</v>
      </c>
      <c r="BI1324" s="991">
        <f>IF(AND(Input_Product=Elig!$C1324,Elig_MatchAll_Ct&lt;22,$BC1324=(Elig_MatchAll_Ct-1),AG1324=0),D1324,0)</f>
        <v>0</v>
      </c>
      <c r="BJ1324" s="991">
        <f>IF(AND(Input_Product=Elig!$C1324,Elig_MatchAll_Ct&lt;22,$BC1324=(Elig_MatchAll_Ct-1),AH1324=0),E1324,0)</f>
        <v>0</v>
      </c>
      <c r="BK1324" s="991">
        <f>IF(AND(Input_Product=Elig!$C1324,Elig_MatchAll_Ct&lt;22,$BC1324=(Elig_MatchAll_Ct-1),AI1324=0),F1324,0)</f>
        <v>0</v>
      </c>
      <c r="BL1324" s="991">
        <f>IF(AND(Input_Product=Elig!$C1324,Elig_MatchAll_Ct&lt;22,$BC1324=(Elig_MatchAll_Ct-1),AJ1324=0),G1324,0)</f>
        <v>0</v>
      </c>
      <c r="BM1324" s="991">
        <f>IF(AND(Input_Product=Elig!$C1324,Elig_MatchAll_Ct&lt;22,$BC1324=(Elig_MatchAll_Ct-1),AK1324=0),H1324,0)</f>
        <v>0</v>
      </c>
      <c r="BN1324" s="991">
        <f>IF(AND(Input_Product=Elig!$C1324,Elig_MatchAll_Ct&lt;22,$BC1324=(Elig_MatchAll_Ct-1),AL1324=0),I1324,0)</f>
        <v>0</v>
      </c>
      <c r="BO1324" s="991">
        <f>IF(AND(Input_Product=Elig!$C1324,Elig_MatchAll_Ct&lt;22,$BC1324=(Elig_MatchAll_Ct-1),AM1324=0),J1324,0)</f>
        <v>0</v>
      </c>
      <c r="BP1324" s="991">
        <f>IF(AND(Input_Product=Elig!$C1324,Elig_MatchAll_Ct&lt;22,$BC1324=(Elig_MatchAll_Ct-1),AN1324=0),K1324,0)</f>
        <v>0</v>
      </c>
      <c r="BQ1324" s="991">
        <f>IF(AND(Input_Product=Elig!$C1324,Elig_MatchAll_Ct&lt;22,$BC1324=(Elig_MatchAll_Ct-1),AP1324=0),L1324,0)</f>
        <v>0</v>
      </c>
      <c r="BR1324" s="991">
        <f>IF(AND(Input_Product=Elig!$C1324,Elig_MatchAll_Ct&lt;22,$BC1324=(Elig_MatchAll_Ct-1),AO1324=0),M1324,0)</f>
        <v>0</v>
      </c>
      <c r="BS1324" s="991">
        <f>IF(AND(Input_Product=Elig!$C1324,Elig_MatchAll_Ct&lt;22,$BC1324=(Elig_MatchAll_Ct-1),AQ1324=0),N1324,0)</f>
        <v>0</v>
      </c>
      <c r="BT1324" s="991">
        <f>IF(AND(Input_Product=Elig!$C1324,Elig_MatchAll_Ct&lt;22,$BC1324=(Elig_MatchAll_Ct-1),AR1324=0),O1324,0)</f>
        <v>0</v>
      </c>
      <c r="BU1324" s="991">
        <f>IF(AND(Input_Product=Elig!$C1324,Elig_MatchAll_Ct&lt;22,$BC1324=(Elig_MatchAll_Ct-1),AS1324=0),P1324,0)</f>
        <v>0</v>
      </c>
      <c r="BV1324" s="992">
        <f>IF(AND(Input_Product=Elig!$C1324,Elig_MatchAll_Ct&lt;22,$BC1324=(Elig_MatchAll_Ct-1),AT1324=0),Q1324,0)</f>
        <v>0</v>
      </c>
      <c r="BW1324" s="993">
        <f>IF(AND(Input_Product=Elig!$C1324,Elig_MatchAll_Ct&lt;22,$BC1324=(Elig_MatchAll_Ct-1),AU1324=0),R1324,0)</f>
        <v>0</v>
      </c>
      <c r="BX1324" s="994">
        <f>IF(AND(Input_Product=Elig!$C1324,Elig_MatchAll_Ct&lt;22,$BC1324=(Elig_MatchAll_Ct-1),AU1324=0),S1324,0)</f>
        <v>0</v>
      </c>
      <c r="BY1324" s="993">
        <f>IF(AND(Input_Product=Elig!$C1324,Elig_MatchAll_Ct&lt;22,$BC1324=(Elig_MatchAll_Ct-1),AV1324=0),T1324,0)</f>
        <v>0</v>
      </c>
      <c r="BZ1324" s="994">
        <f>IF(AND(Input_Product=Elig!$C1324,Elig_MatchAll_Ct&lt;22,$BC1324=(Elig_MatchAll_Ct-1),AV1324=0),U1324,0)</f>
        <v>0</v>
      </c>
      <c r="CA1324" s="993">
        <f>IF(AND(Input_Product=Elig!$C1324,Elig_MatchAll_Ct&lt;22,$BC1324=(Elig_MatchAll_Ct-1),AW1324=0),V1324,0)</f>
        <v>0</v>
      </c>
      <c r="CB1324" s="994">
        <f>IF(AND(Input_Product=Elig!$C1324,Elig_MatchAll_Ct&lt;22,$BC1324=(Elig_MatchAll_Ct-1),AW1324=0),W1324,0)</f>
        <v>0</v>
      </c>
      <c r="CC1324" s="993">
        <f>IF(AND(Input_Product=Elig!$C1324,Elig_MatchAll_Ct&lt;22,$BC1324=(Elig_MatchAll_Ct-1),AX1324=0),X1324,0)</f>
        <v>0</v>
      </c>
      <c r="CD1324" s="994">
        <f>IF(AND(Input_Product=Elig!$C1324,Elig_MatchAll_Ct&lt;22,$BC1324=(Elig_MatchAll_Ct-1),AX1324=0),Y1324,0)</f>
        <v>0</v>
      </c>
      <c r="CE1324" s="993">
        <f>IF(AND(Input_LTV&lt;=AE1324,Input_Product=Elig!$C1324,Elig_MatchAll_Ct&lt;22,$BC1324=(Elig_MatchAll_Ct-1),AY1324=0),Z1324,0)</f>
        <v>0</v>
      </c>
      <c r="CF1324" s="994">
        <f>IF(AND(Input_LTV&lt;=AE1324,Input_Product=Elig!$C1324,Elig_MatchAll_Ct&lt;22,$BC1324=(Elig_MatchAll_Ct-1),AY1324=0),AA1324,0)</f>
        <v>0</v>
      </c>
      <c r="CG1324" s="993">
        <f>IF(AND(Input_Product=Elig!$C1324,Elig_MatchAll_Ct&lt;22,$BC1324=(Elig_MatchAll_Ct-1),AZ1324=0),AB1324,0)</f>
        <v>0</v>
      </c>
      <c r="CH1324" s="994">
        <f>IF(AND(Input_Product=Elig!$C1324,Elig_MatchAll_Ct&lt;22,$BC1324=(Elig_MatchAll_Ct-1),AZ1324=0),AC1324,0)</f>
        <v>0</v>
      </c>
      <c r="CI1324" s="993">
        <f>IF(AND(Input_Product=Elig!$C1324,Elig_MatchAll_Ct&lt;22,$BC1324=(Elig_MatchAll_Ct-1),BA1324=0),AD1324,0)</f>
        <v>0</v>
      </c>
      <c r="CJ1324" s="994">
        <f>IF(AND(Input_Product=Elig!$C1324,Elig_MatchAll_Ct&lt;22,$BC1324=(Elig_MatchAll_Ct-1),BA1324=0),AE1324,0)</f>
        <v>0</v>
      </c>
    </row>
    <row r="1325" spans="2:88" ht="10.15" customHeight="1" x14ac:dyDescent="0.25">
      <c r="B1325" s="1538" t="s">
        <v>2775</v>
      </c>
      <c r="C1325" s="1538" t="str">
        <f t="shared" si="472"/>
        <v xml:space="preserve">  OO</v>
      </c>
      <c r="D1325" s="1538" t="s">
        <v>2764</v>
      </c>
      <c r="E1325" s="1538" t="s">
        <v>167</v>
      </c>
      <c r="F1325" s="1538" t="s">
        <v>2765</v>
      </c>
      <c r="G1325" s="1538" t="s">
        <v>2766</v>
      </c>
      <c r="H1325" s="1538" t="s">
        <v>2767</v>
      </c>
      <c r="I1325" s="1539" t="s">
        <v>35</v>
      </c>
      <c r="J1325" s="1539" t="s">
        <v>1311</v>
      </c>
      <c r="K1325" s="1539" t="s">
        <v>3023</v>
      </c>
      <c r="L1325" s="1538" t="s">
        <v>2768</v>
      </c>
      <c r="M1325" s="1538" t="s">
        <v>2677</v>
      </c>
      <c r="N1325" s="1538" t="s">
        <v>2685</v>
      </c>
      <c r="O1325" s="1538" t="s">
        <v>310</v>
      </c>
      <c r="P1325" s="1538" t="s">
        <v>291</v>
      </c>
      <c r="Q1325" s="1538" t="s">
        <v>294</v>
      </c>
      <c r="R1325" s="1538">
        <v>150000</v>
      </c>
      <c r="S1325" s="1538">
        <v>1000000</v>
      </c>
      <c r="T1325" s="1538">
        <v>0</v>
      </c>
      <c r="U1325" s="1538">
        <v>0</v>
      </c>
      <c r="V1325" s="1538">
        <v>0</v>
      </c>
      <c r="W1325" s="1538">
        <v>55</v>
      </c>
      <c r="X1325" s="1538">
        <v>0</v>
      </c>
      <c r="Y1325" s="1538">
        <v>0</v>
      </c>
      <c r="Z1325" s="1540">
        <v>700</v>
      </c>
      <c r="AA1325" s="1540">
        <v>719</v>
      </c>
      <c r="AB1325" s="1540">
        <v>6</v>
      </c>
      <c r="AC1325" s="1540">
        <v>999999</v>
      </c>
      <c r="AD1325" s="1538">
        <v>0</v>
      </c>
      <c r="AE1325" s="1545">
        <v>85</v>
      </c>
      <c r="AF1325" s="170">
        <v>0</v>
      </c>
      <c r="AG1325" s="171">
        <v>1</v>
      </c>
      <c r="AH1325" s="171">
        <v>1</v>
      </c>
      <c r="AI1325" s="171">
        <v>1</v>
      </c>
      <c r="AJ1325" s="171">
        <v>1</v>
      </c>
      <c r="AK1325" s="171">
        <v>1</v>
      </c>
      <c r="AL1325" s="171">
        <v>0</v>
      </c>
      <c r="AM1325" s="171">
        <v>1</v>
      </c>
      <c r="AN1325" s="171">
        <v>1</v>
      </c>
      <c r="AO1325" s="171">
        <v>1</v>
      </c>
      <c r="AP1325" s="171">
        <v>1</v>
      </c>
      <c r="AQ1325" s="171">
        <v>1</v>
      </c>
      <c r="AR1325" s="171">
        <v>1</v>
      </c>
      <c r="AS1325" s="171">
        <v>1</v>
      </c>
      <c r="AT1325" s="171">
        <v>1</v>
      </c>
      <c r="AU1325" s="171">
        <f t="shared" si="474"/>
        <v>1</v>
      </c>
      <c r="AV1325" s="171">
        <f t="shared" si="475"/>
        <v>0</v>
      </c>
      <c r="AW1325" s="171">
        <f t="shared" si="476"/>
        <v>1</v>
      </c>
      <c r="AX1325" s="171">
        <f t="shared" si="467"/>
        <v>1</v>
      </c>
      <c r="AY1325" s="171">
        <f t="shared" si="477"/>
        <v>0</v>
      </c>
      <c r="AZ1325" s="171">
        <f t="shared" si="478"/>
        <v>1</v>
      </c>
      <c r="BA1325" s="172">
        <f t="shared" si="479"/>
        <v>1</v>
      </c>
      <c r="BB1325" s="175">
        <f t="shared" si="454"/>
        <v>18</v>
      </c>
      <c r="BC1325" s="176">
        <f t="shared" si="455"/>
        <v>17</v>
      </c>
      <c r="BD1325" s="176">
        <f t="shared" si="456"/>
        <v>18</v>
      </c>
      <c r="BE1325" s="240" t="str">
        <f t="shared" si="473"/>
        <v/>
      </c>
      <c r="BF1325" s="990"/>
      <c r="BG1325" s="990"/>
      <c r="BH1325" s="991">
        <f>IF(AND(Input_Product=Elig!$C1325,Elig_MatchAll_Ct&lt;22,$BC1325=(Elig_MatchAll_Ct-1),AF1325=0),C1325,0)</f>
        <v>0</v>
      </c>
      <c r="BI1325" s="991">
        <f>IF(AND(Input_Product=Elig!$C1325,Elig_MatchAll_Ct&lt;22,$BC1325=(Elig_MatchAll_Ct-1),AG1325=0),D1325,0)</f>
        <v>0</v>
      </c>
      <c r="BJ1325" s="991">
        <f>IF(AND(Input_Product=Elig!$C1325,Elig_MatchAll_Ct&lt;22,$BC1325=(Elig_MatchAll_Ct-1),AH1325=0),E1325,0)</f>
        <v>0</v>
      </c>
      <c r="BK1325" s="991">
        <f>IF(AND(Input_Product=Elig!$C1325,Elig_MatchAll_Ct&lt;22,$BC1325=(Elig_MatchAll_Ct-1),AI1325=0),F1325,0)</f>
        <v>0</v>
      </c>
      <c r="BL1325" s="991">
        <f>IF(AND(Input_Product=Elig!$C1325,Elig_MatchAll_Ct&lt;22,$BC1325=(Elig_MatchAll_Ct-1),AJ1325=0),G1325,0)</f>
        <v>0</v>
      </c>
      <c r="BM1325" s="991">
        <f>IF(AND(Input_Product=Elig!$C1325,Elig_MatchAll_Ct&lt;22,$BC1325=(Elig_MatchAll_Ct-1),AK1325=0),H1325,0)</f>
        <v>0</v>
      </c>
      <c r="BN1325" s="991">
        <f>IF(AND(Input_Product=Elig!$C1325,Elig_MatchAll_Ct&lt;22,$BC1325=(Elig_MatchAll_Ct-1),AL1325=0),I1325,0)</f>
        <v>0</v>
      </c>
      <c r="BO1325" s="991">
        <f>IF(AND(Input_Product=Elig!$C1325,Elig_MatchAll_Ct&lt;22,$BC1325=(Elig_MatchAll_Ct-1),AM1325=0),J1325,0)</f>
        <v>0</v>
      </c>
      <c r="BP1325" s="991">
        <f>IF(AND(Input_Product=Elig!$C1325,Elig_MatchAll_Ct&lt;22,$BC1325=(Elig_MatchAll_Ct-1),AN1325=0),K1325,0)</f>
        <v>0</v>
      </c>
      <c r="BQ1325" s="991">
        <f>IF(AND(Input_Product=Elig!$C1325,Elig_MatchAll_Ct&lt;22,$BC1325=(Elig_MatchAll_Ct-1),AP1325=0),L1325,0)</f>
        <v>0</v>
      </c>
      <c r="BR1325" s="991">
        <f>IF(AND(Input_Product=Elig!$C1325,Elig_MatchAll_Ct&lt;22,$BC1325=(Elig_MatchAll_Ct-1),AO1325=0),M1325,0)</f>
        <v>0</v>
      </c>
      <c r="BS1325" s="991">
        <f>IF(AND(Input_Product=Elig!$C1325,Elig_MatchAll_Ct&lt;22,$BC1325=(Elig_MatchAll_Ct-1),AQ1325=0),N1325,0)</f>
        <v>0</v>
      </c>
      <c r="BT1325" s="991">
        <f>IF(AND(Input_Product=Elig!$C1325,Elig_MatchAll_Ct&lt;22,$BC1325=(Elig_MatchAll_Ct-1),AR1325=0),O1325,0)</f>
        <v>0</v>
      </c>
      <c r="BU1325" s="991">
        <f>IF(AND(Input_Product=Elig!$C1325,Elig_MatchAll_Ct&lt;22,$BC1325=(Elig_MatchAll_Ct-1),AS1325=0),P1325,0)</f>
        <v>0</v>
      </c>
      <c r="BV1325" s="992">
        <f>IF(AND(Input_Product=Elig!$C1325,Elig_MatchAll_Ct&lt;22,$BC1325=(Elig_MatchAll_Ct-1),AT1325=0),Q1325,0)</f>
        <v>0</v>
      </c>
      <c r="BW1325" s="993">
        <f>IF(AND(Input_Product=Elig!$C1325,Elig_MatchAll_Ct&lt;22,$BC1325=(Elig_MatchAll_Ct-1),AU1325=0),R1325,0)</f>
        <v>0</v>
      </c>
      <c r="BX1325" s="994">
        <f>IF(AND(Input_Product=Elig!$C1325,Elig_MatchAll_Ct&lt;22,$BC1325=(Elig_MatchAll_Ct-1),AU1325=0),S1325,0)</f>
        <v>0</v>
      </c>
      <c r="BY1325" s="993">
        <f>IF(AND(Input_Product=Elig!$C1325,Elig_MatchAll_Ct&lt;22,$BC1325=(Elig_MatchAll_Ct-1),AV1325=0),T1325,0)</f>
        <v>0</v>
      </c>
      <c r="BZ1325" s="994">
        <f>IF(AND(Input_Product=Elig!$C1325,Elig_MatchAll_Ct&lt;22,$BC1325=(Elig_MatchAll_Ct-1),AV1325=0),U1325,0)</f>
        <v>0</v>
      </c>
      <c r="CA1325" s="993">
        <f>IF(AND(Input_Product=Elig!$C1325,Elig_MatchAll_Ct&lt;22,$BC1325=(Elig_MatchAll_Ct-1),AW1325=0),V1325,0)</f>
        <v>0</v>
      </c>
      <c r="CB1325" s="994">
        <f>IF(AND(Input_Product=Elig!$C1325,Elig_MatchAll_Ct&lt;22,$BC1325=(Elig_MatchAll_Ct-1),AW1325=0),W1325,0)</f>
        <v>0</v>
      </c>
      <c r="CC1325" s="993">
        <f>IF(AND(Input_Product=Elig!$C1325,Elig_MatchAll_Ct&lt;22,$BC1325=(Elig_MatchAll_Ct-1),AX1325=0),X1325,0)</f>
        <v>0</v>
      </c>
      <c r="CD1325" s="994">
        <f>IF(AND(Input_Product=Elig!$C1325,Elig_MatchAll_Ct&lt;22,$BC1325=(Elig_MatchAll_Ct-1),AX1325=0),Y1325,0)</f>
        <v>0</v>
      </c>
      <c r="CE1325" s="993">
        <f>IF(AND(Input_LTV&lt;=AE1325,Input_Product=Elig!$C1325,Elig_MatchAll_Ct&lt;22,$BC1325=(Elig_MatchAll_Ct-1),AY1325=0),Z1325,0)</f>
        <v>0</v>
      </c>
      <c r="CF1325" s="994">
        <f>IF(AND(Input_LTV&lt;=AE1325,Input_Product=Elig!$C1325,Elig_MatchAll_Ct&lt;22,$BC1325=(Elig_MatchAll_Ct-1),AY1325=0),AA1325,0)</f>
        <v>0</v>
      </c>
      <c r="CG1325" s="993">
        <f>IF(AND(Input_Product=Elig!$C1325,Elig_MatchAll_Ct&lt;22,$BC1325=(Elig_MatchAll_Ct-1),AZ1325=0),AB1325,0)</f>
        <v>0</v>
      </c>
      <c r="CH1325" s="994">
        <f>IF(AND(Input_Product=Elig!$C1325,Elig_MatchAll_Ct&lt;22,$BC1325=(Elig_MatchAll_Ct-1),AZ1325=0),AC1325,0)</f>
        <v>0</v>
      </c>
      <c r="CI1325" s="993">
        <f>IF(AND(Input_Product=Elig!$C1325,Elig_MatchAll_Ct&lt;22,$BC1325=(Elig_MatchAll_Ct-1),BA1325=0),AD1325,0)</f>
        <v>0</v>
      </c>
      <c r="CJ1325" s="994">
        <f>IF(AND(Input_Product=Elig!$C1325,Elig_MatchAll_Ct&lt;22,$BC1325=(Elig_MatchAll_Ct-1),BA1325=0),AE1325,0)</f>
        <v>0</v>
      </c>
    </row>
    <row r="1326" spans="2:88" ht="10.15" customHeight="1" x14ac:dyDescent="0.25">
      <c r="B1326" s="1538" t="s">
        <v>2776</v>
      </c>
      <c r="C1326" s="1538" t="str">
        <f t="shared" si="472"/>
        <v xml:space="preserve">  OO</v>
      </c>
      <c r="D1326" s="1538" t="s">
        <v>2764</v>
      </c>
      <c r="E1326" s="1538" t="s">
        <v>167</v>
      </c>
      <c r="F1326" s="1538" t="s">
        <v>2765</v>
      </c>
      <c r="G1326" s="1538" t="s">
        <v>2766</v>
      </c>
      <c r="H1326" s="1538" t="s">
        <v>2767</v>
      </c>
      <c r="I1326" s="1539" t="s">
        <v>35</v>
      </c>
      <c r="J1326" s="1539" t="s">
        <v>1311</v>
      </c>
      <c r="K1326" s="1539" t="s">
        <v>3023</v>
      </c>
      <c r="L1326" s="1538" t="s">
        <v>2768</v>
      </c>
      <c r="M1326" s="1538" t="s">
        <v>2677</v>
      </c>
      <c r="N1326" s="1538" t="s">
        <v>2685</v>
      </c>
      <c r="O1326" s="1538" t="s">
        <v>310</v>
      </c>
      <c r="P1326" s="1538" t="s">
        <v>291</v>
      </c>
      <c r="Q1326" s="1538" t="s">
        <v>294</v>
      </c>
      <c r="R1326" s="1538">
        <v>1000000.01</v>
      </c>
      <c r="S1326" s="1538">
        <v>1500000</v>
      </c>
      <c r="T1326" s="1538">
        <v>0</v>
      </c>
      <c r="U1326" s="1538">
        <v>0</v>
      </c>
      <c r="V1326" s="1538">
        <v>0</v>
      </c>
      <c r="W1326" s="1538">
        <v>55</v>
      </c>
      <c r="X1326" s="1538">
        <v>0</v>
      </c>
      <c r="Y1326" s="1538">
        <v>0</v>
      </c>
      <c r="Z1326" s="1540">
        <v>700</v>
      </c>
      <c r="AA1326" s="1540">
        <v>719</v>
      </c>
      <c r="AB1326" s="1540">
        <v>6</v>
      </c>
      <c r="AC1326" s="1540">
        <v>999999</v>
      </c>
      <c r="AD1326" s="1538">
        <v>0</v>
      </c>
      <c r="AE1326" s="1545">
        <v>85</v>
      </c>
      <c r="AF1326" s="170">
        <v>0</v>
      </c>
      <c r="AG1326" s="171">
        <v>1</v>
      </c>
      <c r="AH1326" s="171">
        <v>1</v>
      </c>
      <c r="AI1326" s="171">
        <v>1</v>
      </c>
      <c r="AJ1326" s="171">
        <v>1</v>
      </c>
      <c r="AK1326" s="171">
        <v>1</v>
      </c>
      <c r="AL1326" s="171">
        <v>0</v>
      </c>
      <c r="AM1326" s="171">
        <v>1</v>
      </c>
      <c r="AN1326" s="171">
        <v>1</v>
      </c>
      <c r="AO1326" s="171">
        <v>1</v>
      </c>
      <c r="AP1326" s="171">
        <v>1</v>
      </c>
      <c r="AQ1326" s="171">
        <v>1</v>
      </c>
      <c r="AR1326" s="171">
        <v>1</v>
      </c>
      <c r="AS1326" s="171">
        <v>1</v>
      </c>
      <c r="AT1326" s="171">
        <v>1</v>
      </c>
      <c r="AU1326" s="171">
        <f t="shared" si="474"/>
        <v>0</v>
      </c>
      <c r="AV1326" s="171">
        <f t="shared" si="475"/>
        <v>0</v>
      </c>
      <c r="AW1326" s="171">
        <f t="shared" si="476"/>
        <v>1</v>
      </c>
      <c r="AX1326" s="171">
        <f t="shared" si="467"/>
        <v>1</v>
      </c>
      <c r="AY1326" s="171">
        <f t="shared" si="477"/>
        <v>0</v>
      </c>
      <c r="AZ1326" s="171">
        <f t="shared" si="478"/>
        <v>1</v>
      </c>
      <c r="BA1326" s="172">
        <f t="shared" si="479"/>
        <v>1</v>
      </c>
      <c r="BB1326" s="175">
        <f t="shared" si="454"/>
        <v>17</v>
      </c>
      <c r="BC1326" s="176">
        <f t="shared" si="455"/>
        <v>16</v>
      </c>
      <c r="BD1326" s="176">
        <f t="shared" si="456"/>
        <v>17</v>
      </c>
      <c r="BE1326" s="240" t="str">
        <f t="shared" si="473"/>
        <v/>
      </c>
      <c r="BF1326" s="990"/>
      <c r="BG1326" s="990"/>
      <c r="BH1326" s="991">
        <f>IF(AND(Input_Product=Elig!$C1326,Elig_MatchAll_Ct&lt;22,$BC1326=(Elig_MatchAll_Ct-1),AF1326=0),C1326,0)</f>
        <v>0</v>
      </c>
      <c r="BI1326" s="991">
        <f>IF(AND(Input_Product=Elig!$C1326,Elig_MatchAll_Ct&lt;22,$BC1326=(Elig_MatchAll_Ct-1),AG1326=0),D1326,0)</f>
        <v>0</v>
      </c>
      <c r="BJ1326" s="991">
        <f>IF(AND(Input_Product=Elig!$C1326,Elig_MatchAll_Ct&lt;22,$BC1326=(Elig_MatchAll_Ct-1),AH1326=0),E1326,0)</f>
        <v>0</v>
      </c>
      <c r="BK1326" s="991">
        <f>IF(AND(Input_Product=Elig!$C1326,Elig_MatchAll_Ct&lt;22,$BC1326=(Elig_MatchAll_Ct-1),AI1326=0),F1326,0)</f>
        <v>0</v>
      </c>
      <c r="BL1326" s="991">
        <f>IF(AND(Input_Product=Elig!$C1326,Elig_MatchAll_Ct&lt;22,$BC1326=(Elig_MatchAll_Ct-1),AJ1326=0),G1326,0)</f>
        <v>0</v>
      </c>
      <c r="BM1326" s="991">
        <f>IF(AND(Input_Product=Elig!$C1326,Elig_MatchAll_Ct&lt;22,$BC1326=(Elig_MatchAll_Ct-1),AK1326=0),H1326,0)</f>
        <v>0</v>
      </c>
      <c r="BN1326" s="991">
        <f>IF(AND(Input_Product=Elig!$C1326,Elig_MatchAll_Ct&lt;22,$BC1326=(Elig_MatchAll_Ct-1),AL1326=0),I1326,0)</f>
        <v>0</v>
      </c>
      <c r="BO1326" s="991">
        <f>IF(AND(Input_Product=Elig!$C1326,Elig_MatchAll_Ct&lt;22,$BC1326=(Elig_MatchAll_Ct-1),AM1326=0),J1326,0)</f>
        <v>0</v>
      </c>
      <c r="BP1326" s="991">
        <f>IF(AND(Input_Product=Elig!$C1326,Elig_MatchAll_Ct&lt;22,$BC1326=(Elig_MatchAll_Ct-1),AN1326=0),K1326,0)</f>
        <v>0</v>
      </c>
      <c r="BQ1326" s="991">
        <f>IF(AND(Input_Product=Elig!$C1326,Elig_MatchAll_Ct&lt;22,$BC1326=(Elig_MatchAll_Ct-1),AP1326=0),L1326,0)</f>
        <v>0</v>
      </c>
      <c r="BR1326" s="991">
        <f>IF(AND(Input_Product=Elig!$C1326,Elig_MatchAll_Ct&lt;22,$BC1326=(Elig_MatchAll_Ct-1),AO1326=0),M1326,0)</f>
        <v>0</v>
      </c>
      <c r="BS1326" s="991">
        <f>IF(AND(Input_Product=Elig!$C1326,Elig_MatchAll_Ct&lt;22,$BC1326=(Elig_MatchAll_Ct-1),AQ1326=0),N1326,0)</f>
        <v>0</v>
      </c>
      <c r="BT1326" s="991">
        <f>IF(AND(Input_Product=Elig!$C1326,Elig_MatchAll_Ct&lt;22,$BC1326=(Elig_MatchAll_Ct-1),AR1326=0),O1326,0)</f>
        <v>0</v>
      </c>
      <c r="BU1326" s="991">
        <f>IF(AND(Input_Product=Elig!$C1326,Elig_MatchAll_Ct&lt;22,$BC1326=(Elig_MatchAll_Ct-1),AS1326=0),P1326,0)</f>
        <v>0</v>
      </c>
      <c r="BV1326" s="992">
        <f>IF(AND(Input_Product=Elig!$C1326,Elig_MatchAll_Ct&lt;22,$BC1326=(Elig_MatchAll_Ct-1),AT1326=0),Q1326,0)</f>
        <v>0</v>
      </c>
      <c r="BW1326" s="993">
        <f>IF(AND(Input_Product=Elig!$C1326,Elig_MatchAll_Ct&lt;22,$BC1326=(Elig_MatchAll_Ct-1),AU1326=0),R1326,0)</f>
        <v>0</v>
      </c>
      <c r="BX1326" s="994">
        <f>IF(AND(Input_Product=Elig!$C1326,Elig_MatchAll_Ct&lt;22,$BC1326=(Elig_MatchAll_Ct-1),AU1326=0),S1326,0)</f>
        <v>0</v>
      </c>
      <c r="BY1326" s="993">
        <f>IF(AND(Input_Product=Elig!$C1326,Elig_MatchAll_Ct&lt;22,$BC1326=(Elig_MatchAll_Ct-1),AV1326=0),T1326,0)</f>
        <v>0</v>
      </c>
      <c r="BZ1326" s="994">
        <f>IF(AND(Input_Product=Elig!$C1326,Elig_MatchAll_Ct&lt;22,$BC1326=(Elig_MatchAll_Ct-1),AV1326=0),U1326,0)</f>
        <v>0</v>
      </c>
      <c r="CA1326" s="993">
        <f>IF(AND(Input_Product=Elig!$C1326,Elig_MatchAll_Ct&lt;22,$BC1326=(Elig_MatchAll_Ct-1),AW1326=0),V1326,0)</f>
        <v>0</v>
      </c>
      <c r="CB1326" s="994">
        <f>IF(AND(Input_Product=Elig!$C1326,Elig_MatchAll_Ct&lt;22,$BC1326=(Elig_MatchAll_Ct-1),AW1326=0),W1326,0)</f>
        <v>0</v>
      </c>
      <c r="CC1326" s="993">
        <f>IF(AND(Input_Product=Elig!$C1326,Elig_MatchAll_Ct&lt;22,$BC1326=(Elig_MatchAll_Ct-1),AX1326=0),X1326,0)</f>
        <v>0</v>
      </c>
      <c r="CD1326" s="994">
        <f>IF(AND(Input_Product=Elig!$C1326,Elig_MatchAll_Ct&lt;22,$BC1326=(Elig_MatchAll_Ct-1),AX1326=0),Y1326,0)</f>
        <v>0</v>
      </c>
      <c r="CE1326" s="993">
        <f>IF(AND(Input_LTV&lt;=AE1326,Input_Product=Elig!$C1326,Elig_MatchAll_Ct&lt;22,$BC1326=(Elig_MatchAll_Ct-1),AY1326=0),Z1326,0)</f>
        <v>0</v>
      </c>
      <c r="CF1326" s="994">
        <f>IF(AND(Input_LTV&lt;=AE1326,Input_Product=Elig!$C1326,Elig_MatchAll_Ct&lt;22,$BC1326=(Elig_MatchAll_Ct-1),AY1326=0),AA1326,0)</f>
        <v>0</v>
      </c>
      <c r="CG1326" s="993">
        <f>IF(AND(Input_Product=Elig!$C1326,Elig_MatchAll_Ct&lt;22,$BC1326=(Elig_MatchAll_Ct-1),AZ1326=0),AB1326,0)</f>
        <v>0</v>
      </c>
      <c r="CH1326" s="994">
        <f>IF(AND(Input_Product=Elig!$C1326,Elig_MatchAll_Ct&lt;22,$BC1326=(Elig_MatchAll_Ct-1),AZ1326=0),AC1326,0)</f>
        <v>0</v>
      </c>
      <c r="CI1326" s="993">
        <f>IF(AND(Input_Product=Elig!$C1326,Elig_MatchAll_Ct&lt;22,$BC1326=(Elig_MatchAll_Ct-1),BA1326=0),AD1326,0)</f>
        <v>0</v>
      </c>
      <c r="CJ1326" s="994">
        <f>IF(AND(Input_Product=Elig!$C1326,Elig_MatchAll_Ct&lt;22,$BC1326=(Elig_MatchAll_Ct-1),BA1326=0),AE1326,0)</f>
        <v>0</v>
      </c>
    </row>
    <row r="1327" spans="2:88" ht="10.15" customHeight="1" x14ac:dyDescent="0.25">
      <c r="B1327" s="1538" t="s">
        <v>2777</v>
      </c>
      <c r="C1327" s="1538" t="str">
        <f t="shared" si="472"/>
        <v xml:space="preserve">  OO</v>
      </c>
      <c r="D1327" s="1538" t="s">
        <v>2764</v>
      </c>
      <c r="E1327" s="1538" t="s">
        <v>167</v>
      </c>
      <c r="F1327" s="1538" t="s">
        <v>2765</v>
      </c>
      <c r="G1327" s="1538" t="s">
        <v>2766</v>
      </c>
      <c r="H1327" s="1538" t="s">
        <v>2767</v>
      </c>
      <c r="I1327" s="1539" t="s">
        <v>35</v>
      </c>
      <c r="J1327" s="1539" t="s">
        <v>1311</v>
      </c>
      <c r="K1327" s="1539" t="s">
        <v>3023</v>
      </c>
      <c r="L1327" s="1538" t="s">
        <v>2768</v>
      </c>
      <c r="M1327" s="1538" t="s">
        <v>2677</v>
      </c>
      <c r="N1327" s="1538" t="s">
        <v>2685</v>
      </c>
      <c r="O1327" s="1538" t="s">
        <v>310</v>
      </c>
      <c r="P1327" s="1538" t="s">
        <v>291</v>
      </c>
      <c r="Q1327" s="1538" t="s">
        <v>294</v>
      </c>
      <c r="R1327" s="1538">
        <v>1500000.01</v>
      </c>
      <c r="S1327" s="1538">
        <v>2000000</v>
      </c>
      <c r="T1327" s="1538">
        <v>0</v>
      </c>
      <c r="U1327" s="1538">
        <v>0</v>
      </c>
      <c r="V1327" s="1538">
        <v>0</v>
      </c>
      <c r="W1327" s="1538">
        <v>55</v>
      </c>
      <c r="X1327" s="1538">
        <v>0</v>
      </c>
      <c r="Y1327" s="1538">
        <v>0</v>
      </c>
      <c r="Z1327" s="1540">
        <v>700</v>
      </c>
      <c r="AA1327" s="1540">
        <v>719</v>
      </c>
      <c r="AB1327" s="1540">
        <v>6</v>
      </c>
      <c r="AC1327" s="1540">
        <v>999999</v>
      </c>
      <c r="AD1327" s="1538">
        <v>0</v>
      </c>
      <c r="AE1327" s="1545">
        <v>75</v>
      </c>
      <c r="AF1327" s="170">
        <v>0</v>
      </c>
      <c r="AG1327" s="171">
        <v>1</v>
      </c>
      <c r="AH1327" s="171">
        <v>1</v>
      </c>
      <c r="AI1327" s="171">
        <v>1</v>
      </c>
      <c r="AJ1327" s="171">
        <v>1</v>
      </c>
      <c r="AK1327" s="171">
        <v>1</v>
      </c>
      <c r="AL1327" s="171">
        <v>0</v>
      </c>
      <c r="AM1327" s="171">
        <v>1</v>
      </c>
      <c r="AN1327" s="171">
        <v>1</v>
      </c>
      <c r="AO1327" s="171">
        <v>1</v>
      </c>
      <c r="AP1327" s="171">
        <v>1</v>
      </c>
      <c r="AQ1327" s="171">
        <v>1</v>
      </c>
      <c r="AR1327" s="171">
        <v>1</v>
      </c>
      <c r="AS1327" s="171">
        <v>1</v>
      </c>
      <c r="AT1327" s="171">
        <v>1</v>
      </c>
      <c r="AU1327" s="171">
        <f t="shared" si="474"/>
        <v>0</v>
      </c>
      <c r="AV1327" s="171">
        <f t="shared" si="475"/>
        <v>0</v>
      </c>
      <c r="AW1327" s="171">
        <f t="shared" si="476"/>
        <v>1</v>
      </c>
      <c r="AX1327" s="171">
        <f t="shared" si="467"/>
        <v>1</v>
      </c>
      <c r="AY1327" s="171">
        <f t="shared" si="477"/>
        <v>0</v>
      </c>
      <c r="AZ1327" s="171">
        <f t="shared" si="478"/>
        <v>1</v>
      </c>
      <c r="BA1327" s="172">
        <f t="shared" si="479"/>
        <v>1</v>
      </c>
      <c r="BB1327" s="175">
        <f t="shared" si="454"/>
        <v>17</v>
      </c>
      <c r="BC1327" s="176">
        <f t="shared" si="455"/>
        <v>16</v>
      </c>
      <c r="BD1327" s="176">
        <f t="shared" si="456"/>
        <v>17</v>
      </c>
      <c r="BE1327" s="240" t="str">
        <f t="shared" si="473"/>
        <v/>
      </c>
      <c r="BF1327" s="990"/>
      <c r="BG1327" s="990"/>
      <c r="BH1327" s="991">
        <f>IF(AND(Input_Product=Elig!$C1327,Elig_MatchAll_Ct&lt;22,$BC1327=(Elig_MatchAll_Ct-1),AF1327=0),C1327,0)</f>
        <v>0</v>
      </c>
      <c r="BI1327" s="991">
        <f>IF(AND(Input_Product=Elig!$C1327,Elig_MatchAll_Ct&lt;22,$BC1327=(Elig_MatchAll_Ct-1),AG1327=0),D1327,0)</f>
        <v>0</v>
      </c>
      <c r="BJ1327" s="991">
        <f>IF(AND(Input_Product=Elig!$C1327,Elig_MatchAll_Ct&lt;22,$BC1327=(Elig_MatchAll_Ct-1),AH1327=0),E1327,0)</f>
        <v>0</v>
      </c>
      <c r="BK1327" s="991">
        <f>IF(AND(Input_Product=Elig!$C1327,Elig_MatchAll_Ct&lt;22,$BC1327=(Elig_MatchAll_Ct-1),AI1327=0),F1327,0)</f>
        <v>0</v>
      </c>
      <c r="BL1327" s="991">
        <f>IF(AND(Input_Product=Elig!$C1327,Elig_MatchAll_Ct&lt;22,$BC1327=(Elig_MatchAll_Ct-1),AJ1327=0),G1327,0)</f>
        <v>0</v>
      </c>
      <c r="BM1327" s="991">
        <f>IF(AND(Input_Product=Elig!$C1327,Elig_MatchAll_Ct&lt;22,$BC1327=(Elig_MatchAll_Ct-1),AK1327=0),H1327,0)</f>
        <v>0</v>
      </c>
      <c r="BN1327" s="991">
        <f>IF(AND(Input_Product=Elig!$C1327,Elig_MatchAll_Ct&lt;22,$BC1327=(Elig_MatchAll_Ct-1),AL1327=0),I1327,0)</f>
        <v>0</v>
      </c>
      <c r="BO1327" s="991">
        <f>IF(AND(Input_Product=Elig!$C1327,Elig_MatchAll_Ct&lt;22,$BC1327=(Elig_MatchAll_Ct-1),AM1327=0),J1327,0)</f>
        <v>0</v>
      </c>
      <c r="BP1327" s="991">
        <f>IF(AND(Input_Product=Elig!$C1327,Elig_MatchAll_Ct&lt;22,$BC1327=(Elig_MatchAll_Ct-1),AN1327=0),K1327,0)</f>
        <v>0</v>
      </c>
      <c r="BQ1327" s="991">
        <f>IF(AND(Input_Product=Elig!$C1327,Elig_MatchAll_Ct&lt;22,$BC1327=(Elig_MatchAll_Ct-1),AP1327=0),L1327,0)</f>
        <v>0</v>
      </c>
      <c r="BR1327" s="991">
        <f>IF(AND(Input_Product=Elig!$C1327,Elig_MatchAll_Ct&lt;22,$BC1327=(Elig_MatchAll_Ct-1),AO1327=0),M1327,0)</f>
        <v>0</v>
      </c>
      <c r="BS1327" s="991">
        <f>IF(AND(Input_Product=Elig!$C1327,Elig_MatchAll_Ct&lt;22,$BC1327=(Elig_MatchAll_Ct-1),AQ1327=0),N1327,0)</f>
        <v>0</v>
      </c>
      <c r="BT1327" s="991">
        <f>IF(AND(Input_Product=Elig!$C1327,Elig_MatchAll_Ct&lt;22,$BC1327=(Elig_MatchAll_Ct-1),AR1327=0),O1327,0)</f>
        <v>0</v>
      </c>
      <c r="BU1327" s="991">
        <f>IF(AND(Input_Product=Elig!$C1327,Elig_MatchAll_Ct&lt;22,$BC1327=(Elig_MatchAll_Ct-1),AS1327=0),P1327,0)</f>
        <v>0</v>
      </c>
      <c r="BV1327" s="992">
        <f>IF(AND(Input_Product=Elig!$C1327,Elig_MatchAll_Ct&lt;22,$BC1327=(Elig_MatchAll_Ct-1),AT1327=0),Q1327,0)</f>
        <v>0</v>
      </c>
      <c r="BW1327" s="993">
        <f>IF(AND(Input_Product=Elig!$C1327,Elig_MatchAll_Ct&lt;22,$BC1327=(Elig_MatchAll_Ct-1),AU1327=0),R1327,0)</f>
        <v>0</v>
      </c>
      <c r="BX1327" s="994">
        <f>IF(AND(Input_Product=Elig!$C1327,Elig_MatchAll_Ct&lt;22,$BC1327=(Elig_MatchAll_Ct-1),AU1327=0),S1327,0)</f>
        <v>0</v>
      </c>
      <c r="BY1327" s="993">
        <f>IF(AND(Input_Product=Elig!$C1327,Elig_MatchAll_Ct&lt;22,$BC1327=(Elig_MatchAll_Ct-1),AV1327=0),T1327,0)</f>
        <v>0</v>
      </c>
      <c r="BZ1327" s="994">
        <f>IF(AND(Input_Product=Elig!$C1327,Elig_MatchAll_Ct&lt;22,$BC1327=(Elig_MatchAll_Ct-1),AV1327=0),U1327,0)</f>
        <v>0</v>
      </c>
      <c r="CA1327" s="993">
        <f>IF(AND(Input_Product=Elig!$C1327,Elig_MatchAll_Ct&lt;22,$BC1327=(Elig_MatchAll_Ct-1),AW1327=0),V1327,0)</f>
        <v>0</v>
      </c>
      <c r="CB1327" s="994">
        <f>IF(AND(Input_Product=Elig!$C1327,Elig_MatchAll_Ct&lt;22,$BC1327=(Elig_MatchAll_Ct-1),AW1327=0),W1327,0)</f>
        <v>0</v>
      </c>
      <c r="CC1327" s="993">
        <f>IF(AND(Input_Product=Elig!$C1327,Elig_MatchAll_Ct&lt;22,$BC1327=(Elig_MatchAll_Ct-1),AX1327=0),X1327,0)</f>
        <v>0</v>
      </c>
      <c r="CD1327" s="994">
        <f>IF(AND(Input_Product=Elig!$C1327,Elig_MatchAll_Ct&lt;22,$BC1327=(Elig_MatchAll_Ct-1),AX1327=0),Y1327,0)</f>
        <v>0</v>
      </c>
      <c r="CE1327" s="993">
        <f>IF(AND(Input_LTV&lt;=AE1327,Input_Product=Elig!$C1327,Elig_MatchAll_Ct&lt;22,$BC1327=(Elig_MatchAll_Ct-1),AY1327=0),Z1327,0)</f>
        <v>0</v>
      </c>
      <c r="CF1327" s="994">
        <f>IF(AND(Input_LTV&lt;=AE1327,Input_Product=Elig!$C1327,Elig_MatchAll_Ct&lt;22,$BC1327=(Elig_MatchAll_Ct-1),AY1327=0),AA1327,0)</f>
        <v>0</v>
      </c>
      <c r="CG1327" s="993">
        <f>IF(AND(Input_Product=Elig!$C1327,Elig_MatchAll_Ct&lt;22,$BC1327=(Elig_MatchAll_Ct-1),AZ1327=0),AB1327,0)</f>
        <v>0</v>
      </c>
      <c r="CH1327" s="994">
        <f>IF(AND(Input_Product=Elig!$C1327,Elig_MatchAll_Ct&lt;22,$BC1327=(Elig_MatchAll_Ct-1),AZ1327=0),AC1327,0)</f>
        <v>0</v>
      </c>
      <c r="CI1327" s="993">
        <f>IF(AND(Input_Product=Elig!$C1327,Elig_MatchAll_Ct&lt;22,$BC1327=(Elig_MatchAll_Ct-1),BA1327=0),AD1327,0)</f>
        <v>0</v>
      </c>
      <c r="CJ1327" s="994">
        <f>IF(AND(Input_Product=Elig!$C1327,Elig_MatchAll_Ct&lt;22,$BC1327=(Elig_MatchAll_Ct-1),BA1327=0),AE1327,0)</f>
        <v>0</v>
      </c>
    </row>
    <row r="1328" spans="2:88" ht="10.15" customHeight="1" x14ac:dyDescent="0.25">
      <c r="B1328" s="1538" t="s">
        <v>2778</v>
      </c>
      <c r="C1328" s="1538" t="str">
        <f t="shared" ref="C1328:C1358" si="480">Input_Name_Product16&amp;" OO"</f>
        <v xml:space="preserve">  OO</v>
      </c>
      <c r="D1328" s="1538" t="s">
        <v>2764</v>
      </c>
      <c r="E1328" s="1538" t="s">
        <v>167</v>
      </c>
      <c r="F1328" s="1538" t="s">
        <v>2765</v>
      </c>
      <c r="G1328" s="1538" t="s">
        <v>2766</v>
      </c>
      <c r="H1328" s="1538" t="s">
        <v>2767</v>
      </c>
      <c r="I1328" s="1539" t="s">
        <v>35</v>
      </c>
      <c r="J1328" s="1539" t="s">
        <v>1311</v>
      </c>
      <c r="K1328" s="1539" t="s">
        <v>3023</v>
      </c>
      <c r="L1328" s="1538" t="s">
        <v>2768</v>
      </c>
      <c r="M1328" s="1538" t="s">
        <v>2677</v>
      </c>
      <c r="N1328" s="1538" t="s">
        <v>2685</v>
      </c>
      <c r="O1328" s="1538" t="s">
        <v>310</v>
      </c>
      <c r="P1328" s="1538" t="s">
        <v>291</v>
      </c>
      <c r="Q1328" s="1538" t="s">
        <v>294</v>
      </c>
      <c r="R1328" s="1538">
        <v>2000000.01</v>
      </c>
      <c r="S1328" s="1538">
        <v>2500000</v>
      </c>
      <c r="T1328" s="1538">
        <v>0</v>
      </c>
      <c r="U1328" s="1538">
        <v>0</v>
      </c>
      <c r="V1328" s="1538">
        <v>0</v>
      </c>
      <c r="W1328" s="1538">
        <v>55</v>
      </c>
      <c r="X1328" s="1538">
        <v>0</v>
      </c>
      <c r="Y1328" s="1538">
        <v>0</v>
      </c>
      <c r="Z1328" s="1540">
        <v>700</v>
      </c>
      <c r="AA1328" s="1540">
        <v>719</v>
      </c>
      <c r="AB1328" s="1540">
        <v>6</v>
      </c>
      <c r="AC1328" s="1540">
        <v>999999</v>
      </c>
      <c r="AD1328" s="1538">
        <v>0</v>
      </c>
      <c r="AE1328" s="1545">
        <v>70</v>
      </c>
      <c r="AF1328" s="170">
        <v>0</v>
      </c>
      <c r="AG1328" s="171">
        <v>1</v>
      </c>
      <c r="AH1328" s="171">
        <v>1</v>
      </c>
      <c r="AI1328" s="171">
        <v>1</v>
      </c>
      <c r="AJ1328" s="171">
        <v>1</v>
      </c>
      <c r="AK1328" s="171">
        <v>1</v>
      </c>
      <c r="AL1328" s="171">
        <v>0</v>
      </c>
      <c r="AM1328" s="171">
        <v>1</v>
      </c>
      <c r="AN1328" s="171">
        <v>1</v>
      </c>
      <c r="AO1328" s="171">
        <v>1</v>
      </c>
      <c r="AP1328" s="171">
        <v>1</v>
      </c>
      <c r="AQ1328" s="171">
        <v>1</v>
      </c>
      <c r="AR1328" s="171">
        <v>1</v>
      </c>
      <c r="AS1328" s="171">
        <v>1</v>
      </c>
      <c r="AT1328" s="171">
        <v>1</v>
      </c>
      <c r="AU1328" s="171">
        <f t="shared" si="474"/>
        <v>0</v>
      </c>
      <c r="AV1328" s="171">
        <f t="shared" si="475"/>
        <v>0</v>
      </c>
      <c r="AW1328" s="171">
        <f t="shared" si="476"/>
        <v>1</v>
      </c>
      <c r="AX1328" s="171">
        <f t="shared" si="467"/>
        <v>1</v>
      </c>
      <c r="AY1328" s="171">
        <f t="shared" si="477"/>
        <v>0</v>
      </c>
      <c r="AZ1328" s="171">
        <f t="shared" si="478"/>
        <v>1</v>
      </c>
      <c r="BA1328" s="172">
        <f t="shared" si="479"/>
        <v>1</v>
      </c>
      <c r="BB1328" s="175">
        <f t="shared" si="454"/>
        <v>17</v>
      </c>
      <c r="BC1328" s="176">
        <f t="shared" si="455"/>
        <v>16</v>
      </c>
      <c r="BD1328" s="176">
        <f t="shared" si="456"/>
        <v>17</v>
      </c>
      <c r="BE1328" s="240" t="str">
        <f t="shared" si="473"/>
        <v/>
      </c>
      <c r="BF1328" s="990"/>
      <c r="BG1328" s="990"/>
      <c r="BH1328" s="991">
        <f>IF(AND(Input_Product=Elig!$C1328,Elig_MatchAll_Ct&lt;22,$BC1328=(Elig_MatchAll_Ct-1),AF1328=0),C1328,0)</f>
        <v>0</v>
      </c>
      <c r="BI1328" s="991">
        <f>IF(AND(Input_Product=Elig!$C1328,Elig_MatchAll_Ct&lt;22,$BC1328=(Elig_MatchAll_Ct-1),AG1328=0),D1328,0)</f>
        <v>0</v>
      </c>
      <c r="BJ1328" s="991">
        <f>IF(AND(Input_Product=Elig!$C1328,Elig_MatchAll_Ct&lt;22,$BC1328=(Elig_MatchAll_Ct-1),AH1328=0),E1328,0)</f>
        <v>0</v>
      </c>
      <c r="BK1328" s="991">
        <f>IF(AND(Input_Product=Elig!$C1328,Elig_MatchAll_Ct&lt;22,$BC1328=(Elig_MatchAll_Ct-1),AI1328=0),F1328,0)</f>
        <v>0</v>
      </c>
      <c r="BL1328" s="991">
        <f>IF(AND(Input_Product=Elig!$C1328,Elig_MatchAll_Ct&lt;22,$BC1328=(Elig_MatchAll_Ct-1),AJ1328=0),G1328,0)</f>
        <v>0</v>
      </c>
      <c r="BM1328" s="991">
        <f>IF(AND(Input_Product=Elig!$C1328,Elig_MatchAll_Ct&lt;22,$BC1328=(Elig_MatchAll_Ct-1),AK1328=0),H1328,0)</f>
        <v>0</v>
      </c>
      <c r="BN1328" s="991">
        <f>IF(AND(Input_Product=Elig!$C1328,Elig_MatchAll_Ct&lt;22,$BC1328=(Elig_MatchAll_Ct-1),AL1328=0),I1328,0)</f>
        <v>0</v>
      </c>
      <c r="BO1328" s="991">
        <f>IF(AND(Input_Product=Elig!$C1328,Elig_MatchAll_Ct&lt;22,$BC1328=(Elig_MatchAll_Ct-1),AM1328=0),J1328,0)</f>
        <v>0</v>
      </c>
      <c r="BP1328" s="991">
        <f>IF(AND(Input_Product=Elig!$C1328,Elig_MatchAll_Ct&lt;22,$BC1328=(Elig_MatchAll_Ct-1),AN1328=0),K1328,0)</f>
        <v>0</v>
      </c>
      <c r="BQ1328" s="991">
        <f>IF(AND(Input_Product=Elig!$C1328,Elig_MatchAll_Ct&lt;22,$BC1328=(Elig_MatchAll_Ct-1),AP1328=0),L1328,0)</f>
        <v>0</v>
      </c>
      <c r="BR1328" s="991">
        <f>IF(AND(Input_Product=Elig!$C1328,Elig_MatchAll_Ct&lt;22,$BC1328=(Elig_MatchAll_Ct-1),AO1328=0),M1328,0)</f>
        <v>0</v>
      </c>
      <c r="BS1328" s="991">
        <f>IF(AND(Input_Product=Elig!$C1328,Elig_MatchAll_Ct&lt;22,$BC1328=(Elig_MatchAll_Ct-1),AQ1328=0),N1328,0)</f>
        <v>0</v>
      </c>
      <c r="BT1328" s="991">
        <f>IF(AND(Input_Product=Elig!$C1328,Elig_MatchAll_Ct&lt;22,$BC1328=(Elig_MatchAll_Ct-1),AR1328=0),O1328,0)</f>
        <v>0</v>
      </c>
      <c r="BU1328" s="991">
        <f>IF(AND(Input_Product=Elig!$C1328,Elig_MatchAll_Ct&lt;22,$BC1328=(Elig_MatchAll_Ct-1),AS1328=0),P1328,0)</f>
        <v>0</v>
      </c>
      <c r="BV1328" s="992">
        <f>IF(AND(Input_Product=Elig!$C1328,Elig_MatchAll_Ct&lt;22,$BC1328=(Elig_MatchAll_Ct-1),AT1328=0),Q1328,0)</f>
        <v>0</v>
      </c>
      <c r="BW1328" s="993">
        <f>IF(AND(Input_Product=Elig!$C1328,Elig_MatchAll_Ct&lt;22,$BC1328=(Elig_MatchAll_Ct-1),AU1328=0),R1328,0)</f>
        <v>0</v>
      </c>
      <c r="BX1328" s="994">
        <f>IF(AND(Input_Product=Elig!$C1328,Elig_MatchAll_Ct&lt;22,$BC1328=(Elig_MatchAll_Ct-1),AU1328=0),S1328,0)</f>
        <v>0</v>
      </c>
      <c r="BY1328" s="993">
        <f>IF(AND(Input_Product=Elig!$C1328,Elig_MatchAll_Ct&lt;22,$BC1328=(Elig_MatchAll_Ct-1),AV1328=0),T1328,0)</f>
        <v>0</v>
      </c>
      <c r="BZ1328" s="994">
        <f>IF(AND(Input_Product=Elig!$C1328,Elig_MatchAll_Ct&lt;22,$BC1328=(Elig_MatchAll_Ct-1),AV1328=0),U1328,0)</f>
        <v>0</v>
      </c>
      <c r="CA1328" s="993">
        <f>IF(AND(Input_Product=Elig!$C1328,Elig_MatchAll_Ct&lt;22,$BC1328=(Elig_MatchAll_Ct-1),AW1328=0),V1328,0)</f>
        <v>0</v>
      </c>
      <c r="CB1328" s="994">
        <f>IF(AND(Input_Product=Elig!$C1328,Elig_MatchAll_Ct&lt;22,$BC1328=(Elig_MatchAll_Ct-1),AW1328=0),W1328,0)</f>
        <v>0</v>
      </c>
      <c r="CC1328" s="993">
        <f>IF(AND(Input_Product=Elig!$C1328,Elig_MatchAll_Ct&lt;22,$BC1328=(Elig_MatchAll_Ct-1),AX1328=0),X1328,0)</f>
        <v>0</v>
      </c>
      <c r="CD1328" s="994">
        <f>IF(AND(Input_Product=Elig!$C1328,Elig_MatchAll_Ct&lt;22,$BC1328=(Elig_MatchAll_Ct-1),AX1328=0),Y1328,0)</f>
        <v>0</v>
      </c>
      <c r="CE1328" s="993">
        <f>IF(AND(Input_LTV&lt;=AE1328,Input_Product=Elig!$C1328,Elig_MatchAll_Ct&lt;22,$BC1328=(Elig_MatchAll_Ct-1),AY1328=0),Z1328,0)</f>
        <v>0</v>
      </c>
      <c r="CF1328" s="994">
        <f>IF(AND(Input_LTV&lt;=AE1328,Input_Product=Elig!$C1328,Elig_MatchAll_Ct&lt;22,$BC1328=(Elig_MatchAll_Ct-1),AY1328=0),AA1328,0)</f>
        <v>0</v>
      </c>
      <c r="CG1328" s="993">
        <f>IF(AND(Input_Product=Elig!$C1328,Elig_MatchAll_Ct&lt;22,$BC1328=(Elig_MatchAll_Ct-1),AZ1328=0),AB1328,0)</f>
        <v>0</v>
      </c>
      <c r="CH1328" s="994">
        <f>IF(AND(Input_Product=Elig!$C1328,Elig_MatchAll_Ct&lt;22,$BC1328=(Elig_MatchAll_Ct-1),AZ1328=0),AC1328,0)</f>
        <v>0</v>
      </c>
      <c r="CI1328" s="993">
        <f>IF(AND(Input_Product=Elig!$C1328,Elig_MatchAll_Ct&lt;22,$BC1328=(Elig_MatchAll_Ct-1),BA1328=0),AD1328,0)</f>
        <v>0</v>
      </c>
      <c r="CJ1328" s="994">
        <f>IF(AND(Input_Product=Elig!$C1328,Elig_MatchAll_Ct&lt;22,$BC1328=(Elig_MatchAll_Ct-1),BA1328=0),AE1328,0)</f>
        <v>0</v>
      </c>
    </row>
    <row r="1329" spans="2:88" ht="10.15" customHeight="1" x14ac:dyDescent="0.25">
      <c r="B1329" s="1538" t="s">
        <v>2779</v>
      </c>
      <c r="C1329" s="1538" t="str">
        <f t="shared" si="480"/>
        <v xml:space="preserve">  OO</v>
      </c>
      <c r="D1329" s="1538" t="s">
        <v>2764</v>
      </c>
      <c r="E1329" s="1538" t="s">
        <v>167</v>
      </c>
      <c r="F1329" s="1538" t="s">
        <v>2765</v>
      </c>
      <c r="G1329" s="1538" t="s">
        <v>2766</v>
      </c>
      <c r="H1329" s="1538" t="s">
        <v>2767</v>
      </c>
      <c r="I1329" s="1539" t="s">
        <v>35</v>
      </c>
      <c r="J1329" s="1539" t="s">
        <v>1311</v>
      </c>
      <c r="K1329" s="1539" t="s">
        <v>3023</v>
      </c>
      <c r="L1329" s="1538" t="s">
        <v>2768</v>
      </c>
      <c r="M1329" s="1538" t="s">
        <v>2677</v>
      </c>
      <c r="N1329" s="1538" t="s">
        <v>2685</v>
      </c>
      <c r="O1329" s="1538" t="s">
        <v>310</v>
      </c>
      <c r="P1329" s="1538" t="s">
        <v>291</v>
      </c>
      <c r="Q1329" s="1538" t="s">
        <v>294</v>
      </c>
      <c r="R1329" s="1538">
        <v>2500000.0099999998</v>
      </c>
      <c r="S1329" s="1538">
        <v>3000000</v>
      </c>
      <c r="T1329" s="1538">
        <v>0</v>
      </c>
      <c r="U1329" s="1538">
        <v>0</v>
      </c>
      <c r="V1329" s="1538">
        <v>0</v>
      </c>
      <c r="W1329" s="1538">
        <v>55</v>
      </c>
      <c r="X1329" s="1538">
        <v>0</v>
      </c>
      <c r="Y1329" s="1538">
        <v>0</v>
      </c>
      <c r="Z1329" s="1540">
        <v>700</v>
      </c>
      <c r="AA1329" s="1540">
        <v>719</v>
      </c>
      <c r="AB1329" s="1540">
        <v>6</v>
      </c>
      <c r="AC1329" s="1540">
        <v>999999</v>
      </c>
      <c r="AD1329" s="1538">
        <v>0</v>
      </c>
      <c r="AE1329" s="1545">
        <v>70</v>
      </c>
      <c r="AF1329" s="170">
        <v>0</v>
      </c>
      <c r="AG1329" s="171">
        <v>1</v>
      </c>
      <c r="AH1329" s="171">
        <v>1</v>
      </c>
      <c r="AI1329" s="171">
        <v>1</v>
      </c>
      <c r="AJ1329" s="171">
        <v>1</v>
      </c>
      <c r="AK1329" s="171">
        <v>1</v>
      </c>
      <c r="AL1329" s="171">
        <v>0</v>
      </c>
      <c r="AM1329" s="171">
        <v>1</v>
      </c>
      <c r="AN1329" s="171">
        <v>1</v>
      </c>
      <c r="AO1329" s="171">
        <v>1</v>
      </c>
      <c r="AP1329" s="171">
        <v>1</v>
      </c>
      <c r="AQ1329" s="171">
        <v>1</v>
      </c>
      <c r="AR1329" s="171">
        <v>1</v>
      </c>
      <c r="AS1329" s="171">
        <v>1</v>
      </c>
      <c r="AT1329" s="171">
        <v>1</v>
      </c>
      <c r="AU1329" s="171">
        <f t="shared" si="474"/>
        <v>0</v>
      </c>
      <c r="AV1329" s="171">
        <f t="shared" si="475"/>
        <v>0</v>
      </c>
      <c r="AW1329" s="171">
        <f t="shared" si="476"/>
        <v>1</v>
      </c>
      <c r="AX1329" s="171">
        <f t="shared" si="467"/>
        <v>1</v>
      </c>
      <c r="AY1329" s="171">
        <f t="shared" si="477"/>
        <v>0</v>
      </c>
      <c r="AZ1329" s="171">
        <f t="shared" si="478"/>
        <v>1</v>
      </c>
      <c r="BA1329" s="172">
        <f t="shared" si="479"/>
        <v>1</v>
      </c>
      <c r="BB1329" s="175">
        <f t="shared" si="454"/>
        <v>17</v>
      </c>
      <c r="BC1329" s="176">
        <f t="shared" si="455"/>
        <v>16</v>
      </c>
      <c r="BD1329" s="176">
        <f t="shared" si="456"/>
        <v>17</v>
      </c>
      <c r="BE1329" s="240" t="str">
        <f t="shared" si="473"/>
        <v/>
      </c>
      <c r="BF1329" s="990"/>
      <c r="BG1329" s="990"/>
      <c r="BH1329" s="991">
        <f>IF(AND(Input_Product=Elig!$C1329,Elig_MatchAll_Ct&lt;22,$BC1329=(Elig_MatchAll_Ct-1),AF1329=0),C1329,0)</f>
        <v>0</v>
      </c>
      <c r="BI1329" s="991">
        <f>IF(AND(Input_Product=Elig!$C1329,Elig_MatchAll_Ct&lt;22,$BC1329=(Elig_MatchAll_Ct-1),AG1329=0),D1329,0)</f>
        <v>0</v>
      </c>
      <c r="BJ1329" s="991">
        <f>IF(AND(Input_Product=Elig!$C1329,Elig_MatchAll_Ct&lt;22,$BC1329=(Elig_MatchAll_Ct-1),AH1329=0),E1329,0)</f>
        <v>0</v>
      </c>
      <c r="BK1329" s="991">
        <f>IF(AND(Input_Product=Elig!$C1329,Elig_MatchAll_Ct&lt;22,$BC1329=(Elig_MatchAll_Ct-1),AI1329=0),F1329,0)</f>
        <v>0</v>
      </c>
      <c r="BL1329" s="991">
        <f>IF(AND(Input_Product=Elig!$C1329,Elig_MatchAll_Ct&lt;22,$BC1329=(Elig_MatchAll_Ct-1),AJ1329=0),G1329,0)</f>
        <v>0</v>
      </c>
      <c r="BM1329" s="991">
        <f>IF(AND(Input_Product=Elig!$C1329,Elig_MatchAll_Ct&lt;22,$BC1329=(Elig_MatchAll_Ct-1),AK1329=0),H1329,0)</f>
        <v>0</v>
      </c>
      <c r="BN1329" s="991">
        <f>IF(AND(Input_Product=Elig!$C1329,Elig_MatchAll_Ct&lt;22,$BC1329=(Elig_MatchAll_Ct-1),AL1329=0),I1329,0)</f>
        <v>0</v>
      </c>
      <c r="BO1329" s="991">
        <f>IF(AND(Input_Product=Elig!$C1329,Elig_MatchAll_Ct&lt;22,$BC1329=(Elig_MatchAll_Ct-1),AM1329=0),J1329,0)</f>
        <v>0</v>
      </c>
      <c r="BP1329" s="991">
        <f>IF(AND(Input_Product=Elig!$C1329,Elig_MatchAll_Ct&lt;22,$BC1329=(Elig_MatchAll_Ct-1),AN1329=0),K1329,0)</f>
        <v>0</v>
      </c>
      <c r="BQ1329" s="991">
        <f>IF(AND(Input_Product=Elig!$C1329,Elig_MatchAll_Ct&lt;22,$BC1329=(Elig_MatchAll_Ct-1),AP1329=0),L1329,0)</f>
        <v>0</v>
      </c>
      <c r="BR1329" s="991">
        <f>IF(AND(Input_Product=Elig!$C1329,Elig_MatchAll_Ct&lt;22,$BC1329=(Elig_MatchAll_Ct-1),AO1329=0),M1329,0)</f>
        <v>0</v>
      </c>
      <c r="BS1329" s="991">
        <f>IF(AND(Input_Product=Elig!$C1329,Elig_MatchAll_Ct&lt;22,$BC1329=(Elig_MatchAll_Ct-1),AQ1329=0),N1329,0)</f>
        <v>0</v>
      </c>
      <c r="BT1329" s="991">
        <f>IF(AND(Input_Product=Elig!$C1329,Elig_MatchAll_Ct&lt;22,$BC1329=(Elig_MatchAll_Ct-1),AR1329=0),O1329,0)</f>
        <v>0</v>
      </c>
      <c r="BU1329" s="991">
        <f>IF(AND(Input_Product=Elig!$C1329,Elig_MatchAll_Ct&lt;22,$BC1329=(Elig_MatchAll_Ct-1),AS1329=0),P1329,0)</f>
        <v>0</v>
      </c>
      <c r="BV1329" s="992">
        <f>IF(AND(Input_Product=Elig!$C1329,Elig_MatchAll_Ct&lt;22,$BC1329=(Elig_MatchAll_Ct-1),AT1329=0),Q1329,0)</f>
        <v>0</v>
      </c>
      <c r="BW1329" s="993">
        <f>IF(AND(Input_Product=Elig!$C1329,Elig_MatchAll_Ct&lt;22,$BC1329=(Elig_MatchAll_Ct-1),AU1329=0),R1329,0)</f>
        <v>0</v>
      </c>
      <c r="BX1329" s="994">
        <f>IF(AND(Input_Product=Elig!$C1329,Elig_MatchAll_Ct&lt;22,$BC1329=(Elig_MatchAll_Ct-1),AU1329=0),S1329,0)</f>
        <v>0</v>
      </c>
      <c r="BY1329" s="993">
        <f>IF(AND(Input_Product=Elig!$C1329,Elig_MatchAll_Ct&lt;22,$BC1329=(Elig_MatchAll_Ct-1),AV1329=0),T1329,0)</f>
        <v>0</v>
      </c>
      <c r="BZ1329" s="994">
        <f>IF(AND(Input_Product=Elig!$C1329,Elig_MatchAll_Ct&lt;22,$BC1329=(Elig_MatchAll_Ct-1),AV1329=0),U1329,0)</f>
        <v>0</v>
      </c>
      <c r="CA1329" s="993">
        <f>IF(AND(Input_Product=Elig!$C1329,Elig_MatchAll_Ct&lt;22,$BC1329=(Elig_MatchAll_Ct-1),AW1329=0),V1329,0)</f>
        <v>0</v>
      </c>
      <c r="CB1329" s="994">
        <f>IF(AND(Input_Product=Elig!$C1329,Elig_MatchAll_Ct&lt;22,$BC1329=(Elig_MatchAll_Ct-1),AW1329=0),W1329,0)</f>
        <v>0</v>
      </c>
      <c r="CC1329" s="993">
        <f>IF(AND(Input_Product=Elig!$C1329,Elig_MatchAll_Ct&lt;22,$BC1329=(Elig_MatchAll_Ct-1),AX1329=0),X1329,0)</f>
        <v>0</v>
      </c>
      <c r="CD1329" s="994">
        <f>IF(AND(Input_Product=Elig!$C1329,Elig_MatchAll_Ct&lt;22,$BC1329=(Elig_MatchAll_Ct-1),AX1329=0),Y1329,0)</f>
        <v>0</v>
      </c>
      <c r="CE1329" s="993">
        <f>IF(AND(Input_LTV&lt;=AE1329,Input_Product=Elig!$C1329,Elig_MatchAll_Ct&lt;22,$BC1329=(Elig_MatchAll_Ct-1),AY1329=0),Z1329,0)</f>
        <v>0</v>
      </c>
      <c r="CF1329" s="994">
        <f>IF(AND(Input_LTV&lt;=AE1329,Input_Product=Elig!$C1329,Elig_MatchAll_Ct&lt;22,$BC1329=(Elig_MatchAll_Ct-1),AY1329=0),AA1329,0)</f>
        <v>0</v>
      </c>
      <c r="CG1329" s="993">
        <f>IF(AND(Input_Product=Elig!$C1329,Elig_MatchAll_Ct&lt;22,$BC1329=(Elig_MatchAll_Ct-1),AZ1329=0),AB1329,0)</f>
        <v>0</v>
      </c>
      <c r="CH1329" s="994">
        <f>IF(AND(Input_Product=Elig!$C1329,Elig_MatchAll_Ct&lt;22,$BC1329=(Elig_MatchAll_Ct-1),AZ1329=0),AC1329,0)</f>
        <v>0</v>
      </c>
      <c r="CI1329" s="993">
        <f>IF(AND(Input_Product=Elig!$C1329,Elig_MatchAll_Ct&lt;22,$BC1329=(Elig_MatchAll_Ct-1),BA1329=0),AD1329,0)</f>
        <v>0</v>
      </c>
      <c r="CJ1329" s="994">
        <f>IF(AND(Input_Product=Elig!$C1329,Elig_MatchAll_Ct&lt;22,$BC1329=(Elig_MatchAll_Ct-1),BA1329=0),AE1329,0)</f>
        <v>0</v>
      </c>
    </row>
    <row r="1330" spans="2:88" ht="10.15" customHeight="1" x14ac:dyDescent="0.25">
      <c r="B1330" s="1538" t="s">
        <v>2780</v>
      </c>
      <c r="C1330" s="1538" t="str">
        <f t="shared" si="480"/>
        <v xml:space="preserve">  OO</v>
      </c>
      <c r="D1330" s="1538" t="s">
        <v>2764</v>
      </c>
      <c r="E1330" s="1538" t="s">
        <v>167</v>
      </c>
      <c r="F1330" s="1538" t="s">
        <v>2765</v>
      </c>
      <c r="G1330" s="1538" t="s">
        <v>2766</v>
      </c>
      <c r="H1330" s="1538" t="s">
        <v>2767</v>
      </c>
      <c r="I1330" s="1539" t="s">
        <v>35</v>
      </c>
      <c r="J1330" s="1539" t="s">
        <v>1311</v>
      </c>
      <c r="K1330" s="1539" t="s">
        <v>3023</v>
      </c>
      <c r="L1330" s="1538" t="s">
        <v>2768</v>
      </c>
      <c r="M1330" s="1538" t="s">
        <v>2677</v>
      </c>
      <c r="N1330" s="1538" t="s">
        <v>2685</v>
      </c>
      <c r="O1330" s="1538" t="s">
        <v>310</v>
      </c>
      <c r="P1330" s="1538" t="s">
        <v>291</v>
      </c>
      <c r="Q1330" s="1538" t="s">
        <v>294</v>
      </c>
      <c r="R1330" s="1538">
        <v>3000000.01</v>
      </c>
      <c r="S1330" s="1538">
        <v>3500000</v>
      </c>
      <c r="T1330" s="1538">
        <v>0</v>
      </c>
      <c r="U1330" s="1538">
        <v>0</v>
      </c>
      <c r="V1330" s="1538">
        <v>0</v>
      </c>
      <c r="W1330" s="1538">
        <v>55</v>
      </c>
      <c r="X1330" s="1538">
        <v>0</v>
      </c>
      <c r="Y1330" s="1538">
        <v>0</v>
      </c>
      <c r="Z1330" s="1540">
        <v>700</v>
      </c>
      <c r="AA1330" s="1540">
        <v>719</v>
      </c>
      <c r="AB1330" s="1540">
        <v>6</v>
      </c>
      <c r="AC1330" s="1540">
        <v>999999</v>
      </c>
      <c r="AD1330" s="1538">
        <v>0</v>
      </c>
      <c r="AE1330" s="1545">
        <v>65</v>
      </c>
      <c r="AF1330" s="170">
        <v>0</v>
      </c>
      <c r="AG1330" s="171">
        <v>1</v>
      </c>
      <c r="AH1330" s="171">
        <v>1</v>
      </c>
      <c r="AI1330" s="171">
        <v>1</v>
      </c>
      <c r="AJ1330" s="171">
        <v>1</v>
      </c>
      <c r="AK1330" s="171">
        <v>1</v>
      </c>
      <c r="AL1330" s="171">
        <v>0</v>
      </c>
      <c r="AM1330" s="171">
        <v>1</v>
      </c>
      <c r="AN1330" s="171">
        <v>1</v>
      </c>
      <c r="AO1330" s="171">
        <v>1</v>
      </c>
      <c r="AP1330" s="171">
        <v>1</v>
      </c>
      <c r="AQ1330" s="171">
        <v>1</v>
      </c>
      <c r="AR1330" s="171">
        <v>1</v>
      </c>
      <c r="AS1330" s="171">
        <v>1</v>
      </c>
      <c r="AT1330" s="171">
        <v>1</v>
      </c>
      <c r="AU1330" s="171">
        <f t="shared" si="474"/>
        <v>0</v>
      </c>
      <c r="AV1330" s="171">
        <f t="shared" si="475"/>
        <v>0</v>
      </c>
      <c r="AW1330" s="171">
        <f t="shared" si="476"/>
        <v>1</v>
      </c>
      <c r="AX1330" s="171">
        <f t="shared" si="467"/>
        <v>1</v>
      </c>
      <c r="AY1330" s="171">
        <f t="shared" si="477"/>
        <v>0</v>
      </c>
      <c r="AZ1330" s="171">
        <f t="shared" si="478"/>
        <v>1</v>
      </c>
      <c r="BA1330" s="172">
        <f t="shared" si="479"/>
        <v>1</v>
      </c>
      <c r="BB1330" s="175">
        <f t="shared" ref="BB1330:BB1393" si="481">SUM(AF1330:BA1330)</f>
        <v>17</v>
      </c>
      <c r="BC1330" s="176">
        <f t="shared" ref="BC1330:BC1393" si="482">SUM(AF1330:AZ1330)</f>
        <v>16</v>
      </c>
      <c r="BD1330" s="176">
        <f t="shared" ref="BD1330:BD1393" si="483">SUM(AG1330:BA1330)</f>
        <v>17</v>
      </c>
      <c r="BE1330" s="240" t="str">
        <f t="shared" si="473"/>
        <v/>
      </c>
      <c r="BF1330" s="990"/>
      <c r="BG1330" s="990"/>
      <c r="BH1330" s="991">
        <f>IF(AND(Input_Product=Elig!$C1330,Elig_MatchAll_Ct&lt;22,$BC1330=(Elig_MatchAll_Ct-1),AF1330=0),C1330,0)</f>
        <v>0</v>
      </c>
      <c r="BI1330" s="991">
        <f>IF(AND(Input_Product=Elig!$C1330,Elig_MatchAll_Ct&lt;22,$BC1330=(Elig_MatchAll_Ct-1),AG1330=0),D1330,0)</f>
        <v>0</v>
      </c>
      <c r="BJ1330" s="991">
        <f>IF(AND(Input_Product=Elig!$C1330,Elig_MatchAll_Ct&lt;22,$BC1330=(Elig_MatchAll_Ct-1),AH1330=0),E1330,0)</f>
        <v>0</v>
      </c>
      <c r="BK1330" s="991">
        <f>IF(AND(Input_Product=Elig!$C1330,Elig_MatchAll_Ct&lt;22,$BC1330=(Elig_MatchAll_Ct-1),AI1330=0),F1330,0)</f>
        <v>0</v>
      </c>
      <c r="BL1330" s="991">
        <f>IF(AND(Input_Product=Elig!$C1330,Elig_MatchAll_Ct&lt;22,$BC1330=(Elig_MatchAll_Ct-1),AJ1330=0),G1330,0)</f>
        <v>0</v>
      </c>
      <c r="BM1330" s="991">
        <f>IF(AND(Input_Product=Elig!$C1330,Elig_MatchAll_Ct&lt;22,$BC1330=(Elig_MatchAll_Ct-1),AK1330=0),H1330,0)</f>
        <v>0</v>
      </c>
      <c r="BN1330" s="991">
        <f>IF(AND(Input_Product=Elig!$C1330,Elig_MatchAll_Ct&lt;22,$BC1330=(Elig_MatchAll_Ct-1),AL1330=0),I1330,0)</f>
        <v>0</v>
      </c>
      <c r="BO1330" s="991">
        <f>IF(AND(Input_Product=Elig!$C1330,Elig_MatchAll_Ct&lt;22,$BC1330=(Elig_MatchAll_Ct-1),AM1330=0),J1330,0)</f>
        <v>0</v>
      </c>
      <c r="BP1330" s="991">
        <f>IF(AND(Input_Product=Elig!$C1330,Elig_MatchAll_Ct&lt;22,$BC1330=(Elig_MatchAll_Ct-1),AN1330=0),K1330,0)</f>
        <v>0</v>
      </c>
      <c r="BQ1330" s="991">
        <f>IF(AND(Input_Product=Elig!$C1330,Elig_MatchAll_Ct&lt;22,$BC1330=(Elig_MatchAll_Ct-1),AP1330=0),L1330,0)</f>
        <v>0</v>
      </c>
      <c r="BR1330" s="991">
        <f>IF(AND(Input_Product=Elig!$C1330,Elig_MatchAll_Ct&lt;22,$BC1330=(Elig_MatchAll_Ct-1),AO1330=0),M1330,0)</f>
        <v>0</v>
      </c>
      <c r="BS1330" s="991">
        <f>IF(AND(Input_Product=Elig!$C1330,Elig_MatchAll_Ct&lt;22,$BC1330=(Elig_MatchAll_Ct-1),AQ1330=0),N1330,0)</f>
        <v>0</v>
      </c>
      <c r="BT1330" s="991">
        <f>IF(AND(Input_Product=Elig!$C1330,Elig_MatchAll_Ct&lt;22,$BC1330=(Elig_MatchAll_Ct-1),AR1330=0),O1330,0)</f>
        <v>0</v>
      </c>
      <c r="BU1330" s="991">
        <f>IF(AND(Input_Product=Elig!$C1330,Elig_MatchAll_Ct&lt;22,$BC1330=(Elig_MatchAll_Ct-1),AS1330=0),P1330,0)</f>
        <v>0</v>
      </c>
      <c r="BV1330" s="992">
        <f>IF(AND(Input_Product=Elig!$C1330,Elig_MatchAll_Ct&lt;22,$BC1330=(Elig_MatchAll_Ct-1),AT1330=0),Q1330,0)</f>
        <v>0</v>
      </c>
      <c r="BW1330" s="993">
        <f>IF(AND(Input_Product=Elig!$C1330,Elig_MatchAll_Ct&lt;22,$BC1330=(Elig_MatchAll_Ct-1),AU1330=0),R1330,0)</f>
        <v>0</v>
      </c>
      <c r="BX1330" s="994">
        <f>IF(AND(Input_Product=Elig!$C1330,Elig_MatchAll_Ct&lt;22,$BC1330=(Elig_MatchAll_Ct-1),AU1330=0),S1330,0)</f>
        <v>0</v>
      </c>
      <c r="BY1330" s="993">
        <f>IF(AND(Input_Product=Elig!$C1330,Elig_MatchAll_Ct&lt;22,$BC1330=(Elig_MatchAll_Ct-1),AV1330=0),T1330,0)</f>
        <v>0</v>
      </c>
      <c r="BZ1330" s="994">
        <f>IF(AND(Input_Product=Elig!$C1330,Elig_MatchAll_Ct&lt;22,$BC1330=(Elig_MatchAll_Ct-1),AV1330=0),U1330,0)</f>
        <v>0</v>
      </c>
      <c r="CA1330" s="993">
        <f>IF(AND(Input_Product=Elig!$C1330,Elig_MatchAll_Ct&lt;22,$BC1330=(Elig_MatchAll_Ct-1),AW1330=0),V1330,0)</f>
        <v>0</v>
      </c>
      <c r="CB1330" s="994">
        <f>IF(AND(Input_Product=Elig!$C1330,Elig_MatchAll_Ct&lt;22,$BC1330=(Elig_MatchAll_Ct-1),AW1330=0),W1330,0)</f>
        <v>0</v>
      </c>
      <c r="CC1330" s="993">
        <f>IF(AND(Input_Product=Elig!$C1330,Elig_MatchAll_Ct&lt;22,$BC1330=(Elig_MatchAll_Ct-1),AX1330=0),X1330,0)</f>
        <v>0</v>
      </c>
      <c r="CD1330" s="994">
        <f>IF(AND(Input_Product=Elig!$C1330,Elig_MatchAll_Ct&lt;22,$BC1330=(Elig_MatchAll_Ct-1),AX1330=0),Y1330,0)</f>
        <v>0</v>
      </c>
      <c r="CE1330" s="993">
        <f>IF(AND(Input_LTV&lt;=AE1330,Input_Product=Elig!$C1330,Elig_MatchAll_Ct&lt;22,$BC1330=(Elig_MatchAll_Ct-1),AY1330=0),Z1330,0)</f>
        <v>0</v>
      </c>
      <c r="CF1330" s="994">
        <f>IF(AND(Input_LTV&lt;=AE1330,Input_Product=Elig!$C1330,Elig_MatchAll_Ct&lt;22,$BC1330=(Elig_MatchAll_Ct-1),AY1330=0),AA1330,0)</f>
        <v>0</v>
      </c>
      <c r="CG1330" s="993">
        <f>IF(AND(Input_Product=Elig!$C1330,Elig_MatchAll_Ct&lt;22,$BC1330=(Elig_MatchAll_Ct-1),AZ1330=0),AB1330,0)</f>
        <v>0</v>
      </c>
      <c r="CH1330" s="994">
        <f>IF(AND(Input_Product=Elig!$C1330,Elig_MatchAll_Ct&lt;22,$BC1330=(Elig_MatchAll_Ct-1),AZ1330=0),AC1330,0)</f>
        <v>0</v>
      </c>
      <c r="CI1330" s="993">
        <f>IF(AND(Input_Product=Elig!$C1330,Elig_MatchAll_Ct&lt;22,$BC1330=(Elig_MatchAll_Ct-1),BA1330=0),AD1330,0)</f>
        <v>0</v>
      </c>
      <c r="CJ1330" s="994">
        <f>IF(AND(Input_Product=Elig!$C1330,Elig_MatchAll_Ct&lt;22,$BC1330=(Elig_MatchAll_Ct-1),BA1330=0),AE1330,0)</f>
        <v>0</v>
      </c>
    </row>
    <row r="1331" spans="2:88" ht="10.15" customHeight="1" x14ac:dyDescent="0.25">
      <c r="B1331" s="1538" t="s">
        <v>2781</v>
      </c>
      <c r="C1331" s="1538" t="str">
        <f t="shared" si="480"/>
        <v xml:space="preserve">  OO</v>
      </c>
      <c r="D1331" s="1538" t="s">
        <v>2764</v>
      </c>
      <c r="E1331" s="1538" t="s">
        <v>167</v>
      </c>
      <c r="F1331" s="1538" t="s">
        <v>2765</v>
      </c>
      <c r="G1331" s="1538" t="s">
        <v>2766</v>
      </c>
      <c r="H1331" s="1538" t="s">
        <v>2767</v>
      </c>
      <c r="I1331" s="1539" t="s">
        <v>35</v>
      </c>
      <c r="J1331" s="1539" t="s">
        <v>1311</v>
      </c>
      <c r="K1331" s="1539" t="s">
        <v>3023</v>
      </c>
      <c r="L1331" s="1538" t="s">
        <v>2768</v>
      </c>
      <c r="M1331" s="1538" t="s">
        <v>2677</v>
      </c>
      <c r="N1331" s="1538" t="s">
        <v>2685</v>
      </c>
      <c r="O1331" s="1538" t="s">
        <v>310</v>
      </c>
      <c r="P1331" s="1538" t="s">
        <v>291</v>
      </c>
      <c r="Q1331" s="1538" t="s">
        <v>294</v>
      </c>
      <c r="R1331" s="1538">
        <v>150000</v>
      </c>
      <c r="S1331" s="1538">
        <v>1000000</v>
      </c>
      <c r="T1331" s="1538">
        <v>0</v>
      </c>
      <c r="U1331" s="1538">
        <v>0</v>
      </c>
      <c r="V1331" s="1538">
        <v>0</v>
      </c>
      <c r="W1331" s="1538">
        <v>55</v>
      </c>
      <c r="X1331" s="1538">
        <v>0</v>
      </c>
      <c r="Y1331" s="1538">
        <v>0</v>
      </c>
      <c r="Z1331" s="1540">
        <v>680</v>
      </c>
      <c r="AA1331" s="1540">
        <v>699</v>
      </c>
      <c r="AB1331" s="1540">
        <v>6</v>
      </c>
      <c r="AC1331" s="1540">
        <v>999999</v>
      </c>
      <c r="AD1331" s="1538">
        <v>0</v>
      </c>
      <c r="AE1331" s="1545">
        <v>85</v>
      </c>
      <c r="AF1331" s="170">
        <v>0</v>
      </c>
      <c r="AG1331" s="171">
        <v>1</v>
      </c>
      <c r="AH1331" s="171">
        <v>1</v>
      </c>
      <c r="AI1331" s="171">
        <v>1</v>
      </c>
      <c r="AJ1331" s="171">
        <v>1</v>
      </c>
      <c r="AK1331" s="171">
        <v>1</v>
      </c>
      <c r="AL1331" s="171">
        <v>0</v>
      </c>
      <c r="AM1331" s="171">
        <v>1</v>
      </c>
      <c r="AN1331" s="171">
        <v>1</v>
      </c>
      <c r="AO1331" s="171">
        <v>1</v>
      </c>
      <c r="AP1331" s="171">
        <v>1</v>
      </c>
      <c r="AQ1331" s="171">
        <v>1</v>
      </c>
      <c r="AR1331" s="171">
        <v>1</v>
      </c>
      <c r="AS1331" s="171">
        <v>1</v>
      </c>
      <c r="AT1331" s="171">
        <v>1</v>
      </c>
      <c r="AU1331" s="171">
        <f t="shared" si="474"/>
        <v>1</v>
      </c>
      <c r="AV1331" s="171">
        <f t="shared" si="475"/>
        <v>0</v>
      </c>
      <c r="AW1331" s="171">
        <f t="shared" si="476"/>
        <v>1</v>
      </c>
      <c r="AX1331" s="171">
        <f t="shared" si="467"/>
        <v>1</v>
      </c>
      <c r="AY1331" s="171">
        <f t="shared" si="477"/>
        <v>0</v>
      </c>
      <c r="AZ1331" s="171">
        <f t="shared" si="478"/>
        <v>1</v>
      </c>
      <c r="BA1331" s="172">
        <f t="shared" si="479"/>
        <v>1</v>
      </c>
      <c r="BB1331" s="175">
        <f t="shared" si="481"/>
        <v>18</v>
      </c>
      <c r="BC1331" s="176">
        <f t="shared" si="482"/>
        <v>17</v>
      </c>
      <c r="BD1331" s="176">
        <f t="shared" si="483"/>
        <v>18</v>
      </c>
      <c r="BE1331" s="240" t="str">
        <f t="shared" si="473"/>
        <v/>
      </c>
      <c r="BF1331" s="990"/>
      <c r="BG1331" s="990"/>
      <c r="BH1331" s="991">
        <f>IF(AND(Input_Product=Elig!$C1331,Elig_MatchAll_Ct&lt;22,$BC1331=(Elig_MatchAll_Ct-1),AF1331=0),C1331,0)</f>
        <v>0</v>
      </c>
      <c r="BI1331" s="991">
        <f>IF(AND(Input_Product=Elig!$C1331,Elig_MatchAll_Ct&lt;22,$BC1331=(Elig_MatchAll_Ct-1),AG1331=0),D1331,0)</f>
        <v>0</v>
      </c>
      <c r="BJ1331" s="991">
        <f>IF(AND(Input_Product=Elig!$C1331,Elig_MatchAll_Ct&lt;22,$BC1331=(Elig_MatchAll_Ct-1),AH1331=0),E1331,0)</f>
        <v>0</v>
      </c>
      <c r="BK1331" s="991">
        <f>IF(AND(Input_Product=Elig!$C1331,Elig_MatchAll_Ct&lt;22,$BC1331=(Elig_MatchAll_Ct-1),AI1331=0),F1331,0)</f>
        <v>0</v>
      </c>
      <c r="BL1331" s="991">
        <f>IF(AND(Input_Product=Elig!$C1331,Elig_MatchAll_Ct&lt;22,$BC1331=(Elig_MatchAll_Ct-1),AJ1331=0),G1331,0)</f>
        <v>0</v>
      </c>
      <c r="BM1331" s="991">
        <f>IF(AND(Input_Product=Elig!$C1331,Elig_MatchAll_Ct&lt;22,$BC1331=(Elig_MatchAll_Ct-1),AK1331=0),H1331,0)</f>
        <v>0</v>
      </c>
      <c r="BN1331" s="991">
        <f>IF(AND(Input_Product=Elig!$C1331,Elig_MatchAll_Ct&lt;22,$BC1331=(Elig_MatchAll_Ct-1),AL1331=0),I1331,0)</f>
        <v>0</v>
      </c>
      <c r="BO1331" s="991">
        <f>IF(AND(Input_Product=Elig!$C1331,Elig_MatchAll_Ct&lt;22,$BC1331=(Elig_MatchAll_Ct-1),AM1331=0),J1331,0)</f>
        <v>0</v>
      </c>
      <c r="BP1331" s="991">
        <f>IF(AND(Input_Product=Elig!$C1331,Elig_MatchAll_Ct&lt;22,$BC1331=(Elig_MatchAll_Ct-1),AN1331=0),K1331,0)</f>
        <v>0</v>
      </c>
      <c r="BQ1331" s="991">
        <f>IF(AND(Input_Product=Elig!$C1331,Elig_MatchAll_Ct&lt;22,$BC1331=(Elig_MatchAll_Ct-1),AP1331=0),L1331,0)</f>
        <v>0</v>
      </c>
      <c r="BR1331" s="991">
        <f>IF(AND(Input_Product=Elig!$C1331,Elig_MatchAll_Ct&lt;22,$BC1331=(Elig_MatchAll_Ct-1),AO1331=0),M1331,0)</f>
        <v>0</v>
      </c>
      <c r="BS1331" s="991">
        <f>IF(AND(Input_Product=Elig!$C1331,Elig_MatchAll_Ct&lt;22,$BC1331=(Elig_MatchAll_Ct-1),AQ1331=0),N1331,0)</f>
        <v>0</v>
      </c>
      <c r="BT1331" s="991">
        <f>IF(AND(Input_Product=Elig!$C1331,Elig_MatchAll_Ct&lt;22,$BC1331=(Elig_MatchAll_Ct-1),AR1331=0),O1331,0)</f>
        <v>0</v>
      </c>
      <c r="BU1331" s="991">
        <f>IF(AND(Input_Product=Elig!$C1331,Elig_MatchAll_Ct&lt;22,$BC1331=(Elig_MatchAll_Ct-1),AS1331=0),P1331,0)</f>
        <v>0</v>
      </c>
      <c r="BV1331" s="992">
        <f>IF(AND(Input_Product=Elig!$C1331,Elig_MatchAll_Ct&lt;22,$BC1331=(Elig_MatchAll_Ct-1),AT1331=0),Q1331,0)</f>
        <v>0</v>
      </c>
      <c r="BW1331" s="993">
        <f>IF(AND(Input_Product=Elig!$C1331,Elig_MatchAll_Ct&lt;22,$BC1331=(Elig_MatchAll_Ct-1),AU1331=0),R1331,0)</f>
        <v>0</v>
      </c>
      <c r="BX1331" s="994">
        <f>IF(AND(Input_Product=Elig!$C1331,Elig_MatchAll_Ct&lt;22,$BC1331=(Elig_MatchAll_Ct-1),AU1331=0),S1331,0)</f>
        <v>0</v>
      </c>
      <c r="BY1331" s="993">
        <f>IF(AND(Input_Product=Elig!$C1331,Elig_MatchAll_Ct&lt;22,$BC1331=(Elig_MatchAll_Ct-1),AV1331=0),T1331,0)</f>
        <v>0</v>
      </c>
      <c r="BZ1331" s="994">
        <f>IF(AND(Input_Product=Elig!$C1331,Elig_MatchAll_Ct&lt;22,$BC1331=(Elig_MatchAll_Ct-1),AV1331=0),U1331,0)</f>
        <v>0</v>
      </c>
      <c r="CA1331" s="993">
        <f>IF(AND(Input_Product=Elig!$C1331,Elig_MatchAll_Ct&lt;22,$BC1331=(Elig_MatchAll_Ct-1),AW1331=0),V1331,0)</f>
        <v>0</v>
      </c>
      <c r="CB1331" s="994">
        <f>IF(AND(Input_Product=Elig!$C1331,Elig_MatchAll_Ct&lt;22,$BC1331=(Elig_MatchAll_Ct-1),AW1331=0),W1331,0)</f>
        <v>0</v>
      </c>
      <c r="CC1331" s="993">
        <f>IF(AND(Input_Product=Elig!$C1331,Elig_MatchAll_Ct&lt;22,$BC1331=(Elig_MatchAll_Ct-1),AX1331=0),X1331,0)</f>
        <v>0</v>
      </c>
      <c r="CD1331" s="994">
        <f>IF(AND(Input_Product=Elig!$C1331,Elig_MatchAll_Ct&lt;22,$BC1331=(Elig_MatchAll_Ct-1),AX1331=0),Y1331,0)</f>
        <v>0</v>
      </c>
      <c r="CE1331" s="993">
        <f>IF(AND(Input_LTV&lt;=AE1331,Input_Product=Elig!$C1331,Elig_MatchAll_Ct&lt;22,$BC1331=(Elig_MatchAll_Ct-1),AY1331=0),Z1331,0)</f>
        <v>0</v>
      </c>
      <c r="CF1331" s="994">
        <f>IF(AND(Input_LTV&lt;=AE1331,Input_Product=Elig!$C1331,Elig_MatchAll_Ct&lt;22,$BC1331=(Elig_MatchAll_Ct-1),AY1331=0),AA1331,0)</f>
        <v>0</v>
      </c>
      <c r="CG1331" s="993">
        <f>IF(AND(Input_Product=Elig!$C1331,Elig_MatchAll_Ct&lt;22,$BC1331=(Elig_MatchAll_Ct-1),AZ1331=0),AB1331,0)</f>
        <v>0</v>
      </c>
      <c r="CH1331" s="994">
        <f>IF(AND(Input_Product=Elig!$C1331,Elig_MatchAll_Ct&lt;22,$BC1331=(Elig_MatchAll_Ct-1),AZ1331=0),AC1331,0)</f>
        <v>0</v>
      </c>
      <c r="CI1331" s="993">
        <f>IF(AND(Input_Product=Elig!$C1331,Elig_MatchAll_Ct&lt;22,$BC1331=(Elig_MatchAll_Ct-1),BA1331=0),AD1331,0)</f>
        <v>0</v>
      </c>
      <c r="CJ1331" s="994">
        <f>IF(AND(Input_Product=Elig!$C1331,Elig_MatchAll_Ct&lt;22,$BC1331=(Elig_MatchAll_Ct-1),BA1331=0),AE1331,0)</f>
        <v>0</v>
      </c>
    </row>
    <row r="1332" spans="2:88" ht="10.15" customHeight="1" x14ac:dyDescent="0.25">
      <c r="B1332" s="1538" t="s">
        <v>2782</v>
      </c>
      <c r="C1332" s="1538" t="str">
        <f t="shared" si="480"/>
        <v xml:space="preserve">  OO</v>
      </c>
      <c r="D1332" s="1538" t="s">
        <v>2764</v>
      </c>
      <c r="E1332" s="1538" t="s">
        <v>167</v>
      </c>
      <c r="F1332" s="1538" t="s">
        <v>2765</v>
      </c>
      <c r="G1332" s="1538" t="s">
        <v>2766</v>
      </c>
      <c r="H1332" s="1538" t="s">
        <v>2767</v>
      </c>
      <c r="I1332" s="1539" t="s">
        <v>35</v>
      </c>
      <c r="J1332" s="1539" t="s">
        <v>1311</v>
      </c>
      <c r="K1332" s="1539" t="s">
        <v>3023</v>
      </c>
      <c r="L1332" s="1538" t="s">
        <v>2768</v>
      </c>
      <c r="M1332" s="1538" t="s">
        <v>2677</v>
      </c>
      <c r="N1332" s="1538" t="s">
        <v>2685</v>
      </c>
      <c r="O1332" s="1538" t="s">
        <v>310</v>
      </c>
      <c r="P1332" s="1538" t="s">
        <v>291</v>
      </c>
      <c r="Q1332" s="1538" t="s">
        <v>294</v>
      </c>
      <c r="R1332" s="1538">
        <v>1000000.01</v>
      </c>
      <c r="S1332" s="1538">
        <v>1500000</v>
      </c>
      <c r="T1332" s="1538">
        <v>0</v>
      </c>
      <c r="U1332" s="1538">
        <v>0</v>
      </c>
      <c r="V1332" s="1538">
        <v>0</v>
      </c>
      <c r="W1332" s="1538">
        <v>55</v>
      </c>
      <c r="X1332" s="1538">
        <v>0</v>
      </c>
      <c r="Y1332" s="1538">
        <v>0</v>
      </c>
      <c r="Z1332" s="1540">
        <v>680</v>
      </c>
      <c r="AA1332" s="1540">
        <v>699</v>
      </c>
      <c r="AB1332" s="1540">
        <v>6</v>
      </c>
      <c r="AC1332" s="1540">
        <v>999999</v>
      </c>
      <c r="AD1332" s="1538">
        <v>0</v>
      </c>
      <c r="AE1332" s="1545">
        <v>80</v>
      </c>
      <c r="AF1332" s="170">
        <v>0</v>
      </c>
      <c r="AG1332" s="171">
        <v>1</v>
      </c>
      <c r="AH1332" s="171">
        <v>1</v>
      </c>
      <c r="AI1332" s="171">
        <v>1</v>
      </c>
      <c r="AJ1332" s="171">
        <v>1</v>
      </c>
      <c r="AK1332" s="171">
        <v>1</v>
      </c>
      <c r="AL1332" s="171">
        <v>0</v>
      </c>
      <c r="AM1332" s="171">
        <v>1</v>
      </c>
      <c r="AN1332" s="171">
        <v>1</v>
      </c>
      <c r="AO1332" s="171">
        <v>1</v>
      </c>
      <c r="AP1332" s="171">
        <v>1</v>
      </c>
      <c r="AQ1332" s="171">
        <v>1</v>
      </c>
      <c r="AR1332" s="171">
        <v>1</v>
      </c>
      <c r="AS1332" s="171">
        <v>1</v>
      </c>
      <c r="AT1332" s="171">
        <v>1</v>
      </c>
      <c r="AU1332" s="171">
        <f t="shared" si="474"/>
        <v>0</v>
      </c>
      <c r="AV1332" s="171">
        <f t="shared" si="475"/>
        <v>0</v>
      </c>
      <c r="AW1332" s="171">
        <f t="shared" si="476"/>
        <v>1</v>
      </c>
      <c r="AX1332" s="171">
        <f t="shared" si="467"/>
        <v>1</v>
      </c>
      <c r="AY1332" s="171">
        <f t="shared" si="477"/>
        <v>0</v>
      </c>
      <c r="AZ1332" s="171">
        <f t="shared" si="478"/>
        <v>1</v>
      </c>
      <c r="BA1332" s="172">
        <f t="shared" si="479"/>
        <v>1</v>
      </c>
      <c r="BB1332" s="175">
        <f t="shared" si="481"/>
        <v>17</v>
      </c>
      <c r="BC1332" s="176">
        <f t="shared" si="482"/>
        <v>16</v>
      </c>
      <c r="BD1332" s="176">
        <f t="shared" si="483"/>
        <v>17</v>
      </c>
      <c r="BE1332" s="240" t="str">
        <f t="shared" si="473"/>
        <v/>
      </c>
      <c r="BF1332" s="990"/>
      <c r="BG1332" s="990"/>
      <c r="BH1332" s="991">
        <f>IF(AND(Input_Product=Elig!$C1332,Elig_MatchAll_Ct&lt;22,$BC1332=(Elig_MatchAll_Ct-1),AF1332=0),C1332,0)</f>
        <v>0</v>
      </c>
      <c r="BI1332" s="991">
        <f>IF(AND(Input_Product=Elig!$C1332,Elig_MatchAll_Ct&lt;22,$BC1332=(Elig_MatchAll_Ct-1),AG1332=0),D1332,0)</f>
        <v>0</v>
      </c>
      <c r="BJ1332" s="991">
        <f>IF(AND(Input_Product=Elig!$C1332,Elig_MatchAll_Ct&lt;22,$BC1332=(Elig_MatchAll_Ct-1),AH1332=0),E1332,0)</f>
        <v>0</v>
      </c>
      <c r="BK1332" s="991">
        <f>IF(AND(Input_Product=Elig!$C1332,Elig_MatchAll_Ct&lt;22,$BC1332=(Elig_MatchAll_Ct-1),AI1332=0),F1332,0)</f>
        <v>0</v>
      </c>
      <c r="BL1332" s="991">
        <f>IF(AND(Input_Product=Elig!$C1332,Elig_MatchAll_Ct&lt;22,$BC1332=(Elig_MatchAll_Ct-1),AJ1332=0),G1332,0)</f>
        <v>0</v>
      </c>
      <c r="BM1332" s="991">
        <f>IF(AND(Input_Product=Elig!$C1332,Elig_MatchAll_Ct&lt;22,$BC1332=(Elig_MatchAll_Ct-1),AK1332=0),H1332,0)</f>
        <v>0</v>
      </c>
      <c r="BN1332" s="991">
        <f>IF(AND(Input_Product=Elig!$C1332,Elig_MatchAll_Ct&lt;22,$BC1332=(Elig_MatchAll_Ct-1),AL1332=0),I1332,0)</f>
        <v>0</v>
      </c>
      <c r="BO1332" s="991">
        <f>IF(AND(Input_Product=Elig!$C1332,Elig_MatchAll_Ct&lt;22,$BC1332=(Elig_MatchAll_Ct-1),AM1332=0),J1332,0)</f>
        <v>0</v>
      </c>
      <c r="BP1332" s="991">
        <f>IF(AND(Input_Product=Elig!$C1332,Elig_MatchAll_Ct&lt;22,$BC1332=(Elig_MatchAll_Ct-1),AN1332=0),K1332,0)</f>
        <v>0</v>
      </c>
      <c r="BQ1332" s="991">
        <f>IF(AND(Input_Product=Elig!$C1332,Elig_MatchAll_Ct&lt;22,$BC1332=(Elig_MatchAll_Ct-1),AP1332=0),L1332,0)</f>
        <v>0</v>
      </c>
      <c r="BR1332" s="991">
        <f>IF(AND(Input_Product=Elig!$C1332,Elig_MatchAll_Ct&lt;22,$BC1332=(Elig_MatchAll_Ct-1),AO1332=0),M1332,0)</f>
        <v>0</v>
      </c>
      <c r="BS1332" s="991">
        <f>IF(AND(Input_Product=Elig!$C1332,Elig_MatchAll_Ct&lt;22,$BC1332=(Elig_MatchAll_Ct-1),AQ1332=0),N1332,0)</f>
        <v>0</v>
      </c>
      <c r="BT1332" s="991">
        <f>IF(AND(Input_Product=Elig!$C1332,Elig_MatchAll_Ct&lt;22,$BC1332=(Elig_MatchAll_Ct-1),AR1332=0),O1332,0)</f>
        <v>0</v>
      </c>
      <c r="BU1332" s="991">
        <f>IF(AND(Input_Product=Elig!$C1332,Elig_MatchAll_Ct&lt;22,$BC1332=(Elig_MatchAll_Ct-1),AS1332=0),P1332,0)</f>
        <v>0</v>
      </c>
      <c r="BV1332" s="992">
        <f>IF(AND(Input_Product=Elig!$C1332,Elig_MatchAll_Ct&lt;22,$BC1332=(Elig_MatchAll_Ct-1),AT1332=0),Q1332,0)</f>
        <v>0</v>
      </c>
      <c r="BW1332" s="993">
        <f>IF(AND(Input_Product=Elig!$C1332,Elig_MatchAll_Ct&lt;22,$BC1332=(Elig_MatchAll_Ct-1),AU1332=0),R1332,0)</f>
        <v>0</v>
      </c>
      <c r="BX1332" s="994">
        <f>IF(AND(Input_Product=Elig!$C1332,Elig_MatchAll_Ct&lt;22,$BC1332=(Elig_MatchAll_Ct-1),AU1332=0),S1332,0)</f>
        <v>0</v>
      </c>
      <c r="BY1332" s="993">
        <f>IF(AND(Input_Product=Elig!$C1332,Elig_MatchAll_Ct&lt;22,$BC1332=(Elig_MatchAll_Ct-1),AV1332=0),T1332,0)</f>
        <v>0</v>
      </c>
      <c r="BZ1332" s="994">
        <f>IF(AND(Input_Product=Elig!$C1332,Elig_MatchAll_Ct&lt;22,$BC1332=(Elig_MatchAll_Ct-1),AV1332=0),U1332,0)</f>
        <v>0</v>
      </c>
      <c r="CA1332" s="993">
        <f>IF(AND(Input_Product=Elig!$C1332,Elig_MatchAll_Ct&lt;22,$BC1332=(Elig_MatchAll_Ct-1),AW1332=0),V1332,0)</f>
        <v>0</v>
      </c>
      <c r="CB1332" s="994">
        <f>IF(AND(Input_Product=Elig!$C1332,Elig_MatchAll_Ct&lt;22,$BC1332=(Elig_MatchAll_Ct-1),AW1332=0),W1332,0)</f>
        <v>0</v>
      </c>
      <c r="CC1332" s="993">
        <f>IF(AND(Input_Product=Elig!$C1332,Elig_MatchAll_Ct&lt;22,$BC1332=(Elig_MatchAll_Ct-1),AX1332=0),X1332,0)</f>
        <v>0</v>
      </c>
      <c r="CD1332" s="994">
        <f>IF(AND(Input_Product=Elig!$C1332,Elig_MatchAll_Ct&lt;22,$BC1332=(Elig_MatchAll_Ct-1),AX1332=0),Y1332,0)</f>
        <v>0</v>
      </c>
      <c r="CE1332" s="993">
        <f>IF(AND(Input_LTV&lt;=AE1332,Input_Product=Elig!$C1332,Elig_MatchAll_Ct&lt;22,$BC1332=(Elig_MatchAll_Ct-1),AY1332=0),Z1332,0)</f>
        <v>0</v>
      </c>
      <c r="CF1332" s="994">
        <f>IF(AND(Input_LTV&lt;=AE1332,Input_Product=Elig!$C1332,Elig_MatchAll_Ct&lt;22,$BC1332=(Elig_MatchAll_Ct-1),AY1332=0),AA1332,0)</f>
        <v>0</v>
      </c>
      <c r="CG1332" s="993">
        <f>IF(AND(Input_Product=Elig!$C1332,Elig_MatchAll_Ct&lt;22,$BC1332=(Elig_MatchAll_Ct-1),AZ1332=0),AB1332,0)</f>
        <v>0</v>
      </c>
      <c r="CH1332" s="994">
        <f>IF(AND(Input_Product=Elig!$C1332,Elig_MatchAll_Ct&lt;22,$BC1332=(Elig_MatchAll_Ct-1),AZ1332=0),AC1332,0)</f>
        <v>0</v>
      </c>
      <c r="CI1332" s="993">
        <f>IF(AND(Input_Product=Elig!$C1332,Elig_MatchAll_Ct&lt;22,$BC1332=(Elig_MatchAll_Ct-1),BA1332=0),AD1332,0)</f>
        <v>0</v>
      </c>
      <c r="CJ1332" s="994">
        <f>IF(AND(Input_Product=Elig!$C1332,Elig_MatchAll_Ct&lt;22,$BC1332=(Elig_MatchAll_Ct-1),BA1332=0),AE1332,0)</f>
        <v>0</v>
      </c>
    </row>
    <row r="1333" spans="2:88" ht="10.15" customHeight="1" x14ac:dyDescent="0.25">
      <c r="B1333" s="1538" t="s">
        <v>2783</v>
      </c>
      <c r="C1333" s="1538" t="str">
        <f t="shared" si="480"/>
        <v xml:space="preserve">  OO</v>
      </c>
      <c r="D1333" s="1538" t="s">
        <v>2764</v>
      </c>
      <c r="E1333" s="1538" t="s">
        <v>167</v>
      </c>
      <c r="F1333" s="1538" t="s">
        <v>2765</v>
      </c>
      <c r="G1333" s="1538" t="s">
        <v>2766</v>
      </c>
      <c r="H1333" s="1538" t="s">
        <v>2767</v>
      </c>
      <c r="I1333" s="1539" t="s">
        <v>35</v>
      </c>
      <c r="J1333" s="1539" t="s">
        <v>1311</v>
      </c>
      <c r="K1333" s="1539" t="s">
        <v>3023</v>
      </c>
      <c r="L1333" s="1538" t="s">
        <v>2768</v>
      </c>
      <c r="M1333" s="1538" t="s">
        <v>2677</v>
      </c>
      <c r="N1333" s="1538" t="s">
        <v>2685</v>
      </c>
      <c r="O1333" s="1538" t="s">
        <v>310</v>
      </c>
      <c r="P1333" s="1538" t="s">
        <v>291</v>
      </c>
      <c r="Q1333" s="1538" t="s">
        <v>294</v>
      </c>
      <c r="R1333" s="1538">
        <v>1500000.01</v>
      </c>
      <c r="S1333" s="1538">
        <v>2000000</v>
      </c>
      <c r="T1333" s="1538">
        <v>0</v>
      </c>
      <c r="U1333" s="1538">
        <v>0</v>
      </c>
      <c r="V1333" s="1538">
        <v>0</v>
      </c>
      <c r="W1333" s="1538">
        <v>55</v>
      </c>
      <c r="X1333" s="1538">
        <v>0</v>
      </c>
      <c r="Y1333" s="1538">
        <v>0</v>
      </c>
      <c r="Z1333" s="1540">
        <v>680</v>
      </c>
      <c r="AA1333" s="1540">
        <v>699</v>
      </c>
      <c r="AB1333" s="1540">
        <v>6</v>
      </c>
      <c r="AC1333" s="1540">
        <v>999999</v>
      </c>
      <c r="AD1333" s="1538">
        <v>0</v>
      </c>
      <c r="AE1333" s="1545">
        <v>75</v>
      </c>
      <c r="AF1333" s="170">
        <v>0</v>
      </c>
      <c r="AG1333" s="171">
        <v>1</v>
      </c>
      <c r="AH1333" s="171">
        <v>1</v>
      </c>
      <c r="AI1333" s="171">
        <v>1</v>
      </c>
      <c r="AJ1333" s="171">
        <v>1</v>
      </c>
      <c r="AK1333" s="171">
        <v>1</v>
      </c>
      <c r="AL1333" s="171">
        <v>0</v>
      </c>
      <c r="AM1333" s="171">
        <v>1</v>
      </c>
      <c r="AN1333" s="171">
        <v>1</v>
      </c>
      <c r="AO1333" s="171">
        <v>1</v>
      </c>
      <c r="AP1333" s="171">
        <v>1</v>
      </c>
      <c r="AQ1333" s="171">
        <v>1</v>
      </c>
      <c r="AR1333" s="171">
        <v>1</v>
      </c>
      <c r="AS1333" s="171">
        <v>1</v>
      </c>
      <c r="AT1333" s="171">
        <v>1</v>
      </c>
      <c r="AU1333" s="171">
        <f t="shared" si="474"/>
        <v>0</v>
      </c>
      <c r="AV1333" s="171">
        <f t="shared" si="475"/>
        <v>0</v>
      </c>
      <c r="AW1333" s="171">
        <f t="shared" si="476"/>
        <v>1</v>
      </c>
      <c r="AX1333" s="171">
        <f t="shared" si="467"/>
        <v>1</v>
      </c>
      <c r="AY1333" s="171">
        <f t="shared" si="477"/>
        <v>0</v>
      </c>
      <c r="AZ1333" s="171">
        <f t="shared" si="478"/>
        <v>1</v>
      </c>
      <c r="BA1333" s="172">
        <f t="shared" si="479"/>
        <v>1</v>
      </c>
      <c r="BB1333" s="175">
        <f t="shared" si="481"/>
        <v>17</v>
      </c>
      <c r="BC1333" s="176">
        <f t="shared" si="482"/>
        <v>16</v>
      </c>
      <c r="BD1333" s="176">
        <f t="shared" si="483"/>
        <v>17</v>
      </c>
      <c r="BE1333" s="240" t="str">
        <f t="shared" si="473"/>
        <v/>
      </c>
      <c r="BF1333" s="990"/>
      <c r="BG1333" s="990"/>
      <c r="BH1333" s="991">
        <f>IF(AND(Input_Product=Elig!$C1333,Elig_MatchAll_Ct&lt;22,$BC1333=(Elig_MatchAll_Ct-1),AF1333=0),C1333,0)</f>
        <v>0</v>
      </c>
      <c r="BI1333" s="991">
        <f>IF(AND(Input_Product=Elig!$C1333,Elig_MatchAll_Ct&lt;22,$BC1333=(Elig_MatchAll_Ct-1),AG1333=0),D1333,0)</f>
        <v>0</v>
      </c>
      <c r="BJ1333" s="991">
        <f>IF(AND(Input_Product=Elig!$C1333,Elig_MatchAll_Ct&lt;22,$BC1333=(Elig_MatchAll_Ct-1),AH1333=0),E1333,0)</f>
        <v>0</v>
      </c>
      <c r="BK1333" s="991">
        <f>IF(AND(Input_Product=Elig!$C1333,Elig_MatchAll_Ct&lt;22,$BC1333=(Elig_MatchAll_Ct-1),AI1333=0),F1333,0)</f>
        <v>0</v>
      </c>
      <c r="BL1333" s="991">
        <f>IF(AND(Input_Product=Elig!$C1333,Elig_MatchAll_Ct&lt;22,$BC1333=(Elig_MatchAll_Ct-1),AJ1333=0),G1333,0)</f>
        <v>0</v>
      </c>
      <c r="BM1333" s="991">
        <f>IF(AND(Input_Product=Elig!$C1333,Elig_MatchAll_Ct&lt;22,$BC1333=(Elig_MatchAll_Ct-1),AK1333=0),H1333,0)</f>
        <v>0</v>
      </c>
      <c r="BN1333" s="991">
        <f>IF(AND(Input_Product=Elig!$C1333,Elig_MatchAll_Ct&lt;22,$BC1333=(Elig_MatchAll_Ct-1),AL1333=0),I1333,0)</f>
        <v>0</v>
      </c>
      <c r="BO1333" s="991">
        <f>IF(AND(Input_Product=Elig!$C1333,Elig_MatchAll_Ct&lt;22,$BC1333=(Elig_MatchAll_Ct-1),AM1333=0),J1333,0)</f>
        <v>0</v>
      </c>
      <c r="BP1333" s="991">
        <f>IF(AND(Input_Product=Elig!$C1333,Elig_MatchAll_Ct&lt;22,$BC1333=(Elig_MatchAll_Ct-1),AN1333=0),K1333,0)</f>
        <v>0</v>
      </c>
      <c r="BQ1333" s="991">
        <f>IF(AND(Input_Product=Elig!$C1333,Elig_MatchAll_Ct&lt;22,$BC1333=(Elig_MatchAll_Ct-1),AP1333=0),L1333,0)</f>
        <v>0</v>
      </c>
      <c r="BR1333" s="991">
        <f>IF(AND(Input_Product=Elig!$C1333,Elig_MatchAll_Ct&lt;22,$BC1333=(Elig_MatchAll_Ct-1),AO1333=0),M1333,0)</f>
        <v>0</v>
      </c>
      <c r="BS1333" s="991">
        <f>IF(AND(Input_Product=Elig!$C1333,Elig_MatchAll_Ct&lt;22,$BC1333=(Elig_MatchAll_Ct-1),AQ1333=0),N1333,0)</f>
        <v>0</v>
      </c>
      <c r="BT1333" s="991">
        <f>IF(AND(Input_Product=Elig!$C1333,Elig_MatchAll_Ct&lt;22,$BC1333=(Elig_MatchAll_Ct-1),AR1333=0),O1333,0)</f>
        <v>0</v>
      </c>
      <c r="BU1333" s="991">
        <f>IF(AND(Input_Product=Elig!$C1333,Elig_MatchAll_Ct&lt;22,$BC1333=(Elig_MatchAll_Ct-1),AS1333=0),P1333,0)</f>
        <v>0</v>
      </c>
      <c r="BV1333" s="992">
        <f>IF(AND(Input_Product=Elig!$C1333,Elig_MatchAll_Ct&lt;22,$BC1333=(Elig_MatchAll_Ct-1),AT1333=0),Q1333,0)</f>
        <v>0</v>
      </c>
      <c r="BW1333" s="993">
        <f>IF(AND(Input_Product=Elig!$C1333,Elig_MatchAll_Ct&lt;22,$BC1333=(Elig_MatchAll_Ct-1),AU1333=0),R1333,0)</f>
        <v>0</v>
      </c>
      <c r="BX1333" s="994">
        <f>IF(AND(Input_Product=Elig!$C1333,Elig_MatchAll_Ct&lt;22,$BC1333=(Elig_MatchAll_Ct-1),AU1333=0),S1333,0)</f>
        <v>0</v>
      </c>
      <c r="BY1333" s="993">
        <f>IF(AND(Input_Product=Elig!$C1333,Elig_MatchAll_Ct&lt;22,$BC1333=(Elig_MatchAll_Ct-1),AV1333=0),T1333,0)</f>
        <v>0</v>
      </c>
      <c r="BZ1333" s="994">
        <f>IF(AND(Input_Product=Elig!$C1333,Elig_MatchAll_Ct&lt;22,$BC1333=(Elig_MatchAll_Ct-1),AV1333=0),U1333,0)</f>
        <v>0</v>
      </c>
      <c r="CA1333" s="993">
        <f>IF(AND(Input_Product=Elig!$C1333,Elig_MatchAll_Ct&lt;22,$BC1333=(Elig_MatchAll_Ct-1),AW1333=0),V1333,0)</f>
        <v>0</v>
      </c>
      <c r="CB1333" s="994">
        <f>IF(AND(Input_Product=Elig!$C1333,Elig_MatchAll_Ct&lt;22,$BC1333=(Elig_MatchAll_Ct-1),AW1333=0),W1333,0)</f>
        <v>0</v>
      </c>
      <c r="CC1333" s="993">
        <f>IF(AND(Input_Product=Elig!$C1333,Elig_MatchAll_Ct&lt;22,$BC1333=(Elig_MatchAll_Ct-1),AX1333=0),X1333,0)</f>
        <v>0</v>
      </c>
      <c r="CD1333" s="994">
        <f>IF(AND(Input_Product=Elig!$C1333,Elig_MatchAll_Ct&lt;22,$BC1333=(Elig_MatchAll_Ct-1),AX1333=0),Y1333,0)</f>
        <v>0</v>
      </c>
      <c r="CE1333" s="993">
        <f>IF(AND(Input_LTV&lt;=AE1333,Input_Product=Elig!$C1333,Elig_MatchAll_Ct&lt;22,$BC1333=(Elig_MatchAll_Ct-1),AY1333=0),Z1333,0)</f>
        <v>0</v>
      </c>
      <c r="CF1333" s="994">
        <f>IF(AND(Input_LTV&lt;=AE1333,Input_Product=Elig!$C1333,Elig_MatchAll_Ct&lt;22,$BC1333=(Elig_MatchAll_Ct-1),AY1333=0),AA1333,0)</f>
        <v>0</v>
      </c>
      <c r="CG1333" s="993">
        <f>IF(AND(Input_Product=Elig!$C1333,Elig_MatchAll_Ct&lt;22,$BC1333=(Elig_MatchAll_Ct-1),AZ1333=0),AB1333,0)</f>
        <v>0</v>
      </c>
      <c r="CH1333" s="994">
        <f>IF(AND(Input_Product=Elig!$C1333,Elig_MatchAll_Ct&lt;22,$BC1333=(Elig_MatchAll_Ct-1),AZ1333=0),AC1333,0)</f>
        <v>0</v>
      </c>
      <c r="CI1333" s="993">
        <f>IF(AND(Input_Product=Elig!$C1333,Elig_MatchAll_Ct&lt;22,$BC1333=(Elig_MatchAll_Ct-1),BA1333=0),AD1333,0)</f>
        <v>0</v>
      </c>
      <c r="CJ1333" s="994">
        <f>IF(AND(Input_Product=Elig!$C1333,Elig_MatchAll_Ct&lt;22,$BC1333=(Elig_MatchAll_Ct-1),BA1333=0),AE1333,0)</f>
        <v>0</v>
      </c>
    </row>
    <row r="1334" spans="2:88" ht="10.15" customHeight="1" x14ac:dyDescent="0.25">
      <c r="B1334" s="1538" t="s">
        <v>2784</v>
      </c>
      <c r="C1334" s="1538" t="str">
        <f t="shared" si="480"/>
        <v xml:space="preserve">  OO</v>
      </c>
      <c r="D1334" s="1538" t="s">
        <v>2764</v>
      </c>
      <c r="E1334" s="1538" t="s">
        <v>167</v>
      </c>
      <c r="F1334" s="1538" t="s">
        <v>2765</v>
      </c>
      <c r="G1334" s="1538" t="s">
        <v>2766</v>
      </c>
      <c r="H1334" s="1538" t="s">
        <v>2767</v>
      </c>
      <c r="I1334" s="1539" t="s">
        <v>35</v>
      </c>
      <c r="J1334" s="1539" t="s">
        <v>1311</v>
      </c>
      <c r="K1334" s="1539" t="s">
        <v>3023</v>
      </c>
      <c r="L1334" s="1538" t="s">
        <v>2768</v>
      </c>
      <c r="M1334" s="1538" t="s">
        <v>2677</v>
      </c>
      <c r="N1334" s="1538" t="s">
        <v>2685</v>
      </c>
      <c r="O1334" s="1538" t="s">
        <v>310</v>
      </c>
      <c r="P1334" s="1538" t="s">
        <v>291</v>
      </c>
      <c r="Q1334" s="1538" t="s">
        <v>294</v>
      </c>
      <c r="R1334" s="1538">
        <v>2000000.01</v>
      </c>
      <c r="S1334" s="1538">
        <v>2500000</v>
      </c>
      <c r="T1334" s="1538">
        <v>0</v>
      </c>
      <c r="U1334" s="1538">
        <v>0</v>
      </c>
      <c r="V1334" s="1538">
        <v>0</v>
      </c>
      <c r="W1334" s="1538">
        <v>55</v>
      </c>
      <c r="X1334" s="1538">
        <v>0</v>
      </c>
      <c r="Y1334" s="1538">
        <v>0</v>
      </c>
      <c r="Z1334" s="1540">
        <v>680</v>
      </c>
      <c r="AA1334" s="1540">
        <v>699</v>
      </c>
      <c r="AB1334" s="1540">
        <v>6</v>
      </c>
      <c r="AC1334" s="1540">
        <v>999999</v>
      </c>
      <c r="AD1334" s="1538">
        <v>0</v>
      </c>
      <c r="AE1334" s="1545">
        <v>70</v>
      </c>
      <c r="AF1334" s="170">
        <v>0</v>
      </c>
      <c r="AG1334" s="171">
        <v>1</v>
      </c>
      <c r="AH1334" s="171">
        <v>1</v>
      </c>
      <c r="AI1334" s="171">
        <v>1</v>
      </c>
      <c r="AJ1334" s="171">
        <v>1</v>
      </c>
      <c r="AK1334" s="171">
        <v>1</v>
      </c>
      <c r="AL1334" s="171">
        <v>0</v>
      </c>
      <c r="AM1334" s="171">
        <v>1</v>
      </c>
      <c r="AN1334" s="171">
        <v>1</v>
      </c>
      <c r="AO1334" s="171">
        <v>1</v>
      </c>
      <c r="AP1334" s="171">
        <v>1</v>
      </c>
      <c r="AQ1334" s="171">
        <v>1</v>
      </c>
      <c r="AR1334" s="171">
        <v>1</v>
      </c>
      <c r="AS1334" s="171">
        <v>1</v>
      </c>
      <c r="AT1334" s="171">
        <v>1</v>
      </c>
      <c r="AU1334" s="171">
        <f t="shared" si="474"/>
        <v>0</v>
      </c>
      <c r="AV1334" s="171">
        <f t="shared" si="475"/>
        <v>0</v>
      </c>
      <c r="AW1334" s="171">
        <f t="shared" si="476"/>
        <v>1</v>
      </c>
      <c r="AX1334" s="171">
        <f t="shared" si="467"/>
        <v>1</v>
      </c>
      <c r="AY1334" s="171">
        <f t="shared" si="477"/>
        <v>0</v>
      </c>
      <c r="AZ1334" s="171">
        <f t="shared" si="478"/>
        <v>1</v>
      </c>
      <c r="BA1334" s="172">
        <f t="shared" si="479"/>
        <v>1</v>
      </c>
      <c r="BB1334" s="175">
        <f t="shared" si="481"/>
        <v>17</v>
      </c>
      <c r="BC1334" s="176">
        <f t="shared" si="482"/>
        <v>16</v>
      </c>
      <c r="BD1334" s="176">
        <f t="shared" si="483"/>
        <v>17</v>
      </c>
      <c r="BE1334" s="240" t="str">
        <f t="shared" si="473"/>
        <v/>
      </c>
      <c r="BF1334" s="990"/>
      <c r="BG1334" s="990"/>
      <c r="BH1334" s="991">
        <f>IF(AND(Input_Product=Elig!$C1334,Elig_MatchAll_Ct&lt;22,$BC1334=(Elig_MatchAll_Ct-1),AF1334=0),C1334,0)</f>
        <v>0</v>
      </c>
      <c r="BI1334" s="991">
        <f>IF(AND(Input_Product=Elig!$C1334,Elig_MatchAll_Ct&lt;22,$BC1334=(Elig_MatchAll_Ct-1),AG1334=0),D1334,0)</f>
        <v>0</v>
      </c>
      <c r="BJ1334" s="991">
        <f>IF(AND(Input_Product=Elig!$C1334,Elig_MatchAll_Ct&lt;22,$BC1334=(Elig_MatchAll_Ct-1),AH1334=0),E1334,0)</f>
        <v>0</v>
      </c>
      <c r="BK1334" s="991">
        <f>IF(AND(Input_Product=Elig!$C1334,Elig_MatchAll_Ct&lt;22,$BC1334=(Elig_MatchAll_Ct-1),AI1334=0),F1334,0)</f>
        <v>0</v>
      </c>
      <c r="BL1334" s="991">
        <f>IF(AND(Input_Product=Elig!$C1334,Elig_MatchAll_Ct&lt;22,$BC1334=(Elig_MatchAll_Ct-1),AJ1334=0),G1334,0)</f>
        <v>0</v>
      </c>
      <c r="BM1334" s="991">
        <f>IF(AND(Input_Product=Elig!$C1334,Elig_MatchAll_Ct&lt;22,$BC1334=(Elig_MatchAll_Ct-1),AK1334=0),H1334,0)</f>
        <v>0</v>
      </c>
      <c r="BN1334" s="991">
        <f>IF(AND(Input_Product=Elig!$C1334,Elig_MatchAll_Ct&lt;22,$BC1334=(Elig_MatchAll_Ct-1),AL1334=0),I1334,0)</f>
        <v>0</v>
      </c>
      <c r="BO1334" s="991">
        <f>IF(AND(Input_Product=Elig!$C1334,Elig_MatchAll_Ct&lt;22,$BC1334=(Elig_MatchAll_Ct-1),AM1334=0),J1334,0)</f>
        <v>0</v>
      </c>
      <c r="BP1334" s="991">
        <f>IF(AND(Input_Product=Elig!$C1334,Elig_MatchAll_Ct&lt;22,$BC1334=(Elig_MatchAll_Ct-1),AN1334=0),K1334,0)</f>
        <v>0</v>
      </c>
      <c r="BQ1334" s="991">
        <f>IF(AND(Input_Product=Elig!$C1334,Elig_MatchAll_Ct&lt;22,$BC1334=(Elig_MatchAll_Ct-1),AP1334=0),L1334,0)</f>
        <v>0</v>
      </c>
      <c r="BR1334" s="991">
        <f>IF(AND(Input_Product=Elig!$C1334,Elig_MatchAll_Ct&lt;22,$BC1334=(Elig_MatchAll_Ct-1),AO1334=0),M1334,0)</f>
        <v>0</v>
      </c>
      <c r="BS1334" s="991">
        <f>IF(AND(Input_Product=Elig!$C1334,Elig_MatchAll_Ct&lt;22,$BC1334=(Elig_MatchAll_Ct-1),AQ1334=0),N1334,0)</f>
        <v>0</v>
      </c>
      <c r="BT1334" s="991">
        <f>IF(AND(Input_Product=Elig!$C1334,Elig_MatchAll_Ct&lt;22,$BC1334=(Elig_MatchAll_Ct-1),AR1334=0),O1334,0)</f>
        <v>0</v>
      </c>
      <c r="BU1334" s="991">
        <f>IF(AND(Input_Product=Elig!$C1334,Elig_MatchAll_Ct&lt;22,$BC1334=(Elig_MatchAll_Ct-1),AS1334=0),P1334,0)</f>
        <v>0</v>
      </c>
      <c r="BV1334" s="992">
        <f>IF(AND(Input_Product=Elig!$C1334,Elig_MatchAll_Ct&lt;22,$BC1334=(Elig_MatchAll_Ct-1),AT1334=0),Q1334,0)</f>
        <v>0</v>
      </c>
      <c r="BW1334" s="993">
        <f>IF(AND(Input_Product=Elig!$C1334,Elig_MatchAll_Ct&lt;22,$BC1334=(Elig_MatchAll_Ct-1),AU1334=0),R1334,0)</f>
        <v>0</v>
      </c>
      <c r="BX1334" s="994">
        <f>IF(AND(Input_Product=Elig!$C1334,Elig_MatchAll_Ct&lt;22,$BC1334=(Elig_MatchAll_Ct-1),AU1334=0),S1334,0)</f>
        <v>0</v>
      </c>
      <c r="BY1334" s="993">
        <f>IF(AND(Input_Product=Elig!$C1334,Elig_MatchAll_Ct&lt;22,$BC1334=(Elig_MatchAll_Ct-1),AV1334=0),T1334,0)</f>
        <v>0</v>
      </c>
      <c r="BZ1334" s="994">
        <f>IF(AND(Input_Product=Elig!$C1334,Elig_MatchAll_Ct&lt;22,$BC1334=(Elig_MatchAll_Ct-1),AV1334=0),U1334,0)</f>
        <v>0</v>
      </c>
      <c r="CA1334" s="993">
        <f>IF(AND(Input_Product=Elig!$C1334,Elig_MatchAll_Ct&lt;22,$BC1334=(Elig_MatchAll_Ct-1),AW1334=0),V1334,0)</f>
        <v>0</v>
      </c>
      <c r="CB1334" s="994">
        <f>IF(AND(Input_Product=Elig!$C1334,Elig_MatchAll_Ct&lt;22,$BC1334=(Elig_MatchAll_Ct-1),AW1334=0),W1334,0)</f>
        <v>0</v>
      </c>
      <c r="CC1334" s="993">
        <f>IF(AND(Input_Product=Elig!$C1334,Elig_MatchAll_Ct&lt;22,$BC1334=(Elig_MatchAll_Ct-1),AX1334=0),X1334,0)</f>
        <v>0</v>
      </c>
      <c r="CD1334" s="994">
        <f>IF(AND(Input_Product=Elig!$C1334,Elig_MatchAll_Ct&lt;22,$BC1334=(Elig_MatchAll_Ct-1),AX1334=0),Y1334,0)</f>
        <v>0</v>
      </c>
      <c r="CE1334" s="993">
        <f>IF(AND(Input_LTV&lt;=AE1334,Input_Product=Elig!$C1334,Elig_MatchAll_Ct&lt;22,$BC1334=(Elig_MatchAll_Ct-1),AY1334=0),Z1334,0)</f>
        <v>0</v>
      </c>
      <c r="CF1334" s="994">
        <f>IF(AND(Input_LTV&lt;=AE1334,Input_Product=Elig!$C1334,Elig_MatchAll_Ct&lt;22,$BC1334=(Elig_MatchAll_Ct-1),AY1334=0),AA1334,0)</f>
        <v>0</v>
      </c>
      <c r="CG1334" s="993">
        <f>IF(AND(Input_Product=Elig!$C1334,Elig_MatchAll_Ct&lt;22,$BC1334=(Elig_MatchAll_Ct-1),AZ1334=0),AB1334,0)</f>
        <v>0</v>
      </c>
      <c r="CH1334" s="994">
        <f>IF(AND(Input_Product=Elig!$C1334,Elig_MatchAll_Ct&lt;22,$BC1334=(Elig_MatchAll_Ct-1),AZ1334=0),AC1334,0)</f>
        <v>0</v>
      </c>
      <c r="CI1334" s="993">
        <f>IF(AND(Input_Product=Elig!$C1334,Elig_MatchAll_Ct&lt;22,$BC1334=(Elig_MatchAll_Ct-1),BA1334=0),AD1334,0)</f>
        <v>0</v>
      </c>
      <c r="CJ1334" s="994">
        <f>IF(AND(Input_Product=Elig!$C1334,Elig_MatchAll_Ct&lt;22,$BC1334=(Elig_MatchAll_Ct-1),BA1334=0),AE1334,0)</f>
        <v>0</v>
      </c>
    </row>
    <row r="1335" spans="2:88" ht="10.15" customHeight="1" x14ac:dyDescent="0.25">
      <c r="B1335" s="1538" t="s">
        <v>2785</v>
      </c>
      <c r="C1335" s="1538" t="str">
        <f t="shared" si="480"/>
        <v xml:space="preserve">  OO</v>
      </c>
      <c r="D1335" s="1538" t="s">
        <v>2764</v>
      </c>
      <c r="E1335" s="1538" t="s">
        <v>167</v>
      </c>
      <c r="F1335" s="1538" t="s">
        <v>2765</v>
      </c>
      <c r="G1335" s="1538" t="s">
        <v>2766</v>
      </c>
      <c r="H1335" s="1538" t="s">
        <v>2767</v>
      </c>
      <c r="I1335" s="1539" t="s">
        <v>35</v>
      </c>
      <c r="J1335" s="1539" t="s">
        <v>1311</v>
      </c>
      <c r="K1335" s="1539" t="s">
        <v>3023</v>
      </c>
      <c r="L1335" s="1538" t="s">
        <v>2768</v>
      </c>
      <c r="M1335" s="1538" t="s">
        <v>2677</v>
      </c>
      <c r="N1335" s="1538" t="s">
        <v>2685</v>
      </c>
      <c r="O1335" s="1538" t="s">
        <v>310</v>
      </c>
      <c r="P1335" s="1538" t="s">
        <v>291</v>
      </c>
      <c r="Q1335" s="1538" t="s">
        <v>294</v>
      </c>
      <c r="R1335" s="1538">
        <v>2500000.0099999998</v>
      </c>
      <c r="S1335" s="1538">
        <v>3000000</v>
      </c>
      <c r="T1335" s="1538">
        <v>0</v>
      </c>
      <c r="U1335" s="1538">
        <v>0</v>
      </c>
      <c r="V1335" s="1538">
        <v>0</v>
      </c>
      <c r="W1335" s="1538">
        <v>55</v>
      </c>
      <c r="X1335" s="1538">
        <v>0</v>
      </c>
      <c r="Y1335" s="1538">
        <v>0</v>
      </c>
      <c r="Z1335" s="1540">
        <v>680</v>
      </c>
      <c r="AA1335" s="1540">
        <v>699</v>
      </c>
      <c r="AB1335" s="1540">
        <v>6</v>
      </c>
      <c r="AC1335" s="1540">
        <v>999999</v>
      </c>
      <c r="AD1335" s="1538">
        <v>0</v>
      </c>
      <c r="AE1335" s="1545">
        <v>65</v>
      </c>
      <c r="AF1335" s="170">
        <v>0</v>
      </c>
      <c r="AG1335" s="171">
        <v>1</v>
      </c>
      <c r="AH1335" s="171">
        <v>1</v>
      </c>
      <c r="AI1335" s="171">
        <v>1</v>
      </c>
      <c r="AJ1335" s="171">
        <v>1</v>
      </c>
      <c r="AK1335" s="171">
        <v>1</v>
      </c>
      <c r="AL1335" s="171">
        <v>0</v>
      </c>
      <c r="AM1335" s="171">
        <v>1</v>
      </c>
      <c r="AN1335" s="171">
        <v>1</v>
      </c>
      <c r="AO1335" s="171">
        <v>1</v>
      </c>
      <c r="AP1335" s="171">
        <v>1</v>
      </c>
      <c r="AQ1335" s="171">
        <v>1</v>
      </c>
      <c r="AR1335" s="171">
        <v>1</v>
      </c>
      <c r="AS1335" s="171">
        <v>1</v>
      </c>
      <c r="AT1335" s="171">
        <v>1</v>
      </c>
      <c r="AU1335" s="171">
        <f t="shared" si="474"/>
        <v>0</v>
      </c>
      <c r="AV1335" s="171">
        <f t="shared" si="475"/>
        <v>0</v>
      </c>
      <c r="AW1335" s="171">
        <f t="shared" si="476"/>
        <v>1</v>
      </c>
      <c r="AX1335" s="171">
        <f t="shared" si="467"/>
        <v>1</v>
      </c>
      <c r="AY1335" s="171">
        <f t="shared" si="477"/>
        <v>0</v>
      </c>
      <c r="AZ1335" s="171">
        <f t="shared" si="478"/>
        <v>1</v>
      </c>
      <c r="BA1335" s="172">
        <f t="shared" si="479"/>
        <v>1</v>
      </c>
      <c r="BB1335" s="175">
        <f t="shared" si="481"/>
        <v>17</v>
      </c>
      <c r="BC1335" s="176">
        <f t="shared" si="482"/>
        <v>16</v>
      </c>
      <c r="BD1335" s="176">
        <f t="shared" si="483"/>
        <v>17</v>
      </c>
      <c r="BE1335" s="240" t="str">
        <f t="shared" si="473"/>
        <v/>
      </c>
      <c r="BF1335" s="990"/>
      <c r="BG1335" s="990"/>
      <c r="BH1335" s="991">
        <f>IF(AND(Input_Product=Elig!$C1335,Elig_MatchAll_Ct&lt;22,$BC1335=(Elig_MatchAll_Ct-1),AF1335=0),C1335,0)</f>
        <v>0</v>
      </c>
      <c r="BI1335" s="991">
        <f>IF(AND(Input_Product=Elig!$C1335,Elig_MatchAll_Ct&lt;22,$BC1335=(Elig_MatchAll_Ct-1),AG1335=0),D1335,0)</f>
        <v>0</v>
      </c>
      <c r="BJ1335" s="991">
        <f>IF(AND(Input_Product=Elig!$C1335,Elig_MatchAll_Ct&lt;22,$BC1335=(Elig_MatchAll_Ct-1),AH1335=0),E1335,0)</f>
        <v>0</v>
      </c>
      <c r="BK1335" s="991">
        <f>IF(AND(Input_Product=Elig!$C1335,Elig_MatchAll_Ct&lt;22,$BC1335=(Elig_MatchAll_Ct-1),AI1335=0),F1335,0)</f>
        <v>0</v>
      </c>
      <c r="BL1335" s="991">
        <f>IF(AND(Input_Product=Elig!$C1335,Elig_MatchAll_Ct&lt;22,$BC1335=(Elig_MatchAll_Ct-1),AJ1335=0),G1335,0)</f>
        <v>0</v>
      </c>
      <c r="BM1335" s="991">
        <f>IF(AND(Input_Product=Elig!$C1335,Elig_MatchAll_Ct&lt;22,$BC1335=(Elig_MatchAll_Ct-1),AK1335=0),H1335,0)</f>
        <v>0</v>
      </c>
      <c r="BN1335" s="991">
        <f>IF(AND(Input_Product=Elig!$C1335,Elig_MatchAll_Ct&lt;22,$BC1335=(Elig_MatchAll_Ct-1),AL1335=0),I1335,0)</f>
        <v>0</v>
      </c>
      <c r="BO1335" s="991">
        <f>IF(AND(Input_Product=Elig!$C1335,Elig_MatchAll_Ct&lt;22,$BC1335=(Elig_MatchAll_Ct-1),AM1335=0),J1335,0)</f>
        <v>0</v>
      </c>
      <c r="BP1335" s="991">
        <f>IF(AND(Input_Product=Elig!$C1335,Elig_MatchAll_Ct&lt;22,$BC1335=(Elig_MatchAll_Ct-1),AN1335=0),K1335,0)</f>
        <v>0</v>
      </c>
      <c r="BQ1335" s="991">
        <f>IF(AND(Input_Product=Elig!$C1335,Elig_MatchAll_Ct&lt;22,$BC1335=(Elig_MatchAll_Ct-1),AP1335=0),L1335,0)</f>
        <v>0</v>
      </c>
      <c r="BR1335" s="991">
        <f>IF(AND(Input_Product=Elig!$C1335,Elig_MatchAll_Ct&lt;22,$BC1335=(Elig_MatchAll_Ct-1),AO1335=0),M1335,0)</f>
        <v>0</v>
      </c>
      <c r="BS1335" s="991">
        <f>IF(AND(Input_Product=Elig!$C1335,Elig_MatchAll_Ct&lt;22,$BC1335=(Elig_MatchAll_Ct-1),AQ1335=0),N1335,0)</f>
        <v>0</v>
      </c>
      <c r="BT1335" s="991">
        <f>IF(AND(Input_Product=Elig!$C1335,Elig_MatchAll_Ct&lt;22,$BC1335=(Elig_MatchAll_Ct-1),AR1335=0),O1335,0)</f>
        <v>0</v>
      </c>
      <c r="BU1335" s="991">
        <f>IF(AND(Input_Product=Elig!$C1335,Elig_MatchAll_Ct&lt;22,$BC1335=(Elig_MatchAll_Ct-1),AS1335=0),P1335,0)</f>
        <v>0</v>
      </c>
      <c r="BV1335" s="992">
        <f>IF(AND(Input_Product=Elig!$C1335,Elig_MatchAll_Ct&lt;22,$BC1335=(Elig_MatchAll_Ct-1),AT1335=0),Q1335,0)</f>
        <v>0</v>
      </c>
      <c r="BW1335" s="993">
        <f>IF(AND(Input_Product=Elig!$C1335,Elig_MatchAll_Ct&lt;22,$BC1335=(Elig_MatchAll_Ct-1),AU1335=0),R1335,0)</f>
        <v>0</v>
      </c>
      <c r="BX1335" s="994">
        <f>IF(AND(Input_Product=Elig!$C1335,Elig_MatchAll_Ct&lt;22,$BC1335=(Elig_MatchAll_Ct-1),AU1335=0),S1335,0)</f>
        <v>0</v>
      </c>
      <c r="BY1335" s="993">
        <f>IF(AND(Input_Product=Elig!$C1335,Elig_MatchAll_Ct&lt;22,$BC1335=(Elig_MatchAll_Ct-1),AV1335=0),T1335,0)</f>
        <v>0</v>
      </c>
      <c r="BZ1335" s="994">
        <f>IF(AND(Input_Product=Elig!$C1335,Elig_MatchAll_Ct&lt;22,$BC1335=(Elig_MatchAll_Ct-1),AV1335=0),U1335,0)</f>
        <v>0</v>
      </c>
      <c r="CA1335" s="993">
        <f>IF(AND(Input_Product=Elig!$C1335,Elig_MatchAll_Ct&lt;22,$BC1335=(Elig_MatchAll_Ct-1),AW1335=0),V1335,0)</f>
        <v>0</v>
      </c>
      <c r="CB1335" s="994">
        <f>IF(AND(Input_Product=Elig!$C1335,Elig_MatchAll_Ct&lt;22,$BC1335=(Elig_MatchAll_Ct-1),AW1335=0),W1335,0)</f>
        <v>0</v>
      </c>
      <c r="CC1335" s="993">
        <f>IF(AND(Input_Product=Elig!$C1335,Elig_MatchAll_Ct&lt;22,$BC1335=(Elig_MatchAll_Ct-1),AX1335=0),X1335,0)</f>
        <v>0</v>
      </c>
      <c r="CD1335" s="994">
        <f>IF(AND(Input_Product=Elig!$C1335,Elig_MatchAll_Ct&lt;22,$BC1335=(Elig_MatchAll_Ct-1),AX1335=0),Y1335,0)</f>
        <v>0</v>
      </c>
      <c r="CE1335" s="993">
        <f>IF(AND(Input_LTV&lt;=AE1335,Input_Product=Elig!$C1335,Elig_MatchAll_Ct&lt;22,$BC1335=(Elig_MatchAll_Ct-1),AY1335=0),Z1335,0)</f>
        <v>0</v>
      </c>
      <c r="CF1335" s="994">
        <f>IF(AND(Input_LTV&lt;=AE1335,Input_Product=Elig!$C1335,Elig_MatchAll_Ct&lt;22,$BC1335=(Elig_MatchAll_Ct-1),AY1335=0),AA1335,0)</f>
        <v>0</v>
      </c>
      <c r="CG1335" s="993">
        <f>IF(AND(Input_Product=Elig!$C1335,Elig_MatchAll_Ct&lt;22,$BC1335=(Elig_MatchAll_Ct-1),AZ1335=0),AB1335,0)</f>
        <v>0</v>
      </c>
      <c r="CH1335" s="994">
        <f>IF(AND(Input_Product=Elig!$C1335,Elig_MatchAll_Ct&lt;22,$BC1335=(Elig_MatchAll_Ct-1),AZ1335=0),AC1335,0)</f>
        <v>0</v>
      </c>
      <c r="CI1335" s="993">
        <f>IF(AND(Input_Product=Elig!$C1335,Elig_MatchAll_Ct&lt;22,$BC1335=(Elig_MatchAll_Ct-1),BA1335=0),AD1335,0)</f>
        <v>0</v>
      </c>
      <c r="CJ1335" s="994">
        <f>IF(AND(Input_Product=Elig!$C1335,Elig_MatchAll_Ct&lt;22,$BC1335=(Elig_MatchAll_Ct-1),BA1335=0),AE1335,0)</f>
        <v>0</v>
      </c>
    </row>
    <row r="1336" spans="2:88" ht="10.15" customHeight="1" x14ac:dyDescent="0.25">
      <c r="B1336" s="1538" t="s">
        <v>2786</v>
      </c>
      <c r="C1336" s="1538" t="str">
        <f t="shared" si="480"/>
        <v xml:space="preserve">  OO</v>
      </c>
      <c r="D1336" s="1538" t="s">
        <v>2764</v>
      </c>
      <c r="E1336" s="1538" t="s">
        <v>167</v>
      </c>
      <c r="F1336" s="1538" t="s">
        <v>2765</v>
      </c>
      <c r="G1336" s="1538" t="s">
        <v>2766</v>
      </c>
      <c r="H1336" s="1538" t="s">
        <v>2767</v>
      </c>
      <c r="I1336" s="1539" t="s">
        <v>35</v>
      </c>
      <c r="J1336" s="1539" t="s">
        <v>1311</v>
      </c>
      <c r="K1336" s="1539" t="s">
        <v>3023</v>
      </c>
      <c r="L1336" s="1538" t="s">
        <v>2768</v>
      </c>
      <c r="M1336" s="1538" t="s">
        <v>2677</v>
      </c>
      <c r="N1336" s="1538" t="s">
        <v>2685</v>
      </c>
      <c r="O1336" s="1538" t="s">
        <v>310</v>
      </c>
      <c r="P1336" s="1538" t="s">
        <v>291</v>
      </c>
      <c r="Q1336" s="1538" t="s">
        <v>294</v>
      </c>
      <c r="R1336" s="1538">
        <v>150000</v>
      </c>
      <c r="S1336" s="1538">
        <v>1000000</v>
      </c>
      <c r="T1336" s="1538">
        <v>0</v>
      </c>
      <c r="U1336" s="1538">
        <v>0</v>
      </c>
      <c r="V1336" s="1538">
        <v>0</v>
      </c>
      <c r="W1336" s="1538">
        <v>55</v>
      </c>
      <c r="X1336" s="1538">
        <v>0</v>
      </c>
      <c r="Y1336" s="1538">
        <v>0</v>
      </c>
      <c r="Z1336" s="1540">
        <v>660</v>
      </c>
      <c r="AA1336" s="1540">
        <v>679</v>
      </c>
      <c r="AB1336" s="1540">
        <v>6</v>
      </c>
      <c r="AC1336" s="1540">
        <v>999999</v>
      </c>
      <c r="AD1336" s="1538">
        <v>0</v>
      </c>
      <c r="AE1336" s="1545">
        <v>80</v>
      </c>
      <c r="AF1336" s="170">
        <v>0</v>
      </c>
      <c r="AG1336" s="171">
        <v>1</v>
      </c>
      <c r="AH1336" s="171">
        <v>1</v>
      </c>
      <c r="AI1336" s="171">
        <v>1</v>
      </c>
      <c r="AJ1336" s="171">
        <v>1</v>
      </c>
      <c r="AK1336" s="171">
        <v>1</v>
      </c>
      <c r="AL1336" s="171">
        <v>0</v>
      </c>
      <c r="AM1336" s="171">
        <v>1</v>
      </c>
      <c r="AN1336" s="171">
        <v>1</v>
      </c>
      <c r="AO1336" s="171">
        <v>1</v>
      </c>
      <c r="AP1336" s="171">
        <v>1</v>
      </c>
      <c r="AQ1336" s="171">
        <v>1</v>
      </c>
      <c r="AR1336" s="171">
        <v>1</v>
      </c>
      <c r="AS1336" s="171">
        <v>1</v>
      </c>
      <c r="AT1336" s="171">
        <v>1</v>
      </c>
      <c r="AU1336" s="171">
        <f t="shared" si="474"/>
        <v>1</v>
      </c>
      <c r="AV1336" s="171">
        <f t="shared" si="475"/>
        <v>0</v>
      </c>
      <c r="AW1336" s="171">
        <f t="shared" si="476"/>
        <v>1</v>
      </c>
      <c r="AX1336" s="171">
        <f t="shared" si="467"/>
        <v>1</v>
      </c>
      <c r="AY1336" s="171">
        <f t="shared" si="477"/>
        <v>0</v>
      </c>
      <c r="AZ1336" s="171">
        <f t="shared" si="478"/>
        <v>1</v>
      </c>
      <c r="BA1336" s="172">
        <f t="shared" si="479"/>
        <v>1</v>
      </c>
      <c r="BB1336" s="175">
        <f t="shared" si="481"/>
        <v>18</v>
      </c>
      <c r="BC1336" s="176">
        <f t="shared" si="482"/>
        <v>17</v>
      </c>
      <c r="BD1336" s="176">
        <f t="shared" si="483"/>
        <v>18</v>
      </c>
      <c r="BE1336" s="240" t="str">
        <f t="shared" si="473"/>
        <v/>
      </c>
      <c r="BF1336" s="990"/>
      <c r="BG1336" s="990"/>
      <c r="BH1336" s="991">
        <f>IF(AND(Input_Product=Elig!$C1336,Elig_MatchAll_Ct&lt;22,$BC1336=(Elig_MatchAll_Ct-1),AF1336=0),C1336,0)</f>
        <v>0</v>
      </c>
      <c r="BI1336" s="991">
        <f>IF(AND(Input_Product=Elig!$C1336,Elig_MatchAll_Ct&lt;22,$BC1336=(Elig_MatchAll_Ct-1),AG1336=0),D1336,0)</f>
        <v>0</v>
      </c>
      <c r="BJ1336" s="991">
        <f>IF(AND(Input_Product=Elig!$C1336,Elig_MatchAll_Ct&lt;22,$BC1336=(Elig_MatchAll_Ct-1),AH1336=0),E1336,0)</f>
        <v>0</v>
      </c>
      <c r="BK1336" s="991">
        <f>IF(AND(Input_Product=Elig!$C1336,Elig_MatchAll_Ct&lt;22,$BC1336=(Elig_MatchAll_Ct-1),AI1336=0),F1336,0)</f>
        <v>0</v>
      </c>
      <c r="BL1336" s="991">
        <f>IF(AND(Input_Product=Elig!$C1336,Elig_MatchAll_Ct&lt;22,$BC1336=(Elig_MatchAll_Ct-1),AJ1336=0),G1336,0)</f>
        <v>0</v>
      </c>
      <c r="BM1336" s="991">
        <f>IF(AND(Input_Product=Elig!$C1336,Elig_MatchAll_Ct&lt;22,$BC1336=(Elig_MatchAll_Ct-1),AK1336=0),H1336,0)</f>
        <v>0</v>
      </c>
      <c r="BN1336" s="991">
        <f>IF(AND(Input_Product=Elig!$C1336,Elig_MatchAll_Ct&lt;22,$BC1336=(Elig_MatchAll_Ct-1),AL1336=0),I1336,0)</f>
        <v>0</v>
      </c>
      <c r="BO1336" s="991">
        <f>IF(AND(Input_Product=Elig!$C1336,Elig_MatchAll_Ct&lt;22,$BC1336=(Elig_MatchAll_Ct-1),AM1336=0),J1336,0)</f>
        <v>0</v>
      </c>
      <c r="BP1336" s="991">
        <f>IF(AND(Input_Product=Elig!$C1336,Elig_MatchAll_Ct&lt;22,$BC1336=(Elig_MatchAll_Ct-1),AN1336=0),K1336,0)</f>
        <v>0</v>
      </c>
      <c r="BQ1336" s="991">
        <f>IF(AND(Input_Product=Elig!$C1336,Elig_MatchAll_Ct&lt;22,$BC1336=(Elig_MatchAll_Ct-1),AP1336=0),L1336,0)</f>
        <v>0</v>
      </c>
      <c r="BR1336" s="991">
        <f>IF(AND(Input_Product=Elig!$C1336,Elig_MatchAll_Ct&lt;22,$BC1336=(Elig_MatchAll_Ct-1),AO1336=0),M1336,0)</f>
        <v>0</v>
      </c>
      <c r="BS1336" s="991">
        <f>IF(AND(Input_Product=Elig!$C1336,Elig_MatchAll_Ct&lt;22,$BC1336=(Elig_MatchAll_Ct-1),AQ1336=0),N1336,0)</f>
        <v>0</v>
      </c>
      <c r="BT1336" s="991">
        <f>IF(AND(Input_Product=Elig!$C1336,Elig_MatchAll_Ct&lt;22,$BC1336=(Elig_MatchAll_Ct-1),AR1336=0),O1336,0)</f>
        <v>0</v>
      </c>
      <c r="BU1336" s="991">
        <f>IF(AND(Input_Product=Elig!$C1336,Elig_MatchAll_Ct&lt;22,$BC1336=(Elig_MatchAll_Ct-1),AS1336=0),P1336,0)</f>
        <v>0</v>
      </c>
      <c r="BV1336" s="992">
        <f>IF(AND(Input_Product=Elig!$C1336,Elig_MatchAll_Ct&lt;22,$BC1336=(Elig_MatchAll_Ct-1),AT1336=0),Q1336,0)</f>
        <v>0</v>
      </c>
      <c r="BW1336" s="993">
        <f>IF(AND(Input_Product=Elig!$C1336,Elig_MatchAll_Ct&lt;22,$BC1336=(Elig_MatchAll_Ct-1),AU1336=0),R1336,0)</f>
        <v>0</v>
      </c>
      <c r="BX1336" s="994">
        <f>IF(AND(Input_Product=Elig!$C1336,Elig_MatchAll_Ct&lt;22,$BC1336=(Elig_MatchAll_Ct-1),AU1336=0),S1336,0)</f>
        <v>0</v>
      </c>
      <c r="BY1336" s="993">
        <f>IF(AND(Input_Product=Elig!$C1336,Elig_MatchAll_Ct&lt;22,$BC1336=(Elig_MatchAll_Ct-1),AV1336=0),T1336,0)</f>
        <v>0</v>
      </c>
      <c r="BZ1336" s="994">
        <f>IF(AND(Input_Product=Elig!$C1336,Elig_MatchAll_Ct&lt;22,$BC1336=(Elig_MatchAll_Ct-1),AV1336=0),U1336,0)</f>
        <v>0</v>
      </c>
      <c r="CA1336" s="993">
        <f>IF(AND(Input_Product=Elig!$C1336,Elig_MatchAll_Ct&lt;22,$BC1336=(Elig_MatchAll_Ct-1),AW1336=0),V1336,0)</f>
        <v>0</v>
      </c>
      <c r="CB1336" s="994">
        <f>IF(AND(Input_Product=Elig!$C1336,Elig_MatchAll_Ct&lt;22,$BC1336=(Elig_MatchAll_Ct-1),AW1336=0),W1336,0)</f>
        <v>0</v>
      </c>
      <c r="CC1336" s="993">
        <f>IF(AND(Input_Product=Elig!$C1336,Elig_MatchAll_Ct&lt;22,$BC1336=(Elig_MatchAll_Ct-1),AX1336=0),X1336,0)</f>
        <v>0</v>
      </c>
      <c r="CD1336" s="994">
        <f>IF(AND(Input_Product=Elig!$C1336,Elig_MatchAll_Ct&lt;22,$BC1336=(Elig_MatchAll_Ct-1),AX1336=0),Y1336,0)</f>
        <v>0</v>
      </c>
      <c r="CE1336" s="993">
        <f>IF(AND(Input_LTV&lt;=AE1336,Input_Product=Elig!$C1336,Elig_MatchAll_Ct&lt;22,$BC1336=(Elig_MatchAll_Ct-1),AY1336=0),Z1336,0)</f>
        <v>0</v>
      </c>
      <c r="CF1336" s="994">
        <f>IF(AND(Input_LTV&lt;=AE1336,Input_Product=Elig!$C1336,Elig_MatchAll_Ct&lt;22,$BC1336=(Elig_MatchAll_Ct-1),AY1336=0),AA1336,0)</f>
        <v>0</v>
      </c>
      <c r="CG1336" s="993">
        <f>IF(AND(Input_Product=Elig!$C1336,Elig_MatchAll_Ct&lt;22,$BC1336=(Elig_MatchAll_Ct-1),AZ1336=0),AB1336,0)</f>
        <v>0</v>
      </c>
      <c r="CH1336" s="994">
        <f>IF(AND(Input_Product=Elig!$C1336,Elig_MatchAll_Ct&lt;22,$BC1336=(Elig_MatchAll_Ct-1),AZ1336=0),AC1336,0)</f>
        <v>0</v>
      </c>
      <c r="CI1336" s="993">
        <f>IF(AND(Input_Product=Elig!$C1336,Elig_MatchAll_Ct&lt;22,$BC1336=(Elig_MatchAll_Ct-1),BA1336=0),AD1336,0)</f>
        <v>0</v>
      </c>
      <c r="CJ1336" s="994">
        <f>IF(AND(Input_Product=Elig!$C1336,Elig_MatchAll_Ct&lt;22,$BC1336=(Elig_MatchAll_Ct-1),BA1336=0),AE1336,0)</f>
        <v>0</v>
      </c>
    </row>
    <row r="1337" spans="2:88" ht="10.15" customHeight="1" x14ac:dyDescent="0.25">
      <c r="B1337" s="1538" t="s">
        <v>2787</v>
      </c>
      <c r="C1337" s="1538" t="str">
        <f t="shared" si="480"/>
        <v xml:space="preserve">  OO</v>
      </c>
      <c r="D1337" s="1538" t="s">
        <v>2764</v>
      </c>
      <c r="E1337" s="1538" t="s">
        <v>167</v>
      </c>
      <c r="F1337" s="1538" t="s">
        <v>2765</v>
      </c>
      <c r="G1337" s="1538" t="s">
        <v>2766</v>
      </c>
      <c r="H1337" s="1538" t="s">
        <v>2767</v>
      </c>
      <c r="I1337" s="1539" t="s">
        <v>35</v>
      </c>
      <c r="J1337" s="1539" t="s">
        <v>1311</v>
      </c>
      <c r="K1337" s="1539" t="s">
        <v>3023</v>
      </c>
      <c r="L1337" s="1538" t="s">
        <v>2768</v>
      </c>
      <c r="M1337" s="1538" t="s">
        <v>2677</v>
      </c>
      <c r="N1337" s="1538" t="s">
        <v>2685</v>
      </c>
      <c r="O1337" s="1538" t="s">
        <v>310</v>
      </c>
      <c r="P1337" s="1538" t="s">
        <v>291</v>
      </c>
      <c r="Q1337" s="1538" t="s">
        <v>294</v>
      </c>
      <c r="R1337" s="1538">
        <v>1000000.01</v>
      </c>
      <c r="S1337" s="1538">
        <v>1500000</v>
      </c>
      <c r="T1337" s="1538">
        <v>0</v>
      </c>
      <c r="U1337" s="1538">
        <v>0</v>
      </c>
      <c r="V1337" s="1538">
        <v>0</v>
      </c>
      <c r="W1337" s="1538">
        <v>55</v>
      </c>
      <c r="X1337" s="1538">
        <v>0</v>
      </c>
      <c r="Y1337" s="1538">
        <v>0</v>
      </c>
      <c r="Z1337" s="1540">
        <v>660</v>
      </c>
      <c r="AA1337" s="1540">
        <v>679</v>
      </c>
      <c r="AB1337" s="1540">
        <v>6</v>
      </c>
      <c r="AC1337" s="1540">
        <v>999999</v>
      </c>
      <c r="AD1337" s="1538">
        <v>0</v>
      </c>
      <c r="AE1337" s="1545">
        <v>75</v>
      </c>
      <c r="AF1337" s="170">
        <v>0</v>
      </c>
      <c r="AG1337" s="171">
        <v>1</v>
      </c>
      <c r="AH1337" s="171">
        <v>1</v>
      </c>
      <c r="AI1337" s="171">
        <v>1</v>
      </c>
      <c r="AJ1337" s="171">
        <v>1</v>
      </c>
      <c r="AK1337" s="171">
        <v>1</v>
      </c>
      <c r="AL1337" s="171">
        <v>0</v>
      </c>
      <c r="AM1337" s="171">
        <v>1</v>
      </c>
      <c r="AN1337" s="171">
        <v>1</v>
      </c>
      <c r="AO1337" s="171">
        <v>1</v>
      </c>
      <c r="AP1337" s="171">
        <v>1</v>
      </c>
      <c r="AQ1337" s="171">
        <v>1</v>
      </c>
      <c r="AR1337" s="171">
        <v>1</v>
      </c>
      <c r="AS1337" s="171">
        <v>1</v>
      </c>
      <c r="AT1337" s="171">
        <v>1</v>
      </c>
      <c r="AU1337" s="171">
        <f t="shared" si="474"/>
        <v>0</v>
      </c>
      <c r="AV1337" s="171">
        <f t="shared" si="475"/>
        <v>0</v>
      </c>
      <c r="AW1337" s="171">
        <f t="shared" si="476"/>
        <v>1</v>
      </c>
      <c r="AX1337" s="171">
        <f t="shared" si="467"/>
        <v>1</v>
      </c>
      <c r="AY1337" s="171">
        <f t="shared" si="477"/>
        <v>0</v>
      </c>
      <c r="AZ1337" s="171">
        <f t="shared" si="478"/>
        <v>1</v>
      </c>
      <c r="BA1337" s="172">
        <f t="shared" si="479"/>
        <v>1</v>
      </c>
      <c r="BB1337" s="175">
        <f t="shared" si="481"/>
        <v>17</v>
      </c>
      <c r="BC1337" s="176">
        <f t="shared" si="482"/>
        <v>16</v>
      </c>
      <c r="BD1337" s="176">
        <f t="shared" si="483"/>
        <v>17</v>
      </c>
      <c r="BE1337" s="240" t="str">
        <f t="shared" si="473"/>
        <v/>
      </c>
      <c r="BF1337" s="990"/>
      <c r="BG1337" s="990"/>
      <c r="BH1337" s="991">
        <f>IF(AND(Input_Product=Elig!$C1337,Elig_MatchAll_Ct&lt;22,$BC1337=(Elig_MatchAll_Ct-1),AF1337=0),C1337,0)</f>
        <v>0</v>
      </c>
      <c r="BI1337" s="991">
        <f>IF(AND(Input_Product=Elig!$C1337,Elig_MatchAll_Ct&lt;22,$BC1337=(Elig_MatchAll_Ct-1),AG1337=0),D1337,0)</f>
        <v>0</v>
      </c>
      <c r="BJ1337" s="991">
        <f>IF(AND(Input_Product=Elig!$C1337,Elig_MatchAll_Ct&lt;22,$BC1337=(Elig_MatchAll_Ct-1),AH1337=0),E1337,0)</f>
        <v>0</v>
      </c>
      <c r="BK1337" s="991">
        <f>IF(AND(Input_Product=Elig!$C1337,Elig_MatchAll_Ct&lt;22,$BC1337=(Elig_MatchAll_Ct-1),AI1337=0),F1337,0)</f>
        <v>0</v>
      </c>
      <c r="BL1337" s="991">
        <f>IF(AND(Input_Product=Elig!$C1337,Elig_MatchAll_Ct&lt;22,$BC1337=(Elig_MatchAll_Ct-1),AJ1337=0),G1337,0)</f>
        <v>0</v>
      </c>
      <c r="BM1337" s="991">
        <f>IF(AND(Input_Product=Elig!$C1337,Elig_MatchAll_Ct&lt;22,$BC1337=(Elig_MatchAll_Ct-1),AK1337=0),H1337,0)</f>
        <v>0</v>
      </c>
      <c r="BN1337" s="991">
        <f>IF(AND(Input_Product=Elig!$C1337,Elig_MatchAll_Ct&lt;22,$BC1337=(Elig_MatchAll_Ct-1),AL1337=0),I1337,0)</f>
        <v>0</v>
      </c>
      <c r="BO1337" s="991">
        <f>IF(AND(Input_Product=Elig!$C1337,Elig_MatchAll_Ct&lt;22,$BC1337=(Elig_MatchAll_Ct-1),AM1337=0),J1337,0)</f>
        <v>0</v>
      </c>
      <c r="BP1337" s="991">
        <f>IF(AND(Input_Product=Elig!$C1337,Elig_MatchAll_Ct&lt;22,$BC1337=(Elig_MatchAll_Ct-1),AN1337=0),K1337,0)</f>
        <v>0</v>
      </c>
      <c r="BQ1337" s="991">
        <f>IF(AND(Input_Product=Elig!$C1337,Elig_MatchAll_Ct&lt;22,$BC1337=(Elig_MatchAll_Ct-1),AP1337=0),L1337,0)</f>
        <v>0</v>
      </c>
      <c r="BR1337" s="991">
        <f>IF(AND(Input_Product=Elig!$C1337,Elig_MatchAll_Ct&lt;22,$BC1337=(Elig_MatchAll_Ct-1),AO1337=0),M1337,0)</f>
        <v>0</v>
      </c>
      <c r="BS1337" s="991">
        <f>IF(AND(Input_Product=Elig!$C1337,Elig_MatchAll_Ct&lt;22,$BC1337=(Elig_MatchAll_Ct-1),AQ1337=0),N1337,0)</f>
        <v>0</v>
      </c>
      <c r="BT1337" s="991">
        <f>IF(AND(Input_Product=Elig!$C1337,Elig_MatchAll_Ct&lt;22,$BC1337=(Elig_MatchAll_Ct-1),AR1337=0),O1337,0)</f>
        <v>0</v>
      </c>
      <c r="BU1337" s="991">
        <f>IF(AND(Input_Product=Elig!$C1337,Elig_MatchAll_Ct&lt;22,$BC1337=(Elig_MatchAll_Ct-1),AS1337=0),P1337,0)</f>
        <v>0</v>
      </c>
      <c r="BV1337" s="992">
        <f>IF(AND(Input_Product=Elig!$C1337,Elig_MatchAll_Ct&lt;22,$BC1337=(Elig_MatchAll_Ct-1),AT1337=0),Q1337,0)</f>
        <v>0</v>
      </c>
      <c r="BW1337" s="993">
        <f>IF(AND(Input_Product=Elig!$C1337,Elig_MatchAll_Ct&lt;22,$BC1337=(Elig_MatchAll_Ct-1),AU1337=0),R1337,0)</f>
        <v>0</v>
      </c>
      <c r="BX1337" s="994">
        <f>IF(AND(Input_Product=Elig!$C1337,Elig_MatchAll_Ct&lt;22,$BC1337=(Elig_MatchAll_Ct-1),AU1337=0),S1337,0)</f>
        <v>0</v>
      </c>
      <c r="BY1337" s="993">
        <f>IF(AND(Input_Product=Elig!$C1337,Elig_MatchAll_Ct&lt;22,$BC1337=(Elig_MatchAll_Ct-1),AV1337=0),T1337,0)</f>
        <v>0</v>
      </c>
      <c r="BZ1337" s="994">
        <f>IF(AND(Input_Product=Elig!$C1337,Elig_MatchAll_Ct&lt;22,$BC1337=(Elig_MatchAll_Ct-1),AV1337=0),U1337,0)</f>
        <v>0</v>
      </c>
      <c r="CA1337" s="993">
        <f>IF(AND(Input_Product=Elig!$C1337,Elig_MatchAll_Ct&lt;22,$BC1337=(Elig_MatchAll_Ct-1),AW1337=0),V1337,0)</f>
        <v>0</v>
      </c>
      <c r="CB1337" s="994">
        <f>IF(AND(Input_Product=Elig!$C1337,Elig_MatchAll_Ct&lt;22,$BC1337=(Elig_MatchAll_Ct-1),AW1337=0),W1337,0)</f>
        <v>0</v>
      </c>
      <c r="CC1337" s="993">
        <f>IF(AND(Input_Product=Elig!$C1337,Elig_MatchAll_Ct&lt;22,$BC1337=(Elig_MatchAll_Ct-1),AX1337=0),X1337,0)</f>
        <v>0</v>
      </c>
      <c r="CD1337" s="994">
        <f>IF(AND(Input_Product=Elig!$C1337,Elig_MatchAll_Ct&lt;22,$BC1337=(Elig_MatchAll_Ct-1),AX1337=0),Y1337,0)</f>
        <v>0</v>
      </c>
      <c r="CE1337" s="993">
        <f>IF(AND(Input_LTV&lt;=AE1337,Input_Product=Elig!$C1337,Elig_MatchAll_Ct&lt;22,$BC1337=(Elig_MatchAll_Ct-1),AY1337=0),Z1337,0)</f>
        <v>0</v>
      </c>
      <c r="CF1337" s="994">
        <f>IF(AND(Input_LTV&lt;=AE1337,Input_Product=Elig!$C1337,Elig_MatchAll_Ct&lt;22,$BC1337=(Elig_MatchAll_Ct-1),AY1337=0),AA1337,0)</f>
        <v>0</v>
      </c>
      <c r="CG1337" s="993">
        <f>IF(AND(Input_Product=Elig!$C1337,Elig_MatchAll_Ct&lt;22,$BC1337=(Elig_MatchAll_Ct-1),AZ1337=0),AB1337,0)</f>
        <v>0</v>
      </c>
      <c r="CH1337" s="994">
        <f>IF(AND(Input_Product=Elig!$C1337,Elig_MatchAll_Ct&lt;22,$BC1337=(Elig_MatchAll_Ct-1),AZ1337=0),AC1337,0)</f>
        <v>0</v>
      </c>
      <c r="CI1337" s="993">
        <f>IF(AND(Input_Product=Elig!$C1337,Elig_MatchAll_Ct&lt;22,$BC1337=(Elig_MatchAll_Ct-1),BA1337=0),AD1337,0)</f>
        <v>0</v>
      </c>
      <c r="CJ1337" s="994">
        <f>IF(AND(Input_Product=Elig!$C1337,Elig_MatchAll_Ct&lt;22,$BC1337=(Elig_MatchAll_Ct-1),BA1337=0),AE1337,0)</f>
        <v>0</v>
      </c>
    </row>
    <row r="1338" spans="2:88" ht="10.15" customHeight="1" x14ac:dyDescent="0.25">
      <c r="B1338" s="1538" t="s">
        <v>2788</v>
      </c>
      <c r="C1338" s="1538" t="str">
        <f t="shared" si="480"/>
        <v xml:space="preserve">  OO</v>
      </c>
      <c r="D1338" s="1538" t="s">
        <v>2764</v>
      </c>
      <c r="E1338" s="1538" t="s">
        <v>167</v>
      </c>
      <c r="F1338" s="1538" t="s">
        <v>2765</v>
      </c>
      <c r="G1338" s="1538" t="s">
        <v>2766</v>
      </c>
      <c r="H1338" s="1538" t="s">
        <v>2767</v>
      </c>
      <c r="I1338" s="1539" t="s">
        <v>35</v>
      </c>
      <c r="J1338" s="1539" t="s">
        <v>1311</v>
      </c>
      <c r="K1338" s="1539" t="s">
        <v>3023</v>
      </c>
      <c r="L1338" s="1538" t="s">
        <v>2768</v>
      </c>
      <c r="M1338" s="1538" t="s">
        <v>2677</v>
      </c>
      <c r="N1338" s="1538" t="s">
        <v>2685</v>
      </c>
      <c r="O1338" s="1538" t="s">
        <v>310</v>
      </c>
      <c r="P1338" s="1538" t="s">
        <v>291</v>
      </c>
      <c r="Q1338" s="1538" t="s">
        <v>294</v>
      </c>
      <c r="R1338" s="1538">
        <v>1500000.01</v>
      </c>
      <c r="S1338" s="1538">
        <v>2000000</v>
      </c>
      <c r="T1338" s="1538">
        <v>0</v>
      </c>
      <c r="U1338" s="1538">
        <v>0</v>
      </c>
      <c r="V1338" s="1538">
        <v>0</v>
      </c>
      <c r="W1338" s="1538">
        <v>55</v>
      </c>
      <c r="X1338" s="1538">
        <v>0</v>
      </c>
      <c r="Y1338" s="1538">
        <v>0</v>
      </c>
      <c r="Z1338" s="1540">
        <v>660</v>
      </c>
      <c r="AA1338" s="1540">
        <v>679</v>
      </c>
      <c r="AB1338" s="1540">
        <v>6</v>
      </c>
      <c r="AC1338" s="1540">
        <v>999999</v>
      </c>
      <c r="AD1338" s="1538">
        <v>0</v>
      </c>
      <c r="AE1338" s="1545">
        <v>70</v>
      </c>
      <c r="AF1338" s="170">
        <v>0</v>
      </c>
      <c r="AG1338" s="171">
        <v>1</v>
      </c>
      <c r="AH1338" s="171">
        <v>1</v>
      </c>
      <c r="AI1338" s="171">
        <v>1</v>
      </c>
      <c r="AJ1338" s="171">
        <v>1</v>
      </c>
      <c r="AK1338" s="171">
        <v>1</v>
      </c>
      <c r="AL1338" s="171">
        <v>0</v>
      </c>
      <c r="AM1338" s="171">
        <v>1</v>
      </c>
      <c r="AN1338" s="171">
        <v>1</v>
      </c>
      <c r="AO1338" s="171">
        <v>1</v>
      </c>
      <c r="AP1338" s="171">
        <v>1</v>
      </c>
      <c r="AQ1338" s="171">
        <v>1</v>
      </c>
      <c r="AR1338" s="171">
        <v>1</v>
      </c>
      <c r="AS1338" s="171">
        <v>1</v>
      </c>
      <c r="AT1338" s="171">
        <v>1</v>
      </c>
      <c r="AU1338" s="171">
        <f t="shared" si="474"/>
        <v>0</v>
      </c>
      <c r="AV1338" s="171">
        <f t="shared" si="475"/>
        <v>0</v>
      </c>
      <c r="AW1338" s="171">
        <f t="shared" si="476"/>
        <v>1</v>
      </c>
      <c r="AX1338" s="171">
        <f t="shared" si="467"/>
        <v>1</v>
      </c>
      <c r="AY1338" s="171">
        <f t="shared" si="477"/>
        <v>0</v>
      </c>
      <c r="AZ1338" s="171">
        <f t="shared" si="478"/>
        <v>1</v>
      </c>
      <c r="BA1338" s="172">
        <f t="shared" si="479"/>
        <v>1</v>
      </c>
      <c r="BB1338" s="175">
        <f t="shared" si="481"/>
        <v>17</v>
      </c>
      <c r="BC1338" s="176">
        <f t="shared" si="482"/>
        <v>16</v>
      </c>
      <c r="BD1338" s="176">
        <f t="shared" si="483"/>
        <v>17</v>
      </c>
      <c r="BE1338" s="240" t="str">
        <f t="shared" si="473"/>
        <v/>
      </c>
      <c r="BF1338" s="990"/>
      <c r="BG1338" s="990"/>
      <c r="BH1338" s="991">
        <f>IF(AND(Input_Product=Elig!$C1338,Elig_MatchAll_Ct&lt;22,$BC1338=(Elig_MatchAll_Ct-1),AF1338=0),C1338,0)</f>
        <v>0</v>
      </c>
      <c r="BI1338" s="991">
        <f>IF(AND(Input_Product=Elig!$C1338,Elig_MatchAll_Ct&lt;22,$BC1338=(Elig_MatchAll_Ct-1),AG1338=0),D1338,0)</f>
        <v>0</v>
      </c>
      <c r="BJ1338" s="991">
        <f>IF(AND(Input_Product=Elig!$C1338,Elig_MatchAll_Ct&lt;22,$BC1338=(Elig_MatchAll_Ct-1),AH1338=0),E1338,0)</f>
        <v>0</v>
      </c>
      <c r="BK1338" s="991">
        <f>IF(AND(Input_Product=Elig!$C1338,Elig_MatchAll_Ct&lt;22,$BC1338=(Elig_MatchAll_Ct-1),AI1338=0),F1338,0)</f>
        <v>0</v>
      </c>
      <c r="BL1338" s="991">
        <f>IF(AND(Input_Product=Elig!$C1338,Elig_MatchAll_Ct&lt;22,$BC1338=(Elig_MatchAll_Ct-1),AJ1338=0),G1338,0)</f>
        <v>0</v>
      </c>
      <c r="BM1338" s="991">
        <f>IF(AND(Input_Product=Elig!$C1338,Elig_MatchAll_Ct&lt;22,$BC1338=(Elig_MatchAll_Ct-1),AK1338=0),H1338,0)</f>
        <v>0</v>
      </c>
      <c r="BN1338" s="991">
        <f>IF(AND(Input_Product=Elig!$C1338,Elig_MatchAll_Ct&lt;22,$BC1338=(Elig_MatchAll_Ct-1),AL1338=0),I1338,0)</f>
        <v>0</v>
      </c>
      <c r="BO1338" s="991">
        <f>IF(AND(Input_Product=Elig!$C1338,Elig_MatchAll_Ct&lt;22,$BC1338=(Elig_MatchAll_Ct-1),AM1338=0),J1338,0)</f>
        <v>0</v>
      </c>
      <c r="BP1338" s="991">
        <f>IF(AND(Input_Product=Elig!$C1338,Elig_MatchAll_Ct&lt;22,$BC1338=(Elig_MatchAll_Ct-1),AN1338=0),K1338,0)</f>
        <v>0</v>
      </c>
      <c r="BQ1338" s="991">
        <f>IF(AND(Input_Product=Elig!$C1338,Elig_MatchAll_Ct&lt;22,$BC1338=(Elig_MatchAll_Ct-1),AP1338=0),L1338,0)</f>
        <v>0</v>
      </c>
      <c r="BR1338" s="991">
        <f>IF(AND(Input_Product=Elig!$C1338,Elig_MatchAll_Ct&lt;22,$BC1338=(Elig_MatchAll_Ct-1),AO1338=0),M1338,0)</f>
        <v>0</v>
      </c>
      <c r="BS1338" s="991">
        <f>IF(AND(Input_Product=Elig!$C1338,Elig_MatchAll_Ct&lt;22,$BC1338=(Elig_MatchAll_Ct-1),AQ1338=0),N1338,0)</f>
        <v>0</v>
      </c>
      <c r="BT1338" s="991">
        <f>IF(AND(Input_Product=Elig!$C1338,Elig_MatchAll_Ct&lt;22,$BC1338=(Elig_MatchAll_Ct-1),AR1338=0),O1338,0)</f>
        <v>0</v>
      </c>
      <c r="BU1338" s="991">
        <f>IF(AND(Input_Product=Elig!$C1338,Elig_MatchAll_Ct&lt;22,$BC1338=(Elig_MatchAll_Ct-1),AS1338=0),P1338,0)</f>
        <v>0</v>
      </c>
      <c r="BV1338" s="992">
        <f>IF(AND(Input_Product=Elig!$C1338,Elig_MatchAll_Ct&lt;22,$BC1338=(Elig_MatchAll_Ct-1),AT1338=0),Q1338,0)</f>
        <v>0</v>
      </c>
      <c r="BW1338" s="993">
        <f>IF(AND(Input_Product=Elig!$C1338,Elig_MatchAll_Ct&lt;22,$BC1338=(Elig_MatchAll_Ct-1),AU1338=0),R1338,0)</f>
        <v>0</v>
      </c>
      <c r="BX1338" s="994">
        <f>IF(AND(Input_Product=Elig!$C1338,Elig_MatchAll_Ct&lt;22,$BC1338=(Elig_MatchAll_Ct-1),AU1338=0),S1338,0)</f>
        <v>0</v>
      </c>
      <c r="BY1338" s="993">
        <f>IF(AND(Input_Product=Elig!$C1338,Elig_MatchAll_Ct&lt;22,$BC1338=(Elig_MatchAll_Ct-1),AV1338=0),T1338,0)</f>
        <v>0</v>
      </c>
      <c r="BZ1338" s="994">
        <f>IF(AND(Input_Product=Elig!$C1338,Elig_MatchAll_Ct&lt;22,$BC1338=(Elig_MatchAll_Ct-1),AV1338=0),U1338,0)</f>
        <v>0</v>
      </c>
      <c r="CA1338" s="993">
        <f>IF(AND(Input_Product=Elig!$C1338,Elig_MatchAll_Ct&lt;22,$BC1338=(Elig_MatchAll_Ct-1),AW1338=0),V1338,0)</f>
        <v>0</v>
      </c>
      <c r="CB1338" s="994">
        <f>IF(AND(Input_Product=Elig!$C1338,Elig_MatchAll_Ct&lt;22,$BC1338=(Elig_MatchAll_Ct-1),AW1338=0),W1338,0)</f>
        <v>0</v>
      </c>
      <c r="CC1338" s="993">
        <f>IF(AND(Input_Product=Elig!$C1338,Elig_MatchAll_Ct&lt;22,$BC1338=(Elig_MatchAll_Ct-1),AX1338=0),X1338,0)</f>
        <v>0</v>
      </c>
      <c r="CD1338" s="994">
        <f>IF(AND(Input_Product=Elig!$C1338,Elig_MatchAll_Ct&lt;22,$BC1338=(Elig_MatchAll_Ct-1),AX1338=0),Y1338,0)</f>
        <v>0</v>
      </c>
      <c r="CE1338" s="993">
        <f>IF(AND(Input_LTV&lt;=AE1338,Input_Product=Elig!$C1338,Elig_MatchAll_Ct&lt;22,$BC1338=(Elig_MatchAll_Ct-1),AY1338=0),Z1338,0)</f>
        <v>0</v>
      </c>
      <c r="CF1338" s="994">
        <f>IF(AND(Input_LTV&lt;=AE1338,Input_Product=Elig!$C1338,Elig_MatchAll_Ct&lt;22,$BC1338=(Elig_MatchAll_Ct-1),AY1338=0),AA1338,0)</f>
        <v>0</v>
      </c>
      <c r="CG1338" s="993">
        <f>IF(AND(Input_Product=Elig!$C1338,Elig_MatchAll_Ct&lt;22,$BC1338=(Elig_MatchAll_Ct-1),AZ1338=0),AB1338,0)</f>
        <v>0</v>
      </c>
      <c r="CH1338" s="994">
        <f>IF(AND(Input_Product=Elig!$C1338,Elig_MatchAll_Ct&lt;22,$BC1338=(Elig_MatchAll_Ct-1),AZ1338=0),AC1338,0)</f>
        <v>0</v>
      </c>
      <c r="CI1338" s="993">
        <f>IF(AND(Input_Product=Elig!$C1338,Elig_MatchAll_Ct&lt;22,$BC1338=(Elig_MatchAll_Ct-1),BA1338=0),AD1338,0)</f>
        <v>0</v>
      </c>
      <c r="CJ1338" s="994">
        <f>IF(AND(Input_Product=Elig!$C1338,Elig_MatchAll_Ct&lt;22,$BC1338=(Elig_MatchAll_Ct-1),BA1338=0),AE1338,0)</f>
        <v>0</v>
      </c>
    </row>
    <row r="1339" spans="2:88" ht="10.15" customHeight="1" x14ac:dyDescent="0.25">
      <c r="B1339" s="1538" t="s">
        <v>2789</v>
      </c>
      <c r="C1339" s="1546" t="str">
        <f t="shared" si="480"/>
        <v xml:space="preserve">  OO</v>
      </c>
      <c r="D1339" s="1546" t="s">
        <v>2764</v>
      </c>
      <c r="E1339" s="1546" t="s">
        <v>167</v>
      </c>
      <c r="F1339" s="1546" t="s">
        <v>2765</v>
      </c>
      <c r="G1339" s="1546" t="s">
        <v>2766</v>
      </c>
      <c r="H1339" s="1546" t="s">
        <v>2767</v>
      </c>
      <c r="I1339" s="1547" t="s">
        <v>35</v>
      </c>
      <c r="J1339" s="1547" t="s">
        <v>1311</v>
      </c>
      <c r="K1339" s="1547" t="s">
        <v>3023</v>
      </c>
      <c r="L1339" s="1546" t="s">
        <v>2768</v>
      </c>
      <c r="M1339" s="1546" t="s">
        <v>2677</v>
      </c>
      <c r="N1339" s="1546" t="s">
        <v>2685</v>
      </c>
      <c r="O1339" s="1546" t="s">
        <v>310</v>
      </c>
      <c r="P1339" s="1546" t="s">
        <v>291</v>
      </c>
      <c r="Q1339" s="1546" t="s">
        <v>294</v>
      </c>
      <c r="R1339" s="1546">
        <v>2000000.01</v>
      </c>
      <c r="S1339" s="1546">
        <v>2500000</v>
      </c>
      <c r="T1339" s="1546">
        <v>0</v>
      </c>
      <c r="U1339" s="1546">
        <v>0</v>
      </c>
      <c r="V1339" s="1546">
        <v>0</v>
      </c>
      <c r="W1339" s="1546">
        <v>55</v>
      </c>
      <c r="X1339" s="1546">
        <v>0</v>
      </c>
      <c r="Y1339" s="1546">
        <v>0</v>
      </c>
      <c r="Z1339" s="1548">
        <v>660</v>
      </c>
      <c r="AA1339" s="1548">
        <v>679</v>
      </c>
      <c r="AB1339" s="1548">
        <v>6</v>
      </c>
      <c r="AC1339" s="1548">
        <v>999999</v>
      </c>
      <c r="AD1339" s="1546">
        <v>0</v>
      </c>
      <c r="AE1339" s="1549">
        <v>65</v>
      </c>
      <c r="AF1339" s="170">
        <v>0</v>
      </c>
      <c r="AG1339" s="171">
        <v>1</v>
      </c>
      <c r="AH1339" s="171">
        <v>1</v>
      </c>
      <c r="AI1339" s="171">
        <v>1</v>
      </c>
      <c r="AJ1339" s="171">
        <v>1</v>
      </c>
      <c r="AK1339" s="171">
        <v>1</v>
      </c>
      <c r="AL1339" s="171">
        <v>0</v>
      </c>
      <c r="AM1339" s="171">
        <v>1</v>
      </c>
      <c r="AN1339" s="171">
        <v>1</v>
      </c>
      <c r="AO1339" s="171">
        <v>1</v>
      </c>
      <c r="AP1339" s="171">
        <v>1</v>
      </c>
      <c r="AQ1339" s="171">
        <v>1</v>
      </c>
      <c r="AR1339" s="171">
        <v>1</v>
      </c>
      <c r="AS1339" s="171">
        <v>1</v>
      </c>
      <c r="AT1339" s="171">
        <v>1</v>
      </c>
      <c r="AU1339" s="171">
        <f t="shared" si="474"/>
        <v>0</v>
      </c>
      <c r="AV1339" s="171">
        <f t="shared" si="475"/>
        <v>0</v>
      </c>
      <c r="AW1339" s="171">
        <f t="shared" si="476"/>
        <v>1</v>
      </c>
      <c r="AX1339" s="171">
        <f t="shared" si="467"/>
        <v>1</v>
      </c>
      <c r="AY1339" s="171">
        <f t="shared" si="477"/>
        <v>0</v>
      </c>
      <c r="AZ1339" s="171">
        <f t="shared" si="478"/>
        <v>1</v>
      </c>
      <c r="BA1339" s="172">
        <f t="shared" si="479"/>
        <v>1</v>
      </c>
      <c r="BB1339" s="175">
        <f t="shared" si="481"/>
        <v>17</v>
      </c>
      <c r="BC1339" s="176">
        <f t="shared" si="482"/>
        <v>16</v>
      </c>
      <c r="BD1339" s="176">
        <f t="shared" si="483"/>
        <v>17</v>
      </c>
      <c r="BE1339" s="240" t="str">
        <f t="shared" si="473"/>
        <v/>
      </c>
      <c r="BF1339" s="990"/>
      <c r="BG1339" s="990"/>
      <c r="BH1339" s="991">
        <f>IF(AND(Input_Product=Elig!$C1339,Elig_MatchAll_Ct&lt;22,$BC1339=(Elig_MatchAll_Ct-1),AF1339=0),C1339,0)</f>
        <v>0</v>
      </c>
      <c r="BI1339" s="991">
        <f>IF(AND(Input_Product=Elig!$C1339,Elig_MatchAll_Ct&lt;22,$BC1339=(Elig_MatchAll_Ct-1),AG1339=0),D1339,0)</f>
        <v>0</v>
      </c>
      <c r="BJ1339" s="991">
        <f>IF(AND(Input_Product=Elig!$C1339,Elig_MatchAll_Ct&lt;22,$BC1339=(Elig_MatchAll_Ct-1),AH1339=0),E1339,0)</f>
        <v>0</v>
      </c>
      <c r="BK1339" s="991">
        <f>IF(AND(Input_Product=Elig!$C1339,Elig_MatchAll_Ct&lt;22,$BC1339=(Elig_MatchAll_Ct-1),AI1339=0),F1339,0)</f>
        <v>0</v>
      </c>
      <c r="BL1339" s="991">
        <f>IF(AND(Input_Product=Elig!$C1339,Elig_MatchAll_Ct&lt;22,$BC1339=(Elig_MatchAll_Ct-1),AJ1339=0),G1339,0)</f>
        <v>0</v>
      </c>
      <c r="BM1339" s="991">
        <f>IF(AND(Input_Product=Elig!$C1339,Elig_MatchAll_Ct&lt;22,$BC1339=(Elig_MatchAll_Ct-1),AK1339=0),H1339,0)</f>
        <v>0</v>
      </c>
      <c r="BN1339" s="991">
        <f>IF(AND(Input_Product=Elig!$C1339,Elig_MatchAll_Ct&lt;22,$BC1339=(Elig_MatchAll_Ct-1),AL1339=0),I1339,0)</f>
        <v>0</v>
      </c>
      <c r="BO1339" s="991">
        <f>IF(AND(Input_Product=Elig!$C1339,Elig_MatchAll_Ct&lt;22,$BC1339=(Elig_MatchAll_Ct-1),AM1339=0),J1339,0)</f>
        <v>0</v>
      </c>
      <c r="BP1339" s="991">
        <f>IF(AND(Input_Product=Elig!$C1339,Elig_MatchAll_Ct&lt;22,$BC1339=(Elig_MatchAll_Ct-1),AN1339=0),K1339,0)</f>
        <v>0</v>
      </c>
      <c r="BQ1339" s="991">
        <f>IF(AND(Input_Product=Elig!$C1339,Elig_MatchAll_Ct&lt;22,$BC1339=(Elig_MatchAll_Ct-1),AP1339=0),L1339,0)</f>
        <v>0</v>
      </c>
      <c r="BR1339" s="991">
        <f>IF(AND(Input_Product=Elig!$C1339,Elig_MatchAll_Ct&lt;22,$BC1339=(Elig_MatchAll_Ct-1),AO1339=0),M1339,0)</f>
        <v>0</v>
      </c>
      <c r="BS1339" s="991">
        <f>IF(AND(Input_Product=Elig!$C1339,Elig_MatchAll_Ct&lt;22,$BC1339=(Elig_MatchAll_Ct-1),AQ1339=0),N1339,0)</f>
        <v>0</v>
      </c>
      <c r="BT1339" s="991">
        <f>IF(AND(Input_Product=Elig!$C1339,Elig_MatchAll_Ct&lt;22,$BC1339=(Elig_MatchAll_Ct-1),AR1339=0),O1339,0)</f>
        <v>0</v>
      </c>
      <c r="BU1339" s="991">
        <f>IF(AND(Input_Product=Elig!$C1339,Elig_MatchAll_Ct&lt;22,$BC1339=(Elig_MatchAll_Ct-1),AS1339=0),P1339,0)</f>
        <v>0</v>
      </c>
      <c r="BV1339" s="992">
        <f>IF(AND(Input_Product=Elig!$C1339,Elig_MatchAll_Ct&lt;22,$BC1339=(Elig_MatchAll_Ct-1),AT1339=0),Q1339,0)</f>
        <v>0</v>
      </c>
      <c r="BW1339" s="993">
        <f>IF(AND(Input_Product=Elig!$C1339,Elig_MatchAll_Ct&lt;22,$BC1339=(Elig_MatchAll_Ct-1),AU1339=0),R1339,0)</f>
        <v>0</v>
      </c>
      <c r="BX1339" s="994">
        <f>IF(AND(Input_Product=Elig!$C1339,Elig_MatchAll_Ct&lt;22,$BC1339=(Elig_MatchAll_Ct-1),AU1339=0),S1339,0)</f>
        <v>0</v>
      </c>
      <c r="BY1339" s="993">
        <f>IF(AND(Input_Product=Elig!$C1339,Elig_MatchAll_Ct&lt;22,$BC1339=(Elig_MatchAll_Ct-1),AV1339=0),T1339,0)</f>
        <v>0</v>
      </c>
      <c r="BZ1339" s="994">
        <f>IF(AND(Input_Product=Elig!$C1339,Elig_MatchAll_Ct&lt;22,$BC1339=(Elig_MatchAll_Ct-1),AV1339=0),U1339,0)</f>
        <v>0</v>
      </c>
      <c r="CA1339" s="993">
        <f>IF(AND(Input_Product=Elig!$C1339,Elig_MatchAll_Ct&lt;22,$BC1339=(Elig_MatchAll_Ct-1),AW1339=0),V1339,0)</f>
        <v>0</v>
      </c>
      <c r="CB1339" s="994">
        <f>IF(AND(Input_Product=Elig!$C1339,Elig_MatchAll_Ct&lt;22,$BC1339=(Elig_MatchAll_Ct-1),AW1339=0),W1339,0)</f>
        <v>0</v>
      </c>
      <c r="CC1339" s="993">
        <f>IF(AND(Input_Product=Elig!$C1339,Elig_MatchAll_Ct&lt;22,$BC1339=(Elig_MatchAll_Ct-1),AX1339=0),X1339,0)</f>
        <v>0</v>
      </c>
      <c r="CD1339" s="994">
        <f>IF(AND(Input_Product=Elig!$C1339,Elig_MatchAll_Ct&lt;22,$BC1339=(Elig_MatchAll_Ct-1),AX1339=0),Y1339,0)</f>
        <v>0</v>
      </c>
      <c r="CE1339" s="993">
        <f>IF(AND(Input_LTV&lt;=AE1339,Input_Product=Elig!$C1339,Elig_MatchAll_Ct&lt;22,$BC1339=(Elig_MatchAll_Ct-1),AY1339=0),Z1339,0)</f>
        <v>0</v>
      </c>
      <c r="CF1339" s="994">
        <f>IF(AND(Input_LTV&lt;=AE1339,Input_Product=Elig!$C1339,Elig_MatchAll_Ct&lt;22,$BC1339=(Elig_MatchAll_Ct-1),AY1339=0),AA1339,0)</f>
        <v>0</v>
      </c>
      <c r="CG1339" s="993">
        <f>IF(AND(Input_Product=Elig!$C1339,Elig_MatchAll_Ct&lt;22,$BC1339=(Elig_MatchAll_Ct-1),AZ1339=0),AB1339,0)</f>
        <v>0</v>
      </c>
      <c r="CH1339" s="994">
        <f>IF(AND(Input_Product=Elig!$C1339,Elig_MatchAll_Ct&lt;22,$BC1339=(Elig_MatchAll_Ct-1),AZ1339=0),AC1339,0)</f>
        <v>0</v>
      </c>
      <c r="CI1339" s="993">
        <f>IF(AND(Input_Product=Elig!$C1339,Elig_MatchAll_Ct&lt;22,$BC1339=(Elig_MatchAll_Ct-1),BA1339=0),AD1339,0)</f>
        <v>0</v>
      </c>
      <c r="CJ1339" s="994">
        <f>IF(AND(Input_Product=Elig!$C1339,Elig_MatchAll_Ct&lt;22,$BC1339=(Elig_MatchAll_Ct-1),BA1339=0),AE1339,0)</f>
        <v>0</v>
      </c>
    </row>
    <row r="1340" spans="2:88" ht="10.15" customHeight="1" x14ac:dyDescent="0.25">
      <c r="B1340" s="1538" t="s">
        <v>2790</v>
      </c>
      <c r="C1340" s="1541" t="str">
        <f t="shared" si="480"/>
        <v xml:space="preserve">  OO</v>
      </c>
      <c r="D1340" s="1541" t="s">
        <v>2764</v>
      </c>
      <c r="E1340" s="1541" t="s">
        <v>167</v>
      </c>
      <c r="F1340" s="1541" t="s">
        <v>2765</v>
      </c>
      <c r="G1340" s="1541" t="s">
        <v>2766</v>
      </c>
      <c r="H1340" s="1541" t="s">
        <v>2767</v>
      </c>
      <c r="I1340" s="1542" t="s">
        <v>16</v>
      </c>
      <c r="J1340" s="1542" t="s">
        <v>1311</v>
      </c>
      <c r="K1340" s="1542" t="s">
        <v>3023</v>
      </c>
      <c r="L1340" s="1541" t="s">
        <v>2768</v>
      </c>
      <c r="M1340" s="1541" t="s">
        <v>2677</v>
      </c>
      <c r="N1340" s="1541" t="s">
        <v>2685</v>
      </c>
      <c r="O1340" s="1541" t="s">
        <v>310</v>
      </c>
      <c r="P1340" s="1541" t="s">
        <v>291</v>
      </c>
      <c r="Q1340" s="1541" t="s">
        <v>294</v>
      </c>
      <c r="R1340" s="1541">
        <v>150000</v>
      </c>
      <c r="S1340" s="1541">
        <v>1000000</v>
      </c>
      <c r="T1340" s="1541">
        <v>0</v>
      </c>
      <c r="U1340" s="1541">
        <f>S1340</f>
        <v>1000000</v>
      </c>
      <c r="V1340" s="1541">
        <v>0</v>
      </c>
      <c r="W1340" s="1541">
        <v>55</v>
      </c>
      <c r="X1340" s="1541">
        <v>0</v>
      </c>
      <c r="Y1340" s="1541">
        <v>0</v>
      </c>
      <c r="Z1340" s="1543">
        <v>720</v>
      </c>
      <c r="AA1340" s="1543">
        <v>999</v>
      </c>
      <c r="AB1340" s="1543">
        <v>6</v>
      </c>
      <c r="AC1340" s="1543">
        <v>999999</v>
      </c>
      <c r="AD1340" s="1541">
        <v>0</v>
      </c>
      <c r="AE1340" s="1544">
        <v>80</v>
      </c>
      <c r="AF1340" s="170">
        <v>0</v>
      </c>
      <c r="AG1340" s="171">
        <v>1</v>
      </c>
      <c r="AH1340" s="171">
        <v>1</v>
      </c>
      <c r="AI1340" s="171">
        <v>1</v>
      </c>
      <c r="AJ1340" s="171">
        <v>1</v>
      </c>
      <c r="AK1340" s="171">
        <v>1</v>
      </c>
      <c r="AL1340" s="171">
        <v>1</v>
      </c>
      <c r="AM1340" s="171">
        <v>1</v>
      </c>
      <c r="AN1340" s="171">
        <v>1</v>
      </c>
      <c r="AO1340" s="171">
        <v>1</v>
      </c>
      <c r="AP1340" s="171">
        <v>1</v>
      </c>
      <c r="AQ1340" s="171">
        <v>1</v>
      </c>
      <c r="AR1340" s="171">
        <v>1</v>
      </c>
      <c r="AS1340" s="171">
        <v>1</v>
      </c>
      <c r="AT1340" s="171">
        <v>1</v>
      </c>
      <c r="AU1340" s="171">
        <f t="shared" si="474"/>
        <v>1</v>
      </c>
      <c r="AV1340" s="171">
        <f t="shared" si="475"/>
        <v>1</v>
      </c>
      <c r="AW1340" s="171">
        <f t="shared" si="476"/>
        <v>1</v>
      </c>
      <c r="AX1340" s="171">
        <f t="shared" si="467"/>
        <v>1</v>
      </c>
      <c r="AY1340" s="171">
        <f t="shared" si="477"/>
        <v>1</v>
      </c>
      <c r="AZ1340" s="171">
        <f t="shared" si="478"/>
        <v>1</v>
      </c>
      <c r="BA1340" s="172">
        <f t="shared" si="479"/>
        <v>1</v>
      </c>
      <c r="BB1340" s="175">
        <f t="shared" si="481"/>
        <v>21</v>
      </c>
      <c r="BC1340" s="176">
        <f t="shared" si="482"/>
        <v>20</v>
      </c>
      <c r="BD1340" s="176">
        <f t="shared" si="483"/>
        <v>21</v>
      </c>
      <c r="BE1340" s="240" t="str">
        <f t="shared" si="473"/>
        <v xml:space="preserve">  OO</v>
      </c>
      <c r="BF1340" s="990"/>
      <c r="BG1340" s="990"/>
      <c r="BH1340" s="991">
        <f>IF(AND(Input_Product=Elig!$C1340,Elig_MatchAll_Ct&lt;22,$BC1340=(Elig_MatchAll_Ct-1),AF1340=0),C1340,0)</f>
        <v>0</v>
      </c>
      <c r="BI1340" s="991">
        <f>IF(AND(Input_Product=Elig!$C1340,Elig_MatchAll_Ct&lt;22,$BC1340=(Elig_MatchAll_Ct-1),AG1340=0),D1340,0)</f>
        <v>0</v>
      </c>
      <c r="BJ1340" s="991">
        <f>IF(AND(Input_Product=Elig!$C1340,Elig_MatchAll_Ct&lt;22,$BC1340=(Elig_MatchAll_Ct-1),AH1340=0),E1340,0)</f>
        <v>0</v>
      </c>
      <c r="BK1340" s="991">
        <f>IF(AND(Input_Product=Elig!$C1340,Elig_MatchAll_Ct&lt;22,$BC1340=(Elig_MatchAll_Ct-1),AI1340=0),F1340,0)</f>
        <v>0</v>
      </c>
      <c r="BL1340" s="991">
        <f>IF(AND(Input_Product=Elig!$C1340,Elig_MatchAll_Ct&lt;22,$BC1340=(Elig_MatchAll_Ct-1),AJ1340=0),G1340,0)</f>
        <v>0</v>
      </c>
      <c r="BM1340" s="991">
        <f>IF(AND(Input_Product=Elig!$C1340,Elig_MatchAll_Ct&lt;22,$BC1340=(Elig_MatchAll_Ct-1),AK1340=0),H1340,0)</f>
        <v>0</v>
      </c>
      <c r="BN1340" s="991">
        <f>IF(AND(Input_Product=Elig!$C1340,Elig_MatchAll_Ct&lt;22,$BC1340=(Elig_MatchAll_Ct-1),AL1340=0),I1340,0)</f>
        <v>0</v>
      </c>
      <c r="BO1340" s="991">
        <f>IF(AND(Input_Product=Elig!$C1340,Elig_MatchAll_Ct&lt;22,$BC1340=(Elig_MatchAll_Ct-1),AM1340=0),J1340,0)</f>
        <v>0</v>
      </c>
      <c r="BP1340" s="991">
        <f>IF(AND(Input_Product=Elig!$C1340,Elig_MatchAll_Ct&lt;22,$BC1340=(Elig_MatchAll_Ct-1),AN1340=0),K1340,0)</f>
        <v>0</v>
      </c>
      <c r="BQ1340" s="991">
        <f>IF(AND(Input_Product=Elig!$C1340,Elig_MatchAll_Ct&lt;22,$BC1340=(Elig_MatchAll_Ct-1),AP1340=0),L1340,0)</f>
        <v>0</v>
      </c>
      <c r="BR1340" s="991">
        <f>IF(AND(Input_Product=Elig!$C1340,Elig_MatchAll_Ct&lt;22,$BC1340=(Elig_MatchAll_Ct-1),AO1340=0),M1340,0)</f>
        <v>0</v>
      </c>
      <c r="BS1340" s="991">
        <f>IF(AND(Input_Product=Elig!$C1340,Elig_MatchAll_Ct&lt;22,$BC1340=(Elig_MatchAll_Ct-1),AQ1340=0),N1340,0)</f>
        <v>0</v>
      </c>
      <c r="BT1340" s="991">
        <f>IF(AND(Input_Product=Elig!$C1340,Elig_MatchAll_Ct&lt;22,$BC1340=(Elig_MatchAll_Ct-1),AR1340=0),O1340,0)</f>
        <v>0</v>
      </c>
      <c r="BU1340" s="991">
        <f>IF(AND(Input_Product=Elig!$C1340,Elig_MatchAll_Ct&lt;22,$BC1340=(Elig_MatchAll_Ct-1),AS1340=0),P1340,0)</f>
        <v>0</v>
      </c>
      <c r="BV1340" s="992">
        <f>IF(AND(Input_Product=Elig!$C1340,Elig_MatchAll_Ct&lt;22,$BC1340=(Elig_MatchAll_Ct-1),AT1340=0),Q1340,0)</f>
        <v>0</v>
      </c>
      <c r="BW1340" s="993">
        <f>IF(AND(Input_Product=Elig!$C1340,Elig_MatchAll_Ct&lt;22,$BC1340=(Elig_MatchAll_Ct-1),AU1340=0),R1340,0)</f>
        <v>0</v>
      </c>
      <c r="BX1340" s="994">
        <f>IF(AND(Input_Product=Elig!$C1340,Elig_MatchAll_Ct&lt;22,$BC1340=(Elig_MatchAll_Ct-1),AU1340=0),S1340,0)</f>
        <v>0</v>
      </c>
      <c r="BY1340" s="993">
        <f>IF(AND(Input_Product=Elig!$C1340,Elig_MatchAll_Ct&lt;22,$BC1340=(Elig_MatchAll_Ct-1),AV1340=0),T1340,0)</f>
        <v>0</v>
      </c>
      <c r="BZ1340" s="994">
        <f>IF(AND(Input_Product=Elig!$C1340,Elig_MatchAll_Ct&lt;22,$BC1340=(Elig_MatchAll_Ct-1),AV1340=0),U1340,0)</f>
        <v>0</v>
      </c>
      <c r="CA1340" s="993">
        <f>IF(AND(Input_Product=Elig!$C1340,Elig_MatchAll_Ct&lt;22,$BC1340=(Elig_MatchAll_Ct-1),AW1340=0),V1340,0)</f>
        <v>0</v>
      </c>
      <c r="CB1340" s="994">
        <f>IF(AND(Input_Product=Elig!$C1340,Elig_MatchAll_Ct&lt;22,$BC1340=(Elig_MatchAll_Ct-1),AW1340=0),W1340,0)</f>
        <v>0</v>
      </c>
      <c r="CC1340" s="993">
        <f>IF(AND(Input_Product=Elig!$C1340,Elig_MatchAll_Ct&lt;22,$BC1340=(Elig_MatchAll_Ct-1),AX1340=0),X1340,0)</f>
        <v>0</v>
      </c>
      <c r="CD1340" s="994">
        <f>IF(AND(Input_Product=Elig!$C1340,Elig_MatchAll_Ct&lt;22,$BC1340=(Elig_MatchAll_Ct-1),AX1340=0),Y1340,0)</f>
        <v>0</v>
      </c>
      <c r="CE1340" s="993">
        <f>IF(AND(Input_LTV&lt;=AE1340,Input_Product=Elig!$C1340,Elig_MatchAll_Ct&lt;22,$BC1340=(Elig_MatchAll_Ct-1),AY1340=0),Z1340,0)</f>
        <v>0</v>
      </c>
      <c r="CF1340" s="994">
        <f>IF(AND(Input_LTV&lt;=AE1340,Input_Product=Elig!$C1340,Elig_MatchAll_Ct&lt;22,$BC1340=(Elig_MatchAll_Ct-1),AY1340=0),AA1340,0)</f>
        <v>0</v>
      </c>
      <c r="CG1340" s="993">
        <f>IF(AND(Input_Product=Elig!$C1340,Elig_MatchAll_Ct&lt;22,$BC1340=(Elig_MatchAll_Ct-1),AZ1340=0),AB1340,0)</f>
        <v>0</v>
      </c>
      <c r="CH1340" s="994">
        <f>IF(AND(Input_Product=Elig!$C1340,Elig_MatchAll_Ct&lt;22,$BC1340=(Elig_MatchAll_Ct-1),AZ1340=0),AC1340,0)</f>
        <v>0</v>
      </c>
      <c r="CI1340" s="993">
        <f>IF(AND(Input_Product=Elig!$C1340,Elig_MatchAll_Ct&lt;22,$BC1340=(Elig_MatchAll_Ct-1),BA1340=0),AD1340,0)</f>
        <v>0</v>
      </c>
      <c r="CJ1340" s="994">
        <f>IF(AND(Input_Product=Elig!$C1340,Elig_MatchAll_Ct&lt;22,$BC1340=(Elig_MatchAll_Ct-1),BA1340=0),AE1340,0)</f>
        <v>0</v>
      </c>
    </row>
    <row r="1341" spans="2:88" ht="10.15" customHeight="1" x14ac:dyDescent="0.25">
      <c r="B1341" s="1538" t="s">
        <v>2791</v>
      </c>
      <c r="C1341" s="1538" t="str">
        <f t="shared" si="480"/>
        <v xml:space="preserve">  OO</v>
      </c>
      <c r="D1341" s="1538" t="s">
        <v>2764</v>
      </c>
      <c r="E1341" s="1538" t="s">
        <v>167</v>
      </c>
      <c r="F1341" s="1538" t="s">
        <v>2765</v>
      </c>
      <c r="G1341" s="1538" t="s">
        <v>2766</v>
      </c>
      <c r="H1341" s="1538" t="s">
        <v>2767</v>
      </c>
      <c r="I1341" s="1539" t="s">
        <v>16</v>
      </c>
      <c r="J1341" s="1539" t="s">
        <v>1311</v>
      </c>
      <c r="K1341" s="1539" t="s">
        <v>3023</v>
      </c>
      <c r="L1341" s="1538" t="s">
        <v>2768</v>
      </c>
      <c r="M1341" s="1538" t="s">
        <v>2677</v>
      </c>
      <c r="N1341" s="1538" t="s">
        <v>2685</v>
      </c>
      <c r="O1341" s="1538" t="s">
        <v>310</v>
      </c>
      <c r="P1341" s="1538" t="s">
        <v>291</v>
      </c>
      <c r="Q1341" s="1538" t="s">
        <v>294</v>
      </c>
      <c r="R1341" s="1538">
        <v>1000000.01</v>
      </c>
      <c r="S1341" s="1538">
        <v>1500000</v>
      </c>
      <c r="T1341" s="1538">
        <v>0</v>
      </c>
      <c r="U1341" s="1538">
        <f t="shared" ref="U1341:U1404" si="484">S1341</f>
        <v>1500000</v>
      </c>
      <c r="V1341" s="1538">
        <v>0</v>
      </c>
      <c r="W1341" s="1538">
        <v>55</v>
      </c>
      <c r="X1341" s="1538">
        <v>0</v>
      </c>
      <c r="Y1341" s="1538">
        <v>0</v>
      </c>
      <c r="Z1341" s="1540">
        <v>720</v>
      </c>
      <c r="AA1341" s="1540">
        <v>999</v>
      </c>
      <c r="AB1341" s="1540">
        <v>6</v>
      </c>
      <c r="AC1341" s="1540">
        <v>999999</v>
      </c>
      <c r="AD1341" s="1538">
        <v>0</v>
      </c>
      <c r="AE1341" s="1545">
        <v>80</v>
      </c>
      <c r="AF1341" s="170">
        <v>0</v>
      </c>
      <c r="AG1341" s="171">
        <v>1</v>
      </c>
      <c r="AH1341" s="171">
        <v>1</v>
      </c>
      <c r="AI1341" s="171">
        <v>1</v>
      </c>
      <c r="AJ1341" s="171">
        <v>1</v>
      </c>
      <c r="AK1341" s="171">
        <v>1</v>
      </c>
      <c r="AL1341" s="171">
        <v>1</v>
      </c>
      <c r="AM1341" s="171">
        <v>1</v>
      </c>
      <c r="AN1341" s="171">
        <v>1</v>
      </c>
      <c r="AO1341" s="171">
        <v>1</v>
      </c>
      <c r="AP1341" s="171">
        <v>1</v>
      </c>
      <c r="AQ1341" s="171">
        <v>1</v>
      </c>
      <c r="AR1341" s="171">
        <v>1</v>
      </c>
      <c r="AS1341" s="171">
        <v>1</v>
      </c>
      <c r="AT1341" s="171">
        <v>1</v>
      </c>
      <c r="AU1341" s="171">
        <f t="shared" si="474"/>
        <v>0</v>
      </c>
      <c r="AV1341" s="171">
        <f t="shared" si="475"/>
        <v>1</v>
      </c>
      <c r="AW1341" s="171">
        <f t="shared" si="476"/>
        <v>1</v>
      </c>
      <c r="AX1341" s="171">
        <f t="shared" si="467"/>
        <v>1</v>
      </c>
      <c r="AY1341" s="171">
        <f t="shared" si="477"/>
        <v>1</v>
      </c>
      <c r="AZ1341" s="171">
        <f t="shared" si="478"/>
        <v>1</v>
      </c>
      <c r="BA1341" s="172">
        <f t="shared" si="479"/>
        <v>1</v>
      </c>
      <c r="BB1341" s="175">
        <f t="shared" si="481"/>
        <v>20</v>
      </c>
      <c r="BC1341" s="176">
        <f t="shared" si="482"/>
        <v>19</v>
      </c>
      <c r="BD1341" s="176">
        <f t="shared" si="483"/>
        <v>20</v>
      </c>
      <c r="BE1341" s="240" t="str">
        <f t="shared" si="473"/>
        <v/>
      </c>
      <c r="BF1341" s="990"/>
      <c r="BG1341" s="990"/>
      <c r="BH1341" s="991">
        <f>IF(AND(Input_Product=Elig!$C1341,Elig_MatchAll_Ct&lt;22,$BC1341=(Elig_MatchAll_Ct-1),AF1341=0),C1341,0)</f>
        <v>0</v>
      </c>
      <c r="BI1341" s="991">
        <f>IF(AND(Input_Product=Elig!$C1341,Elig_MatchAll_Ct&lt;22,$BC1341=(Elig_MatchAll_Ct-1),AG1341=0),D1341,0)</f>
        <v>0</v>
      </c>
      <c r="BJ1341" s="991">
        <f>IF(AND(Input_Product=Elig!$C1341,Elig_MatchAll_Ct&lt;22,$BC1341=(Elig_MatchAll_Ct-1),AH1341=0),E1341,0)</f>
        <v>0</v>
      </c>
      <c r="BK1341" s="991">
        <f>IF(AND(Input_Product=Elig!$C1341,Elig_MatchAll_Ct&lt;22,$BC1341=(Elig_MatchAll_Ct-1),AI1341=0),F1341,0)</f>
        <v>0</v>
      </c>
      <c r="BL1341" s="991">
        <f>IF(AND(Input_Product=Elig!$C1341,Elig_MatchAll_Ct&lt;22,$BC1341=(Elig_MatchAll_Ct-1),AJ1341=0),G1341,0)</f>
        <v>0</v>
      </c>
      <c r="BM1341" s="991">
        <f>IF(AND(Input_Product=Elig!$C1341,Elig_MatchAll_Ct&lt;22,$BC1341=(Elig_MatchAll_Ct-1),AK1341=0),H1341,0)</f>
        <v>0</v>
      </c>
      <c r="BN1341" s="991">
        <f>IF(AND(Input_Product=Elig!$C1341,Elig_MatchAll_Ct&lt;22,$BC1341=(Elig_MatchAll_Ct-1),AL1341=0),I1341,0)</f>
        <v>0</v>
      </c>
      <c r="BO1341" s="991">
        <f>IF(AND(Input_Product=Elig!$C1341,Elig_MatchAll_Ct&lt;22,$BC1341=(Elig_MatchAll_Ct-1),AM1341=0),J1341,0)</f>
        <v>0</v>
      </c>
      <c r="BP1341" s="991">
        <f>IF(AND(Input_Product=Elig!$C1341,Elig_MatchAll_Ct&lt;22,$BC1341=(Elig_MatchAll_Ct-1),AN1341=0),K1341,0)</f>
        <v>0</v>
      </c>
      <c r="BQ1341" s="991">
        <f>IF(AND(Input_Product=Elig!$C1341,Elig_MatchAll_Ct&lt;22,$BC1341=(Elig_MatchAll_Ct-1),AP1341=0),L1341,0)</f>
        <v>0</v>
      </c>
      <c r="BR1341" s="991">
        <f>IF(AND(Input_Product=Elig!$C1341,Elig_MatchAll_Ct&lt;22,$BC1341=(Elig_MatchAll_Ct-1),AO1341=0),M1341,0)</f>
        <v>0</v>
      </c>
      <c r="BS1341" s="991">
        <f>IF(AND(Input_Product=Elig!$C1341,Elig_MatchAll_Ct&lt;22,$BC1341=(Elig_MatchAll_Ct-1),AQ1341=0),N1341,0)</f>
        <v>0</v>
      </c>
      <c r="BT1341" s="991">
        <f>IF(AND(Input_Product=Elig!$C1341,Elig_MatchAll_Ct&lt;22,$BC1341=(Elig_MatchAll_Ct-1),AR1341=0),O1341,0)</f>
        <v>0</v>
      </c>
      <c r="BU1341" s="991">
        <f>IF(AND(Input_Product=Elig!$C1341,Elig_MatchAll_Ct&lt;22,$BC1341=(Elig_MatchAll_Ct-1),AS1341=0),P1341,0)</f>
        <v>0</v>
      </c>
      <c r="BV1341" s="992">
        <f>IF(AND(Input_Product=Elig!$C1341,Elig_MatchAll_Ct&lt;22,$BC1341=(Elig_MatchAll_Ct-1),AT1341=0),Q1341,0)</f>
        <v>0</v>
      </c>
      <c r="BW1341" s="993">
        <f>IF(AND(Input_Product=Elig!$C1341,Elig_MatchAll_Ct&lt;22,$BC1341=(Elig_MatchAll_Ct-1),AU1341=0),R1341,0)</f>
        <v>0</v>
      </c>
      <c r="BX1341" s="994">
        <f>IF(AND(Input_Product=Elig!$C1341,Elig_MatchAll_Ct&lt;22,$BC1341=(Elig_MatchAll_Ct-1),AU1341=0),S1341,0)</f>
        <v>0</v>
      </c>
      <c r="BY1341" s="993">
        <f>IF(AND(Input_Product=Elig!$C1341,Elig_MatchAll_Ct&lt;22,$BC1341=(Elig_MatchAll_Ct-1),AV1341=0),T1341,0)</f>
        <v>0</v>
      </c>
      <c r="BZ1341" s="994">
        <f>IF(AND(Input_Product=Elig!$C1341,Elig_MatchAll_Ct&lt;22,$BC1341=(Elig_MatchAll_Ct-1),AV1341=0),U1341,0)</f>
        <v>0</v>
      </c>
      <c r="CA1341" s="993">
        <f>IF(AND(Input_Product=Elig!$C1341,Elig_MatchAll_Ct&lt;22,$BC1341=(Elig_MatchAll_Ct-1),AW1341=0),V1341,0)</f>
        <v>0</v>
      </c>
      <c r="CB1341" s="994">
        <f>IF(AND(Input_Product=Elig!$C1341,Elig_MatchAll_Ct&lt;22,$BC1341=(Elig_MatchAll_Ct-1),AW1341=0),W1341,0)</f>
        <v>0</v>
      </c>
      <c r="CC1341" s="993">
        <f>IF(AND(Input_Product=Elig!$C1341,Elig_MatchAll_Ct&lt;22,$BC1341=(Elig_MatchAll_Ct-1),AX1341=0),X1341,0)</f>
        <v>0</v>
      </c>
      <c r="CD1341" s="994">
        <f>IF(AND(Input_Product=Elig!$C1341,Elig_MatchAll_Ct&lt;22,$BC1341=(Elig_MatchAll_Ct-1),AX1341=0),Y1341,0)</f>
        <v>0</v>
      </c>
      <c r="CE1341" s="993">
        <f>IF(AND(Input_LTV&lt;=AE1341,Input_Product=Elig!$C1341,Elig_MatchAll_Ct&lt;22,$BC1341=(Elig_MatchAll_Ct-1),AY1341=0),Z1341,0)</f>
        <v>0</v>
      </c>
      <c r="CF1341" s="994">
        <f>IF(AND(Input_LTV&lt;=AE1341,Input_Product=Elig!$C1341,Elig_MatchAll_Ct&lt;22,$BC1341=(Elig_MatchAll_Ct-1),AY1341=0),AA1341,0)</f>
        <v>0</v>
      </c>
      <c r="CG1341" s="993">
        <f>IF(AND(Input_Product=Elig!$C1341,Elig_MatchAll_Ct&lt;22,$BC1341=(Elig_MatchAll_Ct-1),AZ1341=0),AB1341,0)</f>
        <v>0</v>
      </c>
      <c r="CH1341" s="994">
        <f>IF(AND(Input_Product=Elig!$C1341,Elig_MatchAll_Ct&lt;22,$BC1341=(Elig_MatchAll_Ct-1),AZ1341=0),AC1341,0)</f>
        <v>0</v>
      </c>
      <c r="CI1341" s="993">
        <f>IF(AND(Input_Product=Elig!$C1341,Elig_MatchAll_Ct&lt;22,$BC1341=(Elig_MatchAll_Ct-1),BA1341=0),AD1341,0)</f>
        <v>0</v>
      </c>
      <c r="CJ1341" s="994">
        <f>IF(AND(Input_Product=Elig!$C1341,Elig_MatchAll_Ct&lt;22,$BC1341=(Elig_MatchAll_Ct-1),BA1341=0),AE1341,0)</f>
        <v>0</v>
      </c>
    </row>
    <row r="1342" spans="2:88" ht="10.15" customHeight="1" x14ac:dyDescent="0.25">
      <c r="B1342" s="1538" t="s">
        <v>2792</v>
      </c>
      <c r="C1342" s="1538" t="str">
        <f t="shared" si="480"/>
        <v xml:space="preserve">  OO</v>
      </c>
      <c r="D1342" s="1538" t="s">
        <v>2764</v>
      </c>
      <c r="E1342" s="1538" t="s">
        <v>167</v>
      </c>
      <c r="F1342" s="1538" t="s">
        <v>2765</v>
      </c>
      <c r="G1342" s="1538" t="s">
        <v>2766</v>
      </c>
      <c r="H1342" s="1538" t="s">
        <v>2767</v>
      </c>
      <c r="I1342" s="1539" t="s">
        <v>16</v>
      </c>
      <c r="J1342" s="1539" t="s">
        <v>1311</v>
      </c>
      <c r="K1342" s="1539" t="s">
        <v>3023</v>
      </c>
      <c r="L1342" s="1538" t="s">
        <v>2768</v>
      </c>
      <c r="M1342" s="1538" t="s">
        <v>2677</v>
      </c>
      <c r="N1342" s="1538" t="s">
        <v>2685</v>
      </c>
      <c r="O1342" s="1538" t="s">
        <v>310</v>
      </c>
      <c r="P1342" s="1538" t="s">
        <v>291</v>
      </c>
      <c r="Q1342" s="1538" t="s">
        <v>294</v>
      </c>
      <c r="R1342" s="1538">
        <v>1500000.01</v>
      </c>
      <c r="S1342" s="1538">
        <v>2000000</v>
      </c>
      <c r="T1342" s="1538">
        <v>0</v>
      </c>
      <c r="U1342" s="1538">
        <f t="shared" si="484"/>
        <v>2000000</v>
      </c>
      <c r="V1342" s="1538">
        <v>0</v>
      </c>
      <c r="W1342" s="1538">
        <v>55</v>
      </c>
      <c r="X1342" s="1538">
        <v>0</v>
      </c>
      <c r="Y1342" s="1538">
        <v>0</v>
      </c>
      <c r="Z1342" s="1540">
        <v>720</v>
      </c>
      <c r="AA1342" s="1540">
        <v>999</v>
      </c>
      <c r="AB1342" s="1540">
        <v>6</v>
      </c>
      <c r="AC1342" s="1540">
        <v>999999</v>
      </c>
      <c r="AD1342" s="1538">
        <v>0</v>
      </c>
      <c r="AE1342" s="1545">
        <v>80</v>
      </c>
      <c r="AF1342" s="170">
        <v>0</v>
      </c>
      <c r="AG1342" s="171">
        <v>1</v>
      </c>
      <c r="AH1342" s="171">
        <v>1</v>
      </c>
      <c r="AI1342" s="171">
        <v>1</v>
      </c>
      <c r="AJ1342" s="171">
        <v>1</v>
      </c>
      <c r="AK1342" s="171">
        <v>1</v>
      </c>
      <c r="AL1342" s="171">
        <v>1</v>
      </c>
      <c r="AM1342" s="171">
        <v>1</v>
      </c>
      <c r="AN1342" s="171">
        <v>1</v>
      </c>
      <c r="AO1342" s="171">
        <v>1</v>
      </c>
      <c r="AP1342" s="171">
        <v>1</v>
      </c>
      <c r="AQ1342" s="171">
        <v>1</v>
      </c>
      <c r="AR1342" s="171">
        <v>1</v>
      </c>
      <c r="AS1342" s="171">
        <v>1</v>
      </c>
      <c r="AT1342" s="171">
        <v>1</v>
      </c>
      <c r="AU1342" s="171">
        <f t="shared" si="474"/>
        <v>0</v>
      </c>
      <c r="AV1342" s="171">
        <f t="shared" si="475"/>
        <v>1</v>
      </c>
      <c r="AW1342" s="171">
        <f t="shared" si="476"/>
        <v>1</v>
      </c>
      <c r="AX1342" s="171">
        <f t="shared" si="467"/>
        <v>1</v>
      </c>
      <c r="AY1342" s="171">
        <f t="shared" si="477"/>
        <v>1</v>
      </c>
      <c r="AZ1342" s="171">
        <f t="shared" si="478"/>
        <v>1</v>
      </c>
      <c r="BA1342" s="172">
        <f t="shared" si="479"/>
        <v>1</v>
      </c>
      <c r="BB1342" s="175">
        <f t="shared" si="481"/>
        <v>20</v>
      </c>
      <c r="BC1342" s="176">
        <f t="shared" si="482"/>
        <v>19</v>
      </c>
      <c r="BD1342" s="176">
        <f t="shared" si="483"/>
        <v>20</v>
      </c>
      <c r="BE1342" s="240" t="str">
        <f t="shared" si="473"/>
        <v/>
      </c>
      <c r="BF1342" s="990"/>
      <c r="BG1342" s="990"/>
      <c r="BH1342" s="991">
        <f>IF(AND(Input_Product=Elig!$C1342,Elig_MatchAll_Ct&lt;22,$BC1342=(Elig_MatchAll_Ct-1),AF1342=0),C1342,0)</f>
        <v>0</v>
      </c>
      <c r="BI1342" s="991">
        <f>IF(AND(Input_Product=Elig!$C1342,Elig_MatchAll_Ct&lt;22,$BC1342=(Elig_MatchAll_Ct-1),AG1342=0),D1342,0)</f>
        <v>0</v>
      </c>
      <c r="BJ1342" s="991">
        <f>IF(AND(Input_Product=Elig!$C1342,Elig_MatchAll_Ct&lt;22,$BC1342=(Elig_MatchAll_Ct-1),AH1342=0),E1342,0)</f>
        <v>0</v>
      </c>
      <c r="BK1342" s="991">
        <f>IF(AND(Input_Product=Elig!$C1342,Elig_MatchAll_Ct&lt;22,$BC1342=(Elig_MatchAll_Ct-1),AI1342=0),F1342,0)</f>
        <v>0</v>
      </c>
      <c r="BL1342" s="991">
        <f>IF(AND(Input_Product=Elig!$C1342,Elig_MatchAll_Ct&lt;22,$BC1342=(Elig_MatchAll_Ct-1),AJ1342=0),G1342,0)</f>
        <v>0</v>
      </c>
      <c r="BM1342" s="991">
        <f>IF(AND(Input_Product=Elig!$C1342,Elig_MatchAll_Ct&lt;22,$BC1342=(Elig_MatchAll_Ct-1),AK1342=0),H1342,0)</f>
        <v>0</v>
      </c>
      <c r="BN1342" s="991">
        <f>IF(AND(Input_Product=Elig!$C1342,Elig_MatchAll_Ct&lt;22,$BC1342=(Elig_MatchAll_Ct-1),AL1342=0),I1342,0)</f>
        <v>0</v>
      </c>
      <c r="BO1342" s="991">
        <f>IF(AND(Input_Product=Elig!$C1342,Elig_MatchAll_Ct&lt;22,$BC1342=(Elig_MatchAll_Ct-1),AM1342=0),J1342,0)</f>
        <v>0</v>
      </c>
      <c r="BP1342" s="991">
        <f>IF(AND(Input_Product=Elig!$C1342,Elig_MatchAll_Ct&lt;22,$BC1342=(Elig_MatchAll_Ct-1),AN1342=0),K1342,0)</f>
        <v>0</v>
      </c>
      <c r="BQ1342" s="991">
        <f>IF(AND(Input_Product=Elig!$C1342,Elig_MatchAll_Ct&lt;22,$BC1342=(Elig_MatchAll_Ct-1),AP1342=0),L1342,0)</f>
        <v>0</v>
      </c>
      <c r="BR1342" s="991">
        <f>IF(AND(Input_Product=Elig!$C1342,Elig_MatchAll_Ct&lt;22,$BC1342=(Elig_MatchAll_Ct-1),AO1342=0),M1342,0)</f>
        <v>0</v>
      </c>
      <c r="BS1342" s="991">
        <f>IF(AND(Input_Product=Elig!$C1342,Elig_MatchAll_Ct&lt;22,$BC1342=(Elig_MatchAll_Ct-1),AQ1342=0),N1342,0)</f>
        <v>0</v>
      </c>
      <c r="BT1342" s="991">
        <f>IF(AND(Input_Product=Elig!$C1342,Elig_MatchAll_Ct&lt;22,$BC1342=(Elig_MatchAll_Ct-1),AR1342=0),O1342,0)</f>
        <v>0</v>
      </c>
      <c r="BU1342" s="991">
        <f>IF(AND(Input_Product=Elig!$C1342,Elig_MatchAll_Ct&lt;22,$BC1342=(Elig_MatchAll_Ct-1),AS1342=0),P1342,0)</f>
        <v>0</v>
      </c>
      <c r="BV1342" s="992">
        <f>IF(AND(Input_Product=Elig!$C1342,Elig_MatchAll_Ct&lt;22,$BC1342=(Elig_MatchAll_Ct-1),AT1342=0),Q1342,0)</f>
        <v>0</v>
      </c>
      <c r="BW1342" s="993">
        <f>IF(AND(Input_Product=Elig!$C1342,Elig_MatchAll_Ct&lt;22,$BC1342=(Elig_MatchAll_Ct-1),AU1342=0),R1342,0)</f>
        <v>0</v>
      </c>
      <c r="BX1342" s="994">
        <f>IF(AND(Input_Product=Elig!$C1342,Elig_MatchAll_Ct&lt;22,$BC1342=(Elig_MatchAll_Ct-1),AU1342=0),S1342,0)</f>
        <v>0</v>
      </c>
      <c r="BY1342" s="993">
        <f>IF(AND(Input_Product=Elig!$C1342,Elig_MatchAll_Ct&lt;22,$BC1342=(Elig_MatchAll_Ct-1),AV1342=0),T1342,0)</f>
        <v>0</v>
      </c>
      <c r="BZ1342" s="994">
        <f>IF(AND(Input_Product=Elig!$C1342,Elig_MatchAll_Ct&lt;22,$BC1342=(Elig_MatchAll_Ct-1),AV1342=0),U1342,0)</f>
        <v>0</v>
      </c>
      <c r="CA1342" s="993">
        <f>IF(AND(Input_Product=Elig!$C1342,Elig_MatchAll_Ct&lt;22,$BC1342=(Elig_MatchAll_Ct-1),AW1342=0),V1342,0)</f>
        <v>0</v>
      </c>
      <c r="CB1342" s="994">
        <f>IF(AND(Input_Product=Elig!$C1342,Elig_MatchAll_Ct&lt;22,$BC1342=(Elig_MatchAll_Ct-1),AW1342=0),W1342,0)</f>
        <v>0</v>
      </c>
      <c r="CC1342" s="993">
        <f>IF(AND(Input_Product=Elig!$C1342,Elig_MatchAll_Ct&lt;22,$BC1342=(Elig_MatchAll_Ct-1),AX1342=0),X1342,0)</f>
        <v>0</v>
      </c>
      <c r="CD1342" s="994">
        <f>IF(AND(Input_Product=Elig!$C1342,Elig_MatchAll_Ct&lt;22,$BC1342=(Elig_MatchAll_Ct-1),AX1342=0),Y1342,0)</f>
        <v>0</v>
      </c>
      <c r="CE1342" s="993">
        <f>IF(AND(Input_LTV&lt;=AE1342,Input_Product=Elig!$C1342,Elig_MatchAll_Ct&lt;22,$BC1342=(Elig_MatchAll_Ct-1),AY1342=0),Z1342,0)</f>
        <v>0</v>
      </c>
      <c r="CF1342" s="994">
        <f>IF(AND(Input_LTV&lt;=AE1342,Input_Product=Elig!$C1342,Elig_MatchAll_Ct&lt;22,$BC1342=(Elig_MatchAll_Ct-1),AY1342=0),AA1342,0)</f>
        <v>0</v>
      </c>
      <c r="CG1342" s="993">
        <f>IF(AND(Input_Product=Elig!$C1342,Elig_MatchAll_Ct&lt;22,$BC1342=(Elig_MatchAll_Ct-1),AZ1342=0),AB1342,0)</f>
        <v>0</v>
      </c>
      <c r="CH1342" s="994">
        <f>IF(AND(Input_Product=Elig!$C1342,Elig_MatchAll_Ct&lt;22,$BC1342=(Elig_MatchAll_Ct-1),AZ1342=0),AC1342,0)</f>
        <v>0</v>
      </c>
      <c r="CI1342" s="993">
        <f>IF(AND(Input_Product=Elig!$C1342,Elig_MatchAll_Ct&lt;22,$BC1342=(Elig_MatchAll_Ct-1),BA1342=0),AD1342,0)</f>
        <v>0</v>
      </c>
      <c r="CJ1342" s="994">
        <f>IF(AND(Input_Product=Elig!$C1342,Elig_MatchAll_Ct&lt;22,$BC1342=(Elig_MatchAll_Ct-1),BA1342=0),AE1342,0)</f>
        <v>0</v>
      </c>
    </row>
    <row r="1343" spans="2:88" ht="10.15" customHeight="1" x14ac:dyDescent="0.25">
      <c r="B1343" s="1538" t="s">
        <v>2793</v>
      </c>
      <c r="C1343" s="1538" t="str">
        <f t="shared" si="480"/>
        <v xml:space="preserve">  OO</v>
      </c>
      <c r="D1343" s="1538" t="s">
        <v>2764</v>
      </c>
      <c r="E1343" s="1538" t="s">
        <v>167</v>
      </c>
      <c r="F1343" s="1538" t="s">
        <v>2765</v>
      </c>
      <c r="G1343" s="1538" t="s">
        <v>2766</v>
      </c>
      <c r="H1343" s="1538" t="s">
        <v>2767</v>
      </c>
      <c r="I1343" s="1539" t="s">
        <v>16</v>
      </c>
      <c r="J1343" s="1539" t="s">
        <v>1311</v>
      </c>
      <c r="K1343" s="1539" t="s">
        <v>3023</v>
      </c>
      <c r="L1343" s="1538" t="s">
        <v>2768</v>
      </c>
      <c r="M1343" s="1538" t="s">
        <v>2677</v>
      </c>
      <c r="N1343" s="1538" t="s">
        <v>2685</v>
      </c>
      <c r="O1343" s="1538" t="s">
        <v>310</v>
      </c>
      <c r="P1343" s="1538" t="s">
        <v>291</v>
      </c>
      <c r="Q1343" s="1538" t="s">
        <v>294</v>
      </c>
      <c r="R1343" s="1538">
        <v>2000000.01</v>
      </c>
      <c r="S1343" s="1538">
        <v>2500000</v>
      </c>
      <c r="T1343" s="1538">
        <v>0</v>
      </c>
      <c r="U1343" s="1538">
        <f t="shared" si="484"/>
        <v>2500000</v>
      </c>
      <c r="V1343" s="1538">
        <v>0</v>
      </c>
      <c r="W1343" s="1538">
        <v>55</v>
      </c>
      <c r="X1343" s="1538">
        <v>0</v>
      </c>
      <c r="Y1343" s="1538">
        <v>0</v>
      </c>
      <c r="Z1343" s="1540">
        <v>720</v>
      </c>
      <c r="AA1343" s="1540">
        <v>999</v>
      </c>
      <c r="AB1343" s="1540">
        <v>6</v>
      </c>
      <c r="AC1343" s="1540">
        <v>999999</v>
      </c>
      <c r="AD1343" s="1538">
        <v>0</v>
      </c>
      <c r="AE1343" s="1545">
        <v>75</v>
      </c>
      <c r="AF1343" s="170">
        <v>0</v>
      </c>
      <c r="AG1343" s="171">
        <v>1</v>
      </c>
      <c r="AH1343" s="171">
        <v>1</v>
      </c>
      <c r="AI1343" s="171">
        <v>1</v>
      </c>
      <c r="AJ1343" s="171">
        <v>1</v>
      </c>
      <c r="AK1343" s="171">
        <v>1</v>
      </c>
      <c r="AL1343" s="171">
        <v>1</v>
      </c>
      <c r="AM1343" s="171">
        <v>1</v>
      </c>
      <c r="AN1343" s="171">
        <v>1</v>
      </c>
      <c r="AO1343" s="171">
        <v>1</v>
      </c>
      <c r="AP1343" s="171">
        <v>1</v>
      </c>
      <c r="AQ1343" s="171">
        <v>1</v>
      </c>
      <c r="AR1343" s="171">
        <v>1</v>
      </c>
      <c r="AS1343" s="171">
        <v>1</v>
      </c>
      <c r="AT1343" s="171">
        <v>1</v>
      </c>
      <c r="AU1343" s="171">
        <f t="shared" si="474"/>
        <v>0</v>
      </c>
      <c r="AV1343" s="171">
        <f t="shared" si="475"/>
        <v>1</v>
      </c>
      <c r="AW1343" s="171">
        <f t="shared" si="476"/>
        <v>1</v>
      </c>
      <c r="AX1343" s="171">
        <f t="shared" si="467"/>
        <v>1</v>
      </c>
      <c r="AY1343" s="171">
        <f t="shared" si="477"/>
        <v>1</v>
      </c>
      <c r="AZ1343" s="171">
        <f t="shared" si="478"/>
        <v>1</v>
      </c>
      <c r="BA1343" s="172">
        <f t="shared" si="479"/>
        <v>1</v>
      </c>
      <c r="BB1343" s="175">
        <f t="shared" si="481"/>
        <v>20</v>
      </c>
      <c r="BC1343" s="176">
        <f t="shared" si="482"/>
        <v>19</v>
      </c>
      <c r="BD1343" s="176">
        <f t="shared" si="483"/>
        <v>20</v>
      </c>
      <c r="BE1343" s="240" t="str">
        <f t="shared" si="473"/>
        <v/>
      </c>
      <c r="BF1343" s="990"/>
      <c r="BG1343" s="990"/>
      <c r="BH1343" s="991">
        <f>IF(AND(Input_Product=Elig!$C1343,Elig_MatchAll_Ct&lt;22,$BC1343=(Elig_MatchAll_Ct-1),AF1343=0),C1343,0)</f>
        <v>0</v>
      </c>
      <c r="BI1343" s="991">
        <f>IF(AND(Input_Product=Elig!$C1343,Elig_MatchAll_Ct&lt;22,$BC1343=(Elig_MatchAll_Ct-1),AG1343=0),D1343,0)</f>
        <v>0</v>
      </c>
      <c r="BJ1343" s="991">
        <f>IF(AND(Input_Product=Elig!$C1343,Elig_MatchAll_Ct&lt;22,$BC1343=(Elig_MatchAll_Ct-1),AH1343=0),E1343,0)</f>
        <v>0</v>
      </c>
      <c r="BK1343" s="991">
        <f>IF(AND(Input_Product=Elig!$C1343,Elig_MatchAll_Ct&lt;22,$BC1343=(Elig_MatchAll_Ct-1),AI1343=0),F1343,0)</f>
        <v>0</v>
      </c>
      <c r="BL1343" s="991">
        <f>IF(AND(Input_Product=Elig!$C1343,Elig_MatchAll_Ct&lt;22,$BC1343=(Elig_MatchAll_Ct-1),AJ1343=0),G1343,0)</f>
        <v>0</v>
      </c>
      <c r="BM1343" s="991">
        <f>IF(AND(Input_Product=Elig!$C1343,Elig_MatchAll_Ct&lt;22,$BC1343=(Elig_MatchAll_Ct-1),AK1343=0),H1343,0)</f>
        <v>0</v>
      </c>
      <c r="BN1343" s="991">
        <f>IF(AND(Input_Product=Elig!$C1343,Elig_MatchAll_Ct&lt;22,$BC1343=(Elig_MatchAll_Ct-1),AL1343=0),I1343,0)</f>
        <v>0</v>
      </c>
      <c r="BO1343" s="991">
        <f>IF(AND(Input_Product=Elig!$C1343,Elig_MatchAll_Ct&lt;22,$BC1343=(Elig_MatchAll_Ct-1),AM1343=0),J1343,0)</f>
        <v>0</v>
      </c>
      <c r="BP1343" s="991">
        <f>IF(AND(Input_Product=Elig!$C1343,Elig_MatchAll_Ct&lt;22,$BC1343=(Elig_MatchAll_Ct-1),AN1343=0),K1343,0)</f>
        <v>0</v>
      </c>
      <c r="BQ1343" s="991">
        <f>IF(AND(Input_Product=Elig!$C1343,Elig_MatchAll_Ct&lt;22,$BC1343=(Elig_MatchAll_Ct-1),AP1343=0),L1343,0)</f>
        <v>0</v>
      </c>
      <c r="BR1343" s="991">
        <f>IF(AND(Input_Product=Elig!$C1343,Elig_MatchAll_Ct&lt;22,$BC1343=(Elig_MatchAll_Ct-1),AO1343=0),M1343,0)</f>
        <v>0</v>
      </c>
      <c r="BS1343" s="991">
        <f>IF(AND(Input_Product=Elig!$C1343,Elig_MatchAll_Ct&lt;22,$BC1343=(Elig_MatchAll_Ct-1),AQ1343=0),N1343,0)</f>
        <v>0</v>
      </c>
      <c r="BT1343" s="991">
        <f>IF(AND(Input_Product=Elig!$C1343,Elig_MatchAll_Ct&lt;22,$BC1343=(Elig_MatchAll_Ct-1),AR1343=0),O1343,0)</f>
        <v>0</v>
      </c>
      <c r="BU1343" s="991">
        <f>IF(AND(Input_Product=Elig!$C1343,Elig_MatchAll_Ct&lt;22,$BC1343=(Elig_MatchAll_Ct-1),AS1343=0),P1343,0)</f>
        <v>0</v>
      </c>
      <c r="BV1343" s="992">
        <f>IF(AND(Input_Product=Elig!$C1343,Elig_MatchAll_Ct&lt;22,$BC1343=(Elig_MatchAll_Ct-1),AT1343=0),Q1343,0)</f>
        <v>0</v>
      </c>
      <c r="BW1343" s="993">
        <f>IF(AND(Input_Product=Elig!$C1343,Elig_MatchAll_Ct&lt;22,$BC1343=(Elig_MatchAll_Ct-1),AU1343=0),R1343,0)</f>
        <v>0</v>
      </c>
      <c r="BX1343" s="994">
        <f>IF(AND(Input_Product=Elig!$C1343,Elig_MatchAll_Ct&lt;22,$BC1343=(Elig_MatchAll_Ct-1),AU1343=0),S1343,0)</f>
        <v>0</v>
      </c>
      <c r="BY1343" s="993">
        <f>IF(AND(Input_Product=Elig!$C1343,Elig_MatchAll_Ct&lt;22,$BC1343=(Elig_MatchAll_Ct-1),AV1343=0),T1343,0)</f>
        <v>0</v>
      </c>
      <c r="BZ1343" s="994">
        <f>IF(AND(Input_Product=Elig!$C1343,Elig_MatchAll_Ct&lt;22,$BC1343=(Elig_MatchAll_Ct-1),AV1343=0),U1343,0)</f>
        <v>0</v>
      </c>
      <c r="CA1343" s="993">
        <f>IF(AND(Input_Product=Elig!$C1343,Elig_MatchAll_Ct&lt;22,$BC1343=(Elig_MatchAll_Ct-1),AW1343=0),V1343,0)</f>
        <v>0</v>
      </c>
      <c r="CB1343" s="994">
        <f>IF(AND(Input_Product=Elig!$C1343,Elig_MatchAll_Ct&lt;22,$BC1343=(Elig_MatchAll_Ct-1),AW1343=0),W1343,0)</f>
        <v>0</v>
      </c>
      <c r="CC1343" s="993">
        <f>IF(AND(Input_Product=Elig!$C1343,Elig_MatchAll_Ct&lt;22,$BC1343=(Elig_MatchAll_Ct-1),AX1343=0),X1343,0)</f>
        <v>0</v>
      </c>
      <c r="CD1343" s="994">
        <f>IF(AND(Input_Product=Elig!$C1343,Elig_MatchAll_Ct&lt;22,$BC1343=(Elig_MatchAll_Ct-1),AX1343=0),Y1343,0)</f>
        <v>0</v>
      </c>
      <c r="CE1343" s="993">
        <f>IF(AND(Input_LTV&lt;=AE1343,Input_Product=Elig!$C1343,Elig_MatchAll_Ct&lt;22,$BC1343=(Elig_MatchAll_Ct-1),AY1343=0),Z1343,0)</f>
        <v>0</v>
      </c>
      <c r="CF1343" s="994">
        <f>IF(AND(Input_LTV&lt;=AE1343,Input_Product=Elig!$C1343,Elig_MatchAll_Ct&lt;22,$BC1343=(Elig_MatchAll_Ct-1),AY1343=0),AA1343,0)</f>
        <v>0</v>
      </c>
      <c r="CG1343" s="993">
        <f>IF(AND(Input_Product=Elig!$C1343,Elig_MatchAll_Ct&lt;22,$BC1343=(Elig_MatchAll_Ct-1),AZ1343=0),AB1343,0)</f>
        <v>0</v>
      </c>
      <c r="CH1343" s="994">
        <f>IF(AND(Input_Product=Elig!$C1343,Elig_MatchAll_Ct&lt;22,$BC1343=(Elig_MatchAll_Ct-1),AZ1343=0),AC1343,0)</f>
        <v>0</v>
      </c>
      <c r="CI1343" s="993">
        <f>IF(AND(Input_Product=Elig!$C1343,Elig_MatchAll_Ct&lt;22,$BC1343=(Elig_MatchAll_Ct-1),BA1343=0),AD1343,0)</f>
        <v>0</v>
      </c>
      <c r="CJ1343" s="994">
        <f>IF(AND(Input_Product=Elig!$C1343,Elig_MatchAll_Ct&lt;22,$BC1343=(Elig_MatchAll_Ct-1),BA1343=0),AE1343,0)</f>
        <v>0</v>
      </c>
    </row>
    <row r="1344" spans="2:88" ht="10.15" customHeight="1" x14ac:dyDescent="0.25">
      <c r="B1344" s="1538" t="s">
        <v>2794</v>
      </c>
      <c r="C1344" s="1538" t="str">
        <f t="shared" si="480"/>
        <v xml:space="preserve">  OO</v>
      </c>
      <c r="D1344" s="1538" t="s">
        <v>2764</v>
      </c>
      <c r="E1344" s="1538" t="s">
        <v>167</v>
      </c>
      <c r="F1344" s="1538" t="s">
        <v>2765</v>
      </c>
      <c r="G1344" s="1538" t="s">
        <v>2766</v>
      </c>
      <c r="H1344" s="1538" t="s">
        <v>2767</v>
      </c>
      <c r="I1344" s="1539" t="s">
        <v>16</v>
      </c>
      <c r="J1344" s="1539" t="s">
        <v>1311</v>
      </c>
      <c r="K1344" s="1539" t="s">
        <v>3023</v>
      </c>
      <c r="L1344" s="1538" t="s">
        <v>2768</v>
      </c>
      <c r="M1344" s="1538" t="s">
        <v>2677</v>
      </c>
      <c r="N1344" s="1538" t="s">
        <v>2685</v>
      </c>
      <c r="O1344" s="1538" t="s">
        <v>310</v>
      </c>
      <c r="P1344" s="1538" t="s">
        <v>291</v>
      </c>
      <c r="Q1344" s="1538" t="s">
        <v>294</v>
      </c>
      <c r="R1344" s="1538">
        <v>2500000.0099999998</v>
      </c>
      <c r="S1344" s="1538">
        <v>3000000</v>
      </c>
      <c r="T1344" s="1538">
        <v>0</v>
      </c>
      <c r="U1344" s="1538">
        <f t="shared" si="484"/>
        <v>3000000</v>
      </c>
      <c r="V1344" s="1538">
        <v>0</v>
      </c>
      <c r="W1344" s="1538">
        <v>55</v>
      </c>
      <c r="X1344" s="1538">
        <v>0</v>
      </c>
      <c r="Y1344" s="1538">
        <v>0</v>
      </c>
      <c r="Z1344" s="1540">
        <v>720</v>
      </c>
      <c r="AA1344" s="1540">
        <v>999</v>
      </c>
      <c r="AB1344" s="1540">
        <v>6</v>
      </c>
      <c r="AC1344" s="1540">
        <v>999999</v>
      </c>
      <c r="AD1344" s="1538">
        <v>0</v>
      </c>
      <c r="AE1344" s="1545">
        <v>70</v>
      </c>
      <c r="AF1344" s="170">
        <v>0</v>
      </c>
      <c r="AG1344" s="171">
        <v>1</v>
      </c>
      <c r="AH1344" s="171">
        <v>1</v>
      </c>
      <c r="AI1344" s="171">
        <v>1</v>
      </c>
      <c r="AJ1344" s="171">
        <v>1</v>
      </c>
      <c r="AK1344" s="171">
        <v>1</v>
      </c>
      <c r="AL1344" s="171">
        <v>1</v>
      </c>
      <c r="AM1344" s="171">
        <v>1</v>
      </c>
      <c r="AN1344" s="171">
        <v>1</v>
      </c>
      <c r="AO1344" s="171">
        <v>1</v>
      </c>
      <c r="AP1344" s="171">
        <v>1</v>
      </c>
      <c r="AQ1344" s="171">
        <v>1</v>
      </c>
      <c r="AR1344" s="171">
        <v>1</v>
      </c>
      <c r="AS1344" s="171">
        <v>1</v>
      </c>
      <c r="AT1344" s="171">
        <v>1</v>
      </c>
      <c r="AU1344" s="171">
        <f t="shared" si="474"/>
        <v>0</v>
      </c>
      <c r="AV1344" s="171">
        <f t="shared" si="475"/>
        <v>1</v>
      </c>
      <c r="AW1344" s="171">
        <f t="shared" si="476"/>
        <v>1</v>
      </c>
      <c r="AX1344" s="171">
        <f t="shared" si="467"/>
        <v>1</v>
      </c>
      <c r="AY1344" s="171">
        <f t="shared" si="477"/>
        <v>1</v>
      </c>
      <c r="AZ1344" s="171">
        <f t="shared" si="478"/>
        <v>1</v>
      </c>
      <c r="BA1344" s="172">
        <f t="shared" si="479"/>
        <v>1</v>
      </c>
      <c r="BB1344" s="175">
        <f t="shared" si="481"/>
        <v>20</v>
      </c>
      <c r="BC1344" s="176">
        <f t="shared" si="482"/>
        <v>19</v>
      </c>
      <c r="BD1344" s="176">
        <f t="shared" si="483"/>
        <v>20</v>
      </c>
      <c r="BE1344" s="240" t="str">
        <f t="shared" si="473"/>
        <v/>
      </c>
      <c r="BF1344" s="990"/>
      <c r="BG1344" s="990"/>
      <c r="BH1344" s="991">
        <f>IF(AND(Input_Product=Elig!$C1344,Elig_MatchAll_Ct&lt;22,$BC1344=(Elig_MatchAll_Ct-1),AF1344=0),C1344,0)</f>
        <v>0</v>
      </c>
      <c r="BI1344" s="991">
        <f>IF(AND(Input_Product=Elig!$C1344,Elig_MatchAll_Ct&lt;22,$BC1344=(Elig_MatchAll_Ct-1),AG1344=0),D1344,0)</f>
        <v>0</v>
      </c>
      <c r="BJ1344" s="991">
        <f>IF(AND(Input_Product=Elig!$C1344,Elig_MatchAll_Ct&lt;22,$BC1344=(Elig_MatchAll_Ct-1),AH1344=0),E1344,0)</f>
        <v>0</v>
      </c>
      <c r="BK1344" s="991">
        <f>IF(AND(Input_Product=Elig!$C1344,Elig_MatchAll_Ct&lt;22,$BC1344=(Elig_MatchAll_Ct-1),AI1344=0),F1344,0)</f>
        <v>0</v>
      </c>
      <c r="BL1344" s="991">
        <f>IF(AND(Input_Product=Elig!$C1344,Elig_MatchAll_Ct&lt;22,$BC1344=(Elig_MatchAll_Ct-1),AJ1344=0),G1344,0)</f>
        <v>0</v>
      </c>
      <c r="BM1344" s="991">
        <f>IF(AND(Input_Product=Elig!$C1344,Elig_MatchAll_Ct&lt;22,$BC1344=(Elig_MatchAll_Ct-1),AK1344=0),H1344,0)</f>
        <v>0</v>
      </c>
      <c r="BN1344" s="991">
        <f>IF(AND(Input_Product=Elig!$C1344,Elig_MatchAll_Ct&lt;22,$BC1344=(Elig_MatchAll_Ct-1),AL1344=0),I1344,0)</f>
        <v>0</v>
      </c>
      <c r="BO1344" s="991">
        <f>IF(AND(Input_Product=Elig!$C1344,Elig_MatchAll_Ct&lt;22,$BC1344=(Elig_MatchAll_Ct-1),AM1344=0),J1344,0)</f>
        <v>0</v>
      </c>
      <c r="BP1344" s="991">
        <f>IF(AND(Input_Product=Elig!$C1344,Elig_MatchAll_Ct&lt;22,$BC1344=(Elig_MatchAll_Ct-1),AN1344=0),K1344,0)</f>
        <v>0</v>
      </c>
      <c r="BQ1344" s="991">
        <f>IF(AND(Input_Product=Elig!$C1344,Elig_MatchAll_Ct&lt;22,$BC1344=(Elig_MatchAll_Ct-1),AP1344=0),L1344,0)</f>
        <v>0</v>
      </c>
      <c r="BR1344" s="991">
        <f>IF(AND(Input_Product=Elig!$C1344,Elig_MatchAll_Ct&lt;22,$BC1344=(Elig_MatchAll_Ct-1),AO1344=0),M1344,0)</f>
        <v>0</v>
      </c>
      <c r="BS1344" s="991">
        <f>IF(AND(Input_Product=Elig!$C1344,Elig_MatchAll_Ct&lt;22,$BC1344=(Elig_MatchAll_Ct-1),AQ1344=0),N1344,0)</f>
        <v>0</v>
      </c>
      <c r="BT1344" s="991">
        <f>IF(AND(Input_Product=Elig!$C1344,Elig_MatchAll_Ct&lt;22,$BC1344=(Elig_MatchAll_Ct-1),AR1344=0),O1344,0)</f>
        <v>0</v>
      </c>
      <c r="BU1344" s="991">
        <f>IF(AND(Input_Product=Elig!$C1344,Elig_MatchAll_Ct&lt;22,$BC1344=(Elig_MatchAll_Ct-1),AS1344=0),P1344,0)</f>
        <v>0</v>
      </c>
      <c r="BV1344" s="992">
        <f>IF(AND(Input_Product=Elig!$C1344,Elig_MatchAll_Ct&lt;22,$BC1344=(Elig_MatchAll_Ct-1),AT1344=0),Q1344,0)</f>
        <v>0</v>
      </c>
      <c r="BW1344" s="993">
        <f>IF(AND(Input_Product=Elig!$C1344,Elig_MatchAll_Ct&lt;22,$BC1344=(Elig_MatchAll_Ct-1),AU1344=0),R1344,0)</f>
        <v>0</v>
      </c>
      <c r="BX1344" s="994">
        <f>IF(AND(Input_Product=Elig!$C1344,Elig_MatchAll_Ct&lt;22,$BC1344=(Elig_MatchAll_Ct-1),AU1344=0),S1344,0)</f>
        <v>0</v>
      </c>
      <c r="BY1344" s="993">
        <f>IF(AND(Input_Product=Elig!$C1344,Elig_MatchAll_Ct&lt;22,$BC1344=(Elig_MatchAll_Ct-1),AV1344=0),T1344,0)</f>
        <v>0</v>
      </c>
      <c r="BZ1344" s="994">
        <f>IF(AND(Input_Product=Elig!$C1344,Elig_MatchAll_Ct&lt;22,$BC1344=(Elig_MatchAll_Ct-1),AV1344=0),U1344,0)</f>
        <v>0</v>
      </c>
      <c r="CA1344" s="993">
        <f>IF(AND(Input_Product=Elig!$C1344,Elig_MatchAll_Ct&lt;22,$BC1344=(Elig_MatchAll_Ct-1),AW1344=0),V1344,0)</f>
        <v>0</v>
      </c>
      <c r="CB1344" s="994">
        <f>IF(AND(Input_Product=Elig!$C1344,Elig_MatchAll_Ct&lt;22,$BC1344=(Elig_MatchAll_Ct-1),AW1344=0),W1344,0)</f>
        <v>0</v>
      </c>
      <c r="CC1344" s="993">
        <f>IF(AND(Input_Product=Elig!$C1344,Elig_MatchAll_Ct&lt;22,$BC1344=(Elig_MatchAll_Ct-1),AX1344=0),X1344,0)</f>
        <v>0</v>
      </c>
      <c r="CD1344" s="994">
        <f>IF(AND(Input_Product=Elig!$C1344,Elig_MatchAll_Ct&lt;22,$BC1344=(Elig_MatchAll_Ct-1),AX1344=0),Y1344,0)</f>
        <v>0</v>
      </c>
      <c r="CE1344" s="993">
        <f>IF(AND(Input_LTV&lt;=AE1344,Input_Product=Elig!$C1344,Elig_MatchAll_Ct&lt;22,$BC1344=(Elig_MatchAll_Ct-1),AY1344=0),Z1344,0)</f>
        <v>0</v>
      </c>
      <c r="CF1344" s="994">
        <f>IF(AND(Input_LTV&lt;=AE1344,Input_Product=Elig!$C1344,Elig_MatchAll_Ct&lt;22,$BC1344=(Elig_MatchAll_Ct-1),AY1344=0),AA1344,0)</f>
        <v>0</v>
      </c>
      <c r="CG1344" s="993">
        <f>IF(AND(Input_Product=Elig!$C1344,Elig_MatchAll_Ct&lt;22,$BC1344=(Elig_MatchAll_Ct-1),AZ1344=0),AB1344,0)</f>
        <v>0</v>
      </c>
      <c r="CH1344" s="994">
        <f>IF(AND(Input_Product=Elig!$C1344,Elig_MatchAll_Ct&lt;22,$BC1344=(Elig_MatchAll_Ct-1),AZ1344=0),AC1344,0)</f>
        <v>0</v>
      </c>
      <c r="CI1344" s="993">
        <f>IF(AND(Input_Product=Elig!$C1344,Elig_MatchAll_Ct&lt;22,$BC1344=(Elig_MatchAll_Ct-1),BA1344=0),AD1344,0)</f>
        <v>0</v>
      </c>
      <c r="CJ1344" s="994">
        <f>IF(AND(Input_Product=Elig!$C1344,Elig_MatchAll_Ct&lt;22,$BC1344=(Elig_MatchAll_Ct-1),BA1344=0),AE1344,0)</f>
        <v>0</v>
      </c>
    </row>
    <row r="1345" spans="2:88" ht="10.15" customHeight="1" x14ac:dyDescent="0.25">
      <c r="B1345" s="1538" t="s">
        <v>3557</v>
      </c>
      <c r="C1345" s="1538" t="str">
        <f t="shared" si="480"/>
        <v xml:space="preserve">  OO</v>
      </c>
      <c r="D1345" s="1538" t="s">
        <v>2764</v>
      </c>
      <c r="E1345" s="1538" t="s">
        <v>167</v>
      </c>
      <c r="F1345" s="1538" t="s">
        <v>2765</v>
      </c>
      <c r="G1345" s="1538" t="s">
        <v>2766</v>
      </c>
      <c r="H1345" s="1538" t="s">
        <v>2767</v>
      </c>
      <c r="I1345" s="1539" t="s">
        <v>16</v>
      </c>
      <c r="J1345" s="1539" t="s">
        <v>1311</v>
      </c>
      <c r="K1345" s="1539" t="s">
        <v>3023</v>
      </c>
      <c r="L1345" s="1538" t="s">
        <v>2768</v>
      </c>
      <c r="M1345" s="1538" t="s">
        <v>2677</v>
      </c>
      <c r="N1345" s="1538" t="s">
        <v>2685</v>
      </c>
      <c r="O1345" s="1538" t="s">
        <v>310</v>
      </c>
      <c r="P1345" s="1538" t="s">
        <v>291</v>
      </c>
      <c r="Q1345" s="1538" t="s">
        <v>294</v>
      </c>
      <c r="R1345" s="1538">
        <v>150000</v>
      </c>
      <c r="S1345" s="1538">
        <v>1000000</v>
      </c>
      <c r="T1345" s="1538">
        <v>0</v>
      </c>
      <c r="U1345" s="1538">
        <f t="shared" si="484"/>
        <v>1000000</v>
      </c>
      <c r="V1345" s="1538">
        <v>0</v>
      </c>
      <c r="W1345" s="1538">
        <v>55</v>
      </c>
      <c r="X1345" s="1538">
        <v>0</v>
      </c>
      <c r="Y1345" s="1538">
        <v>0</v>
      </c>
      <c r="Z1345" s="1540">
        <v>700</v>
      </c>
      <c r="AA1345" s="1540">
        <v>719</v>
      </c>
      <c r="AB1345" s="1540">
        <v>6</v>
      </c>
      <c r="AC1345" s="1540">
        <v>999999</v>
      </c>
      <c r="AD1345" s="1538">
        <v>0</v>
      </c>
      <c r="AE1345" s="1545">
        <v>80</v>
      </c>
      <c r="AF1345" s="170">
        <v>0</v>
      </c>
      <c r="AG1345" s="171">
        <v>1</v>
      </c>
      <c r="AH1345" s="171">
        <v>1</v>
      </c>
      <c r="AI1345" s="171">
        <v>1</v>
      </c>
      <c r="AJ1345" s="171">
        <v>1</v>
      </c>
      <c r="AK1345" s="171">
        <v>1</v>
      </c>
      <c r="AL1345" s="171">
        <v>1</v>
      </c>
      <c r="AM1345" s="171">
        <v>1</v>
      </c>
      <c r="AN1345" s="171">
        <v>1</v>
      </c>
      <c r="AO1345" s="171">
        <v>1</v>
      </c>
      <c r="AP1345" s="171">
        <v>1</v>
      </c>
      <c r="AQ1345" s="171">
        <v>1</v>
      </c>
      <c r="AR1345" s="171">
        <v>1</v>
      </c>
      <c r="AS1345" s="171">
        <v>1</v>
      </c>
      <c r="AT1345" s="171">
        <v>1</v>
      </c>
      <c r="AU1345" s="171">
        <f t="shared" si="474"/>
        <v>1</v>
      </c>
      <c r="AV1345" s="171">
        <f t="shared" si="475"/>
        <v>1</v>
      </c>
      <c r="AW1345" s="171">
        <f t="shared" si="476"/>
        <v>1</v>
      </c>
      <c r="AX1345" s="171">
        <f t="shared" si="467"/>
        <v>1</v>
      </c>
      <c r="AY1345" s="171">
        <f t="shared" si="477"/>
        <v>0</v>
      </c>
      <c r="AZ1345" s="171">
        <f t="shared" si="478"/>
        <v>1</v>
      </c>
      <c r="BA1345" s="172">
        <f t="shared" si="479"/>
        <v>1</v>
      </c>
      <c r="BB1345" s="175">
        <f t="shared" si="481"/>
        <v>20</v>
      </c>
      <c r="BC1345" s="176">
        <f t="shared" si="482"/>
        <v>19</v>
      </c>
      <c r="BD1345" s="176">
        <f t="shared" si="483"/>
        <v>20</v>
      </c>
      <c r="BE1345" s="240" t="str">
        <f t="shared" si="473"/>
        <v/>
      </c>
      <c r="BF1345" s="990"/>
      <c r="BG1345" s="990"/>
      <c r="BH1345" s="991">
        <f>IF(AND(Input_Product=Elig!$C1345,Elig_MatchAll_Ct&lt;22,$BC1345=(Elig_MatchAll_Ct-1),AF1345=0),C1345,0)</f>
        <v>0</v>
      </c>
      <c r="BI1345" s="991">
        <f>IF(AND(Input_Product=Elig!$C1345,Elig_MatchAll_Ct&lt;22,$BC1345=(Elig_MatchAll_Ct-1),AG1345=0),D1345,0)</f>
        <v>0</v>
      </c>
      <c r="BJ1345" s="991">
        <f>IF(AND(Input_Product=Elig!$C1345,Elig_MatchAll_Ct&lt;22,$BC1345=(Elig_MatchAll_Ct-1),AH1345=0),E1345,0)</f>
        <v>0</v>
      </c>
      <c r="BK1345" s="991">
        <f>IF(AND(Input_Product=Elig!$C1345,Elig_MatchAll_Ct&lt;22,$BC1345=(Elig_MatchAll_Ct-1),AI1345=0),F1345,0)</f>
        <v>0</v>
      </c>
      <c r="BL1345" s="991">
        <f>IF(AND(Input_Product=Elig!$C1345,Elig_MatchAll_Ct&lt;22,$BC1345=(Elig_MatchAll_Ct-1),AJ1345=0),G1345,0)</f>
        <v>0</v>
      </c>
      <c r="BM1345" s="991">
        <f>IF(AND(Input_Product=Elig!$C1345,Elig_MatchAll_Ct&lt;22,$BC1345=(Elig_MatchAll_Ct-1),AK1345=0),H1345,0)</f>
        <v>0</v>
      </c>
      <c r="BN1345" s="991">
        <f>IF(AND(Input_Product=Elig!$C1345,Elig_MatchAll_Ct&lt;22,$BC1345=(Elig_MatchAll_Ct-1),AL1345=0),I1345,0)</f>
        <v>0</v>
      </c>
      <c r="BO1345" s="991">
        <f>IF(AND(Input_Product=Elig!$C1345,Elig_MatchAll_Ct&lt;22,$BC1345=(Elig_MatchAll_Ct-1),AM1345=0),J1345,0)</f>
        <v>0</v>
      </c>
      <c r="BP1345" s="991">
        <f>IF(AND(Input_Product=Elig!$C1345,Elig_MatchAll_Ct&lt;22,$BC1345=(Elig_MatchAll_Ct-1),AN1345=0),K1345,0)</f>
        <v>0</v>
      </c>
      <c r="BQ1345" s="991">
        <f>IF(AND(Input_Product=Elig!$C1345,Elig_MatchAll_Ct&lt;22,$BC1345=(Elig_MatchAll_Ct-1),AP1345=0),L1345,0)</f>
        <v>0</v>
      </c>
      <c r="BR1345" s="991">
        <f>IF(AND(Input_Product=Elig!$C1345,Elig_MatchAll_Ct&lt;22,$BC1345=(Elig_MatchAll_Ct-1),AO1345=0),M1345,0)</f>
        <v>0</v>
      </c>
      <c r="BS1345" s="991">
        <f>IF(AND(Input_Product=Elig!$C1345,Elig_MatchAll_Ct&lt;22,$BC1345=(Elig_MatchAll_Ct-1),AQ1345=0),N1345,0)</f>
        <v>0</v>
      </c>
      <c r="BT1345" s="991">
        <f>IF(AND(Input_Product=Elig!$C1345,Elig_MatchAll_Ct&lt;22,$BC1345=(Elig_MatchAll_Ct-1),AR1345=0),O1345,0)</f>
        <v>0</v>
      </c>
      <c r="BU1345" s="991">
        <f>IF(AND(Input_Product=Elig!$C1345,Elig_MatchAll_Ct&lt;22,$BC1345=(Elig_MatchAll_Ct-1),AS1345=0),P1345,0)</f>
        <v>0</v>
      </c>
      <c r="BV1345" s="992">
        <f>IF(AND(Input_Product=Elig!$C1345,Elig_MatchAll_Ct&lt;22,$BC1345=(Elig_MatchAll_Ct-1),AT1345=0),Q1345,0)</f>
        <v>0</v>
      </c>
      <c r="BW1345" s="993">
        <f>IF(AND(Input_Product=Elig!$C1345,Elig_MatchAll_Ct&lt;22,$BC1345=(Elig_MatchAll_Ct-1),AU1345=0),R1345,0)</f>
        <v>0</v>
      </c>
      <c r="BX1345" s="994">
        <f>IF(AND(Input_Product=Elig!$C1345,Elig_MatchAll_Ct&lt;22,$BC1345=(Elig_MatchAll_Ct-1),AU1345=0),S1345,0)</f>
        <v>0</v>
      </c>
      <c r="BY1345" s="993">
        <f>IF(AND(Input_Product=Elig!$C1345,Elig_MatchAll_Ct&lt;22,$BC1345=(Elig_MatchAll_Ct-1),AV1345=0),T1345,0)</f>
        <v>0</v>
      </c>
      <c r="BZ1345" s="994">
        <f>IF(AND(Input_Product=Elig!$C1345,Elig_MatchAll_Ct&lt;22,$BC1345=(Elig_MatchAll_Ct-1),AV1345=0),U1345,0)</f>
        <v>0</v>
      </c>
      <c r="CA1345" s="993">
        <f>IF(AND(Input_Product=Elig!$C1345,Elig_MatchAll_Ct&lt;22,$BC1345=(Elig_MatchAll_Ct-1),AW1345=0),V1345,0)</f>
        <v>0</v>
      </c>
      <c r="CB1345" s="994">
        <f>IF(AND(Input_Product=Elig!$C1345,Elig_MatchAll_Ct&lt;22,$BC1345=(Elig_MatchAll_Ct-1),AW1345=0),W1345,0)</f>
        <v>0</v>
      </c>
      <c r="CC1345" s="993">
        <f>IF(AND(Input_Product=Elig!$C1345,Elig_MatchAll_Ct&lt;22,$BC1345=(Elig_MatchAll_Ct-1),AX1345=0),X1345,0)</f>
        <v>0</v>
      </c>
      <c r="CD1345" s="994">
        <f>IF(AND(Input_Product=Elig!$C1345,Elig_MatchAll_Ct&lt;22,$BC1345=(Elig_MatchAll_Ct-1),AX1345=0),Y1345,0)</f>
        <v>0</v>
      </c>
      <c r="CE1345" s="993">
        <f>IF(AND(Input_LTV&lt;=AE1345,Input_Product=Elig!$C1345,Elig_MatchAll_Ct&lt;22,$BC1345=(Elig_MatchAll_Ct-1),AY1345=0),Z1345,0)</f>
        <v>0</v>
      </c>
      <c r="CF1345" s="994">
        <f>IF(AND(Input_LTV&lt;=AE1345,Input_Product=Elig!$C1345,Elig_MatchAll_Ct&lt;22,$BC1345=(Elig_MatchAll_Ct-1),AY1345=0),AA1345,0)</f>
        <v>0</v>
      </c>
      <c r="CG1345" s="993">
        <f>IF(AND(Input_Product=Elig!$C1345,Elig_MatchAll_Ct&lt;22,$BC1345=(Elig_MatchAll_Ct-1),AZ1345=0),AB1345,0)</f>
        <v>0</v>
      </c>
      <c r="CH1345" s="994">
        <f>IF(AND(Input_Product=Elig!$C1345,Elig_MatchAll_Ct&lt;22,$BC1345=(Elig_MatchAll_Ct-1),AZ1345=0),AC1345,0)</f>
        <v>0</v>
      </c>
      <c r="CI1345" s="993">
        <f>IF(AND(Input_Product=Elig!$C1345,Elig_MatchAll_Ct&lt;22,$BC1345=(Elig_MatchAll_Ct-1),BA1345=0),AD1345,0)</f>
        <v>0</v>
      </c>
      <c r="CJ1345" s="994">
        <f>IF(AND(Input_Product=Elig!$C1345,Elig_MatchAll_Ct&lt;22,$BC1345=(Elig_MatchAll_Ct-1),BA1345=0),AE1345,0)</f>
        <v>0</v>
      </c>
    </row>
    <row r="1346" spans="2:88" ht="10.15" customHeight="1" x14ac:dyDescent="0.25">
      <c r="B1346" s="1538" t="s">
        <v>3558</v>
      </c>
      <c r="C1346" s="1538" t="str">
        <f t="shared" si="480"/>
        <v xml:space="preserve">  OO</v>
      </c>
      <c r="D1346" s="1538" t="s">
        <v>2764</v>
      </c>
      <c r="E1346" s="1538" t="s">
        <v>167</v>
      </c>
      <c r="F1346" s="1538" t="s">
        <v>2765</v>
      </c>
      <c r="G1346" s="1538" t="s">
        <v>2766</v>
      </c>
      <c r="H1346" s="1538" t="s">
        <v>2767</v>
      </c>
      <c r="I1346" s="1539" t="s">
        <v>16</v>
      </c>
      <c r="J1346" s="1539" t="s">
        <v>1311</v>
      </c>
      <c r="K1346" s="1539" t="s">
        <v>3023</v>
      </c>
      <c r="L1346" s="1538" t="s">
        <v>2768</v>
      </c>
      <c r="M1346" s="1538" t="s">
        <v>2677</v>
      </c>
      <c r="N1346" s="1538" t="s">
        <v>2685</v>
      </c>
      <c r="O1346" s="1538" t="s">
        <v>310</v>
      </c>
      <c r="P1346" s="1538" t="s">
        <v>291</v>
      </c>
      <c r="Q1346" s="1538" t="s">
        <v>294</v>
      </c>
      <c r="R1346" s="1538">
        <v>1000000.01</v>
      </c>
      <c r="S1346" s="1538">
        <v>1500000</v>
      </c>
      <c r="T1346" s="1538">
        <v>0</v>
      </c>
      <c r="U1346" s="1538">
        <f t="shared" si="484"/>
        <v>1500000</v>
      </c>
      <c r="V1346" s="1538">
        <v>0</v>
      </c>
      <c r="W1346" s="1538">
        <v>55</v>
      </c>
      <c r="X1346" s="1538">
        <v>0</v>
      </c>
      <c r="Y1346" s="1538">
        <v>0</v>
      </c>
      <c r="Z1346" s="1540">
        <v>700</v>
      </c>
      <c r="AA1346" s="1540">
        <v>719</v>
      </c>
      <c r="AB1346" s="1540">
        <v>6</v>
      </c>
      <c r="AC1346" s="1540">
        <v>999999</v>
      </c>
      <c r="AD1346" s="1538">
        <v>0</v>
      </c>
      <c r="AE1346" s="1545">
        <v>80</v>
      </c>
      <c r="AF1346" s="170">
        <v>0</v>
      </c>
      <c r="AG1346" s="171">
        <v>1</v>
      </c>
      <c r="AH1346" s="171">
        <v>1</v>
      </c>
      <c r="AI1346" s="171">
        <v>1</v>
      </c>
      <c r="AJ1346" s="171">
        <v>1</v>
      </c>
      <c r="AK1346" s="171">
        <v>1</v>
      </c>
      <c r="AL1346" s="171">
        <v>1</v>
      </c>
      <c r="AM1346" s="171">
        <v>1</v>
      </c>
      <c r="AN1346" s="171">
        <v>1</v>
      </c>
      <c r="AO1346" s="171">
        <v>1</v>
      </c>
      <c r="AP1346" s="171">
        <v>1</v>
      </c>
      <c r="AQ1346" s="171">
        <v>1</v>
      </c>
      <c r="AR1346" s="171">
        <v>1</v>
      </c>
      <c r="AS1346" s="171">
        <v>1</v>
      </c>
      <c r="AT1346" s="171">
        <v>1</v>
      </c>
      <c r="AU1346" s="171">
        <f t="shared" si="474"/>
        <v>0</v>
      </c>
      <c r="AV1346" s="171">
        <f t="shared" si="475"/>
        <v>1</v>
      </c>
      <c r="AW1346" s="171">
        <f t="shared" si="476"/>
        <v>1</v>
      </c>
      <c r="AX1346" s="171">
        <f t="shared" si="467"/>
        <v>1</v>
      </c>
      <c r="AY1346" s="171">
        <f t="shared" si="477"/>
        <v>0</v>
      </c>
      <c r="AZ1346" s="171">
        <f t="shared" si="478"/>
        <v>1</v>
      </c>
      <c r="BA1346" s="172">
        <f t="shared" si="479"/>
        <v>1</v>
      </c>
      <c r="BB1346" s="175">
        <f t="shared" si="481"/>
        <v>19</v>
      </c>
      <c r="BC1346" s="176">
        <f t="shared" si="482"/>
        <v>18</v>
      </c>
      <c r="BD1346" s="176">
        <f t="shared" si="483"/>
        <v>19</v>
      </c>
      <c r="BE1346" s="240" t="str">
        <f t="shared" si="473"/>
        <v/>
      </c>
      <c r="BF1346" s="990"/>
      <c r="BG1346" s="990"/>
      <c r="BH1346" s="991">
        <f>IF(AND(Input_Product=Elig!$C1346,Elig_MatchAll_Ct&lt;22,$BC1346=(Elig_MatchAll_Ct-1),AF1346=0),C1346,0)</f>
        <v>0</v>
      </c>
      <c r="BI1346" s="991">
        <f>IF(AND(Input_Product=Elig!$C1346,Elig_MatchAll_Ct&lt;22,$BC1346=(Elig_MatchAll_Ct-1),AG1346=0),D1346,0)</f>
        <v>0</v>
      </c>
      <c r="BJ1346" s="991">
        <f>IF(AND(Input_Product=Elig!$C1346,Elig_MatchAll_Ct&lt;22,$BC1346=(Elig_MatchAll_Ct-1),AH1346=0),E1346,0)</f>
        <v>0</v>
      </c>
      <c r="BK1346" s="991">
        <f>IF(AND(Input_Product=Elig!$C1346,Elig_MatchAll_Ct&lt;22,$BC1346=(Elig_MatchAll_Ct-1),AI1346=0),F1346,0)</f>
        <v>0</v>
      </c>
      <c r="BL1346" s="991">
        <f>IF(AND(Input_Product=Elig!$C1346,Elig_MatchAll_Ct&lt;22,$BC1346=(Elig_MatchAll_Ct-1),AJ1346=0),G1346,0)</f>
        <v>0</v>
      </c>
      <c r="BM1346" s="991">
        <f>IF(AND(Input_Product=Elig!$C1346,Elig_MatchAll_Ct&lt;22,$BC1346=(Elig_MatchAll_Ct-1),AK1346=0),H1346,0)</f>
        <v>0</v>
      </c>
      <c r="BN1346" s="991">
        <f>IF(AND(Input_Product=Elig!$C1346,Elig_MatchAll_Ct&lt;22,$BC1346=(Elig_MatchAll_Ct-1),AL1346=0),I1346,0)</f>
        <v>0</v>
      </c>
      <c r="BO1346" s="991">
        <f>IF(AND(Input_Product=Elig!$C1346,Elig_MatchAll_Ct&lt;22,$BC1346=(Elig_MatchAll_Ct-1),AM1346=0),J1346,0)</f>
        <v>0</v>
      </c>
      <c r="BP1346" s="991">
        <f>IF(AND(Input_Product=Elig!$C1346,Elig_MatchAll_Ct&lt;22,$BC1346=(Elig_MatchAll_Ct-1),AN1346=0),K1346,0)</f>
        <v>0</v>
      </c>
      <c r="BQ1346" s="991">
        <f>IF(AND(Input_Product=Elig!$C1346,Elig_MatchAll_Ct&lt;22,$BC1346=(Elig_MatchAll_Ct-1),AP1346=0),L1346,0)</f>
        <v>0</v>
      </c>
      <c r="BR1346" s="991">
        <f>IF(AND(Input_Product=Elig!$C1346,Elig_MatchAll_Ct&lt;22,$BC1346=(Elig_MatchAll_Ct-1),AO1346=0),M1346,0)</f>
        <v>0</v>
      </c>
      <c r="BS1346" s="991">
        <f>IF(AND(Input_Product=Elig!$C1346,Elig_MatchAll_Ct&lt;22,$BC1346=(Elig_MatchAll_Ct-1),AQ1346=0),N1346,0)</f>
        <v>0</v>
      </c>
      <c r="BT1346" s="991">
        <f>IF(AND(Input_Product=Elig!$C1346,Elig_MatchAll_Ct&lt;22,$BC1346=(Elig_MatchAll_Ct-1),AR1346=0),O1346,0)</f>
        <v>0</v>
      </c>
      <c r="BU1346" s="991">
        <f>IF(AND(Input_Product=Elig!$C1346,Elig_MatchAll_Ct&lt;22,$BC1346=(Elig_MatchAll_Ct-1),AS1346=0),P1346,0)</f>
        <v>0</v>
      </c>
      <c r="BV1346" s="992">
        <f>IF(AND(Input_Product=Elig!$C1346,Elig_MatchAll_Ct&lt;22,$BC1346=(Elig_MatchAll_Ct-1),AT1346=0),Q1346,0)</f>
        <v>0</v>
      </c>
      <c r="BW1346" s="993">
        <f>IF(AND(Input_Product=Elig!$C1346,Elig_MatchAll_Ct&lt;22,$BC1346=(Elig_MatchAll_Ct-1),AU1346=0),R1346,0)</f>
        <v>0</v>
      </c>
      <c r="BX1346" s="994">
        <f>IF(AND(Input_Product=Elig!$C1346,Elig_MatchAll_Ct&lt;22,$BC1346=(Elig_MatchAll_Ct-1),AU1346=0),S1346,0)</f>
        <v>0</v>
      </c>
      <c r="BY1346" s="993">
        <f>IF(AND(Input_Product=Elig!$C1346,Elig_MatchAll_Ct&lt;22,$BC1346=(Elig_MatchAll_Ct-1),AV1346=0),T1346,0)</f>
        <v>0</v>
      </c>
      <c r="BZ1346" s="994">
        <f>IF(AND(Input_Product=Elig!$C1346,Elig_MatchAll_Ct&lt;22,$BC1346=(Elig_MatchAll_Ct-1),AV1346=0),U1346,0)</f>
        <v>0</v>
      </c>
      <c r="CA1346" s="993">
        <f>IF(AND(Input_Product=Elig!$C1346,Elig_MatchAll_Ct&lt;22,$BC1346=(Elig_MatchAll_Ct-1),AW1346=0),V1346,0)</f>
        <v>0</v>
      </c>
      <c r="CB1346" s="994">
        <f>IF(AND(Input_Product=Elig!$C1346,Elig_MatchAll_Ct&lt;22,$BC1346=(Elig_MatchAll_Ct-1),AW1346=0),W1346,0)</f>
        <v>0</v>
      </c>
      <c r="CC1346" s="993">
        <f>IF(AND(Input_Product=Elig!$C1346,Elig_MatchAll_Ct&lt;22,$BC1346=(Elig_MatchAll_Ct-1),AX1346=0),X1346,0)</f>
        <v>0</v>
      </c>
      <c r="CD1346" s="994">
        <f>IF(AND(Input_Product=Elig!$C1346,Elig_MatchAll_Ct&lt;22,$BC1346=(Elig_MatchAll_Ct-1),AX1346=0),Y1346,0)</f>
        <v>0</v>
      </c>
      <c r="CE1346" s="993">
        <f>IF(AND(Input_LTV&lt;=AE1346,Input_Product=Elig!$C1346,Elig_MatchAll_Ct&lt;22,$BC1346=(Elig_MatchAll_Ct-1),AY1346=0),Z1346,0)</f>
        <v>0</v>
      </c>
      <c r="CF1346" s="994">
        <f>IF(AND(Input_LTV&lt;=AE1346,Input_Product=Elig!$C1346,Elig_MatchAll_Ct&lt;22,$BC1346=(Elig_MatchAll_Ct-1),AY1346=0),AA1346,0)</f>
        <v>0</v>
      </c>
      <c r="CG1346" s="993">
        <f>IF(AND(Input_Product=Elig!$C1346,Elig_MatchAll_Ct&lt;22,$BC1346=(Elig_MatchAll_Ct-1),AZ1346=0),AB1346,0)</f>
        <v>0</v>
      </c>
      <c r="CH1346" s="994">
        <f>IF(AND(Input_Product=Elig!$C1346,Elig_MatchAll_Ct&lt;22,$BC1346=(Elig_MatchAll_Ct-1),AZ1346=0),AC1346,0)</f>
        <v>0</v>
      </c>
      <c r="CI1346" s="993">
        <f>IF(AND(Input_Product=Elig!$C1346,Elig_MatchAll_Ct&lt;22,$BC1346=(Elig_MatchAll_Ct-1),BA1346=0),AD1346,0)</f>
        <v>0</v>
      </c>
      <c r="CJ1346" s="994">
        <f>IF(AND(Input_Product=Elig!$C1346,Elig_MatchAll_Ct&lt;22,$BC1346=(Elig_MatchAll_Ct-1),BA1346=0),AE1346,0)</f>
        <v>0</v>
      </c>
    </row>
    <row r="1347" spans="2:88" ht="10.15" customHeight="1" x14ac:dyDescent="0.25">
      <c r="B1347" s="1538" t="s">
        <v>2795</v>
      </c>
      <c r="C1347" s="1538" t="str">
        <f t="shared" si="480"/>
        <v xml:space="preserve">  OO</v>
      </c>
      <c r="D1347" s="1538" t="s">
        <v>2764</v>
      </c>
      <c r="E1347" s="1538" t="s">
        <v>167</v>
      </c>
      <c r="F1347" s="1538" t="s">
        <v>2765</v>
      </c>
      <c r="G1347" s="1538" t="s">
        <v>2766</v>
      </c>
      <c r="H1347" s="1538" t="s">
        <v>2767</v>
      </c>
      <c r="I1347" s="1539" t="s">
        <v>16</v>
      </c>
      <c r="J1347" s="1539" t="s">
        <v>1311</v>
      </c>
      <c r="K1347" s="1539" t="s">
        <v>3023</v>
      </c>
      <c r="L1347" s="1538" t="s">
        <v>2768</v>
      </c>
      <c r="M1347" s="1538" t="s">
        <v>2677</v>
      </c>
      <c r="N1347" s="1538" t="s">
        <v>2685</v>
      </c>
      <c r="O1347" s="1538" t="s">
        <v>310</v>
      </c>
      <c r="P1347" s="1538" t="s">
        <v>291</v>
      </c>
      <c r="Q1347" s="1538" t="s">
        <v>294</v>
      </c>
      <c r="R1347" s="1538">
        <v>1500000.01</v>
      </c>
      <c r="S1347" s="1538">
        <v>2000000</v>
      </c>
      <c r="T1347" s="1538">
        <v>0</v>
      </c>
      <c r="U1347" s="1538">
        <f t="shared" si="484"/>
        <v>2000000</v>
      </c>
      <c r="V1347" s="1538">
        <v>0</v>
      </c>
      <c r="W1347" s="1538">
        <v>55</v>
      </c>
      <c r="X1347" s="1538">
        <v>0</v>
      </c>
      <c r="Y1347" s="1538">
        <v>0</v>
      </c>
      <c r="Z1347" s="1540">
        <v>700</v>
      </c>
      <c r="AA1347" s="1540">
        <v>719</v>
      </c>
      <c r="AB1347" s="1540">
        <v>6</v>
      </c>
      <c r="AC1347" s="1540">
        <v>999999</v>
      </c>
      <c r="AD1347" s="1538">
        <v>0</v>
      </c>
      <c r="AE1347" s="1545">
        <v>70</v>
      </c>
      <c r="AF1347" s="170">
        <v>0</v>
      </c>
      <c r="AG1347" s="171">
        <v>1</v>
      </c>
      <c r="AH1347" s="171">
        <v>1</v>
      </c>
      <c r="AI1347" s="171">
        <v>1</v>
      </c>
      <c r="AJ1347" s="171">
        <v>1</v>
      </c>
      <c r="AK1347" s="171">
        <v>1</v>
      </c>
      <c r="AL1347" s="171">
        <v>1</v>
      </c>
      <c r="AM1347" s="171">
        <v>1</v>
      </c>
      <c r="AN1347" s="171">
        <v>1</v>
      </c>
      <c r="AO1347" s="171">
        <v>1</v>
      </c>
      <c r="AP1347" s="171">
        <v>1</v>
      </c>
      <c r="AQ1347" s="171">
        <v>1</v>
      </c>
      <c r="AR1347" s="171">
        <v>1</v>
      </c>
      <c r="AS1347" s="171">
        <v>1</v>
      </c>
      <c r="AT1347" s="171">
        <v>1</v>
      </c>
      <c r="AU1347" s="171">
        <f t="shared" si="474"/>
        <v>0</v>
      </c>
      <c r="AV1347" s="171">
        <f t="shared" si="475"/>
        <v>1</v>
      </c>
      <c r="AW1347" s="171">
        <f t="shared" si="476"/>
        <v>1</v>
      </c>
      <c r="AX1347" s="171">
        <f t="shared" ref="AX1347:AX1410" si="485">IF(AND(Input_DSCR&gt;=Elig_DSCR_Min,Input_DSCR&lt;=Elig_DSCR_Max),1,0)</f>
        <v>1</v>
      </c>
      <c r="AY1347" s="171">
        <f t="shared" si="477"/>
        <v>0</v>
      </c>
      <c r="AZ1347" s="171">
        <f t="shared" si="478"/>
        <v>1</v>
      </c>
      <c r="BA1347" s="172">
        <f t="shared" si="479"/>
        <v>1</v>
      </c>
      <c r="BB1347" s="175">
        <f t="shared" si="481"/>
        <v>19</v>
      </c>
      <c r="BC1347" s="176">
        <f t="shared" si="482"/>
        <v>18</v>
      </c>
      <c r="BD1347" s="176">
        <f t="shared" si="483"/>
        <v>19</v>
      </c>
      <c r="BE1347" s="240" t="str">
        <f t="shared" si="473"/>
        <v/>
      </c>
      <c r="BF1347" s="990"/>
      <c r="BG1347" s="990"/>
      <c r="BH1347" s="991">
        <f>IF(AND(Input_Product=Elig!$C1347,Elig_MatchAll_Ct&lt;22,$BC1347=(Elig_MatchAll_Ct-1),AF1347=0),C1347,0)</f>
        <v>0</v>
      </c>
      <c r="BI1347" s="991">
        <f>IF(AND(Input_Product=Elig!$C1347,Elig_MatchAll_Ct&lt;22,$BC1347=(Elig_MatchAll_Ct-1),AG1347=0),D1347,0)</f>
        <v>0</v>
      </c>
      <c r="BJ1347" s="991">
        <f>IF(AND(Input_Product=Elig!$C1347,Elig_MatchAll_Ct&lt;22,$BC1347=(Elig_MatchAll_Ct-1),AH1347=0),E1347,0)</f>
        <v>0</v>
      </c>
      <c r="BK1347" s="991">
        <f>IF(AND(Input_Product=Elig!$C1347,Elig_MatchAll_Ct&lt;22,$BC1347=(Elig_MatchAll_Ct-1),AI1347=0),F1347,0)</f>
        <v>0</v>
      </c>
      <c r="BL1347" s="991">
        <f>IF(AND(Input_Product=Elig!$C1347,Elig_MatchAll_Ct&lt;22,$BC1347=(Elig_MatchAll_Ct-1),AJ1347=0),G1347,0)</f>
        <v>0</v>
      </c>
      <c r="BM1347" s="991">
        <f>IF(AND(Input_Product=Elig!$C1347,Elig_MatchAll_Ct&lt;22,$BC1347=(Elig_MatchAll_Ct-1),AK1347=0),H1347,0)</f>
        <v>0</v>
      </c>
      <c r="BN1347" s="991">
        <f>IF(AND(Input_Product=Elig!$C1347,Elig_MatchAll_Ct&lt;22,$BC1347=(Elig_MatchAll_Ct-1),AL1347=0),I1347,0)</f>
        <v>0</v>
      </c>
      <c r="BO1347" s="991">
        <f>IF(AND(Input_Product=Elig!$C1347,Elig_MatchAll_Ct&lt;22,$BC1347=(Elig_MatchAll_Ct-1),AM1347=0),J1347,0)</f>
        <v>0</v>
      </c>
      <c r="BP1347" s="991">
        <f>IF(AND(Input_Product=Elig!$C1347,Elig_MatchAll_Ct&lt;22,$BC1347=(Elig_MatchAll_Ct-1),AN1347=0),K1347,0)</f>
        <v>0</v>
      </c>
      <c r="BQ1347" s="991">
        <f>IF(AND(Input_Product=Elig!$C1347,Elig_MatchAll_Ct&lt;22,$BC1347=(Elig_MatchAll_Ct-1),AP1347=0),L1347,0)</f>
        <v>0</v>
      </c>
      <c r="BR1347" s="991">
        <f>IF(AND(Input_Product=Elig!$C1347,Elig_MatchAll_Ct&lt;22,$BC1347=(Elig_MatchAll_Ct-1),AO1347=0),M1347,0)</f>
        <v>0</v>
      </c>
      <c r="BS1347" s="991">
        <f>IF(AND(Input_Product=Elig!$C1347,Elig_MatchAll_Ct&lt;22,$BC1347=(Elig_MatchAll_Ct-1),AQ1347=0),N1347,0)</f>
        <v>0</v>
      </c>
      <c r="BT1347" s="991">
        <f>IF(AND(Input_Product=Elig!$C1347,Elig_MatchAll_Ct&lt;22,$BC1347=(Elig_MatchAll_Ct-1),AR1347=0),O1347,0)</f>
        <v>0</v>
      </c>
      <c r="BU1347" s="991">
        <f>IF(AND(Input_Product=Elig!$C1347,Elig_MatchAll_Ct&lt;22,$BC1347=(Elig_MatchAll_Ct-1),AS1347=0),P1347,0)</f>
        <v>0</v>
      </c>
      <c r="BV1347" s="992">
        <f>IF(AND(Input_Product=Elig!$C1347,Elig_MatchAll_Ct&lt;22,$BC1347=(Elig_MatchAll_Ct-1),AT1347=0),Q1347,0)</f>
        <v>0</v>
      </c>
      <c r="BW1347" s="993">
        <f>IF(AND(Input_Product=Elig!$C1347,Elig_MatchAll_Ct&lt;22,$BC1347=(Elig_MatchAll_Ct-1),AU1347=0),R1347,0)</f>
        <v>0</v>
      </c>
      <c r="BX1347" s="994">
        <f>IF(AND(Input_Product=Elig!$C1347,Elig_MatchAll_Ct&lt;22,$BC1347=(Elig_MatchAll_Ct-1),AU1347=0),S1347,0)</f>
        <v>0</v>
      </c>
      <c r="BY1347" s="993">
        <f>IF(AND(Input_Product=Elig!$C1347,Elig_MatchAll_Ct&lt;22,$BC1347=(Elig_MatchAll_Ct-1),AV1347=0),T1347,0)</f>
        <v>0</v>
      </c>
      <c r="BZ1347" s="994">
        <f>IF(AND(Input_Product=Elig!$C1347,Elig_MatchAll_Ct&lt;22,$BC1347=(Elig_MatchAll_Ct-1),AV1347=0),U1347,0)</f>
        <v>0</v>
      </c>
      <c r="CA1347" s="993">
        <f>IF(AND(Input_Product=Elig!$C1347,Elig_MatchAll_Ct&lt;22,$BC1347=(Elig_MatchAll_Ct-1),AW1347=0),V1347,0)</f>
        <v>0</v>
      </c>
      <c r="CB1347" s="994">
        <f>IF(AND(Input_Product=Elig!$C1347,Elig_MatchAll_Ct&lt;22,$BC1347=(Elig_MatchAll_Ct-1),AW1347=0),W1347,0)</f>
        <v>0</v>
      </c>
      <c r="CC1347" s="993">
        <f>IF(AND(Input_Product=Elig!$C1347,Elig_MatchAll_Ct&lt;22,$BC1347=(Elig_MatchAll_Ct-1),AX1347=0),X1347,0)</f>
        <v>0</v>
      </c>
      <c r="CD1347" s="994">
        <f>IF(AND(Input_Product=Elig!$C1347,Elig_MatchAll_Ct&lt;22,$BC1347=(Elig_MatchAll_Ct-1),AX1347=0),Y1347,0)</f>
        <v>0</v>
      </c>
      <c r="CE1347" s="993">
        <f>IF(AND(Input_LTV&lt;=AE1347,Input_Product=Elig!$C1347,Elig_MatchAll_Ct&lt;22,$BC1347=(Elig_MatchAll_Ct-1),AY1347=0),Z1347,0)</f>
        <v>0</v>
      </c>
      <c r="CF1347" s="994">
        <f>IF(AND(Input_LTV&lt;=AE1347,Input_Product=Elig!$C1347,Elig_MatchAll_Ct&lt;22,$BC1347=(Elig_MatchAll_Ct-1),AY1347=0),AA1347,0)</f>
        <v>0</v>
      </c>
      <c r="CG1347" s="993">
        <f>IF(AND(Input_Product=Elig!$C1347,Elig_MatchAll_Ct&lt;22,$BC1347=(Elig_MatchAll_Ct-1),AZ1347=0),AB1347,0)</f>
        <v>0</v>
      </c>
      <c r="CH1347" s="994">
        <f>IF(AND(Input_Product=Elig!$C1347,Elig_MatchAll_Ct&lt;22,$BC1347=(Elig_MatchAll_Ct-1),AZ1347=0),AC1347,0)</f>
        <v>0</v>
      </c>
      <c r="CI1347" s="993">
        <f>IF(AND(Input_Product=Elig!$C1347,Elig_MatchAll_Ct&lt;22,$BC1347=(Elig_MatchAll_Ct-1),BA1347=0),AD1347,0)</f>
        <v>0</v>
      </c>
      <c r="CJ1347" s="994">
        <f>IF(AND(Input_Product=Elig!$C1347,Elig_MatchAll_Ct&lt;22,$BC1347=(Elig_MatchAll_Ct-1),BA1347=0),AE1347,0)</f>
        <v>0</v>
      </c>
    </row>
    <row r="1348" spans="2:88" ht="10.15" customHeight="1" x14ac:dyDescent="0.25">
      <c r="B1348" s="1538" t="s">
        <v>2796</v>
      </c>
      <c r="C1348" s="1538" t="str">
        <f t="shared" si="480"/>
        <v xml:space="preserve">  OO</v>
      </c>
      <c r="D1348" s="1538" t="s">
        <v>2764</v>
      </c>
      <c r="E1348" s="1538" t="s">
        <v>167</v>
      </c>
      <c r="F1348" s="1538" t="s">
        <v>2765</v>
      </c>
      <c r="G1348" s="1538" t="s">
        <v>2766</v>
      </c>
      <c r="H1348" s="1538" t="s">
        <v>2767</v>
      </c>
      <c r="I1348" s="1539" t="s">
        <v>16</v>
      </c>
      <c r="J1348" s="1539" t="s">
        <v>1311</v>
      </c>
      <c r="K1348" s="1539" t="s">
        <v>3023</v>
      </c>
      <c r="L1348" s="1538" t="s">
        <v>2768</v>
      </c>
      <c r="M1348" s="1538" t="s">
        <v>2677</v>
      </c>
      <c r="N1348" s="1538" t="s">
        <v>2685</v>
      </c>
      <c r="O1348" s="1538" t="s">
        <v>310</v>
      </c>
      <c r="P1348" s="1538" t="s">
        <v>291</v>
      </c>
      <c r="Q1348" s="1538" t="s">
        <v>294</v>
      </c>
      <c r="R1348" s="1538">
        <v>2000000.01</v>
      </c>
      <c r="S1348" s="1538">
        <v>2500000</v>
      </c>
      <c r="T1348" s="1538">
        <v>0</v>
      </c>
      <c r="U1348" s="1538">
        <f t="shared" si="484"/>
        <v>2500000</v>
      </c>
      <c r="V1348" s="1538">
        <v>0</v>
      </c>
      <c r="W1348" s="1538">
        <v>55</v>
      </c>
      <c r="X1348" s="1538">
        <v>0</v>
      </c>
      <c r="Y1348" s="1538">
        <v>0</v>
      </c>
      <c r="Z1348" s="1540">
        <v>700</v>
      </c>
      <c r="AA1348" s="1540">
        <v>719</v>
      </c>
      <c r="AB1348" s="1540">
        <v>6</v>
      </c>
      <c r="AC1348" s="1540">
        <v>999999</v>
      </c>
      <c r="AD1348" s="1538">
        <v>0</v>
      </c>
      <c r="AE1348" s="1545">
        <v>65</v>
      </c>
      <c r="AF1348" s="170">
        <v>0</v>
      </c>
      <c r="AG1348" s="171">
        <v>1</v>
      </c>
      <c r="AH1348" s="171">
        <v>1</v>
      </c>
      <c r="AI1348" s="171">
        <v>1</v>
      </c>
      <c r="AJ1348" s="171">
        <v>1</v>
      </c>
      <c r="AK1348" s="171">
        <v>1</v>
      </c>
      <c r="AL1348" s="171">
        <v>1</v>
      </c>
      <c r="AM1348" s="171">
        <v>1</v>
      </c>
      <c r="AN1348" s="171">
        <v>1</v>
      </c>
      <c r="AO1348" s="171">
        <v>1</v>
      </c>
      <c r="AP1348" s="171">
        <v>1</v>
      </c>
      <c r="AQ1348" s="171">
        <v>1</v>
      </c>
      <c r="AR1348" s="171">
        <v>1</v>
      </c>
      <c r="AS1348" s="171">
        <v>1</v>
      </c>
      <c r="AT1348" s="171">
        <v>1</v>
      </c>
      <c r="AU1348" s="171">
        <f t="shared" si="474"/>
        <v>0</v>
      </c>
      <c r="AV1348" s="171">
        <f t="shared" si="475"/>
        <v>1</v>
      </c>
      <c r="AW1348" s="171">
        <f t="shared" si="476"/>
        <v>1</v>
      </c>
      <c r="AX1348" s="171">
        <f t="shared" si="485"/>
        <v>1</v>
      </c>
      <c r="AY1348" s="171">
        <f t="shared" si="477"/>
        <v>0</v>
      </c>
      <c r="AZ1348" s="171">
        <f t="shared" si="478"/>
        <v>1</v>
      </c>
      <c r="BA1348" s="172">
        <f t="shared" si="479"/>
        <v>1</v>
      </c>
      <c r="BB1348" s="175">
        <f t="shared" si="481"/>
        <v>19</v>
      </c>
      <c r="BC1348" s="176">
        <f t="shared" si="482"/>
        <v>18</v>
      </c>
      <c r="BD1348" s="176">
        <f t="shared" si="483"/>
        <v>19</v>
      </c>
      <c r="BE1348" s="240" t="str">
        <f t="shared" si="473"/>
        <v/>
      </c>
      <c r="BF1348" s="990"/>
      <c r="BG1348" s="990"/>
      <c r="BH1348" s="991">
        <f>IF(AND(Input_Product=Elig!$C1348,Elig_MatchAll_Ct&lt;22,$BC1348=(Elig_MatchAll_Ct-1),AF1348=0),C1348,0)</f>
        <v>0</v>
      </c>
      <c r="BI1348" s="991">
        <f>IF(AND(Input_Product=Elig!$C1348,Elig_MatchAll_Ct&lt;22,$BC1348=(Elig_MatchAll_Ct-1),AG1348=0),D1348,0)</f>
        <v>0</v>
      </c>
      <c r="BJ1348" s="991">
        <f>IF(AND(Input_Product=Elig!$C1348,Elig_MatchAll_Ct&lt;22,$BC1348=(Elig_MatchAll_Ct-1),AH1348=0),E1348,0)</f>
        <v>0</v>
      </c>
      <c r="BK1348" s="991">
        <f>IF(AND(Input_Product=Elig!$C1348,Elig_MatchAll_Ct&lt;22,$BC1348=(Elig_MatchAll_Ct-1),AI1348=0),F1348,0)</f>
        <v>0</v>
      </c>
      <c r="BL1348" s="991">
        <f>IF(AND(Input_Product=Elig!$C1348,Elig_MatchAll_Ct&lt;22,$BC1348=(Elig_MatchAll_Ct-1),AJ1348=0),G1348,0)</f>
        <v>0</v>
      </c>
      <c r="BM1348" s="991">
        <f>IF(AND(Input_Product=Elig!$C1348,Elig_MatchAll_Ct&lt;22,$BC1348=(Elig_MatchAll_Ct-1),AK1348=0),H1348,0)</f>
        <v>0</v>
      </c>
      <c r="BN1348" s="991">
        <f>IF(AND(Input_Product=Elig!$C1348,Elig_MatchAll_Ct&lt;22,$BC1348=(Elig_MatchAll_Ct-1),AL1348=0),I1348,0)</f>
        <v>0</v>
      </c>
      <c r="BO1348" s="991">
        <f>IF(AND(Input_Product=Elig!$C1348,Elig_MatchAll_Ct&lt;22,$BC1348=(Elig_MatchAll_Ct-1),AM1348=0),J1348,0)</f>
        <v>0</v>
      </c>
      <c r="BP1348" s="991">
        <f>IF(AND(Input_Product=Elig!$C1348,Elig_MatchAll_Ct&lt;22,$BC1348=(Elig_MatchAll_Ct-1),AN1348=0),K1348,0)</f>
        <v>0</v>
      </c>
      <c r="BQ1348" s="991">
        <f>IF(AND(Input_Product=Elig!$C1348,Elig_MatchAll_Ct&lt;22,$BC1348=(Elig_MatchAll_Ct-1),AP1348=0),L1348,0)</f>
        <v>0</v>
      </c>
      <c r="BR1348" s="991">
        <f>IF(AND(Input_Product=Elig!$C1348,Elig_MatchAll_Ct&lt;22,$BC1348=(Elig_MatchAll_Ct-1),AO1348=0),M1348,0)</f>
        <v>0</v>
      </c>
      <c r="BS1348" s="991">
        <f>IF(AND(Input_Product=Elig!$C1348,Elig_MatchAll_Ct&lt;22,$BC1348=(Elig_MatchAll_Ct-1),AQ1348=0),N1348,0)</f>
        <v>0</v>
      </c>
      <c r="BT1348" s="991">
        <f>IF(AND(Input_Product=Elig!$C1348,Elig_MatchAll_Ct&lt;22,$BC1348=(Elig_MatchAll_Ct-1),AR1348=0),O1348,0)</f>
        <v>0</v>
      </c>
      <c r="BU1348" s="991">
        <f>IF(AND(Input_Product=Elig!$C1348,Elig_MatchAll_Ct&lt;22,$BC1348=(Elig_MatchAll_Ct-1),AS1348=0),P1348,0)</f>
        <v>0</v>
      </c>
      <c r="BV1348" s="992">
        <f>IF(AND(Input_Product=Elig!$C1348,Elig_MatchAll_Ct&lt;22,$BC1348=(Elig_MatchAll_Ct-1),AT1348=0),Q1348,0)</f>
        <v>0</v>
      </c>
      <c r="BW1348" s="993">
        <f>IF(AND(Input_Product=Elig!$C1348,Elig_MatchAll_Ct&lt;22,$BC1348=(Elig_MatchAll_Ct-1),AU1348=0),R1348,0)</f>
        <v>0</v>
      </c>
      <c r="BX1348" s="994">
        <f>IF(AND(Input_Product=Elig!$C1348,Elig_MatchAll_Ct&lt;22,$BC1348=(Elig_MatchAll_Ct-1),AU1348=0),S1348,0)</f>
        <v>0</v>
      </c>
      <c r="BY1348" s="993">
        <f>IF(AND(Input_Product=Elig!$C1348,Elig_MatchAll_Ct&lt;22,$BC1348=(Elig_MatchAll_Ct-1),AV1348=0),T1348,0)</f>
        <v>0</v>
      </c>
      <c r="BZ1348" s="994">
        <f>IF(AND(Input_Product=Elig!$C1348,Elig_MatchAll_Ct&lt;22,$BC1348=(Elig_MatchAll_Ct-1),AV1348=0),U1348,0)</f>
        <v>0</v>
      </c>
      <c r="CA1348" s="993">
        <f>IF(AND(Input_Product=Elig!$C1348,Elig_MatchAll_Ct&lt;22,$BC1348=(Elig_MatchAll_Ct-1),AW1348=0),V1348,0)</f>
        <v>0</v>
      </c>
      <c r="CB1348" s="994">
        <f>IF(AND(Input_Product=Elig!$C1348,Elig_MatchAll_Ct&lt;22,$BC1348=(Elig_MatchAll_Ct-1),AW1348=0),W1348,0)</f>
        <v>0</v>
      </c>
      <c r="CC1348" s="993">
        <f>IF(AND(Input_Product=Elig!$C1348,Elig_MatchAll_Ct&lt;22,$BC1348=(Elig_MatchAll_Ct-1),AX1348=0),X1348,0)</f>
        <v>0</v>
      </c>
      <c r="CD1348" s="994">
        <f>IF(AND(Input_Product=Elig!$C1348,Elig_MatchAll_Ct&lt;22,$BC1348=(Elig_MatchAll_Ct-1),AX1348=0),Y1348,0)</f>
        <v>0</v>
      </c>
      <c r="CE1348" s="993">
        <f>IF(AND(Input_LTV&lt;=AE1348,Input_Product=Elig!$C1348,Elig_MatchAll_Ct&lt;22,$BC1348=(Elig_MatchAll_Ct-1),AY1348=0),Z1348,0)</f>
        <v>0</v>
      </c>
      <c r="CF1348" s="994">
        <f>IF(AND(Input_LTV&lt;=AE1348,Input_Product=Elig!$C1348,Elig_MatchAll_Ct&lt;22,$BC1348=(Elig_MatchAll_Ct-1),AY1348=0),AA1348,0)</f>
        <v>0</v>
      </c>
      <c r="CG1348" s="993">
        <f>IF(AND(Input_Product=Elig!$C1348,Elig_MatchAll_Ct&lt;22,$BC1348=(Elig_MatchAll_Ct-1),AZ1348=0),AB1348,0)</f>
        <v>0</v>
      </c>
      <c r="CH1348" s="994">
        <f>IF(AND(Input_Product=Elig!$C1348,Elig_MatchAll_Ct&lt;22,$BC1348=(Elig_MatchAll_Ct-1),AZ1348=0),AC1348,0)</f>
        <v>0</v>
      </c>
      <c r="CI1348" s="993">
        <f>IF(AND(Input_Product=Elig!$C1348,Elig_MatchAll_Ct&lt;22,$BC1348=(Elig_MatchAll_Ct-1),BA1348=0),AD1348,0)</f>
        <v>0</v>
      </c>
      <c r="CJ1348" s="994">
        <f>IF(AND(Input_Product=Elig!$C1348,Elig_MatchAll_Ct&lt;22,$BC1348=(Elig_MatchAll_Ct-1),BA1348=0),AE1348,0)</f>
        <v>0</v>
      </c>
    </row>
    <row r="1349" spans="2:88" ht="10.15" customHeight="1" x14ac:dyDescent="0.25">
      <c r="B1349" s="1538" t="s">
        <v>2797</v>
      </c>
      <c r="C1349" s="1538" t="str">
        <f t="shared" si="480"/>
        <v xml:space="preserve">  OO</v>
      </c>
      <c r="D1349" s="1538" t="s">
        <v>2764</v>
      </c>
      <c r="E1349" s="1538" t="s">
        <v>167</v>
      </c>
      <c r="F1349" s="1538" t="s">
        <v>2765</v>
      </c>
      <c r="G1349" s="1538" t="s">
        <v>2766</v>
      </c>
      <c r="H1349" s="1538" t="s">
        <v>2767</v>
      </c>
      <c r="I1349" s="1539" t="s">
        <v>16</v>
      </c>
      <c r="J1349" s="1539" t="s">
        <v>1311</v>
      </c>
      <c r="K1349" s="1539" t="s">
        <v>3023</v>
      </c>
      <c r="L1349" s="1538" t="s">
        <v>2768</v>
      </c>
      <c r="M1349" s="1538" t="s">
        <v>2677</v>
      </c>
      <c r="N1349" s="1538" t="s">
        <v>2685</v>
      </c>
      <c r="O1349" s="1538" t="s">
        <v>310</v>
      </c>
      <c r="P1349" s="1538" t="s">
        <v>291</v>
      </c>
      <c r="Q1349" s="1538" t="s">
        <v>294</v>
      </c>
      <c r="R1349" s="1538">
        <v>2500000.0099999998</v>
      </c>
      <c r="S1349" s="1538">
        <v>3000000</v>
      </c>
      <c r="T1349" s="1538">
        <v>0</v>
      </c>
      <c r="U1349" s="1538">
        <f t="shared" si="484"/>
        <v>3000000</v>
      </c>
      <c r="V1349" s="1538">
        <v>0</v>
      </c>
      <c r="W1349" s="1538">
        <v>55</v>
      </c>
      <c r="X1349" s="1538">
        <v>0</v>
      </c>
      <c r="Y1349" s="1538">
        <v>0</v>
      </c>
      <c r="Z1349" s="1540">
        <v>700</v>
      </c>
      <c r="AA1349" s="1540">
        <v>719</v>
      </c>
      <c r="AB1349" s="1540">
        <v>6</v>
      </c>
      <c r="AC1349" s="1540">
        <v>999999</v>
      </c>
      <c r="AD1349" s="1538">
        <v>0</v>
      </c>
      <c r="AE1349" s="1545">
        <v>65</v>
      </c>
      <c r="AF1349" s="170">
        <v>0</v>
      </c>
      <c r="AG1349" s="171">
        <v>1</v>
      </c>
      <c r="AH1349" s="171">
        <v>1</v>
      </c>
      <c r="AI1349" s="171">
        <v>1</v>
      </c>
      <c r="AJ1349" s="171">
        <v>1</v>
      </c>
      <c r="AK1349" s="171">
        <v>1</v>
      </c>
      <c r="AL1349" s="171">
        <v>1</v>
      </c>
      <c r="AM1349" s="171">
        <v>1</v>
      </c>
      <c r="AN1349" s="171">
        <v>1</v>
      </c>
      <c r="AO1349" s="171">
        <v>1</v>
      </c>
      <c r="AP1349" s="171">
        <v>1</v>
      </c>
      <c r="AQ1349" s="171">
        <v>1</v>
      </c>
      <c r="AR1349" s="171">
        <v>1</v>
      </c>
      <c r="AS1349" s="171">
        <v>1</v>
      </c>
      <c r="AT1349" s="171">
        <v>1</v>
      </c>
      <c r="AU1349" s="171">
        <f t="shared" si="474"/>
        <v>0</v>
      </c>
      <c r="AV1349" s="171">
        <f t="shared" si="475"/>
        <v>1</v>
      </c>
      <c r="AW1349" s="171">
        <f t="shared" si="476"/>
        <v>1</v>
      </c>
      <c r="AX1349" s="171">
        <f t="shared" si="485"/>
        <v>1</v>
      </c>
      <c r="AY1349" s="171">
        <f t="shared" si="477"/>
        <v>0</v>
      </c>
      <c r="AZ1349" s="171">
        <f t="shared" si="478"/>
        <v>1</v>
      </c>
      <c r="BA1349" s="172">
        <f t="shared" si="479"/>
        <v>1</v>
      </c>
      <c r="BB1349" s="175">
        <f t="shared" si="481"/>
        <v>19</v>
      </c>
      <c r="BC1349" s="176">
        <f t="shared" si="482"/>
        <v>18</v>
      </c>
      <c r="BD1349" s="176">
        <f t="shared" si="483"/>
        <v>19</v>
      </c>
      <c r="BE1349" s="240" t="str">
        <f t="shared" si="473"/>
        <v/>
      </c>
      <c r="BF1349" s="990"/>
      <c r="BG1349" s="990"/>
      <c r="BH1349" s="991">
        <f>IF(AND(Input_Product=Elig!$C1349,Elig_MatchAll_Ct&lt;22,$BC1349=(Elig_MatchAll_Ct-1),AF1349=0),C1349,0)</f>
        <v>0</v>
      </c>
      <c r="BI1349" s="991">
        <f>IF(AND(Input_Product=Elig!$C1349,Elig_MatchAll_Ct&lt;22,$BC1349=(Elig_MatchAll_Ct-1),AG1349=0),D1349,0)</f>
        <v>0</v>
      </c>
      <c r="BJ1349" s="991">
        <f>IF(AND(Input_Product=Elig!$C1349,Elig_MatchAll_Ct&lt;22,$BC1349=(Elig_MatchAll_Ct-1),AH1349=0),E1349,0)</f>
        <v>0</v>
      </c>
      <c r="BK1349" s="991">
        <f>IF(AND(Input_Product=Elig!$C1349,Elig_MatchAll_Ct&lt;22,$BC1349=(Elig_MatchAll_Ct-1),AI1349=0),F1349,0)</f>
        <v>0</v>
      </c>
      <c r="BL1349" s="991">
        <f>IF(AND(Input_Product=Elig!$C1349,Elig_MatchAll_Ct&lt;22,$BC1349=(Elig_MatchAll_Ct-1),AJ1349=0),G1349,0)</f>
        <v>0</v>
      </c>
      <c r="BM1349" s="991">
        <f>IF(AND(Input_Product=Elig!$C1349,Elig_MatchAll_Ct&lt;22,$BC1349=(Elig_MatchAll_Ct-1),AK1349=0),H1349,0)</f>
        <v>0</v>
      </c>
      <c r="BN1349" s="991">
        <f>IF(AND(Input_Product=Elig!$C1349,Elig_MatchAll_Ct&lt;22,$BC1349=(Elig_MatchAll_Ct-1),AL1349=0),I1349,0)</f>
        <v>0</v>
      </c>
      <c r="BO1349" s="991">
        <f>IF(AND(Input_Product=Elig!$C1349,Elig_MatchAll_Ct&lt;22,$BC1349=(Elig_MatchAll_Ct-1),AM1349=0),J1349,0)</f>
        <v>0</v>
      </c>
      <c r="BP1349" s="991">
        <f>IF(AND(Input_Product=Elig!$C1349,Elig_MatchAll_Ct&lt;22,$BC1349=(Elig_MatchAll_Ct-1),AN1349=0),K1349,0)</f>
        <v>0</v>
      </c>
      <c r="BQ1349" s="991">
        <f>IF(AND(Input_Product=Elig!$C1349,Elig_MatchAll_Ct&lt;22,$BC1349=(Elig_MatchAll_Ct-1),AP1349=0),L1349,0)</f>
        <v>0</v>
      </c>
      <c r="BR1349" s="991">
        <f>IF(AND(Input_Product=Elig!$C1349,Elig_MatchAll_Ct&lt;22,$BC1349=(Elig_MatchAll_Ct-1),AO1349=0),M1349,0)</f>
        <v>0</v>
      </c>
      <c r="BS1349" s="991">
        <f>IF(AND(Input_Product=Elig!$C1349,Elig_MatchAll_Ct&lt;22,$BC1349=(Elig_MatchAll_Ct-1),AQ1349=0),N1349,0)</f>
        <v>0</v>
      </c>
      <c r="BT1349" s="991">
        <f>IF(AND(Input_Product=Elig!$C1349,Elig_MatchAll_Ct&lt;22,$BC1349=(Elig_MatchAll_Ct-1),AR1349=0),O1349,0)</f>
        <v>0</v>
      </c>
      <c r="BU1349" s="991">
        <f>IF(AND(Input_Product=Elig!$C1349,Elig_MatchAll_Ct&lt;22,$BC1349=(Elig_MatchAll_Ct-1),AS1349=0),P1349,0)</f>
        <v>0</v>
      </c>
      <c r="BV1349" s="992">
        <f>IF(AND(Input_Product=Elig!$C1349,Elig_MatchAll_Ct&lt;22,$BC1349=(Elig_MatchAll_Ct-1),AT1349=0),Q1349,0)</f>
        <v>0</v>
      </c>
      <c r="BW1349" s="993">
        <f>IF(AND(Input_Product=Elig!$C1349,Elig_MatchAll_Ct&lt;22,$BC1349=(Elig_MatchAll_Ct-1),AU1349=0),R1349,0)</f>
        <v>0</v>
      </c>
      <c r="BX1349" s="994">
        <f>IF(AND(Input_Product=Elig!$C1349,Elig_MatchAll_Ct&lt;22,$BC1349=(Elig_MatchAll_Ct-1),AU1349=0),S1349,0)</f>
        <v>0</v>
      </c>
      <c r="BY1349" s="993">
        <f>IF(AND(Input_Product=Elig!$C1349,Elig_MatchAll_Ct&lt;22,$BC1349=(Elig_MatchAll_Ct-1),AV1349=0),T1349,0)</f>
        <v>0</v>
      </c>
      <c r="BZ1349" s="994">
        <f>IF(AND(Input_Product=Elig!$C1349,Elig_MatchAll_Ct&lt;22,$BC1349=(Elig_MatchAll_Ct-1),AV1349=0),U1349,0)</f>
        <v>0</v>
      </c>
      <c r="CA1349" s="993">
        <f>IF(AND(Input_Product=Elig!$C1349,Elig_MatchAll_Ct&lt;22,$BC1349=(Elig_MatchAll_Ct-1),AW1349=0),V1349,0)</f>
        <v>0</v>
      </c>
      <c r="CB1349" s="994">
        <f>IF(AND(Input_Product=Elig!$C1349,Elig_MatchAll_Ct&lt;22,$BC1349=(Elig_MatchAll_Ct-1),AW1349=0),W1349,0)</f>
        <v>0</v>
      </c>
      <c r="CC1349" s="993">
        <f>IF(AND(Input_Product=Elig!$C1349,Elig_MatchAll_Ct&lt;22,$BC1349=(Elig_MatchAll_Ct-1),AX1349=0),X1349,0)</f>
        <v>0</v>
      </c>
      <c r="CD1349" s="994">
        <f>IF(AND(Input_Product=Elig!$C1349,Elig_MatchAll_Ct&lt;22,$BC1349=(Elig_MatchAll_Ct-1),AX1349=0),Y1349,0)</f>
        <v>0</v>
      </c>
      <c r="CE1349" s="993">
        <f>IF(AND(Input_LTV&lt;=AE1349,Input_Product=Elig!$C1349,Elig_MatchAll_Ct&lt;22,$BC1349=(Elig_MatchAll_Ct-1),AY1349=0),Z1349,0)</f>
        <v>0</v>
      </c>
      <c r="CF1349" s="994">
        <f>IF(AND(Input_LTV&lt;=AE1349,Input_Product=Elig!$C1349,Elig_MatchAll_Ct&lt;22,$BC1349=(Elig_MatchAll_Ct-1),AY1349=0),AA1349,0)</f>
        <v>0</v>
      </c>
      <c r="CG1349" s="993">
        <f>IF(AND(Input_Product=Elig!$C1349,Elig_MatchAll_Ct&lt;22,$BC1349=(Elig_MatchAll_Ct-1),AZ1349=0),AB1349,0)</f>
        <v>0</v>
      </c>
      <c r="CH1349" s="994">
        <f>IF(AND(Input_Product=Elig!$C1349,Elig_MatchAll_Ct&lt;22,$BC1349=(Elig_MatchAll_Ct-1),AZ1349=0),AC1349,0)</f>
        <v>0</v>
      </c>
      <c r="CI1349" s="993">
        <f>IF(AND(Input_Product=Elig!$C1349,Elig_MatchAll_Ct&lt;22,$BC1349=(Elig_MatchAll_Ct-1),BA1349=0),AD1349,0)</f>
        <v>0</v>
      </c>
      <c r="CJ1349" s="994">
        <f>IF(AND(Input_Product=Elig!$C1349,Elig_MatchAll_Ct&lt;22,$BC1349=(Elig_MatchAll_Ct-1),BA1349=0),AE1349,0)</f>
        <v>0</v>
      </c>
    </row>
    <row r="1350" spans="2:88" ht="10.15" customHeight="1" x14ac:dyDescent="0.25">
      <c r="B1350" s="1538" t="s">
        <v>2798</v>
      </c>
      <c r="C1350" s="1538" t="str">
        <f t="shared" si="480"/>
        <v xml:space="preserve">  OO</v>
      </c>
      <c r="D1350" s="1538" t="s">
        <v>2764</v>
      </c>
      <c r="E1350" s="1538" t="s">
        <v>167</v>
      </c>
      <c r="F1350" s="1538" t="s">
        <v>2765</v>
      </c>
      <c r="G1350" s="1538" t="s">
        <v>2766</v>
      </c>
      <c r="H1350" s="1538" t="s">
        <v>2767</v>
      </c>
      <c r="I1350" s="1539" t="s">
        <v>16</v>
      </c>
      <c r="J1350" s="1539" t="s">
        <v>1311</v>
      </c>
      <c r="K1350" s="1539" t="s">
        <v>3023</v>
      </c>
      <c r="L1350" s="1538" t="s">
        <v>2768</v>
      </c>
      <c r="M1350" s="1538" t="s">
        <v>2677</v>
      </c>
      <c r="N1350" s="1538" t="s">
        <v>2685</v>
      </c>
      <c r="O1350" s="1538" t="s">
        <v>310</v>
      </c>
      <c r="P1350" s="1538" t="s">
        <v>291</v>
      </c>
      <c r="Q1350" s="1538" t="s">
        <v>294</v>
      </c>
      <c r="R1350" s="1538">
        <v>150000</v>
      </c>
      <c r="S1350" s="1538">
        <v>1000000</v>
      </c>
      <c r="T1350" s="1538">
        <v>0</v>
      </c>
      <c r="U1350" s="1538">
        <f t="shared" si="484"/>
        <v>1000000</v>
      </c>
      <c r="V1350" s="1538">
        <v>0</v>
      </c>
      <c r="W1350" s="1538">
        <v>55</v>
      </c>
      <c r="X1350" s="1538">
        <v>0</v>
      </c>
      <c r="Y1350" s="1538">
        <v>0</v>
      </c>
      <c r="Z1350" s="1540">
        <v>680</v>
      </c>
      <c r="AA1350" s="1540">
        <v>699</v>
      </c>
      <c r="AB1350" s="1540">
        <v>6</v>
      </c>
      <c r="AC1350" s="1540">
        <v>999999</v>
      </c>
      <c r="AD1350" s="1538">
        <v>0</v>
      </c>
      <c r="AE1350" s="1545">
        <v>75</v>
      </c>
      <c r="AF1350" s="170">
        <v>0</v>
      </c>
      <c r="AG1350" s="171">
        <v>1</v>
      </c>
      <c r="AH1350" s="171">
        <v>1</v>
      </c>
      <c r="AI1350" s="171">
        <v>1</v>
      </c>
      <c r="AJ1350" s="171">
        <v>1</v>
      </c>
      <c r="AK1350" s="171">
        <v>1</v>
      </c>
      <c r="AL1350" s="171">
        <v>1</v>
      </c>
      <c r="AM1350" s="171">
        <v>1</v>
      </c>
      <c r="AN1350" s="171">
        <v>1</v>
      </c>
      <c r="AO1350" s="171">
        <v>1</v>
      </c>
      <c r="AP1350" s="171">
        <v>1</v>
      </c>
      <c r="AQ1350" s="171">
        <v>1</v>
      </c>
      <c r="AR1350" s="171">
        <v>1</v>
      </c>
      <c r="AS1350" s="171">
        <v>1</v>
      </c>
      <c r="AT1350" s="171">
        <v>1</v>
      </c>
      <c r="AU1350" s="171">
        <f t="shared" si="474"/>
        <v>1</v>
      </c>
      <c r="AV1350" s="171">
        <f t="shared" si="475"/>
        <v>1</v>
      </c>
      <c r="AW1350" s="171">
        <f t="shared" si="476"/>
        <v>1</v>
      </c>
      <c r="AX1350" s="171">
        <f t="shared" si="485"/>
        <v>1</v>
      </c>
      <c r="AY1350" s="171">
        <f t="shared" si="477"/>
        <v>0</v>
      </c>
      <c r="AZ1350" s="171">
        <f t="shared" si="478"/>
        <v>1</v>
      </c>
      <c r="BA1350" s="172">
        <f t="shared" si="479"/>
        <v>1</v>
      </c>
      <c r="BB1350" s="175">
        <f t="shared" si="481"/>
        <v>20</v>
      </c>
      <c r="BC1350" s="176">
        <f t="shared" si="482"/>
        <v>19</v>
      </c>
      <c r="BD1350" s="176">
        <f t="shared" si="483"/>
        <v>20</v>
      </c>
      <c r="BE1350" s="240" t="str">
        <f t="shared" si="473"/>
        <v/>
      </c>
      <c r="BF1350" s="990"/>
      <c r="BG1350" s="990"/>
      <c r="BH1350" s="991">
        <f>IF(AND(Input_Product=Elig!$C1350,Elig_MatchAll_Ct&lt;22,$BC1350=(Elig_MatchAll_Ct-1),AF1350=0),C1350,0)</f>
        <v>0</v>
      </c>
      <c r="BI1350" s="991">
        <f>IF(AND(Input_Product=Elig!$C1350,Elig_MatchAll_Ct&lt;22,$BC1350=(Elig_MatchAll_Ct-1),AG1350=0),D1350,0)</f>
        <v>0</v>
      </c>
      <c r="BJ1350" s="991">
        <f>IF(AND(Input_Product=Elig!$C1350,Elig_MatchAll_Ct&lt;22,$BC1350=(Elig_MatchAll_Ct-1),AH1350=0),E1350,0)</f>
        <v>0</v>
      </c>
      <c r="BK1350" s="991">
        <f>IF(AND(Input_Product=Elig!$C1350,Elig_MatchAll_Ct&lt;22,$BC1350=(Elig_MatchAll_Ct-1),AI1350=0),F1350,0)</f>
        <v>0</v>
      </c>
      <c r="BL1350" s="991">
        <f>IF(AND(Input_Product=Elig!$C1350,Elig_MatchAll_Ct&lt;22,$BC1350=(Elig_MatchAll_Ct-1),AJ1350=0),G1350,0)</f>
        <v>0</v>
      </c>
      <c r="BM1350" s="991">
        <f>IF(AND(Input_Product=Elig!$C1350,Elig_MatchAll_Ct&lt;22,$BC1350=(Elig_MatchAll_Ct-1),AK1350=0),H1350,0)</f>
        <v>0</v>
      </c>
      <c r="BN1350" s="991">
        <f>IF(AND(Input_Product=Elig!$C1350,Elig_MatchAll_Ct&lt;22,$BC1350=(Elig_MatchAll_Ct-1),AL1350=0),I1350,0)</f>
        <v>0</v>
      </c>
      <c r="BO1350" s="991">
        <f>IF(AND(Input_Product=Elig!$C1350,Elig_MatchAll_Ct&lt;22,$BC1350=(Elig_MatchAll_Ct-1),AM1350=0),J1350,0)</f>
        <v>0</v>
      </c>
      <c r="BP1350" s="991">
        <f>IF(AND(Input_Product=Elig!$C1350,Elig_MatchAll_Ct&lt;22,$BC1350=(Elig_MatchAll_Ct-1),AN1350=0),K1350,0)</f>
        <v>0</v>
      </c>
      <c r="BQ1350" s="991">
        <f>IF(AND(Input_Product=Elig!$C1350,Elig_MatchAll_Ct&lt;22,$BC1350=(Elig_MatchAll_Ct-1),AP1350=0),L1350,0)</f>
        <v>0</v>
      </c>
      <c r="BR1350" s="991">
        <f>IF(AND(Input_Product=Elig!$C1350,Elig_MatchAll_Ct&lt;22,$BC1350=(Elig_MatchAll_Ct-1),AO1350=0),M1350,0)</f>
        <v>0</v>
      </c>
      <c r="BS1350" s="991">
        <f>IF(AND(Input_Product=Elig!$C1350,Elig_MatchAll_Ct&lt;22,$BC1350=(Elig_MatchAll_Ct-1),AQ1350=0),N1350,0)</f>
        <v>0</v>
      </c>
      <c r="BT1350" s="991">
        <f>IF(AND(Input_Product=Elig!$C1350,Elig_MatchAll_Ct&lt;22,$BC1350=(Elig_MatchAll_Ct-1),AR1350=0),O1350,0)</f>
        <v>0</v>
      </c>
      <c r="BU1350" s="991">
        <f>IF(AND(Input_Product=Elig!$C1350,Elig_MatchAll_Ct&lt;22,$BC1350=(Elig_MatchAll_Ct-1),AS1350=0),P1350,0)</f>
        <v>0</v>
      </c>
      <c r="BV1350" s="992">
        <f>IF(AND(Input_Product=Elig!$C1350,Elig_MatchAll_Ct&lt;22,$BC1350=(Elig_MatchAll_Ct-1),AT1350=0),Q1350,0)</f>
        <v>0</v>
      </c>
      <c r="BW1350" s="993">
        <f>IF(AND(Input_Product=Elig!$C1350,Elig_MatchAll_Ct&lt;22,$BC1350=(Elig_MatchAll_Ct-1),AU1350=0),R1350,0)</f>
        <v>0</v>
      </c>
      <c r="BX1350" s="994">
        <f>IF(AND(Input_Product=Elig!$C1350,Elig_MatchAll_Ct&lt;22,$BC1350=(Elig_MatchAll_Ct-1),AU1350=0),S1350,0)</f>
        <v>0</v>
      </c>
      <c r="BY1350" s="993">
        <f>IF(AND(Input_Product=Elig!$C1350,Elig_MatchAll_Ct&lt;22,$BC1350=(Elig_MatchAll_Ct-1),AV1350=0),T1350,0)</f>
        <v>0</v>
      </c>
      <c r="BZ1350" s="994">
        <f>IF(AND(Input_Product=Elig!$C1350,Elig_MatchAll_Ct&lt;22,$BC1350=(Elig_MatchAll_Ct-1),AV1350=0),U1350,0)</f>
        <v>0</v>
      </c>
      <c r="CA1350" s="993">
        <f>IF(AND(Input_Product=Elig!$C1350,Elig_MatchAll_Ct&lt;22,$BC1350=(Elig_MatchAll_Ct-1),AW1350=0),V1350,0)</f>
        <v>0</v>
      </c>
      <c r="CB1350" s="994">
        <f>IF(AND(Input_Product=Elig!$C1350,Elig_MatchAll_Ct&lt;22,$BC1350=(Elig_MatchAll_Ct-1),AW1350=0),W1350,0)</f>
        <v>0</v>
      </c>
      <c r="CC1350" s="993">
        <f>IF(AND(Input_Product=Elig!$C1350,Elig_MatchAll_Ct&lt;22,$BC1350=(Elig_MatchAll_Ct-1),AX1350=0),X1350,0)</f>
        <v>0</v>
      </c>
      <c r="CD1350" s="994">
        <f>IF(AND(Input_Product=Elig!$C1350,Elig_MatchAll_Ct&lt;22,$BC1350=(Elig_MatchAll_Ct-1),AX1350=0),Y1350,0)</f>
        <v>0</v>
      </c>
      <c r="CE1350" s="993">
        <f>IF(AND(Input_LTV&lt;=AE1350,Input_Product=Elig!$C1350,Elig_MatchAll_Ct&lt;22,$BC1350=(Elig_MatchAll_Ct-1),AY1350=0),Z1350,0)</f>
        <v>0</v>
      </c>
      <c r="CF1350" s="994">
        <f>IF(AND(Input_LTV&lt;=AE1350,Input_Product=Elig!$C1350,Elig_MatchAll_Ct&lt;22,$BC1350=(Elig_MatchAll_Ct-1),AY1350=0),AA1350,0)</f>
        <v>0</v>
      </c>
      <c r="CG1350" s="993">
        <f>IF(AND(Input_Product=Elig!$C1350,Elig_MatchAll_Ct&lt;22,$BC1350=(Elig_MatchAll_Ct-1),AZ1350=0),AB1350,0)</f>
        <v>0</v>
      </c>
      <c r="CH1350" s="994">
        <f>IF(AND(Input_Product=Elig!$C1350,Elig_MatchAll_Ct&lt;22,$BC1350=(Elig_MatchAll_Ct-1),AZ1350=0),AC1350,0)</f>
        <v>0</v>
      </c>
      <c r="CI1350" s="993">
        <f>IF(AND(Input_Product=Elig!$C1350,Elig_MatchAll_Ct&lt;22,$BC1350=(Elig_MatchAll_Ct-1),BA1350=0),AD1350,0)</f>
        <v>0</v>
      </c>
      <c r="CJ1350" s="994">
        <f>IF(AND(Input_Product=Elig!$C1350,Elig_MatchAll_Ct&lt;22,$BC1350=(Elig_MatchAll_Ct-1),BA1350=0),AE1350,0)</f>
        <v>0</v>
      </c>
    </row>
    <row r="1351" spans="2:88" ht="10.15" customHeight="1" x14ac:dyDescent="0.25">
      <c r="B1351" s="1538" t="s">
        <v>2799</v>
      </c>
      <c r="C1351" s="1538" t="str">
        <f t="shared" si="480"/>
        <v xml:space="preserve">  OO</v>
      </c>
      <c r="D1351" s="1538" t="s">
        <v>2764</v>
      </c>
      <c r="E1351" s="1538" t="s">
        <v>167</v>
      </c>
      <c r="F1351" s="1538" t="s">
        <v>2765</v>
      </c>
      <c r="G1351" s="1538" t="s">
        <v>2766</v>
      </c>
      <c r="H1351" s="1538" t="s">
        <v>2767</v>
      </c>
      <c r="I1351" s="1539" t="s">
        <v>16</v>
      </c>
      <c r="J1351" s="1539" t="s">
        <v>1311</v>
      </c>
      <c r="K1351" s="1539" t="s">
        <v>3023</v>
      </c>
      <c r="L1351" s="1538" t="s">
        <v>2768</v>
      </c>
      <c r="M1351" s="1538" t="s">
        <v>2677</v>
      </c>
      <c r="N1351" s="1538" t="s">
        <v>2685</v>
      </c>
      <c r="O1351" s="1538" t="s">
        <v>310</v>
      </c>
      <c r="P1351" s="1538" t="s">
        <v>291</v>
      </c>
      <c r="Q1351" s="1538" t="s">
        <v>294</v>
      </c>
      <c r="R1351" s="1538">
        <v>1000000.01</v>
      </c>
      <c r="S1351" s="1538">
        <v>1500000</v>
      </c>
      <c r="T1351" s="1538">
        <v>0</v>
      </c>
      <c r="U1351" s="1538">
        <f t="shared" si="484"/>
        <v>1500000</v>
      </c>
      <c r="V1351" s="1538">
        <v>0</v>
      </c>
      <c r="W1351" s="1538">
        <v>55</v>
      </c>
      <c r="X1351" s="1538">
        <v>0</v>
      </c>
      <c r="Y1351" s="1538">
        <v>0</v>
      </c>
      <c r="Z1351" s="1540">
        <v>680</v>
      </c>
      <c r="AA1351" s="1540">
        <v>699</v>
      </c>
      <c r="AB1351" s="1540">
        <v>6</v>
      </c>
      <c r="AC1351" s="1540">
        <v>999999</v>
      </c>
      <c r="AD1351" s="1538">
        <v>0</v>
      </c>
      <c r="AE1351" s="1545">
        <v>75</v>
      </c>
      <c r="AF1351" s="170">
        <v>0</v>
      </c>
      <c r="AG1351" s="171">
        <v>1</v>
      </c>
      <c r="AH1351" s="171">
        <v>1</v>
      </c>
      <c r="AI1351" s="171">
        <v>1</v>
      </c>
      <c r="AJ1351" s="171">
        <v>1</v>
      </c>
      <c r="AK1351" s="171">
        <v>1</v>
      </c>
      <c r="AL1351" s="171">
        <v>1</v>
      </c>
      <c r="AM1351" s="171">
        <v>1</v>
      </c>
      <c r="AN1351" s="171">
        <v>1</v>
      </c>
      <c r="AO1351" s="171">
        <v>1</v>
      </c>
      <c r="AP1351" s="171">
        <v>1</v>
      </c>
      <c r="AQ1351" s="171">
        <v>1</v>
      </c>
      <c r="AR1351" s="171">
        <v>1</v>
      </c>
      <c r="AS1351" s="171">
        <v>1</v>
      </c>
      <c r="AT1351" s="171">
        <v>1</v>
      </c>
      <c r="AU1351" s="171">
        <f t="shared" si="474"/>
        <v>0</v>
      </c>
      <c r="AV1351" s="171">
        <f t="shared" si="475"/>
        <v>1</v>
      </c>
      <c r="AW1351" s="171">
        <f t="shared" si="476"/>
        <v>1</v>
      </c>
      <c r="AX1351" s="171">
        <f t="shared" si="485"/>
        <v>1</v>
      </c>
      <c r="AY1351" s="171">
        <f t="shared" si="477"/>
        <v>0</v>
      </c>
      <c r="AZ1351" s="171">
        <f t="shared" si="478"/>
        <v>1</v>
      </c>
      <c r="BA1351" s="172">
        <f t="shared" si="479"/>
        <v>1</v>
      </c>
      <c r="BB1351" s="175">
        <f t="shared" si="481"/>
        <v>19</v>
      </c>
      <c r="BC1351" s="176">
        <f t="shared" si="482"/>
        <v>18</v>
      </c>
      <c r="BD1351" s="176">
        <f t="shared" si="483"/>
        <v>19</v>
      </c>
      <c r="BE1351" s="240" t="str">
        <f t="shared" si="473"/>
        <v/>
      </c>
      <c r="BF1351" s="990"/>
      <c r="BG1351" s="990"/>
      <c r="BH1351" s="991">
        <f>IF(AND(Input_Product=Elig!$C1351,Elig_MatchAll_Ct&lt;22,$BC1351=(Elig_MatchAll_Ct-1),AF1351=0),C1351,0)</f>
        <v>0</v>
      </c>
      <c r="BI1351" s="991">
        <f>IF(AND(Input_Product=Elig!$C1351,Elig_MatchAll_Ct&lt;22,$BC1351=(Elig_MatchAll_Ct-1),AG1351=0),D1351,0)</f>
        <v>0</v>
      </c>
      <c r="BJ1351" s="991">
        <f>IF(AND(Input_Product=Elig!$C1351,Elig_MatchAll_Ct&lt;22,$BC1351=(Elig_MatchAll_Ct-1),AH1351=0),E1351,0)</f>
        <v>0</v>
      </c>
      <c r="BK1351" s="991">
        <f>IF(AND(Input_Product=Elig!$C1351,Elig_MatchAll_Ct&lt;22,$BC1351=(Elig_MatchAll_Ct-1),AI1351=0),F1351,0)</f>
        <v>0</v>
      </c>
      <c r="BL1351" s="991">
        <f>IF(AND(Input_Product=Elig!$C1351,Elig_MatchAll_Ct&lt;22,$BC1351=(Elig_MatchAll_Ct-1),AJ1351=0),G1351,0)</f>
        <v>0</v>
      </c>
      <c r="BM1351" s="991">
        <f>IF(AND(Input_Product=Elig!$C1351,Elig_MatchAll_Ct&lt;22,$BC1351=(Elig_MatchAll_Ct-1),AK1351=0),H1351,0)</f>
        <v>0</v>
      </c>
      <c r="BN1351" s="991">
        <f>IF(AND(Input_Product=Elig!$C1351,Elig_MatchAll_Ct&lt;22,$BC1351=(Elig_MatchAll_Ct-1),AL1351=0),I1351,0)</f>
        <v>0</v>
      </c>
      <c r="BO1351" s="991">
        <f>IF(AND(Input_Product=Elig!$C1351,Elig_MatchAll_Ct&lt;22,$BC1351=(Elig_MatchAll_Ct-1),AM1351=0),J1351,0)</f>
        <v>0</v>
      </c>
      <c r="BP1351" s="991">
        <f>IF(AND(Input_Product=Elig!$C1351,Elig_MatchAll_Ct&lt;22,$BC1351=(Elig_MatchAll_Ct-1),AN1351=0),K1351,0)</f>
        <v>0</v>
      </c>
      <c r="BQ1351" s="991">
        <f>IF(AND(Input_Product=Elig!$C1351,Elig_MatchAll_Ct&lt;22,$BC1351=(Elig_MatchAll_Ct-1),AP1351=0),L1351,0)</f>
        <v>0</v>
      </c>
      <c r="BR1351" s="991">
        <f>IF(AND(Input_Product=Elig!$C1351,Elig_MatchAll_Ct&lt;22,$BC1351=(Elig_MatchAll_Ct-1),AO1351=0),M1351,0)</f>
        <v>0</v>
      </c>
      <c r="BS1351" s="991">
        <f>IF(AND(Input_Product=Elig!$C1351,Elig_MatchAll_Ct&lt;22,$BC1351=(Elig_MatchAll_Ct-1),AQ1351=0),N1351,0)</f>
        <v>0</v>
      </c>
      <c r="BT1351" s="991">
        <f>IF(AND(Input_Product=Elig!$C1351,Elig_MatchAll_Ct&lt;22,$BC1351=(Elig_MatchAll_Ct-1),AR1351=0),O1351,0)</f>
        <v>0</v>
      </c>
      <c r="BU1351" s="991">
        <f>IF(AND(Input_Product=Elig!$C1351,Elig_MatchAll_Ct&lt;22,$BC1351=(Elig_MatchAll_Ct-1),AS1351=0),P1351,0)</f>
        <v>0</v>
      </c>
      <c r="BV1351" s="992">
        <f>IF(AND(Input_Product=Elig!$C1351,Elig_MatchAll_Ct&lt;22,$BC1351=(Elig_MatchAll_Ct-1),AT1351=0),Q1351,0)</f>
        <v>0</v>
      </c>
      <c r="BW1351" s="993">
        <f>IF(AND(Input_Product=Elig!$C1351,Elig_MatchAll_Ct&lt;22,$BC1351=(Elig_MatchAll_Ct-1),AU1351=0),R1351,0)</f>
        <v>0</v>
      </c>
      <c r="BX1351" s="994">
        <f>IF(AND(Input_Product=Elig!$C1351,Elig_MatchAll_Ct&lt;22,$BC1351=(Elig_MatchAll_Ct-1),AU1351=0),S1351,0)</f>
        <v>0</v>
      </c>
      <c r="BY1351" s="993">
        <f>IF(AND(Input_Product=Elig!$C1351,Elig_MatchAll_Ct&lt;22,$BC1351=(Elig_MatchAll_Ct-1),AV1351=0),T1351,0)</f>
        <v>0</v>
      </c>
      <c r="BZ1351" s="994">
        <f>IF(AND(Input_Product=Elig!$C1351,Elig_MatchAll_Ct&lt;22,$BC1351=(Elig_MatchAll_Ct-1),AV1351=0),U1351,0)</f>
        <v>0</v>
      </c>
      <c r="CA1351" s="993">
        <f>IF(AND(Input_Product=Elig!$C1351,Elig_MatchAll_Ct&lt;22,$BC1351=(Elig_MatchAll_Ct-1),AW1351=0),V1351,0)</f>
        <v>0</v>
      </c>
      <c r="CB1351" s="994">
        <f>IF(AND(Input_Product=Elig!$C1351,Elig_MatchAll_Ct&lt;22,$BC1351=(Elig_MatchAll_Ct-1),AW1351=0),W1351,0)</f>
        <v>0</v>
      </c>
      <c r="CC1351" s="993">
        <f>IF(AND(Input_Product=Elig!$C1351,Elig_MatchAll_Ct&lt;22,$BC1351=(Elig_MatchAll_Ct-1),AX1351=0),X1351,0)</f>
        <v>0</v>
      </c>
      <c r="CD1351" s="994">
        <f>IF(AND(Input_Product=Elig!$C1351,Elig_MatchAll_Ct&lt;22,$BC1351=(Elig_MatchAll_Ct-1),AX1351=0),Y1351,0)</f>
        <v>0</v>
      </c>
      <c r="CE1351" s="993">
        <f>IF(AND(Input_LTV&lt;=AE1351,Input_Product=Elig!$C1351,Elig_MatchAll_Ct&lt;22,$BC1351=(Elig_MatchAll_Ct-1),AY1351=0),Z1351,0)</f>
        <v>0</v>
      </c>
      <c r="CF1351" s="994">
        <f>IF(AND(Input_LTV&lt;=AE1351,Input_Product=Elig!$C1351,Elig_MatchAll_Ct&lt;22,$BC1351=(Elig_MatchAll_Ct-1),AY1351=0),AA1351,0)</f>
        <v>0</v>
      </c>
      <c r="CG1351" s="993">
        <f>IF(AND(Input_Product=Elig!$C1351,Elig_MatchAll_Ct&lt;22,$BC1351=(Elig_MatchAll_Ct-1),AZ1351=0),AB1351,0)</f>
        <v>0</v>
      </c>
      <c r="CH1351" s="994">
        <f>IF(AND(Input_Product=Elig!$C1351,Elig_MatchAll_Ct&lt;22,$BC1351=(Elig_MatchAll_Ct-1),AZ1351=0),AC1351,0)</f>
        <v>0</v>
      </c>
      <c r="CI1351" s="993">
        <f>IF(AND(Input_Product=Elig!$C1351,Elig_MatchAll_Ct&lt;22,$BC1351=(Elig_MatchAll_Ct-1),BA1351=0),AD1351,0)</f>
        <v>0</v>
      </c>
      <c r="CJ1351" s="994">
        <f>IF(AND(Input_Product=Elig!$C1351,Elig_MatchAll_Ct&lt;22,$BC1351=(Elig_MatchAll_Ct-1),BA1351=0),AE1351,0)</f>
        <v>0</v>
      </c>
    </row>
    <row r="1352" spans="2:88" ht="10.15" customHeight="1" x14ac:dyDescent="0.25">
      <c r="B1352" s="1538" t="s">
        <v>3559</v>
      </c>
      <c r="C1352" s="1538" t="str">
        <f t="shared" si="480"/>
        <v xml:space="preserve">  OO</v>
      </c>
      <c r="D1352" s="1538" t="s">
        <v>2764</v>
      </c>
      <c r="E1352" s="1538" t="s">
        <v>167</v>
      </c>
      <c r="F1352" s="1538" t="s">
        <v>2765</v>
      </c>
      <c r="G1352" s="1538" t="s">
        <v>2766</v>
      </c>
      <c r="H1352" s="1538" t="s">
        <v>2767</v>
      </c>
      <c r="I1352" s="1539" t="s">
        <v>16</v>
      </c>
      <c r="J1352" s="1539" t="s">
        <v>1311</v>
      </c>
      <c r="K1352" s="1539" t="s">
        <v>3023</v>
      </c>
      <c r="L1352" s="1538" t="s">
        <v>2768</v>
      </c>
      <c r="M1352" s="1538" t="s">
        <v>2677</v>
      </c>
      <c r="N1352" s="1538" t="s">
        <v>2685</v>
      </c>
      <c r="O1352" s="1538" t="s">
        <v>310</v>
      </c>
      <c r="P1352" s="1538" t="s">
        <v>291</v>
      </c>
      <c r="Q1352" s="1538" t="s">
        <v>294</v>
      </c>
      <c r="R1352" s="1538">
        <v>1500000.01</v>
      </c>
      <c r="S1352" s="1538">
        <v>2000000</v>
      </c>
      <c r="T1352" s="1538">
        <v>0</v>
      </c>
      <c r="U1352" s="1538">
        <f t="shared" si="484"/>
        <v>2000000</v>
      </c>
      <c r="V1352" s="1538">
        <v>0</v>
      </c>
      <c r="W1352" s="1538">
        <v>55</v>
      </c>
      <c r="X1352" s="1538">
        <v>0</v>
      </c>
      <c r="Y1352" s="1538">
        <v>0</v>
      </c>
      <c r="Z1352" s="1540">
        <v>680</v>
      </c>
      <c r="AA1352" s="1540">
        <v>699</v>
      </c>
      <c r="AB1352" s="1540">
        <v>6</v>
      </c>
      <c r="AC1352" s="1540">
        <v>999999</v>
      </c>
      <c r="AD1352" s="1538">
        <v>0</v>
      </c>
      <c r="AE1352" s="1545">
        <v>70</v>
      </c>
      <c r="AF1352" s="170">
        <v>0</v>
      </c>
      <c r="AG1352" s="171">
        <v>1</v>
      </c>
      <c r="AH1352" s="171">
        <v>1</v>
      </c>
      <c r="AI1352" s="171">
        <v>1</v>
      </c>
      <c r="AJ1352" s="171">
        <v>1</v>
      </c>
      <c r="AK1352" s="171">
        <v>1</v>
      </c>
      <c r="AL1352" s="171">
        <v>1</v>
      </c>
      <c r="AM1352" s="171">
        <v>1</v>
      </c>
      <c r="AN1352" s="171">
        <v>1</v>
      </c>
      <c r="AO1352" s="171">
        <v>1</v>
      </c>
      <c r="AP1352" s="171">
        <v>1</v>
      </c>
      <c r="AQ1352" s="171">
        <v>1</v>
      </c>
      <c r="AR1352" s="171">
        <v>1</v>
      </c>
      <c r="AS1352" s="171">
        <v>1</v>
      </c>
      <c r="AT1352" s="171">
        <v>1</v>
      </c>
      <c r="AU1352" s="171">
        <f t="shared" si="474"/>
        <v>0</v>
      </c>
      <c r="AV1352" s="171">
        <f t="shared" si="475"/>
        <v>1</v>
      </c>
      <c r="AW1352" s="171">
        <f t="shared" si="476"/>
        <v>1</v>
      </c>
      <c r="AX1352" s="171">
        <f t="shared" si="485"/>
        <v>1</v>
      </c>
      <c r="AY1352" s="171">
        <f t="shared" si="477"/>
        <v>0</v>
      </c>
      <c r="AZ1352" s="171">
        <f t="shared" si="478"/>
        <v>1</v>
      </c>
      <c r="BA1352" s="172">
        <f t="shared" si="479"/>
        <v>1</v>
      </c>
      <c r="BB1352" s="175">
        <f t="shared" si="481"/>
        <v>19</v>
      </c>
      <c r="BC1352" s="176">
        <f t="shared" si="482"/>
        <v>18</v>
      </c>
      <c r="BD1352" s="176">
        <f t="shared" si="483"/>
        <v>19</v>
      </c>
      <c r="BE1352" s="240" t="str">
        <f t="shared" si="473"/>
        <v/>
      </c>
      <c r="BF1352" s="990"/>
      <c r="BG1352" s="990"/>
      <c r="BH1352" s="991">
        <f>IF(AND(Input_Product=Elig!$C1352,Elig_MatchAll_Ct&lt;22,$BC1352=(Elig_MatchAll_Ct-1),AF1352=0),C1352,0)</f>
        <v>0</v>
      </c>
      <c r="BI1352" s="991">
        <f>IF(AND(Input_Product=Elig!$C1352,Elig_MatchAll_Ct&lt;22,$BC1352=(Elig_MatchAll_Ct-1),AG1352=0),D1352,0)</f>
        <v>0</v>
      </c>
      <c r="BJ1352" s="991">
        <f>IF(AND(Input_Product=Elig!$C1352,Elig_MatchAll_Ct&lt;22,$BC1352=(Elig_MatchAll_Ct-1),AH1352=0),E1352,0)</f>
        <v>0</v>
      </c>
      <c r="BK1352" s="991">
        <f>IF(AND(Input_Product=Elig!$C1352,Elig_MatchAll_Ct&lt;22,$BC1352=(Elig_MatchAll_Ct-1),AI1352=0),F1352,0)</f>
        <v>0</v>
      </c>
      <c r="BL1352" s="991">
        <f>IF(AND(Input_Product=Elig!$C1352,Elig_MatchAll_Ct&lt;22,$BC1352=(Elig_MatchAll_Ct-1),AJ1352=0),G1352,0)</f>
        <v>0</v>
      </c>
      <c r="BM1352" s="991">
        <f>IF(AND(Input_Product=Elig!$C1352,Elig_MatchAll_Ct&lt;22,$BC1352=(Elig_MatchAll_Ct-1),AK1352=0),H1352,0)</f>
        <v>0</v>
      </c>
      <c r="BN1352" s="991">
        <f>IF(AND(Input_Product=Elig!$C1352,Elig_MatchAll_Ct&lt;22,$BC1352=(Elig_MatchAll_Ct-1),AL1352=0),I1352,0)</f>
        <v>0</v>
      </c>
      <c r="BO1352" s="991">
        <f>IF(AND(Input_Product=Elig!$C1352,Elig_MatchAll_Ct&lt;22,$BC1352=(Elig_MatchAll_Ct-1),AM1352=0),J1352,0)</f>
        <v>0</v>
      </c>
      <c r="BP1352" s="991">
        <f>IF(AND(Input_Product=Elig!$C1352,Elig_MatchAll_Ct&lt;22,$BC1352=(Elig_MatchAll_Ct-1),AN1352=0),K1352,0)</f>
        <v>0</v>
      </c>
      <c r="BQ1352" s="991">
        <f>IF(AND(Input_Product=Elig!$C1352,Elig_MatchAll_Ct&lt;22,$BC1352=(Elig_MatchAll_Ct-1),AP1352=0),L1352,0)</f>
        <v>0</v>
      </c>
      <c r="BR1352" s="991">
        <f>IF(AND(Input_Product=Elig!$C1352,Elig_MatchAll_Ct&lt;22,$BC1352=(Elig_MatchAll_Ct-1),AO1352=0),M1352,0)</f>
        <v>0</v>
      </c>
      <c r="BS1352" s="991">
        <f>IF(AND(Input_Product=Elig!$C1352,Elig_MatchAll_Ct&lt;22,$BC1352=(Elig_MatchAll_Ct-1),AQ1352=0),N1352,0)</f>
        <v>0</v>
      </c>
      <c r="BT1352" s="991">
        <f>IF(AND(Input_Product=Elig!$C1352,Elig_MatchAll_Ct&lt;22,$BC1352=(Elig_MatchAll_Ct-1),AR1352=0),O1352,0)</f>
        <v>0</v>
      </c>
      <c r="BU1352" s="991">
        <f>IF(AND(Input_Product=Elig!$C1352,Elig_MatchAll_Ct&lt;22,$BC1352=(Elig_MatchAll_Ct-1),AS1352=0),P1352,0)</f>
        <v>0</v>
      </c>
      <c r="BV1352" s="992">
        <f>IF(AND(Input_Product=Elig!$C1352,Elig_MatchAll_Ct&lt;22,$BC1352=(Elig_MatchAll_Ct-1),AT1352=0),Q1352,0)</f>
        <v>0</v>
      </c>
      <c r="BW1352" s="993">
        <f>IF(AND(Input_Product=Elig!$C1352,Elig_MatchAll_Ct&lt;22,$BC1352=(Elig_MatchAll_Ct-1),AU1352=0),R1352,0)</f>
        <v>0</v>
      </c>
      <c r="BX1352" s="994">
        <f>IF(AND(Input_Product=Elig!$C1352,Elig_MatchAll_Ct&lt;22,$BC1352=(Elig_MatchAll_Ct-1),AU1352=0),S1352,0)</f>
        <v>0</v>
      </c>
      <c r="BY1352" s="993">
        <f>IF(AND(Input_Product=Elig!$C1352,Elig_MatchAll_Ct&lt;22,$BC1352=(Elig_MatchAll_Ct-1),AV1352=0),T1352,0)</f>
        <v>0</v>
      </c>
      <c r="BZ1352" s="994">
        <f>IF(AND(Input_Product=Elig!$C1352,Elig_MatchAll_Ct&lt;22,$BC1352=(Elig_MatchAll_Ct-1),AV1352=0),U1352,0)</f>
        <v>0</v>
      </c>
      <c r="CA1352" s="993">
        <f>IF(AND(Input_Product=Elig!$C1352,Elig_MatchAll_Ct&lt;22,$BC1352=(Elig_MatchAll_Ct-1),AW1352=0),V1352,0)</f>
        <v>0</v>
      </c>
      <c r="CB1352" s="994">
        <f>IF(AND(Input_Product=Elig!$C1352,Elig_MatchAll_Ct&lt;22,$BC1352=(Elig_MatchAll_Ct-1),AW1352=0),W1352,0)</f>
        <v>0</v>
      </c>
      <c r="CC1352" s="993">
        <f>IF(AND(Input_Product=Elig!$C1352,Elig_MatchAll_Ct&lt;22,$BC1352=(Elig_MatchAll_Ct-1),AX1352=0),X1352,0)</f>
        <v>0</v>
      </c>
      <c r="CD1352" s="994">
        <f>IF(AND(Input_Product=Elig!$C1352,Elig_MatchAll_Ct&lt;22,$BC1352=(Elig_MatchAll_Ct-1),AX1352=0),Y1352,0)</f>
        <v>0</v>
      </c>
      <c r="CE1352" s="993">
        <f>IF(AND(Input_LTV&lt;=AE1352,Input_Product=Elig!$C1352,Elig_MatchAll_Ct&lt;22,$BC1352=(Elig_MatchAll_Ct-1),AY1352=0),Z1352,0)</f>
        <v>0</v>
      </c>
      <c r="CF1352" s="994">
        <f>IF(AND(Input_LTV&lt;=AE1352,Input_Product=Elig!$C1352,Elig_MatchAll_Ct&lt;22,$BC1352=(Elig_MatchAll_Ct-1),AY1352=0),AA1352,0)</f>
        <v>0</v>
      </c>
      <c r="CG1352" s="993">
        <f>IF(AND(Input_Product=Elig!$C1352,Elig_MatchAll_Ct&lt;22,$BC1352=(Elig_MatchAll_Ct-1),AZ1352=0),AB1352,0)</f>
        <v>0</v>
      </c>
      <c r="CH1352" s="994">
        <f>IF(AND(Input_Product=Elig!$C1352,Elig_MatchAll_Ct&lt;22,$BC1352=(Elig_MatchAll_Ct-1),AZ1352=0),AC1352,0)</f>
        <v>0</v>
      </c>
      <c r="CI1352" s="993">
        <f>IF(AND(Input_Product=Elig!$C1352,Elig_MatchAll_Ct&lt;22,$BC1352=(Elig_MatchAll_Ct-1),BA1352=0),AD1352,0)</f>
        <v>0</v>
      </c>
      <c r="CJ1352" s="994">
        <f>IF(AND(Input_Product=Elig!$C1352,Elig_MatchAll_Ct&lt;22,$BC1352=(Elig_MatchAll_Ct-1),BA1352=0),AE1352,0)</f>
        <v>0</v>
      </c>
    </row>
    <row r="1353" spans="2:88" ht="10.15" customHeight="1" x14ac:dyDescent="0.25">
      <c r="B1353" s="1538" t="s">
        <v>2800</v>
      </c>
      <c r="C1353" s="1538" t="str">
        <f t="shared" si="480"/>
        <v xml:space="preserve">  OO</v>
      </c>
      <c r="D1353" s="1538" t="s">
        <v>2764</v>
      </c>
      <c r="E1353" s="1538" t="s">
        <v>167</v>
      </c>
      <c r="F1353" s="1538" t="s">
        <v>2765</v>
      </c>
      <c r="G1353" s="1538" t="s">
        <v>2766</v>
      </c>
      <c r="H1353" s="1538" t="s">
        <v>2767</v>
      </c>
      <c r="I1353" s="1539" t="s">
        <v>16</v>
      </c>
      <c r="J1353" s="1539" t="s">
        <v>1311</v>
      </c>
      <c r="K1353" s="1539" t="s">
        <v>3023</v>
      </c>
      <c r="L1353" s="1538" t="s">
        <v>2768</v>
      </c>
      <c r="M1353" s="1538" t="s">
        <v>2677</v>
      </c>
      <c r="N1353" s="1538" t="s">
        <v>2685</v>
      </c>
      <c r="O1353" s="1538" t="s">
        <v>310</v>
      </c>
      <c r="P1353" s="1538" t="s">
        <v>291</v>
      </c>
      <c r="Q1353" s="1538" t="s">
        <v>294</v>
      </c>
      <c r="R1353" s="1538">
        <v>2000000.01</v>
      </c>
      <c r="S1353" s="1538">
        <v>2500000</v>
      </c>
      <c r="T1353" s="1538">
        <v>0</v>
      </c>
      <c r="U1353" s="1538">
        <f t="shared" si="484"/>
        <v>2500000</v>
      </c>
      <c r="V1353" s="1538">
        <v>0</v>
      </c>
      <c r="W1353" s="1538">
        <v>55</v>
      </c>
      <c r="X1353" s="1538">
        <v>0</v>
      </c>
      <c r="Y1353" s="1538">
        <v>0</v>
      </c>
      <c r="Z1353" s="1540">
        <v>680</v>
      </c>
      <c r="AA1353" s="1540">
        <v>699</v>
      </c>
      <c r="AB1353" s="1540">
        <v>6</v>
      </c>
      <c r="AC1353" s="1540">
        <v>999999</v>
      </c>
      <c r="AD1353" s="1538">
        <v>0</v>
      </c>
      <c r="AE1353" s="1545">
        <v>65</v>
      </c>
      <c r="AF1353" s="170">
        <v>0</v>
      </c>
      <c r="AG1353" s="171">
        <v>1</v>
      </c>
      <c r="AH1353" s="171">
        <v>1</v>
      </c>
      <c r="AI1353" s="171">
        <v>1</v>
      </c>
      <c r="AJ1353" s="171">
        <v>1</v>
      </c>
      <c r="AK1353" s="171">
        <v>1</v>
      </c>
      <c r="AL1353" s="171">
        <v>1</v>
      </c>
      <c r="AM1353" s="171">
        <v>1</v>
      </c>
      <c r="AN1353" s="171">
        <v>1</v>
      </c>
      <c r="AO1353" s="171">
        <v>1</v>
      </c>
      <c r="AP1353" s="171">
        <v>1</v>
      </c>
      <c r="AQ1353" s="171">
        <v>1</v>
      </c>
      <c r="AR1353" s="171">
        <v>1</v>
      </c>
      <c r="AS1353" s="171">
        <v>1</v>
      </c>
      <c r="AT1353" s="171">
        <v>1</v>
      </c>
      <c r="AU1353" s="171">
        <f t="shared" si="474"/>
        <v>0</v>
      </c>
      <c r="AV1353" s="171">
        <f t="shared" si="475"/>
        <v>1</v>
      </c>
      <c r="AW1353" s="171">
        <f t="shared" si="476"/>
        <v>1</v>
      </c>
      <c r="AX1353" s="171">
        <f t="shared" si="485"/>
        <v>1</v>
      </c>
      <c r="AY1353" s="171">
        <f t="shared" si="477"/>
        <v>0</v>
      </c>
      <c r="AZ1353" s="171">
        <f t="shared" si="478"/>
        <v>1</v>
      </c>
      <c r="BA1353" s="172">
        <f t="shared" si="479"/>
        <v>1</v>
      </c>
      <c r="BB1353" s="175">
        <f t="shared" si="481"/>
        <v>19</v>
      </c>
      <c r="BC1353" s="176">
        <f t="shared" si="482"/>
        <v>18</v>
      </c>
      <c r="BD1353" s="176">
        <f t="shared" si="483"/>
        <v>19</v>
      </c>
      <c r="BE1353" s="240" t="str">
        <f t="shared" si="473"/>
        <v/>
      </c>
      <c r="BF1353" s="990"/>
      <c r="BG1353" s="990"/>
      <c r="BH1353" s="991">
        <f>IF(AND(Input_Product=Elig!$C1353,Elig_MatchAll_Ct&lt;22,$BC1353=(Elig_MatchAll_Ct-1),AF1353=0),C1353,0)</f>
        <v>0</v>
      </c>
      <c r="BI1353" s="991">
        <f>IF(AND(Input_Product=Elig!$C1353,Elig_MatchAll_Ct&lt;22,$BC1353=(Elig_MatchAll_Ct-1),AG1353=0),D1353,0)</f>
        <v>0</v>
      </c>
      <c r="BJ1353" s="991">
        <f>IF(AND(Input_Product=Elig!$C1353,Elig_MatchAll_Ct&lt;22,$BC1353=(Elig_MatchAll_Ct-1),AH1353=0),E1353,0)</f>
        <v>0</v>
      </c>
      <c r="BK1353" s="991">
        <f>IF(AND(Input_Product=Elig!$C1353,Elig_MatchAll_Ct&lt;22,$BC1353=(Elig_MatchAll_Ct-1),AI1353=0),F1353,0)</f>
        <v>0</v>
      </c>
      <c r="BL1353" s="991">
        <f>IF(AND(Input_Product=Elig!$C1353,Elig_MatchAll_Ct&lt;22,$BC1353=(Elig_MatchAll_Ct-1),AJ1353=0),G1353,0)</f>
        <v>0</v>
      </c>
      <c r="BM1353" s="991">
        <f>IF(AND(Input_Product=Elig!$C1353,Elig_MatchAll_Ct&lt;22,$BC1353=(Elig_MatchAll_Ct-1),AK1353=0),H1353,0)</f>
        <v>0</v>
      </c>
      <c r="BN1353" s="991">
        <f>IF(AND(Input_Product=Elig!$C1353,Elig_MatchAll_Ct&lt;22,$BC1353=(Elig_MatchAll_Ct-1),AL1353=0),I1353,0)</f>
        <v>0</v>
      </c>
      <c r="BO1353" s="991">
        <f>IF(AND(Input_Product=Elig!$C1353,Elig_MatchAll_Ct&lt;22,$BC1353=(Elig_MatchAll_Ct-1),AM1353=0),J1353,0)</f>
        <v>0</v>
      </c>
      <c r="BP1353" s="991">
        <f>IF(AND(Input_Product=Elig!$C1353,Elig_MatchAll_Ct&lt;22,$BC1353=(Elig_MatchAll_Ct-1),AN1353=0),K1353,0)</f>
        <v>0</v>
      </c>
      <c r="BQ1353" s="991">
        <f>IF(AND(Input_Product=Elig!$C1353,Elig_MatchAll_Ct&lt;22,$BC1353=(Elig_MatchAll_Ct-1),AP1353=0),L1353,0)</f>
        <v>0</v>
      </c>
      <c r="BR1353" s="991">
        <f>IF(AND(Input_Product=Elig!$C1353,Elig_MatchAll_Ct&lt;22,$BC1353=(Elig_MatchAll_Ct-1),AO1353=0),M1353,0)</f>
        <v>0</v>
      </c>
      <c r="BS1353" s="991">
        <f>IF(AND(Input_Product=Elig!$C1353,Elig_MatchAll_Ct&lt;22,$BC1353=(Elig_MatchAll_Ct-1),AQ1353=0),N1353,0)</f>
        <v>0</v>
      </c>
      <c r="BT1353" s="991">
        <f>IF(AND(Input_Product=Elig!$C1353,Elig_MatchAll_Ct&lt;22,$BC1353=(Elig_MatchAll_Ct-1),AR1353=0),O1353,0)</f>
        <v>0</v>
      </c>
      <c r="BU1353" s="991">
        <f>IF(AND(Input_Product=Elig!$C1353,Elig_MatchAll_Ct&lt;22,$BC1353=(Elig_MatchAll_Ct-1),AS1353=0),P1353,0)</f>
        <v>0</v>
      </c>
      <c r="BV1353" s="992">
        <f>IF(AND(Input_Product=Elig!$C1353,Elig_MatchAll_Ct&lt;22,$BC1353=(Elig_MatchAll_Ct-1),AT1353=0),Q1353,0)</f>
        <v>0</v>
      </c>
      <c r="BW1353" s="993">
        <f>IF(AND(Input_Product=Elig!$C1353,Elig_MatchAll_Ct&lt;22,$BC1353=(Elig_MatchAll_Ct-1),AU1353=0),R1353,0)</f>
        <v>0</v>
      </c>
      <c r="BX1353" s="994">
        <f>IF(AND(Input_Product=Elig!$C1353,Elig_MatchAll_Ct&lt;22,$BC1353=(Elig_MatchAll_Ct-1),AU1353=0),S1353,0)</f>
        <v>0</v>
      </c>
      <c r="BY1353" s="993">
        <f>IF(AND(Input_Product=Elig!$C1353,Elig_MatchAll_Ct&lt;22,$BC1353=(Elig_MatchAll_Ct-1),AV1353=0),T1353,0)</f>
        <v>0</v>
      </c>
      <c r="BZ1353" s="994">
        <f>IF(AND(Input_Product=Elig!$C1353,Elig_MatchAll_Ct&lt;22,$BC1353=(Elig_MatchAll_Ct-1),AV1353=0),U1353,0)</f>
        <v>0</v>
      </c>
      <c r="CA1353" s="993">
        <f>IF(AND(Input_Product=Elig!$C1353,Elig_MatchAll_Ct&lt;22,$BC1353=(Elig_MatchAll_Ct-1),AW1353=0),V1353,0)</f>
        <v>0</v>
      </c>
      <c r="CB1353" s="994">
        <f>IF(AND(Input_Product=Elig!$C1353,Elig_MatchAll_Ct&lt;22,$BC1353=(Elig_MatchAll_Ct-1),AW1353=0),W1353,0)</f>
        <v>0</v>
      </c>
      <c r="CC1353" s="993">
        <f>IF(AND(Input_Product=Elig!$C1353,Elig_MatchAll_Ct&lt;22,$BC1353=(Elig_MatchAll_Ct-1),AX1353=0),X1353,0)</f>
        <v>0</v>
      </c>
      <c r="CD1353" s="994">
        <f>IF(AND(Input_Product=Elig!$C1353,Elig_MatchAll_Ct&lt;22,$BC1353=(Elig_MatchAll_Ct-1),AX1353=0),Y1353,0)</f>
        <v>0</v>
      </c>
      <c r="CE1353" s="993">
        <f>IF(AND(Input_LTV&lt;=AE1353,Input_Product=Elig!$C1353,Elig_MatchAll_Ct&lt;22,$BC1353=(Elig_MatchAll_Ct-1),AY1353=0),Z1353,0)</f>
        <v>0</v>
      </c>
      <c r="CF1353" s="994">
        <f>IF(AND(Input_LTV&lt;=AE1353,Input_Product=Elig!$C1353,Elig_MatchAll_Ct&lt;22,$BC1353=(Elig_MatchAll_Ct-1),AY1353=0),AA1353,0)</f>
        <v>0</v>
      </c>
      <c r="CG1353" s="993">
        <f>IF(AND(Input_Product=Elig!$C1353,Elig_MatchAll_Ct&lt;22,$BC1353=(Elig_MatchAll_Ct-1),AZ1353=0),AB1353,0)</f>
        <v>0</v>
      </c>
      <c r="CH1353" s="994">
        <f>IF(AND(Input_Product=Elig!$C1353,Elig_MatchAll_Ct&lt;22,$BC1353=(Elig_MatchAll_Ct-1),AZ1353=0),AC1353,0)</f>
        <v>0</v>
      </c>
      <c r="CI1353" s="993">
        <f>IF(AND(Input_Product=Elig!$C1353,Elig_MatchAll_Ct&lt;22,$BC1353=(Elig_MatchAll_Ct-1),BA1353=0),AD1353,0)</f>
        <v>0</v>
      </c>
      <c r="CJ1353" s="994">
        <f>IF(AND(Input_Product=Elig!$C1353,Elig_MatchAll_Ct&lt;22,$BC1353=(Elig_MatchAll_Ct-1),BA1353=0),AE1353,0)</f>
        <v>0</v>
      </c>
    </row>
    <row r="1354" spans="2:88" ht="10.15" customHeight="1" x14ac:dyDescent="0.25">
      <c r="B1354" s="1538" t="s">
        <v>2801</v>
      </c>
      <c r="C1354" s="1538" t="str">
        <f t="shared" si="480"/>
        <v xml:space="preserve">  OO</v>
      </c>
      <c r="D1354" s="1538" t="s">
        <v>2764</v>
      </c>
      <c r="E1354" s="1538" t="s">
        <v>167</v>
      </c>
      <c r="F1354" s="1538" t="s">
        <v>2765</v>
      </c>
      <c r="G1354" s="1538" t="s">
        <v>2766</v>
      </c>
      <c r="H1354" s="1538" t="s">
        <v>2767</v>
      </c>
      <c r="I1354" s="1539" t="s">
        <v>16</v>
      </c>
      <c r="J1354" s="1539" t="s">
        <v>1311</v>
      </c>
      <c r="K1354" s="1539" t="s">
        <v>3023</v>
      </c>
      <c r="L1354" s="1538" t="s">
        <v>2768</v>
      </c>
      <c r="M1354" s="1538" t="s">
        <v>2677</v>
      </c>
      <c r="N1354" s="1538" t="s">
        <v>2685</v>
      </c>
      <c r="O1354" s="1538" t="s">
        <v>310</v>
      </c>
      <c r="P1354" s="1538" t="s">
        <v>291</v>
      </c>
      <c r="Q1354" s="1538" t="s">
        <v>294</v>
      </c>
      <c r="R1354" s="1538">
        <v>2500000.0099999998</v>
      </c>
      <c r="S1354" s="1538">
        <v>3000000</v>
      </c>
      <c r="T1354" s="1538">
        <v>0</v>
      </c>
      <c r="U1354" s="1538">
        <f t="shared" si="484"/>
        <v>3000000</v>
      </c>
      <c r="V1354" s="1538">
        <v>0</v>
      </c>
      <c r="W1354" s="1538">
        <v>55</v>
      </c>
      <c r="X1354" s="1538">
        <v>0</v>
      </c>
      <c r="Y1354" s="1538">
        <v>0</v>
      </c>
      <c r="Z1354" s="1540">
        <v>680</v>
      </c>
      <c r="AA1354" s="1540">
        <v>699</v>
      </c>
      <c r="AB1354" s="1540">
        <v>6</v>
      </c>
      <c r="AC1354" s="1540">
        <v>999999</v>
      </c>
      <c r="AD1354" s="1538">
        <v>0</v>
      </c>
      <c r="AE1354" s="1545">
        <v>65</v>
      </c>
      <c r="AF1354" s="170">
        <v>0</v>
      </c>
      <c r="AG1354" s="171">
        <v>1</v>
      </c>
      <c r="AH1354" s="171">
        <v>1</v>
      </c>
      <c r="AI1354" s="171">
        <v>1</v>
      </c>
      <c r="AJ1354" s="171">
        <v>1</v>
      </c>
      <c r="AK1354" s="171">
        <v>1</v>
      </c>
      <c r="AL1354" s="171">
        <v>1</v>
      </c>
      <c r="AM1354" s="171">
        <v>1</v>
      </c>
      <c r="AN1354" s="171">
        <v>1</v>
      </c>
      <c r="AO1354" s="171">
        <v>1</v>
      </c>
      <c r="AP1354" s="171">
        <v>1</v>
      </c>
      <c r="AQ1354" s="171">
        <v>1</v>
      </c>
      <c r="AR1354" s="171">
        <v>1</v>
      </c>
      <c r="AS1354" s="171">
        <v>1</v>
      </c>
      <c r="AT1354" s="171">
        <v>1</v>
      </c>
      <c r="AU1354" s="171">
        <f t="shared" si="474"/>
        <v>0</v>
      </c>
      <c r="AV1354" s="171">
        <f t="shared" si="475"/>
        <v>1</v>
      </c>
      <c r="AW1354" s="171">
        <f t="shared" si="476"/>
        <v>1</v>
      </c>
      <c r="AX1354" s="171">
        <f t="shared" si="485"/>
        <v>1</v>
      </c>
      <c r="AY1354" s="171">
        <f t="shared" si="477"/>
        <v>0</v>
      </c>
      <c r="AZ1354" s="171">
        <f t="shared" si="478"/>
        <v>1</v>
      </c>
      <c r="BA1354" s="172">
        <f t="shared" si="479"/>
        <v>1</v>
      </c>
      <c r="BB1354" s="175">
        <f t="shared" si="481"/>
        <v>19</v>
      </c>
      <c r="BC1354" s="176">
        <f t="shared" si="482"/>
        <v>18</v>
      </c>
      <c r="BD1354" s="176">
        <f t="shared" si="483"/>
        <v>19</v>
      </c>
      <c r="BE1354" s="240" t="str">
        <f t="shared" si="473"/>
        <v/>
      </c>
      <c r="BF1354" s="990"/>
      <c r="BG1354" s="990"/>
      <c r="BH1354" s="991">
        <f>IF(AND(Input_Product=Elig!$C1354,Elig_MatchAll_Ct&lt;22,$BC1354=(Elig_MatchAll_Ct-1),AF1354=0),C1354,0)</f>
        <v>0</v>
      </c>
      <c r="BI1354" s="991">
        <f>IF(AND(Input_Product=Elig!$C1354,Elig_MatchAll_Ct&lt;22,$BC1354=(Elig_MatchAll_Ct-1),AG1354=0),D1354,0)</f>
        <v>0</v>
      </c>
      <c r="BJ1354" s="991">
        <f>IF(AND(Input_Product=Elig!$C1354,Elig_MatchAll_Ct&lt;22,$BC1354=(Elig_MatchAll_Ct-1),AH1354=0),E1354,0)</f>
        <v>0</v>
      </c>
      <c r="BK1354" s="991">
        <f>IF(AND(Input_Product=Elig!$C1354,Elig_MatchAll_Ct&lt;22,$BC1354=(Elig_MatchAll_Ct-1),AI1354=0),F1354,0)</f>
        <v>0</v>
      </c>
      <c r="BL1354" s="991">
        <f>IF(AND(Input_Product=Elig!$C1354,Elig_MatchAll_Ct&lt;22,$BC1354=(Elig_MatchAll_Ct-1),AJ1354=0),G1354,0)</f>
        <v>0</v>
      </c>
      <c r="BM1354" s="991">
        <f>IF(AND(Input_Product=Elig!$C1354,Elig_MatchAll_Ct&lt;22,$BC1354=(Elig_MatchAll_Ct-1),AK1354=0),H1354,0)</f>
        <v>0</v>
      </c>
      <c r="BN1354" s="991">
        <f>IF(AND(Input_Product=Elig!$C1354,Elig_MatchAll_Ct&lt;22,$BC1354=(Elig_MatchAll_Ct-1),AL1354=0),I1354,0)</f>
        <v>0</v>
      </c>
      <c r="BO1354" s="991">
        <f>IF(AND(Input_Product=Elig!$C1354,Elig_MatchAll_Ct&lt;22,$BC1354=(Elig_MatchAll_Ct-1),AM1354=0),J1354,0)</f>
        <v>0</v>
      </c>
      <c r="BP1354" s="991">
        <f>IF(AND(Input_Product=Elig!$C1354,Elig_MatchAll_Ct&lt;22,$BC1354=(Elig_MatchAll_Ct-1),AN1354=0),K1354,0)</f>
        <v>0</v>
      </c>
      <c r="BQ1354" s="991">
        <f>IF(AND(Input_Product=Elig!$C1354,Elig_MatchAll_Ct&lt;22,$BC1354=(Elig_MatchAll_Ct-1),AP1354=0),L1354,0)</f>
        <v>0</v>
      </c>
      <c r="BR1354" s="991">
        <f>IF(AND(Input_Product=Elig!$C1354,Elig_MatchAll_Ct&lt;22,$BC1354=(Elig_MatchAll_Ct-1),AO1354=0),M1354,0)</f>
        <v>0</v>
      </c>
      <c r="BS1354" s="991">
        <f>IF(AND(Input_Product=Elig!$C1354,Elig_MatchAll_Ct&lt;22,$BC1354=(Elig_MatchAll_Ct-1),AQ1354=0),N1354,0)</f>
        <v>0</v>
      </c>
      <c r="BT1354" s="991">
        <f>IF(AND(Input_Product=Elig!$C1354,Elig_MatchAll_Ct&lt;22,$BC1354=(Elig_MatchAll_Ct-1),AR1354=0),O1354,0)</f>
        <v>0</v>
      </c>
      <c r="BU1354" s="991">
        <f>IF(AND(Input_Product=Elig!$C1354,Elig_MatchAll_Ct&lt;22,$BC1354=(Elig_MatchAll_Ct-1),AS1354=0),P1354,0)</f>
        <v>0</v>
      </c>
      <c r="BV1354" s="992">
        <f>IF(AND(Input_Product=Elig!$C1354,Elig_MatchAll_Ct&lt;22,$BC1354=(Elig_MatchAll_Ct-1),AT1354=0),Q1354,0)</f>
        <v>0</v>
      </c>
      <c r="BW1354" s="993">
        <f>IF(AND(Input_Product=Elig!$C1354,Elig_MatchAll_Ct&lt;22,$BC1354=(Elig_MatchAll_Ct-1),AU1354=0),R1354,0)</f>
        <v>0</v>
      </c>
      <c r="BX1354" s="994">
        <f>IF(AND(Input_Product=Elig!$C1354,Elig_MatchAll_Ct&lt;22,$BC1354=(Elig_MatchAll_Ct-1),AU1354=0),S1354,0)</f>
        <v>0</v>
      </c>
      <c r="BY1354" s="993">
        <f>IF(AND(Input_Product=Elig!$C1354,Elig_MatchAll_Ct&lt;22,$BC1354=(Elig_MatchAll_Ct-1),AV1354=0),T1354,0)</f>
        <v>0</v>
      </c>
      <c r="BZ1354" s="994">
        <f>IF(AND(Input_Product=Elig!$C1354,Elig_MatchAll_Ct&lt;22,$BC1354=(Elig_MatchAll_Ct-1),AV1354=0),U1354,0)</f>
        <v>0</v>
      </c>
      <c r="CA1354" s="993">
        <f>IF(AND(Input_Product=Elig!$C1354,Elig_MatchAll_Ct&lt;22,$BC1354=(Elig_MatchAll_Ct-1),AW1354=0),V1354,0)</f>
        <v>0</v>
      </c>
      <c r="CB1354" s="994">
        <f>IF(AND(Input_Product=Elig!$C1354,Elig_MatchAll_Ct&lt;22,$BC1354=(Elig_MatchAll_Ct-1),AW1354=0),W1354,0)</f>
        <v>0</v>
      </c>
      <c r="CC1354" s="993">
        <f>IF(AND(Input_Product=Elig!$C1354,Elig_MatchAll_Ct&lt;22,$BC1354=(Elig_MatchAll_Ct-1),AX1354=0),X1354,0)</f>
        <v>0</v>
      </c>
      <c r="CD1354" s="994">
        <f>IF(AND(Input_Product=Elig!$C1354,Elig_MatchAll_Ct&lt;22,$BC1354=(Elig_MatchAll_Ct-1),AX1354=0),Y1354,0)</f>
        <v>0</v>
      </c>
      <c r="CE1354" s="993">
        <f>IF(AND(Input_LTV&lt;=AE1354,Input_Product=Elig!$C1354,Elig_MatchAll_Ct&lt;22,$BC1354=(Elig_MatchAll_Ct-1),AY1354=0),Z1354,0)</f>
        <v>0</v>
      </c>
      <c r="CF1354" s="994">
        <f>IF(AND(Input_LTV&lt;=AE1354,Input_Product=Elig!$C1354,Elig_MatchAll_Ct&lt;22,$BC1354=(Elig_MatchAll_Ct-1),AY1354=0),AA1354,0)</f>
        <v>0</v>
      </c>
      <c r="CG1354" s="993">
        <f>IF(AND(Input_Product=Elig!$C1354,Elig_MatchAll_Ct&lt;22,$BC1354=(Elig_MatchAll_Ct-1),AZ1354=0),AB1354,0)</f>
        <v>0</v>
      </c>
      <c r="CH1354" s="994">
        <f>IF(AND(Input_Product=Elig!$C1354,Elig_MatchAll_Ct&lt;22,$BC1354=(Elig_MatchAll_Ct-1),AZ1354=0),AC1354,0)</f>
        <v>0</v>
      </c>
      <c r="CI1354" s="993">
        <f>IF(AND(Input_Product=Elig!$C1354,Elig_MatchAll_Ct&lt;22,$BC1354=(Elig_MatchAll_Ct-1),BA1354=0),AD1354,0)</f>
        <v>0</v>
      </c>
      <c r="CJ1354" s="994">
        <f>IF(AND(Input_Product=Elig!$C1354,Elig_MatchAll_Ct&lt;22,$BC1354=(Elig_MatchAll_Ct-1),BA1354=0),AE1354,0)</f>
        <v>0</v>
      </c>
    </row>
    <row r="1355" spans="2:88" ht="10.15" customHeight="1" x14ac:dyDescent="0.25">
      <c r="B1355" s="1538" t="s">
        <v>2802</v>
      </c>
      <c r="C1355" s="1538" t="str">
        <f t="shared" si="480"/>
        <v xml:space="preserve">  OO</v>
      </c>
      <c r="D1355" s="1538" t="s">
        <v>2764</v>
      </c>
      <c r="E1355" s="1538" t="s">
        <v>167</v>
      </c>
      <c r="F1355" s="1538" t="s">
        <v>2765</v>
      </c>
      <c r="G1355" s="1538" t="s">
        <v>2766</v>
      </c>
      <c r="H1355" s="1538" t="s">
        <v>2767</v>
      </c>
      <c r="I1355" s="1539" t="s">
        <v>16</v>
      </c>
      <c r="J1355" s="1539" t="s">
        <v>1311</v>
      </c>
      <c r="K1355" s="1539" t="s">
        <v>3023</v>
      </c>
      <c r="L1355" s="1538" t="s">
        <v>2768</v>
      </c>
      <c r="M1355" s="1538" t="s">
        <v>2677</v>
      </c>
      <c r="N1355" s="1538" t="s">
        <v>2685</v>
      </c>
      <c r="O1355" s="1538" t="s">
        <v>310</v>
      </c>
      <c r="P1355" s="1538" t="s">
        <v>291</v>
      </c>
      <c r="Q1355" s="1538" t="s">
        <v>294</v>
      </c>
      <c r="R1355" s="1538">
        <v>150000</v>
      </c>
      <c r="S1355" s="1538">
        <v>1000000</v>
      </c>
      <c r="T1355" s="1538">
        <v>0</v>
      </c>
      <c r="U1355" s="1538">
        <f t="shared" si="484"/>
        <v>1000000</v>
      </c>
      <c r="V1355" s="1538">
        <v>0</v>
      </c>
      <c r="W1355" s="1538">
        <v>55</v>
      </c>
      <c r="X1355" s="1538">
        <v>0</v>
      </c>
      <c r="Y1355" s="1538">
        <v>0</v>
      </c>
      <c r="Z1355" s="1540">
        <v>660</v>
      </c>
      <c r="AA1355" s="1540">
        <v>679</v>
      </c>
      <c r="AB1355" s="1540">
        <v>6</v>
      </c>
      <c r="AC1355" s="1540">
        <v>999999</v>
      </c>
      <c r="AD1355" s="1538">
        <v>0</v>
      </c>
      <c r="AE1355" s="1545">
        <v>75</v>
      </c>
      <c r="AF1355" s="170">
        <v>0</v>
      </c>
      <c r="AG1355" s="171">
        <v>1</v>
      </c>
      <c r="AH1355" s="171">
        <v>1</v>
      </c>
      <c r="AI1355" s="171">
        <v>1</v>
      </c>
      <c r="AJ1355" s="171">
        <v>1</v>
      </c>
      <c r="AK1355" s="171">
        <v>1</v>
      </c>
      <c r="AL1355" s="171">
        <v>1</v>
      </c>
      <c r="AM1355" s="171">
        <v>1</v>
      </c>
      <c r="AN1355" s="171">
        <v>1</v>
      </c>
      <c r="AO1355" s="171">
        <v>1</v>
      </c>
      <c r="AP1355" s="171">
        <v>1</v>
      </c>
      <c r="AQ1355" s="171">
        <v>1</v>
      </c>
      <c r="AR1355" s="171">
        <v>1</v>
      </c>
      <c r="AS1355" s="171">
        <v>1</v>
      </c>
      <c r="AT1355" s="171">
        <v>1</v>
      </c>
      <c r="AU1355" s="171">
        <f t="shared" si="474"/>
        <v>1</v>
      </c>
      <c r="AV1355" s="171">
        <f t="shared" si="475"/>
        <v>1</v>
      </c>
      <c r="AW1355" s="171">
        <f t="shared" si="476"/>
        <v>1</v>
      </c>
      <c r="AX1355" s="171">
        <f t="shared" si="485"/>
        <v>1</v>
      </c>
      <c r="AY1355" s="171">
        <f t="shared" si="477"/>
        <v>0</v>
      </c>
      <c r="AZ1355" s="171">
        <f t="shared" si="478"/>
        <v>1</v>
      </c>
      <c r="BA1355" s="172">
        <f t="shared" si="479"/>
        <v>1</v>
      </c>
      <c r="BB1355" s="175">
        <f t="shared" si="481"/>
        <v>20</v>
      </c>
      <c r="BC1355" s="176">
        <f t="shared" si="482"/>
        <v>19</v>
      </c>
      <c r="BD1355" s="176">
        <f t="shared" si="483"/>
        <v>20</v>
      </c>
      <c r="BE1355" s="240" t="str">
        <f t="shared" si="473"/>
        <v/>
      </c>
      <c r="BF1355" s="990"/>
      <c r="BG1355" s="990"/>
      <c r="BH1355" s="991">
        <f>IF(AND(Input_Product=Elig!$C1355,Elig_MatchAll_Ct&lt;22,$BC1355=(Elig_MatchAll_Ct-1),AF1355=0),C1355,0)</f>
        <v>0</v>
      </c>
      <c r="BI1355" s="991">
        <f>IF(AND(Input_Product=Elig!$C1355,Elig_MatchAll_Ct&lt;22,$BC1355=(Elig_MatchAll_Ct-1),AG1355=0),D1355,0)</f>
        <v>0</v>
      </c>
      <c r="BJ1355" s="991">
        <f>IF(AND(Input_Product=Elig!$C1355,Elig_MatchAll_Ct&lt;22,$BC1355=(Elig_MatchAll_Ct-1),AH1355=0),E1355,0)</f>
        <v>0</v>
      </c>
      <c r="BK1355" s="991">
        <f>IF(AND(Input_Product=Elig!$C1355,Elig_MatchAll_Ct&lt;22,$BC1355=(Elig_MatchAll_Ct-1),AI1355=0),F1355,0)</f>
        <v>0</v>
      </c>
      <c r="BL1355" s="991">
        <f>IF(AND(Input_Product=Elig!$C1355,Elig_MatchAll_Ct&lt;22,$BC1355=(Elig_MatchAll_Ct-1),AJ1355=0),G1355,0)</f>
        <v>0</v>
      </c>
      <c r="BM1355" s="991">
        <f>IF(AND(Input_Product=Elig!$C1355,Elig_MatchAll_Ct&lt;22,$BC1355=(Elig_MatchAll_Ct-1),AK1355=0),H1355,0)</f>
        <v>0</v>
      </c>
      <c r="BN1355" s="991">
        <f>IF(AND(Input_Product=Elig!$C1355,Elig_MatchAll_Ct&lt;22,$BC1355=(Elig_MatchAll_Ct-1),AL1355=0),I1355,0)</f>
        <v>0</v>
      </c>
      <c r="BO1355" s="991">
        <f>IF(AND(Input_Product=Elig!$C1355,Elig_MatchAll_Ct&lt;22,$BC1355=(Elig_MatchAll_Ct-1),AM1355=0),J1355,0)</f>
        <v>0</v>
      </c>
      <c r="BP1355" s="991">
        <f>IF(AND(Input_Product=Elig!$C1355,Elig_MatchAll_Ct&lt;22,$BC1355=(Elig_MatchAll_Ct-1),AN1355=0),K1355,0)</f>
        <v>0</v>
      </c>
      <c r="BQ1355" s="991">
        <f>IF(AND(Input_Product=Elig!$C1355,Elig_MatchAll_Ct&lt;22,$BC1355=(Elig_MatchAll_Ct-1),AP1355=0),L1355,0)</f>
        <v>0</v>
      </c>
      <c r="BR1355" s="991">
        <f>IF(AND(Input_Product=Elig!$C1355,Elig_MatchAll_Ct&lt;22,$BC1355=(Elig_MatchAll_Ct-1),AO1355=0),M1355,0)</f>
        <v>0</v>
      </c>
      <c r="BS1355" s="991">
        <f>IF(AND(Input_Product=Elig!$C1355,Elig_MatchAll_Ct&lt;22,$BC1355=(Elig_MatchAll_Ct-1),AQ1355=0),N1355,0)</f>
        <v>0</v>
      </c>
      <c r="BT1355" s="991">
        <f>IF(AND(Input_Product=Elig!$C1355,Elig_MatchAll_Ct&lt;22,$BC1355=(Elig_MatchAll_Ct-1),AR1355=0),O1355,0)</f>
        <v>0</v>
      </c>
      <c r="BU1355" s="991">
        <f>IF(AND(Input_Product=Elig!$C1355,Elig_MatchAll_Ct&lt;22,$BC1355=(Elig_MatchAll_Ct-1),AS1355=0),P1355,0)</f>
        <v>0</v>
      </c>
      <c r="BV1355" s="992">
        <f>IF(AND(Input_Product=Elig!$C1355,Elig_MatchAll_Ct&lt;22,$BC1355=(Elig_MatchAll_Ct-1),AT1355=0),Q1355,0)</f>
        <v>0</v>
      </c>
      <c r="BW1355" s="993">
        <f>IF(AND(Input_Product=Elig!$C1355,Elig_MatchAll_Ct&lt;22,$BC1355=(Elig_MatchAll_Ct-1),AU1355=0),R1355,0)</f>
        <v>0</v>
      </c>
      <c r="BX1355" s="994">
        <f>IF(AND(Input_Product=Elig!$C1355,Elig_MatchAll_Ct&lt;22,$BC1355=(Elig_MatchAll_Ct-1),AU1355=0),S1355,0)</f>
        <v>0</v>
      </c>
      <c r="BY1355" s="993">
        <f>IF(AND(Input_Product=Elig!$C1355,Elig_MatchAll_Ct&lt;22,$BC1355=(Elig_MatchAll_Ct-1),AV1355=0),T1355,0)</f>
        <v>0</v>
      </c>
      <c r="BZ1355" s="994">
        <f>IF(AND(Input_Product=Elig!$C1355,Elig_MatchAll_Ct&lt;22,$BC1355=(Elig_MatchAll_Ct-1),AV1355=0),U1355,0)</f>
        <v>0</v>
      </c>
      <c r="CA1355" s="993">
        <f>IF(AND(Input_Product=Elig!$C1355,Elig_MatchAll_Ct&lt;22,$BC1355=(Elig_MatchAll_Ct-1),AW1355=0),V1355,0)</f>
        <v>0</v>
      </c>
      <c r="CB1355" s="994">
        <f>IF(AND(Input_Product=Elig!$C1355,Elig_MatchAll_Ct&lt;22,$BC1355=(Elig_MatchAll_Ct-1),AW1355=0),W1355,0)</f>
        <v>0</v>
      </c>
      <c r="CC1355" s="993">
        <f>IF(AND(Input_Product=Elig!$C1355,Elig_MatchAll_Ct&lt;22,$BC1355=(Elig_MatchAll_Ct-1),AX1355=0),X1355,0)</f>
        <v>0</v>
      </c>
      <c r="CD1355" s="994">
        <f>IF(AND(Input_Product=Elig!$C1355,Elig_MatchAll_Ct&lt;22,$BC1355=(Elig_MatchAll_Ct-1),AX1355=0),Y1355,0)</f>
        <v>0</v>
      </c>
      <c r="CE1355" s="993">
        <f>IF(AND(Input_LTV&lt;=AE1355,Input_Product=Elig!$C1355,Elig_MatchAll_Ct&lt;22,$BC1355=(Elig_MatchAll_Ct-1),AY1355=0),Z1355,0)</f>
        <v>0</v>
      </c>
      <c r="CF1355" s="994">
        <f>IF(AND(Input_LTV&lt;=AE1355,Input_Product=Elig!$C1355,Elig_MatchAll_Ct&lt;22,$BC1355=(Elig_MatchAll_Ct-1),AY1355=0),AA1355,0)</f>
        <v>0</v>
      </c>
      <c r="CG1355" s="993">
        <f>IF(AND(Input_Product=Elig!$C1355,Elig_MatchAll_Ct&lt;22,$BC1355=(Elig_MatchAll_Ct-1),AZ1355=0),AB1355,0)</f>
        <v>0</v>
      </c>
      <c r="CH1355" s="994">
        <f>IF(AND(Input_Product=Elig!$C1355,Elig_MatchAll_Ct&lt;22,$BC1355=(Elig_MatchAll_Ct-1),AZ1355=0),AC1355,0)</f>
        <v>0</v>
      </c>
      <c r="CI1355" s="993">
        <f>IF(AND(Input_Product=Elig!$C1355,Elig_MatchAll_Ct&lt;22,$BC1355=(Elig_MatchAll_Ct-1),BA1355=0),AD1355,0)</f>
        <v>0</v>
      </c>
      <c r="CJ1355" s="994">
        <f>IF(AND(Input_Product=Elig!$C1355,Elig_MatchAll_Ct&lt;22,$BC1355=(Elig_MatchAll_Ct-1),BA1355=0),AE1355,0)</f>
        <v>0</v>
      </c>
    </row>
    <row r="1356" spans="2:88" ht="10.15" customHeight="1" x14ac:dyDescent="0.25">
      <c r="B1356" s="1538" t="s">
        <v>2803</v>
      </c>
      <c r="C1356" s="1538" t="str">
        <f t="shared" si="480"/>
        <v xml:space="preserve">  OO</v>
      </c>
      <c r="D1356" s="1538" t="s">
        <v>2764</v>
      </c>
      <c r="E1356" s="1538" t="s">
        <v>167</v>
      </c>
      <c r="F1356" s="1538" t="s">
        <v>2765</v>
      </c>
      <c r="G1356" s="1538" t="s">
        <v>2766</v>
      </c>
      <c r="H1356" s="1538" t="s">
        <v>2767</v>
      </c>
      <c r="I1356" s="1539" t="s">
        <v>16</v>
      </c>
      <c r="J1356" s="1539" t="s">
        <v>1311</v>
      </c>
      <c r="K1356" s="1539" t="s">
        <v>3023</v>
      </c>
      <c r="L1356" s="1538" t="s">
        <v>2768</v>
      </c>
      <c r="M1356" s="1538" t="s">
        <v>2677</v>
      </c>
      <c r="N1356" s="1538" t="s">
        <v>2685</v>
      </c>
      <c r="O1356" s="1538" t="s">
        <v>310</v>
      </c>
      <c r="P1356" s="1538" t="s">
        <v>291</v>
      </c>
      <c r="Q1356" s="1538" t="s">
        <v>294</v>
      </c>
      <c r="R1356" s="1538">
        <v>1000000.01</v>
      </c>
      <c r="S1356" s="1538">
        <v>1500000</v>
      </c>
      <c r="T1356" s="1538">
        <v>0</v>
      </c>
      <c r="U1356" s="1538">
        <f t="shared" si="484"/>
        <v>1500000</v>
      </c>
      <c r="V1356" s="1538">
        <v>0</v>
      </c>
      <c r="W1356" s="1538">
        <v>55</v>
      </c>
      <c r="X1356" s="1538">
        <v>0</v>
      </c>
      <c r="Y1356" s="1538">
        <v>0</v>
      </c>
      <c r="Z1356" s="1540">
        <v>660</v>
      </c>
      <c r="AA1356" s="1540">
        <v>679</v>
      </c>
      <c r="AB1356" s="1540">
        <v>6</v>
      </c>
      <c r="AC1356" s="1540">
        <v>999999</v>
      </c>
      <c r="AD1356" s="1538">
        <v>0</v>
      </c>
      <c r="AE1356" s="1545">
        <v>75</v>
      </c>
      <c r="AF1356" s="170">
        <v>0</v>
      </c>
      <c r="AG1356" s="171">
        <v>1</v>
      </c>
      <c r="AH1356" s="171">
        <v>1</v>
      </c>
      <c r="AI1356" s="171">
        <v>1</v>
      </c>
      <c r="AJ1356" s="171">
        <v>1</v>
      </c>
      <c r="AK1356" s="171">
        <v>1</v>
      </c>
      <c r="AL1356" s="171">
        <v>1</v>
      </c>
      <c r="AM1356" s="171">
        <v>1</v>
      </c>
      <c r="AN1356" s="171">
        <v>1</v>
      </c>
      <c r="AO1356" s="171">
        <v>1</v>
      </c>
      <c r="AP1356" s="171">
        <v>1</v>
      </c>
      <c r="AQ1356" s="171">
        <v>1</v>
      </c>
      <c r="AR1356" s="171">
        <v>1</v>
      </c>
      <c r="AS1356" s="171">
        <v>1</v>
      </c>
      <c r="AT1356" s="171">
        <v>1</v>
      </c>
      <c r="AU1356" s="171">
        <f t="shared" si="474"/>
        <v>0</v>
      </c>
      <c r="AV1356" s="171">
        <f t="shared" si="475"/>
        <v>1</v>
      </c>
      <c r="AW1356" s="171">
        <f t="shared" si="476"/>
        <v>1</v>
      </c>
      <c r="AX1356" s="171">
        <f t="shared" si="485"/>
        <v>1</v>
      </c>
      <c r="AY1356" s="171">
        <f t="shared" si="477"/>
        <v>0</v>
      </c>
      <c r="AZ1356" s="171">
        <f t="shared" si="478"/>
        <v>1</v>
      </c>
      <c r="BA1356" s="172">
        <f t="shared" si="479"/>
        <v>1</v>
      </c>
      <c r="BB1356" s="175">
        <f t="shared" si="481"/>
        <v>19</v>
      </c>
      <c r="BC1356" s="176">
        <f t="shared" si="482"/>
        <v>18</v>
      </c>
      <c r="BD1356" s="176">
        <f t="shared" si="483"/>
        <v>19</v>
      </c>
      <c r="BE1356" s="240" t="str">
        <f t="shared" si="473"/>
        <v/>
      </c>
      <c r="BF1356" s="990"/>
      <c r="BG1356" s="990"/>
      <c r="BH1356" s="991">
        <f>IF(AND(Input_Product=Elig!$C1356,Elig_MatchAll_Ct&lt;22,$BC1356=(Elig_MatchAll_Ct-1),AF1356=0),C1356,0)</f>
        <v>0</v>
      </c>
      <c r="BI1356" s="991">
        <f>IF(AND(Input_Product=Elig!$C1356,Elig_MatchAll_Ct&lt;22,$BC1356=(Elig_MatchAll_Ct-1),AG1356=0),D1356,0)</f>
        <v>0</v>
      </c>
      <c r="BJ1356" s="991">
        <f>IF(AND(Input_Product=Elig!$C1356,Elig_MatchAll_Ct&lt;22,$BC1356=(Elig_MatchAll_Ct-1),AH1356=0),E1356,0)</f>
        <v>0</v>
      </c>
      <c r="BK1356" s="991">
        <f>IF(AND(Input_Product=Elig!$C1356,Elig_MatchAll_Ct&lt;22,$BC1356=(Elig_MatchAll_Ct-1),AI1356=0),F1356,0)</f>
        <v>0</v>
      </c>
      <c r="BL1356" s="991">
        <f>IF(AND(Input_Product=Elig!$C1356,Elig_MatchAll_Ct&lt;22,$BC1356=(Elig_MatchAll_Ct-1),AJ1356=0),G1356,0)</f>
        <v>0</v>
      </c>
      <c r="BM1356" s="991">
        <f>IF(AND(Input_Product=Elig!$C1356,Elig_MatchAll_Ct&lt;22,$BC1356=(Elig_MatchAll_Ct-1),AK1356=0),H1356,0)</f>
        <v>0</v>
      </c>
      <c r="BN1356" s="991">
        <f>IF(AND(Input_Product=Elig!$C1356,Elig_MatchAll_Ct&lt;22,$BC1356=(Elig_MatchAll_Ct-1),AL1356=0),I1356,0)</f>
        <v>0</v>
      </c>
      <c r="BO1356" s="991">
        <f>IF(AND(Input_Product=Elig!$C1356,Elig_MatchAll_Ct&lt;22,$BC1356=(Elig_MatchAll_Ct-1),AM1356=0),J1356,0)</f>
        <v>0</v>
      </c>
      <c r="BP1356" s="991">
        <f>IF(AND(Input_Product=Elig!$C1356,Elig_MatchAll_Ct&lt;22,$BC1356=(Elig_MatchAll_Ct-1),AN1356=0),K1356,0)</f>
        <v>0</v>
      </c>
      <c r="BQ1356" s="991">
        <f>IF(AND(Input_Product=Elig!$C1356,Elig_MatchAll_Ct&lt;22,$BC1356=(Elig_MatchAll_Ct-1),AP1356=0),L1356,0)</f>
        <v>0</v>
      </c>
      <c r="BR1356" s="991">
        <f>IF(AND(Input_Product=Elig!$C1356,Elig_MatchAll_Ct&lt;22,$BC1356=(Elig_MatchAll_Ct-1),AO1356=0),M1356,0)</f>
        <v>0</v>
      </c>
      <c r="BS1356" s="991">
        <f>IF(AND(Input_Product=Elig!$C1356,Elig_MatchAll_Ct&lt;22,$BC1356=(Elig_MatchAll_Ct-1),AQ1356=0),N1356,0)</f>
        <v>0</v>
      </c>
      <c r="BT1356" s="991">
        <f>IF(AND(Input_Product=Elig!$C1356,Elig_MatchAll_Ct&lt;22,$BC1356=(Elig_MatchAll_Ct-1),AR1356=0),O1356,0)</f>
        <v>0</v>
      </c>
      <c r="BU1356" s="991">
        <f>IF(AND(Input_Product=Elig!$C1356,Elig_MatchAll_Ct&lt;22,$BC1356=(Elig_MatchAll_Ct-1),AS1356=0),P1356,0)</f>
        <v>0</v>
      </c>
      <c r="BV1356" s="992">
        <f>IF(AND(Input_Product=Elig!$C1356,Elig_MatchAll_Ct&lt;22,$BC1356=(Elig_MatchAll_Ct-1),AT1356=0),Q1356,0)</f>
        <v>0</v>
      </c>
      <c r="BW1356" s="993">
        <f>IF(AND(Input_Product=Elig!$C1356,Elig_MatchAll_Ct&lt;22,$BC1356=(Elig_MatchAll_Ct-1),AU1356=0),R1356,0)</f>
        <v>0</v>
      </c>
      <c r="BX1356" s="994">
        <f>IF(AND(Input_Product=Elig!$C1356,Elig_MatchAll_Ct&lt;22,$BC1356=(Elig_MatchAll_Ct-1),AU1356=0),S1356,0)</f>
        <v>0</v>
      </c>
      <c r="BY1356" s="993">
        <f>IF(AND(Input_Product=Elig!$C1356,Elig_MatchAll_Ct&lt;22,$BC1356=(Elig_MatchAll_Ct-1),AV1356=0),T1356,0)</f>
        <v>0</v>
      </c>
      <c r="BZ1356" s="994">
        <f>IF(AND(Input_Product=Elig!$C1356,Elig_MatchAll_Ct&lt;22,$BC1356=(Elig_MatchAll_Ct-1),AV1356=0),U1356,0)</f>
        <v>0</v>
      </c>
      <c r="CA1356" s="993">
        <f>IF(AND(Input_Product=Elig!$C1356,Elig_MatchAll_Ct&lt;22,$BC1356=(Elig_MatchAll_Ct-1),AW1356=0),V1356,0)</f>
        <v>0</v>
      </c>
      <c r="CB1356" s="994">
        <f>IF(AND(Input_Product=Elig!$C1356,Elig_MatchAll_Ct&lt;22,$BC1356=(Elig_MatchAll_Ct-1),AW1356=0),W1356,0)</f>
        <v>0</v>
      </c>
      <c r="CC1356" s="993">
        <f>IF(AND(Input_Product=Elig!$C1356,Elig_MatchAll_Ct&lt;22,$BC1356=(Elig_MatchAll_Ct-1),AX1356=0),X1356,0)</f>
        <v>0</v>
      </c>
      <c r="CD1356" s="994">
        <f>IF(AND(Input_Product=Elig!$C1356,Elig_MatchAll_Ct&lt;22,$BC1356=(Elig_MatchAll_Ct-1),AX1356=0),Y1356,0)</f>
        <v>0</v>
      </c>
      <c r="CE1356" s="993">
        <f>IF(AND(Input_LTV&lt;=AE1356,Input_Product=Elig!$C1356,Elig_MatchAll_Ct&lt;22,$BC1356=(Elig_MatchAll_Ct-1),AY1356=0),Z1356,0)</f>
        <v>0</v>
      </c>
      <c r="CF1356" s="994">
        <f>IF(AND(Input_LTV&lt;=AE1356,Input_Product=Elig!$C1356,Elig_MatchAll_Ct&lt;22,$BC1356=(Elig_MatchAll_Ct-1),AY1356=0),AA1356,0)</f>
        <v>0</v>
      </c>
      <c r="CG1356" s="993">
        <f>IF(AND(Input_Product=Elig!$C1356,Elig_MatchAll_Ct&lt;22,$BC1356=(Elig_MatchAll_Ct-1),AZ1356=0),AB1356,0)</f>
        <v>0</v>
      </c>
      <c r="CH1356" s="994">
        <f>IF(AND(Input_Product=Elig!$C1356,Elig_MatchAll_Ct&lt;22,$BC1356=(Elig_MatchAll_Ct-1),AZ1356=0),AC1356,0)</f>
        <v>0</v>
      </c>
      <c r="CI1356" s="993">
        <f>IF(AND(Input_Product=Elig!$C1356,Elig_MatchAll_Ct&lt;22,$BC1356=(Elig_MatchAll_Ct-1),BA1356=0),AD1356,0)</f>
        <v>0</v>
      </c>
      <c r="CJ1356" s="994">
        <f>IF(AND(Input_Product=Elig!$C1356,Elig_MatchAll_Ct&lt;22,$BC1356=(Elig_MatchAll_Ct-1),BA1356=0),AE1356,0)</f>
        <v>0</v>
      </c>
    </row>
    <row r="1357" spans="2:88" ht="10.15" customHeight="1" x14ac:dyDescent="0.25">
      <c r="B1357" s="1538" t="s">
        <v>2804</v>
      </c>
      <c r="C1357" s="1538" t="str">
        <f t="shared" si="480"/>
        <v xml:space="preserve">  OO</v>
      </c>
      <c r="D1357" s="1538" t="s">
        <v>2764</v>
      </c>
      <c r="E1357" s="1538" t="s">
        <v>167</v>
      </c>
      <c r="F1357" s="1538" t="s">
        <v>2765</v>
      </c>
      <c r="G1357" s="1538" t="s">
        <v>2766</v>
      </c>
      <c r="H1357" s="1538" t="s">
        <v>2767</v>
      </c>
      <c r="I1357" s="1539" t="s">
        <v>16</v>
      </c>
      <c r="J1357" s="1539" t="s">
        <v>1311</v>
      </c>
      <c r="K1357" s="1539" t="s">
        <v>3023</v>
      </c>
      <c r="L1357" s="1538" t="s">
        <v>2768</v>
      </c>
      <c r="M1357" s="1538" t="s">
        <v>2677</v>
      </c>
      <c r="N1357" s="1538" t="s">
        <v>2685</v>
      </c>
      <c r="O1357" s="1538" t="s">
        <v>310</v>
      </c>
      <c r="P1357" s="1538" t="s">
        <v>291</v>
      </c>
      <c r="Q1357" s="1538" t="s">
        <v>294</v>
      </c>
      <c r="R1357" s="1538">
        <v>1500000.01</v>
      </c>
      <c r="S1357" s="1538">
        <v>2000000</v>
      </c>
      <c r="T1357" s="1538">
        <v>0</v>
      </c>
      <c r="U1357" s="1538">
        <f t="shared" si="484"/>
        <v>2000000</v>
      </c>
      <c r="V1357" s="1538">
        <v>0</v>
      </c>
      <c r="W1357" s="1538">
        <v>55</v>
      </c>
      <c r="X1357" s="1538">
        <v>0</v>
      </c>
      <c r="Y1357" s="1538">
        <v>0</v>
      </c>
      <c r="Z1357" s="1540">
        <v>660</v>
      </c>
      <c r="AA1357" s="1540">
        <v>679</v>
      </c>
      <c r="AB1357" s="1540">
        <v>6</v>
      </c>
      <c r="AC1357" s="1540">
        <v>999999</v>
      </c>
      <c r="AD1357" s="1538">
        <v>0</v>
      </c>
      <c r="AE1357" s="1545">
        <v>65</v>
      </c>
      <c r="AF1357" s="170">
        <v>0</v>
      </c>
      <c r="AG1357" s="171">
        <v>1</v>
      </c>
      <c r="AH1357" s="171">
        <v>1</v>
      </c>
      <c r="AI1357" s="171">
        <v>1</v>
      </c>
      <c r="AJ1357" s="171">
        <v>1</v>
      </c>
      <c r="AK1357" s="171">
        <v>1</v>
      </c>
      <c r="AL1357" s="171">
        <v>1</v>
      </c>
      <c r="AM1357" s="171">
        <v>1</v>
      </c>
      <c r="AN1357" s="171">
        <v>1</v>
      </c>
      <c r="AO1357" s="171">
        <v>1</v>
      </c>
      <c r="AP1357" s="171">
        <v>1</v>
      </c>
      <c r="AQ1357" s="171">
        <v>1</v>
      </c>
      <c r="AR1357" s="171">
        <v>1</v>
      </c>
      <c r="AS1357" s="171">
        <v>1</v>
      </c>
      <c r="AT1357" s="171">
        <v>1</v>
      </c>
      <c r="AU1357" s="171">
        <f t="shared" si="474"/>
        <v>0</v>
      </c>
      <c r="AV1357" s="171">
        <f t="shared" si="475"/>
        <v>1</v>
      </c>
      <c r="AW1357" s="171">
        <f t="shared" si="476"/>
        <v>1</v>
      </c>
      <c r="AX1357" s="171">
        <f t="shared" si="485"/>
        <v>1</v>
      </c>
      <c r="AY1357" s="171">
        <f t="shared" si="477"/>
        <v>0</v>
      </c>
      <c r="AZ1357" s="171">
        <f t="shared" si="478"/>
        <v>1</v>
      </c>
      <c r="BA1357" s="172">
        <f t="shared" si="479"/>
        <v>1</v>
      </c>
      <c r="BB1357" s="175">
        <f t="shared" si="481"/>
        <v>19</v>
      </c>
      <c r="BC1357" s="176">
        <f t="shared" si="482"/>
        <v>18</v>
      </c>
      <c r="BD1357" s="176">
        <f t="shared" si="483"/>
        <v>19</v>
      </c>
      <c r="BE1357" s="240" t="str">
        <f t="shared" si="473"/>
        <v/>
      </c>
      <c r="BF1357" s="990"/>
      <c r="BG1357" s="990"/>
      <c r="BH1357" s="991">
        <f>IF(AND(Input_Product=Elig!$C1357,Elig_MatchAll_Ct&lt;22,$BC1357=(Elig_MatchAll_Ct-1),AF1357=0),C1357,0)</f>
        <v>0</v>
      </c>
      <c r="BI1357" s="991">
        <f>IF(AND(Input_Product=Elig!$C1357,Elig_MatchAll_Ct&lt;22,$BC1357=(Elig_MatchAll_Ct-1),AG1357=0),D1357,0)</f>
        <v>0</v>
      </c>
      <c r="BJ1357" s="991">
        <f>IF(AND(Input_Product=Elig!$C1357,Elig_MatchAll_Ct&lt;22,$BC1357=(Elig_MatchAll_Ct-1),AH1357=0),E1357,0)</f>
        <v>0</v>
      </c>
      <c r="BK1357" s="991">
        <f>IF(AND(Input_Product=Elig!$C1357,Elig_MatchAll_Ct&lt;22,$BC1357=(Elig_MatchAll_Ct-1),AI1357=0),F1357,0)</f>
        <v>0</v>
      </c>
      <c r="BL1357" s="991">
        <f>IF(AND(Input_Product=Elig!$C1357,Elig_MatchAll_Ct&lt;22,$BC1357=(Elig_MatchAll_Ct-1),AJ1357=0),G1357,0)</f>
        <v>0</v>
      </c>
      <c r="BM1357" s="991">
        <f>IF(AND(Input_Product=Elig!$C1357,Elig_MatchAll_Ct&lt;22,$BC1357=(Elig_MatchAll_Ct-1),AK1357=0),H1357,0)</f>
        <v>0</v>
      </c>
      <c r="BN1357" s="991">
        <f>IF(AND(Input_Product=Elig!$C1357,Elig_MatchAll_Ct&lt;22,$BC1357=(Elig_MatchAll_Ct-1),AL1357=0),I1357,0)</f>
        <v>0</v>
      </c>
      <c r="BO1357" s="991">
        <f>IF(AND(Input_Product=Elig!$C1357,Elig_MatchAll_Ct&lt;22,$BC1357=(Elig_MatchAll_Ct-1),AM1357=0),J1357,0)</f>
        <v>0</v>
      </c>
      <c r="BP1357" s="991">
        <f>IF(AND(Input_Product=Elig!$C1357,Elig_MatchAll_Ct&lt;22,$BC1357=(Elig_MatchAll_Ct-1),AN1357=0),K1357,0)</f>
        <v>0</v>
      </c>
      <c r="BQ1357" s="991">
        <f>IF(AND(Input_Product=Elig!$C1357,Elig_MatchAll_Ct&lt;22,$BC1357=(Elig_MatchAll_Ct-1),AP1357=0),L1357,0)</f>
        <v>0</v>
      </c>
      <c r="BR1357" s="991">
        <f>IF(AND(Input_Product=Elig!$C1357,Elig_MatchAll_Ct&lt;22,$BC1357=(Elig_MatchAll_Ct-1),AO1357=0),M1357,0)</f>
        <v>0</v>
      </c>
      <c r="BS1357" s="991">
        <f>IF(AND(Input_Product=Elig!$C1357,Elig_MatchAll_Ct&lt;22,$BC1357=(Elig_MatchAll_Ct-1),AQ1357=0),N1357,0)</f>
        <v>0</v>
      </c>
      <c r="BT1357" s="991">
        <f>IF(AND(Input_Product=Elig!$C1357,Elig_MatchAll_Ct&lt;22,$BC1357=(Elig_MatchAll_Ct-1),AR1357=0),O1357,0)</f>
        <v>0</v>
      </c>
      <c r="BU1357" s="991">
        <f>IF(AND(Input_Product=Elig!$C1357,Elig_MatchAll_Ct&lt;22,$BC1357=(Elig_MatchAll_Ct-1),AS1357=0),P1357,0)</f>
        <v>0</v>
      </c>
      <c r="BV1357" s="992">
        <f>IF(AND(Input_Product=Elig!$C1357,Elig_MatchAll_Ct&lt;22,$BC1357=(Elig_MatchAll_Ct-1),AT1357=0),Q1357,0)</f>
        <v>0</v>
      </c>
      <c r="BW1357" s="993">
        <f>IF(AND(Input_Product=Elig!$C1357,Elig_MatchAll_Ct&lt;22,$BC1357=(Elig_MatchAll_Ct-1),AU1357=0),R1357,0)</f>
        <v>0</v>
      </c>
      <c r="BX1357" s="994">
        <f>IF(AND(Input_Product=Elig!$C1357,Elig_MatchAll_Ct&lt;22,$BC1357=(Elig_MatchAll_Ct-1),AU1357=0),S1357,0)</f>
        <v>0</v>
      </c>
      <c r="BY1357" s="993">
        <f>IF(AND(Input_Product=Elig!$C1357,Elig_MatchAll_Ct&lt;22,$BC1357=(Elig_MatchAll_Ct-1),AV1357=0),T1357,0)</f>
        <v>0</v>
      </c>
      <c r="BZ1357" s="994">
        <f>IF(AND(Input_Product=Elig!$C1357,Elig_MatchAll_Ct&lt;22,$BC1357=(Elig_MatchAll_Ct-1),AV1357=0),U1357,0)</f>
        <v>0</v>
      </c>
      <c r="CA1357" s="993">
        <f>IF(AND(Input_Product=Elig!$C1357,Elig_MatchAll_Ct&lt;22,$BC1357=(Elig_MatchAll_Ct-1),AW1357=0),V1357,0)</f>
        <v>0</v>
      </c>
      <c r="CB1357" s="994">
        <f>IF(AND(Input_Product=Elig!$C1357,Elig_MatchAll_Ct&lt;22,$BC1357=(Elig_MatchAll_Ct-1),AW1357=0),W1357,0)</f>
        <v>0</v>
      </c>
      <c r="CC1357" s="993">
        <f>IF(AND(Input_Product=Elig!$C1357,Elig_MatchAll_Ct&lt;22,$BC1357=(Elig_MatchAll_Ct-1),AX1357=0),X1357,0)</f>
        <v>0</v>
      </c>
      <c r="CD1357" s="994">
        <f>IF(AND(Input_Product=Elig!$C1357,Elig_MatchAll_Ct&lt;22,$BC1357=(Elig_MatchAll_Ct-1),AX1357=0),Y1357,0)</f>
        <v>0</v>
      </c>
      <c r="CE1357" s="993">
        <f>IF(AND(Input_LTV&lt;=AE1357,Input_Product=Elig!$C1357,Elig_MatchAll_Ct&lt;22,$BC1357=(Elig_MatchAll_Ct-1),AY1357=0),Z1357,0)</f>
        <v>0</v>
      </c>
      <c r="CF1357" s="994">
        <f>IF(AND(Input_LTV&lt;=AE1357,Input_Product=Elig!$C1357,Elig_MatchAll_Ct&lt;22,$BC1357=(Elig_MatchAll_Ct-1),AY1357=0),AA1357,0)</f>
        <v>0</v>
      </c>
      <c r="CG1357" s="993">
        <f>IF(AND(Input_Product=Elig!$C1357,Elig_MatchAll_Ct&lt;22,$BC1357=(Elig_MatchAll_Ct-1),AZ1357=0),AB1357,0)</f>
        <v>0</v>
      </c>
      <c r="CH1357" s="994">
        <f>IF(AND(Input_Product=Elig!$C1357,Elig_MatchAll_Ct&lt;22,$BC1357=(Elig_MatchAll_Ct-1),AZ1357=0),AC1357,0)</f>
        <v>0</v>
      </c>
      <c r="CI1357" s="993">
        <f>IF(AND(Input_Product=Elig!$C1357,Elig_MatchAll_Ct&lt;22,$BC1357=(Elig_MatchAll_Ct-1),BA1357=0),AD1357,0)</f>
        <v>0</v>
      </c>
      <c r="CJ1357" s="994">
        <f>IF(AND(Input_Product=Elig!$C1357,Elig_MatchAll_Ct&lt;22,$BC1357=(Elig_MatchAll_Ct-1),BA1357=0),AE1357,0)</f>
        <v>0</v>
      </c>
    </row>
    <row r="1358" spans="2:88" ht="10.15" customHeight="1" x14ac:dyDescent="0.25">
      <c r="B1358" s="1538" t="s">
        <v>2805</v>
      </c>
      <c r="C1358" s="1546" t="str">
        <f t="shared" si="480"/>
        <v xml:space="preserve">  OO</v>
      </c>
      <c r="D1358" s="1546" t="s">
        <v>2764</v>
      </c>
      <c r="E1358" s="1546" t="s">
        <v>167</v>
      </c>
      <c r="F1358" s="1546" t="s">
        <v>2765</v>
      </c>
      <c r="G1358" s="1546" t="s">
        <v>2766</v>
      </c>
      <c r="H1358" s="1546" t="s">
        <v>2767</v>
      </c>
      <c r="I1358" s="1547" t="s">
        <v>16</v>
      </c>
      <c r="J1358" s="1547" t="s">
        <v>1311</v>
      </c>
      <c r="K1358" s="1547" t="s">
        <v>3023</v>
      </c>
      <c r="L1358" s="1546" t="s">
        <v>2768</v>
      </c>
      <c r="M1358" s="1546" t="s">
        <v>2677</v>
      </c>
      <c r="N1358" s="1546" t="s">
        <v>2685</v>
      </c>
      <c r="O1358" s="1546" t="s">
        <v>310</v>
      </c>
      <c r="P1358" s="1546" t="s">
        <v>291</v>
      </c>
      <c r="Q1358" s="1546" t="s">
        <v>294</v>
      </c>
      <c r="R1358" s="1546">
        <v>2000000.01</v>
      </c>
      <c r="S1358" s="1546">
        <v>2500000</v>
      </c>
      <c r="T1358" s="1546">
        <v>0</v>
      </c>
      <c r="U1358" s="1546">
        <f t="shared" si="484"/>
        <v>2500000</v>
      </c>
      <c r="V1358" s="1546">
        <v>0</v>
      </c>
      <c r="W1358" s="1546">
        <v>55</v>
      </c>
      <c r="X1358" s="1546">
        <v>0</v>
      </c>
      <c r="Y1358" s="1546">
        <v>0</v>
      </c>
      <c r="Z1358" s="1548">
        <v>660</v>
      </c>
      <c r="AA1358" s="1548">
        <v>679</v>
      </c>
      <c r="AB1358" s="1548">
        <v>6</v>
      </c>
      <c r="AC1358" s="1548">
        <v>999999</v>
      </c>
      <c r="AD1358" s="1546">
        <v>0</v>
      </c>
      <c r="AE1358" s="1549">
        <v>65</v>
      </c>
      <c r="AF1358" s="170">
        <v>0</v>
      </c>
      <c r="AG1358" s="171">
        <v>1</v>
      </c>
      <c r="AH1358" s="171">
        <v>1</v>
      </c>
      <c r="AI1358" s="171">
        <v>1</v>
      </c>
      <c r="AJ1358" s="171">
        <v>1</v>
      </c>
      <c r="AK1358" s="171">
        <v>1</v>
      </c>
      <c r="AL1358" s="171">
        <v>1</v>
      </c>
      <c r="AM1358" s="171">
        <v>1</v>
      </c>
      <c r="AN1358" s="171">
        <v>1</v>
      </c>
      <c r="AO1358" s="171">
        <v>1</v>
      </c>
      <c r="AP1358" s="171">
        <v>1</v>
      </c>
      <c r="AQ1358" s="171">
        <v>1</v>
      </c>
      <c r="AR1358" s="171">
        <v>1</v>
      </c>
      <c r="AS1358" s="171">
        <v>1</v>
      </c>
      <c r="AT1358" s="171">
        <v>1</v>
      </c>
      <c r="AU1358" s="171">
        <f t="shared" si="474"/>
        <v>0</v>
      </c>
      <c r="AV1358" s="171">
        <f t="shared" si="475"/>
        <v>1</v>
      </c>
      <c r="AW1358" s="171">
        <f t="shared" si="476"/>
        <v>1</v>
      </c>
      <c r="AX1358" s="171">
        <f t="shared" si="485"/>
        <v>1</v>
      </c>
      <c r="AY1358" s="171">
        <f t="shared" si="477"/>
        <v>0</v>
      </c>
      <c r="AZ1358" s="171">
        <f t="shared" si="478"/>
        <v>1</v>
      </c>
      <c r="BA1358" s="172">
        <f t="shared" si="479"/>
        <v>1</v>
      </c>
      <c r="BB1358" s="175">
        <f t="shared" si="481"/>
        <v>19</v>
      </c>
      <c r="BC1358" s="176">
        <f t="shared" si="482"/>
        <v>18</v>
      </c>
      <c r="BD1358" s="176">
        <f t="shared" si="483"/>
        <v>19</v>
      </c>
      <c r="BE1358" s="240" t="str">
        <f t="shared" si="473"/>
        <v/>
      </c>
      <c r="BF1358" s="990"/>
      <c r="BG1358" s="990"/>
      <c r="BH1358" s="991">
        <f>IF(AND(Input_Product=Elig!$C1358,Elig_MatchAll_Ct&lt;22,$BC1358=(Elig_MatchAll_Ct-1),AF1358=0),C1358,0)</f>
        <v>0</v>
      </c>
      <c r="BI1358" s="991">
        <f>IF(AND(Input_Product=Elig!$C1358,Elig_MatchAll_Ct&lt;22,$BC1358=(Elig_MatchAll_Ct-1),AG1358=0),D1358,0)</f>
        <v>0</v>
      </c>
      <c r="BJ1358" s="991">
        <f>IF(AND(Input_Product=Elig!$C1358,Elig_MatchAll_Ct&lt;22,$BC1358=(Elig_MatchAll_Ct-1),AH1358=0),E1358,0)</f>
        <v>0</v>
      </c>
      <c r="BK1358" s="991">
        <f>IF(AND(Input_Product=Elig!$C1358,Elig_MatchAll_Ct&lt;22,$BC1358=(Elig_MatchAll_Ct-1),AI1358=0),F1358,0)</f>
        <v>0</v>
      </c>
      <c r="BL1358" s="991">
        <f>IF(AND(Input_Product=Elig!$C1358,Elig_MatchAll_Ct&lt;22,$BC1358=(Elig_MatchAll_Ct-1),AJ1358=0),G1358,0)</f>
        <v>0</v>
      </c>
      <c r="BM1358" s="991">
        <f>IF(AND(Input_Product=Elig!$C1358,Elig_MatchAll_Ct&lt;22,$BC1358=(Elig_MatchAll_Ct-1),AK1358=0),H1358,0)</f>
        <v>0</v>
      </c>
      <c r="BN1358" s="991">
        <f>IF(AND(Input_Product=Elig!$C1358,Elig_MatchAll_Ct&lt;22,$BC1358=(Elig_MatchAll_Ct-1),AL1358=0),I1358,0)</f>
        <v>0</v>
      </c>
      <c r="BO1358" s="991">
        <f>IF(AND(Input_Product=Elig!$C1358,Elig_MatchAll_Ct&lt;22,$BC1358=(Elig_MatchAll_Ct-1),AM1358=0),J1358,0)</f>
        <v>0</v>
      </c>
      <c r="BP1358" s="991">
        <f>IF(AND(Input_Product=Elig!$C1358,Elig_MatchAll_Ct&lt;22,$BC1358=(Elig_MatchAll_Ct-1),AN1358=0),K1358,0)</f>
        <v>0</v>
      </c>
      <c r="BQ1358" s="991">
        <f>IF(AND(Input_Product=Elig!$C1358,Elig_MatchAll_Ct&lt;22,$BC1358=(Elig_MatchAll_Ct-1),AP1358=0),L1358,0)</f>
        <v>0</v>
      </c>
      <c r="BR1358" s="991">
        <f>IF(AND(Input_Product=Elig!$C1358,Elig_MatchAll_Ct&lt;22,$BC1358=(Elig_MatchAll_Ct-1),AO1358=0),M1358,0)</f>
        <v>0</v>
      </c>
      <c r="BS1358" s="991">
        <f>IF(AND(Input_Product=Elig!$C1358,Elig_MatchAll_Ct&lt;22,$BC1358=(Elig_MatchAll_Ct-1),AQ1358=0),N1358,0)</f>
        <v>0</v>
      </c>
      <c r="BT1358" s="991">
        <f>IF(AND(Input_Product=Elig!$C1358,Elig_MatchAll_Ct&lt;22,$BC1358=(Elig_MatchAll_Ct-1),AR1358=0),O1358,0)</f>
        <v>0</v>
      </c>
      <c r="BU1358" s="991">
        <f>IF(AND(Input_Product=Elig!$C1358,Elig_MatchAll_Ct&lt;22,$BC1358=(Elig_MatchAll_Ct-1),AS1358=0),P1358,0)</f>
        <v>0</v>
      </c>
      <c r="BV1358" s="992">
        <f>IF(AND(Input_Product=Elig!$C1358,Elig_MatchAll_Ct&lt;22,$BC1358=(Elig_MatchAll_Ct-1),AT1358=0),Q1358,0)</f>
        <v>0</v>
      </c>
      <c r="BW1358" s="993">
        <f>IF(AND(Input_Product=Elig!$C1358,Elig_MatchAll_Ct&lt;22,$BC1358=(Elig_MatchAll_Ct-1),AU1358=0),R1358,0)</f>
        <v>0</v>
      </c>
      <c r="BX1358" s="994">
        <f>IF(AND(Input_Product=Elig!$C1358,Elig_MatchAll_Ct&lt;22,$BC1358=(Elig_MatchAll_Ct-1),AU1358=0),S1358,0)</f>
        <v>0</v>
      </c>
      <c r="BY1358" s="993">
        <f>IF(AND(Input_Product=Elig!$C1358,Elig_MatchAll_Ct&lt;22,$BC1358=(Elig_MatchAll_Ct-1),AV1358=0),T1358,0)</f>
        <v>0</v>
      </c>
      <c r="BZ1358" s="994">
        <f>IF(AND(Input_Product=Elig!$C1358,Elig_MatchAll_Ct&lt;22,$BC1358=(Elig_MatchAll_Ct-1),AV1358=0),U1358,0)</f>
        <v>0</v>
      </c>
      <c r="CA1358" s="993">
        <f>IF(AND(Input_Product=Elig!$C1358,Elig_MatchAll_Ct&lt;22,$BC1358=(Elig_MatchAll_Ct-1),AW1358=0),V1358,0)</f>
        <v>0</v>
      </c>
      <c r="CB1358" s="994">
        <f>IF(AND(Input_Product=Elig!$C1358,Elig_MatchAll_Ct&lt;22,$BC1358=(Elig_MatchAll_Ct-1),AW1358=0),W1358,0)</f>
        <v>0</v>
      </c>
      <c r="CC1358" s="993">
        <f>IF(AND(Input_Product=Elig!$C1358,Elig_MatchAll_Ct&lt;22,$BC1358=(Elig_MatchAll_Ct-1),AX1358=0),X1358,0)</f>
        <v>0</v>
      </c>
      <c r="CD1358" s="994">
        <f>IF(AND(Input_Product=Elig!$C1358,Elig_MatchAll_Ct&lt;22,$BC1358=(Elig_MatchAll_Ct-1),AX1358=0),Y1358,0)</f>
        <v>0</v>
      </c>
      <c r="CE1358" s="993">
        <f>IF(AND(Input_LTV&lt;=AE1358,Input_Product=Elig!$C1358,Elig_MatchAll_Ct&lt;22,$BC1358=(Elig_MatchAll_Ct-1),AY1358=0),Z1358,0)</f>
        <v>0</v>
      </c>
      <c r="CF1358" s="994">
        <f>IF(AND(Input_LTV&lt;=AE1358,Input_Product=Elig!$C1358,Elig_MatchAll_Ct&lt;22,$BC1358=(Elig_MatchAll_Ct-1),AY1358=0),AA1358,0)</f>
        <v>0</v>
      </c>
      <c r="CG1358" s="993">
        <f>IF(AND(Input_Product=Elig!$C1358,Elig_MatchAll_Ct&lt;22,$BC1358=(Elig_MatchAll_Ct-1),AZ1358=0),AB1358,0)</f>
        <v>0</v>
      </c>
      <c r="CH1358" s="994">
        <f>IF(AND(Input_Product=Elig!$C1358,Elig_MatchAll_Ct&lt;22,$BC1358=(Elig_MatchAll_Ct-1),AZ1358=0),AC1358,0)</f>
        <v>0</v>
      </c>
      <c r="CI1358" s="993">
        <f>IF(AND(Input_Product=Elig!$C1358,Elig_MatchAll_Ct&lt;22,$BC1358=(Elig_MatchAll_Ct-1),BA1358=0),AD1358,0)</f>
        <v>0</v>
      </c>
      <c r="CJ1358" s="994">
        <f>IF(AND(Input_Product=Elig!$C1358,Elig_MatchAll_Ct&lt;22,$BC1358=(Elig_MatchAll_Ct-1),BA1358=0),AE1358,0)</f>
        <v>0</v>
      </c>
    </row>
    <row r="1359" spans="2:88" ht="10.15" customHeight="1" x14ac:dyDescent="0.25">
      <c r="B1359" s="1538" t="s">
        <v>2806</v>
      </c>
      <c r="C1359" s="1541" t="str">
        <f t="shared" ref="C1359:C1390" si="486">Input_Name_Product16&amp;" NOO"</f>
        <v xml:space="preserve">  NOO</v>
      </c>
      <c r="D1359" s="1541" t="s">
        <v>2764</v>
      </c>
      <c r="E1359" s="1541" t="s">
        <v>167</v>
      </c>
      <c r="F1359" s="1541" t="s">
        <v>2765</v>
      </c>
      <c r="G1359" s="1541" t="s">
        <v>2766</v>
      </c>
      <c r="H1359" s="1541" t="s">
        <v>2767</v>
      </c>
      <c r="I1359" s="1542" t="s">
        <v>34</v>
      </c>
      <c r="J1359" s="1542" t="s">
        <v>1311</v>
      </c>
      <c r="K1359" s="1542" t="s">
        <v>3023</v>
      </c>
      <c r="L1359" s="1541" t="s">
        <v>2768</v>
      </c>
      <c r="M1359" s="1541" t="s">
        <v>2677</v>
      </c>
      <c r="N1359" s="1541" t="s">
        <v>2685</v>
      </c>
      <c r="O1359" s="1541" t="s">
        <v>310</v>
      </c>
      <c r="P1359" s="1541" t="s">
        <v>291</v>
      </c>
      <c r="Q1359" s="1541" t="s">
        <v>294</v>
      </c>
      <c r="R1359" s="1541">
        <v>150000</v>
      </c>
      <c r="S1359" s="1541">
        <v>1000000</v>
      </c>
      <c r="T1359" s="1541">
        <v>0</v>
      </c>
      <c r="U1359" s="1541">
        <v>0</v>
      </c>
      <c r="V1359" s="1541">
        <v>0</v>
      </c>
      <c r="W1359" s="1541">
        <v>55</v>
      </c>
      <c r="X1359" s="1541">
        <v>0</v>
      </c>
      <c r="Y1359" s="1541">
        <v>0</v>
      </c>
      <c r="Z1359" s="1543">
        <v>720</v>
      </c>
      <c r="AA1359" s="1543">
        <v>999</v>
      </c>
      <c r="AB1359" s="1543">
        <v>6</v>
      </c>
      <c r="AC1359" s="1543">
        <v>999999</v>
      </c>
      <c r="AD1359" s="1541">
        <v>0</v>
      </c>
      <c r="AE1359" s="1544">
        <v>90</v>
      </c>
      <c r="AF1359" s="170">
        <v>0</v>
      </c>
      <c r="AG1359" s="171">
        <v>1</v>
      </c>
      <c r="AH1359" s="171">
        <v>1</v>
      </c>
      <c r="AI1359" s="171">
        <v>1</v>
      </c>
      <c r="AJ1359" s="171">
        <v>1</v>
      </c>
      <c r="AK1359" s="171">
        <v>1</v>
      </c>
      <c r="AL1359" s="171">
        <v>0</v>
      </c>
      <c r="AM1359" s="171">
        <v>1</v>
      </c>
      <c r="AN1359" s="171">
        <v>1</v>
      </c>
      <c r="AO1359" s="171">
        <v>1</v>
      </c>
      <c r="AP1359" s="171">
        <v>1</v>
      </c>
      <c r="AQ1359" s="171">
        <v>1</v>
      </c>
      <c r="AR1359" s="171">
        <v>1</v>
      </c>
      <c r="AS1359" s="171">
        <v>1</v>
      </c>
      <c r="AT1359" s="171">
        <v>1</v>
      </c>
      <c r="AU1359" s="171">
        <f t="shared" si="474"/>
        <v>1</v>
      </c>
      <c r="AV1359" s="171">
        <f t="shared" si="475"/>
        <v>0</v>
      </c>
      <c r="AW1359" s="171">
        <f t="shared" si="476"/>
        <v>1</v>
      </c>
      <c r="AX1359" s="171">
        <f t="shared" si="485"/>
        <v>1</v>
      </c>
      <c r="AY1359" s="171">
        <f t="shared" si="477"/>
        <v>1</v>
      </c>
      <c r="AZ1359" s="171">
        <f t="shared" si="478"/>
        <v>1</v>
      </c>
      <c r="BA1359" s="172">
        <f t="shared" si="479"/>
        <v>1</v>
      </c>
      <c r="BB1359" s="175">
        <f t="shared" si="481"/>
        <v>19</v>
      </c>
      <c r="BC1359" s="176">
        <f t="shared" si="482"/>
        <v>18</v>
      </c>
      <c r="BD1359" s="176">
        <f t="shared" si="483"/>
        <v>19</v>
      </c>
      <c r="BE1359" s="240" t="str">
        <f t="shared" si="473"/>
        <v/>
      </c>
      <c r="BF1359" s="990"/>
      <c r="BG1359" s="990"/>
      <c r="BH1359" s="991">
        <f>IF(AND(Input_Product=Elig!$C1359,Elig_MatchAll_Ct&lt;22,$BC1359=(Elig_MatchAll_Ct-1),AF1359=0),C1359,0)</f>
        <v>0</v>
      </c>
      <c r="BI1359" s="991">
        <f>IF(AND(Input_Product=Elig!$C1359,Elig_MatchAll_Ct&lt;22,$BC1359=(Elig_MatchAll_Ct-1),AG1359=0),D1359,0)</f>
        <v>0</v>
      </c>
      <c r="BJ1359" s="991">
        <f>IF(AND(Input_Product=Elig!$C1359,Elig_MatchAll_Ct&lt;22,$BC1359=(Elig_MatchAll_Ct-1),AH1359=0),E1359,0)</f>
        <v>0</v>
      </c>
      <c r="BK1359" s="991">
        <f>IF(AND(Input_Product=Elig!$C1359,Elig_MatchAll_Ct&lt;22,$BC1359=(Elig_MatchAll_Ct-1),AI1359=0),F1359,0)</f>
        <v>0</v>
      </c>
      <c r="BL1359" s="991">
        <f>IF(AND(Input_Product=Elig!$C1359,Elig_MatchAll_Ct&lt;22,$BC1359=(Elig_MatchAll_Ct-1),AJ1359=0),G1359,0)</f>
        <v>0</v>
      </c>
      <c r="BM1359" s="991">
        <f>IF(AND(Input_Product=Elig!$C1359,Elig_MatchAll_Ct&lt;22,$BC1359=(Elig_MatchAll_Ct-1),AK1359=0),H1359,0)</f>
        <v>0</v>
      </c>
      <c r="BN1359" s="991">
        <f>IF(AND(Input_Product=Elig!$C1359,Elig_MatchAll_Ct&lt;22,$BC1359=(Elig_MatchAll_Ct-1),AL1359=0),I1359,0)</f>
        <v>0</v>
      </c>
      <c r="BO1359" s="991">
        <f>IF(AND(Input_Product=Elig!$C1359,Elig_MatchAll_Ct&lt;22,$BC1359=(Elig_MatchAll_Ct-1),AM1359=0),J1359,0)</f>
        <v>0</v>
      </c>
      <c r="BP1359" s="991">
        <f>IF(AND(Input_Product=Elig!$C1359,Elig_MatchAll_Ct&lt;22,$BC1359=(Elig_MatchAll_Ct-1),AN1359=0),K1359,0)</f>
        <v>0</v>
      </c>
      <c r="BQ1359" s="991">
        <f>IF(AND(Input_Product=Elig!$C1359,Elig_MatchAll_Ct&lt;22,$BC1359=(Elig_MatchAll_Ct-1),AP1359=0),L1359,0)</f>
        <v>0</v>
      </c>
      <c r="BR1359" s="991">
        <f>IF(AND(Input_Product=Elig!$C1359,Elig_MatchAll_Ct&lt;22,$BC1359=(Elig_MatchAll_Ct-1),AO1359=0),M1359,0)</f>
        <v>0</v>
      </c>
      <c r="BS1359" s="991">
        <f>IF(AND(Input_Product=Elig!$C1359,Elig_MatchAll_Ct&lt;22,$BC1359=(Elig_MatchAll_Ct-1),AQ1359=0),N1359,0)</f>
        <v>0</v>
      </c>
      <c r="BT1359" s="991">
        <f>IF(AND(Input_Product=Elig!$C1359,Elig_MatchAll_Ct&lt;22,$BC1359=(Elig_MatchAll_Ct-1),AR1359=0),O1359,0)</f>
        <v>0</v>
      </c>
      <c r="BU1359" s="991">
        <f>IF(AND(Input_Product=Elig!$C1359,Elig_MatchAll_Ct&lt;22,$BC1359=(Elig_MatchAll_Ct-1),AS1359=0),P1359,0)</f>
        <v>0</v>
      </c>
      <c r="BV1359" s="992">
        <f>IF(AND(Input_Product=Elig!$C1359,Elig_MatchAll_Ct&lt;22,$BC1359=(Elig_MatchAll_Ct-1),AT1359=0),Q1359,0)</f>
        <v>0</v>
      </c>
      <c r="BW1359" s="993">
        <f>IF(AND(Input_Product=Elig!$C1359,Elig_MatchAll_Ct&lt;22,$BC1359=(Elig_MatchAll_Ct-1),AU1359=0),R1359,0)</f>
        <v>0</v>
      </c>
      <c r="BX1359" s="994">
        <f>IF(AND(Input_Product=Elig!$C1359,Elig_MatchAll_Ct&lt;22,$BC1359=(Elig_MatchAll_Ct-1),AU1359=0),S1359,0)</f>
        <v>0</v>
      </c>
      <c r="BY1359" s="993">
        <f>IF(AND(Input_Product=Elig!$C1359,Elig_MatchAll_Ct&lt;22,$BC1359=(Elig_MatchAll_Ct-1),AV1359=0),T1359,0)</f>
        <v>0</v>
      </c>
      <c r="BZ1359" s="994">
        <f>IF(AND(Input_Product=Elig!$C1359,Elig_MatchAll_Ct&lt;22,$BC1359=(Elig_MatchAll_Ct-1),AV1359=0),U1359,0)</f>
        <v>0</v>
      </c>
      <c r="CA1359" s="993">
        <f>IF(AND(Input_Product=Elig!$C1359,Elig_MatchAll_Ct&lt;22,$BC1359=(Elig_MatchAll_Ct-1),AW1359=0),V1359,0)</f>
        <v>0</v>
      </c>
      <c r="CB1359" s="994">
        <f>IF(AND(Input_Product=Elig!$C1359,Elig_MatchAll_Ct&lt;22,$BC1359=(Elig_MatchAll_Ct-1),AW1359=0),W1359,0)</f>
        <v>0</v>
      </c>
      <c r="CC1359" s="993">
        <f>IF(AND(Input_Product=Elig!$C1359,Elig_MatchAll_Ct&lt;22,$BC1359=(Elig_MatchAll_Ct-1),AX1359=0),X1359,0)</f>
        <v>0</v>
      </c>
      <c r="CD1359" s="994">
        <f>IF(AND(Input_Product=Elig!$C1359,Elig_MatchAll_Ct&lt;22,$BC1359=(Elig_MatchAll_Ct-1),AX1359=0),Y1359,0)</f>
        <v>0</v>
      </c>
      <c r="CE1359" s="993">
        <f>IF(AND(Input_LTV&lt;=AE1359,Input_Product=Elig!$C1359,Elig_MatchAll_Ct&lt;22,$BC1359=(Elig_MatchAll_Ct-1),AY1359=0),Z1359,0)</f>
        <v>0</v>
      </c>
      <c r="CF1359" s="994">
        <f>IF(AND(Input_LTV&lt;=AE1359,Input_Product=Elig!$C1359,Elig_MatchAll_Ct&lt;22,$BC1359=(Elig_MatchAll_Ct-1),AY1359=0),AA1359,0)</f>
        <v>0</v>
      </c>
      <c r="CG1359" s="993">
        <f>IF(AND(Input_Product=Elig!$C1359,Elig_MatchAll_Ct&lt;22,$BC1359=(Elig_MatchAll_Ct-1),AZ1359=0),AB1359,0)</f>
        <v>0</v>
      </c>
      <c r="CH1359" s="994">
        <f>IF(AND(Input_Product=Elig!$C1359,Elig_MatchAll_Ct&lt;22,$BC1359=(Elig_MatchAll_Ct-1),AZ1359=0),AC1359,0)</f>
        <v>0</v>
      </c>
      <c r="CI1359" s="993">
        <f>IF(AND(Input_Product=Elig!$C1359,Elig_MatchAll_Ct&lt;22,$BC1359=(Elig_MatchAll_Ct-1),BA1359=0),AD1359,0)</f>
        <v>0</v>
      </c>
      <c r="CJ1359" s="994">
        <f>IF(AND(Input_Product=Elig!$C1359,Elig_MatchAll_Ct&lt;22,$BC1359=(Elig_MatchAll_Ct-1),BA1359=0),AE1359,0)</f>
        <v>0</v>
      </c>
    </row>
    <row r="1360" spans="2:88" ht="10.15" customHeight="1" x14ac:dyDescent="0.25">
      <c r="B1360" s="1538" t="s">
        <v>2807</v>
      </c>
      <c r="C1360" s="1538" t="str">
        <f t="shared" si="486"/>
        <v xml:space="preserve">  NOO</v>
      </c>
      <c r="D1360" s="1538" t="s">
        <v>2764</v>
      </c>
      <c r="E1360" s="1538" t="s">
        <v>167</v>
      </c>
      <c r="F1360" s="1538" t="s">
        <v>2765</v>
      </c>
      <c r="G1360" s="1538" t="s">
        <v>2766</v>
      </c>
      <c r="H1360" s="1538" t="s">
        <v>2767</v>
      </c>
      <c r="I1360" s="1539" t="s">
        <v>34</v>
      </c>
      <c r="J1360" s="1539" t="s">
        <v>1311</v>
      </c>
      <c r="K1360" s="1539" t="s">
        <v>3023</v>
      </c>
      <c r="L1360" s="1538" t="s">
        <v>2768</v>
      </c>
      <c r="M1360" s="1538" t="s">
        <v>2677</v>
      </c>
      <c r="N1360" s="1538" t="s">
        <v>2685</v>
      </c>
      <c r="O1360" s="1538" t="s">
        <v>310</v>
      </c>
      <c r="P1360" s="1538" t="s">
        <v>291</v>
      </c>
      <c r="Q1360" s="1538" t="s">
        <v>294</v>
      </c>
      <c r="R1360" s="1538">
        <v>1000000.01</v>
      </c>
      <c r="S1360" s="1538">
        <v>1500000</v>
      </c>
      <c r="T1360" s="1538">
        <v>0</v>
      </c>
      <c r="U1360" s="1538">
        <v>0</v>
      </c>
      <c r="V1360" s="1538">
        <v>0</v>
      </c>
      <c r="W1360" s="1538">
        <v>55</v>
      </c>
      <c r="X1360" s="1538">
        <v>0</v>
      </c>
      <c r="Y1360" s="1538">
        <v>0</v>
      </c>
      <c r="Z1360" s="1540">
        <v>720</v>
      </c>
      <c r="AA1360" s="1540">
        <v>999</v>
      </c>
      <c r="AB1360" s="1540">
        <v>6</v>
      </c>
      <c r="AC1360" s="1540">
        <v>999999</v>
      </c>
      <c r="AD1360" s="1538">
        <v>0</v>
      </c>
      <c r="AE1360" s="1545">
        <v>90</v>
      </c>
      <c r="AF1360" s="170">
        <v>0</v>
      </c>
      <c r="AG1360" s="171">
        <v>1</v>
      </c>
      <c r="AH1360" s="171">
        <v>1</v>
      </c>
      <c r="AI1360" s="171">
        <v>1</v>
      </c>
      <c r="AJ1360" s="171">
        <v>1</v>
      </c>
      <c r="AK1360" s="171">
        <v>1</v>
      </c>
      <c r="AL1360" s="171">
        <v>0</v>
      </c>
      <c r="AM1360" s="171">
        <v>1</v>
      </c>
      <c r="AN1360" s="171">
        <v>1</v>
      </c>
      <c r="AO1360" s="171">
        <v>1</v>
      </c>
      <c r="AP1360" s="171">
        <v>1</v>
      </c>
      <c r="AQ1360" s="171">
        <v>1</v>
      </c>
      <c r="AR1360" s="171">
        <v>1</v>
      </c>
      <c r="AS1360" s="171">
        <v>1</v>
      </c>
      <c r="AT1360" s="171">
        <v>1</v>
      </c>
      <c r="AU1360" s="171">
        <f t="shared" si="474"/>
        <v>0</v>
      </c>
      <c r="AV1360" s="171">
        <f t="shared" si="475"/>
        <v>0</v>
      </c>
      <c r="AW1360" s="171">
        <f t="shared" si="476"/>
        <v>1</v>
      </c>
      <c r="AX1360" s="171">
        <f t="shared" si="485"/>
        <v>1</v>
      </c>
      <c r="AY1360" s="171">
        <f t="shared" si="477"/>
        <v>1</v>
      </c>
      <c r="AZ1360" s="171">
        <f t="shared" si="478"/>
        <v>1</v>
      </c>
      <c r="BA1360" s="172">
        <f t="shared" si="479"/>
        <v>1</v>
      </c>
      <c r="BB1360" s="175">
        <f t="shared" si="481"/>
        <v>18</v>
      </c>
      <c r="BC1360" s="176">
        <f t="shared" si="482"/>
        <v>17</v>
      </c>
      <c r="BD1360" s="176">
        <f t="shared" si="483"/>
        <v>18</v>
      </c>
      <c r="BE1360" s="240" t="str">
        <f t="shared" si="473"/>
        <v/>
      </c>
      <c r="BF1360" s="990"/>
      <c r="BG1360" s="990"/>
      <c r="BH1360" s="991">
        <f>IF(AND(Input_Product=Elig!$C1360,Elig_MatchAll_Ct&lt;22,$BC1360=(Elig_MatchAll_Ct-1),AF1360=0),C1360,0)</f>
        <v>0</v>
      </c>
      <c r="BI1360" s="991">
        <f>IF(AND(Input_Product=Elig!$C1360,Elig_MatchAll_Ct&lt;22,$BC1360=(Elig_MatchAll_Ct-1),AG1360=0),D1360,0)</f>
        <v>0</v>
      </c>
      <c r="BJ1360" s="991">
        <f>IF(AND(Input_Product=Elig!$C1360,Elig_MatchAll_Ct&lt;22,$BC1360=(Elig_MatchAll_Ct-1),AH1360=0),E1360,0)</f>
        <v>0</v>
      </c>
      <c r="BK1360" s="991">
        <f>IF(AND(Input_Product=Elig!$C1360,Elig_MatchAll_Ct&lt;22,$BC1360=(Elig_MatchAll_Ct-1),AI1360=0),F1360,0)</f>
        <v>0</v>
      </c>
      <c r="BL1360" s="991">
        <f>IF(AND(Input_Product=Elig!$C1360,Elig_MatchAll_Ct&lt;22,$BC1360=(Elig_MatchAll_Ct-1),AJ1360=0),G1360,0)</f>
        <v>0</v>
      </c>
      <c r="BM1360" s="991">
        <f>IF(AND(Input_Product=Elig!$C1360,Elig_MatchAll_Ct&lt;22,$BC1360=(Elig_MatchAll_Ct-1),AK1360=0),H1360,0)</f>
        <v>0</v>
      </c>
      <c r="BN1360" s="991">
        <f>IF(AND(Input_Product=Elig!$C1360,Elig_MatchAll_Ct&lt;22,$BC1360=(Elig_MatchAll_Ct-1),AL1360=0),I1360,0)</f>
        <v>0</v>
      </c>
      <c r="BO1360" s="991">
        <f>IF(AND(Input_Product=Elig!$C1360,Elig_MatchAll_Ct&lt;22,$BC1360=(Elig_MatchAll_Ct-1),AM1360=0),J1360,0)</f>
        <v>0</v>
      </c>
      <c r="BP1360" s="991">
        <f>IF(AND(Input_Product=Elig!$C1360,Elig_MatchAll_Ct&lt;22,$BC1360=(Elig_MatchAll_Ct-1),AN1360=0),K1360,0)</f>
        <v>0</v>
      </c>
      <c r="BQ1360" s="991">
        <f>IF(AND(Input_Product=Elig!$C1360,Elig_MatchAll_Ct&lt;22,$BC1360=(Elig_MatchAll_Ct-1),AP1360=0),L1360,0)</f>
        <v>0</v>
      </c>
      <c r="BR1360" s="991">
        <f>IF(AND(Input_Product=Elig!$C1360,Elig_MatchAll_Ct&lt;22,$BC1360=(Elig_MatchAll_Ct-1),AO1360=0),M1360,0)</f>
        <v>0</v>
      </c>
      <c r="BS1360" s="991">
        <f>IF(AND(Input_Product=Elig!$C1360,Elig_MatchAll_Ct&lt;22,$BC1360=(Elig_MatchAll_Ct-1),AQ1360=0),N1360,0)</f>
        <v>0</v>
      </c>
      <c r="BT1360" s="991">
        <f>IF(AND(Input_Product=Elig!$C1360,Elig_MatchAll_Ct&lt;22,$BC1360=(Elig_MatchAll_Ct-1),AR1360=0),O1360,0)</f>
        <v>0</v>
      </c>
      <c r="BU1360" s="991">
        <f>IF(AND(Input_Product=Elig!$C1360,Elig_MatchAll_Ct&lt;22,$BC1360=(Elig_MatchAll_Ct-1),AS1360=0),P1360,0)</f>
        <v>0</v>
      </c>
      <c r="BV1360" s="992">
        <f>IF(AND(Input_Product=Elig!$C1360,Elig_MatchAll_Ct&lt;22,$BC1360=(Elig_MatchAll_Ct-1),AT1360=0),Q1360,0)</f>
        <v>0</v>
      </c>
      <c r="BW1360" s="993">
        <f>IF(AND(Input_Product=Elig!$C1360,Elig_MatchAll_Ct&lt;22,$BC1360=(Elig_MatchAll_Ct-1),AU1360=0),R1360,0)</f>
        <v>0</v>
      </c>
      <c r="BX1360" s="994">
        <f>IF(AND(Input_Product=Elig!$C1360,Elig_MatchAll_Ct&lt;22,$BC1360=(Elig_MatchAll_Ct-1),AU1360=0),S1360,0)</f>
        <v>0</v>
      </c>
      <c r="BY1360" s="993">
        <f>IF(AND(Input_Product=Elig!$C1360,Elig_MatchAll_Ct&lt;22,$BC1360=(Elig_MatchAll_Ct-1),AV1360=0),T1360,0)</f>
        <v>0</v>
      </c>
      <c r="BZ1360" s="994">
        <f>IF(AND(Input_Product=Elig!$C1360,Elig_MatchAll_Ct&lt;22,$BC1360=(Elig_MatchAll_Ct-1),AV1360=0),U1360,0)</f>
        <v>0</v>
      </c>
      <c r="CA1360" s="993">
        <f>IF(AND(Input_Product=Elig!$C1360,Elig_MatchAll_Ct&lt;22,$BC1360=(Elig_MatchAll_Ct-1),AW1360=0),V1360,0)</f>
        <v>0</v>
      </c>
      <c r="CB1360" s="994">
        <f>IF(AND(Input_Product=Elig!$C1360,Elig_MatchAll_Ct&lt;22,$BC1360=(Elig_MatchAll_Ct-1),AW1360=0),W1360,0)</f>
        <v>0</v>
      </c>
      <c r="CC1360" s="993">
        <f>IF(AND(Input_Product=Elig!$C1360,Elig_MatchAll_Ct&lt;22,$BC1360=(Elig_MatchAll_Ct-1),AX1360=0),X1360,0)</f>
        <v>0</v>
      </c>
      <c r="CD1360" s="994">
        <f>IF(AND(Input_Product=Elig!$C1360,Elig_MatchAll_Ct&lt;22,$BC1360=(Elig_MatchAll_Ct-1),AX1360=0),Y1360,0)</f>
        <v>0</v>
      </c>
      <c r="CE1360" s="993">
        <f>IF(AND(Input_LTV&lt;=AE1360,Input_Product=Elig!$C1360,Elig_MatchAll_Ct&lt;22,$BC1360=(Elig_MatchAll_Ct-1),AY1360=0),Z1360,0)</f>
        <v>0</v>
      </c>
      <c r="CF1360" s="994">
        <f>IF(AND(Input_LTV&lt;=AE1360,Input_Product=Elig!$C1360,Elig_MatchAll_Ct&lt;22,$BC1360=(Elig_MatchAll_Ct-1),AY1360=0),AA1360,0)</f>
        <v>0</v>
      </c>
      <c r="CG1360" s="993">
        <f>IF(AND(Input_Product=Elig!$C1360,Elig_MatchAll_Ct&lt;22,$BC1360=(Elig_MatchAll_Ct-1),AZ1360=0),AB1360,0)</f>
        <v>0</v>
      </c>
      <c r="CH1360" s="994">
        <f>IF(AND(Input_Product=Elig!$C1360,Elig_MatchAll_Ct&lt;22,$BC1360=(Elig_MatchAll_Ct-1),AZ1360=0),AC1360,0)</f>
        <v>0</v>
      </c>
      <c r="CI1360" s="993">
        <f>IF(AND(Input_Product=Elig!$C1360,Elig_MatchAll_Ct&lt;22,$BC1360=(Elig_MatchAll_Ct-1),BA1360=0),AD1360,0)</f>
        <v>0</v>
      </c>
      <c r="CJ1360" s="994">
        <f>IF(AND(Input_Product=Elig!$C1360,Elig_MatchAll_Ct&lt;22,$BC1360=(Elig_MatchAll_Ct-1),BA1360=0),AE1360,0)</f>
        <v>0</v>
      </c>
    </row>
    <row r="1361" spans="2:88" ht="10.15" customHeight="1" x14ac:dyDescent="0.25">
      <c r="B1361" s="1538" t="s">
        <v>2808</v>
      </c>
      <c r="C1361" s="1538" t="str">
        <f t="shared" si="486"/>
        <v xml:space="preserve">  NOO</v>
      </c>
      <c r="D1361" s="1538" t="s">
        <v>2764</v>
      </c>
      <c r="E1361" s="1538" t="s">
        <v>167</v>
      </c>
      <c r="F1361" s="1538" t="s">
        <v>2765</v>
      </c>
      <c r="G1361" s="1538" t="s">
        <v>2766</v>
      </c>
      <c r="H1361" s="1538" t="s">
        <v>2767</v>
      </c>
      <c r="I1361" s="1539" t="s">
        <v>34</v>
      </c>
      <c r="J1361" s="1539" t="s">
        <v>1311</v>
      </c>
      <c r="K1361" s="1539" t="s">
        <v>3023</v>
      </c>
      <c r="L1361" s="1538" t="s">
        <v>2768</v>
      </c>
      <c r="M1361" s="1538" t="s">
        <v>2677</v>
      </c>
      <c r="N1361" s="1538" t="s">
        <v>2685</v>
      </c>
      <c r="O1361" s="1538" t="s">
        <v>310</v>
      </c>
      <c r="P1361" s="1538" t="s">
        <v>291</v>
      </c>
      <c r="Q1361" s="1538" t="s">
        <v>294</v>
      </c>
      <c r="R1361" s="1538">
        <v>1500000.01</v>
      </c>
      <c r="S1361" s="1538">
        <v>2000000</v>
      </c>
      <c r="T1361" s="1538">
        <v>0</v>
      </c>
      <c r="U1361" s="1538">
        <v>0</v>
      </c>
      <c r="V1361" s="1538">
        <v>0</v>
      </c>
      <c r="W1361" s="1538">
        <v>55</v>
      </c>
      <c r="X1361" s="1538">
        <v>0</v>
      </c>
      <c r="Y1361" s="1538">
        <v>0</v>
      </c>
      <c r="Z1361" s="1540">
        <v>720</v>
      </c>
      <c r="AA1361" s="1540">
        <v>999</v>
      </c>
      <c r="AB1361" s="1540">
        <v>6</v>
      </c>
      <c r="AC1361" s="1540">
        <v>999999</v>
      </c>
      <c r="AD1361" s="1538">
        <v>0</v>
      </c>
      <c r="AE1361" s="1545">
        <v>85</v>
      </c>
      <c r="AF1361" s="170">
        <v>0</v>
      </c>
      <c r="AG1361" s="171">
        <v>1</v>
      </c>
      <c r="AH1361" s="171">
        <v>1</v>
      </c>
      <c r="AI1361" s="171">
        <v>1</v>
      </c>
      <c r="AJ1361" s="171">
        <v>1</v>
      </c>
      <c r="AK1361" s="171">
        <v>1</v>
      </c>
      <c r="AL1361" s="171">
        <v>0</v>
      </c>
      <c r="AM1361" s="171">
        <v>1</v>
      </c>
      <c r="AN1361" s="171">
        <v>1</v>
      </c>
      <c r="AO1361" s="171">
        <v>1</v>
      </c>
      <c r="AP1361" s="171">
        <v>1</v>
      </c>
      <c r="AQ1361" s="171">
        <v>1</v>
      </c>
      <c r="AR1361" s="171">
        <v>1</v>
      </c>
      <c r="AS1361" s="171">
        <v>1</v>
      </c>
      <c r="AT1361" s="171">
        <v>1</v>
      </c>
      <c r="AU1361" s="171">
        <f t="shared" si="474"/>
        <v>0</v>
      </c>
      <c r="AV1361" s="171">
        <f t="shared" si="475"/>
        <v>0</v>
      </c>
      <c r="AW1361" s="171">
        <f t="shared" si="476"/>
        <v>1</v>
      </c>
      <c r="AX1361" s="171">
        <f t="shared" si="485"/>
        <v>1</v>
      </c>
      <c r="AY1361" s="171">
        <f t="shared" si="477"/>
        <v>1</v>
      </c>
      <c r="AZ1361" s="171">
        <f t="shared" si="478"/>
        <v>1</v>
      </c>
      <c r="BA1361" s="172">
        <f t="shared" si="479"/>
        <v>1</v>
      </c>
      <c r="BB1361" s="175">
        <f t="shared" si="481"/>
        <v>18</v>
      </c>
      <c r="BC1361" s="176">
        <f t="shared" si="482"/>
        <v>17</v>
      </c>
      <c r="BD1361" s="176">
        <f t="shared" si="483"/>
        <v>18</v>
      </c>
      <c r="BE1361" s="240" t="str">
        <f t="shared" si="473"/>
        <v/>
      </c>
      <c r="BF1361" s="990"/>
      <c r="BG1361" s="990"/>
      <c r="BH1361" s="991">
        <f>IF(AND(Input_Product=Elig!$C1361,Elig_MatchAll_Ct&lt;22,$BC1361=(Elig_MatchAll_Ct-1),AF1361=0),C1361,0)</f>
        <v>0</v>
      </c>
      <c r="BI1361" s="991">
        <f>IF(AND(Input_Product=Elig!$C1361,Elig_MatchAll_Ct&lt;22,$BC1361=(Elig_MatchAll_Ct-1),AG1361=0),D1361,0)</f>
        <v>0</v>
      </c>
      <c r="BJ1361" s="991">
        <f>IF(AND(Input_Product=Elig!$C1361,Elig_MatchAll_Ct&lt;22,$BC1361=(Elig_MatchAll_Ct-1),AH1361=0),E1361,0)</f>
        <v>0</v>
      </c>
      <c r="BK1361" s="991">
        <f>IF(AND(Input_Product=Elig!$C1361,Elig_MatchAll_Ct&lt;22,$BC1361=(Elig_MatchAll_Ct-1),AI1361=0),F1361,0)</f>
        <v>0</v>
      </c>
      <c r="BL1361" s="991">
        <f>IF(AND(Input_Product=Elig!$C1361,Elig_MatchAll_Ct&lt;22,$BC1361=(Elig_MatchAll_Ct-1),AJ1361=0),G1361,0)</f>
        <v>0</v>
      </c>
      <c r="BM1361" s="991">
        <f>IF(AND(Input_Product=Elig!$C1361,Elig_MatchAll_Ct&lt;22,$BC1361=(Elig_MatchAll_Ct-1),AK1361=0),H1361,0)</f>
        <v>0</v>
      </c>
      <c r="BN1361" s="991">
        <f>IF(AND(Input_Product=Elig!$C1361,Elig_MatchAll_Ct&lt;22,$BC1361=(Elig_MatchAll_Ct-1),AL1361=0),I1361,0)</f>
        <v>0</v>
      </c>
      <c r="BO1361" s="991">
        <f>IF(AND(Input_Product=Elig!$C1361,Elig_MatchAll_Ct&lt;22,$BC1361=(Elig_MatchAll_Ct-1),AM1361=0),J1361,0)</f>
        <v>0</v>
      </c>
      <c r="BP1361" s="991">
        <f>IF(AND(Input_Product=Elig!$C1361,Elig_MatchAll_Ct&lt;22,$BC1361=(Elig_MatchAll_Ct-1),AN1361=0),K1361,0)</f>
        <v>0</v>
      </c>
      <c r="BQ1361" s="991">
        <f>IF(AND(Input_Product=Elig!$C1361,Elig_MatchAll_Ct&lt;22,$BC1361=(Elig_MatchAll_Ct-1),AP1361=0),L1361,0)</f>
        <v>0</v>
      </c>
      <c r="BR1361" s="991">
        <f>IF(AND(Input_Product=Elig!$C1361,Elig_MatchAll_Ct&lt;22,$BC1361=(Elig_MatchAll_Ct-1),AO1361=0),M1361,0)</f>
        <v>0</v>
      </c>
      <c r="BS1361" s="991">
        <f>IF(AND(Input_Product=Elig!$C1361,Elig_MatchAll_Ct&lt;22,$BC1361=(Elig_MatchAll_Ct-1),AQ1361=0),N1361,0)</f>
        <v>0</v>
      </c>
      <c r="BT1361" s="991">
        <f>IF(AND(Input_Product=Elig!$C1361,Elig_MatchAll_Ct&lt;22,$BC1361=(Elig_MatchAll_Ct-1),AR1361=0),O1361,0)</f>
        <v>0</v>
      </c>
      <c r="BU1361" s="991">
        <f>IF(AND(Input_Product=Elig!$C1361,Elig_MatchAll_Ct&lt;22,$BC1361=(Elig_MatchAll_Ct-1),AS1361=0),P1361,0)</f>
        <v>0</v>
      </c>
      <c r="BV1361" s="992">
        <f>IF(AND(Input_Product=Elig!$C1361,Elig_MatchAll_Ct&lt;22,$BC1361=(Elig_MatchAll_Ct-1),AT1361=0),Q1361,0)</f>
        <v>0</v>
      </c>
      <c r="BW1361" s="993">
        <f>IF(AND(Input_Product=Elig!$C1361,Elig_MatchAll_Ct&lt;22,$BC1361=(Elig_MatchAll_Ct-1),AU1361=0),R1361,0)</f>
        <v>0</v>
      </c>
      <c r="BX1361" s="994">
        <f>IF(AND(Input_Product=Elig!$C1361,Elig_MatchAll_Ct&lt;22,$BC1361=(Elig_MatchAll_Ct-1),AU1361=0),S1361,0)</f>
        <v>0</v>
      </c>
      <c r="BY1361" s="993">
        <f>IF(AND(Input_Product=Elig!$C1361,Elig_MatchAll_Ct&lt;22,$BC1361=(Elig_MatchAll_Ct-1),AV1361=0),T1361,0)</f>
        <v>0</v>
      </c>
      <c r="BZ1361" s="994">
        <f>IF(AND(Input_Product=Elig!$C1361,Elig_MatchAll_Ct&lt;22,$BC1361=(Elig_MatchAll_Ct-1),AV1361=0),U1361,0)</f>
        <v>0</v>
      </c>
      <c r="CA1361" s="993">
        <f>IF(AND(Input_Product=Elig!$C1361,Elig_MatchAll_Ct&lt;22,$BC1361=(Elig_MatchAll_Ct-1),AW1361=0),V1361,0)</f>
        <v>0</v>
      </c>
      <c r="CB1361" s="994">
        <f>IF(AND(Input_Product=Elig!$C1361,Elig_MatchAll_Ct&lt;22,$BC1361=(Elig_MatchAll_Ct-1),AW1361=0),W1361,0)</f>
        <v>0</v>
      </c>
      <c r="CC1361" s="993">
        <f>IF(AND(Input_Product=Elig!$C1361,Elig_MatchAll_Ct&lt;22,$BC1361=(Elig_MatchAll_Ct-1),AX1361=0),X1361,0)</f>
        <v>0</v>
      </c>
      <c r="CD1361" s="994">
        <f>IF(AND(Input_Product=Elig!$C1361,Elig_MatchAll_Ct&lt;22,$BC1361=(Elig_MatchAll_Ct-1),AX1361=0),Y1361,0)</f>
        <v>0</v>
      </c>
      <c r="CE1361" s="993">
        <f>IF(AND(Input_LTV&lt;=AE1361,Input_Product=Elig!$C1361,Elig_MatchAll_Ct&lt;22,$BC1361=(Elig_MatchAll_Ct-1),AY1361=0),Z1361,0)</f>
        <v>0</v>
      </c>
      <c r="CF1361" s="994">
        <f>IF(AND(Input_LTV&lt;=AE1361,Input_Product=Elig!$C1361,Elig_MatchAll_Ct&lt;22,$BC1361=(Elig_MatchAll_Ct-1),AY1361=0),AA1361,0)</f>
        <v>0</v>
      </c>
      <c r="CG1361" s="993">
        <f>IF(AND(Input_Product=Elig!$C1361,Elig_MatchAll_Ct&lt;22,$BC1361=(Elig_MatchAll_Ct-1),AZ1361=0),AB1361,0)</f>
        <v>0</v>
      </c>
      <c r="CH1361" s="994">
        <f>IF(AND(Input_Product=Elig!$C1361,Elig_MatchAll_Ct&lt;22,$BC1361=(Elig_MatchAll_Ct-1),AZ1361=0),AC1361,0)</f>
        <v>0</v>
      </c>
      <c r="CI1361" s="993">
        <f>IF(AND(Input_Product=Elig!$C1361,Elig_MatchAll_Ct&lt;22,$BC1361=(Elig_MatchAll_Ct-1),BA1361=0),AD1361,0)</f>
        <v>0</v>
      </c>
      <c r="CJ1361" s="994">
        <f>IF(AND(Input_Product=Elig!$C1361,Elig_MatchAll_Ct&lt;22,$BC1361=(Elig_MatchAll_Ct-1),BA1361=0),AE1361,0)</f>
        <v>0</v>
      </c>
    </row>
    <row r="1362" spans="2:88" ht="10.15" customHeight="1" x14ac:dyDescent="0.25">
      <c r="B1362" s="1538" t="s">
        <v>3560</v>
      </c>
      <c r="C1362" s="1538" t="str">
        <f t="shared" si="486"/>
        <v xml:space="preserve">  NOO</v>
      </c>
      <c r="D1362" s="1538" t="s">
        <v>2764</v>
      </c>
      <c r="E1362" s="1538" t="s">
        <v>167</v>
      </c>
      <c r="F1362" s="1538" t="s">
        <v>2765</v>
      </c>
      <c r="G1362" s="1538" t="s">
        <v>2766</v>
      </c>
      <c r="H1362" s="1538" t="s">
        <v>2767</v>
      </c>
      <c r="I1362" s="1539" t="s">
        <v>34</v>
      </c>
      <c r="J1362" s="1539" t="s">
        <v>1311</v>
      </c>
      <c r="K1362" s="1539" t="s">
        <v>3023</v>
      </c>
      <c r="L1362" s="1538" t="s">
        <v>2768</v>
      </c>
      <c r="M1362" s="1538" t="s">
        <v>2677</v>
      </c>
      <c r="N1362" s="1538" t="s">
        <v>2685</v>
      </c>
      <c r="O1362" s="1538" t="s">
        <v>310</v>
      </c>
      <c r="P1362" s="1538" t="s">
        <v>291</v>
      </c>
      <c r="Q1362" s="1538" t="s">
        <v>294</v>
      </c>
      <c r="R1362" s="1538">
        <v>2000000.01</v>
      </c>
      <c r="S1362" s="1538">
        <v>2500000</v>
      </c>
      <c r="T1362" s="1538">
        <v>0</v>
      </c>
      <c r="U1362" s="1538">
        <v>0</v>
      </c>
      <c r="V1362" s="1538">
        <v>0</v>
      </c>
      <c r="W1362" s="1538">
        <v>55</v>
      </c>
      <c r="X1362" s="1538">
        <v>0</v>
      </c>
      <c r="Y1362" s="1538">
        <v>0</v>
      </c>
      <c r="Z1362" s="1540">
        <v>720</v>
      </c>
      <c r="AA1362" s="1540">
        <v>999</v>
      </c>
      <c r="AB1362" s="1540">
        <v>6</v>
      </c>
      <c r="AC1362" s="1540">
        <v>999999</v>
      </c>
      <c r="AD1362" s="1538">
        <v>0</v>
      </c>
      <c r="AE1362" s="1545">
        <v>80</v>
      </c>
      <c r="AF1362" s="170">
        <v>0</v>
      </c>
      <c r="AG1362" s="171">
        <v>1</v>
      </c>
      <c r="AH1362" s="171">
        <v>1</v>
      </c>
      <c r="AI1362" s="171">
        <v>1</v>
      </c>
      <c r="AJ1362" s="171">
        <v>1</v>
      </c>
      <c r="AK1362" s="171">
        <v>1</v>
      </c>
      <c r="AL1362" s="171">
        <v>0</v>
      </c>
      <c r="AM1362" s="171">
        <v>1</v>
      </c>
      <c r="AN1362" s="171">
        <v>1</v>
      </c>
      <c r="AO1362" s="171">
        <v>1</v>
      </c>
      <c r="AP1362" s="171">
        <v>1</v>
      </c>
      <c r="AQ1362" s="171">
        <v>1</v>
      </c>
      <c r="AR1362" s="171">
        <v>1</v>
      </c>
      <c r="AS1362" s="171">
        <v>1</v>
      </c>
      <c r="AT1362" s="171">
        <v>1</v>
      </c>
      <c r="AU1362" s="171">
        <f t="shared" si="474"/>
        <v>0</v>
      </c>
      <c r="AV1362" s="171">
        <f t="shared" si="475"/>
        <v>0</v>
      </c>
      <c r="AW1362" s="171">
        <f t="shared" si="476"/>
        <v>1</v>
      </c>
      <c r="AX1362" s="171">
        <f t="shared" si="485"/>
        <v>1</v>
      </c>
      <c r="AY1362" s="171">
        <f t="shared" si="477"/>
        <v>1</v>
      </c>
      <c r="AZ1362" s="171">
        <f t="shared" si="478"/>
        <v>1</v>
      </c>
      <c r="BA1362" s="172">
        <f t="shared" si="479"/>
        <v>1</v>
      </c>
      <c r="BB1362" s="175">
        <f t="shared" si="481"/>
        <v>18</v>
      </c>
      <c r="BC1362" s="176">
        <f t="shared" si="482"/>
        <v>17</v>
      </c>
      <c r="BD1362" s="176">
        <f t="shared" si="483"/>
        <v>18</v>
      </c>
      <c r="BE1362" s="240" t="str">
        <f t="shared" si="473"/>
        <v/>
      </c>
      <c r="BF1362" s="990"/>
      <c r="BG1362" s="990"/>
      <c r="BH1362" s="991">
        <f>IF(AND(Input_Product=Elig!$C1362,Elig_MatchAll_Ct&lt;22,$BC1362=(Elig_MatchAll_Ct-1),AF1362=0),C1362,0)</f>
        <v>0</v>
      </c>
      <c r="BI1362" s="991">
        <f>IF(AND(Input_Product=Elig!$C1362,Elig_MatchAll_Ct&lt;22,$BC1362=(Elig_MatchAll_Ct-1),AG1362=0),D1362,0)</f>
        <v>0</v>
      </c>
      <c r="BJ1362" s="991">
        <f>IF(AND(Input_Product=Elig!$C1362,Elig_MatchAll_Ct&lt;22,$BC1362=(Elig_MatchAll_Ct-1),AH1362=0),E1362,0)</f>
        <v>0</v>
      </c>
      <c r="BK1362" s="991">
        <f>IF(AND(Input_Product=Elig!$C1362,Elig_MatchAll_Ct&lt;22,$BC1362=(Elig_MatchAll_Ct-1),AI1362=0),F1362,0)</f>
        <v>0</v>
      </c>
      <c r="BL1362" s="991">
        <f>IF(AND(Input_Product=Elig!$C1362,Elig_MatchAll_Ct&lt;22,$BC1362=(Elig_MatchAll_Ct-1),AJ1362=0),G1362,0)</f>
        <v>0</v>
      </c>
      <c r="BM1362" s="991">
        <f>IF(AND(Input_Product=Elig!$C1362,Elig_MatchAll_Ct&lt;22,$BC1362=(Elig_MatchAll_Ct-1),AK1362=0),H1362,0)</f>
        <v>0</v>
      </c>
      <c r="BN1362" s="991">
        <f>IF(AND(Input_Product=Elig!$C1362,Elig_MatchAll_Ct&lt;22,$BC1362=(Elig_MatchAll_Ct-1),AL1362=0),I1362,0)</f>
        <v>0</v>
      </c>
      <c r="BO1362" s="991">
        <f>IF(AND(Input_Product=Elig!$C1362,Elig_MatchAll_Ct&lt;22,$BC1362=(Elig_MatchAll_Ct-1),AM1362=0),J1362,0)</f>
        <v>0</v>
      </c>
      <c r="BP1362" s="991">
        <f>IF(AND(Input_Product=Elig!$C1362,Elig_MatchAll_Ct&lt;22,$BC1362=(Elig_MatchAll_Ct-1),AN1362=0),K1362,0)</f>
        <v>0</v>
      </c>
      <c r="BQ1362" s="991">
        <f>IF(AND(Input_Product=Elig!$C1362,Elig_MatchAll_Ct&lt;22,$BC1362=(Elig_MatchAll_Ct-1),AP1362=0),L1362,0)</f>
        <v>0</v>
      </c>
      <c r="BR1362" s="991">
        <f>IF(AND(Input_Product=Elig!$C1362,Elig_MatchAll_Ct&lt;22,$BC1362=(Elig_MatchAll_Ct-1),AO1362=0),M1362,0)</f>
        <v>0</v>
      </c>
      <c r="BS1362" s="991">
        <f>IF(AND(Input_Product=Elig!$C1362,Elig_MatchAll_Ct&lt;22,$BC1362=(Elig_MatchAll_Ct-1),AQ1362=0),N1362,0)</f>
        <v>0</v>
      </c>
      <c r="BT1362" s="991">
        <f>IF(AND(Input_Product=Elig!$C1362,Elig_MatchAll_Ct&lt;22,$BC1362=(Elig_MatchAll_Ct-1),AR1362=0),O1362,0)</f>
        <v>0</v>
      </c>
      <c r="BU1362" s="991">
        <f>IF(AND(Input_Product=Elig!$C1362,Elig_MatchAll_Ct&lt;22,$BC1362=(Elig_MatchAll_Ct-1),AS1362=0),P1362,0)</f>
        <v>0</v>
      </c>
      <c r="BV1362" s="992">
        <f>IF(AND(Input_Product=Elig!$C1362,Elig_MatchAll_Ct&lt;22,$BC1362=(Elig_MatchAll_Ct-1),AT1362=0),Q1362,0)</f>
        <v>0</v>
      </c>
      <c r="BW1362" s="993">
        <f>IF(AND(Input_Product=Elig!$C1362,Elig_MatchAll_Ct&lt;22,$BC1362=(Elig_MatchAll_Ct-1),AU1362=0),R1362,0)</f>
        <v>0</v>
      </c>
      <c r="BX1362" s="994">
        <f>IF(AND(Input_Product=Elig!$C1362,Elig_MatchAll_Ct&lt;22,$BC1362=(Elig_MatchAll_Ct-1),AU1362=0),S1362,0)</f>
        <v>0</v>
      </c>
      <c r="BY1362" s="993">
        <f>IF(AND(Input_Product=Elig!$C1362,Elig_MatchAll_Ct&lt;22,$BC1362=(Elig_MatchAll_Ct-1),AV1362=0),T1362,0)</f>
        <v>0</v>
      </c>
      <c r="BZ1362" s="994">
        <f>IF(AND(Input_Product=Elig!$C1362,Elig_MatchAll_Ct&lt;22,$BC1362=(Elig_MatchAll_Ct-1),AV1362=0),U1362,0)</f>
        <v>0</v>
      </c>
      <c r="CA1362" s="993">
        <f>IF(AND(Input_Product=Elig!$C1362,Elig_MatchAll_Ct&lt;22,$BC1362=(Elig_MatchAll_Ct-1),AW1362=0),V1362,0)</f>
        <v>0</v>
      </c>
      <c r="CB1362" s="994">
        <f>IF(AND(Input_Product=Elig!$C1362,Elig_MatchAll_Ct&lt;22,$BC1362=(Elig_MatchAll_Ct-1),AW1362=0),W1362,0)</f>
        <v>0</v>
      </c>
      <c r="CC1362" s="993">
        <f>IF(AND(Input_Product=Elig!$C1362,Elig_MatchAll_Ct&lt;22,$BC1362=(Elig_MatchAll_Ct-1),AX1362=0),X1362,0)</f>
        <v>0</v>
      </c>
      <c r="CD1362" s="994">
        <f>IF(AND(Input_Product=Elig!$C1362,Elig_MatchAll_Ct&lt;22,$BC1362=(Elig_MatchAll_Ct-1),AX1362=0),Y1362,0)</f>
        <v>0</v>
      </c>
      <c r="CE1362" s="993">
        <f>IF(AND(Input_LTV&lt;=AE1362,Input_Product=Elig!$C1362,Elig_MatchAll_Ct&lt;22,$BC1362=(Elig_MatchAll_Ct-1),AY1362=0),Z1362,0)</f>
        <v>0</v>
      </c>
      <c r="CF1362" s="994">
        <f>IF(AND(Input_LTV&lt;=AE1362,Input_Product=Elig!$C1362,Elig_MatchAll_Ct&lt;22,$BC1362=(Elig_MatchAll_Ct-1),AY1362=0),AA1362,0)</f>
        <v>0</v>
      </c>
      <c r="CG1362" s="993">
        <f>IF(AND(Input_Product=Elig!$C1362,Elig_MatchAll_Ct&lt;22,$BC1362=(Elig_MatchAll_Ct-1),AZ1362=0),AB1362,0)</f>
        <v>0</v>
      </c>
      <c r="CH1362" s="994">
        <f>IF(AND(Input_Product=Elig!$C1362,Elig_MatchAll_Ct&lt;22,$BC1362=(Elig_MatchAll_Ct-1),AZ1362=0),AC1362,0)</f>
        <v>0</v>
      </c>
      <c r="CI1362" s="993">
        <f>IF(AND(Input_Product=Elig!$C1362,Elig_MatchAll_Ct&lt;22,$BC1362=(Elig_MatchAll_Ct-1),BA1362=0),AD1362,0)</f>
        <v>0</v>
      </c>
      <c r="CJ1362" s="994">
        <f>IF(AND(Input_Product=Elig!$C1362,Elig_MatchAll_Ct&lt;22,$BC1362=(Elig_MatchAll_Ct-1),BA1362=0),AE1362,0)</f>
        <v>0</v>
      </c>
    </row>
    <row r="1363" spans="2:88" ht="10.15" customHeight="1" x14ac:dyDescent="0.25">
      <c r="B1363" s="1538" t="s">
        <v>3561</v>
      </c>
      <c r="C1363" s="1538" t="str">
        <f t="shared" si="486"/>
        <v xml:space="preserve">  NOO</v>
      </c>
      <c r="D1363" s="1538" t="s">
        <v>2764</v>
      </c>
      <c r="E1363" s="1538" t="s">
        <v>167</v>
      </c>
      <c r="F1363" s="1538" t="s">
        <v>2765</v>
      </c>
      <c r="G1363" s="1538" t="s">
        <v>2766</v>
      </c>
      <c r="H1363" s="1538" t="s">
        <v>2767</v>
      </c>
      <c r="I1363" s="1539" t="s">
        <v>34</v>
      </c>
      <c r="J1363" s="1539" t="s">
        <v>1311</v>
      </c>
      <c r="K1363" s="1539" t="s">
        <v>3023</v>
      </c>
      <c r="L1363" s="1538" t="s">
        <v>2768</v>
      </c>
      <c r="M1363" s="1538" t="s">
        <v>2677</v>
      </c>
      <c r="N1363" s="1538" t="s">
        <v>2685</v>
      </c>
      <c r="O1363" s="1538" t="s">
        <v>310</v>
      </c>
      <c r="P1363" s="1538" t="s">
        <v>291</v>
      </c>
      <c r="Q1363" s="1538" t="s">
        <v>294</v>
      </c>
      <c r="R1363" s="1538">
        <v>2500000.0099999998</v>
      </c>
      <c r="S1363" s="1538">
        <v>3000000</v>
      </c>
      <c r="T1363" s="1538">
        <v>0</v>
      </c>
      <c r="U1363" s="1538">
        <v>0</v>
      </c>
      <c r="V1363" s="1538">
        <v>0</v>
      </c>
      <c r="W1363" s="1538">
        <v>55</v>
      </c>
      <c r="X1363" s="1538">
        <v>0</v>
      </c>
      <c r="Y1363" s="1538">
        <v>0</v>
      </c>
      <c r="Z1363" s="1540">
        <v>720</v>
      </c>
      <c r="AA1363" s="1540">
        <v>999</v>
      </c>
      <c r="AB1363" s="1540">
        <v>6</v>
      </c>
      <c r="AC1363" s="1540">
        <v>999999</v>
      </c>
      <c r="AD1363" s="1538">
        <v>0</v>
      </c>
      <c r="AE1363" s="1545">
        <v>75</v>
      </c>
      <c r="AF1363" s="170">
        <v>0</v>
      </c>
      <c r="AG1363" s="171">
        <v>1</v>
      </c>
      <c r="AH1363" s="171">
        <v>1</v>
      </c>
      <c r="AI1363" s="171">
        <v>1</v>
      </c>
      <c r="AJ1363" s="171">
        <v>1</v>
      </c>
      <c r="AK1363" s="171">
        <v>1</v>
      </c>
      <c r="AL1363" s="171">
        <v>0</v>
      </c>
      <c r="AM1363" s="171">
        <v>1</v>
      </c>
      <c r="AN1363" s="171">
        <v>1</v>
      </c>
      <c r="AO1363" s="171">
        <v>1</v>
      </c>
      <c r="AP1363" s="171">
        <v>1</v>
      </c>
      <c r="AQ1363" s="171">
        <v>1</v>
      </c>
      <c r="AR1363" s="171">
        <v>1</v>
      </c>
      <c r="AS1363" s="171">
        <v>1</v>
      </c>
      <c r="AT1363" s="171">
        <v>1</v>
      </c>
      <c r="AU1363" s="171">
        <f t="shared" si="474"/>
        <v>0</v>
      </c>
      <c r="AV1363" s="171">
        <f t="shared" si="475"/>
        <v>0</v>
      </c>
      <c r="AW1363" s="171">
        <f t="shared" si="476"/>
        <v>1</v>
      </c>
      <c r="AX1363" s="171">
        <f t="shared" si="485"/>
        <v>1</v>
      </c>
      <c r="AY1363" s="171">
        <f t="shared" si="477"/>
        <v>1</v>
      </c>
      <c r="AZ1363" s="171">
        <f t="shared" si="478"/>
        <v>1</v>
      </c>
      <c r="BA1363" s="172">
        <f t="shared" si="479"/>
        <v>1</v>
      </c>
      <c r="BB1363" s="175">
        <f t="shared" si="481"/>
        <v>18</v>
      </c>
      <c r="BC1363" s="176">
        <f t="shared" si="482"/>
        <v>17</v>
      </c>
      <c r="BD1363" s="176">
        <f t="shared" si="483"/>
        <v>18</v>
      </c>
      <c r="BE1363" s="240" t="str">
        <f t="shared" si="473"/>
        <v/>
      </c>
      <c r="BF1363" s="990"/>
      <c r="BG1363" s="990"/>
      <c r="BH1363" s="991">
        <f>IF(AND(Input_Product=Elig!$C1363,Elig_MatchAll_Ct&lt;22,$BC1363=(Elig_MatchAll_Ct-1),AF1363=0),C1363,0)</f>
        <v>0</v>
      </c>
      <c r="BI1363" s="991">
        <f>IF(AND(Input_Product=Elig!$C1363,Elig_MatchAll_Ct&lt;22,$BC1363=(Elig_MatchAll_Ct-1),AG1363=0),D1363,0)</f>
        <v>0</v>
      </c>
      <c r="BJ1363" s="991">
        <f>IF(AND(Input_Product=Elig!$C1363,Elig_MatchAll_Ct&lt;22,$BC1363=(Elig_MatchAll_Ct-1),AH1363=0),E1363,0)</f>
        <v>0</v>
      </c>
      <c r="BK1363" s="991">
        <f>IF(AND(Input_Product=Elig!$C1363,Elig_MatchAll_Ct&lt;22,$BC1363=(Elig_MatchAll_Ct-1),AI1363=0),F1363,0)</f>
        <v>0</v>
      </c>
      <c r="BL1363" s="991">
        <f>IF(AND(Input_Product=Elig!$C1363,Elig_MatchAll_Ct&lt;22,$BC1363=(Elig_MatchAll_Ct-1),AJ1363=0),G1363,0)</f>
        <v>0</v>
      </c>
      <c r="BM1363" s="991">
        <f>IF(AND(Input_Product=Elig!$C1363,Elig_MatchAll_Ct&lt;22,$BC1363=(Elig_MatchAll_Ct-1),AK1363=0),H1363,0)</f>
        <v>0</v>
      </c>
      <c r="BN1363" s="991">
        <f>IF(AND(Input_Product=Elig!$C1363,Elig_MatchAll_Ct&lt;22,$BC1363=(Elig_MatchAll_Ct-1),AL1363=0),I1363,0)</f>
        <v>0</v>
      </c>
      <c r="BO1363" s="991">
        <f>IF(AND(Input_Product=Elig!$C1363,Elig_MatchAll_Ct&lt;22,$BC1363=(Elig_MatchAll_Ct-1),AM1363=0),J1363,0)</f>
        <v>0</v>
      </c>
      <c r="BP1363" s="991">
        <f>IF(AND(Input_Product=Elig!$C1363,Elig_MatchAll_Ct&lt;22,$BC1363=(Elig_MatchAll_Ct-1),AN1363=0),K1363,0)</f>
        <v>0</v>
      </c>
      <c r="BQ1363" s="991">
        <f>IF(AND(Input_Product=Elig!$C1363,Elig_MatchAll_Ct&lt;22,$BC1363=(Elig_MatchAll_Ct-1),AP1363=0),L1363,0)</f>
        <v>0</v>
      </c>
      <c r="BR1363" s="991">
        <f>IF(AND(Input_Product=Elig!$C1363,Elig_MatchAll_Ct&lt;22,$BC1363=(Elig_MatchAll_Ct-1),AO1363=0),M1363,0)</f>
        <v>0</v>
      </c>
      <c r="BS1363" s="991">
        <f>IF(AND(Input_Product=Elig!$C1363,Elig_MatchAll_Ct&lt;22,$BC1363=(Elig_MatchAll_Ct-1),AQ1363=0),N1363,0)</f>
        <v>0</v>
      </c>
      <c r="BT1363" s="991">
        <f>IF(AND(Input_Product=Elig!$C1363,Elig_MatchAll_Ct&lt;22,$BC1363=(Elig_MatchAll_Ct-1),AR1363=0),O1363,0)</f>
        <v>0</v>
      </c>
      <c r="BU1363" s="991">
        <f>IF(AND(Input_Product=Elig!$C1363,Elig_MatchAll_Ct&lt;22,$BC1363=(Elig_MatchAll_Ct-1),AS1363=0),P1363,0)</f>
        <v>0</v>
      </c>
      <c r="BV1363" s="992">
        <f>IF(AND(Input_Product=Elig!$C1363,Elig_MatchAll_Ct&lt;22,$BC1363=(Elig_MatchAll_Ct-1),AT1363=0),Q1363,0)</f>
        <v>0</v>
      </c>
      <c r="BW1363" s="993">
        <f>IF(AND(Input_Product=Elig!$C1363,Elig_MatchAll_Ct&lt;22,$BC1363=(Elig_MatchAll_Ct-1),AU1363=0),R1363,0)</f>
        <v>0</v>
      </c>
      <c r="BX1363" s="994">
        <f>IF(AND(Input_Product=Elig!$C1363,Elig_MatchAll_Ct&lt;22,$BC1363=(Elig_MatchAll_Ct-1),AU1363=0),S1363,0)</f>
        <v>0</v>
      </c>
      <c r="BY1363" s="993">
        <f>IF(AND(Input_Product=Elig!$C1363,Elig_MatchAll_Ct&lt;22,$BC1363=(Elig_MatchAll_Ct-1),AV1363=0),T1363,0)</f>
        <v>0</v>
      </c>
      <c r="BZ1363" s="994">
        <f>IF(AND(Input_Product=Elig!$C1363,Elig_MatchAll_Ct&lt;22,$BC1363=(Elig_MatchAll_Ct-1),AV1363=0),U1363,0)</f>
        <v>0</v>
      </c>
      <c r="CA1363" s="993">
        <f>IF(AND(Input_Product=Elig!$C1363,Elig_MatchAll_Ct&lt;22,$BC1363=(Elig_MatchAll_Ct-1),AW1363=0),V1363,0)</f>
        <v>0</v>
      </c>
      <c r="CB1363" s="994">
        <f>IF(AND(Input_Product=Elig!$C1363,Elig_MatchAll_Ct&lt;22,$BC1363=(Elig_MatchAll_Ct-1),AW1363=0),W1363,0)</f>
        <v>0</v>
      </c>
      <c r="CC1363" s="993">
        <f>IF(AND(Input_Product=Elig!$C1363,Elig_MatchAll_Ct&lt;22,$BC1363=(Elig_MatchAll_Ct-1),AX1363=0),X1363,0)</f>
        <v>0</v>
      </c>
      <c r="CD1363" s="994">
        <f>IF(AND(Input_Product=Elig!$C1363,Elig_MatchAll_Ct&lt;22,$BC1363=(Elig_MatchAll_Ct-1),AX1363=0),Y1363,0)</f>
        <v>0</v>
      </c>
      <c r="CE1363" s="993">
        <f>IF(AND(Input_LTV&lt;=AE1363,Input_Product=Elig!$C1363,Elig_MatchAll_Ct&lt;22,$BC1363=(Elig_MatchAll_Ct-1),AY1363=0),Z1363,0)</f>
        <v>0</v>
      </c>
      <c r="CF1363" s="994">
        <f>IF(AND(Input_LTV&lt;=AE1363,Input_Product=Elig!$C1363,Elig_MatchAll_Ct&lt;22,$BC1363=(Elig_MatchAll_Ct-1),AY1363=0),AA1363,0)</f>
        <v>0</v>
      </c>
      <c r="CG1363" s="993">
        <f>IF(AND(Input_Product=Elig!$C1363,Elig_MatchAll_Ct&lt;22,$BC1363=(Elig_MatchAll_Ct-1),AZ1363=0),AB1363,0)</f>
        <v>0</v>
      </c>
      <c r="CH1363" s="994">
        <f>IF(AND(Input_Product=Elig!$C1363,Elig_MatchAll_Ct&lt;22,$BC1363=(Elig_MatchAll_Ct-1),AZ1363=0),AC1363,0)</f>
        <v>0</v>
      </c>
      <c r="CI1363" s="993">
        <f>IF(AND(Input_Product=Elig!$C1363,Elig_MatchAll_Ct&lt;22,$BC1363=(Elig_MatchAll_Ct-1),BA1363=0),AD1363,0)</f>
        <v>0</v>
      </c>
      <c r="CJ1363" s="994">
        <f>IF(AND(Input_Product=Elig!$C1363,Elig_MatchAll_Ct&lt;22,$BC1363=(Elig_MatchAll_Ct-1),BA1363=0),AE1363,0)</f>
        <v>0</v>
      </c>
    </row>
    <row r="1364" spans="2:88" ht="10.15" customHeight="1" x14ac:dyDescent="0.25">
      <c r="B1364" s="1538" t="s">
        <v>3562</v>
      </c>
      <c r="C1364" s="1538" t="str">
        <f t="shared" si="486"/>
        <v xml:space="preserve">  NOO</v>
      </c>
      <c r="D1364" s="1538" t="s">
        <v>2764</v>
      </c>
      <c r="E1364" s="1538" t="s">
        <v>167</v>
      </c>
      <c r="F1364" s="1538" t="s">
        <v>2765</v>
      </c>
      <c r="G1364" s="1538" t="s">
        <v>2766</v>
      </c>
      <c r="H1364" s="1538" t="s">
        <v>2767</v>
      </c>
      <c r="I1364" s="1539" t="s">
        <v>34</v>
      </c>
      <c r="J1364" s="1539" t="s">
        <v>1311</v>
      </c>
      <c r="K1364" s="1539" t="s">
        <v>3023</v>
      </c>
      <c r="L1364" s="1538" t="s">
        <v>2768</v>
      </c>
      <c r="M1364" s="1538" t="s">
        <v>2677</v>
      </c>
      <c r="N1364" s="1538" t="s">
        <v>2685</v>
      </c>
      <c r="O1364" s="1538" t="s">
        <v>310</v>
      </c>
      <c r="P1364" s="1538" t="s">
        <v>291</v>
      </c>
      <c r="Q1364" s="1538" t="s">
        <v>294</v>
      </c>
      <c r="R1364" s="1538">
        <v>3000000.01</v>
      </c>
      <c r="S1364" s="1538">
        <v>3500000</v>
      </c>
      <c r="T1364" s="1538">
        <v>0</v>
      </c>
      <c r="U1364" s="1538">
        <v>0</v>
      </c>
      <c r="V1364" s="1538">
        <v>0</v>
      </c>
      <c r="W1364" s="1538">
        <v>55</v>
      </c>
      <c r="X1364" s="1538">
        <v>0</v>
      </c>
      <c r="Y1364" s="1538">
        <v>0</v>
      </c>
      <c r="Z1364" s="1540">
        <v>720</v>
      </c>
      <c r="AA1364" s="1540">
        <v>999</v>
      </c>
      <c r="AB1364" s="1540">
        <v>6</v>
      </c>
      <c r="AC1364" s="1540">
        <v>999999</v>
      </c>
      <c r="AD1364" s="1538">
        <v>0</v>
      </c>
      <c r="AE1364" s="1545">
        <v>70</v>
      </c>
      <c r="AF1364" s="170">
        <v>0</v>
      </c>
      <c r="AG1364" s="171">
        <v>1</v>
      </c>
      <c r="AH1364" s="171">
        <v>1</v>
      </c>
      <c r="AI1364" s="171">
        <v>1</v>
      </c>
      <c r="AJ1364" s="171">
        <v>1</v>
      </c>
      <c r="AK1364" s="171">
        <v>1</v>
      </c>
      <c r="AL1364" s="171">
        <v>0</v>
      </c>
      <c r="AM1364" s="171">
        <v>1</v>
      </c>
      <c r="AN1364" s="171">
        <v>1</v>
      </c>
      <c r="AO1364" s="171">
        <v>1</v>
      </c>
      <c r="AP1364" s="171">
        <v>1</v>
      </c>
      <c r="AQ1364" s="171">
        <v>1</v>
      </c>
      <c r="AR1364" s="171">
        <v>1</v>
      </c>
      <c r="AS1364" s="171">
        <v>1</v>
      </c>
      <c r="AT1364" s="171">
        <v>1</v>
      </c>
      <c r="AU1364" s="171">
        <f t="shared" si="474"/>
        <v>0</v>
      </c>
      <c r="AV1364" s="171">
        <f t="shared" si="475"/>
        <v>0</v>
      </c>
      <c r="AW1364" s="171">
        <f t="shared" si="476"/>
        <v>1</v>
      </c>
      <c r="AX1364" s="171">
        <f t="shared" si="485"/>
        <v>1</v>
      </c>
      <c r="AY1364" s="171">
        <f t="shared" si="477"/>
        <v>1</v>
      </c>
      <c r="AZ1364" s="171">
        <f t="shared" si="478"/>
        <v>1</v>
      </c>
      <c r="BA1364" s="172">
        <f t="shared" si="479"/>
        <v>1</v>
      </c>
      <c r="BB1364" s="175">
        <f t="shared" si="481"/>
        <v>18</v>
      </c>
      <c r="BC1364" s="176">
        <f t="shared" si="482"/>
        <v>17</v>
      </c>
      <c r="BD1364" s="176">
        <f t="shared" si="483"/>
        <v>18</v>
      </c>
      <c r="BE1364" s="240" t="str">
        <f t="shared" si="473"/>
        <v/>
      </c>
      <c r="BF1364" s="990"/>
      <c r="BG1364" s="990"/>
      <c r="BH1364" s="991">
        <f>IF(AND(Input_Product=Elig!$C1364,Elig_MatchAll_Ct&lt;22,$BC1364=(Elig_MatchAll_Ct-1),AF1364=0),C1364,0)</f>
        <v>0</v>
      </c>
      <c r="BI1364" s="991">
        <f>IF(AND(Input_Product=Elig!$C1364,Elig_MatchAll_Ct&lt;22,$BC1364=(Elig_MatchAll_Ct-1),AG1364=0),D1364,0)</f>
        <v>0</v>
      </c>
      <c r="BJ1364" s="991">
        <f>IF(AND(Input_Product=Elig!$C1364,Elig_MatchAll_Ct&lt;22,$BC1364=(Elig_MatchAll_Ct-1),AH1364=0),E1364,0)</f>
        <v>0</v>
      </c>
      <c r="BK1364" s="991">
        <f>IF(AND(Input_Product=Elig!$C1364,Elig_MatchAll_Ct&lt;22,$BC1364=(Elig_MatchAll_Ct-1),AI1364=0),F1364,0)</f>
        <v>0</v>
      </c>
      <c r="BL1364" s="991">
        <f>IF(AND(Input_Product=Elig!$C1364,Elig_MatchAll_Ct&lt;22,$BC1364=(Elig_MatchAll_Ct-1),AJ1364=0),G1364,0)</f>
        <v>0</v>
      </c>
      <c r="BM1364" s="991">
        <f>IF(AND(Input_Product=Elig!$C1364,Elig_MatchAll_Ct&lt;22,$BC1364=(Elig_MatchAll_Ct-1),AK1364=0),H1364,0)</f>
        <v>0</v>
      </c>
      <c r="BN1364" s="991">
        <f>IF(AND(Input_Product=Elig!$C1364,Elig_MatchAll_Ct&lt;22,$BC1364=(Elig_MatchAll_Ct-1),AL1364=0),I1364,0)</f>
        <v>0</v>
      </c>
      <c r="BO1364" s="991">
        <f>IF(AND(Input_Product=Elig!$C1364,Elig_MatchAll_Ct&lt;22,$BC1364=(Elig_MatchAll_Ct-1),AM1364=0),J1364,0)</f>
        <v>0</v>
      </c>
      <c r="BP1364" s="991">
        <f>IF(AND(Input_Product=Elig!$C1364,Elig_MatchAll_Ct&lt;22,$BC1364=(Elig_MatchAll_Ct-1),AN1364=0),K1364,0)</f>
        <v>0</v>
      </c>
      <c r="BQ1364" s="991">
        <f>IF(AND(Input_Product=Elig!$C1364,Elig_MatchAll_Ct&lt;22,$BC1364=(Elig_MatchAll_Ct-1),AP1364=0),L1364,0)</f>
        <v>0</v>
      </c>
      <c r="BR1364" s="991">
        <f>IF(AND(Input_Product=Elig!$C1364,Elig_MatchAll_Ct&lt;22,$BC1364=(Elig_MatchAll_Ct-1),AO1364=0),M1364,0)</f>
        <v>0</v>
      </c>
      <c r="BS1364" s="991">
        <f>IF(AND(Input_Product=Elig!$C1364,Elig_MatchAll_Ct&lt;22,$BC1364=(Elig_MatchAll_Ct-1),AQ1364=0),N1364,0)</f>
        <v>0</v>
      </c>
      <c r="BT1364" s="991">
        <f>IF(AND(Input_Product=Elig!$C1364,Elig_MatchAll_Ct&lt;22,$BC1364=(Elig_MatchAll_Ct-1),AR1364=0),O1364,0)</f>
        <v>0</v>
      </c>
      <c r="BU1364" s="991">
        <f>IF(AND(Input_Product=Elig!$C1364,Elig_MatchAll_Ct&lt;22,$BC1364=(Elig_MatchAll_Ct-1),AS1364=0),P1364,0)</f>
        <v>0</v>
      </c>
      <c r="BV1364" s="992">
        <f>IF(AND(Input_Product=Elig!$C1364,Elig_MatchAll_Ct&lt;22,$BC1364=(Elig_MatchAll_Ct-1),AT1364=0),Q1364,0)</f>
        <v>0</v>
      </c>
      <c r="BW1364" s="993">
        <f>IF(AND(Input_Product=Elig!$C1364,Elig_MatchAll_Ct&lt;22,$BC1364=(Elig_MatchAll_Ct-1),AU1364=0),R1364,0)</f>
        <v>0</v>
      </c>
      <c r="BX1364" s="994">
        <f>IF(AND(Input_Product=Elig!$C1364,Elig_MatchAll_Ct&lt;22,$BC1364=(Elig_MatchAll_Ct-1),AU1364=0),S1364,0)</f>
        <v>0</v>
      </c>
      <c r="BY1364" s="993">
        <f>IF(AND(Input_Product=Elig!$C1364,Elig_MatchAll_Ct&lt;22,$BC1364=(Elig_MatchAll_Ct-1),AV1364=0),T1364,0)</f>
        <v>0</v>
      </c>
      <c r="BZ1364" s="994">
        <f>IF(AND(Input_Product=Elig!$C1364,Elig_MatchAll_Ct&lt;22,$BC1364=(Elig_MatchAll_Ct-1),AV1364=0),U1364,0)</f>
        <v>0</v>
      </c>
      <c r="CA1364" s="993">
        <f>IF(AND(Input_Product=Elig!$C1364,Elig_MatchAll_Ct&lt;22,$BC1364=(Elig_MatchAll_Ct-1),AW1364=0),V1364,0)</f>
        <v>0</v>
      </c>
      <c r="CB1364" s="994">
        <f>IF(AND(Input_Product=Elig!$C1364,Elig_MatchAll_Ct&lt;22,$BC1364=(Elig_MatchAll_Ct-1),AW1364=0),W1364,0)</f>
        <v>0</v>
      </c>
      <c r="CC1364" s="993">
        <f>IF(AND(Input_Product=Elig!$C1364,Elig_MatchAll_Ct&lt;22,$BC1364=(Elig_MatchAll_Ct-1),AX1364=0),X1364,0)</f>
        <v>0</v>
      </c>
      <c r="CD1364" s="994">
        <f>IF(AND(Input_Product=Elig!$C1364,Elig_MatchAll_Ct&lt;22,$BC1364=(Elig_MatchAll_Ct-1),AX1364=0),Y1364,0)</f>
        <v>0</v>
      </c>
      <c r="CE1364" s="993">
        <f>IF(AND(Input_LTV&lt;=AE1364,Input_Product=Elig!$C1364,Elig_MatchAll_Ct&lt;22,$BC1364=(Elig_MatchAll_Ct-1),AY1364=0),Z1364,0)</f>
        <v>0</v>
      </c>
      <c r="CF1364" s="994">
        <f>IF(AND(Input_LTV&lt;=AE1364,Input_Product=Elig!$C1364,Elig_MatchAll_Ct&lt;22,$BC1364=(Elig_MatchAll_Ct-1),AY1364=0),AA1364,0)</f>
        <v>0</v>
      </c>
      <c r="CG1364" s="993">
        <f>IF(AND(Input_Product=Elig!$C1364,Elig_MatchAll_Ct&lt;22,$BC1364=(Elig_MatchAll_Ct-1),AZ1364=0),AB1364,0)</f>
        <v>0</v>
      </c>
      <c r="CH1364" s="994">
        <f>IF(AND(Input_Product=Elig!$C1364,Elig_MatchAll_Ct&lt;22,$BC1364=(Elig_MatchAll_Ct-1),AZ1364=0),AC1364,0)</f>
        <v>0</v>
      </c>
      <c r="CI1364" s="993">
        <f>IF(AND(Input_Product=Elig!$C1364,Elig_MatchAll_Ct&lt;22,$BC1364=(Elig_MatchAll_Ct-1),BA1364=0),AD1364,0)</f>
        <v>0</v>
      </c>
      <c r="CJ1364" s="994">
        <f>IF(AND(Input_Product=Elig!$C1364,Elig_MatchAll_Ct&lt;22,$BC1364=(Elig_MatchAll_Ct-1),BA1364=0),AE1364,0)</f>
        <v>0</v>
      </c>
    </row>
    <row r="1365" spans="2:88" ht="10.15" customHeight="1" x14ac:dyDescent="0.25">
      <c r="B1365" s="1538" t="s">
        <v>3563</v>
      </c>
      <c r="C1365" s="1538" t="str">
        <f t="shared" si="486"/>
        <v xml:space="preserve">  NOO</v>
      </c>
      <c r="D1365" s="1538" t="s">
        <v>2764</v>
      </c>
      <c r="E1365" s="1538" t="s">
        <v>167</v>
      </c>
      <c r="F1365" s="1538" t="s">
        <v>2765</v>
      </c>
      <c r="G1365" s="1538" t="s">
        <v>2766</v>
      </c>
      <c r="H1365" s="1538" t="s">
        <v>2767</v>
      </c>
      <c r="I1365" s="1539" t="s">
        <v>34</v>
      </c>
      <c r="J1365" s="1539" t="s">
        <v>1311</v>
      </c>
      <c r="K1365" s="1539" t="s">
        <v>3023</v>
      </c>
      <c r="L1365" s="1538" t="s">
        <v>2768</v>
      </c>
      <c r="M1365" s="1538" t="s">
        <v>2677</v>
      </c>
      <c r="N1365" s="1538" t="s">
        <v>2685</v>
      </c>
      <c r="O1365" s="1538" t="s">
        <v>310</v>
      </c>
      <c r="P1365" s="1538" t="s">
        <v>291</v>
      </c>
      <c r="Q1365" s="1538" t="s">
        <v>294</v>
      </c>
      <c r="R1365" s="1538">
        <v>3500000.01</v>
      </c>
      <c r="S1365" s="1538">
        <v>4000000</v>
      </c>
      <c r="T1365" s="1538">
        <v>0</v>
      </c>
      <c r="U1365" s="1538">
        <v>0</v>
      </c>
      <c r="V1365" s="1538">
        <v>0</v>
      </c>
      <c r="W1365" s="1538">
        <v>55</v>
      </c>
      <c r="X1365" s="1538">
        <v>0</v>
      </c>
      <c r="Y1365" s="1538">
        <v>0</v>
      </c>
      <c r="Z1365" s="1540">
        <v>720</v>
      </c>
      <c r="AA1365" s="1540">
        <v>999</v>
      </c>
      <c r="AB1365" s="1540">
        <v>6</v>
      </c>
      <c r="AC1365" s="1540">
        <v>999999</v>
      </c>
      <c r="AD1365" s="1538">
        <v>0</v>
      </c>
      <c r="AE1365" s="1545">
        <v>70</v>
      </c>
      <c r="AF1365" s="170">
        <v>0</v>
      </c>
      <c r="AG1365" s="171">
        <v>1</v>
      </c>
      <c r="AH1365" s="171">
        <v>1</v>
      </c>
      <c r="AI1365" s="171">
        <v>1</v>
      </c>
      <c r="AJ1365" s="171">
        <v>1</v>
      </c>
      <c r="AK1365" s="171">
        <v>1</v>
      </c>
      <c r="AL1365" s="171">
        <v>0</v>
      </c>
      <c r="AM1365" s="171">
        <v>1</v>
      </c>
      <c r="AN1365" s="171">
        <v>1</v>
      </c>
      <c r="AO1365" s="171">
        <v>1</v>
      </c>
      <c r="AP1365" s="171">
        <v>1</v>
      </c>
      <c r="AQ1365" s="171">
        <v>1</v>
      </c>
      <c r="AR1365" s="171">
        <v>1</v>
      </c>
      <c r="AS1365" s="171">
        <v>1</v>
      </c>
      <c r="AT1365" s="171">
        <v>1</v>
      </c>
      <c r="AU1365" s="171">
        <f t="shared" si="474"/>
        <v>0</v>
      </c>
      <c r="AV1365" s="171">
        <f t="shared" si="475"/>
        <v>0</v>
      </c>
      <c r="AW1365" s="171">
        <f t="shared" si="476"/>
        <v>1</v>
      </c>
      <c r="AX1365" s="171">
        <f t="shared" si="485"/>
        <v>1</v>
      </c>
      <c r="AY1365" s="171">
        <f t="shared" si="477"/>
        <v>1</v>
      </c>
      <c r="AZ1365" s="171">
        <f t="shared" si="478"/>
        <v>1</v>
      </c>
      <c r="BA1365" s="172">
        <f t="shared" si="479"/>
        <v>1</v>
      </c>
      <c r="BB1365" s="175">
        <f t="shared" si="481"/>
        <v>18</v>
      </c>
      <c r="BC1365" s="176">
        <f t="shared" si="482"/>
        <v>17</v>
      </c>
      <c r="BD1365" s="176">
        <f t="shared" si="483"/>
        <v>18</v>
      </c>
      <c r="BE1365" s="240" t="str">
        <f t="shared" si="473"/>
        <v/>
      </c>
      <c r="BF1365" s="990"/>
      <c r="BG1365" s="990"/>
      <c r="BH1365" s="991">
        <f>IF(AND(Input_Product=Elig!$C1365,Elig_MatchAll_Ct&lt;22,$BC1365=(Elig_MatchAll_Ct-1),AF1365=0),C1365,0)</f>
        <v>0</v>
      </c>
      <c r="BI1365" s="991">
        <f>IF(AND(Input_Product=Elig!$C1365,Elig_MatchAll_Ct&lt;22,$BC1365=(Elig_MatchAll_Ct-1),AG1365=0),D1365,0)</f>
        <v>0</v>
      </c>
      <c r="BJ1365" s="991">
        <f>IF(AND(Input_Product=Elig!$C1365,Elig_MatchAll_Ct&lt;22,$BC1365=(Elig_MatchAll_Ct-1),AH1365=0),E1365,0)</f>
        <v>0</v>
      </c>
      <c r="BK1365" s="991">
        <f>IF(AND(Input_Product=Elig!$C1365,Elig_MatchAll_Ct&lt;22,$BC1365=(Elig_MatchAll_Ct-1),AI1365=0),F1365,0)</f>
        <v>0</v>
      </c>
      <c r="BL1365" s="991">
        <f>IF(AND(Input_Product=Elig!$C1365,Elig_MatchAll_Ct&lt;22,$BC1365=(Elig_MatchAll_Ct-1),AJ1365=0),G1365,0)</f>
        <v>0</v>
      </c>
      <c r="BM1365" s="991">
        <f>IF(AND(Input_Product=Elig!$C1365,Elig_MatchAll_Ct&lt;22,$BC1365=(Elig_MatchAll_Ct-1),AK1365=0),H1365,0)</f>
        <v>0</v>
      </c>
      <c r="BN1365" s="991">
        <f>IF(AND(Input_Product=Elig!$C1365,Elig_MatchAll_Ct&lt;22,$BC1365=(Elig_MatchAll_Ct-1),AL1365=0),I1365,0)</f>
        <v>0</v>
      </c>
      <c r="BO1365" s="991">
        <f>IF(AND(Input_Product=Elig!$C1365,Elig_MatchAll_Ct&lt;22,$BC1365=(Elig_MatchAll_Ct-1),AM1365=0),J1365,0)</f>
        <v>0</v>
      </c>
      <c r="BP1365" s="991">
        <f>IF(AND(Input_Product=Elig!$C1365,Elig_MatchAll_Ct&lt;22,$BC1365=(Elig_MatchAll_Ct-1),AN1365=0),K1365,0)</f>
        <v>0</v>
      </c>
      <c r="BQ1365" s="991">
        <f>IF(AND(Input_Product=Elig!$C1365,Elig_MatchAll_Ct&lt;22,$BC1365=(Elig_MatchAll_Ct-1),AP1365=0),L1365,0)</f>
        <v>0</v>
      </c>
      <c r="BR1365" s="991">
        <f>IF(AND(Input_Product=Elig!$C1365,Elig_MatchAll_Ct&lt;22,$BC1365=(Elig_MatchAll_Ct-1),AO1365=0),M1365,0)</f>
        <v>0</v>
      </c>
      <c r="BS1365" s="991">
        <f>IF(AND(Input_Product=Elig!$C1365,Elig_MatchAll_Ct&lt;22,$BC1365=(Elig_MatchAll_Ct-1),AQ1365=0),N1365,0)</f>
        <v>0</v>
      </c>
      <c r="BT1365" s="991">
        <f>IF(AND(Input_Product=Elig!$C1365,Elig_MatchAll_Ct&lt;22,$BC1365=(Elig_MatchAll_Ct-1),AR1365=0),O1365,0)</f>
        <v>0</v>
      </c>
      <c r="BU1365" s="991">
        <f>IF(AND(Input_Product=Elig!$C1365,Elig_MatchAll_Ct&lt;22,$BC1365=(Elig_MatchAll_Ct-1),AS1365=0),P1365,0)</f>
        <v>0</v>
      </c>
      <c r="BV1365" s="992">
        <f>IF(AND(Input_Product=Elig!$C1365,Elig_MatchAll_Ct&lt;22,$BC1365=(Elig_MatchAll_Ct-1),AT1365=0),Q1365,0)</f>
        <v>0</v>
      </c>
      <c r="BW1365" s="993">
        <f>IF(AND(Input_Product=Elig!$C1365,Elig_MatchAll_Ct&lt;22,$BC1365=(Elig_MatchAll_Ct-1),AU1365=0),R1365,0)</f>
        <v>0</v>
      </c>
      <c r="BX1365" s="994">
        <f>IF(AND(Input_Product=Elig!$C1365,Elig_MatchAll_Ct&lt;22,$BC1365=(Elig_MatchAll_Ct-1),AU1365=0),S1365,0)</f>
        <v>0</v>
      </c>
      <c r="BY1365" s="993">
        <f>IF(AND(Input_Product=Elig!$C1365,Elig_MatchAll_Ct&lt;22,$BC1365=(Elig_MatchAll_Ct-1),AV1365=0),T1365,0)</f>
        <v>0</v>
      </c>
      <c r="BZ1365" s="994">
        <f>IF(AND(Input_Product=Elig!$C1365,Elig_MatchAll_Ct&lt;22,$BC1365=(Elig_MatchAll_Ct-1),AV1365=0),U1365,0)</f>
        <v>0</v>
      </c>
      <c r="CA1365" s="993">
        <f>IF(AND(Input_Product=Elig!$C1365,Elig_MatchAll_Ct&lt;22,$BC1365=(Elig_MatchAll_Ct-1),AW1365=0),V1365,0)</f>
        <v>0</v>
      </c>
      <c r="CB1365" s="994">
        <f>IF(AND(Input_Product=Elig!$C1365,Elig_MatchAll_Ct&lt;22,$BC1365=(Elig_MatchAll_Ct-1),AW1365=0),W1365,0)</f>
        <v>0</v>
      </c>
      <c r="CC1365" s="993">
        <f>IF(AND(Input_Product=Elig!$C1365,Elig_MatchAll_Ct&lt;22,$BC1365=(Elig_MatchAll_Ct-1),AX1365=0),X1365,0)</f>
        <v>0</v>
      </c>
      <c r="CD1365" s="994">
        <f>IF(AND(Input_Product=Elig!$C1365,Elig_MatchAll_Ct&lt;22,$BC1365=(Elig_MatchAll_Ct-1),AX1365=0),Y1365,0)</f>
        <v>0</v>
      </c>
      <c r="CE1365" s="993">
        <f>IF(AND(Input_LTV&lt;=AE1365,Input_Product=Elig!$C1365,Elig_MatchAll_Ct&lt;22,$BC1365=(Elig_MatchAll_Ct-1),AY1365=0),Z1365,0)</f>
        <v>0</v>
      </c>
      <c r="CF1365" s="994">
        <f>IF(AND(Input_LTV&lt;=AE1365,Input_Product=Elig!$C1365,Elig_MatchAll_Ct&lt;22,$BC1365=(Elig_MatchAll_Ct-1),AY1365=0),AA1365,0)</f>
        <v>0</v>
      </c>
      <c r="CG1365" s="993">
        <f>IF(AND(Input_Product=Elig!$C1365,Elig_MatchAll_Ct&lt;22,$BC1365=(Elig_MatchAll_Ct-1),AZ1365=0),AB1365,0)</f>
        <v>0</v>
      </c>
      <c r="CH1365" s="994">
        <f>IF(AND(Input_Product=Elig!$C1365,Elig_MatchAll_Ct&lt;22,$BC1365=(Elig_MatchAll_Ct-1),AZ1365=0),AC1365,0)</f>
        <v>0</v>
      </c>
      <c r="CI1365" s="993">
        <f>IF(AND(Input_Product=Elig!$C1365,Elig_MatchAll_Ct&lt;22,$BC1365=(Elig_MatchAll_Ct-1),BA1365=0),AD1365,0)</f>
        <v>0</v>
      </c>
      <c r="CJ1365" s="994">
        <f>IF(AND(Input_Product=Elig!$C1365,Elig_MatchAll_Ct&lt;22,$BC1365=(Elig_MatchAll_Ct-1),BA1365=0),AE1365,0)</f>
        <v>0</v>
      </c>
    </row>
    <row r="1366" spans="2:88" ht="10.15" customHeight="1" x14ac:dyDescent="0.25">
      <c r="B1366" s="1538" t="s">
        <v>3564</v>
      </c>
      <c r="C1366" s="1538" t="str">
        <f t="shared" si="486"/>
        <v xml:space="preserve">  NOO</v>
      </c>
      <c r="D1366" s="1538" t="s">
        <v>2764</v>
      </c>
      <c r="E1366" s="1538" t="s">
        <v>167</v>
      </c>
      <c r="F1366" s="1538" t="s">
        <v>2765</v>
      </c>
      <c r="G1366" s="1538" t="s">
        <v>2766</v>
      </c>
      <c r="H1366" s="1538" t="s">
        <v>2767</v>
      </c>
      <c r="I1366" s="1539" t="s">
        <v>34</v>
      </c>
      <c r="J1366" s="1539" t="s">
        <v>1311</v>
      </c>
      <c r="K1366" s="1539" t="s">
        <v>3023</v>
      </c>
      <c r="L1366" s="1538" t="s">
        <v>2768</v>
      </c>
      <c r="M1366" s="1538" t="s">
        <v>2677</v>
      </c>
      <c r="N1366" s="1538" t="s">
        <v>2685</v>
      </c>
      <c r="O1366" s="1538" t="s">
        <v>310</v>
      </c>
      <c r="P1366" s="1538" t="s">
        <v>291</v>
      </c>
      <c r="Q1366" s="1538" t="s">
        <v>294</v>
      </c>
      <c r="R1366" s="1538">
        <v>150000</v>
      </c>
      <c r="S1366" s="1538">
        <v>1000000</v>
      </c>
      <c r="T1366" s="1538">
        <v>0</v>
      </c>
      <c r="U1366" s="1538">
        <v>0</v>
      </c>
      <c r="V1366" s="1538">
        <v>0</v>
      </c>
      <c r="W1366" s="1538">
        <v>55</v>
      </c>
      <c r="X1366" s="1538">
        <v>0</v>
      </c>
      <c r="Y1366" s="1538">
        <v>0</v>
      </c>
      <c r="Z1366" s="1540">
        <v>700</v>
      </c>
      <c r="AA1366" s="1540">
        <v>719</v>
      </c>
      <c r="AB1366" s="1540">
        <v>6</v>
      </c>
      <c r="AC1366" s="1540">
        <v>999999</v>
      </c>
      <c r="AD1366" s="1538">
        <v>0</v>
      </c>
      <c r="AE1366" s="1545">
        <v>90</v>
      </c>
      <c r="AF1366" s="170">
        <v>0</v>
      </c>
      <c r="AG1366" s="171">
        <v>1</v>
      </c>
      <c r="AH1366" s="171">
        <v>1</v>
      </c>
      <c r="AI1366" s="171">
        <v>1</v>
      </c>
      <c r="AJ1366" s="171">
        <v>1</v>
      </c>
      <c r="AK1366" s="171">
        <v>1</v>
      </c>
      <c r="AL1366" s="171">
        <v>0</v>
      </c>
      <c r="AM1366" s="171">
        <v>1</v>
      </c>
      <c r="AN1366" s="171">
        <v>1</v>
      </c>
      <c r="AO1366" s="171">
        <v>1</v>
      </c>
      <c r="AP1366" s="171">
        <v>1</v>
      </c>
      <c r="AQ1366" s="171">
        <v>1</v>
      </c>
      <c r="AR1366" s="171">
        <v>1</v>
      </c>
      <c r="AS1366" s="171">
        <v>1</v>
      </c>
      <c r="AT1366" s="171">
        <v>1</v>
      </c>
      <c r="AU1366" s="171">
        <f t="shared" si="474"/>
        <v>1</v>
      </c>
      <c r="AV1366" s="171">
        <f t="shared" si="475"/>
        <v>0</v>
      </c>
      <c r="AW1366" s="171">
        <f t="shared" si="476"/>
        <v>1</v>
      </c>
      <c r="AX1366" s="171">
        <f t="shared" si="485"/>
        <v>1</v>
      </c>
      <c r="AY1366" s="171">
        <f t="shared" si="477"/>
        <v>0</v>
      </c>
      <c r="AZ1366" s="171">
        <f t="shared" si="478"/>
        <v>1</v>
      </c>
      <c r="BA1366" s="172">
        <f t="shared" si="479"/>
        <v>1</v>
      </c>
      <c r="BB1366" s="175">
        <f t="shared" si="481"/>
        <v>18</v>
      </c>
      <c r="BC1366" s="176">
        <f t="shared" si="482"/>
        <v>17</v>
      </c>
      <c r="BD1366" s="176">
        <f t="shared" si="483"/>
        <v>18</v>
      </c>
      <c r="BE1366" s="240" t="str">
        <f t="shared" si="473"/>
        <v/>
      </c>
      <c r="BF1366" s="990"/>
      <c r="BG1366" s="990"/>
      <c r="BH1366" s="991">
        <f>IF(AND(Input_Product=Elig!$C1366,Elig_MatchAll_Ct&lt;22,$BC1366=(Elig_MatchAll_Ct-1),AF1366=0),C1366,0)</f>
        <v>0</v>
      </c>
      <c r="BI1366" s="991">
        <f>IF(AND(Input_Product=Elig!$C1366,Elig_MatchAll_Ct&lt;22,$BC1366=(Elig_MatchAll_Ct-1),AG1366=0),D1366,0)</f>
        <v>0</v>
      </c>
      <c r="BJ1366" s="991">
        <f>IF(AND(Input_Product=Elig!$C1366,Elig_MatchAll_Ct&lt;22,$BC1366=(Elig_MatchAll_Ct-1),AH1366=0),E1366,0)</f>
        <v>0</v>
      </c>
      <c r="BK1366" s="991">
        <f>IF(AND(Input_Product=Elig!$C1366,Elig_MatchAll_Ct&lt;22,$BC1366=(Elig_MatchAll_Ct-1),AI1366=0),F1366,0)</f>
        <v>0</v>
      </c>
      <c r="BL1366" s="991">
        <f>IF(AND(Input_Product=Elig!$C1366,Elig_MatchAll_Ct&lt;22,$BC1366=(Elig_MatchAll_Ct-1),AJ1366=0),G1366,0)</f>
        <v>0</v>
      </c>
      <c r="BM1366" s="991">
        <f>IF(AND(Input_Product=Elig!$C1366,Elig_MatchAll_Ct&lt;22,$BC1366=(Elig_MatchAll_Ct-1),AK1366=0),H1366,0)</f>
        <v>0</v>
      </c>
      <c r="BN1366" s="991">
        <f>IF(AND(Input_Product=Elig!$C1366,Elig_MatchAll_Ct&lt;22,$BC1366=(Elig_MatchAll_Ct-1),AL1366=0),I1366,0)</f>
        <v>0</v>
      </c>
      <c r="BO1366" s="991">
        <f>IF(AND(Input_Product=Elig!$C1366,Elig_MatchAll_Ct&lt;22,$BC1366=(Elig_MatchAll_Ct-1),AM1366=0),J1366,0)</f>
        <v>0</v>
      </c>
      <c r="BP1366" s="991">
        <f>IF(AND(Input_Product=Elig!$C1366,Elig_MatchAll_Ct&lt;22,$BC1366=(Elig_MatchAll_Ct-1),AN1366=0),K1366,0)</f>
        <v>0</v>
      </c>
      <c r="BQ1366" s="991">
        <f>IF(AND(Input_Product=Elig!$C1366,Elig_MatchAll_Ct&lt;22,$BC1366=(Elig_MatchAll_Ct-1),AP1366=0),L1366,0)</f>
        <v>0</v>
      </c>
      <c r="BR1366" s="991">
        <f>IF(AND(Input_Product=Elig!$C1366,Elig_MatchAll_Ct&lt;22,$BC1366=(Elig_MatchAll_Ct-1),AO1366=0),M1366,0)</f>
        <v>0</v>
      </c>
      <c r="BS1366" s="991">
        <f>IF(AND(Input_Product=Elig!$C1366,Elig_MatchAll_Ct&lt;22,$BC1366=(Elig_MatchAll_Ct-1),AQ1366=0),N1366,0)</f>
        <v>0</v>
      </c>
      <c r="BT1366" s="991">
        <f>IF(AND(Input_Product=Elig!$C1366,Elig_MatchAll_Ct&lt;22,$BC1366=(Elig_MatchAll_Ct-1),AR1366=0),O1366,0)</f>
        <v>0</v>
      </c>
      <c r="BU1366" s="991">
        <f>IF(AND(Input_Product=Elig!$C1366,Elig_MatchAll_Ct&lt;22,$BC1366=(Elig_MatchAll_Ct-1),AS1366=0),P1366,0)</f>
        <v>0</v>
      </c>
      <c r="BV1366" s="992">
        <f>IF(AND(Input_Product=Elig!$C1366,Elig_MatchAll_Ct&lt;22,$BC1366=(Elig_MatchAll_Ct-1),AT1366=0),Q1366,0)</f>
        <v>0</v>
      </c>
      <c r="BW1366" s="993">
        <f>IF(AND(Input_Product=Elig!$C1366,Elig_MatchAll_Ct&lt;22,$BC1366=(Elig_MatchAll_Ct-1),AU1366=0),R1366,0)</f>
        <v>0</v>
      </c>
      <c r="BX1366" s="994">
        <f>IF(AND(Input_Product=Elig!$C1366,Elig_MatchAll_Ct&lt;22,$BC1366=(Elig_MatchAll_Ct-1),AU1366=0),S1366,0)</f>
        <v>0</v>
      </c>
      <c r="BY1366" s="993">
        <f>IF(AND(Input_Product=Elig!$C1366,Elig_MatchAll_Ct&lt;22,$BC1366=(Elig_MatchAll_Ct-1),AV1366=0),T1366,0)</f>
        <v>0</v>
      </c>
      <c r="BZ1366" s="994">
        <f>IF(AND(Input_Product=Elig!$C1366,Elig_MatchAll_Ct&lt;22,$BC1366=(Elig_MatchAll_Ct-1),AV1366=0),U1366,0)</f>
        <v>0</v>
      </c>
      <c r="CA1366" s="993">
        <f>IF(AND(Input_Product=Elig!$C1366,Elig_MatchAll_Ct&lt;22,$BC1366=(Elig_MatchAll_Ct-1),AW1366=0),V1366,0)</f>
        <v>0</v>
      </c>
      <c r="CB1366" s="994">
        <f>IF(AND(Input_Product=Elig!$C1366,Elig_MatchAll_Ct&lt;22,$BC1366=(Elig_MatchAll_Ct-1),AW1366=0),W1366,0)</f>
        <v>0</v>
      </c>
      <c r="CC1366" s="993">
        <f>IF(AND(Input_Product=Elig!$C1366,Elig_MatchAll_Ct&lt;22,$BC1366=(Elig_MatchAll_Ct-1),AX1366=0),X1366,0)</f>
        <v>0</v>
      </c>
      <c r="CD1366" s="994">
        <f>IF(AND(Input_Product=Elig!$C1366,Elig_MatchAll_Ct&lt;22,$BC1366=(Elig_MatchAll_Ct-1),AX1366=0),Y1366,0)</f>
        <v>0</v>
      </c>
      <c r="CE1366" s="993">
        <f>IF(AND(Input_LTV&lt;=AE1366,Input_Product=Elig!$C1366,Elig_MatchAll_Ct&lt;22,$BC1366=(Elig_MatchAll_Ct-1),AY1366=0),Z1366,0)</f>
        <v>0</v>
      </c>
      <c r="CF1366" s="994">
        <f>IF(AND(Input_LTV&lt;=AE1366,Input_Product=Elig!$C1366,Elig_MatchAll_Ct&lt;22,$BC1366=(Elig_MatchAll_Ct-1),AY1366=0),AA1366,0)</f>
        <v>0</v>
      </c>
      <c r="CG1366" s="993">
        <f>IF(AND(Input_Product=Elig!$C1366,Elig_MatchAll_Ct&lt;22,$BC1366=(Elig_MatchAll_Ct-1),AZ1366=0),AB1366,0)</f>
        <v>0</v>
      </c>
      <c r="CH1366" s="994">
        <f>IF(AND(Input_Product=Elig!$C1366,Elig_MatchAll_Ct&lt;22,$BC1366=(Elig_MatchAll_Ct-1),AZ1366=0),AC1366,0)</f>
        <v>0</v>
      </c>
      <c r="CI1366" s="993">
        <f>IF(AND(Input_Product=Elig!$C1366,Elig_MatchAll_Ct&lt;22,$BC1366=(Elig_MatchAll_Ct-1),BA1366=0),AD1366,0)</f>
        <v>0</v>
      </c>
      <c r="CJ1366" s="994">
        <f>IF(AND(Input_Product=Elig!$C1366,Elig_MatchAll_Ct&lt;22,$BC1366=(Elig_MatchAll_Ct-1),BA1366=0),AE1366,0)</f>
        <v>0</v>
      </c>
    </row>
    <row r="1367" spans="2:88" ht="10.15" customHeight="1" x14ac:dyDescent="0.25">
      <c r="B1367" s="1538" t="s">
        <v>3565</v>
      </c>
      <c r="C1367" s="1538" t="str">
        <f t="shared" si="486"/>
        <v xml:space="preserve">  NOO</v>
      </c>
      <c r="D1367" s="1538" t="s">
        <v>2764</v>
      </c>
      <c r="E1367" s="1538" t="s">
        <v>167</v>
      </c>
      <c r="F1367" s="1538" t="s">
        <v>2765</v>
      </c>
      <c r="G1367" s="1538" t="s">
        <v>2766</v>
      </c>
      <c r="H1367" s="1538" t="s">
        <v>2767</v>
      </c>
      <c r="I1367" s="1539" t="s">
        <v>34</v>
      </c>
      <c r="J1367" s="1539" t="s">
        <v>1311</v>
      </c>
      <c r="K1367" s="1539" t="s">
        <v>3023</v>
      </c>
      <c r="L1367" s="1538" t="s">
        <v>2768</v>
      </c>
      <c r="M1367" s="1538" t="s">
        <v>2677</v>
      </c>
      <c r="N1367" s="1538" t="s">
        <v>2685</v>
      </c>
      <c r="O1367" s="1538" t="s">
        <v>310</v>
      </c>
      <c r="P1367" s="1538" t="s">
        <v>291</v>
      </c>
      <c r="Q1367" s="1538" t="s">
        <v>294</v>
      </c>
      <c r="R1367" s="1538">
        <v>1000000.01</v>
      </c>
      <c r="S1367" s="1538">
        <v>1500000</v>
      </c>
      <c r="T1367" s="1538">
        <v>0</v>
      </c>
      <c r="U1367" s="1538">
        <v>0</v>
      </c>
      <c r="V1367" s="1538">
        <v>0</v>
      </c>
      <c r="W1367" s="1538">
        <v>55</v>
      </c>
      <c r="X1367" s="1538">
        <v>0</v>
      </c>
      <c r="Y1367" s="1538">
        <v>0</v>
      </c>
      <c r="Z1367" s="1540">
        <v>700</v>
      </c>
      <c r="AA1367" s="1540">
        <v>719</v>
      </c>
      <c r="AB1367" s="1540">
        <v>6</v>
      </c>
      <c r="AC1367" s="1540">
        <v>999999</v>
      </c>
      <c r="AD1367" s="1538">
        <v>0</v>
      </c>
      <c r="AE1367" s="1545">
        <v>90</v>
      </c>
      <c r="AF1367" s="170">
        <v>0</v>
      </c>
      <c r="AG1367" s="171">
        <v>1</v>
      </c>
      <c r="AH1367" s="171">
        <v>1</v>
      </c>
      <c r="AI1367" s="171">
        <v>1</v>
      </c>
      <c r="AJ1367" s="171">
        <v>1</v>
      </c>
      <c r="AK1367" s="171">
        <v>1</v>
      </c>
      <c r="AL1367" s="171">
        <v>0</v>
      </c>
      <c r="AM1367" s="171">
        <v>1</v>
      </c>
      <c r="AN1367" s="171">
        <v>1</v>
      </c>
      <c r="AO1367" s="171">
        <v>1</v>
      </c>
      <c r="AP1367" s="171">
        <v>1</v>
      </c>
      <c r="AQ1367" s="171">
        <v>1</v>
      </c>
      <c r="AR1367" s="171">
        <v>1</v>
      </c>
      <c r="AS1367" s="171">
        <v>1</v>
      </c>
      <c r="AT1367" s="171">
        <v>1</v>
      </c>
      <c r="AU1367" s="171">
        <f t="shared" si="474"/>
        <v>0</v>
      </c>
      <c r="AV1367" s="171">
        <f t="shared" si="475"/>
        <v>0</v>
      </c>
      <c r="AW1367" s="171">
        <f t="shared" si="476"/>
        <v>1</v>
      </c>
      <c r="AX1367" s="171">
        <f t="shared" si="485"/>
        <v>1</v>
      </c>
      <c r="AY1367" s="171">
        <f t="shared" si="477"/>
        <v>0</v>
      </c>
      <c r="AZ1367" s="171">
        <f t="shared" si="478"/>
        <v>1</v>
      </c>
      <c r="BA1367" s="172">
        <f t="shared" si="479"/>
        <v>1</v>
      </c>
      <c r="BB1367" s="175">
        <f t="shared" si="481"/>
        <v>17</v>
      </c>
      <c r="BC1367" s="176">
        <f t="shared" si="482"/>
        <v>16</v>
      </c>
      <c r="BD1367" s="176">
        <f t="shared" si="483"/>
        <v>17</v>
      </c>
      <c r="BE1367" s="240" t="str">
        <f t="shared" si="473"/>
        <v/>
      </c>
      <c r="BF1367" s="990"/>
      <c r="BG1367" s="990"/>
      <c r="BH1367" s="991">
        <f>IF(AND(Input_Product=Elig!$C1367,Elig_MatchAll_Ct&lt;22,$BC1367=(Elig_MatchAll_Ct-1),AF1367=0),C1367,0)</f>
        <v>0</v>
      </c>
      <c r="BI1367" s="991">
        <f>IF(AND(Input_Product=Elig!$C1367,Elig_MatchAll_Ct&lt;22,$BC1367=(Elig_MatchAll_Ct-1),AG1367=0),D1367,0)</f>
        <v>0</v>
      </c>
      <c r="BJ1367" s="991">
        <f>IF(AND(Input_Product=Elig!$C1367,Elig_MatchAll_Ct&lt;22,$BC1367=(Elig_MatchAll_Ct-1),AH1367=0),E1367,0)</f>
        <v>0</v>
      </c>
      <c r="BK1367" s="991">
        <f>IF(AND(Input_Product=Elig!$C1367,Elig_MatchAll_Ct&lt;22,$BC1367=(Elig_MatchAll_Ct-1),AI1367=0),F1367,0)</f>
        <v>0</v>
      </c>
      <c r="BL1367" s="991">
        <f>IF(AND(Input_Product=Elig!$C1367,Elig_MatchAll_Ct&lt;22,$BC1367=(Elig_MatchAll_Ct-1),AJ1367=0),G1367,0)</f>
        <v>0</v>
      </c>
      <c r="BM1367" s="991">
        <f>IF(AND(Input_Product=Elig!$C1367,Elig_MatchAll_Ct&lt;22,$BC1367=(Elig_MatchAll_Ct-1),AK1367=0),H1367,0)</f>
        <v>0</v>
      </c>
      <c r="BN1367" s="991">
        <f>IF(AND(Input_Product=Elig!$C1367,Elig_MatchAll_Ct&lt;22,$BC1367=(Elig_MatchAll_Ct-1),AL1367=0),I1367,0)</f>
        <v>0</v>
      </c>
      <c r="BO1367" s="991">
        <f>IF(AND(Input_Product=Elig!$C1367,Elig_MatchAll_Ct&lt;22,$BC1367=(Elig_MatchAll_Ct-1),AM1367=0),J1367,0)</f>
        <v>0</v>
      </c>
      <c r="BP1367" s="991">
        <f>IF(AND(Input_Product=Elig!$C1367,Elig_MatchAll_Ct&lt;22,$BC1367=(Elig_MatchAll_Ct-1),AN1367=0),K1367,0)</f>
        <v>0</v>
      </c>
      <c r="BQ1367" s="991">
        <f>IF(AND(Input_Product=Elig!$C1367,Elig_MatchAll_Ct&lt;22,$BC1367=(Elig_MatchAll_Ct-1),AP1367=0),L1367,0)</f>
        <v>0</v>
      </c>
      <c r="BR1367" s="991">
        <f>IF(AND(Input_Product=Elig!$C1367,Elig_MatchAll_Ct&lt;22,$BC1367=(Elig_MatchAll_Ct-1),AO1367=0),M1367,0)</f>
        <v>0</v>
      </c>
      <c r="BS1367" s="991">
        <f>IF(AND(Input_Product=Elig!$C1367,Elig_MatchAll_Ct&lt;22,$BC1367=(Elig_MatchAll_Ct-1),AQ1367=0),N1367,0)</f>
        <v>0</v>
      </c>
      <c r="BT1367" s="991">
        <f>IF(AND(Input_Product=Elig!$C1367,Elig_MatchAll_Ct&lt;22,$BC1367=(Elig_MatchAll_Ct-1),AR1367=0),O1367,0)</f>
        <v>0</v>
      </c>
      <c r="BU1367" s="991">
        <f>IF(AND(Input_Product=Elig!$C1367,Elig_MatchAll_Ct&lt;22,$BC1367=(Elig_MatchAll_Ct-1),AS1367=0),P1367,0)</f>
        <v>0</v>
      </c>
      <c r="BV1367" s="992">
        <f>IF(AND(Input_Product=Elig!$C1367,Elig_MatchAll_Ct&lt;22,$BC1367=(Elig_MatchAll_Ct-1),AT1367=0),Q1367,0)</f>
        <v>0</v>
      </c>
      <c r="BW1367" s="993">
        <f>IF(AND(Input_Product=Elig!$C1367,Elig_MatchAll_Ct&lt;22,$BC1367=(Elig_MatchAll_Ct-1),AU1367=0),R1367,0)</f>
        <v>0</v>
      </c>
      <c r="BX1367" s="994">
        <f>IF(AND(Input_Product=Elig!$C1367,Elig_MatchAll_Ct&lt;22,$BC1367=(Elig_MatchAll_Ct-1),AU1367=0),S1367,0)</f>
        <v>0</v>
      </c>
      <c r="BY1367" s="993">
        <f>IF(AND(Input_Product=Elig!$C1367,Elig_MatchAll_Ct&lt;22,$BC1367=(Elig_MatchAll_Ct-1),AV1367=0),T1367,0)</f>
        <v>0</v>
      </c>
      <c r="BZ1367" s="994">
        <f>IF(AND(Input_Product=Elig!$C1367,Elig_MatchAll_Ct&lt;22,$BC1367=(Elig_MatchAll_Ct-1),AV1367=0),U1367,0)</f>
        <v>0</v>
      </c>
      <c r="CA1367" s="993">
        <f>IF(AND(Input_Product=Elig!$C1367,Elig_MatchAll_Ct&lt;22,$BC1367=(Elig_MatchAll_Ct-1),AW1367=0),V1367,0)</f>
        <v>0</v>
      </c>
      <c r="CB1367" s="994">
        <f>IF(AND(Input_Product=Elig!$C1367,Elig_MatchAll_Ct&lt;22,$BC1367=(Elig_MatchAll_Ct-1),AW1367=0),W1367,0)</f>
        <v>0</v>
      </c>
      <c r="CC1367" s="993">
        <f>IF(AND(Input_Product=Elig!$C1367,Elig_MatchAll_Ct&lt;22,$BC1367=(Elig_MatchAll_Ct-1),AX1367=0),X1367,0)</f>
        <v>0</v>
      </c>
      <c r="CD1367" s="994">
        <f>IF(AND(Input_Product=Elig!$C1367,Elig_MatchAll_Ct&lt;22,$BC1367=(Elig_MatchAll_Ct-1),AX1367=0),Y1367,0)</f>
        <v>0</v>
      </c>
      <c r="CE1367" s="993">
        <f>IF(AND(Input_LTV&lt;=AE1367,Input_Product=Elig!$C1367,Elig_MatchAll_Ct&lt;22,$BC1367=(Elig_MatchAll_Ct-1),AY1367=0),Z1367,0)</f>
        <v>0</v>
      </c>
      <c r="CF1367" s="994">
        <f>IF(AND(Input_LTV&lt;=AE1367,Input_Product=Elig!$C1367,Elig_MatchAll_Ct&lt;22,$BC1367=(Elig_MatchAll_Ct-1),AY1367=0),AA1367,0)</f>
        <v>0</v>
      </c>
      <c r="CG1367" s="993">
        <f>IF(AND(Input_Product=Elig!$C1367,Elig_MatchAll_Ct&lt;22,$BC1367=(Elig_MatchAll_Ct-1),AZ1367=0),AB1367,0)</f>
        <v>0</v>
      </c>
      <c r="CH1367" s="994">
        <f>IF(AND(Input_Product=Elig!$C1367,Elig_MatchAll_Ct&lt;22,$BC1367=(Elig_MatchAll_Ct-1),AZ1367=0),AC1367,0)</f>
        <v>0</v>
      </c>
      <c r="CI1367" s="993">
        <f>IF(AND(Input_Product=Elig!$C1367,Elig_MatchAll_Ct&lt;22,$BC1367=(Elig_MatchAll_Ct-1),BA1367=0),AD1367,0)</f>
        <v>0</v>
      </c>
      <c r="CJ1367" s="994">
        <f>IF(AND(Input_Product=Elig!$C1367,Elig_MatchAll_Ct&lt;22,$BC1367=(Elig_MatchAll_Ct-1),BA1367=0),AE1367,0)</f>
        <v>0</v>
      </c>
    </row>
    <row r="1368" spans="2:88" ht="10.15" customHeight="1" x14ac:dyDescent="0.25">
      <c r="B1368" s="1538" t="s">
        <v>3566</v>
      </c>
      <c r="C1368" s="1538" t="str">
        <f t="shared" si="486"/>
        <v xml:space="preserve">  NOO</v>
      </c>
      <c r="D1368" s="1538" t="s">
        <v>2764</v>
      </c>
      <c r="E1368" s="1538" t="s">
        <v>167</v>
      </c>
      <c r="F1368" s="1538" t="s">
        <v>2765</v>
      </c>
      <c r="G1368" s="1538" t="s">
        <v>2766</v>
      </c>
      <c r="H1368" s="1538" t="s">
        <v>2767</v>
      </c>
      <c r="I1368" s="1539" t="s">
        <v>34</v>
      </c>
      <c r="J1368" s="1539" t="s">
        <v>1311</v>
      </c>
      <c r="K1368" s="1539" t="s">
        <v>3023</v>
      </c>
      <c r="L1368" s="1538" t="s">
        <v>2768</v>
      </c>
      <c r="M1368" s="1538" t="s">
        <v>2677</v>
      </c>
      <c r="N1368" s="1538" t="s">
        <v>2685</v>
      </c>
      <c r="O1368" s="1538" t="s">
        <v>310</v>
      </c>
      <c r="P1368" s="1538" t="s">
        <v>291</v>
      </c>
      <c r="Q1368" s="1538" t="s">
        <v>294</v>
      </c>
      <c r="R1368" s="1538">
        <v>1500000.01</v>
      </c>
      <c r="S1368" s="1538">
        <v>2000000</v>
      </c>
      <c r="T1368" s="1538">
        <v>0</v>
      </c>
      <c r="U1368" s="1538">
        <v>0</v>
      </c>
      <c r="V1368" s="1538">
        <v>0</v>
      </c>
      <c r="W1368" s="1538">
        <v>55</v>
      </c>
      <c r="X1368" s="1538">
        <v>0</v>
      </c>
      <c r="Y1368" s="1538">
        <v>0</v>
      </c>
      <c r="Z1368" s="1540">
        <v>700</v>
      </c>
      <c r="AA1368" s="1540">
        <v>719</v>
      </c>
      <c r="AB1368" s="1540">
        <v>6</v>
      </c>
      <c r="AC1368" s="1540">
        <v>999999</v>
      </c>
      <c r="AD1368" s="1538">
        <v>0</v>
      </c>
      <c r="AE1368" s="1545">
        <v>85</v>
      </c>
      <c r="AF1368" s="170">
        <v>0</v>
      </c>
      <c r="AG1368" s="171">
        <v>1</v>
      </c>
      <c r="AH1368" s="171">
        <v>1</v>
      </c>
      <c r="AI1368" s="171">
        <v>1</v>
      </c>
      <c r="AJ1368" s="171">
        <v>1</v>
      </c>
      <c r="AK1368" s="171">
        <v>1</v>
      </c>
      <c r="AL1368" s="171">
        <v>0</v>
      </c>
      <c r="AM1368" s="171">
        <v>1</v>
      </c>
      <c r="AN1368" s="171">
        <v>1</v>
      </c>
      <c r="AO1368" s="171">
        <v>1</v>
      </c>
      <c r="AP1368" s="171">
        <v>1</v>
      </c>
      <c r="AQ1368" s="171">
        <v>1</v>
      </c>
      <c r="AR1368" s="171">
        <v>1</v>
      </c>
      <c r="AS1368" s="171">
        <v>1</v>
      </c>
      <c r="AT1368" s="171">
        <v>1</v>
      </c>
      <c r="AU1368" s="171">
        <f t="shared" si="474"/>
        <v>0</v>
      </c>
      <c r="AV1368" s="171">
        <f t="shared" si="475"/>
        <v>0</v>
      </c>
      <c r="AW1368" s="171">
        <f t="shared" si="476"/>
        <v>1</v>
      </c>
      <c r="AX1368" s="171">
        <f t="shared" si="485"/>
        <v>1</v>
      </c>
      <c r="AY1368" s="171">
        <f t="shared" si="477"/>
        <v>0</v>
      </c>
      <c r="AZ1368" s="171">
        <f t="shared" si="478"/>
        <v>1</v>
      </c>
      <c r="BA1368" s="172">
        <f t="shared" si="479"/>
        <v>1</v>
      </c>
      <c r="BB1368" s="175">
        <f t="shared" si="481"/>
        <v>17</v>
      </c>
      <c r="BC1368" s="176">
        <f t="shared" si="482"/>
        <v>16</v>
      </c>
      <c r="BD1368" s="176">
        <f t="shared" si="483"/>
        <v>17</v>
      </c>
      <c r="BE1368" s="240" t="str">
        <f t="shared" si="473"/>
        <v/>
      </c>
      <c r="BF1368" s="990"/>
      <c r="BG1368" s="990"/>
      <c r="BH1368" s="991">
        <f>IF(AND(Input_Product=Elig!$C1368,Elig_MatchAll_Ct&lt;22,$BC1368=(Elig_MatchAll_Ct-1),AF1368=0),C1368,0)</f>
        <v>0</v>
      </c>
      <c r="BI1368" s="991">
        <f>IF(AND(Input_Product=Elig!$C1368,Elig_MatchAll_Ct&lt;22,$BC1368=(Elig_MatchAll_Ct-1),AG1368=0),D1368,0)</f>
        <v>0</v>
      </c>
      <c r="BJ1368" s="991">
        <f>IF(AND(Input_Product=Elig!$C1368,Elig_MatchAll_Ct&lt;22,$BC1368=(Elig_MatchAll_Ct-1),AH1368=0),E1368,0)</f>
        <v>0</v>
      </c>
      <c r="BK1368" s="991">
        <f>IF(AND(Input_Product=Elig!$C1368,Elig_MatchAll_Ct&lt;22,$BC1368=(Elig_MatchAll_Ct-1),AI1368=0),F1368,0)</f>
        <v>0</v>
      </c>
      <c r="BL1368" s="991">
        <f>IF(AND(Input_Product=Elig!$C1368,Elig_MatchAll_Ct&lt;22,$BC1368=(Elig_MatchAll_Ct-1),AJ1368=0),G1368,0)</f>
        <v>0</v>
      </c>
      <c r="BM1368" s="991">
        <f>IF(AND(Input_Product=Elig!$C1368,Elig_MatchAll_Ct&lt;22,$BC1368=(Elig_MatchAll_Ct-1),AK1368=0),H1368,0)</f>
        <v>0</v>
      </c>
      <c r="BN1368" s="991">
        <f>IF(AND(Input_Product=Elig!$C1368,Elig_MatchAll_Ct&lt;22,$BC1368=(Elig_MatchAll_Ct-1),AL1368=0),I1368,0)</f>
        <v>0</v>
      </c>
      <c r="BO1368" s="991">
        <f>IF(AND(Input_Product=Elig!$C1368,Elig_MatchAll_Ct&lt;22,$BC1368=(Elig_MatchAll_Ct-1),AM1368=0),J1368,0)</f>
        <v>0</v>
      </c>
      <c r="BP1368" s="991">
        <f>IF(AND(Input_Product=Elig!$C1368,Elig_MatchAll_Ct&lt;22,$BC1368=(Elig_MatchAll_Ct-1),AN1368=0),K1368,0)</f>
        <v>0</v>
      </c>
      <c r="BQ1368" s="991">
        <f>IF(AND(Input_Product=Elig!$C1368,Elig_MatchAll_Ct&lt;22,$BC1368=(Elig_MatchAll_Ct-1),AP1368=0),L1368,0)</f>
        <v>0</v>
      </c>
      <c r="BR1368" s="991">
        <f>IF(AND(Input_Product=Elig!$C1368,Elig_MatchAll_Ct&lt;22,$BC1368=(Elig_MatchAll_Ct-1),AO1368=0),M1368,0)</f>
        <v>0</v>
      </c>
      <c r="BS1368" s="991">
        <f>IF(AND(Input_Product=Elig!$C1368,Elig_MatchAll_Ct&lt;22,$BC1368=(Elig_MatchAll_Ct-1),AQ1368=0),N1368,0)</f>
        <v>0</v>
      </c>
      <c r="BT1368" s="991">
        <f>IF(AND(Input_Product=Elig!$C1368,Elig_MatchAll_Ct&lt;22,$BC1368=(Elig_MatchAll_Ct-1),AR1368=0),O1368,0)</f>
        <v>0</v>
      </c>
      <c r="BU1368" s="991">
        <f>IF(AND(Input_Product=Elig!$C1368,Elig_MatchAll_Ct&lt;22,$BC1368=(Elig_MatchAll_Ct-1),AS1368=0),P1368,0)</f>
        <v>0</v>
      </c>
      <c r="BV1368" s="992">
        <f>IF(AND(Input_Product=Elig!$C1368,Elig_MatchAll_Ct&lt;22,$BC1368=(Elig_MatchAll_Ct-1),AT1368=0),Q1368,0)</f>
        <v>0</v>
      </c>
      <c r="BW1368" s="993">
        <f>IF(AND(Input_Product=Elig!$C1368,Elig_MatchAll_Ct&lt;22,$BC1368=(Elig_MatchAll_Ct-1),AU1368=0),R1368,0)</f>
        <v>0</v>
      </c>
      <c r="BX1368" s="994">
        <f>IF(AND(Input_Product=Elig!$C1368,Elig_MatchAll_Ct&lt;22,$BC1368=(Elig_MatchAll_Ct-1),AU1368=0),S1368,0)</f>
        <v>0</v>
      </c>
      <c r="BY1368" s="993">
        <f>IF(AND(Input_Product=Elig!$C1368,Elig_MatchAll_Ct&lt;22,$BC1368=(Elig_MatchAll_Ct-1),AV1368=0),T1368,0)</f>
        <v>0</v>
      </c>
      <c r="BZ1368" s="994">
        <f>IF(AND(Input_Product=Elig!$C1368,Elig_MatchAll_Ct&lt;22,$BC1368=(Elig_MatchAll_Ct-1),AV1368=0),U1368,0)</f>
        <v>0</v>
      </c>
      <c r="CA1368" s="993">
        <f>IF(AND(Input_Product=Elig!$C1368,Elig_MatchAll_Ct&lt;22,$BC1368=(Elig_MatchAll_Ct-1),AW1368=0),V1368,0)</f>
        <v>0</v>
      </c>
      <c r="CB1368" s="994">
        <f>IF(AND(Input_Product=Elig!$C1368,Elig_MatchAll_Ct&lt;22,$BC1368=(Elig_MatchAll_Ct-1),AW1368=0),W1368,0)</f>
        <v>0</v>
      </c>
      <c r="CC1368" s="993">
        <f>IF(AND(Input_Product=Elig!$C1368,Elig_MatchAll_Ct&lt;22,$BC1368=(Elig_MatchAll_Ct-1),AX1368=0),X1368,0)</f>
        <v>0</v>
      </c>
      <c r="CD1368" s="994">
        <f>IF(AND(Input_Product=Elig!$C1368,Elig_MatchAll_Ct&lt;22,$BC1368=(Elig_MatchAll_Ct-1),AX1368=0),Y1368,0)</f>
        <v>0</v>
      </c>
      <c r="CE1368" s="993">
        <f>IF(AND(Input_LTV&lt;=AE1368,Input_Product=Elig!$C1368,Elig_MatchAll_Ct&lt;22,$BC1368=(Elig_MatchAll_Ct-1),AY1368=0),Z1368,0)</f>
        <v>0</v>
      </c>
      <c r="CF1368" s="994">
        <f>IF(AND(Input_LTV&lt;=AE1368,Input_Product=Elig!$C1368,Elig_MatchAll_Ct&lt;22,$BC1368=(Elig_MatchAll_Ct-1),AY1368=0),AA1368,0)</f>
        <v>0</v>
      </c>
      <c r="CG1368" s="993">
        <f>IF(AND(Input_Product=Elig!$C1368,Elig_MatchAll_Ct&lt;22,$BC1368=(Elig_MatchAll_Ct-1),AZ1368=0),AB1368,0)</f>
        <v>0</v>
      </c>
      <c r="CH1368" s="994">
        <f>IF(AND(Input_Product=Elig!$C1368,Elig_MatchAll_Ct&lt;22,$BC1368=(Elig_MatchAll_Ct-1),AZ1368=0),AC1368,0)</f>
        <v>0</v>
      </c>
      <c r="CI1368" s="993">
        <f>IF(AND(Input_Product=Elig!$C1368,Elig_MatchAll_Ct&lt;22,$BC1368=(Elig_MatchAll_Ct-1),BA1368=0),AD1368,0)</f>
        <v>0</v>
      </c>
      <c r="CJ1368" s="994">
        <f>IF(AND(Input_Product=Elig!$C1368,Elig_MatchAll_Ct&lt;22,$BC1368=(Elig_MatchAll_Ct-1),BA1368=0),AE1368,0)</f>
        <v>0</v>
      </c>
    </row>
    <row r="1369" spans="2:88" ht="10.15" customHeight="1" x14ac:dyDescent="0.25">
      <c r="B1369" s="1538" t="s">
        <v>3567</v>
      </c>
      <c r="C1369" s="1538" t="str">
        <f t="shared" si="486"/>
        <v xml:space="preserve">  NOO</v>
      </c>
      <c r="D1369" s="1538" t="s">
        <v>2764</v>
      </c>
      <c r="E1369" s="1538" t="s">
        <v>167</v>
      </c>
      <c r="F1369" s="1538" t="s">
        <v>2765</v>
      </c>
      <c r="G1369" s="1538" t="s">
        <v>2766</v>
      </c>
      <c r="H1369" s="1538" t="s">
        <v>2767</v>
      </c>
      <c r="I1369" s="1539" t="s">
        <v>34</v>
      </c>
      <c r="J1369" s="1539" t="s">
        <v>1311</v>
      </c>
      <c r="K1369" s="1539" t="s">
        <v>3023</v>
      </c>
      <c r="L1369" s="1538" t="s">
        <v>2768</v>
      </c>
      <c r="M1369" s="1538" t="s">
        <v>2677</v>
      </c>
      <c r="N1369" s="1538" t="s">
        <v>2685</v>
      </c>
      <c r="O1369" s="1538" t="s">
        <v>310</v>
      </c>
      <c r="P1369" s="1538" t="s">
        <v>291</v>
      </c>
      <c r="Q1369" s="1538" t="s">
        <v>294</v>
      </c>
      <c r="R1369" s="1538">
        <v>2000000.01</v>
      </c>
      <c r="S1369" s="1538">
        <v>2500000</v>
      </c>
      <c r="T1369" s="1538">
        <v>0</v>
      </c>
      <c r="U1369" s="1538">
        <v>0</v>
      </c>
      <c r="V1369" s="1538">
        <v>0</v>
      </c>
      <c r="W1369" s="1538">
        <v>55</v>
      </c>
      <c r="X1369" s="1538">
        <v>0</v>
      </c>
      <c r="Y1369" s="1538">
        <v>0</v>
      </c>
      <c r="Z1369" s="1540">
        <v>700</v>
      </c>
      <c r="AA1369" s="1540">
        <v>719</v>
      </c>
      <c r="AB1369" s="1540">
        <v>6</v>
      </c>
      <c r="AC1369" s="1540">
        <v>999999</v>
      </c>
      <c r="AD1369" s="1538">
        <v>0</v>
      </c>
      <c r="AE1369" s="1545">
        <v>75</v>
      </c>
      <c r="AF1369" s="170">
        <v>0</v>
      </c>
      <c r="AG1369" s="171">
        <v>1</v>
      </c>
      <c r="AH1369" s="171">
        <v>1</v>
      </c>
      <c r="AI1369" s="171">
        <v>1</v>
      </c>
      <c r="AJ1369" s="171">
        <v>1</v>
      </c>
      <c r="AK1369" s="171">
        <v>1</v>
      </c>
      <c r="AL1369" s="171">
        <v>0</v>
      </c>
      <c r="AM1369" s="171">
        <v>1</v>
      </c>
      <c r="AN1369" s="171">
        <v>1</v>
      </c>
      <c r="AO1369" s="171">
        <v>1</v>
      </c>
      <c r="AP1369" s="171">
        <v>1</v>
      </c>
      <c r="AQ1369" s="171">
        <v>1</v>
      </c>
      <c r="AR1369" s="171">
        <v>1</v>
      </c>
      <c r="AS1369" s="171">
        <v>1</v>
      </c>
      <c r="AT1369" s="171">
        <v>1</v>
      </c>
      <c r="AU1369" s="171">
        <f t="shared" si="474"/>
        <v>0</v>
      </c>
      <c r="AV1369" s="171">
        <f t="shared" si="475"/>
        <v>0</v>
      </c>
      <c r="AW1369" s="171">
        <f t="shared" si="476"/>
        <v>1</v>
      </c>
      <c r="AX1369" s="171">
        <f t="shared" si="485"/>
        <v>1</v>
      </c>
      <c r="AY1369" s="171">
        <f t="shared" si="477"/>
        <v>0</v>
      </c>
      <c r="AZ1369" s="171">
        <f t="shared" si="478"/>
        <v>1</v>
      </c>
      <c r="BA1369" s="172">
        <f t="shared" si="479"/>
        <v>1</v>
      </c>
      <c r="BB1369" s="175">
        <f t="shared" si="481"/>
        <v>17</v>
      </c>
      <c r="BC1369" s="176">
        <f t="shared" si="482"/>
        <v>16</v>
      </c>
      <c r="BD1369" s="176">
        <f t="shared" si="483"/>
        <v>17</v>
      </c>
      <c r="BE1369" s="240" t="str">
        <f t="shared" si="473"/>
        <v/>
      </c>
      <c r="BF1369" s="990"/>
      <c r="BG1369" s="990"/>
      <c r="BH1369" s="991">
        <f>IF(AND(Input_Product=Elig!$C1369,Elig_MatchAll_Ct&lt;22,$BC1369=(Elig_MatchAll_Ct-1),AF1369=0),C1369,0)</f>
        <v>0</v>
      </c>
      <c r="BI1369" s="991">
        <f>IF(AND(Input_Product=Elig!$C1369,Elig_MatchAll_Ct&lt;22,$BC1369=(Elig_MatchAll_Ct-1),AG1369=0),D1369,0)</f>
        <v>0</v>
      </c>
      <c r="BJ1369" s="991">
        <f>IF(AND(Input_Product=Elig!$C1369,Elig_MatchAll_Ct&lt;22,$BC1369=(Elig_MatchAll_Ct-1),AH1369=0),E1369,0)</f>
        <v>0</v>
      </c>
      <c r="BK1369" s="991">
        <f>IF(AND(Input_Product=Elig!$C1369,Elig_MatchAll_Ct&lt;22,$BC1369=(Elig_MatchAll_Ct-1),AI1369=0),F1369,0)</f>
        <v>0</v>
      </c>
      <c r="BL1369" s="991">
        <f>IF(AND(Input_Product=Elig!$C1369,Elig_MatchAll_Ct&lt;22,$BC1369=(Elig_MatchAll_Ct-1),AJ1369=0),G1369,0)</f>
        <v>0</v>
      </c>
      <c r="BM1369" s="991">
        <f>IF(AND(Input_Product=Elig!$C1369,Elig_MatchAll_Ct&lt;22,$BC1369=(Elig_MatchAll_Ct-1),AK1369=0),H1369,0)</f>
        <v>0</v>
      </c>
      <c r="BN1369" s="991">
        <f>IF(AND(Input_Product=Elig!$C1369,Elig_MatchAll_Ct&lt;22,$BC1369=(Elig_MatchAll_Ct-1),AL1369=0),I1369,0)</f>
        <v>0</v>
      </c>
      <c r="BO1369" s="991">
        <f>IF(AND(Input_Product=Elig!$C1369,Elig_MatchAll_Ct&lt;22,$BC1369=(Elig_MatchAll_Ct-1),AM1369=0),J1369,0)</f>
        <v>0</v>
      </c>
      <c r="BP1369" s="991">
        <f>IF(AND(Input_Product=Elig!$C1369,Elig_MatchAll_Ct&lt;22,$BC1369=(Elig_MatchAll_Ct-1),AN1369=0),K1369,0)</f>
        <v>0</v>
      </c>
      <c r="BQ1369" s="991">
        <f>IF(AND(Input_Product=Elig!$C1369,Elig_MatchAll_Ct&lt;22,$BC1369=(Elig_MatchAll_Ct-1),AP1369=0),L1369,0)</f>
        <v>0</v>
      </c>
      <c r="BR1369" s="991">
        <f>IF(AND(Input_Product=Elig!$C1369,Elig_MatchAll_Ct&lt;22,$BC1369=(Elig_MatchAll_Ct-1),AO1369=0),M1369,0)</f>
        <v>0</v>
      </c>
      <c r="BS1369" s="991">
        <f>IF(AND(Input_Product=Elig!$C1369,Elig_MatchAll_Ct&lt;22,$BC1369=(Elig_MatchAll_Ct-1),AQ1369=0),N1369,0)</f>
        <v>0</v>
      </c>
      <c r="BT1369" s="991">
        <f>IF(AND(Input_Product=Elig!$C1369,Elig_MatchAll_Ct&lt;22,$BC1369=(Elig_MatchAll_Ct-1),AR1369=0),O1369,0)</f>
        <v>0</v>
      </c>
      <c r="BU1369" s="991">
        <f>IF(AND(Input_Product=Elig!$C1369,Elig_MatchAll_Ct&lt;22,$BC1369=(Elig_MatchAll_Ct-1),AS1369=0),P1369,0)</f>
        <v>0</v>
      </c>
      <c r="BV1369" s="992">
        <f>IF(AND(Input_Product=Elig!$C1369,Elig_MatchAll_Ct&lt;22,$BC1369=(Elig_MatchAll_Ct-1),AT1369=0),Q1369,0)</f>
        <v>0</v>
      </c>
      <c r="BW1369" s="993">
        <f>IF(AND(Input_Product=Elig!$C1369,Elig_MatchAll_Ct&lt;22,$BC1369=(Elig_MatchAll_Ct-1),AU1369=0),R1369,0)</f>
        <v>0</v>
      </c>
      <c r="BX1369" s="994">
        <f>IF(AND(Input_Product=Elig!$C1369,Elig_MatchAll_Ct&lt;22,$BC1369=(Elig_MatchAll_Ct-1),AU1369=0),S1369,0)</f>
        <v>0</v>
      </c>
      <c r="BY1369" s="993">
        <f>IF(AND(Input_Product=Elig!$C1369,Elig_MatchAll_Ct&lt;22,$BC1369=(Elig_MatchAll_Ct-1),AV1369=0),T1369,0)</f>
        <v>0</v>
      </c>
      <c r="BZ1369" s="994">
        <f>IF(AND(Input_Product=Elig!$C1369,Elig_MatchAll_Ct&lt;22,$BC1369=(Elig_MatchAll_Ct-1),AV1369=0),U1369,0)</f>
        <v>0</v>
      </c>
      <c r="CA1369" s="993">
        <f>IF(AND(Input_Product=Elig!$C1369,Elig_MatchAll_Ct&lt;22,$BC1369=(Elig_MatchAll_Ct-1),AW1369=0),V1369,0)</f>
        <v>0</v>
      </c>
      <c r="CB1369" s="994">
        <f>IF(AND(Input_Product=Elig!$C1369,Elig_MatchAll_Ct&lt;22,$BC1369=(Elig_MatchAll_Ct-1),AW1369=0),W1369,0)</f>
        <v>0</v>
      </c>
      <c r="CC1369" s="993">
        <f>IF(AND(Input_Product=Elig!$C1369,Elig_MatchAll_Ct&lt;22,$BC1369=(Elig_MatchAll_Ct-1),AX1369=0),X1369,0)</f>
        <v>0</v>
      </c>
      <c r="CD1369" s="994">
        <f>IF(AND(Input_Product=Elig!$C1369,Elig_MatchAll_Ct&lt;22,$BC1369=(Elig_MatchAll_Ct-1),AX1369=0),Y1369,0)</f>
        <v>0</v>
      </c>
      <c r="CE1369" s="993">
        <f>IF(AND(Input_LTV&lt;=AE1369,Input_Product=Elig!$C1369,Elig_MatchAll_Ct&lt;22,$BC1369=(Elig_MatchAll_Ct-1),AY1369=0),Z1369,0)</f>
        <v>0</v>
      </c>
      <c r="CF1369" s="994">
        <f>IF(AND(Input_LTV&lt;=AE1369,Input_Product=Elig!$C1369,Elig_MatchAll_Ct&lt;22,$BC1369=(Elig_MatchAll_Ct-1),AY1369=0),AA1369,0)</f>
        <v>0</v>
      </c>
      <c r="CG1369" s="993">
        <f>IF(AND(Input_Product=Elig!$C1369,Elig_MatchAll_Ct&lt;22,$BC1369=(Elig_MatchAll_Ct-1),AZ1369=0),AB1369,0)</f>
        <v>0</v>
      </c>
      <c r="CH1369" s="994">
        <f>IF(AND(Input_Product=Elig!$C1369,Elig_MatchAll_Ct&lt;22,$BC1369=(Elig_MatchAll_Ct-1),AZ1369=0),AC1369,0)</f>
        <v>0</v>
      </c>
      <c r="CI1369" s="993">
        <f>IF(AND(Input_Product=Elig!$C1369,Elig_MatchAll_Ct&lt;22,$BC1369=(Elig_MatchAll_Ct-1),BA1369=0),AD1369,0)</f>
        <v>0</v>
      </c>
      <c r="CJ1369" s="994">
        <f>IF(AND(Input_Product=Elig!$C1369,Elig_MatchAll_Ct&lt;22,$BC1369=(Elig_MatchAll_Ct-1),BA1369=0),AE1369,0)</f>
        <v>0</v>
      </c>
    </row>
    <row r="1370" spans="2:88" ht="10.15" customHeight="1" x14ac:dyDescent="0.25">
      <c r="B1370" s="1538" t="s">
        <v>3568</v>
      </c>
      <c r="C1370" s="1538" t="str">
        <f t="shared" si="486"/>
        <v xml:space="preserve">  NOO</v>
      </c>
      <c r="D1370" s="1538" t="s">
        <v>2764</v>
      </c>
      <c r="E1370" s="1538" t="s">
        <v>167</v>
      </c>
      <c r="F1370" s="1538" t="s">
        <v>2765</v>
      </c>
      <c r="G1370" s="1538" t="s">
        <v>2766</v>
      </c>
      <c r="H1370" s="1538" t="s">
        <v>2767</v>
      </c>
      <c r="I1370" s="1539" t="s">
        <v>34</v>
      </c>
      <c r="J1370" s="1539" t="s">
        <v>1311</v>
      </c>
      <c r="K1370" s="1539" t="s">
        <v>3023</v>
      </c>
      <c r="L1370" s="1538" t="s">
        <v>2768</v>
      </c>
      <c r="M1370" s="1538" t="s">
        <v>2677</v>
      </c>
      <c r="N1370" s="1538" t="s">
        <v>2685</v>
      </c>
      <c r="O1370" s="1538" t="s">
        <v>310</v>
      </c>
      <c r="P1370" s="1538" t="s">
        <v>291</v>
      </c>
      <c r="Q1370" s="1538" t="s">
        <v>294</v>
      </c>
      <c r="R1370" s="1538">
        <v>2500000.0099999998</v>
      </c>
      <c r="S1370" s="1538">
        <v>3000000</v>
      </c>
      <c r="T1370" s="1538">
        <v>0</v>
      </c>
      <c r="U1370" s="1538">
        <v>0</v>
      </c>
      <c r="V1370" s="1538">
        <v>0</v>
      </c>
      <c r="W1370" s="1538">
        <v>55</v>
      </c>
      <c r="X1370" s="1538">
        <v>0</v>
      </c>
      <c r="Y1370" s="1538">
        <v>0</v>
      </c>
      <c r="Z1370" s="1540">
        <v>700</v>
      </c>
      <c r="AA1370" s="1540">
        <v>719</v>
      </c>
      <c r="AB1370" s="1540">
        <v>6</v>
      </c>
      <c r="AC1370" s="1540">
        <v>999999</v>
      </c>
      <c r="AD1370" s="1538">
        <v>0</v>
      </c>
      <c r="AE1370" s="1545">
        <v>75</v>
      </c>
      <c r="AF1370" s="170">
        <v>0</v>
      </c>
      <c r="AG1370" s="171">
        <v>1</v>
      </c>
      <c r="AH1370" s="171">
        <v>1</v>
      </c>
      <c r="AI1370" s="171">
        <v>1</v>
      </c>
      <c r="AJ1370" s="171">
        <v>1</v>
      </c>
      <c r="AK1370" s="171">
        <v>1</v>
      </c>
      <c r="AL1370" s="171">
        <v>0</v>
      </c>
      <c r="AM1370" s="171">
        <v>1</v>
      </c>
      <c r="AN1370" s="171">
        <v>1</v>
      </c>
      <c r="AO1370" s="171">
        <v>1</v>
      </c>
      <c r="AP1370" s="171">
        <v>1</v>
      </c>
      <c r="AQ1370" s="171">
        <v>1</v>
      </c>
      <c r="AR1370" s="171">
        <v>1</v>
      </c>
      <c r="AS1370" s="171">
        <v>1</v>
      </c>
      <c r="AT1370" s="171">
        <v>1</v>
      </c>
      <c r="AU1370" s="171">
        <f t="shared" si="474"/>
        <v>0</v>
      </c>
      <c r="AV1370" s="171">
        <f t="shared" si="475"/>
        <v>0</v>
      </c>
      <c r="AW1370" s="171">
        <f t="shared" si="476"/>
        <v>1</v>
      </c>
      <c r="AX1370" s="171">
        <f t="shared" si="485"/>
        <v>1</v>
      </c>
      <c r="AY1370" s="171">
        <f t="shared" si="477"/>
        <v>0</v>
      </c>
      <c r="AZ1370" s="171">
        <f t="shared" si="478"/>
        <v>1</v>
      </c>
      <c r="BA1370" s="172">
        <f t="shared" si="479"/>
        <v>1</v>
      </c>
      <c r="BB1370" s="175">
        <f t="shared" si="481"/>
        <v>17</v>
      </c>
      <c r="BC1370" s="176">
        <f t="shared" si="482"/>
        <v>16</v>
      </c>
      <c r="BD1370" s="176">
        <f t="shared" si="483"/>
        <v>17</v>
      </c>
      <c r="BE1370" s="240" t="str">
        <f t="shared" si="473"/>
        <v/>
      </c>
      <c r="BF1370" s="990"/>
      <c r="BG1370" s="990"/>
      <c r="BH1370" s="991">
        <f>IF(AND(Input_Product=Elig!$C1370,Elig_MatchAll_Ct&lt;22,$BC1370=(Elig_MatchAll_Ct-1),AF1370=0),C1370,0)</f>
        <v>0</v>
      </c>
      <c r="BI1370" s="991">
        <f>IF(AND(Input_Product=Elig!$C1370,Elig_MatchAll_Ct&lt;22,$BC1370=(Elig_MatchAll_Ct-1),AG1370=0),D1370,0)</f>
        <v>0</v>
      </c>
      <c r="BJ1370" s="991">
        <f>IF(AND(Input_Product=Elig!$C1370,Elig_MatchAll_Ct&lt;22,$BC1370=(Elig_MatchAll_Ct-1),AH1370=0),E1370,0)</f>
        <v>0</v>
      </c>
      <c r="BK1370" s="991">
        <f>IF(AND(Input_Product=Elig!$C1370,Elig_MatchAll_Ct&lt;22,$BC1370=(Elig_MatchAll_Ct-1),AI1370=0),F1370,0)</f>
        <v>0</v>
      </c>
      <c r="BL1370" s="991">
        <f>IF(AND(Input_Product=Elig!$C1370,Elig_MatchAll_Ct&lt;22,$BC1370=(Elig_MatchAll_Ct-1),AJ1370=0),G1370,0)</f>
        <v>0</v>
      </c>
      <c r="BM1370" s="991">
        <f>IF(AND(Input_Product=Elig!$C1370,Elig_MatchAll_Ct&lt;22,$BC1370=(Elig_MatchAll_Ct-1),AK1370=0),H1370,0)</f>
        <v>0</v>
      </c>
      <c r="BN1370" s="991">
        <f>IF(AND(Input_Product=Elig!$C1370,Elig_MatchAll_Ct&lt;22,$BC1370=(Elig_MatchAll_Ct-1),AL1370=0),I1370,0)</f>
        <v>0</v>
      </c>
      <c r="BO1370" s="991">
        <f>IF(AND(Input_Product=Elig!$C1370,Elig_MatchAll_Ct&lt;22,$BC1370=(Elig_MatchAll_Ct-1),AM1370=0),J1370,0)</f>
        <v>0</v>
      </c>
      <c r="BP1370" s="991">
        <f>IF(AND(Input_Product=Elig!$C1370,Elig_MatchAll_Ct&lt;22,$BC1370=(Elig_MatchAll_Ct-1),AN1370=0),K1370,0)</f>
        <v>0</v>
      </c>
      <c r="BQ1370" s="991">
        <f>IF(AND(Input_Product=Elig!$C1370,Elig_MatchAll_Ct&lt;22,$BC1370=(Elig_MatchAll_Ct-1),AP1370=0),L1370,0)</f>
        <v>0</v>
      </c>
      <c r="BR1370" s="991">
        <f>IF(AND(Input_Product=Elig!$C1370,Elig_MatchAll_Ct&lt;22,$BC1370=(Elig_MatchAll_Ct-1),AO1370=0),M1370,0)</f>
        <v>0</v>
      </c>
      <c r="BS1370" s="991">
        <f>IF(AND(Input_Product=Elig!$C1370,Elig_MatchAll_Ct&lt;22,$BC1370=(Elig_MatchAll_Ct-1),AQ1370=0),N1370,0)</f>
        <v>0</v>
      </c>
      <c r="BT1370" s="991">
        <f>IF(AND(Input_Product=Elig!$C1370,Elig_MatchAll_Ct&lt;22,$BC1370=(Elig_MatchAll_Ct-1),AR1370=0),O1370,0)</f>
        <v>0</v>
      </c>
      <c r="BU1370" s="991">
        <f>IF(AND(Input_Product=Elig!$C1370,Elig_MatchAll_Ct&lt;22,$BC1370=(Elig_MatchAll_Ct-1),AS1370=0),P1370,0)</f>
        <v>0</v>
      </c>
      <c r="BV1370" s="992">
        <f>IF(AND(Input_Product=Elig!$C1370,Elig_MatchAll_Ct&lt;22,$BC1370=(Elig_MatchAll_Ct-1),AT1370=0),Q1370,0)</f>
        <v>0</v>
      </c>
      <c r="BW1370" s="993">
        <f>IF(AND(Input_Product=Elig!$C1370,Elig_MatchAll_Ct&lt;22,$BC1370=(Elig_MatchAll_Ct-1),AU1370=0),R1370,0)</f>
        <v>0</v>
      </c>
      <c r="BX1370" s="994">
        <f>IF(AND(Input_Product=Elig!$C1370,Elig_MatchAll_Ct&lt;22,$BC1370=(Elig_MatchAll_Ct-1),AU1370=0),S1370,0)</f>
        <v>0</v>
      </c>
      <c r="BY1370" s="993">
        <f>IF(AND(Input_Product=Elig!$C1370,Elig_MatchAll_Ct&lt;22,$BC1370=(Elig_MatchAll_Ct-1),AV1370=0),T1370,0)</f>
        <v>0</v>
      </c>
      <c r="BZ1370" s="994">
        <f>IF(AND(Input_Product=Elig!$C1370,Elig_MatchAll_Ct&lt;22,$BC1370=(Elig_MatchAll_Ct-1),AV1370=0),U1370,0)</f>
        <v>0</v>
      </c>
      <c r="CA1370" s="993">
        <f>IF(AND(Input_Product=Elig!$C1370,Elig_MatchAll_Ct&lt;22,$BC1370=(Elig_MatchAll_Ct-1),AW1370=0),V1370,0)</f>
        <v>0</v>
      </c>
      <c r="CB1370" s="994">
        <f>IF(AND(Input_Product=Elig!$C1370,Elig_MatchAll_Ct&lt;22,$BC1370=(Elig_MatchAll_Ct-1),AW1370=0),W1370,0)</f>
        <v>0</v>
      </c>
      <c r="CC1370" s="993">
        <f>IF(AND(Input_Product=Elig!$C1370,Elig_MatchAll_Ct&lt;22,$BC1370=(Elig_MatchAll_Ct-1),AX1370=0),X1370,0)</f>
        <v>0</v>
      </c>
      <c r="CD1370" s="994">
        <f>IF(AND(Input_Product=Elig!$C1370,Elig_MatchAll_Ct&lt;22,$BC1370=(Elig_MatchAll_Ct-1),AX1370=0),Y1370,0)</f>
        <v>0</v>
      </c>
      <c r="CE1370" s="993">
        <f>IF(AND(Input_LTV&lt;=AE1370,Input_Product=Elig!$C1370,Elig_MatchAll_Ct&lt;22,$BC1370=(Elig_MatchAll_Ct-1),AY1370=0),Z1370,0)</f>
        <v>0</v>
      </c>
      <c r="CF1370" s="994">
        <f>IF(AND(Input_LTV&lt;=AE1370,Input_Product=Elig!$C1370,Elig_MatchAll_Ct&lt;22,$BC1370=(Elig_MatchAll_Ct-1),AY1370=0),AA1370,0)</f>
        <v>0</v>
      </c>
      <c r="CG1370" s="993">
        <f>IF(AND(Input_Product=Elig!$C1370,Elig_MatchAll_Ct&lt;22,$BC1370=(Elig_MatchAll_Ct-1),AZ1370=0),AB1370,0)</f>
        <v>0</v>
      </c>
      <c r="CH1370" s="994">
        <f>IF(AND(Input_Product=Elig!$C1370,Elig_MatchAll_Ct&lt;22,$BC1370=(Elig_MatchAll_Ct-1),AZ1370=0),AC1370,0)</f>
        <v>0</v>
      </c>
      <c r="CI1370" s="993">
        <f>IF(AND(Input_Product=Elig!$C1370,Elig_MatchAll_Ct&lt;22,$BC1370=(Elig_MatchAll_Ct-1),BA1370=0),AD1370,0)</f>
        <v>0</v>
      </c>
      <c r="CJ1370" s="994">
        <f>IF(AND(Input_Product=Elig!$C1370,Elig_MatchAll_Ct&lt;22,$BC1370=(Elig_MatchAll_Ct-1),BA1370=0),AE1370,0)</f>
        <v>0</v>
      </c>
    </row>
    <row r="1371" spans="2:88" ht="10.15" customHeight="1" x14ac:dyDescent="0.25">
      <c r="B1371" s="1538" t="s">
        <v>3569</v>
      </c>
      <c r="C1371" s="1538" t="str">
        <f t="shared" si="486"/>
        <v xml:space="preserve">  NOO</v>
      </c>
      <c r="D1371" s="1538" t="s">
        <v>2764</v>
      </c>
      <c r="E1371" s="1538" t="s">
        <v>167</v>
      </c>
      <c r="F1371" s="1538" t="s">
        <v>2765</v>
      </c>
      <c r="G1371" s="1538" t="s">
        <v>2766</v>
      </c>
      <c r="H1371" s="1538" t="s">
        <v>2767</v>
      </c>
      <c r="I1371" s="1539" t="s">
        <v>34</v>
      </c>
      <c r="J1371" s="1539" t="s">
        <v>1311</v>
      </c>
      <c r="K1371" s="1539" t="s">
        <v>3023</v>
      </c>
      <c r="L1371" s="1538" t="s">
        <v>2768</v>
      </c>
      <c r="M1371" s="1538" t="s">
        <v>2677</v>
      </c>
      <c r="N1371" s="1538" t="s">
        <v>2685</v>
      </c>
      <c r="O1371" s="1538" t="s">
        <v>310</v>
      </c>
      <c r="P1371" s="1538" t="s">
        <v>291</v>
      </c>
      <c r="Q1371" s="1538" t="s">
        <v>294</v>
      </c>
      <c r="R1371" s="1538">
        <v>3000000.01</v>
      </c>
      <c r="S1371" s="1538">
        <v>3500000</v>
      </c>
      <c r="T1371" s="1538">
        <v>0</v>
      </c>
      <c r="U1371" s="1538">
        <v>0</v>
      </c>
      <c r="V1371" s="1538">
        <v>0</v>
      </c>
      <c r="W1371" s="1538">
        <v>55</v>
      </c>
      <c r="X1371" s="1538">
        <v>0</v>
      </c>
      <c r="Y1371" s="1538">
        <v>0</v>
      </c>
      <c r="Z1371" s="1540">
        <v>700</v>
      </c>
      <c r="AA1371" s="1540">
        <v>719</v>
      </c>
      <c r="AB1371" s="1540">
        <v>6</v>
      </c>
      <c r="AC1371" s="1540">
        <v>999999</v>
      </c>
      <c r="AD1371" s="1538">
        <v>0</v>
      </c>
      <c r="AE1371" s="1545">
        <v>70</v>
      </c>
      <c r="AF1371" s="170">
        <v>0</v>
      </c>
      <c r="AG1371" s="171">
        <v>1</v>
      </c>
      <c r="AH1371" s="171">
        <v>1</v>
      </c>
      <c r="AI1371" s="171">
        <v>1</v>
      </c>
      <c r="AJ1371" s="171">
        <v>1</v>
      </c>
      <c r="AK1371" s="171">
        <v>1</v>
      </c>
      <c r="AL1371" s="171">
        <v>0</v>
      </c>
      <c r="AM1371" s="171">
        <v>1</v>
      </c>
      <c r="AN1371" s="171">
        <v>1</v>
      </c>
      <c r="AO1371" s="171">
        <v>1</v>
      </c>
      <c r="AP1371" s="171">
        <v>1</v>
      </c>
      <c r="AQ1371" s="171">
        <v>1</v>
      </c>
      <c r="AR1371" s="171">
        <v>1</v>
      </c>
      <c r="AS1371" s="171">
        <v>1</v>
      </c>
      <c r="AT1371" s="171">
        <v>1</v>
      </c>
      <c r="AU1371" s="171">
        <f t="shared" si="474"/>
        <v>0</v>
      </c>
      <c r="AV1371" s="171">
        <f t="shared" si="475"/>
        <v>0</v>
      </c>
      <c r="AW1371" s="171">
        <f t="shared" si="476"/>
        <v>1</v>
      </c>
      <c r="AX1371" s="171">
        <f t="shared" si="485"/>
        <v>1</v>
      </c>
      <c r="AY1371" s="171">
        <f t="shared" si="477"/>
        <v>0</v>
      </c>
      <c r="AZ1371" s="171">
        <f t="shared" si="478"/>
        <v>1</v>
      </c>
      <c r="BA1371" s="172">
        <f t="shared" si="479"/>
        <v>1</v>
      </c>
      <c r="BB1371" s="175">
        <f t="shared" si="481"/>
        <v>17</v>
      </c>
      <c r="BC1371" s="176">
        <f t="shared" si="482"/>
        <v>16</v>
      </c>
      <c r="BD1371" s="176">
        <f t="shared" si="483"/>
        <v>17</v>
      </c>
      <c r="BE1371" s="240" t="str">
        <f t="shared" si="473"/>
        <v/>
      </c>
      <c r="BF1371" s="990"/>
      <c r="BG1371" s="990"/>
      <c r="BH1371" s="991">
        <f>IF(AND(Input_Product=Elig!$C1371,Elig_MatchAll_Ct&lt;22,$BC1371=(Elig_MatchAll_Ct-1),AF1371=0),C1371,0)</f>
        <v>0</v>
      </c>
      <c r="BI1371" s="991">
        <f>IF(AND(Input_Product=Elig!$C1371,Elig_MatchAll_Ct&lt;22,$BC1371=(Elig_MatchAll_Ct-1),AG1371=0),D1371,0)</f>
        <v>0</v>
      </c>
      <c r="BJ1371" s="991">
        <f>IF(AND(Input_Product=Elig!$C1371,Elig_MatchAll_Ct&lt;22,$BC1371=(Elig_MatchAll_Ct-1),AH1371=0),E1371,0)</f>
        <v>0</v>
      </c>
      <c r="BK1371" s="991">
        <f>IF(AND(Input_Product=Elig!$C1371,Elig_MatchAll_Ct&lt;22,$BC1371=(Elig_MatchAll_Ct-1),AI1371=0),F1371,0)</f>
        <v>0</v>
      </c>
      <c r="BL1371" s="991">
        <f>IF(AND(Input_Product=Elig!$C1371,Elig_MatchAll_Ct&lt;22,$BC1371=(Elig_MatchAll_Ct-1),AJ1371=0),G1371,0)</f>
        <v>0</v>
      </c>
      <c r="BM1371" s="991">
        <f>IF(AND(Input_Product=Elig!$C1371,Elig_MatchAll_Ct&lt;22,$BC1371=(Elig_MatchAll_Ct-1),AK1371=0),H1371,0)</f>
        <v>0</v>
      </c>
      <c r="BN1371" s="991">
        <f>IF(AND(Input_Product=Elig!$C1371,Elig_MatchAll_Ct&lt;22,$BC1371=(Elig_MatchAll_Ct-1),AL1371=0),I1371,0)</f>
        <v>0</v>
      </c>
      <c r="BO1371" s="991">
        <f>IF(AND(Input_Product=Elig!$C1371,Elig_MatchAll_Ct&lt;22,$BC1371=(Elig_MatchAll_Ct-1),AM1371=0),J1371,0)</f>
        <v>0</v>
      </c>
      <c r="BP1371" s="991">
        <f>IF(AND(Input_Product=Elig!$C1371,Elig_MatchAll_Ct&lt;22,$BC1371=(Elig_MatchAll_Ct-1),AN1371=0),K1371,0)</f>
        <v>0</v>
      </c>
      <c r="BQ1371" s="991">
        <f>IF(AND(Input_Product=Elig!$C1371,Elig_MatchAll_Ct&lt;22,$BC1371=(Elig_MatchAll_Ct-1),AP1371=0),L1371,0)</f>
        <v>0</v>
      </c>
      <c r="BR1371" s="991">
        <f>IF(AND(Input_Product=Elig!$C1371,Elig_MatchAll_Ct&lt;22,$BC1371=(Elig_MatchAll_Ct-1),AO1371=0),M1371,0)</f>
        <v>0</v>
      </c>
      <c r="BS1371" s="991">
        <f>IF(AND(Input_Product=Elig!$C1371,Elig_MatchAll_Ct&lt;22,$BC1371=(Elig_MatchAll_Ct-1),AQ1371=0),N1371,0)</f>
        <v>0</v>
      </c>
      <c r="BT1371" s="991">
        <f>IF(AND(Input_Product=Elig!$C1371,Elig_MatchAll_Ct&lt;22,$BC1371=(Elig_MatchAll_Ct-1),AR1371=0),O1371,0)</f>
        <v>0</v>
      </c>
      <c r="BU1371" s="991">
        <f>IF(AND(Input_Product=Elig!$C1371,Elig_MatchAll_Ct&lt;22,$BC1371=(Elig_MatchAll_Ct-1),AS1371=0),P1371,0)</f>
        <v>0</v>
      </c>
      <c r="BV1371" s="992">
        <f>IF(AND(Input_Product=Elig!$C1371,Elig_MatchAll_Ct&lt;22,$BC1371=(Elig_MatchAll_Ct-1),AT1371=0),Q1371,0)</f>
        <v>0</v>
      </c>
      <c r="BW1371" s="993">
        <f>IF(AND(Input_Product=Elig!$C1371,Elig_MatchAll_Ct&lt;22,$BC1371=(Elig_MatchAll_Ct-1),AU1371=0),R1371,0)</f>
        <v>0</v>
      </c>
      <c r="BX1371" s="994">
        <f>IF(AND(Input_Product=Elig!$C1371,Elig_MatchAll_Ct&lt;22,$BC1371=(Elig_MatchAll_Ct-1),AU1371=0),S1371,0)</f>
        <v>0</v>
      </c>
      <c r="BY1371" s="993">
        <f>IF(AND(Input_Product=Elig!$C1371,Elig_MatchAll_Ct&lt;22,$BC1371=(Elig_MatchAll_Ct-1),AV1371=0),T1371,0)</f>
        <v>0</v>
      </c>
      <c r="BZ1371" s="994">
        <f>IF(AND(Input_Product=Elig!$C1371,Elig_MatchAll_Ct&lt;22,$BC1371=(Elig_MatchAll_Ct-1),AV1371=0),U1371,0)</f>
        <v>0</v>
      </c>
      <c r="CA1371" s="993">
        <f>IF(AND(Input_Product=Elig!$C1371,Elig_MatchAll_Ct&lt;22,$BC1371=(Elig_MatchAll_Ct-1),AW1371=0),V1371,0)</f>
        <v>0</v>
      </c>
      <c r="CB1371" s="994">
        <f>IF(AND(Input_Product=Elig!$C1371,Elig_MatchAll_Ct&lt;22,$BC1371=(Elig_MatchAll_Ct-1),AW1371=0),W1371,0)</f>
        <v>0</v>
      </c>
      <c r="CC1371" s="993">
        <f>IF(AND(Input_Product=Elig!$C1371,Elig_MatchAll_Ct&lt;22,$BC1371=(Elig_MatchAll_Ct-1),AX1371=0),X1371,0)</f>
        <v>0</v>
      </c>
      <c r="CD1371" s="994">
        <f>IF(AND(Input_Product=Elig!$C1371,Elig_MatchAll_Ct&lt;22,$BC1371=(Elig_MatchAll_Ct-1),AX1371=0),Y1371,0)</f>
        <v>0</v>
      </c>
      <c r="CE1371" s="993">
        <f>IF(AND(Input_LTV&lt;=AE1371,Input_Product=Elig!$C1371,Elig_MatchAll_Ct&lt;22,$BC1371=(Elig_MatchAll_Ct-1),AY1371=0),Z1371,0)</f>
        <v>0</v>
      </c>
      <c r="CF1371" s="994">
        <f>IF(AND(Input_LTV&lt;=AE1371,Input_Product=Elig!$C1371,Elig_MatchAll_Ct&lt;22,$BC1371=(Elig_MatchAll_Ct-1),AY1371=0),AA1371,0)</f>
        <v>0</v>
      </c>
      <c r="CG1371" s="993">
        <f>IF(AND(Input_Product=Elig!$C1371,Elig_MatchAll_Ct&lt;22,$BC1371=(Elig_MatchAll_Ct-1),AZ1371=0),AB1371,0)</f>
        <v>0</v>
      </c>
      <c r="CH1371" s="994">
        <f>IF(AND(Input_Product=Elig!$C1371,Elig_MatchAll_Ct&lt;22,$BC1371=(Elig_MatchAll_Ct-1),AZ1371=0),AC1371,0)</f>
        <v>0</v>
      </c>
      <c r="CI1371" s="993">
        <f>IF(AND(Input_Product=Elig!$C1371,Elig_MatchAll_Ct&lt;22,$BC1371=(Elig_MatchAll_Ct-1),BA1371=0),AD1371,0)</f>
        <v>0</v>
      </c>
      <c r="CJ1371" s="994">
        <f>IF(AND(Input_Product=Elig!$C1371,Elig_MatchAll_Ct&lt;22,$BC1371=(Elig_MatchAll_Ct-1),BA1371=0),AE1371,0)</f>
        <v>0</v>
      </c>
    </row>
    <row r="1372" spans="2:88" ht="10.15" customHeight="1" x14ac:dyDescent="0.25">
      <c r="B1372" s="1538" t="s">
        <v>3570</v>
      </c>
      <c r="C1372" s="1538" t="str">
        <f t="shared" si="486"/>
        <v xml:space="preserve">  NOO</v>
      </c>
      <c r="D1372" s="1538" t="s">
        <v>2764</v>
      </c>
      <c r="E1372" s="1538" t="s">
        <v>167</v>
      </c>
      <c r="F1372" s="1538" t="s">
        <v>2765</v>
      </c>
      <c r="G1372" s="1538" t="s">
        <v>2766</v>
      </c>
      <c r="H1372" s="1538" t="s">
        <v>2767</v>
      </c>
      <c r="I1372" s="1539" t="s">
        <v>34</v>
      </c>
      <c r="J1372" s="1539" t="s">
        <v>1311</v>
      </c>
      <c r="K1372" s="1539" t="s">
        <v>3023</v>
      </c>
      <c r="L1372" s="1538" t="s">
        <v>2768</v>
      </c>
      <c r="M1372" s="1538" t="s">
        <v>2677</v>
      </c>
      <c r="N1372" s="1538" t="s">
        <v>2685</v>
      </c>
      <c r="O1372" s="1538" t="s">
        <v>310</v>
      </c>
      <c r="P1372" s="1538" t="s">
        <v>291</v>
      </c>
      <c r="Q1372" s="1538" t="s">
        <v>294</v>
      </c>
      <c r="R1372" s="1538">
        <v>150000</v>
      </c>
      <c r="S1372" s="1538">
        <v>1000000</v>
      </c>
      <c r="T1372" s="1538">
        <v>0</v>
      </c>
      <c r="U1372" s="1538">
        <v>0</v>
      </c>
      <c r="V1372" s="1538">
        <v>0</v>
      </c>
      <c r="W1372" s="1538">
        <v>55</v>
      </c>
      <c r="X1372" s="1538">
        <v>0</v>
      </c>
      <c r="Y1372" s="1538">
        <v>0</v>
      </c>
      <c r="Z1372" s="1540">
        <v>680</v>
      </c>
      <c r="AA1372" s="1540">
        <v>699</v>
      </c>
      <c r="AB1372" s="1540">
        <v>6</v>
      </c>
      <c r="AC1372" s="1540">
        <v>999999</v>
      </c>
      <c r="AD1372" s="1538">
        <v>0</v>
      </c>
      <c r="AE1372" s="1545">
        <v>90</v>
      </c>
      <c r="AF1372" s="170">
        <v>0</v>
      </c>
      <c r="AG1372" s="171">
        <v>1</v>
      </c>
      <c r="AH1372" s="171">
        <v>1</v>
      </c>
      <c r="AI1372" s="171">
        <v>1</v>
      </c>
      <c r="AJ1372" s="171">
        <v>1</v>
      </c>
      <c r="AK1372" s="171">
        <v>1</v>
      </c>
      <c r="AL1372" s="171">
        <v>0</v>
      </c>
      <c r="AM1372" s="171">
        <v>1</v>
      </c>
      <c r="AN1372" s="171">
        <v>1</v>
      </c>
      <c r="AO1372" s="171">
        <v>1</v>
      </c>
      <c r="AP1372" s="171">
        <v>1</v>
      </c>
      <c r="AQ1372" s="171">
        <v>1</v>
      </c>
      <c r="AR1372" s="171">
        <v>1</v>
      </c>
      <c r="AS1372" s="171">
        <v>1</v>
      </c>
      <c r="AT1372" s="171">
        <v>1</v>
      </c>
      <c r="AU1372" s="171">
        <f t="shared" si="474"/>
        <v>1</v>
      </c>
      <c r="AV1372" s="171">
        <f t="shared" si="475"/>
        <v>0</v>
      </c>
      <c r="AW1372" s="171">
        <f t="shared" si="476"/>
        <v>1</v>
      </c>
      <c r="AX1372" s="171">
        <f t="shared" si="485"/>
        <v>1</v>
      </c>
      <c r="AY1372" s="171">
        <f t="shared" si="477"/>
        <v>0</v>
      </c>
      <c r="AZ1372" s="171">
        <f t="shared" si="478"/>
        <v>1</v>
      </c>
      <c r="BA1372" s="172">
        <f t="shared" si="479"/>
        <v>1</v>
      </c>
      <c r="BB1372" s="175">
        <f t="shared" si="481"/>
        <v>18</v>
      </c>
      <c r="BC1372" s="176">
        <f t="shared" si="482"/>
        <v>17</v>
      </c>
      <c r="BD1372" s="176">
        <f t="shared" si="483"/>
        <v>18</v>
      </c>
      <c r="BE1372" s="240" t="str">
        <f t="shared" si="473"/>
        <v/>
      </c>
      <c r="BF1372" s="990"/>
      <c r="BG1372" s="990"/>
      <c r="BH1372" s="991">
        <f>IF(AND(Input_Product=Elig!$C1372,Elig_MatchAll_Ct&lt;22,$BC1372=(Elig_MatchAll_Ct-1),AF1372=0),C1372,0)</f>
        <v>0</v>
      </c>
      <c r="BI1372" s="991">
        <f>IF(AND(Input_Product=Elig!$C1372,Elig_MatchAll_Ct&lt;22,$BC1372=(Elig_MatchAll_Ct-1),AG1372=0),D1372,0)</f>
        <v>0</v>
      </c>
      <c r="BJ1372" s="991">
        <f>IF(AND(Input_Product=Elig!$C1372,Elig_MatchAll_Ct&lt;22,$BC1372=(Elig_MatchAll_Ct-1),AH1372=0),E1372,0)</f>
        <v>0</v>
      </c>
      <c r="BK1372" s="991">
        <f>IF(AND(Input_Product=Elig!$C1372,Elig_MatchAll_Ct&lt;22,$BC1372=(Elig_MatchAll_Ct-1),AI1372=0),F1372,0)</f>
        <v>0</v>
      </c>
      <c r="BL1372" s="991">
        <f>IF(AND(Input_Product=Elig!$C1372,Elig_MatchAll_Ct&lt;22,$BC1372=(Elig_MatchAll_Ct-1),AJ1372=0),G1372,0)</f>
        <v>0</v>
      </c>
      <c r="BM1372" s="991">
        <f>IF(AND(Input_Product=Elig!$C1372,Elig_MatchAll_Ct&lt;22,$BC1372=(Elig_MatchAll_Ct-1),AK1372=0),H1372,0)</f>
        <v>0</v>
      </c>
      <c r="BN1372" s="991">
        <f>IF(AND(Input_Product=Elig!$C1372,Elig_MatchAll_Ct&lt;22,$BC1372=(Elig_MatchAll_Ct-1),AL1372=0),I1372,0)</f>
        <v>0</v>
      </c>
      <c r="BO1372" s="991">
        <f>IF(AND(Input_Product=Elig!$C1372,Elig_MatchAll_Ct&lt;22,$BC1372=(Elig_MatchAll_Ct-1),AM1372=0),J1372,0)</f>
        <v>0</v>
      </c>
      <c r="BP1372" s="991">
        <f>IF(AND(Input_Product=Elig!$C1372,Elig_MatchAll_Ct&lt;22,$BC1372=(Elig_MatchAll_Ct-1),AN1372=0),K1372,0)</f>
        <v>0</v>
      </c>
      <c r="BQ1372" s="991">
        <f>IF(AND(Input_Product=Elig!$C1372,Elig_MatchAll_Ct&lt;22,$BC1372=(Elig_MatchAll_Ct-1),AP1372=0),L1372,0)</f>
        <v>0</v>
      </c>
      <c r="BR1372" s="991">
        <f>IF(AND(Input_Product=Elig!$C1372,Elig_MatchAll_Ct&lt;22,$BC1372=(Elig_MatchAll_Ct-1),AO1372=0),M1372,0)</f>
        <v>0</v>
      </c>
      <c r="BS1372" s="991">
        <f>IF(AND(Input_Product=Elig!$C1372,Elig_MatchAll_Ct&lt;22,$BC1372=(Elig_MatchAll_Ct-1),AQ1372=0),N1372,0)</f>
        <v>0</v>
      </c>
      <c r="BT1372" s="991">
        <f>IF(AND(Input_Product=Elig!$C1372,Elig_MatchAll_Ct&lt;22,$BC1372=(Elig_MatchAll_Ct-1),AR1372=0),O1372,0)</f>
        <v>0</v>
      </c>
      <c r="BU1372" s="991">
        <f>IF(AND(Input_Product=Elig!$C1372,Elig_MatchAll_Ct&lt;22,$BC1372=(Elig_MatchAll_Ct-1),AS1372=0),P1372,0)</f>
        <v>0</v>
      </c>
      <c r="BV1372" s="992">
        <f>IF(AND(Input_Product=Elig!$C1372,Elig_MatchAll_Ct&lt;22,$BC1372=(Elig_MatchAll_Ct-1),AT1372=0),Q1372,0)</f>
        <v>0</v>
      </c>
      <c r="BW1372" s="993">
        <f>IF(AND(Input_Product=Elig!$C1372,Elig_MatchAll_Ct&lt;22,$BC1372=(Elig_MatchAll_Ct-1),AU1372=0),R1372,0)</f>
        <v>0</v>
      </c>
      <c r="BX1372" s="994">
        <f>IF(AND(Input_Product=Elig!$C1372,Elig_MatchAll_Ct&lt;22,$BC1372=(Elig_MatchAll_Ct-1),AU1372=0),S1372,0)</f>
        <v>0</v>
      </c>
      <c r="BY1372" s="993">
        <f>IF(AND(Input_Product=Elig!$C1372,Elig_MatchAll_Ct&lt;22,$BC1372=(Elig_MatchAll_Ct-1),AV1372=0),T1372,0)</f>
        <v>0</v>
      </c>
      <c r="BZ1372" s="994">
        <f>IF(AND(Input_Product=Elig!$C1372,Elig_MatchAll_Ct&lt;22,$BC1372=(Elig_MatchAll_Ct-1),AV1372=0),U1372,0)</f>
        <v>0</v>
      </c>
      <c r="CA1372" s="993">
        <f>IF(AND(Input_Product=Elig!$C1372,Elig_MatchAll_Ct&lt;22,$BC1372=(Elig_MatchAll_Ct-1),AW1372=0),V1372,0)</f>
        <v>0</v>
      </c>
      <c r="CB1372" s="994">
        <f>IF(AND(Input_Product=Elig!$C1372,Elig_MatchAll_Ct&lt;22,$BC1372=(Elig_MatchAll_Ct-1),AW1372=0),W1372,0)</f>
        <v>0</v>
      </c>
      <c r="CC1372" s="993">
        <f>IF(AND(Input_Product=Elig!$C1372,Elig_MatchAll_Ct&lt;22,$BC1372=(Elig_MatchAll_Ct-1),AX1372=0),X1372,0)</f>
        <v>0</v>
      </c>
      <c r="CD1372" s="994">
        <f>IF(AND(Input_Product=Elig!$C1372,Elig_MatchAll_Ct&lt;22,$BC1372=(Elig_MatchAll_Ct-1),AX1372=0),Y1372,0)</f>
        <v>0</v>
      </c>
      <c r="CE1372" s="993">
        <f>IF(AND(Input_LTV&lt;=AE1372,Input_Product=Elig!$C1372,Elig_MatchAll_Ct&lt;22,$BC1372=(Elig_MatchAll_Ct-1),AY1372=0),Z1372,0)</f>
        <v>0</v>
      </c>
      <c r="CF1372" s="994">
        <f>IF(AND(Input_LTV&lt;=AE1372,Input_Product=Elig!$C1372,Elig_MatchAll_Ct&lt;22,$BC1372=(Elig_MatchAll_Ct-1),AY1372=0),AA1372,0)</f>
        <v>0</v>
      </c>
      <c r="CG1372" s="993">
        <f>IF(AND(Input_Product=Elig!$C1372,Elig_MatchAll_Ct&lt;22,$BC1372=(Elig_MatchAll_Ct-1),AZ1372=0),AB1372,0)</f>
        <v>0</v>
      </c>
      <c r="CH1372" s="994">
        <f>IF(AND(Input_Product=Elig!$C1372,Elig_MatchAll_Ct&lt;22,$BC1372=(Elig_MatchAll_Ct-1),AZ1372=0),AC1372,0)</f>
        <v>0</v>
      </c>
      <c r="CI1372" s="993">
        <f>IF(AND(Input_Product=Elig!$C1372,Elig_MatchAll_Ct&lt;22,$BC1372=(Elig_MatchAll_Ct-1),BA1372=0),AD1372,0)</f>
        <v>0</v>
      </c>
      <c r="CJ1372" s="994">
        <f>IF(AND(Input_Product=Elig!$C1372,Elig_MatchAll_Ct&lt;22,$BC1372=(Elig_MatchAll_Ct-1),BA1372=0),AE1372,0)</f>
        <v>0</v>
      </c>
    </row>
    <row r="1373" spans="2:88" ht="10.15" customHeight="1" x14ac:dyDescent="0.25">
      <c r="B1373" s="1538" t="s">
        <v>3571</v>
      </c>
      <c r="C1373" s="1538" t="str">
        <f t="shared" si="486"/>
        <v xml:space="preserve">  NOO</v>
      </c>
      <c r="D1373" s="1538" t="s">
        <v>2764</v>
      </c>
      <c r="E1373" s="1538" t="s">
        <v>167</v>
      </c>
      <c r="F1373" s="1538" t="s">
        <v>2765</v>
      </c>
      <c r="G1373" s="1538" t="s">
        <v>2766</v>
      </c>
      <c r="H1373" s="1538" t="s">
        <v>2767</v>
      </c>
      <c r="I1373" s="1539" t="s">
        <v>34</v>
      </c>
      <c r="J1373" s="1539" t="s">
        <v>1311</v>
      </c>
      <c r="K1373" s="1539" t="s">
        <v>3023</v>
      </c>
      <c r="L1373" s="1538" t="s">
        <v>2768</v>
      </c>
      <c r="M1373" s="1538" t="s">
        <v>2677</v>
      </c>
      <c r="N1373" s="1538" t="s">
        <v>2685</v>
      </c>
      <c r="O1373" s="1538" t="s">
        <v>310</v>
      </c>
      <c r="P1373" s="1538" t="s">
        <v>291</v>
      </c>
      <c r="Q1373" s="1538" t="s">
        <v>294</v>
      </c>
      <c r="R1373" s="1538">
        <v>1000000.01</v>
      </c>
      <c r="S1373" s="1538">
        <v>1500000</v>
      </c>
      <c r="T1373" s="1538">
        <v>0</v>
      </c>
      <c r="U1373" s="1538">
        <v>0</v>
      </c>
      <c r="V1373" s="1538">
        <v>0</v>
      </c>
      <c r="W1373" s="1538">
        <v>55</v>
      </c>
      <c r="X1373" s="1538">
        <v>0</v>
      </c>
      <c r="Y1373" s="1538">
        <v>0</v>
      </c>
      <c r="Z1373" s="1540">
        <v>680</v>
      </c>
      <c r="AA1373" s="1540">
        <v>699</v>
      </c>
      <c r="AB1373" s="1540">
        <v>6</v>
      </c>
      <c r="AC1373" s="1540">
        <v>999999</v>
      </c>
      <c r="AD1373" s="1538">
        <v>0</v>
      </c>
      <c r="AE1373" s="1545">
        <v>85</v>
      </c>
      <c r="AF1373" s="170">
        <v>0</v>
      </c>
      <c r="AG1373" s="171">
        <v>1</v>
      </c>
      <c r="AH1373" s="171">
        <v>1</v>
      </c>
      <c r="AI1373" s="171">
        <v>1</v>
      </c>
      <c r="AJ1373" s="171">
        <v>1</v>
      </c>
      <c r="AK1373" s="171">
        <v>1</v>
      </c>
      <c r="AL1373" s="171">
        <v>0</v>
      </c>
      <c r="AM1373" s="171">
        <v>1</v>
      </c>
      <c r="AN1373" s="171">
        <v>1</v>
      </c>
      <c r="AO1373" s="171">
        <v>1</v>
      </c>
      <c r="AP1373" s="171">
        <v>1</v>
      </c>
      <c r="AQ1373" s="171">
        <v>1</v>
      </c>
      <c r="AR1373" s="171">
        <v>1</v>
      </c>
      <c r="AS1373" s="171">
        <v>1</v>
      </c>
      <c r="AT1373" s="171">
        <v>1</v>
      </c>
      <c r="AU1373" s="171">
        <f t="shared" si="474"/>
        <v>0</v>
      </c>
      <c r="AV1373" s="171">
        <f t="shared" si="475"/>
        <v>0</v>
      </c>
      <c r="AW1373" s="171">
        <f t="shared" si="476"/>
        <v>1</v>
      </c>
      <c r="AX1373" s="171">
        <f t="shared" si="485"/>
        <v>1</v>
      </c>
      <c r="AY1373" s="171">
        <f t="shared" si="477"/>
        <v>0</v>
      </c>
      <c r="AZ1373" s="171">
        <f t="shared" si="478"/>
        <v>1</v>
      </c>
      <c r="BA1373" s="172">
        <f t="shared" si="479"/>
        <v>1</v>
      </c>
      <c r="BB1373" s="175">
        <f t="shared" si="481"/>
        <v>17</v>
      </c>
      <c r="BC1373" s="176">
        <f t="shared" si="482"/>
        <v>16</v>
      </c>
      <c r="BD1373" s="176">
        <f t="shared" si="483"/>
        <v>17</v>
      </c>
      <c r="BE1373" s="240" t="str">
        <f t="shared" si="473"/>
        <v/>
      </c>
      <c r="BF1373" s="990"/>
      <c r="BG1373" s="990"/>
      <c r="BH1373" s="991">
        <f>IF(AND(Input_Product=Elig!$C1373,Elig_MatchAll_Ct&lt;22,$BC1373=(Elig_MatchAll_Ct-1),AF1373=0),C1373,0)</f>
        <v>0</v>
      </c>
      <c r="BI1373" s="991">
        <f>IF(AND(Input_Product=Elig!$C1373,Elig_MatchAll_Ct&lt;22,$BC1373=(Elig_MatchAll_Ct-1),AG1373=0),D1373,0)</f>
        <v>0</v>
      </c>
      <c r="BJ1373" s="991">
        <f>IF(AND(Input_Product=Elig!$C1373,Elig_MatchAll_Ct&lt;22,$BC1373=(Elig_MatchAll_Ct-1),AH1373=0),E1373,0)</f>
        <v>0</v>
      </c>
      <c r="BK1373" s="991">
        <f>IF(AND(Input_Product=Elig!$C1373,Elig_MatchAll_Ct&lt;22,$BC1373=(Elig_MatchAll_Ct-1),AI1373=0),F1373,0)</f>
        <v>0</v>
      </c>
      <c r="BL1373" s="991">
        <f>IF(AND(Input_Product=Elig!$C1373,Elig_MatchAll_Ct&lt;22,$BC1373=(Elig_MatchAll_Ct-1),AJ1373=0),G1373,0)</f>
        <v>0</v>
      </c>
      <c r="BM1373" s="991">
        <f>IF(AND(Input_Product=Elig!$C1373,Elig_MatchAll_Ct&lt;22,$BC1373=(Elig_MatchAll_Ct-1),AK1373=0),H1373,0)</f>
        <v>0</v>
      </c>
      <c r="BN1373" s="991">
        <f>IF(AND(Input_Product=Elig!$C1373,Elig_MatchAll_Ct&lt;22,$BC1373=(Elig_MatchAll_Ct-1),AL1373=0),I1373,0)</f>
        <v>0</v>
      </c>
      <c r="BO1373" s="991">
        <f>IF(AND(Input_Product=Elig!$C1373,Elig_MatchAll_Ct&lt;22,$BC1373=(Elig_MatchAll_Ct-1),AM1373=0),J1373,0)</f>
        <v>0</v>
      </c>
      <c r="BP1373" s="991">
        <f>IF(AND(Input_Product=Elig!$C1373,Elig_MatchAll_Ct&lt;22,$BC1373=(Elig_MatchAll_Ct-1),AN1373=0),K1373,0)</f>
        <v>0</v>
      </c>
      <c r="BQ1373" s="991">
        <f>IF(AND(Input_Product=Elig!$C1373,Elig_MatchAll_Ct&lt;22,$BC1373=(Elig_MatchAll_Ct-1),AP1373=0),L1373,0)</f>
        <v>0</v>
      </c>
      <c r="BR1373" s="991">
        <f>IF(AND(Input_Product=Elig!$C1373,Elig_MatchAll_Ct&lt;22,$BC1373=(Elig_MatchAll_Ct-1),AO1373=0),M1373,0)</f>
        <v>0</v>
      </c>
      <c r="BS1373" s="991">
        <f>IF(AND(Input_Product=Elig!$C1373,Elig_MatchAll_Ct&lt;22,$BC1373=(Elig_MatchAll_Ct-1),AQ1373=0),N1373,0)</f>
        <v>0</v>
      </c>
      <c r="BT1373" s="991">
        <f>IF(AND(Input_Product=Elig!$C1373,Elig_MatchAll_Ct&lt;22,$BC1373=(Elig_MatchAll_Ct-1),AR1373=0),O1373,0)</f>
        <v>0</v>
      </c>
      <c r="BU1373" s="991">
        <f>IF(AND(Input_Product=Elig!$C1373,Elig_MatchAll_Ct&lt;22,$BC1373=(Elig_MatchAll_Ct-1),AS1373=0),P1373,0)</f>
        <v>0</v>
      </c>
      <c r="BV1373" s="992">
        <f>IF(AND(Input_Product=Elig!$C1373,Elig_MatchAll_Ct&lt;22,$BC1373=(Elig_MatchAll_Ct-1),AT1373=0),Q1373,0)</f>
        <v>0</v>
      </c>
      <c r="BW1373" s="993">
        <f>IF(AND(Input_Product=Elig!$C1373,Elig_MatchAll_Ct&lt;22,$BC1373=(Elig_MatchAll_Ct-1),AU1373=0),R1373,0)</f>
        <v>0</v>
      </c>
      <c r="BX1373" s="994">
        <f>IF(AND(Input_Product=Elig!$C1373,Elig_MatchAll_Ct&lt;22,$BC1373=(Elig_MatchAll_Ct-1),AU1373=0),S1373,0)</f>
        <v>0</v>
      </c>
      <c r="BY1373" s="993">
        <f>IF(AND(Input_Product=Elig!$C1373,Elig_MatchAll_Ct&lt;22,$BC1373=(Elig_MatchAll_Ct-1),AV1373=0),T1373,0)</f>
        <v>0</v>
      </c>
      <c r="BZ1373" s="994">
        <f>IF(AND(Input_Product=Elig!$C1373,Elig_MatchAll_Ct&lt;22,$BC1373=(Elig_MatchAll_Ct-1),AV1373=0),U1373,0)</f>
        <v>0</v>
      </c>
      <c r="CA1373" s="993">
        <f>IF(AND(Input_Product=Elig!$C1373,Elig_MatchAll_Ct&lt;22,$BC1373=(Elig_MatchAll_Ct-1),AW1373=0),V1373,0)</f>
        <v>0</v>
      </c>
      <c r="CB1373" s="994">
        <f>IF(AND(Input_Product=Elig!$C1373,Elig_MatchAll_Ct&lt;22,$BC1373=(Elig_MatchAll_Ct-1),AW1373=0),W1373,0)</f>
        <v>0</v>
      </c>
      <c r="CC1373" s="993">
        <f>IF(AND(Input_Product=Elig!$C1373,Elig_MatchAll_Ct&lt;22,$BC1373=(Elig_MatchAll_Ct-1),AX1373=0),X1373,0)</f>
        <v>0</v>
      </c>
      <c r="CD1373" s="994">
        <f>IF(AND(Input_Product=Elig!$C1373,Elig_MatchAll_Ct&lt;22,$BC1373=(Elig_MatchAll_Ct-1),AX1373=0),Y1373,0)</f>
        <v>0</v>
      </c>
      <c r="CE1373" s="993">
        <f>IF(AND(Input_LTV&lt;=AE1373,Input_Product=Elig!$C1373,Elig_MatchAll_Ct&lt;22,$BC1373=(Elig_MatchAll_Ct-1),AY1373=0),Z1373,0)</f>
        <v>0</v>
      </c>
      <c r="CF1373" s="994">
        <f>IF(AND(Input_LTV&lt;=AE1373,Input_Product=Elig!$C1373,Elig_MatchAll_Ct&lt;22,$BC1373=(Elig_MatchAll_Ct-1),AY1373=0),AA1373,0)</f>
        <v>0</v>
      </c>
      <c r="CG1373" s="993">
        <f>IF(AND(Input_Product=Elig!$C1373,Elig_MatchAll_Ct&lt;22,$BC1373=(Elig_MatchAll_Ct-1),AZ1373=0),AB1373,0)</f>
        <v>0</v>
      </c>
      <c r="CH1373" s="994">
        <f>IF(AND(Input_Product=Elig!$C1373,Elig_MatchAll_Ct&lt;22,$BC1373=(Elig_MatchAll_Ct-1),AZ1373=0),AC1373,0)</f>
        <v>0</v>
      </c>
      <c r="CI1373" s="993">
        <f>IF(AND(Input_Product=Elig!$C1373,Elig_MatchAll_Ct&lt;22,$BC1373=(Elig_MatchAll_Ct-1),BA1373=0),AD1373,0)</f>
        <v>0</v>
      </c>
      <c r="CJ1373" s="994">
        <f>IF(AND(Input_Product=Elig!$C1373,Elig_MatchAll_Ct&lt;22,$BC1373=(Elig_MatchAll_Ct-1),BA1373=0),AE1373,0)</f>
        <v>0</v>
      </c>
    </row>
    <row r="1374" spans="2:88" ht="10.15" customHeight="1" x14ac:dyDescent="0.25">
      <c r="B1374" s="1538" t="s">
        <v>3572</v>
      </c>
      <c r="C1374" s="1538" t="str">
        <f t="shared" si="486"/>
        <v xml:space="preserve">  NOO</v>
      </c>
      <c r="D1374" s="1538" t="s">
        <v>2764</v>
      </c>
      <c r="E1374" s="1538" t="s">
        <v>167</v>
      </c>
      <c r="F1374" s="1538" t="s">
        <v>2765</v>
      </c>
      <c r="G1374" s="1538" t="s">
        <v>2766</v>
      </c>
      <c r="H1374" s="1538" t="s">
        <v>2767</v>
      </c>
      <c r="I1374" s="1539" t="s">
        <v>34</v>
      </c>
      <c r="J1374" s="1539" t="s">
        <v>1311</v>
      </c>
      <c r="K1374" s="1539" t="s">
        <v>3023</v>
      </c>
      <c r="L1374" s="1538" t="s">
        <v>2768</v>
      </c>
      <c r="M1374" s="1538" t="s">
        <v>2677</v>
      </c>
      <c r="N1374" s="1538" t="s">
        <v>2685</v>
      </c>
      <c r="O1374" s="1538" t="s">
        <v>310</v>
      </c>
      <c r="P1374" s="1538" t="s">
        <v>291</v>
      </c>
      <c r="Q1374" s="1538" t="s">
        <v>294</v>
      </c>
      <c r="R1374" s="1538">
        <v>1500000.01</v>
      </c>
      <c r="S1374" s="1538">
        <v>2000000</v>
      </c>
      <c r="T1374" s="1538">
        <v>0</v>
      </c>
      <c r="U1374" s="1538">
        <v>0</v>
      </c>
      <c r="V1374" s="1538">
        <v>0</v>
      </c>
      <c r="W1374" s="1538">
        <v>55</v>
      </c>
      <c r="X1374" s="1538">
        <v>0</v>
      </c>
      <c r="Y1374" s="1538">
        <v>0</v>
      </c>
      <c r="Z1374" s="1540">
        <v>680</v>
      </c>
      <c r="AA1374" s="1540">
        <v>699</v>
      </c>
      <c r="AB1374" s="1540">
        <v>6</v>
      </c>
      <c r="AC1374" s="1540">
        <v>999999</v>
      </c>
      <c r="AD1374" s="1538">
        <v>0</v>
      </c>
      <c r="AE1374" s="1545">
        <v>80</v>
      </c>
      <c r="AF1374" s="170">
        <v>0</v>
      </c>
      <c r="AG1374" s="171">
        <v>1</v>
      </c>
      <c r="AH1374" s="171">
        <v>1</v>
      </c>
      <c r="AI1374" s="171">
        <v>1</v>
      </c>
      <c r="AJ1374" s="171">
        <v>1</v>
      </c>
      <c r="AK1374" s="171">
        <v>1</v>
      </c>
      <c r="AL1374" s="171">
        <v>0</v>
      </c>
      <c r="AM1374" s="171">
        <v>1</v>
      </c>
      <c r="AN1374" s="171">
        <v>1</v>
      </c>
      <c r="AO1374" s="171">
        <v>1</v>
      </c>
      <c r="AP1374" s="171">
        <v>1</v>
      </c>
      <c r="AQ1374" s="171">
        <v>1</v>
      </c>
      <c r="AR1374" s="171">
        <v>1</v>
      </c>
      <c r="AS1374" s="171">
        <v>1</v>
      </c>
      <c r="AT1374" s="171">
        <v>1</v>
      </c>
      <c r="AU1374" s="171">
        <f t="shared" si="474"/>
        <v>0</v>
      </c>
      <c r="AV1374" s="171">
        <f t="shared" si="475"/>
        <v>0</v>
      </c>
      <c r="AW1374" s="171">
        <f t="shared" si="476"/>
        <v>1</v>
      </c>
      <c r="AX1374" s="171">
        <f t="shared" si="485"/>
        <v>1</v>
      </c>
      <c r="AY1374" s="171">
        <f t="shared" si="477"/>
        <v>0</v>
      </c>
      <c r="AZ1374" s="171">
        <f t="shared" si="478"/>
        <v>1</v>
      </c>
      <c r="BA1374" s="172">
        <f t="shared" si="479"/>
        <v>1</v>
      </c>
      <c r="BB1374" s="175">
        <f t="shared" si="481"/>
        <v>17</v>
      </c>
      <c r="BC1374" s="176">
        <f t="shared" si="482"/>
        <v>16</v>
      </c>
      <c r="BD1374" s="176">
        <f t="shared" si="483"/>
        <v>17</v>
      </c>
      <c r="BE1374" s="240" t="str">
        <f t="shared" si="473"/>
        <v/>
      </c>
      <c r="BF1374" s="990"/>
      <c r="BG1374" s="990"/>
      <c r="BH1374" s="991">
        <f>IF(AND(Input_Product=Elig!$C1374,Elig_MatchAll_Ct&lt;22,$BC1374=(Elig_MatchAll_Ct-1),AF1374=0),C1374,0)</f>
        <v>0</v>
      </c>
      <c r="BI1374" s="991">
        <f>IF(AND(Input_Product=Elig!$C1374,Elig_MatchAll_Ct&lt;22,$BC1374=(Elig_MatchAll_Ct-1),AG1374=0),D1374,0)</f>
        <v>0</v>
      </c>
      <c r="BJ1374" s="991">
        <f>IF(AND(Input_Product=Elig!$C1374,Elig_MatchAll_Ct&lt;22,$BC1374=(Elig_MatchAll_Ct-1),AH1374=0),E1374,0)</f>
        <v>0</v>
      </c>
      <c r="BK1374" s="991">
        <f>IF(AND(Input_Product=Elig!$C1374,Elig_MatchAll_Ct&lt;22,$BC1374=(Elig_MatchAll_Ct-1),AI1374=0),F1374,0)</f>
        <v>0</v>
      </c>
      <c r="BL1374" s="991">
        <f>IF(AND(Input_Product=Elig!$C1374,Elig_MatchAll_Ct&lt;22,$BC1374=(Elig_MatchAll_Ct-1),AJ1374=0),G1374,0)</f>
        <v>0</v>
      </c>
      <c r="BM1374" s="991">
        <f>IF(AND(Input_Product=Elig!$C1374,Elig_MatchAll_Ct&lt;22,$BC1374=(Elig_MatchAll_Ct-1),AK1374=0),H1374,0)</f>
        <v>0</v>
      </c>
      <c r="BN1374" s="991">
        <f>IF(AND(Input_Product=Elig!$C1374,Elig_MatchAll_Ct&lt;22,$BC1374=(Elig_MatchAll_Ct-1),AL1374=0),I1374,0)</f>
        <v>0</v>
      </c>
      <c r="BO1374" s="991">
        <f>IF(AND(Input_Product=Elig!$C1374,Elig_MatchAll_Ct&lt;22,$BC1374=(Elig_MatchAll_Ct-1),AM1374=0),J1374,0)</f>
        <v>0</v>
      </c>
      <c r="BP1374" s="991">
        <f>IF(AND(Input_Product=Elig!$C1374,Elig_MatchAll_Ct&lt;22,$BC1374=(Elig_MatchAll_Ct-1),AN1374=0),K1374,0)</f>
        <v>0</v>
      </c>
      <c r="BQ1374" s="991">
        <f>IF(AND(Input_Product=Elig!$C1374,Elig_MatchAll_Ct&lt;22,$BC1374=(Elig_MatchAll_Ct-1),AP1374=0),L1374,0)</f>
        <v>0</v>
      </c>
      <c r="BR1374" s="991">
        <f>IF(AND(Input_Product=Elig!$C1374,Elig_MatchAll_Ct&lt;22,$BC1374=(Elig_MatchAll_Ct-1),AO1374=0),M1374,0)</f>
        <v>0</v>
      </c>
      <c r="BS1374" s="991">
        <f>IF(AND(Input_Product=Elig!$C1374,Elig_MatchAll_Ct&lt;22,$BC1374=(Elig_MatchAll_Ct-1),AQ1374=0),N1374,0)</f>
        <v>0</v>
      </c>
      <c r="BT1374" s="991">
        <f>IF(AND(Input_Product=Elig!$C1374,Elig_MatchAll_Ct&lt;22,$BC1374=(Elig_MatchAll_Ct-1),AR1374=0),O1374,0)</f>
        <v>0</v>
      </c>
      <c r="BU1374" s="991">
        <f>IF(AND(Input_Product=Elig!$C1374,Elig_MatchAll_Ct&lt;22,$BC1374=(Elig_MatchAll_Ct-1),AS1374=0),P1374,0)</f>
        <v>0</v>
      </c>
      <c r="BV1374" s="992">
        <f>IF(AND(Input_Product=Elig!$C1374,Elig_MatchAll_Ct&lt;22,$BC1374=(Elig_MatchAll_Ct-1),AT1374=0),Q1374,0)</f>
        <v>0</v>
      </c>
      <c r="BW1374" s="993">
        <f>IF(AND(Input_Product=Elig!$C1374,Elig_MatchAll_Ct&lt;22,$BC1374=(Elig_MatchAll_Ct-1),AU1374=0),R1374,0)</f>
        <v>0</v>
      </c>
      <c r="BX1374" s="994">
        <f>IF(AND(Input_Product=Elig!$C1374,Elig_MatchAll_Ct&lt;22,$BC1374=(Elig_MatchAll_Ct-1),AU1374=0),S1374,0)</f>
        <v>0</v>
      </c>
      <c r="BY1374" s="993">
        <f>IF(AND(Input_Product=Elig!$C1374,Elig_MatchAll_Ct&lt;22,$BC1374=(Elig_MatchAll_Ct-1),AV1374=0),T1374,0)</f>
        <v>0</v>
      </c>
      <c r="BZ1374" s="994">
        <f>IF(AND(Input_Product=Elig!$C1374,Elig_MatchAll_Ct&lt;22,$BC1374=(Elig_MatchAll_Ct-1),AV1374=0),U1374,0)</f>
        <v>0</v>
      </c>
      <c r="CA1374" s="993">
        <f>IF(AND(Input_Product=Elig!$C1374,Elig_MatchAll_Ct&lt;22,$BC1374=(Elig_MatchAll_Ct-1),AW1374=0),V1374,0)</f>
        <v>0</v>
      </c>
      <c r="CB1374" s="994">
        <f>IF(AND(Input_Product=Elig!$C1374,Elig_MatchAll_Ct&lt;22,$BC1374=(Elig_MatchAll_Ct-1),AW1374=0),W1374,0)</f>
        <v>0</v>
      </c>
      <c r="CC1374" s="993">
        <f>IF(AND(Input_Product=Elig!$C1374,Elig_MatchAll_Ct&lt;22,$BC1374=(Elig_MatchAll_Ct-1),AX1374=0),X1374,0)</f>
        <v>0</v>
      </c>
      <c r="CD1374" s="994">
        <f>IF(AND(Input_Product=Elig!$C1374,Elig_MatchAll_Ct&lt;22,$BC1374=(Elig_MatchAll_Ct-1),AX1374=0),Y1374,0)</f>
        <v>0</v>
      </c>
      <c r="CE1374" s="993">
        <f>IF(AND(Input_LTV&lt;=AE1374,Input_Product=Elig!$C1374,Elig_MatchAll_Ct&lt;22,$BC1374=(Elig_MatchAll_Ct-1),AY1374=0),Z1374,0)</f>
        <v>0</v>
      </c>
      <c r="CF1374" s="994">
        <f>IF(AND(Input_LTV&lt;=AE1374,Input_Product=Elig!$C1374,Elig_MatchAll_Ct&lt;22,$BC1374=(Elig_MatchAll_Ct-1),AY1374=0),AA1374,0)</f>
        <v>0</v>
      </c>
      <c r="CG1374" s="993">
        <f>IF(AND(Input_Product=Elig!$C1374,Elig_MatchAll_Ct&lt;22,$BC1374=(Elig_MatchAll_Ct-1),AZ1374=0),AB1374,0)</f>
        <v>0</v>
      </c>
      <c r="CH1374" s="994">
        <f>IF(AND(Input_Product=Elig!$C1374,Elig_MatchAll_Ct&lt;22,$BC1374=(Elig_MatchAll_Ct-1),AZ1374=0),AC1374,0)</f>
        <v>0</v>
      </c>
      <c r="CI1374" s="993">
        <f>IF(AND(Input_Product=Elig!$C1374,Elig_MatchAll_Ct&lt;22,$BC1374=(Elig_MatchAll_Ct-1),BA1374=0),AD1374,0)</f>
        <v>0</v>
      </c>
      <c r="CJ1374" s="994">
        <f>IF(AND(Input_Product=Elig!$C1374,Elig_MatchAll_Ct&lt;22,$BC1374=(Elig_MatchAll_Ct-1),BA1374=0),AE1374,0)</f>
        <v>0</v>
      </c>
    </row>
    <row r="1375" spans="2:88" ht="10.15" customHeight="1" x14ac:dyDescent="0.25">
      <c r="B1375" s="1538" t="s">
        <v>3573</v>
      </c>
      <c r="C1375" s="1538" t="str">
        <f t="shared" si="486"/>
        <v xml:space="preserve">  NOO</v>
      </c>
      <c r="D1375" s="1538" t="s">
        <v>2764</v>
      </c>
      <c r="E1375" s="1538" t="s">
        <v>167</v>
      </c>
      <c r="F1375" s="1538" t="s">
        <v>2765</v>
      </c>
      <c r="G1375" s="1538" t="s">
        <v>2766</v>
      </c>
      <c r="H1375" s="1538" t="s">
        <v>2767</v>
      </c>
      <c r="I1375" s="1539" t="s">
        <v>34</v>
      </c>
      <c r="J1375" s="1539" t="s">
        <v>1311</v>
      </c>
      <c r="K1375" s="1539" t="s">
        <v>3023</v>
      </c>
      <c r="L1375" s="1538" t="s">
        <v>2768</v>
      </c>
      <c r="M1375" s="1538" t="s">
        <v>2677</v>
      </c>
      <c r="N1375" s="1538" t="s">
        <v>2685</v>
      </c>
      <c r="O1375" s="1538" t="s">
        <v>310</v>
      </c>
      <c r="P1375" s="1538" t="s">
        <v>291</v>
      </c>
      <c r="Q1375" s="1538" t="s">
        <v>294</v>
      </c>
      <c r="R1375" s="1538">
        <v>2000000.01</v>
      </c>
      <c r="S1375" s="1538">
        <v>2500000</v>
      </c>
      <c r="T1375" s="1538">
        <v>0</v>
      </c>
      <c r="U1375" s="1538">
        <v>0</v>
      </c>
      <c r="V1375" s="1538">
        <v>0</v>
      </c>
      <c r="W1375" s="1538">
        <v>55</v>
      </c>
      <c r="X1375" s="1538">
        <v>0</v>
      </c>
      <c r="Y1375" s="1538">
        <v>0</v>
      </c>
      <c r="Z1375" s="1540">
        <v>680</v>
      </c>
      <c r="AA1375" s="1540">
        <v>699</v>
      </c>
      <c r="AB1375" s="1540">
        <v>6</v>
      </c>
      <c r="AC1375" s="1540">
        <v>999999</v>
      </c>
      <c r="AD1375" s="1538">
        <v>0</v>
      </c>
      <c r="AE1375" s="1545">
        <v>75</v>
      </c>
      <c r="AF1375" s="170">
        <v>0</v>
      </c>
      <c r="AG1375" s="171">
        <v>1</v>
      </c>
      <c r="AH1375" s="171">
        <v>1</v>
      </c>
      <c r="AI1375" s="171">
        <v>1</v>
      </c>
      <c r="AJ1375" s="171">
        <v>1</v>
      </c>
      <c r="AK1375" s="171">
        <v>1</v>
      </c>
      <c r="AL1375" s="171">
        <v>0</v>
      </c>
      <c r="AM1375" s="171">
        <v>1</v>
      </c>
      <c r="AN1375" s="171">
        <v>1</v>
      </c>
      <c r="AO1375" s="171">
        <v>1</v>
      </c>
      <c r="AP1375" s="171">
        <v>1</v>
      </c>
      <c r="AQ1375" s="171">
        <v>1</v>
      </c>
      <c r="AR1375" s="171">
        <v>1</v>
      </c>
      <c r="AS1375" s="171">
        <v>1</v>
      </c>
      <c r="AT1375" s="171">
        <v>1</v>
      </c>
      <c r="AU1375" s="171">
        <f t="shared" si="474"/>
        <v>0</v>
      </c>
      <c r="AV1375" s="171">
        <f t="shared" si="475"/>
        <v>0</v>
      </c>
      <c r="AW1375" s="171">
        <f t="shared" si="476"/>
        <v>1</v>
      </c>
      <c r="AX1375" s="171">
        <f t="shared" si="485"/>
        <v>1</v>
      </c>
      <c r="AY1375" s="171">
        <f t="shared" si="477"/>
        <v>0</v>
      </c>
      <c r="AZ1375" s="171">
        <f t="shared" si="478"/>
        <v>1</v>
      </c>
      <c r="BA1375" s="172">
        <f t="shared" si="479"/>
        <v>1</v>
      </c>
      <c r="BB1375" s="175">
        <f t="shared" si="481"/>
        <v>17</v>
      </c>
      <c r="BC1375" s="176">
        <f t="shared" si="482"/>
        <v>16</v>
      </c>
      <c r="BD1375" s="176">
        <f t="shared" si="483"/>
        <v>17</v>
      </c>
      <c r="BE1375" s="240" t="str">
        <f t="shared" si="473"/>
        <v/>
      </c>
      <c r="BF1375" s="990"/>
      <c r="BG1375" s="990"/>
      <c r="BH1375" s="991">
        <f>IF(AND(Input_Product=Elig!$C1375,Elig_MatchAll_Ct&lt;22,$BC1375=(Elig_MatchAll_Ct-1),AF1375=0),C1375,0)</f>
        <v>0</v>
      </c>
      <c r="BI1375" s="991">
        <f>IF(AND(Input_Product=Elig!$C1375,Elig_MatchAll_Ct&lt;22,$BC1375=(Elig_MatchAll_Ct-1),AG1375=0),D1375,0)</f>
        <v>0</v>
      </c>
      <c r="BJ1375" s="991">
        <f>IF(AND(Input_Product=Elig!$C1375,Elig_MatchAll_Ct&lt;22,$BC1375=(Elig_MatchAll_Ct-1),AH1375=0),E1375,0)</f>
        <v>0</v>
      </c>
      <c r="BK1375" s="991">
        <f>IF(AND(Input_Product=Elig!$C1375,Elig_MatchAll_Ct&lt;22,$BC1375=(Elig_MatchAll_Ct-1),AI1375=0),F1375,0)</f>
        <v>0</v>
      </c>
      <c r="BL1375" s="991">
        <f>IF(AND(Input_Product=Elig!$C1375,Elig_MatchAll_Ct&lt;22,$BC1375=(Elig_MatchAll_Ct-1),AJ1375=0),G1375,0)</f>
        <v>0</v>
      </c>
      <c r="BM1375" s="991">
        <f>IF(AND(Input_Product=Elig!$C1375,Elig_MatchAll_Ct&lt;22,$BC1375=(Elig_MatchAll_Ct-1),AK1375=0),H1375,0)</f>
        <v>0</v>
      </c>
      <c r="BN1375" s="991">
        <f>IF(AND(Input_Product=Elig!$C1375,Elig_MatchAll_Ct&lt;22,$BC1375=(Elig_MatchAll_Ct-1),AL1375=0),I1375,0)</f>
        <v>0</v>
      </c>
      <c r="BO1375" s="991">
        <f>IF(AND(Input_Product=Elig!$C1375,Elig_MatchAll_Ct&lt;22,$BC1375=(Elig_MatchAll_Ct-1),AM1375=0),J1375,0)</f>
        <v>0</v>
      </c>
      <c r="BP1375" s="991">
        <f>IF(AND(Input_Product=Elig!$C1375,Elig_MatchAll_Ct&lt;22,$BC1375=(Elig_MatchAll_Ct-1),AN1375=0),K1375,0)</f>
        <v>0</v>
      </c>
      <c r="BQ1375" s="991">
        <f>IF(AND(Input_Product=Elig!$C1375,Elig_MatchAll_Ct&lt;22,$BC1375=(Elig_MatchAll_Ct-1),AP1375=0),L1375,0)</f>
        <v>0</v>
      </c>
      <c r="BR1375" s="991">
        <f>IF(AND(Input_Product=Elig!$C1375,Elig_MatchAll_Ct&lt;22,$BC1375=(Elig_MatchAll_Ct-1),AO1375=0),M1375,0)</f>
        <v>0</v>
      </c>
      <c r="BS1375" s="991">
        <f>IF(AND(Input_Product=Elig!$C1375,Elig_MatchAll_Ct&lt;22,$BC1375=(Elig_MatchAll_Ct-1),AQ1375=0),N1375,0)</f>
        <v>0</v>
      </c>
      <c r="BT1375" s="991">
        <f>IF(AND(Input_Product=Elig!$C1375,Elig_MatchAll_Ct&lt;22,$BC1375=(Elig_MatchAll_Ct-1),AR1375=0),O1375,0)</f>
        <v>0</v>
      </c>
      <c r="BU1375" s="991">
        <f>IF(AND(Input_Product=Elig!$C1375,Elig_MatchAll_Ct&lt;22,$BC1375=(Elig_MatchAll_Ct-1),AS1375=0),P1375,0)</f>
        <v>0</v>
      </c>
      <c r="BV1375" s="992">
        <f>IF(AND(Input_Product=Elig!$C1375,Elig_MatchAll_Ct&lt;22,$BC1375=(Elig_MatchAll_Ct-1),AT1375=0),Q1375,0)</f>
        <v>0</v>
      </c>
      <c r="BW1375" s="993">
        <f>IF(AND(Input_Product=Elig!$C1375,Elig_MatchAll_Ct&lt;22,$BC1375=(Elig_MatchAll_Ct-1),AU1375=0),R1375,0)</f>
        <v>0</v>
      </c>
      <c r="BX1375" s="994">
        <f>IF(AND(Input_Product=Elig!$C1375,Elig_MatchAll_Ct&lt;22,$BC1375=(Elig_MatchAll_Ct-1),AU1375=0),S1375,0)</f>
        <v>0</v>
      </c>
      <c r="BY1375" s="993">
        <f>IF(AND(Input_Product=Elig!$C1375,Elig_MatchAll_Ct&lt;22,$BC1375=(Elig_MatchAll_Ct-1),AV1375=0),T1375,0)</f>
        <v>0</v>
      </c>
      <c r="BZ1375" s="994">
        <f>IF(AND(Input_Product=Elig!$C1375,Elig_MatchAll_Ct&lt;22,$BC1375=(Elig_MatchAll_Ct-1),AV1375=0),U1375,0)</f>
        <v>0</v>
      </c>
      <c r="CA1375" s="993">
        <f>IF(AND(Input_Product=Elig!$C1375,Elig_MatchAll_Ct&lt;22,$BC1375=(Elig_MatchAll_Ct-1),AW1375=0),V1375,0)</f>
        <v>0</v>
      </c>
      <c r="CB1375" s="994">
        <f>IF(AND(Input_Product=Elig!$C1375,Elig_MatchAll_Ct&lt;22,$BC1375=(Elig_MatchAll_Ct-1),AW1375=0),W1375,0)</f>
        <v>0</v>
      </c>
      <c r="CC1375" s="993">
        <f>IF(AND(Input_Product=Elig!$C1375,Elig_MatchAll_Ct&lt;22,$BC1375=(Elig_MatchAll_Ct-1),AX1375=0),X1375,0)</f>
        <v>0</v>
      </c>
      <c r="CD1375" s="994">
        <f>IF(AND(Input_Product=Elig!$C1375,Elig_MatchAll_Ct&lt;22,$BC1375=(Elig_MatchAll_Ct-1),AX1375=0),Y1375,0)</f>
        <v>0</v>
      </c>
      <c r="CE1375" s="993">
        <f>IF(AND(Input_LTV&lt;=AE1375,Input_Product=Elig!$C1375,Elig_MatchAll_Ct&lt;22,$BC1375=(Elig_MatchAll_Ct-1),AY1375=0),Z1375,0)</f>
        <v>0</v>
      </c>
      <c r="CF1375" s="994">
        <f>IF(AND(Input_LTV&lt;=AE1375,Input_Product=Elig!$C1375,Elig_MatchAll_Ct&lt;22,$BC1375=(Elig_MatchAll_Ct-1),AY1375=0),AA1375,0)</f>
        <v>0</v>
      </c>
      <c r="CG1375" s="993">
        <f>IF(AND(Input_Product=Elig!$C1375,Elig_MatchAll_Ct&lt;22,$BC1375=(Elig_MatchAll_Ct-1),AZ1375=0),AB1375,0)</f>
        <v>0</v>
      </c>
      <c r="CH1375" s="994">
        <f>IF(AND(Input_Product=Elig!$C1375,Elig_MatchAll_Ct&lt;22,$BC1375=(Elig_MatchAll_Ct-1),AZ1375=0),AC1375,0)</f>
        <v>0</v>
      </c>
      <c r="CI1375" s="993">
        <f>IF(AND(Input_Product=Elig!$C1375,Elig_MatchAll_Ct&lt;22,$BC1375=(Elig_MatchAll_Ct-1),BA1375=0),AD1375,0)</f>
        <v>0</v>
      </c>
      <c r="CJ1375" s="994">
        <f>IF(AND(Input_Product=Elig!$C1375,Elig_MatchAll_Ct&lt;22,$BC1375=(Elig_MatchAll_Ct-1),BA1375=0),AE1375,0)</f>
        <v>0</v>
      </c>
    </row>
    <row r="1376" spans="2:88" ht="10.15" customHeight="1" x14ac:dyDescent="0.25">
      <c r="B1376" s="1538" t="s">
        <v>3574</v>
      </c>
      <c r="C1376" s="1538" t="str">
        <f t="shared" si="486"/>
        <v xml:space="preserve">  NOO</v>
      </c>
      <c r="D1376" s="1538" t="s">
        <v>2764</v>
      </c>
      <c r="E1376" s="1538" t="s">
        <v>167</v>
      </c>
      <c r="F1376" s="1538" t="s">
        <v>2765</v>
      </c>
      <c r="G1376" s="1538" t="s">
        <v>2766</v>
      </c>
      <c r="H1376" s="1538" t="s">
        <v>2767</v>
      </c>
      <c r="I1376" s="1539" t="s">
        <v>34</v>
      </c>
      <c r="J1376" s="1539" t="s">
        <v>1311</v>
      </c>
      <c r="K1376" s="1539" t="s">
        <v>3023</v>
      </c>
      <c r="L1376" s="1538" t="s">
        <v>2768</v>
      </c>
      <c r="M1376" s="1538" t="s">
        <v>2677</v>
      </c>
      <c r="N1376" s="1538" t="s">
        <v>2685</v>
      </c>
      <c r="O1376" s="1538" t="s">
        <v>310</v>
      </c>
      <c r="P1376" s="1538" t="s">
        <v>291</v>
      </c>
      <c r="Q1376" s="1538" t="s">
        <v>294</v>
      </c>
      <c r="R1376" s="1538">
        <v>2500000.0099999998</v>
      </c>
      <c r="S1376" s="1538">
        <v>3000000</v>
      </c>
      <c r="T1376" s="1538">
        <v>0</v>
      </c>
      <c r="U1376" s="1538">
        <v>0</v>
      </c>
      <c r="V1376" s="1538">
        <v>0</v>
      </c>
      <c r="W1376" s="1538">
        <v>55</v>
      </c>
      <c r="X1376" s="1538">
        <v>0</v>
      </c>
      <c r="Y1376" s="1538">
        <v>0</v>
      </c>
      <c r="Z1376" s="1540">
        <v>680</v>
      </c>
      <c r="AA1376" s="1540">
        <v>699</v>
      </c>
      <c r="AB1376" s="1540">
        <v>6</v>
      </c>
      <c r="AC1376" s="1540">
        <v>999999</v>
      </c>
      <c r="AD1376" s="1538">
        <v>0</v>
      </c>
      <c r="AE1376" s="1545">
        <v>70</v>
      </c>
      <c r="AF1376" s="170">
        <v>0</v>
      </c>
      <c r="AG1376" s="171">
        <v>1</v>
      </c>
      <c r="AH1376" s="171">
        <v>1</v>
      </c>
      <c r="AI1376" s="171">
        <v>1</v>
      </c>
      <c r="AJ1376" s="171">
        <v>1</v>
      </c>
      <c r="AK1376" s="171">
        <v>1</v>
      </c>
      <c r="AL1376" s="171">
        <v>0</v>
      </c>
      <c r="AM1376" s="171">
        <v>1</v>
      </c>
      <c r="AN1376" s="171">
        <v>1</v>
      </c>
      <c r="AO1376" s="171">
        <v>1</v>
      </c>
      <c r="AP1376" s="171">
        <v>1</v>
      </c>
      <c r="AQ1376" s="171">
        <v>1</v>
      </c>
      <c r="AR1376" s="171">
        <v>1</v>
      </c>
      <c r="AS1376" s="171">
        <v>1</v>
      </c>
      <c r="AT1376" s="171">
        <v>1</v>
      </c>
      <c r="AU1376" s="171">
        <f t="shared" si="474"/>
        <v>0</v>
      </c>
      <c r="AV1376" s="171">
        <f t="shared" si="475"/>
        <v>0</v>
      </c>
      <c r="AW1376" s="171">
        <f t="shared" si="476"/>
        <v>1</v>
      </c>
      <c r="AX1376" s="171">
        <f t="shared" si="485"/>
        <v>1</v>
      </c>
      <c r="AY1376" s="171">
        <f t="shared" si="477"/>
        <v>0</v>
      </c>
      <c r="AZ1376" s="171">
        <f t="shared" si="478"/>
        <v>1</v>
      </c>
      <c r="BA1376" s="172">
        <f t="shared" si="479"/>
        <v>1</v>
      </c>
      <c r="BB1376" s="175">
        <f t="shared" si="481"/>
        <v>17</v>
      </c>
      <c r="BC1376" s="176">
        <f t="shared" si="482"/>
        <v>16</v>
      </c>
      <c r="BD1376" s="176">
        <f t="shared" si="483"/>
        <v>17</v>
      </c>
      <c r="BE1376" s="240" t="str">
        <f t="shared" si="473"/>
        <v/>
      </c>
      <c r="BF1376" s="990"/>
      <c r="BG1376" s="990"/>
      <c r="BH1376" s="991">
        <f>IF(AND(Input_Product=Elig!$C1376,Elig_MatchAll_Ct&lt;22,$BC1376=(Elig_MatchAll_Ct-1),AF1376=0),C1376,0)</f>
        <v>0</v>
      </c>
      <c r="BI1376" s="991">
        <f>IF(AND(Input_Product=Elig!$C1376,Elig_MatchAll_Ct&lt;22,$BC1376=(Elig_MatchAll_Ct-1),AG1376=0),D1376,0)</f>
        <v>0</v>
      </c>
      <c r="BJ1376" s="991">
        <f>IF(AND(Input_Product=Elig!$C1376,Elig_MatchAll_Ct&lt;22,$BC1376=(Elig_MatchAll_Ct-1),AH1376=0),E1376,0)</f>
        <v>0</v>
      </c>
      <c r="BK1376" s="991">
        <f>IF(AND(Input_Product=Elig!$C1376,Elig_MatchAll_Ct&lt;22,$BC1376=(Elig_MatchAll_Ct-1),AI1376=0),F1376,0)</f>
        <v>0</v>
      </c>
      <c r="BL1376" s="991">
        <f>IF(AND(Input_Product=Elig!$C1376,Elig_MatchAll_Ct&lt;22,$BC1376=(Elig_MatchAll_Ct-1),AJ1376=0),G1376,0)</f>
        <v>0</v>
      </c>
      <c r="BM1376" s="991">
        <f>IF(AND(Input_Product=Elig!$C1376,Elig_MatchAll_Ct&lt;22,$BC1376=(Elig_MatchAll_Ct-1),AK1376=0),H1376,0)</f>
        <v>0</v>
      </c>
      <c r="BN1376" s="991">
        <f>IF(AND(Input_Product=Elig!$C1376,Elig_MatchAll_Ct&lt;22,$BC1376=(Elig_MatchAll_Ct-1),AL1376=0),I1376,0)</f>
        <v>0</v>
      </c>
      <c r="BO1376" s="991">
        <f>IF(AND(Input_Product=Elig!$C1376,Elig_MatchAll_Ct&lt;22,$BC1376=(Elig_MatchAll_Ct-1),AM1376=0),J1376,0)</f>
        <v>0</v>
      </c>
      <c r="BP1376" s="991">
        <f>IF(AND(Input_Product=Elig!$C1376,Elig_MatchAll_Ct&lt;22,$BC1376=(Elig_MatchAll_Ct-1),AN1376=0),K1376,0)</f>
        <v>0</v>
      </c>
      <c r="BQ1376" s="991">
        <f>IF(AND(Input_Product=Elig!$C1376,Elig_MatchAll_Ct&lt;22,$BC1376=(Elig_MatchAll_Ct-1),AP1376=0),L1376,0)</f>
        <v>0</v>
      </c>
      <c r="BR1376" s="991">
        <f>IF(AND(Input_Product=Elig!$C1376,Elig_MatchAll_Ct&lt;22,$BC1376=(Elig_MatchAll_Ct-1),AO1376=0),M1376,0)</f>
        <v>0</v>
      </c>
      <c r="BS1376" s="991">
        <f>IF(AND(Input_Product=Elig!$C1376,Elig_MatchAll_Ct&lt;22,$BC1376=(Elig_MatchAll_Ct-1),AQ1376=0),N1376,0)</f>
        <v>0</v>
      </c>
      <c r="BT1376" s="991">
        <f>IF(AND(Input_Product=Elig!$C1376,Elig_MatchAll_Ct&lt;22,$BC1376=(Elig_MatchAll_Ct-1),AR1376=0),O1376,0)</f>
        <v>0</v>
      </c>
      <c r="BU1376" s="991">
        <f>IF(AND(Input_Product=Elig!$C1376,Elig_MatchAll_Ct&lt;22,$BC1376=(Elig_MatchAll_Ct-1),AS1376=0),P1376,0)</f>
        <v>0</v>
      </c>
      <c r="BV1376" s="992">
        <f>IF(AND(Input_Product=Elig!$C1376,Elig_MatchAll_Ct&lt;22,$BC1376=(Elig_MatchAll_Ct-1),AT1376=0),Q1376,0)</f>
        <v>0</v>
      </c>
      <c r="BW1376" s="993">
        <f>IF(AND(Input_Product=Elig!$C1376,Elig_MatchAll_Ct&lt;22,$BC1376=(Elig_MatchAll_Ct-1),AU1376=0),R1376,0)</f>
        <v>0</v>
      </c>
      <c r="BX1376" s="994">
        <f>IF(AND(Input_Product=Elig!$C1376,Elig_MatchAll_Ct&lt;22,$BC1376=(Elig_MatchAll_Ct-1),AU1376=0),S1376,0)</f>
        <v>0</v>
      </c>
      <c r="BY1376" s="993">
        <f>IF(AND(Input_Product=Elig!$C1376,Elig_MatchAll_Ct&lt;22,$BC1376=(Elig_MatchAll_Ct-1),AV1376=0),T1376,0)</f>
        <v>0</v>
      </c>
      <c r="BZ1376" s="994">
        <f>IF(AND(Input_Product=Elig!$C1376,Elig_MatchAll_Ct&lt;22,$BC1376=(Elig_MatchAll_Ct-1),AV1376=0),U1376,0)</f>
        <v>0</v>
      </c>
      <c r="CA1376" s="993">
        <f>IF(AND(Input_Product=Elig!$C1376,Elig_MatchAll_Ct&lt;22,$BC1376=(Elig_MatchAll_Ct-1),AW1376=0),V1376,0)</f>
        <v>0</v>
      </c>
      <c r="CB1376" s="994">
        <f>IF(AND(Input_Product=Elig!$C1376,Elig_MatchAll_Ct&lt;22,$BC1376=(Elig_MatchAll_Ct-1),AW1376=0),W1376,0)</f>
        <v>0</v>
      </c>
      <c r="CC1376" s="993">
        <f>IF(AND(Input_Product=Elig!$C1376,Elig_MatchAll_Ct&lt;22,$BC1376=(Elig_MatchAll_Ct-1),AX1376=0),X1376,0)</f>
        <v>0</v>
      </c>
      <c r="CD1376" s="994">
        <f>IF(AND(Input_Product=Elig!$C1376,Elig_MatchAll_Ct&lt;22,$BC1376=(Elig_MatchAll_Ct-1),AX1376=0),Y1376,0)</f>
        <v>0</v>
      </c>
      <c r="CE1376" s="993">
        <f>IF(AND(Input_LTV&lt;=AE1376,Input_Product=Elig!$C1376,Elig_MatchAll_Ct&lt;22,$BC1376=(Elig_MatchAll_Ct-1),AY1376=0),Z1376,0)</f>
        <v>0</v>
      </c>
      <c r="CF1376" s="994">
        <f>IF(AND(Input_LTV&lt;=AE1376,Input_Product=Elig!$C1376,Elig_MatchAll_Ct&lt;22,$BC1376=(Elig_MatchAll_Ct-1),AY1376=0),AA1376,0)</f>
        <v>0</v>
      </c>
      <c r="CG1376" s="993">
        <f>IF(AND(Input_Product=Elig!$C1376,Elig_MatchAll_Ct&lt;22,$BC1376=(Elig_MatchAll_Ct-1),AZ1376=0),AB1376,0)</f>
        <v>0</v>
      </c>
      <c r="CH1376" s="994">
        <f>IF(AND(Input_Product=Elig!$C1376,Elig_MatchAll_Ct&lt;22,$BC1376=(Elig_MatchAll_Ct-1),AZ1376=0),AC1376,0)</f>
        <v>0</v>
      </c>
      <c r="CI1376" s="993">
        <f>IF(AND(Input_Product=Elig!$C1376,Elig_MatchAll_Ct&lt;22,$BC1376=(Elig_MatchAll_Ct-1),BA1376=0),AD1376,0)</f>
        <v>0</v>
      </c>
      <c r="CJ1376" s="994">
        <f>IF(AND(Input_Product=Elig!$C1376,Elig_MatchAll_Ct&lt;22,$BC1376=(Elig_MatchAll_Ct-1),BA1376=0),AE1376,0)</f>
        <v>0</v>
      </c>
    </row>
    <row r="1377" spans="2:88" ht="10.15" customHeight="1" x14ac:dyDescent="0.25">
      <c r="B1377" s="1538" t="s">
        <v>3575</v>
      </c>
      <c r="C1377" s="1538" t="str">
        <f t="shared" si="486"/>
        <v xml:space="preserve">  NOO</v>
      </c>
      <c r="D1377" s="1538" t="s">
        <v>2764</v>
      </c>
      <c r="E1377" s="1538" t="s">
        <v>167</v>
      </c>
      <c r="F1377" s="1538" t="s">
        <v>2765</v>
      </c>
      <c r="G1377" s="1538" t="s">
        <v>2766</v>
      </c>
      <c r="H1377" s="1538" t="s">
        <v>2767</v>
      </c>
      <c r="I1377" s="1539" t="s">
        <v>34</v>
      </c>
      <c r="J1377" s="1539" t="s">
        <v>1311</v>
      </c>
      <c r="K1377" s="1539" t="s">
        <v>3023</v>
      </c>
      <c r="L1377" s="1538" t="s">
        <v>2768</v>
      </c>
      <c r="M1377" s="1538" t="s">
        <v>2677</v>
      </c>
      <c r="N1377" s="1538" t="s">
        <v>2685</v>
      </c>
      <c r="O1377" s="1538" t="s">
        <v>310</v>
      </c>
      <c r="P1377" s="1538" t="s">
        <v>291</v>
      </c>
      <c r="Q1377" s="1538" t="s">
        <v>294</v>
      </c>
      <c r="R1377" s="1538">
        <v>150000</v>
      </c>
      <c r="S1377" s="1538">
        <v>1000000</v>
      </c>
      <c r="T1377" s="1538">
        <v>0</v>
      </c>
      <c r="U1377" s="1538">
        <v>0</v>
      </c>
      <c r="V1377" s="1538">
        <v>0</v>
      </c>
      <c r="W1377" s="1538">
        <v>55</v>
      </c>
      <c r="X1377" s="1538">
        <v>0</v>
      </c>
      <c r="Y1377" s="1538">
        <v>0</v>
      </c>
      <c r="Z1377" s="1540">
        <v>660</v>
      </c>
      <c r="AA1377" s="1540">
        <v>679</v>
      </c>
      <c r="AB1377" s="1540">
        <v>6</v>
      </c>
      <c r="AC1377" s="1540">
        <v>999999</v>
      </c>
      <c r="AD1377" s="1538">
        <v>0</v>
      </c>
      <c r="AE1377" s="1545">
        <v>80</v>
      </c>
      <c r="AF1377" s="170">
        <v>0</v>
      </c>
      <c r="AG1377" s="171">
        <v>1</v>
      </c>
      <c r="AH1377" s="171">
        <v>1</v>
      </c>
      <c r="AI1377" s="171">
        <v>1</v>
      </c>
      <c r="AJ1377" s="171">
        <v>1</v>
      </c>
      <c r="AK1377" s="171">
        <v>1</v>
      </c>
      <c r="AL1377" s="171">
        <v>0</v>
      </c>
      <c r="AM1377" s="171">
        <v>1</v>
      </c>
      <c r="AN1377" s="171">
        <v>1</v>
      </c>
      <c r="AO1377" s="171">
        <v>1</v>
      </c>
      <c r="AP1377" s="171">
        <v>1</v>
      </c>
      <c r="AQ1377" s="171">
        <v>1</v>
      </c>
      <c r="AR1377" s="171">
        <v>1</v>
      </c>
      <c r="AS1377" s="171">
        <v>1</v>
      </c>
      <c r="AT1377" s="171">
        <v>1</v>
      </c>
      <c r="AU1377" s="171">
        <f t="shared" si="474"/>
        <v>1</v>
      </c>
      <c r="AV1377" s="171">
        <f t="shared" si="475"/>
        <v>0</v>
      </c>
      <c r="AW1377" s="171">
        <f t="shared" si="476"/>
        <v>1</v>
      </c>
      <c r="AX1377" s="171">
        <f t="shared" si="485"/>
        <v>1</v>
      </c>
      <c r="AY1377" s="171">
        <f t="shared" si="477"/>
        <v>0</v>
      </c>
      <c r="AZ1377" s="171">
        <f t="shared" si="478"/>
        <v>1</v>
      </c>
      <c r="BA1377" s="172">
        <f t="shared" si="479"/>
        <v>1</v>
      </c>
      <c r="BB1377" s="175">
        <f t="shared" si="481"/>
        <v>18</v>
      </c>
      <c r="BC1377" s="176">
        <f t="shared" si="482"/>
        <v>17</v>
      </c>
      <c r="BD1377" s="176">
        <f t="shared" si="483"/>
        <v>18</v>
      </c>
      <c r="BE1377" s="240" t="str">
        <f t="shared" si="473"/>
        <v/>
      </c>
      <c r="BF1377" s="990"/>
      <c r="BG1377" s="990"/>
      <c r="BH1377" s="991">
        <f>IF(AND(Input_Product=Elig!$C1377,Elig_MatchAll_Ct&lt;22,$BC1377=(Elig_MatchAll_Ct-1),AF1377=0),C1377,0)</f>
        <v>0</v>
      </c>
      <c r="BI1377" s="991">
        <f>IF(AND(Input_Product=Elig!$C1377,Elig_MatchAll_Ct&lt;22,$BC1377=(Elig_MatchAll_Ct-1),AG1377=0),D1377,0)</f>
        <v>0</v>
      </c>
      <c r="BJ1377" s="991">
        <f>IF(AND(Input_Product=Elig!$C1377,Elig_MatchAll_Ct&lt;22,$BC1377=(Elig_MatchAll_Ct-1),AH1377=0),E1377,0)</f>
        <v>0</v>
      </c>
      <c r="BK1377" s="991">
        <f>IF(AND(Input_Product=Elig!$C1377,Elig_MatchAll_Ct&lt;22,$BC1377=(Elig_MatchAll_Ct-1),AI1377=0),F1377,0)</f>
        <v>0</v>
      </c>
      <c r="BL1377" s="991">
        <f>IF(AND(Input_Product=Elig!$C1377,Elig_MatchAll_Ct&lt;22,$BC1377=(Elig_MatchAll_Ct-1),AJ1377=0),G1377,0)</f>
        <v>0</v>
      </c>
      <c r="BM1377" s="991">
        <f>IF(AND(Input_Product=Elig!$C1377,Elig_MatchAll_Ct&lt;22,$BC1377=(Elig_MatchAll_Ct-1),AK1377=0),H1377,0)</f>
        <v>0</v>
      </c>
      <c r="BN1377" s="991">
        <f>IF(AND(Input_Product=Elig!$C1377,Elig_MatchAll_Ct&lt;22,$BC1377=(Elig_MatchAll_Ct-1),AL1377=0),I1377,0)</f>
        <v>0</v>
      </c>
      <c r="BO1377" s="991">
        <f>IF(AND(Input_Product=Elig!$C1377,Elig_MatchAll_Ct&lt;22,$BC1377=(Elig_MatchAll_Ct-1),AM1377=0),J1377,0)</f>
        <v>0</v>
      </c>
      <c r="BP1377" s="991">
        <f>IF(AND(Input_Product=Elig!$C1377,Elig_MatchAll_Ct&lt;22,$BC1377=(Elig_MatchAll_Ct-1),AN1377=0),K1377,0)</f>
        <v>0</v>
      </c>
      <c r="BQ1377" s="991">
        <f>IF(AND(Input_Product=Elig!$C1377,Elig_MatchAll_Ct&lt;22,$BC1377=(Elig_MatchAll_Ct-1),AP1377=0),L1377,0)</f>
        <v>0</v>
      </c>
      <c r="BR1377" s="991">
        <f>IF(AND(Input_Product=Elig!$C1377,Elig_MatchAll_Ct&lt;22,$BC1377=(Elig_MatchAll_Ct-1),AO1377=0),M1377,0)</f>
        <v>0</v>
      </c>
      <c r="BS1377" s="991">
        <f>IF(AND(Input_Product=Elig!$C1377,Elig_MatchAll_Ct&lt;22,$BC1377=(Elig_MatchAll_Ct-1),AQ1377=0),N1377,0)</f>
        <v>0</v>
      </c>
      <c r="BT1377" s="991">
        <f>IF(AND(Input_Product=Elig!$C1377,Elig_MatchAll_Ct&lt;22,$BC1377=(Elig_MatchAll_Ct-1),AR1377=0),O1377,0)</f>
        <v>0</v>
      </c>
      <c r="BU1377" s="991">
        <f>IF(AND(Input_Product=Elig!$C1377,Elig_MatchAll_Ct&lt;22,$BC1377=(Elig_MatchAll_Ct-1),AS1377=0),P1377,0)</f>
        <v>0</v>
      </c>
      <c r="BV1377" s="992">
        <f>IF(AND(Input_Product=Elig!$C1377,Elig_MatchAll_Ct&lt;22,$BC1377=(Elig_MatchAll_Ct-1),AT1377=0),Q1377,0)</f>
        <v>0</v>
      </c>
      <c r="BW1377" s="993">
        <f>IF(AND(Input_Product=Elig!$C1377,Elig_MatchAll_Ct&lt;22,$BC1377=(Elig_MatchAll_Ct-1),AU1377=0),R1377,0)</f>
        <v>0</v>
      </c>
      <c r="BX1377" s="994">
        <f>IF(AND(Input_Product=Elig!$C1377,Elig_MatchAll_Ct&lt;22,$BC1377=(Elig_MatchAll_Ct-1),AU1377=0),S1377,0)</f>
        <v>0</v>
      </c>
      <c r="BY1377" s="993">
        <f>IF(AND(Input_Product=Elig!$C1377,Elig_MatchAll_Ct&lt;22,$BC1377=(Elig_MatchAll_Ct-1),AV1377=0),T1377,0)</f>
        <v>0</v>
      </c>
      <c r="BZ1377" s="994">
        <f>IF(AND(Input_Product=Elig!$C1377,Elig_MatchAll_Ct&lt;22,$BC1377=(Elig_MatchAll_Ct-1),AV1377=0),U1377,0)</f>
        <v>0</v>
      </c>
      <c r="CA1377" s="993">
        <f>IF(AND(Input_Product=Elig!$C1377,Elig_MatchAll_Ct&lt;22,$BC1377=(Elig_MatchAll_Ct-1),AW1377=0),V1377,0)</f>
        <v>0</v>
      </c>
      <c r="CB1377" s="994">
        <f>IF(AND(Input_Product=Elig!$C1377,Elig_MatchAll_Ct&lt;22,$BC1377=(Elig_MatchAll_Ct-1),AW1377=0),W1377,0)</f>
        <v>0</v>
      </c>
      <c r="CC1377" s="993">
        <f>IF(AND(Input_Product=Elig!$C1377,Elig_MatchAll_Ct&lt;22,$BC1377=(Elig_MatchAll_Ct-1),AX1377=0),X1377,0)</f>
        <v>0</v>
      </c>
      <c r="CD1377" s="994">
        <f>IF(AND(Input_Product=Elig!$C1377,Elig_MatchAll_Ct&lt;22,$BC1377=(Elig_MatchAll_Ct-1),AX1377=0),Y1377,0)</f>
        <v>0</v>
      </c>
      <c r="CE1377" s="993">
        <f>IF(AND(Input_LTV&lt;=AE1377,Input_Product=Elig!$C1377,Elig_MatchAll_Ct&lt;22,$BC1377=(Elig_MatchAll_Ct-1),AY1377=0),Z1377,0)</f>
        <v>0</v>
      </c>
      <c r="CF1377" s="994">
        <f>IF(AND(Input_LTV&lt;=AE1377,Input_Product=Elig!$C1377,Elig_MatchAll_Ct&lt;22,$BC1377=(Elig_MatchAll_Ct-1),AY1377=0),AA1377,0)</f>
        <v>0</v>
      </c>
      <c r="CG1377" s="993">
        <f>IF(AND(Input_Product=Elig!$C1377,Elig_MatchAll_Ct&lt;22,$BC1377=(Elig_MatchAll_Ct-1),AZ1377=0),AB1377,0)</f>
        <v>0</v>
      </c>
      <c r="CH1377" s="994">
        <f>IF(AND(Input_Product=Elig!$C1377,Elig_MatchAll_Ct&lt;22,$BC1377=(Elig_MatchAll_Ct-1),AZ1377=0),AC1377,0)</f>
        <v>0</v>
      </c>
      <c r="CI1377" s="993">
        <f>IF(AND(Input_Product=Elig!$C1377,Elig_MatchAll_Ct&lt;22,$BC1377=(Elig_MatchAll_Ct-1),BA1377=0),AD1377,0)</f>
        <v>0</v>
      </c>
      <c r="CJ1377" s="994">
        <f>IF(AND(Input_Product=Elig!$C1377,Elig_MatchAll_Ct&lt;22,$BC1377=(Elig_MatchAll_Ct-1),BA1377=0),AE1377,0)</f>
        <v>0</v>
      </c>
    </row>
    <row r="1378" spans="2:88" ht="10.15" customHeight="1" x14ac:dyDescent="0.25">
      <c r="B1378" s="1538" t="s">
        <v>3576</v>
      </c>
      <c r="C1378" s="1538" t="str">
        <f t="shared" si="486"/>
        <v xml:space="preserve">  NOO</v>
      </c>
      <c r="D1378" s="1538" t="s">
        <v>2764</v>
      </c>
      <c r="E1378" s="1538" t="s">
        <v>167</v>
      </c>
      <c r="F1378" s="1538" t="s">
        <v>2765</v>
      </c>
      <c r="G1378" s="1538" t="s">
        <v>2766</v>
      </c>
      <c r="H1378" s="1538" t="s">
        <v>2767</v>
      </c>
      <c r="I1378" s="1539" t="s">
        <v>34</v>
      </c>
      <c r="J1378" s="1539" t="s">
        <v>1311</v>
      </c>
      <c r="K1378" s="1539" t="s">
        <v>3023</v>
      </c>
      <c r="L1378" s="1538" t="s">
        <v>2768</v>
      </c>
      <c r="M1378" s="1538" t="s">
        <v>2677</v>
      </c>
      <c r="N1378" s="1538" t="s">
        <v>2685</v>
      </c>
      <c r="O1378" s="1538" t="s">
        <v>310</v>
      </c>
      <c r="P1378" s="1538" t="s">
        <v>291</v>
      </c>
      <c r="Q1378" s="1538" t="s">
        <v>294</v>
      </c>
      <c r="R1378" s="1538">
        <v>1000000.01</v>
      </c>
      <c r="S1378" s="1538">
        <v>1500000</v>
      </c>
      <c r="T1378" s="1538">
        <v>0</v>
      </c>
      <c r="U1378" s="1538">
        <v>0</v>
      </c>
      <c r="V1378" s="1538">
        <v>0</v>
      </c>
      <c r="W1378" s="1538">
        <v>55</v>
      </c>
      <c r="X1378" s="1538">
        <v>0</v>
      </c>
      <c r="Y1378" s="1538">
        <v>0</v>
      </c>
      <c r="Z1378" s="1540">
        <v>660</v>
      </c>
      <c r="AA1378" s="1540">
        <v>679</v>
      </c>
      <c r="AB1378" s="1540">
        <v>6</v>
      </c>
      <c r="AC1378" s="1540">
        <v>999999</v>
      </c>
      <c r="AD1378" s="1538">
        <v>0</v>
      </c>
      <c r="AE1378" s="1545">
        <v>80</v>
      </c>
      <c r="AF1378" s="170">
        <v>0</v>
      </c>
      <c r="AG1378" s="171">
        <v>1</v>
      </c>
      <c r="AH1378" s="171">
        <v>1</v>
      </c>
      <c r="AI1378" s="171">
        <v>1</v>
      </c>
      <c r="AJ1378" s="171">
        <v>1</v>
      </c>
      <c r="AK1378" s="171">
        <v>1</v>
      </c>
      <c r="AL1378" s="171">
        <v>0</v>
      </c>
      <c r="AM1378" s="171">
        <v>1</v>
      </c>
      <c r="AN1378" s="171">
        <v>1</v>
      </c>
      <c r="AO1378" s="171">
        <v>1</v>
      </c>
      <c r="AP1378" s="171">
        <v>1</v>
      </c>
      <c r="AQ1378" s="171">
        <v>1</v>
      </c>
      <c r="AR1378" s="171">
        <v>1</v>
      </c>
      <c r="AS1378" s="171">
        <v>1</v>
      </c>
      <c r="AT1378" s="171">
        <v>1</v>
      </c>
      <c r="AU1378" s="171">
        <f t="shared" si="474"/>
        <v>0</v>
      </c>
      <c r="AV1378" s="171">
        <f t="shared" si="475"/>
        <v>0</v>
      </c>
      <c r="AW1378" s="171">
        <f t="shared" si="476"/>
        <v>1</v>
      </c>
      <c r="AX1378" s="171">
        <f t="shared" si="485"/>
        <v>1</v>
      </c>
      <c r="AY1378" s="171">
        <f t="shared" si="477"/>
        <v>0</v>
      </c>
      <c r="AZ1378" s="171">
        <f t="shared" si="478"/>
        <v>1</v>
      </c>
      <c r="BA1378" s="172">
        <f t="shared" si="479"/>
        <v>1</v>
      </c>
      <c r="BB1378" s="175">
        <f t="shared" si="481"/>
        <v>17</v>
      </c>
      <c r="BC1378" s="176">
        <f t="shared" si="482"/>
        <v>16</v>
      </c>
      <c r="BD1378" s="176">
        <f t="shared" si="483"/>
        <v>17</v>
      </c>
      <c r="BE1378" s="240" t="str">
        <f t="shared" si="473"/>
        <v/>
      </c>
      <c r="BF1378" s="990"/>
      <c r="BG1378" s="990"/>
      <c r="BH1378" s="991">
        <f>IF(AND(Input_Product=Elig!$C1378,Elig_MatchAll_Ct&lt;22,$BC1378=(Elig_MatchAll_Ct-1),AF1378=0),C1378,0)</f>
        <v>0</v>
      </c>
      <c r="BI1378" s="991">
        <f>IF(AND(Input_Product=Elig!$C1378,Elig_MatchAll_Ct&lt;22,$BC1378=(Elig_MatchAll_Ct-1),AG1378=0),D1378,0)</f>
        <v>0</v>
      </c>
      <c r="BJ1378" s="991">
        <f>IF(AND(Input_Product=Elig!$C1378,Elig_MatchAll_Ct&lt;22,$BC1378=(Elig_MatchAll_Ct-1),AH1378=0),E1378,0)</f>
        <v>0</v>
      </c>
      <c r="BK1378" s="991">
        <f>IF(AND(Input_Product=Elig!$C1378,Elig_MatchAll_Ct&lt;22,$BC1378=(Elig_MatchAll_Ct-1),AI1378=0),F1378,0)</f>
        <v>0</v>
      </c>
      <c r="BL1378" s="991">
        <f>IF(AND(Input_Product=Elig!$C1378,Elig_MatchAll_Ct&lt;22,$BC1378=(Elig_MatchAll_Ct-1),AJ1378=0),G1378,0)</f>
        <v>0</v>
      </c>
      <c r="BM1378" s="991">
        <f>IF(AND(Input_Product=Elig!$C1378,Elig_MatchAll_Ct&lt;22,$BC1378=(Elig_MatchAll_Ct-1),AK1378=0),H1378,0)</f>
        <v>0</v>
      </c>
      <c r="BN1378" s="991">
        <f>IF(AND(Input_Product=Elig!$C1378,Elig_MatchAll_Ct&lt;22,$BC1378=(Elig_MatchAll_Ct-1),AL1378=0),I1378,0)</f>
        <v>0</v>
      </c>
      <c r="BO1378" s="991">
        <f>IF(AND(Input_Product=Elig!$C1378,Elig_MatchAll_Ct&lt;22,$BC1378=(Elig_MatchAll_Ct-1),AM1378=0),J1378,0)</f>
        <v>0</v>
      </c>
      <c r="BP1378" s="991">
        <f>IF(AND(Input_Product=Elig!$C1378,Elig_MatchAll_Ct&lt;22,$BC1378=(Elig_MatchAll_Ct-1),AN1378=0),K1378,0)</f>
        <v>0</v>
      </c>
      <c r="BQ1378" s="991">
        <f>IF(AND(Input_Product=Elig!$C1378,Elig_MatchAll_Ct&lt;22,$BC1378=(Elig_MatchAll_Ct-1),AP1378=0),L1378,0)</f>
        <v>0</v>
      </c>
      <c r="BR1378" s="991">
        <f>IF(AND(Input_Product=Elig!$C1378,Elig_MatchAll_Ct&lt;22,$BC1378=(Elig_MatchAll_Ct-1),AO1378=0),M1378,0)</f>
        <v>0</v>
      </c>
      <c r="BS1378" s="991">
        <f>IF(AND(Input_Product=Elig!$C1378,Elig_MatchAll_Ct&lt;22,$BC1378=(Elig_MatchAll_Ct-1),AQ1378=0),N1378,0)</f>
        <v>0</v>
      </c>
      <c r="BT1378" s="991">
        <f>IF(AND(Input_Product=Elig!$C1378,Elig_MatchAll_Ct&lt;22,$BC1378=(Elig_MatchAll_Ct-1),AR1378=0),O1378,0)</f>
        <v>0</v>
      </c>
      <c r="BU1378" s="991">
        <f>IF(AND(Input_Product=Elig!$C1378,Elig_MatchAll_Ct&lt;22,$BC1378=(Elig_MatchAll_Ct-1),AS1378=0),P1378,0)</f>
        <v>0</v>
      </c>
      <c r="BV1378" s="992">
        <f>IF(AND(Input_Product=Elig!$C1378,Elig_MatchAll_Ct&lt;22,$BC1378=(Elig_MatchAll_Ct-1),AT1378=0),Q1378,0)</f>
        <v>0</v>
      </c>
      <c r="BW1378" s="993">
        <f>IF(AND(Input_Product=Elig!$C1378,Elig_MatchAll_Ct&lt;22,$BC1378=(Elig_MatchAll_Ct-1),AU1378=0),R1378,0)</f>
        <v>0</v>
      </c>
      <c r="BX1378" s="994">
        <f>IF(AND(Input_Product=Elig!$C1378,Elig_MatchAll_Ct&lt;22,$BC1378=(Elig_MatchAll_Ct-1),AU1378=0),S1378,0)</f>
        <v>0</v>
      </c>
      <c r="BY1378" s="993">
        <f>IF(AND(Input_Product=Elig!$C1378,Elig_MatchAll_Ct&lt;22,$BC1378=(Elig_MatchAll_Ct-1),AV1378=0),T1378,0)</f>
        <v>0</v>
      </c>
      <c r="BZ1378" s="994">
        <f>IF(AND(Input_Product=Elig!$C1378,Elig_MatchAll_Ct&lt;22,$BC1378=(Elig_MatchAll_Ct-1),AV1378=0),U1378,0)</f>
        <v>0</v>
      </c>
      <c r="CA1378" s="993">
        <f>IF(AND(Input_Product=Elig!$C1378,Elig_MatchAll_Ct&lt;22,$BC1378=(Elig_MatchAll_Ct-1),AW1378=0),V1378,0)</f>
        <v>0</v>
      </c>
      <c r="CB1378" s="994">
        <f>IF(AND(Input_Product=Elig!$C1378,Elig_MatchAll_Ct&lt;22,$BC1378=(Elig_MatchAll_Ct-1),AW1378=0),W1378,0)</f>
        <v>0</v>
      </c>
      <c r="CC1378" s="993">
        <f>IF(AND(Input_Product=Elig!$C1378,Elig_MatchAll_Ct&lt;22,$BC1378=(Elig_MatchAll_Ct-1),AX1378=0),X1378,0)</f>
        <v>0</v>
      </c>
      <c r="CD1378" s="994">
        <f>IF(AND(Input_Product=Elig!$C1378,Elig_MatchAll_Ct&lt;22,$BC1378=(Elig_MatchAll_Ct-1),AX1378=0),Y1378,0)</f>
        <v>0</v>
      </c>
      <c r="CE1378" s="993">
        <f>IF(AND(Input_LTV&lt;=AE1378,Input_Product=Elig!$C1378,Elig_MatchAll_Ct&lt;22,$BC1378=(Elig_MatchAll_Ct-1),AY1378=0),Z1378,0)</f>
        <v>0</v>
      </c>
      <c r="CF1378" s="994">
        <f>IF(AND(Input_LTV&lt;=AE1378,Input_Product=Elig!$C1378,Elig_MatchAll_Ct&lt;22,$BC1378=(Elig_MatchAll_Ct-1),AY1378=0),AA1378,0)</f>
        <v>0</v>
      </c>
      <c r="CG1378" s="993">
        <f>IF(AND(Input_Product=Elig!$C1378,Elig_MatchAll_Ct&lt;22,$BC1378=(Elig_MatchAll_Ct-1),AZ1378=0),AB1378,0)</f>
        <v>0</v>
      </c>
      <c r="CH1378" s="994">
        <f>IF(AND(Input_Product=Elig!$C1378,Elig_MatchAll_Ct&lt;22,$BC1378=(Elig_MatchAll_Ct-1),AZ1378=0),AC1378,0)</f>
        <v>0</v>
      </c>
      <c r="CI1378" s="993">
        <f>IF(AND(Input_Product=Elig!$C1378,Elig_MatchAll_Ct&lt;22,$BC1378=(Elig_MatchAll_Ct-1),BA1378=0),AD1378,0)</f>
        <v>0</v>
      </c>
      <c r="CJ1378" s="994">
        <f>IF(AND(Input_Product=Elig!$C1378,Elig_MatchAll_Ct&lt;22,$BC1378=(Elig_MatchAll_Ct-1),BA1378=0),AE1378,0)</f>
        <v>0</v>
      </c>
    </row>
    <row r="1379" spans="2:88" ht="10.15" customHeight="1" x14ac:dyDescent="0.25">
      <c r="B1379" s="1538" t="s">
        <v>3577</v>
      </c>
      <c r="C1379" s="1538" t="str">
        <f t="shared" si="486"/>
        <v xml:space="preserve">  NOO</v>
      </c>
      <c r="D1379" s="1538" t="s">
        <v>2764</v>
      </c>
      <c r="E1379" s="1538" t="s">
        <v>167</v>
      </c>
      <c r="F1379" s="1538" t="s">
        <v>2765</v>
      </c>
      <c r="G1379" s="1538" t="s">
        <v>2766</v>
      </c>
      <c r="H1379" s="1538" t="s">
        <v>2767</v>
      </c>
      <c r="I1379" s="1539" t="s">
        <v>34</v>
      </c>
      <c r="J1379" s="1539" t="s">
        <v>1311</v>
      </c>
      <c r="K1379" s="1539" t="s">
        <v>3023</v>
      </c>
      <c r="L1379" s="1538" t="s">
        <v>2768</v>
      </c>
      <c r="M1379" s="1538" t="s">
        <v>2677</v>
      </c>
      <c r="N1379" s="1538" t="s">
        <v>2685</v>
      </c>
      <c r="O1379" s="1538" t="s">
        <v>310</v>
      </c>
      <c r="P1379" s="1538" t="s">
        <v>291</v>
      </c>
      <c r="Q1379" s="1538" t="s">
        <v>294</v>
      </c>
      <c r="R1379" s="1538">
        <v>1500000.01</v>
      </c>
      <c r="S1379" s="1538">
        <v>2000000</v>
      </c>
      <c r="T1379" s="1538">
        <v>0</v>
      </c>
      <c r="U1379" s="1538">
        <v>0</v>
      </c>
      <c r="V1379" s="1538">
        <v>0</v>
      </c>
      <c r="W1379" s="1538">
        <v>55</v>
      </c>
      <c r="X1379" s="1538">
        <v>0</v>
      </c>
      <c r="Y1379" s="1538">
        <v>0</v>
      </c>
      <c r="Z1379" s="1540">
        <v>660</v>
      </c>
      <c r="AA1379" s="1540">
        <v>679</v>
      </c>
      <c r="AB1379" s="1540">
        <v>6</v>
      </c>
      <c r="AC1379" s="1540">
        <v>999999</v>
      </c>
      <c r="AD1379" s="1538">
        <v>0</v>
      </c>
      <c r="AE1379" s="1545">
        <v>75</v>
      </c>
      <c r="AF1379" s="170">
        <v>0</v>
      </c>
      <c r="AG1379" s="171">
        <v>1</v>
      </c>
      <c r="AH1379" s="171">
        <v>1</v>
      </c>
      <c r="AI1379" s="171">
        <v>1</v>
      </c>
      <c r="AJ1379" s="171">
        <v>1</v>
      </c>
      <c r="AK1379" s="171">
        <v>1</v>
      </c>
      <c r="AL1379" s="171">
        <v>0</v>
      </c>
      <c r="AM1379" s="171">
        <v>1</v>
      </c>
      <c r="AN1379" s="171">
        <v>1</v>
      </c>
      <c r="AO1379" s="171">
        <v>1</v>
      </c>
      <c r="AP1379" s="171">
        <v>1</v>
      </c>
      <c r="AQ1379" s="171">
        <v>1</v>
      </c>
      <c r="AR1379" s="171">
        <v>1</v>
      </c>
      <c r="AS1379" s="171">
        <v>1</v>
      </c>
      <c r="AT1379" s="171">
        <v>1</v>
      </c>
      <c r="AU1379" s="171">
        <f t="shared" si="474"/>
        <v>0</v>
      </c>
      <c r="AV1379" s="171">
        <f t="shared" si="475"/>
        <v>0</v>
      </c>
      <c r="AW1379" s="171">
        <f t="shared" si="476"/>
        <v>1</v>
      </c>
      <c r="AX1379" s="171">
        <f t="shared" si="485"/>
        <v>1</v>
      </c>
      <c r="AY1379" s="171">
        <f t="shared" si="477"/>
        <v>0</v>
      </c>
      <c r="AZ1379" s="171">
        <f t="shared" si="478"/>
        <v>1</v>
      </c>
      <c r="BA1379" s="172">
        <f t="shared" si="479"/>
        <v>1</v>
      </c>
      <c r="BB1379" s="175">
        <f t="shared" si="481"/>
        <v>17</v>
      </c>
      <c r="BC1379" s="176">
        <f t="shared" si="482"/>
        <v>16</v>
      </c>
      <c r="BD1379" s="176">
        <f t="shared" si="483"/>
        <v>17</v>
      </c>
      <c r="BE1379" s="240" t="str">
        <f t="shared" si="473"/>
        <v/>
      </c>
      <c r="BF1379" s="990"/>
      <c r="BG1379" s="990"/>
      <c r="BH1379" s="991">
        <f>IF(AND(Input_Product=Elig!$C1379,Elig_MatchAll_Ct&lt;22,$BC1379=(Elig_MatchAll_Ct-1),AF1379=0),C1379,0)</f>
        <v>0</v>
      </c>
      <c r="BI1379" s="991">
        <f>IF(AND(Input_Product=Elig!$C1379,Elig_MatchAll_Ct&lt;22,$BC1379=(Elig_MatchAll_Ct-1),AG1379=0),D1379,0)</f>
        <v>0</v>
      </c>
      <c r="BJ1379" s="991">
        <f>IF(AND(Input_Product=Elig!$C1379,Elig_MatchAll_Ct&lt;22,$BC1379=(Elig_MatchAll_Ct-1),AH1379=0),E1379,0)</f>
        <v>0</v>
      </c>
      <c r="BK1379" s="991">
        <f>IF(AND(Input_Product=Elig!$C1379,Elig_MatchAll_Ct&lt;22,$BC1379=(Elig_MatchAll_Ct-1),AI1379=0),F1379,0)</f>
        <v>0</v>
      </c>
      <c r="BL1379" s="991">
        <f>IF(AND(Input_Product=Elig!$C1379,Elig_MatchAll_Ct&lt;22,$BC1379=(Elig_MatchAll_Ct-1),AJ1379=0),G1379,0)</f>
        <v>0</v>
      </c>
      <c r="BM1379" s="991">
        <f>IF(AND(Input_Product=Elig!$C1379,Elig_MatchAll_Ct&lt;22,$BC1379=(Elig_MatchAll_Ct-1),AK1379=0),H1379,0)</f>
        <v>0</v>
      </c>
      <c r="BN1379" s="991">
        <f>IF(AND(Input_Product=Elig!$C1379,Elig_MatchAll_Ct&lt;22,$BC1379=(Elig_MatchAll_Ct-1),AL1379=0),I1379,0)</f>
        <v>0</v>
      </c>
      <c r="BO1379" s="991">
        <f>IF(AND(Input_Product=Elig!$C1379,Elig_MatchAll_Ct&lt;22,$BC1379=(Elig_MatchAll_Ct-1),AM1379=0),J1379,0)</f>
        <v>0</v>
      </c>
      <c r="BP1379" s="991">
        <f>IF(AND(Input_Product=Elig!$C1379,Elig_MatchAll_Ct&lt;22,$BC1379=(Elig_MatchAll_Ct-1),AN1379=0),K1379,0)</f>
        <v>0</v>
      </c>
      <c r="BQ1379" s="991">
        <f>IF(AND(Input_Product=Elig!$C1379,Elig_MatchAll_Ct&lt;22,$BC1379=(Elig_MatchAll_Ct-1),AP1379=0),L1379,0)</f>
        <v>0</v>
      </c>
      <c r="BR1379" s="991">
        <f>IF(AND(Input_Product=Elig!$C1379,Elig_MatchAll_Ct&lt;22,$BC1379=(Elig_MatchAll_Ct-1),AO1379=0),M1379,0)</f>
        <v>0</v>
      </c>
      <c r="BS1379" s="991">
        <f>IF(AND(Input_Product=Elig!$C1379,Elig_MatchAll_Ct&lt;22,$BC1379=(Elig_MatchAll_Ct-1),AQ1379=0),N1379,0)</f>
        <v>0</v>
      </c>
      <c r="BT1379" s="991">
        <f>IF(AND(Input_Product=Elig!$C1379,Elig_MatchAll_Ct&lt;22,$BC1379=(Elig_MatchAll_Ct-1),AR1379=0),O1379,0)</f>
        <v>0</v>
      </c>
      <c r="BU1379" s="991">
        <f>IF(AND(Input_Product=Elig!$C1379,Elig_MatchAll_Ct&lt;22,$BC1379=(Elig_MatchAll_Ct-1),AS1379=0),P1379,0)</f>
        <v>0</v>
      </c>
      <c r="BV1379" s="992">
        <f>IF(AND(Input_Product=Elig!$C1379,Elig_MatchAll_Ct&lt;22,$BC1379=(Elig_MatchAll_Ct-1),AT1379=0),Q1379,0)</f>
        <v>0</v>
      </c>
      <c r="BW1379" s="993">
        <f>IF(AND(Input_Product=Elig!$C1379,Elig_MatchAll_Ct&lt;22,$BC1379=(Elig_MatchAll_Ct-1),AU1379=0),R1379,0)</f>
        <v>0</v>
      </c>
      <c r="BX1379" s="994">
        <f>IF(AND(Input_Product=Elig!$C1379,Elig_MatchAll_Ct&lt;22,$BC1379=(Elig_MatchAll_Ct-1),AU1379=0),S1379,0)</f>
        <v>0</v>
      </c>
      <c r="BY1379" s="993">
        <f>IF(AND(Input_Product=Elig!$C1379,Elig_MatchAll_Ct&lt;22,$BC1379=(Elig_MatchAll_Ct-1),AV1379=0),T1379,0)</f>
        <v>0</v>
      </c>
      <c r="BZ1379" s="994">
        <f>IF(AND(Input_Product=Elig!$C1379,Elig_MatchAll_Ct&lt;22,$BC1379=(Elig_MatchAll_Ct-1),AV1379=0),U1379,0)</f>
        <v>0</v>
      </c>
      <c r="CA1379" s="993">
        <f>IF(AND(Input_Product=Elig!$C1379,Elig_MatchAll_Ct&lt;22,$BC1379=(Elig_MatchAll_Ct-1),AW1379=0),V1379,0)</f>
        <v>0</v>
      </c>
      <c r="CB1379" s="994">
        <f>IF(AND(Input_Product=Elig!$C1379,Elig_MatchAll_Ct&lt;22,$BC1379=(Elig_MatchAll_Ct-1),AW1379=0),W1379,0)</f>
        <v>0</v>
      </c>
      <c r="CC1379" s="993">
        <f>IF(AND(Input_Product=Elig!$C1379,Elig_MatchAll_Ct&lt;22,$BC1379=(Elig_MatchAll_Ct-1),AX1379=0),X1379,0)</f>
        <v>0</v>
      </c>
      <c r="CD1379" s="994">
        <f>IF(AND(Input_Product=Elig!$C1379,Elig_MatchAll_Ct&lt;22,$BC1379=(Elig_MatchAll_Ct-1),AX1379=0),Y1379,0)</f>
        <v>0</v>
      </c>
      <c r="CE1379" s="993">
        <f>IF(AND(Input_LTV&lt;=AE1379,Input_Product=Elig!$C1379,Elig_MatchAll_Ct&lt;22,$BC1379=(Elig_MatchAll_Ct-1),AY1379=0),Z1379,0)</f>
        <v>0</v>
      </c>
      <c r="CF1379" s="994">
        <f>IF(AND(Input_LTV&lt;=AE1379,Input_Product=Elig!$C1379,Elig_MatchAll_Ct&lt;22,$BC1379=(Elig_MatchAll_Ct-1),AY1379=0),AA1379,0)</f>
        <v>0</v>
      </c>
      <c r="CG1379" s="993">
        <f>IF(AND(Input_Product=Elig!$C1379,Elig_MatchAll_Ct&lt;22,$BC1379=(Elig_MatchAll_Ct-1),AZ1379=0),AB1379,0)</f>
        <v>0</v>
      </c>
      <c r="CH1379" s="994">
        <f>IF(AND(Input_Product=Elig!$C1379,Elig_MatchAll_Ct&lt;22,$BC1379=(Elig_MatchAll_Ct-1),AZ1379=0),AC1379,0)</f>
        <v>0</v>
      </c>
      <c r="CI1379" s="993">
        <f>IF(AND(Input_Product=Elig!$C1379,Elig_MatchAll_Ct&lt;22,$BC1379=(Elig_MatchAll_Ct-1),BA1379=0),AD1379,0)</f>
        <v>0</v>
      </c>
      <c r="CJ1379" s="994">
        <f>IF(AND(Input_Product=Elig!$C1379,Elig_MatchAll_Ct&lt;22,$BC1379=(Elig_MatchAll_Ct-1),BA1379=0),AE1379,0)</f>
        <v>0</v>
      </c>
    </row>
    <row r="1380" spans="2:88" ht="10.15" customHeight="1" x14ac:dyDescent="0.25">
      <c r="B1380" s="1538" t="s">
        <v>3578</v>
      </c>
      <c r="C1380" s="1546" t="str">
        <f t="shared" si="486"/>
        <v xml:space="preserve">  NOO</v>
      </c>
      <c r="D1380" s="1546" t="s">
        <v>2764</v>
      </c>
      <c r="E1380" s="1546" t="s">
        <v>167</v>
      </c>
      <c r="F1380" s="1546" t="s">
        <v>2765</v>
      </c>
      <c r="G1380" s="1546" t="s">
        <v>2766</v>
      </c>
      <c r="H1380" s="1546" t="s">
        <v>2767</v>
      </c>
      <c r="I1380" s="1547" t="s">
        <v>34</v>
      </c>
      <c r="J1380" s="1547" t="s">
        <v>1311</v>
      </c>
      <c r="K1380" s="1547" t="s">
        <v>3023</v>
      </c>
      <c r="L1380" s="1546" t="s">
        <v>2768</v>
      </c>
      <c r="M1380" s="1546" t="s">
        <v>2677</v>
      </c>
      <c r="N1380" s="1546" t="s">
        <v>2685</v>
      </c>
      <c r="O1380" s="1546" t="s">
        <v>310</v>
      </c>
      <c r="P1380" s="1546" t="s">
        <v>291</v>
      </c>
      <c r="Q1380" s="1546" t="s">
        <v>294</v>
      </c>
      <c r="R1380" s="1546">
        <v>2000000.01</v>
      </c>
      <c r="S1380" s="1546">
        <v>2500000</v>
      </c>
      <c r="T1380" s="1546">
        <v>0</v>
      </c>
      <c r="U1380" s="1546">
        <v>0</v>
      </c>
      <c r="V1380" s="1546">
        <v>0</v>
      </c>
      <c r="W1380" s="1546">
        <v>55</v>
      </c>
      <c r="X1380" s="1546">
        <v>0</v>
      </c>
      <c r="Y1380" s="1546">
        <v>0</v>
      </c>
      <c r="Z1380" s="1548">
        <v>660</v>
      </c>
      <c r="AA1380" s="1548">
        <v>679</v>
      </c>
      <c r="AB1380" s="1548">
        <v>6</v>
      </c>
      <c r="AC1380" s="1548">
        <v>999999</v>
      </c>
      <c r="AD1380" s="1546">
        <v>0</v>
      </c>
      <c r="AE1380" s="1549">
        <v>70</v>
      </c>
      <c r="AF1380" s="170">
        <v>0</v>
      </c>
      <c r="AG1380" s="171">
        <v>1</v>
      </c>
      <c r="AH1380" s="171">
        <v>1</v>
      </c>
      <c r="AI1380" s="171">
        <v>1</v>
      </c>
      <c r="AJ1380" s="171">
        <v>1</v>
      </c>
      <c r="AK1380" s="171">
        <v>1</v>
      </c>
      <c r="AL1380" s="171">
        <v>0</v>
      </c>
      <c r="AM1380" s="171">
        <v>1</v>
      </c>
      <c r="AN1380" s="171">
        <v>1</v>
      </c>
      <c r="AO1380" s="171">
        <v>1</v>
      </c>
      <c r="AP1380" s="171">
        <v>1</v>
      </c>
      <c r="AQ1380" s="171">
        <v>1</v>
      </c>
      <c r="AR1380" s="171">
        <v>1</v>
      </c>
      <c r="AS1380" s="171">
        <v>1</v>
      </c>
      <c r="AT1380" s="171">
        <v>1</v>
      </c>
      <c r="AU1380" s="171">
        <f t="shared" si="474"/>
        <v>0</v>
      </c>
      <c r="AV1380" s="171">
        <f t="shared" si="475"/>
        <v>0</v>
      </c>
      <c r="AW1380" s="171">
        <f t="shared" si="476"/>
        <v>1</v>
      </c>
      <c r="AX1380" s="171">
        <f t="shared" si="485"/>
        <v>1</v>
      </c>
      <c r="AY1380" s="171">
        <f t="shared" si="477"/>
        <v>0</v>
      </c>
      <c r="AZ1380" s="171">
        <f t="shared" si="478"/>
        <v>1</v>
      </c>
      <c r="BA1380" s="172">
        <f t="shared" si="479"/>
        <v>1</v>
      </c>
      <c r="BB1380" s="175">
        <f t="shared" si="481"/>
        <v>17</v>
      </c>
      <c r="BC1380" s="176">
        <f t="shared" si="482"/>
        <v>16</v>
      </c>
      <c r="BD1380" s="176">
        <f t="shared" si="483"/>
        <v>17</v>
      </c>
      <c r="BE1380" s="240" t="str">
        <f t="shared" si="473"/>
        <v/>
      </c>
      <c r="BF1380" s="990"/>
      <c r="BG1380" s="990"/>
      <c r="BH1380" s="991">
        <f>IF(AND(Input_Product=Elig!$C1380,Elig_MatchAll_Ct&lt;22,$BC1380=(Elig_MatchAll_Ct-1),AF1380=0),C1380,0)</f>
        <v>0</v>
      </c>
      <c r="BI1380" s="991">
        <f>IF(AND(Input_Product=Elig!$C1380,Elig_MatchAll_Ct&lt;22,$BC1380=(Elig_MatchAll_Ct-1),AG1380=0),D1380,0)</f>
        <v>0</v>
      </c>
      <c r="BJ1380" s="991">
        <f>IF(AND(Input_Product=Elig!$C1380,Elig_MatchAll_Ct&lt;22,$BC1380=(Elig_MatchAll_Ct-1),AH1380=0),E1380,0)</f>
        <v>0</v>
      </c>
      <c r="BK1380" s="991">
        <f>IF(AND(Input_Product=Elig!$C1380,Elig_MatchAll_Ct&lt;22,$BC1380=(Elig_MatchAll_Ct-1),AI1380=0),F1380,0)</f>
        <v>0</v>
      </c>
      <c r="BL1380" s="991">
        <f>IF(AND(Input_Product=Elig!$C1380,Elig_MatchAll_Ct&lt;22,$BC1380=(Elig_MatchAll_Ct-1),AJ1380=0),G1380,0)</f>
        <v>0</v>
      </c>
      <c r="BM1380" s="991">
        <f>IF(AND(Input_Product=Elig!$C1380,Elig_MatchAll_Ct&lt;22,$BC1380=(Elig_MatchAll_Ct-1),AK1380=0),H1380,0)</f>
        <v>0</v>
      </c>
      <c r="BN1380" s="991">
        <f>IF(AND(Input_Product=Elig!$C1380,Elig_MatchAll_Ct&lt;22,$BC1380=(Elig_MatchAll_Ct-1),AL1380=0),I1380,0)</f>
        <v>0</v>
      </c>
      <c r="BO1380" s="991">
        <f>IF(AND(Input_Product=Elig!$C1380,Elig_MatchAll_Ct&lt;22,$BC1380=(Elig_MatchAll_Ct-1),AM1380=0),J1380,0)</f>
        <v>0</v>
      </c>
      <c r="BP1380" s="991">
        <f>IF(AND(Input_Product=Elig!$C1380,Elig_MatchAll_Ct&lt;22,$BC1380=(Elig_MatchAll_Ct-1),AN1380=0),K1380,0)</f>
        <v>0</v>
      </c>
      <c r="BQ1380" s="991">
        <f>IF(AND(Input_Product=Elig!$C1380,Elig_MatchAll_Ct&lt;22,$BC1380=(Elig_MatchAll_Ct-1),AP1380=0),L1380,0)</f>
        <v>0</v>
      </c>
      <c r="BR1380" s="991">
        <f>IF(AND(Input_Product=Elig!$C1380,Elig_MatchAll_Ct&lt;22,$BC1380=(Elig_MatchAll_Ct-1),AO1380=0),M1380,0)</f>
        <v>0</v>
      </c>
      <c r="BS1380" s="991">
        <f>IF(AND(Input_Product=Elig!$C1380,Elig_MatchAll_Ct&lt;22,$BC1380=(Elig_MatchAll_Ct-1),AQ1380=0),N1380,0)</f>
        <v>0</v>
      </c>
      <c r="BT1380" s="991">
        <f>IF(AND(Input_Product=Elig!$C1380,Elig_MatchAll_Ct&lt;22,$BC1380=(Elig_MatchAll_Ct-1),AR1380=0),O1380,0)</f>
        <v>0</v>
      </c>
      <c r="BU1380" s="991">
        <f>IF(AND(Input_Product=Elig!$C1380,Elig_MatchAll_Ct&lt;22,$BC1380=(Elig_MatchAll_Ct-1),AS1380=0),P1380,0)</f>
        <v>0</v>
      </c>
      <c r="BV1380" s="992">
        <f>IF(AND(Input_Product=Elig!$C1380,Elig_MatchAll_Ct&lt;22,$BC1380=(Elig_MatchAll_Ct-1),AT1380=0),Q1380,0)</f>
        <v>0</v>
      </c>
      <c r="BW1380" s="993">
        <f>IF(AND(Input_Product=Elig!$C1380,Elig_MatchAll_Ct&lt;22,$BC1380=(Elig_MatchAll_Ct-1),AU1380=0),R1380,0)</f>
        <v>0</v>
      </c>
      <c r="BX1380" s="994">
        <f>IF(AND(Input_Product=Elig!$C1380,Elig_MatchAll_Ct&lt;22,$BC1380=(Elig_MatchAll_Ct-1),AU1380=0),S1380,0)</f>
        <v>0</v>
      </c>
      <c r="BY1380" s="993">
        <f>IF(AND(Input_Product=Elig!$C1380,Elig_MatchAll_Ct&lt;22,$BC1380=(Elig_MatchAll_Ct-1),AV1380=0),T1380,0)</f>
        <v>0</v>
      </c>
      <c r="BZ1380" s="994">
        <f>IF(AND(Input_Product=Elig!$C1380,Elig_MatchAll_Ct&lt;22,$BC1380=(Elig_MatchAll_Ct-1),AV1380=0),U1380,0)</f>
        <v>0</v>
      </c>
      <c r="CA1380" s="993">
        <f>IF(AND(Input_Product=Elig!$C1380,Elig_MatchAll_Ct&lt;22,$BC1380=(Elig_MatchAll_Ct-1),AW1380=0),V1380,0)</f>
        <v>0</v>
      </c>
      <c r="CB1380" s="994">
        <f>IF(AND(Input_Product=Elig!$C1380,Elig_MatchAll_Ct&lt;22,$BC1380=(Elig_MatchAll_Ct-1),AW1380=0),W1380,0)</f>
        <v>0</v>
      </c>
      <c r="CC1380" s="993">
        <f>IF(AND(Input_Product=Elig!$C1380,Elig_MatchAll_Ct&lt;22,$BC1380=(Elig_MatchAll_Ct-1),AX1380=0),X1380,0)</f>
        <v>0</v>
      </c>
      <c r="CD1380" s="994">
        <f>IF(AND(Input_Product=Elig!$C1380,Elig_MatchAll_Ct&lt;22,$BC1380=(Elig_MatchAll_Ct-1),AX1380=0),Y1380,0)</f>
        <v>0</v>
      </c>
      <c r="CE1380" s="993">
        <f>IF(AND(Input_LTV&lt;=AE1380,Input_Product=Elig!$C1380,Elig_MatchAll_Ct&lt;22,$BC1380=(Elig_MatchAll_Ct-1),AY1380=0),Z1380,0)</f>
        <v>0</v>
      </c>
      <c r="CF1380" s="994">
        <f>IF(AND(Input_LTV&lt;=AE1380,Input_Product=Elig!$C1380,Elig_MatchAll_Ct&lt;22,$BC1380=(Elig_MatchAll_Ct-1),AY1380=0),AA1380,0)</f>
        <v>0</v>
      </c>
      <c r="CG1380" s="993">
        <f>IF(AND(Input_Product=Elig!$C1380,Elig_MatchAll_Ct&lt;22,$BC1380=(Elig_MatchAll_Ct-1),AZ1380=0),AB1380,0)</f>
        <v>0</v>
      </c>
      <c r="CH1380" s="994">
        <f>IF(AND(Input_Product=Elig!$C1380,Elig_MatchAll_Ct&lt;22,$BC1380=(Elig_MatchAll_Ct-1),AZ1380=0),AC1380,0)</f>
        <v>0</v>
      </c>
      <c r="CI1380" s="993">
        <f>IF(AND(Input_Product=Elig!$C1380,Elig_MatchAll_Ct&lt;22,$BC1380=(Elig_MatchAll_Ct-1),BA1380=0),AD1380,0)</f>
        <v>0</v>
      </c>
      <c r="CJ1380" s="994">
        <f>IF(AND(Input_Product=Elig!$C1380,Elig_MatchAll_Ct&lt;22,$BC1380=(Elig_MatchAll_Ct-1),BA1380=0),AE1380,0)</f>
        <v>0</v>
      </c>
    </row>
    <row r="1381" spans="2:88" ht="10.15" customHeight="1" x14ac:dyDescent="0.25">
      <c r="B1381" s="1538" t="s">
        <v>3579</v>
      </c>
      <c r="C1381" s="1541" t="str">
        <f t="shared" si="486"/>
        <v xml:space="preserve">  NOO</v>
      </c>
      <c r="D1381" s="1541" t="s">
        <v>2764</v>
      </c>
      <c r="E1381" s="1541" t="s">
        <v>167</v>
      </c>
      <c r="F1381" s="1541" t="s">
        <v>2765</v>
      </c>
      <c r="G1381" s="1541" t="s">
        <v>2766</v>
      </c>
      <c r="H1381" s="1541" t="s">
        <v>2767</v>
      </c>
      <c r="I1381" s="1542" t="s">
        <v>35</v>
      </c>
      <c r="J1381" s="1542" t="s">
        <v>1311</v>
      </c>
      <c r="K1381" s="1542" t="s">
        <v>3023</v>
      </c>
      <c r="L1381" s="1541" t="s">
        <v>2768</v>
      </c>
      <c r="M1381" s="1541" t="s">
        <v>2677</v>
      </c>
      <c r="N1381" s="1541" t="s">
        <v>2685</v>
      </c>
      <c r="O1381" s="1541" t="s">
        <v>310</v>
      </c>
      <c r="P1381" s="1541" t="s">
        <v>291</v>
      </c>
      <c r="Q1381" s="1541" t="s">
        <v>294</v>
      </c>
      <c r="R1381" s="1541">
        <v>150000</v>
      </c>
      <c r="S1381" s="1541">
        <v>1000000</v>
      </c>
      <c r="T1381" s="1541">
        <v>0</v>
      </c>
      <c r="U1381" s="1541">
        <v>0</v>
      </c>
      <c r="V1381" s="1541">
        <v>0</v>
      </c>
      <c r="W1381" s="1541">
        <v>55</v>
      </c>
      <c r="X1381" s="1541">
        <v>0</v>
      </c>
      <c r="Y1381" s="1541">
        <v>0</v>
      </c>
      <c r="Z1381" s="1543">
        <v>720</v>
      </c>
      <c r="AA1381" s="1543">
        <v>999</v>
      </c>
      <c r="AB1381" s="1543">
        <v>6</v>
      </c>
      <c r="AC1381" s="1543">
        <v>999999</v>
      </c>
      <c r="AD1381" s="1541">
        <v>0</v>
      </c>
      <c r="AE1381" s="1544">
        <v>85</v>
      </c>
      <c r="AF1381" s="170">
        <v>0</v>
      </c>
      <c r="AG1381" s="171">
        <v>1</v>
      </c>
      <c r="AH1381" s="171">
        <v>1</v>
      </c>
      <c r="AI1381" s="171">
        <v>1</v>
      </c>
      <c r="AJ1381" s="171">
        <v>1</v>
      </c>
      <c r="AK1381" s="171">
        <v>1</v>
      </c>
      <c r="AL1381" s="171">
        <v>0</v>
      </c>
      <c r="AM1381" s="171">
        <v>1</v>
      </c>
      <c r="AN1381" s="171">
        <v>1</v>
      </c>
      <c r="AO1381" s="171">
        <v>1</v>
      </c>
      <c r="AP1381" s="171">
        <v>1</v>
      </c>
      <c r="AQ1381" s="171">
        <v>1</v>
      </c>
      <c r="AR1381" s="171">
        <v>1</v>
      </c>
      <c r="AS1381" s="171">
        <v>1</v>
      </c>
      <c r="AT1381" s="171">
        <v>1</v>
      </c>
      <c r="AU1381" s="171">
        <f t="shared" si="474"/>
        <v>1</v>
      </c>
      <c r="AV1381" s="171">
        <f t="shared" si="475"/>
        <v>0</v>
      </c>
      <c r="AW1381" s="171">
        <f t="shared" si="476"/>
        <v>1</v>
      </c>
      <c r="AX1381" s="171">
        <f t="shared" si="485"/>
        <v>1</v>
      </c>
      <c r="AY1381" s="171">
        <f t="shared" si="477"/>
        <v>1</v>
      </c>
      <c r="AZ1381" s="171">
        <f t="shared" si="478"/>
        <v>1</v>
      </c>
      <c r="BA1381" s="172">
        <f t="shared" si="479"/>
        <v>1</v>
      </c>
      <c r="BB1381" s="175">
        <f t="shared" si="481"/>
        <v>19</v>
      </c>
      <c r="BC1381" s="176">
        <f t="shared" si="482"/>
        <v>18</v>
      </c>
      <c r="BD1381" s="176">
        <f t="shared" si="483"/>
        <v>19</v>
      </c>
      <c r="BE1381" s="240" t="str">
        <f t="shared" ref="BE1381:BE1444" si="487">IF(BD1381=21,C1381,"")</f>
        <v/>
      </c>
      <c r="BF1381" s="990"/>
      <c r="BG1381" s="990"/>
      <c r="BH1381" s="991">
        <f>IF(AND(Input_Product=Elig!$C1381,Elig_MatchAll_Ct&lt;22,$BC1381=(Elig_MatchAll_Ct-1),AF1381=0),C1381,0)</f>
        <v>0</v>
      </c>
      <c r="BI1381" s="991">
        <f>IF(AND(Input_Product=Elig!$C1381,Elig_MatchAll_Ct&lt;22,$BC1381=(Elig_MatchAll_Ct-1),AG1381=0),D1381,0)</f>
        <v>0</v>
      </c>
      <c r="BJ1381" s="991">
        <f>IF(AND(Input_Product=Elig!$C1381,Elig_MatchAll_Ct&lt;22,$BC1381=(Elig_MatchAll_Ct-1),AH1381=0),E1381,0)</f>
        <v>0</v>
      </c>
      <c r="BK1381" s="991">
        <f>IF(AND(Input_Product=Elig!$C1381,Elig_MatchAll_Ct&lt;22,$BC1381=(Elig_MatchAll_Ct-1),AI1381=0),F1381,0)</f>
        <v>0</v>
      </c>
      <c r="BL1381" s="991">
        <f>IF(AND(Input_Product=Elig!$C1381,Elig_MatchAll_Ct&lt;22,$BC1381=(Elig_MatchAll_Ct-1),AJ1381=0),G1381,0)</f>
        <v>0</v>
      </c>
      <c r="BM1381" s="991">
        <f>IF(AND(Input_Product=Elig!$C1381,Elig_MatchAll_Ct&lt;22,$BC1381=(Elig_MatchAll_Ct-1),AK1381=0),H1381,0)</f>
        <v>0</v>
      </c>
      <c r="BN1381" s="991">
        <f>IF(AND(Input_Product=Elig!$C1381,Elig_MatchAll_Ct&lt;22,$BC1381=(Elig_MatchAll_Ct-1),AL1381=0),I1381,0)</f>
        <v>0</v>
      </c>
      <c r="BO1381" s="991">
        <f>IF(AND(Input_Product=Elig!$C1381,Elig_MatchAll_Ct&lt;22,$BC1381=(Elig_MatchAll_Ct-1),AM1381=0),J1381,0)</f>
        <v>0</v>
      </c>
      <c r="BP1381" s="991">
        <f>IF(AND(Input_Product=Elig!$C1381,Elig_MatchAll_Ct&lt;22,$BC1381=(Elig_MatchAll_Ct-1),AN1381=0),K1381,0)</f>
        <v>0</v>
      </c>
      <c r="BQ1381" s="991">
        <f>IF(AND(Input_Product=Elig!$C1381,Elig_MatchAll_Ct&lt;22,$BC1381=(Elig_MatchAll_Ct-1),AP1381=0),L1381,0)</f>
        <v>0</v>
      </c>
      <c r="BR1381" s="991">
        <f>IF(AND(Input_Product=Elig!$C1381,Elig_MatchAll_Ct&lt;22,$BC1381=(Elig_MatchAll_Ct-1),AO1381=0),M1381,0)</f>
        <v>0</v>
      </c>
      <c r="BS1381" s="991">
        <f>IF(AND(Input_Product=Elig!$C1381,Elig_MatchAll_Ct&lt;22,$BC1381=(Elig_MatchAll_Ct-1),AQ1381=0),N1381,0)</f>
        <v>0</v>
      </c>
      <c r="BT1381" s="991">
        <f>IF(AND(Input_Product=Elig!$C1381,Elig_MatchAll_Ct&lt;22,$BC1381=(Elig_MatchAll_Ct-1),AR1381=0),O1381,0)</f>
        <v>0</v>
      </c>
      <c r="BU1381" s="991">
        <f>IF(AND(Input_Product=Elig!$C1381,Elig_MatchAll_Ct&lt;22,$BC1381=(Elig_MatchAll_Ct-1),AS1381=0),P1381,0)</f>
        <v>0</v>
      </c>
      <c r="BV1381" s="992">
        <f>IF(AND(Input_Product=Elig!$C1381,Elig_MatchAll_Ct&lt;22,$BC1381=(Elig_MatchAll_Ct-1),AT1381=0),Q1381,0)</f>
        <v>0</v>
      </c>
      <c r="BW1381" s="993">
        <f>IF(AND(Input_Product=Elig!$C1381,Elig_MatchAll_Ct&lt;22,$BC1381=(Elig_MatchAll_Ct-1),AU1381=0),R1381,0)</f>
        <v>0</v>
      </c>
      <c r="BX1381" s="994">
        <f>IF(AND(Input_Product=Elig!$C1381,Elig_MatchAll_Ct&lt;22,$BC1381=(Elig_MatchAll_Ct-1),AU1381=0),S1381,0)</f>
        <v>0</v>
      </c>
      <c r="BY1381" s="993">
        <f>IF(AND(Input_Product=Elig!$C1381,Elig_MatchAll_Ct&lt;22,$BC1381=(Elig_MatchAll_Ct-1),AV1381=0),T1381,0)</f>
        <v>0</v>
      </c>
      <c r="BZ1381" s="994">
        <f>IF(AND(Input_Product=Elig!$C1381,Elig_MatchAll_Ct&lt;22,$BC1381=(Elig_MatchAll_Ct-1),AV1381=0),U1381,0)</f>
        <v>0</v>
      </c>
      <c r="CA1381" s="993">
        <f>IF(AND(Input_Product=Elig!$C1381,Elig_MatchAll_Ct&lt;22,$BC1381=(Elig_MatchAll_Ct-1),AW1381=0),V1381,0)</f>
        <v>0</v>
      </c>
      <c r="CB1381" s="994">
        <f>IF(AND(Input_Product=Elig!$C1381,Elig_MatchAll_Ct&lt;22,$BC1381=(Elig_MatchAll_Ct-1),AW1381=0),W1381,0)</f>
        <v>0</v>
      </c>
      <c r="CC1381" s="993">
        <f>IF(AND(Input_Product=Elig!$C1381,Elig_MatchAll_Ct&lt;22,$BC1381=(Elig_MatchAll_Ct-1),AX1381=0),X1381,0)</f>
        <v>0</v>
      </c>
      <c r="CD1381" s="994">
        <f>IF(AND(Input_Product=Elig!$C1381,Elig_MatchAll_Ct&lt;22,$BC1381=(Elig_MatchAll_Ct-1),AX1381=0),Y1381,0)</f>
        <v>0</v>
      </c>
      <c r="CE1381" s="993">
        <f>IF(AND(Input_LTV&lt;=AE1381,Input_Product=Elig!$C1381,Elig_MatchAll_Ct&lt;22,$BC1381=(Elig_MatchAll_Ct-1),AY1381=0),Z1381,0)</f>
        <v>0</v>
      </c>
      <c r="CF1381" s="994">
        <f>IF(AND(Input_LTV&lt;=AE1381,Input_Product=Elig!$C1381,Elig_MatchAll_Ct&lt;22,$BC1381=(Elig_MatchAll_Ct-1),AY1381=0),AA1381,0)</f>
        <v>0</v>
      </c>
      <c r="CG1381" s="993">
        <f>IF(AND(Input_Product=Elig!$C1381,Elig_MatchAll_Ct&lt;22,$BC1381=(Elig_MatchAll_Ct-1),AZ1381=0),AB1381,0)</f>
        <v>0</v>
      </c>
      <c r="CH1381" s="994">
        <f>IF(AND(Input_Product=Elig!$C1381,Elig_MatchAll_Ct&lt;22,$BC1381=(Elig_MatchAll_Ct-1),AZ1381=0),AC1381,0)</f>
        <v>0</v>
      </c>
      <c r="CI1381" s="993">
        <f>IF(AND(Input_Product=Elig!$C1381,Elig_MatchAll_Ct&lt;22,$BC1381=(Elig_MatchAll_Ct-1),BA1381=0),AD1381,0)</f>
        <v>0</v>
      </c>
      <c r="CJ1381" s="994">
        <f>IF(AND(Input_Product=Elig!$C1381,Elig_MatchAll_Ct&lt;22,$BC1381=(Elig_MatchAll_Ct-1),BA1381=0),AE1381,0)</f>
        <v>0</v>
      </c>
    </row>
    <row r="1382" spans="2:88" ht="10.15" customHeight="1" x14ac:dyDescent="0.25">
      <c r="B1382" s="1538" t="s">
        <v>3580</v>
      </c>
      <c r="C1382" s="1538" t="str">
        <f t="shared" si="486"/>
        <v xml:space="preserve">  NOO</v>
      </c>
      <c r="D1382" s="1538" t="s">
        <v>2764</v>
      </c>
      <c r="E1382" s="1538" t="s">
        <v>167</v>
      </c>
      <c r="F1382" s="1538" t="s">
        <v>2765</v>
      </c>
      <c r="G1382" s="1538" t="s">
        <v>2766</v>
      </c>
      <c r="H1382" s="1538" t="s">
        <v>2767</v>
      </c>
      <c r="I1382" s="1539" t="s">
        <v>35</v>
      </c>
      <c r="J1382" s="1539" t="s">
        <v>1311</v>
      </c>
      <c r="K1382" s="1539" t="s">
        <v>3023</v>
      </c>
      <c r="L1382" s="1538" t="s">
        <v>2768</v>
      </c>
      <c r="M1382" s="1538" t="s">
        <v>2677</v>
      </c>
      <c r="N1382" s="1538" t="s">
        <v>2685</v>
      </c>
      <c r="O1382" s="1538" t="s">
        <v>310</v>
      </c>
      <c r="P1382" s="1538" t="s">
        <v>291</v>
      </c>
      <c r="Q1382" s="1538" t="s">
        <v>294</v>
      </c>
      <c r="R1382" s="1538">
        <v>1000000.01</v>
      </c>
      <c r="S1382" s="1538">
        <v>1500000</v>
      </c>
      <c r="T1382" s="1538">
        <v>0</v>
      </c>
      <c r="U1382" s="1538">
        <v>0</v>
      </c>
      <c r="V1382" s="1538">
        <v>0</v>
      </c>
      <c r="W1382" s="1538">
        <v>55</v>
      </c>
      <c r="X1382" s="1538">
        <v>0</v>
      </c>
      <c r="Y1382" s="1538">
        <v>0</v>
      </c>
      <c r="Z1382" s="1540">
        <v>720</v>
      </c>
      <c r="AA1382" s="1540">
        <v>999</v>
      </c>
      <c r="AB1382" s="1540">
        <v>6</v>
      </c>
      <c r="AC1382" s="1540">
        <v>999999</v>
      </c>
      <c r="AD1382" s="1538">
        <v>0</v>
      </c>
      <c r="AE1382" s="1545">
        <v>85</v>
      </c>
      <c r="AF1382" s="170">
        <v>0</v>
      </c>
      <c r="AG1382" s="171">
        <v>1</v>
      </c>
      <c r="AH1382" s="171">
        <v>1</v>
      </c>
      <c r="AI1382" s="171">
        <v>1</v>
      </c>
      <c r="AJ1382" s="171">
        <v>1</v>
      </c>
      <c r="AK1382" s="171">
        <v>1</v>
      </c>
      <c r="AL1382" s="171">
        <v>0</v>
      </c>
      <c r="AM1382" s="171">
        <v>1</v>
      </c>
      <c r="AN1382" s="171">
        <v>1</v>
      </c>
      <c r="AO1382" s="171">
        <v>1</v>
      </c>
      <c r="AP1382" s="171">
        <v>1</v>
      </c>
      <c r="AQ1382" s="171">
        <v>1</v>
      </c>
      <c r="AR1382" s="171">
        <v>1</v>
      </c>
      <c r="AS1382" s="171">
        <v>1</v>
      </c>
      <c r="AT1382" s="171">
        <v>1</v>
      </c>
      <c r="AU1382" s="171">
        <f t="shared" si="474"/>
        <v>0</v>
      </c>
      <c r="AV1382" s="171">
        <f t="shared" si="475"/>
        <v>0</v>
      </c>
      <c r="AW1382" s="171">
        <f t="shared" si="476"/>
        <v>1</v>
      </c>
      <c r="AX1382" s="171">
        <f t="shared" si="485"/>
        <v>1</v>
      </c>
      <c r="AY1382" s="171">
        <f t="shared" si="477"/>
        <v>1</v>
      </c>
      <c r="AZ1382" s="171">
        <f t="shared" si="478"/>
        <v>1</v>
      </c>
      <c r="BA1382" s="172">
        <f t="shared" si="479"/>
        <v>1</v>
      </c>
      <c r="BB1382" s="175">
        <f t="shared" si="481"/>
        <v>18</v>
      </c>
      <c r="BC1382" s="176">
        <f t="shared" si="482"/>
        <v>17</v>
      </c>
      <c r="BD1382" s="176">
        <f t="shared" si="483"/>
        <v>18</v>
      </c>
      <c r="BE1382" s="240" t="str">
        <f t="shared" si="487"/>
        <v/>
      </c>
      <c r="BF1382" s="990"/>
      <c r="BG1382" s="990"/>
      <c r="BH1382" s="991">
        <f>IF(AND(Input_Product=Elig!$C1382,Elig_MatchAll_Ct&lt;22,$BC1382=(Elig_MatchAll_Ct-1),AF1382=0),C1382,0)</f>
        <v>0</v>
      </c>
      <c r="BI1382" s="991">
        <f>IF(AND(Input_Product=Elig!$C1382,Elig_MatchAll_Ct&lt;22,$BC1382=(Elig_MatchAll_Ct-1),AG1382=0),D1382,0)</f>
        <v>0</v>
      </c>
      <c r="BJ1382" s="991">
        <f>IF(AND(Input_Product=Elig!$C1382,Elig_MatchAll_Ct&lt;22,$BC1382=(Elig_MatchAll_Ct-1),AH1382=0),E1382,0)</f>
        <v>0</v>
      </c>
      <c r="BK1382" s="991">
        <f>IF(AND(Input_Product=Elig!$C1382,Elig_MatchAll_Ct&lt;22,$BC1382=(Elig_MatchAll_Ct-1),AI1382=0),F1382,0)</f>
        <v>0</v>
      </c>
      <c r="BL1382" s="991">
        <f>IF(AND(Input_Product=Elig!$C1382,Elig_MatchAll_Ct&lt;22,$BC1382=(Elig_MatchAll_Ct-1),AJ1382=0),G1382,0)</f>
        <v>0</v>
      </c>
      <c r="BM1382" s="991">
        <f>IF(AND(Input_Product=Elig!$C1382,Elig_MatchAll_Ct&lt;22,$BC1382=(Elig_MatchAll_Ct-1),AK1382=0),H1382,0)</f>
        <v>0</v>
      </c>
      <c r="BN1382" s="991">
        <f>IF(AND(Input_Product=Elig!$C1382,Elig_MatchAll_Ct&lt;22,$BC1382=(Elig_MatchAll_Ct-1),AL1382=0),I1382,0)</f>
        <v>0</v>
      </c>
      <c r="BO1382" s="991">
        <f>IF(AND(Input_Product=Elig!$C1382,Elig_MatchAll_Ct&lt;22,$BC1382=(Elig_MatchAll_Ct-1),AM1382=0),J1382,0)</f>
        <v>0</v>
      </c>
      <c r="BP1382" s="991">
        <f>IF(AND(Input_Product=Elig!$C1382,Elig_MatchAll_Ct&lt;22,$BC1382=(Elig_MatchAll_Ct-1),AN1382=0),K1382,0)</f>
        <v>0</v>
      </c>
      <c r="BQ1382" s="991">
        <f>IF(AND(Input_Product=Elig!$C1382,Elig_MatchAll_Ct&lt;22,$BC1382=(Elig_MatchAll_Ct-1),AP1382=0),L1382,0)</f>
        <v>0</v>
      </c>
      <c r="BR1382" s="991">
        <f>IF(AND(Input_Product=Elig!$C1382,Elig_MatchAll_Ct&lt;22,$BC1382=(Elig_MatchAll_Ct-1),AO1382=0),M1382,0)</f>
        <v>0</v>
      </c>
      <c r="BS1382" s="991">
        <f>IF(AND(Input_Product=Elig!$C1382,Elig_MatchAll_Ct&lt;22,$BC1382=(Elig_MatchAll_Ct-1),AQ1382=0),N1382,0)</f>
        <v>0</v>
      </c>
      <c r="BT1382" s="991">
        <f>IF(AND(Input_Product=Elig!$C1382,Elig_MatchAll_Ct&lt;22,$BC1382=(Elig_MatchAll_Ct-1),AR1382=0),O1382,0)</f>
        <v>0</v>
      </c>
      <c r="BU1382" s="991">
        <f>IF(AND(Input_Product=Elig!$C1382,Elig_MatchAll_Ct&lt;22,$BC1382=(Elig_MatchAll_Ct-1),AS1382=0),P1382,0)</f>
        <v>0</v>
      </c>
      <c r="BV1382" s="992">
        <f>IF(AND(Input_Product=Elig!$C1382,Elig_MatchAll_Ct&lt;22,$BC1382=(Elig_MatchAll_Ct-1),AT1382=0),Q1382,0)</f>
        <v>0</v>
      </c>
      <c r="BW1382" s="993">
        <f>IF(AND(Input_Product=Elig!$C1382,Elig_MatchAll_Ct&lt;22,$BC1382=(Elig_MatchAll_Ct-1),AU1382=0),R1382,0)</f>
        <v>0</v>
      </c>
      <c r="BX1382" s="994">
        <f>IF(AND(Input_Product=Elig!$C1382,Elig_MatchAll_Ct&lt;22,$BC1382=(Elig_MatchAll_Ct-1),AU1382=0),S1382,0)</f>
        <v>0</v>
      </c>
      <c r="BY1382" s="993">
        <f>IF(AND(Input_Product=Elig!$C1382,Elig_MatchAll_Ct&lt;22,$BC1382=(Elig_MatchAll_Ct-1),AV1382=0),T1382,0)</f>
        <v>0</v>
      </c>
      <c r="BZ1382" s="994">
        <f>IF(AND(Input_Product=Elig!$C1382,Elig_MatchAll_Ct&lt;22,$BC1382=(Elig_MatchAll_Ct-1),AV1382=0),U1382,0)</f>
        <v>0</v>
      </c>
      <c r="CA1382" s="993">
        <f>IF(AND(Input_Product=Elig!$C1382,Elig_MatchAll_Ct&lt;22,$BC1382=(Elig_MatchAll_Ct-1),AW1382=0),V1382,0)</f>
        <v>0</v>
      </c>
      <c r="CB1382" s="994">
        <f>IF(AND(Input_Product=Elig!$C1382,Elig_MatchAll_Ct&lt;22,$BC1382=(Elig_MatchAll_Ct-1),AW1382=0),W1382,0)</f>
        <v>0</v>
      </c>
      <c r="CC1382" s="993">
        <f>IF(AND(Input_Product=Elig!$C1382,Elig_MatchAll_Ct&lt;22,$BC1382=(Elig_MatchAll_Ct-1),AX1382=0),X1382,0)</f>
        <v>0</v>
      </c>
      <c r="CD1382" s="994">
        <f>IF(AND(Input_Product=Elig!$C1382,Elig_MatchAll_Ct&lt;22,$BC1382=(Elig_MatchAll_Ct-1),AX1382=0),Y1382,0)</f>
        <v>0</v>
      </c>
      <c r="CE1382" s="993">
        <f>IF(AND(Input_LTV&lt;=AE1382,Input_Product=Elig!$C1382,Elig_MatchAll_Ct&lt;22,$BC1382=(Elig_MatchAll_Ct-1),AY1382=0),Z1382,0)</f>
        <v>0</v>
      </c>
      <c r="CF1382" s="994">
        <f>IF(AND(Input_LTV&lt;=AE1382,Input_Product=Elig!$C1382,Elig_MatchAll_Ct&lt;22,$BC1382=(Elig_MatchAll_Ct-1),AY1382=0),AA1382,0)</f>
        <v>0</v>
      </c>
      <c r="CG1382" s="993">
        <f>IF(AND(Input_Product=Elig!$C1382,Elig_MatchAll_Ct&lt;22,$BC1382=(Elig_MatchAll_Ct-1),AZ1382=0),AB1382,0)</f>
        <v>0</v>
      </c>
      <c r="CH1382" s="994">
        <f>IF(AND(Input_Product=Elig!$C1382,Elig_MatchAll_Ct&lt;22,$BC1382=(Elig_MatchAll_Ct-1),AZ1382=0),AC1382,0)</f>
        <v>0</v>
      </c>
      <c r="CI1382" s="993">
        <f>IF(AND(Input_Product=Elig!$C1382,Elig_MatchAll_Ct&lt;22,$BC1382=(Elig_MatchAll_Ct-1),BA1382=0),AD1382,0)</f>
        <v>0</v>
      </c>
      <c r="CJ1382" s="994">
        <f>IF(AND(Input_Product=Elig!$C1382,Elig_MatchAll_Ct&lt;22,$BC1382=(Elig_MatchAll_Ct-1),BA1382=0),AE1382,0)</f>
        <v>0</v>
      </c>
    </row>
    <row r="1383" spans="2:88" ht="10.15" customHeight="1" x14ac:dyDescent="0.25">
      <c r="B1383" s="1538" t="s">
        <v>3581</v>
      </c>
      <c r="C1383" s="1538" t="str">
        <f t="shared" si="486"/>
        <v xml:space="preserve">  NOO</v>
      </c>
      <c r="D1383" s="1538" t="s">
        <v>2764</v>
      </c>
      <c r="E1383" s="1538" t="s">
        <v>167</v>
      </c>
      <c r="F1383" s="1538" t="s">
        <v>2765</v>
      </c>
      <c r="G1383" s="1538" t="s">
        <v>2766</v>
      </c>
      <c r="H1383" s="1538" t="s">
        <v>2767</v>
      </c>
      <c r="I1383" s="1539" t="s">
        <v>35</v>
      </c>
      <c r="J1383" s="1539" t="s">
        <v>1311</v>
      </c>
      <c r="K1383" s="1539" t="s">
        <v>3023</v>
      </c>
      <c r="L1383" s="1538" t="s">
        <v>2768</v>
      </c>
      <c r="M1383" s="1538" t="s">
        <v>2677</v>
      </c>
      <c r="N1383" s="1538" t="s">
        <v>2685</v>
      </c>
      <c r="O1383" s="1538" t="s">
        <v>310</v>
      </c>
      <c r="P1383" s="1538" t="s">
        <v>291</v>
      </c>
      <c r="Q1383" s="1538" t="s">
        <v>294</v>
      </c>
      <c r="R1383" s="1538">
        <v>1500000.01</v>
      </c>
      <c r="S1383" s="1538">
        <v>2000000</v>
      </c>
      <c r="T1383" s="1538">
        <v>0</v>
      </c>
      <c r="U1383" s="1538">
        <v>0</v>
      </c>
      <c r="V1383" s="1538">
        <v>0</v>
      </c>
      <c r="W1383" s="1538">
        <v>55</v>
      </c>
      <c r="X1383" s="1538">
        <v>0</v>
      </c>
      <c r="Y1383" s="1538">
        <v>0</v>
      </c>
      <c r="Z1383" s="1540">
        <v>720</v>
      </c>
      <c r="AA1383" s="1540">
        <v>999</v>
      </c>
      <c r="AB1383" s="1540">
        <v>6</v>
      </c>
      <c r="AC1383" s="1540">
        <v>999999</v>
      </c>
      <c r="AD1383" s="1538">
        <v>0</v>
      </c>
      <c r="AE1383" s="1545">
        <v>80</v>
      </c>
      <c r="AF1383" s="170">
        <v>0</v>
      </c>
      <c r="AG1383" s="171">
        <v>1</v>
      </c>
      <c r="AH1383" s="171">
        <v>1</v>
      </c>
      <c r="AI1383" s="171">
        <v>1</v>
      </c>
      <c r="AJ1383" s="171">
        <v>1</v>
      </c>
      <c r="AK1383" s="171">
        <v>1</v>
      </c>
      <c r="AL1383" s="171">
        <v>0</v>
      </c>
      <c r="AM1383" s="171">
        <v>1</v>
      </c>
      <c r="AN1383" s="171">
        <v>1</v>
      </c>
      <c r="AO1383" s="171">
        <v>1</v>
      </c>
      <c r="AP1383" s="171">
        <v>1</v>
      </c>
      <c r="AQ1383" s="171">
        <v>1</v>
      </c>
      <c r="AR1383" s="171">
        <v>1</v>
      </c>
      <c r="AS1383" s="171">
        <v>1</v>
      </c>
      <c r="AT1383" s="171">
        <v>1</v>
      </c>
      <c r="AU1383" s="171">
        <f t="shared" si="474"/>
        <v>0</v>
      </c>
      <c r="AV1383" s="171">
        <f t="shared" si="475"/>
        <v>0</v>
      </c>
      <c r="AW1383" s="171">
        <f t="shared" si="476"/>
        <v>1</v>
      </c>
      <c r="AX1383" s="171">
        <f t="shared" si="485"/>
        <v>1</v>
      </c>
      <c r="AY1383" s="171">
        <f t="shared" si="477"/>
        <v>1</v>
      </c>
      <c r="AZ1383" s="171">
        <f t="shared" si="478"/>
        <v>1</v>
      </c>
      <c r="BA1383" s="172">
        <f t="shared" si="479"/>
        <v>1</v>
      </c>
      <c r="BB1383" s="175">
        <f t="shared" si="481"/>
        <v>18</v>
      </c>
      <c r="BC1383" s="176">
        <f t="shared" si="482"/>
        <v>17</v>
      </c>
      <c r="BD1383" s="176">
        <f t="shared" si="483"/>
        <v>18</v>
      </c>
      <c r="BE1383" s="240" t="str">
        <f t="shared" si="487"/>
        <v/>
      </c>
      <c r="BF1383" s="990"/>
      <c r="BG1383" s="990"/>
      <c r="BH1383" s="991">
        <f>IF(AND(Input_Product=Elig!$C1383,Elig_MatchAll_Ct&lt;22,$BC1383=(Elig_MatchAll_Ct-1),AF1383=0),C1383,0)</f>
        <v>0</v>
      </c>
      <c r="BI1383" s="991">
        <f>IF(AND(Input_Product=Elig!$C1383,Elig_MatchAll_Ct&lt;22,$BC1383=(Elig_MatchAll_Ct-1),AG1383=0),D1383,0)</f>
        <v>0</v>
      </c>
      <c r="BJ1383" s="991">
        <f>IF(AND(Input_Product=Elig!$C1383,Elig_MatchAll_Ct&lt;22,$BC1383=(Elig_MatchAll_Ct-1),AH1383=0),E1383,0)</f>
        <v>0</v>
      </c>
      <c r="BK1383" s="991">
        <f>IF(AND(Input_Product=Elig!$C1383,Elig_MatchAll_Ct&lt;22,$BC1383=(Elig_MatchAll_Ct-1),AI1383=0),F1383,0)</f>
        <v>0</v>
      </c>
      <c r="BL1383" s="991">
        <f>IF(AND(Input_Product=Elig!$C1383,Elig_MatchAll_Ct&lt;22,$BC1383=(Elig_MatchAll_Ct-1),AJ1383=0),G1383,0)</f>
        <v>0</v>
      </c>
      <c r="BM1383" s="991">
        <f>IF(AND(Input_Product=Elig!$C1383,Elig_MatchAll_Ct&lt;22,$BC1383=(Elig_MatchAll_Ct-1),AK1383=0),H1383,0)</f>
        <v>0</v>
      </c>
      <c r="BN1383" s="991">
        <f>IF(AND(Input_Product=Elig!$C1383,Elig_MatchAll_Ct&lt;22,$BC1383=(Elig_MatchAll_Ct-1),AL1383=0),I1383,0)</f>
        <v>0</v>
      </c>
      <c r="BO1383" s="991">
        <f>IF(AND(Input_Product=Elig!$C1383,Elig_MatchAll_Ct&lt;22,$BC1383=(Elig_MatchAll_Ct-1),AM1383=0),J1383,0)</f>
        <v>0</v>
      </c>
      <c r="BP1383" s="991">
        <f>IF(AND(Input_Product=Elig!$C1383,Elig_MatchAll_Ct&lt;22,$BC1383=(Elig_MatchAll_Ct-1),AN1383=0),K1383,0)</f>
        <v>0</v>
      </c>
      <c r="BQ1383" s="991">
        <f>IF(AND(Input_Product=Elig!$C1383,Elig_MatchAll_Ct&lt;22,$BC1383=(Elig_MatchAll_Ct-1),AP1383=0),L1383,0)</f>
        <v>0</v>
      </c>
      <c r="BR1383" s="991">
        <f>IF(AND(Input_Product=Elig!$C1383,Elig_MatchAll_Ct&lt;22,$BC1383=(Elig_MatchAll_Ct-1),AO1383=0),M1383,0)</f>
        <v>0</v>
      </c>
      <c r="BS1383" s="991">
        <f>IF(AND(Input_Product=Elig!$C1383,Elig_MatchAll_Ct&lt;22,$BC1383=(Elig_MatchAll_Ct-1),AQ1383=0),N1383,0)</f>
        <v>0</v>
      </c>
      <c r="BT1383" s="991">
        <f>IF(AND(Input_Product=Elig!$C1383,Elig_MatchAll_Ct&lt;22,$BC1383=(Elig_MatchAll_Ct-1),AR1383=0),O1383,0)</f>
        <v>0</v>
      </c>
      <c r="BU1383" s="991">
        <f>IF(AND(Input_Product=Elig!$C1383,Elig_MatchAll_Ct&lt;22,$BC1383=(Elig_MatchAll_Ct-1),AS1383=0),P1383,0)</f>
        <v>0</v>
      </c>
      <c r="BV1383" s="992">
        <f>IF(AND(Input_Product=Elig!$C1383,Elig_MatchAll_Ct&lt;22,$BC1383=(Elig_MatchAll_Ct-1),AT1383=0),Q1383,0)</f>
        <v>0</v>
      </c>
      <c r="BW1383" s="993">
        <f>IF(AND(Input_Product=Elig!$C1383,Elig_MatchAll_Ct&lt;22,$BC1383=(Elig_MatchAll_Ct-1),AU1383=0),R1383,0)</f>
        <v>0</v>
      </c>
      <c r="BX1383" s="994">
        <f>IF(AND(Input_Product=Elig!$C1383,Elig_MatchAll_Ct&lt;22,$BC1383=(Elig_MatchAll_Ct-1),AU1383=0),S1383,0)</f>
        <v>0</v>
      </c>
      <c r="BY1383" s="993">
        <f>IF(AND(Input_Product=Elig!$C1383,Elig_MatchAll_Ct&lt;22,$BC1383=(Elig_MatchAll_Ct-1),AV1383=0),T1383,0)</f>
        <v>0</v>
      </c>
      <c r="BZ1383" s="994">
        <f>IF(AND(Input_Product=Elig!$C1383,Elig_MatchAll_Ct&lt;22,$BC1383=(Elig_MatchAll_Ct-1),AV1383=0),U1383,0)</f>
        <v>0</v>
      </c>
      <c r="CA1383" s="993">
        <f>IF(AND(Input_Product=Elig!$C1383,Elig_MatchAll_Ct&lt;22,$BC1383=(Elig_MatchAll_Ct-1),AW1383=0),V1383,0)</f>
        <v>0</v>
      </c>
      <c r="CB1383" s="994">
        <f>IF(AND(Input_Product=Elig!$C1383,Elig_MatchAll_Ct&lt;22,$BC1383=(Elig_MatchAll_Ct-1),AW1383=0),W1383,0)</f>
        <v>0</v>
      </c>
      <c r="CC1383" s="993">
        <f>IF(AND(Input_Product=Elig!$C1383,Elig_MatchAll_Ct&lt;22,$BC1383=(Elig_MatchAll_Ct-1),AX1383=0),X1383,0)</f>
        <v>0</v>
      </c>
      <c r="CD1383" s="994">
        <f>IF(AND(Input_Product=Elig!$C1383,Elig_MatchAll_Ct&lt;22,$BC1383=(Elig_MatchAll_Ct-1),AX1383=0),Y1383,0)</f>
        <v>0</v>
      </c>
      <c r="CE1383" s="993">
        <f>IF(AND(Input_LTV&lt;=AE1383,Input_Product=Elig!$C1383,Elig_MatchAll_Ct&lt;22,$BC1383=(Elig_MatchAll_Ct-1),AY1383=0),Z1383,0)</f>
        <v>0</v>
      </c>
      <c r="CF1383" s="994">
        <f>IF(AND(Input_LTV&lt;=AE1383,Input_Product=Elig!$C1383,Elig_MatchAll_Ct&lt;22,$BC1383=(Elig_MatchAll_Ct-1),AY1383=0),AA1383,0)</f>
        <v>0</v>
      </c>
      <c r="CG1383" s="993">
        <f>IF(AND(Input_Product=Elig!$C1383,Elig_MatchAll_Ct&lt;22,$BC1383=(Elig_MatchAll_Ct-1),AZ1383=0),AB1383,0)</f>
        <v>0</v>
      </c>
      <c r="CH1383" s="994">
        <f>IF(AND(Input_Product=Elig!$C1383,Elig_MatchAll_Ct&lt;22,$BC1383=(Elig_MatchAll_Ct-1),AZ1383=0),AC1383,0)</f>
        <v>0</v>
      </c>
      <c r="CI1383" s="993">
        <f>IF(AND(Input_Product=Elig!$C1383,Elig_MatchAll_Ct&lt;22,$BC1383=(Elig_MatchAll_Ct-1),BA1383=0),AD1383,0)</f>
        <v>0</v>
      </c>
      <c r="CJ1383" s="994">
        <f>IF(AND(Input_Product=Elig!$C1383,Elig_MatchAll_Ct&lt;22,$BC1383=(Elig_MatchAll_Ct-1),BA1383=0),AE1383,0)</f>
        <v>0</v>
      </c>
    </row>
    <row r="1384" spans="2:88" ht="10.15" customHeight="1" x14ac:dyDescent="0.25">
      <c r="B1384" s="1538" t="s">
        <v>3582</v>
      </c>
      <c r="C1384" s="1538" t="str">
        <f t="shared" si="486"/>
        <v xml:space="preserve">  NOO</v>
      </c>
      <c r="D1384" s="1538" t="s">
        <v>2764</v>
      </c>
      <c r="E1384" s="1538" t="s">
        <v>167</v>
      </c>
      <c r="F1384" s="1538" t="s">
        <v>2765</v>
      </c>
      <c r="G1384" s="1538" t="s">
        <v>2766</v>
      </c>
      <c r="H1384" s="1538" t="s">
        <v>2767</v>
      </c>
      <c r="I1384" s="1539" t="s">
        <v>35</v>
      </c>
      <c r="J1384" s="1539" t="s">
        <v>1311</v>
      </c>
      <c r="K1384" s="1539" t="s">
        <v>3023</v>
      </c>
      <c r="L1384" s="1538" t="s">
        <v>2768</v>
      </c>
      <c r="M1384" s="1538" t="s">
        <v>2677</v>
      </c>
      <c r="N1384" s="1538" t="s">
        <v>2685</v>
      </c>
      <c r="O1384" s="1538" t="s">
        <v>310</v>
      </c>
      <c r="P1384" s="1538" t="s">
        <v>291</v>
      </c>
      <c r="Q1384" s="1538" t="s">
        <v>294</v>
      </c>
      <c r="R1384" s="1538">
        <v>2000000.01</v>
      </c>
      <c r="S1384" s="1538">
        <v>2500000</v>
      </c>
      <c r="T1384" s="1538">
        <v>0</v>
      </c>
      <c r="U1384" s="1538">
        <v>0</v>
      </c>
      <c r="V1384" s="1538">
        <v>0</v>
      </c>
      <c r="W1384" s="1538">
        <v>55</v>
      </c>
      <c r="X1384" s="1538">
        <v>0</v>
      </c>
      <c r="Y1384" s="1538">
        <v>0</v>
      </c>
      <c r="Z1384" s="1540">
        <v>720</v>
      </c>
      <c r="AA1384" s="1540">
        <v>999</v>
      </c>
      <c r="AB1384" s="1540">
        <v>6</v>
      </c>
      <c r="AC1384" s="1540">
        <v>999999</v>
      </c>
      <c r="AD1384" s="1538">
        <v>0</v>
      </c>
      <c r="AE1384" s="1545">
        <v>75</v>
      </c>
      <c r="AF1384" s="170">
        <v>0</v>
      </c>
      <c r="AG1384" s="171">
        <v>1</v>
      </c>
      <c r="AH1384" s="171">
        <v>1</v>
      </c>
      <c r="AI1384" s="171">
        <v>1</v>
      </c>
      <c r="AJ1384" s="171">
        <v>1</v>
      </c>
      <c r="AK1384" s="171">
        <v>1</v>
      </c>
      <c r="AL1384" s="171">
        <v>0</v>
      </c>
      <c r="AM1384" s="171">
        <v>1</v>
      </c>
      <c r="AN1384" s="171">
        <v>1</v>
      </c>
      <c r="AO1384" s="171">
        <v>1</v>
      </c>
      <c r="AP1384" s="171">
        <v>1</v>
      </c>
      <c r="AQ1384" s="171">
        <v>1</v>
      </c>
      <c r="AR1384" s="171">
        <v>1</v>
      </c>
      <c r="AS1384" s="171">
        <v>1</v>
      </c>
      <c r="AT1384" s="171">
        <v>1</v>
      </c>
      <c r="AU1384" s="171">
        <f t="shared" si="474"/>
        <v>0</v>
      </c>
      <c r="AV1384" s="171">
        <f t="shared" si="475"/>
        <v>0</v>
      </c>
      <c r="AW1384" s="171">
        <f t="shared" si="476"/>
        <v>1</v>
      </c>
      <c r="AX1384" s="171">
        <f t="shared" si="485"/>
        <v>1</v>
      </c>
      <c r="AY1384" s="171">
        <f t="shared" si="477"/>
        <v>1</v>
      </c>
      <c r="AZ1384" s="171">
        <f t="shared" si="478"/>
        <v>1</v>
      </c>
      <c r="BA1384" s="172">
        <f t="shared" si="479"/>
        <v>1</v>
      </c>
      <c r="BB1384" s="175">
        <f t="shared" si="481"/>
        <v>18</v>
      </c>
      <c r="BC1384" s="176">
        <f t="shared" si="482"/>
        <v>17</v>
      </c>
      <c r="BD1384" s="176">
        <f t="shared" si="483"/>
        <v>18</v>
      </c>
      <c r="BE1384" s="240" t="str">
        <f t="shared" si="487"/>
        <v/>
      </c>
      <c r="BF1384" s="990"/>
      <c r="BG1384" s="990"/>
      <c r="BH1384" s="991">
        <f>IF(AND(Input_Product=Elig!$C1384,Elig_MatchAll_Ct&lt;22,$BC1384=(Elig_MatchAll_Ct-1),AF1384=0),C1384,0)</f>
        <v>0</v>
      </c>
      <c r="BI1384" s="991">
        <f>IF(AND(Input_Product=Elig!$C1384,Elig_MatchAll_Ct&lt;22,$BC1384=(Elig_MatchAll_Ct-1),AG1384=0),D1384,0)</f>
        <v>0</v>
      </c>
      <c r="BJ1384" s="991">
        <f>IF(AND(Input_Product=Elig!$C1384,Elig_MatchAll_Ct&lt;22,$BC1384=(Elig_MatchAll_Ct-1),AH1384=0),E1384,0)</f>
        <v>0</v>
      </c>
      <c r="BK1384" s="991">
        <f>IF(AND(Input_Product=Elig!$C1384,Elig_MatchAll_Ct&lt;22,$BC1384=(Elig_MatchAll_Ct-1),AI1384=0),F1384,0)</f>
        <v>0</v>
      </c>
      <c r="BL1384" s="991">
        <f>IF(AND(Input_Product=Elig!$C1384,Elig_MatchAll_Ct&lt;22,$BC1384=(Elig_MatchAll_Ct-1),AJ1384=0),G1384,0)</f>
        <v>0</v>
      </c>
      <c r="BM1384" s="991">
        <f>IF(AND(Input_Product=Elig!$C1384,Elig_MatchAll_Ct&lt;22,$BC1384=(Elig_MatchAll_Ct-1),AK1384=0),H1384,0)</f>
        <v>0</v>
      </c>
      <c r="BN1384" s="991">
        <f>IF(AND(Input_Product=Elig!$C1384,Elig_MatchAll_Ct&lt;22,$BC1384=(Elig_MatchAll_Ct-1),AL1384=0),I1384,0)</f>
        <v>0</v>
      </c>
      <c r="BO1384" s="991">
        <f>IF(AND(Input_Product=Elig!$C1384,Elig_MatchAll_Ct&lt;22,$BC1384=(Elig_MatchAll_Ct-1),AM1384=0),J1384,0)</f>
        <v>0</v>
      </c>
      <c r="BP1384" s="991">
        <f>IF(AND(Input_Product=Elig!$C1384,Elig_MatchAll_Ct&lt;22,$BC1384=(Elig_MatchAll_Ct-1),AN1384=0),K1384,0)</f>
        <v>0</v>
      </c>
      <c r="BQ1384" s="991">
        <f>IF(AND(Input_Product=Elig!$C1384,Elig_MatchAll_Ct&lt;22,$BC1384=(Elig_MatchAll_Ct-1),AP1384=0),L1384,0)</f>
        <v>0</v>
      </c>
      <c r="BR1384" s="991">
        <f>IF(AND(Input_Product=Elig!$C1384,Elig_MatchAll_Ct&lt;22,$BC1384=(Elig_MatchAll_Ct-1),AO1384=0),M1384,0)</f>
        <v>0</v>
      </c>
      <c r="BS1384" s="991">
        <f>IF(AND(Input_Product=Elig!$C1384,Elig_MatchAll_Ct&lt;22,$BC1384=(Elig_MatchAll_Ct-1),AQ1384=0),N1384,0)</f>
        <v>0</v>
      </c>
      <c r="BT1384" s="991">
        <f>IF(AND(Input_Product=Elig!$C1384,Elig_MatchAll_Ct&lt;22,$BC1384=(Elig_MatchAll_Ct-1),AR1384=0),O1384,0)</f>
        <v>0</v>
      </c>
      <c r="BU1384" s="991">
        <f>IF(AND(Input_Product=Elig!$C1384,Elig_MatchAll_Ct&lt;22,$BC1384=(Elig_MatchAll_Ct-1),AS1384=0),P1384,0)</f>
        <v>0</v>
      </c>
      <c r="BV1384" s="992">
        <f>IF(AND(Input_Product=Elig!$C1384,Elig_MatchAll_Ct&lt;22,$BC1384=(Elig_MatchAll_Ct-1),AT1384=0),Q1384,0)</f>
        <v>0</v>
      </c>
      <c r="BW1384" s="993">
        <f>IF(AND(Input_Product=Elig!$C1384,Elig_MatchAll_Ct&lt;22,$BC1384=(Elig_MatchAll_Ct-1),AU1384=0),R1384,0)</f>
        <v>0</v>
      </c>
      <c r="BX1384" s="994">
        <f>IF(AND(Input_Product=Elig!$C1384,Elig_MatchAll_Ct&lt;22,$BC1384=(Elig_MatchAll_Ct-1),AU1384=0),S1384,0)</f>
        <v>0</v>
      </c>
      <c r="BY1384" s="993">
        <f>IF(AND(Input_Product=Elig!$C1384,Elig_MatchAll_Ct&lt;22,$BC1384=(Elig_MatchAll_Ct-1),AV1384=0),T1384,0)</f>
        <v>0</v>
      </c>
      <c r="BZ1384" s="994">
        <f>IF(AND(Input_Product=Elig!$C1384,Elig_MatchAll_Ct&lt;22,$BC1384=(Elig_MatchAll_Ct-1),AV1384=0),U1384,0)</f>
        <v>0</v>
      </c>
      <c r="CA1384" s="993">
        <f>IF(AND(Input_Product=Elig!$C1384,Elig_MatchAll_Ct&lt;22,$BC1384=(Elig_MatchAll_Ct-1),AW1384=0),V1384,0)</f>
        <v>0</v>
      </c>
      <c r="CB1384" s="994">
        <f>IF(AND(Input_Product=Elig!$C1384,Elig_MatchAll_Ct&lt;22,$BC1384=(Elig_MatchAll_Ct-1),AW1384=0),W1384,0)</f>
        <v>0</v>
      </c>
      <c r="CC1384" s="993">
        <f>IF(AND(Input_Product=Elig!$C1384,Elig_MatchAll_Ct&lt;22,$BC1384=(Elig_MatchAll_Ct-1),AX1384=0),X1384,0)</f>
        <v>0</v>
      </c>
      <c r="CD1384" s="994">
        <f>IF(AND(Input_Product=Elig!$C1384,Elig_MatchAll_Ct&lt;22,$BC1384=(Elig_MatchAll_Ct-1),AX1384=0),Y1384,0)</f>
        <v>0</v>
      </c>
      <c r="CE1384" s="993">
        <f>IF(AND(Input_LTV&lt;=AE1384,Input_Product=Elig!$C1384,Elig_MatchAll_Ct&lt;22,$BC1384=(Elig_MatchAll_Ct-1),AY1384=0),Z1384,0)</f>
        <v>0</v>
      </c>
      <c r="CF1384" s="994">
        <f>IF(AND(Input_LTV&lt;=AE1384,Input_Product=Elig!$C1384,Elig_MatchAll_Ct&lt;22,$BC1384=(Elig_MatchAll_Ct-1),AY1384=0),AA1384,0)</f>
        <v>0</v>
      </c>
      <c r="CG1384" s="993">
        <f>IF(AND(Input_Product=Elig!$C1384,Elig_MatchAll_Ct&lt;22,$BC1384=(Elig_MatchAll_Ct-1),AZ1384=0),AB1384,0)</f>
        <v>0</v>
      </c>
      <c r="CH1384" s="994">
        <f>IF(AND(Input_Product=Elig!$C1384,Elig_MatchAll_Ct&lt;22,$BC1384=(Elig_MatchAll_Ct-1),AZ1384=0),AC1384,0)</f>
        <v>0</v>
      </c>
      <c r="CI1384" s="993">
        <f>IF(AND(Input_Product=Elig!$C1384,Elig_MatchAll_Ct&lt;22,$BC1384=(Elig_MatchAll_Ct-1),BA1384=0),AD1384,0)</f>
        <v>0</v>
      </c>
      <c r="CJ1384" s="994">
        <f>IF(AND(Input_Product=Elig!$C1384,Elig_MatchAll_Ct&lt;22,$BC1384=(Elig_MatchAll_Ct-1),BA1384=0),AE1384,0)</f>
        <v>0</v>
      </c>
    </row>
    <row r="1385" spans="2:88" ht="10.15" customHeight="1" x14ac:dyDescent="0.25">
      <c r="B1385" s="1538" t="s">
        <v>3583</v>
      </c>
      <c r="C1385" s="1538" t="str">
        <f t="shared" si="486"/>
        <v xml:space="preserve">  NOO</v>
      </c>
      <c r="D1385" s="1538" t="s">
        <v>2764</v>
      </c>
      <c r="E1385" s="1538" t="s">
        <v>167</v>
      </c>
      <c r="F1385" s="1538" t="s">
        <v>2765</v>
      </c>
      <c r="G1385" s="1538" t="s">
        <v>2766</v>
      </c>
      <c r="H1385" s="1538" t="s">
        <v>2767</v>
      </c>
      <c r="I1385" s="1539" t="s">
        <v>35</v>
      </c>
      <c r="J1385" s="1539" t="s">
        <v>1311</v>
      </c>
      <c r="K1385" s="1539" t="s">
        <v>3023</v>
      </c>
      <c r="L1385" s="1538" t="s">
        <v>2768</v>
      </c>
      <c r="M1385" s="1538" t="s">
        <v>2677</v>
      </c>
      <c r="N1385" s="1538" t="s">
        <v>2685</v>
      </c>
      <c r="O1385" s="1538" t="s">
        <v>310</v>
      </c>
      <c r="P1385" s="1538" t="s">
        <v>291</v>
      </c>
      <c r="Q1385" s="1538" t="s">
        <v>294</v>
      </c>
      <c r="R1385" s="1538">
        <v>2500000.0099999998</v>
      </c>
      <c r="S1385" s="1538">
        <v>3000000</v>
      </c>
      <c r="T1385" s="1538">
        <v>0</v>
      </c>
      <c r="U1385" s="1538">
        <v>0</v>
      </c>
      <c r="V1385" s="1538">
        <v>0</v>
      </c>
      <c r="W1385" s="1538">
        <v>55</v>
      </c>
      <c r="X1385" s="1538">
        <v>0</v>
      </c>
      <c r="Y1385" s="1538">
        <v>0</v>
      </c>
      <c r="Z1385" s="1540">
        <v>720</v>
      </c>
      <c r="AA1385" s="1540">
        <v>999</v>
      </c>
      <c r="AB1385" s="1540">
        <v>6</v>
      </c>
      <c r="AC1385" s="1540">
        <v>999999</v>
      </c>
      <c r="AD1385" s="1538">
        <v>0</v>
      </c>
      <c r="AE1385" s="1545">
        <v>70</v>
      </c>
      <c r="AF1385" s="170">
        <v>0</v>
      </c>
      <c r="AG1385" s="171">
        <v>1</v>
      </c>
      <c r="AH1385" s="171">
        <v>1</v>
      </c>
      <c r="AI1385" s="171">
        <v>1</v>
      </c>
      <c r="AJ1385" s="171">
        <v>1</v>
      </c>
      <c r="AK1385" s="171">
        <v>1</v>
      </c>
      <c r="AL1385" s="171">
        <v>0</v>
      </c>
      <c r="AM1385" s="171">
        <v>1</v>
      </c>
      <c r="AN1385" s="171">
        <v>1</v>
      </c>
      <c r="AO1385" s="171">
        <v>1</v>
      </c>
      <c r="AP1385" s="171">
        <v>1</v>
      </c>
      <c r="AQ1385" s="171">
        <v>1</v>
      </c>
      <c r="AR1385" s="171">
        <v>1</v>
      </c>
      <c r="AS1385" s="171">
        <v>1</v>
      </c>
      <c r="AT1385" s="171">
        <v>1</v>
      </c>
      <c r="AU1385" s="171">
        <f t="shared" si="474"/>
        <v>0</v>
      </c>
      <c r="AV1385" s="171">
        <f t="shared" si="475"/>
        <v>0</v>
      </c>
      <c r="AW1385" s="171">
        <f t="shared" si="476"/>
        <v>1</v>
      </c>
      <c r="AX1385" s="171">
        <f t="shared" si="485"/>
        <v>1</v>
      </c>
      <c r="AY1385" s="171">
        <f t="shared" si="477"/>
        <v>1</v>
      </c>
      <c r="AZ1385" s="171">
        <f t="shared" si="478"/>
        <v>1</v>
      </c>
      <c r="BA1385" s="172">
        <f t="shared" si="479"/>
        <v>1</v>
      </c>
      <c r="BB1385" s="175">
        <f t="shared" si="481"/>
        <v>18</v>
      </c>
      <c r="BC1385" s="176">
        <f t="shared" si="482"/>
        <v>17</v>
      </c>
      <c r="BD1385" s="176">
        <f t="shared" si="483"/>
        <v>18</v>
      </c>
      <c r="BE1385" s="240" t="str">
        <f t="shared" si="487"/>
        <v/>
      </c>
      <c r="BF1385" s="990"/>
      <c r="BG1385" s="990"/>
      <c r="BH1385" s="991">
        <f>IF(AND(Input_Product=Elig!$C1385,Elig_MatchAll_Ct&lt;22,$BC1385=(Elig_MatchAll_Ct-1),AF1385=0),C1385,0)</f>
        <v>0</v>
      </c>
      <c r="BI1385" s="991">
        <f>IF(AND(Input_Product=Elig!$C1385,Elig_MatchAll_Ct&lt;22,$BC1385=(Elig_MatchAll_Ct-1),AG1385=0),D1385,0)</f>
        <v>0</v>
      </c>
      <c r="BJ1385" s="991">
        <f>IF(AND(Input_Product=Elig!$C1385,Elig_MatchAll_Ct&lt;22,$BC1385=(Elig_MatchAll_Ct-1),AH1385=0),E1385,0)</f>
        <v>0</v>
      </c>
      <c r="BK1385" s="991">
        <f>IF(AND(Input_Product=Elig!$C1385,Elig_MatchAll_Ct&lt;22,$BC1385=(Elig_MatchAll_Ct-1),AI1385=0),F1385,0)</f>
        <v>0</v>
      </c>
      <c r="BL1385" s="991">
        <f>IF(AND(Input_Product=Elig!$C1385,Elig_MatchAll_Ct&lt;22,$BC1385=(Elig_MatchAll_Ct-1),AJ1385=0),G1385,0)</f>
        <v>0</v>
      </c>
      <c r="BM1385" s="991">
        <f>IF(AND(Input_Product=Elig!$C1385,Elig_MatchAll_Ct&lt;22,$BC1385=(Elig_MatchAll_Ct-1),AK1385=0),H1385,0)</f>
        <v>0</v>
      </c>
      <c r="BN1385" s="991">
        <f>IF(AND(Input_Product=Elig!$C1385,Elig_MatchAll_Ct&lt;22,$BC1385=(Elig_MatchAll_Ct-1),AL1385=0),I1385,0)</f>
        <v>0</v>
      </c>
      <c r="BO1385" s="991">
        <f>IF(AND(Input_Product=Elig!$C1385,Elig_MatchAll_Ct&lt;22,$BC1385=(Elig_MatchAll_Ct-1),AM1385=0),J1385,0)</f>
        <v>0</v>
      </c>
      <c r="BP1385" s="991">
        <f>IF(AND(Input_Product=Elig!$C1385,Elig_MatchAll_Ct&lt;22,$BC1385=(Elig_MatchAll_Ct-1),AN1385=0),K1385,0)</f>
        <v>0</v>
      </c>
      <c r="BQ1385" s="991">
        <f>IF(AND(Input_Product=Elig!$C1385,Elig_MatchAll_Ct&lt;22,$BC1385=(Elig_MatchAll_Ct-1),AP1385=0),L1385,0)</f>
        <v>0</v>
      </c>
      <c r="BR1385" s="991">
        <f>IF(AND(Input_Product=Elig!$C1385,Elig_MatchAll_Ct&lt;22,$BC1385=(Elig_MatchAll_Ct-1),AO1385=0),M1385,0)</f>
        <v>0</v>
      </c>
      <c r="BS1385" s="991">
        <f>IF(AND(Input_Product=Elig!$C1385,Elig_MatchAll_Ct&lt;22,$BC1385=(Elig_MatchAll_Ct-1),AQ1385=0),N1385,0)</f>
        <v>0</v>
      </c>
      <c r="BT1385" s="991">
        <f>IF(AND(Input_Product=Elig!$C1385,Elig_MatchAll_Ct&lt;22,$BC1385=(Elig_MatchAll_Ct-1),AR1385=0),O1385,0)</f>
        <v>0</v>
      </c>
      <c r="BU1385" s="991">
        <f>IF(AND(Input_Product=Elig!$C1385,Elig_MatchAll_Ct&lt;22,$BC1385=(Elig_MatchAll_Ct-1),AS1385=0),P1385,0)</f>
        <v>0</v>
      </c>
      <c r="BV1385" s="992">
        <f>IF(AND(Input_Product=Elig!$C1385,Elig_MatchAll_Ct&lt;22,$BC1385=(Elig_MatchAll_Ct-1),AT1385=0),Q1385,0)</f>
        <v>0</v>
      </c>
      <c r="BW1385" s="993">
        <f>IF(AND(Input_Product=Elig!$C1385,Elig_MatchAll_Ct&lt;22,$BC1385=(Elig_MatchAll_Ct-1),AU1385=0),R1385,0)</f>
        <v>0</v>
      </c>
      <c r="BX1385" s="994">
        <f>IF(AND(Input_Product=Elig!$C1385,Elig_MatchAll_Ct&lt;22,$BC1385=(Elig_MatchAll_Ct-1),AU1385=0),S1385,0)</f>
        <v>0</v>
      </c>
      <c r="BY1385" s="993">
        <f>IF(AND(Input_Product=Elig!$C1385,Elig_MatchAll_Ct&lt;22,$BC1385=(Elig_MatchAll_Ct-1),AV1385=0),T1385,0)</f>
        <v>0</v>
      </c>
      <c r="BZ1385" s="994">
        <f>IF(AND(Input_Product=Elig!$C1385,Elig_MatchAll_Ct&lt;22,$BC1385=(Elig_MatchAll_Ct-1),AV1385=0),U1385,0)</f>
        <v>0</v>
      </c>
      <c r="CA1385" s="993">
        <f>IF(AND(Input_Product=Elig!$C1385,Elig_MatchAll_Ct&lt;22,$BC1385=(Elig_MatchAll_Ct-1),AW1385=0),V1385,0)</f>
        <v>0</v>
      </c>
      <c r="CB1385" s="994">
        <f>IF(AND(Input_Product=Elig!$C1385,Elig_MatchAll_Ct&lt;22,$BC1385=(Elig_MatchAll_Ct-1),AW1385=0),W1385,0)</f>
        <v>0</v>
      </c>
      <c r="CC1385" s="993">
        <f>IF(AND(Input_Product=Elig!$C1385,Elig_MatchAll_Ct&lt;22,$BC1385=(Elig_MatchAll_Ct-1),AX1385=0),X1385,0)</f>
        <v>0</v>
      </c>
      <c r="CD1385" s="994">
        <f>IF(AND(Input_Product=Elig!$C1385,Elig_MatchAll_Ct&lt;22,$BC1385=(Elig_MatchAll_Ct-1),AX1385=0),Y1385,0)</f>
        <v>0</v>
      </c>
      <c r="CE1385" s="993">
        <f>IF(AND(Input_LTV&lt;=AE1385,Input_Product=Elig!$C1385,Elig_MatchAll_Ct&lt;22,$BC1385=(Elig_MatchAll_Ct-1),AY1385=0),Z1385,0)</f>
        <v>0</v>
      </c>
      <c r="CF1385" s="994">
        <f>IF(AND(Input_LTV&lt;=AE1385,Input_Product=Elig!$C1385,Elig_MatchAll_Ct&lt;22,$BC1385=(Elig_MatchAll_Ct-1),AY1385=0),AA1385,0)</f>
        <v>0</v>
      </c>
      <c r="CG1385" s="993">
        <f>IF(AND(Input_Product=Elig!$C1385,Elig_MatchAll_Ct&lt;22,$BC1385=(Elig_MatchAll_Ct-1),AZ1385=0),AB1385,0)</f>
        <v>0</v>
      </c>
      <c r="CH1385" s="994">
        <f>IF(AND(Input_Product=Elig!$C1385,Elig_MatchAll_Ct&lt;22,$BC1385=(Elig_MatchAll_Ct-1),AZ1385=0),AC1385,0)</f>
        <v>0</v>
      </c>
      <c r="CI1385" s="993">
        <f>IF(AND(Input_Product=Elig!$C1385,Elig_MatchAll_Ct&lt;22,$BC1385=(Elig_MatchAll_Ct-1),BA1385=0),AD1385,0)</f>
        <v>0</v>
      </c>
      <c r="CJ1385" s="994">
        <f>IF(AND(Input_Product=Elig!$C1385,Elig_MatchAll_Ct&lt;22,$BC1385=(Elig_MatchAll_Ct-1),BA1385=0),AE1385,0)</f>
        <v>0</v>
      </c>
    </row>
    <row r="1386" spans="2:88" ht="10.15" customHeight="1" x14ac:dyDescent="0.25">
      <c r="B1386" s="1538" t="s">
        <v>3584</v>
      </c>
      <c r="C1386" s="1538" t="str">
        <f t="shared" si="486"/>
        <v xml:space="preserve">  NOO</v>
      </c>
      <c r="D1386" s="1538" t="s">
        <v>2764</v>
      </c>
      <c r="E1386" s="1538" t="s">
        <v>167</v>
      </c>
      <c r="F1386" s="1538" t="s">
        <v>2765</v>
      </c>
      <c r="G1386" s="1538" t="s">
        <v>2766</v>
      </c>
      <c r="H1386" s="1538" t="s">
        <v>2767</v>
      </c>
      <c r="I1386" s="1539" t="s">
        <v>35</v>
      </c>
      <c r="J1386" s="1539" t="s">
        <v>1311</v>
      </c>
      <c r="K1386" s="1539" t="s">
        <v>3023</v>
      </c>
      <c r="L1386" s="1538" t="s">
        <v>2768</v>
      </c>
      <c r="M1386" s="1538" t="s">
        <v>2677</v>
      </c>
      <c r="N1386" s="1538" t="s">
        <v>2685</v>
      </c>
      <c r="O1386" s="1538" t="s">
        <v>310</v>
      </c>
      <c r="P1386" s="1538" t="s">
        <v>291</v>
      </c>
      <c r="Q1386" s="1538" t="s">
        <v>294</v>
      </c>
      <c r="R1386" s="1538">
        <v>3000000.01</v>
      </c>
      <c r="S1386" s="1538">
        <v>3500000</v>
      </c>
      <c r="T1386" s="1538">
        <v>0</v>
      </c>
      <c r="U1386" s="1538">
        <v>0</v>
      </c>
      <c r="V1386" s="1538">
        <v>0</v>
      </c>
      <c r="W1386" s="1538">
        <v>55</v>
      </c>
      <c r="X1386" s="1538">
        <v>0</v>
      </c>
      <c r="Y1386" s="1538">
        <v>0</v>
      </c>
      <c r="Z1386" s="1540">
        <v>720</v>
      </c>
      <c r="AA1386" s="1540">
        <v>999</v>
      </c>
      <c r="AB1386" s="1540">
        <v>6</v>
      </c>
      <c r="AC1386" s="1540">
        <v>999999</v>
      </c>
      <c r="AD1386" s="1538">
        <v>0</v>
      </c>
      <c r="AE1386" s="1545">
        <v>70</v>
      </c>
      <c r="AF1386" s="170">
        <v>0</v>
      </c>
      <c r="AG1386" s="171">
        <v>1</v>
      </c>
      <c r="AH1386" s="171">
        <v>1</v>
      </c>
      <c r="AI1386" s="171">
        <v>1</v>
      </c>
      <c r="AJ1386" s="171">
        <v>1</v>
      </c>
      <c r="AK1386" s="171">
        <v>1</v>
      </c>
      <c r="AL1386" s="171">
        <v>0</v>
      </c>
      <c r="AM1386" s="171">
        <v>1</v>
      </c>
      <c r="AN1386" s="171">
        <v>1</v>
      </c>
      <c r="AO1386" s="171">
        <v>1</v>
      </c>
      <c r="AP1386" s="171">
        <v>1</v>
      </c>
      <c r="AQ1386" s="171">
        <v>1</v>
      </c>
      <c r="AR1386" s="171">
        <v>1</v>
      </c>
      <c r="AS1386" s="171">
        <v>1</v>
      </c>
      <c r="AT1386" s="171">
        <v>1</v>
      </c>
      <c r="AU1386" s="171">
        <f t="shared" si="474"/>
        <v>0</v>
      </c>
      <c r="AV1386" s="171">
        <f t="shared" si="475"/>
        <v>0</v>
      </c>
      <c r="AW1386" s="171">
        <f t="shared" si="476"/>
        <v>1</v>
      </c>
      <c r="AX1386" s="171">
        <f t="shared" si="485"/>
        <v>1</v>
      </c>
      <c r="AY1386" s="171">
        <f t="shared" si="477"/>
        <v>1</v>
      </c>
      <c r="AZ1386" s="171">
        <f t="shared" si="478"/>
        <v>1</v>
      </c>
      <c r="BA1386" s="172">
        <f t="shared" si="479"/>
        <v>1</v>
      </c>
      <c r="BB1386" s="175">
        <f t="shared" si="481"/>
        <v>18</v>
      </c>
      <c r="BC1386" s="176">
        <f t="shared" si="482"/>
        <v>17</v>
      </c>
      <c r="BD1386" s="176">
        <f t="shared" si="483"/>
        <v>18</v>
      </c>
      <c r="BE1386" s="240" t="str">
        <f t="shared" si="487"/>
        <v/>
      </c>
      <c r="BF1386" s="990"/>
      <c r="BG1386" s="990"/>
      <c r="BH1386" s="991">
        <f>IF(AND(Input_Product=Elig!$C1386,Elig_MatchAll_Ct&lt;22,$BC1386=(Elig_MatchAll_Ct-1),AF1386=0),C1386,0)</f>
        <v>0</v>
      </c>
      <c r="BI1386" s="991">
        <f>IF(AND(Input_Product=Elig!$C1386,Elig_MatchAll_Ct&lt;22,$BC1386=(Elig_MatchAll_Ct-1),AG1386=0),D1386,0)</f>
        <v>0</v>
      </c>
      <c r="BJ1386" s="991">
        <f>IF(AND(Input_Product=Elig!$C1386,Elig_MatchAll_Ct&lt;22,$BC1386=(Elig_MatchAll_Ct-1),AH1386=0),E1386,0)</f>
        <v>0</v>
      </c>
      <c r="BK1386" s="991">
        <f>IF(AND(Input_Product=Elig!$C1386,Elig_MatchAll_Ct&lt;22,$BC1386=(Elig_MatchAll_Ct-1),AI1386=0),F1386,0)</f>
        <v>0</v>
      </c>
      <c r="BL1386" s="991">
        <f>IF(AND(Input_Product=Elig!$C1386,Elig_MatchAll_Ct&lt;22,$BC1386=(Elig_MatchAll_Ct-1),AJ1386=0),G1386,0)</f>
        <v>0</v>
      </c>
      <c r="BM1386" s="991">
        <f>IF(AND(Input_Product=Elig!$C1386,Elig_MatchAll_Ct&lt;22,$BC1386=(Elig_MatchAll_Ct-1),AK1386=0),H1386,0)</f>
        <v>0</v>
      </c>
      <c r="BN1386" s="991">
        <f>IF(AND(Input_Product=Elig!$C1386,Elig_MatchAll_Ct&lt;22,$BC1386=(Elig_MatchAll_Ct-1),AL1386=0),I1386,0)</f>
        <v>0</v>
      </c>
      <c r="BO1386" s="991">
        <f>IF(AND(Input_Product=Elig!$C1386,Elig_MatchAll_Ct&lt;22,$BC1386=(Elig_MatchAll_Ct-1),AM1386=0),J1386,0)</f>
        <v>0</v>
      </c>
      <c r="BP1386" s="991">
        <f>IF(AND(Input_Product=Elig!$C1386,Elig_MatchAll_Ct&lt;22,$BC1386=(Elig_MatchAll_Ct-1),AN1386=0),K1386,0)</f>
        <v>0</v>
      </c>
      <c r="BQ1386" s="991">
        <f>IF(AND(Input_Product=Elig!$C1386,Elig_MatchAll_Ct&lt;22,$BC1386=(Elig_MatchAll_Ct-1),AP1386=0),L1386,0)</f>
        <v>0</v>
      </c>
      <c r="BR1386" s="991">
        <f>IF(AND(Input_Product=Elig!$C1386,Elig_MatchAll_Ct&lt;22,$BC1386=(Elig_MatchAll_Ct-1),AO1386=0),M1386,0)</f>
        <v>0</v>
      </c>
      <c r="BS1386" s="991">
        <f>IF(AND(Input_Product=Elig!$C1386,Elig_MatchAll_Ct&lt;22,$BC1386=(Elig_MatchAll_Ct-1),AQ1386=0),N1386,0)</f>
        <v>0</v>
      </c>
      <c r="BT1386" s="991">
        <f>IF(AND(Input_Product=Elig!$C1386,Elig_MatchAll_Ct&lt;22,$BC1386=(Elig_MatchAll_Ct-1),AR1386=0),O1386,0)</f>
        <v>0</v>
      </c>
      <c r="BU1386" s="991">
        <f>IF(AND(Input_Product=Elig!$C1386,Elig_MatchAll_Ct&lt;22,$BC1386=(Elig_MatchAll_Ct-1),AS1386=0),P1386,0)</f>
        <v>0</v>
      </c>
      <c r="BV1386" s="992">
        <f>IF(AND(Input_Product=Elig!$C1386,Elig_MatchAll_Ct&lt;22,$BC1386=(Elig_MatchAll_Ct-1),AT1386=0),Q1386,0)</f>
        <v>0</v>
      </c>
      <c r="BW1386" s="993">
        <f>IF(AND(Input_Product=Elig!$C1386,Elig_MatchAll_Ct&lt;22,$BC1386=(Elig_MatchAll_Ct-1),AU1386=0),R1386,0)</f>
        <v>0</v>
      </c>
      <c r="BX1386" s="994">
        <f>IF(AND(Input_Product=Elig!$C1386,Elig_MatchAll_Ct&lt;22,$BC1386=(Elig_MatchAll_Ct-1),AU1386=0),S1386,0)</f>
        <v>0</v>
      </c>
      <c r="BY1386" s="993">
        <f>IF(AND(Input_Product=Elig!$C1386,Elig_MatchAll_Ct&lt;22,$BC1386=(Elig_MatchAll_Ct-1),AV1386=0),T1386,0)</f>
        <v>0</v>
      </c>
      <c r="BZ1386" s="994">
        <f>IF(AND(Input_Product=Elig!$C1386,Elig_MatchAll_Ct&lt;22,$BC1386=(Elig_MatchAll_Ct-1),AV1386=0),U1386,0)</f>
        <v>0</v>
      </c>
      <c r="CA1386" s="993">
        <f>IF(AND(Input_Product=Elig!$C1386,Elig_MatchAll_Ct&lt;22,$BC1386=(Elig_MatchAll_Ct-1),AW1386=0),V1386,0)</f>
        <v>0</v>
      </c>
      <c r="CB1386" s="994">
        <f>IF(AND(Input_Product=Elig!$C1386,Elig_MatchAll_Ct&lt;22,$BC1386=(Elig_MatchAll_Ct-1),AW1386=0),W1386,0)</f>
        <v>0</v>
      </c>
      <c r="CC1386" s="993">
        <f>IF(AND(Input_Product=Elig!$C1386,Elig_MatchAll_Ct&lt;22,$BC1386=(Elig_MatchAll_Ct-1),AX1386=0),X1386,0)</f>
        <v>0</v>
      </c>
      <c r="CD1386" s="994">
        <f>IF(AND(Input_Product=Elig!$C1386,Elig_MatchAll_Ct&lt;22,$BC1386=(Elig_MatchAll_Ct-1),AX1386=0),Y1386,0)</f>
        <v>0</v>
      </c>
      <c r="CE1386" s="993">
        <f>IF(AND(Input_LTV&lt;=AE1386,Input_Product=Elig!$C1386,Elig_MatchAll_Ct&lt;22,$BC1386=(Elig_MatchAll_Ct-1),AY1386=0),Z1386,0)</f>
        <v>0</v>
      </c>
      <c r="CF1386" s="994">
        <f>IF(AND(Input_LTV&lt;=AE1386,Input_Product=Elig!$C1386,Elig_MatchAll_Ct&lt;22,$BC1386=(Elig_MatchAll_Ct-1),AY1386=0),AA1386,0)</f>
        <v>0</v>
      </c>
      <c r="CG1386" s="993">
        <f>IF(AND(Input_Product=Elig!$C1386,Elig_MatchAll_Ct&lt;22,$BC1386=(Elig_MatchAll_Ct-1),AZ1386=0),AB1386,0)</f>
        <v>0</v>
      </c>
      <c r="CH1386" s="994">
        <f>IF(AND(Input_Product=Elig!$C1386,Elig_MatchAll_Ct&lt;22,$BC1386=(Elig_MatchAll_Ct-1),AZ1386=0),AC1386,0)</f>
        <v>0</v>
      </c>
      <c r="CI1386" s="993">
        <f>IF(AND(Input_Product=Elig!$C1386,Elig_MatchAll_Ct&lt;22,$BC1386=(Elig_MatchAll_Ct-1),BA1386=0),AD1386,0)</f>
        <v>0</v>
      </c>
      <c r="CJ1386" s="994">
        <f>IF(AND(Input_Product=Elig!$C1386,Elig_MatchAll_Ct&lt;22,$BC1386=(Elig_MatchAll_Ct-1),BA1386=0),AE1386,0)</f>
        <v>0</v>
      </c>
    </row>
    <row r="1387" spans="2:88" ht="10.15" customHeight="1" x14ac:dyDescent="0.25">
      <c r="B1387" s="1538" t="s">
        <v>3585</v>
      </c>
      <c r="C1387" s="1538" t="str">
        <f t="shared" si="486"/>
        <v xml:space="preserve">  NOO</v>
      </c>
      <c r="D1387" s="1538" t="s">
        <v>2764</v>
      </c>
      <c r="E1387" s="1538" t="s">
        <v>167</v>
      </c>
      <c r="F1387" s="1538" t="s">
        <v>2765</v>
      </c>
      <c r="G1387" s="1538" t="s">
        <v>2766</v>
      </c>
      <c r="H1387" s="1538" t="s">
        <v>2767</v>
      </c>
      <c r="I1387" s="1539" t="s">
        <v>35</v>
      </c>
      <c r="J1387" s="1539" t="s">
        <v>1311</v>
      </c>
      <c r="K1387" s="1539" t="s">
        <v>3023</v>
      </c>
      <c r="L1387" s="1538" t="s">
        <v>2768</v>
      </c>
      <c r="M1387" s="1538" t="s">
        <v>2677</v>
      </c>
      <c r="N1387" s="1538" t="s">
        <v>2685</v>
      </c>
      <c r="O1387" s="1538" t="s">
        <v>310</v>
      </c>
      <c r="P1387" s="1538" t="s">
        <v>291</v>
      </c>
      <c r="Q1387" s="1538" t="s">
        <v>294</v>
      </c>
      <c r="R1387" s="1538">
        <v>3500000.01</v>
      </c>
      <c r="S1387" s="1538">
        <v>4000000</v>
      </c>
      <c r="T1387" s="1538">
        <v>0</v>
      </c>
      <c r="U1387" s="1538">
        <v>0</v>
      </c>
      <c r="V1387" s="1538">
        <v>0</v>
      </c>
      <c r="W1387" s="1538">
        <v>55</v>
      </c>
      <c r="X1387" s="1538">
        <v>0</v>
      </c>
      <c r="Y1387" s="1538">
        <v>0</v>
      </c>
      <c r="Z1387" s="1540">
        <v>720</v>
      </c>
      <c r="AA1387" s="1540">
        <v>999</v>
      </c>
      <c r="AB1387" s="1540">
        <v>6</v>
      </c>
      <c r="AC1387" s="1540">
        <v>999999</v>
      </c>
      <c r="AD1387" s="1538">
        <v>0</v>
      </c>
      <c r="AE1387" s="1545">
        <v>65</v>
      </c>
      <c r="AF1387" s="170">
        <v>0</v>
      </c>
      <c r="AG1387" s="171">
        <v>1</v>
      </c>
      <c r="AH1387" s="171">
        <v>1</v>
      </c>
      <c r="AI1387" s="171">
        <v>1</v>
      </c>
      <c r="AJ1387" s="171">
        <v>1</v>
      </c>
      <c r="AK1387" s="171">
        <v>1</v>
      </c>
      <c r="AL1387" s="171">
        <v>0</v>
      </c>
      <c r="AM1387" s="171">
        <v>1</v>
      </c>
      <c r="AN1387" s="171">
        <v>1</v>
      </c>
      <c r="AO1387" s="171">
        <v>1</v>
      </c>
      <c r="AP1387" s="171">
        <v>1</v>
      </c>
      <c r="AQ1387" s="171">
        <v>1</v>
      </c>
      <c r="AR1387" s="171">
        <v>1</v>
      </c>
      <c r="AS1387" s="171">
        <v>1</v>
      </c>
      <c r="AT1387" s="171">
        <v>1</v>
      </c>
      <c r="AU1387" s="171">
        <f t="shared" ref="AU1387:AU1450" si="488">IF(AND(Input_LoanAmt&gt;=Elig_LoanAmt_Min,Input_LoanAmt&lt;=Elig_LoanAmt_Max),1,0)</f>
        <v>0</v>
      </c>
      <c r="AV1387" s="171">
        <f t="shared" ref="AV1387:AV1450" si="489">IF(AND(Input_CashoutAmt&gt;=Elig_CashoutAmt_Min,Input_CashoutAmt&lt;=Elig_CashoutAmt_Max),1,0)</f>
        <v>0</v>
      </c>
      <c r="AW1387" s="171">
        <f t="shared" ref="AW1387:AW1450" si="490">IF(AND(Input_DTI&gt;=Elig_DTI_Min,Input_DTI&lt;=Elig_DTI_Max),1,0)</f>
        <v>1</v>
      </c>
      <c r="AX1387" s="171">
        <f t="shared" si="485"/>
        <v>1</v>
      </c>
      <c r="AY1387" s="171">
        <f t="shared" ref="AY1387:AY1450" si="491">IF(AND(Input_CreditScore&gt;=Elig_CreditScore_Min,Input_CreditScore&lt;=Elig_CreditScore_Max),1,0)</f>
        <v>1</v>
      </c>
      <c r="AZ1387" s="171">
        <f t="shared" ref="AZ1387:AZ1450" si="492">IF(AND(Input_ReservesMonths&gt;=Elig_Reserves_Min,Input_ReservesMonths&lt;=Elig_Reserves_Max),1,0)</f>
        <v>1</v>
      </c>
      <c r="BA1387" s="172">
        <f t="shared" ref="BA1387:BA1450" si="493">IF(AND(Input_LTV&gt;=Elig_LTV_Min,Input_LTV&lt;=Elig_LTV_Max),1,0)</f>
        <v>1</v>
      </c>
      <c r="BB1387" s="175">
        <f t="shared" si="481"/>
        <v>18</v>
      </c>
      <c r="BC1387" s="176">
        <f t="shared" si="482"/>
        <v>17</v>
      </c>
      <c r="BD1387" s="176">
        <f t="shared" si="483"/>
        <v>18</v>
      </c>
      <c r="BE1387" s="240" t="str">
        <f t="shared" si="487"/>
        <v/>
      </c>
      <c r="BF1387" s="990"/>
      <c r="BG1387" s="990"/>
      <c r="BH1387" s="991">
        <f>IF(AND(Input_Product=Elig!$C1387,Elig_MatchAll_Ct&lt;22,$BC1387=(Elig_MatchAll_Ct-1),AF1387=0),C1387,0)</f>
        <v>0</v>
      </c>
      <c r="BI1387" s="991">
        <f>IF(AND(Input_Product=Elig!$C1387,Elig_MatchAll_Ct&lt;22,$BC1387=(Elig_MatchAll_Ct-1),AG1387=0),D1387,0)</f>
        <v>0</v>
      </c>
      <c r="BJ1387" s="991">
        <f>IF(AND(Input_Product=Elig!$C1387,Elig_MatchAll_Ct&lt;22,$BC1387=(Elig_MatchAll_Ct-1),AH1387=0),E1387,0)</f>
        <v>0</v>
      </c>
      <c r="BK1387" s="991">
        <f>IF(AND(Input_Product=Elig!$C1387,Elig_MatchAll_Ct&lt;22,$BC1387=(Elig_MatchAll_Ct-1),AI1387=0),F1387,0)</f>
        <v>0</v>
      </c>
      <c r="BL1387" s="991">
        <f>IF(AND(Input_Product=Elig!$C1387,Elig_MatchAll_Ct&lt;22,$BC1387=(Elig_MatchAll_Ct-1),AJ1387=0),G1387,0)</f>
        <v>0</v>
      </c>
      <c r="BM1387" s="991">
        <f>IF(AND(Input_Product=Elig!$C1387,Elig_MatchAll_Ct&lt;22,$BC1387=(Elig_MatchAll_Ct-1),AK1387=0),H1387,0)</f>
        <v>0</v>
      </c>
      <c r="BN1387" s="991">
        <f>IF(AND(Input_Product=Elig!$C1387,Elig_MatchAll_Ct&lt;22,$BC1387=(Elig_MatchAll_Ct-1),AL1387=0),I1387,0)</f>
        <v>0</v>
      </c>
      <c r="BO1387" s="991">
        <f>IF(AND(Input_Product=Elig!$C1387,Elig_MatchAll_Ct&lt;22,$BC1387=(Elig_MatchAll_Ct-1),AM1387=0),J1387,0)</f>
        <v>0</v>
      </c>
      <c r="BP1387" s="991">
        <f>IF(AND(Input_Product=Elig!$C1387,Elig_MatchAll_Ct&lt;22,$BC1387=(Elig_MatchAll_Ct-1),AN1387=0),K1387,0)</f>
        <v>0</v>
      </c>
      <c r="BQ1387" s="991">
        <f>IF(AND(Input_Product=Elig!$C1387,Elig_MatchAll_Ct&lt;22,$BC1387=(Elig_MatchAll_Ct-1),AP1387=0),L1387,0)</f>
        <v>0</v>
      </c>
      <c r="BR1387" s="991">
        <f>IF(AND(Input_Product=Elig!$C1387,Elig_MatchAll_Ct&lt;22,$BC1387=(Elig_MatchAll_Ct-1),AO1387=0),M1387,0)</f>
        <v>0</v>
      </c>
      <c r="BS1387" s="991">
        <f>IF(AND(Input_Product=Elig!$C1387,Elig_MatchAll_Ct&lt;22,$BC1387=(Elig_MatchAll_Ct-1),AQ1387=0),N1387,0)</f>
        <v>0</v>
      </c>
      <c r="BT1387" s="991">
        <f>IF(AND(Input_Product=Elig!$C1387,Elig_MatchAll_Ct&lt;22,$BC1387=(Elig_MatchAll_Ct-1),AR1387=0),O1387,0)</f>
        <v>0</v>
      </c>
      <c r="BU1387" s="991">
        <f>IF(AND(Input_Product=Elig!$C1387,Elig_MatchAll_Ct&lt;22,$BC1387=(Elig_MatchAll_Ct-1),AS1387=0),P1387,0)</f>
        <v>0</v>
      </c>
      <c r="BV1387" s="992">
        <f>IF(AND(Input_Product=Elig!$C1387,Elig_MatchAll_Ct&lt;22,$BC1387=(Elig_MatchAll_Ct-1),AT1387=0),Q1387,0)</f>
        <v>0</v>
      </c>
      <c r="BW1387" s="993">
        <f>IF(AND(Input_Product=Elig!$C1387,Elig_MatchAll_Ct&lt;22,$BC1387=(Elig_MatchAll_Ct-1),AU1387=0),R1387,0)</f>
        <v>0</v>
      </c>
      <c r="BX1387" s="994">
        <f>IF(AND(Input_Product=Elig!$C1387,Elig_MatchAll_Ct&lt;22,$BC1387=(Elig_MatchAll_Ct-1),AU1387=0),S1387,0)</f>
        <v>0</v>
      </c>
      <c r="BY1387" s="993">
        <f>IF(AND(Input_Product=Elig!$C1387,Elig_MatchAll_Ct&lt;22,$BC1387=(Elig_MatchAll_Ct-1),AV1387=0),T1387,0)</f>
        <v>0</v>
      </c>
      <c r="BZ1387" s="994">
        <f>IF(AND(Input_Product=Elig!$C1387,Elig_MatchAll_Ct&lt;22,$BC1387=(Elig_MatchAll_Ct-1),AV1387=0),U1387,0)</f>
        <v>0</v>
      </c>
      <c r="CA1387" s="993">
        <f>IF(AND(Input_Product=Elig!$C1387,Elig_MatchAll_Ct&lt;22,$BC1387=(Elig_MatchAll_Ct-1),AW1387=0),V1387,0)</f>
        <v>0</v>
      </c>
      <c r="CB1387" s="994">
        <f>IF(AND(Input_Product=Elig!$C1387,Elig_MatchAll_Ct&lt;22,$BC1387=(Elig_MatchAll_Ct-1),AW1387=0),W1387,0)</f>
        <v>0</v>
      </c>
      <c r="CC1387" s="993">
        <f>IF(AND(Input_Product=Elig!$C1387,Elig_MatchAll_Ct&lt;22,$BC1387=(Elig_MatchAll_Ct-1),AX1387=0),X1387,0)</f>
        <v>0</v>
      </c>
      <c r="CD1387" s="994">
        <f>IF(AND(Input_Product=Elig!$C1387,Elig_MatchAll_Ct&lt;22,$BC1387=(Elig_MatchAll_Ct-1),AX1387=0),Y1387,0)</f>
        <v>0</v>
      </c>
      <c r="CE1387" s="993">
        <f>IF(AND(Input_LTV&lt;=AE1387,Input_Product=Elig!$C1387,Elig_MatchAll_Ct&lt;22,$BC1387=(Elig_MatchAll_Ct-1),AY1387=0),Z1387,0)</f>
        <v>0</v>
      </c>
      <c r="CF1387" s="994">
        <f>IF(AND(Input_LTV&lt;=AE1387,Input_Product=Elig!$C1387,Elig_MatchAll_Ct&lt;22,$BC1387=(Elig_MatchAll_Ct-1),AY1387=0),AA1387,0)</f>
        <v>0</v>
      </c>
      <c r="CG1387" s="993">
        <f>IF(AND(Input_Product=Elig!$C1387,Elig_MatchAll_Ct&lt;22,$BC1387=(Elig_MatchAll_Ct-1),AZ1387=0),AB1387,0)</f>
        <v>0</v>
      </c>
      <c r="CH1387" s="994">
        <f>IF(AND(Input_Product=Elig!$C1387,Elig_MatchAll_Ct&lt;22,$BC1387=(Elig_MatchAll_Ct-1),AZ1387=0),AC1387,0)</f>
        <v>0</v>
      </c>
      <c r="CI1387" s="993">
        <f>IF(AND(Input_Product=Elig!$C1387,Elig_MatchAll_Ct&lt;22,$BC1387=(Elig_MatchAll_Ct-1),BA1387=0),AD1387,0)</f>
        <v>0</v>
      </c>
      <c r="CJ1387" s="994">
        <f>IF(AND(Input_Product=Elig!$C1387,Elig_MatchAll_Ct&lt;22,$BC1387=(Elig_MatchAll_Ct-1),BA1387=0),AE1387,0)</f>
        <v>0</v>
      </c>
    </row>
    <row r="1388" spans="2:88" ht="10.15" customHeight="1" x14ac:dyDescent="0.25">
      <c r="B1388" s="1538" t="s">
        <v>3586</v>
      </c>
      <c r="C1388" s="1538" t="str">
        <f t="shared" si="486"/>
        <v xml:space="preserve">  NOO</v>
      </c>
      <c r="D1388" s="1538" t="s">
        <v>2764</v>
      </c>
      <c r="E1388" s="1538" t="s">
        <v>167</v>
      </c>
      <c r="F1388" s="1538" t="s">
        <v>2765</v>
      </c>
      <c r="G1388" s="1538" t="s">
        <v>2766</v>
      </c>
      <c r="H1388" s="1538" t="s">
        <v>2767</v>
      </c>
      <c r="I1388" s="1539" t="s">
        <v>35</v>
      </c>
      <c r="J1388" s="1539" t="s">
        <v>1311</v>
      </c>
      <c r="K1388" s="1539" t="s">
        <v>3023</v>
      </c>
      <c r="L1388" s="1538" t="s">
        <v>2768</v>
      </c>
      <c r="M1388" s="1538" t="s">
        <v>2677</v>
      </c>
      <c r="N1388" s="1538" t="s">
        <v>2685</v>
      </c>
      <c r="O1388" s="1538" t="s">
        <v>310</v>
      </c>
      <c r="P1388" s="1538" t="s">
        <v>291</v>
      </c>
      <c r="Q1388" s="1538" t="s">
        <v>294</v>
      </c>
      <c r="R1388" s="1538">
        <v>150000</v>
      </c>
      <c r="S1388" s="1538">
        <v>1000000</v>
      </c>
      <c r="T1388" s="1538">
        <v>0</v>
      </c>
      <c r="U1388" s="1538">
        <v>0</v>
      </c>
      <c r="V1388" s="1538">
        <v>0</v>
      </c>
      <c r="W1388" s="1538">
        <v>55</v>
      </c>
      <c r="X1388" s="1538">
        <v>0</v>
      </c>
      <c r="Y1388" s="1538">
        <v>0</v>
      </c>
      <c r="Z1388" s="1540">
        <v>700</v>
      </c>
      <c r="AA1388" s="1540">
        <v>719</v>
      </c>
      <c r="AB1388" s="1540">
        <v>6</v>
      </c>
      <c r="AC1388" s="1540">
        <v>999999</v>
      </c>
      <c r="AD1388" s="1538">
        <v>0</v>
      </c>
      <c r="AE1388" s="1545">
        <v>85</v>
      </c>
      <c r="AF1388" s="170">
        <v>0</v>
      </c>
      <c r="AG1388" s="171">
        <v>1</v>
      </c>
      <c r="AH1388" s="171">
        <v>1</v>
      </c>
      <c r="AI1388" s="171">
        <v>1</v>
      </c>
      <c r="AJ1388" s="171">
        <v>1</v>
      </c>
      <c r="AK1388" s="171">
        <v>1</v>
      </c>
      <c r="AL1388" s="171">
        <v>0</v>
      </c>
      <c r="AM1388" s="171">
        <v>1</v>
      </c>
      <c r="AN1388" s="171">
        <v>1</v>
      </c>
      <c r="AO1388" s="171">
        <v>1</v>
      </c>
      <c r="AP1388" s="171">
        <v>1</v>
      </c>
      <c r="AQ1388" s="171">
        <v>1</v>
      </c>
      <c r="AR1388" s="171">
        <v>1</v>
      </c>
      <c r="AS1388" s="171">
        <v>1</v>
      </c>
      <c r="AT1388" s="171">
        <v>1</v>
      </c>
      <c r="AU1388" s="171">
        <f t="shared" si="488"/>
        <v>1</v>
      </c>
      <c r="AV1388" s="171">
        <f t="shared" si="489"/>
        <v>0</v>
      </c>
      <c r="AW1388" s="171">
        <f t="shared" si="490"/>
        <v>1</v>
      </c>
      <c r="AX1388" s="171">
        <f t="shared" si="485"/>
        <v>1</v>
      </c>
      <c r="AY1388" s="171">
        <f t="shared" si="491"/>
        <v>0</v>
      </c>
      <c r="AZ1388" s="171">
        <f t="shared" si="492"/>
        <v>1</v>
      </c>
      <c r="BA1388" s="172">
        <f t="shared" si="493"/>
        <v>1</v>
      </c>
      <c r="BB1388" s="175">
        <f t="shared" si="481"/>
        <v>18</v>
      </c>
      <c r="BC1388" s="176">
        <f t="shared" si="482"/>
        <v>17</v>
      </c>
      <c r="BD1388" s="176">
        <f t="shared" si="483"/>
        <v>18</v>
      </c>
      <c r="BE1388" s="240" t="str">
        <f t="shared" si="487"/>
        <v/>
      </c>
      <c r="BF1388" s="990"/>
      <c r="BG1388" s="990"/>
      <c r="BH1388" s="991">
        <f>IF(AND(Input_Product=Elig!$C1388,Elig_MatchAll_Ct&lt;22,$BC1388=(Elig_MatchAll_Ct-1),AF1388=0),C1388,0)</f>
        <v>0</v>
      </c>
      <c r="BI1388" s="991">
        <f>IF(AND(Input_Product=Elig!$C1388,Elig_MatchAll_Ct&lt;22,$BC1388=(Elig_MatchAll_Ct-1),AG1388=0),D1388,0)</f>
        <v>0</v>
      </c>
      <c r="BJ1388" s="991">
        <f>IF(AND(Input_Product=Elig!$C1388,Elig_MatchAll_Ct&lt;22,$BC1388=(Elig_MatchAll_Ct-1),AH1388=0),E1388,0)</f>
        <v>0</v>
      </c>
      <c r="BK1388" s="991">
        <f>IF(AND(Input_Product=Elig!$C1388,Elig_MatchAll_Ct&lt;22,$BC1388=(Elig_MatchAll_Ct-1),AI1388=0),F1388,0)</f>
        <v>0</v>
      </c>
      <c r="BL1388" s="991">
        <f>IF(AND(Input_Product=Elig!$C1388,Elig_MatchAll_Ct&lt;22,$BC1388=(Elig_MatchAll_Ct-1),AJ1388=0),G1388,0)</f>
        <v>0</v>
      </c>
      <c r="BM1388" s="991">
        <f>IF(AND(Input_Product=Elig!$C1388,Elig_MatchAll_Ct&lt;22,$BC1388=(Elig_MatchAll_Ct-1),AK1388=0),H1388,0)</f>
        <v>0</v>
      </c>
      <c r="BN1388" s="991">
        <f>IF(AND(Input_Product=Elig!$C1388,Elig_MatchAll_Ct&lt;22,$BC1388=(Elig_MatchAll_Ct-1),AL1388=0),I1388,0)</f>
        <v>0</v>
      </c>
      <c r="BO1388" s="991">
        <f>IF(AND(Input_Product=Elig!$C1388,Elig_MatchAll_Ct&lt;22,$BC1388=(Elig_MatchAll_Ct-1),AM1388=0),J1388,0)</f>
        <v>0</v>
      </c>
      <c r="BP1388" s="991">
        <f>IF(AND(Input_Product=Elig!$C1388,Elig_MatchAll_Ct&lt;22,$BC1388=(Elig_MatchAll_Ct-1),AN1388=0),K1388,0)</f>
        <v>0</v>
      </c>
      <c r="BQ1388" s="991">
        <f>IF(AND(Input_Product=Elig!$C1388,Elig_MatchAll_Ct&lt;22,$BC1388=(Elig_MatchAll_Ct-1),AP1388=0),L1388,0)</f>
        <v>0</v>
      </c>
      <c r="BR1388" s="991">
        <f>IF(AND(Input_Product=Elig!$C1388,Elig_MatchAll_Ct&lt;22,$BC1388=(Elig_MatchAll_Ct-1),AO1388=0),M1388,0)</f>
        <v>0</v>
      </c>
      <c r="BS1388" s="991">
        <f>IF(AND(Input_Product=Elig!$C1388,Elig_MatchAll_Ct&lt;22,$BC1388=(Elig_MatchAll_Ct-1),AQ1388=0),N1388,0)</f>
        <v>0</v>
      </c>
      <c r="BT1388" s="991">
        <f>IF(AND(Input_Product=Elig!$C1388,Elig_MatchAll_Ct&lt;22,$BC1388=(Elig_MatchAll_Ct-1),AR1388=0),O1388,0)</f>
        <v>0</v>
      </c>
      <c r="BU1388" s="991">
        <f>IF(AND(Input_Product=Elig!$C1388,Elig_MatchAll_Ct&lt;22,$BC1388=(Elig_MatchAll_Ct-1),AS1388=0),P1388,0)</f>
        <v>0</v>
      </c>
      <c r="BV1388" s="992">
        <f>IF(AND(Input_Product=Elig!$C1388,Elig_MatchAll_Ct&lt;22,$BC1388=(Elig_MatchAll_Ct-1),AT1388=0),Q1388,0)</f>
        <v>0</v>
      </c>
      <c r="BW1388" s="993">
        <f>IF(AND(Input_Product=Elig!$C1388,Elig_MatchAll_Ct&lt;22,$BC1388=(Elig_MatchAll_Ct-1),AU1388=0),R1388,0)</f>
        <v>0</v>
      </c>
      <c r="BX1388" s="994">
        <f>IF(AND(Input_Product=Elig!$C1388,Elig_MatchAll_Ct&lt;22,$BC1388=(Elig_MatchAll_Ct-1),AU1388=0),S1388,0)</f>
        <v>0</v>
      </c>
      <c r="BY1388" s="993">
        <f>IF(AND(Input_Product=Elig!$C1388,Elig_MatchAll_Ct&lt;22,$BC1388=(Elig_MatchAll_Ct-1),AV1388=0),T1388,0)</f>
        <v>0</v>
      </c>
      <c r="BZ1388" s="994">
        <f>IF(AND(Input_Product=Elig!$C1388,Elig_MatchAll_Ct&lt;22,$BC1388=(Elig_MatchAll_Ct-1),AV1388=0),U1388,0)</f>
        <v>0</v>
      </c>
      <c r="CA1388" s="993">
        <f>IF(AND(Input_Product=Elig!$C1388,Elig_MatchAll_Ct&lt;22,$BC1388=(Elig_MatchAll_Ct-1),AW1388=0),V1388,0)</f>
        <v>0</v>
      </c>
      <c r="CB1388" s="994">
        <f>IF(AND(Input_Product=Elig!$C1388,Elig_MatchAll_Ct&lt;22,$BC1388=(Elig_MatchAll_Ct-1),AW1388=0),W1388,0)</f>
        <v>0</v>
      </c>
      <c r="CC1388" s="993">
        <f>IF(AND(Input_Product=Elig!$C1388,Elig_MatchAll_Ct&lt;22,$BC1388=(Elig_MatchAll_Ct-1),AX1388=0),X1388,0)</f>
        <v>0</v>
      </c>
      <c r="CD1388" s="994">
        <f>IF(AND(Input_Product=Elig!$C1388,Elig_MatchAll_Ct&lt;22,$BC1388=(Elig_MatchAll_Ct-1),AX1388=0),Y1388,0)</f>
        <v>0</v>
      </c>
      <c r="CE1388" s="993">
        <f>IF(AND(Input_LTV&lt;=AE1388,Input_Product=Elig!$C1388,Elig_MatchAll_Ct&lt;22,$BC1388=(Elig_MatchAll_Ct-1),AY1388=0),Z1388,0)</f>
        <v>0</v>
      </c>
      <c r="CF1388" s="994">
        <f>IF(AND(Input_LTV&lt;=AE1388,Input_Product=Elig!$C1388,Elig_MatchAll_Ct&lt;22,$BC1388=(Elig_MatchAll_Ct-1),AY1388=0),AA1388,0)</f>
        <v>0</v>
      </c>
      <c r="CG1388" s="993">
        <f>IF(AND(Input_Product=Elig!$C1388,Elig_MatchAll_Ct&lt;22,$BC1388=(Elig_MatchAll_Ct-1),AZ1388=0),AB1388,0)</f>
        <v>0</v>
      </c>
      <c r="CH1388" s="994">
        <f>IF(AND(Input_Product=Elig!$C1388,Elig_MatchAll_Ct&lt;22,$BC1388=(Elig_MatchAll_Ct-1),AZ1388=0),AC1388,0)</f>
        <v>0</v>
      </c>
      <c r="CI1388" s="993">
        <f>IF(AND(Input_Product=Elig!$C1388,Elig_MatchAll_Ct&lt;22,$BC1388=(Elig_MatchAll_Ct-1),BA1388=0),AD1388,0)</f>
        <v>0</v>
      </c>
      <c r="CJ1388" s="994">
        <f>IF(AND(Input_Product=Elig!$C1388,Elig_MatchAll_Ct&lt;22,$BC1388=(Elig_MatchAll_Ct-1),BA1388=0),AE1388,0)</f>
        <v>0</v>
      </c>
    </row>
    <row r="1389" spans="2:88" ht="10.15" customHeight="1" x14ac:dyDescent="0.25">
      <c r="B1389" s="1538" t="s">
        <v>3587</v>
      </c>
      <c r="C1389" s="1538" t="str">
        <f t="shared" si="486"/>
        <v xml:space="preserve">  NOO</v>
      </c>
      <c r="D1389" s="1538" t="s">
        <v>2764</v>
      </c>
      <c r="E1389" s="1538" t="s">
        <v>167</v>
      </c>
      <c r="F1389" s="1538" t="s">
        <v>2765</v>
      </c>
      <c r="G1389" s="1538" t="s">
        <v>2766</v>
      </c>
      <c r="H1389" s="1538" t="s">
        <v>2767</v>
      </c>
      <c r="I1389" s="1539" t="s">
        <v>35</v>
      </c>
      <c r="J1389" s="1539" t="s">
        <v>1311</v>
      </c>
      <c r="K1389" s="1539" t="s">
        <v>3023</v>
      </c>
      <c r="L1389" s="1538" t="s">
        <v>2768</v>
      </c>
      <c r="M1389" s="1538" t="s">
        <v>2677</v>
      </c>
      <c r="N1389" s="1538" t="s">
        <v>2685</v>
      </c>
      <c r="O1389" s="1538" t="s">
        <v>310</v>
      </c>
      <c r="P1389" s="1538" t="s">
        <v>291</v>
      </c>
      <c r="Q1389" s="1538" t="s">
        <v>294</v>
      </c>
      <c r="R1389" s="1538">
        <v>1000000.01</v>
      </c>
      <c r="S1389" s="1538">
        <v>1500000</v>
      </c>
      <c r="T1389" s="1538">
        <v>0</v>
      </c>
      <c r="U1389" s="1538">
        <v>0</v>
      </c>
      <c r="V1389" s="1538">
        <v>0</v>
      </c>
      <c r="W1389" s="1538">
        <v>55</v>
      </c>
      <c r="X1389" s="1538">
        <v>0</v>
      </c>
      <c r="Y1389" s="1538">
        <v>0</v>
      </c>
      <c r="Z1389" s="1540">
        <v>700</v>
      </c>
      <c r="AA1389" s="1540">
        <v>719</v>
      </c>
      <c r="AB1389" s="1540">
        <v>6</v>
      </c>
      <c r="AC1389" s="1540">
        <v>999999</v>
      </c>
      <c r="AD1389" s="1538">
        <v>0</v>
      </c>
      <c r="AE1389" s="1545">
        <v>85</v>
      </c>
      <c r="AF1389" s="170">
        <v>0</v>
      </c>
      <c r="AG1389" s="171">
        <v>1</v>
      </c>
      <c r="AH1389" s="171">
        <v>1</v>
      </c>
      <c r="AI1389" s="171">
        <v>1</v>
      </c>
      <c r="AJ1389" s="171">
        <v>1</v>
      </c>
      <c r="AK1389" s="171">
        <v>1</v>
      </c>
      <c r="AL1389" s="171">
        <v>0</v>
      </c>
      <c r="AM1389" s="171">
        <v>1</v>
      </c>
      <c r="AN1389" s="171">
        <v>1</v>
      </c>
      <c r="AO1389" s="171">
        <v>1</v>
      </c>
      <c r="AP1389" s="171">
        <v>1</v>
      </c>
      <c r="AQ1389" s="171">
        <v>1</v>
      </c>
      <c r="AR1389" s="171">
        <v>1</v>
      </c>
      <c r="AS1389" s="171">
        <v>1</v>
      </c>
      <c r="AT1389" s="171">
        <v>1</v>
      </c>
      <c r="AU1389" s="171">
        <f t="shared" si="488"/>
        <v>0</v>
      </c>
      <c r="AV1389" s="171">
        <f t="shared" si="489"/>
        <v>0</v>
      </c>
      <c r="AW1389" s="171">
        <f t="shared" si="490"/>
        <v>1</v>
      </c>
      <c r="AX1389" s="171">
        <f t="shared" si="485"/>
        <v>1</v>
      </c>
      <c r="AY1389" s="171">
        <f t="shared" si="491"/>
        <v>0</v>
      </c>
      <c r="AZ1389" s="171">
        <f t="shared" si="492"/>
        <v>1</v>
      </c>
      <c r="BA1389" s="172">
        <f t="shared" si="493"/>
        <v>1</v>
      </c>
      <c r="BB1389" s="175">
        <f t="shared" si="481"/>
        <v>17</v>
      </c>
      <c r="BC1389" s="176">
        <f t="shared" si="482"/>
        <v>16</v>
      </c>
      <c r="BD1389" s="176">
        <f t="shared" si="483"/>
        <v>17</v>
      </c>
      <c r="BE1389" s="240" t="str">
        <f t="shared" si="487"/>
        <v/>
      </c>
      <c r="BF1389" s="990"/>
      <c r="BG1389" s="990"/>
      <c r="BH1389" s="991">
        <f>IF(AND(Input_Product=Elig!$C1389,Elig_MatchAll_Ct&lt;22,$BC1389=(Elig_MatchAll_Ct-1),AF1389=0),C1389,0)</f>
        <v>0</v>
      </c>
      <c r="BI1389" s="991">
        <f>IF(AND(Input_Product=Elig!$C1389,Elig_MatchAll_Ct&lt;22,$BC1389=(Elig_MatchAll_Ct-1),AG1389=0),D1389,0)</f>
        <v>0</v>
      </c>
      <c r="BJ1389" s="991">
        <f>IF(AND(Input_Product=Elig!$C1389,Elig_MatchAll_Ct&lt;22,$BC1389=(Elig_MatchAll_Ct-1),AH1389=0),E1389,0)</f>
        <v>0</v>
      </c>
      <c r="BK1389" s="991">
        <f>IF(AND(Input_Product=Elig!$C1389,Elig_MatchAll_Ct&lt;22,$BC1389=(Elig_MatchAll_Ct-1),AI1389=0),F1389,0)</f>
        <v>0</v>
      </c>
      <c r="BL1389" s="991">
        <f>IF(AND(Input_Product=Elig!$C1389,Elig_MatchAll_Ct&lt;22,$BC1389=(Elig_MatchAll_Ct-1),AJ1389=0),G1389,0)</f>
        <v>0</v>
      </c>
      <c r="BM1389" s="991">
        <f>IF(AND(Input_Product=Elig!$C1389,Elig_MatchAll_Ct&lt;22,$BC1389=(Elig_MatchAll_Ct-1),AK1389=0),H1389,0)</f>
        <v>0</v>
      </c>
      <c r="BN1389" s="991">
        <f>IF(AND(Input_Product=Elig!$C1389,Elig_MatchAll_Ct&lt;22,$BC1389=(Elig_MatchAll_Ct-1),AL1389=0),I1389,0)</f>
        <v>0</v>
      </c>
      <c r="BO1389" s="991">
        <f>IF(AND(Input_Product=Elig!$C1389,Elig_MatchAll_Ct&lt;22,$BC1389=(Elig_MatchAll_Ct-1),AM1389=0),J1389,0)</f>
        <v>0</v>
      </c>
      <c r="BP1389" s="991">
        <f>IF(AND(Input_Product=Elig!$C1389,Elig_MatchAll_Ct&lt;22,$BC1389=(Elig_MatchAll_Ct-1),AN1389=0),K1389,0)</f>
        <v>0</v>
      </c>
      <c r="BQ1389" s="991">
        <f>IF(AND(Input_Product=Elig!$C1389,Elig_MatchAll_Ct&lt;22,$BC1389=(Elig_MatchAll_Ct-1),AP1389=0),L1389,0)</f>
        <v>0</v>
      </c>
      <c r="BR1389" s="991">
        <f>IF(AND(Input_Product=Elig!$C1389,Elig_MatchAll_Ct&lt;22,$BC1389=(Elig_MatchAll_Ct-1),AO1389=0),M1389,0)</f>
        <v>0</v>
      </c>
      <c r="BS1389" s="991">
        <f>IF(AND(Input_Product=Elig!$C1389,Elig_MatchAll_Ct&lt;22,$BC1389=(Elig_MatchAll_Ct-1),AQ1389=0),N1389,0)</f>
        <v>0</v>
      </c>
      <c r="BT1389" s="991">
        <f>IF(AND(Input_Product=Elig!$C1389,Elig_MatchAll_Ct&lt;22,$BC1389=(Elig_MatchAll_Ct-1),AR1389=0),O1389,0)</f>
        <v>0</v>
      </c>
      <c r="BU1389" s="991">
        <f>IF(AND(Input_Product=Elig!$C1389,Elig_MatchAll_Ct&lt;22,$BC1389=(Elig_MatchAll_Ct-1),AS1389=0),P1389,0)</f>
        <v>0</v>
      </c>
      <c r="BV1389" s="992">
        <f>IF(AND(Input_Product=Elig!$C1389,Elig_MatchAll_Ct&lt;22,$BC1389=(Elig_MatchAll_Ct-1),AT1389=0),Q1389,0)</f>
        <v>0</v>
      </c>
      <c r="BW1389" s="993">
        <f>IF(AND(Input_Product=Elig!$C1389,Elig_MatchAll_Ct&lt;22,$BC1389=(Elig_MatchAll_Ct-1),AU1389=0),R1389,0)</f>
        <v>0</v>
      </c>
      <c r="BX1389" s="994">
        <f>IF(AND(Input_Product=Elig!$C1389,Elig_MatchAll_Ct&lt;22,$BC1389=(Elig_MatchAll_Ct-1),AU1389=0),S1389,0)</f>
        <v>0</v>
      </c>
      <c r="BY1389" s="993">
        <f>IF(AND(Input_Product=Elig!$C1389,Elig_MatchAll_Ct&lt;22,$BC1389=(Elig_MatchAll_Ct-1),AV1389=0),T1389,0)</f>
        <v>0</v>
      </c>
      <c r="BZ1389" s="994">
        <f>IF(AND(Input_Product=Elig!$C1389,Elig_MatchAll_Ct&lt;22,$BC1389=(Elig_MatchAll_Ct-1),AV1389=0),U1389,0)</f>
        <v>0</v>
      </c>
      <c r="CA1389" s="993">
        <f>IF(AND(Input_Product=Elig!$C1389,Elig_MatchAll_Ct&lt;22,$BC1389=(Elig_MatchAll_Ct-1),AW1389=0),V1389,0)</f>
        <v>0</v>
      </c>
      <c r="CB1389" s="994">
        <f>IF(AND(Input_Product=Elig!$C1389,Elig_MatchAll_Ct&lt;22,$BC1389=(Elig_MatchAll_Ct-1),AW1389=0),W1389,0)</f>
        <v>0</v>
      </c>
      <c r="CC1389" s="993">
        <f>IF(AND(Input_Product=Elig!$C1389,Elig_MatchAll_Ct&lt;22,$BC1389=(Elig_MatchAll_Ct-1),AX1389=0),X1389,0)</f>
        <v>0</v>
      </c>
      <c r="CD1389" s="994">
        <f>IF(AND(Input_Product=Elig!$C1389,Elig_MatchAll_Ct&lt;22,$BC1389=(Elig_MatchAll_Ct-1),AX1389=0),Y1389,0)</f>
        <v>0</v>
      </c>
      <c r="CE1389" s="993">
        <f>IF(AND(Input_LTV&lt;=AE1389,Input_Product=Elig!$C1389,Elig_MatchAll_Ct&lt;22,$BC1389=(Elig_MatchAll_Ct-1),AY1389=0),Z1389,0)</f>
        <v>0</v>
      </c>
      <c r="CF1389" s="994">
        <f>IF(AND(Input_LTV&lt;=AE1389,Input_Product=Elig!$C1389,Elig_MatchAll_Ct&lt;22,$BC1389=(Elig_MatchAll_Ct-1),AY1389=0),AA1389,0)</f>
        <v>0</v>
      </c>
      <c r="CG1389" s="993">
        <f>IF(AND(Input_Product=Elig!$C1389,Elig_MatchAll_Ct&lt;22,$BC1389=(Elig_MatchAll_Ct-1),AZ1389=0),AB1389,0)</f>
        <v>0</v>
      </c>
      <c r="CH1389" s="994">
        <f>IF(AND(Input_Product=Elig!$C1389,Elig_MatchAll_Ct&lt;22,$BC1389=(Elig_MatchAll_Ct-1),AZ1389=0),AC1389,0)</f>
        <v>0</v>
      </c>
      <c r="CI1389" s="993">
        <f>IF(AND(Input_Product=Elig!$C1389,Elig_MatchAll_Ct&lt;22,$BC1389=(Elig_MatchAll_Ct-1),BA1389=0),AD1389,0)</f>
        <v>0</v>
      </c>
      <c r="CJ1389" s="994">
        <f>IF(AND(Input_Product=Elig!$C1389,Elig_MatchAll_Ct&lt;22,$BC1389=(Elig_MatchAll_Ct-1),BA1389=0),AE1389,0)</f>
        <v>0</v>
      </c>
    </row>
    <row r="1390" spans="2:88" ht="10.15" customHeight="1" x14ac:dyDescent="0.25">
      <c r="B1390" s="1538" t="s">
        <v>3588</v>
      </c>
      <c r="C1390" s="1538" t="str">
        <f t="shared" si="486"/>
        <v xml:space="preserve">  NOO</v>
      </c>
      <c r="D1390" s="1538" t="s">
        <v>2764</v>
      </c>
      <c r="E1390" s="1538" t="s">
        <v>167</v>
      </c>
      <c r="F1390" s="1538" t="s">
        <v>2765</v>
      </c>
      <c r="G1390" s="1538" t="s">
        <v>2766</v>
      </c>
      <c r="H1390" s="1538" t="s">
        <v>2767</v>
      </c>
      <c r="I1390" s="1539" t="s">
        <v>35</v>
      </c>
      <c r="J1390" s="1539" t="s">
        <v>1311</v>
      </c>
      <c r="K1390" s="1539" t="s">
        <v>3023</v>
      </c>
      <c r="L1390" s="1538" t="s">
        <v>2768</v>
      </c>
      <c r="M1390" s="1538" t="s">
        <v>2677</v>
      </c>
      <c r="N1390" s="1538" t="s">
        <v>2685</v>
      </c>
      <c r="O1390" s="1538" t="s">
        <v>310</v>
      </c>
      <c r="P1390" s="1538" t="s">
        <v>291</v>
      </c>
      <c r="Q1390" s="1538" t="s">
        <v>294</v>
      </c>
      <c r="R1390" s="1538">
        <v>1500000.01</v>
      </c>
      <c r="S1390" s="1538">
        <v>2000000</v>
      </c>
      <c r="T1390" s="1538">
        <v>0</v>
      </c>
      <c r="U1390" s="1538">
        <v>0</v>
      </c>
      <c r="V1390" s="1538">
        <v>0</v>
      </c>
      <c r="W1390" s="1538">
        <v>55</v>
      </c>
      <c r="X1390" s="1538">
        <v>0</v>
      </c>
      <c r="Y1390" s="1538">
        <v>0</v>
      </c>
      <c r="Z1390" s="1540">
        <v>700</v>
      </c>
      <c r="AA1390" s="1540">
        <v>719</v>
      </c>
      <c r="AB1390" s="1540">
        <v>6</v>
      </c>
      <c r="AC1390" s="1540">
        <v>999999</v>
      </c>
      <c r="AD1390" s="1538">
        <v>0</v>
      </c>
      <c r="AE1390" s="1545">
        <v>75</v>
      </c>
      <c r="AF1390" s="170">
        <v>0</v>
      </c>
      <c r="AG1390" s="171">
        <v>1</v>
      </c>
      <c r="AH1390" s="171">
        <v>1</v>
      </c>
      <c r="AI1390" s="171">
        <v>1</v>
      </c>
      <c r="AJ1390" s="171">
        <v>1</v>
      </c>
      <c r="AK1390" s="171">
        <v>1</v>
      </c>
      <c r="AL1390" s="171">
        <v>0</v>
      </c>
      <c r="AM1390" s="171">
        <v>1</v>
      </c>
      <c r="AN1390" s="171">
        <v>1</v>
      </c>
      <c r="AO1390" s="171">
        <v>1</v>
      </c>
      <c r="AP1390" s="171">
        <v>1</v>
      </c>
      <c r="AQ1390" s="171">
        <v>1</v>
      </c>
      <c r="AR1390" s="171">
        <v>1</v>
      </c>
      <c r="AS1390" s="171">
        <v>1</v>
      </c>
      <c r="AT1390" s="171">
        <v>1</v>
      </c>
      <c r="AU1390" s="171">
        <f t="shared" si="488"/>
        <v>0</v>
      </c>
      <c r="AV1390" s="171">
        <f t="shared" si="489"/>
        <v>0</v>
      </c>
      <c r="AW1390" s="171">
        <f t="shared" si="490"/>
        <v>1</v>
      </c>
      <c r="AX1390" s="171">
        <f t="shared" si="485"/>
        <v>1</v>
      </c>
      <c r="AY1390" s="171">
        <f t="shared" si="491"/>
        <v>0</v>
      </c>
      <c r="AZ1390" s="171">
        <f t="shared" si="492"/>
        <v>1</v>
      </c>
      <c r="BA1390" s="172">
        <f t="shared" si="493"/>
        <v>1</v>
      </c>
      <c r="BB1390" s="175">
        <f t="shared" si="481"/>
        <v>17</v>
      </c>
      <c r="BC1390" s="176">
        <f t="shared" si="482"/>
        <v>16</v>
      </c>
      <c r="BD1390" s="176">
        <f t="shared" si="483"/>
        <v>17</v>
      </c>
      <c r="BE1390" s="240" t="str">
        <f t="shared" si="487"/>
        <v/>
      </c>
      <c r="BF1390" s="990"/>
      <c r="BG1390" s="990"/>
      <c r="BH1390" s="991">
        <f>IF(AND(Input_Product=Elig!$C1390,Elig_MatchAll_Ct&lt;22,$BC1390=(Elig_MatchAll_Ct-1),AF1390=0),C1390,0)</f>
        <v>0</v>
      </c>
      <c r="BI1390" s="991">
        <f>IF(AND(Input_Product=Elig!$C1390,Elig_MatchAll_Ct&lt;22,$BC1390=(Elig_MatchAll_Ct-1),AG1390=0),D1390,0)</f>
        <v>0</v>
      </c>
      <c r="BJ1390" s="991">
        <f>IF(AND(Input_Product=Elig!$C1390,Elig_MatchAll_Ct&lt;22,$BC1390=(Elig_MatchAll_Ct-1),AH1390=0),E1390,0)</f>
        <v>0</v>
      </c>
      <c r="BK1390" s="991">
        <f>IF(AND(Input_Product=Elig!$C1390,Elig_MatchAll_Ct&lt;22,$BC1390=(Elig_MatchAll_Ct-1),AI1390=0),F1390,0)</f>
        <v>0</v>
      </c>
      <c r="BL1390" s="991">
        <f>IF(AND(Input_Product=Elig!$C1390,Elig_MatchAll_Ct&lt;22,$BC1390=(Elig_MatchAll_Ct-1),AJ1390=0),G1390,0)</f>
        <v>0</v>
      </c>
      <c r="BM1390" s="991">
        <f>IF(AND(Input_Product=Elig!$C1390,Elig_MatchAll_Ct&lt;22,$BC1390=(Elig_MatchAll_Ct-1),AK1390=0),H1390,0)</f>
        <v>0</v>
      </c>
      <c r="BN1390" s="991">
        <f>IF(AND(Input_Product=Elig!$C1390,Elig_MatchAll_Ct&lt;22,$BC1390=(Elig_MatchAll_Ct-1),AL1390=0),I1390,0)</f>
        <v>0</v>
      </c>
      <c r="BO1390" s="991">
        <f>IF(AND(Input_Product=Elig!$C1390,Elig_MatchAll_Ct&lt;22,$BC1390=(Elig_MatchAll_Ct-1),AM1390=0),J1390,0)</f>
        <v>0</v>
      </c>
      <c r="BP1390" s="991">
        <f>IF(AND(Input_Product=Elig!$C1390,Elig_MatchAll_Ct&lt;22,$BC1390=(Elig_MatchAll_Ct-1),AN1390=0),K1390,0)</f>
        <v>0</v>
      </c>
      <c r="BQ1390" s="991">
        <f>IF(AND(Input_Product=Elig!$C1390,Elig_MatchAll_Ct&lt;22,$BC1390=(Elig_MatchAll_Ct-1),AP1390=0),L1390,0)</f>
        <v>0</v>
      </c>
      <c r="BR1390" s="991">
        <f>IF(AND(Input_Product=Elig!$C1390,Elig_MatchAll_Ct&lt;22,$BC1390=(Elig_MatchAll_Ct-1),AO1390=0),M1390,0)</f>
        <v>0</v>
      </c>
      <c r="BS1390" s="991">
        <f>IF(AND(Input_Product=Elig!$C1390,Elig_MatchAll_Ct&lt;22,$BC1390=(Elig_MatchAll_Ct-1),AQ1390=0),N1390,0)</f>
        <v>0</v>
      </c>
      <c r="BT1390" s="991">
        <f>IF(AND(Input_Product=Elig!$C1390,Elig_MatchAll_Ct&lt;22,$BC1390=(Elig_MatchAll_Ct-1),AR1390=0),O1390,0)</f>
        <v>0</v>
      </c>
      <c r="BU1390" s="991">
        <f>IF(AND(Input_Product=Elig!$C1390,Elig_MatchAll_Ct&lt;22,$BC1390=(Elig_MatchAll_Ct-1),AS1390=0),P1390,0)</f>
        <v>0</v>
      </c>
      <c r="BV1390" s="992">
        <f>IF(AND(Input_Product=Elig!$C1390,Elig_MatchAll_Ct&lt;22,$BC1390=(Elig_MatchAll_Ct-1),AT1390=0),Q1390,0)</f>
        <v>0</v>
      </c>
      <c r="BW1390" s="993">
        <f>IF(AND(Input_Product=Elig!$C1390,Elig_MatchAll_Ct&lt;22,$BC1390=(Elig_MatchAll_Ct-1),AU1390=0),R1390,0)</f>
        <v>0</v>
      </c>
      <c r="BX1390" s="994">
        <f>IF(AND(Input_Product=Elig!$C1390,Elig_MatchAll_Ct&lt;22,$BC1390=(Elig_MatchAll_Ct-1),AU1390=0),S1390,0)</f>
        <v>0</v>
      </c>
      <c r="BY1390" s="993">
        <f>IF(AND(Input_Product=Elig!$C1390,Elig_MatchAll_Ct&lt;22,$BC1390=(Elig_MatchAll_Ct-1),AV1390=0),T1390,0)</f>
        <v>0</v>
      </c>
      <c r="BZ1390" s="994">
        <f>IF(AND(Input_Product=Elig!$C1390,Elig_MatchAll_Ct&lt;22,$BC1390=(Elig_MatchAll_Ct-1),AV1390=0),U1390,0)</f>
        <v>0</v>
      </c>
      <c r="CA1390" s="993">
        <f>IF(AND(Input_Product=Elig!$C1390,Elig_MatchAll_Ct&lt;22,$BC1390=(Elig_MatchAll_Ct-1),AW1390=0),V1390,0)</f>
        <v>0</v>
      </c>
      <c r="CB1390" s="994">
        <f>IF(AND(Input_Product=Elig!$C1390,Elig_MatchAll_Ct&lt;22,$BC1390=(Elig_MatchAll_Ct-1),AW1390=0),W1390,0)</f>
        <v>0</v>
      </c>
      <c r="CC1390" s="993">
        <f>IF(AND(Input_Product=Elig!$C1390,Elig_MatchAll_Ct&lt;22,$BC1390=(Elig_MatchAll_Ct-1),AX1390=0),X1390,0)</f>
        <v>0</v>
      </c>
      <c r="CD1390" s="994">
        <f>IF(AND(Input_Product=Elig!$C1390,Elig_MatchAll_Ct&lt;22,$BC1390=(Elig_MatchAll_Ct-1),AX1390=0),Y1390,0)</f>
        <v>0</v>
      </c>
      <c r="CE1390" s="993">
        <f>IF(AND(Input_LTV&lt;=AE1390,Input_Product=Elig!$C1390,Elig_MatchAll_Ct&lt;22,$BC1390=(Elig_MatchAll_Ct-1),AY1390=0),Z1390,0)</f>
        <v>0</v>
      </c>
      <c r="CF1390" s="994">
        <f>IF(AND(Input_LTV&lt;=AE1390,Input_Product=Elig!$C1390,Elig_MatchAll_Ct&lt;22,$BC1390=(Elig_MatchAll_Ct-1),AY1390=0),AA1390,0)</f>
        <v>0</v>
      </c>
      <c r="CG1390" s="993">
        <f>IF(AND(Input_Product=Elig!$C1390,Elig_MatchAll_Ct&lt;22,$BC1390=(Elig_MatchAll_Ct-1),AZ1390=0),AB1390,0)</f>
        <v>0</v>
      </c>
      <c r="CH1390" s="994">
        <f>IF(AND(Input_Product=Elig!$C1390,Elig_MatchAll_Ct&lt;22,$BC1390=(Elig_MatchAll_Ct-1),AZ1390=0),AC1390,0)</f>
        <v>0</v>
      </c>
      <c r="CI1390" s="993">
        <f>IF(AND(Input_Product=Elig!$C1390,Elig_MatchAll_Ct&lt;22,$BC1390=(Elig_MatchAll_Ct-1),BA1390=0),AD1390,0)</f>
        <v>0</v>
      </c>
      <c r="CJ1390" s="994">
        <f>IF(AND(Input_Product=Elig!$C1390,Elig_MatchAll_Ct&lt;22,$BC1390=(Elig_MatchAll_Ct-1),BA1390=0),AE1390,0)</f>
        <v>0</v>
      </c>
    </row>
    <row r="1391" spans="2:88" ht="10.15" customHeight="1" x14ac:dyDescent="0.25">
      <c r="B1391" s="1538" t="s">
        <v>3589</v>
      </c>
      <c r="C1391" s="1538" t="str">
        <f t="shared" ref="C1391:C1421" si="494">Input_Name_Product16&amp;" NOO"</f>
        <v xml:space="preserve">  NOO</v>
      </c>
      <c r="D1391" s="1538" t="s">
        <v>2764</v>
      </c>
      <c r="E1391" s="1538" t="s">
        <v>167</v>
      </c>
      <c r="F1391" s="1538" t="s">
        <v>2765</v>
      </c>
      <c r="G1391" s="1538" t="s">
        <v>2766</v>
      </c>
      <c r="H1391" s="1538" t="s">
        <v>2767</v>
      </c>
      <c r="I1391" s="1539" t="s">
        <v>35</v>
      </c>
      <c r="J1391" s="1539" t="s">
        <v>1311</v>
      </c>
      <c r="K1391" s="1539" t="s">
        <v>3023</v>
      </c>
      <c r="L1391" s="1538" t="s">
        <v>2768</v>
      </c>
      <c r="M1391" s="1538" t="s">
        <v>2677</v>
      </c>
      <c r="N1391" s="1538" t="s">
        <v>2685</v>
      </c>
      <c r="O1391" s="1538" t="s">
        <v>310</v>
      </c>
      <c r="P1391" s="1538" t="s">
        <v>291</v>
      </c>
      <c r="Q1391" s="1538" t="s">
        <v>294</v>
      </c>
      <c r="R1391" s="1538">
        <v>2000000.01</v>
      </c>
      <c r="S1391" s="1538">
        <v>2500000</v>
      </c>
      <c r="T1391" s="1538">
        <v>0</v>
      </c>
      <c r="U1391" s="1538">
        <v>0</v>
      </c>
      <c r="V1391" s="1538">
        <v>0</v>
      </c>
      <c r="W1391" s="1538">
        <v>55</v>
      </c>
      <c r="X1391" s="1538">
        <v>0</v>
      </c>
      <c r="Y1391" s="1538">
        <v>0</v>
      </c>
      <c r="Z1391" s="1540">
        <v>700</v>
      </c>
      <c r="AA1391" s="1540">
        <v>719</v>
      </c>
      <c r="AB1391" s="1540">
        <v>6</v>
      </c>
      <c r="AC1391" s="1540">
        <v>999999</v>
      </c>
      <c r="AD1391" s="1538">
        <v>0</v>
      </c>
      <c r="AE1391" s="1545">
        <v>70</v>
      </c>
      <c r="AF1391" s="170">
        <v>0</v>
      </c>
      <c r="AG1391" s="171">
        <v>1</v>
      </c>
      <c r="AH1391" s="171">
        <v>1</v>
      </c>
      <c r="AI1391" s="171">
        <v>1</v>
      </c>
      <c r="AJ1391" s="171">
        <v>1</v>
      </c>
      <c r="AK1391" s="171">
        <v>1</v>
      </c>
      <c r="AL1391" s="171">
        <v>0</v>
      </c>
      <c r="AM1391" s="171">
        <v>1</v>
      </c>
      <c r="AN1391" s="171">
        <v>1</v>
      </c>
      <c r="AO1391" s="171">
        <v>1</v>
      </c>
      <c r="AP1391" s="171">
        <v>1</v>
      </c>
      <c r="AQ1391" s="171">
        <v>1</v>
      </c>
      <c r="AR1391" s="171">
        <v>1</v>
      </c>
      <c r="AS1391" s="171">
        <v>1</v>
      </c>
      <c r="AT1391" s="171">
        <v>1</v>
      </c>
      <c r="AU1391" s="171">
        <f t="shared" si="488"/>
        <v>0</v>
      </c>
      <c r="AV1391" s="171">
        <f t="shared" si="489"/>
        <v>0</v>
      </c>
      <c r="AW1391" s="171">
        <f t="shared" si="490"/>
        <v>1</v>
      </c>
      <c r="AX1391" s="171">
        <f t="shared" si="485"/>
        <v>1</v>
      </c>
      <c r="AY1391" s="171">
        <f t="shared" si="491"/>
        <v>0</v>
      </c>
      <c r="AZ1391" s="171">
        <f t="shared" si="492"/>
        <v>1</v>
      </c>
      <c r="BA1391" s="172">
        <f t="shared" si="493"/>
        <v>1</v>
      </c>
      <c r="BB1391" s="175">
        <f t="shared" si="481"/>
        <v>17</v>
      </c>
      <c r="BC1391" s="176">
        <f t="shared" si="482"/>
        <v>16</v>
      </c>
      <c r="BD1391" s="176">
        <f t="shared" si="483"/>
        <v>17</v>
      </c>
      <c r="BE1391" s="240" t="str">
        <f t="shared" si="487"/>
        <v/>
      </c>
      <c r="BF1391" s="990"/>
      <c r="BG1391" s="990"/>
      <c r="BH1391" s="991">
        <f>IF(AND(Input_Product=Elig!$C1391,Elig_MatchAll_Ct&lt;22,$BC1391=(Elig_MatchAll_Ct-1),AF1391=0),C1391,0)</f>
        <v>0</v>
      </c>
      <c r="BI1391" s="991">
        <f>IF(AND(Input_Product=Elig!$C1391,Elig_MatchAll_Ct&lt;22,$BC1391=(Elig_MatchAll_Ct-1),AG1391=0),D1391,0)</f>
        <v>0</v>
      </c>
      <c r="BJ1391" s="991">
        <f>IF(AND(Input_Product=Elig!$C1391,Elig_MatchAll_Ct&lt;22,$BC1391=(Elig_MatchAll_Ct-1),AH1391=0),E1391,0)</f>
        <v>0</v>
      </c>
      <c r="BK1391" s="991">
        <f>IF(AND(Input_Product=Elig!$C1391,Elig_MatchAll_Ct&lt;22,$BC1391=(Elig_MatchAll_Ct-1),AI1391=0),F1391,0)</f>
        <v>0</v>
      </c>
      <c r="BL1391" s="991">
        <f>IF(AND(Input_Product=Elig!$C1391,Elig_MatchAll_Ct&lt;22,$BC1391=(Elig_MatchAll_Ct-1),AJ1391=0),G1391,0)</f>
        <v>0</v>
      </c>
      <c r="BM1391" s="991">
        <f>IF(AND(Input_Product=Elig!$C1391,Elig_MatchAll_Ct&lt;22,$BC1391=(Elig_MatchAll_Ct-1),AK1391=0),H1391,0)</f>
        <v>0</v>
      </c>
      <c r="BN1391" s="991">
        <f>IF(AND(Input_Product=Elig!$C1391,Elig_MatchAll_Ct&lt;22,$BC1391=(Elig_MatchAll_Ct-1),AL1391=0),I1391,0)</f>
        <v>0</v>
      </c>
      <c r="BO1391" s="991">
        <f>IF(AND(Input_Product=Elig!$C1391,Elig_MatchAll_Ct&lt;22,$BC1391=(Elig_MatchAll_Ct-1),AM1391=0),J1391,0)</f>
        <v>0</v>
      </c>
      <c r="BP1391" s="991">
        <f>IF(AND(Input_Product=Elig!$C1391,Elig_MatchAll_Ct&lt;22,$BC1391=(Elig_MatchAll_Ct-1),AN1391=0),K1391,0)</f>
        <v>0</v>
      </c>
      <c r="BQ1391" s="991">
        <f>IF(AND(Input_Product=Elig!$C1391,Elig_MatchAll_Ct&lt;22,$BC1391=(Elig_MatchAll_Ct-1),AP1391=0),L1391,0)</f>
        <v>0</v>
      </c>
      <c r="BR1391" s="991">
        <f>IF(AND(Input_Product=Elig!$C1391,Elig_MatchAll_Ct&lt;22,$BC1391=(Elig_MatchAll_Ct-1),AO1391=0),M1391,0)</f>
        <v>0</v>
      </c>
      <c r="BS1391" s="991">
        <f>IF(AND(Input_Product=Elig!$C1391,Elig_MatchAll_Ct&lt;22,$BC1391=(Elig_MatchAll_Ct-1),AQ1391=0),N1391,0)</f>
        <v>0</v>
      </c>
      <c r="BT1391" s="991">
        <f>IF(AND(Input_Product=Elig!$C1391,Elig_MatchAll_Ct&lt;22,$BC1391=(Elig_MatchAll_Ct-1),AR1391=0),O1391,0)</f>
        <v>0</v>
      </c>
      <c r="BU1391" s="991">
        <f>IF(AND(Input_Product=Elig!$C1391,Elig_MatchAll_Ct&lt;22,$BC1391=(Elig_MatchAll_Ct-1),AS1391=0),P1391,0)</f>
        <v>0</v>
      </c>
      <c r="BV1391" s="992">
        <f>IF(AND(Input_Product=Elig!$C1391,Elig_MatchAll_Ct&lt;22,$BC1391=(Elig_MatchAll_Ct-1),AT1391=0),Q1391,0)</f>
        <v>0</v>
      </c>
      <c r="BW1391" s="993">
        <f>IF(AND(Input_Product=Elig!$C1391,Elig_MatchAll_Ct&lt;22,$BC1391=(Elig_MatchAll_Ct-1),AU1391=0),R1391,0)</f>
        <v>0</v>
      </c>
      <c r="BX1391" s="994">
        <f>IF(AND(Input_Product=Elig!$C1391,Elig_MatchAll_Ct&lt;22,$BC1391=(Elig_MatchAll_Ct-1),AU1391=0),S1391,0)</f>
        <v>0</v>
      </c>
      <c r="BY1391" s="993">
        <f>IF(AND(Input_Product=Elig!$C1391,Elig_MatchAll_Ct&lt;22,$BC1391=(Elig_MatchAll_Ct-1),AV1391=0),T1391,0)</f>
        <v>0</v>
      </c>
      <c r="BZ1391" s="994">
        <f>IF(AND(Input_Product=Elig!$C1391,Elig_MatchAll_Ct&lt;22,$BC1391=(Elig_MatchAll_Ct-1),AV1391=0),U1391,0)</f>
        <v>0</v>
      </c>
      <c r="CA1391" s="993">
        <f>IF(AND(Input_Product=Elig!$C1391,Elig_MatchAll_Ct&lt;22,$BC1391=(Elig_MatchAll_Ct-1),AW1391=0),V1391,0)</f>
        <v>0</v>
      </c>
      <c r="CB1391" s="994">
        <f>IF(AND(Input_Product=Elig!$C1391,Elig_MatchAll_Ct&lt;22,$BC1391=(Elig_MatchAll_Ct-1),AW1391=0),W1391,0)</f>
        <v>0</v>
      </c>
      <c r="CC1391" s="993">
        <f>IF(AND(Input_Product=Elig!$C1391,Elig_MatchAll_Ct&lt;22,$BC1391=(Elig_MatchAll_Ct-1),AX1391=0),X1391,0)</f>
        <v>0</v>
      </c>
      <c r="CD1391" s="994">
        <f>IF(AND(Input_Product=Elig!$C1391,Elig_MatchAll_Ct&lt;22,$BC1391=(Elig_MatchAll_Ct-1),AX1391=0),Y1391,0)</f>
        <v>0</v>
      </c>
      <c r="CE1391" s="993">
        <f>IF(AND(Input_LTV&lt;=AE1391,Input_Product=Elig!$C1391,Elig_MatchAll_Ct&lt;22,$BC1391=(Elig_MatchAll_Ct-1),AY1391=0),Z1391,0)</f>
        <v>0</v>
      </c>
      <c r="CF1391" s="994">
        <f>IF(AND(Input_LTV&lt;=AE1391,Input_Product=Elig!$C1391,Elig_MatchAll_Ct&lt;22,$BC1391=(Elig_MatchAll_Ct-1),AY1391=0),AA1391,0)</f>
        <v>0</v>
      </c>
      <c r="CG1391" s="993">
        <f>IF(AND(Input_Product=Elig!$C1391,Elig_MatchAll_Ct&lt;22,$BC1391=(Elig_MatchAll_Ct-1),AZ1391=0),AB1391,0)</f>
        <v>0</v>
      </c>
      <c r="CH1391" s="994">
        <f>IF(AND(Input_Product=Elig!$C1391,Elig_MatchAll_Ct&lt;22,$BC1391=(Elig_MatchAll_Ct-1),AZ1391=0),AC1391,0)</f>
        <v>0</v>
      </c>
      <c r="CI1391" s="993">
        <f>IF(AND(Input_Product=Elig!$C1391,Elig_MatchAll_Ct&lt;22,$BC1391=(Elig_MatchAll_Ct-1),BA1391=0),AD1391,0)</f>
        <v>0</v>
      </c>
      <c r="CJ1391" s="994">
        <f>IF(AND(Input_Product=Elig!$C1391,Elig_MatchAll_Ct&lt;22,$BC1391=(Elig_MatchAll_Ct-1),BA1391=0),AE1391,0)</f>
        <v>0</v>
      </c>
    </row>
    <row r="1392" spans="2:88" ht="10.15" customHeight="1" x14ac:dyDescent="0.25">
      <c r="B1392" s="1538" t="s">
        <v>3590</v>
      </c>
      <c r="C1392" s="1538" t="str">
        <f t="shared" si="494"/>
        <v xml:space="preserve">  NOO</v>
      </c>
      <c r="D1392" s="1538" t="s">
        <v>2764</v>
      </c>
      <c r="E1392" s="1538" t="s">
        <v>167</v>
      </c>
      <c r="F1392" s="1538" t="s">
        <v>2765</v>
      </c>
      <c r="G1392" s="1538" t="s">
        <v>2766</v>
      </c>
      <c r="H1392" s="1538" t="s">
        <v>2767</v>
      </c>
      <c r="I1392" s="1539" t="s">
        <v>35</v>
      </c>
      <c r="J1392" s="1539" t="s">
        <v>1311</v>
      </c>
      <c r="K1392" s="1539" t="s">
        <v>3023</v>
      </c>
      <c r="L1392" s="1538" t="s">
        <v>2768</v>
      </c>
      <c r="M1392" s="1538" t="s">
        <v>2677</v>
      </c>
      <c r="N1392" s="1538" t="s">
        <v>2685</v>
      </c>
      <c r="O1392" s="1538" t="s">
        <v>310</v>
      </c>
      <c r="P1392" s="1538" t="s">
        <v>291</v>
      </c>
      <c r="Q1392" s="1538" t="s">
        <v>294</v>
      </c>
      <c r="R1392" s="1538">
        <v>2500000.0099999998</v>
      </c>
      <c r="S1392" s="1538">
        <v>3000000</v>
      </c>
      <c r="T1392" s="1538">
        <v>0</v>
      </c>
      <c r="U1392" s="1538">
        <v>0</v>
      </c>
      <c r="V1392" s="1538">
        <v>0</v>
      </c>
      <c r="W1392" s="1538">
        <v>55</v>
      </c>
      <c r="X1392" s="1538">
        <v>0</v>
      </c>
      <c r="Y1392" s="1538">
        <v>0</v>
      </c>
      <c r="Z1392" s="1540">
        <v>700</v>
      </c>
      <c r="AA1392" s="1540">
        <v>719</v>
      </c>
      <c r="AB1392" s="1540">
        <v>6</v>
      </c>
      <c r="AC1392" s="1540">
        <v>999999</v>
      </c>
      <c r="AD1392" s="1538">
        <v>0</v>
      </c>
      <c r="AE1392" s="1545">
        <v>70</v>
      </c>
      <c r="AF1392" s="170">
        <v>0</v>
      </c>
      <c r="AG1392" s="171">
        <v>1</v>
      </c>
      <c r="AH1392" s="171">
        <v>1</v>
      </c>
      <c r="AI1392" s="171">
        <v>1</v>
      </c>
      <c r="AJ1392" s="171">
        <v>1</v>
      </c>
      <c r="AK1392" s="171">
        <v>1</v>
      </c>
      <c r="AL1392" s="171">
        <v>0</v>
      </c>
      <c r="AM1392" s="171">
        <v>1</v>
      </c>
      <c r="AN1392" s="171">
        <v>1</v>
      </c>
      <c r="AO1392" s="171">
        <v>1</v>
      </c>
      <c r="AP1392" s="171">
        <v>1</v>
      </c>
      <c r="AQ1392" s="171">
        <v>1</v>
      </c>
      <c r="AR1392" s="171">
        <v>1</v>
      </c>
      <c r="AS1392" s="171">
        <v>1</v>
      </c>
      <c r="AT1392" s="171">
        <v>1</v>
      </c>
      <c r="AU1392" s="171">
        <f t="shared" si="488"/>
        <v>0</v>
      </c>
      <c r="AV1392" s="171">
        <f t="shared" si="489"/>
        <v>0</v>
      </c>
      <c r="AW1392" s="171">
        <f t="shared" si="490"/>
        <v>1</v>
      </c>
      <c r="AX1392" s="171">
        <f t="shared" si="485"/>
        <v>1</v>
      </c>
      <c r="AY1392" s="171">
        <f t="shared" si="491"/>
        <v>0</v>
      </c>
      <c r="AZ1392" s="171">
        <f t="shared" si="492"/>
        <v>1</v>
      </c>
      <c r="BA1392" s="172">
        <f t="shared" si="493"/>
        <v>1</v>
      </c>
      <c r="BB1392" s="175">
        <f t="shared" si="481"/>
        <v>17</v>
      </c>
      <c r="BC1392" s="176">
        <f t="shared" si="482"/>
        <v>16</v>
      </c>
      <c r="BD1392" s="176">
        <f t="shared" si="483"/>
        <v>17</v>
      </c>
      <c r="BE1392" s="240" t="str">
        <f t="shared" si="487"/>
        <v/>
      </c>
      <c r="BF1392" s="990"/>
      <c r="BG1392" s="990"/>
      <c r="BH1392" s="991">
        <f>IF(AND(Input_Product=Elig!$C1392,Elig_MatchAll_Ct&lt;22,$BC1392=(Elig_MatchAll_Ct-1),AF1392=0),C1392,0)</f>
        <v>0</v>
      </c>
      <c r="BI1392" s="991">
        <f>IF(AND(Input_Product=Elig!$C1392,Elig_MatchAll_Ct&lt;22,$BC1392=(Elig_MatchAll_Ct-1),AG1392=0),D1392,0)</f>
        <v>0</v>
      </c>
      <c r="BJ1392" s="991">
        <f>IF(AND(Input_Product=Elig!$C1392,Elig_MatchAll_Ct&lt;22,$BC1392=(Elig_MatchAll_Ct-1),AH1392=0),E1392,0)</f>
        <v>0</v>
      </c>
      <c r="BK1392" s="991">
        <f>IF(AND(Input_Product=Elig!$C1392,Elig_MatchAll_Ct&lt;22,$BC1392=(Elig_MatchAll_Ct-1),AI1392=0),F1392,0)</f>
        <v>0</v>
      </c>
      <c r="BL1392" s="991">
        <f>IF(AND(Input_Product=Elig!$C1392,Elig_MatchAll_Ct&lt;22,$BC1392=(Elig_MatchAll_Ct-1),AJ1392=0),G1392,0)</f>
        <v>0</v>
      </c>
      <c r="BM1392" s="991">
        <f>IF(AND(Input_Product=Elig!$C1392,Elig_MatchAll_Ct&lt;22,$BC1392=(Elig_MatchAll_Ct-1),AK1392=0),H1392,0)</f>
        <v>0</v>
      </c>
      <c r="BN1392" s="991">
        <f>IF(AND(Input_Product=Elig!$C1392,Elig_MatchAll_Ct&lt;22,$BC1392=(Elig_MatchAll_Ct-1),AL1392=0),I1392,0)</f>
        <v>0</v>
      </c>
      <c r="BO1392" s="991">
        <f>IF(AND(Input_Product=Elig!$C1392,Elig_MatchAll_Ct&lt;22,$BC1392=(Elig_MatchAll_Ct-1),AM1392=0),J1392,0)</f>
        <v>0</v>
      </c>
      <c r="BP1392" s="991">
        <f>IF(AND(Input_Product=Elig!$C1392,Elig_MatchAll_Ct&lt;22,$BC1392=(Elig_MatchAll_Ct-1),AN1392=0),K1392,0)</f>
        <v>0</v>
      </c>
      <c r="BQ1392" s="991">
        <f>IF(AND(Input_Product=Elig!$C1392,Elig_MatchAll_Ct&lt;22,$BC1392=(Elig_MatchAll_Ct-1),AP1392=0),L1392,0)</f>
        <v>0</v>
      </c>
      <c r="BR1392" s="991">
        <f>IF(AND(Input_Product=Elig!$C1392,Elig_MatchAll_Ct&lt;22,$BC1392=(Elig_MatchAll_Ct-1),AO1392=0),M1392,0)</f>
        <v>0</v>
      </c>
      <c r="BS1392" s="991">
        <f>IF(AND(Input_Product=Elig!$C1392,Elig_MatchAll_Ct&lt;22,$BC1392=(Elig_MatchAll_Ct-1),AQ1392=0),N1392,0)</f>
        <v>0</v>
      </c>
      <c r="BT1392" s="991">
        <f>IF(AND(Input_Product=Elig!$C1392,Elig_MatchAll_Ct&lt;22,$BC1392=(Elig_MatchAll_Ct-1),AR1392=0),O1392,0)</f>
        <v>0</v>
      </c>
      <c r="BU1392" s="991">
        <f>IF(AND(Input_Product=Elig!$C1392,Elig_MatchAll_Ct&lt;22,$BC1392=(Elig_MatchAll_Ct-1),AS1392=0),P1392,0)</f>
        <v>0</v>
      </c>
      <c r="BV1392" s="992">
        <f>IF(AND(Input_Product=Elig!$C1392,Elig_MatchAll_Ct&lt;22,$BC1392=(Elig_MatchAll_Ct-1),AT1392=0),Q1392,0)</f>
        <v>0</v>
      </c>
      <c r="BW1392" s="993">
        <f>IF(AND(Input_Product=Elig!$C1392,Elig_MatchAll_Ct&lt;22,$BC1392=(Elig_MatchAll_Ct-1),AU1392=0),R1392,0)</f>
        <v>0</v>
      </c>
      <c r="BX1392" s="994">
        <f>IF(AND(Input_Product=Elig!$C1392,Elig_MatchAll_Ct&lt;22,$BC1392=(Elig_MatchAll_Ct-1),AU1392=0),S1392,0)</f>
        <v>0</v>
      </c>
      <c r="BY1392" s="993">
        <f>IF(AND(Input_Product=Elig!$C1392,Elig_MatchAll_Ct&lt;22,$BC1392=(Elig_MatchAll_Ct-1),AV1392=0),T1392,0)</f>
        <v>0</v>
      </c>
      <c r="BZ1392" s="994">
        <f>IF(AND(Input_Product=Elig!$C1392,Elig_MatchAll_Ct&lt;22,$BC1392=(Elig_MatchAll_Ct-1),AV1392=0),U1392,0)</f>
        <v>0</v>
      </c>
      <c r="CA1392" s="993">
        <f>IF(AND(Input_Product=Elig!$C1392,Elig_MatchAll_Ct&lt;22,$BC1392=(Elig_MatchAll_Ct-1),AW1392=0),V1392,0)</f>
        <v>0</v>
      </c>
      <c r="CB1392" s="994">
        <f>IF(AND(Input_Product=Elig!$C1392,Elig_MatchAll_Ct&lt;22,$BC1392=(Elig_MatchAll_Ct-1),AW1392=0),W1392,0)</f>
        <v>0</v>
      </c>
      <c r="CC1392" s="993">
        <f>IF(AND(Input_Product=Elig!$C1392,Elig_MatchAll_Ct&lt;22,$BC1392=(Elig_MatchAll_Ct-1),AX1392=0),X1392,0)</f>
        <v>0</v>
      </c>
      <c r="CD1392" s="994">
        <f>IF(AND(Input_Product=Elig!$C1392,Elig_MatchAll_Ct&lt;22,$BC1392=(Elig_MatchAll_Ct-1),AX1392=0),Y1392,0)</f>
        <v>0</v>
      </c>
      <c r="CE1392" s="993">
        <f>IF(AND(Input_LTV&lt;=AE1392,Input_Product=Elig!$C1392,Elig_MatchAll_Ct&lt;22,$BC1392=(Elig_MatchAll_Ct-1),AY1392=0),Z1392,0)</f>
        <v>0</v>
      </c>
      <c r="CF1392" s="994">
        <f>IF(AND(Input_LTV&lt;=AE1392,Input_Product=Elig!$C1392,Elig_MatchAll_Ct&lt;22,$BC1392=(Elig_MatchAll_Ct-1),AY1392=0),AA1392,0)</f>
        <v>0</v>
      </c>
      <c r="CG1392" s="993">
        <f>IF(AND(Input_Product=Elig!$C1392,Elig_MatchAll_Ct&lt;22,$BC1392=(Elig_MatchAll_Ct-1),AZ1392=0),AB1392,0)</f>
        <v>0</v>
      </c>
      <c r="CH1392" s="994">
        <f>IF(AND(Input_Product=Elig!$C1392,Elig_MatchAll_Ct&lt;22,$BC1392=(Elig_MatchAll_Ct-1),AZ1392=0),AC1392,0)</f>
        <v>0</v>
      </c>
      <c r="CI1392" s="993">
        <f>IF(AND(Input_Product=Elig!$C1392,Elig_MatchAll_Ct&lt;22,$BC1392=(Elig_MatchAll_Ct-1),BA1392=0),AD1392,0)</f>
        <v>0</v>
      </c>
      <c r="CJ1392" s="994">
        <f>IF(AND(Input_Product=Elig!$C1392,Elig_MatchAll_Ct&lt;22,$BC1392=(Elig_MatchAll_Ct-1),BA1392=0),AE1392,0)</f>
        <v>0</v>
      </c>
    </row>
    <row r="1393" spans="2:88" ht="10.15" customHeight="1" x14ac:dyDescent="0.25">
      <c r="B1393" s="1538" t="s">
        <v>3591</v>
      </c>
      <c r="C1393" s="1538" t="str">
        <f t="shared" si="494"/>
        <v xml:space="preserve">  NOO</v>
      </c>
      <c r="D1393" s="1538" t="s">
        <v>2764</v>
      </c>
      <c r="E1393" s="1538" t="s">
        <v>167</v>
      </c>
      <c r="F1393" s="1538" t="s">
        <v>2765</v>
      </c>
      <c r="G1393" s="1538" t="s">
        <v>2766</v>
      </c>
      <c r="H1393" s="1538" t="s">
        <v>2767</v>
      </c>
      <c r="I1393" s="1539" t="s">
        <v>35</v>
      </c>
      <c r="J1393" s="1539" t="s">
        <v>1311</v>
      </c>
      <c r="K1393" s="1539" t="s">
        <v>3023</v>
      </c>
      <c r="L1393" s="1538" t="s">
        <v>2768</v>
      </c>
      <c r="M1393" s="1538" t="s">
        <v>2677</v>
      </c>
      <c r="N1393" s="1538" t="s">
        <v>2685</v>
      </c>
      <c r="O1393" s="1538" t="s">
        <v>310</v>
      </c>
      <c r="P1393" s="1538" t="s">
        <v>291</v>
      </c>
      <c r="Q1393" s="1538" t="s">
        <v>294</v>
      </c>
      <c r="R1393" s="1538">
        <v>3000000.01</v>
      </c>
      <c r="S1393" s="1538">
        <v>3500000</v>
      </c>
      <c r="T1393" s="1538">
        <v>0</v>
      </c>
      <c r="U1393" s="1538">
        <v>0</v>
      </c>
      <c r="V1393" s="1538">
        <v>0</v>
      </c>
      <c r="W1393" s="1538">
        <v>55</v>
      </c>
      <c r="X1393" s="1538">
        <v>0</v>
      </c>
      <c r="Y1393" s="1538">
        <v>0</v>
      </c>
      <c r="Z1393" s="1540">
        <v>700</v>
      </c>
      <c r="AA1393" s="1540">
        <v>719</v>
      </c>
      <c r="AB1393" s="1540">
        <v>6</v>
      </c>
      <c r="AC1393" s="1540">
        <v>999999</v>
      </c>
      <c r="AD1393" s="1538">
        <v>0</v>
      </c>
      <c r="AE1393" s="1545">
        <v>65</v>
      </c>
      <c r="AF1393" s="170">
        <v>0</v>
      </c>
      <c r="AG1393" s="171">
        <v>1</v>
      </c>
      <c r="AH1393" s="171">
        <v>1</v>
      </c>
      <c r="AI1393" s="171">
        <v>1</v>
      </c>
      <c r="AJ1393" s="171">
        <v>1</v>
      </c>
      <c r="AK1393" s="171">
        <v>1</v>
      </c>
      <c r="AL1393" s="171">
        <v>0</v>
      </c>
      <c r="AM1393" s="171">
        <v>1</v>
      </c>
      <c r="AN1393" s="171">
        <v>1</v>
      </c>
      <c r="AO1393" s="171">
        <v>1</v>
      </c>
      <c r="AP1393" s="171">
        <v>1</v>
      </c>
      <c r="AQ1393" s="171">
        <v>1</v>
      </c>
      <c r="AR1393" s="171">
        <v>1</v>
      </c>
      <c r="AS1393" s="171">
        <v>1</v>
      </c>
      <c r="AT1393" s="171">
        <v>1</v>
      </c>
      <c r="AU1393" s="171">
        <f t="shared" si="488"/>
        <v>0</v>
      </c>
      <c r="AV1393" s="171">
        <f t="shared" si="489"/>
        <v>0</v>
      </c>
      <c r="AW1393" s="171">
        <f t="shared" si="490"/>
        <v>1</v>
      </c>
      <c r="AX1393" s="171">
        <f t="shared" si="485"/>
        <v>1</v>
      </c>
      <c r="AY1393" s="171">
        <f t="shared" si="491"/>
        <v>0</v>
      </c>
      <c r="AZ1393" s="171">
        <f t="shared" si="492"/>
        <v>1</v>
      </c>
      <c r="BA1393" s="172">
        <f t="shared" si="493"/>
        <v>1</v>
      </c>
      <c r="BB1393" s="175">
        <f t="shared" si="481"/>
        <v>17</v>
      </c>
      <c r="BC1393" s="176">
        <f t="shared" si="482"/>
        <v>16</v>
      </c>
      <c r="BD1393" s="176">
        <f t="shared" si="483"/>
        <v>17</v>
      </c>
      <c r="BE1393" s="240" t="str">
        <f t="shared" si="487"/>
        <v/>
      </c>
      <c r="BF1393" s="990"/>
      <c r="BG1393" s="990"/>
      <c r="BH1393" s="991">
        <f>IF(AND(Input_Product=Elig!$C1393,Elig_MatchAll_Ct&lt;22,$BC1393=(Elig_MatchAll_Ct-1),AF1393=0),C1393,0)</f>
        <v>0</v>
      </c>
      <c r="BI1393" s="991">
        <f>IF(AND(Input_Product=Elig!$C1393,Elig_MatchAll_Ct&lt;22,$BC1393=(Elig_MatchAll_Ct-1),AG1393=0),D1393,0)</f>
        <v>0</v>
      </c>
      <c r="BJ1393" s="991">
        <f>IF(AND(Input_Product=Elig!$C1393,Elig_MatchAll_Ct&lt;22,$BC1393=(Elig_MatchAll_Ct-1),AH1393=0),E1393,0)</f>
        <v>0</v>
      </c>
      <c r="BK1393" s="991">
        <f>IF(AND(Input_Product=Elig!$C1393,Elig_MatchAll_Ct&lt;22,$BC1393=(Elig_MatchAll_Ct-1),AI1393=0),F1393,0)</f>
        <v>0</v>
      </c>
      <c r="BL1393" s="991">
        <f>IF(AND(Input_Product=Elig!$C1393,Elig_MatchAll_Ct&lt;22,$BC1393=(Elig_MatchAll_Ct-1),AJ1393=0),G1393,0)</f>
        <v>0</v>
      </c>
      <c r="BM1393" s="991">
        <f>IF(AND(Input_Product=Elig!$C1393,Elig_MatchAll_Ct&lt;22,$BC1393=(Elig_MatchAll_Ct-1),AK1393=0),H1393,0)</f>
        <v>0</v>
      </c>
      <c r="BN1393" s="991">
        <f>IF(AND(Input_Product=Elig!$C1393,Elig_MatchAll_Ct&lt;22,$BC1393=(Elig_MatchAll_Ct-1),AL1393=0),I1393,0)</f>
        <v>0</v>
      </c>
      <c r="BO1393" s="991">
        <f>IF(AND(Input_Product=Elig!$C1393,Elig_MatchAll_Ct&lt;22,$BC1393=(Elig_MatchAll_Ct-1),AM1393=0),J1393,0)</f>
        <v>0</v>
      </c>
      <c r="BP1393" s="991">
        <f>IF(AND(Input_Product=Elig!$C1393,Elig_MatchAll_Ct&lt;22,$BC1393=(Elig_MatchAll_Ct-1),AN1393=0),K1393,0)</f>
        <v>0</v>
      </c>
      <c r="BQ1393" s="991">
        <f>IF(AND(Input_Product=Elig!$C1393,Elig_MatchAll_Ct&lt;22,$BC1393=(Elig_MatchAll_Ct-1),AP1393=0),L1393,0)</f>
        <v>0</v>
      </c>
      <c r="BR1393" s="991">
        <f>IF(AND(Input_Product=Elig!$C1393,Elig_MatchAll_Ct&lt;22,$BC1393=(Elig_MatchAll_Ct-1),AO1393=0),M1393,0)</f>
        <v>0</v>
      </c>
      <c r="BS1393" s="991">
        <f>IF(AND(Input_Product=Elig!$C1393,Elig_MatchAll_Ct&lt;22,$BC1393=(Elig_MatchAll_Ct-1),AQ1393=0),N1393,0)</f>
        <v>0</v>
      </c>
      <c r="BT1393" s="991">
        <f>IF(AND(Input_Product=Elig!$C1393,Elig_MatchAll_Ct&lt;22,$BC1393=(Elig_MatchAll_Ct-1),AR1393=0),O1393,0)</f>
        <v>0</v>
      </c>
      <c r="BU1393" s="991">
        <f>IF(AND(Input_Product=Elig!$C1393,Elig_MatchAll_Ct&lt;22,$BC1393=(Elig_MatchAll_Ct-1),AS1393=0),P1393,0)</f>
        <v>0</v>
      </c>
      <c r="BV1393" s="992">
        <f>IF(AND(Input_Product=Elig!$C1393,Elig_MatchAll_Ct&lt;22,$BC1393=(Elig_MatchAll_Ct-1),AT1393=0),Q1393,0)</f>
        <v>0</v>
      </c>
      <c r="BW1393" s="993">
        <f>IF(AND(Input_Product=Elig!$C1393,Elig_MatchAll_Ct&lt;22,$BC1393=(Elig_MatchAll_Ct-1),AU1393=0),R1393,0)</f>
        <v>0</v>
      </c>
      <c r="BX1393" s="994">
        <f>IF(AND(Input_Product=Elig!$C1393,Elig_MatchAll_Ct&lt;22,$BC1393=(Elig_MatchAll_Ct-1),AU1393=0),S1393,0)</f>
        <v>0</v>
      </c>
      <c r="BY1393" s="993">
        <f>IF(AND(Input_Product=Elig!$C1393,Elig_MatchAll_Ct&lt;22,$BC1393=(Elig_MatchAll_Ct-1),AV1393=0),T1393,0)</f>
        <v>0</v>
      </c>
      <c r="BZ1393" s="994">
        <f>IF(AND(Input_Product=Elig!$C1393,Elig_MatchAll_Ct&lt;22,$BC1393=(Elig_MatchAll_Ct-1),AV1393=0),U1393,0)</f>
        <v>0</v>
      </c>
      <c r="CA1393" s="993">
        <f>IF(AND(Input_Product=Elig!$C1393,Elig_MatchAll_Ct&lt;22,$BC1393=(Elig_MatchAll_Ct-1),AW1393=0),V1393,0)</f>
        <v>0</v>
      </c>
      <c r="CB1393" s="994">
        <f>IF(AND(Input_Product=Elig!$C1393,Elig_MatchAll_Ct&lt;22,$BC1393=(Elig_MatchAll_Ct-1),AW1393=0),W1393,0)</f>
        <v>0</v>
      </c>
      <c r="CC1393" s="993">
        <f>IF(AND(Input_Product=Elig!$C1393,Elig_MatchAll_Ct&lt;22,$BC1393=(Elig_MatchAll_Ct-1),AX1393=0),X1393,0)</f>
        <v>0</v>
      </c>
      <c r="CD1393" s="994">
        <f>IF(AND(Input_Product=Elig!$C1393,Elig_MatchAll_Ct&lt;22,$BC1393=(Elig_MatchAll_Ct-1),AX1393=0),Y1393,0)</f>
        <v>0</v>
      </c>
      <c r="CE1393" s="993">
        <f>IF(AND(Input_LTV&lt;=AE1393,Input_Product=Elig!$C1393,Elig_MatchAll_Ct&lt;22,$BC1393=(Elig_MatchAll_Ct-1),AY1393=0),Z1393,0)</f>
        <v>0</v>
      </c>
      <c r="CF1393" s="994">
        <f>IF(AND(Input_LTV&lt;=AE1393,Input_Product=Elig!$C1393,Elig_MatchAll_Ct&lt;22,$BC1393=(Elig_MatchAll_Ct-1),AY1393=0),AA1393,0)</f>
        <v>0</v>
      </c>
      <c r="CG1393" s="993">
        <f>IF(AND(Input_Product=Elig!$C1393,Elig_MatchAll_Ct&lt;22,$BC1393=(Elig_MatchAll_Ct-1),AZ1393=0),AB1393,0)</f>
        <v>0</v>
      </c>
      <c r="CH1393" s="994">
        <f>IF(AND(Input_Product=Elig!$C1393,Elig_MatchAll_Ct&lt;22,$BC1393=(Elig_MatchAll_Ct-1),AZ1393=0),AC1393,0)</f>
        <v>0</v>
      </c>
      <c r="CI1393" s="993">
        <f>IF(AND(Input_Product=Elig!$C1393,Elig_MatchAll_Ct&lt;22,$BC1393=(Elig_MatchAll_Ct-1),BA1393=0),AD1393,0)</f>
        <v>0</v>
      </c>
      <c r="CJ1393" s="994">
        <f>IF(AND(Input_Product=Elig!$C1393,Elig_MatchAll_Ct&lt;22,$BC1393=(Elig_MatchAll_Ct-1),BA1393=0),AE1393,0)</f>
        <v>0</v>
      </c>
    </row>
    <row r="1394" spans="2:88" ht="10.15" customHeight="1" x14ac:dyDescent="0.25">
      <c r="B1394" s="1538" t="s">
        <v>3592</v>
      </c>
      <c r="C1394" s="1538" t="str">
        <f t="shared" si="494"/>
        <v xml:space="preserve">  NOO</v>
      </c>
      <c r="D1394" s="1538" t="s">
        <v>2764</v>
      </c>
      <c r="E1394" s="1538" t="s">
        <v>167</v>
      </c>
      <c r="F1394" s="1538" t="s">
        <v>2765</v>
      </c>
      <c r="G1394" s="1538" t="s">
        <v>2766</v>
      </c>
      <c r="H1394" s="1538" t="s">
        <v>2767</v>
      </c>
      <c r="I1394" s="1539" t="s">
        <v>35</v>
      </c>
      <c r="J1394" s="1539" t="s">
        <v>1311</v>
      </c>
      <c r="K1394" s="1539" t="s">
        <v>3023</v>
      </c>
      <c r="L1394" s="1538" t="s">
        <v>2768</v>
      </c>
      <c r="M1394" s="1538" t="s">
        <v>2677</v>
      </c>
      <c r="N1394" s="1538" t="s">
        <v>2685</v>
      </c>
      <c r="O1394" s="1538" t="s">
        <v>310</v>
      </c>
      <c r="P1394" s="1538" t="s">
        <v>291</v>
      </c>
      <c r="Q1394" s="1538" t="s">
        <v>294</v>
      </c>
      <c r="R1394" s="1538">
        <v>150000</v>
      </c>
      <c r="S1394" s="1538">
        <v>1000000</v>
      </c>
      <c r="T1394" s="1538">
        <v>0</v>
      </c>
      <c r="U1394" s="1538">
        <v>0</v>
      </c>
      <c r="V1394" s="1538">
        <v>0</v>
      </c>
      <c r="W1394" s="1538">
        <v>55</v>
      </c>
      <c r="X1394" s="1538">
        <v>0</v>
      </c>
      <c r="Y1394" s="1538">
        <v>0</v>
      </c>
      <c r="Z1394" s="1540">
        <v>680</v>
      </c>
      <c r="AA1394" s="1540">
        <v>699</v>
      </c>
      <c r="AB1394" s="1540">
        <v>6</v>
      </c>
      <c r="AC1394" s="1540">
        <v>999999</v>
      </c>
      <c r="AD1394" s="1538">
        <v>0</v>
      </c>
      <c r="AE1394" s="1545">
        <v>85</v>
      </c>
      <c r="AF1394" s="170">
        <v>0</v>
      </c>
      <c r="AG1394" s="171">
        <v>1</v>
      </c>
      <c r="AH1394" s="171">
        <v>1</v>
      </c>
      <c r="AI1394" s="171">
        <v>1</v>
      </c>
      <c r="AJ1394" s="171">
        <v>1</v>
      </c>
      <c r="AK1394" s="171">
        <v>1</v>
      </c>
      <c r="AL1394" s="171">
        <v>0</v>
      </c>
      <c r="AM1394" s="171">
        <v>1</v>
      </c>
      <c r="AN1394" s="171">
        <v>1</v>
      </c>
      <c r="AO1394" s="171">
        <v>1</v>
      </c>
      <c r="AP1394" s="171">
        <v>1</v>
      </c>
      <c r="AQ1394" s="171">
        <v>1</v>
      </c>
      <c r="AR1394" s="171">
        <v>1</v>
      </c>
      <c r="AS1394" s="171">
        <v>1</v>
      </c>
      <c r="AT1394" s="171">
        <v>1</v>
      </c>
      <c r="AU1394" s="171">
        <f t="shared" si="488"/>
        <v>1</v>
      </c>
      <c r="AV1394" s="171">
        <f t="shared" si="489"/>
        <v>0</v>
      </c>
      <c r="AW1394" s="171">
        <f t="shared" si="490"/>
        <v>1</v>
      </c>
      <c r="AX1394" s="171">
        <f t="shared" si="485"/>
        <v>1</v>
      </c>
      <c r="AY1394" s="171">
        <f t="shared" si="491"/>
        <v>0</v>
      </c>
      <c r="AZ1394" s="171">
        <f t="shared" si="492"/>
        <v>1</v>
      </c>
      <c r="BA1394" s="172">
        <f t="shared" si="493"/>
        <v>1</v>
      </c>
      <c r="BB1394" s="175">
        <f t="shared" ref="BB1394:BB1457" si="495">SUM(AF1394:BA1394)</f>
        <v>18</v>
      </c>
      <c r="BC1394" s="176">
        <f t="shared" ref="BC1394:BC1457" si="496">SUM(AF1394:AZ1394)</f>
        <v>17</v>
      </c>
      <c r="BD1394" s="176">
        <f t="shared" ref="BD1394:BD1457" si="497">SUM(AG1394:BA1394)</f>
        <v>18</v>
      </c>
      <c r="BE1394" s="240" t="str">
        <f t="shared" si="487"/>
        <v/>
      </c>
      <c r="BF1394" s="990"/>
      <c r="BG1394" s="990"/>
      <c r="BH1394" s="991">
        <f>IF(AND(Input_Product=Elig!$C1394,Elig_MatchAll_Ct&lt;22,$BC1394=(Elig_MatchAll_Ct-1),AF1394=0),C1394,0)</f>
        <v>0</v>
      </c>
      <c r="BI1394" s="991">
        <f>IF(AND(Input_Product=Elig!$C1394,Elig_MatchAll_Ct&lt;22,$BC1394=(Elig_MatchAll_Ct-1),AG1394=0),D1394,0)</f>
        <v>0</v>
      </c>
      <c r="BJ1394" s="991">
        <f>IF(AND(Input_Product=Elig!$C1394,Elig_MatchAll_Ct&lt;22,$BC1394=(Elig_MatchAll_Ct-1),AH1394=0),E1394,0)</f>
        <v>0</v>
      </c>
      <c r="BK1394" s="991">
        <f>IF(AND(Input_Product=Elig!$C1394,Elig_MatchAll_Ct&lt;22,$BC1394=(Elig_MatchAll_Ct-1),AI1394=0),F1394,0)</f>
        <v>0</v>
      </c>
      <c r="BL1394" s="991">
        <f>IF(AND(Input_Product=Elig!$C1394,Elig_MatchAll_Ct&lt;22,$BC1394=(Elig_MatchAll_Ct-1),AJ1394=0),G1394,0)</f>
        <v>0</v>
      </c>
      <c r="BM1394" s="991">
        <f>IF(AND(Input_Product=Elig!$C1394,Elig_MatchAll_Ct&lt;22,$BC1394=(Elig_MatchAll_Ct-1),AK1394=0),H1394,0)</f>
        <v>0</v>
      </c>
      <c r="BN1394" s="991">
        <f>IF(AND(Input_Product=Elig!$C1394,Elig_MatchAll_Ct&lt;22,$BC1394=(Elig_MatchAll_Ct-1),AL1394=0),I1394,0)</f>
        <v>0</v>
      </c>
      <c r="BO1394" s="991">
        <f>IF(AND(Input_Product=Elig!$C1394,Elig_MatchAll_Ct&lt;22,$BC1394=(Elig_MatchAll_Ct-1),AM1394=0),J1394,0)</f>
        <v>0</v>
      </c>
      <c r="BP1394" s="991">
        <f>IF(AND(Input_Product=Elig!$C1394,Elig_MatchAll_Ct&lt;22,$BC1394=(Elig_MatchAll_Ct-1),AN1394=0),K1394,0)</f>
        <v>0</v>
      </c>
      <c r="BQ1394" s="991">
        <f>IF(AND(Input_Product=Elig!$C1394,Elig_MatchAll_Ct&lt;22,$BC1394=(Elig_MatchAll_Ct-1),AP1394=0),L1394,0)</f>
        <v>0</v>
      </c>
      <c r="BR1394" s="991">
        <f>IF(AND(Input_Product=Elig!$C1394,Elig_MatchAll_Ct&lt;22,$BC1394=(Elig_MatchAll_Ct-1),AO1394=0),M1394,0)</f>
        <v>0</v>
      </c>
      <c r="BS1394" s="991">
        <f>IF(AND(Input_Product=Elig!$C1394,Elig_MatchAll_Ct&lt;22,$BC1394=(Elig_MatchAll_Ct-1),AQ1394=0),N1394,0)</f>
        <v>0</v>
      </c>
      <c r="BT1394" s="991">
        <f>IF(AND(Input_Product=Elig!$C1394,Elig_MatchAll_Ct&lt;22,$BC1394=(Elig_MatchAll_Ct-1),AR1394=0),O1394,0)</f>
        <v>0</v>
      </c>
      <c r="BU1394" s="991">
        <f>IF(AND(Input_Product=Elig!$C1394,Elig_MatchAll_Ct&lt;22,$BC1394=(Elig_MatchAll_Ct-1),AS1394=0),P1394,0)</f>
        <v>0</v>
      </c>
      <c r="BV1394" s="992">
        <f>IF(AND(Input_Product=Elig!$C1394,Elig_MatchAll_Ct&lt;22,$BC1394=(Elig_MatchAll_Ct-1),AT1394=0),Q1394,0)</f>
        <v>0</v>
      </c>
      <c r="BW1394" s="993">
        <f>IF(AND(Input_Product=Elig!$C1394,Elig_MatchAll_Ct&lt;22,$BC1394=(Elig_MatchAll_Ct-1),AU1394=0),R1394,0)</f>
        <v>0</v>
      </c>
      <c r="BX1394" s="994">
        <f>IF(AND(Input_Product=Elig!$C1394,Elig_MatchAll_Ct&lt;22,$BC1394=(Elig_MatchAll_Ct-1),AU1394=0),S1394,0)</f>
        <v>0</v>
      </c>
      <c r="BY1394" s="993">
        <f>IF(AND(Input_Product=Elig!$C1394,Elig_MatchAll_Ct&lt;22,$BC1394=(Elig_MatchAll_Ct-1),AV1394=0),T1394,0)</f>
        <v>0</v>
      </c>
      <c r="BZ1394" s="994">
        <f>IF(AND(Input_Product=Elig!$C1394,Elig_MatchAll_Ct&lt;22,$BC1394=(Elig_MatchAll_Ct-1),AV1394=0),U1394,0)</f>
        <v>0</v>
      </c>
      <c r="CA1394" s="993">
        <f>IF(AND(Input_Product=Elig!$C1394,Elig_MatchAll_Ct&lt;22,$BC1394=(Elig_MatchAll_Ct-1),AW1394=0),V1394,0)</f>
        <v>0</v>
      </c>
      <c r="CB1394" s="994">
        <f>IF(AND(Input_Product=Elig!$C1394,Elig_MatchAll_Ct&lt;22,$BC1394=(Elig_MatchAll_Ct-1),AW1394=0),W1394,0)</f>
        <v>0</v>
      </c>
      <c r="CC1394" s="993">
        <f>IF(AND(Input_Product=Elig!$C1394,Elig_MatchAll_Ct&lt;22,$BC1394=(Elig_MatchAll_Ct-1),AX1394=0),X1394,0)</f>
        <v>0</v>
      </c>
      <c r="CD1394" s="994">
        <f>IF(AND(Input_Product=Elig!$C1394,Elig_MatchAll_Ct&lt;22,$BC1394=(Elig_MatchAll_Ct-1),AX1394=0),Y1394,0)</f>
        <v>0</v>
      </c>
      <c r="CE1394" s="993">
        <f>IF(AND(Input_LTV&lt;=AE1394,Input_Product=Elig!$C1394,Elig_MatchAll_Ct&lt;22,$BC1394=(Elig_MatchAll_Ct-1),AY1394=0),Z1394,0)</f>
        <v>0</v>
      </c>
      <c r="CF1394" s="994">
        <f>IF(AND(Input_LTV&lt;=AE1394,Input_Product=Elig!$C1394,Elig_MatchAll_Ct&lt;22,$BC1394=(Elig_MatchAll_Ct-1),AY1394=0),AA1394,0)</f>
        <v>0</v>
      </c>
      <c r="CG1394" s="993">
        <f>IF(AND(Input_Product=Elig!$C1394,Elig_MatchAll_Ct&lt;22,$BC1394=(Elig_MatchAll_Ct-1),AZ1394=0),AB1394,0)</f>
        <v>0</v>
      </c>
      <c r="CH1394" s="994">
        <f>IF(AND(Input_Product=Elig!$C1394,Elig_MatchAll_Ct&lt;22,$BC1394=(Elig_MatchAll_Ct-1),AZ1394=0),AC1394,0)</f>
        <v>0</v>
      </c>
      <c r="CI1394" s="993">
        <f>IF(AND(Input_Product=Elig!$C1394,Elig_MatchAll_Ct&lt;22,$BC1394=(Elig_MatchAll_Ct-1),BA1394=0),AD1394,0)</f>
        <v>0</v>
      </c>
      <c r="CJ1394" s="994">
        <f>IF(AND(Input_Product=Elig!$C1394,Elig_MatchAll_Ct&lt;22,$BC1394=(Elig_MatchAll_Ct-1),BA1394=0),AE1394,0)</f>
        <v>0</v>
      </c>
    </row>
    <row r="1395" spans="2:88" ht="10.15" customHeight="1" x14ac:dyDescent="0.25">
      <c r="B1395" s="1538" t="s">
        <v>3593</v>
      </c>
      <c r="C1395" s="1538" t="str">
        <f t="shared" si="494"/>
        <v xml:space="preserve">  NOO</v>
      </c>
      <c r="D1395" s="1538" t="s">
        <v>2764</v>
      </c>
      <c r="E1395" s="1538" t="s">
        <v>167</v>
      </c>
      <c r="F1395" s="1538" t="s">
        <v>2765</v>
      </c>
      <c r="G1395" s="1538" t="s">
        <v>2766</v>
      </c>
      <c r="H1395" s="1538" t="s">
        <v>2767</v>
      </c>
      <c r="I1395" s="1539" t="s">
        <v>35</v>
      </c>
      <c r="J1395" s="1539" t="s">
        <v>1311</v>
      </c>
      <c r="K1395" s="1539" t="s">
        <v>3023</v>
      </c>
      <c r="L1395" s="1538" t="s">
        <v>2768</v>
      </c>
      <c r="M1395" s="1538" t="s">
        <v>2677</v>
      </c>
      <c r="N1395" s="1538" t="s">
        <v>2685</v>
      </c>
      <c r="O1395" s="1538" t="s">
        <v>310</v>
      </c>
      <c r="P1395" s="1538" t="s">
        <v>291</v>
      </c>
      <c r="Q1395" s="1538" t="s">
        <v>294</v>
      </c>
      <c r="R1395" s="1538">
        <v>1000000.01</v>
      </c>
      <c r="S1395" s="1538">
        <v>1500000</v>
      </c>
      <c r="T1395" s="1538">
        <v>0</v>
      </c>
      <c r="U1395" s="1538">
        <v>0</v>
      </c>
      <c r="V1395" s="1538">
        <v>0</v>
      </c>
      <c r="W1395" s="1538">
        <v>55</v>
      </c>
      <c r="X1395" s="1538">
        <v>0</v>
      </c>
      <c r="Y1395" s="1538">
        <v>0</v>
      </c>
      <c r="Z1395" s="1540">
        <v>680</v>
      </c>
      <c r="AA1395" s="1540">
        <v>699</v>
      </c>
      <c r="AB1395" s="1540">
        <v>6</v>
      </c>
      <c r="AC1395" s="1540">
        <v>999999</v>
      </c>
      <c r="AD1395" s="1538">
        <v>0</v>
      </c>
      <c r="AE1395" s="1545">
        <v>80</v>
      </c>
      <c r="AF1395" s="170">
        <v>0</v>
      </c>
      <c r="AG1395" s="171">
        <v>1</v>
      </c>
      <c r="AH1395" s="171">
        <v>1</v>
      </c>
      <c r="AI1395" s="171">
        <v>1</v>
      </c>
      <c r="AJ1395" s="171">
        <v>1</v>
      </c>
      <c r="AK1395" s="171">
        <v>1</v>
      </c>
      <c r="AL1395" s="171">
        <v>0</v>
      </c>
      <c r="AM1395" s="171">
        <v>1</v>
      </c>
      <c r="AN1395" s="171">
        <v>1</v>
      </c>
      <c r="AO1395" s="171">
        <v>1</v>
      </c>
      <c r="AP1395" s="171">
        <v>1</v>
      </c>
      <c r="AQ1395" s="171">
        <v>1</v>
      </c>
      <c r="AR1395" s="171">
        <v>1</v>
      </c>
      <c r="AS1395" s="171">
        <v>1</v>
      </c>
      <c r="AT1395" s="171">
        <v>1</v>
      </c>
      <c r="AU1395" s="171">
        <f t="shared" si="488"/>
        <v>0</v>
      </c>
      <c r="AV1395" s="171">
        <f t="shared" si="489"/>
        <v>0</v>
      </c>
      <c r="AW1395" s="171">
        <f t="shared" si="490"/>
        <v>1</v>
      </c>
      <c r="AX1395" s="171">
        <f t="shared" si="485"/>
        <v>1</v>
      </c>
      <c r="AY1395" s="171">
        <f t="shared" si="491"/>
        <v>0</v>
      </c>
      <c r="AZ1395" s="171">
        <f t="shared" si="492"/>
        <v>1</v>
      </c>
      <c r="BA1395" s="172">
        <f t="shared" si="493"/>
        <v>1</v>
      </c>
      <c r="BB1395" s="175">
        <f t="shared" si="495"/>
        <v>17</v>
      </c>
      <c r="BC1395" s="176">
        <f t="shared" si="496"/>
        <v>16</v>
      </c>
      <c r="BD1395" s="176">
        <f t="shared" si="497"/>
        <v>17</v>
      </c>
      <c r="BE1395" s="240" t="str">
        <f t="shared" si="487"/>
        <v/>
      </c>
      <c r="BF1395" s="990"/>
      <c r="BG1395" s="990"/>
      <c r="BH1395" s="991">
        <f>IF(AND(Input_Product=Elig!$C1395,Elig_MatchAll_Ct&lt;22,$BC1395=(Elig_MatchAll_Ct-1),AF1395=0),C1395,0)</f>
        <v>0</v>
      </c>
      <c r="BI1395" s="991">
        <f>IF(AND(Input_Product=Elig!$C1395,Elig_MatchAll_Ct&lt;22,$BC1395=(Elig_MatchAll_Ct-1),AG1395=0),D1395,0)</f>
        <v>0</v>
      </c>
      <c r="BJ1395" s="991">
        <f>IF(AND(Input_Product=Elig!$C1395,Elig_MatchAll_Ct&lt;22,$BC1395=(Elig_MatchAll_Ct-1),AH1395=0),E1395,0)</f>
        <v>0</v>
      </c>
      <c r="BK1395" s="991">
        <f>IF(AND(Input_Product=Elig!$C1395,Elig_MatchAll_Ct&lt;22,$BC1395=(Elig_MatchAll_Ct-1),AI1395=0),F1395,0)</f>
        <v>0</v>
      </c>
      <c r="BL1395" s="991">
        <f>IF(AND(Input_Product=Elig!$C1395,Elig_MatchAll_Ct&lt;22,$BC1395=(Elig_MatchAll_Ct-1),AJ1395=0),G1395,0)</f>
        <v>0</v>
      </c>
      <c r="BM1395" s="991">
        <f>IF(AND(Input_Product=Elig!$C1395,Elig_MatchAll_Ct&lt;22,$BC1395=(Elig_MatchAll_Ct-1),AK1395=0),H1395,0)</f>
        <v>0</v>
      </c>
      <c r="BN1395" s="991">
        <f>IF(AND(Input_Product=Elig!$C1395,Elig_MatchAll_Ct&lt;22,$BC1395=(Elig_MatchAll_Ct-1),AL1395=0),I1395,0)</f>
        <v>0</v>
      </c>
      <c r="BO1395" s="991">
        <f>IF(AND(Input_Product=Elig!$C1395,Elig_MatchAll_Ct&lt;22,$BC1395=(Elig_MatchAll_Ct-1),AM1395=0),J1395,0)</f>
        <v>0</v>
      </c>
      <c r="BP1395" s="991">
        <f>IF(AND(Input_Product=Elig!$C1395,Elig_MatchAll_Ct&lt;22,$BC1395=(Elig_MatchAll_Ct-1),AN1395=0),K1395,0)</f>
        <v>0</v>
      </c>
      <c r="BQ1395" s="991">
        <f>IF(AND(Input_Product=Elig!$C1395,Elig_MatchAll_Ct&lt;22,$BC1395=(Elig_MatchAll_Ct-1),AP1395=0),L1395,0)</f>
        <v>0</v>
      </c>
      <c r="BR1395" s="991">
        <f>IF(AND(Input_Product=Elig!$C1395,Elig_MatchAll_Ct&lt;22,$BC1395=(Elig_MatchAll_Ct-1),AO1395=0),M1395,0)</f>
        <v>0</v>
      </c>
      <c r="BS1395" s="991">
        <f>IF(AND(Input_Product=Elig!$C1395,Elig_MatchAll_Ct&lt;22,$BC1395=(Elig_MatchAll_Ct-1),AQ1395=0),N1395,0)</f>
        <v>0</v>
      </c>
      <c r="BT1395" s="991">
        <f>IF(AND(Input_Product=Elig!$C1395,Elig_MatchAll_Ct&lt;22,$BC1395=(Elig_MatchAll_Ct-1),AR1395=0),O1395,0)</f>
        <v>0</v>
      </c>
      <c r="BU1395" s="991">
        <f>IF(AND(Input_Product=Elig!$C1395,Elig_MatchAll_Ct&lt;22,$BC1395=(Elig_MatchAll_Ct-1),AS1395=0),P1395,0)</f>
        <v>0</v>
      </c>
      <c r="BV1395" s="992">
        <f>IF(AND(Input_Product=Elig!$C1395,Elig_MatchAll_Ct&lt;22,$BC1395=(Elig_MatchAll_Ct-1),AT1395=0),Q1395,0)</f>
        <v>0</v>
      </c>
      <c r="BW1395" s="993">
        <f>IF(AND(Input_Product=Elig!$C1395,Elig_MatchAll_Ct&lt;22,$BC1395=(Elig_MatchAll_Ct-1),AU1395=0),R1395,0)</f>
        <v>0</v>
      </c>
      <c r="BX1395" s="994">
        <f>IF(AND(Input_Product=Elig!$C1395,Elig_MatchAll_Ct&lt;22,$BC1395=(Elig_MatchAll_Ct-1),AU1395=0),S1395,0)</f>
        <v>0</v>
      </c>
      <c r="BY1395" s="993">
        <f>IF(AND(Input_Product=Elig!$C1395,Elig_MatchAll_Ct&lt;22,$BC1395=(Elig_MatchAll_Ct-1),AV1395=0),T1395,0)</f>
        <v>0</v>
      </c>
      <c r="BZ1395" s="994">
        <f>IF(AND(Input_Product=Elig!$C1395,Elig_MatchAll_Ct&lt;22,$BC1395=(Elig_MatchAll_Ct-1),AV1395=0),U1395,0)</f>
        <v>0</v>
      </c>
      <c r="CA1395" s="993">
        <f>IF(AND(Input_Product=Elig!$C1395,Elig_MatchAll_Ct&lt;22,$BC1395=(Elig_MatchAll_Ct-1),AW1395=0),V1395,0)</f>
        <v>0</v>
      </c>
      <c r="CB1395" s="994">
        <f>IF(AND(Input_Product=Elig!$C1395,Elig_MatchAll_Ct&lt;22,$BC1395=(Elig_MatchAll_Ct-1),AW1395=0),W1395,0)</f>
        <v>0</v>
      </c>
      <c r="CC1395" s="993">
        <f>IF(AND(Input_Product=Elig!$C1395,Elig_MatchAll_Ct&lt;22,$BC1395=(Elig_MatchAll_Ct-1),AX1395=0),X1395,0)</f>
        <v>0</v>
      </c>
      <c r="CD1395" s="994">
        <f>IF(AND(Input_Product=Elig!$C1395,Elig_MatchAll_Ct&lt;22,$BC1395=(Elig_MatchAll_Ct-1),AX1395=0),Y1395,0)</f>
        <v>0</v>
      </c>
      <c r="CE1395" s="993">
        <f>IF(AND(Input_LTV&lt;=AE1395,Input_Product=Elig!$C1395,Elig_MatchAll_Ct&lt;22,$BC1395=(Elig_MatchAll_Ct-1),AY1395=0),Z1395,0)</f>
        <v>0</v>
      </c>
      <c r="CF1395" s="994">
        <f>IF(AND(Input_LTV&lt;=AE1395,Input_Product=Elig!$C1395,Elig_MatchAll_Ct&lt;22,$BC1395=(Elig_MatchAll_Ct-1),AY1395=0),AA1395,0)</f>
        <v>0</v>
      </c>
      <c r="CG1395" s="993">
        <f>IF(AND(Input_Product=Elig!$C1395,Elig_MatchAll_Ct&lt;22,$BC1395=(Elig_MatchAll_Ct-1),AZ1395=0),AB1395,0)</f>
        <v>0</v>
      </c>
      <c r="CH1395" s="994">
        <f>IF(AND(Input_Product=Elig!$C1395,Elig_MatchAll_Ct&lt;22,$BC1395=(Elig_MatchAll_Ct-1),AZ1395=0),AC1395,0)</f>
        <v>0</v>
      </c>
      <c r="CI1395" s="993">
        <f>IF(AND(Input_Product=Elig!$C1395,Elig_MatchAll_Ct&lt;22,$BC1395=(Elig_MatchAll_Ct-1),BA1395=0),AD1395,0)</f>
        <v>0</v>
      </c>
      <c r="CJ1395" s="994">
        <f>IF(AND(Input_Product=Elig!$C1395,Elig_MatchAll_Ct&lt;22,$BC1395=(Elig_MatchAll_Ct-1),BA1395=0),AE1395,0)</f>
        <v>0</v>
      </c>
    </row>
    <row r="1396" spans="2:88" ht="10.15" customHeight="1" x14ac:dyDescent="0.25">
      <c r="B1396" s="1538" t="s">
        <v>3594</v>
      </c>
      <c r="C1396" s="1538" t="str">
        <f t="shared" si="494"/>
        <v xml:space="preserve">  NOO</v>
      </c>
      <c r="D1396" s="1538" t="s">
        <v>2764</v>
      </c>
      <c r="E1396" s="1538" t="s">
        <v>167</v>
      </c>
      <c r="F1396" s="1538" t="s">
        <v>2765</v>
      </c>
      <c r="G1396" s="1538" t="s">
        <v>2766</v>
      </c>
      <c r="H1396" s="1538" t="s">
        <v>2767</v>
      </c>
      <c r="I1396" s="1539" t="s">
        <v>35</v>
      </c>
      <c r="J1396" s="1539" t="s">
        <v>1311</v>
      </c>
      <c r="K1396" s="1539" t="s">
        <v>3023</v>
      </c>
      <c r="L1396" s="1538" t="s">
        <v>2768</v>
      </c>
      <c r="M1396" s="1538" t="s">
        <v>2677</v>
      </c>
      <c r="N1396" s="1538" t="s">
        <v>2685</v>
      </c>
      <c r="O1396" s="1538" t="s">
        <v>310</v>
      </c>
      <c r="P1396" s="1538" t="s">
        <v>291</v>
      </c>
      <c r="Q1396" s="1538" t="s">
        <v>294</v>
      </c>
      <c r="R1396" s="1538">
        <v>1500000.01</v>
      </c>
      <c r="S1396" s="1538">
        <v>2000000</v>
      </c>
      <c r="T1396" s="1538">
        <v>0</v>
      </c>
      <c r="U1396" s="1538">
        <v>0</v>
      </c>
      <c r="V1396" s="1538">
        <v>0</v>
      </c>
      <c r="W1396" s="1538">
        <v>55</v>
      </c>
      <c r="X1396" s="1538">
        <v>0</v>
      </c>
      <c r="Y1396" s="1538">
        <v>0</v>
      </c>
      <c r="Z1396" s="1540">
        <v>680</v>
      </c>
      <c r="AA1396" s="1540">
        <v>699</v>
      </c>
      <c r="AB1396" s="1540">
        <v>6</v>
      </c>
      <c r="AC1396" s="1540">
        <v>999999</v>
      </c>
      <c r="AD1396" s="1538">
        <v>0</v>
      </c>
      <c r="AE1396" s="1545">
        <v>75</v>
      </c>
      <c r="AF1396" s="170">
        <v>0</v>
      </c>
      <c r="AG1396" s="171">
        <v>1</v>
      </c>
      <c r="AH1396" s="171">
        <v>1</v>
      </c>
      <c r="AI1396" s="171">
        <v>1</v>
      </c>
      <c r="AJ1396" s="171">
        <v>1</v>
      </c>
      <c r="AK1396" s="171">
        <v>1</v>
      </c>
      <c r="AL1396" s="171">
        <v>0</v>
      </c>
      <c r="AM1396" s="171">
        <v>1</v>
      </c>
      <c r="AN1396" s="171">
        <v>1</v>
      </c>
      <c r="AO1396" s="171">
        <v>1</v>
      </c>
      <c r="AP1396" s="171">
        <v>1</v>
      </c>
      <c r="AQ1396" s="171">
        <v>1</v>
      </c>
      <c r="AR1396" s="171">
        <v>1</v>
      </c>
      <c r="AS1396" s="171">
        <v>1</v>
      </c>
      <c r="AT1396" s="171">
        <v>1</v>
      </c>
      <c r="AU1396" s="171">
        <f t="shared" si="488"/>
        <v>0</v>
      </c>
      <c r="AV1396" s="171">
        <f t="shared" si="489"/>
        <v>0</v>
      </c>
      <c r="AW1396" s="171">
        <f t="shared" si="490"/>
        <v>1</v>
      </c>
      <c r="AX1396" s="171">
        <f t="shared" si="485"/>
        <v>1</v>
      </c>
      <c r="AY1396" s="171">
        <f t="shared" si="491"/>
        <v>0</v>
      </c>
      <c r="AZ1396" s="171">
        <f t="shared" si="492"/>
        <v>1</v>
      </c>
      <c r="BA1396" s="172">
        <f t="shared" si="493"/>
        <v>1</v>
      </c>
      <c r="BB1396" s="175">
        <f t="shared" si="495"/>
        <v>17</v>
      </c>
      <c r="BC1396" s="176">
        <f t="shared" si="496"/>
        <v>16</v>
      </c>
      <c r="BD1396" s="176">
        <f t="shared" si="497"/>
        <v>17</v>
      </c>
      <c r="BE1396" s="240" t="str">
        <f t="shared" si="487"/>
        <v/>
      </c>
      <c r="BF1396" s="990"/>
      <c r="BG1396" s="990"/>
      <c r="BH1396" s="991">
        <f>IF(AND(Input_Product=Elig!$C1396,Elig_MatchAll_Ct&lt;22,$BC1396=(Elig_MatchAll_Ct-1),AF1396=0),C1396,0)</f>
        <v>0</v>
      </c>
      <c r="BI1396" s="991">
        <f>IF(AND(Input_Product=Elig!$C1396,Elig_MatchAll_Ct&lt;22,$BC1396=(Elig_MatchAll_Ct-1),AG1396=0),D1396,0)</f>
        <v>0</v>
      </c>
      <c r="BJ1396" s="991">
        <f>IF(AND(Input_Product=Elig!$C1396,Elig_MatchAll_Ct&lt;22,$BC1396=(Elig_MatchAll_Ct-1),AH1396=0),E1396,0)</f>
        <v>0</v>
      </c>
      <c r="BK1396" s="991">
        <f>IF(AND(Input_Product=Elig!$C1396,Elig_MatchAll_Ct&lt;22,$BC1396=(Elig_MatchAll_Ct-1),AI1396=0),F1396,0)</f>
        <v>0</v>
      </c>
      <c r="BL1396" s="991">
        <f>IF(AND(Input_Product=Elig!$C1396,Elig_MatchAll_Ct&lt;22,$BC1396=(Elig_MatchAll_Ct-1),AJ1396=0),G1396,0)</f>
        <v>0</v>
      </c>
      <c r="BM1396" s="991">
        <f>IF(AND(Input_Product=Elig!$C1396,Elig_MatchAll_Ct&lt;22,$BC1396=(Elig_MatchAll_Ct-1),AK1396=0),H1396,0)</f>
        <v>0</v>
      </c>
      <c r="BN1396" s="991">
        <f>IF(AND(Input_Product=Elig!$C1396,Elig_MatchAll_Ct&lt;22,$BC1396=(Elig_MatchAll_Ct-1),AL1396=0),I1396,0)</f>
        <v>0</v>
      </c>
      <c r="BO1396" s="991">
        <f>IF(AND(Input_Product=Elig!$C1396,Elig_MatchAll_Ct&lt;22,$BC1396=(Elig_MatchAll_Ct-1),AM1396=0),J1396,0)</f>
        <v>0</v>
      </c>
      <c r="BP1396" s="991">
        <f>IF(AND(Input_Product=Elig!$C1396,Elig_MatchAll_Ct&lt;22,$BC1396=(Elig_MatchAll_Ct-1),AN1396=0),K1396,0)</f>
        <v>0</v>
      </c>
      <c r="BQ1396" s="991">
        <f>IF(AND(Input_Product=Elig!$C1396,Elig_MatchAll_Ct&lt;22,$BC1396=(Elig_MatchAll_Ct-1),AP1396=0),L1396,0)</f>
        <v>0</v>
      </c>
      <c r="BR1396" s="991">
        <f>IF(AND(Input_Product=Elig!$C1396,Elig_MatchAll_Ct&lt;22,$BC1396=(Elig_MatchAll_Ct-1),AO1396=0),M1396,0)</f>
        <v>0</v>
      </c>
      <c r="BS1396" s="991">
        <f>IF(AND(Input_Product=Elig!$C1396,Elig_MatchAll_Ct&lt;22,$BC1396=(Elig_MatchAll_Ct-1),AQ1396=0),N1396,0)</f>
        <v>0</v>
      </c>
      <c r="BT1396" s="991">
        <f>IF(AND(Input_Product=Elig!$C1396,Elig_MatchAll_Ct&lt;22,$BC1396=(Elig_MatchAll_Ct-1),AR1396=0),O1396,0)</f>
        <v>0</v>
      </c>
      <c r="BU1396" s="991">
        <f>IF(AND(Input_Product=Elig!$C1396,Elig_MatchAll_Ct&lt;22,$BC1396=(Elig_MatchAll_Ct-1),AS1396=0),P1396,0)</f>
        <v>0</v>
      </c>
      <c r="BV1396" s="992">
        <f>IF(AND(Input_Product=Elig!$C1396,Elig_MatchAll_Ct&lt;22,$BC1396=(Elig_MatchAll_Ct-1),AT1396=0),Q1396,0)</f>
        <v>0</v>
      </c>
      <c r="BW1396" s="993">
        <f>IF(AND(Input_Product=Elig!$C1396,Elig_MatchAll_Ct&lt;22,$BC1396=(Elig_MatchAll_Ct-1),AU1396=0),R1396,0)</f>
        <v>0</v>
      </c>
      <c r="BX1396" s="994">
        <f>IF(AND(Input_Product=Elig!$C1396,Elig_MatchAll_Ct&lt;22,$BC1396=(Elig_MatchAll_Ct-1),AU1396=0),S1396,0)</f>
        <v>0</v>
      </c>
      <c r="BY1396" s="993">
        <f>IF(AND(Input_Product=Elig!$C1396,Elig_MatchAll_Ct&lt;22,$BC1396=(Elig_MatchAll_Ct-1),AV1396=0),T1396,0)</f>
        <v>0</v>
      </c>
      <c r="BZ1396" s="994">
        <f>IF(AND(Input_Product=Elig!$C1396,Elig_MatchAll_Ct&lt;22,$BC1396=(Elig_MatchAll_Ct-1),AV1396=0),U1396,0)</f>
        <v>0</v>
      </c>
      <c r="CA1396" s="993">
        <f>IF(AND(Input_Product=Elig!$C1396,Elig_MatchAll_Ct&lt;22,$BC1396=(Elig_MatchAll_Ct-1),AW1396=0),V1396,0)</f>
        <v>0</v>
      </c>
      <c r="CB1396" s="994">
        <f>IF(AND(Input_Product=Elig!$C1396,Elig_MatchAll_Ct&lt;22,$BC1396=(Elig_MatchAll_Ct-1),AW1396=0),W1396,0)</f>
        <v>0</v>
      </c>
      <c r="CC1396" s="993">
        <f>IF(AND(Input_Product=Elig!$C1396,Elig_MatchAll_Ct&lt;22,$BC1396=(Elig_MatchAll_Ct-1),AX1396=0),X1396,0)</f>
        <v>0</v>
      </c>
      <c r="CD1396" s="994">
        <f>IF(AND(Input_Product=Elig!$C1396,Elig_MatchAll_Ct&lt;22,$BC1396=(Elig_MatchAll_Ct-1),AX1396=0),Y1396,0)</f>
        <v>0</v>
      </c>
      <c r="CE1396" s="993">
        <f>IF(AND(Input_LTV&lt;=AE1396,Input_Product=Elig!$C1396,Elig_MatchAll_Ct&lt;22,$BC1396=(Elig_MatchAll_Ct-1),AY1396=0),Z1396,0)</f>
        <v>0</v>
      </c>
      <c r="CF1396" s="994">
        <f>IF(AND(Input_LTV&lt;=AE1396,Input_Product=Elig!$C1396,Elig_MatchAll_Ct&lt;22,$BC1396=(Elig_MatchAll_Ct-1),AY1396=0),AA1396,0)</f>
        <v>0</v>
      </c>
      <c r="CG1396" s="993">
        <f>IF(AND(Input_Product=Elig!$C1396,Elig_MatchAll_Ct&lt;22,$BC1396=(Elig_MatchAll_Ct-1),AZ1396=0),AB1396,0)</f>
        <v>0</v>
      </c>
      <c r="CH1396" s="994">
        <f>IF(AND(Input_Product=Elig!$C1396,Elig_MatchAll_Ct&lt;22,$BC1396=(Elig_MatchAll_Ct-1),AZ1396=0),AC1396,0)</f>
        <v>0</v>
      </c>
      <c r="CI1396" s="993">
        <f>IF(AND(Input_Product=Elig!$C1396,Elig_MatchAll_Ct&lt;22,$BC1396=(Elig_MatchAll_Ct-1),BA1396=0),AD1396,0)</f>
        <v>0</v>
      </c>
      <c r="CJ1396" s="994">
        <f>IF(AND(Input_Product=Elig!$C1396,Elig_MatchAll_Ct&lt;22,$BC1396=(Elig_MatchAll_Ct-1),BA1396=0),AE1396,0)</f>
        <v>0</v>
      </c>
    </row>
    <row r="1397" spans="2:88" ht="10.15" customHeight="1" x14ac:dyDescent="0.25">
      <c r="B1397" s="1538" t="s">
        <v>3595</v>
      </c>
      <c r="C1397" s="1538" t="str">
        <f t="shared" si="494"/>
        <v xml:space="preserve">  NOO</v>
      </c>
      <c r="D1397" s="1538" t="s">
        <v>2764</v>
      </c>
      <c r="E1397" s="1538" t="s">
        <v>167</v>
      </c>
      <c r="F1397" s="1538" t="s">
        <v>2765</v>
      </c>
      <c r="G1397" s="1538" t="s">
        <v>2766</v>
      </c>
      <c r="H1397" s="1538" t="s">
        <v>2767</v>
      </c>
      <c r="I1397" s="1539" t="s">
        <v>35</v>
      </c>
      <c r="J1397" s="1539" t="s">
        <v>1311</v>
      </c>
      <c r="K1397" s="1539" t="s">
        <v>3023</v>
      </c>
      <c r="L1397" s="1538" t="s">
        <v>2768</v>
      </c>
      <c r="M1397" s="1538" t="s">
        <v>2677</v>
      </c>
      <c r="N1397" s="1538" t="s">
        <v>2685</v>
      </c>
      <c r="O1397" s="1538" t="s">
        <v>310</v>
      </c>
      <c r="P1397" s="1538" t="s">
        <v>291</v>
      </c>
      <c r="Q1397" s="1538" t="s">
        <v>294</v>
      </c>
      <c r="R1397" s="1538">
        <v>2000000.01</v>
      </c>
      <c r="S1397" s="1538">
        <v>2500000</v>
      </c>
      <c r="T1397" s="1538">
        <v>0</v>
      </c>
      <c r="U1397" s="1538">
        <v>0</v>
      </c>
      <c r="V1397" s="1538">
        <v>0</v>
      </c>
      <c r="W1397" s="1538">
        <v>55</v>
      </c>
      <c r="X1397" s="1538">
        <v>0</v>
      </c>
      <c r="Y1397" s="1538">
        <v>0</v>
      </c>
      <c r="Z1397" s="1540">
        <v>680</v>
      </c>
      <c r="AA1397" s="1540">
        <v>699</v>
      </c>
      <c r="AB1397" s="1540">
        <v>6</v>
      </c>
      <c r="AC1397" s="1540">
        <v>999999</v>
      </c>
      <c r="AD1397" s="1538">
        <v>0</v>
      </c>
      <c r="AE1397" s="1545">
        <v>70</v>
      </c>
      <c r="AF1397" s="170">
        <v>0</v>
      </c>
      <c r="AG1397" s="171">
        <v>1</v>
      </c>
      <c r="AH1397" s="171">
        <v>1</v>
      </c>
      <c r="AI1397" s="171">
        <v>1</v>
      </c>
      <c r="AJ1397" s="171">
        <v>1</v>
      </c>
      <c r="AK1397" s="171">
        <v>1</v>
      </c>
      <c r="AL1397" s="171">
        <v>0</v>
      </c>
      <c r="AM1397" s="171">
        <v>1</v>
      </c>
      <c r="AN1397" s="171">
        <v>1</v>
      </c>
      <c r="AO1397" s="171">
        <v>1</v>
      </c>
      <c r="AP1397" s="171">
        <v>1</v>
      </c>
      <c r="AQ1397" s="171">
        <v>1</v>
      </c>
      <c r="AR1397" s="171">
        <v>1</v>
      </c>
      <c r="AS1397" s="171">
        <v>1</v>
      </c>
      <c r="AT1397" s="171">
        <v>1</v>
      </c>
      <c r="AU1397" s="171">
        <f t="shared" si="488"/>
        <v>0</v>
      </c>
      <c r="AV1397" s="171">
        <f t="shared" si="489"/>
        <v>0</v>
      </c>
      <c r="AW1397" s="171">
        <f t="shared" si="490"/>
        <v>1</v>
      </c>
      <c r="AX1397" s="171">
        <f t="shared" si="485"/>
        <v>1</v>
      </c>
      <c r="AY1397" s="171">
        <f t="shared" si="491"/>
        <v>0</v>
      </c>
      <c r="AZ1397" s="171">
        <f t="shared" si="492"/>
        <v>1</v>
      </c>
      <c r="BA1397" s="172">
        <f t="shared" si="493"/>
        <v>1</v>
      </c>
      <c r="BB1397" s="175">
        <f t="shared" si="495"/>
        <v>17</v>
      </c>
      <c r="BC1397" s="176">
        <f t="shared" si="496"/>
        <v>16</v>
      </c>
      <c r="BD1397" s="176">
        <f t="shared" si="497"/>
        <v>17</v>
      </c>
      <c r="BE1397" s="240" t="str">
        <f t="shared" si="487"/>
        <v/>
      </c>
      <c r="BF1397" s="990"/>
      <c r="BG1397" s="990"/>
      <c r="BH1397" s="991">
        <f>IF(AND(Input_Product=Elig!$C1397,Elig_MatchAll_Ct&lt;22,$BC1397=(Elig_MatchAll_Ct-1),AF1397=0),C1397,0)</f>
        <v>0</v>
      </c>
      <c r="BI1397" s="991">
        <f>IF(AND(Input_Product=Elig!$C1397,Elig_MatchAll_Ct&lt;22,$BC1397=(Elig_MatchAll_Ct-1),AG1397=0),D1397,0)</f>
        <v>0</v>
      </c>
      <c r="BJ1397" s="991">
        <f>IF(AND(Input_Product=Elig!$C1397,Elig_MatchAll_Ct&lt;22,$BC1397=(Elig_MatchAll_Ct-1),AH1397=0),E1397,0)</f>
        <v>0</v>
      </c>
      <c r="BK1397" s="991">
        <f>IF(AND(Input_Product=Elig!$C1397,Elig_MatchAll_Ct&lt;22,$BC1397=(Elig_MatchAll_Ct-1),AI1397=0),F1397,0)</f>
        <v>0</v>
      </c>
      <c r="BL1397" s="991">
        <f>IF(AND(Input_Product=Elig!$C1397,Elig_MatchAll_Ct&lt;22,$BC1397=(Elig_MatchAll_Ct-1),AJ1397=0),G1397,0)</f>
        <v>0</v>
      </c>
      <c r="BM1397" s="991">
        <f>IF(AND(Input_Product=Elig!$C1397,Elig_MatchAll_Ct&lt;22,$BC1397=(Elig_MatchAll_Ct-1),AK1397=0),H1397,0)</f>
        <v>0</v>
      </c>
      <c r="BN1397" s="991">
        <f>IF(AND(Input_Product=Elig!$C1397,Elig_MatchAll_Ct&lt;22,$BC1397=(Elig_MatchAll_Ct-1),AL1397=0),I1397,0)</f>
        <v>0</v>
      </c>
      <c r="BO1397" s="991">
        <f>IF(AND(Input_Product=Elig!$C1397,Elig_MatchAll_Ct&lt;22,$BC1397=(Elig_MatchAll_Ct-1),AM1397=0),J1397,0)</f>
        <v>0</v>
      </c>
      <c r="BP1397" s="991">
        <f>IF(AND(Input_Product=Elig!$C1397,Elig_MatchAll_Ct&lt;22,$BC1397=(Elig_MatchAll_Ct-1),AN1397=0),K1397,0)</f>
        <v>0</v>
      </c>
      <c r="BQ1397" s="991">
        <f>IF(AND(Input_Product=Elig!$C1397,Elig_MatchAll_Ct&lt;22,$BC1397=(Elig_MatchAll_Ct-1),AP1397=0),L1397,0)</f>
        <v>0</v>
      </c>
      <c r="BR1397" s="991">
        <f>IF(AND(Input_Product=Elig!$C1397,Elig_MatchAll_Ct&lt;22,$BC1397=(Elig_MatchAll_Ct-1),AO1397=0),M1397,0)</f>
        <v>0</v>
      </c>
      <c r="BS1397" s="991">
        <f>IF(AND(Input_Product=Elig!$C1397,Elig_MatchAll_Ct&lt;22,$BC1397=(Elig_MatchAll_Ct-1),AQ1397=0),N1397,0)</f>
        <v>0</v>
      </c>
      <c r="BT1397" s="991">
        <f>IF(AND(Input_Product=Elig!$C1397,Elig_MatchAll_Ct&lt;22,$BC1397=(Elig_MatchAll_Ct-1),AR1397=0),O1397,0)</f>
        <v>0</v>
      </c>
      <c r="BU1397" s="991">
        <f>IF(AND(Input_Product=Elig!$C1397,Elig_MatchAll_Ct&lt;22,$BC1397=(Elig_MatchAll_Ct-1),AS1397=0),P1397,0)</f>
        <v>0</v>
      </c>
      <c r="BV1397" s="992">
        <f>IF(AND(Input_Product=Elig!$C1397,Elig_MatchAll_Ct&lt;22,$BC1397=(Elig_MatchAll_Ct-1),AT1397=0),Q1397,0)</f>
        <v>0</v>
      </c>
      <c r="BW1397" s="993">
        <f>IF(AND(Input_Product=Elig!$C1397,Elig_MatchAll_Ct&lt;22,$BC1397=(Elig_MatchAll_Ct-1),AU1397=0),R1397,0)</f>
        <v>0</v>
      </c>
      <c r="BX1397" s="994">
        <f>IF(AND(Input_Product=Elig!$C1397,Elig_MatchAll_Ct&lt;22,$BC1397=(Elig_MatchAll_Ct-1),AU1397=0),S1397,0)</f>
        <v>0</v>
      </c>
      <c r="BY1397" s="993">
        <f>IF(AND(Input_Product=Elig!$C1397,Elig_MatchAll_Ct&lt;22,$BC1397=(Elig_MatchAll_Ct-1),AV1397=0),T1397,0)</f>
        <v>0</v>
      </c>
      <c r="BZ1397" s="994">
        <f>IF(AND(Input_Product=Elig!$C1397,Elig_MatchAll_Ct&lt;22,$BC1397=(Elig_MatchAll_Ct-1),AV1397=0),U1397,0)</f>
        <v>0</v>
      </c>
      <c r="CA1397" s="993">
        <f>IF(AND(Input_Product=Elig!$C1397,Elig_MatchAll_Ct&lt;22,$BC1397=(Elig_MatchAll_Ct-1),AW1397=0),V1397,0)</f>
        <v>0</v>
      </c>
      <c r="CB1397" s="994">
        <f>IF(AND(Input_Product=Elig!$C1397,Elig_MatchAll_Ct&lt;22,$BC1397=(Elig_MatchAll_Ct-1),AW1397=0),W1397,0)</f>
        <v>0</v>
      </c>
      <c r="CC1397" s="993">
        <f>IF(AND(Input_Product=Elig!$C1397,Elig_MatchAll_Ct&lt;22,$BC1397=(Elig_MatchAll_Ct-1),AX1397=0),X1397,0)</f>
        <v>0</v>
      </c>
      <c r="CD1397" s="994">
        <f>IF(AND(Input_Product=Elig!$C1397,Elig_MatchAll_Ct&lt;22,$BC1397=(Elig_MatchAll_Ct-1),AX1397=0),Y1397,0)</f>
        <v>0</v>
      </c>
      <c r="CE1397" s="993">
        <f>IF(AND(Input_LTV&lt;=AE1397,Input_Product=Elig!$C1397,Elig_MatchAll_Ct&lt;22,$BC1397=(Elig_MatchAll_Ct-1),AY1397=0),Z1397,0)</f>
        <v>0</v>
      </c>
      <c r="CF1397" s="994">
        <f>IF(AND(Input_LTV&lt;=AE1397,Input_Product=Elig!$C1397,Elig_MatchAll_Ct&lt;22,$BC1397=(Elig_MatchAll_Ct-1),AY1397=0),AA1397,0)</f>
        <v>0</v>
      </c>
      <c r="CG1397" s="993">
        <f>IF(AND(Input_Product=Elig!$C1397,Elig_MatchAll_Ct&lt;22,$BC1397=(Elig_MatchAll_Ct-1),AZ1397=0),AB1397,0)</f>
        <v>0</v>
      </c>
      <c r="CH1397" s="994">
        <f>IF(AND(Input_Product=Elig!$C1397,Elig_MatchAll_Ct&lt;22,$BC1397=(Elig_MatchAll_Ct-1),AZ1397=0),AC1397,0)</f>
        <v>0</v>
      </c>
      <c r="CI1397" s="993">
        <f>IF(AND(Input_Product=Elig!$C1397,Elig_MatchAll_Ct&lt;22,$BC1397=(Elig_MatchAll_Ct-1),BA1397=0),AD1397,0)</f>
        <v>0</v>
      </c>
      <c r="CJ1397" s="994">
        <f>IF(AND(Input_Product=Elig!$C1397,Elig_MatchAll_Ct&lt;22,$BC1397=(Elig_MatchAll_Ct-1),BA1397=0),AE1397,0)</f>
        <v>0</v>
      </c>
    </row>
    <row r="1398" spans="2:88" ht="10.15" customHeight="1" x14ac:dyDescent="0.25">
      <c r="B1398" s="1538" t="s">
        <v>3596</v>
      </c>
      <c r="C1398" s="1538" t="str">
        <f t="shared" si="494"/>
        <v xml:space="preserve">  NOO</v>
      </c>
      <c r="D1398" s="1538" t="s">
        <v>2764</v>
      </c>
      <c r="E1398" s="1538" t="s">
        <v>167</v>
      </c>
      <c r="F1398" s="1538" t="s">
        <v>2765</v>
      </c>
      <c r="G1398" s="1538" t="s">
        <v>2766</v>
      </c>
      <c r="H1398" s="1538" t="s">
        <v>2767</v>
      </c>
      <c r="I1398" s="1539" t="s">
        <v>35</v>
      </c>
      <c r="J1398" s="1539" t="s">
        <v>1311</v>
      </c>
      <c r="K1398" s="1539" t="s">
        <v>3023</v>
      </c>
      <c r="L1398" s="1538" t="s">
        <v>2768</v>
      </c>
      <c r="M1398" s="1538" t="s">
        <v>2677</v>
      </c>
      <c r="N1398" s="1538" t="s">
        <v>2685</v>
      </c>
      <c r="O1398" s="1538" t="s">
        <v>310</v>
      </c>
      <c r="P1398" s="1538" t="s">
        <v>291</v>
      </c>
      <c r="Q1398" s="1538" t="s">
        <v>294</v>
      </c>
      <c r="R1398" s="1538">
        <v>2500000.0099999998</v>
      </c>
      <c r="S1398" s="1538">
        <v>3000000</v>
      </c>
      <c r="T1398" s="1538">
        <v>0</v>
      </c>
      <c r="U1398" s="1538">
        <v>0</v>
      </c>
      <c r="V1398" s="1538">
        <v>0</v>
      </c>
      <c r="W1398" s="1538">
        <v>55</v>
      </c>
      <c r="X1398" s="1538">
        <v>0</v>
      </c>
      <c r="Y1398" s="1538">
        <v>0</v>
      </c>
      <c r="Z1398" s="1540">
        <v>680</v>
      </c>
      <c r="AA1398" s="1540">
        <v>699</v>
      </c>
      <c r="AB1398" s="1540">
        <v>6</v>
      </c>
      <c r="AC1398" s="1540">
        <v>999999</v>
      </c>
      <c r="AD1398" s="1538">
        <v>0</v>
      </c>
      <c r="AE1398" s="1545">
        <v>65</v>
      </c>
      <c r="AF1398" s="170">
        <v>0</v>
      </c>
      <c r="AG1398" s="171">
        <v>1</v>
      </c>
      <c r="AH1398" s="171">
        <v>1</v>
      </c>
      <c r="AI1398" s="171">
        <v>1</v>
      </c>
      <c r="AJ1398" s="171">
        <v>1</v>
      </c>
      <c r="AK1398" s="171">
        <v>1</v>
      </c>
      <c r="AL1398" s="171">
        <v>0</v>
      </c>
      <c r="AM1398" s="171">
        <v>1</v>
      </c>
      <c r="AN1398" s="171">
        <v>1</v>
      </c>
      <c r="AO1398" s="171">
        <v>1</v>
      </c>
      <c r="AP1398" s="171">
        <v>1</v>
      </c>
      <c r="AQ1398" s="171">
        <v>1</v>
      </c>
      <c r="AR1398" s="171">
        <v>1</v>
      </c>
      <c r="AS1398" s="171">
        <v>1</v>
      </c>
      <c r="AT1398" s="171">
        <v>1</v>
      </c>
      <c r="AU1398" s="171">
        <f t="shared" si="488"/>
        <v>0</v>
      </c>
      <c r="AV1398" s="171">
        <f t="shared" si="489"/>
        <v>0</v>
      </c>
      <c r="AW1398" s="171">
        <f t="shared" si="490"/>
        <v>1</v>
      </c>
      <c r="AX1398" s="171">
        <f t="shared" si="485"/>
        <v>1</v>
      </c>
      <c r="AY1398" s="171">
        <f t="shared" si="491"/>
        <v>0</v>
      </c>
      <c r="AZ1398" s="171">
        <f t="shared" si="492"/>
        <v>1</v>
      </c>
      <c r="BA1398" s="172">
        <f t="shared" si="493"/>
        <v>1</v>
      </c>
      <c r="BB1398" s="175">
        <f t="shared" si="495"/>
        <v>17</v>
      </c>
      <c r="BC1398" s="176">
        <f t="shared" si="496"/>
        <v>16</v>
      </c>
      <c r="BD1398" s="176">
        <f t="shared" si="497"/>
        <v>17</v>
      </c>
      <c r="BE1398" s="240" t="str">
        <f t="shared" si="487"/>
        <v/>
      </c>
      <c r="BF1398" s="990"/>
      <c r="BG1398" s="990"/>
      <c r="BH1398" s="991">
        <f>IF(AND(Input_Product=Elig!$C1398,Elig_MatchAll_Ct&lt;22,$BC1398=(Elig_MatchAll_Ct-1),AF1398=0),C1398,0)</f>
        <v>0</v>
      </c>
      <c r="BI1398" s="991">
        <f>IF(AND(Input_Product=Elig!$C1398,Elig_MatchAll_Ct&lt;22,$BC1398=(Elig_MatchAll_Ct-1),AG1398=0),D1398,0)</f>
        <v>0</v>
      </c>
      <c r="BJ1398" s="991">
        <f>IF(AND(Input_Product=Elig!$C1398,Elig_MatchAll_Ct&lt;22,$BC1398=(Elig_MatchAll_Ct-1),AH1398=0),E1398,0)</f>
        <v>0</v>
      </c>
      <c r="BK1398" s="991">
        <f>IF(AND(Input_Product=Elig!$C1398,Elig_MatchAll_Ct&lt;22,$BC1398=(Elig_MatchAll_Ct-1),AI1398=0),F1398,0)</f>
        <v>0</v>
      </c>
      <c r="BL1398" s="991">
        <f>IF(AND(Input_Product=Elig!$C1398,Elig_MatchAll_Ct&lt;22,$BC1398=(Elig_MatchAll_Ct-1),AJ1398=0),G1398,0)</f>
        <v>0</v>
      </c>
      <c r="BM1398" s="991">
        <f>IF(AND(Input_Product=Elig!$C1398,Elig_MatchAll_Ct&lt;22,$BC1398=(Elig_MatchAll_Ct-1),AK1398=0),H1398,0)</f>
        <v>0</v>
      </c>
      <c r="BN1398" s="991">
        <f>IF(AND(Input_Product=Elig!$C1398,Elig_MatchAll_Ct&lt;22,$BC1398=(Elig_MatchAll_Ct-1),AL1398=0),I1398,0)</f>
        <v>0</v>
      </c>
      <c r="BO1398" s="991">
        <f>IF(AND(Input_Product=Elig!$C1398,Elig_MatchAll_Ct&lt;22,$BC1398=(Elig_MatchAll_Ct-1),AM1398=0),J1398,0)</f>
        <v>0</v>
      </c>
      <c r="BP1398" s="991">
        <f>IF(AND(Input_Product=Elig!$C1398,Elig_MatchAll_Ct&lt;22,$BC1398=(Elig_MatchAll_Ct-1),AN1398=0),K1398,0)</f>
        <v>0</v>
      </c>
      <c r="BQ1398" s="991">
        <f>IF(AND(Input_Product=Elig!$C1398,Elig_MatchAll_Ct&lt;22,$BC1398=(Elig_MatchAll_Ct-1),AP1398=0),L1398,0)</f>
        <v>0</v>
      </c>
      <c r="BR1398" s="991">
        <f>IF(AND(Input_Product=Elig!$C1398,Elig_MatchAll_Ct&lt;22,$BC1398=(Elig_MatchAll_Ct-1),AO1398=0),M1398,0)</f>
        <v>0</v>
      </c>
      <c r="BS1398" s="991">
        <f>IF(AND(Input_Product=Elig!$C1398,Elig_MatchAll_Ct&lt;22,$BC1398=(Elig_MatchAll_Ct-1),AQ1398=0),N1398,0)</f>
        <v>0</v>
      </c>
      <c r="BT1398" s="991">
        <f>IF(AND(Input_Product=Elig!$C1398,Elig_MatchAll_Ct&lt;22,$BC1398=(Elig_MatchAll_Ct-1),AR1398=0),O1398,0)</f>
        <v>0</v>
      </c>
      <c r="BU1398" s="991">
        <f>IF(AND(Input_Product=Elig!$C1398,Elig_MatchAll_Ct&lt;22,$BC1398=(Elig_MatchAll_Ct-1),AS1398=0),P1398,0)</f>
        <v>0</v>
      </c>
      <c r="BV1398" s="992">
        <f>IF(AND(Input_Product=Elig!$C1398,Elig_MatchAll_Ct&lt;22,$BC1398=(Elig_MatchAll_Ct-1),AT1398=0),Q1398,0)</f>
        <v>0</v>
      </c>
      <c r="BW1398" s="993">
        <f>IF(AND(Input_Product=Elig!$C1398,Elig_MatchAll_Ct&lt;22,$BC1398=(Elig_MatchAll_Ct-1),AU1398=0),R1398,0)</f>
        <v>0</v>
      </c>
      <c r="BX1398" s="994">
        <f>IF(AND(Input_Product=Elig!$C1398,Elig_MatchAll_Ct&lt;22,$BC1398=(Elig_MatchAll_Ct-1),AU1398=0),S1398,0)</f>
        <v>0</v>
      </c>
      <c r="BY1398" s="993">
        <f>IF(AND(Input_Product=Elig!$C1398,Elig_MatchAll_Ct&lt;22,$BC1398=(Elig_MatchAll_Ct-1),AV1398=0),T1398,0)</f>
        <v>0</v>
      </c>
      <c r="BZ1398" s="994">
        <f>IF(AND(Input_Product=Elig!$C1398,Elig_MatchAll_Ct&lt;22,$BC1398=(Elig_MatchAll_Ct-1),AV1398=0),U1398,0)</f>
        <v>0</v>
      </c>
      <c r="CA1398" s="993">
        <f>IF(AND(Input_Product=Elig!$C1398,Elig_MatchAll_Ct&lt;22,$BC1398=(Elig_MatchAll_Ct-1),AW1398=0),V1398,0)</f>
        <v>0</v>
      </c>
      <c r="CB1398" s="994">
        <f>IF(AND(Input_Product=Elig!$C1398,Elig_MatchAll_Ct&lt;22,$BC1398=(Elig_MatchAll_Ct-1),AW1398=0),W1398,0)</f>
        <v>0</v>
      </c>
      <c r="CC1398" s="993">
        <f>IF(AND(Input_Product=Elig!$C1398,Elig_MatchAll_Ct&lt;22,$BC1398=(Elig_MatchAll_Ct-1),AX1398=0),X1398,0)</f>
        <v>0</v>
      </c>
      <c r="CD1398" s="994">
        <f>IF(AND(Input_Product=Elig!$C1398,Elig_MatchAll_Ct&lt;22,$BC1398=(Elig_MatchAll_Ct-1),AX1398=0),Y1398,0)</f>
        <v>0</v>
      </c>
      <c r="CE1398" s="993">
        <f>IF(AND(Input_LTV&lt;=AE1398,Input_Product=Elig!$C1398,Elig_MatchAll_Ct&lt;22,$BC1398=(Elig_MatchAll_Ct-1),AY1398=0),Z1398,0)</f>
        <v>0</v>
      </c>
      <c r="CF1398" s="994">
        <f>IF(AND(Input_LTV&lt;=AE1398,Input_Product=Elig!$C1398,Elig_MatchAll_Ct&lt;22,$BC1398=(Elig_MatchAll_Ct-1),AY1398=0),AA1398,0)</f>
        <v>0</v>
      </c>
      <c r="CG1398" s="993">
        <f>IF(AND(Input_Product=Elig!$C1398,Elig_MatchAll_Ct&lt;22,$BC1398=(Elig_MatchAll_Ct-1),AZ1398=0),AB1398,0)</f>
        <v>0</v>
      </c>
      <c r="CH1398" s="994">
        <f>IF(AND(Input_Product=Elig!$C1398,Elig_MatchAll_Ct&lt;22,$BC1398=(Elig_MatchAll_Ct-1),AZ1398=0),AC1398,0)</f>
        <v>0</v>
      </c>
      <c r="CI1398" s="993">
        <f>IF(AND(Input_Product=Elig!$C1398,Elig_MatchAll_Ct&lt;22,$BC1398=(Elig_MatchAll_Ct-1),BA1398=0),AD1398,0)</f>
        <v>0</v>
      </c>
      <c r="CJ1398" s="994">
        <f>IF(AND(Input_Product=Elig!$C1398,Elig_MatchAll_Ct&lt;22,$BC1398=(Elig_MatchAll_Ct-1),BA1398=0),AE1398,0)</f>
        <v>0</v>
      </c>
    </row>
    <row r="1399" spans="2:88" ht="10.15" customHeight="1" x14ac:dyDescent="0.25">
      <c r="B1399" s="1538" t="s">
        <v>3597</v>
      </c>
      <c r="C1399" s="1538" t="str">
        <f t="shared" si="494"/>
        <v xml:space="preserve">  NOO</v>
      </c>
      <c r="D1399" s="1538" t="s">
        <v>2764</v>
      </c>
      <c r="E1399" s="1538" t="s">
        <v>167</v>
      </c>
      <c r="F1399" s="1538" t="s">
        <v>2765</v>
      </c>
      <c r="G1399" s="1538" t="s">
        <v>2766</v>
      </c>
      <c r="H1399" s="1538" t="s">
        <v>2767</v>
      </c>
      <c r="I1399" s="1539" t="s">
        <v>35</v>
      </c>
      <c r="J1399" s="1539" t="s">
        <v>1311</v>
      </c>
      <c r="K1399" s="1539" t="s">
        <v>3023</v>
      </c>
      <c r="L1399" s="1538" t="s">
        <v>2768</v>
      </c>
      <c r="M1399" s="1538" t="s">
        <v>2677</v>
      </c>
      <c r="N1399" s="1538" t="s">
        <v>2685</v>
      </c>
      <c r="O1399" s="1538" t="s">
        <v>310</v>
      </c>
      <c r="P1399" s="1538" t="s">
        <v>291</v>
      </c>
      <c r="Q1399" s="1538" t="s">
        <v>294</v>
      </c>
      <c r="R1399" s="1538">
        <v>150000</v>
      </c>
      <c r="S1399" s="1538">
        <v>1000000</v>
      </c>
      <c r="T1399" s="1538">
        <v>0</v>
      </c>
      <c r="U1399" s="1538">
        <v>0</v>
      </c>
      <c r="V1399" s="1538">
        <v>0</v>
      </c>
      <c r="W1399" s="1538">
        <v>55</v>
      </c>
      <c r="X1399" s="1538">
        <v>0</v>
      </c>
      <c r="Y1399" s="1538">
        <v>0</v>
      </c>
      <c r="Z1399" s="1540">
        <v>660</v>
      </c>
      <c r="AA1399" s="1540">
        <v>679</v>
      </c>
      <c r="AB1399" s="1540">
        <v>6</v>
      </c>
      <c r="AC1399" s="1540">
        <v>999999</v>
      </c>
      <c r="AD1399" s="1538">
        <v>0</v>
      </c>
      <c r="AE1399" s="1545">
        <v>80</v>
      </c>
      <c r="AF1399" s="170">
        <v>0</v>
      </c>
      <c r="AG1399" s="171">
        <v>1</v>
      </c>
      <c r="AH1399" s="171">
        <v>1</v>
      </c>
      <c r="AI1399" s="171">
        <v>1</v>
      </c>
      <c r="AJ1399" s="171">
        <v>1</v>
      </c>
      <c r="AK1399" s="171">
        <v>1</v>
      </c>
      <c r="AL1399" s="171">
        <v>0</v>
      </c>
      <c r="AM1399" s="171">
        <v>1</v>
      </c>
      <c r="AN1399" s="171">
        <v>1</v>
      </c>
      <c r="AO1399" s="171">
        <v>1</v>
      </c>
      <c r="AP1399" s="171">
        <v>1</v>
      </c>
      <c r="AQ1399" s="171">
        <v>1</v>
      </c>
      <c r="AR1399" s="171">
        <v>1</v>
      </c>
      <c r="AS1399" s="171">
        <v>1</v>
      </c>
      <c r="AT1399" s="171">
        <v>1</v>
      </c>
      <c r="AU1399" s="171">
        <f t="shared" si="488"/>
        <v>1</v>
      </c>
      <c r="AV1399" s="171">
        <f t="shared" si="489"/>
        <v>0</v>
      </c>
      <c r="AW1399" s="171">
        <f t="shared" si="490"/>
        <v>1</v>
      </c>
      <c r="AX1399" s="171">
        <f t="shared" si="485"/>
        <v>1</v>
      </c>
      <c r="AY1399" s="171">
        <f t="shared" si="491"/>
        <v>0</v>
      </c>
      <c r="AZ1399" s="171">
        <f t="shared" si="492"/>
        <v>1</v>
      </c>
      <c r="BA1399" s="172">
        <f t="shared" si="493"/>
        <v>1</v>
      </c>
      <c r="BB1399" s="175">
        <f t="shared" si="495"/>
        <v>18</v>
      </c>
      <c r="BC1399" s="176">
        <f t="shared" si="496"/>
        <v>17</v>
      </c>
      <c r="BD1399" s="176">
        <f t="shared" si="497"/>
        <v>18</v>
      </c>
      <c r="BE1399" s="240" t="str">
        <f t="shared" si="487"/>
        <v/>
      </c>
      <c r="BF1399" s="990"/>
      <c r="BG1399" s="990"/>
      <c r="BH1399" s="991">
        <f>IF(AND(Input_Product=Elig!$C1399,Elig_MatchAll_Ct&lt;22,$BC1399=(Elig_MatchAll_Ct-1),AF1399=0),C1399,0)</f>
        <v>0</v>
      </c>
      <c r="BI1399" s="991">
        <f>IF(AND(Input_Product=Elig!$C1399,Elig_MatchAll_Ct&lt;22,$BC1399=(Elig_MatchAll_Ct-1),AG1399=0),D1399,0)</f>
        <v>0</v>
      </c>
      <c r="BJ1399" s="991">
        <f>IF(AND(Input_Product=Elig!$C1399,Elig_MatchAll_Ct&lt;22,$BC1399=(Elig_MatchAll_Ct-1),AH1399=0),E1399,0)</f>
        <v>0</v>
      </c>
      <c r="BK1399" s="991">
        <f>IF(AND(Input_Product=Elig!$C1399,Elig_MatchAll_Ct&lt;22,$BC1399=(Elig_MatchAll_Ct-1),AI1399=0),F1399,0)</f>
        <v>0</v>
      </c>
      <c r="BL1399" s="991">
        <f>IF(AND(Input_Product=Elig!$C1399,Elig_MatchAll_Ct&lt;22,$BC1399=(Elig_MatchAll_Ct-1),AJ1399=0),G1399,0)</f>
        <v>0</v>
      </c>
      <c r="BM1399" s="991">
        <f>IF(AND(Input_Product=Elig!$C1399,Elig_MatchAll_Ct&lt;22,$BC1399=(Elig_MatchAll_Ct-1),AK1399=0),H1399,0)</f>
        <v>0</v>
      </c>
      <c r="BN1399" s="991">
        <f>IF(AND(Input_Product=Elig!$C1399,Elig_MatchAll_Ct&lt;22,$BC1399=(Elig_MatchAll_Ct-1),AL1399=0),I1399,0)</f>
        <v>0</v>
      </c>
      <c r="BO1399" s="991">
        <f>IF(AND(Input_Product=Elig!$C1399,Elig_MatchAll_Ct&lt;22,$BC1399=(Elig_MatchAll_Ct-1),AM1399=0),J1399,0)</f>
        <v>0</v>
      </c>
      <c r="BP1399" s="991">
        <f>IF(AND(Input_Product=Elig!$C1399,Elig_MatchAll_Ct&lt;22,$BC1399=(Elig_MatchAll_Ct-1),AN1399=0),K1399,0)</f>
        <v>0</v>
      </c>
      <c r="BQ1399" s="991">
        <f>IF(AND(Input_Product=Elig!$C1399,Elig_MatchAll_Ct&lt;22,$BC1399=(Elig_MatchAll_Ct-1),AP1399=0),L1399,0)</f>
        <v>0</v>
      </c>
      <c r="BR1399" s="991">
        <f>IF(AND(Input_Product=Elig!$C1399,Elig_MatchAll_Ct&lt;22,$BC1399=(Elig_MatchAll_Ct-1),AO1399=0),M1399,0)</f>
        <v>0</v>
      </c>
      <c r="BS1399" s="991">
        <f>IF(AND(Input_Product=Elig!$C1399,Elig_MatchAll_Ct&lt;22,$BC1399=(Elig_MatchAll_Ct-1),AQ1399=0),N1399,0)</f>
        <v>0</v>
      </c>
      <c r="BT1399" s="991">
        <f>IF(AND(Input_Product=Elig!$C1399,Elig_MatchAll_Ct&lt;22,$BC1399=(Elig_MatchAll_Ct-1),AR1399=0),O1399,0)</f>
        <v>0</v>
      </c>
      <c r="BU1399" s="991">
        <f>IF(AND(Input_Product=Elig!$C1399,Elig_MatchAll_Ct&lt;22,$BC1399=(Elig_MatchAll_Ct-1),AS1399=0),P1399,0)</f>
        <v>0</v>
      </c>
      <c r="BV1399" s="992">
        <f>IF(AND(Input_Product=Elig!$C1399,Elig_MatchAll_Ct&lt;22,$BC1399=(Elig_MatchAll_Ct-1),AT1399=0),Q1399,0)</f>
        <v>0</v>
      </c>
      <c r="BW1399" s="993">
        <f>IF(AND(Input_Product=Elig!$C1399,Elig_MatchAll_Ct&lt;22,$BC1399=(Elig_MatchAll_Ct-1),AU1399=0),R1399,0)</f>
        <v>0</v>
      </c>
      <c r="BX1399" s="994">
        <f>IF(AND(Input_Product=Elig!$C1399,Elig_MatchAll_Ct&lt;22,$BC1399=(Elig_MatchAll_Ct-1),AU1399=0),S1399,0)</f>
        <v>0</v>
      </c>
      <c r="BY1399" s="993">
        <f>IF(AND(Input_Product=Elig!$C1399,Elig_MatchAll_Ct&lt;22,$BC1399=(Elig_MatchAll_Ct-1),AV1399=0),T1399,0)</f>
        <v>0</v>
      </c>
      <c r="BZ1399" s="994">
        <f>IF(AND(Input_Product=Elig!$C1399,Elig_MatchAll_Ct&lt;22,$BC1399=(Elig_MatchAll_Ct-1),AV1399=0),U1399,0)</f>
        <v>0</v>
      </c>
      <c r="CA1399" s="993">
        <f>IF(AND(Input_Product=Elig!$C1399,Elig_MatchAll_Ct&lt;22,$BC1399=(Elig_MatchAll_Ct-1),AW1399=0),V1399,0)</f>
        <v>0</v>
      </c>
      <c r="CB1399" s="994">
        <f>IF(AND(Input_Product=Elig!$C1399,Elig_MatchAll_Ct&lt;22,$BC1399=(Elig_MatchAll_Ct-1),AW1399=0),W1399,0)</f>
        <v>0</v>
      </c>
      <c r="CC1399" s="993">
        <f>IF(AND(Input_Product=Elig!$C1399,Elig_MatchAll_Ct&lt;22,$BC1399=(Elig_MatchAll_Ct-1),AX1399=0),X1399,0)</f>
        <v>0</v>
      </c>
      <c r="CD1399" s="994">
        <f>IF(AND(Input_Product=Elig!$C1399,Elig_MatchAll_Ct&lt;22,$BC1399=(Elig_MatchAll_Ct-1),AX1399=0),Y1399,0)</f>
        <v>0</v>
      </c>
      <c r="CE1399" s="993">
        <f>IF(AND(Input_LTV&lt;=AE1399,Input_Product=Elig!$C1399,Elig_MatchAll_Ct&lt;22,$BC1399=(Elig_MatchAll_Ct-1),AY1399=0),Z1399,0)</f>
        <v>0</v>
      </c>
      <c r="CF1399" s="994">
        <f>IF(AND(Input_LTV&lt;=AE1399,Input_Product=Elig!$C1399,Elig_MatchAll_Ct&lt;22,$BC1399=(Elig_MatchAll_Ct-1),AY1399=0),AA1399,0)</f>
        <v>0</v>
      </c>
      <c r="CG1399" s="993">
        <f>IF(AND(Input_Product=Elig!$C1399,Elig_MatchAll_Ct&lt;22,$BC1399=(Elig_MatchAll_Ct-1),AZ1399=0),AB1399,0)</f>
        <v>0</v>
      </c>
      <c r="CH1399" s="994">
        <f>IF(AND(Input_Product=Elig!$C1399,Elig_MatchAll_Ct&lt;22,$BC1399=(Elig_MatchAll_Ct-1),AZ1399=0),AC1399,0)</f>
        <v>0</v>
      </c>
      <c r="CI1399" s="993">
        <f>IF(AND(Input_Product=Elig!$C1399,Elig_MatchAll_Ct&lt;22,$BC1399=(Elig_MatchAll_Ct-1),BA1399=0),AD1399,0)</f>
        <v>0</v>
      </c>
      <c r="CJ1399" s="994">
        <f>IF(AND(Input_Product=Elig!$C1399,Elig_MatchAll_Ct&lt;22,$BC1399=(Elig_MatchAll_Ct-1),BA1399=0),AE1399,0)</f>
        <v>0</v>
      </c>
    </row>
    <row r="1400" spans="2:88" ht="10.15" customHeight="1" x14ac:dyDescent="0.25">
      <c r="B1400" s="1538" t="s">
        <v>3598</v>
      </c>
      <c r="C1400" s="1538" t="str">
        <f t="shared" si="494"/>
        <v xml:space="preserve">  NOO</v>
      </c>
      <c r="D1400" s="1538" t="s">
        <v>2764</v>
      </c>
      <c r="E1400" s="1538" t="s">
        <v>167</v>
      </c>
      <c r="F1400" s="1538" t="s">
        <v>2765</v>
      </c>
      <c r="G1400" s="1538" t="s">
        <v>2766</v>
      </c>
      <c r="H1400" s="1538" t="s">
        <v>2767</v>
      </c>
      <c r="I1400" s="1539" t="s">
        <v>35</v>
      </c>
      <c r="J1400" s="1539" t="s">
        <v>1311</v>
      </c>
      <c r="K1400" s="1539" t="s">
        <v>3023</v>
      </c>
      <c r="L1400" s="1538" t="s">
        <v>2768</v>
      </c>
      <c r="M1400" s="1538" t="s">
        <v>2677</v>
      </c>
      <c r="N1400" s="1538" t="s">
        <v>2685</v>
      </c>
      <c r="O1400" s="1538" t="s">
        <v>310</v>
      </c>
      <c r="P1400" s="1538" t="s">
        <v>291</v>
      </c>
      <c r="Q1400" s="1538" t="s">
        <v>294</v>
      </c>
      <c r="R1400" s="1538">
        <v>1000000.01</v>
      </c>
      <c r="S1400" s="1538">
        <v>1500000</v>
      </c>
      <c r="T1400" s="1538">
        <v>0</v>
      </c>
      <c r="U1400" s="1538">
        <v>0</v>
      </c>
      <c r="V1400" s="1538">
        <v>0</v>
      </c>
      <c r="W1400" s="1538">
        <v>55</v>
      </c>
      <c r="X1400" s="1538">
        <v>0</v>
      </c>
      <c r="Y1400" s="1538">
        <v>0</v>
      </c>
      <c r="Z1400" s="1540">
        <v>660</v>
      </c>
      <c r="AA1400" s="1540">
        <v>679</v>
      </c>
      <c r="AB1400" s="1540">
        <v>6</v>
      </c>
      <c r="AC1400" s="1540">
        <v>999999</v>
      </c>
      <c r="AD1400" s="1538">
        <v>0</v>
      </c>
      <c r="AE1400" s="1545">
        <v>75</v>
      </c>
      <c r="AF1400" s="170">
        <v>0</v>
      </c>
      <c r="AG1400" s="171">
        <v>1</v>
      </c>
      <c r="AH1400" s="171">
        <v>1</v>
      </c>
      <c r="AI1400" s="171">
        <v>1</v>
      </c>
      <c r="AJ1400" s="171">
        <v>1</v>
      </c>
      <c r="AK1400" s="171">
        <v>1</v>
      </c>
      <c r="AL1400" s="171">
        <v>0</v>
      </c>
      <c r="AM1400" s="171">
        <v>1</v>
      </c>
      <c r="AN1400" s="171">
        <v>1</v>
      </c>
      <c r="AO1400" s="171">
        <v>1</v>
      </c>
      <c r="AP1400" s="171">
        <v>1</v>
      </c>
      <c r="AQ1400" s="171">
        <v>1</v>
      </c>
      <c r="AR1400" s="171">
        <v>1</v>
      </c>
      <c r="AS1400" s="171">
        <v>1</v>
      </c>
      <c r="AT1400" s="171">
        <v>1</v>
      </c>
      <c r="AU1400" s="171">
        <f t="shared" si="488"/>
        <v>0</v>
      </c>
      <c r="AV1400" s="171">
        <f t="shared" si="489"/>
        <v>0</v>
      </c>
      <c r="AW1400" s="171">
        <f t="shared" si="490"/>
        <v>1</v>
      </c>
      <c r="AX1400" s="171">
        <f t="shared" si="485"/>
        <v>1</v>
      </c>
      <c r="AY1400" s="171">
        <f t="shared" si="491"/>
        <v>0</v>
      </c>
      <c r="AZ1400" s="171">
        <f t="shared" si="492"/>
        <v>1</v>
      </c>
      <c r="BA1400" s="172">
        <f t="shared" si="493"/>
        <v>1</v>
      </c>
      <c r="BB1400" s="175">
        <f t="shared" si="495"/>
        <v>17</v>
      </c>
      <c r="BC1400" s="176">
        <f t="shared" si="496"/>
        <v>16</v>
      </c>
      <c r="BD1400" s="176">
        <f t="shared" si="497"/>
        <v>17</v>
      </c>
      <c r="BE1400" s="240" t="str">
        <f t="shared" si="487"/>
        <v/>
      </c>
      <c r="BF1400" s="990"/>
      <c r="BG1400" s="990"/>
      <c r="BH1400" s="991">
        <f>IF(AND(Input_Product=Elig!$C1400,Elig_MatchAll_Ct&lt;22,$BC1400=(Elig_MatchAll_Ct-1),AF1400=0),C1400,0)</f>
        <v>0</v>
      </c>
      <c r="BI1400" s="991">
        <f>IF(AND(Input_Product=Elig!$C1400,Elig_MatchAll_Ct&lt;22,$BC1400=(Elig_MatchAll_Ct-1),AG1400=0),D1400,0)</f>
        <v>0</v>
      </c>
      <c r="BJ1400" s="991">
        <f>IF(AND(Input_Product=Elig!$C1400,Elig_MatchAll_Ct&lt;22,$BC1400=(Elig_MatchAll_Ct-1),AH1400=0),E1400,0)</f>
        <v>0</v>
      </c>
      <c r="BK1400" s="991">
        <f>IF(AND(Input_Product=Elig!$C1400,Elig_MatchAll_Ct&lt;22,$BC1400=(Elig_MatchAll_Ct-1),AI1400=0),F1400,0)</f>
        <v>0</v>
      </c>
      <c r="BL1400" s="991">
        <f>IF(AND(Input_Product=Elig!$C1400,Elig_MatchAll_Ct&lt;22,$BC1400=(Elig_MatchAll_Ct-1),AJ1400=0),G1400,0)</f>
        <v>0</v>
      </c>
      <c r="BM1400" s="991">
        <f>IF(AND(Input_Product=Elig!$C1400,Elig_MatchAll_Ct&lt;22,$BC1400=(Elig_MatchAll_Ct-1),AK1400=0),H1400,0)</f>
        <v>0</v>
      </c>
      <c r="BN1400" s="991">
        <f>IF(AND(Input_Product=Elig!$C1400,Elig_MatchAll_Ct&lt;22,$BC1400=(Elig_MatchAll_Ct-1),AL1400=0),I1400,0)</f>
        <v>0</v>
      </c>
      <c r="BO1400" s="991">
        <f>IF(AND(Input_Product=Elig!$C1400,Elig_MatchAll_Ct&lt;22,$BC1400=(Elig_MatchAll_Ct-1),AM1400=0),J1400,0)</f>
        <v>0</v>
      </c>
      <c r="BP1400" s="991">
        <f>IF(AND(Input_Product=Elig!$C1400,Elig_MatchAll_Ct&lt;22,$BC1400=(Elig_MatchAll_Ct-1),AN1400=0),K1400,0)</f>
        <v>0</v>
      </c>
      <c r="BQ1400" s="991">
        <f>IF(AND(Input_Product=Elig!$C1400,Elig_MatchAll_Ct&lt;22,$BC1400=(Elig_MatchAll_Ct-1),AP1400=0),L1400,0)</f>
        <v>0</v>
      </c>
      <c r="BR1400" s="991">
        <f>IF(AND(Input_Product=Elig!$C1400,Elig_MatchAll_Ct&lt;22,$BC1400=(Elig_MatchAll_Ct-1),AO1400=0),M1400,0)</f>
        <v>0</v>
      </c>
      <c r="BS1400" s="991">
        <f>IF(AND(Input_Product=Elig!$C1400,Elig_MatchAll_Ct&lt;22,$BC1400=(Elig_MatchAll_Ct-1),AQ1400=0),N1400,0)</f>
        <v>0</v>
      </c>
      <c r="BT1400" s="991">
        <f>IF(AND(Input_Product=Elig!$C1400,Elig_MatchAll_Ct&lt;22,$BC1400=(Elig_MatchAll_Ct-1),AR1400=0),O1400,0)</f>
        <v>0</v>
      </c>
      <c r="BU1400" s="991">
        <f>IF(AND(Input_Product=Elig!$C1400,Elig_MatchAll_Ct&lt;22,$BC1400=(Elig_MatchAll_Ct-1),AS1400=0),P1400,0)</f>
        <v>0</v>
      </c>
      <c r="BV1400" s="992">
        <f>IF(AND(Input_Product=Elig!$C1400,Elig_MatchAll_Ct&lt;22,$BC1400=(Elig_MatchAll_Ct-1),AT1400=0),Q1400,0)</f>
        <v>0</v>
      </c>
      <c r="BW1400" s="993">
        <f>IF(AND(Input_Product=Elig!$C1400,Elig_MatchAll_Ct&lt;22,$BC1400=(Elig_MatchAll_Ct-1),AU1400=0),R1400,0)</f>
        <v>0</v>
      </c>
      <c r="BX1400" s="994">
        <f>IF(AND(Input_Product=Elig!$C1400,Elig_MatchAll_Ct&lt;22,$BC1400=(Elig_MatchAll_Ct-1),AU1400=0),S1400,0)</f>
        <v>0</v>
      </c>
      <c r="BY1400" s="993">
        <f>IF(AND(Input_Product=Elig!$C1400,Elig_MatchAll_Ct&lt;22,$BC1400=(Elig_MatchAll_Ct-1),AV1400=0),T1400,0)</f>
        <v>0</v>
      </c>
      <c r="BZ1400" s="994">
        <f>IF(AND(Input_Product=Elig!$C1400,Elig_MatchAll_Ct&lt;22,$BC1400=(Elig_MatchAll_Ct-1),AV1400=0),U1400,0)</f>
        <v>0</v>
      </c>
      <c r="CA1400" s="993">
        <f>IF(AND(Input_Product=Elig!$C1400,Elig_MatchAll_Ct&lt;22,$BC1400=(Elig_MatchAll_Ct-1),AW1400=0),V1400,0)</f>
        <v>0</v>
      </c>
      <c r="CB1400" s="994">
        <f>IF(AND(Input_Product=Elig!$C1400,Elig_MatchAll_Ct&lt;22,$BC1400=(Elig_MatchAll_Ct-1),AW1400=0),W1400,0)</f>
        <v>0</v>
      </c>
      <c r="CC1400" s="993">
        <f>IF(AND(Input_Product=Elig!$C1400,Elig_MatchAll_Ct&lt;22,$BC1400=(Elig_MatchAll_Ct-1),AX1400=0),X1400,0)</f>
        <v>0</v>
      </c>
      <c r="CD1400" s="994">
        <f>IF(AND(Input_Product=Elig!$C1400,Elig_MatchAll_Ct&lt;22,$BC1400=(Elig_MatchAll_Ct-1),AX1400=0),Y1400,0)</f>
        <v>0</v>
      </c>
      <c r="CE1400" s="993">
        <f>IF(AND(Input_LTV&lt;=AE1400,Input_Product=Elig!$C1400,Elig_MatchAll_Ct&lt;22,$BC1400=(Elig_MatchAll_Ct-1),AY1400=0),Z1400,0)</f>
        <v>0</v>
      </c>
      <c r="CF1400" s="994">
        <f>IF(AND(Input_LTV&lt;=AE1400,Input_Product=Elig!$C1400,Elig_MatchAll_Ct&lt;22,$BC1400=(Elig_MatchAll_Ct-1),AY1400=0),AA1400,0)</f>
        <v>0</v>
      </c>
      <c r="CG1400" s="993">
        <f>IF(AND(Input_Product=Elig!$C1400,Elig_MatchAll_Ct&lt;22,$BC1400=(Elig_MatchAll_Ct-1),AZ1400=0),AB1400,0)</f>
        <v>0</v>
      </c>
      <c r="CH1400" s="994">
        <f>IF(AND(Input_Product=Elig!$C1400,Elig_MatchAll_Ct&lt;22,$BC1400=(Elig_MatchAll_Ct-1),AZ1400=0),AC1400,0)</f>
        <v>0</v>
      </c>
      <c r="CI1400" s="993">
        <f>IF(AND(Input_Product=Elig!$C1400,Elig_MatchAll_Ct&lt;22,$BC1400=(Elig_MatchAll_Ct-1),BA1400=0),AD1400,0)</f>
        <v>0</v>
      </c>
      <c r="CJ1400" s="994">
        <f>IF(AND(Input_Product=Elig!$C1400,Elig_MatchAll_Ct&lt;22,$BC1400=(Elig_MatchAll_Ct-1),BA1400=0),AE1400,0)</f>
        <v>0</v>
      </c>
    </row>
    <row r="1401" spans="2:88" ht="10.15" customHeight="1" x14ac:dyDescent="0.25">
      <c r="B1401" s="1538" t="s">
        <v>3599</v>
      </c>
      <c r="C1401" s="1538" t="str">
        <f t="shared" si="494"/>
        <v xml:space="preserve">  NOO</v>
      </c>
      <c r="D1401" s="1538" t="s">
        <v>2764</v>
      </c>
      <c r="E1401" s="1538" t="s">
        <v>167</v>
      </c>
      <c r="F1401" s="1538" t="s">
        <v>2765</v>
      </c>
      <c r="G1401" s="1538" t="s">
        <v>2766</v>
      </c>
      <c r="H1401" s="1538" t="s">
        <v>2767</v>
      </c>
      <c r="I1401" s="1539" t="s">
        <v>35</v>
      </c>
      <c r="J1401" s="1539" t="s">
        <v>1311</v>
      </c>
      <c r="K1401" s="1539" t="s">
        <v>3023</v>
      </c>
      <c r="L1401" s="1538" t="s">
        <v>2768</v>
      </c>
      <c r="M1401" s="1538" t="s">
        <v>2677</v>
      </c>
      <c r="N1401" s="1538" t="s">
        <v>2685</v>
      </c>
      <c r="O1401" s="1538" t="s">
        <v>310</v>
      </c>
      <c r="P1401" s="1538" t="s">
        <v>291</v>
      </c>
      <c r="Q1401" s="1538" t="s">
        <v>294</v>
      </c>
      <c r="R1401" s="1538">
        <v>1500000.01</v>
      </c>
      <c r="S1401" s="1538">
        <v>2000000</v>
      </c>
      <c r="T1401" s="1538">
        <v>0</v>
      </c>
      <c r="U1401" s="1538">
        <v>0</v>
      </c>
      <c r="V1401" s="1538">
        <v>0</v>
      </c>
      <c r="W1401" s="1538">
        <v>55</v>
      </c>
      <c r="X1401" s="1538">
        <v>0</v>
      </c>
      <c r="Y1401" s="1538">
        <v>0</v>
      </c>
      <c r="Z1401" s="1540">
        <v>660</v>
      </c>
      <c r="AA1401" s="1540">
        <v>679</v>
      </c>
      <c r="AB1401" s="1540">
        <v>6</v>
      </c>
      <c r="AC1401" s="1540">
        <v>999999</v>
      </c>
      <c r="AD1401" s="1538">
        <v>0</v>
      </c>
      <c r="AE1401" s="1545">
        <v>70</v>
      </c>
      <c r="AF1401" s="170">
        <v>0</v>
      </c>
      <c r="AG1401" s="171">
        <v>1</v>
      </c>
      <c r="AH1401" s="171">
        <v>1</v>
      </c>
      <c r="AI1401" s="171">
        <v>1</v>
      </c>
      <c r="AJ1401" s="171">
        <v>1</v>
      </c>
      <c r="AK1401" s="171">
        <v>1</v>
      </c>
      <c r="AL1401" s="171">
        <v>0</v>
      </c>
      <c r="AM1401" s="171">
        <v>1</v>
      </c>
      <c r="AN1401" s="171">
        <v>1</v>
      </c>
      <c r="AO1401" s="171">
        <v>1</v>
      </c>
      <c r="AP1401" s="171">
        <v>1</v>
      </c>
      <c r="AQ1401" s="171">
        <v>1</v>
      </c>
      <c r="AR1401" s="171">
        <v>1</v>
      </c>
      <c r="AS1401" s="171">
        <v>1</v>
      </c>
      <c r="AT1401" s="171">
        <v>1</v>
      </c>
      <c r="AU1401" s="171">
        <f t="shared" si="488"/>
        <v>0</v>
      </c>
      <c r="AV1401" s="171">
        <f t="shared" si="489"/>
        <v>0</v>
      </c>
      <c r="AW1401" s="171">
        <f t="shared" si="490"/>
        <v>1</v>
      </c>
      <c r="AX1401" s="171">
        <f t="shared" si="485"/>
        <v>1</v>
      </c>
      <c r="AY1401" s="171">
        <f t="shared" si="491"/>
        <v>0</v>
      </c>
      <c r="AZ1401" s="171">
        <f t="shared" si="492"/>
        <v>1</v>
      </c>
      <c r="BA1401" s="172">
        <f t="shared" si="493"/>
        <v>1</v>
      </c>
      <c r="BB1401" s="175">
        <f t="shared" si="495"/>
        <v>17</v>
      </c>
      <c r="BC1401" s="176">
        <f t="shared" si="496"/>
        <v>16</v>
      </c>
      <c r="BD1401" s="176">
        <f t="shared" si="497"/>
        <v>17</v>
      </c>
      <c r="BE1401" s="240" t="str">
        <f t="shared" si="487"/>
        <v/>
      </c>
      <c r="BF1401" s="990"/>
      <c r="BG1401" s="990"/>
      <c r="BH1401" s="991">
        <f>IF(AND(Input_Product=Elig!$C1401,Elig_MatchAll_Ct&lt;22,$BC1401=(Elig_MatchAll_Ct-1),AF1401=0),C1401,0)</f>
        <v>0</v>
      </c>
      <c r="BI1401" s="991">
        <f>IF(AND(Input_Product=Elig!$C1401,Elig_MatchAll_Ct&lt;22,$BC1401=(Elig_MatchAll_Ct-1),AG1401=0),D1401,0)</f>
        <v>0</v>
      </c>
      <c r="BJ1401" s="991">
        <f>IF(AND(Input_Product=Elig!$C1401,Elig_MatchAll_Ct&lt;22,$BC1401=(Elig_MatchAll_Ct-1),AH1401=0),E1401,0)</f>
        <v>0</v>
      </c>
      <c r="BK1401" s="991">
        <f>IF(AND(Input_Product=Elig!$C1401,Elig_MatchAll_Ct&lt;22,$BC1401=(Elig_MatchAll_Ct-1),AI1401=0),F1401,0)</f>
        <v>0</v>
      </c>
      <c r="BL1401" s="991">
        <f>IF(AND(Input_Product=Elig!$C1401,Elig_MatchAll_Ct&lt;22,$BC1401=(Elig_MatchAll_Ct-1),AJ1401=0),G1401,0)</f>
        <v>0</v>
      </c>
      <c r="BM1401" s="991">
        <f>IF(AND(Input_Product=Elig!$C1401,Elig_MatchAll_Ct&lt;22,$BC1401=(Elig_MatchAll_Ct-1),AK1401=0),H1401,0)</f>
        <v>0</v>
      </c>
      <c r="BN1401" s="991">
        <f>IF(AND(Input_Product=Elig!$C1401,Elig_MatchAll_Ct&lt;22,$BC1401=(Elig_MatchAll_Ct-1),AL1401=0),I1401,0)</f>
        <v>0</v>
      </c>
      <c r="BO1401" s="991">
        <f>IF(AND(Input_Product=Elig!$C1401,Elig_MatchAll_Ct&lt;22,$BC1401=(Elig_MatchAll_Ct-1),AM1401=0),J1401,0)</f>
        <v>0</v>
      </c>
      <c r="BP1401" s="991">
        <f>IF(AND(Input_Product=Elig!$C1401,Elig_MatchAll_Ct&lt;22,$BC1401=(Elig_MatchAll_Ct-1),AN1401=0),K1401,0)</f>
        <v>0</v>
      </c>
      <c r="BQ1401" s="991">
        <f>IF(AND(Input_Product=Elig!$C1401,Elig_MatchAll_Ct&lt;22,$BC1401=(Elig_MatchAll_Ct-1),AP1401=0),L1401,0)</f>
        <v>0</v>
      </c>
      <c r="BR1401" s="991">
        <f>IF(AND(Input_Product=Elig!$C1401,Elig_MatchAll_Ct&lt;22,$BC1401=(Elig_MatchAll_Ct-1),AO1401=0),M1401,0)</f>
        <v>0</v>
      </c>
      <c r="BS1401" s="991">
        <f>IF(AND(Input_Product=Elig!$C1401,Elig_MatchAll_Ct&lt;22,$BC1401=(Elig_MatchAll_Ct-1),AQ1401=0),N1401,0)</f>
        <v>0</v>
      </c>
      <c r="BT1401" s="991">
        <f>IF(AND(Input_Product=Elig!$C1401,Elig_MatchAll_Ct&lt;22,$BC1401=(Elig_MatchAll_Ct-1),AR1401=0),O1401,0)</f>
        <v>0</v>
      </c>
      <c r="BU1401" s="991">
        <f>IF(AND(Input_Product=Elig!$C1401,Elig_MatchAll_Ct&lt;22,$BC1401=(Elig_MatchAll_Ct-1),AS1401=0),P1401,0)</f>
        <v>0</v>
      </c>
      <c r="BV1401" s="992">
        <f>IF(AND(Input_Product=Elig!$C1401,Elig_MatchAll_Ct&lt;22,$BC1401=(Elig_MatchAll_Ct-1),AT1401=0),Q1401,0)</f>
        <v>0</v>
      </c>
      <c r="BW1401" s="993">
        <f>IF(AND(Input_Product=Elig!$C1401,Elig_MatchAll_Ct&lt;22,$BC1401=(Elig_MatchAll_Ct-1),AU1401=0),R1401,0)</f>
        <v>0</v>
      </c>
      <c r="BX1401" s="994">
        <f>IF(AND(Input_Product=Elig!$C1401,Elig_MatchAll_Ct&lt;22,$BC1401=(Elig_MatchAll_Ct-1),AU1401=0),S1401,0)</f>
        <v>0</v>
      </c>
      <c r="BY1401" s="993">
        <f>IF(AND(Input_Product=Elig!$C1401,Elig_MatchAll_Ct&lt;22,$BC1401=(Elig_MatchAll_Ct-1),AV1401=0),T1401,0)</f>
        <v>0</v>
      </c>
      <c r="BZ1401" s="994">
        <f>IF(AND(Input_Product=Elig!$C1401,Elig_MatchAll_Ct&lt;22,$BC1401=(Elig_MatchAll_Ct-1),AV1401=0),U1401,0)</f>
        <v>0</v>
      </c>
      <c r="CA1401" s="993">
        <f>IF(AND(Input_Product=Elig!$C1401,Elig_MatchAll_Ct&lt;22,$BC1401=(Elig_MatchAll_Ct-1),AW1401=0),V1401,0)</f>
        <v>0</v>
      </c>
      <c r="CB1401" s="994">
        <f>IF(AND(Input_Product=Elig!$C1401,Elig_MatchAll_Ct&lt;22,$BC1401=(Elig_MatchAll_Ct-1),AW1401=0),W1401,0)</f>
        <v>0</v>
      </c>
      <c r="CC1401" s="993">
        <f>IF(AND(Input_Product=Elig!$C1401,Elig_MatchAll_Ct&lt;22,$BC1401=(Elig_MatchAll_Ct-1),AX1401=0),X1401,0)</f>
        <v>0</v>
      </c>
      <c r="CD1401" s="994">
        <f>IF(AND(Input_Product=Elig!$C1401,Elig_MatchAll_Ct&lt;22,$BC1401=(Elig_MatchAll_Ct-1),AX1401=0),Y1401,0)</f>
        <v>0</v>
      </c>
      <c r="CE1401" s="993">
        <f>IF(AND(Input_LTV&lt;=AE1401,Input_Product=Elig!$C1401,Elig_MatchAll_Ct&lt;22,$BC1401=(Elig_MatchAll_Ct-1),AY1401=0),Z1401,0)</f>
        <v>0</v>
      </c>
      <c r="CF1401" s="994">
        <f>IF(AND(Input_LTV&lt;=AE1401,Input_Product=Elig!$C1401,Elig_MatchAll_Ct&lt;22,$BC1401=(Elig_MatchAll_Ct-1),AY1401=0),AA1401,0)</f>
        <v>0</v>
      </c>
      <c r="CG1401" s="993">
        <f>IF(AND(Input_Product=Elig!$C1401,Elig_MatchAll_Ct&lt;22,$BC1401=(Elig_MatchAll_Ct-1),AZ1401=0),AB1401,0)</f>
        <v>0</v>
      </c>
      <c r="CH1401" s="994">
        <f>IF(AND(Input_Product=Elig!$C1401,Elig_MatchAll_Ct&lt;22,$BC1401=(Elig_MatchAll_Ct-1),AZ1401=0),AC1401,0)</f>
        <v>0</v>
      </c>
      <c r="CI1401" s="993">
        <f>IF(AND(Input_Product=Elig!$C1401,Elig_MatchAll_Ct&lt;22,$BC1401=(Elig_MatchAll_Ct-1),BA1401=0),AD1401,0)</f>
        <v>0</v>
      </c>
      <c r="CJ1401" s="994">
        <f>IF(AND(Input_Product=Elig!$C1401,Elig_MatchAll_Ct&lt;22,$BC1401=(Elig_MatchAll_Ct-1),BA1401=0),AE1401,0)</f>
        <v>0</v>
      </c>
    </row>
    <row r="1402" spans="2:88" ht="10.15" customHeight="1" x14ac:dyDescent="0.25">
      <c r="B1402" s="1538" t="s">
        <v>3600</v>
      </c>
      <c r="C1402" s="1546" t="str">
        <f t="shared" si="494"/>
        <v xml:space="preserve">  NOO</v>
      </c>
      <c r="D1402" s="1546" t="s">
        <v>2764</v>
      </c>
      <c r="E1402" s="1546" t="s">
        <v>167</v>
      </c>
      <c r="F1402" s="1546" t="s">
        <v>2765</v>
      </c>
      <c r="G1402" s="1546" t="s">
        <v>2766</v>
      </c>
      <c r="H1402" s="1546" t="s">
        <v>2767</v>
      </c>
      <c r="I1402" s="1547" t="s">
        <v>35</v>
      </c>
      <c r="J1402" s="1547" t="s">
        <v>1311</v>
      </c>
      <c r="K1402" s="1547" t="s">
        <v>3023</v>
      </c>
      <c r="L1402" s="1546" t="s">
        <v>2768</v>
      </c>
      <c r="M1402" s="1546" t="s">
        <v>2677</v>
      </c>
      <c r="N1402" s="1546" t="s">
        <v>2685</v>
      </c>
      <c r="O1402" s="1546" t="s">
        <v>310</v>
      </c>
      <c r="P1402" s="1546" t="s">
        <v>291</v>
      </c>
      <c r="Q1402" s="1546" t="s">
        <v>294</v>
      </c>
      <c r="R1402" s="1546">
        <v>2000000.01</v>
      </c>
      <c r="S1402" s="1546">
        <v>2500000</v>
      </c>
      <c r="T1402" s="1546">
        <v>0</v>
      </c>
      <c r="U1402" s="1546">
        <v>0</v>
      </c>
      <c r="V1402" s="1546">
        <v>0</v>
      </c>
      <c r="W1402" s="1546">
        <v>55</v>
      </c>
      <c r="X1402" s="1546">
        <v>0</v>
      </c>
      <c r="Y1402" s="1546">
        <v>0</v>
      </c>
      <c r="Z1402" s="1548">
        <v>660</v>
      </c>
      <c r="AA1402" s="1548">
        <v>679</v>
      </c>
      <c r="AB1402" s="1548">
        <v>6</v>
      </c>
      <c r="AC1402" s="1548">
        <v>999999</v>
      </c>
      <c r="AD1402" s="1546">
        <v>0</v>
      </c>
      <c r="AE1402" s="1549">
        <v>65</v>
      </c>
      <c r="AF1402" s="170">
        <v>0</v>
      </c>
      <c r="AG1402" s="171">
        <v>1</v>
      </c>
      <c r="AH1402" s="171">
        <v>1</v>
      </c>
      <c r="AI1402" s="171">
        <v>1</v>
      </c>
      <c r="AJ1402" s="171">
        <v>1</v>
      </c>
      <c r="AK1402" s="171">
        <v>1</v>
      </c>
      <c r="AL1402" s="171">
        <v>0</v>
      </c>
      <c r="AM1402" s="171">
        <v>1</v>
      </c>
      <c r="AN1402" s="171">
        <v>1</v>
      </c>
      <c r="AO1402" s="171">
        <v>1</v>
      </c>
      <c r="AP1402" s="171">
        <v>1</v>
      </c>
      <c r="AQ1402" s="171">
        <v>1</v>
      </c>
      <c r="AR1402" s="171">
        <v>1</v>
      </c>
      <c r="AS1402" s="171">
        <v>1</v>
      </c>
      <c r="AT1402" s="171">
        <v>1</v>
      </c>
      <c r="AU1402" s="171">
        <f t="shared" si="488"/>
        <v>0</v>
      </c>
      <c r="AV1402" s="171">
        <f t="shared" si="489"/>
        <v>0</v>
      </c>
      <c r="AW1402" s="171">
        <f t="shared" si="490"/>
        <v>1</v>
      </c>
      <c r="AX1402" s="171">
        <f t="shared" si="485"/>
        <v>1</v>
      </c>
      <c r="AY1402" s="171">
        <f t="shared" si="491"/>
        <v>0</v>
      </c>
      <c r="AZ1402" s="171">
        <f t="shared" si="492"/>
        <v>1</v>
      </c>
      <c r="BA1402" s="172">
        <f t="shared" si="493"/>
        <v>1</v>
      </c>
      <c r="BB1402" s="175">
        <f t="shared" si="495"/>
        <v>17</v>
      </c>
      <c r="BC1402" s="176">
        <f t="shared" si="496"/>
        <v>16</v>
      </c>
      <c r="BD1402" s="176">
        <f t="shared" si="497"/>
        <v>17</v>
      </c>
      <c r="BE1402" s="240" t="str">
        <f t="shared" si="487"/>
        <v/>
      </c>
      <c r="BF1402" s="990"/>
      <c r="BG1402" s="990"/>
      <c r="BH1402" s="991">
        <f>IF(AND(Input_Product=Elig!$C1402,Elig_MatchAll_Ct&lt;22,$BC1402=(Elig_MatchAll_Ct-1),AF1402=0),C1402,0)</f>
        <v>0</v>
      </c>
      <c r="BI1402" s="991">
        <f>IF(AND(Input_Product=Elig!$C1402,Elig_MatchAll_Ct&lt;22,$BC1402=(Elig_MatchAll_Ct-1),AG1402=0),D1402,0)</f>
        <v>0</v>
      </c>
      <c r="BJ1402" s="991">
        <f>IF(AND(Input_Product=Elig!$C1402,Elig_MatchAll_Ct&lt;22,$BC1402=(Elig_MatchAll_Ct-1),AH1402=0),E1402,0)</f>
        <v>0</v>
      </c>
      <c r="BK1402" s="991">
        <f>IF(AND(Input_Product=Elig!$C1402,Elig_MatchAll_Ct&lt;22,$BC1402=(Elig_MatchAll_Ct-1),AI1402=0),F1402,0)</f>
        <v>0</v>
      </c>
      <c r="BL1402" s="991">
        <f>IF(AND(Input_Product=Elig!$C1402,Elig_MatchAll_Ct&lt;22,$BC1402=(Elig_MatchAll_Ct-1),AJ1402=0),G1402,0)</f>
        <v>0</v>
      </c>
      <c r="BM1402" s="991">
        <f>IF(AND(Input_Product=Elig!$C1402,Elig_MatchAll_Ct&lt;22,$BC1402=(Elig_MatchAll_Ct-1),AK1402=0),H1402,0)</f>
        <v>0</v>
      </c>
      <c r="BN1402" s="991">
        <f>IF(AND(Input_Product=Elig!$C1402,Elig_MatchAll_Ct&lt;22,$BC1402=(Elig_MatchAll_Ct-1),AL1402=0),I1402,0)</f>
        <v>0</v>
      </c>
      <c r="BO1402" s="991">
        <f>IF(AND(Input_Product=Elig!$C1402,Elig_MatchAll_Ct&lt;22,$BC1402=(Elig_MatchAll_Ct-1),AM1402=0),J1402,0)</f>
        <v>0</v>
      </c>
      <c r="BP1402" s="991">
        <f>IF(AND(Input_Product=Elig!$C1402,Elig_MatchAll_Ct&lt;22,$BC1402=(Elig_MatchAll_Ct-1),AN1402=0),K1402,0)</f>
        <v>0</v>
      </c>
      <c r="BQ1402" s="991">
        <f>IF(AND(Input_Product=Elig!$C1402,Elig_MatchAll_Ct&lt;22,$BC1402=(Elig_MatchAll_Ct-1),AP1402=0),L1402,0)</f>
        <v>0</v>
      </c>
      <c r="BR1402" s="991">
        <f>IF(AND(Input_Product=Elig!$C1402,Elig_MatchAll_Ct&lt;22,$BC1402=(Elig_MatchAll_Ct-1),AO1402=0),M1402,0)</f>
        <v>0</v>
      </c>
      <c r="BS1402" s="991">
        <f>IF(AND(Input_Product=Elig!$C1402,Elig_MatchAll_Ct&lt;22,$BC1402=(Elig_MatchAll_Ct-1),AQ1402=0),N1402,0)</f>
        <v>0</v>
      </c>
      <c r="BT1402" s="991">
        <f>IF(AND(Input_Product=Elig!$C1402,Elig_MatchAll_Ct&lt;22,$BC1402=(Elig_MatchAll_Ct-1),AR1402=0),O1402,0)</f>
        <v>0</v>
      </c>
      <c r="BU1402" s="991">
        <f>IF(AND(Input_Product=Elig!$C1402,Elig_MatchAll_Ct&lt;22,$BC1402=(Elig_MatchAll_Ct-1),AS1402=0),P1402,0)</f>
        <v>0</v>
      </c>
      <c r="BV1402" s="992">
        <f>IF(AND(Input_Product=Elig!$C1402,Elig_MatchAll_Ct&lt;22,$BC1402=(Elig_MatchAll_Ct-1),AT1402=0),Q1402,0)</f>
        <v>0</v>
      </c>
      <c r="BW1402" s="993">
        <f>IF(AND(Input_Product=Elig!$C1402,Elig_MatchAll_Ct&lt;22,$BC1402=(Elig_MatchAll_Ct-1),AU1402=0),R1402,0)</f>
        <v>0</v>
      </c>
      <c r="BX1402" s="994">
        <f>IF(AND(Input_Product=Elig!$C1402,Elig_MatchAll_Ct&lt;22,$BC1402=(Elig_MatchAll_Ct-1),AU1402=0),S1402,0)</f>
        <v>0</v>
      </c>
      <c r="BY1402" s="993">
        <f>IF(AND(Input_Product=Elig!$C1402,Elig_MatchAll_Ct&lt;22,$BC1402=(Elig_MatchAll_Ct-1),AV1402=0),T1402,0)</f>
        <v>0</v>
      </c>
      <c r="BZ1402" s="994">
        <f>IF(AND(Input_Product=Elig!$C1402,Elig_MatchAll_Ct&lt;22,$BC1402=(Elig_MatchAll_Ct-1),AV1402=0),U1402,0)</f>
        <v>0</v>
      </c>
      <c r="CA1402" s="993">
        <f>IF(AND(Input_Product=Elig!$C1402,Elig_MatchAll_Ct&lt;22,$BC1402=(Elig_MatchAll_Ct-1),AW1402=0),V1402,0)</f>
        <v>0</v>
      </c>
      <c r="CB1402" s="994">
        <f>IF(AND(Input_Product=Elig!$C1402,Elig_MatchAll_Ct&lt;22,$BC1402=(Elig_MatchAll_Ct-1),AW1402=0),W1402,0)</f>
        <v>0</v>
      </c>
      <c r="CC1402" s="993">
        <f>IF(AND(Input_Product=Elig!$C1402,Elig_MatchAll_Ct&lt;22,$BC1402=(Elig_MatchAll_Ct-1),AX1402=0),X1402,0)</f>
        <v>0</v>
      </c>
      <c r="CD1402" s="994">
        <f>IF(AND(Input_Product=Elig!$C1402,Elig_MatchAll_Ct&lt;22,$BC1402=(Elig_MatchAll_Ct-1),AX1402=0),Y1402,0)</f>
        <v>0</v>
      </c>
      <c r="CE1402" s="993">
        <f>IF(AND(Input_LTV&lt;=AE1402,Input_Product=Elig!$C1402,Elig_MatchAll_Ct&lt;22,$BC1402=(Elig_MatchAll_Ct-1),AY1402=0),Z1402,0)</f>
        <v>0</v>
      </c>
      <c r="CF1402" s="994">
        <f>IF(AND(Input_LTV&lt;=AE1402,Input_Product=Elig!$C1402,Elig_MatchAll_Ct&lt;22,$BC1402=(Elig_MatchAll_Ct-1),AY1402=0),AA1402,0)</f>
        <v>0</v>
      </c>
      <c r="CG1402" s="993">
        <f>IF(AND(Input_Product=Elig!$C1402,Elig_MatchAll_Ct&lt;22,$BC1402=(Elig_MatchAll_Ct-1),AZ1402=0),AB1402,0)</f>
        <v>0</v>
      </c>
      <c r="CH1402" s="994">
        <f>IF(AND(Input_Product=Elig!$C1402,Elig_MatchAll_Ct&lt;22,$BC1402=(Elig_MatchAll_Ct-1),AZ1402=0),AC1402,0)</f>
        <v>0</v>
      </c>
      <c r="CI1402" s="993">
        <f>IF(AND(Input_Product=Elig!$C1402,Elig_MatchAll_Ct&lt;22,$BC1402=(Elig_MatchAll_Ct-1),BA1402=0),AD1402,0)</f>
        <v>0</v>
      </c>
      <c r="CJ1402" s="994">
        <f>IF(AND(Input_Product=Elig!$C1402,Elig_MatchAll_Ct&lt;22,$BC1402=(Elig_MatchAll_Ct-1),BA1402=0),AE1402,0)</f>
        <v>0</v>
      </c>
    </row>
    <row r="1403" spans="2:88" ht="10.15" customHeight="1" x14ac:dyDescent="0.25">
      <c r="B1403" s="1538" t="s">
        <v>3601</v>
      </c>
      <c r="C1403" s="1541" t="str">
        <f t="shared" si="494"/>
        <v xml:space="preserve">  NOO</v>
      </c>
      <c r="D1403" s="1541" t="s">
        <v>2764</v>
      </c>
      <c r="E1403" s="1541" t="s">
        <v>167</v>
      </c>
      <c r="F1403" s="1541" t="s">
        <v>2765</v>
      </c>
      <c r="G1403" s="1541" t="s">
        <v>2766</v>
      </c>
      <c r="H1403" s="1541" t="s">
        <v>2767</v>
      </c>
      <c r="I1403" s="1542" t="s">
        <v>16</v>
      </c>
      <c r="J1403" s="1542" t="s">
        <v>1311</v>
      </c>
      <c r="K1403" s="1542" t="s">
        <v>3023</v>
      </c>
      <c r="L1403" s="1541" t="s">
        <v>2768</v>
      </c>
      <c r="M1403" s="1541" t="s">
        <v>2677</v>
      </c>
      <c r="N1403" s="1541" t="s">
        <v>2685</v>
      </c>
      <c r="O1403" s="1541" t="s">
        <v>310</v>
      </c>
      <c r="P1403" s="1541" t="s">
        <v>291</v>
      </c>
      <c r="Q1403" s="1541" t="s">
        <v>294</v>
      </c>
      <c r="R1403" s="1541">
        <v>150000</v>
      </c>
      <c r="S1403" s="1541">
        <v>1000000</v>
      </c>
      <c r="T1403" s="1541">
        <v>0</v>
      </c>
      <c r="U1403" s="1541">
        <f t="shared" si="484"/>
        <v>1000000</v>
      </c>
      <c r="V1403" s="1541">
        <v>0</v>
      </c>
      <c r="W1403" s="1541">
        <v>55</v>
      </c>
      <c r="X1403" s="1541">
        <v>0</v>
      </c>
      <c r="Y1403" s="1541">
        <v>0</v>
      </c>
      <c r="Z1403" s="1543">
        <v>720</v>
      </c>
      <c r="AA1403" s="1543">
        <v>999</v>
      </c>
      <c r="AB1403" s="1543">
        <v>6</v>
      </c>
      <c r="AC1403" s="1543">
        <v>999999</v>
      </c>
      <c r="AD1403" s="1541">
        <v>0</v>
      </c>
      <c r="AE1403" s="1544">
        <v>80</v>
      </c>
      <c r="AF1403" s="170">
        <v>0</v>
      </c>
      <c r="AG1403" s="171">
        <v>1</v>
      </c>
      <c r="AH1403" s="171">
        <v>1</v>
      </c>
      <c r="AI1403" s="171">
        <v>1</v>
      </c>
      <c r="AJ1403" s="171">
        <v>1</v>
      </c>
      <c r="AK1403" s="171">
        <v>1</v>
      </c>
      <c r="AL1403" s="171">
        <v>1</v>
      </c>
      <c r="AM1403" s="171">
        <v>1</v>
      </c>
      <c r="AN1403" s="171">
        <v>1</v>
      </c>
      <c r="AO1403" s="171">
        <v>1</v>
      </c>
      <c r="AP1403" s="171">
        <v>1</v>
      </c>
      <c r="AQ1403" s="171">
        <v>1</v>
      </c>
      <c r="AR1403" s="171">
        <v>1</v>
      </c>
      <c r="AS1403" s="171">
        <v>1</v>
      </c>
      <c r="AT1403" s="171">
        <v>1</v>
      </c>
      <c r="AU1403" s="171">
        <f t="shared" si="488"/>
        <v>1</v>
      </c>
      <c r="AV1403" s="171">
        <f t="shared" si="489"/>
        <v>1</v>
      </c>
      <c r="AW1403" s="171">
        <f t="shared" si="490"/>
        <v>1</v>
      </c>
      <c r="AX1403" s="171">
        <f t="shared" si="485"/>
        <v>1</v>
      </c>
      <c r="AY1403" s="171">
        <f t="shared" si="491"/>
        <v>1</v>
      </c>
      <c r="AZ1403" s="171">
        <f t="shared" si="492"/>
        <v>1</v>
      </c>
      <c r="BA1403" s="172">
        <f t="shared" si="493"/>
        <v>1</v>
      </c>
      <c r="BB1403" s="175">
        <f t="shared" si="495"/>
        <v>21</v>
      </c>
      <c r="BC1403" s="176">
        <f t="shared" si="496"/>
        <v>20</v>
      </c>
      <c r="BD1403" s="176">
        <f t="shared" si="497"/>
        <v>21</v>
      </c>
      <c r="BE1403" s="240" t="str">
        <f t="shared" si="487"/>
        <v xml:space="preserve">  NOO</v>
      </c>
      <c r="BF1403" s="990"/>
      <c r="BG1403" s="990"/>
      <c r="BH1403" s="991">
        <f>IF(AND(Input_Product=Elig!$C1403,Elig_MatchAll_Ct&lt;22,$BC1403=(Elig_MatchAll_Ct-1),AF1403=0),C1403,0)</f>
        <v>0</v>
      </c>
      <c r="BI1403" s="991">
        <f>IF(AND(Input_Product=Elig!$C1403,Elig_MatchAll_Ct&lt;22,$BC1403=(Elig_MatchAll_Ct-1),AG1403=0),D1403,0)</f>
        <v>0</v>
      </c>
      <c r="BJ1403" s="991">
        <f>IF(AND(Input_Product=Elig!$C1403,Elig_MatchAll_Ct&lt;22,$BC1403=(Elig_MatchAll_Ct-1),AH1403=0),E1403,0)</f>
        <v>0</v>
      </c>
      <c r="BK1403" s="991">
        <f>IF(AND(Input_Product=Elig!$C1403,Elig_MatchAll_Ct&lt;22,$BC1403=(Elig_MatchAll_Ct-1),AI1403=0),F1403,0)</f>
        <v>0</v>
      </c>
      <c r="BL1403" s="991">
        <f>IF(AND(Input_Product=Elig!$C1403,Elig_MatchAll_Ct&lt;22,$BC1403=(Elig_MatchAll_Ct-1),AJ1403=0),G1403,0)</f>
        <v>0</v>
      </c>
      <c r="BM1403" s="991">
        <f>IF(AND(Input_Product=Elig!$C1403,Elig_MatchAll_Ct&lt;22,$BC1403=(Elig_MatchAll_Ct-1),AK1403=0),H1403,0)</f>
        <v>0</v>
      </c>
      <c r="BN1403" s="991">
        <f>IF(AND(Input_Product=Elig!$C1403,Elig_MatchAll_Ct&lt;22,$BC1403=(Elig_MatchAll_Ct-1),AL1403=0),I1403,0)</f>
        <v>0</v>
      </c>
      <c r="BO1403" s="991">
        <f>IF(AND(Input_Product=Elig!$C1403,Elig_MatchAll_Ct&lt;22,$BC1403=(Elig_MatchAll_Ct-1),AM1403=0),J1403,0)</f>
        <v>0</v>
      </c>
      <c r="BP1403" s="991">
        <f>IF(AND(Input_Product=Elig!$C1403,Elig_MatchAll_Ct&lt;22,$BC1403=(Elig_MatchAll_Ct-1),AN1403=0),K1403,0)</f>
        <v>0</v>
      </c>
      <c r="BQ1403" s="991">
        <f>IF(AND(Input_Product=Elig!$C1403,Elig_MatchAll_Ct&lt;22,$BC1403=(Elig_MatchAll_Ct-1),AP1403=0),L1403,0)</f>
        <v>0</v>
      </c>
      <c r="BR1403" s="991">
        <f>IF(AND(Input_Product=Elig!$C1403,Elig_MatchAll_Ct&lt;22,$BC1403=(Elig_MatchAll_Ct-1),AO1403=0),M1403,0)</f>
        <v>0</v>
      </c>
      <c r="BS1403" s="991">
        <f>IF(AND(Input_Product=Elig!$C1403,Elig_MatchAll_Ct&lt;22,$BC1403=(Elig_MatchAll_Ct-1),AQ1403=0),N1403,0)</f>
        <v>0</v>
      </c>
      <c r="BT1403" s="991">
        <f>IF(AND(Input_Product=Elig!$C1403,Elig_MatchAll_Ct&lt;22,$BC1403=(Elig_MatchAll_Ct-1),AR1403=0),O1403,0)</f>
        <v>0</v>
      </c>
      <c r="BU1403" s="991">
        <f>IF(AND(Input_Product=Elig!$C1403,Elig_MatchAll_Ct&lt;22,$BC1403=(Elig_MatchAll_Ct-1),AS1403=0),P1403,0)</f>
        <v>0</v>
      </c>
      <c r="BV1403" s="992">
        <f>IF(AND(Input_Product=Elig!$C1403,Elig_MatchAll_Ct&lt;22,$BC1403=(Elig_MatchAll_Ct-1),AT1403=0),Q1403,0)</f>
        <v>0</v>
      </c>
      <c r="BW1403" s="993">
        <f>IF(AND(Input_Product=Elig!$C1403,Elig_MatchAll_Ct&lt;22,$BC1403=(Elig_MatchAll_Ct-1),AU1403=0),R1403,0)</f>
        <v>0</v>
      </c>
      <c r="BX1403" s="994">
        <f>IF(AND(Input_Product=Elig!$C1403,Elig_MatchAll_Ct&lt;22,$BC1403=(Elig_MatchAll_Ct-1),AU1403=0),S1403,0)</f>
        <v>0</v>
      </c>
      <c r="BY1403" s="993">
        <f>IF(AND(Input_Product=Elig!$C1403,Elig_MatchAll_Ct&lt;22,$BC1403=(Elig_MatchAll_Ct-1),AV1403=0),T1403,0)</f>
        <v>0</v>
      </c>
      <c r="BZ1403" s="994">
        <f>IF(AND(Input_Product=Elig!$C1403,Elig_MatchAll_Ct&lt;22,$BC1403=(Elig_MatchAll_Ct-1),AV1403=0),U1403,0)</f>
        <v>0</v>
      </c>
      <c r="CA1403" s="993">
        <f>IF(AND(Input_Product=Elig!$C1403,Elig_MatchAll_Ct&lt;22,$BC1403=(Elig_MatchAll_Ct-1),AW1403=0),V1403,0)</f>
        <v>0</v>
      </c>
      <c r="CB1403" s="994">
        <f>IF(AND(Input_Product=Elig!$C1403,Elig_MatchAll_Ct&lt;22,$BC1403=(Elig_MatchAll_Ct-1),AW1403=0),W1403,0)</f>
        <v>0</v>
      </c>
      <c r="CC1403" s="993">
        <f>IF(AND(Input_Product=Elig!$C1403,Elig_MatchAll_Ct&lt;22,$BC1403=(Elig_MatchAll_Ct-1),AX1403=0),X1403,0)</f>
        <v>0</v>
      </c>
      <c r="CD1403" s="994">
        <f>IF(AND(Input_Product=Elig!$C1403,Elig_MatchAll_Ct&lt;22,$BC1403=(Elig_MatchAll_Ct-1),AX1403=0),Y1403,0)</f>
        <v>0</v>
      </c>
      <c r="CE1403" s="993">
        <f>IF(AND(Input_LTV&lt;=AE1403,Input_Product=Elig!$C1403,Elig_MatchAll_Ct&lt;22,$BC1403=(Elig_MatchAll_Ct-1),AY1403=0),Z1403,0)</f>
        <v>0</v>
      </c>
      <c r="CF1403" s="994">
        <f>IF(AND(Input_LTV&lt;=AE1403,Input_Product=Elig!$C1403,Elig_MatchAll_Ct&lt;22,$BC1403=(Elig_MatchAll_Ct-1),AY1403=0),AA1403,0)</f>
        <v>0</v>
      </c>
      <c r="CG1403" s="993">
        <f>IF(AND(Input_Product=Elig!$C1403,Elig_MatchAll_Ct&lt;22,$BC1403=(Elig_MatchAll_Ct-1),AZ1403=0),AB1403,0)</f>
        <v>0</v>
      </c>
      <c r="CH1403" s="994">
        <f>IF(AND(Input_Product=Elig!$C1403,Elig_MatchAll_Ct&lt;22,$BC1403=(Elig_MatchAll_Ct-1),AZ1403=0),AC1403,0)</f>
        <v>0</v>
      </c>
      <c r="CI1403" s="993">
        <f>IF(AND(Input_Product=Elig!$C1403,Elig_MatchAll_Ct&lt;22,$BC1403=(Elig_MatchAll_Ct-1),BA1403=0),AD1403,0)</f>
        <v>0</v>
      </c>
      <c r="CJ1403" s="994">
        <f>IF(AND(Input_Product=Elig!$C1403,Elig_MatchAll_Ct&lt;22,$BC1403=(Elig_MatchAll_Ct-1),BA1403=0),AE1403,0)</f>
        <v>0</v>
      </c>
    </row>
    <row r="1404" spans="2:88" ht="10.15" customHeight="1" x14ac:dyDescent="0.25">
      <c r="B1404" s="1538" t="s">
        <v>3602</v>
      </c>
      <c r="C1404" s="1538" t="str">
        <f t="shared" si="494"/>
        <v xml:space="preserve">  NOO</v>
      </c>
      <c r="D1404" s="1538" t="s">
        <v>2764</v>
      </c>
      <c r="E1404" s="1538" t="s">
        <v>167</v>
      </c>
      <c r="F1404" s="1538" t="s">
        <v>2765</v>
      </c>
      <c r="G1404" s="1538" t="s">
        <v>2766</v>
      </c>
      <c r="H1404" s="1538" t="s">
        <v>2767</v>
      </c>
      <c r="I1404" s="1539" t="s">
        <v>16</v>
      </c>
      <c r="J1404" s="1539" t="s">
        <v>1311</v>
      </c>
      <c r="K1404" s="1539" t="s">
        <v>3023</v>
      </c>
      <c r="L1404" s="1538" t="s">
        <v>2768</v>
      </c>
      <c r="M1404" s="1538" t="s">
        <v>2677</v>
      </c>
      <c r="N1404" s="1538" t="s">
        <v>2685</v>
      </c>
      <c r="O1404" s="1538" t="s">
        <v>310</v>
      </c>
      <c r="P1404" s="1538" t="s">
        <v>291</v>
      </c>
      <c r="Q1404" s="1538" t="s">
        <v>294</v>
      </c>
      <c r="R1404" s="1538">
        <v>1000000.01</v>
      </c>
      <c r="S1404" s="1538">
        <v>1500000</v>
      </c>
      <c r="T1404" s="1538">
        <v>0</v>
      </c>
      <c r="U1404" s="1538">
        <f t="shared" si="484"/>
        <v>1500000</v>
      </c>
      <c r="V1404" s="1538">
        <v>0</v>
      </c>
      <c r="W1404" s="1538">
        <v>55</v>
      </c>
      <c r="X1404" s="1538">
        <v>0</v>
      </c>
      <c r="Y1404" s="1538">
        <v>0</v>
      </c>
      <c r="Z1404" s="1540">
        <v>720</v>
      </c>
      <c r="AA1404" s="1540">
        <v>999</v>
      </c>
      <c r="AB1404" s="1540">
        <v>6</v>
      </c>
      <c r="AC1404" s="1540">
        <v>999999</v>
      </c>
      <c r="AD1404" s="1538">
        <v>0</v>
      </c>
      <c r="AE1404" s="1545">
        <v>80</v>
      </c>
      <c r="AF1404" s="170">
        <v>0</v>
      </c>
      <c r="AG1404" s="171">
        <v>1</v>
      </c>
      <c r="AH1404" s="171">
        <v>1</v>
      </c>
      <c r="AI1404" s="171">
        <v>1</v>
      </c>
      <c r="AJ1404" s="171">
        <v>1</v>
      </c>
      <c r="AK1404" s="171">
        <v>1</v>
      </c>
      <c r="AL1404" s="171">
        <v>1</v>
      </c>
      <c r="AM1404" s="171">
        <v>1</v>
      </c>
      <c r="AN1404" s="171">
        <v>1</v>
      </c>
      <c r="AO1404" s="171">
        <v>1</v>
      </c>
      <c r="AP1404" s="171">
        <v>1</v>
      </c>
      <c r="AQ1404" s="171">
        <v>1</v>
      </c>
      <c r="AR1404" s="171">
        <v>1</v>
      </c>
      <c r="AS1404" s="171">
        <v>1</v>
      </c>
      <c r="AT1404" s="171">
        <v>1</v>
      </c>
      <c r="AU1404" s="171">
        <f t="shared" si="488"/>
        <v>0</v>
      </c>
      <c r="AV1404" s="171">
        <f t="shared" si="489"/>
        <v>1</v>
      </c>
      <c r="AW1404" s="171">
        <f t="shared" si="490"/>
        <v>1</v>
      </c>
      <c r="AX1404" s="171">
        <f t="shared" si="485"/>
        <v>1</v>
      </c>
      <c r="AY1404" s="171">
        <f t="shared" si="491"/>
        <v>1</v>
      </c>
      <c r="AZ1404" s="171">
        <f t="shared" si="492"/>
        <v>1</v>
      </c>
      <c r="BA1404" s="172">
        <f t="shared" si="493"/>
        <v>1</v>
      </c>
      <c r="BB1404" s="175">
        <f t="shared" si="495"/>
        <v>20</v>
      </c>
      <c r="BC1404" s="176">
        <f t="shared" si="496"/>
        <v>19</v>
      </c>
      <c r="BD1404" s="176">
        <f t="shared" si="497"/>
        <v>20</v>
      </c>
      <c r="BE1404" s="240" t="str">
        <f t="shared" si="487"/>
        <v/>
      </c>
      <c r="BF1404" s="990"/>
      <c r="BG1404" s="990"/>
      <c r="BH1404" s="991">
        <f>IF(AND(Input_Product=Elig!$C1404,Elig_MatchAll_Ct&lt;22,$BC1404=(Elig_MatchAll_Ct-1),AF1404=0),C1404,0)</f>
        <v>0</v>
      </c>
      <c r="BI1404" s="991">
        <f>IF(AND(Input_Product=Elig!$C1404,Elig_MatchAll_Ct&lt;22,$BC1404=(Elig_MatchAll_Ct-1),AG1404=0),D1404,0)</f>
        <v>0</v>
      </c>
      <c r="BJ1404" s="991">
        <f>IF(AND(Input_Product=Elig!$C1404,Elig_MatchAll_Ct&lt;22,$BC1404=(Elig_MatchAll_Ct-1),AH1404=0),E1404,0)</f>
        <v>0</v>
      </c>
      <c r="BK1404" s="991">
        <f>IF(AND(Input_Product=Elig!$C1404,Elig_MatchAll_Ct&lt;22,$BC1404=(Elig_MatchAll_Ct-1),AI1404=0),F1404,0)</f>
        <v>0</v>
      </c>
      <c r="BL1404" s="991">
        <f>IF(AND(Input_Product=Elig!$C1404,Elig_MatchAll_Ct&lt;22,$BC1404=(Elig_MatchAll_Ct-1),AJ1404=0),G1404,0)</f>
        <v>0</v>
      </c>
      <c r="BM1404" s="991">
        <f>IF(AND(Input_Product=Elig!$C1404,Elig_MatchAll_Ct&lt;22,$BC1404=(Elig_MatchAll_Ct-1),AK1404=0),H1404,0)</f>
        <v>0</v>
      </c>
      <c r="BN1404" s="991">
        <f>IF(AND(Input_Product=Elig!$C1404,Elig_MatchAll_Ct&lt;22,$BC1404=(Elig_MatchAll_Ct-1),AL1404=0),I1404,0)</f>
        <v>0</v>
      </c>
      <c r="BO1404" s="991">
        <f>IF(AND(Input_Product=Elig!$C1404,Elig_MatchAll_Ct&lt;22,$BC1404=(Elig_MatchAll_Ct-1),AM1404=0),J1404,0)</f>
        <v>0</v>
      </c>
      <c r="BP1404" s="991">
        <f>IF(AND(Input_Product=Elig!$C1404,Elig_MatchAll_Ct&lt;22,$BC1404=(Elig_MatchAll_Ct-1),AN1404=0),K1404,0)</f>
        <v>0</v>
      </c>
      <c r="BQ1404" s="991">
        <f>IF(AND(Input_Product=Elig!$C1404,Elig_MatchAll_Ct&lt;22,$BC1404=(Elig_MatchAll_Ct-1),AP1404=0),L1404,0)</f>
        <v>0</v>
      </c>
      <c r="BR1404" s="991">
        <f>IF(AND(Input_Product=Elig!$C1404,Elig_MatchAll_Ct&lt;22,$BC1404=(Elig_MatchAll_Ct-1),AO1404=0),M1404,0)</f>
        <v>0</v>
      </c>
      <c r="BS1404" s="991">
        <f>IF(AND(Input_Product=Elig!$C1404,Elig_MatchAll_Ct&lt;22,$BC1404=(Elig_MatchAll_Ct-1),AQ1404=0),N1404,0)</f>
        <v>0</v>
      </c>
      <c r="BT1404" s="991">
        <f>IF(AND(Input_Product=Elig!$C1404,Elig_MatchAll_Ct&lt;22,$BC1404=(Elig_MatchAll_Ct-1),AR1404=0),O1404,0)</f>
        <v>0</v>
      </c>
      <c r="BU1404" s="991">
        <f>IF(AND(Input_Product=Elig!$C1404,Elig_MatchAll_Ct&lt;22,$BC1404=(Elig_MatchAll_Ct-1),AS1404=0),P1404,0)</f>
        <v>0</v>
      </c>
      <c r="BV1404" s="992">
        <f>IF(AND(Input_Product=Elig!$C1404,Elig_MatchAll_Ct&lt;22,$BC1404=(Elig_MatchAll_Ct-1),AT1404=0),Q1404,0)</f>
        <v>0</v>
      </c>
      <c r="BW1404" s="993">
        <f>IF(AND(Input_Product=Elig!$C1404,Elig_MatchAll_Ct&lt;22,$BC1404=(Elig_MatchAll_Ct-1),AU1404=0),R1404,0)</f>
        <v>0</v>
      </c>
      <c r="BX1404" s="994">
        <f>IF(AND(Input_Product=Elig!$C1404,Elig_MatchAll_Ct&lt;22,$BC1404=(Elig_MatchAll_Ct-1),AU1404=0),S1404,0)</f>
        <v>0</v>
      </c>
      <c r="BY1404" s="993">
        <f>IF(AND(Input_Product=Elig!$C1404,Elig_MatchAll_Ct&lt;22,$BC1404=(Elig_MatchAll_Ct-1),AV1404=0),T1404,0)</f>
        <v>0</v>
      </c>
      <c r="BZ1404" s="994">
        <f>IF(AND(Input_Product=Elig!$C1404,Elig_MatchAll_Ct&lt;22,$BC1404=(Elig_MatchAll_Ct-1),AV1404=0),U1404,0)</f>
        <v>0</v>
      </c>
      <c r="CA1404" s="993">
        <f>IF(AND(Input_Product=Elig!$C1404,Elig_MatchAll_Ct&lt;22,$BC1404=(Elig_MatchAll_Ct-1),AW1404=0),V1404,0)</f>
        <v>0</v>
      </c>
      <c r="CB1404" s="994">
        <f>IF(AND(Input_Product=Elig!$C1404,Elig_MatchAll_Ct&lt;22,$BC1404=(Elig_MatchAll_Ct-1),AW1404=0),W1404,0)</f>
        <v>0</v>
      </c>
      <c r="CC1404" s="993">
        <f>IF(AND(Input_Product=Elig!$C1404,Elig_MatchAll_Ct&lt;22,$BC1404=(Elig_MatchAll_Ct-1),AX1404=0),X1404,0)</f>
        <v>0</v>
      </c>
      <c r="CD1404" s="994">
        <f>IF(AND(Input_Product=Elig!$C1404,Elig_MatchAll_Ct&lt;22,$BC1404=(Elig_MatchAll_Ct-1),AX1404=0),Y1404,0)</f>
        <v>0</v>
      </c>
      <c r="CE1404" s="993">
        <f>IF(AND(Input_LTV&lt;=AE1404,Input_Product=Elig!$C1404,Elig_MatchAll_Ct&lt;22,$BC1404=(Elig_MatchAll_Ct-1),AY1404=0),Z1404,0)</f>
        <v>0</v>
      </c>
      <c r="CF1404" s="994">
        <f>IF(AND(Input_LTV&lt;=AE1404,Input_Product=Elig!$C1404,Elig_MatchAll_Ct&lt;22,$BC1404=(Elig_MatchAll_Ct-1),AY1404=0),AA1404,0)</f>
        <v>0</v>
      </c>
      <c r="CG1404" s="993">
        <f>IF(AND(Input_Product=Elig!$C1404,Elig_MatchAll_Ct&lt;22,$BC1404=(Elig_MatchAll_Ct-1),AZ1404=0),AB1404,0)</f>
        <v>0</v>
      </c>
      <c r="CH1404" s="994">
        <f>IF(AND(Input_Product=Elig!$C1404,Elig_MatchAll_Ct&lt;22,$BC1404=(Elig_MatchAll_Ct-1),AZ1404=0),AC1404,0)</f>
        <v>0</v>
      </c>
      <c r="CI1404" s="993">
        <f>IF(AND(Input_Product=Elig!$C1404,Elig_MatchAll_Ct&lt;22,$BC1404=(Elig_MatchAll_Ct-1),BA1404=0),AD1404,0)</f>
        <v>0</v>
      </c>
      <c r="CJ1404" s="994">
        <f>IF(AND(Input_Product=Elig!$C1404,Elig_MatchAll_Ct&lt;22,$BC1404=(Elig_MatchAll_Ct-1),BA1404=0),AE1404,0)</f>
        <v>0</v>
      </c>
    </row>
    <row r="1405" spans="2:88" ht="10.15" customHeight="1" x14ac:dyDescent="0.25">
      <c r="B1405" s="1538" t="s">
        <v>3603</v>
      </c>
      <c r="C1405" s="1538" t="str">
        <f t="shared" si="494"/>
        <v xml:space="preserve">  NOO</v>
      </c>
      <c r="D1405" s="1538" t="s">
        <v>2764</v>
      </c>
      <c r="E1405" s="1538" t="s">
        <v>167</v>
      </c>
      <c r="F1405" s="1538" t="s">
        <v>2765</v>
      </c>
      <c r="G1405" s="1538" t="s">
        <v>2766</v>
      </c>
      <c r="H1405" s="1538" t="s">
        <v>2767</v>
      </c>
      <c r="I1405" s="1539" t="s">
        <v>16</v>
      </c>
      <c r="J1405" s="1539" t="s">
        <v>1311</v>
      </c>
      <c r="K1405" s="1539" t="s">
        <v>3023</v>
      </c>
      <c r="L1405" s="1538" t="s">
        <v>2768</v>
      </c>
      <c r="M1405" s="1538" t="s">
        <v>2677</v>
      </c>
      <c r="N1405" s="1538" t="s">
        <v>2685</v>
      </c>
      <c r="O1405" s="1538" t="s">
        <v>310</v>
      </c>
      <c r="P1405" s="1538" t="s">
        <v>291</v>
      </c>
      <c r="Q1405" s="1538" t="s">
        <v>294</v>
      </c>
      <c r="R1405" s="1538">
        <v>1500000.01</v>
      </c>
      <c r="S1405" s="1538">
        <v>2000000</v>
      </c>
      <c r="T1405" s="1538">
        <v>0</v>
      </c>
      <c r="U1405" s="1538">
        <f t="shared" ref="U1405:U1421" si="498">S1405</f>
        <v>2000000</v>
      </c>
      <c r="V1405" s="1538">
        <v>0</v>
      </c>
      <c r="W1405" s="1538">
        <v>55</v>
      </c>
      <c r="X1405" s="1538">
        <v>0</v>
      </c>
      <c r="Y1405" s="1538">
        <v>0</v>
      </c>
      <c r="Z1405" s="1540">
        <v>720</v>
      </c>
      <c r="AA1405" s="1540">
        <v>999</v>
      </c>
      <c r="AB1405" s="1540">
        <v>6</v>
      </c>
      <c r="AC1405" s="1540">
        <v>999999</v>
      </c>
      <c r="AD1405" s="1538">
        <v>0</v>
      </c>
      <c r="AE1405" s="1545">
        <v>80</v>
      </c>
      <c r="AF1405" s="170">
        <v>0</v>
      </c>
      <c r="AG1405" s="171">
        <v>1</v>
      </c>
      <c r="AH1405" s="171">
        <v>1</v>
      </c>
      <c r="AI1405" s="171">
        <v>1</v>
      </c>
      <c r="AJ1405" s="171">
        <v>1</v>
      </c>
      <c r="AK1405" s="171">
        <v>1</v>
      </c>
      <c r="AL1405" s="171">
        <v>1</v>
      </c>
      <c r="AM1405" s="171">
        <v>1</v>
      </c>
      <c r="AN1405" s="171">
        <v>1</v>
      </c>
      <c r="AO1405" s="171">
        <v>1</v>
      </c>
      <c r="AP1405" s="171">
        <v>1</v>
      </c>
      <c r="AQ1405" s="171">
        <v>1</v>
      </c>
      <c r="AR1405" s="171">
        <v>1</v>
      </c>
      <c r="AS1405" s="171">
        <v>1</v>
      </c>
      <c r="AT1405" s="171">
        <v>1</v>
      </c>
      <c r="AU1405" s="171">
        <f t="shared" si="488"/>
        <v>0</v>
      </c>
      <c r="AV1405" s="171">
        <f t="shared" si="489"/>
        <v>1</v>
      </c>
      <c r="AW1405" s="171">
        <f t="shared" si="490"/>
        <v>1</v>
      </c>
      <c r="AX1405" s="171">
        <f t="shared" si="485"/>
        <v>1</v>
      </c>
      <c r="AY1405" s="171">
        <f t="shared" si="491"/>
        <v>1</v>
      </c>
      <c r="AZ1405" s="171">
        <f t="shared" si="492"/>
        <v>1</v>
      </c>
      <c r="BA1405" s="172">
        <f t="shared" si="493"/>
        <v>1</v>
      </c>
      <c r="BB1405" s="175">
        <f t="shared" si="495"/>
        <v>20</v>
      </c>
      <c r="BC1405" s="176">
        <f t="shared" si="496"/>
        <v>19</v>
      </c>
      <c r="BD1405" s="176">
        <f t="shared" si="497"/>
        <v>20</v>
      </c>
      <c r="BE1405" s="240" t="str">
        <f t="shared" si="487"/>
        <v/>
      </c>
      <c r="BF1405" s="990"/>
      <c r="BG1405" s="990"/>
      <c r="BH1405" s="991">
        <f>IF(AND(Input_Product=Elig!$C1405,Elig_MatchAll_Ct&lt;22,$BC1405=(Elig_MatchAll_Ct-1),AF1405=0),C1405,0)</f>
        <v>0</v>
      </c>
      <c r="BI1405" s="991">
        <f>IF(AND(Input_Product=Elig!$C1405,Elig_MatchAll_Ct&lt;22,$BC1405=(Elig_MatchAll_Ct-1),AG1405=0),D1405,0)</f>
        <v>0</v>
      </c>
      <c r="BJ1405" s="991">
        <f>IF(AND(Input_Product=Elig!$C1405,Elig_MatchAll_Ct&lt;22,$BC1405=(Elig_MatchAll_Ct-1),AH1405=0),E1405,0)</f>
        <v>0</v>
      </c>
      <c r="BK1405" s="991">
        <f>IF(AND(Input_Product=Elig!$C1405,Elig_MatchAll_Ct&lt;22,$BC1405=(Elig_MatchAll_Ct-1),AI1405=0),F1405,0)</f>
        <v>0</v>
      </c>
      <c r="BL1405" s="991">
        <f>IF(AND(Input_Product=Elig!$C1405,Elig_MatchAll_Ct&lt;22,$BC1405=(Elig_MatchAll_Ct-1),AJ1405=0),G1405,0)</f>
        <v>0</v>
      </c>
      <c r="BM1405" s="991">
        <f>IF(AND(Input_Product=Elig!$C1405,Elig_MatchAll_Ct&lt;22,$BC1405=(Elig_MatchAll_Ct-1),AK1405=0),H1405,0)</f>
        <v>0</v>
      </c>
      <c r="BN1405" s="991">
        <f>IF(AND(Input_Product=Elig!$C1405,Elig_MatchAll_Ct&lt;22,$BC1405=(Elig_MatchAll_Ct-1),AL1405=0),I1405,0)</f>
        <v>0</v>
      </c>
      <c r="BO1405" s="991">
        <f>IF(AND(Input_Product=Elig!$C1405,Elig_MatchAll_Ct&lt;22,$BC1405=(Elig_MatchAll_Ct-1),AM1405=0),J1405,0)</f>
        <v>0</v>
      </c>
      <c r="BP1405" s="991">
        <f>IF(AND(Input_Product=Elig!$C1405,Elig_MatchAll_Ct&lt;22,$BC1405=(Elig_MatchAll_Ct-1),AN1405=0),K1405,0)</f>
        <v>0</v>
      </c>
      <c r="BQ1405" s="991">
        <f>IF(AND(Input_Product=Elig!$C1405,Elig_MatchAll_Ct&lt;22,$BC1405=(Elig_MatchAll_Ct-1),AP1405=0),L1405,0)</f>
        <v>0</v>
      </c>
      <c r="BR1405" s="991">
        <f>IF(AND(Input_Product=Elig!$C1405,Elig_MatchAll_Ct&lt;22,$BC1405=(Elig_MatchAll_Ct-1),AO1405=0),M1405,0)</f>
        <v>0</v>
      </c>
      <c r="BS1405" s="991">
        <f>IF(AND(Input_Product=Elig!$C1405,Elig_MatchAll_Ct&lt;22,$BC1405=(Elig_MatchAll_Ct-1),AQ1405=0),N1405,0)</f>
        <v>0</v>
      </c>
      <c r="BT1405" s="991">
        <f>IF(AND(Input_Product=Elig!$C1405,Elig_MatchAll_Ct&lt;22,$BC1405=(Elig_MatchAll_Ct-1),AR1405=0),O1405,0)</f>
        <v>0</v>
      </c>
      <c r="BU1405" s="991">
        <f>IF(AND(Input_Product=Elig!$C1405,Elig_MatchAll_Ct&lt;22,$BC1405=(Elig_MatchAll_Ct-1),AS1405=0),P1405,0)</f>
        <v>0</v>
      </c>
      <c r="BV1405" s="992">
        <f>IF(AND(Input_Product=Elig!$C1405,Elig_MatchAll_Ct&lt;22,$BC1405=(Elig_MatchAll_Ct-1),AT1405=0),Q1405,0)</f>
        <v>0</v>
      </c>
      <c r="BW1405" s="993">
        <f>IF(AND(Input_Product=Elig!$C1405,Elig_MatchAll_Ct&lt;22,$BC1405=(Elig_MatchAll_Ct-1),AU1405=0),R1405,0)</f>
        <v>0</v>
      </c>
      <c r="BX1405" s="994">
        <f>IF(AND(Input_Product=Elig!$C1405,Elig_MatchAll_Ct&lt;22,$BC1405=(Elig_MatchAll_Ct-1),AU1405=0),S1405,0)</f>
        <v>0</v>
      </c>
      <c r="BY1405" s="993">
        <f>IF(AND(Input_Product=Elig!$C1405,Elig_MatchAll_Ct&lt;22,$BC1405=(Elig_MatchAll_Ct-1),AV1405=0),T1405,0)</f>
        <v>0</v>
      </c>
      <c r="BZ1405" s="994">
        <f>IF(AND(Input_Product=Elig!$C1405,Elig_MatchAll_Ct&lt;22,$BC1405=(Elig_MatchAll_Ct-1),AV1405=0),U1405,0)</f>
        <v>0</v>
      </c>
      <c r="CA1405" s="993">
        <f>IF(AND(Input_Product=Elig!$C1405,Elig_MatchAll_Ct&lt;22,$BC1405=(Elig_MatchAll_Ct-1),AW1405=0),V1405,0)</f>
        <v>0</v>
      </c>
      <c r="CB1405" s="994">
        <f>IF(AND(Input_Product=Elig!$C1405,Elig_MatchAll_Ct&lt;22,$BC1405=(Elig_MatchAll_Ct-1),AW1405=0),W1405,0)</f>
        <v>0</v>
      </c>
      <c r="CC1405" s="993">
        <f>IF(AND(Input_Product=Elig!$C1405,Elig_MatchAll_Ct&lt;22,$BC1405=(Elig_MatchAll_Ct-1),AX1405=0),X1405,0)</f>
        <v>0</v>
      </c>
      <c r="CD1405" s="994">
        <f>IF(AND(Input_Product=Elig!$C1405,Elig_MatchAll_Ct&lt;22,$BC1405=(Elig_MatchAll_Ct-1),AX1405=0),Y1405,0)</f>
        <v>0</v>
      </c>
      <c r="CE1405" s="993">
        <f>IF(AND(Input_LTV&lt;=AE1405,Input_Product=Elig!$C1405,Elig_MatchAll_Ct&lt;22,$BC1405=(Elig_MatchAll_Ct-1),AY1405=0),Z1405,0)</f>
        <v>0</v>
      </c>
      <c r="CF1405" s="994">
        <f>IF(AND(Input_LTV&lt;=AE1405,Input_Product=Elig!$C1405,Elig_MatchAll_Ct&lt;22,$BC1405=(Elig_MatchAll_Ct-1),AY1405=0),AA1405,0)</f>
        <v>0</v>
      </c>
      <c r="CG1405" s="993">
        <f>IF(AND(Input_Product=Elig!$C1405,Elig_MatchAll_Ct&lt;22,$BC1405=(Elig_MatchAll_Ct-1),AZ1405=0),AB1405,0)</f>
        <v>0</v>
      </c>
      <c r="CH1405" s="994">
        <f>IF(AND(Input_Product=Elig!$C1405,Elig_MatchAll_Ct&lt;22,$BC1405=(Elig_MatchAll_Ct-1),AZ1405=0),AC1405,0)</f>
        <v>0</v>
      </c>
      <c r="CI1405" s="993">
        <f>IF(AND(Input_Product=Elig!$C1405,Elig_MatchAll_Ct&lt;22,$BC1405=(Elig_MatchAll_Ct-1),BA1405=0),AD1405,0)</f>
        <v>0</v>
      </c>
      <c r="CJ1405" s="994">
        <f>IF(AND(Input_Product=Elig!$C1405,Elig_MatchAll_Ct&lt;22,$BC1405=(Elig_MatchAll_Ct-1),BA1405=0),AE1405,0)</f>
        <v>0</v>
      </c>
    </row>
    <row r="1406" spans="2:88" ht="10.15" customHeight="1" x14ac:dyDescent="0.25">
      <c r="B1406" s="1538" t="s">
        <v>3604</v>
      </c>
      <c r="C1406" s="1538" t="str">
        <f t="shared" si="494"/>
        <v xml:space="preserve">  NOO</v>
      </c>
      <c r="D1406" s="1538" t="s">
        <v>2764</v>
      </c>
      <c r="E1406" s="1538" t="s">
        <v>167</v>
      </c>
      <c r="F1406" s="1538" t="s">
        <v>2765</v>
      </c>
      <c r="G1406" s="1538" t="s">
        <v>2766</v>
      </c>
      <c r="H1406" s="1538" t="s">
        <v>2767</v>
      </c>
      <c r="I1406" s="1539" t="s">
        <v>16</v>
      </c>
      <c r="J1406" s="1539" t="s">
        <v>1311</v>
      </c>
      <c r="K1406" s="1539" t="s">
        <v>3023</v>
      </c>
      <c r="L1406" s="1538" t="s">
        <v>2768</v>
      </c>
      <c r="M1406" s="1538" t="s">
        <v>2677</v>
      </c>
      <c r="N1406" s="1538" t="s">
        <v>2685</v>
      </c>
      <c r="O1406" s="1538" t="s">
        <v>310</v>
      </c>
      <c r="P1406" s="1538" t="s">
        <v>291</v>
      </c>
      <c r="Q1406" s="1538" t="s">
        <v>294</v>
      </c>
      <c r="R1406" s="1538">
        <v>2000000.01</v>
      </c>
      <c r="S1406" s="1538">
        <v>2500000</v>
      </c>
      <c r="T1406" s="1538">
        <v>0</v>
      </c>
      <c r="U1406" s="1538">
        <f t="shared" si="498"/>
        <v>2500000</v>
      </c>
      <c r="V1406" s="1538">
        <v>0</v>
      </c>
      <c r="W1406" s="1538">
        <v>55</v>
      </c>
      <c r="X1406" s="1538">
        <v>0</v>
      </c>
      <c r="Y1406" s="1538">
        <v>0</v>
      </c>
      <c r="Z1406" s="1540">
        <v>720</v>
      </c>
      <c r="AA1406" s="1540">
        <v>999</v>
      </c>
      <c r="AB1406" s="1540">
        <v>6</v>
      </c>
      <c r="AC1406" s="1540">
        <v>999999</v>
      </c>
      <c r="AD1406" s="1538">
        <v>0</v>
      </c>
      <c r="AE1406" s="1545">
        <v>75</v>
      </c>
      <c r="AF1406" s="170">
        <v>0</v>
      </c>
      <c r="AG1406" s="171">
        <v>1</v>
      </c>
      <c r="AH1406" s="171">
        <v>1</v>
      </c>
      <c r="AI1406" s="171">
        <v>1</v>
      </c>
      <c r="AJ1406" s="171">
        <v>1</v>
      </c>
      <c r="AK1406" s="171">
        <v>1</v>
      </c>
      <c r="AL1406" s="171">
        <v>1</v>
      </c>
      <c r="AM1406" s="171">
        <v>1</v>
      </c>
      <c r="AN1406" s="171">
        <v>1</v>
      </c>
      <c r="AO1406" s="171">
        <v>1</v>
      </c>
      <c r="AP1406" s="171">
        <v>1</v>
      </c>
      <c r="AQ1406" s="171">
        <v>1</v>
      </c>
      <c r="AR1406" s="171">
        <v>1</v>
      </c>
      <c r="AS1406" s="171">
        <v>1</v>
      </c>
      <c r="AT1406" s="171">
        <v>1</v>
      </c>
      <c r="AU1406" s="171">
        <f t="shared" si="488"/>
        <v>0</v>
      </c>
      <c r="AV1406" s="171">
        <f t="shared" si="489"/>
        <v>1</v>
      </c>
      <c r="AW1406" s="171">
        <f t="shared" si="490"/>
        <v>1</v>
      </c>
      <c r="AX1406" s="171">
        <f t="shared" si="485"/>
        <v>1</v>
      </c>
      <c r="AY1406" s="171">
        <f t="shared" si="491"/>
        <v>1</v>
      </c>
      <c r="AZ1406" s="171">
        <f t="shared" si="492"/>
        <v>1</v>
      </c>
      <c r="BA1406" s="172">
        <f t="shared" si="493"/>
        <v>1</v>
      </c>
      <c r="BB1406" s="175">
        <f t="shared" si="495"/>
        <v>20</v>
      </c>
      <c r="BC1406" s="176">
        <f t="shared" si="496"/>
        <v>19</v>
      </c>
      <c r="BD1406" s="176">
        <f t="shared" si="497"/>
        <v>20</v>
      </c>
      <c r="BE1406" s="240" t="str">
        <f t="shared" si="487"/>
        <v/>
      </c>
      <c r="BF1406" s="990"/>
      <c r="BG1406" s="990"/>
      <c r="BH1406" s="991">
        <f>IF(AND(Input_Product=Elig!$C1406,Elig_MatchAll_Ct&lt;22,$BC1406=(Elig_MatchAll_Ct-1),AF1406=0),C1406,0)</f>
        <v>0</v>
      </c>
      <c r="BI1406" s="991">
        <f>IF(AND(Input_Product=Elig!$C1406,Elig_MatchAll_Ct&lt;22,$BC1406=(Elig_MatchAll_Ct-1),AG1406=0),D1406,0)</f>
        <v>0</v>
      </c>
      <c r="BJ1406" s="991">
        <f>IF(AND(Input_Product=Elig!$C1406,Elig_MatchAll_Ct&lt;22,$BC1406=(Elig_MatchAll_Ct-1),AH1406=0),E1406,0)</f>
        <v>0</v>
      </c>
      <c r="BK1406" s="991">
        <f>IF(AND(Input_Product=Elig!$C1406,Elig_MatchAll_Ct&lt;22,$BC1406=(Elig_MatchAll_Ct-1),AI1406=0),F1406,0)</f>
        <v>0</v>
      </c>
      <c r="BL1406" s="991">
        <f>IF(AND(Input_Product=Elig!$C1406,Elig_MatchAll_Ct&lt;22,$BC1406=(Elig_MatchAll_Ct-1),AJ1406=0),G1406,0)</f>
        <v>0</v>
      </c>
      <c r="BM1406" s="991">
        <f>IF(AND(Input_Product=Elig!$C1406,Elig_MatchAll_Ct&lt;22,$BC1406=(Elig_MatchAll_Ct-1),AK1406=0),H1406,0)</f>
        <v>0</v>
      </c>
      <c r="BN1406" s="991">
        <f>IF(AND(Input_Product=Elig!$C1406,Elig_MatchAll_Ct&lt;22,$BC1406=(Elig_MatchAll_Ct-1),AL1406=0),I1406,0)</f>
        <v>0</v>
      </c>
      <c r="BO1406" s="991">
        <f>IF(AND(Input_Product=Elig!$C1406,Elig_MatchAll_Ct&lt;22,$BC1406=(Elig_MatchAll_Ct-1),AM1406=0),J1406,0)</f>
        <v>0</v>
      </c>
      <c r="BP1406" s="991">
        <f>IF(AND(Input_Product=Elig!$C1406,Elig_MatchAll_Ct&lt;22,$BC1406=(Elig_MatchAll_Ct-1),AN1406=0),K1406,0)</f>
        <v>0</v>
      </c>
      <c r="BQ1406" s="991">
        <f>IF(AND(Input_Product=Elig!$C1406,Elig_MatchAll_Ct&lt;22,$BC1406=(Elig_MatchAll_Ct-1),AP1406=0),L1406,0)</f>
        <v>0</v>
      </c>
      <c r="BR1406" s="991">
        <f>IF(AND(Input_Product=Elig!$C1406,Elig_MatchAll_Ct&lt;22,$BC1406=(Elig_MatchAll_Ct-1),AO1406=0),M1406,0)</f>
        <v>0</v>
      </c>
      <c r="BS1406" s="991">
        <f>IF(AND(Input_Product=Elig!$C1406,Elig_MatchAll_Ct&lt;22,$BC1406=(Elig_MatchAll_Ct-1),AQ1406=0),N1406,0)</f>
        <v>0</v>
      </c>
      <c r="BT1406" s="991">
        <f>IF(AND(Input_Product=Elig!$C1406,Elig_MatchAll_Ct&lt;22,$BC1406=(Elig_MatchAll_Ct-1),AR1406=0),O1406,0)</f>
        <v>0</v>
      </c>
      <c r="BU1406" s="991">
        <f>IF(AND(Input_Product=Elig!$C1406,Elig_MatchAll_Ct&lt;22,$BC1406=(Elig_MatchAll_Ct-1),AS1406=0),P1406,0)</f>
        <v>0</v>
      </c>
      <c r="BV1406" s="992">
        <f>IF(AND(Input_Product=Elig!$C1406,Elig_MatchAll_Ct&lt;22,$BC1406=(Elig_MatchAll_Ct-1),AT1406=0),Q1406,0)</f>
        <v>0</v>
      </c>
      <c r="BW1406" s="993">
        <f>IF(AND(Input_Product=Elig!$C1406,Elig_MatchAll_Ct&lt;22,$BC1406=(Elig_MatchAll_Ct-1),AU1406=0),R1406,0)</f>
        <v>0</v>
      </c>
      <c r="BX1406" s="994">
        <f>IF(AND(Input_Product=Elig!$C1406,Elig_MatchAll_Ct&lt;22,$BC1406=(Elig_MatchAll_Ct-1),AU1406=0),S1406,0)</f>
        <v>0</v>
      </c>
      <c r="BY1406" s="993">
        <f>IF(AND(Input_Product=Elig!$C1406,Elig_MatchAll_Ct&lt;22,$BC1406=(Elig_MatchAll_Ct-1),AV1406=0),T1406,0)</f>
        <v>0</v>
      </c>
      <c r="BZ1406" s="994">
        <f>IF(AND(Input_Product=Elig!$C1406,Elig_MatchAll_Ct&lt;22,$BC1406=(Elig_MatchAll_Ct-1),AV1406=0),U1406,0)</f>
        <v>0</v>
      </c>
      <c r="CA1406" s="993">
        <f>IF(AND(Input_Product=Elig!$C1406,Elig_MatchAll_Ct&lt;22,$BC1406=(Elig_MatchAll_Ct-1),AW1406=0),V1406,0)</f>
        <v>0</v>
      </c>
      <c r="CB1406" s="994">
        <f>IF(AND(Input_Product=Elig!$C1406,Elig_MatchAll_Ct&lt;22,$BC1406=(Elig_MatchAll_Ct-1),AW1406=0),W1406,0)</f>
        <v>0</v>
      </c>
      <c r="CC1406" s="993">
        <f>IF(AND(Input_Product=Elig!$C1406,Elig_MatchAll_Ct&lt;22,$BC1406=(Elig_MatchAll_Ct-1),AX1406=0),X1406,0)</f>
        <v>0</v>
      </c>
      <c r="CD1406" s="994">
        <f>IF(AND(Input_Product=Elig!$C1406,Elig_MatchAll_Ct&lt;22,$BC1406=(Elig_MatchAll_Ct-1),AX1406=0),Y1406,0)</f>
        <v>0</v>
      </c>
      <c r="CE1406" s="993">
        <f>IF(AND(Input_LTV&lt;=AE1406,Input_Product=Elig!$C1406,Elig_MatchAll_Ct&lt;22,$BC1406=(Elig_MatchAll_Ct-1),AY1406=0),Z1406,0)</f>
        <v>0</v>
      </c>
      <c r="CF1406" s="994">
        <f>IF(AND(Input_LTV&lt;=AE1406,Input_Product=Elig!$C1406,Elig_MatchAll_Ct&lt;22,$BC1406=(Elig_MatchAll_Ct-1),AY1406=0),AA1406,0)</f>
        <v>0</v>
      </c>
      <c r="CG1406" s="993">
        <f>IF(AND(Input_Product=Elig!$C1406,Elig_MatchAll_Ct&lt;22,$BC1406=(Elig_MatchAll_Ct-1),AZ1406=0),AB1406,0)</f>
        <v>0</v>
      </c>
      <c r="CH1406" s="994">
        <f>IF(AND(Input_Product=Elig!$C1406,Elig_MatchAll_Ct&lt;22,$BC1406=(Elig_MatchAll_Ct-1),AZ1406=0),AC1406,0)</f>
        <v>0</v>
      </c>
      <c r="CI1406" s="993">
        <f>IF(AND(Input_Product=Elig!$C1406,Elig_MatchAll_Ct&lt;22,$BC1406=(Elig_MatchAll_Ct-1),BA1406=0),AD1406,0)</f>
        <v>0</v>
      </c>
      <c r="CJ1406" s="994">
        <f>IF(AND(Input_Product=Elig!$C1406,Elig_MatchAll_Ct&lt;22,$BC1406=(Elig_MatchAll_Ct-1),BA1406=0),AE1406,0)</f>
        <v>0</v>
      </c>
    </row>
    <row r="1407" spans="2:88" ht="10.15" customHeight="1" x14ac:dyDescent="0.25">
      <c r="B1407" s="1538" t="s">
        <v>3605</v>
      </c>
      <c r="C1407" s="1538" t="str">
        <f t="shared" si="494"/>
        <v xml:space="preserve">  NOO</v>
      </c>
      <c r="D1407" s="1538" t="s">
        <v>2764</v>
      </c>
      <c r="E1407" s="1538" t="s">
        <v>167</v>
      </c>
      <c r="F1407" s="1538" t="s">
        <v>2765</v>
      </c>
      <c r="G1407" s="1538" t="s">
        <v>2766</v>
      </c>
      <c r="H1407" s="1538" t="s">
        <v>2767</v>
      </c>
      <c r="I1407" s="1539" t="s">
        <v>16</v>
      </c>
      <c r="J1407" s="1539" t="s">
        <v>1311</v>
      </c>
      <c r="K1407" s="1539" t="s">
        <v>3023</v>
      </c>
      <c r="L1407" s="1538" t="s">
        <v>2768</v>
      </c>
      <c r="M1407" s="1538" t="s">
        <v>2677</v>
      </c>
      <c r="N1407" s="1538" t="s">
        <v>2685</v>
      </c>
      <c r="O1407" s="1538" t="s">
        <v>310</v>
      </c>
      <c r="P1407" s="1538" t="s">
        <v>291</v>
      </c>
      <c r="Q1407" s="1538" t="s">
        <v>294</v>
      </c>
      <c r="R1407" s="1538">
        <v>2500000.0099999998</v>
      </c>
      <c r="S1407" s="1538">
        <v>3000000</v>
      </c>
      <c r="T1407" s="1538">
        <v>0</v>
      </c>
      <c r="U1407" s="1538">
        <f t="shared" si="498"/>
        <v>3000000</v>
      </c>
      <c r="V1407" s="1538">
        <v>0</v>
      </c>
      <c r="W1407" s="1538">
        <v>55</v>
      </c>
      <c r="X1407" s="1538">
        <v>0</v>
      </c>
      <c r="Y1407" s="1538">
        <v>0</v>
      </c>
      <c r="Z1407" s="1540">
        <v>720</v>
      </c>
      <c r="AA1407" s="1540">
        <v>999</v>
      </c>
      <c r="AB1407" s="1540">
        <v>6</v>
      </c>
      <c r="AC1407" s="1540">
        <v>999999</v>
      </c>
      <c r="AD1407" s="1538">
        <v>0</v>
      </c>
      <c r="AE1407" s="1545">
        <v>70</v>
      </c>
      <c r="AF1407" s="170">
        <v>0</v>
      </c>
      <c r="AG1407" s="171">
        <v>1</v>
      </c>
      <c r="AH1407" s="171">
        <v>1</v>
      </c>
      <c r="AI1407" s="171">
        <v>1</v>
      </c>
      <c r="AJ1407" s="171">
        <v>1</v>
      </c>
      <c r="AK1407" s="171">
        <v>1</v>
      </c>
      <c r="AL1407" s="171">
        <v>1</v>
      </c>
      <c r="AM1407" s="171">
        <v>1</v>
      </c>
      <c r="AN1407" s="171">
        <v>1</v>
      </c>
      <c r="AO1407" s="171">
        <v>1</v>
      </c>
      <c r="AP1407" s="171">
        <v>1</v>
      </c>
      <c r="AQ1407" s="171">
        <v>1</v>
      </c>
      <c r="AR1407" s="171">
        <v>1</v>
      </c>
      <c r="AS1407" s="171">
        <v>1</v>
      </c>
      <c r="AT1407" s="171">
        <v>1</v>
      </c>
      <c r="AU1407" s="171">
        <f t="shared" si="488"/>
        <v>0</v>
      </c>
      <c r="AV1407" s="171">
        <f t="shared" si="489"/>
        <v>1</v>
      </c>
      <c r="AW1407" s="171">
        <f t="shared" si="490"/>
        <v>1</v>
      </c>
      <c r="AX1407" s="171">
        <f t="shared" si="485"/>
        <v>1</v>
      </c>
      <c r="AY1407" s="171">
        <f t="shared" si="491"/>
        <v>1</v>
      </c>
      <c r="AZ1407" s="171">
        <f t="shared" si="492"/>
        <v>1</v>
      </c>
      <c r="BA1407" s="172">
        <f t="shared" si="493"/>
        <v>1</v>
      </c>
      <c r="BB1407" s="175">
        <f t="shared" si="495"/>
        <v>20</v>
      </c>
      <c r="BC1407" s="176">
        <f t="shared" si="496"/>
        <v>19</v>
      </c>
      <c r="BD1407" s="176">
        <f t="shared" si="497"/>
        <v>20</v>
      </c>
      <c r="BE1407" s="240" t="str">
        <f t="shared" si="487"/>
        <v/>
      </c>
      <c r="BF1407" s="990"/>
      <c r="BG1407" s="990"/>
      <c r="BH1407" s="991">
        <f>IF(AND(Input_Product=Elig!$C1407,Elig_MatchAll_Ct&lt;22,$BC1407=(Elig_MatchAll_Ct-1),AF1407=0),C1407,0)</f>
        <v>0</v>
      </c>
      <c r="BI1407" s="991">
        <f>IF(AND(Input_Product=Elig!$C1407,Elig_MatchAll_Ct&lt;22,$BC1407=(Elig_MatchAll_Ct-1),AG1407=0),D1407,0)</f>
        <v>0</v>
      </c>
      <c r="BJ1407" s="991">
        <f>IF(AND(Input_Product=Elig!$C1407,Elig_MatchAll_Ct&lt;22,$BC1407=(Elig_MatchAll_Ct-1),AH1407=0),E1407,0)</f>
        <v>0</v>
      </c>
      <c r="BK1407" s="991">
        <f>IF(AND(Input_Product=Elig!$C1407,Elig_MatchAll_Ct&lt;22,$BC1407=(Elig_MatchAll_Ct-1),AI1407=0),F1407,0)</f>
        <v>0</v>
      </c>
      <c r="BL1407" s="991">
        <f>IF(AND(Input_Product=Elig!$C1407,Elig_MatchAll_Ct&lt;22,$BC1407=(Elig_MatchAll_Ct-1),AJ1407=0),G1407,0)</f>
        <v>0</v>
      </c>
      <c r="BM1407" s="991">
        <f>IF(AND(Input_Product=Elig!$C1407,Elig_MatchAll_Ct&lt;22,$BC1407=(Elig_MatchAll_Ct-1),AK1407=0),H1407,0)</f>
        <v>0</v>
      </c>
      <c r="BN1407" s="991">
        <f>IF(AND(Input_Product=Elig!$C1407,Elig_MatchAll_Ct&lt;22,$BC1407=(Elig_MatchAll_Ct-1),AL1407=0),I1407,0)</f>
        <v>0</v>
      </c>
      <c r="BO1407" s="991">
        <f>IF(AND(Input_Product=Elig!$C1407,Elig_MatchAll_Ct&lt;22,$BC1407=(Elig_MatchAll_Ct-1),AM1407=0),J1407,0)</f>
        <v>0</v>
      </c>
      <c r="BP1407" s="991">
        <f>IF(AND(Input_Product=Elig!$C1407,Elig_MatchAll_Ct&lt;22,$BC1407=(Elig_MatchAll_Ct-1),AN1407=0),K1407,0)</f>
        <v>0</v>
      </c>
      <c r="BQ1407" s="991">
        <f>IF(AND(Input_Product=Elig!$C1407,Elig_MatchAll_Ct&lt;22,$BC1407=(Elig_MatchAll_Ct-1),AP1407=0),L1407,0)</f>
        <v>0</v>
      </c>
      <c r="BR1407" s="991">
        <f>IF(AND(Input_Product=Elig!$C1407,Elig_MatchAll_Ct&lt;22,$BC1407=(Elig_MatchAll_Ct-1),AO1407=0),M1407,0)</f>
        <v>0</v>
      </c>
      <c r="BS1407" s="991">
        <f>IF(AND(Input_Product=Elig!$C1407,Elig_MatchAll_Ct&lt;22,$BC1407=(Elig_MatchAll_Ct-1),AQ1407=0),N1407,0)</f>
        <v>0</v>
      </c>
      <c r="BT1407" s="991">
        <f>IF(AND(Input_Product=Elig!$C1407,Elig_MatchAll_Ct&lt;22,$BC1407=(Elig_MatchAll_Ct-1),AR1407=0),O1407,0)</f>
        <v>0</v>
      </c>
      <c r="BU1407" s="991">
        <f>IF(AND(Input_Product=Elig!$C1407,Elig_MatchAll_Ct&lt;22,$BC1407=(Elig_MatchAll_Ct-1),AS1407=0),P1407,0)</f>
        <v>0</v>
      </c>
      <c r="BV1407" s="992">
        <f>IF(AND(Input_Product=Elig!$C1407,Elig_MatchAll_Ct&lt;22,$BC1407=(Elig_MatchAll_Ct-1),AT1407=0),Q1407,0)</f>
        <v>0</v>
      </c>
      <c r="BW1407" s="993">
        <f>IF(AND(Input_Product=Elig!$C1407,Elig_MatchAll_Ct&lt;22,$BC1407=(Elig_MatchAll_Ct-1),AU1407=0),R1407,0)</f>
        <v>0</v>
      </c>
      <c r="BX1407" s="994">
        <f>IF(AND(Input_Product=Elig!$C1407,Elig_MatchAll_Ct&lt;22,$BC1407=(Elig_MatchAll_Ct-1),AU1407=0),S1407,0)</f>
        <v>0</v>
      </c>
      <c r="BY1407" s="993">
        <f>IF(AND(Input_Product=Elig!$C1407,Elig_MatchAll_Ct&lt;22,$BC1407=(Elig_MatchAll_Ct-1),AV1407=0),T1407,0)</f>
        <v>0</v>
      </c>
      <c r="BZ1407" s="994">
        <f>IF(AND(Input_Product=Elig!$C1407,Elig_MatchAll_Ct&lt;22,$BC1407=(Elig_MatchAll_Ct-1),AV1407=0),U1407,0)</f>
        <v>0</v>
      </c>
      <c r="CA1407" s="993">
        <f>IF(AND(Input_Product=Elig!$C1407,Elig_MatchAll_Ct&lt;22,$BC1407=(Elig_MatchAll_Ct-1),AW1407=0),V1407,0)</f>
        <v>0</v>
      </c>
      <c r="CB1407" s="994">
        <f>IF(AND(Input_Product=Elig!$C1407,Elig_MatchAll_Ct&lt;22,$BC1407=(Elig_MatchAll_Ct-1),AW1407=0),W1407,0)</f>
        <v>0</v>
      </c>
      <c r="CC1407" s="993">
        <f>IF(AND(Input_Product=Elig!$C1407,Elig_MatchAll_Ct&lt;22,$BC1407=(Elig_MatchAll_Ct-1),AX1407=0),X1407,0)</f>
        <v>0</v>
      </c>
      <c r="CD1407" s="994">
        <f>IF(AND(Input_Product=Elig!$C1407,Elig_MatchAll_Ct&lt;22,$BC1407=(Elig_MatchAll_Ct-1),AX1407=0),Y1407,0)</f>
        <v>0</v>
      </c>
      <c r="CE1407" s="993">
        <f>IF(AND(Input_LTV&lt;=AE1407,Input_Product=Elig!$C1407,Elig_MatchAll_Ct&lt;22,$BC1407=(Elig_MatchAll_Ct-1),AY1407=0),Z1407,0)</f>
        <v>0</v>
      </c>
      <c r="CF1407" s="994">
        <f>IF(AND(Input_LTV&lt;=AE1407,Input_Product=Elig!$C1407,Elig_MatchAll_Ct&lt;22,$BC1407=(Elig_MatchAll_Ct-1),AY1407=0),AA1407,0)</f>
        <v>0</v>
      </c>
      <c r="CG1407" s="993">
        <f>IF(AND(Input_Product=Elig!$C1407,Elig_MatchAll_Ct&lt;22,$BC1407=(Elig_MatchAll_Ct-1),AZ1407=0),AB1407,0)</f>
        <v>0</v>
      </c>
      <c r="CH1407" s="994">
        <f>IF(AND(Input_Product=Elig!$C1407,Elig_MatchAll_Ct&lt;22,$BC1407=(Elig_MatchAll_Ct-1),AZ1407=0),AC1407,0)</f>
        <v>0</v>
      </c>
      <c r="CI1407" s="993">
        <f>IF(AND(Input_Product=Elig!$C1407,Elig_MatchAll_Ct&lt;22,$BC1407=(Elig_MatchAll_Ct-1),BA1407=0),AD1407,0)</f>
        <v>0</v>
      </c>
      <c r="CJ1407" s="994">
        <f>IF(AND(Input_Product=Elig!$C1407,Elig_MatchAll_Ct&lt;22,$BC1407=(Elig_MatchAll_Ct-1),BA1407=0),AE1407,0)</f>
        <v>0</v>
      </c>
    </row>
    <row r="1408" spans="2:88" ht="10.15" customHeight="1" x14ac:dyDescent="0.25">
      <c r="B1408" s="1538" t="s">
        <v>3606</v>
      </c>
      <c r="C1408" s="1538" t="str">
        <f t="shared" si="494"/>
        <v xml:space="preserve">  NOO</v>
      </c>
      <c r="D1408" s="1538" t="s">
        <v>2764</v>
      </c>
      <c r="E1408" s="1538" t="s">
        <v>167</v>
      </c>
      <c r="F1408" s="1538" t="s">
        <v>2765</v>
      </c>
      <c r="G1408" s="1538" t="s">
        <v>2766</v>
      </c>
      <c r="H1408" s="1538" t="s">
        <v>2767</v>
      </c>
      <c r="I1408" s="1539" t="s">
        <v>16</v>
      </c>
      <c r="J1408" s="1539" t="s">
        <v>1311</v>
      </c>
      <c r="K1408" s="1539" t="s">
        <v>3023</v>
      </c>
      <c r="L1408" s="1538" t="s">
        <v>2768</v>
      </c>
      <c r="M1408" s="1538" t="s">
        <v>2677</v>
      </c>
      <c r="N1408" s="1538" t="s">
        <v>2685</v>
      </c>
      <c r="O1408" s="1538" t="s">
        <v>310</v>
      </c>
      <c r="P1408" s="1538" t="s">
        <v>291</v>
      </c>
      <c r="Q1408" s="1538" t="s">
        <v>294</v>
      </c>
      <c r="R1408" s="1538">
        <v>150000</v>
      </c>
      <c r="S1408" s="1538">
        <v>1000000</v>
      </c>
      <c r="T1408" s="1538">
        <v>0</v>
      </c>
      <c r="U1408" s="1538">
        <f t="shared" si="498"/>
        <v>1000000</v>
      </c>
      <c r="V1408" s="1538">
        <v>0</v>
      </c>
      <c r="W1408" s="1538">
        <v>55</v>
      </c>
      <c r="X1408" s="1538">
        <v>0</v>
      </c>
      <c r="Y1408" s="1538">
        <v>0</v>
      </c>
      <c r="Z1408" s="1540">
        <v>700</v>
      </c>
      <c r="AA1408" s="1540">
        <v>719</v>
      </c>
      <c r="AB1408" s="1540">
        <v>6</v>
      </c>
      <c r="AC1408" s="1540">
        <v>999999</v>
      </c>
      <c r="AD1408" s="1538">
        <v>0</v>
      </c>
      <c r="AE1408" s="1545">
        <v>80</v>
      </c>
      <c r="AF1408" s="170">
        <v>0</v>
      </c>
      <c r="AG1408" s="171">
        <v>1</v>
      </c>
      <c r="AH1408" s="171">
        <v>1</v>
      </c>
      <c r="AI1408" s="171">
        <v>1</v>
      </c>
      <c r="AJ1408" s="171">
        <v>1</v>
      </c>
      <c r="AK1408" s="171">
        <v>1</v>
      </c>
      <c r="AL1408" s="171">
        <v>1</v>
      </c>
      <c r="AM1408" s="171">
        <v>1</v>
      </c>
      <c r="AN1408" s="171">
        <v>1</v>
      </c>
      <c r="AO1408" s="171">
        <v>1</v>
      </c>
      <c r="AP1408" s="171">
        <v>1</v>
      </c>
      <c r="AQ1408" s="171">
        <v>1</v>
      </c>
      <c r="AR1408" s="171">
        <v>1</v>
      </c>
      <c r="AS1408" s="171">
        <v>1</v>
      </c>
      <c r="AT1408" s="171">
        <v>1</v>
      </c>
      <c r="AU1408" s="171">
        <f t="shared" si="488"/>
        <v>1</v>
      </c>
      <c r="AV1408" s="171">
        <f t="shared" si="489"/>
        <v>1</v>
      </c>
      <c r="AW1408" s="171">
        <f t="shared" si="490"/>
        <v>1</v>
      </c>
      <c r="AX1408" s="171">
        <f t="shared" si="485"/>
        <v>1</v>
      </c>
      <c r="AY1408" s="171">
        <f t="shared" si="491"/>
        <v>0</v>
      </c>
      <c r="AZ1408" s="171">
        <f t="shared" si="492"/>
        <v>1</v>
      </c>
      <c r="BA1408" s="172">
        <f t="shared" si="493"/>
        <v>1</v>
      </c>
      <c r="BB1408" s="175">
        <f t="shared" si="495"/>
        <v>20</v>
      </c>
      <c r="BC1408" s="176">
        <f t="shared" si="496"/>
        <v>19</v>
      </c>
      <c r="BD1408" s="176">
        <f t="shared" si="497"/>
        <v>20</v>
      </c>
      <c r="BE1408" s="240" t="str">
        <f t="shared" si="487"/>
        <v/>
      </c>
      <c r="BF1408" s="990"/>
      <c r="BG1408" s="990"/>
      <c r="BH1408" s="991">
        <f>IF(AND(Input_Product=Elig!$C1408,Elig_MatchAll_Ct&lt;22,$BC1408=(Elig_MatchAll_Ct-1),AF1408=0),C1408,0)</f>
        <v>0</v>
      </c>
      <c r="BI1408" s="991">
        <f>IF(AND(Input_Product=Elig!$C1408,Elig_MatchAll_Ct&lt;22,$BC1408=(Elig_MatchAll_Ct-1),AG1408=0),D1408,0)</f>
        <v>0</v>
      </c>
      <c r="BJ1408" s="991">
        <f>IF(AND(Input_Product=Elig!$C1408,Elig_MatchAll_Ct&lt;22,$BC1408=(Elig_MatchAll_Ct-1),AH1408=0),E1408,0)</f>
        <v>0</v>
      </c>
      <c r="BK1408" s="991">
        <f>IF(AND(Input_Product=Elig!$C1408,Elig_MatchAll_Ct&lt;22,$BC1408=(Elig_MatchAll_Ct-1),AI1408=0),F1408,0)</f>
        <v>0</v>
      </c>
      <c r="BL1408" s="991">
        <f>IF(AND(Input_Product=Elig!$C1408,Elig_MatchAll_Ct&lt;22,$BC1408=(Elig_MatchAll_Ct-1),AJ1408=0),G1408,0)</f>
        <v>0</v>
      </c>
      <c r="BM1408" s="991">
        <f>IF(AND(Input_Product=Elig!$C1408,Elig_MatchAll_Ct&lt;22,$BC1408=(Elig_MatchAll_Ct-1),AK1408=0),H1408,0)</f>
        <v>0</v>
      </c>
      <c r="BN1408" s="991">
        <f>IF(AND(Input_Product=Elig!$C1408,Elig_MatchAll_Ct&lt;22,$BC1408=(Elig_MatchAll_Ct-1),AL1408=0),I1408,0)</f>
        <v>0</v>
      </c>
      <c r="BO1408" s="991">
        <f>IF(AND(Input_Product=Elig!$C1408,Elig_MatchAll_Ct&lt;22,$BC1408=(Elig_MatchAll_Ct-1),AM1408=0),J1408,0)</f>
        <v>0</v>
      </c>
      <c r="BP1408" s="991">
        <f>IF(AND(Input_Product=Elig!$C1408,Elig_MatchAll_Ct&lt;22,$BC1408=(Elig_MatchAll_Ct-1),AN1408=0),K1408,0)</f>
        <v>0</v>
      </c>
      <c r="BQ1408" s="991">
        <f>IF(AND(Input_Product=Elig!$C1408,Elig_MatchAll_Ct&lt;22,$BC1408=(Elig_MatchAll_Ct-1),AP1408=0),L1408,0)</f>
        <v>0</v>
      </c>
      <c r="BR1408" s="991">
        <f>IF(AND(Input_Product=Elig!$C1408,Elig_MatchAll_Ct&lt;22,$BC1408=(Elig_MatchAll_Ct-1),AO1408=0),M1408,0)</f>
        <v>0</v>
      </c>
      <c r="BS1408" s="991">
        <f>IF(AND(Input_Product=Elig!$C1408,Elig_MatchAll_Ct&lt;22,$BC1408=(Elig_MatchAll_Ct-1),AQ1408=0),N1408,0)</f>
        <v>0</v>
      </c>
      <c r="BT1408" s="991">
        <f>IF(AND(Input_Product=Elig!$C1408,Elig_MatchAll_Ct&lt;22,$BC1408=(Elig_MatchAll_Ct-1),AR1408=0),O1408,0)</f>
        <v>0</v>
      </c>
      <c r="BU1408" s="991">
        <f>IF(AND(Input_Product=Elig!$C1408,Elig_MatchAll_Ct&lt;22,$BC1408=(Elig_MatchAll_Ct-1),AS1408=0),P1408,0)</f>
        <v>0</v>
      </c>
      <c r="BV1408" s="992">
        <f>IF(AND(Input_Product=Elig!$C1408,Elig_MatchAll_Ct&lt;22,$BC1408=(Elig_MatchAll_Ct-1),AT1408=0),Q1408,0)</f>
        <v>0</v>
      </c>
      <c r="BW1408" s="993">
        <f>IF(AND(Input_Product=Elig!$C1408,Elig_MatchAll_Ct&lt;22,$BC1408=(Elig_MatchAll_Ct-1),AU1408=0),R1408,0)</f>
        <v>0</v>
      </c>
      <c r="BX1408" s="994">
        <f>IF(AND(Input_Product=Elig!$C1408,Elig_MatchAll_Ct&lt;22,$BC1408=(Elig_MatchAll_Ct-1),AU1408=0),S1408,0)</f>
        <v>0</v>
      </c>
      <c r="BY1408" s="993">
        <f>IF(AND(Input_Product=Elig!$C1408,Elig_MatchAll_Ct&lt;22,$BC1408=(Elig_MatchAll_Ct-1),AV1408=0),T1408,0)</f>
        <v>0</v>
      </c>
      <c r="BZ1408" s="994">
        <f>IF(AND(Input_Product=Elig!$C1408,Elig_MatchAll_Ct&lt;22,$BC1408=(Elig_MatchAll_Ct-1),AV1408=0),U1408,0)</f>
        <v>0</v>
      </c>
      <c r="CA1408" s="993">
        <f>IF(AND(Input_Product=Elig!$C1408,Elig_MatchAll_Ct&lt;22,$BC1408=(Elig_MatchAll_Ct-1),AW1408=0),V1408,0)</f>
        <v>0</v>
      </c>
      <c r="CB1408" s="994">
        <f>IF(AND(Input_Product=Elig!$C1408,Elig_MatchAll_Ct&lt;22,$BC1408=(Elig_MatchAll_Ct-1),AW1408=0),W1408,0)</f>
        <v>0</v>
      </c>
      <c r="CC1408" s="993">
        <f>IF(AND(Input_Product=Elig!$C1408,Elig_MatchAll_Ct&lt;22,$BC1408=(Elig_MatchAll_Ct-1),AX1408=0),X1408,0)</f>
        <v>0</v>
      </c>
      <c r="CD1408" s="994">
        <f>IF(AND(Input_Product=Elig!$C1408,Elig_MatchAll_Ct&lt;22,$BC1408=(Elig_MatchAll_Ct-1),AX1408=0),Y1408,0)</f>
        <v>0</v>
      </c>
      <c r="CE1408" s="993">
        <f>IF(AND(Input_LTV&lt;=AE1408,Input_Product=Elig!$C1408,Elig_MatchAll_Ct&lt;22,$BC1408=(Elig_MatchAll_Ct-1),AY1408=0),Z1408,0)</f>
        <v>0</v>
      </c>
      <c r="CF1408" s="994">
        <f>IF(AND(Input_LTV&lt;=AE1408,Input_Product=Elig!$C1408,Elig_MatchAll_Ct&lt;22,$BC1408=(Elig_MatchAll_Ct-1),AY1408=0),AA1408,0)</f>
        <v>0</v>
      </c>
      <c r="CG1408" s="993">
        <f>IF(AND(Input_Product=Elig!$C1408,Elig_MatchAll_Ct&lt;22,$BC1408=(Elig_MatchAll_Ct-1),AZ1408=0),AB1408,0)</f>
        <v>0</v>
      </c>
      <c r="CH1408" s="994">
        <f>IF(AND(Input_Product=Elig!$C1408,Elig_MatchAll_Ct&lt;22,$BC1408=(Elig_MatchAll_Ct-1),AZ1408=0),AC1408,0)</f>
        <v>0</v>
      </c>
      <c r="CI1408" s="993">
        <f>IF(AND(Input_Product=Elig!$C1408,Elig_MatchAll_Ct&lt;22,$BC1408=(Elig_MatchAll_Ct-1),BA1408=0),AD1408,0)</f>
        <v>0</v>
      </c>
      <c r="CJ1408" s="994">
        <f>IF(AND(Input_Product=Elig!$C1408,Elig_MatchAll_Ct&lt;22,$BC1408=(Elig_MatchAll_Ct-1),BA1408=0),AE1408,0)</f>
        <v>0</v>
      </c>
    </row>
    <row r="1409" spans="2:88" ht="10.15" customHeight="1" x14ac:dyDescent="0.25">
      <c r="B1409" s="1538" t="s">
        <v>3607</v>
      </c>
      <c r="C1409" s="1538" t="str">
        <f t="shared" si="494"/>
        <v xml:space="preserve">  NOO</v>
      </c>
      <c r="D1409" s="1538" t="s">
        <v>2764</v>
      </c>
      <c r="E1409" s="1538" t="s">
        <v>167</v>
      </c>
      <c r="F1409" s="1538" t="s">
        <v>2765</v>
      </c>
      <c r="G1409" s="1538" t="s">
        <v>2766</v>
      </c>
      <c r="H1409" s="1538" t="s">
        <v>2767</v>
      </c>
      <c r="I1409" s="1539" t="s">
        <v>16</v>
      </c>
      <c r="J1409" s="1539" t="s">
        <v>1311</v>
      </c>
      <c r="K1409" s="1539" t="s">
        <v>3023</v>
      </c>
      <c r="L1409" s="1538" t="s">
        <v>2768</v>
      </c>
      <c r="M1409" s="1538" t="s">
        <v>2677</v>
      </c>
      <c r="N1409" s="1538" t="s">
        <v>2685</v>
      </c>
      <c r="O1409" s="1538" t="s">
        <v>310</v>
      </c>
      <c r="P1409" s="1538" t="s">
        <v>291</v>
      </c>
      <c r="Q1409" s="1538" t="s">
        <v>294</v>
      </c>
      <c r="R1409" s="1538">
        <v>1000000.01</v>
      </c>
      <c r="S1409" s="1538">
        <v>1500000</v>
      </c>
      <c r="T1409" s="1538">
        <v>0</v>
      </c>
      <c r="U1409" s="1538">
        <f t="shared" si="498"/>
        <v>1500000</v>
      </c>
      <c r="V1409" s="1538">
        <v>0</v>
      </c>
      <c r="W1409" s="1538">
        <v>55</v>
      </c>
      <c r="X1409" s="1538">
        <v>0</v>
      </c>
      <c r="Y1409" s="1538">
        <v>0</v>
      </c>
      <c r="Z1409" s="1540">
        <v>700</v>
      </c>
      <c r="AA1409" s="1540">
        <v>719</v>
      </c>
      <c r="AB1409" s="1540">
        <v>6</v>
      </c>
      <c r="AC1409" s="1540">
        <v>999999</v>
      </c>
      <c r="AD1409" s="1538">
        <v>0</v>
      </c>
      <c r="AE1409" s="1545">
        <v>80</v>
      </c>
      <c r="AF1409" s="170">
        <v>0</v>
      </c>
      <c r="AG1409" s="171">
        <v>1</v>
      </c>
      <c r="AH1409" s="171">
        <v>1</v>
      </c>
      <c r="AI1409" s="171">
        <v>1</v>
      </c>
      <c r="AJ1409" s="171">
        <v>1</v>
      </c>
      <c r="AK1409" s="171">
        <v>1</v>
      </c>
      <c r="AL1409" s="171">
        <v>1</v>
      </c>
      <c r="AM1409" s="171">
        <v>1</v>
      </c>
      <c r="AN1409" s="171">
        <v>1</v>
      </c>
      <c r="AO1409" s="171">
        <v>1</v>
      </c>
      <c r="AP1409" s="171">
        <v>1</v>
      </c>
      <c r="AQ1409" s="171">
        <v>1</v>
      </c>
      <c r="AR1409" s="171">
        <v>1</v>
      </c>
      <c r="AS1409" s="171">
        <v>1</v>
      </c>
      <c r="AT1409" s="171">
        <v>1</v>
      </c>
      <c r="AU1409" s="171">
        <f t="shared" si="488"/>
        <v>0</v>
      </c>
      <c r="AV1409" s="171">
        <f t="shared" si="489"/>
        <v>1</v>
      </c>
      <c r="AW1409" s="171">
        <f t="shared" si="490"/>
        <v>1</v>
      </c>
      <c r="AX1409" s="171">
        <f t="shared" si="485"/>
        <v>1</v>
      </c>
      <c r="AY1409" s="171">
        <f t="shared" si="491"/>
        <v>0</v>
      </c>
      <c r="AZ1409" s="171">
        <f t="shared" si="492"/>
        <v>1</v>
      </c>
      <c r="BA1409" s="172">
        <f t="shared" si="493"/>
        <v>1</v>
      </c>
      <c r="BB1409" s="175">
        <f t="shared" si="495"/>
        <v>19</v>
      </c>
      <c r="BC1409" s="176">
        <f t="shared" si="496"/>
        <v>18</v>
      </c>
      <c r="BD1409" s="176">
        <f t="shared" si="497"/>
        <v>19</v>
      </c>
      <c r="BE1409" s="240" t="str">
        <f t="shared" si="487"/>
        <v/>
      </c>
      <c r="BF1409" s="990"/>
      <c r="BG1409" s="990"/>
      <c r="BH1409" s="991">
        <f>IF(AND(Input_Product=Elig!$C1409,Elig_MatchAll_Ct&lt;22,$BC1409=(Elig_MatchAll_Ct-1),AF1409=0),C1409,0)</f>
        <v>0</v>
      </c>
      <c r="BI1409" s="991">
        <f>IF(AND(Input_Product=Elig!$C1409,Elig_MatchAll_Ct&lt;22,$BC1409=(Elig_MatchAll_Ct-1),AG1409=0),D1409,0)</f>
        <v>0</v>
      </c>
      <c r="BJ1409" s="991">
        <f>IF(AND(Input_Product=Elig!$C1409,Elig_MatchAll_Ct&lt;22,$BC1409=(Elig_MatchAll_Ct-1),AH1409=0),E1409,0)</f>
        <v>0</v>
      </c>
      <c r="BK1409" s="991">
        <f>IF(AND(Input_Product=Elig!$C1409,Elig_MatchAll_Ct&lt;22,$BC1409=(Elig_MatchAll_Ct-1),AI1409=0),F1409,0)</f>
        <v>0</v>
      </c>
      <c r="BL1409" s="991">
        <f>IF(AND(Input_Product=Elig!$C1409,Elig_MatchAll_Ct&lt;22,$BC1409=(Elig_MatchAll_Ct-1),AJ1409=0),G1409,0)</f>
        <v>0</v>
      </c>
      <c r="BM1409" s="991">
        <f>IF(AND(Input_Product=Elig!$C1409,Elig_MatchAll_Ct&lt;22,$BC1409=(Elig_MatchAll_Ct-1),AK1409=0),H1409,0)</f>
        <v>0</v>
      </c>
      <c r="BN1409" s="991">
        <f>IF(AND(Input_Product=Elig!$C1409,Elig_MatchAll_Ct&lt;22,$BC1409=(Elig_MatchAll_Ct-1),AL1409=0),I1409,0)</f>
        <v>0</v>
      </c>
      <c r="BO1409" s="991">
        <f>IF(AND(Input_Product=Elig!$C1409,Elig_MatchAll_Ct&lt;22,$BC1409=(Elig_MatchAll_Ct-1),AM1409=0),J1409,0)</f>
        <v>0</v>
      </c>
      <c r="BP1409" s="991">
        <f>IF(AND(Input_Product=Elig!$C1409,Elig_MatchAll_Ct&lt;22,$BC1409=(Elig_MatchAll_Ct-1),AN1409=0),K1409,0)</f>
        <v>0</v>
      </c>
      <c r="BQ1409" s="991">
        <f>IF(AND(Input_Product=Elig!$C1409,Elig_MatchAll_Ct&lt;22,$BC1409=(Elig_MatchAll_Ct-1),AP1409=0),L1409,0)</f>
        <v>0</v>
      </c>
      <c r="BR1409" s="991">
        <f>IF(AND(Input_Product=Elig!$C1409,Elig_MatchAll_Ct&lt;22,$BC1409=(Elig_MatchAll_Ct-1),AO1409=0),M1409,0)</f>
        <v>0</v>
      </c>
      <c r="BS1409" s="991">
        <f>IF(AND(Input_Product=Elig!$C1409,Elig_MatchAll_Ct&lt;22,$BC1409=(Elig_MatchAll_Ct-1),AQ1409=0),N1409,0)</f>
        <v>0</v>
      </c>
      <c r="BT1409" s="991">
        <f>IF(AND(Input_Product=Elig!$C1409,Elig_MatchAll_Ct&lt;22,$BC1409=(Elig_MatchAll_Ct-1),AR1409=0),O1409,0)</f>
        <v>0</v>
      </c>
      <c r="BU1409" s="991">
        <f>IF(AND(Input_Product=Elig!$C1409,Elig_MatchAll_Ct&lt;22,$BC1409=(Elig_MatchAll_Ct-1),AS1409=0),P1409,0)</f>
        <v>0</v>
      </c>
      <c r="BV1409" s="992">
        <f>IF(AND(Input_Product=Elig!$C1409,Elig_MatchAll_Ct&lt;22,$BC1409=(Elig_MatchAll_Ct-1),AT1409=0),Q1409,0)</f>
        <v>0</v>
      </c>
      <c r="BW1409" s="993">
        <f>IF(AND(Input_Product=Elig!$C1409,Elig_MatchAll_Ct&lt;22,$BC1409=(Elig_MatchAll_Ct-1),AU1409=0),R1409,0)</f>
        <v>0</v>
      </c>
      <c r="BX1409" s="994">
        <f>IF(AND(Input_Product=Elig!$C1409,Elig_MatchAll_Ct&lt;22,$BC1409=(Elig_MatchAll_Ct-1),AU1409=0),S1409,0)</f>
        <v>0</v>
      </c>
      <c r="BY1409" s="993">
        <f>IF(AND(Input_Product=Elig!$C1409,Elig_MatchAll_Ct&lt;22,$BC1409=(Elig_MatchAll_Ct-1),AV1409=0),T1409,0)</f>
        <v>0</v>
      </c>
      <c r="BZ1409" s="994">
        <f>IF(AND(Input_Product=Elig!$C1409,Elig_MatchAll_Ct&lt;22,$BC1409=(Elig_MatchAll_Ct-1),AV1409=0),U1409,0)</f>
        <v>0</v>
      </c>
      <c r="CA1409" s="993">
        <f>IF(AND(Input_Product=Elig!$C1409,Elig_MatchAll_Ct&lt;22,$BC1409=(Elig_MatchAll_Ct-1),AW1409=0),V1409,0)</f>
        <v>0</v>
      </c>
      <c r="CB1409" s="994">
        <f>IF(AND(Input_Product=Elig!$C1409,Elig_MatchAll_Ct&lt;22,$BC1409=(Elig_MatchAll_Ct-1),AW1409=0),W1409,0)</f>
        <v>0</v>
      </c>
      <c r="CC1409" s="993">
        <f>IF(AND(Input_Product=Elig!$C1409,Elig_MatchAll_Ct&lt;22,$BC1409=(Elig_MatchAll_Ct-1),AX1409=0),X1409,0)</f>
        <v>0</v>
      </c>
      <c r="CD1409" s="994">
        <f>IF(AND(Input_Product=Elig!$C1409,Elig_MatchAll_Ct&lt;22,$BC1409=(Elig_MatchAll_Ct-1),AX1409=0),Y1409,0)</f>
        <v>0</v>
      </c>
      <c r="CE1409" s="993">
        <f>IF(AND(Input_LTV&lt;=AE1409,Input_Product=Elig!$C1409,Elig_MatchAll_Ct&lt;22,$BC1409=(Elig_MatchAll_Ct-1),AY1409=0),Z1409,0)</f>
        <v>0</v>
      </c>
      <c r="CF1409" s="994">
        <f>IF(AND(Input_LTV&lt;=AE1409,Input_Product=Elig!$C1409,Elig_MatchAll_Ct&lt;22,$BC1409=(Elig_MatchAll_Ct-1),AY1409=0),AA1409,0)</f>
        <v>0</v>
      </c>
      <c r="CG1409" s="993">
        <f>IF(AND(Input_Product=Elig!$C1409,Elig_MatchAll_Ct&lt;22,$BC1409=(Elig_MatchAll_Ct-1),AZ1409=0),AB1409,0)</f>
        <v>0</v>
      </c>
      <c r="CH1409" s="994">
        <f>IF(AND(Input_Product=Elig!$C1409,Elig_MatchAll_Ct&lt;22,$BC1409=(Elig_MatchAll_Ct-1),AZ1409=0),AC1409,0)</f>
        <v>0</v>
      </c>
      <c r="CI1409" s="993">
        <f>IF(AND(Input_Product=Elig!$C1409,Elig_MatchAll_Ct&lt;22,$BC1409=(Elig_MatchAll_Ct-1),BA1409=0),AD1409,0)</f>
        <v>0</v>
      </c>
      <c r="CJ1409" s="994">
        <f>IF(AND(Input_Product=Elig!$C1409,Elig_MatchAll_Ct&lt;22,$BC1409=(Elig_MatchAll_Ct-1),BA1409=0),AE1409,0)</f>
        <v>0</v>
      </c>
    </row>
    <row r="1410" spans="2:88" ht="10.15" customHeight="1" x14ac:dyDescent="0.25">
      <c r="B1410" s="1538" t="s">
        <v>3608</v>
      </c>
      <c r="C1410" s="1538" t="str">
        <f t="shared" si="494"/>
        <v xml:space="preserve">  NOO</v>
      </c>
      <c r="D1410" s="1538" t="s">
        <v>2764</v>
      </c>
      <c r="E1410" s="1538" t="s">
        <v>167</v>
      </c>
      <c r="F1410" s="1538" t="s">
        <v>2765</v>
      </c>
      <c r="G1410" s="1538" t="s">
        <v>2766</v>
      </c>
      <c r="H1410" s="1538" t="s">
        <v>2767</v>
      </c>
      <c r="I1410" s="1539" t="s">
        <v>16</v>
      </c>
      <c r="J1410" s="1539" t="s">
        <v>1311</v>
      </c>
      <c r="K1410" s="1539" t="s">
        <v>3023</v>
      </c>
      <c r="L1410" s="1538" t="s">
        <v>2768</v>
      </c>
      <c r="M1410" s="1538" t="s">
        <v>2677</v>
      </c>
      <c r="N1410" s="1538" t="s">
        <v>2685</v>
      </c>
      <c r="O1410" s="1538" t="s">
        <v>310</v>
      </c>
      <c r="P1410" s="1538" t="s">
        <v>291</v>
      </c>
      <c r="Q1410" s="1538" t="s">
        <v>294</v>
      </c>
      <c r="R1410" s="1538">
        <v>1500000.01</v>
      </c>
      <c r="S1410" s="1538">
        <v>2000000</v>
      </c>
      <c r="T1410" s="1538">
        <v>0</v>
      </c>
      <c r="U1410" s="1538">
        <f t="shared" si="498"/>
        <v>2000000</v>
      </c>
      <c r="V1410" s="1538">
        <v>0</v>
      </c>
      <c r="W1410" s="1538">
        <v>55</v>
      </c>
      <c r="X1410" s="1538">
        <v>0</v>
      </c>
      <c r="Y1410" s="1538">
        <v>0</v>
      </c>
      <c r="Z1410" s="1540">
        <v>700</v>
      </c>
      <c r="AA1410" s="1540">
        <v>719</v>
      </c>
      <c r="AB1410" s="1540">
        <v>6</v>
      </c>
      <c r="AC1410" s="1540">
        <v>999999</v>
      </c>
      <c r="AD1410" s="1538">
        <v>0</v>
      </c>
      <c r="AE1410" s="1545">
        <v>70</v>
      </c>
      <c r="AF1410" s="170">
        <v>0</v>
      </c>
      <c r="AG1410" s="171">
        <v>1</v>
      </c>
      <c r="AH1410" s="171">
        <v>1</v>
      </c>
      <c r="AI1410" s="171">
        <v>1</v>
      </c>
      <c r="AJ1410" s="171">
        <v>1</v>
      </c>
      <c r="AK1410" s="171">
        <v>1</v>
      </c>
      <c r="AL1410" s="171">
        <v>1</v>
      </c>
      <c r="AM1410" s="171">
        <v>1</v>
      </c>
      <c r="AN1410" s="171">
        <v>1</v>
      </c>
      <c r="AO1410" s="171">
        <v>1</v>
      </c>
      <c r="AP1410" s="171">
        <v>1</v>
      </c>
      <c r="AQ1410" s="171">
        <v>1</v>
      </c>
      <c r="AR1410" s="171">
        <v>1</v>
      </c>
      <c r="AS1410" s="171">
        <v>1</v>
      </c>
      <c r="AT1410" s="171">
        <v>1</v>
      </c>
      <c r="AU1410" s="171">
        <f t="shared" si="488"/>
        <v>0</v>
      </c>
      <c r="AV1410" s="171">
        <f t="shared" si="489"/>
        <v>1</v>
      </c>
      <c r="AW1410" s="171">
        <f t="shared" si="490"/>
        <v>1</v>
      </c>
      <c r="AX1410" s="171">
        <f t="shared" si="485"/>
        <v>1</v>
      </c>
      <c r="AY1410" s="171">
        <f t="shared" si="491"/>
        <v>0</v>
      </c>
      <c r="AZ1410" s="171">
        <f t="shared" si="492"/>
        <v>1</v>
      </c>
      <c r="BA1410" s="172">
        <f t="shared" si="493"/>
        <v>1</v>
      </c>
      <c r="BB1410" s="175">
        <f t="shared" si="495"/>
        <v>19</v>
      </c>
      <c r="BC1410" s="176">
        <f t="shared" si="496"/>
        <v>18</v>
      </c>
      <c r="BD1410" s="176">
        <f t="shared" si="497"/>
        <v>19</v>
      </c>
      <c r="BE1410" s="240" t="str">
        <f t="shared" si="487"/>
        <v/>
      </c>
      <c r="BF1410" s="990"/>
      <c r="BG1410" s="990"/>
      <c r="BH1410" s="991">
        <f>IF(AND(Input_Product=Elig!$C1410,Elig_MatchAll_Ct&lt;22,$BC1410=(Elig_MatchAll_Ct-1),AF1410=0),C1410,0)</f>
        <v>0</v>
      </c>
      <c r="BI1410" s="991">
        <f>IF(AND(Input_Product=Elig!$C1410,Elig_MatchAll_Ct&lt;22,$BC1410=(Elig_MatchAll_Ct-1),AG1410=0),D1410,0)</f>
        <v>0</v>
      </c>
      <c r="BJ1410" s="991">
        <f>IF(AND(Input_Product=Elig!$C1410,Elig_MatchAll_Ct&lt;22,$BC1410=(Elig_MatchAll_Ct-1),AH1410=0),E1410,0)</f>
        <v>0</v>
      </c>
      <c r="BK1410" s="991">
        <f>IF(AND(Input_Product=Elig!$C1410,Elig_MatchAll_Ct&lt;22,$BC1410=(Elig_MatchAll_Ct-1),AI1410=0),F1410,0)</f>
        <v>0</v>
      </c>
      <c r="BL1410" s="991">
        <f>IF(AND(Input_Product=Elig!$C1410,Elig_MatchAll_Ct&lt;22,$BC1410=(Elig_MatchAll_Ct-1),AJ1410=0),G1410,0)</f>
        <v>0</v>
      </c>
      <c r="BM1410" s="991">
        <f>IF(AND(Input_Product=Elig!$C1410,Elig_MatchAll_Ct&lt;22,$BC1410=(Elig_MatchAll_Ct-1),AK1410=0),H1410,0)</f>
        <v>0</v>
      </c>
      <c r="BN1410" s="991">
        <f>IF(AND(Input_Product=Elig!$C1410,Elig_MatchAll_Ct&lt;22,$BC1410=(Elig_MatchAll_Ct-1),AL1410=0),I1410,0)</f>
        <v>0</v>
      </c>
      <c r="BO1410" s="991">
        <f>IF(AND(Input_Product=Elig!$C1410,Elig_MatchAll_Ct&lt;22,$BC1410=(Elig_MatchAll_Ct-1),AM1410=0),J1410,0)</f>
        <v>0</v>
      </c>
      <c r="BP1410" s="991">
        <f>IF(AND(Input_Product=Elig!$C1410,Elig_MatchAll_Ct&lt;22,$BC1410=(Elig_MatchAll_Ct-1),AN1410=0),K1410,0)</f>
        <v>0</v>
      </c>
      <c r="BQ1410" s="991">
        <f>IF(AND(Input_Product=Elig!$C1410,Elig_MatchAll_Ct&lt;22,$BC1410=(Elig_MatchAll_Ct-1),AP1410=0),L1410,0)</f>
        <v>0</v>
      </c>
      <c r="BR1410" s="991">
        <f>IF(AND(Input_Product=Elig!$C1410,Elig_MatchAll_Ct&lt;22,$BC1410=(Elig_MatchAll_Ct-1),AO1410=0),M1410,0)</f>
        <v>0</v>
      </c>
      <c r="BS1410" s="991">
        <f>IF(AND(Input_Product=Elig!$C1410,Elig_MatchAll_Ct&lt;22,$BC1410=(Elig_MatchAll_Ct-1),AQ1410=0),N1410,0)</f>
        <v>0</v>
      </c>
      <c r="BT1410" s="991">
        <f>IF(AND(Input_Product=Elig!$C1410,Elig_MatchAll_Ct&lt;22,$BC1410=(Elig_MatchAll_Ct-1),AR1410=0),O1410,0)</f>
        <v>0</v>
      </c>
      <c r="BU1410" s="991">
        <f>IF(AND(Input_Product=Elig!$C1410,Elig_MatchAll_Ct&lt;22,$BC1410=(Elig_MatchAll_Ct-1),AS1410=0),P1410,0)</f>
        <v>0</v>
      </c>
      <c r="BV1410" s="992">
        <f>IF(AND(Input_Product=Elig!$C1410,Elig_MatchAll_Ct&lt;22,$BC1410=(Elig_MatchAll_Ct-1),AT1410=0),Q1410,0)</f>
        <v>0</v>
      </c>
      <c r="BW1410" s="993">
        <f>IF(AND(Input_Product=Elig!$C1410,Elig_MatchAll_Ct&lt;22,$BC1410=(Elig_MatchAll_Ct-1),AU1410=0),R1410,0)</f>
        <v>0</v>
      </c>
      <c r="BX1410" s="994">
        <f>IF(AND(Input_Product=Elig!$C1410,Elig_MatchAll_Ct&lt;22,$BC1410=(Elig_MatchAll_Ct-1),AU1410=0),S1410,0)</f>
        <v>0</v>
      </c>
      <c r="BY1410" s="993">
        <f>IF(AND(Input_Product=Elig!$C1410,Elig_MatchAll_Ct&lt;22,$BC1410=(Elig_MatchAll_Ct-1),AV1410=0),T1410,0)</f>
        <v>0</v>
      </c>
      <c r="BZ1410" s="994">
        <f>IF(AND(Input_Product=Elig!$C1410,Elig_MatchAll_Ct&lt;22,$BC1410=(Elig_MatchAll_Ct-1),AV1410=0),U1410,0)</f>
        <v>0</v>
      </c>
      <c r="CA1410" s="993">
        <f>IF(AND(Input_Product=Elig!$C1410,Elig_MatchAll_Ct&lt;22,$BC1410=(Elig_MatchAll_Ct-1),AW1410=0),V1410,0)</f>
        <v>0</v>
      </c>
      <c r="CB1410" s="994">
        <f>IF(AND(Input_Product=Elig!$C1410,Elig_MatchAll_Ct&lt;22,$BC1410=(Elig_MatchAll_Ct-1),AW1410=0),W1410,0)</f>
        <v>0</v>
      </c>
      <c r="CC1410" s="993">
        <f>IF(AND(Input_Product=Elig!$C1410,Elig_MatchAll_Ct&lt;22,$BC1410=(Elig_MatchAll_Ct-1),AX1410=0),X1410,0)</f>
        <v>0</v>
      </c>
      <c r="CD1410" s="994">
        <f>IF(AND(Input_Product=Elig!$C1410,Elig_MatchAll_Ct&lt;22,$BC1410=(Elig_MatchAll_Ct-1),AX1410=0),Y1410,0)</f>
        <v>0</v>
      </c>
      <c r="CE1410" s="993">
        <f>IF(AND(Input_LTV&lt;=AE1410,Input_Product=Elig!$C1410,Elig_MatchAll_Ct&lt;22,$BC1410=(Elig_MatchAll_Ct-1),AY1410=0),Z1410,0)</f>
        <v>0</v>
      </c>
      <c r="CF1410" s="994">
        <f>IF(AND(Input_LTV&lt;=AE1410,Input_Product=Elig!$C1410,Elig_MatchAll_Ct&lt;22,$BC1410=(Elig_MatchAll_Ct-1),AY1410=0),AA1410,0)</f>
        <v>0</v>
      </c>
      <c r="CG1410" s="993">
        <f>IF(AND(Input_Product=Elig!$C1410,Elig_MatchAll_Ct&lt;22,$BC1410=(Elig_MatchAll_Ct-1),AZ1410=0),AB1410,0)</f>
        <v>0</v>
      </c>
      <c r="CH1410" s="994">
        <f>IF(AND(Input_Product=Elig!$C1410,Elig_MatchAll_Ct&lt;22,$BC1410=(Elig_MatchAll_Ct-1),AZ1410=0),AC1410,0)</f>
        <v>0</v>
      </c>
      <c r="CI1410" s="993">
        <f>IF(AND(Input_Product=Elig!$C1410,Elig_MatchAll_Ct&lt;22,$BC1410=(Elig_MatchAll_Ct-1),BA1410=0),AD1410,0)</f>
        <v>0</v>
      </c>
      <c r="CJ1410" s="994">
        <f>IF(AND(Input_Product=Elig!$C1410,Elig_MatchAll_Ct&lt;22,$BC1410=(Elig_MatchAll_Ct-1),BA1410=0),AE1410,0)</f>
        <v>0</v>
      </c>
    </row>
    <row r="1411" spans="2:88" ht="10.15" customHeight="1" x14ac:dyDescent="0.25">
      <c r="B1411" s="1538" t="s">
        <v>3609</v>
      </c>
      <c r="C1411" s="1538" t="str">
        <f t="shared" si="494"/>
        <v xml:space="preserve">  NOO</v>
      </c>
      <c r="D1411" s="1538" t="s">
        <v>2764</v>
      </c>
      <c r="E1411" s="1538" t="s">
        <v>167</v>
      </c>
      <c r="F1411" s="1538" t="s">
        <v>2765</v>
      </c>
      <c r="G1411" s="1538" t="s">
        <v>2766</v>
      </c>
      <c r="H1411" s="1538" t="s">
        <v>2767</v>
      </c>
      <c r="I1411" s="1539" t="s">
        <v>16</v>
      </c>
      <c r="J1411" s="1539" t="s">
        <v>1311</v>
      </c>
      <c r="K1411" s="1539" t="s">
        <v>3023</v>
      </c>
      <c r="L1411" s="1538" t="s">
        <v>2768</v>
      </c>
      <c r="M1411" s="1538" t="s">
        <v>2677</v>
      </c>
      <c r="N1411" s="1538" t="s">
        <v>2685</v>
      </c>
      <c r="O1411" s="1538" t="s">
        <v>310</v>
      </c>
      <c r="P1411" s="1538" t="s">
        <v>291</v>
      </c>
      <c r="Q1411" s="1538" t="s">
        <v>294</v>
      </c>
      <c r="R1411" s="1538">
        <v>2000000.01</v>
      </c>
      <c r="S1411" s="1538">
        <v>2500000</v>
      </c>
      <c r="T1411" s="1538">
        <v>0</v>
      </c>
      <c r="U1411" s="1538">
        <f t="shared" si="498"/>
        <v>2500000</v>
      </c>
      <c r="V1411" s="1538">
        <v>0</v>
      </c>
      <c r="W1411" s="1538">
        <v>55</v>
      </c>
      <c r="X1411" s="1538">
        <v>0</v>
      </c>
      <c r="Y1411" s="1538">
        <v>0</v>
      </c>
      <c r="Z1411" s="1540">
        <v>700</v>
      </c>
      <c r="AA1411" s="1540">
        <v>719</v>
      </c>
      <c r="AB1411" s="1540">
        <v>6</v>
      </c>
      <c r="AC1411" s="1540">
        <v>999999</v>
      </c>
      <c r="AD1411" s="1538">
        <v>0</v>
      </c>
      <c r="AE1411" s="1545">
        <v>65</v>
      </c>
      <c r="AF1411" s="170">
        <v>0</v>
      </c>
      <c r="AG1411" s="171">
        <v>1</v>
      </c>
      <c r="AH1411" s="171">
        <v>1</v>
      </c>
      <c r="AI1411" s="171">
        <v>1</v>
      </c>
      <c r="AJ1411" s="171">
        <v>1</v>
      </c>
      <c r="AK1411" s="171">
        <v>1</v>
      </c>
      <c r="AL1411" s="171">
        <v>1</v>
      </c>
      <c r="AM1411" s="171">
        <v>1</v>
      </c>
      <c r="AN1411" s="171">
        <v>1</v>
      </c>
      <c r="AO1411" s="171">
        <v>1</v>
      </c>
      <c r="AP1411" s="171">
        <v>1</v>
      </c>
      <c r="AQ1411" s="171">
        <v>1</v>
      </c>
      <c r="AR1411" s="171">
        <v>1</v>
      </c>
      <c r="AS1411" s="171">
        <v>1</v>
      </c>
      <c r="AT1411" s="171">
        <v>1</v>
      </c>
      <c r="AU1411" s="171">
        <f t="shared" si="488"/>
        <v>0</v>
      </c>
      <c r="AV1411" s="171">
        <f t="shared" si="489"/>
        <v>1</v>
      </c>
      <c r="AW1411" s="171">
        <f t="shared" si="490"/>
        <v>1</v>
      </c>
      <c r="AX1411" s="171">
        <f t="shared" ref="AX1411:AX1474" si="499">IF(AND(Input_DSCR&gt;=Elig_DSCR_Min,Input_DSCR&lt;=Elig_DSCR_Max),1,0)</f>
        <v>1</v>
      </c>
      <c r="AY1411" s="171">
        <f t="shared" si="491"/>
        <v>0</v>
      </c>
      <c r="AZ1411" s="171">
        <f t="shared" si="492"/>
        <v>1</v>
      </c>
      <c r="BA1411" s="172">
        <f t="shared" si="493"/>
        <v>1</v>
      </c>
      <c r="BB1411" s="175">
        <f t="shared" si="495"/>
        <v>19</v>
      </c>
      <c r="BC1411" s="176">
        <f t="shared" si="496"/>
        <v>18</v>
      </c>
      <c r="BD1411" s="176">
        <f t="shared" si="497"/>
        <v>19</v>
      </c>
      <c r="BE1411" s="240" t="str">
        <f t="shared" si="487"/>
        <v/>
      </c>
      <c r="BF1411" s="990"/>
      <c r="BG1411" s="990"/>
      <c r="BH1411" s="991">
        <f>IF(AND(Input_Product=Elig!$C1411,Elig_MatchAll_Ct&lt;22,$BC1411=(Elig_MatchAll_Ct-1),AF1411=0),C1411,0)</f>
        <v>0</v>
      </c>
      <c r="BI1411" s="991">
        <f>IF(AND(Input_Product=Elig!$C1411,Elig_MatchAll_Ct&lt;22,$BC1411=(Elig_MatchAll_Ct-1),AG1411=0),D1411,0)</f>
        <v>0</v>
      </c>
      <c r="BJ1411" s="991">
        <f>IF(AND(Input_Product=Elig!$C1411,Elig_MatchAll_Ct&lt;22,$BC1411=(Elig_MatchAll_Ct-1),AH1411=0),E1411,0)</f>
        <v>0</v>
      </c>
      <c r="BK1411" s="991">
        <f>IF(AND(Input_Product=Elig!$C1411,Elig_MatchAll_Ct&lt;22,$BC1411=(Elig_MatchAll_Ct-1),AI1411=0),F1411,0)</f>
        <v>0</v>
      </c>
      <c r="BL1411" s="991">
        <f>IF(AND(Input_Product=Elig!$C1411,Elig_MatchAll_Ct&lt;22,$BC1411=(Elig_MatchAll_Ct-1),AJ1411=0),G1411,0)</f>
        <v>0</v>
      </c>
      <c r="BM1411" s="991">
        <f>IF(AND(Input_Product=Elig!$C1411,Elig_MatchAll_Ct&lt;22,$BC1411=(Elig_MatchAll_Ct-1),AK1411=0),H1411,0)</f>
        <v>0</v>
      </c>
      <c r="BN1411" s="991">
        <f>IF(AND(Input_Product=Elig!$C1411,Elig_MatchAll_Ct&lt;22,$BC1411=(Elig_MatchAll_Ct-1),AL1411=0),I1411,0)</f>
        <v>0</v>
      </c>
      <c r="BO1411" s="991">
        <f>IF(AND(Input_Product=Elig!$C1411,Elig_MatchAll_Ct&lt;22,$BC1411=(Elig_MatchAll_Ct-1),AM1411=0),J1411,0)</f>
        <v>0</v>
      </c>
      <c r="BP1411" s="991">
        <f>IF(AND(Input_Product=Elig!$C1411,Elig_MatchAll_Ct&lt;22,$BC1411=(Elig_MatchAll_Ct-1),AN1411=0),K1411,0)</f>
        <v>0</v>
      </c>
      <c r="BQ1411" s="991">
        <f>IF(AND(Input_Product=Elig!$C1411,Elig_MatchAll_Ct&lt;22,$BC1411=(Elig_MatchAll_Ct-1),AP1411=0),L1411,0)</f>
        <v>0</v>
      </c>
      <c r="BR1411" s="991">
        <f>IF(AND(Input_Product=Elig!$C1411,Elig_MatchAll_Ct&lt;22,$BC1411=(Elig_MatchAll_Ct-1),AO1411=0),M1411,0)</f>
        <v>0</v>
      </c>
      <c r="BS1411" s="991">
        <f>IF(AND(Input_Product=Elig!$C1411,Elig_MatchAll_Ct&lt;22,$BC1411=(Elig_MatchAll_Ct-1),AQ1411=0),N1411,0)</f>
        <v>0</v>
      </c>
      <c r="BT1411" s="991">
        <f>IF(AND(Input_Product=Elig!$C1411,Elig_MatchAll_Ct&lt;22,$BC1411=(Elig_MatchAll_Ct-1),AR1411=0),O1411,0)</f>
        <v>0</v>
      </c>
      <c r="BU1411" s="991">
        <f>IF(AND(Input_Product=Elig!$C1411,Elig_MatchAll_Ct&lt;22,$BC1411=(Elig_MatchAll_Ct-1),AS1411=0),P1411,0)</f>
        <v>0</v>
      </c>
      <c r="BV1411" s="992">
        <f>IF(AND(Input_Product=Elig!$C1411,Elig_MatchAll_Ct&lt;22,$BC1411=(Elig_MatchAll_Ct-1),AT1411=0),Q1411,0)</f>
        <v>0</v>
      </c>
      <c r="BW1411" s="993">
        <f>IF(AND(Input_Product=Elig!$C1411,Elig_MatchAll_Ct&lt;22,$BC1411=(Elig_MatchAll_Ct-1),AU1411=0),R1411,0)</f>
        <v>0</v>
      </c>
      <c r="BX1411" s="994">
        <f>IF(AND(Input_Product=Elig!$C1411,Elig_MatchAll_Ct&lt;22,$BC1411=(Elig_MatchAll_Ct-1),AU1411=0),S1411,0)</f>
        <v>0</v>
      </c>
      <c r="BY1411" s="993">
        <f>IF(AND(Input_Product=Elig!$C1411,Elig_MatchAll_Ct&lt;22,$BC1411=(Elig_MatchAll_Ct-1),AV1411=0),T1411,0)</f>
        <v>0</v>
      </c>
      <c r="BZ1411" s="994">
        <f>IF(AND(Input_Product=Elig!$C1411,Elig_MatchAll_Ct&lt;22,$BC1411=(Elig_MatchAll_Ct-1),AV1411=0),U1411,0)</f>
        <v>0</v>
      </c>
      <c r="CA1411" s="993">
        <f>IF(AND(Input_Product=Elig!$C1411,Elig_MatchAll_Ct&lt;22,$BC1411=(Elig_MatchAll_Ct-1),AW1411=0),V1411,0)</f>
        <v>0</v>
      </c>
      <c r="CB1411" s="994">
        <f>IF(AND(Input_Product=Elig!$C1411,Elig_MatchAll_Ct&lt;22,$BC1411=(Elig_MatchAll_Ct-1),AW1411=0),W1411,0)</f>
        <v>0</v>
      </c>
      <c r="CC1411" s="993">
        <f>IF(AND(Input_Product=Elig!$C1411,Elig_MatchAll_Ct&lt;22,$BC1411=(Elig_MatchAll_Ct-1),AX1411=0),X1411,0)</f>
        <v>0</v>
      </c>
      <c r="CD1411" s="994">
        <f>IF(AND(Input_Product=Elig!$C1411,Elig_MatchAll_Ct&lt;22,$BC1411=(Elig_MatchAll_Ct-1),AX1411=0),Y1411,0)</f>
        <v>0</v>
      </c>
      <c r="CE1411" s="993">
        <f>IF(AND(Input_LTV&lt;=AE1411,Input_Product=Elig!$C1411,Elig_MatchAll_Ct&lt;22,$BC1411=(Elig_MatchAll_Ct-1),AY1411=0),Z1411,0)</f>
        <v>0</v>
      </c>
      <c r="CF1411" s="994">
        <f>IF(AND(Input_LTV&lt;=AE1411,Input_Product=Elig!$C1411,Elig_MatchAll_Ct&lt;22,$BC1411=(Elig_MatchAll_Ct-1),AY1411=0),AA1411,0)</f>
        <v>0</v>
      </c>
      <c r="CG1411" s="993">
        <f>IF(AND(Input_Product=Elig!$C1411,Elig_MatchAll_Ct&lt;22,$BC1411=(Elig_MatchAll_Ct-1),AZ1411=0),AB1411,0)</f>
        <v>0</v>
      </c>
      <c r="CH1411" s="994">
        <f>IF(AND(Input_Product=Elig!$C1411,Elig_MatchAll_Ct&lt;22,$BC1411=(Elig_MatchAll_Ct-1),AZ1411=0),AC1411,0)</f>
        <v>0</v>
      </c>
      <c r="CI1411" s="993">
        <f>IF(AND(Input_Product=Elig!$C1411,Elig_MatchAll_Ct&lt;22,$BC1411=(Elig_MatchAll_Ct-1),BA1411=0),AD1411,0)</f>
        <v>0</v>
      </c>
      <c r="CJ1411" s="994">
        <f>IF(AND(Input_Product=Elig!$C1411,Elig_MatchAll_Ct&lt;22,$BC1411=(Elig_MatchAll_Ct-1),BA1411=0),AE1411,0)</f>
        <v>0</v>
      </c>
    </row>
    <row r="1412" spans="2:88" ht="10.15" customHeight="1" x14ac:dyDescent="0.25">
      <c r="B1412" s="1538" t="s">
        <v>3610</v>
      </c>
      <c r="C1412" s="1538" t="str">
        <f t="shared" si="494"/>
        <v xml:space="preserve">  NOO</v>
      </c>
      <c r="D1412" s="1538" t="s">
        <v>2764</v>
      </c>
      <c r="E1412" s="1538" t="s">
        <v>167</v>
      </c>
      <c r="F1412" s="1538" t="s">
        <v>2765</v>
      </c>
      <c r="G1412" s="1538" t="s">
        <v>2766</v>
      </c>
      <c r="H1412" s="1538" t="s">
        <v>2767</v>
      </c>
      <c r="I1412" s="1539" t="s">
        <v>16</v>
      </c>
      <c r="J1412" s="1539" t="s">
        <v>1311</v>
      </c>
      <c r="K1412" s="1539" t="s">
        <v>3023</v>
      </c>
      <c r="L1412" s="1538" t="s">
        <v>2768</v>
      </c>
      <c r="M1412" s="1538" t="s">
        <v>2677</v>
      </c>
      <c r="N1412" s="1538" t="s">
        <v>2685</v>
      </c>
      <c r="O1412" s="1538" t="s">
        <v>310</v>
      </c>
      <c r="P1412" s="1538" t="s">
        <v>291</v>
      </c>
      <c r="Q1412" s="1538" t="s">
        <v>294</v>
      </c>
      <c r="R1412" s="1538">
        <v>2500000.0099999998</v>
      </c>
      <c r="S1412" s="1538">
        <v>3000000</v>
      </c>
      <c r="T1412" s="1538">
        <v>0</v>
      </c>
      <c r="U1412" s="1538">
        <f t="shared" si="498"/>
        <v>3000000</v>
      </c>
      <c r="V1412" s="1538">
        <v>0</v>
      </c>
      <c r="W1412" s="1538">
        <v>55</v>
      </c>
      <c r="X1412" s="1538">
        <v>0</v>
      </c>
      <c r="Y1412" s="1538">
        <v>0</v>
      </c>
      <c r="Z1412" s="1540">
        <v>700</v>
      </c>
      <c r="AA1412" s="1540">
        <v>719</v>
      </c>
      <c r="AB1412" s="1540">
        <v>6</v>
      </c>
      <c r="AC1412" s="1540">
        <v>999999</v>
      </c>
      <c r="AD1412" s="1538">
        <v>0</v>
      </c>
      <c r="AE1412" s="1545">
        <v>65</v>
      </c>
      <c r="AF1412" s="170">
        <v>0</v>
      </c>
      <c r="AG1412" s="171">
        <v>1</v>
      </c>
      <c r="AH1412" s="171">
        <v>1</v>
      </c>
      <c r="AI1412" s="171">
        <v>1</v>
      </c>
      <c r="AJ1412" s="171">
        <v>1</v>
      </c>
      <c r="AK1412" s="171">
        <v>1</v>
      </c>
      <c r="AL1412" s="171">
        <v>1</v>
      </c>
      <c r="AM1412" s="171">
        <v>1</v>
      </c>
      <c r="AN1412" s="171">
        <v>1</v>
      </c>
      <c r="AO1412" s="171">
        <v>1</v>
      </c>
      <c r="AP1412" s="171">
        <v>1</v>
      </c>
      <c r="AQ1412" s="171">
        <v>1</v>
      </c>
      <c r="AR1412" s="171">
        <v>1</v>
      </c>
      <c r="AS1412" s="171">
        <v>1</v>
      </c>
      <c r="AT1412" s="171">
        <v>1</v>
      </c>
      <c r="AU1412" s="171">
        <f t="shared" si="488"/>
        <v>0</v>
      </c>
      <c r="AV1412" s="171">
        <f t="shared" si="489"/>
        <v>1</v>
      </c>
      <c r="AW1412" s="171">
        <f t="shared" si="490"/>
        <v>1</v>
      </c>
      <c r="AX1412" s="171">
        <f t="shared" si="499"/>
        <v>1</v>
      </c>
      <c r="AY1412" s="171">
        <f t="shared" si="491"/>
        <v>0</v>
      </c>
      <c r="AZ1412" s="171">
        <f t="shared" si="492"/>
        <v>1</v>
      </c>
      <c r="BA1412" s="172">
        <f t="shared" si="493"/>
        <v>1</v>
      </c>
      <c r="BB1412" s="175">
        <f t="shared" si="495"/>
        <v>19</v>
      </c>
      <c r="BC1412" s="176">
        <f t="shared" si="496"/>
        <v>18</v>
      </c>
      <c r="BD1412" s="176">
        <f t="shared" si="497"/>
        <v>19</v>
      </c>
      <c r="BE1412" s="240" t="str">
        <f t="shared" si="487"/>
        <v/>
      </c>
      <c r="BF1412" s="990"/>
      <c r="BG1412" s="990"/>
      <c r="BH1412" s="991">
        <f>IF(AND(Input_Product=Elig!$C1412,Elig_MatchAll_Ct&lt;22,$BC1412=(Elig_MatchAll_Ct-1),AF1412=0),C1412,0)</f>
        <v>0</v>
      </c>
      <c r="BI1412" s="991">
        <f>IF(AND(Input_Product=Elig!$C1412,Elig_MatchAll_Ct&lt;22,$BC1412=(Elig_MatchAll_Ct-1),AG1412=0),D1412,0)</f>
        <v>0</v>
      </c>
      <c r="BJ1412" s="991">
        <f>IF(AND(Input_Product=Elig!$C1412,Elig_MatchAll_Ct&lt;22,$BC1412=(Elig_MatchAll_Ct-1),AH1412=0),E1412,0)</f>
        <v>0</v>
      </c>
      <c r="BK1412" s="991">
        <f>IF(AND(Input_Product=Elig!$C1412,Elig_MatchAll_Ct&lt;22,$BC1412=(Elig_MatchAll_Ct-1),AI1412=0),F1412,0)</f>
        <v>0</v>
      </c>
      <c r="BL1412" s="991">
        <f>IF(AND(Input_Product=Elig!$C1412,Elig_MatchAll_Ct&lt;22,$BC1412=(Elig_MatchAll_Ct-1),AJ1412=0),G1412,0)</f>
        <v>0</v>
      </c>
      <c r="BM1412" s="991">
        <f>IF(AND(Input_Product=Elig!$C1412,Elig_MatchAll_Ct&lt;22,$BC1412=(Elig_MatchAll_Ct-1),AK1412=0),H1412,0)</f>
        <v>0</v>
      </c>
      <c r="BN1412" s="991">
        <f>IF(AND(Input_Product=Elig!$C1412,Elig_MatchAll_Ct&lt;22,$BC1412=(Elig_MatchAll_Ct-1),AL1412=0),I1412,0)</f>
        <v>0</v>
      </c>
      <c r="BO1412" s="991">
        <f>IF(AND(Input_Product=Elig!$C1412,Elig_MatchAll_Ct&lt;22,$BC1412=(Elig_MatchAll_Ct-1),AM1412=0),J1412,0)</f>
        <v>0</v>
      </c>
      <c r="BP1412" s="991">
        <f>IF(AND(Input_Product=Elig!$C1412,Elig_MatchAll_Ct&lt;22,$BC1412=(Elig_MatchAll_Ct-1),AN1412=0),K1412,0)</f>
        <v>0</v>
      </c>
      <c r="BQ1412" s="991">
        <f>IF(AND(Input_Product=Elig!$C1412,Elig_MatchAll_Ct&lt;22,$BC1412=(Elig_MatchAll_Ct-1),AP1412=0),L1412,0)</f>
        <v>0</v>
      </c>
      <c r="BR1412" s="991">
        <f>IF(AND(Input_Product=Elig!$C1412,Elig_MatchAll_Ct&lt;22,$BC1412=(Elig_MatchAll_Ct-1),AO1412=0),M1412,0)</f>
        <v>0</v>
      </c>
      <c r="BS1412" s="991">
        <f>IF(AND(Input_Product=Elig!$C1412,Elig_MatchAll_Ct&lt;22,$BC1412=(Elig_MatchAll_Ct-1),AQ1412=0),N1412,0)</f>
        <v>0</v>
      </c>
      <c r="BT1412" s="991">
        <f>IF(AND(Input_Product=Elig!$C1412,Elig_MatchAll_Ct&lt;22,$BC1412=(Elig_MatchAll_Ct-1),AR1412=0),O1412,0)</f>
        <v>0</v>
      </c>
      <c r="BU1412" s="991">
        <f>IF(AND(Input_Product=Elig!$C1412,Elig_MatchAll_Ct&lt;22,$BC1412=(Elig_MatchAll_Ct-1),AS1412=0),P1412,0)</f>
        <v>0</v>
      </c>
      <c r="BV1412" s="992">
        <f>IF(AND(Input_Product=Elig!$C1412,Elig_MatchAll_Ct&lt;22,$BC1412=(Elig_MatchAll_Ct-1),AT1412=0),Q1412,0)</f>
        <v>0</v>
      </c>
      <c r="BW1412" s="993">
        <f>IF(AND(Input_Product=Elig!$C1412,Elig_MatchAll_Ct&lt;22,$BC1412=(Elig_MatchAll_Ct-1),AU1412=0),R1412,0)</f>
        <v>0</v>
      </c>
      <c r="BX1412" s="994">
        <f>IF(AND(Input_Product=Elig!$C1412,Elig_MatchAll_Ct&lt;22,$BC1412=(Elig_MatchAll_Ct-1),AU1412=0),S1412,0)</f>
        <v>0</v>
      </c>
      <c r="BY1412" s="993">
        <f>IF(AND(Input_Product=Elig!$C1412,Elig_MatchAll_Ct&lt;22,$BC1412=(Elig_MatchAll_Ct-1),AV1412=0),T1412,0)</f>
        <v>0</v>
      </c>
      <c r="BZ1412" s="994">
        <f>IF(AND(Input_Product=Elig!$C1412,Elig_MatchAll_Ct&lt;22,$BC1412=(Elig_MatchAll_Ct-1),AV1412=0),U1412,0)</f>
        <v>0</v>
      </c>
      <c r="CA1412" s="993">
        <f>IF(AND(Input_Product=Elig!$C1412,Elig_MatchAll_Ct&lt;22,$BC1412=(Elig_MatchAll_Ct-1),AW1412=0),V1412,0)</f>
        <v>0</v>
      </c>
      <c r="CB1412" s="994">
        <f>IF(AND(Input_Product=Elig!$C1412,Elig_MatchAll_Ct&lt;22,$BC1412=(Elig_MatchAll_Ct-1),AW1412=0),W1412,0)</f>
        <v>0</v>
      </c>
      <c r="CC1412" s="993">
        <f>IF(AND(Input_Product=Elig!$C1412,Elig_MatchAll_Ct&lt;22,$BC1412=(Elig_MatchAll_Ct-1),AX1412=0),X1412,0)</f>
        <v>0</v>
      </c>
      <c r="CD1412" s="994">
        <f>IF(AND(Input_Product=Elig!$C1412,Elig_MatchAll_Ct&lt;22,$BC1412=(Elig_MatchAll_Ct-1),AX1412=0),Y1412,0)</f>
        <v>0</v>
      </c>
      <c r="CE1412" s="993">
        <f>IF(AND(Input_LTV&lt;=AE1412,Input_Product=Elig!$C1412,Elig_MatchAll_Ct&lt;22,$BC1412=(Elig_MatchAll_Ct-1),AY1412=0),Z1412,0)</f>
        <v>0</v>
      </c>
      <c r="CF1412" s="994">
        <f>IF(AND(Input_LTV&lt;=AE1412,Input_Product=Elig!$C1412,Elig_MatchAll_Ct&lt;22,$BC1412=(Elig_MatchAll_Ct-1),AY1412=0),AA1412,0)</f>
        <v>0</v>
      </c>
      <c r="CG1412" s="993">
        <f>IF(AND(Input_Product=Elig!$C1412,Elig_MatchAll_Ct&lt;22,$BC1412=(Elig_MatchAll_Ct-1),AZ1412=0),AB1412,0)</f>
        <v>0</v>
      </c>
      <c r="CH1412" s="994">
        <f>IF(AND(Input_Product=Elig!$C1412,Elig_MatchAll_Ct&lt;22,$BC1412=(Elig_MatchAll_Ct-1),AZ1412=0),AC1412,0)</f>
        <v>0</v>
      </c>
      <c r="CI1412" s="993">
        <f>IF(AND(Input_Product=Elig!$C1412,Elig_MatchAll_Ct&lt;22,$BC1412=(Elig_MatchAll_Ct-1),BA1412=0),AD1412,0)</f>
        <v>0</v>
      </c>
      <c r="CJ1412" s="994">
        <f>IF(AND(Input_Product=Elig!$C1412,Elig_MatchAll_Ct&lt;22,$BC1412=(Elig_MatchAll_Ct-1),BA1412=0),AE1412,0)</f>
        <v>0</v>
      </c>
    </row>
    <row r="1413" spans="2:88" ht="10.15" customHeight="1" x14ac:dyDescent="0.25">
      <c r="B1413" s="1538" t="s">
        <v>3611</v>
      </c>
      <c r="C1413" s="1538" t="str">
        <f t="shared" si="494"/>
        <v xml:space="preserve">  NOO</v>
      </c>
      <c r="D1413" s="1538" t="s">
        <v>2764</v>
      </c>
      <c r="E1413" s="1538" t="s">
        <v>167</v>
      </c>
      <c r="F1413" s="1538" t="s">
        <v>2765</v>
      </c>
      <c r="G1413" s="1538" t="s">
        <v>2766</v>
      </c>
      <c r="H1413" s="1538" t="s">
        <v>2767</v>
      </c>
      <c r="I1413" s="1539" t="s">
        <v>16</v>
      </c>
      <c r="J1413" s="1539" t="s">
        <v>1311</v>
      </c>
      <c r="K1413" s="1539" t="s">
        <v>3023</v>
      </c>
      <c r="L1413" s="1538" t="s">
        <v>2768</v>
      </c>
      <c r="M1413" s="1538" t="s">
        <v>2677</v>
      </c>
      <c r="N1413" s="1538" t="s">
        <v>2685</v>
      </c>
      <c r="O1413" s="1538" t="s">
        <v>310</v>
      </c>
      <c r="P1413" s="1538" t="s">
        <v>291</v>
      </c>
      <c r="Q1413" s="1538" t="s">
        <v>294</v>
      </c>
      <c r="R1413" s="1538">
        <v>150000</v>
      </c>
      <c r="S1413" s="1538">
        <v>1000000</v>
      </c>
      <c r="T1413" s="1538">
        <v>0</v>
      </c>
      <c r="U1413" s="1538">
        <f t="shared" si="498"/>
        <v>1000000</v>
      </c>
      <c r="V1413" s="1538">
        <v>0</v>
      </c>
      <c r="W1413" s="1538">
        <v>55</v>
      </c>
      <c r="X1413" s="1538">
        <v>0</v>
      </c>
      <c r="Y1413" s="1538">
        <v>0</v>
      </c>
      <c r="Z1413" s="1540">
        <v>680</v>
      </c>
      <c r="AA1413" s="1540">
        <v>699</v>
      </c>
      <c r="AB1413" s="1540">
        <v>6</v>
      </c>
      <c r="AC1413" s="1540">
        <v>999999</v>
      </c>
      <c r="AD1413" s="1538">
        <v>0</v>
      </c>
      <c r="AE1413" s="1545">
        <v>75</v>
      </c>
      <c r="AF1413" s="170">
        <v>0</v>
      </c>
      <c r="AG1413" s="171">
        <v>1</v>
      </c>
      <c r="AH1413" s="171">
        <v>1</v>
      </c>
      <c r="AI1413" s="171">
        <v>1</v>
      </c>
      <c r="AJ1413" s="171">
        <v>1</v>
      </c>
      <c r="AK1413" s="171">
        <v>1</v>
      </c>
      <c r="AL1413" s="171">
        <v>1</v>
      </c>
      <c r="AM1413" s="171">
        <v>1</v>
      </c>
      <c r="AN1413" s="171">
        <v>1</v>
      </c>
      <c r="AO1413" s="171">
        <v>1</v>
      </c>
      <c r="AP1413" s="171">
        <v>1</v>
      </c>
      <c r="AQ1413" s="171">
        <v>1</v>
      </c>
      <c r="AR1413" s="171">
        <v>1</v>
      </c>
      <c r="AS1413" s="171">
        <v>1</v>
      </c>
      <c r="AT1413" s="171">
        <v>1</v>
      </c>
      <c r="AU1413" s="171">
        <f t="shared" si="488"/>
        <v>1</v>
      </c>
      <c r="AV1413" s="171">
        <f t="shared" si="489"/>
        <v>1</v>
      </c>
      <c r="AW1413" s="171">
        <f t="shared" si="490"/>
        <v>1</v>
      </c>
      <c r="AX1413" s="171">
        <f t="shared" si="499"/>
        <v>1</v>
      </c>
      <c r="AY1413" s="171">
        <f t="shared" si="491"/>
        <v>0</v>
      </c>
      <c r="AZ1413" s="171">
        <f t="shared" si="492"/>
        <v>1</v>
      </c>
      <c r="BA1413" s="172">
        <f t="shared" si="493"/>
        <v>1</v>
      </c>
      <c r="BB1413" s="175">
        <f t="shared" si="495"/>
        <v>20</v>
      </c>
      <c r="BC1413" s="176">
        <f t="shared" si="496"/>
        <v>19</v>
      </c>
      <c r="BD1413" s="176">
        <f t="shared" si="497"/>
        <v>20</v>
      </c>
      <c r="BE1413" s="240" t="str">
        <f t="shared" si="487"/>
        <v/>
      </c>
      <c r="BF1413" s="990"/>
      <c r="BG1413" s="990"/>
      <c r="BH1413" s="991">
        <f>IF(AND(Input_Product=Elig!$C1413,Elig_MatchAll_Ct&lt;22,$BC1413=(Elig_MatchAll_Ct-1),AF1413=0),C1413,0)</f>
        <v>0</v>
      </c>
      <c r="BI1413" s="991">
        <f>IF(AND(Input_Product=Elig!$C1413,Elig_MatchAll_Ct&lt;22,$BC1413=(Elig_MatchAll_Ct-1),AG1413=0),D1413,0)</f>
        <v>0</v>
      </c>
      <c r="BJ1413" s="991">
        <f>IF(AND(Input_Product=Elig!$C1413,Elig_MatchAll_Ct&lt;22,$BC1413=(Elig_MatchAll_Ct-1),AH1413=0),E1413,0)</f>
        <v>0</v>
      </c>
      <c r="BK1413" s="991">
        <f>IF(AND(Input_Product=Elig!$C1413,Elig_MatchAll_Ct&lt;22,$BC1413=(Elig_MatchAll_Ct-1),AI1413=0),F1413,0)</f>
        <v>0</v>
      </c>
      <c r="BL1413" s="991">
        <f>IF(AND(Input_Product=Elig!$C1413,Elig_MatchAll_Ct&lt;22,$BC1413=(Elig_MatchAll_Ct-1),AJ1413=0),G1413,0)</f>
        <v>0</v>
      </c>
      <c r="BM1413" s="991">
        <f>IF(AND(Input_Product=Elig!$C1413,Elig_MatchAll_Ct&lt;22,$BC1413=(Elig_MatchAll_Ct-1),AK1413=0),H1413,0)</f>
        <v>0</v>
      </c>
      <c r="BN1413" s="991">
        <f>IF(AND(Input_Product=Elig!$C1413,Elig_MatchAll_Ct&lt;22,$BC1413=(Elig_MatchAll_Ct-1),AL1413=0),I1413,0)</f>
        <v>0</v>
      </c>
      <c r="BO1413" s="991">
        <f>IF(AND(Input_Product=Elig!$C1413,Elig_MatchAll_Ct&lt;22,$BC1413=(Elig_MatchAll_Ct-1),AM1413=0),J1413,0)</f>
        <v>0</v>
      </c>
      <c r="BP1413" s="991">
        <f>IF(AND(Input_Product=Elig!$C1413,Elig_MatchAll_Ct&lt;22,$BC1413=(Elig_MatchAll_Ct-1),AN1413=0),K1413,0)</f>
        <v>0</v>
      </c>
      <c r="BQ1413" s="991">
        <f>IF(AND(Input_Product=Elig!$C1413,Elig_MatchAll_Ct&lt;22,$BC1413=(Elig_MatchAll_Ct-1),AP1413=0),L1413,0)</f>
        <v>0</v>
      </c>
      <c r="BR1413" s="991">
        <f>IF(AND(Input_Product=Elig!$C1413,Elig_MatchAll_Ct&lt;22,$BC1413=(Elig_MatchAll_Ct-1),AO1413=0),M1413,0)</f>
        <v>0</v>
      </c>
      <c r="BS1413" s="991">
        <f>IF(AND(Input_Product=Elig!$C1413,Elig_MatchAll_Ct&lt;22,$BC1413=(Elig_MatchAll_Ct-1),AQ1413=0),N1413,0)</f>
        <v>0</v>
      </c>
      <c r="BT1413" s="991">
        <f>IF(AND(Input_Product=Elig!$C1413,Elig_MatchAll_Ct&lt;22,$BC1413=(Elig_MatchAll_Ct-1),AR1413=0),O1413,0)</f>
        <v>0</v>
      </c>
      <c r="BU1413" s="991">
        <f>IF(AND(Input_Product=Elig!$C1413,Elig_MatchAll_Ct&lt;22,$BC1413=(Elig_MatchAll_Ct-1),AS1413=0),P1413,0)</f>
        <v>0</v>
      </c>
      <c r="BV1413" s="992">
        <f>IF(AND(Input_Product=Elig!$C1413,Elig_MatchAll_Ct&lt;22,$BC1413=(Elig_MatchAll_Ct-1),AT1413=0),Q1413,0)</f>
        <v>0</v>
      </c>
      <c r="BW1413" s="993">
        <f>IF(AND(Input_Product=Elig!$C1413,Elig_MatchAll_Ct&lt;22,$BC1413=(Elig_MatchAll_Ct-1),AU1413=0),R1413,0)</f>
        <v>0</v>
      </c>
      <c r="BX1413" s="994">
        <f>IF(AND(Input_Product=Elig!$C1413,Elig_MatchAll_Ct&lt;22,$BC1413=(Elig_MatchAll_Ct-1),AU1413=0),S1413,0)</f>
        <v>0</v>
      </c>
      <c r="BY1413" s="993">
        <f>IF(AND(Input_Product=Elig!$C1413,Elig_MatchAll_Ct&lt;22,$BC1413=(Elig_MatchAll_Ct-1),AV1413=0),T1413,0)</f>
        <v>0</v>
      </c>
      <c r="BZ1413" s="994">
        <f>IF(AND(Input_Product=Elig!$C1413,Elig_MatchAll_Ct&lt;22,$BC1413=(Elig_MatchAll_Ct-1),AV1413=0),U1413,0)</f>
        <v>0</v>
      </c>
      <c r="CA1413" s="993">
        <f>IF(AND(Input_Product=Elig!$C1413,Elig_MatchAll_Ct&lt;22,$BC1413=(Elig_MatchAll_Ct-1),AW1413=0),V1413,0)</f>
        <v>0</v>
      </c>
      <c r="CB1413" s="994">
        <f>IF(AND(Input_Product=Elig!$C1413,Elig_MatchAll_Ct&lt;22,$BC1413=(Elig_MatchAll_Ct-1),AW1413=0),W1413,0)</f>
        <v>0</v>
      </c>
      <c r="CC1413" s="993">
        <f>IF(AND(Input_Product=Elig!$C1413,Elig_MatchAll_Ct&lt;22,$BC1413=(Elig_MatchAll_Ct-1),AX1413=0),X1413,0)</f>
        <v>0</v>
      </c>
      <c r="CD1413" s="994">
        <f>IF(AND(Input_Product=Elig!$C1413,Elig_MatchAll_Ct&lt;22,$BC1413=(Elig_MatchAll_Ct-1),AX1413=0),Y1413,0)</f>
        <v>0</v>
      </c>
      <c r="CE1413" s="993">
        <f>IF(AND(Input_LTV&lt;=AE1413,Input_Product=Elig!$C1413,Elig_MatchAll_Ct&lt;22,$BC1413=(Elig_MatchAll_Ct-1),AY1413=0),Z1413,0)</f>
        <v>0</v>
      </c>
      <c r="CF1413" s="994">
        <f>IF(AND(Input_LTV&lt;=AE1413,Input_Product=Elig!$C1413,Elig_MatchAll_Ct&lt;22,$BC1413=(Elig_MatchAll_Ct-1),AY1413=0),AA1413,0)</f>
        <v>0</v>
      </c>
      <c r="CG1413" s="993">
        <f>IF(AND(Input_Product=Elig!$C1413,Elig_MatchAll_Ct&lt;22,$BC1413=(Elig_MatchAll_Ct-1),AZ1413=0),AB1413,0)</f>
        <v>0</v>
      </c>
      <c r="CH1413" s="994">
        <f>IF(AND(Input_Product=Elig!$C1413,Elig_MatchAll_Ct&lt;22,$BC1413=(Elig_MatchAll_Ct-1),AZ1413=0),AC1413,0)</f>
        <v>0</v>
      </c>
      <c r="CI1413" s="993">
        <f>IF(AND(Input_Product=Elig!$C1413,Elig_MatchAll_Ct&lt;22,$BC1413=(Elig_MatchAll_Ct-1),BA1413=0),AD1413,0)</f>
        <v>0</v>
      </c>
      <c r="CJ1413" s="994">
        <f>IF(AND(Input_Product=Elig!$C1413,Elig_MatchAll_Ct&lt;22,$BC1413=(Elig_MatchAll_Ct-1),BA1413=0),AE1413,0)</f>
        <v>0</v>
      </c>
    </row>
    <row r="1414" spans="2:88" ht="10.15" customHeight="1" x14ac:dyDescent="0.25">
      <c r="B1414" s="1538" t="s">
        <v>3612</v>
      </c>
      <c r="C1414" s="1538" t="str">
        <f t="shared" si="494"/>
        <v xml:space="preserve">  NOO</v>
      </c>
      <c r="D1414" s="1538" t="s">
        <v>2764</v>
      </c>
      <c r="E1414" s="1538" t="s">
        <v>167</v>
      </c>
      <c r="F1414" s="1538" t="s">
        <v>2765</v>
      </c>
      <c r="G1414" s="1538" t="s">
        <v>2766</v>
      </c>
      <c r="H1414" s="1538" t="s">
        <v>2767</v>
      </c>
      <c r="I1414" s="1539" t="s">
        <v>16</v>
      </c>
      <c r="J1414" s="1539" t="s">
        <v>1311</v>
      </c>
      <c r="K1414" s="1539" t="s">
        <v>3023</v>
      </c>
      <c r="L1414" s="1538" t="s">
        <v>2768</v>
      </c>
      <c r="M1414" s="1538" t="s">
        <v>2677</v>
      </c>
      <c r="N1414" s="1538" t="s">
        <v>2685</v>
      </c>
      <c r="O1414" s="1538" t="s">
        <v>310</v>
      </c>
      <c r="P1414" s="1538" t="s">
        <v>291</v>
      </c>
      <c r="Q1414" s="1538" t="s">
        <v>294</v>
      </c>
      <c r="R1414" s="1538">
        <v>1000000.01</v>
      </c>
      <c r="S1414" s="1538">
        <v>1500000</v>
      </c>
      <c r="T1414" s="1538">
        <v>0</v>
      </c>
      <c r="U1414" s="1538">
        <f t="shared" si="498"/>
        <v>1500000</v>
      </c>
      <c r="V1414" s="1538">
        <v>0</v>
      </c>
      <c r="W1414" s="1538">
        <v>55</v>
      </c>
      <c r="X1414" s="1538">
        <v>0</v>
      </c>
      <c r="Y1414" s="1538">
        <v>0</v>
      </c>
      <c r="Z1414" s="1540">
        <v>680</v>
      </c>
      <c r="AA1414" s="1540">
        <v>699</v>
      </c>
      <c r="AB1414" s="1540">
        <v>6</v>
      </c>
      <c r="AC1414" s="1540">
        <v>999999</v>
      </c>
      <c r="AD1414" s="1538">
        <v>0</v>
      </c>
      <c r="AE1414" s="1545">
        <v>75</v>
      </c>
      <c r="AF1414" s="170">
        <v>0</v>
      </c>
      <c r="AG1414" s="171">
        <v>1</v>
      </c>
      <c r="AH1414" s="171">
        <v>1</v>
      </c>
      <c r="AI1414" s="171">
        <v>1</v>
      </c>
      <c r="AJ1414" s="171">
        <v>1</v>
      </c>
      <c r="AK1414" s="171">
        <v>1</v>
      </c>
      <c r="AL1414" s="171">
        <v>1</v>
      </c>
      <c r="AM1414" s="171">
        <v>1</v>
      </c>
      <c r="AN1414" s="171">
        <v>1</v>
      </c>
      <c r="AO1414" s="171">
        <v>1</v>
      </c>
      <c r="AP1414" s="171">
        <v>1</v>
      </c>
      <c r="AQ1414" s="171">
        <v>1</v>
      </c>
      <c r="AR1414" s="171">
        <v>1</v>
      </c>
      <c r="AS1414" s="171">
        <v>1</v>
      </c>
      <c r="AT1414" s="171">
        <v>1</v>
      </c>
      <c r="AU1414" s="171">
        <f t="shared" si="488"/>
        <v>0</v>
      </c>
      <c r="AV1414" s="171">
        <f t="shared" si="489"/>
        <v>1</v>
      </c>
      <c r="AW1414" s="171">
        <f t="shared" si="490"/>
        <v>1</v>
      </c>
      <c r="AX1414" s="171">
        <f t="shared" si="499"/>
        <v>1</v>
      </c>
      <c r="AY1414" s="171">
        <f t="shared" si="491"/>
        <v>0</v>
      </c>
      <c r="AZ1414" s="171">
        <f t="shared" si="492"/>
        <v>1</v>
      </c>
      <c r="BA1414" s="172">
        <f t="shared" si="493"/>
        <v>1</v>
      </c>
      <c r="BB1414" s="175">
        <f t="shared" si="495"/>
        <v>19</v>
      </c>
      <c r="BC1414" s="176">
        <f t="shared" si="496"/>
        <v>18</v>
      </c>
      <c r="BD1414" s="176">
        <f t="shared" si="497"/>
        <v>19</v>
      </c>
      <c r="BE1414" s="240" t="str">
        <f t="shared" si="487"/>
        <v/>
      </c>
      <c r="BF1414" s="990"/>
      <c r="BG1414" s="990"/>
      <c r="BH1414" s="991">
        <f>IF(AND(Input_Product=Elig!$C1414,Elig_MatchAll_Ct&lt;22,$BC1414=(Elig_MatchAll_Ct-1),AF1414=0),C1414,0)</f>
        <v>0</v>
      </c>
      <c r="BI1414" s="991">
        <f>IF(AND(Input_Product=Elig!$C1414,Elig_MatchAll_Ct&lt;22,$BC1414=(Elig_MatchAll_Ct-1),AG1414=0),D1414,0)</f>
        <v>0</v>
      </c>
      <c r="BJ1414" s="991">
        <f>IF(AND(Input_Product=Elig!$C1414,Elig_MatchAll_Ct&lt;22,$BC1414=(Elig_MatchAll_Ct-1),AH1414=0),E1414,0)</f>
        <v>0</v>
      </c>
      <c r="BK1414" s="991">
        <f>IF(AND(Input_Product=Elig!$C1414,Elig_MatchAll_Ct&lt;22,$BC1414=(Elig_MatchAll_Ct-1),AI1414=0),F1414,0)</f>
        <v>0</v>
      </c>
      <c r="BL1414" s="991">
        <f>IF(AND(Input_Product=Elig!$C1414,Elig_MatchAll_Ct&lt;22,$BC1414=(Elig_MatchAll_Ct-1),AJ1414=0),G1414,0)</f>
        <v>0</v>
      </c>
      <c r="BM1414" s="991">
        <f>IF(AND(Input_Product=Elig!$C1414,Elig_MatchAll_Ct&lt;22,$BC1414=(Elig_MatchAll_Ct-1),AK1414=0),H1414,0)</f>
        <v>0</v>
      </c>
      <c r="BN1414" s="991">
        <f>IF(AND(Input_Product=Elig!$C1414,Elig_MatchAll_Ct&lt;22,$BC1414=(Elig_MatchAll_Ct-1),AL1414=0),I1414,0)</f>
        <v>0</v>
      </c>
      <c r="BO1414" s="991">
        <f>IF(AND(Input_Product=Elig!$C1414,Elig_MatchAll_Ct&lt;22,$BC1414=(Elig_MatchAll_Ct-1),AM1414=0),J1414,0)</f>
        <v>0</v>
      </c>
      <c r="BP1414" s="991">
        <f>IF(AND(Input_Product=Elig!$C1414,Elig_MatchAll_Ct&lt;22,$BC1414=(Elig_MatchAll_Ct-1),AN1414=0),K1414,0)</f>
        <v>0</v>
      </c>
      <c r="BQ1414" s="991">
        <f>IF(AND(Input_Product=Elig!$C1414,Elig_MatchAll_Ct&lt;22,$BC1414=(Elig_MatchAll_Ct-1),AP1414=0),L1414,0)</f>
        <v>0</v>
      </c>
      <c r="BR1414" s="991">
        <f>IF(AND(Input_Product=Elig!$C1414,Elig_MatchAll_Ct&lt;22,$BC1414=(Elig_MatchAll_Ct-1),AO1414=0),M1414,0)</f>
        <v>0</v>
      </c>
      <c r="BS1414" s="991">
        <f>IF(AND(Input_Product=Elig!$C1414,Elig_MatchAll_Ct&lt;22,$BC1414=(Elig_MatchAll_Ct-1),AQ1414=0),N1414,0)</f>
        <v>0</v>
      </c>
      <c r="BT1414" s="991">
        <f>IF(AND(Input_Product=Elig!$C1414,Elig_MatchAll_Ct&lt;22,$BC1414=(Elig_MatchAll_Ct-1),AR1414=0),O1414,0)</f>
        <v>0</v>
      </c>
      <c r="BU1414" s="991">
        <f>IF(AND(Input_Product=Elig!$C1414,Elig_MatchAll_Ct&lt;22,$BC1414=(Elig_MatchAll_Ct-1),AS1414=0),P1414,0)</f>
        <v>0</v>
      </c>
      <c r="BV1414" s="992">
        <f>IF(AND(Input_Product=Elig!$C1414,Elig_MatchAll_Ct&lt;22,$BC1414=(Elig_MatchAll_Ct-1),AT1414=0),Q1414,0)</f>
        <v>0</v>
      </c>
      <c r="BW1414" s="993">
        <f>IF(AND(Input_Product=Elig!$C1414,Elig_MatchAll_Ct&lt;22,$BC1414=(Elig_MatchAll_Ct-1),AU1414=0),R1414,0)</f>
        <v>0</v>
      </c>
      <c r="BX1414" s="994">
        <f>IF(AND(Input_Product=Elig!$C1414,Elig_MatchAll_Ct&lt;22,$BC1414=(Elig_MatchAll_Ct-1),AU1414=0),S1414,0)</f>
        <v>0</v>
      </c>
      <c r="BY1414" s="993">
        <f>IF(AND(Input_Product=Elig!$C1414,Elig_MatchAll_Ct&lt;22,$BC1414=(Elig_MatchAll_Ct-1),AV1414=0),T1414,0)</f>
        <v>0</v>
      </c>
      <c r="BZ1414" s="994">
        <f>IF(AND(Input_Product=Elig!$C1414,Elig_MatchAll_Ct&lt;22,$BC1414=(Elig_MatchAll_Ct-1),AV1414=0),U1414,0)</f>
        <v>0</v>
      </c>
      <c r="CA1414" s="993">
        <f>IF(AND(Input_Product=Elig!$C1414,Elig_MatchAll_Ct&lt;22,$BC1414=(Elig_MatchAll_Ct-1),AW1414=0),V1414,0)</f>
        <v>0</v>
      </c>
      <c r="CB1414" s="994">
        <f>IF(AND(Input_Product=Elig!$C1414,Elig_MatchAll_Ct&lt;22,$BC1414=(Elig_MatchAll_Ct-1),AW1414=0),W1414,0)</f>
        <v>0</v>
      </c>
      <c r="CC1414" s="993">
        <f>IF(AND(Input_Product=Elig!$C1414,Elig_MatchAll_Ct&lt;22,$BC1414=(Elig_MatchAll_Ct-1),AX1414=0),X1414,0)</f>
        <v>0</v>
      </c>
      <c r="CD1414" s="994">
        <f>IF(AND(Input_Product=Elig!$C1414,Elig_MatchAll_Ct&lt;22,$BC1414=(Elig_MatchAll_Ct-1),AX1414=0),Y1414,0)</f>
        <v>0</v>
      </c>
      <c r="CE1414" s="993">
        <f>IF(AND(Input_LTV&lt;=AE1414,Input_Product=Elig!$C1414,Elig_MatchAll_Ct&lt;22,$BC1414=(Elig_MatchAll_Ct-1),AY1414=0),Z1414,0)</f>
        <v>0</v>
      </c>
      <c r="CF1414" s="994">
        <f>IF(AND(Input_LTV&lt;=AE1414,Input_Product=Elig!$C1414,Elig_MatchAll_Ct&lt;22,$BC1414=(Elig_MatchAll_Ct-1),AY1414=0),AA1414,0)</f>
        <v>0</v>
      </c>
      <c r="CG1414" s="993">
        <f>IF(AND(Input_Product=Elig!$C1414,Elig_MatchAll_Ct&lt;22,$BC1414=(Elig_MatchAll_Ct-1),AZ1414=0),AB1414,0)</f>
        <v>0</v>
      </c>
      <c r="CH1414" s="994">
        <f>IF(AND(Input_Product=Elig!$C1414,Elig_MatchAll_Ct&lt;22,$BC1414=(Elig_MatchAll_Ct-1),AZ1414=0),AC1414,0)</f>
        <v>0</v>
      </c>
      <c r="CI1414" s="993">
        <f>IF(AND(Input_Product=Elig!$C1414,Elig_MatchAll_Ct&lt;22,$BC1414=(Elig_MatchAll_Ct-1),BA1414=0),AD1414,0)</f>
        <v>0</v>
      </c>
      <c r="CJ1414" s="994">
        <f>IF(AND(Input_Product=Elig!$C1414,Elig_MatchAll_Ct&lt;22,$BC1414=(Elig_MatchAll_Ct-1),BA1414=0),AE1414,0)</f>
        <v>0</v>
      </c>
    </row>
    <row r="1415" spans="2:88" ht="10.15" customHeight="1" x14ac:dyDescent="0.25">
      <c r="B1415" s="1538" t="s">
        <v>3613</v>
      </c>
      <c r="C1415" s="1538" t="str">
        <f t="shared" si="494"/>
        <v xml:space="preserve">  NOO</v>
      </c>
      <c r="D1415" s="1538" t="s">
        <v>2764</v>
      </c>
      <c r="E1415" s="1538" t="s">
        <v>167</v>
      </c>
      <c r="F1415" s="1538" t="s">
        <v>2765</v>
      </c>
      <c r="G1415" s="1538" t="s">
        <v>2766</v>
      </c>
      <c r="H1415" s="1538" t="s">
        <v>2767</v>
      </c>
      <c r="I1415" s="1539" t="s">
        <v>16</v>
      </c>
      <c r="J1415" s="1539" t="s">
        <v>1311</v>
      </c>
      <c r="K1415" s="1539" t="s">
        <v>3023</v>
      </c>
      <c r="L1415" s="1538" t="s">
        <v>2768</v>
      </c>
      <c r="M1415" s="1538" t="s">
        <v>2677</v>
      </c>
      <c r="N1415" s="1538" t="s">
        <v>2685</v>
      </c>
      <c r="O1415" s="1538" t="s">
        <v>310</v>
      </c>
      <c r="P1415" s="1538" t="s">
        <v>291</v>
      </c>
      <c r="Q1415" s="1538" t="s">
        <v>294</v>
      </c>
      <c r="R1415" s="1538">
        <v>1500000.01</v>
      </c>
      <c r="S1415" s="1538">
        <v>2000000</v>
      </c>
      <c r="T1415" s="1538">
        <v>0</v>
      </c>
      <c r="U1415" s="1538">
        <f t="shared" si="498"/>
        <v>2000000</v>
      </c>
      <c r="V1415" s="1538">
        <v>0</v>
      </c>
      <c r="W1415" s="1538">
        <v>55</v>
      </c>
      <c r="X1415" s="1538">
        <v>0</v>
      </c>
      <c r="Y1415" s="1538">
        <v>0</v>
      </c>
      <c r="Z1415" s="1540">
        <v>680</v>
      </c>
      <c r="AA1415" s="1540">
        <v>699</v>
      </c>
      <c r="AB1415" s="1540">
        <v>6</v>
      </c>
      <c r="AC1415" s="1540">
        <v>999999</v>
      </c>
      <c r="AD1415" s="1538">
        <v>0</v>
      </c>
      <c r="AE1415" s="1545">
        <v>70</v>
      </c>
      <c r="AF1415" s="170">
        <v>0</v>
      </c>
      <c r="AG1415" s="171">
        <v>1</v>
      </c>
      <c r="AH1415" s="171">
        <v>1</v>
      </c>
      <c r="AI1415" s="171">
        <v>1</v>
      </c>
      <c r="AJ1415" s="171">
        <v>1</v>
      </c>
      <c r="AK1415" s="171">
        <v>1</v>
      </c>
      <c r="AL1415" s="171">
        <v>1</v>
      </c>
      <c r="AM1415" s="171">
        <v>1</v>
      </c>
      <c r="AN1415" s="171">
        <v>1</v>
      </c>
      <c r="AO1415" s="171">
        <v>1</v>
      </c>
      <c r="AP1415" s="171">
        <v>1</v>
      </c>
      <c r="AQ1415" s="171">
        <v>1</v>
      </c>
      <c r="AR1415" s="171">
        <v>1</v>
      </c>
      <c r="AS1415" s="171">
        <v>1</v>
      </c>
      <c r="AT1415" s="171">
        <v>1</v>
      </c>
      <c r="AU1415" s="171">
        <f t="shared" si="488"/>
        <v>0</v>
      </c>
      <c r="AV1415" s="171">
        <f t="shared" si="489"/>
        <v>1</v>
      </c>
      <c r="AW1415" s="171">
        <f t="shared" si="490"/>
        <v>1</v>
      </c>
      <c r="AX1415" s="171">
        <f t="shared" si="499"/>
        <v>1</v>
      </c>
      <c r="AY1415" s="171">
        <f t="shared" si="491"/>
        <v>0</v>
      </c>
      <c r="AZ1415" s="171">
        <f t="shared" si="492"/>
        <v>1</v>
      </c>
      <c r="BA1415" s="172">
        <f t="shared" si="493"/>
        <v>1</v>
      </c>
      <c r="BB1415" s="175">
        <f t="shared" si="495"/>
        <v>19</v>
      </c>
      <c r="BC1415" s="176">
        <f t="shared" si="496"/>
        <v>18</v>
      </c>
      <c r="BD1415" s="176">
        <f t="shared" si="497"/>
        <v>19</v>
      </c>
      <c r="BE1415" s="240" t="str">
        <f t="shared" si="487"/>
        <v/>
      </c>
      <c r="BF1415" s="990"/>
      <c r="BG1415" s="990"/>
      <c r="BH1415" s="991">
        <f>IF(AND(Input_Product=Elig!$C1415,Elig_MatchAll_Ct&lt;22,$BC1415=(Elig_MatchAll_Ct-1),AF1415=0),C1415,0)</f>
        <v>0</v>
      </c>
      <c r="BI1415" s="991">
        <f>IF(AND(Input_Product=Elig!$C1415,Elig_MatchAll_Ct&lt;22,$BC1415=(Elig_MatchAll_Ct-1),AG1415=0),D1415,0)</f>
        <v>0</v>
      </c>
      <c r="BJ1415" s="991">
        <f>IF(AND(Input_Product=Elig!$C1415,Elig_MatchAll_Ct&lt;22,$BC1415=(Elig_MatchAll_Ct-1),AH1415=0),E1415,0)</f>
        <v>0</v>
      </c>
      <c r="BK1415" s="991">
        <f>IF(AND(Input_Product=Elig!$C1415,Elig_MatchAll_Ct&lt;22,$BC1415=(Elig_MatchAll_Ct-1),AI1415=0),F1415,0)</f>
        <v>0</v>
      </c>
      <c r="BL1415" s="991">
        <f>IF(AND(Input_Product=Elig!$C1415,Elig_MatchAll_Ct&lt;22,$BC1415=(Elig_MatchAll_Ct-1),AJ1415=0),G1415,0)</f>
        <v>0</v>
      </c>
      <c r="BM1415" s="991">
        <f>IF(AND(Input_Product=Elig!$C1415,Elig_MatchAll_Ct&lt;22,$BC1415=(Elig_MatchAll_Ct-1),AK1415=0),H1415,0)</f>
        <v>0</v>
      </c>
      <c r="BN1415" s="991">
        <f>IF(AND(Input_Product=Elig!$C1415,Elig_MatchAll_Ct&lt;22,$BC1415=(Elig_MatchAll_Ct-1),AL1415=0),I1415,0)</f>
        <v>0</v>
      </c>
      <c r="BO1415" s="991">
        <f>IF(AND(Input_Product=Elig!$C1415,Elig_MatchAll_Ct&lt;22,$BC1415=(Elig_MatchAll_Ct-1),AM1415=0),J1415,0)</f>
        <v>0</v>
      </c>
      <c r="BP1415" s="991">
        <f>IF(AND(Input_Product=Elig!$C1415,Elig_MatchAll_Ct&lt;22,$BC1415=(Elig_MatchAll_Ct-1),AN1415=0),K1415,0)</f>
        <v>0</v>
      </c>
      <c r="BQ1415" s="991">
        <f>IF(AND(Input_Product=Elig!$C1415,Elig_MatchAll_Ct&lt;22,$BC1415=(Elig_MatchAll_Ct-1),AP1415=0),L1415,0)</f>
        <v>0</v>
      </c>
      <c r="BR1415" s="991">
        <f>IF(AND(Input_Product=Elig!$C1415,Elig_MatchAll_Ct&lt;22,$BC1415=(Elig_MatchAll_Ct-1),AO1415=0),M1415,0)</f>
        <v>0</v>
      </c>
      <c r="BS1415" s="991">
        <f>IF(AND(Input_Product=Elig!$C1415,Elig_MatchAll_Ct&lt;22,$BC1415=(Elig_MatchAll_Ct-1),AQ1415=0),N1415,0)</f>
        <v>0</v>
      </c>
      <c r="BT1415" s="991">
        <f>IF(AND(Input_Product=Elig!$C1415,Elig_MatchAll_Ct&lt;22,$BC1415=(Elig_MatchAll_Ct-1),AR1415=0),O1415,0)</f>
        <v>0</v>
      </c>
      <c r="BU1415" s="991">
        <f>IF(AND(Input_Product=Elig!$C1415,Elig_MatchAll_Ct&lt;22,$BC1415=(Elig_MatchAll_Ct-1),AS1415=0),P1415,0)</f>
        <v>0</v>
      </c>
      <c r="BV1415" s="992">
        <f>IF(AND(Input_Product=Elig!$C1415,Elig_MatchAll_Ct&lt;22,$BC1415=(Elig_MatchAll_Ct-1),AT1415=0),Q1415,0)</f>
        <v>0</v>
      </c>
      <c r="BW1415" s="993">
        <f>IF(AND(Input_Product=Elig!$C1415,Elig_MatchAll_Ct&lt;22,$BC1415=(Elig_MatchAll_Ct-1),AU1415=0),R1415,0)</f>
        <v>0</v>
      </c>
      <c r="BX1415" s="994">
        <f>IF(AND(Input_Product=Elig!$C1415,Elig_MatchAll_Ct&lt;22,$BC1415=(Elig_MatchAll_Ct-1),AU1415=0),S1415,0)</f>
        <v>0</v>
      </c>
      <c r="BY1415" s="993">
        <f>IF(AND(Input_Product=Elig!$C1415,Elig_MatchAll_Ct&lt;22,$BC1415=(Elig_MatchAll_Ct-1),AV1415=0),T1415,0)</f>
        <v>0</v>
      </c>
      <c r="BZ1415" s="994">
        <f>IF(AND(Input_Product=Elig!$C1415,Elig_MatchAll_Ct&lt;22,$BC1415=(Elig_MatchAll_Ct-1),AV1415=0),U1415,0)</f>
        <v>0</v>
      </c>
      <c r="CA1415" s="993">
        <f>IF(AND(Input_Product=Elig!$C1415,Elig_MatchAll_Ct&lt;22,$BC1415=(Elig_MatchAll_Ct-1),AW1415=0),V1415,0)</f>
        <v>0</v>
      </c>
      <c r="CB1415" s="994">
        <f>IF(AND(Input_Product=Elig!$C1415,Elig_MatchAll_Ct&lt;22,$BC1415=(Elig_MatchAll_Ct-1),AW1415=0),W1415,0)</f>
        <v>0</v>
      </c>
      <c r="CC1415" s="993">
        <f>IF(AND(Input_Product=Elig!$C1415,Elig_MatchAll_Ct&lt;22,$BC1415=(Elig_MatchAll_Ct-1),AX1415=0),X1415,0)</f>
        <v>0</v>
      </c>
      <c r="CD1415" s="994">
        <f>IF(AND(Input_Product=Elig!$C1415,Elig_MatchAll_Ct&lt;22,$BC1415=(Elig_MatchAll_Ct-1),AX1415=0),Y1415,0)</f>
        <v>0</v>
      </c>
      <c r="CE1415" s="993">
        <f>IF(AND(Input_LTV&lt;=AE1415,Input_Product=Elig!$C1415,Elig_MatchAll_Ct&lt;22,$BC1415=(Elig_MatchAll_Ct-1),AY1415=0),Z1415,0)</f>
        <v>0</v>
      </c>
      <c r="CF1415" s="994">
        <f>IF(AND(Input_LTV&lt;=AE1415,Input_Product=Elig!$C1415,Elig_MatchAll_Ct&lt;22,$BC1415=(Elig_MatchAll_Ct-1),AY1415=0),AA1415,0)</f>
        <v>0</v>
      </c>
      <c r="CG1415" s="993">
        <f>IF(AND(Input_Product=Elig!$C1415,Elig_MatchAll_Ct&lt;22,$BC1415=(Elig_MatchAll_Ct-1),AZ1415=0),AB1415,0)</f>
        <v>0</v>
      </c>
      <c r="CH1415" s="994">
        <f>IF(AND(Input_Product=Elig!$C1415,Elig_MatchAll_Ct&lt;22,$BC1415=(Elig_MatchAll_Ct-1),AZ1415=0),AC1415,0)</f>
        <v>0</v>
      </c>
      <c r="CI1415" s="993">
        <f>IF(AND(Input_Product=Elig!$C1415,Elig_MatchAll_Ct&lt;22,$BC1415=(Elig_MatchAll_Ct-1),BA1415=0),AD1415,0)</f>
        <v>0</v>
      </c>
      <c r="CJ1415" s="994">
        <f>IF(AND(Input_Product=Elig!$C1415,Elig_MatchAll_Ct&lt;22,$BC1415=(Elig_MatchAll_Ct-1),BA1415=0),AE1415,0)</f>
        <v>0</v>
      </c>
    </row>
    <row r="1416" spans="2:88" ht="10.15" customHeight="1" x14ac:dyDescent="0.25">
      <c r="B1416" s="1538" t="s">
        <v>3614</v>
      </c>
      <c r="C1416" s="1538" t="str">
        <f t="shared" si="494"/>
        <v xml:space="preserve">  NOO</v>
      </c>
      <c r="D1416" s="1538" t="s">
        <v>2764</v>
      </c>
      <c r="E1416" s="1538" t="s">
        <v>167</v>
      </c>
      <c r="F1416" s="1538" t="s">
        <v>2765</v>
      </c>
      <c r="G1416" s="1538" t="s">
        <v>2766</v>
      </c>
      <c r="H1416" s="1538" t="s">
        <v>2767</v>
      </c>
      <c r="I1416" s="1539" t="s">
        <v>16</v>
      </c>
      <c r="J1416" s="1539" t="s">
        <v>1311</v>
      </c>
      <c r="K1416" s="1539" t="s">
        <v>3023</v>
      </c>
      <c r="L1416" s="1538" t="s">
        <v>2768</v>
      </c>
      <c r="M1416" s="1538" t="s">
        <v>2677</v>
      </c>
      <c r="N1416" s="1538" t="s">
        <v>2685</v>
      </c>
      <c r="O1416" s="1538" t="s">
        <v>310</v>
      </c>
      <c r="P1416" s="1538" t="s">
        <v>291</v>
      </c>
      <c r="Q1416" s="1538" t="s">
        <v>294</v>
      </c>
      <c r="R1416" s="1538">
        <v>2000000.01</v>
      </c>
      <c r="S1416" s="1538">
        <v>2500000</v>
      </c>
      <c r="T1416" s="1538">
        <v>0</v>
      </c>
      <c r="U1416" s="1538">
        <f t="shared" si="498"/>
        <v>2500000</v>
      </c>
      <c r="V1416" s="1538">
        <v>0</v>
      </c>
      <c r="W1416" s="1538">
        <v>55</v>
      </c>
      <c r="X1416" s="1538">
        <v>0</v>
      </c>
      <c r="Y1416" s="1538">
        <v>0</v>
      </c>
      <c r="Z1416" s="1540">
        <v>680</v>
      </c>
      <c r="AA1416" s="1540">
        <v>699</v>
      </c>
      <c r="AB1416" s="1540">
        <v>6</v>
      </c>
      <c r="AC1416" s="1540">
        <v>999999</v>
      </c>
      <c r="AD1416" s="1538">
        <v>0</v>
      </c>
      <c r="AE1416" s="1545">
        <v>65</v>
      </c>
      <c r="AF1416" s="170">
        <v>0</v>
      </c>
      <c r="AG1416" s="171">
        <v>1</v>
      </c>
      <c r="AH1416" s="171">
        <v>1</v>
      </c>
      <c r="AI1416" s="171">
        <v>1</v>
      </c>
      <c r="AJ1416" s="171">
        <v>1</v>
      </c>
      <c r="AK1416" s="171">
        <v>1</v>
      </c>
      <c r="AL1416" s="171">
        <v>1</v>
      </c>
      <c r="AM1416" s="171">
        <v>1</v>
      </c>
      <c r="AN1416" s="171">
        <v>1</v>
      </c>
      <c r="AO1416" s="171">
        <v>1</v>
      </c>
      <c r="AP1416" s="171">
        <v>1</v>
      </c>
      <c r="AQ1416" s="171">
        <v>1</v>
      </c>
      <c r="AR1416" s="171">
        <v>1</v>
      </c>
      <c r="AS1416" s="171">
        <v>1</v>
      </c>
      <c r="AT1416" s="171">
        <v>1</v>
      </c>
      <c r="AU1416" s="171">
        <f t="shared" si="488"/>
        <v>0</v>
      </c>
      <c r="AV1416" s="171">
        <f t="shared" si="489"/>
        <v>1</v>
      </c>
      <c r="AW1416" s="171">
        <f t="shared" si="490"/>
        <v>1</v>
      </c>
      <c r="AX1416" s="171">
        <f t="shared" si="499"/>
        <v>1</v>
      </c>
      <c r="AY1416" s="171">
        <f t="shared" si="491"/>
        <v>0</v>
      </c>
      <c r="AZ1416" s="171">
        <f t="shared" si="492"/>
        <v>1</v>
      </c>
      <c r="BA1416" s="172">
        <f t="shared" si="493"/>
        <v>1</v>
      </c>
      <c r="BB1416" s="175">
        <f t="shared" si="495"/>
        <v>19</v>
      </c>
      <c r="BC1416" s="176">
        <f t="shared" si="496"/>
        <v>18</v>
      </c>
      <c r="BD1416" s="176">
        <f t="shared" si="497"/>
        <v>19</v>
      </c>
      <c r="BE1416" s="240" t="str">
        <f t="shared" si="487"/>
        <v/>
      </c>
      <c r="BF1416" s="990"/>
      <c r="BG1416" s="990"/>
      <c r="BH1416" s="991">
        <f>IF(AND(Input_Product=Elig!$C1416,Elig_MatchAll_Ct&lt;22,$BC1416=(Elig_MatchAll_Ct-1),AF1416=0),C1416,0)</f>
        <v>0</v>
      </c>
      <c r="BI1416" s="991">
        <f>IF(AND(Input_Product=Elig!$C1416,Elig_MatchAll_Ct&lt;22,$BC1416=(Elig_MatchAll_Ct-1),AG1416=0),D1416,0)</f>
        <v>0</v>
      </c>
      <c r="BJ1416" s="991">
        <f>IF(AND(Input_Product=Elig!$C1416,Elig_MatchAll_Ct&lt;22,$BC1416=(Elig_MatchAll_Ct-1),AH1416=0),E1416,0)</f>
        <v>0</v>
      </c>
      <c r="BK1416" s="991">
        <f>IF(AND(Input_Product=Elig!$C1416,Elig_MatchAll_Ct&lt;22,$BC1416=(Elig_MatchAll_Ct-1),AI1416=0),F1416,0)</f>
        <v>0</v>
      </c>
      <c r="BL1416" s="991">
        <f>IF(AND(Input_Product=Elig!$C1416,Elig_MatchAll_Ct&lt;22,$BC1416=(Elig_MatchAll_Ct-1),AJ1416=0),G1416,0)</f>
        <v>0</v>
      </c>
      <c r="BM1416" s="991">
        <f>IF(AND(Input_Product=Elig!$C1416,Elig_MatchAll_Ct&lt;22,$BC1416=(Elig_MatchAll_Ct-1),AK1416=0),H1416,0)</f>
        <v>0</v>
      </c>
      <c r="BN1416" s="991">
        <f>IF(AND(Input_Product=Elig!$C1416,Elig_MatchAll_Ct&lt;22,$BC1416=(Elig_MatchAll_Ct-1),AL1416=0),I1416,0)</f>
        <v>0</v>
      </c>
      <c r="BO1416" s="991">
        <f>IF(AND(Input_Product=Elig!$C1416,Elig_MatchAll_Ct&lt;22,$BC1416=(Elig_MatchAll_Ct-1),AM1416=0),J1416,0)</f>
        <v>0</v>
      </c>
      <c r="BP1416" s="991">
        <f>IF(AND(Input_Product=Elig!$C1416,Elig_MatchAll_Ct&lt;22,$BC1416=(Elig_MatchAll_Ct-1),AN1416=0),K1416,0)</f>
        <v>0</v>
      </c>
      <c r="BQ1416" s="991">
        <f>IF(AND(Input_Product=Elig!$C1416,Elig_MatchAll_Ct&lt;22,$BC1416=(Elig_MatchAll_Ct-1),AP1416=0),L1416,0)</f>
        <v>0</v>
      </c>
      <c r="BR1416" s="991">
        <f>IF(AND(Input_Product=Elig!$C1416,Elig_MatchAll_Ct&lt;22,$BC1416=(Elig_MatchAll_Ct-1),AO1416=0),M1416,0)</f>
        <v>0</v>
      </c>
      <c r="BS1416" s="991">
        <f>IF(AND(Input_Product=Elig!$C1416,Elig_MatchAll_Ct&lt;22,$BC1416=(Elig_MatchAll_Ct-1),AQ1416=0),N1416,0)</f>
        <v>0</v>
      </c>
      <c r="BT1416" s="991">
        <f>IF(AND(Input_Product=Elig!$C1416,Elig_MatchAll_Ct&lt;22,$BC1416=(Elig_MatchAll_Ct-1),AR1416=0),O1416,0)</f>
        <v>0</v>
      </c>
      <c r="BU1416" s="991">
        <f>IF(AND(Input_Product=Elig!$C1416,Elig_MatchAll_Ct&lt;22,$BC1416=(Elig_MatchAll_Ct-1),AS1416=0),P1416,0)</f>
        <v>0</v>
      </c>
      <c r="BV1416" s="992">
        <f>IF(AND(Input_Product=Elig!$C1416,Elig_MatchAll_Ct&lt;22,$BC1416=(Elig_MatchAll_Ct-1),AT1416=0),Q1416,0)</f>
        <v>0</v>
      </c>
      <c r="BW1416" s="993">
        <f>IF(AND(Input_Product=Elig!$C1416,Elig_MatchAll_Ct&lt;22,$BC1416=(Elig_MatchAll_Ct-1),AU1416=0),R1416,0)</f>
        <v>0</v>
      </c>
      <c r="BX1416" s="994">
        <f>IF(AND(Input_Product=Elig!$C1416,Elig_MatchAll_Ct&lt;22,$BC1416=(Elig_MatchAll_Ct-1),AU1416=0),S1416,0)</f>
        <v>0</v>
      </c>
      <c r="BY1416" s="993">
        <f>IF(AND(Input_Product=Elig!$C1416,Elig_MatchAll_Ct&lt;22,$BC1416=(Elig_MatchAll_Ct-1),AV1416=0),T1416,0)</f>
        <v>0</v>
      </c>
      <c r="BZ1416" s="994">
        <f>IF(AND(Input_Product=Elig!$C1416,Elig_MatchAll_Ct&lt;22,$BC1416=(Elig_MatchAll_Ct-1),AV1416=0),U1416,0)</f>
        <v>0</v>
      </c>
      <c r="CA1416" s="993">
        <f>IF(AND(Input_Product=Elig!$C1416,Elig_MatchAll_Ct&lt;22,$BC1416=(Elig_MatchAll_Ct-1),AW1416=0),V1416,0)</f>
        <v>0</v>
      </c>
      <c r="CB1416" s="994">
        <f>IF(AND(Input_Product=Elig!$C1416,Elig_MatchAll_Ct&lt;22,$BC1416=(Elig_MatchAll_Ct-1),AW1416=0),W1416,0)</f>
        <v>0</v>
      </c>
      <c r="CC1416" s="993">
        <f>IF(AND(Input_Product=Elig!$C1416,Elig_MatchAll_Ct&lt;22,$BC1416=(Elig_MatchAll_Ct-1),AX1416=0),X1416,0)</f>
        <v>0</v>
      </c>
      <c r="CD1416" s="994">
        <f>IF(AND(Input_Product=Elig!$C1416,Elig_MatchAll_Ct&lt;22,$BC1416=(Elig_MatchAll_Ct-1),AX1416=0),Y1416,0)</f>
        <v>0</v>
      </c>
      <c r="CE1416" s="993">
        <f>IF(AND(Input_LTV&lt;=AE1416,Input_Product=Elig!$C1416,Elig_MatchAll_Ct&lt;22,$BC1416=(Elig_MatchAll_Ct-1),AY1416=0),Z1416,0)</f>
        <v>0</v>
      </c>
      <c r="CF1416" s="994">
        <f>IF(AND(Input_LTV&lt;=AE1416,Input_Product=Elig!$C1416,Elig_MatchAll_Ct&lt;22,$BC1416=(Elig_MatchAll_Ct-1),AY1416=0),AA1416,0)</f>
        <v>0</v>
      </c>
      <c r="CG1416" s="993">
        <f>IF(AND(Input_Product=Elig!$C1416,Elig_MatchAll_Ct&lt;22,$BC1416=(Elig_MatchAll_Ct-1),AZ1416=0),AB1416,0)</f>
        <v>0</v>
      </c>
      <c r="CH1416" s="994">
        <f>IF(AND(Input_Product=Elig!$C1416,Elig_MatchAll_Ct&lt;22,$BC1416=(Elig_MatchAll_Ct-1),AZ1416=0),AC1416,0)</f>
        <v>0</v>
      </c>
      <c r="CI1416" s="993">
        <f>IF(AND(Input_Product=Elig!$C1416,Elig_MatchAll_Ct&lt;22,$BC1416=(Elig_MatchAll_Ct-1),BA1416=0),AD1416,0)</f>
        <v>0</v>
      </c>
      <c r="CJ1416" s="994">
        <f>IF(AND(Input_Product=Elig!$C1416,Elig_MatchAll_Ct&lt;22,$BC1416=(Elig_MatchAll_Ct-1),BA1416=0),AE1416,0)</f>
        <v>0</v>
      </c>
    </row>
    <row r="1417" spans="2:88" ht="10.15" customHeight="1" x14ac:dyDescent="0.25">
      <c r="B1417" s="1538" t="s">
        <v>3615</v>
      </c>
      <c r="C1417" s="1538" t="str">
        <f t="shared" si="494"/>
        <v xml:space="preserve">  NOO</v>
      </c>
      <c r="D1417" s="1538" t="s">
        <v>2764</v>
      </c>
      <c r="E1417" s="1538" t="s">
        <v>167</v>
      </c>
      <c r="F1417" s="1538" t="s">
        <v>2765</v>
      </c>
      <c r="G1417" s="1538" t="s">
        <v>2766</v>
      </c>
      <c r="H1417" s="1538" t="s">
        <v>2767</v>
      </c>
      <c r="I1417" s="1539" t="s">
        <v>16</v>
      </c>
      <c r="J1417" s="1539" t="s">
        <v>1311</v>
      </c>
      <c r="K1417" s="1539" t="s">
        <v>3023</v>
      </c>
      <c r="L1417" s="1538" t="s">
        <v>2768</v>
      </c>
      <c r="M1417" s="1538" t="s">
        <v>2677</v>
      </c>
      <c r="N1417" s="1538" t="s">
        <v>2685</v>
      </c>
      <c r="O1417" s="1538" t="s">
        <v>310</v>
      </c>
      <c r="P1417" s="1538" t="s">
        <v>291</v>
      </c>
      <c r="Q1417" s="1538" t="s">
        <v>294</v>
      </c>
      <c r="R1417" s="1538">
        <v>2500000.0099999998</v>
      </c>
      <c r="S1417" s="1538">
        <v>3000000</v>
      </c>
      <c r="T1417" s="1538">
        <v>0</v>
      </c>
      <c r="U1417" s="1538">
        <f t="shared" si="498"/>
        <v>3000000</v>
      </c>
      <c r="V1417" s="1538">
        <v>0</v>
      </c>
      <c r="W1417" s="1538">
        <v>55</v>
      </c>
      <c r="X1417" s="1538">
        <v>0</v>
      </c>
      <c r="Y1417" s="1538">
        <v>0</v>
      </c>
      <c r="Z1417" s="1540">
        <v>680</v>
      </c>
      <c r="AA1417" s="1540">
        <v>699</v>
      </c>
      <c r="AB1417" s="1540">
        <v>6</v>
      </c>
      <c r="AC1417" s="1540">
        <v>999999</v>
      </c>
      <c r="AD1417" s="1538">
        <v>0</v>
      </c>
      <c r="AE1417" s="1545">
        <v>65</v>
      </c>
      <c r="AF1417" s="170">
        <v>0</v>
      </c>
      <c r="AG1417" s="171">
        <v>1</v>
      </c>
      <c r="AH1417" s="171">
        <v>1</v>
      </c>
      <c r="AI1417" s="171">
        <v>1</v>
      </c>
      <c r="AJ1417" s="171">
        <v>1</v>
      </c>
      <c r="AK1417" s="171">
        <v>1</v>
      </c>
      <c r="AL1417" s="171">
        <v>1</v>
      </c>
      <c r="AM1417" s="171">
        <v>1</v>
      </c>
      <c r="AN1417" s="171">
        <v>1</v>
      </c>
      <c r="AO1417" s="171">
        <v>1</v>
      </c>
      <c r="AP1417" s="171">
        <v>1</v>
      </c>
      <c r="AQ1417" s="171">
        <v>1</v>
      </c>
      <c r="AR1417" s="171">
        <v>1</v>
      </c>
      <c r="AS1417" s="171">
        <v>1</v>
      </c>
      <c r="AT1417" s="171">
        <v>1</v>
      </c>
      <c r="AU1417" s="171">
        <f t="shared" si="488"/>
        <v>0</v>
      </c>
      <c r="AV1417" s="171">
        <f t="shared" si="489"/>
        <v>1</v>
      </c>
      <c r="AW1417" s="171">
        <f t="shared" si="490"/>
        <v>1</v>
      </c>
      <c r="AX1417" s="171">
        <f t="shared" si="499"/>
        <v>1</v>
      </c>
      <c r="AY1417" s="171">
        <f t="shared" si="491"/>
        <v>0</v>
      </c>
      <c r="AZ1417" s="171">
        <f t="shared" si="492"/>
        <v>1</v>
      </c>
      <c r="BA1417" s="172">
        <f t="shared" si="493"/>
        <v>1</v>
      </c>
      <c r="BB1417" s="175">
        <f t="shared" si="495"/>
        <v>19</v>
      </c>
      <c r="BC1417" s="176">
        <f t="shared" si="496"/>
        <v>18</v>
      </c>
      <c r="BD1417" s="176">
        <f t="shared" si="497"/>
        <v>19</v>
      </c>
      <c r="BE1417" s="240" t="str">
        <f t="shared" si="487"/>
        <v/>
      </c>
      <c r="BF1417" s="990"/>
      <c r="BG1417" s="990"/>
      <c r="BH1417" s="991">
        <f>IF(AND(Input_Product=Elig!$C1417,Elig_MatchAll_Ct&lt;22,$BC1417=(Elig_MatchAll_Ct-1),AF1417=0),C1417,0)</f>
        <v>0</v>
      </c>
      <c r="BI1417" s="991">
        <f>IF(AND(Input_Product=Elig!$C1417,Elig_MatchAll_Ct&lt;22,$BC1417=(Elig_MatchAll_Ct-1),AG1417=0),D1417,0)</f>
        <v>0</v>
      </c>
      <c r="BJ1417" s="991">
        <f>IF(AND(Input_Product=Elig!$C1417,Elig_MatchAll_Ct&lt;22,$BC1417=(Elig_MatchAll_Ct-1),AH1417=0),E1417,0)</f>
        <v>0</v>
      </c>
      <c r="BK1417" s="991">
        <f>IF(AND(Input_Product=Elig!$C1417,Elig_MatchAll_Ct&lt;22,$BC1417=(Elig_MatchAll_Ct-1),AI1417=0),F1417,0)</f>
        <v>0</v>
      </c>
      <c r="BL1417" s="991">
        <f>IF(AND(Input_Product=Elig!$C1417,Elig_MatchAll_Ct&lt;22,$BC1417=(Elig_MatchAll_Ct-1),AJ1417=0),G1417,0)</f>
        <v>0</v>
      </c>
      <c r="BM1417" s="991">
        <f>IF(AND(Input_Product=Elig!$C1417,Elig_MatchAll_Ct&lt;22,$BC1417=(Elig_MatchAll_Ct-1),AK1417=0),H1417,0)</f>
        <v>0</v>
      </c>
      <c r="BN1417" s="991">
        <f>IF(AND(Input_Product=Elig!$C1417,Elig_MatchAll_Ct&lt;22,$BC1417=(Elig_MatchAll_Ct-1),AL1417=0),I1417,0)</f>
        <v>0</v>
      </c>
      <c r="BO1417" s="991">
        <f>IF(AND(Input_Product=Elig!$C1417,Elig_MatchAll_Ct&lt;22,$BC1417=(Elig_MatchAll_Ct-1),AM1417=0),J1417,0)</f>
        <v>0</v>
      </c>
      <c r="BP1417" s="991">
        <f>IF(AND(Input_Product=Elig!$C1417,Elig_MatchAll_Ct&lt;22,$BC1417=(Elig_MatchAll_Ct-1),AN1417=0),K1417,0)</f>
        <v>0</v>
      </c>
      <c r="BQ1417" s="991">
        <f>IF(AND(Input_Product=Elig!$C1417,Elig_MatchAll_Ct&lt;22,$BC1417=(Elig_MatchAll_Ct-1),AP1417=0),L1417,0)</f>
        <v>0</v>
      </c>
      <c r="BR1417" s="991">
        <f>IF(AND(Input_Product=Elig!$C1417,Elig_MatchAll_Ct&lt;22,$BC1417=(Elig_MatchAll_Ct-1),AO1417=0),M1417,0)</f>
        <v>0</v>
      </c>
      <c r="BS1417" s="991">
        <f>IF(AND(Input_Product=Elig!$C1417,Elig_MatchAll_Ct&lt;22,$BC1417=(Elig_MatchAll_Ct-1),AQ1417=0),N1417,0)</f>
        <v>0</v>
      </c>
      <c r="BT1417" s="991">
        <f>IF(AND(Input_Product=Elig!$C1417,Elig_MatchAll_Ct&lt;22,$BC1417=(Elig_MatchAll_Ct-1),AR1417=0),O1417,0)</f>
        <v>0</v>
      </c>
      <c r="BU1417" s="991">
        <f>IF(AND(Input_Product=Elig!$C1417,Elig_MatchAll_Ct&lt;22,$BC1417=(Elig_MatchAll_Ct-1),AS1417=0),P1417,0)</f>
        <v>0</v>
      </c>
      <c r="BV1417" s="992">
        <f>IF(AND(Input_Product=Elig!$C1417,Elig_MatchAll_Ct&lt;22,$BC1417=(Elig_MatchAll_Ct-1),AT1417=0),Q1417,0)</f>
        <v>0</v>
      </c>
      <c r="BW1417" s="993">
        <f>IF(AND(Input_Product=Elig!$C1417,Elig_MatchAll_Ct&lt;22,$BC1417=(Elig_MatchAll_Ct-1),AU1417=0),R1417,0)</f>
        <v>0</v>
      </c>
      <c r="BX1417" s="994">
        <f>IF(AND(Input_Product=Elig!$C1417,Elig_MatchAll_Ct&lt;22,$BC1417=(Elig_MatchAll_Ct-1),AU1417=0),S1417,0)</f>
        <v>0</v>
      </c>
      <c r="BY1417" s="993">
        <f>IF(AND(Input_Product=Elig!$C1417,Elig_MatchAll_Ct&lt;22,$BC1417=(Elig_MatchAll_Ct-1),AV1417=0),T1417,0)</f>
        <v>0</v>
      </c>
      <c r="BZ1417" s="994">
        <f>IF(AND(Input_Product=Elig!$C1417,Elig_MatchAll_Ct&lt;22,$BC1417=(Elig_MatchAll_Ct-1),AV1417=0),U1417,0)</f>
        <v>0</v>
      </c>
      <c r="CA1417" s="993">
        <f>IF(AND(Input_Product=Elig!$C1417,Elig_MatchAll_Ct&lt;22,$BC1417=(Elig_MatchAll_Ct-1),AW1417=0),V1417,0)</f>
        <v>0</v>
      </c>
      <c r="CB1417" s="994">
        <f>IF(AND(Input_Product=Elig!$C1417,Elig_MatchAll_Ct&lt;22,$BC1417=(Elig_MatchAll_Ct-1),AW1417=0),W1417,0)</f>
        <v>0</v>
      </c>
      <c r="CC1417" s="993">
        <f>IF(AND(Input_Product=Elig!$C1417,Elig_MatchAll_Ct&lt;22,$BC1417=(Elig_MatchAll_Ct-1),AX1417=0),X1417,0)</f>
        <v>0</v>
      </c>
      <c r="CD1417" s="994">
        <f>IF(AND(Input_Product=Elig!$C1417,Elig_MatchAll_Ct&lt;22,$BC1417=(Elig_MatchAll_Ct-1),AX1417=0),Y1417,0)</f>
        <v>0</v>
      </c>
      <c r="CE1417" s="993">
        <f>IF(AND(Input_LTV&lt;=AE1417,Input_Product=Elig!$C1417,Elig_MatchAll_Ct&lt;22,$BC1417=(Elig_MatchAll_Ct-1),AY1417=0),Z1417,0)</f>
        <v>0</v>
      </c>
      <c r="CF1417" s="994">
        <f>IF(AND(Input_LTV&lt;=AE1417,Input_Product=Elig!$C1417,Elig_MatchAll_Ct&lt;22,$BC1417=(Elig_MatchAll_Ct-1),AY1417=0),AA1417,0)</f>
        <v>0</v>
      </c>
      <c r="CG1417" s="993">
        <f>IF(AND(Input_Product=Elig!$C1417,Elig_MatchAll_Ct&lt;22,$BC1417=(Elig_MatchAll_Ct-1),AZ1417=0),AB1417,0)</f>
        <v>0</v>
      </c>
      <c r="CH1417" s="994">
        <f>IF(AND(Input_Product=Elig!$C1417,Elig_MatchAll_Ct&lt;22,$BC1417=(Elig_MatchAll_Ct-1),AZ1417=0),AC1417,0)</f>
        <v>0</v>
      </c>
      <c r="CI1417" s="993">
        <f>IF(AND(Input_Product=Elig!$C1417,Elig_MatchAll_Ct&lt;22,$BC1417=(Elig_MatchAll_Ct-1),BA1417=0),AD1417,0)</f>
        <v>0</v>
      </c>
      <c r="CJ1417" s="994">
        <f>IF(AND(Input_Product=Elig!$C1417,Elig_MatchAll_Ct&lt;22,$BC1417=(Elig_MatchAll_Ct-1),BA1417=0),AE1417,0)</f>
        <v>0</v>
      </c>
    </row>
    <row r="1418" spans="2:88" ht="10.15" customHeight="1" x14ac:dyDescent="0.25">
      <c r="B1418" s="1538" t="s">
        <v>3616</v>
      </c>
      <c r="C1418" s="1538" t="str">
        <f t="shared" si="494"/>
        <v xml:space="preserve">  NOO</v>
      </c>
      <c r="D1418" s="1538" t="s">
        <v>2764</v>
      </c>
      <c r="E1418" s="1538" t="s">
        <v>167</v>
      </c>
      <c r="F1418" s="1538" t="s">
        <v>2765</v>
      </c>
      <c r="G1418" s="1538" t="s">
        <v>2766</v>
      </c>
      <c r="H1418" s="1538" t="s">
        <v>2767</v>
      </c>
      <c r="I1418" s="1539" t="s">
        <v>16</v>
      </c>
      <c r="J1418" s="1539" t="s">
        <v>1311</v>
      </c>
      <c r="K1418" s="1539" t="s">
        <v>3023</v>
      </c>
      <c r="L1418" s="1538" t="s">
        <v>2768</v>
      </c>
      <c r="M1418" s="1538" t="s">
        <v>2677</v>
      </c>
      <c r="N1418" s="1538" t="s">
        <v>2685</v>
      </c>
      <c r="O1418" s="1538" t="s">
        <v>310</v>
      </c>
      <c r="P1418" s="1538" t="s">
        <v>291</v>
      </c>
      <c r="Q1418" s="1538" t="s">
        <v>294</v>
      </c>
      <c r="R1418" s="1538">
        <v>150000</v>
      </c>
      <c r="S1418" s="1538">
        <v>1000000</v>
      </c>
      <c r="T1418" s="1538">
        <v>0</v>
      </c>
      <c r="U1418" s="1538">
        <f t="shared" si="498"/>
        <v>1000000</v>
      </c>
      <c r="V1418" s="1538">
        <v>0</v>
      </c>
      <c r="W1418" s="1538">
        <v>55</v>
      </c>
      <c r="X1418" s="1538">
        <v>0</v>
      </c>
      <c r="Y1418" s="1538">
        <v>0</v>
      </c>
      <c r="Z1418" s="1540">
        <v>660</v>
      </c>
      <c r="AA1418" s="1540">
        <v>679</v>
      </c>
      <c r="AB1418" s="1540">
        <v>6</v>
      </c>
      <c r="AC1418" s="1540">
        <v>999999</v>
      </c>
      <c r="AD1418" s="1538">
        <v>0</v>
      </c>
      <c r="AE1418" s="1545">
        <v>75</v>
      </c>
      <c r="AF1418" s="170">
        <v>0</v>
      </c>
      <c r="AG1418" s="171">
        <v>1</v>
      </c>
      <c r="AH1418" s="171">
        <v>1</v>
      </c>
      <c r="AI1418" s="171">
        <v>1</v>
      </c>
      <c r="AJ1418" s="171">
        <v>1</v>
      </c>
      <c r="AK1418" s="171">
        <v>1</v>
      </c>
      <c r="AL1418" s="171">
        <v>1</v>
      </c>
      <c r="AM1418" s="171">
        <v>1</v>
      </c>
      <c r="AN1418" s="171">
        <v>1</v>
      </c>
      <c r="AO1418" s="171">
        <v>1</v>
      </c>
      <c r="AP1418" s="171">
        <v>1</v>
      </c>
      <c r="AQ1418" s="171">
        <v>1</v>
      </c>
      <c r="AR1418" s="171">
        <v>1</v>
      </c>
      <c r="AS1418" s="171">
        <v>1</v>
      </c>
      <c r="AT1418" s="171">
        <v>1</v>
      </c>
      <c r="AU1418" s="171">
        <f t="shared" si="488"/>
        <v>1</v>
      </c>
      <c r="AV1418" s="171">
        <f t="shared" si="489"/>
        <v>1</v>
      </c>
      <c r="AW1418" s="171">
        <f t="shared" si="490"/>
        <v>1</v>
      </c>
      <c r="AX1418" s="171">
        <f t="shared" si="499"/>
        <v>1</v>
      </c>
      <c r="AY1418" s="171">
        <f t="shared" si="491"/>
        <v>0</v>
      </c>
      <c r="AZ1418" s="171">
        <f t="shared" si="492"/>
        <v>1</v>
      </c>
      <c r="BA1418" s="172">
        <f t="shared" si="493"/>
        <v>1</v>
      </c>
      <c r="BB1418" s="175">
        <f t="shared" si="495"/>
        <v>20</v>
      </c>
      <c r="BC1418" s="176">
        <f t="shared" si="496"/>
        <v>19</v>
      </c>
      <c r="BD1418" s="176">
        <f t="shared" si="497"/>
        <v>20</v>
      </c>
      <c r="BE1418" s="240" t="str">
        <f t="shared" si="487"/>
        <v/>
      </c>
      <c r="BF1418" s="990"/>
      <c r="BG1418" s="990"/>
      <c r="BH1418" s="991">
        <f>IF(AND(Input_Product=Elig!$C1418,Elig_MatchAll_Ct&lt;22,$BC1418=(Elig_MatchAll_Ct-1),AF1418=0),C1418,0)</f>
        <v>0</v>
      </c>
      <c r="BI1418" s="991">
        <f>IF(AND(Input_Product=Elig!$C1418,Elig_MatchAll_Ct&lt;22,$BC1418=(Elig_MatchAll_Ct-1),AG1418=0),D1418,0)</f>
        <v>0</v>
      </c>
      <c r="BJ1418" s="991">
        <f>IF(AND(Input_Product=Elig!$C1418,Elig_MatchAll_Ct&lt;22,$BC1418=(Elig_MatchAll_Ct-1),AH1418=0),E1418,0)</f>
        <v>0</v>
      </c>
      <c r="BK1418" s="991">
        <f>IF(AND(Input_Product=Elig!$C1418,Elig_MatchAll_Ct&lt;22,$BC1418=(Elig_MatchAll_Ct-1),AI1418=0),F1418,0)</f>
        <v>0</v>
      </c>
      <c r="BL1418" s="991">
        <f>IF(AND(Input_Product=Elig!$C1418,Elig_MatchAll_Ct&lt;22,$BC1418=(Elig_MatchAll_Ct-1),AJ1418=0),G1418,0)</f>
        <v>0</v>
      </c>
      <c r="BM1418" s="991">
        <f>IF(AND(Input_Product=Elig!$C1418,Elig_MatchAll_Ct&lt;22,$BC1418=(Elig_MatchAll_Ct-1),AK1418=0),H1418,0)</f>
        <v>0</v>
      </c>
      <c r="BN1418" s="991">
        <f>IF(AND(Input_Product=Elig!$C1418,Elig_MatchAll_Ct&lt;22,$BC1418=(Elig_MatchAll_Ct-1),AL1418=0),I1418,0)</f>
        <v>0</v>
      </c>
      <c r="BO1418" s="991">
        <f>IF(AND(Input_Product=Elig!$C1418,Elig_MatchAll_Ct&lt;22,$BC1418=(Elig_MatchAll_Ct-1),AM1418=0),J1418,0)</f>
        <v>0</v>
      </c>
      <c r="BP1418" s="991">
        <f>IF(AND(Input_Product=Elig!$C1418,Elig_MatchAll_Ct&lt;22,$BC1418=(Elig_MatchAll_Ct-1),AN1418=0),K1418,0)</f>
        <v>0</v>
      </c>
      <c r="BQ1418" s="991">
        <f>IF(AND(Input_Product=Elig!$C1418,Elig_MatchAll_Ct&lt;22,$BC1418=(Elig_MatchAll_Ct-1),AP1418=0),L1418,0)</f>
        <v>0</v>
      </c>
      <c r="BR1418" s="991">
        <f>IF(AND(Input_Product=Elig!$C1418,Elig_MatchAll_Ct&lt;22,$BC1418=(Elig_MatchAll_Ct-1),AO1418=0),M1418,0)</f>
        <v>0</v>
      </c>
      <c r="BS1418" s="991">
        <f>IF(AND(Input_Product=Elig!$C1418,Elig_MatchAll_Ct&lt;22,$BC1418=(Elig_MatchAll_Ct-1),AQ1418=0),N1418,0)</f>
        <v>0</v>
      </c>
      <c r="BT1418" s="991">
        <f>IF(AND(Input_Product=Elig!$C1418,Elig_MatchAll_Ct&lt;22,$BC1418=(Elig_MatchAll_Ct-1),AR1418=0),O1418,0)</f>
        <v>0</v>
      </c>
      <c r="BU1418" s="991">
        <f>IF(AND(Input_Product=Elig!$C1418,Elig_MatchAll_Ct&lt;22,$BC1418=(Elig_MatchAll_Ct-1),AS1418=0),P1418,0)</f>
        <v>0</v>
      </c>
      <c r="BV1418" s="992">
        <f>IF(AND(Input_Product=Elig!$C1418,Elig_MatchAll_Ct&lt;22,$BC1418=(Elig_MatchAll_Ct-1),AT1418=0),Q1418,0)</f>
        <v>0</v>
      </c>
      <c r="BW1418" s="993">
        <f>IF(AND(Input_Product=Elig!$C1418,Elig_MatchAll_Ct&lt;22,$BC1418=(Elig_MatchAll_Ct-1),AU1418=0),R1418,0)</f>
        <v>0</v>
      </c>
      <c r="BX1418" s="994">
        <f>IF(AND(Input_Product=Elig!$C1418,Elig_MatchAll_Ct&lt;22,$BC1418=(Elig_MatchAll_Ct-1),AU1418=0),S1418,0)</f>
        <v>0</v>
      </c>
      <c r="BY1418" s="993">
        <f>IF(AND(Input_Product=Elig!$C1418,Elig_MatchAll_Ct&lt;22,$BC1418=(Elig_MatchAll_Ct-1),AV1418=0),T1418,0)</f>
        <v>0</v>
      </c>
      <c r="BZ1418" s="994">
        <f>IF(AND(Input_Product=Elig!$C1418,Elig_MatchAll_Ct&lt;22,$BC1418=(Elig_MatchAll_Ct-1),AV1418=0),U1418,0)</f>
        <v>0</v>
      </c>
      <c r="CA1418" s="993">
        <f>IF(AND(Input_Product=Elig!$C1418,Elig_MatchAll_Ct&lt;22,$BC1418=(Elig_MatchAll_Ct-1),AW1418=0),V1418,0)</f>
        <v>0</v>
      </c>
      <c r="CB1418" s="994">
        <f>IF(AND(Input_Product=Elig!$C1418,Elig_MatchAll_Ct&lt;22,$BC1418=(Elig_MatchAll_Ct-1),AW1418=0),W1418,0)</f>
        <v>0</v>
      </c>
      <c r="CC1418" s="993">
        <f>IF(AND(Input_Product=Elig!$C1418,Elig_MatchAll_Ct&lt;22,$BC1418=(Elig_MatchAll_Ct-1),AX1418=0),X1418,0)</f>
        <v>0</v>
      </c>
      <c r="CD1418" s="994">
        <f>IF(AND(Input_Product=Elig!$C1418,Elig_MatchAll_Ct&lt;22,$BC1418=(Elig_MatchAll_Ct-1),AX1418=0),Y1418,0)</f>
        <v>0</v>
      </c>
      <c r="CE1418" s="993">
        <f>IF(AND(Input_LTV&lt;=AE1418,Input_Product=Elig!$C1418,Elig_MatchAll_Ct&lt;22,$BC1418=(Elig_MatchAll_Ct-1),AY1418=0),Z1418,0)</f>
        <v>0</v>
      </c>
      <c r="CF1418" s="994">
        <f>IF(AND(Input_LTV&lt;=AE1418,Input_Product=Elig!$C1418,Elig_MatchAll_Ct&lt;22,$BC1418=(Elig_MatchAll_Ct-1),AY1418=0),AA1418,0)</f>
        <v>0</v>
      </c>
      <c r="CG1418" s="993">
        <f>IF(AND(Input_Product=Elig!$C1418,Elig_MatchAll_Ct&lt;22,$BC1418=(Elig_MatchAll_Ct-1),AZ1418=0),AB1418,0)</f>
        <v>0</v>
      </c>
      <c r="CH1418" s="994">
        <f>IF(AND(Input_Product=Elig!$C1418,Elig_MatchAll_Ct&lt;22,$BC1418=(Elig_MatchAll_Ct-1),AZ1418=0),AC1418,0)</f>
        <v>0</v>
      </c>
      <c r="CI1418" s="993">
        <f>IF(AND(Input_Product=Elig!$C1418,Elig_MatchAll_Ct&lt;22,$BC1418=(Elig_MatchAll_Ct-1),BA1418=0),AD1418,0)</f>
        <v>0</v>
      </c>
      <c r="CJ1418" s="994">
        <f>IF(AND(Input_Product=Elig!$C1418,Elig_MatchAll_Ct&lt;22,$BC1418=(Elig_MatchAll_Ct-1),BA1418=0),AE1418,0)</f>
        <v>0</v>
      </c>
    </row>
    <row r="1419" spans="2:88" ht="10.15" customHeight="1" x14ac:dyDescent="0.25">
      <c r="B1419" s="1538" t="s">
        <v>3617</v>
      </c>
      <c r="C1419" s="1538" t="str">
        <f t="shared" si="494"/>
        <v xml:space="preserve">  NOO</v>
      </c>
      <c r="D1419" s="1538" t="s">
        <v>2764</v>
      </c>
      <c r="E1419" s="1538" t="s">
        <v>167</v>
      </c>
      <c r="F1419" s="1538" t="s">
        <v>2765</v>
      </c>
      <c r="G1419" s="1538" t="s">
        <v>2766</v>
      </c>
      <c r="H1419" s="1538" t="s">
        <v>2767</v>
      </c>
      <c r="I1419" s="1539" t="s">
        <v>16</v>
      </c>
      <c r="J1419" s="1539" t="s">
        <v>1311</v>
      </c>
      <c r="K1419" s="1539" t="s">
        <v>3023</v>
      </c>
      <c r="L1419" s="1538" t="s">
        <v>2768</v>
      </c>
      <c r="M1419" s="1538" t="s">
        <v>2677</v>
      </c>
      <c r="N1419" s="1538" t="s">
        <v>2685</v>
      </c>
      <c r="O1419" s="1538" t="s">
        <v>310</v>
      </c>
      <c r="P1419" s="1538" t="s">
        <v>291</v>
      </c>
      <c r="Q1419" s="1538" t="s">
        <v>294</v>
      </c>
      <c r="R1419" s="1538">
        <v>1000000.01</v>
      </c>
      <c r="S1419" s="1538">
        <v>1500000</v>
      </c>
      <c r="T1419" s="1538">
        <v>0</v>
      </c>
      <c r="U1419" s="1538">
        <f t="shared" si="498"/>
        <v>1500000</v>
      </c>
      <c r="V1419" s="1538">
        <v>0</v>
      </c>
      <c r="W1419" s="1538">
        <v>55</v>
      </c>
      <c r="X1419" s="1538">
        <v>0</v>
      </c>
      <c r="Y1419" s="1538">
        <v>0</v>
      </c>
      <c r="Z1419" s="1540">
        <v>660</v>
      </c>
      <c r="AA1419" s="1540">
        <v>679</v>
      </c>
      <c r="AB1419" s="1540">
        <v>6</v>
      </c>
      <c r="AC1419" s="1540">
        <v>999999</v>
      </c>
      <c r="AD1419" s="1538">
        <v>0</v>
      </c>
      <c r="AE1419" s="1545">
        <v>75</v>
      </c>
      <c r="AF1419" s="170">
        <v>0</v>
      </c>
      <c r="AG1419" s="171">
        <v>1</v>
      </c>
      <c r="AH1419" s="171">
        <v>1</v>
      </c>
      <c r="AI1419" s="171">
        <v>1</v>
      </c>
      <c r="AJ1419" s="171">
        <v>1</v>
      </c>
      <c r="AK1419" s="171">
        <v>1</v>
      </c>
      <c r="AL1419" s="171">
        <v>1</v>
      </c>
      <c r="AM1419" s="171">
        <v>1</v>
      </c>
      <c r="AN1419" s="171">
        <v>1</v>
      </c>
      <c r="AO1419" s="171">
        <v>1</v>
      </c>
      <c r="AP1419" s="171">
        <v>1</v>
      </c>
      <c r="AQ1419" s="171">
        <v>1</v>
      </c>
      <c r="AR1419" s="171">
        <v>1</v>
      </c>
      <c r="AS1419" s="171">
        <v>1</v>
      </c>
      <c r="AT1419" s="171">
        <v>1</v>
      </c>
      <c r="AU1419" s="171">
        <f t="shared" si="488"/>
        <v>0</v>
      </c>
      <c r="AV1419" s="171">
        <f t="shared" si="489"/>
        <v>1</v>
      </c>
      <c r="AW1419" s="171">
        <f t="shared" si="490"/>
        <v>1</v>
      </c>
      <c r="AX1419" s="171">
        <f t="shared" si="499"/>
        <v>1</v>
      </c>
      <c r="AY1419" s="171">
        <f t="shared" si="491"/>
        <v>0</v>
      </c>
      <c r="AZ1419" s="171">
        <f t="shared" si="492"/>
        <v>1</v>
      </c>
      <c r="BA1419" s="172">
        <f t="shared" si="493"/>
        <v>1</v>
      </c>
      <c r="BB1419" s="175">
        <f t="shared" si="495"/>
        <v>19</v>
      </c>
      <c r="BC1419" s="176">
        <f t="shared" si="496"/>
        <v>18</v>
      </c>
      <c r="BD1419" s="176">
        <f t="shared" si="497"/>
        <v>19</v>
      </c>
      <c r="BE1419" s="240" t="str">
        <f t="shared" si="487"/>
        <v/>
      </c>
      <c r="BF1419" s="990"/>
      <c r="BG1419" s="990"/>
      <c r="BH1419" s="991">
        <f>IF(AND(Input_Product=Elig!$C1419,Elig_MatchAll_Ct&lt;22,$BC1419=(Elig_MatchAll_Ct-1),AF1419=0),C1419,0)</f>
        <v>0</v>
      </c>
      <c r="BI1419" s="991">
        <f>IF(AND(Input_Product=Elig!$C1419,Elig_MatchAll_Ct&lt;22,$BC1419=(Elig_MatchAll_Ct-1),AG1419=0),D1419,0)</f>
        <v>0</v>
      </c>
      <c r="BJ1419" s="991">
        <f>IF(AND(Input_Product=Elig!$C1419,Elig_MatchAll_Ct&lt;22,$BC1419=(Elig_MatchAll_Ct-1),AH1419=0),E1419,0)</f>
        <v>0</v>
      </c>
      <c r="BK1419" s="991">
        <f>IF(AND(Input_Product=Elig!$C1419,Elig_MatchAll_Ct&lt;22,$BC1419=(Elig_MatchAll_Ct-1),AI1419=0),F1419,0)</f>
        <v>0</v>
      </c>
      <c r="BL1419" s="991">
        <f>IF(AND(Input_Product=Elig!$C1419,Elig_MatchAll_Ct&lt;22,$BC1419=(Elig_MatchAll_Ct-1),AJ1419=0),G1419,0)</f>
        <v>0</v>
      </c>
      <c r="BM1419" s="991">
        <f>IF(AND(Input_Product=Elig!$C1419,Elig_MatchAll_Ct&lt;22,$BC1419=(Elig_MatchAll_Ct-1),AK1419=0),H1419,0)</f>
        <v>0</v>
      </c>
      <c r="BN1419" s="991">
        <f>IF(AND(Input_Product=Elig!$C1419,Elig_MatchAll_Ct&lt;22,$BC1419=(Elig_MatchAll_Ct-1),AL1419=0),I1419,0)</f>
        <v>0</v>
      </c>
      <c r="BO1419" s="991">
        <f>IF(AND(Input_Product=Elig!$C1419,Elig_MatchAll_Ct&lt;22,$BC1419=(Elig_MatchAll_Ct-1),AM1419=0),J1419,0)</f>
        <v>0</v>
      </c>
      <c r="BP1419" s="991">
        <f>IF(AND(Input_Product=Elig!$C1419,Elig_MatchAll_Ct&lt;22,$BC1419=(Elig_MatchAll_Ct-1),AN1419=0),K1419,0)</f>
        <v>0</v>
      </c>
      <c r="BQ1419" s="991">
        <f>IF(AND(Input_Product=Elig!$C1419,Elig_MatchAll_Ct&lt;22,$BC1419=(Elig_MatchAll_Ct-1),AP1419=0),L1419,0)</f>
        <v>0</v>
      </c>
      <c r="BR1419" s="991">
        <f>IF(AND(Input_Product=Elig!$C1419,Elig_MatchAll_Ct&lt;22,$BC1419=(Elig_MatchAll_Ct-1),AO1419=0),M1419,0)</f>
        <v>0</v>
      </c>
      <c r="BS1419" s="991">
        <f>IF(AND(Input_Product=Elig!$C1419,Elig_MatchAll_Ct&lt;22,$BC1419=(Elig_MatchAll_Ct-1),AQ1419=0),N1419,0)</f>
        <v>0</v>
      </c>
      <c r="BT1419" s="991">
        <f>IF(AND(Input_Product=Elig!$C1419,Elig_MatchAll_Ct&lt;22,$BC1419=(Elig_MatchAll_Ct-1),AR1419=0),O1419,0)</f>
        <v>0</v>
      </c>
      <c r="BU1419" s="991">
        <f>IF(AND(Input_Product=Elig!$C1419,Elig_MatchAll_Ct&lt;22,$BC1419=(Elig_MatchAll_Ct-1),AS1419=0),P1419,0)</f>
        <v>0</v>
      </c>
      <c r="BV1419" s="992">
        <f>IF(AND(Input_Product=Elig!$C1419,Elig_MatchAll_Ct&lt;22,$BC1419=(Elig_MatchAll_Ct-1),AT1419=0),Q1419,0)</f>
        <v>0</v>
      </c>
      <c r="BW1419" s="993">
        <f>IF(AND(Input_Product=Elig!$C1419,Elig_MatchAll_Ct&lt;22,$BC1419=(Elig_MatchAll_Ct-1),AU1419=0),R1419,0)</f>
        <v>0</v>
      </c>
      <c r="BX1419" s="994">
        <f>IF(AND(Input_Product=Elig!$C1419,Elig_MatchAll_Ct&lt;22,$BC1419=(Elig_MatchAll_Ct-1),AU1419=0),S1419,0)</f>
        <v>0</v>
      </c>
      <c r="BY1419" s="993">
        <f>IF(AND(Input_Product=Elig!$C1419,Elig_MatchAll_Ct&lt;22,$BC1419=(Elig_MatchAll_Ct-1),AV1419=0),T1419,0)</f>
        <v>0</v>
      </c>
      <c r="BZ1419" s="994">
        <f>IF(AND(Input_Product=Elig!$C1419,Elig_MatchAll_Ct&lt;22,$BC1419=(Elig_MatchAll_Ct-1),AV1419=0),U1419,0)</f>
        <v>0</v>
      </c>
      <c r="CA1419" s="993">
        <f>IF(AND(Input_Product=Elig!$C1419,Elig_MatchAll_Ct&lt;22,$BC1419=(Elig_MatchAll_Ct-1),AW1419=0),V1419,0)</f>
        <v>0</v>
      </c>
      <c r="CB1419" s="994">
        <f>IF(AND(Input_Product=Elig!$C1419,Elig_MatchAll_Ct&lt;22,$BC1419=(Elig_MatchAll_Ct-1),AW1419=0),W1419,0)</f>
        <v>0</v>
      </c>
      <c r="CC1419" s="993">
        <f>IF(AND(Input_Product=Elig!$C1419,Elig_MatchAll_Ct&lt;22,$BC1419=(Elig_MatchAll_Ct-1),AX1419=0),X1419,0)</f>
        <v>0</v>
      </c>
      <c r="CD1419" s="994">
        <f>IF(AND(Input_Product=Elig!$C1419,Elig_MatchAll_Ct&lt;22,$BC1419=(Elig_MatchAll_Ct-1),AX1419=0),Y1419,0)</f>
        <v>0</v>
      </c>
      <c r="CE1419" s="993">
        <f>IF(AND(Input_LTV&lt;=AE1419,Input_Product=Elig!$C1419,Elig_MatchAll_Ct&lt;22,$BC1419=(Elig_MatchAll_Ct-1),AY1419=0),Z1419,0)</f>
        <v>0</v>
      </c>
      <c r="CF1419" s="994">
        <f>IF(AND(Input_LTV&lt;=AE1419,Input_Product=Elig!$C1419,Elig_MatchAll_Ct&lt;22,$BC1419=(Elig_MatchAll_Ct-1),AY1419=0),AA1419,0)</f>
        <v>0</v>
      </c>
      <c r="CG1419" s="993">
        <f>IF(AND(Input_Product=Elig!$C1419,Elig_MatchAll_Ct&lt;22,$BC1419=(Elig_MatchAll_Ct-1),AZ1419=0),AB1419,0)</f>
        <v>0</v>
      </c>
      <c r="CH1419" s="994">
        <f>IF(AND(Input_Product=Elig!$C1419,Elig_MatchAll_Ct&lt;22,$BC1419=(Elig_MatchAll_Ct-1),AZ1419=0),AC1419,0)</f>
        <v>0</v>
      </c>
      <c r="CI1419" s="993">
        <f>IF(AND(Input_Product=Elig!$C1419,Elig_MatchAll_Ct&lt;22,$BC1419=(Elig_MatchAll_Ct-1),BA1419=0),AD1419,0)</f>
        <v>0</v>
      </c>
      <c r="CJ1419" s="994">
        <f>IF(AND(Input_Product=Elig!$C1419,Elig_MatchAll_Ct&lt;22,$BC1419=(Elig_MatchAll_Ct-1),BA1419=0),AE1419,0)</f>
        <v>0</v>
      </c>
    </row>
    <row r="1420" spans="2:88" ht="10.15" customHeight="1" x14ac:dyDescent="0.25">
      <c r="B1420" s="1538" t="s">
        <v>3618</v>
      </c>
      <c r="C1420" s="1538" t="str">
        <f t="shared" si="494"/>
        <v xml:space="preserve">  NOO</v>
      </c>
      <c r="D1420" s="1538" t="s">
        <v>2764</v>
      </c>
      <c r="E1420" s="1538" t="s">
        <v>167</v>
      </c>
      <c r="F1420" s="1538" t="s">
        <v>2765</v>
      </c>
      <c r="G1420" s="1538" t="s">
        <v>2766</v>
      </c>
      <c r="H1420" s="1538" t="s">
        <v>2767</v>
      </c>
      <c r="I1420" s="1539" t="s">
        <v>16</v>
      </c>
      <c r="J1420" s="1539" t="s">
        <v>1311</v>
      </c>
      <c r="K1420" s="1539" t="s">
        <v>3023</v>
      </c>
      <c r="L1420" s="1538" t="s">
        <v>2768</v>
      </c>
      <c r="M1420" s="1538" t="s">
        <v>2677</v>
      </c>
      <c r="N1420" s="1538" t="s">
        <v>2685</v>
      </c>
      <c r="O1420" s="1538" t="s">
        <v>310</v>
      </c>
      <c r="P1420" s="1538" t="s">
        <v>291</v>
      </c>
      <c r="Q1420" s="1538" t="s">
        <v>294</v>
      </c>
      <c r="R1420" s="1538">
        <v>1500000.01</v>
      </c>
      <c r="S1420" s="1538">
        <v>2000000</v>
      </c>
      <c r="T1420" s="1538">
        <v>0</v>
      </c>
      <c r="U1420" s="1538">
        <f t="shared" si="498"/>
        <v>2000000</v>
      </c>
      <c r="V1420" s="1538">
        <v>0</v>
      </c>
      <c r="W1420" s="1538">
        <v>55</v>
      </c>
      <c r="X1420" s="1538">
        <v>0</v>
      </c>
      <c r="Y1420" s="1538">
        <v>0</v>
      </c>
      <c r="Z1420" s="1540">
        <v>660</v>
      </c>
      <c r="AA1420" s="1540">
        <v>679</v>
      </c>
      <c r="AB1420" s="1540">
        <v>6</v>
      </c>
      <c r="AC1420" s="1540">
        <v>999999</v>
      </c>
      <c r="AD1420" s="1538">
        <v>0</v>
      </c>
      <c r="AE1420" s="1545">
        <v>65</v>
      </c>
      <c r="AF1420" s="170">
        <v>0</v>
      </c>
      <c r="AG1420" s="171">
        <v>1</v>
      </c>
      <c r="AH1420" s="171">
        <v>1</v>
      </c>
      <c r="AI1420" s="171">
        <v>1</v>
      </c>
      <c r="AJ1420" s="171">
        <v>1</v>
      </c>
      <c r="AK1420" s="171">
        <v>1</v>
      </c>
      <c r="AL1420" s="171">
        <v>1</v>
      </c>
      <c r="AM1420" s="171">
        <v>1</v>
      </c>
      <c r="AN1420" s="171">
        <v>1</v>
      </c>
      <c r="AO1420" s="171">
        <v>1</v>
      </c>
      <c r="AP1420" s="171">
        <v>1</v>
      </c>
      <c r="AQ1420" s="171">
        <v>1</v>
      </c>
      <c r="AR1420" s="171">
        <v>1</v>
      </c>
      <c r="AS1420" s="171">
        <v>1</v>
      </c>
      <c r="AT1420" s="171">
        <v>1</v>
      </c>
      <c r="AU1420" s="171">
        <f t="shared" si="488"/>
        <v>0</v>
      </c>
      <c r="AV1420" s="171">
        <f t="shared" si="489"/>
        <v>1</v>
      </c>
      <c r="AW1420" s="171">
        <f t="shared" si="490"/>
        <v>1</v>
      </c>
      <c r="AX1420" s="171">
        <f t="shared" si="499"/>
        <v>1</v>
      </c>
      <c r="AY1420" s="171">
        <f t="shared" si="491"/>
        <v>0</v>
      </c>
      <c r="AZ1420" s="171">
        <f t="shared" si="492"/>
        <v>1</v>
      </c>
      <c r="BA1420" s="172">
        <f t="shared" si="493"/>
        <v>1</v>
      </c>
      <c r="BB1420" s="175">
        <f t="shared" si="495"/>
        <v>19</v>
      </c>
      <c r="BC1420" s="176">
        <f t="shared" si="496"/>
        <v>18</v>
      </c>
      <c r="BD1420" s="176">
        <f t="shared" si="497"/>
        <v>19</v>
      </c>
      <c r="BE1420" s="240" t="str">
        <f t="shared" si="487"/>
        <v/>
      </c>
      <c r="BF1420" s="990"/>
      <c r="BG1420" s="990"/>
      <c r="BH1420" s="991">
        <f>IF(AND(Input_Product=Elig!$C1420,Elig_MatchAll_Ct&lt;22,$BC1420=(Elig_MatchAll_Ct-1),AF1420=0),C1420,0)</f>
        <v>0</v>
      </c>
      <c r="BI1420" s="991">
        <f>IF(AND(Input_Product=Elig!$C1420,Elig_MatchAll_Ct&lt;22,$BC1420=(Elig_MatchAll_Ct-1),AG1420=0),D1420,0)</f>
        <v>0</v>
      </c>
      <c r="BJ1420" s="991">
        <f>IF(AND(Input_Product=Elig!$C1420,Elig_MatchAll_Ct&lt;22,$BC1420=(Elig_MatchAll_Ct-1),AH1420=0),E1420,0)</f>
        <v>0</v>
      </c>
      <c r="BK1420" s="991">
        <f>IF(AND(Input_Product=Elig!$C1420,Elig_MatchAll_Ct&lt;22,$BC1420=(Elig_MatchAll_Ct-1),AI1420=0),F1420,0)</f>
        <v>0</v>
      </c>
      <c r="BL1420" s="991">
        <f>IF(AND(Input_Product=Elig!$C1420,Elig_MatchAll_Ct&lt;22,$BC1420=(Elig_MatchAll_Ct-1),AJ1420=0),G1420,0)</f>
        <v>0</v>
      </c>
      <c r="BM1420" s="991">
        <f>IF(AND(Input_Product=Elig!$C1420,Elig_MatchAll_Ct&lt;22,$BC1420=(Elig_MatchAll_Ct-1),AK1420=0),H1420,0)</f>
        <v>0</v>
      </c>
      <c r="BN1420" s="991">
        <f>IF(AND(Input_Product=Elig!$C1420,Elig_MatchAll_Ct&lt;22,$BC1420=(Elig_MatchAll_Ct-1),AL1420=0),I1420,0)</f>
        <v>0</v>
      </c>
      <c r="BO1420" s="991">
        <f>IF(AND(Input_Product=Elig!$C1420,Elig_MatchAll_Ct&lt;22,$BC1420=(Elig_MatchAll_Ct-1),AM1420=0),J1420,0)</f>
        <v>0</v>
      </c>
      <c r="BP1420" s="991">
        <f>IF(AND(Input_Product=Elig!$C1420,Elig_MatchAll_Ct&lt;22,$BC1420=(Elig_MatchAll_Ct-1),AN1420=0),K1420,0)</f>
        <v>0</v>
      </c>
      <c r="BQ1420" s="991">
        <f>IF(AND(Input_Product=Elig!$C1420,Elig_MatchAll_Ct&lt;22,$BC1420=(Elig_MatchAll_Ct-1),AP1420=0),L1420,0)</f>
        <v>0</v>
      </c>
      <c r="BR1420" s="991">
        <f>IF(AND(Input_Product=Elig!$C1420,Elig_MatchAll_Ct&lt;22,$BC1420=(Elig_MatchAll_Ct-1),AO1420=0),M1420,0)</f>
        <v>0</v>
      </c>
      <c r="BS1420" s="991">
        <f>IF(AND(Input_Product=Elig!$C1420,Elig_MatchAll_Ct&lt;22,$BC1420=(Elig_MatchAll_Ct-1),AQ1420=0),N1420,0)</f>
        <v>0</v>
      </c>
      <c r="BT1420" s="991">
        <f>IF(AND(Input_Product=Elig!$C1420,Elig_MatchAll_Ct&lt;22,$BC1420=(Elig_MatchAll_Ct-1),AR1420=0),O1420,0)</f>
        <v>0</v>
      </c>
      <c r="BU1420" s="991">
        <f>IF(AND(Input_Product=Elig!$C1420,Elig_MatchAll_Ct&lt;22,$BC1420=(Elig_MatchAll_Ct-1),AS1420=0),P1420,0)</f>
        <v>0</v>
      </c>
      <c r="BV1420" s="992">
        <f>IF(AND(Input_Product=Elig!$C1420,Elig_MatchAll_Ct&lt;22,$BC1420=(Elig_MatchAll_Ct-1),AT1420=0),Q1420,0)</f>
        <v>0</v>
      </c>
      <c r="BW1420" s="993">
        <f>IF(AND(Input_Product=Elig!$C1420,Elig_MatchAll_Ct&lt;22,$BC1420=(Elig_MatchAll_Ct-1),AU1420=0),R1420,0)</f>
        <v>0</v>
      </c>
      <c r="BX1420" s="994">
        <f>IF(AND(Input_Product=Elig!$C1420,Elig_MatchAll_Ct&lt;22,$BC1420=(Elig_MatchAll_Ct-1),AU1420=0),S1420,0)</f>
        <v>0</v>
      </c>
      <c r="BY1420" s="993">
        <f>IF(AND(Input_Product=Elig!$C1420,Elig_MatchAll_Ct&lt;22,$BC1420=(Elig_MatchAll_Ct-1),AV1420=0),T1420,0)</f>
        <v>0</v>
      </c>
      <c r="BZ1420" s="994">
        <f>IF(AND(Input_Product=Elig!$C1420,Elig_MatchAll_Ct&lt;22,$BC1420=(Elig_MatchAll_Ct-1),AV1420=0),U1420,0)</f>
        <v>0</v>
      </c>
      <c r="CA1420" s="993">
        <f>IF(AND(Input_Product=Elig!$C1420,Elig_MatchAll_Ct&lt;22,$BC1420=(Elig_MatchAll_Ct-1),AW1420=0),V1420,0)</f>
        <v>0</v>
      </c>
      <c r="CB1420" s="994">
        <f>IF(AND(Input_Product=Elig!$C1420,Elig_MatchAll_Ct&lt;22,$BC1420=(Elig_MatchAll_Ct-1),AW1420=0),W1420,0)</f>
        <v>0</v>
      </c>
      <c r="CC1420" s="993">
        <f>IF(AND(Input_Product=Elig!$C1420,Elig_MatchAll_Ct&lt;22,$BC1420=(Elig_MatchAll_Ct-1),AX1420=0),X1420,0)</f>
        <v>0</v>
      </c>
      <c r="CD1420" s="994">
        <f>IF(AND(Input_Product=Elig!$C1420,Elig_MatchAll_Ct&lt;22,$BC1420=(Elig_MatchAll_Ct-1),AX1420=0),Y1420,0)</f>
        <v>0</v>
      </c>
      <c r="CE1420" s="993">
        <f>IF(AND(Input_LTV&lt;=AE1420,Input_Product=Elig!$C1420,Elig_MatchAll_Ct&lt;22,$BC1420=(Elig_MatchAll_Ct-1),AY1420=0),Z1420,0)</f>
        <v>0</v>
      </c>
      <c r="CF1420" s="994">
        <f>IF(AND(Input_LTV&lt;=AE1420,Input_Product=Elig!$C1420,Elig_MatchAll_Ct&lt;22,$BC1420=(Elig_MatchAll_Ct-1),AY1420=0),AA1420,0)</f>
        <v>0</v>
      </c>
      <c r="CG1420" s="993">
        <f>IF(AND(Input_Product=Elig!$C1420,Elig_MatchAll_Ct&lt;22,$BC1420=(Elig_MatchAll_Ct-1),AZ1420=0),AB1420,0)</f>
        <v>0</v>
      </c>
      <c r="CH1420" s="994">
        <f>IF(AND(Input_Product=Elig!$C1420,Elig_MatchAll_Ct&lt;22,$BC1420=(Elig_MatchAll_Ct-1),AZ1420=0),AC1420,0)</f>
        <v>0</v>
      </c>
      <c r="CI1420" s="993">
        <f>IF(AND(Input_Product=Elig!$C1420,Elig_MatchAll_Ct&lt;22,$BC1420=(Elig_MatchAll_Ct-1),BA1420=0),AD1420,0)</f>
        <v>0</v>
      </c>
      <c r="CJ1420" s="994">
        <f>IF(AND(Input_Product=Elig!$C1420,Elig_MatchAll_Ct&lt;22,$BC1420=(Elig_MatchAll_Ct-1),BA1420=0),AE1420,0)</f>
        <v>0</v>
      </c>
    </row>
    <row r="1421" spans="2:88" ht="10.15" customHeight="1" x14ac:dyDescent="0.25">
      <c r="B1421" s="1538" t="s">
        <v>3619</v>
      </c>
      <c r="C1421" s="1546" t="str">
        <f t="shared" si="494"/>
        <v xml:space="preserve">  NOO</v>
      </c>
      <c r="D1421" s="1546" t="s">
        <v>2764</v>
      </c>
      <c r="E1421" s="1546" t="s">
        <v>167</v>
      </c>
      <c r="F1421" s="1546" t="s">
        <v>2765</v>
      </c>
      <c r="G1421" s="1546" t="s">
        <v>2766</v>
      </c>
      <c r="H1421" s="1546" t="s">
        <v>2767</v>
      </c>
      <c r="I1421" s="1547" t="s">
        <v>16</v>
      </c>
      <c r="J1421" s="1547" t="s">
        <v>1311</v>
      </c>
      <c r="K1421" s="1547" t="s">
        <v>3023</v>
      </c>
      <c r="L1421" s="1546" t="s">
        <v>2768</v>
      </c>
      <c r="M1421" s="1546" t="s">
        <v>2677</v>
      </c>
      <c r="N1421" s="1546" t="s">
        <v>2685</v>
      </c>
      <c r="O1421" s="1546" t="s">
        <v>310</v>
      </c>
      <c r="P1421" s="1546" t="s">
        <v>291</v>
      </c>
      <c r="Q1421" s="1546" t="s">
        <v>294</v>
      </c>
      <c r="R1421" s="1546">
        <v>2000000.01</v>
      </c>
      <c r="S1421" s="1546">
        <v>2500000</v>
      </c>
      <c r="T1421" s="1546">
        <v>0</v>
      </c>
      <c r="U1421" s="1546">
        <f t="shared" si="498"/>
        <v>2500000</v>
      </c>
      <c r="V1421" s="1546">
        <v>0</v>
      </c>
      <c r="W1421" s="1546">
        <v>55</v>
      </c>
      <c r="X1421" s="1546">
        <v>0</v>
      </c>
      <c r="Y1421" s="1546">
        <v>0</v>
      </c>
      <c r="Z1421" s="1548">
        <v>660</v>
      </c>
      <c r="AA1421" s="1548">
        <v>679</v>
      </c>
      <c r="AB1421" s="1548">
        <v>6</v>
      </c>
      <c r="AC1421" s="1548">
        <v>999999</v>
      </c>
      <c r="AD1421" s="1546">
        <v>0</v>
      </c>
      <c r="AE1421" s="1549">
        <v>65</v>
      </c>
      <c r="AF1421" s="170">
        <v>0</v>
      </c>
      <c r="AG1421" s="171">
        <v>1</v>
      </c>
      <c r="AH1421" s="171">
        <v>1</v>
      </c>
      <c r="AI1421" s="171">
        <v>1</v>
      </c>
      <c r="AJ1421" s="171">
        <v>1</v>
      </c>
      <c r="AK1421" s="171">
        <v>1</v>
      </c>
      <c r="AL1421" s="171">
        <v>1</v>
      </c>
      <c r="AM1421" s="171">
        <v>1</v>
      </c>
      <c r="AN1421" s="171">
        <v>1</v>
      </c>
      <c r="AO1421" s="171">
        <v>1</v>
      </c>
      <c r="AP1421" s="171">
        <v>1</v>
      </c>
      <c r="AQ1421" s="171">
        <v>1</v>
      </c>
      <c r="AR1421" s="171">
        <v>1</v>
      </c>
      <c r="AS1421" s="171">
        <v>1</v>
      </c>
      <c r="AT1421" s="171">
        <v>1</v>
      </c>
      <c r="AU1421" s="171">
        <f t="shared" si="488"/>
        <v>0</v>
      </c>
      <c r="AV1421" s="171">
        <f t="shared" si="489"/>
        <v>1</v>
      </c>
      <c r="AW1421" s="171">
        <f t="shared" si="490"/>
        <v>1</v>
      </c>
      <c r="AX1421" s="171">
        <f t="shared" si="499"/>
        <v>1</v>
      </c>
      <c r="AY1421" s="171">
        <f t="shared" si="491"/>
        <v>0</v>
      </c>
      <c r="AZ1421" s="171">
        <f t="shared" si="492"/>
        <v>1</v>
      </c>
      <c r="BA1421" s="172">
        <f t="shared" si="493"/>
        <v>1</v>
      </c>
      <c r="BB1421" s="175">
        <f t="shared" si="495"/>
        <v>19</v>
      </c>
      <c r="BC1421" s="176">
        <f t="shared" si="496"/>
        <v>18</v>
      </c>
      <c r="BD1421" s="176">
        <f t="shared" si="497"/>
        <v>19</v>
      </c>
      <c r="BE1421" s="240" t="str">
        <f t="shared" si="487"/>
        <v/>
      </c>
      <c r="BF1421" s="990"/>
      <c r="BG1421" s="990"/>
      <c r="BH1421" s="991">
        <f>IF(AND(Input_Product=Elig!$C1421,Elig_MatchAll_Ct&lt;22,$BC1421=(Elig_MatchAll_Ct-1),AF1421=0),C1421,0)</f>
        <v>0</v>
      </c>
      <c r="BI1421" s="991">
        <f>IF(AND(Input_Product=Elig!$C1421,Elig_MatchAll_Ct&lt;22,$BC1421=(Elig_MatchAll_Ct-1),AG1421=0),D1421,0)</f>
        <v>0</v>
      </c>
      <c r="BJ1421" s="991">
        <f>IF(AND(Input_Product=Elig!$C1421,Elig_MatchAll_Ct&lt;22,$BC1421=(Elig_MatchAll_Ct-1),AH1421=0),E1421,0)</f>
        <v>0</v>
      </c>
      <c r="BK1421" s="991">
        <f>IF(AND(Input_Product=Elig!$C1421,Elig_MatchAll_Ct&lt;22,$BC1421=(Elig_MatchAll_Ct-1),AI1421=0),F1421,0)</f>
        <v>0</v>
      </c>
      <c r="BL1421" s="991">
        <f>IF(AND(Input_Product=Elig!$C1421,Elig_MatchAll_Ct&lt;22,$BC1421=(Elig_MatchAll_Ct-1),AJ1421=0),G1421,0)</f>
        <v>0</v>
      </c>
      <c r="BM1421" s="991">
        <f>IF(AND(Input_Product=Elig!$C1421,Elig_MatchAll_Ct&lt;22,$BC1421=(Elig_MatchAll_Ct-1),AK1421=0),H1421,0)</f>
        <v>0</v>
      </c>
      <c r="BN1421" s="991">
        <f>IF(AND(Input_Product=Elig!$C1421,Elig_MatchAll_Ct&lt;22,$BC1421=(Elig_MatchAll_Ct-1),AL1421=0),I1421,0)</f>
        <v>0</v>
      </c>
      <c r="BO1421" s="991">
        <f>IF(AND(Input_Product=Elig!$C1421,Elig_MatchAll_Ct&lt;22,$BC1421=(Elig_MatchAll_Ct-1),AM1421=0),J1421,0)</f>
        <v>0</v>
      </c>
      <c r="BP1421" s="991">
        <f>IF(AND(Input_Product=Elig!$C1421,Elig_MatchAll_Ct&lt;22,$BC1421=(Elig_MatchAll_Ct-1),AN1421=0),K1421,0)</f>
        <v>0</v>
      </c>
      <c r="BQ1421" s="991">
        <f>IF(AND(Input_Product=Elig!$C1421,Elig_MatchAll_Ct&lt;22,$BC1421=(Elig_MatchAll_Ct-1),AP1421=0),L1421,0)</f>
        <v>0</v>
      </c>
      <c r="BR1421" s="991">
        <f>IF(AND(Input_Product=Elig!$C1421,Elig_MatchAll_Ct&lt;22,$BC1421=(Elig_MatchAll_Ct-1),AO1421=0),M1421,0)</f>
        <v>0</v>
      </c>
      <c r="BS1421" s="991">
        <f>IF(AND(Input_Product=Elig!$C1421,Elig_MatchAll_Ct&lt;22,$BC1421=(Elig_MatchAll_Ct-1),AQ1421=0),N1421,0)</f>
        <v>0</v>
      </c>
      <c r="BT1421" s="991">
        <f>IF(AND(Input_Product=Elig!$C1421,Elig_MatchAll_Ct&lt;22,$BC1421=(Elig_MatchAll_Ct-1),AR1421=0),O1421,0)</f>
        <v>0</v>
      </c>
      <c r="BU1421" s="991">
        <f>IF(AND(Input_Product=Elig!$C1421,Elig_MatchAll_Ct&lt;22,$BC1421=(Elig_MatchAll_Ct-1),AS1421=0),P1421,0)</f>
        <v>0</v>
      </c>
      <c r="BV1421" s="992">
        <f>IF(AND(Input_Product=Elig!$C1421,Elig_MatchAll_Ct&lt;22,$BC1421=(Elig_MatchAll_Ct-1),AT1421=0),Q1421,0)</f>
        <v>0</v>
      </c>
      <c r="BW1421" s="993">
        <f>IF(AND(Input_Product=Elig!$C1421,Elig_MatchAll_Ct&lt;22,$BC1421=(Elig_MatchAll_Ct-1),AU1421=0),R1421,0)</f>
        <v>0</v>
      </c>
      <c r="BX1421" s="994">
        <f>IF(AND(Input_Product=Elig!$C1421,Elig_MatchAll_Ct&lt;22,$BC1421=(Elig_MatchAll_Ct-1),AU1421=0),S1421,0)</f>
        <v>0</v>
      </c>
      <c r="BY1421" s="993">
        <f>IF(AND(Input_Product=Elig!$C1421,Elig_MatchAll_Ct&lt;22,$BC1421=(Elig_MatchAll_Ct-1),AV1421=0),T1421,0)</f>
        <v>0</v>
      </c>
      <c r="BZ1421" s="994">
        <f>IF(AND(Input_Product=Elig!$C1421,Elig_MatchAll_Ct&lt;22,$BC1421=(Elig_MatchAll_Ct-1),AV1421=0),U1421,0)</f>
        <v>0</v>
      </c>
      <c r="CA1421" s="993">
        <f>IF(AND(Input_Product=Elig!$C1421,Elig_MatchAll_Ct&lt;22,$BC1421=(Elig_MatchAll_Ct-1),AW1421=0),V1421,0)</f>
        <v>0</v>
      </c>
      <c r="CB1421" s="994">
        <f>IF(AND(Input_Product=Elig!$C1421,Elig_MatchAll_Ct&lt;22,$BC1421=(Elig_MatchAll_Ct-1),AW1421=0),W1421,0)</f>
        <v>0</v>
      </c>
      <c r="CC1421" s="993">
        <f>IF(AND(Input_Product=Elig!$C1421,Elig_MatchAll_Ct&lt;22,$BC1421=(Elig_MatchAll_Ct-1),AX1421=0),X1421,0)</f>
        <v>0</v>
      </c>
      <c r="CD1421" s="994">
        <f>IF(AND(Input_Product=Elig!$C1421,Elig_MatchAll_Ct&lt;22,$BC1421=(Elig_MatchAll_Ct-1),AX1421=0),Y1421,0)</f>
        <v>0</v>
      </c>
      <c r="CE1421" s="993">
        <f>IF(AND(Input_LTV&lt;=AE1421,Input_Product=Elig!$C1421,Elig_MatchAll_Ct&lt;22,$BC1421=(Elig_MatchAll_Ct-1),AY1421=0),Z1421,0)</f>
        <v>0</v>
      </c>
      <c r="CF1421" s="994">
        <f>IF(AND(Input_LTV&lt;=AE1421,Input_Product=Elig!$C1421,Elig_MatchAll_Ct&lt;22,$BC1421=(Elig_MatchAll_Ct-1),AY1421=0),AA1421,0)</f>
        <v>0</v>
      </c>
      <c r="CG1421" s="993">
        <f>IF(AND(Input_Product=Elig!$C1421,Elig_MatchAll_Ct&lt;22,$BC1421=(Elig_MatchAll_Ct-1),AZ1421=0),AB1421,0)</f>
        <v>0</v>
      </c>
      <c r="CH1421" s="994">
        <f>IF(AND(Input_Product=Elig!$C1421,Elig_MatchAll_Ct&lt;22,$BC1421=(Elig_MatchAll_Ct-1),AZ1421=0),AC1421,0)</f>
        <v>0</v>
      </c>
      <c r="CI1421" s="993">
        <f>IF(AND(Input_Product=Elig!$C1421,Elig_MatchAll_Ct&lt;22,$BC1421=(Elig_MatchAll_Ct-1),BA1421=0),AD1421,0)</f>
        <v>0</v>
      </c>
      <c r="CJ1421" s="994">
        <f>IF(AND(Input_Product=Elig!$C1421,Elig_MatchAll_Ct&lt;22,$BC1421=(Elig_MatchAll_Ct-1),BA1421=0),AE1421,0)</f>
        <v>0</v>
      </c>
    </row>
    <row r="1422" spans="2:88" ht="10.15" customHeight="1" x14ac:dyDescent="0.25">
      <c r="B1422" s="1550" t="s">
        <v>2809</v>
      </c>
      <c r="C1422" s="1550" t="str">
        <f t="shared" ref="C1422:C1461" si="500">Input_Name_Product17&amp;" OO"</f>
        <v xml:space="preserve">  OO</v>
      </c>
      <c r="D1422" s="1550" t="s">
        <v>2764</v>
      </c>
      <c r="E1422" s="1550" t="s">
        <v>167</v>
      </c>
      <c r="F1422" s="1550" t="s">
        <v>2765</v>
      </c>
      <c r="G1422" s="1550" t="s">
        <v>2810</v>
      </c>
      <c r="H1422" s="1550" t="s">
        <v>2767</v>
      </c>
      <c r="I1422" s="1551" t="s">
        <v>34</v>
      </c>
      <c r="J1422" s="1551" t="s">
        <v>1311</v>
      </c>
      <c r="K1422" s="1551" t="s">
        <v>3023</v>
      </c>
      <c r="L1422" s="1550" t="s">
        <v>3920</v>
      </c>
      <c r="M1422" s="1550" t="s">
        <v>4203</v>
      </c>
      <c r="N1422" s="1550" t="s">
        <v>2685</v>
      </c>
      <c r="O1422" s="1550" t="s">
        <v>310</v>
      </c>
      <c r="P1422" s="1550" t="s">
        <v>291</v>
      </c>
      <c r="Q1422" s="1550" t="s">
        <v>294</v>
      </c>
      <c r="R1422" s="1550">
        <v>150000</v>
      </c>
      <c r="S1422" s="1550">
        <v>1000000</v>
      </c>
      <c r="T1422" s="1550">
        <v>0</v>
      </c>
      <c r="U1422" s="1550">
        <v>0</v>
      </c>
      <c r="V1422" s="1550">
        <v>0</v>
      </c>
      <c r="W1422" s="1550">
        <v>50</v>
      </c>
      <c r="X1422" s="1550">
        <v>0</v>
      </c>
      <c r="Y1422" s="1550">
        <v>0</v>
      </c>
      <c r="Z1422" s="1552">
        <v>700</v>
      </c>
      <c r="AA1422" s="1552">
        <v>999</v>
      </c>
      <c r="AB1422" s="1552">
        <v>3</v>
      </c>
      <c r="AC1422" s="1552">
        <v>999999</v>
      </c>
      <c r="AD1422" s="1550">
        <v>0</v>
      </c>
      <c r="AE1422" s="1553">
        <v>85</v>
      </c>
      <c r="AF1422" s="170">
        <v>0</v>
      </c>
      <c r="AG1422" s="171">
        <v>1</v>
      </c>
      <c r="AH1422" s="171">
        <v>1</v>
      </c>
      <c r="AI1422" s="171">
        <v>1</v>
      </c>
      <c r="AJ1422" s="171">
        <v>1</v>
      </c>
      <c r="AK1422" s="171">
        <v>1</v>
      </c>
      <c r="AL1422" s="171">
        <v>0</v>
      </c>
      <c r="AM1422" s="171">
        <v>1</v>
      </c>
      <c r="AN1422" s="171">
        <v>1</v>
      </c>
      <c r="AO1422" s="171">
        <v>1</v>
      </c>
      <c r="AP1422" s="171">
        <v>1</v>
      </c>
      <c r="AQ1422" s="171">
        <v>1</v>
      </c>
      <c r="AR1422" s="171">
        <v>1</v>
      </c>
      <c r="AS1422" s="171">
        <v>1</v>
      </c>
      <c r="AT1422" s="171">
        <v>1</v>
      </c>
      <c r="AU1422" s="171">
        <f t="shared" si="488"/>
        <v>1</v>
      </c>
      <c r="AV1422" s="171">
        <f t="shared" si="489"/>
        <v>0</v>
      </c>
      <c r="AW1422" s="171">
        <f t="shared" si="490"/>
        <v>1</v>
      </c>
      <c r="AX1422" s="171">
        <f t="shared" si="499"/>
        <v>1</v>
      </c>
      <c r="AY1422" s="171">
        <f t="shared" si="491"/>
        <v>1</v>
      </c>
      <c r="AZ1422" s="171">
        <f t="shared" si="492"/>
        <v>1</v>
      </c>
      <c r="BA1422" s="172">
        <f t="shared" si="493"/>
        <v>1</v>
      </c>
      <c r="BB1422" s="175">
        <f t="shared" si="495"/>
        <v>19</v>
      </c>
      <c r="BC1422" s="176">
        <f t="shared" si="496"/>
        <v>18</v>
      </c>
      <c r="BD1422" s="176">
        <f t="shared" si="497"/>
        <v>19</v>
      </c>
      <c r="BE1422" s="240" t="str">
        <f t="shared" si="487"/>
        <v/>
      </c>
      <c r="BF1422" s="990"/>
      <c r="BG1422" s="990"/>
      <c r="BH1422" s="991">
        <f>IF(AND(Input_Product=Elig!$C1422,Elig_MatchAll_Ct&lt;22,$BC1422=(Elig_MatchAll_Ct-1),AF1422=0),C1422,0)</f>
        <v>0</v>
      </c>
      <c r="BI1422" s="991">
        <f>IF(AND(Input_Product=Elig!$C1422,Elig_MatchAll_Ct&lt;22,$BC1422=(Elig_MatchAll_Ct-1),AG1422=0),D1422,0)</f>
        <v>0</v>
      </c>
      <c r="BJ1422" s="991">
        <f>IF(AND(Input_Product=Elig!$C1422,Elig_MatchAll_Ct&lt;22,$BC1422=(Elig_MatchAll_Ct-1),AH1422=0),E1422,0)</f>
        <v>0</v>
      </c>
      <c r="BK1422" s="991">
        <f>IF(AND(Input_Product=Elig!$C1422,Elig_MatchAll_Ct&lt;22,$BC1422=(Elig_MatchAll_Ct-1),AI1422=0),F1422,0)</f>
        <v>0</v>
      </c>
      <c r="BL1422" s="991">
        <f>IF(AND(Input_Product=Elig!$C1422,Elig_MatchAll_Ct&lt;22,$BC1422=(Elig_MatchAll_Ct-1),AJ1422=0),G1422,0)</f>
        <v>0</v>
      </c>
      <c r="BM1422" s="991">
        <f>IF(AND(Input_Product=Elig!$C1422,Elig_MatchAll_Ct&lt;22,$BC1422=(Elig_MatchAll_Ct-1),AK1422=0),H1422,0)</f>
        <v>0</v>
      </c>
      <c r="BN1422" s="991">
        <f>IF(AND(Input_Product=Elig!$C1422,Elig_MatchAll_Ct&lt;22,$BC1422=(Elig_MatchAll_Ct-1),AL1422=0),I1422,0)</f>
        <v>0</v>
      </c>
      <c r="BO1422" s="991">
        <f>IF(AND(Input_Product=Elig!$C1422,Elig_MatchAll_Ct&lt;22,$BC1422=(Elig_MatchAll_Ct-1),AM1422=0),J1422,0)</f>
        <v>0</v>
      </c>
      <c r="BP1422" s="991">
        <f>IF(AND(Input_Product=Elig!$C1422,Elig_MatchAll_Ct&lt;22,$BC1422=(Elig_MatchAll_Ct-1),AN1422=0),K1422,0)</f>
        <v>0</v>
      </c>
      <c r="BQ1422" s="991">
        <f>IF(AND(Input_Product=Elig!$C1422,Elig_MatchAll_Ct&lt;22,$BC1422=(Elig_MatchAll_Ct-1),AP1422=0),L1422,0)</f>
        <v>0</v>
      </c>
      <c r="BR1422" s="991">
        <f>IF(AND(Input_Product=Elig!$C1422,Elig_MatchAll_Ct&lt;22,$BC1422=(Elig_MatchAll_Ct-1),AO1422=0),M1422,0)</f>
        <v>0</v>
      </c>
      <c r="BS1422" s="991">
        <f>IF(AND(Input_Product=Elig!$C1422,Elig_MatchAll_Ct&lt;22,$BC1422=(Elig_MatchAll_Ct-1),AQ1422=0),N1422,0)</f>
        <v>0</v>
      </c>
      <c r="BT1422" s="991">
        <f>IF(AND(Input_Product=Elig!$C1422,Elig_MatchAll_Ct&lt;22,$BC1422=(Elig_MatchAll_Ct-1),AR1422=0),O1422,0)</f>
        <v>0</v>
      </c>
      <c r="BU1422" s="991">
        <f>IF(AND(Input_Product=Elig!$C1422,Elig_MatchAll_Ct&lt;22,$BC1422=(Elig_MatchAll_Ct-1),AS1422=0),P1422,0)</f>
        <v>0</v>
      </c>
      <c r="BV1422" s="992">
        <f>IF(AND(Input_Product=Elig!$C1422,Elig_MatchAll_Ct&lt;22,$BC1422=(Elig_MatchAll_Ct-1),AT1422=0),Q1422,0)</f>
        <v>0</v>
      </c>
      <c r="BW1422" s="993">
        <f>IF(AND(Input_Product=Elig!$C1422,Elig_MatchAll_Ct&lt;22,$BC1422=(Elig_MatchAll_Ct-1),AU1422=0),R1422,0)</f>
        <v>0</v>
      </c>
      <c r="BX1422" s="994">
        <f>IF(AND(Input_Product=Elig!$C1422,Elig_MatchAll_Ct&lt;22,$BC1422=(Elig_MatchAll_Ct-1),AU1422=0),S1422,0)</f>
        <v>0</v>
      </c>
      <c r="BY1422" s="993">
        <f>IF(AND(Input_Product=Elig!$C1422,Elig_MatchAll_Ct&lt;22,$BC1422=(Elig_MatchAll_Ct-1),AV1422=0),T1422,0)</f>
        <v>0</v>
      </c>
      <c r="BZ1422" s="994">
        <f>IF(AND(Input_Product=Elig!$C1422,Elig_MatchAll_Ct&lt;22,$BC1422=(Elig_MatchAll_Ct-1),AV1422=0),U1422,0)</f>
        <v>0</v>
      </c>
      <c r="CA1422" s="993">
        <f>IF(AND(Input_Product=Elig!$C1422,Elig_MatchAll_Ct&lt;22,$BC1422=(Elig_MatchAll_Ct-1),AW1422=0),V1422,0)</f>
        <v>0</v>
      </c>
      <c r="CB1422" s="994">
        <f>IF(AND(Input_Product=Elig!$C1422,Elig_MatchAll_Ct&lt;22,$BC1422=(Elig_MatchAll_Ct-1),AW1422=0),W1422,0)</f>
        <v>0</v>
      </c>
      <c r="CC1422" s="993">
        <f>IF(AND(Input_Product=Elig!$C1422,Elig_MatchAll_Ct&lt;22,$BC1422=(Elig_MatchAll_Ct-1),AX1422=0),X1422,0)</f>
        <v>0</v>
      </c>
      <c r="CD1422" s="994">
        <f>IF(AND(Input_Product=Elig!$C1422,Elig_MatchAll_Ct&lt;22,$BC1422=(Elig_MatchAll_Ct-1),AX1422=0),Y1422,0)</f>
        <v>0</v>
      </c>
      <c r="CE1422" s="993">
        <f>IF(AND(Input_LTV&lt;=AE1422,Input_Product=Elig!$C1422,Elig_MatchAll_Ct&lt;22,$BC1422=(Elig_MatchAll_Ct-1),AY1422=0),Z1422,0)</f>
        <v>0</v>
      </c>
      <c r="CF1422" s="994">
        <f>IF(AND(Input_LTV&lt;=AE1422,Input_Product=Elig!$C1422,Elig_MatchAll_Ct&lt;22,$BC1422=(Elig_MatchAll_Ct-1),AY1422=0),AA1422,0)</f>
        <v>0</v>
      </c>
      <c r="CG1422" s="993">
        <f>IF(AND(Input_Product=Elig!$C1422,Elig_MatchAll_Ct&lt;22,$BC1422=(Elig_MatchAll_Ct-1),AZ1422=0),AB1422,0)</f>
        <v>0</v>
      </c>
      <c r="CH1422" s="994">
        <f>IF(AND(Input_Product=Elig!$C1422,Elig_MatchAll_Ct&lt;22,$BC1422=(Elig_MatchAll_Ct-1),AZ1422=0),AC1422,0)</f>
        <v>0</v>
      </c>
      <c r="CI1422" s="993">
        <f>IF(AND(Input_Product=Elig!$C1422,Elig_MatchAll_Ct&lt;22,$BC1422=(Elig_MatchAll_Ct-1),BA1422=0),AD1422,0)</f>
        <v>0</v>
      </c>
      <c r="CJ1422" s="994">
        <f>IF(AND(Input_Product=Elig!$C1422,Elig_MatchAll_Ct&lt;22,$BC1422=(Elig_MatchAll_Ct-1),BA1422=0),AE1422,0)</f>
        <v>0</v>
      </c>
    </row>
    <row r="1423" spans="2:88" ht="10.15" customHeight="1" x14ac:dyDescent="0.25">
      <c r="B1423" s="1554" t="s">
        <v>2811</v>
      </c>
      <c r="C1423" s="1554" t="str">
        <f t="shared" si="500"/>
        <v xml:space="preserve">  OO</v>
      </c>
      <c r="D1423" s="1554" t="s">
        <v>2764</v>
      </c>
      <c r="E1423" s="1554" t="s">
        <v>167</v>
      </c>
      <c r="F1423" s="1554" t="s">
        <v>2765</v>
      </c>
      <c r="G1423" s="1554" t="s">
        <v>2810</v>
      </c>
      <c r="H1423" s="1554" t="s">
        <v>2767</v>
      </c>
      <c r="I1423" s="1555" t="s">
        <v>34</v>
      </c>
      <c r="J1423" s="1555" t="s">
        <v>1311</v>
      </c>
      <c r="K1423" s="1555" t="s">
        <v>3023</v>
      </c>
      <c r="L1423" s="1554" t="s">
        <v>3920</v>
      </c>
      <c r="M1423" s="1554" t="s">
        <v>4203</v>
      </c>
      <c r="N1423" s="1554" t="s">
        <v>2685</v>
      </c>
      <c r="O1423" s="1554" t="s">
        <v>310</v>
      </c>
      <c r="P1423" s="1554" t="s">
        <v>291</v>
      </c>
      <c r="Q1423" s="1554" t="s">
        <v>294</v>
      </c>
      <c r="R1423" s="1554">
        <v>1000000.01</v>
      </c>
      <c r="S1423" s="1554">
        <v>1500000</v>
      </c>
      <c r="T1423" s="1554">
        <v>0</v>
      </c>
      <c r="U1423" s="1554">
        <v>0</v>
      </c>
      <c r="V1423" s="1554">
        <v>0</v>
      </c>
      <c r="W1423" s="1554">
        <v>50</v>
      </c>
      <c r="X1423" s="1554">
        <v>0</v>
      </c>
      <c r="Y1423" s="1554">
        <v>0</v>
      </c>
      <c r="Z1423" s="1556">
        <v>700</v>
      </c>
      <c r="AA1423" s="1556">
        <v>999</v>
      </c>
      <c r="AB1423" s="1556">
        <v>3</v>
      </c>
      <c r="AC1423" s="1556">
        <v>999999</v>
      </c>
      <c r="AD1423" s="1554">
        <v>0</v>
      </c>
      <c r="AE1423" s="1557">
        <v>85</v>
      </c>
      <c r="AF1423" s="170">
        <v>0</v>
      </c>
      <c r="AG1423" s="171">
        <v>1</v>
      </c>
      <c r="AH1423" s="171">
        <v>1</v>
      </c>
      <c r="AI1423" s="171">
        <v>1</v>
      </c>
      <c r="AJ1423" s="171">
        <v>1</v>
      </c>
      <c r="AK1423" s="171">
        <v>1</v>
      </c>
      <c r="AL1423" s="171">
        <v>0</v>
      </c>
      <c r="AM1423" s="171">
        <v>1</v>
      </c>
      <c r="AN1423" s="171">
        <v>1</v>
      </c>
      <c r="AO1423" s="171">
        <v>1</v>
      </c>
      <c r="AP1423" s="171">
        <v>1</v>
      </c>
      <c r="AQ1423" s="171">
        <v>1</v>
      </c>
      <c r="AR1423" s="171">
        <v>1</v>
      </c>
      <c r="AS1423" s="171">
        <v>1</v>
      </c>
      <c r="AT1423" s="171">
        <v>1</v>
      </c>
      <c r="AU1423" s="171">
        <f t="shared" si="488"/>
        <v>0</v>
      </c>
      <c r="AV1423" s="171">
        <f t="shared" si="489"/>
        <v>0</v>
      </c>
      <c r="AW1423" s="171">
        <f t="shared" si="490"/>
        <v>1</v>
      </c>
      <c r="AX1423" s="171">
        <f t="shared" si="499"/>
        <v>1</v>
      </c>
      <c r="AY1423" s="171">
        <f t="shared" si="491"/>
        <v>1</v>
      </c>
      <c r="AZ1423" s="171">
        <f t="shared" si="492"/>
        <v>1</v>
      </c>
      <c r="BA1423" s="172">
        <f t="shared" si="493"/>
        <v>1</v>
      </c>
      <c r="BB1423" s="175">
        <f t="shared" si="495"/>
        <v>18</v>
      </c>
      <c r="BC1423" s="176">
        <f t="shared" si="496"/>
        <v>17</v>
      </c>
      <c r="BD1423" s="176">
        <f t="shared" si="497"/>
        <v>18</v>
      </c>
      <c r="BE1423" s="240" t="str">
        <f t="shared" si="487"/>
        <v/>
      </c>
      <c r="BF1423" s="990"/>
      <c r="BG1423" s="990"/>
      <c r="BH1423" s="991">
        <f>IF(AND(Input_Product=Elig!$C1423,Elig_MatchAll_Ct&lt;22,$BC1423=(Elig_MatchAll_Ct-1),AF1423=0),C1423,0)</f>
        <v>0</v>
      </c>
      <c r="BI1423" s="991">
        <f>IF(AND(Input_Product=Elig!$C1423,Elig_MatchAll_Ct&lt;22,$BC1423=(Elig_MatchAll_Ct-1),AG1423=0),D1423,0)</f>
        <v>0</v>
      </c>
      <c r="BJ1423" s="991">
        <f>IF(AND(Input_Product=Elig!$C1423,Elig_MatchAll_Ct&lt;22,$BC1423=(Elig_MatchAll_Ct-1),AH1423=0),E1423,0)</f>
        <v>0</v>
      </c>
      <c r="BK1423" s="991">
        <f>IF(AND(Input_Product=Elig!$C1423,Elig_MatchAll_Ct&lt;22,$BC1423=(Elig_MatchAll_Ct-1),AI1423=0),F1423,0)</f>
        <v>0</v>
      </c>
      <c r="BL1423" s="991">
        <f>IF(AND(Input_Product=Elig!$C1423,Elig_MatchAll_Ct&lt;22,$BC1423=(Elig_MatchAll_Ct-1),AJ1423=0),G1423,0)</f>
        <v>0</v>
      </c>
      <c r="BM1423" s="991">
        <f>IF(AND(Input_Product=Elig!$C1423,Elig_MatchAll_Ct&lt;22,$BC1423=(Elig_MatchAll_Ct-1),AK1423=0),H1423,0)</f>
        <v>0</v>
      </c>
      <c r="BN1423" s="991">
        <f>IF(AND(Input_Product=Elig!$C1423,Elig_MatchAll_Ct&lt;22,$BC1423=(Elig_MatchAll_Ct-1),AL1423=0),I1423,0)</f>
        <v>0</v>
      </c>
      <c r="BO1423" s="991">
        <f>IF(AND(Input_Product=Elig!$C1423,Elig_MatchAll_Ct&lt;22,$BC1423=(Elig_MatchAll_Ct-1),AM1423=0),J1423,0)</f>
        <v>0</v>
      </c>
      <c r="BP1423" s="991">
        <f>IF(AND(Input_Product=Elig!$C1423,Elig_MatchAll_Ct&lt;22,$BC1423=(Elig_MatchAll_Ct-1),AN1423=0),K1423,0)</f>
        <v>0</v>
      </c>
      <c r="BQ1423" s="991">
        <f>IF(AND(Input_Product=Elig!$C1423,Elig_MatchAll_Ct&lt;22,$BC1423=(Elig_MatchAll_Ct-1),AP1423=0),L1423,0)</f>
        <v>0</v>
      </c>
      <c r="BR1423" s="991">
        <f>IF(AND(Input_Product=Elig!$C1423,Elig_MatchAll_Ct&lt;22,$BC1423=(Elig_MatchAll_Ct-1),AO1423=0),M1423,0)</f>
        <v>0</v>
      </c>
      <c r="BS1423" s="991">
        <f>IF(AND(Input_Product=Elig!$C1423,Elig_MatchAll_Ct&lt;22,$BC1423=(Elig_MatchAll_Ct-1),AQ1423=0),N1423,0)</f>
        <v>0</v>
      </c>
      <c r="BT1423" s="991">
        <f>IF(AND(Input_Product=Elig!$C1423,Elig_MatchAll_Ct&lt;22,$BC1423=(Elig_MatchAll_Ct-1),AR1423=0),O1423,0)</f>
        <v>0</v>
      </c>
      <c r="BU1423" s="991">
        <f>IF(AND(Input_Product=Elig!$C1423,Elig_MatchAll_Ct&lt;22,$BC1423=(Elig_MatchAll_Ct-1),AS1423=0),P1423,0)</f>
        <v>0</v>
      </c>
      <c r="BV1423" s="992">
        <f>IF(AND(Input_Product=Elig!$C1423,Elig_MatchAll_Ct&lt;22,$BC1423=(Elig_MatchAll_Ct-1),AT1423=0),Q1423,0)</f>
        <v>0</v>
      </c>
      <c r="BW1423" s="993">
        <f>IF(AND(Input_Product=Elig!$C1423,Elig_MatchAll_Ct&lt;22,$BC1423=(Elig_MatchAll_Ct-1),AU1423=0),R1423,0)</f>
        <v>0</v>
      </c>
      <c r="BX1423" s="994">
        <f>IF(AND(Input_Product=Elig!$C1423,Elig_MatchAll_Ct&lt;22,$BC1423=(Elig_MatchAll_Ct-1),AU1423=0),S1423,0)</f>
        <v>0</v>
      </c>
      <c r="BY1423" s="993">
        <f>IF(AND(Input_Product=Elig!$C1423,Elig_MatchAll_Ct&lt;22,$BC1423=(Elig_MatchAll_Ct-1),AV1423=0),T1423,0)</f>
        <v>0</v>
      </c>
      <c r="BZ1423" s="994">
        <f>IF(AND(Input_Product=Elig!$C1423,Elig_MatchAll_Ct&lt;22,$BC1423=(Elig_MatchAll_Ct-1),AV1423=0),U1423,0)</f>
        <v>0</v>
      </c>
      <c r="CA1423" s="993">
        <f>IF(AND(Input_Product=Elig!$C1423,Elig_MatchAll_Ct&lt;22,$BC1423=(Elig_MatchAll_Ct-1),AW1423=0),V1423,0)</f>
        <v>0</v>
      </c>
      <c r="CB1423" s="994">
        <f>IF(AND(Input_Product=Elig!$C1423,Elig_MatchAll_Ct&lt;22,$BC1423=(Elig_MatchAll_Ct-1),AW1423=0),W1423,0)</f>
        <v>0</v>
      </c>
      <c r="CC1423" s="993">
        <f>IF(AND(Input_Product=Elig!$C1423,Elig_MatchAll_Ct&lt;22,$BC1423=(Elig_MatchAll_Ct-1),AX1423=0),X1423,0)</f>
        <v>0</v>
      </c>
      <c r="CD1423" s="994">
        <f>IF(AND(Input_Product=Elig!$C1423,Elig_MatchAll_Ct&lt;22,$BC1423=(Elig_MatchAll_Ct-1),AX1423=0),Y1423,0)</f>
        <v>0</v>
      </c>
      <c r="CE1423" s="993">
        <f>IF(AND(Input_LTV&lt;=AE1423,Input_Product=Elig!$C1423,Elig_MatchAll_Ct&lt;22,$BC1423=(Elig_MatchAll_Ct-1),AY1423=0),Z1423,0)</f>
        <v>0</v>
      </c>
      <c r="CF1423" s="994">
        <f>IF(AND(Input_LTV&lt;=AE1423,Input_Product=Elig!$C1423,Elig_MatchAll_Ct&lt;22,$BC1423=(Elig_MatchAll_Ct-1),AY1423=0),AA1423,0)</f>
        <v>0</v>
      </c>
      <c r="CG1423" s="993">
        <f>IF(AND(Input_Product=Elig!$C1423,Elig_MatchAll_Ct&lt;22,$BC1423=(Elig_MatchAll_Ct-1),AZ1423=0),AB1423,0)</f>
        <v>0</v>
      </c>
      <c r="CH1423" s="994">
        <f>IF(AND(Input_Product=Elig!$C1423,Elig_MatchAll_Ct&lt;22,$BC1423=(Elig_MatchAll_Ct-1),AZ1423=0),AC1423,0)</f>
        <v>0</v>
      </c>
      <c r="CI1423" s="993">
        <f>IF(AND(Input_Product=Elig!$C1423,Elig_MatchAll_Ct&lt;22,$BC1423=(Elig_MatchAll_Ct-1),BA1423=0),AD1423,0)</f>
        <v>0</v>
      </c>
      <c r="CJ1423" s="994">
        <f>IF(AND(Input_Product=Elig!$C1423,Elig_MatchAll_Ct&lt;22,$BC1423=(Elig_MatchAll_Ct-1),BA1423=0),AE1423,0)</f>
        <v>0</v>
      </c>
    </row>
    <row r="1424" spans="2:88" ht="10.15" customHeight="1" x14ac:dyDescent="0.25">
      <c r="B1424" s="1554" t="s">
        <v>2812</v>
      </c>
      <c r="C1424" s="1554" t="str">
        <f t="shared" si="500"/>
        <v xml:space="preserve">  OO</v>
      </c>
      <c r="D1424" s="1554" t="s">
        <v>2764</v>
      </c>
      <c r="E1424" s="1554" t="s">
        <v>167</v>
      </c>
      <c r="F1424" s="1554" t="s">
        <v>2765</v>
      </c>
      <c r="G1424" s="1554" t="s">
        <v>2810</v>
      </c>
      <c r="H1424" s="1554" t="s">
        <v>2767</v>
      </c>
      <c r="I1424" s="1555" t="s">
        <v>34</v>
      </c>
      <c r="J1424" s="1555" t="s">
        <v>1311</v>
      </c>
      <c r="K1424" s="1555" t="s">
        <v>3023</v>
      </c>
      <c r="L1424" s="1554" t="s">
        <v>3920</v>
      </c>
      <c r="M1424" s="1554" t="s">
        <v>4203</v>
      </c>
      <c r="N1424" s="1554" t="s">
        <v>2685</v>
      </c>
      <c r="O1424" s="1554" t="s">
        <v>310</v>
      </c>
      <c r="P1424" s="1554" t="s">
        <v>291</v>
      </c>
      <c r="Q1424" s="1554" t="s">
        <v>294</v>
      </c>
      <c r="R1424" s="1554">
        <v>1500000.01</v>
      </c>
      <c r="S1424" s="1554">
        <v>2000000</v>
      </c>
      <c r="T1424" s="1554">
        <v>0</v>
      </c>
      <c r="U1424" s="1554">
        <v>0</v>
      </c>
      <c r="V1424" s="1554">
        <v>0</v>
      </c>
      <c r="W1424" s="1554">
        <v>50</v>
      </c>
      <c r="X1424" s="1554">
        <v>0</v>
      </c>
      <c r="Y1424" s="1554">
        <v>0</v>
      </c>
      <c r="Z1424" s="1556">
        <v>700</v>
      </c>
      <c r="AA1424" s="1556">
        <v>999</v>
      </c>
      <c r="AB1424" s="1556">
        <v>3</v>
      </c>
      <c r="AC1424" s="1556">
        <v>999999</v>
      </c>
      <c r="AD1424" s="1554">
        <v>0</v>
      </c>
      <c r="AE1424" s="1557">
        <v>80</v>
      </c>
      <c r="AF1424" s="170">
        <v>0</v>
      </c>
      <c r="AG1424" s="171">
        <v>1</v>
      </c>
      <c r="AH1424" s="171">
        <v>1</v>
      </c>
      <c r="AI1424" s="171">
        <v>1</v>
      </c>
      <c r="AJ1424" s="171">
        <v>1</v>
      </c>
      <c r="AK1424" s="171">
        <v>1</v>
      </c>
      <c r="AL1424" s="171">
        <v>0</v>
      </c>
      <c r="AM1424" s="171">
        <v>1</v>
      </c>
      <c r="AN1424" s="171">
        <v>1</v>
      </c>
      <c r="AO1424" s="171">
        <v>1</v>
      </c>
      <c r="AP1424" s="171">
        <v>1</v>
      </c>
      <c r="AQ1424" s="171">
        <v>1</v>
      </c>
      <c r="AR1424" s="171">
        <v>1</v>
      </c>
      <c r="AS1424" s="171">
        <v>1</v>
      </c>
      <c r="AT1424" s="171">
        <v>1</v>
      </c>
      <c r="AU1424" s="171">
        <f t="shared" si="488"/>
        <v>0</v>
      </c>
      <c r="AV1424" s="171">
        <f t="shared" si="489"/>
        <v>0</v>
      </c>
      <c r="AW1424" s="171">
        <f t="shared" si="490"/>
        <v>1</v>
      </c>
      <c r="AX1424" s="171">
        <f t="shared" si="499"/>
        <v>1</v>
      </c>
      <c r="AY1424" s="171">
        <f t="shared" si="491"/>
        <v>1</v>
      </c>
      <c r="AZ1424" s="171">
        <f t="shared" si="492"/>
        <v>1</v>
      </c>
      <c r="BA1424" s="172">
        <f t="shared" si="493"/>
        <v>1</v>
      </c>
      <c r="BB1424" s="175">
        <f t="shared" si="495"/>
        <v>18</v>
      </c>
      <c r="BC1424" s="176">
        <f t="shared" si="496"/>
        <v>17</v>
      </c>
      <c r="BD1424" s="176">
        <f t="shared" si="497"/>
        <v>18</v>
      </c>
      <c r="BE1424" s="240" t="str">
        <f t="shared" si="487"/>
        <v/>
      </c>
      <c r="BF1424" s="990"/>
      <c r="BG1424" s="990"/>
      <c r="BH1424" s="991">
        <f>IF(AND(Input_Product=Elig!$C1424,Elig_MatchAll_Ct&lt;22,$BC1424=(Elig_MatchAll_Ct-1),AF1424=0),C1424,0)</f>
        <v>0</v>
      </c>
      <c r="BI1424" s="991">
        <f>IF(AND(Input_Product=Elig!$C1424,Elig_MatchAll_Ct&lt;22,$BC1424=(Elig_MatchAll_Ct-1),AG1424=0),D1424,0)</f>
        <v>0</v>
      </c>
      <c r="BJ1424" s="991">
        <f>IF(AND(Input_Product=Elig!$C1424,Elig_MatchAll_Ct&lt;22,$BC1424=(Elig_MatchAll_Ct-1),AH1424=0),E1424,0)</f>
        <v>0</v>
      </c>
      <c r="BK1424" s="991">
        <f>IF(AND(Input_Product=Elig!$C1424,Elig_MatchAll_Ct&lt;22,$BC1424=(Elig_MatchAll_Ct-1),AI1424=0),F1424,0)</f>
        <v>0</v>
      </c>
      <c r="BL1424" s="991">
        <f>IF(AND(Input_Product=Elig!$C1424,Elig_MatchAll_Ct&lt;22,$BC1424=(Elig_MatchAll_Ct-1),AJ1424=0),G1424,0)</f>
        <v>0</v>
      </c>
      <c r="BM1424" s="991">
        <f>IF(AND(Input_Product=Elig!$C1424,Elig_MatchAll_Ct&lt;22,$BC1424=(Elig_MatchAll_Ct-1),AK1424=0),H1424,0)</f>
        <v>0</v>
      </c>
      <c r="BN1424" s="991">
        <f>IF(AND(Input_Product=Elig!$C1424,Elig_MatchAll_Ct&lt;22,$BC1424=(Elig_MatchAll_Ct-1),AL1424=0),I1424,0)</f>
        <v>0</v>
      </c>
      <c r="BO1424" s="991">
        <f>IF(AND(Input_Product=Elig!$C1424,Elig_MatchAll_Ct&lt;22,$BC1424=(Elig_MatchAll_Ct-1),AM1424=0),J1424,0)</f>
        <v>0</v>
      </c>
      <c r="BP1424" s="991">
        <f>IF(AND(Input_Product=Elig!$C1424,Elig_MatchAll_Ct&lt;22,$BC1424=(Elig_MatchAll_Ct-1),AN1424=0),K1424,0)</f>
        <v>0</v>
      </c>
      <c r="BQ1424" s="991">
        <f>IF(AND(Input_Product=Elig!$C1424,Elig_MatchAll_Ct&lt;22,$BC1424=(Elig_MatchAll_Ct-1),AP1424=0),L1424,0)</f>
        <v>0</v>
      </c>
      <c r="BR1424" s="991">
        <f>IF(AND(Input_Product=Elig!$C1424,Elig_MatchAll_Ct&lt;22,$BC1424=(Elig_MatchAll_Ct-1),AO1424=0),M1424,0)</f>
        <v>0</v>
      </c>
      <c r="BS1424" s="991">
        <f>IF(AND(Input_Product=Elig!$C1424,Elig_MatchAll_Ct&lt;22,$BC1424=(Elig_MatchAll_Ct-1),AQ1424=0),N1424,0)</f>
        <v>0</v>
      </c>
      <c r="BT1424" s="991">
        <f>IF(AND(Input_Product=Elig!$C1424,Elig_MatchAll_Ct&lt;22,$BC1424=(Elig_MatchAll_Ct-1),AR1424=0),O1424,0)</f>
        <v>0</v>
      </c>
      <c r="BU1424" s="991">
        <f>IF(AND(Input_Product=Elig!$C1424,Elig_MatchAll_Ct&lt;22,$BC1424=(Elig_MatchAll_Ct-1),AS1424=0),P1424,0)</f>
        <v>0</v>
      </c>
      <c r="BV1424" s="992">
        <f>IF(AND(Input_Product=Elig!$C1424,Elig_MatchAll_Ct&lt;22,$BC1424=(Elig_MatchAll_Ct-1),AT1424=0),Q1424,0)</f>
        <v>0</v>
      </c>
      <c r="BW1424" s="993">
        <f>IF(AND(Input_Product=Elig!$C1424,Elig_MatchAll_Ct&lt;22,$BC1424=(Elig_MatchAll_Ct-1),AU1424=0),R1424,0)</f>
        <v>0</v>
      </c>
      <c r="BX1424" s="994">
        <f>IF(AND(Input_Product=Elig!$C1424,Elig_MatchAll_Ct&lt;22,$BC1424=(Elig_MatchAll_Ct-1),AU1424=0),S1424,0)</f>
        <v>0</v>
      </c>
      <c r="BY1424" s="993">
        <f>IF(AND(Input_Product=Elig!$C1424,Elig_MatchAll_Ct&lt;22,$BC1424=(Elig_MatchAll_Ct-1),AV1424=0),T1424,0)</f>
        <v>0</v>
      </c>
      <c r="BZ1424" s="994">
        <f>IF(AND(Input_Product=Elig!$C1424,Elig_MatchAll_Ct&lt;22,$BC1424=(Elig_MatchAll_Ct-1),AV1424=0),U1424,0)</f>
        <v>0</v>
      </c>
      <c r="CA1424" s="993">
        <f>IF(AND(Input_Product=Elig!$C1424,Elig_MatchAll_Ct&lt;22,$BC1424=(Elig_MatchAll_Ct-1),AW1424=0),V1424,0)</f>
        <v>0</v>
      </c>
      <c r="CB1424" s="994">
        <f>IF(AND(Input_Product=Elig!$C1424,Elig_MatchAll_Ct&lt;22,$BC1424=(Elig_MatchAll_Ct-1),AW1424=0),W1424,0)</f>
        <v>0</v>
      </c>
      <c r="CC1424" s="993">
        <f>IF(AND(Input_Product=Elig!$C1424,Elig_MatchAll_Ct&lt;22,$BC1424=(Elig_MatchAll_Ct-1),AX1424=0),X1424,0)</f>
        <v>0</v>
      </c>
      <c r="CD1424" s="994">
        <f>IF(AND(Input_Product=Elig!$C1424,Elig_MatchAll_Ct&lt;22,$BC1424=(Elig_MatchAll_Ct-1),AX1424=0),Y1424,0)</f>
        <v>0</v>
      </c>
      <c r="CE1424" s="993">
        <f>IF(AND(Input_LTV&lt;=AE1424,Input_Product=Elig!$C1424,Elig_MatchAll_Ct&lt;22,$BC1424=(Elig_MatchAll_Ct-1),AY1424=0),Z1424,0)</f>
        <v>0</v>
      </c>
      <c r="CF1424" s="994">
        <f>IF(AND(Input_LTV&lt;=AE1424,Input_Product=Elig!$C1424,Elig_MatchAll_Ct&lt;22,$BC1424=(Elig_MatchAll_Ct-1),AY1424=0),AA1424,0)</f>
        <v>0</v>
      </c>
      <c r="CG1424" s="993">
        <f>IF(AND(Input_Product=Elig!$C1424,Elig_MatchAll_Ct&lt;22,$BC1424=(Elig_MatchAll_Ct-1),AZ1424=0),AB1424,0)</f>
        <v>0</v>
      </c>
      <c r="CH1424" s="994">
        <f>IF(AND(Input_Product=Elig!$C1424,Elig_MatchAll_Ct&lt;22,$BC1424=(Elig_MatchAll_Ct-1),AZ1424=0),AC1424,0)</f>
        <v>0</v>
      </c>
      <c r="CI1424" s="993">
        <f>IF(AND(Input_Product=Elig!$C1424,Elig_MatchAll_Ct&lt;22,$BC1424=(Elig_MatchAll_Ct-1),BA1424=0),AD1424,0)</f>
        <v>0</v>
      </c>
      <c r="CJ1424" s="994">
        <f>IF(AND(Input_Product=Elig!$C1424,Elig_MatchAll_Ct&lt;22,$BC1424=(Elig_MatchAll_Ct-1),BA1424=0),AE1424,0)</f>
        <v>0</v>
      </c>
    </row>
    <row r="1425" spans="2:88" ht="10.15" customHeight="1" x14ac:dyDescent="0.25">
      <c r="B1425" s="1554" t="s">
        <v>2813</v>
      </c>
      <c r="C1425" s="1554" t="str">
        <f t="shared" si="500"/>
        <v xml:space="preserve">  OO</v>
      </c>
      <c r="D1425" s="1554" t="s">
        <v>2764</v>
      </c>
      <c r="E1425" s="1554" t="s">
        <v>167</v>
      </c>
      <c r="F1425" s="1554" t="s">
        <v>2765</v>
      </c>
      <c r="G1425" s="1554" t="s">
        <v>2810</v>
      </c>
      <c r="H1425" s="1554" t="s">
        <v>2767</v>
      </c>
      <c r="I1425" s="1555" t="s">
        <v>34</v>
      </c>
      <c r="J1425" s="1555" t="s">
        <v>1311</v>
      </c>
      <c r="K1425" s="1555" t="s">
        <v>3023</v>
      </c>
      <c r="L1425" s="1554" t="s">
        <v>3920</v>
      </c>
      <c r="M1425" s="1554" t="s">
        <v>4203</v>
      </c>
      <c r="N1425" s="1554" t="s">
        <v>2685</v>
      </c>
      <c r="O1425" s="1554" t="s">
        <v>310</v>
      </c>
      <c r="P1425" s="1554" t="s">
        <v>291</v>
      </c>
      <c r="Q1425" s="1554" t="s">
        <v>294</v>
      </c>
      <c r="R1425" s="1554">
        <v>2000000.01</v>
      </c>
      <c r="S1425" s="1554">
        <v>3000000</v>
      </c>
      <c r="T1425" s="1554">
        <v>0</v>
      </c>
      <c r="U1425" s="1554">
        <v>0</v>
      </c>
      <c r="V1425" s="1554">
        <v>0</v>
      </c>
      <c r="W1425" s="1554">
        <v>50</v>
      </c>
      <c r="X1425" s="1554">
        <v>0</v>
      </c>
      <c r="Y1425" s="1554">
        <v>0</v>
      </c>
      <c r="Z1425" s="1556">
        <v>700</v>
      </c>
      <c r="AA1425" s="1556">
        <v>999</v>
      </c>
      <c r="AB1425" s="1556">
        <v>3</v>
      </c>
      <c r="AC1425" s="1556">
        <v>999999</v>
      </c>
      <c r="AD1425" s="1554">
        <v>0</v>
      </c>
      <c r="AE1425" s="1557">
        <v>70</v>
      </c>
      <c r="AF1425" s="170">
        <v>0</v>
      </c>
      <c r="AG1425" s="171">
        <v>1</v>
      </c>
      <c r="AH1425" s="171">
        <v>1</v>
      </c>
      <c r="AI1425" s="171">
        <v>1</v>
      </c>
      <c r="AJ1425" s="171">
        <v>1</v>
      </c>
      <c r="AK1425" s="171">
        <v>1</v>
      </c>
      <c r="AL1425" s="171">
        <v>0</v>
      </c>
      <c r="AM1425" s="171">
        <v>1</v>
      </c>
      <c r="AN1425" s="171">
        <v>1</v>
      </c>
      <c r="AO1425" s="171">
        <v>1</v>
      </c>
      <c r="AP1425" s="171">
        <v>1</v>
      </c>
      <c r="AQ1425" s="171">
        <v>1</v>
      </c>
      <c r="AR1425" s="171">
        <v>1</v>
      </c>
      <c r="AS1425" s="171">
        <v>1</v>
      </c>
      <c r="AT1425" s="171">
        <v>1</v>
      </c>
      <c r="AU1425" s="171">
        <f t="shared" si="488"/>
        <v>0</v>
      </c>
      <c r="AV1425" s="171">
        <f t="shared" si="489"/>
        <v>0</v>
      </c>
      <c r="AW1425" s="171">
        <f t="shared" si="490"/>
        <v>1</v>
      </c>
      <c r="AX1425" s="171">
        <f t="shared" si="499"/>
        <v>1</v>
      </c>
      <c r="AY1425" s="171">
        <f t="shared" si="491"/>
        <v>1</v>
      </c>
      <c r="AZ1425" s="171">
        <f t="shared" si="492"/>
        <v>1</v>
      </c>
      <c r="BA1425" s="172">
        <f t="shared" si="493"/>
        <v>1</v>
      </c>
      <c r="BB1425" s="175">
        <f t="shared" si="495"/>
        <v>18</v>
      </c>
      <c r="BC1425" s="176">
        <f t="shared" si="496"/>
        <v>17</v>
      </c>
      <c r="BD1425" s="176">
        <f t="shared" si="497"/>
        <v>18</v>
      </c>
      <c r="BE1425" s="240" t="str">
        <f t="shared" si="487"/>
        <v/>
      </c>
      <c r="BF1425" s="990"/>
      <c r="BG1425" s="990"/>
      <c r="BH1425" s="991">
        <f>IF(AND(Input_Product=Elig!$C1425,Elig_MatchAll_Ct&lt;22,$BC1425=(Elig_MatchAll_Ct-1),AF1425=0),C1425,0)</f>
        <v>0</v>
      </c>
      <c r="BI1425" s="991">
        <f>IF(AND(Input_Product=Elig!$C1425,Elig_MatchAll_Ct&lt;22,$BC1425=(Elig_MatchAll_Ct-1),AG1425=0),D1425,0)</f>
        <v>0</v>
      </c>
      <c r="BJ1425" s="991">
        <f>IF(AND(Input_Product=Elig!$C1425,Elig_MatchAll_Ct&lt;22,$BC1425=(Elig_MatchAll_Ct-1),AH1425=0),E1425,0)</f>
        <v>0</v>
      </c>
      <c r="BK1425" s="991">
        <f>IF(AND(Input_Product=Elig!$C1425,Elig_MatchAll_Ct&lt;22,$BC1425=(Elig_MatchAll_Ct-1),AI1425=0),F1425,0)</f>
        <v>0</v>
      </c>
      <c r="BL1425" s="991">
        <f>IF(AND(Input_Product=Elig!$C1425,Elig_MatchAll_Ct&lt;22,$BC1425=(Elig_MatchAll_Ct-1),AJ1425=0),G1425,0)</f>
        <v>0</v>
      </c>
      <c r="BM1425" s="991">
        <f>IF(AND(Input_Product=Elig!$C1425,Elig_MatchAll_Ct&lt;22,$BC1425=(Elig_MatchAll_Ct-1),AK1425=0),H1425,0)</f>
        <v>0</v>
      </c>
      <c r="BN1425" s="991">
        <f>IF(AND(Input_Product=Elig!$C1425,Elig_MatchAll_Ct&lt;22,$BC1425=(Elig_MatchAll_Ct-1),AL1425=0),I1425,0)</f>
        <v>0</v>
      </c>
      <c r="BO1425" s="991">
        <f>IF(AND(Input_Product=Elig!$C1425,Elig_MatchAll_Ct&lt;22,$BC1425=(Elig_MatchAll_Ct-1),AM1425=0),J1425,0)</f>
        <v>0</v>
      </c>
      <c r="BP1425" s="991">
        <f>IF(AND(Input_Product=Elig!$C1425,Elig_MatchAll_Ct&lt;22,$BC1425=(Elig_MatchAll_Ct-1),AN1425=0),K1425,0)</f>
        <v>0</v>
      </c>
      <c r="BQ1425" s="991">
        <f>IF(AND(Input_Product=Elig!$C1425,Elig_MatchAll_Ct&lt;22,$BC1425=(Elig_MatchAll_Ct-1),AP1425=0),L1425,0)</f>
        <v>0</v>
      </c>
      <c r="BR1425" s="991">
        <f>IF(AND(Input_Product=Elig!$C1425,Elig_MatchAll_Ct&lt;22,$BC1425=(Elig_MatchAll_Ct-1),AO1425=0),M1425,0)</f>
        <v>0</v>
      </c>
      <c r="BS1425" s="991">
        <f>IF(AND(Input_Product=Elig!$C1425,Elig_MatchAll_Ct&lt;22,$BC1425=(Elig_MatchAll_Ct-1),AQ1425=0),N1425,0)</f>
        <v>0</v>
      </c>
      <c r="BT1425" s="991">
        <f>IF(AND(Input_Product=Elig!$C1425,Elig_MatchAll_Ct&lt;22,$BC1425=(Elig_MatchAll_Ct-1),AR1425=0),O1425,0)</f>
        <v>0</v>
      </c>
      <c r="BU1425" s="991">
        <f>IF(AND(Input_Product=Elig!$C1425,Elig_MatchAll_Ct&lt;22,$BC1425=(Elig_MatchAll_Ct-1),AS1425=0),P1425,0)</f>
        <v>0</v>
      </c>
      <c r="BV1425" s="992">
        <f>IF(AND(Input_Product=Elig!$C1425,Elig_MatchAll_Ct&lt;22,$BC1425=(Elig_MatchAll_Ct-1),AT1425=0),Q1425,0)</f>
        <v>0</v>
      </c>
      <c r="BW1425" s="993">
        <f>IF(AND(Input_Product=Elig!$C1425,Elig_MatchAll_Ct&lt;22,$BC1425=(Elig_MatchAll_Ct-1),AU1425=0),R1425,0)</f>
        <v>0</v>
      </c>
      <c r="BX1425" s="994">
        <f>IF(AND(Input_Product=Elig!$C1425,Elig_MatchAll_Ct&lt;22,$BC1425=(Elig_MatchAll_Ct-1),AU1425=0),S1425,0)</f>
        <v>0</v>
      </c>
      <c r="BY1425" s="993">
        <f>IF(AND(Input_Product=Elig!$C1425,Elig_MatchAll_Ct&lt;22,$BC1425=(Elig_MatchAll_Ct-1),AV1425=0),T1425,0)</f>
        <v>0</v>
      </c>
      <c r="BZ1425" s="994">
        <f>IF(AND(Input_Product=Elig!$C1425,Elig_MatchAll_Ct&lt;22,$BC1425=(Elig_MatchAll_Ct-1),AV1425=0),U1425,0)</f>
        <v>0</v>
      </c>
      <c r="CA1425" s="993">
        <f>IF(AND(Input_Product=Elig!$C1425,Elig_MatchAll_Ct&lt;22,$BC1425=(Elig_MatchAll_Ct-1),AW1425=0),V1425,0)</f>
        <v>0</v>
      </c>
      <c r="CB1425" s="994">
        <f>IF(AND(Input_Product=Elig!$C1425,Elig_MatchAll_Ct&lt;22,$BC1425=(Elig_MatchAll_Ct-1),AW1425=0),W1425,0)</f>
        <v>0</v>
      </c>
      <c r="CC1425" s="993">
        <f>IF(AND(Input_Product=Elig!$C1425,Elig_MatchAll_Ct&lt;22,$BC1425=(Elig_MatchAll_Ct-1),AX1425=0),X1425,0)</f>
        <v>0</v>
      </c>
      <c r="CD1425" s="994">
        <f>IF(AND(Input_Product=Elig!$C1425,Elig_MatchAll_Ct&lt;22,$BC1425=(Elig_MatchAll_Ct-1),AX1425=0),Y1425,0)</f>
        <v>0</v>
      </c>
      <c r="CE1425" s="993">
        <f>IF(AND(Input_LTV&lt;=AE1425,Input_Product=Elig!$C1425,Elig_MatchAll_Ct&lt;22,$BC1425=(Elig_MatchAll_Ct-1),AY1425=0),Z1425,0)</f>
        <v>0</v>
      </c>
      <c r="CF1425" s="994">
        <f>IF(AND(Input_LTV&lt;=AE1425,Input_Product=Elig!$C1425,Elig_MatchAll_Ct&lt;22,$BC1425=(Elig_MatchAll_Ct-1),AY1425=0),AA1425,0)</f>
        <v>0</v>
      </c>
      <c r="CG1425" s="993">
        <f>IF(AND(Input_Product=Elig!$C1425,Elig_MatchAll_Ct&lt;22,$BC1425=(Elig_MatchAll_Ct-1),AZ1425=0),AB1425,0)</f>
        <v>0</v>
      </c>
      <c r="CH1425" s="994">
        <f>IF(AND(Input_Product=Elig!$C1425,Elig_MatchAll_Ct&lt;22,$BC1425=(Elig_MatchAll_Ct-1),AZ1425=0),AC1425,0)</f>
        <v>0</v>
      </c>
      <c r="CI1425" s="993">
        <f>IF(AND(Input_Product=Elig!$C1425,Elig_MatchAll_Ct&lt;22,$BC1425=(Elig_MatchAll_Ct-1),BA1425=0),AD1425,0)</f>
        <v>0</v>
      </c>
      <c r="CJ1425" s="994">
        <f>IF(AND(Input_Product=Elig!$C1425,Elig_MatchAll_Ct&lt;22,$BC1425=(Elig_MatchAll_Ct-1),BA1425=0),AE1425,0)</f>
        <v>0</v>
      </c>
    </row>
    <row r="1426" spans="2:88" ht="10.15" customHeight="1" x14ac:dyDescent="0.25">
      <c r="B1426" s="1554" t="s">
        <v>2814</v>
      </c>
      <c r="C1426" s="1554" t="str">
        <f t="shared" si="500"/>
        <v xml:space="preserve">  OO</v>
      </c>
      <c r="D1426" s="1554" t="s">
        <v>2764</v>
      </c>
      <c r="E1426" s="1554" t="s">
        <v>167</v>
      </c>
      <c r="F1426" s="1554" t="s">
        <v>2765</v>
      </c>
      <c r="G1426" s="1554" t="s">
        <v>2810</v>
      </c>
      <c r="H1426" s="1554" t="s">
        <v>2767</v>
      </c>
      <c r="I1426" s="1555" t="s">
        <v>34</v>
      </c>
      <c r="J1426" s="1555" t="s">
        <v>1311</v>
      </c>
      <c r="K1426" s="1555" t="s">
        <v>3023</v>
      </c>
      <c r="L1426" s="1554" t="s">
        <v>3920</v>
      </c>
      <c r="M1426" s="1554" t="s">
        <v>4203</v>
      </c>
      <c r="N1426" s="1554" t="s">
        <v>2685</v>
      </c>
      <c r="O1426" s="1554" t="s">
        <v>310</v>
      </c>
      <c r="P1426" s="1554" t="s">
        <v>291</v>
      </c>
      <c r="Q1426" s="1554" t="s">
        <v>294</v>
      </c>
      <c r="R1426" s="1554">
        <v>150000</v>
      </c>
      <c r="S1426" s="1554">
        <v>1000000</v>
      </c>
      <c r="T1426" s="1554">
        <v>0</v>
      </c>
      <c r="U1426" s="1554">
        <v>0</v>
      </c>
      <c r="V1426" s="1554">
        <v>0</v>
      </c>
      <c r="W1426" s="1554">
        <v>50</v>
      </c>
      <c r="X1426" s="1554">
        <v>0</v>
      </c>
      <c r="Y1426" s="1554">
        <v>0</v>
      </c>
      <c r="Z1426" s="1556">
        <v>680</v>
      </c>
      <c r="AA1426" s="1556">
        <v>699</v>
      </c>
      <c r="AB1426" s="1556">
        <v>3</v>
      </c>
      <c r="AC1426" s="1556">
        <v>999999</v>
      </c>
      <c r="AD1426" s="1554">
        <v>0</v>
      </c>
      <c r="AE1426" s="1557">
        <v>85</v>
      </c>
      <c r="AF1426" s="170">
        <v>0</v>
      </c>
      <c r="AG1426" s="171">
        <v>1</v>
      </c>
      <c r="AH1426" s="171">
        <v>1</v>
      </c>
      <c r="AI1426" s="171">
        <v>1</v>
      </c>
      <c r="AJ1426" s="171">
        <v>1</v>
      </c>
      <c r="AK1426" s="171">
        <v>1</v>
      </c>
      <c r="AL1426" s="171">
        <v>0</v>
      </c>
      <c r="AM1426" s="171">
        <v>1</v>
      </c>
      <c r="AN1426" s="171">
        <v>1</v>
      </c>
      <c r="AO1426" s="171">
        <v>1</v>
      </c>
      <c r="AP1426" s="171">
        <v>1</v>
      </c>
      <c r="AQ1426" s="171">
        <v>1</v>
      </c>
      <c r="AR1426" s="171">
        <v>1</v>
      </c>
      <c r="AS1426" s="171">
        <v>1</v>
      </c>
      <c r="AT1426" s="171">
        <v>1</v>
      </c>
      <c r="AU1426" s="171">
        <f t="shared" si="488"/>
        <v>1</v>
      </c>
      <c r="AV1426" s="171">
        <f t="shared" si="489"/>
        <v>0</v>
      </c>
      <c r="AW1426" s="171">
        <f t="shared" si="490"/>
        <v>1</v>
      </c>
      <c r="AX1426" s="171">
        <f t="shared" si="499"/>
        <v>1</v>
      </c>
      <c r="AY1426" s="171">
        <f t="shared" si="491"/>
        <v>0</v>
      </c>
      <c r="AZ1426" s="171">
        <f t="shared" si="492"/>
        <v>1</v>
      </c>
      <c r="BA1426" s="172">
        <f t="shared" si="493"/>
        <v>1</v>
      </c>
      <c r="BB1426" s="175">
        <f t="shared" si="495"/>
        <v>18</v>
      </c>
      <c r="BC1426" s="176">
        <f t="shared" si="496"/>
        <v>17</v>
      </c>
      <c r="BD1426" s="176">
        <f t="shared" si="497"/>
        <v>18</v>
      </c>
      <c r="BE1426" s="240" t="str">
        <f t="shared" si="487"/>
        <v/>
      </c>
      <c r="BF1426" s="990"/>
      <c r="BG1426" s="990"/>
      <c r="BH1426" s="991">
        <f>IF(AND(Input_Product=Elig!$C1426,Elig_MatchAll_Ct&lt;22,$BC1426=(Elig_MatchAll_Ct-1),AF1426=0),C1426,0)</f>
        <v>0</v>
      </c>
      <c r="BI1426" s="991">
        <f>IF(AND(Input_Product=Elig!$C1426,Elig_MatchAll_Ct&lt;22,$BC1426=(Elig_MatchAll_Ct-1),AG1426=0),D1426,0)</f>
        <v>0</v>
      </c>
      <c r="BJ1426" s="991">
        <f>IF(AND(Input_Product=Elig!$C1426,Elig_MatchAll_Ct&lt;22,$BC1426=(Elig_MatchAll_Ct-1),AH1426=0),E1426,0)</f>
        <v>0</v>
      </c>
      <c r="BK1426" s="991">
        <f>IF(AND(Input_Product=Elig!$C1426,Elig_MatchAll_Ct&lt;22,$BC1426=(Elig_MatchAll_Ct-1),AI1426=0),F1426,0)</f>
        <v>0</v>
      </c>
      <c r="BL1426" s="991">
        <f>IF(AND(Input_Product=Elig!$C1426,Elig_MatchAll_Ct&lt;22,$BC1426=(Elig_MatchAll_Ct-1),AJ1426=0),G1426,0)</f>
        <v>0</v>
      </c>
      <c r="BM1426" s="991">
        <f>IF(AND(Input_Product=Elig!$C1426,Elig_MatchAll_Ct&lt;22,$BC1426=(Elig_MatchAll_Ct-1),AK1426=0),H1426,0)</f>
        <v>0</v>
      </c>
      <c r="BN1426" s="991">
        <f>IF(AND(Input_Product=Elig!$C1426,Elig_MatchAll_Ct&lt;22,$BC1426=(Elig_MatchAll_Ct-1),AL1426=0),I1426,0)</f>
        <v>0</v>
      </c>
      <c r="BO1426" s="991">
        <f>IF(AND(Input_Product=Elig!$C1426,Elig_MatchAll_Ct&lt;22,$BC1426=(Elig_MatchAll_Ct-1),AM1426=0),J1426,0)</f>
        <v>0</v>
      </c>
      <c r="BP1426" s="991">
        <f>IF(AND(Input_Product=Elig!$C1426,Elig_MatchAll_Ct&lt;22,$BC1426=(Elig_MatchAll_Ct-1),AN1426=0),K1426,0)</f>
        <v>0</v>
      </c>
      <c r="BQ1426" s="991">
        <f>IF(AND(Input_Product=Elig!$C1426,Elig_MatchAll_Ct&lt;22,$BC1426=(Elig_MatchAll_Ct-1),AP1426=0),L1426,0)</f>
        <v>0</v>
      </c>
      <c r="BR1426" s="991">
        <f>IF(AND(Input_Product=Elig!$C1426,Elig_MatchAll_Ct&lt;22,$BC1426=(Elig_MatchAll_Ct-1),AO1426=0),M1426,0)</f>
        <v>0</v>
      </c>
      <c r="BS1426" s="991">
        <f>IF(AND(Input_Product=Elig!$C1426,Elig_MatchAll_Ct&lt;22,$BC1426=(Elig_MatchAll_Ct-1),AQ1426=0),N1426,0)</f>
        <v>0</v>
      </c>
      <c r="BT1426" s="991">
        <f>IF(AND(Input_Product=Elig!$C1426,Elig_MatchAll_Ct&lt;22,$BC1426=(Elig_MatchAll_Ct-1),AR1426=0),O1426,0)</f>
        <v>0</v>
      </c>
      <c r="BU1426" s="991">
        <f>IF(AND(Input_Product=Elig!$C1426,Elig_MatchAll_Ct&lt;22,$BC1426=(Elig_MatchAll_Ct-1),AS1426=0),P1426,0)</f>
        <v>0</v>
      </c>
      <c r="BV1426" s="992">
        <f>IF(AND(Input_Product=Elig!$C1426,Elig_MatchAll_Ct&lt;22,$BC1426=(Elig_MatchAll_Ct-1),AT1426=0),Q1426,0)</f>
        <v>0</v>
      </c>
      <c r="BW1426" s="993">
        <f>IF(AND(Input_Product=Elig!$C1426,Elig_MatchAll_Ct&lt;22,$BC1426=(Elig_MatchAll_Ct-1),AU1426=0),R1426,0)</f>
        <v>0</v>
      </c>
      <c r="BX1426" s="994">
        <f>IF(AND(Input_Product=Elig!$C1426,Elig_MatchAll_Ct&lt;22,$BC1426=(Elig_MatchAll_Ct-1),AU1426=0),S1426,0)</f>
        <v>0</v>
      </c>
      <c r="BY1426" s="993">
        <f>IF(AND(Input_Product=Elig!$C1426,Elig_MatchAll_Ct&lt;22,$BC1426=(Elig_MatchAll_Ct-1),AV1426=0),T1426,0)</f>
        <v>0</v>
      </c>
      <c r="BZ1426" s="994">
        <f>IF(AND(Input_Product=Elig!$C1426,Elig_MatchAll_Ct&lt;22,$BC1426=(Elig_MatchAll_Ct-1),AV1426=0),U1426,0)</f>
        <v>0</v>
      </c>
      <c r="CA1426" s="993">
        <f>IF(AND(Input_Product=Elig!$C1426,Elig_MatchAll_Ct&lt;22,$BC1426=(Elig_MatchAll_Ct-1),AW1426=0),V1426,0)</f>
        <v>0</v>
      </c>
      <c r="CB1426" s="994">
        <f>IF(AND(Input_Product=Elig!$C1426,Elig_MatchAll_Ct&lt;22,$BC1426=(Elig_MatchAll_Ct-1),AW1426=0),W1426,0)</f>
        <v>0</v>
      </c>
      <c r="CC1426" s="993">
        <f>IF(AND(Input_Product=Elig!$C1426,Elig_MatchAll_Ct&lt;22,$BC1426=(Elig_MatchAll_Ct-1),AX1426=0),X1426,0)</f>
        <v>0</v>
      </c>
      <c r="CD1426" s="994">
        <f>IF(AND(Input_Product=Elig!$C1426,Elig_MatchAll_Ct&lt;22,$BC1426=(Elig_MatchAll_Ct-1),AX1426=0),Y1426,0)</f>
        <v>0</v>
      </c>
      <c r="CE1426" s="993">
        <f>IF(AND(Input_LTV&lt;=AE1426,Input_Product=Elig!$C1426,Elig_MatchAll_Ct&lt;22,$BC1426=(Elig_MatchAll_Ct-1),AY1426=0),Z1426,0)</f>
        <v>0</v>
      </c>
      <c r="CF1426" s="994">
        <f>IF(AND(Input_LTV&lt;=AE1426,Input_Product=Elig!$C1426,Elig_MatchAll_Ct&lt;22,$BC1426=(Elig_MatchAll_Ct-1),AY1426=0),AA1426,0)</f>
        <v>0</v>
      </c>
      <c r="CG1426" s="993">
        <f>IF(AND(Input_Product=Elig!$C1426,Elig_MatchAll_Ct&lt;22,$BC1426=(Elig_MatchAll_Ct-1),AZ1426=0),AB1426,0)</f>
        <v>0</v>
      </c>
      <c r="CH1426" s="994">
        <f>IF(AND(Input_Product=Elig!$C1426,Elig_MatchAll_Ct&lt;22,$BC1426=(Elig_MatchAll_Ct-1),AZ1426=0),AC1426,0)</f>
        <v>0</v>
      </c>
      <c r="CI1426" s="993">
        <f>IF(AND(Input_Product=Elig!$C1426,Elig_MatchAll_Ct&lt;22,$BC1426=(Elig_MatchAll_Ct-1),BA1426=0),AD1426,0)</f>
        <v>0</v>
      </c>
      <c r="CJ1426" s="994">
        <f>IF(AND(Input_Product=Elig!$C1426,Elig_MatchAll_Ct&lt;22,$BC1426=(Elig_MatchAll_Ct-1),BA1426=0),AE1426,0)</f>
        <v>0</v>
      </c>
    </row>
    <row r="1427" spans="2:88" ht="10.15" customHeight="1" x14ac:dyDescent="0.25">
      <c r="B1427" s="1554" t="s">
        <v>2815</v>
      </c>
      <c r="C1427" s="1554" t="str">
        <f t="shared" si="500"/>
        <v xml:space="preserve">  OO</v>
      </c>
      <c r="D1427" s="1554" t="s">
        <v>2764</v>
      </c>
      <c r="E1427" s="1554" t="s">
        <v>167</v>
      </c>
      <c r="F1427" s="1554" t="s">
        <v>2765</v>
      </c>
      <c r="G1427" s="1554" t="s">
        <v>2810</v>
      </c>
      <c r="H1427" s="1554" t="s">
        <v>2767</v>
      </c>
      <c r="I1427" s="1555" t="s">
        <v>34</v>
      </c>
      <c r="J1427" s="1555" t="s">
        <v>1311</v>
      </c>
      <c r="K1427" s="1555" t="s">
        <v>3023</v>
      </c>
      <c r="L1427" s="1554" t="s">
        <v>3920</v>
      </c>
      <c r="M1427" s="1554" t="s">
        <v>4203</v>
      </c>
      <c r="N1427" s="1554" t="s">
        <v>2685</v>
      </c>
      <c r="O1427" s="1554" t="s">
        <v>310</v>
      </c>
      <c r="P1427" s="1554" t="s">
        <v>291</v>
      </c>
      <c r="Q1427" s="1554" t="s">
        <v>294</v>
      </c>
      <c r="R1427" s="1554">
        <v>1000000.01</v>
      </c>
      <c r="S1427" s="1554">
        <v>1500000</v>
      </c>
      <c r="T1427" s="1554">
        <v>0</v>
      </c>
      <c r="U1427" s="1554">
        <v>0</v>
      </c>
      <c r="V1427" s="1554">
        <v>0</v>
      </c>
      <c r="W1427" s="1554">
        <v>50</v>
      </c>
      <c r="X1427" s="1554">
        <v>0</v>
      </c>
      <c r="Y1427" s="1554">
        <v>0</v>
      </c>
      <c r="Z1427" s="1556">
        <v>680</v>
      </c>
      <c r="AA1427" s="1556">
        <v>699</v>
      </c>
      <c r="AB1427" s="1556">
        <v>3</v>
      </c>
      <c r="AC1427" s="1556">
        <v>999999</v>
      </c>
      <c r="AD1427" s="1554">
        <v>0</v>
      </c>
      <c r="AE1427" s="1557">
        <v>80</v>
      </c>
      <c r="AF1427" s="170">
        <v>0</v>
      </c>
      <c r="AG1427" s="171">
        <v>1</v>
      </c>
      <c r="AH1427" s="171">
        <v>1</v>
      </c>
      <c r="AI1427" s="171">
        <v>1</v>
      </c>
      <c r="AJ1427" s="171">
        <v>1</v>
      </c>
      <c r="AK1427" s="171">
        <v>1</v>
      </c>
      <c r="AL1427" s="171">
        <v>0</v>
      </c>
      <c r="AM1427" s="171">
        <v>1</v>
      </c>
      <c r="AN1427" s="171">
        <v>1</v>
      </c>
      <c r="AO1427" s="171">
        <v>1</v>
      </c>
      <c r="AP1427" s="171">
        <v>1</v>
      </c>
      <c r="AQ1427" s="171">
        <v>1</v>
      </c>
      <c r="AR1427" s="171">
        <v>1</v>
      </c>
      <c r="AS1427" s="171">
        <v>1</v>
      </c>
      <c r="AT1427" s="171">
        <v>1</v>
      </c>
      <c r="AU1427" s="171">
        <f t="shared" si="488"/>
        <v>0</v>
      </c>
      <c r="AV1427" s="171">
        <f t="shared" si="489"/>
        <v>0</v>
      </c>
      <c r="AW1427" s="171">
        <f t="shared" si="490"/>
        <v>1</v>
      </c>
      <c r="AX1427" s="171">
        <f t="shared" si="499"/>
        <v>1</v>
      </c>
      <c r="AY1427" s="171">
        <f t="shared" si="491"/>
        <v>0</v>
      </c>
      <c r="AZ1427" s="171">
        <f t="shared" si="492"/>
        <v>1</v>
      </c>
      <c r="BA1427" s="172">
        <f t="shared" si="493"/>
        <v>1</v>
      </c>
      <c r="BB1427" s="175">
        <f t="shared" si="495"/>
        <v>17</v>
      </c>
      <c r="BC1427" s="176">
        <f t="shared" si="496"/>
        <v>16</v>
      </c>
      <c r="BD1427" s="176">
        <f t="shared" si="497"/>
        <v>17</v>
      </c>
      <c r="BE1427" s="240" t="str">
        <f t="shared" si="487"/>
        <v/>
      </c>
      <c r="BF1427" s="990"/>
      <c r="BG1427" s="990"/>
      <c r="BH1427" s="991">
        <f>IF(AND(Input_Product=Elig!$C1427,Elig_MatchAll_Ct&lt;22,$BC1427=(Elig_MatchAll_Ct-1),AF1427=0),C1427,0)</f>
        <v>0</v>
      </c>
      <c r="BI1427" s="991">
        <f>IF(AND(Input_Product=Elig!$C1427,Elig_MatchAll_Ct&lt;22,$BC1427=(Elig_MatchAll_Ct-1),AG1427=0),D1427,0)</f>
        <v>0</v>
      </c>
      <c r="BJ1427" s="991">
        <f>IF(AND(Input_Product=Elig!$C1427,Elig_MatchAll_Ct&lt;22,$BC1427=(Elig_MatchAll_Ct-1),AH1427=0),E1427,0)</f>
        <v>0</v>
      </c>
      <c r="BK1427" s="991">
        <f>IF(AND(Input_Product=Elig!$C1427,Elig_MatchAll_Ct&lt;22,$BC1427=(Elig_MatchAll_Ct-1),AI1427=0),F1427,0)</f>
        <v>0</v>
      </c>
      <c r="BL1427" s="991">
        <f>IF(AND(Input_Product=Elig!$C1427,Elig_MatchAll_Ct&lt;22,$BC1427=(Elig_MatchAll_Ct-1),AJ1427=0),G1427,0)</f>
        <v>0</v>
      </c>
      <c r="BM1427" s="991">
        <f>IF(AND(Input_Product=Elig!$C1427,Elig_MatchAll_Ct&lt;22,$BC1427=(Elig_MatchAll_Ct-1),AK1427=0),H1427,0)</f>
        <v>0</v>
      </c>
      <c r="BN1427" s="991">
        <f>IF(AND(Input_Product=Elig!$C1427,Elig_MatchAll_Ct&lt;22,$BC1427=(Elig_MatchAll_Ct-1),AL1427=0),I1427,0)</f>
        <v>0</v>
      </c>
      <c r="BO1427" s="991">
        <f>IF(AND(Input_Product=Elig!$C1427,Elig_MatchAll_Ct&lt;22,$BC1427=(Elig_MatchAll_Ct-1),AM1427=0),J1427,0)</f>
        <v>0</v>
      </c>
      <c r="BP1427" s="991">
        <f>IF(AND(Input_Product=Elig!$C1427,Elig_MatchAll_Ct&lt;22,$BC1427=(Elig_MatchAll_Ct-1),AN1427=0),K1427,0)</f>
        <v>0</v>
      </c>
      <c r="BQ1427" s="991">
        <f>IF(AND(Input_Product=Elig!$C1427,Elig_MatchAll_Ct&lt;22,$BC1427=(Elig_MatchAll_Ct-1),AP1427=0),L1427,0)</f>
        <v>0</v>
      </c>
      <c r="BR1427" s="991">
        <f>IF(AND(Input_Product=Elig!$C1427,Elig_MatchAll_Ct&lt;22,$BC1427=(Elig_MatchAll_Ct-1),AO1427=0),M1427,0)</f>
        <v>0</v>
      </c>
      <c r="BS1427" s="991">
        <f>IF(AND(Input_Product=Elig!$C1427,Elig_MatchAll_Ct&lt;22,$BC1427=(Elig_MatchAll_Ct-1),AQ1427=0),N1427,0)</f>
        <v>0</v>
      </c>
      <c r="BT1427" s="991">
        <f>IF(AND(Input_Product=Elig!$C1427,Elig_MatchAll_Ct&lt;22,$BC1427=(Elig_MatchAll_Ct-1),AR1427=0),O1427,0)</f>
        <v>0</v>
      </c>
      <c r="BU1427" s="991">
        <f>IF(AND(Input_Product=Elig!$C1427,Elig_MatchAll_Ct&lt;22,$BC1427=(Elig_MatchAll_Ct-1),AS1427=0),P1427,0)</f>
        <v>0</v>
      </c>
      <c r="BV1427" s="992">
        <f>IF(AND(Input_Product=Elig!$C1427,Elig_MatchAll_Ct&lt;22,$BC1427=(Elig_MatchAll_Ct-1),AT1427=0),Q1427,0)</f>
        <v>0</v>
      </c>
      <c r="BW1427" s="993">
        <f>IF(AND(Input_Product=Elig!$C1427,Elig_MatchAll_Ct&lt;22,$BC1427=(Elig_MatchAll_Ct-1),AU1427=0),R1427,0)</f>
        <v>0</v>
      </c>
      <c r="BX1427" s="994">
        <f>IF(AND(Input_Product=Elig!$C1427,Elig_MatchAll_Ct&lt;22,$BC1427=(Elig_MatchAll_Ct-1),AU1427=0),S1427,0)</f>
        <v>0</v>
      </c>
      <c r="BY1427" s="993">
        <f>IF(AND(Input_Product=Elig!$C1427,Elig_MatchAll_Ct&lt;22,$BC1427=(Elig_MatchAll_Ct-1),AV1427=0),T1427,0)</f>
        <v>0</v>
      </c>
      <c r="BZ1427" s="994">
        <f>IF(AND(Input_Product=Elig!$C1427,Elig_MatchAll_Ct&lt;22,$BC1427=(Elig_MatchAll_Ct-1),AV1427=0),U1427,0)</f>
        <v>0</v>
      </c>
      <c r="CA1427" s="993">
        <f>IF(AND(Input_Product=Elig!$C1427,Elig_MatchAll_Ct&lt;22,$BC1427=(Elig_MatchAll_Ct-1),AW1427=0),V1427,0)</f>
        <v>0</v>
      </c>
      <c r="CB1427" s="994">
        <f>IF(AND(Input_Product=Elig!$C1427,Elig_MatchAll_Ct&lt;22,$BC1427=(Elig_MatchAll_Ct-1),AW1427=0),W1427,0)</f>
        <v>0</v>
      </c>
      <c r="CC1427" s="993">
        <f>IF(AND(Input_Product=Elig!$C1427,Elig_MatchAll_Ct&lt;22,$BC1427=(Elig_MatchAll_Ct-1),AX1427=0),X1427,0)</f>
        <v>0</v>
      </c>
      <c r="CD1427" s="994">
        <f>IF(AND(Input_Product=Elig!$C1427,Elig_MatchAll_Ct&lt;22,$BC1427=(Elig_MatchAll_Ct-1),AX1427=0),Y1427,0)</f>
        <v>0</v>
      </c>
      <c r="CE1427" s="993">
        <f>IF(AND(Input_LTV&lt;=AE1427,Input_Product=Elig!$C1427,Elig_MatchAll_Ct&lt;22,$BC1427=(Elig_MatchAll_Ct-1),AY1427=0),Z1427,0)</f>
        <v>0</v>
      </c>
      <c r="CF1427" s="994">
        <f>IF(AND(Input_LTV&lt;=AE1427,Input_Product=Elig!$C1427,Elig_MatchAll_Ct&lt;22,$BC1427=(Elig_MatchAll_Ct-1),AY1427=0),AA1427,0)</f>
        <v>0</v>
      </c>
      <c r="CG1427" s="993">
        <f>IF(AND(Input_Product=Elig!$C1427,Elig_MatchAll_Ct&lt;22,$BC1427=(Elig_MatchAll_Ct-1),AZ1427=0),AB1427,0)</f>
        <v>0</v>
      </c>
      <c r="CH1427" s="994">
        <f>IF(AND(Input_Product=Elig!$C1427,Elig_MatchAll_Ct&lt;22,$BC1427=(Elig_MatchAll_Ct-1),AZ1427=0),AC1427,0)</f>
        <v>0</v>
      </c>
      <c r="CI1427" s="993">
        <f>IF(AND(Input_Product=Elig!$C1427,Elig_MatchAll_Ct&lt;22,$BC1427=(Elig_MatchAll_Ct-1),BA1427=0),AD1427,0)</f>
        <v>0</v>
      </c>
      <c r="CJ1427" s="994">
        <f>IF(AND(Input_Product=Elig!$C1427,Elig_MatchAll_Ct&lt;22,$BC1427=(Elig_MatchAll_Ct-1),BA1427=0),AE1427,0)</f>
        <v>0</v>
      </c>
    </row>
    <row r="1428" spans="2:88" ht="10.15" customHeight="1" x14ac:dyDescent="0.25">
      <c r="B1428" s="1554" t="s">
        <v>2816</v>
      </c>
      <c r="C1428" s="1554" t="str">
        <f t="shared" si="500"/>
        <v xml:space="preserve">  OO</v>
      </c>
      <c r="D1428" s="1554" t="s">
        <v>2764</v>
      </c>
      <c r="E1428" s="1554" t="s">
        <v>167</v>
      </c>
      <c r="F1428" s="1554" t="s">
        <v>2765</v>
      </c>
      <c r="G1428" s="1554" t="s">
        <v>2810</v>
      </c>
      <c r="H1428" s="1554" t="s">
        <v>2767</v>
      </c>
      <c r="I1428" s="1555" t="s">
        <v>34</v>
      </c>
      <c r="J1428" s="1555" t="s">
        <v>1311</v>
      </c>
      <c r="K1428" s="1555" t="s">
        <v>3023</v>
      </c>
      <c r="L1428" s="1554" t="s">
        <v>3920</v>
      </c>
      <c r="M1428" s="1554" t="s">
        <v>4203</v>
      </c>
      <c r="N1428" s="1554" t="s">
        <v>2685</v>
      </c>
      <c r="O1428" s="1554" t="s">
        <v>310</v>
      </c>
      <c r="P1428" s="1554" t="s">
        <v>291</v>
      </c>
      <c r="Q1428" s="1554" t="s">
        <v>294</v>
      </c>
      <c r="R1428" s="1554">
        <v>1500000.01</v>
      </c>
      <c r="S1428" s="1554">
        <v>2000000</v>
      </c>
      <c r="T1428" s="1554">
        <v>0</v>
      </c>
      <c r="U1428" s="1554">
        <v>0</v>
      </c>
      <c r="V1428" s="1554">
        <v>0</v>
      </c>
      <c r="W1428" s="1554">
        <v>50</v>
      </c>
      <c r="X1428" s="1554">
        <v>0</v>
      </c>
      <c r="Y1428" s="1554">
        <v>0</v>
      </c>
      <c r="Z1428" s="1556">
        <v>680</v>
      </c>
      <c r="AA1428" s="1556">
        <v>699</v>
      </c>
      <c r="AB1428" s="1556">
        <v>3</v>
      </c>
      <c r="AC1428" s="1556">
        <v>999999</v>
      </c>
      <c r="AD1428" s="1554">
        <v>0</v>
      </c>
      <c r="AE1428" s="1557">
        <v>80</v>
      </c>
      <c r="AF1428" s="170">
        <v>0</v>
      </c>
      <c r="AG1428" s="171">
        <v>1</v>
      </c>
      <c r="AH1428" s="171">
        <v>1</v>
      </c>
      <c r="AI1428" s="171">
        <v>1</v>
      </c>
      <c r="AJ1428" s="171">
        <v>1</v>
      </c>
      <c r="AK1428" s="171">
        <v>1</v>
      </c>
      <c r="AL1428" s="171">
        <v>0</v>
      </c>
      <c r="AM1428" s="171">
        <v>1</v>
      </c>
      <c r="AN1428" s="171">
        <v>1</v>
      </c>
      <c r="AO1428" s="171">
        <v>1</v>
      </c>
      <c r="AP1428" s="171">
        <v>1</v>
      </c>
      <c r="AQ1428" s="171">
        <v>1</v>
      </c>
      <c r="AR1428" s="171">
        <v>1</v>
      </c>
      <c r="AS1428" s="171">
        <v>1</v>
      </c>
      <c r="AT1428" s="171">
        <v>1</v>
      </c>
      <c r="AU1428" s="171">
        <f t="shared" si="488"/>
        <v>0</v>
      </c>
      <c r="AV1428" s="171">
        <f t="shared" si="489"/>
        <v>0</v>
      </c>
      <c r="AW1428" s="171">
        <f t="shared" si="490"/>
        <v>1</v>
      </c>
      <c r="AX1428" s="171">
        <f t="shared" si="499"/>
        <v>1</v>
      </c>
      <c r="AY1428" s="171">
        <f t="shared" si="491"/>
        <v>0</v>
      </c>
      <c r="AZ1428" s="171">
        <f t="shared" si="492"/>
        <v>1</v>
      </c>
      <c r="BA1428" s="172">
        <f t="shared" si="493"/>
        <v>1</v>
      </c>
      <c r="BB1428" s="175">
        <f t="shared" si="495"/>
        <v>17</v>
      </c>
      <c r="BC1428" s="176">
        <f t="shared" si="496"/>
        <v>16</v>
      </c>
      <c r="BD1428" s="176">
        <f t="shared" si="497"/>
        <v>17</v>
      </c>
      <c r="BE1428" s="240" t="str">
        <f t="shared" si="487"/>
        <v/>
      </c>
      <c r="BF1428" s="990"/>
      <c r="BG1428" s="990"/>
      <c r="BH1428" s="991">
        <f>IF(AND(Input_Product=Elig!$C1428,Elig_MatchAll_Ct&lt;22,$BC1428=(Elig_MatchAll_Ct-1),AF1428=0),C1428,0)</f>
        <v>0</v>
      </c>
      <c r="BI1428" s="991">
        <f>IF(AND(Input_Product=Elig!$C1428,Elig_MatchAll_Ct&lt;22,$BC1428=(Elig_MatchAll_Ct-1),AG1428=0),D1428,0)</f>
        <v>0</v>
      </c>
      <c r="BJ1428" s="991">
        <f>IF(AND(Input_Product=Elig!$C1428,Elig_MatchAll_Ct&lt;22,$BC1428=(Elig_MatchAll_Ct-1),AH1428=0),E1428,0)</f>
        <v>0</v>
      </c>
      <c r="BK1428" s="991">
        <f>IF(AND(Input_Product=Elig!$C1428,Elig_MatchAll_Ct&lt;22,$BC1428=(Elig_MatchAll_Ct-1),AI1428=0),F1428,0)</f>
        <v>0</v>
      </c>
      <c r="BL1428" s="991">
        <f>IF(AND(Input_Product=Elig!$C1428,Elig_MatchAll_Ct&lt;22,$BC1428=(Elig_MatchAll_Ct-1),AJ1428=0),G1428,0)</f>
        <v>0</v>
      </c>
      <c r="BM1428" s="991">
        <f>IF(AND(Input_Product=Elig!$C1428,Elig_MatchAll_Ct&lt;22,$BC1428=(Elig_MatchAll_Ct-1),AK1428=0),H1428,0)</f>
        <v>0</v>
      </c>
      <c r="BN1428" s="991">
        <f>IF(AND(Input_Product=Elig!$C1428,Elig_MatchAll_Ct&lt;22,$BC1428=(Elig_MatchAll_Ct-1),AL1428=0),I1428,0)</f>
        <v>0</v>
      </c>
      <c r="BO1428" s="991">
        <f>IF(AND(Input_Product=Elig!$C1428,Elig_MatchAll_Ct&lt;22,$BC1428=(Elig_MatchAll_Ct-1),AM1428=0),J1428,0)</f>
        <v>0</v>
      </c>
      <c r="BP1428" s="991">
        <f>IF(AND(Input_Product=Elig!$C1428,Elig_MatchAll_Ct&lt;22,$BC1428=(Elig_MatchAll_Ct-1),AN1428=0),K1428,0)</f>
        <v>0</v>
      </c>
      <c r="BQ1428" s="991">
        <f>IF(AND(Input_Product=Elig!$C1428,Elig_MatchAll_Ct&lt;22,$BC1428=(Elig_MatchAll_Ct-1),AP1428=0),L1428,0)</f>
        <v>0</v>
      </c>
      <c r="BR1428" s="991">
        <f>IF(AND(Input_Product=Elig!$C1428,Elig_MatchAll_Ct&lt;22,$BC1428=(Elig_MatchAll_Ct-1),AO1428=0),M1428,0)</f>
        <v>0</v>
      </c>
      <c r="BS1428" s="991">
        <f>IF(AND(Input_Product=Elig!$C1428,Elig_MatchAll_Ct&lt;22,$BC1428=(Elig_MatchAll_Ct-1),AQ1428=0),N1428,0)</f>
        <v>0</v>
      </c>
      <c r="BT1428" s="991">
        <f>IF(AND(Input_Product=Elig!$C1428,Elig_MatchAll_Ct&lt;22,$BC1428=(Elig_MatchAll_Ct-1),AR1428=0),O1428,0)</f>
        <v>0</v>
      </c>
      <c r="BU1428" s="991">
        <f>IF(AND(Input_Product=Elig!$C1428,Elig_MatchAll_Ct&lt;22,$BC1428=(Elig_MatchAll_Ct-1),AS1428=0),P1428,0)</f>
        <v>0</v>
      </c>
      <c r="BV1428" s="992">
        <f>IF(AND(Input_Product=Elig!$C1428,Elig_MatchAll_Ct&lt;22,$BC1428=(Elig_MatchAll_Ct-1),AT1428=0),Q1428,0)</f>
        <v>0</v>
      </c>
      <c r="BW1428" s="993">
        <f>IF(AND(Input_Product=Elig!$C1428,Elig_MatchAll_Ct&lt;22,$BC1428=(Elig_MatchAll_Ct-1),AU1428=0),R1428,0)</f>
        <v>0</v>
      </c>
      <c r="BX1428" s="994">
        <f>IF(AND(Input_Product=Elig!$C1428,Elig_MatchAll_Ct&lt;22,$BC1428=(Elig_MatchAll_Ct-1),AU1428=0),S1428,0)</f>
        <v>0</v>
      </c>
      <c r="BY1428" s="993">
        <f>IF(AND(Input_Product=Elig!$C1428,Elig_MatchAll_Ct&lt;22,$BC1428=(Elig_MatchAll_Ct-1),AV1428=0),T1428,0)</f>
        <v>0</v>
      </c>
      <c r="BZ1428" s="994">
        <f>IF(AND(Input_Product=Elig!$C1428,Elig_MatchAll_Ct&lt;22,$BC1428=(Elig_MatchAll_Ct-1),AV1428=0),U1428,0)</f>
        <v>0</v>
      </c>
      <c r="CA1428" s="993">
        <f>IF(AND(Input_Product=Elig!$C1428,Elig_MatchAll_Ct&lt;22,$BC1428=(Elig_MatchAll_Ct-1),AW1428=0),V1428,0)</f>
        <v>0</v>
      </c>
      <c r="CB1428" s="994">
        <f>IF(AND(Input_Product=Elig!$C1428,Elig_MatchAll_Ct&lt;22,$BC1428=(Elig_MatchAll_Ct-1),AW1428=0),W1428,0)</f>
        <v>0</v>
      </c>
      <c r="CC1428" s="993">
        <f>IF(AND(Input_Product=Elig!$C1428,Elig_MatchAll_Ct&lt;22,$BC1428=(Elig_MatchAll_Ct-1),AX1428=0),X1428,0)</f>
        <v>0</v>
      </c>
      <c r="CD1428" s="994">
        <f>IF(AND(Input_Product=Elig!$C1428,Elig_MatchAll_Ct&lt;22,$BC1428=(Elig_MatchAll_Ct-1),AX1428=0),Y1428,0)</f>
        <v>0</v>
      </c>
      <c r="CE1428" s="993">
        <f>IF(AND(Input_LTV&lt;=AE1428,Input_Product=Elig!$C1428,Elig_MatchAll_Ct&lt;22,$BC1428=(Elig_MatchAll_Ct-1),AY1428=0),Z1428,0)</f>
        <v>0</v>
      </c>
      <c r="CF1428" s="994">
        <f>IF(AND(Input_LTV&lt;=AE1428,Input_Product=Elig!$C1428,Elig_MatchAll_Ct&lt;22,$BC1428=(Elig_MatchAll_Ct-1),AY1428=0),AA1428,0)</f>
        <v>0</v>
      </c>
      <c r="CG1428" s="993">
        <f>IF(AND(Input_Product=Elig!$C1428,Elig_MatchAll_Ct&lt;22,$BC1428=(Elig_MatchAll_Ct-1),AZ1428=0),AB1428,0)</f>
        <v>0</v>
      </c>
      <c r="CH1428" s="994">
        <f>IF(AND(Input_Product=Elig!$C1428,Elig_MatchAll_Ct&lt;22,$BC1428=(Elig_MatchAll_Ct-1),AZ1428=0),AC1428,0)</f>
        <v>0</v>
      </c>
      <c r="CI1428" s="993">
        <f>IF(AND(Input_Product=Elig!$C1428,Elig_MatchAll_Ct&lt;22,$BC1428=(Elig_MatchAll_Ct-1),BA1428=0),AD1428,0)</f>
        <v>0</v>
      </c>
      <c r="CJ1428" s="994">
        <f>IF(AND(Input_Product=Elig!$C1428,Elig_MatchAll_Ct&lt;22,$BC1428=(Elig_MatchAll_Ct-1),BA1428=0),AE1428,0)</f>
        <v>0</v>
      </c>
    </row>
    <row r="1429" spans="2:88" ht="10.15" customHeight="1" x14ac:dyDescent="0.25">
      <c r="B1429" s="1554" t="s">
        <v>2817</v>
      </c>
      <c r="C1429" s="1554" t="str">
        <f t="shared" si="500"/>
        <v xml:space="preserve">  OO</v>
      </c>
      <c r="D1429" s="1554" t="s">
        <v>2764</v>
      </c>
      <c r="E1429" s="1554" t="s">
        <v>167</v>
      </c>
      <c r="F1429" s="1554" t="s">
        <v>2765</v>
      </c>
      <c r="G1429" s="1554" t="s">
        <v>2810</v>
      </c>
      <c r="H1429" s="1554" t="s">
        <v>2767</v>
      </c>
      <c r="I1429" s="1555" t="s">
        <v>34</v>
      </c>
      <c r="J1429" s="1555" t="s">
        <v>1311</v>
      </c>
      <c r="K1429" s="1555" t="s">
        <v>3023</v>
      </c>
      <c r="L1429" s="1554" t="s">
        <v>3920</v>
      </c>
      <c r="M1429" s="1554" t="s">
        <v>4203</v>
      </c>
      <c r="N1429" s="1554" t="s">
        <v>2685</v>
      </c>
      <c r="O1429" s="1554" t="s">
        <v>310</v>
      </c>
      <c r="P1429" s="1554" t="s">
        <v>291</v>
      </c>
      <c r="Q1429" s="1554" t="s">
        <v>294</v>
      </c>
      <c r="R1429" s="1554">
        <v>2000000.01</v>
      </c>
      <c r="S1429" s="1554">
        <v>3000000</v>
      </c>
      <c r="T1429" s="1554">
        <v>0</v>
      </c>
      <c r="U1429" s="1554">
        <v>0</v>
      </c>
      <c r="V1429" s="1554">
        <v>0</v>
      </c>
      <c r="W1429" s="1554">
        <v>50</v>
      </c>
      <c r="X1429" s="1554">
        <v>0</v>
      </c>
      <c r="Y1429" s="1554">
        <v>0</v>
      </c>
      <c r="Z1429" s="1556">
        <v>680</v>
      </c>
      <c r="AA1429" s="1556">
        <v>699</v>
      </c>
      <c r="AB1429" s="1556">
        <v>3</v>
      </c>
      <c r="AC1429" s="1556">
        <v>999999</v>
      </c>
      <c r="AD1429" s="1554">
        <v>0</v>
      </c>
      <c r="AE1429" s="1557">
        <v>70</v>
      </c>
      <c r="AF1429" s="170">
        <v>0</v>
      </c>
      <c r="AG1429" s="171">
        <v>1</v>
      </c>
      <c r="AH1429" s="171">
        <v>1</v>
      </c>
      <c r="AI1429" s="171">
        <v>1</v>
      </c>
      <c r="AJ1429" s="171">
        <v>1</v>
      </c>
      <c r="AK1429" s="171">
        <v>1</v>
      </c>
      <c r="AL1429" s="171">
        <v>0</v>
      </c>
      <c r="AM1429" s="171">
        <v>1</v>
      </c>
      <c r="AN1429" s="171">
        <v>1</v>
      </c>
      <c r="AO1429" s="171">
        <v>1</v>
      </c>
      <c r="AP1429" s="171">
        <v>1</v>
      </c>
      <c r="AQ1429" s="171">
        <v>1</v>
      </c>
      <c r="AR1429" s="171">
        <v>1</v>
      </c>
      <c r="AS1429" s="171">
        <v>1</v>
      </c>
      <c r="AT1429" s="171">
        <v>1</v>
      </c>
      <c r="AU1429" s="171">
        <f t="shared" si="488"/>
        <v>0</v>
      </c>
      <c r="AV1429" s="171">
        <f t="shared" si="489"/>
        <v>0</v>
      </c>
      <c r="AW1429" s="171">
        <f t="shared" si="490"/>
        <v>1</v>
      </c>
      <c r="AX1429" s="171">
        <f t="shared" si="499"/>
        <v>1</v>
      </c>
      <c r="AY1429" s="171">
        <f t="shared" si="491"/>
        <v>0</v>
      </c>
      <c r="AZ1429" s="171">
        <f t="shared" si="492"/>
        <v>1</v>
      </c>
      <c r="BA1429" s="172">
        <f t="shared" si="493"/>
        <v>1</v>
      </c>
      <c r="BB1429" s="175">
        <f t="shared" si="495"/>
        <v>17</v>
      </c>
      <c r="BC1429" s="176">
        <f t="shared" si="496"/>
        <v>16</v>
      </c>
      <c r="BD1429" s="176">
        <f t="shared" si="497"/>
        <v>17</v>
      </c>
      <c r="BE1429" s="240" t="str">
        <f t="shared" si="487"/>
        <v/>
      </c>
      <c r="BF1429" s="990"/>
      <c r="BG1429" s="990"/>
      <c r="BH1429" s="991">
        <f>IF(AND(Input_Product=Elig!$C1429,Elig_MatchAll_Ct&lt;22,$BC1429=(Elig_MatchAll_Ct-1),AF1429=0),C1429,0)</f>
        <v>0</v>
      </c>
      <c r="BI1429" s="991">
        <f>IF(AND(Input_Product=Elig!$C1429,Elig_MatchAll_Ct&lt;22,$BC1429=(Elig_MatchAll_Ct-1),AG1429=0),D1429,0)</f>
        <v>0</v>
      </c>
      <c r="BJ1429" s="991">
        <f>IF(AND(Input_Product=Elig!$C1429,Elig_MatchAll_Ct&lt;22,$BC1429=(Elig_MatchAll_Ct-1),AH1429=0),E1429,0)</f>
        <v>0</v>
      </c>
      <c r="BK1429" s="991">
        <f>IF(AND(Input_Product=Elig!$C1429,Elig_MatchAll_Ct&lt;22,$BC1429=(Elig_MatchAll_Ct-1),AI1429=0),F1429,0)</f>
        <v>0</v>
      </c>
      <c r="BL1429" s="991">
        <f>IF(AND(Input_Product=Elig!$C1429,Elig_MatchAll_Ct&lt;22,$BC1429=(Elig_MatchAll_Ct-1),AJ1429=0),G1429,0)</f>
        <v>0</v>
      </c>
      <c r="BM1429" s="991">
        <f>IF(AND(Input_Product=Elig!$C1429,Elig_MatchAll_Ct&lt;22,$BC1429=(Elig_MatchAll_Ct-1),AK1429=0),H1429,0)</f>
        <v>0</v>
      </c>
      <c r="BN1429" s="991">
        <f>IF(AND(Input_Product=Elig!$C1429,Elig_MatchAll_Ct&lt;22,$BC1429=(Elig_MatchAll_Ct-1),AL1429=0),I1429,0)</f>
        <v>0</v>
      </c>
      <c r="BO1429" s="991">
        <f>IF(AND(Input_Product=Elig!$C1429,Elig_MatchAll_Ct&lt;22,$BC1429=(Elig_MatchAll_Ct-1),AM1429=0),J1429,0)</f>
        <v>0</v>
      </c>
      <c r="BP1429" s="991">
        <f>IF(AND(Input_Product=Elig!$C1429,Elig_MatchAll_Ct&lt;22,$BC1429=(Elig_MatchAll_Ct-1),AN1429=0),K1429,0)</f>
        <v>0</v>
      </c>
      <c r="BQ1429" s="991">
        <f>IF(AND(Input_Product=Elig!$C1429,Elig_MatchAll_Ct&lt;22,$BC1429=(Elig_MatchAll_Ct-1),AP1429=0),L1429,0)</f>
        <v>0</v>
      </c>
      <c r="BR1429" s="991">
        <f>IF(AND(Input_Product=Elig!$C1429,Elig_MatchAll_Ct&lt;22,$BC1429=(Elig_MatchAll_Ct-1),AO1429=0),M1429,0)</f>
        <v>0</v>
      </c>
      <c r="BS1429" s="991">
        <f>IF(AND(Input_Product=Elig!$C1429,Elig_MatchAll_Ct&lt;22,$BC1429=(Elig_MatchAll_Ct-1),AQ1429=0),N1429,0)</f>
        <v>0</v>
      </c>
      <c r="BT1429" s="991">
        <f>IF(AND(Input_Product=Elig!$C1429,Elig_MatchAll_Ct&lt;22,$BC1429=(Elig_MatchAll_Ct-1),AR1429=0),O1429,0)</f>
        <v>0</v>
      </c>
      <c r="BU1429" s="991">
        <f>IF(AND(Input_Product=Elig!$C1429,Elig_MatchAll_Ct&lt;22,$BC1429=(Elig_MatchAll_Ct-1),AS1429=0),P1429,0)</f>
        <v>0</v>
      </c>
      <c r="BV1429" s="992">
        <f>IF(AND(Input_Product=Elig!$C1429,Elig_MatchAll_Ct&lt;22,$BC1429=(Elig_MatchAll_Ct-1),AT1429=0),Q1429,0)</f>
        <v>0</v>
      </c>
      <c r="BW1429" s="993">
        <f>IF(AND(Input_Product=Elig!$C1429,Elig_MatchAll_Ct&lt;22,$BC1429=(Elig_MatchAll_Ct-1),AU1429=0),R1429,0)</f>
        <v>0</v>
      </c>
      <c r="BX1429" s="994">
        <f>IF(AND(Input_Product=Elig!$C1429,Elig_MatchAll_Ct&lt;22,$BC1429=(Elig_MatchAll_Ct-1),AU1429=0),S1429,0)</f>
        <v>0</v>
      </c>
      <c r="BY1429" s="993">
        <f>IF(AND(Input_Product=Elig!$C1429,Elig_MatchAll_Ct&lt;22,$BC1429=(Elig_MatchAll_Ct-1),AV1429=0),T1429,0)</f>
        <v>0</v>
      </c>
      <c r="BZ1429" s="994">
        <f>IF(AND(Input_Product=Elig!$C1429,Elig_MatchAll_Ct&lt;22,$BC1429=(Elig_MatchAll_Ct-1),AV1429=0),U1429,0)</f>
        <v>0</v>
      </c>
      <c r="CA1429" s="993">
        <f>IF(AND(Input_Product=Elig!$C1429,Elig_MatchAll_Ct&lt;22,$BC1429=(Elig_MatchAll_Ct-1),AW1429=0),V1429,0)</f>
        <v>0</v>
      </c>
      <c r="CB1429" s="994">
        <f>IF(AND(Input_Product=Elig!$C1429,Elig_MatchAll_Ct&lt;22,$BC1429=(Elig_MatchAll_Ct-1),AW1429=0),W1429,0)</f>
        <v>0</v>
      </c>
      <c r="CC1429" s="993">
        <f>IF(AND(Input_Product=Elig!$C1429,Elig_MatchAll_Ct&lt;22,$BC1429=(Elig_MatchAll_Ct-1),AX1429=0),X1429,0)</f>
        <v>0</v>
      </c>
      <c r="CD1429" s="994">
        <f>IF(AND(Input_Product=Elig!$C1429,Elig_MatchAll_Ct&lt;22,$BC1429=(Elig_MatchAll_Ct-1),AX1429=0),Y1429,0)</f>
        <v>0</v>
      </c>
      <c r="CE1429" s="993">
        <f>IF(AND(Input_LTV&lt;=AE1429,Input_Product=Elig!$C1429,Elig_MatchAll_Ct&lt;22,$BC1429=(Elig_MatchAll_Ct-1),AY1429=0),Z1429,0)</f>
        <v>0</v>
      </c>
      <c r="CF1429" s="994">
        <f>IF(AND(Input_LTV&lt;=AE1429,Input_Product=Elig!$C1429,Elig_MatchAll_Ct&lt;22,$BC1429=(Elig_MatchAll_Ct-1),AY1429=0),AA1429,0)</f>
        <v>0</v>
      </c>
      <c r="CG1429" s="993">
        <f>IF(AND(Input_Product=Elig!$C1429,Elig_MatchAll_Ct&lt;22,$BC1429=(Elig_MatchAll_Ct-1),AZ1429=0),AB1429,0)</f>
        <v>0</v>
      </c>
      <c r="CH1429" s="994">
        <f>IF(AND(Input_Product=Elig!$C1429,Elig_MatchAll_Ct&lt;22,$BC1429=(Elig_MatchAll_Ct-1),AZ1429=0),AC1429,0)</f>
        <v>0</v>
      </c>
      <c r="CI1429" s="993">
        <f>IF(AND(Input_Product=Elig!$C1429,Elig_MatchAll_Ct&lt;22,$BC1429=(Elig_MatchAll_Ct-1),BA1429=0),AD1429,0)</f>
        <v>0</v>
      </c>
      <c r="CJ1429" s="994">
        <f>IF(AND(Input_Product=Elig!$C1429,Elig_MatchAll_Ct&lt;22,$BC1429=(Elig_MatchAll_Ct-1),BA1429=0),AE1429,0)</f>
        <v>0</v>
      </c>
    </row>
    <row r="1430" spans="2:88" ht="10.15" customHeight="1" x14ac:dyDescent="0.25">
      <c r="B1430" s="1554" t="s">
        <v>2818</v>
      </c>
      <c r="C1430" s="1554" t="str">
        <f t="shared" si="500"/>
        <v xml:space="preserve">  OO</v>
      </c>
      <c r="D1430" s="1554" t="s">
        <v>2764</v>
      </c>
      <c r="E1430" s="1554" t="s">
        <v>167</v>
      </c>
      <c r="F1430" s="1554" t="s">
        <v>2765</v>
      </c>
      <c r="G1430" s="1554" t="s">
        <v>2810</v>
      </c>
      <c r="H1430" s="1554" t="s">
        <v>2767</v>
      </c>
      <c r="I1430" s="1555" t="s">
        <v>34</v>
      </c>
      <c r="J1430" s="1555" t="s">
        <v>1311</v>
      </c>
      <c r="K1430" s="1555" t="s">
        <v>3023</v>
      </c>
      <c r="L1430" s="1554" t="s">
        <v>3920</v>
      </c>
      <c r="M1430" s="1554" t="s">
        <v>4203</v>
      </c>
      <c r="N1430" s="1554" t="s">
        <v>2685</v>
      </c>
      <c r="O1430" s="1554" t="s">
        <v>310</v>
      </c>
      <c r="P1430" s="1554" t="s">
        <v>291</v>
      </c>
      <c r="Q1430" s="1554" t="s">
        <v>294</v>
      </c>
      <c r="R1430" s="1554">
        <v>150000</v>
      </c>
      <c r="S1430" s="1554">
        <v>1000000</v>
      </c>
      <c r="T1430" s="1554">
        <v>0</v>
      </c>
      <c r="U1430" s="1554">
        <v>0</v>
      </c>
      <c r="V1430" s="1554">
        <v>0</v>
      </c>
      <c r="W1430" s="1554">
        <v>50</v>
      </c>
      <c r="X1430" s="1554">
        <v>0</v>
      </c>
      <c r="Y1430" s="1554">
        <v>0</v>
      </c>
      <c r="Z1430" s="1556">
        <v>660</v>
      </c>
      <c r="AA1430" s="1556">
        <v>679</v>
      </c>
      <c r="AB1430" s="1556">
        <v>3</v>
      </c>
      <c r="AC1430" s="1556">
        <v>999999</v>
      </c>
      <c r="AD1430" s="1554">
        <v>0</v>
      </c>
      <c r="AE1430" s="1557">
        <v>80</v>
      </c>
      <c r="AF1430" s="170">
        <v>0</v>
      </c>
      <c r="AG1430" s="171">
        <v>1</v>
      </c>
      <c r="AH1430" s="171">
        <v>1</v>
      </c>
      <c r="AI1430" s="171">
        <v>1</v>
      </c>
      <c r="AJ1430" s="171">
        <v>1</v>
      </c>
      <c r="AK1430" s="171">
        <v>1</v>
      </c>
      <c r="AL1430" s="171">
        <v>0</v>
      </c>
      <c r="AM1430" s="171">
        <v>1</v>
      </c>
      <c r="AN1430" s="171">
        <v>1</v>
      </c>
      <c r="AO1430" s="171">
        <v>1</v>
      </c>
      <c r="AP1430" s="171">
        <v>1</v>
      </c>
      <c r="AQ1430" s="171">
        <v>1</v>
      </c>
      <c r="AR1430" s="171">
        <v>1</v>
      </c>
      <c r="AS1430" s="171">
        <v>1</v>
      </c>
      <c r="AT1430" s="171">
        <v>1</v>
      </c>
      <c r="AU1430" s="171">
        <f t="shared" si="488"/>
        <v>1</v>
      </c>
      <c r="AV1430" s="171">
        <f t="shared" si="489"/>
        <v>0</v>
      </c>
      <c r="AW1430" s="171">
        <f t="shared" si="490"/>
        <v>1</v>
      </c>
      <c r="AX1430" s="171">
        <f t="shared" si="499"/>
        <v>1</v>
      </c>
      <c r="AY1430" s="171">
        <f t="shared" si="491"/>
        <v>0</v>
      </c>
      <c r="AZ1430" s="171">
        <f t="shared" si="492"/>
        <v>1</v>
      </c>
      <c r="BA1430" s="172">
        <f t="shared" si="493"/>
        <v>1</v>
      </c>
      <c r="BB1430" s="175">
        <f t="shared" si="495"/>
        <v>18</v>
      </c>
      <c r="BC1430" s="176">
        <f t="shared" si="496"/>
        <v>17</v>
      </c>
      <c r="BD1430" s="176">
        <f t="shared" si="497"/>
        <v>18</v>
      </c>
      <c r="BE1430" s="240" t="str">
        <f t="shared" si="487"/>
        <v/>
      </c>
      <c r="BF1430" s="990"/>
      <c r="BG1430" s="990"/>
      <c r="BH1430" s="991">
        <f>IF(AND(Input_Product=Elig!$C1430,Elig_MatchAll_Ct&lt;22,$BC1430=(Elig_MatchAll_Ct-1),AF1430=0),C1430,0)</f>
        <v>0</v>
      </c>
      <c r="BI1430" s="991">
        <f>IF(AND(Input_Product=Elig!$C1430,Elig_MatchAll_Ct&lt;22,$BC1430=(Elig_MatchAll_Ct-1),AG1430=0),D1430,0)</f>
        <v>0</v>
      </c>
      <c r="BJ1430" s="991">
        <f>IF(AND(Input_Product=Elig!$C1430,Elig_MatchAll_Ct&lt;22,$BC1430=(Elig_MatchAll_Ct-1),AH1430=0),E1430,0)</f>
        <v>0</v>
      </c>
      <c r="BK1430" s="991">
        <f>IF(AND(Input_Product=Elig!$C1430,Elig_MatchAll_Ct&lt;22,$BC1430=(Elig_MatchAll_Ct-1),AI1430=0),F1430,0)</f>
        <v>0</v>
      </c>
      <c r="BL1430" s="991">
        <f>IF(AND(Input_Product=Elig!$C1430,Elig_MatchAll_Ct&lt;22,$BC1430=(Elig_MatchAll_Ct-1),AJ1430=0),G1430,0)</f>
        <v>0</v>
      </c>
      <c r="BM1430" s="991">
        <f>IF(AND(Input_Product=Elig!$C1430,Elig_MatchAll_Ct&lt;22,$BC1430=(Elig_MatchAll_Ct-1),AK1430=0),H1430,0)</f>
        <v>0</v>
      </c>
      <c r="BN1430" s="991">
        <f>IF(AND(Input_Product=Elig!$C1430,Elig_MatchAll_Ct&lt;22,$BC1430=(Elig_MatchAll_Ct-1),AL1430=0),I1430,0)</f>
        <v>0</v>
      </c>
      <c r="BO1430" s="991">
        <f>IF(AND(Input_Product=Elig!$C1430,Elig_MatchAll_Ct&lt;22,$BC1430=(Elig_MatchAll_Ct-1),AM1430=0),J1430,0)</f>
        <v>0</v>
      </c>
      <c r="BP1430" s="991">
        <f>IF(AND(Input_Product=Elig!$C1430,Elig_MatchAll_Ct&lt;22,$BC1430=(Elig_MatchAll_Ct-1),AN1430=0),K1430,0)</f>
        <v>0</v>
      </c>
      <c r="BQ1430" s="991">
        <f>IF(AND(Input_Product=Elig!$C1430,Elig_MatchAll_Ct&lt;22,$BC1430=(Elig_MatchAll_Ct-1),AP1430=0),L1430,0)</f>
        <v>0</v>
      </c>
      <c r="BR1430" s="991">
        <f>IF(AND(Input_Product=Elig!$C1430,Elig_MatchAll_Ct&lt;22,$BC1430=(Elig_MatchAll_Ct-1),AO1430=0),M1430,0)</f>
        <v>0</v>
      </c>
      <c r="BS1430" s="991">
        <f>IF(AND(Input_Product=Elig!$C1430,Elig_MatchAll_Ct&lt;22,$BC1430=(Elig_MatchAll_Ct-1),AQ1430=0),N1430,0)</f>
        <v>0</v>
      </c>
      <c r="BT1430" s="991">
        <f>IF(AND(Input_Product=Elig!$C1430,Elig_MatchAll_Ct&lt;22,$BC1430=(Elig_MatchAll_Ct-1),AR1430=0),O1430,0)</f>
        <v>0</v>
      </c>
      <c r="BU1430" s="991">
        <f>IF(AND(Input_Product=Elig!$C1430,Elig_MatchAll_Ct&lt;22,$BC1430=(Elig_MatchAll_Ct-1),AS1430=0),P1430,0)</f>
        <v>0</v>
      </c>
      <c r="BV1430" s="992">
        <f>IF(AND(Input_Product=Elig!$C1430,Elig_MatchAll_Ct&lt;22,$BC1430=(Elig_MatchAll_Ct-1),AT1430=0),Q1430,0)</f>
        <v>0</v>
      </c>
      <c r="BW1430" s="993">
        <f>IF(AND(Input_Product=Elig!$C1430,Elig_MatchAll_Ct&lt;22,$BC1430=(Elig_MatchAll_Ct-1),AU1430=0),R1430,0)</f>
        <v>0</v>
      </c>
      <c r="BX1430" s="994">
        <f>IF(AND(Input_Product=Elig!$C1430,Elig_MatchAll_Ct&lt;22,$BC1430=(Elig_MatchAll_Ct-1),AU1430=0),S1430,0)</f>
        <v>0</v>
      </c>
      <c r="BY1430" s="993">
        <f>IF(AND(Input_Product=Elig!$C1430,Elig_MatchAll_Ct&lt;22,$BC1430=(Elig_MatchAll_Ct-1),AV1430=0),T1430,0)</f>
        <v>0</v>
      </c>
      <c r="BZ1430" s="994">
        <f>IF(AND(Input_Product=Elig!$C1430,Elig_MatchAll_Ct&lt;22,$BC1430=(Elig_MatchAll_Ct-1),AV1430=0),U1430,0)</f>
        <v>0</v>
      </c>
      <c r="CA1430" s="993">
        <f>IF(AND(Input_Product=Elig!$C1430,Elig_MatchAll_Ct&lt;22,$BC1430=(Elig_MatchAll_Ct-1),AW1430=0),V1430,0)</f>
        <v>0</v>
      </c>
      <c r="CB1430" s="994">
        <f>IF(AND(Input_Product=Elig!$C1430,Elig_MatchAll_Ct&lt;22,$BC1430=(Elig_MatchAll_Ct-1),AW1430=0),W1430,0)</f>
        <v>0</v>
      </c>
      <c r="CC1430" s="993">
        <f>IF(AND(Input_Product=Elig!$C1430,Elig_MatchAll_Ct&lt;22,$BC1430=(Elig_MatchAll_Ct-1),AX1430=0),X1430,0)</f>
        <v>0</v>
      </c>
      <c r="CD1430" s="994">
        <f>IF(AND(Input_Product=Elig!$C1430,Elig_MatchAll_Ct&lt;22,$BC1430=(Elig_MatchAll_Ct-1),AX1430=0),Y1430,0)</f>
        <v>0</v>
      </c>
      <c r="CE1430" s="993">
        <f>IF(AND(Input_LTV&lt;=AE1430,Input_Product=Elig!$C1430,Elig_MatchAll_Ct&lt;22,$BC1430=(Elig_MatchAll_Ct-1),AY1430=0),Z1430,0)</f>
        <v>0</v>
      </c>
      <c r="CF1430" s="994">
        <f>IF(AND(Input_LTV&lt;=AE1430,Input_Product=Elig!$C1430,Elig_MatchAll_Ct&lt;22,$BC1430=(Elig_MatchAll_Ct-1),AY1430=0),AA1430,0)</f>
        <v>0</v>
      </c>
      <c r="CG1430" s="993">
        <f>IF(AND(Input_Product=Elig!$C1430,Elig_MatchAll_Ct&lt;22,$BC1430=(Elig_MatchAll_Ct-1),AZ1430=0),AB1430,0)</f>
        <v>0</v>
      </c>
      <c r="CH1430" s="994">
        <f>IF(AND(Input_Product=Elig!$C1430,Elig_MatchAll_Ct&lt;22,$BC1430=(Elig_MatchAll_Ct-1),AZ1430=0),AC1430,0)</f>
        <v>0</v>
      </c>
      <c r="CI1430" s="993">
        <f>IF(AND(Input_Product=Elig!$C1430,Elig_MatchAll_Ct&lt;22,$BC1430=(Elig_MatchAll_Ct-1),BA1430=0),AD1430,0)</f>
        <v>0</v>
      </c>
      <c r="CJ1430" s="994">
        <f>IF(AND(Input_Product=Elig!$C1430,Elig_MatchAll_Ct&lt;22,$BC1430=(Elig_MatchAll_Ct-1),BA1430=0),AE1430,0)</f>
        <v>0</v>
      </c>
    </row>
    <row r="1431" spans="2:88" ht="10.15" customHeight="1" x14ac:dyDescent="0.25">
      <c r="B1431" s="1554" t="s">
        <v>2819</v>
      </c>
      <c r="C1431" s="1554" t="str">
        <f t="shared" si="500"/>
        <v xml:space="preserve">  OO</v>
      </c>
      <c r="D1431" s="1554" t="s">
        <v>2764</v>
      </c>
      <c r="E1431" s="1554" t="s">
        <v>167</v>
      </c>
      <c r="F1431" s="1554" t="s">
        <v>2765</v>
      </c>
      <c r="G1431" s="1554" t="s">
        <v>2810</v>
      </c>
      <c r="H1431" s="1554" t="s">
        <v>2767</v>
      </c>
      <c r="I1431" s="1555" t="s">
        <v>34</v>
      </c>
      <c r="J1431" s="1555" t="s">
        <v>1311</v>
      </c>
      <c r="K1431" s="1555" t="s">
        <v>3023</v>
      </c>
      <c r="L1431" s="1554" t="s">
        <v>3920</v>
      </c>
      <c r="M1431" s="1554" t="s">
        <v>4203</v>
      </c>
      <c r="N1431" s="1554" t="s">
        <v>2685</v>
      </c>
      <c r="O1431" s="1554" t="s">
        <v>310</v>
      </c>
      <c r="P1431" s="1554" t="s">
        <v>291</v>
      </c>
      <c r="Q1431" s="1554" t="s">
        <v>294</v>
      </c>
      <c r="R1431" s="1554">
        <v>1000000.01</v>
      </c>
      <c r="S1431" s="1554">
        <v>1500000</v>
      </c>
      <c r="T1431" s="1554">
        <v>0</v>
      </c>
      <c r="U1431" s="1554">
        <v>0</v>
      </c>
      <c r="V1431" s="1554">
        <v>0</v>
      </c>
      <c r="W1431" s="1554">
        <v>50</v>
      </c>
      <c r="X1431" s="1554">
        <v>0</v>
      </c>
      <c r="Y1431" s="1554">
        <v>0</v>
      </c>
      <c r="Z1431" s="1556">
        <v>660</v>
      </c>
      <c r="AA1431" s="1556">
        <v>679</v>
      </c>
      <c r="AB1431" s="1556">
        <v>3</v>
      </c>
      <c r="AC1431" s="1556">
        <v>999999</v>
      </c>
      <c r="AD1431" s="1554">
        <v>0</v>
      </c>
      <c r="AE1431" s="1557">
        <v>80</v>
      </c>
      <c r="AF1431" s="170">
        <v>0</v>
      </c>
      <c r="AG1431" s="171">
        <v>1</v>
      </c>
      <c r="AH1431" s="171">
        <v>1</v>
      </c>
      <c r="AI1431" s="171">
        <v>1</v>
      </c>
      <c r="AJ1431" s="171">
        <v>1</v>
      </c>
      <c r="AK1431" s="171">
        <v>1</v>
      </c>
      <c r="AL1431" s="171">
        <v>0</v>
      </c>
      <c r="AM1431" s="171">
        <v>1</v>
      </c>
      <c r="AN1431" s="171">
        <v>1</v>
      </c>
      <c r="AO1431" s="171">
        <v>1</v>
      </c>
      <c r="AP1431" s="171">
        <v>1</v>
      </c>
      <c r="AQ1431" s="171">
        <v>1</v>
      </c>
      <c r="AR1431" s="171">
        <v>1</v>
      </c>
      <c r="AS1431" s="171">
        <v>1</v>
      </c>
      <c r="AT1431" s="171">
        <v>1</v>
      </c>
      <c r="AU1431" s="171">
        <f t="shared" si="488"/>
        <v>0</v>
      </c>
      <c r="AV1431" s="171">
        <f t="shared" si="489"/>
        <v>0</v>
      </c>
      <c r="AW1431" s="171">
        <f t="shared" si="490"/>
        <v>1</v>
      </c>
      <c r="AX1431" s="171">
        <f t="shared" si="499"/>
        <v>1</v>
      </c>
      <c r="AY1431" s="171">
        <f t="shared" si="491"/>
        <v>0</v>
      </c>
      <c r="AZ1431" s="171">
        <f t="shared" si="492"/>
        <v>1</v>
      </c>
      <c r="BA1431" s="172">
        <f t="shared" si="493"/>
        <v>1</v>
      </c>
      <c r="BB1431" s="175">
        <f t="shared" si="495"/>
        <v>17</v>
      </c>
      <c r="BC1431" s="176">
        <f t="shared" si="496"/>
        <v>16</v>
      </c>
      <c r="BD1431" s="176">
        <f t="shared" si="497"/>
        <v>17</v>
      </c>
      <c r="BE1431" s="240" t="str">
        <f t="shared" si="487"/>
        <v/>
      </c>
      <c r="BF1431" s="990"/>
      <c r="BG1431" s="990"/>
      <c r="BH1431" s="991">
        <f>IF(AND(Input_Product=Elig!$C1431,Elig_MatchAll_Ct&lt;22,$BC1431=(Elig_MatchAll_Ct-1),AF1431=0),C1431,0)</f>
        <v>0</v>
      </c>
      <c r="BI1431" s="991">
        <f>IF(AND(Input_Product=Elig!$C1431,Elig_MatchAll_Ct&lt;22,$BC1431=(Elig_MatchAll_Ct-1),AG1431=0),D1431,0)</f>
        <v>0</v>
      </c>
      <c r="BJ1431" s="991">
        <f>IF(AND(Input_Product=Elig!$C1431,Elig_MatchAll_Ct&lt;22,$BC1431=(Elig_MatchAll_Ct-1),AH1431=0),E1431,0)</f>
        <v>0</v>
      </c>
      <c r="BK1431" s="991">
        <f>IF(AND(Input_Product=Elig!$C1431,Elig_MatchAll_Ct&lt;22,$BC1431=(Elig_MatchAll_Ct-1),AI1431=0),F1431,0)</f>
        <v>0</v>
      </c>
      <c r="BL1431" s="991">
        <f>IF(AND(Input_Product=Elig!$C1431,Elig_MatchAll_Ct&lt;22,$BC1431=(Elig_MatchAll_Ct-1),AJ1431=0),G1431,0)</f>
        <v>0</v>
      </c>
      <c r="BM1431" s="991">
        <f>IF(AND(Input_Product=Elig!$C1431,Elig_MatchAll_Ct&lt;22,$BC1431=(Elig_MatchAll_Ct-1),AK1431=0),H1431,0)</f>
        <v>0</v>
      </c>
      <c r="BN1431" s="991">
        <f>IF(AND(Input_Product=Elig!$C1431,Elig_MatchAll_Ct&lt;22,$BC1431=(Elig_MatchAll_Ct-1),AL1431=0),I1431,0)</f>
        <v>0</v>
      </c>
      <c r="BO1431" s="991">
        <f>IF(AND(Input_Product=Elig!$C1431,Elig_MatchAll_Ct&lt;22,$BC1431=(Elig_MatchAll_Ct-1),AM1431=0),J1431,0)</f>
        <v>0</v>
      </c>
      <c r="BP1431" s="991">
        <f>IF(AND(Input_Product=Elig!$C1431,Elig_MatchAll_Ct&lt;22,$BC1431=(Elig_MatchAll_Ct-1),AN1431=0),K1431,0)</f>
        <v>0</v>
      </c>
      <c r="BQ1431" s="991">
        <f>IF(AND(Input_Product=Elig!$C1431,Elig_MatchAll_Ct&lt;22,$BC1431=(Elig_MatchAll_Ct-1),AP1431=0),L1431,0)</f>
        <v>0</v>
      </c>
      <c r="BR1431" s="991">
        <f>IF(AND(Input_Product=Elig!$C1431,Elig_MatchAll_Ct&lt;22,$BC1431=(Elig_MatchAll_Ct-1),AO1431=0),M1431,0)</f>
        <v>0</v>
      </c>
      <c r="BS1431" s="991">
        <f>IF(AND(Input_Product=Elig!$C1431,Elig_MatchAll_Ct&lt;22,$BC1431=(Elig_MatchAll_Ct-1),AQ1431=0),N1431,0)</f>
        <v>0</v>
      </c>
      <c r="BT1431" s="991">
        <f>IF(AND(Input_Product=Elig!$C1431,Elig_MatchAll_Ct&lt;22,$BC1431=(Elig_MatchAll_Ct-1),AR1431=0),O1431,0)</f>
        <v>0</v>
      </c>
      <c r="BU1431" s="991">
        <f>IF(AND(Input_Product=Elig!$C1431,Elig_MatchAll_Ct&lt;22,$BC1431=(Elig_MatchAll_Ct-1),AS1431=0),P1431,0)</f>
        <v>0</v>
      </c>
      <c r="BV1431" s="992">
        <f>IF(AND(Input_Product=Elig!$C1431,Elig_MatchAll_Ct&lt;22,$BC1431=(Elig_MatchAll_Ct-1),AT1431=0),Q1431,0)</f>
        <v>0</v>
      </c>
      <c r="BW1431" s="993">
        <f>IF(AND(Input_Product=Elig!$C1431,Elig_MatchAll_Ct&lt;22,$BC1431=(Elig_MatchAll_Ct-1),AU1431=0),R1431,0)</f>
        <v>0</v>
      </c>
      <c r="BX1431" s="994">
        <f>IF(AND(Input_Product=Elig!$C1431,Elig_MatchAll_Ct&lt;22,$BC1431=(Elig_MatchAll_Ct-1),AU1431=0),S1431,0)</f>
        <v>0</v>
      </c>
      <c r="BY1431" s="993">
        <f>IF(AND(Input_Product=Elig!$C1431,Elig_MatchAll_Ct&lt;22,$BC1431=(Elig_MatchAll_Ct-1),AV1431=0),T1431,0)</f>
        <v>0</v>
      </c>
      <c r="BZ1431" s="994">
        <f>IF(AND(Input_Product=Elig!$C1431,Elig_MatchAll_Ct&lt;22,$BC1431=(Elig_MatchAll_Ct-1),AV1431=0),U1431,0)</f>
        <v>0</v>
      </c>
      <c r="CA1431" s="993">
        <f>IF(AND(Input_Product=Elig!$C1431,Elig_MatchAll_Ct&lt;22,$BC1431=(Elig_MatchAll_Ct-1),AW1431=0),V1431,0)</f>
        <v>0</v>
      </c>
      <c r="CB1431" s="994">
        <f>IF(AND(Input_Product=Elig!$C1431,Elig_MatchAll_Ct&lt;22,$BC1431=(Elig_MatchAll_Ct-1),AW1431=0),W1431,0)</f>
        <v>0</v>
      </c>
      <c r="CC1431" s="993">
        <f>IF(AND(Input_Product=Elig!$C1431,Elig_MatchAll_Ct&lt;22,$BC1431=(Elig_MatchAll_Ct-1),AX1431=0),X1431,0)</f>
        <v>0</v>
      </c>
      <c r="CD1431" s="994">
        <f>IF(AND(Input_Product=Elig!$C1431,Elig_MatchAll_Ct&lt;22,$BC1431=(Elig_MatchAll_Ct-1),AX1431=0),Y1431,0)</f>
        <v>0</v>
      </c>
      <c r="CE1431" s="993">
        <f>IF(AND(Input_LTV&lt;=AE1431,Input_Product=Elig!$C1431,Elig_MatchAll_Ct&lt;22,$BC1431=(Elig_MatchAll_Ct-1),AY1431=0),Z1431,0)</f>
        <v>0</v>
      </c>
      <c r="CF1431" s="994">
        <f>IF(AND(Input_LTV&lt;=AE1431,Input_Product=Elig!$C1431,Elig_MatchAll_Ct&lt;22,$BC1431=(Elig_MatchAll_Ct-1),AY1431=0),AA1431,0)</f>
        <v>0</v>
      </c>
      <c r="CG1431" s="993">
        <f>IF(AND(Input_Product=Elig!$C1431,Elig_MatchAll_Ct&lt;22,$BC1431=(Elig_MatchAll_Ct-1),AZ1431=0),AB1431,0)</f>
        <v>0</v>
      </c>
      <c r="CH1431" s="994">
        <f>IF(AND(Input_Product=Elig!$C1431,Elig_MatchAll_Ct&lt;22,$BC1431=(Elig_MatchAll_Ct-1),AZ1431=0),AC1431,0)</f>
        <v>0</v>
      </c>
      <c r="CI1431" s="993">
        <f>IF(AND(Input_Product=Elig!$C1431,Elig_MatchAll_Ct&lt;22,$BC1431=(Elig_MatchAll_Ct-1),BA1431=0),AD1431,0)</f>
        <v>0</v>
      </c>
      <c r="CJ1431" s="994">
        <f>IF(AND(Input_Product=Elig!$C1431,Elig_MatchAll_Ct&lt;22,$BC1431=(Elig_MatchAll_Ct-1),BA1431=0),AE1431,0)</f>
        <v>0</v>
      </c>
    </row>
    <row r="1432" spans="2:88" ht="10.15" customHeight="1" x14ac:dyDescent="0.25">
      <c r="B1432" s="1554" t="s">
        <v>2820</v>
      </c>
      <c r="C1432" s="1554" t="str">
        <f t="shared" si="500"/>
        <v xml:space="preserve">  OO</v>
      </c>
      <c r="D1432" s="1554" t="s">
        <v>2764</v>
      </c>
      <c r="E1432" s="1554" t="s">
        <v>167</v>
      </c>
      <c r="F1432" s="1554" t="s">
        <v>2765</v>
      </c>
      <c r="G1432" s="1554" t="s">
        <v>2810</v>
      </c>
      <c r="H1432" s="1554" t="s">
        <v>2767</v>
      </c>
      <c r="I1432" s="1555" t="s">
        <v>34</v>
      </c>
      <c r="J1432" s="1555" t="s">
        <v>1311</v>
      </c>
      <c r="K1432" s="1555" t="s">
        <v>3023</v>
      </c>
      <c r="L1432" s="1554" t="s">
        <v>3920</v>
      </c>
      <c r="M1432" s="1554" t="s">
        <v>4203</v>
      </c>
      <c r="N1432" s="1554" t="s">
        <v>2685</v>
      </c>
      <c r="O1432" s="1554" t="s">
        <v>310</v>
      </c>
      <c r="P1432" s="1554" t="s">
        <v>291</v>
      </c>
      <c r="Q1432" s="1554" t="s">
        <v>294</v>
      </c>
      <c r="R1432" s="1554">
        <v>1500000.01</v>
      </c>
      <c r="S1432" s="1554">
        <v>2000000</v>
      </c>
      <c r="T1432" s="1554">
        <v>0</v>
      </c>
      <c r="U1432" s="1554">
        <v>0</v>
      </c>
      <c r="V1432" s="1554">
        <v>0</v>
      </c>
      <c r="W1432" s="1554">
        <v>50</v>
      </c>
      <c r="X1432" s="1554">
        <v>0</v>
      </c>
      <c r="Y1432" s="1554">
        <v>0</v>
      </c>
      <c r="Z1432" s="1556">
        <v>660</v>
      </c>
      <c r="AA1432" s="1556">
        <v>679</v>
      </c>
      <c r="AB1432" s="1556">
        <v>3</v>
      </c>
      <c r="AC1432" s="1556">
        <v>999999</v>
      </c>
      <c r="AD1432" s="1554">
        <v>0</v>
      </c>
      <c r="AE1432" s="1557">
        <v>70</v>
      </c>
      <c r="AF1432" s="170">
        <v>0</v>
      </c>
      <c r="AG1432" s="171">
        <v>1</v>
      </c>
      <c r="AH1432" s="171">
        <v>1</v>
      </c>
      <c r="AI1432" s="171">
        <v>1</v>
      </c>
      <c r="AJ1432" s="171">
        <v>1</v>
      </c>
      <c r="AK1432" s="171">
        <v>1</v>
      </c>
      <c r="AL1432" s="171">
        <v>0</v>
      </c>
      <c r="AM1432" s="171">
        <v>1</v>
      </c>
      <c r="AN1432" s="171">
        <v>1</v>
      </c>
      <c r="AO1432" s="171">
        <v>1</v>
      </c>
      <c r="AP1432" s="171">
        <v>1</v>
      </c>
      <c r="AQ1432" s="171">
        <v>1</v>
      </c>
      <c r="AR1432" s="171">
        <v>1</v>
      </c>
      <c r="AS1432" s="171">
        <v>1</v>
      </c>
      <c r="AT1432" s="171">
        <v>1</v>
      </c>
      <c r="AU1432" s="171">
        <f t="shared" si="488"/>
        <v>0</v>
      </c>
      <c r="AV1432" s="171">
        <f t="shared" si="489"/>
        <v>0</v>
      </c>
      <c r="AW1432" s="171">
        <f t="shared" si="490"/>
        <v>1</v>
      </c>
      <c r="AX1432" s="171">
        <f t="shared" si="499"/>
        <v>1</v>
      </c>
      <c r="AY1432" s="171">
        <f t="shared" si="491"/>
        <v>0</v>
      </c>
      <c r="AZ1432" s="171">
        <f t="shared" si="492"/>
        <v>1</v>
      </c>
      <c r="BA1432" s="172">
        <f t="shared" si="493"/>
        <v>1</v>
      </c>
      <c r="BB1432" s="175">
        <f t="shared" si="495"/>
        <v>17</v>
      </c>
      <c r="BC1432" s="176">
        <f t="shared" si="496"/>
        <v>16</v>
      </c>
      <c r="BD1432" s="176">
        <f t="shared" si="497"/>
        <v>17</v>
      </c>
      <c r="BE1432" s="240" t="str">
        <f t="shared" si="487"/>
        <v/>
      </c>
      <c r="BF1432" s="990"/>
      <c r="BG1432" s="990"/>
      <c r="BH1432" s="991">
        <f>IF(AND(Input_Product=Elig!$C1432,Elig_MatchAll_Ct&lt;22,$BC1432=(Elig_MatchAll_Ct-1),AF1432=0),C1432,0)</f>
        <v>0</v>
      </c>
      <c r="BI1432" s="991">
        <f>IF(AND(Input_Product=Elig!$C1432,Elig_MatchAll_Ct&lt;22,$BC1432=(Elig_MatchAll_Ct-1),AG1432=0),D1432,0)</f>
        <v>0</v>
      </c>
      <c r="BJ1432" s="991">
        <f>IF(AND(Input_Product=Elig!$C1432,Elig_MatchAll_Ct&lt;22,$BC1432=(Elig_MatchAll_Ct-1),AH1432=0),E1432,0)</f>
        <v>0</v>
      </c>
      <c r="BK1432" s="991">
        <f>IF(AND(Input_Product=Elig!$C1432,Elig_MatchAll_Ct&lt;22,$BC1432=(Elig_MatchAll_Ct-1),AI1432=0),F1432,0)</f>
        <v>0</v>
      </c>
      <c r="BL1432" s="991">
        <f>IF(AND(Input_Product=Elig!$C1432,Elig_MatchAll_Ct&lt;22,$BC1432=(Elig_MatchAll_Ct-1),AJ1432=0),G1432,0)</f>
        <v>0</v>
      </c>
      <c r="BM1432" s="991">
        <f>IF(AND(Input_Product=Elig!$C1432,Elig_MatchAll_Ct&lt;22,$BC1432=(Elig_MatchAll_Ct-1),AK1432=0),H1432,0)</f>
        <v>0</v>
      </c>
      <c r="BN1432" s="991">
        <f>IF(AND(Input_Product=Elig!$C1432,Elig_MatchAll_Ct&lt;22,$BC1432=(Elig_MatchAll_Ct-1),AL1432=0),I1432,0)</f>
        <v>0</v>
      </c>
      <c r="BO1432" s="991">
        <f>IF(AND(Input_Product=Elig!$C1432,Elig_MatchAll_Ct&lt;22,$BC1432=(Elig_MatchAll_Ct-1),AM1432=0),J1432,0)</f>
        <v>0</v>
      </c>
      <c r="BP1432" s="991">
        <f>IF(AND(Input_Product=Elig!$C1432,Elig_MatchAll_Ct&lt;22,$BC1432=(Elig_MatchAll_Ct-1),AN1432=0),K1432,0)</f>
        <v>0</v>
      </c>
      <c r="BQ1432" s="991">
        <f>IF(AND(Input_Product=Elig!$C1432,Elig_MatchAll_Ct&lt;22,$BC1432=(Elig_MatchAll_Ct-1),AP1432=0),L1432,0)</f>
        <v>0</v>
      </c>
      <c r="BR1432" s="991">
        <f>IF(AND(Input_Product=Elig!$C1432,Elig_MatchAll_Ct&lt;22,$BC1432=(Elig_MatchAll_Ct-1),AO1432=0),M1432,0)</f>
        <v>0</v>
      </c>
      <c r="BS1432" s="991">
        <f>IF(AND(Input_Product=Elig!$C1432,Elig_MatchAll_Ct&lt;22,$BC1432=(Elig_MatchAll_Ct-1),AQ1432=0),N1432,0)</f>
        <v>0</v>
      </c>
      <c r="BT1432" s="991">
        <f>IF(AND(Input_Product=Elig!$C1432,Elig_MatchAll_Ct&lt;22,$BC1432=(Elig_MatchAll_Ct-1),AR1432=0),O1432,0)</f>
        <v>0</v>
      </c>
      <c r="BU1432" s="991">
        <f>IF(AND(Input_Product=Elig!$C1432,Elig_MatchAll_Ct&lt;22,$BC1432=(Elig_MatchAll_Ct-1),AS1432=0),P1432,0)</f>
        <v>0</v>
      </c>
      <c r="BV1432" s="992">
        <f>IF(AND(Input_Product=Elig!$C1432,Elig_MatchAll_Ct&lt;22,$BC1432=(Elig_MatchAll_Ct-1),AT1432=0),Q1432,0)</f>
        <v>0</v>
      </c>
      <c r="BW1432" s="993">
        <f>IF(AND(Input_Product=Elig!$C1432,Elig_MatchAll_Ct&lt;22,$BC1432=(Elig_MatchAll_Ct-1),AU1432=0),R1432,0)</f>
        <v>0</v>
      </c>
      <c r="BX1432" s="994">
        <f>IF(AND(Input_Product=Elig!$C1432,Elig_MatchAll_Ct&lt;22,$BC1432=(Elig_MatchAll_Ct-1),AU1432=0),S1432,0)</f>
        <v>0</v>
      </c>
      <c r="BY1432" s="993">
        <f>IF(AND(Input_Product=Elig!$C1432,Elig_MatchAll_Ct&lt;22,$BC1432=(Elig_MatchAll_Ct-1),AV1432=0),T1432,0)</f>
        <v>0</v>
      </c>
      <c r="BZ1432" s="994">
        <f>IF(AND(Input_Product=Elig!$C1432,Elig_MatchAll_Ct&lt;22,$BC1432=(Elig_MatchAll_Ct-1),AV1432=0),U1432,0)</f>
        <v>0</v>
      </c>
      <c r="CA1432" s="993">
        <f>IF(AND(Input_Product=Elig!$C1432,Elig_MatchAll_Ct&lt;22,$BC1432=(Elig_MatchAll_Ct-1),AW1432=0),V1432,0)</f>
        <v>0</v>
      </c>
      <c r="CB1432" s="994">
        <f>IF(AND(Input_Product=Elig!$C1432,Elig_MatchAll_Ct&lt;22,$BC1432=(Elig_MatchAll_Ct-1),AW1432=0),W1432,0)</f>
        <v>0</v>
      </c>
      <c r="CC1432" s="993">
        <f>IF(AND(Input_Product=Elig!$C1432,Elig_MatchAll_Ct&lt;22,$BC1432=(Elig_MatchAll_Ct-1),AX1432=0),X1432,0)</f>
        <v>0</v>
      </c>
      <c r="CD1432" s="994">
        <f>IF(AND(Input_Product=Elig!$C1432,Elig_MatchAll_Ct&lt;22,$BC1432=(Elig_MatchAll_Ct-1),AX1432=0),Y1432,0)</f>
        <v>0</v>
      </c>
      <c r="CE1432" s="993">
        <f>IF(AND(Input_LTV&lt;=AE1432,Input_Product=Elig!$C1432,Elig_MatchAll_Ct&lt;22,$BC1432=(Elig_MatchAll_Ct-1),AY1432=0),Z1432,0)</f>
        <v>0</v>
      </c>
      <c r="CF1432" s="994">
        <f>IF(AND(Input_LTV&lt;=AE1432,Input_Product=Elig!$C1432,Elig_MatchAll_Ct&lt;22,$BC1432=(Elig_MatchAll_Ct-1),AY1432=0),AA1432,0)</f>
        <v>0</v>
      </c>
      <c r="CG1432" s="993">
        <f>IF(AND(Input_Product=Elig!$C1432,Elig_MatchAll_Ct&lt;22,$BC1432=(Elig_MatchAll_Ct-1),AZ1432=0),AB1432,0)</f>
        <v>0</v>
      </c>
      <c r="CH1432" s="994">
        <f>IF(AND(Input_Product=Elig!$C1432,Elig_MatchAll_Ct&lt;22,$BC1432=(Elig_MatchAll_Ct-1),AZ1432=0),AC1432,0)</f>
        <v>0</v>
      </c>
      <c r="CI1432" s="993">
        <f>IF(AND(Input_Product=Elig!$C1432,Elig_MatchAll_Ct&lt;22,$BC1432=(Elig_MatchAll_Ct-1),BA1432=0),AD1432,0)</f>
        <v>0</v>
      </c>
      <c r="CJ1432" s="994">
        <f>IF(AND(Input_Product=Elig!$C1432,Elig_MatchAll_Ct&lt;22,$BC1432=(Elig_MatchAll_Ct-1),BA1432=0),AE1432,0)</f>
        <v>0</v>
      </c>
    </row>
    <row r="1433" spans="2:88" ht="10.15" customHeight="1" x14ac:dyDescent="0.25">
      <c r="B1433" s="1554" t="s">
        <v>2821</v>
      </c>
      <c r="C1433" s="1554" t="str">
        <f t="shared" si="500"/>
        <v xml:space="preserve">  OO</v>
      </c>
      <c r="D1433" s="1554" t="s">
        <v>2764</v>
      </c>
      <c r="E1433" s="1554" t="s">
        <v>167</v>
      </c>
      <c r="F1433" s="1554" t="s">
        <v>2765</v>
      </c>
      <c r="G1433" s="1554" t="s">
        <v>2810</v>
      </c>
      <c r="H1433" s="1554" t="s">
        <v>2767</v>
      </c>
      <c r="I1433" s="1555" t="s">
        <v>34</v>
      </c>
      <c r="J1433" s="1555" t="s">
        <v>1311</v>
      </c>
      <c r="K1433" s="1555" t="s">
        <v>3023</v>
      </c>
      <c r="L1433" s="1554" t="s">
        <v>3920</v>
      </c>
      <c r="M1433" s="1554" t="s">
        <v>4203</v>
      </c>
      <c r="N1433" s="1554" t="s">
        <v>2685</v>
      </c>
      <c r="O1433" s="1554" t="s">
        <v>310</v>
      </c>
      <c r="P1433" s="1554" t="s">
        <v>291</v>
      </c>
      <c r="Q1433" s="1554" t="s">
        <v>294</v>
      </c>
      <c r="R1433" s="1554">
        <v>150000</v>
      </c>
      <c r="S1433" s="1554">
        <v>1000000</v>
      </c>
      <c r="T1433" s="1554">
        <v>0</v>
      </c>
      <c r="U1433" s="1554">
        <v>0</v>
      </c>
      <c r="V1433" s="1554">
        <v>0</v>
      </c>
      <c r="W1433" s="1554">
        <v>50</v>
      </c>
      <c r="X1433" s="1554">
        <v>0</v>
      </c>
      <c r="Y1433" s="1554">
        <v>0</v>
      </c>
      <c r="Z1433" s="1556">
        <v>640</v>
      </c>
      <c r="AA1433" s="1556">
        <v>659</v>
      </c>
      <c r="AB1433" s="1556">
        <v>3</v>
      </c>
      <c r="AC1433" s="1556">
        <v>999999</v>
      </c>
      <c r="AD1433" s="1554">
        <v>0</v>
      </c>
      <c r="AE1433" s="1557">
        <v>80</v>
      </c>
      <c r="AF1433" s="170">
        <v>0</v>
      </c>
      <c r="AG1433" s="171">
        <v>1</v>
      </c>
      <c r="AH1433" s="171">
        <v>1</v>
      </c>
      <c r="AI1433" s="171">
        <v>1</v>
      </c>
      <c r="AJ1433" s="171">
        <v>1</v>
      </c>
      <c r="AK1433" s="171">
        <v>1</v>
      </c>
      <c r="AL1433" s="171">
        <v>0</v>
      </c>
      <c r="AM1433" s="171">
        <v>1</v>
      </c>
      <c r="AN1433" s="171">
        <v>1</v>
      </c>
      <c r="AO1433" s="171">
        <v>1</v>
      </c>
      <c r="AP1433" s="171">
        <v>1</v>
      </c>
      <c r="AQ1433" s="171">
        <v>1</v>
      </c>
      <c r="AR1433" s="171">
        <v>1</v>
      </c>
      <c r="AS1433" s="171">
        <v>1</v>
      </c>
      <c r="AT1433" s="171">
        <v>1</v>
      </c>
      <c r="AU1433" s="171">
        <f t="shared" si="488"/>
        <v>1</v>
      </c>
      <c r="AV1433" s="171">
        <f t="shared" si="489"/>
        <v>0</v>
      </c>
      <c r="AW1433" s="171">
        <f t="shared" si="490"/>
        <v>1</v>
      </c>
      <c r="AX1433" s="171">
        <f t="shared" si="499"/>
        <v>1</v>
      </c>
      <c r="AY1433" s="171">
        <f t="shared" si="491"/>
        <v>0</v>
      </c>
      <c r="AZ1433" s="171">
        <f t="shared" si="492"/>
        <v>1</v>
      </c>
      <c r="BA1433" s="172">
        <f t="shared" si="493"/>
        <v>1</v>
      </c>
      <c r="BB1433" s="175">
        <f t="shared" si="495"/>
        <v>18</v>
      </c>
      <c r="BC1433" s="176">
        <f t="shared" si="496"/>
        <v>17</v>
      </c>
      <c r="BD1433" s="176">
        <f t="shared" si="497"/>
        <v>18</v>
      </c>
      <c r="BE1433" s="240" t="str">
        <f t="shared" si="487"/>
        <v/>
      </c>
      <c r="BF1433" s="990"/>
      <c r="BG1433" s="990"/>
      <c r="BH1433" s="991">
        <f>IF(AND(Input_Product=Elig!$C1433,Elig_MatchAll_Ct&lt;22,$BC1433=(Elig_MatchAll_Ct-1),AF1433=0),C1433,0)</f>
        <v>0</v>
      </c>
      <c r="BI1433" s="991">
        <f>IF(AND(Input_Product=Elig!$C1433,Elig_MatchAll_Ct&lt;22,$BC1433=(Elig_MatchAll_Ct-1),AG1433=0),D1433,0)</f>
        <v>0</v>
      </c>
      <c r="BJ1433" s="991">
        <f>IF(AND(Input_Product=Elig!$C1433,Elig_MatchAll_Ct&lt;22,$BC1433=(Elig_MatchAll_Ct-1),AH1433=0),E1433,0)</f>
        <v>0</v>
      </c>
      <c r="BK1433" s="991">
        <f>IF(AND(Input_Product=Elig!$C1433,Elig_MatchAll_Ct&lt;22,$BC1433=(Elig_MatchAll_Ct-1),AI1433=0),F1433,0)</f>
        <v>0</v>
      </c>
      <c r="BL1433" s="991">
        <f>IF(AND(Input_Product=Elig!$C1433,Elig_MatchAll_Ct&lt;22,$BC1433=(Elig_MatchAll_Ct-1),AJ1433=0),G1433,0)</f>
        <v>0</v>
      </c>
      <c r="BM1433" s="991">
        <f>IF(AND(Input_Product=Elig!$C1433,Elig_MatchAll_Ct&lt;22,$BC1433=(Elig_MatchAll_Ct-1),AK1433=0),H1433,0)</f>
        <v>0</v>
      </c>
      <c r="BN1433" s="991">
        <f>IF(AND(Input_Product=Elig!$C1433,Elig_MatchAll_Ct&lt;22,$BC1433=(Elig_MatchAll_Ct-1),AL1433=0),I1433,0)</f>
        <v>0</v>
      </c>
      <c r="BO1433" s="991">
        <f>IF(AND(Input_Product=Elig!$C1433,Elig_MatchAll_Ct&lt;22,$BC1433=(Elig_MatchAll_Ct-1),AM1433=0),J1433,0)</f>
        <v>0</v>
      </c>
      <c r="BP1433" s="991">
        <f>IF(AND(Input_Product=Elig!$C1433,Elig_MatchAll_Ct&lt;22,$BC1433=(Elig_MatchAll_Ct-1),AN1433=0),K1433,0)</f>
        <v>0</v>
      </c>
      <c r="BQ1433" s="991">
        <f>IF(AND(Input_Product=Elig!$C1433,Elig_MatchAll_Ct&lt;22,$BC1433=(Elig_MatchAll_Ct-1),AP1433=0),L1433,0)</f>
        <v>0</v>
      </c>
      <c r="BR1433" s="991">
        <f>IF(AND(Input_Product=Elig!$C1433,Elig_MatchAll_Ct&lt;22,$BC1433=(Elig_MatchAll_Ct-1),AO1433=0),M1433,0)</f>
        <v>0</v>
      </c>
      <c r="BS1433" s="991">
        <f>IF(AND(Input_Product=Elig!$C1433,Elig_MatchAll_Ct&lt;22,$BC1433=(Elig_MatchAll_Ct-1),AQ1433=0),N1433,0)</f>
        <v>0</v>
      </c>
      <c r="BT1433" s="991">
        <f>IF(AND(Input_Product=Elig!$C1433,Elig_MatchAll_Ct&lt;22,$BC1433=(Elig_MatchAll_Ct-1),AR1433=0),O1433,0)</f>
        <v>0</v>
      </c>
      <c r="BU1433" s="991">
        <f>IF(AND(Input_Product=Elig!$C1433,Elig_MatchAll_Ct&lt;22,$BC1433=(Elig_MatchAll_Ct-1),AS1433=0),P1433,0)</f>
        <v>0</v>
      </c>
      <c r="BV1433" s="992">
        <f>IF(AND(Input_Product=Elig!$C1433,Elig_MatchAll_Ct&lt;22,$BC1433=(Elig_MatchAll_Ct-1),AT1433=0),Q1433,0)</f>
        <v>0</v>
      </c>
      <c r="BW1433" s="993">
        <f>IF(AND(Input_Product=Elig!$C1433,Elig_MatchAll_Ct&lt;22,$BC1433=(Elig_MatchAll_Ct-1),AU1433=0),R1433,0)</f>
        <v>0</v>
      </c>
      <c r="BX1433" s="994">
        <f>IF(AND(Input_Product=Elig!$C1433,Elig_MatchAll_Ct&lt;22,$BC1433=(Elig_MatchAll_Ct-1),AU1433=0),S1433,0)</f>
        <v>0</v>
      </c>
      <c r="BY1433" s="993">
        <f>IF(AND(Input_Product=Elig!$C1433,Elig_MatchAll_Ct&lt;22,$BC1433=(Elig_MatchAll_Ct-1),AV1433=0),T1433,0)</f>
        <v>0</v>
      </c>
      <c r="BZ1433" s="994">
        <f>IF(AND(Input_Product=Elig!$C1433,Elig_MatchAll_Ct&lt;22,$BC1433=(Elig_MatchAll_Ct-1),AV1433=0),U1433,0)</f>
        <v>0</v>
      </c>
      <c r="CA1433" s="993">
        <f>IF(AND(Input_Product=Elig!$C1433,Elig_MatchAll_Ct&lt;22,$BC1433=(Elig_MatchAll_Ct-1),AW1433=0),V1433,0)</f>
        <v>0</v>
      </c>
      <c r="CB1433" s="994">
        <f>IF(AND(Input_Product=Elig!$C1433,Elig_MatchAll_Ct&lt;22,$BC1433=(Elig_MatchAll_Ct-1),AW1433=0),W1433,0)</f>
        <v>0</v>
      </c>
      <c r="CC1433" s="993">
        <f>IF(AND(Input_Product=Elig!$C1433,Elig_MatchAll_Ct&lt;22,$BC1433=(Elig_MatchAll_Ct-1),AX1433=0),X1433,0)</f>
        <v>0</v>
      </c>
      <c r="CD1433" s="994">
        <f>IF(AND(Input_Product=Elig!$C1433,Elig_MatchAll_Ct&lt;22,$BC1433=(Elig_MatchAll_Ct-1),AX1433=0),Y1433,0)</f>
        <v>0</v>
      </c>
      <c r="CE1433" s="993">
        <f>IF(AND(Input_LTV&lt;=AE1433,Input_Product=Elig!$C1433,Elig_MatchAll_Ct&lt;22,$BC1433=(Elig_MatchAll_Ct-1),AY1433=0),Z1433,0)</f>
        <v>0</v>
      </c>
      <c r="CF1433" s="994">
        <f>IF(AND(Input_LTV&lt;=AE1433,Input_Product=Elig!$C1433,Elig_MatchAll_Ct&lt;22,$BC1433=(Elig_MatchAll_Ct-1),AY1433=0),AA1433,0)</f>
        <v>0</v>
      </c>
      <c r="CG1433" s="993">
        <f>IF(AND(Input_Product=Elig!$C1433,Elig_MatchAll_Ct&lt;22,$BC1433=(Elig_MatchAll_Ct-1),AZ1433=0),AB1433,0)</f>
        <v>0</v>
      </c>
      <c r="CH1433" s="994">
        <f>IF(AND(Input_Product=Elig!$C1433,Elig_MatchAll_Ct&lt;22,$BC1433=(Elig_MatchAll_Ct-1),AZ1433=0),AC1433,0)</f>
        <v>0</v>
      </c>
      <c r="CI1433" s="993">
        <f>IF(AND(Input_Product=Elig!$C1433,Elig_MatchAll_Ct&lt;22,$BC1433=(Elig_MatchAll_Ct-1),BA1433=0),AD1433,0)</f>
        <v>0</v>
      </c>
      <c r="CJ1433" s="994">
        <f>IF(AND(Input_Product=Elig!$C1433,Elig_MatchAll_Ct&lt;22,$BC1433=(Elig_MatchAll_Ct-1),BA1433=0),AE1433,0)</f>
        <v>0</v>
      </c>
    </row>
    <row r="1434" spans="2:88" ht="10.15" customHeight="1" x14ac:dyDescent="0.25">
      <c r="B1434" s="1554" t="s">
        <v>2822</v>
      </c>
      <c r="C1434" s="1554" t="str">
        <f t="shared" si="500"/>
        <v xml:space="preserve">  OO</v>
      </c>
      <c r="D1434" s="1554" t="s">
        <v>2764</v>
      </c>
      <c r="E1434" s="1554" t="s">
        <v>167</v>
      </c>
      <c r="F1434" s="1554" t="s">
        <v>2765</v>
      </c>
      <c r="G1434" s="1554" t="s">
        <v>2810</v>
      </c>
      <c r="H1434" s="1554" t="s">
        <v>2767</v>
      </c>
      <c r="I1434" s="1555" t="s">
        <v>34</v>
      </c>
      <c r="J1434" s="1555" t="s">
        <v>1311</v>
      </c>
      <c r="K1434" s="1555" t="s">
        <v>3023</v>
      </c>
      <c r="L1434" s="1554" t="s">
        <v>3920</v>
      </c>
      <c r="M1434" s="1554" t="s">
        <v>4203</v>
      </c>
      <c r="N1434" s="1554" t="s">
        <v>2685</v>
      </c>
      <c r="O1434" s="1554" t="s">
        <v>310</v>
      </c>
      <c r="P1434" s="1554" t="s">
        <v>291</v>
      </c>
      <c r="Q1434" s="1554" t="s">
        <v>294</v>
      </c>
      <c r="R1434" s="1554">
        <v>1000000.01</v>
      </c>
      <c r="S1434" s="1554">
        <v>1500000</v>
      </c>
      <c r="T1434" s="1554">
        <v>0</v>
      </c>
      <c r="U1434" s="1554">
        <v>0</v>
      </c>
      <c r="V1434" s="1554">
        <v>0</v>
      </c>
      <c r="W1434" s="1554">
        <v>50</v>
      </c>
      <c r="X1434" s="1554">
        <v>0</v>
      </c>
      <c r="Y1434" s="1554">
        <v>0</v>
      </c>
      <c r="Z1434" s="1556">
        <v>640</v>
      </c>
      <c r="AA1434" s="1556">
        <v>659</v>
      </c>
      <c r="AB1434" s="1556">
        <v>3</v>
      </c>
      <c r="AC1434" s="1556">
        <v>999999</v>
      </c>
      <c r="AD1434" s="1554">
        <v>0</v>
      </c>
      <c r="AE1434" s="1557">
        <v>70</v>
      </c>
      <c r="AF1434" s="170">
        <v>0</v>
      </c>
      <c r="AG1434" s="171">
        <v>1</v>
      </c>
      <c r="AH1434" s="171">
        <v>1</v>
      </c>
      <c r="AI1434" s="171">
        <v>1</v>
      </c>
      <c r="AJ1434" s="171">
        <v>1</v>
      </c>
      <c r="AK1434" s="171">
        <v>1</v>
      </c>
      <c r="AL1434" s="171">
        <v>0</v>
      </c>
      <c r="AM1434" s="171">
        <v>1</v>
      </c>
      <c r="AN1434" s="171">
        <v>1</v>
      </c>
      <c r="AO1434" s="171">
        <v>1</v>
      </c>
      <c r="AP1434" s="171">
        <v>1</v>
      </c>
      <c r="AQ1434" s="171">
        <v>1</v>
      </c>
      <c r="AR1434" s="171">
        <v>1</v>
      </c>
      <c r="AS1434" s="171">
        <v>1</v>
      </c>
      <c r="AT1434" s="171">
        <v>1</v>
      </c>
      <c r="AU1434" s="171">
        <f t="shared" si="488"/>
        <v>0</v>
      </c>
      <c r="AV1434" s="171">
        <f t="shared" si="489"/>
        <v>0</v>
      </c>
      <c r="AW1434" s="171">
        <f t="shared" si="490"/>
        <v>1</v>
      </c>
      <c r="AX1434" s="171">
        <f t="shared" si="499"/>
        <v>1</v>
      </c>
      <c r="AY1434" s="171">
        <f t="shared" si="491"/>
        <v>0</v>
      </c>
      <c r="AZ1434" s="171">
        <f t="shared" si="492"/>
        <v>1</v>
      </c>
      <c r="BA1434" s="172">
        <f t="shared" si="493"/>
        <v>1</v>
      </c>
      <c r="BB1434" s="175">
        <f t="shared" si="495"/>
        <v>17</v>
      </c>
      <c r="BC1434" s="176">
        <f t="shared" si="496"/>
        <v>16</v>
      </c>
      <c r="BD1434" s="176">
        <f t="shared" si="497"/>
        <v>17</v>
      </c>
      <c r="BE1434" s="240" t="str">
        <f t="shared" si="487"/>
        <v/>
      </c>
      <c r="BF1434" s="990"/>
      <c r="BG1434" s="990"/>
      <c r="BH1434" s="991">
        <f>IF(AND(Input_Product=Elig!$C1434,Elig_MatchAll_Ct&lt;22,$BC1434=(Elig_MatchAll_Ct-1),AF1434=0),C1434,0)</f>
        <v>0</v>
      </c>
      <c r="BI1434" s="991">
        <f>IF(AND(Input_Product=Elig!$C1434,Elig_MatchAll_Ct&lt;22,$BC1434=(Elig_MatchAll_Ct-1),AG1434=0),D1434,0)</f>
        <v>0</v>
      </c>
      <c r="BJ1434" s="991">
        <f>IF(AND(Input_Product=Elig!$C1434,Elig_MatchAll_Ct&lt;22,$BC1434=(Elig_MatchAll_Ct-1),AH1434=0),E1434,0)</f>
        <v>0</v>
      </c>
      <c r="BK1434" s="991">
        <f>IF(AND(Input_Product=Elig!$C1434,Elig_MatchAll_Ct&lt;22,$BC1434=(Elig_MatchAll_Ct-1),AI1434=0),F1434,0)</f>
        <v>0</v>
      </c>
      <c r="BL1434" s="991">
        <f>IF(AND(Input_Product=Elig!$C1434,Elig_MatchAll_Ct&lt;22,$BC1434=(Elig_MatchAll_Ct-1),AJ1434=0),G1434,0)</f>
        <v>0</v>
      </c>
      <c r="BM1434" s="991">
        <f>IF(AND(Input_Product=Elig!$C1434,Elig_MatchAll_Ct&lt;22,$BC1434=(Elig_MatchAll_Ct-1),AK1434=0),H1434,0)</f>
        <v>0</v>
      </c>
      <c r="BN1434" s="991">
        <f>IF(AND(Input_Product=Elig!$C1434,Elig_MatchAll_Ct&lt;22,$BC1434=(Elig_MatchAll_Ct-1),AL1434=0),I1434,0)</f>
        <v>0</v>
      </c>
      <c r="BO1434" s="991">
        <f>IF(AND(Input_Product=Elig!$C1434,Elig_MatchAll_Ct&lt;22,$BC1434=(Elig_MatchAll_Ct-1),AM1434=0),J1434,0)</f>
        <v>0</v>
      </c>
      <c r="BP1434" s="991">
        <f>IF(AND(Input_Product=Elig!$C1434,Elig_MatchAll_Ct&lt;22,$BC1434=(Elig_MatchAll_Ct-1),AN1434=0),K1434,0)</f>
        <v>0</v>
      </c>
      <c r="BQ1434" s="991">
        <f>IF(AND(Input_Product=Elig!$C1434,Elig_MatchAll_Ct&lt;22,$BC1434=(Elig_MatchAll_Ct-1),AP1434=0),L1434,0)</f>
        <v>0</v>
      </c>
      <c r="BR1434" s="991">
        <f>IF(AND(Input_Product=Elig!$C1434,Elig_MatchAll_Ct&lt;22,$BC1434=(Elig_MatchAll_Ct-1),AO1434=0),M1434,0)</f>
        <v>0</v>
      </c>
      <c r="BS1434" s="991">
        <f>IF(AND(Input_Product=Elig!$C1434,Elig_MatchAll_Ct&lt;22,$BC1434=(Elig_MatchAll_Ct-1),AQ1434=0),N1434,0)</f>
        <v>0</v>
      </c>
      <c r="BT1434" s="991">
        <f>IF(AND(Input_Product=Elig!$C1434,Elig_MatchAll_Ct&lt;22,$BC1434=(Elig_MatchAll_Ct-1),AR1434=0),O1434,0)</f>
        <v>0</v>
      </c>
      <c r="BU1434" s="991">
        <f>IF(AND(Input_Product=Elig!$C1434,Elig_MatchAll_Ct&lt;22,$BC1434=(Elig_MatchAll_Ct-1),AS1434=0),P1434,0)</f>
        <v>0</v>
      </c>
      <c r="BV1434" s="992">
        <f>IF(AND(Input_Product=Elig!$C1434,Elig_MatchAll_Ct&lt;22,$BC1434=(Elig_MatchAll_Ct-1),AT1434=0),Q1434,0)</f>
        <v>0</v>
      </c>
      <c r="BW1434" s="993">
        <f>IF(AND(Input_Product=Elig!$C1434,Elig_MatchAll_Ct&lt;22,$BC1434=(Elig_MatchAll_Ct-1),AU1434=0),R1434,0)</f>
        <v>0</v>
      </c>
      <c r="BX1434" s="994">
        <f>IF(AND(Input_Product=Elig!$C1434,Elig_MatchAll_Ct&lt;22,$BC1434=(Elig_MatchAll_Ct-1),AU1434=0),S1434,0)</f>
        <v>0</v>
      </c>
      <c r="BY1434" s="993">
        <f>IF(AND(Input_Product=Elig!$C1434,Elig_MatchAll_Ct&lt;22,$BC1434=(Elig_MatchAll_Ct-1),AV1434=0),T1434,0)</f>
        <v>0</v>
      </c>
      <c r="BZ1434" s="994">
        <f>IF(AND(Input_Product=Elig!$C1434,Elig_MatchAll_Ct&lt;22,$BC1434=(Elig_MatchAll_Ct-1),AV1434=0),U1434,0)</f>
        <v>0</v>
      </c>
      <c r="CA1434" s="993">
        <f>IF(AND(Input_Product=Elig!$C1434,Elig_MatchAll_Ct&lt;22,$BC1434=(Elig_MatchAll_Ct-1),AW1434=0),V1434,0)</f>
        <v>0</v>
      </c>
      <c r="CB1434" s="994">
        <f>IF(AND(Input_Product=Elig!$C1434,Elig_MatchAll_Ct&lt;22,$BC1434=(Elig_MatchAll_Ct-1),AW1434=0),W1434,0)</f>
        <v>0</v>
      </c>
      <c r="CC1434" s="993">
        <f>IF(AND(Input_Product=Elig!$C1434,Elig_MatchAll_Ct&lt;22,$BC1434=(Elig_MatchAll_Ct-1),AX1434=0),X1434,0)</f>
        <v>0</v>
      </c>
      <c r="CD1434" s="994">
        <f>IF(AND(Input_Product=Elig!$C1434,Elig_MatchAll_Ct&lt;22,$BC1434=(Elig_MatchAll_Ct-1),AX1434=0),Y1434,0)</f>
        <v>0</v>
      </c>
      <c r="CE1434" s="993">
        <f>IF(AND(Input_LTV&lt;=AE1434,Input_Product=Elig!$C1434,Elig_MatchAll_Ct&lt;22,$BC1434=(Elig_MatchAll_Ct-1),AY1434=0),Z1434,0)</f>
        <v>0</v>
      </c>
      <c r="CF1434" s="994">
        <f>IF(AND(Input_LTV&lt;=AE1434,Input_Product=Elig!$C1434,Elig_MatchAll_Ct&lt;22,$BC1434=(Elig_MatchAll_Ct-1),AY1434=0),AA1434,0)</f>
        <v>0</v>
      </c>
      <c r="CG1434" s="993">
        <f>IF(AND(Input_Product=Elig!$C1434,Elig_MatchAll_Ct&lt;22,$BC1434=(Elig_MatchAll_Ct-1),AZ1434=0),AB1434,0)</f>
        <v>0</v>
      </c>
      <c r="CH1434" s="994">
        <f>IF(AND(Input_Product=Elig!$C1434,Elig_MatchAll_Ct&lt;22,$BC1434=(Elig_MatchAll_Ct-1),AZ1434=0),AC1434,0)</f>
        <v>0</v>
      </c>
      <c r="CI1434" s="993">
        <f>IF(AND(Input_Product=Elig!$C1434,Elig_MatchAll_Ct&lt;22,$BC1434=(Elig_MatchAll_Ct-1),BA1434=0),AD1434,0)</f>
        <v>0</v>
      </c>
      <c r="CJ1434" s="994">
        <f>IF(AND(Input_Product=Elig!$C1434,Elig_MatchAll_Ct&lt;22,$BC1434=(Elig_MatchAll_Ct-1),BA1434=0),AE1434,0)</f>
        <v>0</v>
      </c>
    </row>
    <row r="1435" spans="2:88" ht="10.15" customHeight="1" x14ac:dyDescent="0.25">
      <c r="B1435" s="1554" t="s">
        <v>2823</v>
      </c>
      <c r="C1435" s="1554" t="str">
        <f t="shared" si="500"/>
        <v xml:space="preserve">  OO</v>
      </c>
      <c r="D1435" s="1554" t="s">
        <v>2764</v>
      </c>
      <c r="E1435" s="1554" t="s">
        <v>167</v>
      </c>
      <c r="F1435" s="1554" t="s">
        <v>2765</v>
      </c>
      <c r="G1435" s="1554" t="s">
        <v>2810</v>
      </c>
      <c r="H1435" s="1554" t="s">
        <v>2767</v>
      </c>
      <c r="I1435" s="1555" t="s">
        <v>34</v>
      </c>
      <c r="J1435" s="1555" t="s">
        <v>1311</v>
      </c>
      <c r="K1435" s="1555" t="s">
        <v>3023</v>
      </c>
      <c r="L1435" s="1554" t="s">
        <v>3920</v>
      </c>
      <c r="M1435" s="1554" t="s">
        <v>4203</v>
      </c>
      <c r="N1435" s="1554" t="s">
        <v>2685</v>
      </c>
      <c r="O1435" s="1554" t="s">
        <v>310</v>
      </c>
      <c r="P1435" s="1554" t="s">
        <v>291</v>
      </c>
      <c r="Q1435" s="1554" t="s">
        <v>294</v>
      </c>
      <c r="R1435" s="1554">
        <v>1500000.01</v>
      </c>
      <c r="S1435" s="1554">
        <v>2000000</v>
      </c>
      <c r="T1435" s="1554">
        <v>0</v>
      </c>
      <c r="U1435" s="1554">
        <v>0</v>
      </c>
      <c r="V1435" s="1554">
        <v>0</v>
      </c>
      <c r="W1435" s="1554">
        <v>50</v>
      </c>
      <c r="X1435" s="1554">
        <v>0</v>
      </c>
      <c r="Y1435" s="1554">
        <v>0</v>
      </c>
      <c r="Z1435" s="1556">
        <v>640</v>
      </c>
      <c r="AA1435" s="1556">
        <v>659</v>
      </c>
      <c r="AB1435" s="1556">
        <v>3</v>
      </c>
      <c r="AC1435" s="1556">
        <v>999999</v>
      </c>
      <c r="AD1435" s="1554">
        <v>0</v>
      </c>
      <c r="AE1435" s="1557">
        <v>65</v>
      </c>
      <c r="AF1435" s="170">
        <v>0</v>
      </c>
      <c r="AG1435" s="171">
        <v>1</v>
      </c>
      <c r="AH1435" s="171">
        <v>1</v>
      </c>
      <c r="AI1435" s="171">
        <v>1</v>
      </c>
      <c r="AJ1435" s="171">
        <v>1</v>
      </c>
      <c r="AK1435" s="171">
        <v>1</v>
      </c>
      <c r="AL1435" s="171">
        <v>0</v>
      </c>
      <c r="AM1435" s="171">
        <v>1</v>
      </c>
      <c r="AN1435" s="171">
        <v>1</v>
      </c>
      <c r="AO1435" s="171">
        <v>1</v>
      </c>
      <c r="AP1435" s="171">
        <v>1</v>
      </c>
      <c r="AQ1435" s="171">
        <v>1</v>
      </c>
      <c r="AR1435" s="171">
        <v>1</v>
      </c>
      <c r="AS1435" s="171">
        <v>1</v>
      </c>
      <c r="AT1435" s="171">
        <v>1</v>
      </c>
      <c r="AU1435" s="171">
        <f t="shared" si="488"/>
        <v>0</v>
      </c>
      <c r="AV1435" s="171">
        <f t="shared" si="489"/>
        <v>0</v>
      </c>
      <c r="AW1435" s="171">
        <f t="shared" si="490"/>
        <v>1</v>
      </c>
      <c r="AX1435" s="171">
        <f t="shared" si="499"/>
        <v>1</v>
      </c>
      <c r="AY1435" s="171">
        <f t="shared" si="491"/>
        <v>0</v>
      </c>
      <c r="AZ1435" s="171">
        <f t="shared" si="492"/>
        <v>1</v>
      </c>
      <c r="BA1435" s="172">
        <f t="shared" si="493"/>
        <v>1</v>
      </c>
      <c r="BB1435" s="175">
        <f t="shared" si="495"/>
        <v>17</v>
      </c>
      <c r="BC1435" s="176">
        <f t="shared" si="496"/>
        <v>16</v>
      </c>
      <c r="BD1435" s="176">
        <f t="shared" si="497"/>
        <v>17</v>
      </c>
      <c r="BE1435" s="240" t="str">
        <f t="shared" si="487"/>
        <v/>
      </c>
      <c r="BF1435" s="990"/>
      <c r="BG1435" s="990"/>
      <c r="BH1435" s="991">
        <f>IF(AND(Input_Product=Elig!$C1435,Elig_MatchAll_Ct&lt;22,$BC1435=(Elig_MatchAll_Ct-1),AF1435=0),C1435,0)</f>
        <v>0</v>
      </c>
      <c r="BI1435" s="991">
        <f>IF(AND(Input_Product=Elig!$C1435,Elig_MatchAll_Ct&lt;22,$BC1435=(Elig_MatchAll_Ct-1),AG1435=0),D1435,0)</f>
        <v>0</v>
      </c>
      <c r="BJ1435" s="991">
        <f>IF(AND(Input_Product=Elig!$C1435,Elig_MatchAll_Ct&lt;22,$BC1435=(Elig_MatchAll_Ct-1),AH1435=0),E1435,0)</f>
        <v>0</v>
      </c>
      <c r="BK1435" s="991">
        <f>IF(AND(Input_Product=Elig!$C1435,Elig_MatchAll_Ct&lt;22,$BC1435=(Elig_MatchAll_Ct-1),AI1435=0),F1435,0)</f>
        <v>0</v>
      </c>
      <c r="BL1435" s="991">
        <f>IF(AND(Input_Product=Elig!$C1435,Elig_MatchAll_Ct&lt;22,$BC1435=(Elig_MatchAll_Ct-1),AJ1435=0),G1435,0)</f>
        <v>0</v>
      </c>
      <c r="BM1435" s="991">
        <f>IF(AND(Input_Product=Elig!$C1435,Elig_MatchAll_Ct&lt;22,$BC1435=(Elig_MatchAll_Ct-1),AK1435=0),H1435,0)</f>
        <v>0</v>
      </c>
      <c r="BN1435" s="991">
        <f>IF(AND(Input_Product=Elig!$C1435,Elig_MatchAll_Ct&lt;22,$BC1435=(Elig_MatchAll_Ct-1),AL1435=0),I1435,0)</f>
        <v>0</v>
      </c>
      <c r="BO1435" s="991">
        <f>IF(AND(Input_Product=Elig!$C1435,Elig_MatchAll_Ct&lt;22,$BC1435=(Elig_MatchAll_Ct-1),AM1435=0),J1435,0)</f>
        <v>0</v>
      </c>
      <c r="BP1435" s="991">
        <f>IF(AND(Input_Product=Elig!$C1435,Elig_MatchAll_Ct&lt;22,$BC1435=(Elig_MatchAll_Ct-1),AN1435=0),K1435,0)</f>
        <v>0</v>
      </c>
      <c r="BQ1435" s="991">
        <f>IF(AND(Input_Product=Elig!$C1435,Elig_MatchAll_Ct&lt;22,$BC1435=(Elig_MatchAll_Ct-1),AP1435=0),L1435,0)</f>
        <v>0</v>
      </c>
      <c r="BR1435" s="991">
        <f>IF(AND(Input_Product=Elig!$C1435,Elig_MatchAll_Ct&lt;22,$BC1435=(Elig_MatchAll_Ct-1),AO1435=0),M1435,0)</f>
        <v>0</v>
      </c>
      <c r="BS1435" s="991">
        <f>IF(AND(Input_Product=Elig!$C1435,Elig_MatchAll_Ct&lt;22,$BC1435=(Elig_MatchAll_Ct-1),AQ1435=0),N1435,0)</f>
        <v>0</v>
      </c>
      <c r="BT1435" s="991">
        <f>IF(AND(Input_Product=Elig!$C1435,Elig_MatchAll_Ct&lt;22,$BC1435=(Elig_MatchAll_Ct-1),AR1435=0),O1435,0)</f>
        <v>0</v>
      </c>
      <c r="BU1435" s="991">
        <f>IF(AND(Input_Product=Elig!$C1435,Elig_MatchAll_Ct&lt;22,$BC1435=(Elig_MatchAll_Ct-1),AS1435=0),P1435,0)</f>
        <v>0</v>
      </c>
      <c r="BV1435" s="992">
        <f>IF(AND(Input_Product=Elig!$C1435,Elig_MatchAll_Ct&lt;22,$BC1435=(Elig_MatchAll_Ct-1),AT1435=0),Q1435,0)</f>
        <v>0</v>
      </c>
      <c r="BW1435" s="993">
        <f>IF(AND(Input_Product=Elig!$C1435,Elig_MatchAll_Ct&lt;22,$BC1435=(Elig_MatchAll_Ct-1),AU1435=0),R1435,0)</f>
        <v>0</v>
      </c>
      <c r="BX1435" s="994">
        <f>IF(AND(Input_Product=Elig!$C1435,Elig_MatchAll_Ct&lt;22,$BC1435=(Elig_MatchAll_Ct-1),AU1435=0),S1435,0)</f>
        <v>0</v>
      </c>
      <c r="BY1435" s="993">
        <f>IF(AND(Input_Product=Elig!$C1435,Elig_MatchAll_Ct&lt;22,$BC1435=(Elig_MatchAll_Ct-1),AV1435=0),T1435,0)</f>
        <v>0</v>
      </c>
      <c r="BZ1435" s="994">
        <f>IF(AND(Input_Product=Elig!$C1435,Elig_MatchAll_Ct&lt;22,$BC1435=(Elig_MatchAll_Ct-1),AV1435=0),U1435,0)</f>
        <v>0</v>
      </c>
      <c r="CA1435" s="993">
        <f>IF(AND(Input_Product=Elig!$C1435,Elig_MatchAll_Ct&lt;22,$BC1435=(Elig_MatchAll_Ct-1),AW1435=0),V1435,0)</f>
        <v>0</v>
      </c>
      <c r="CB1435" s="994">
        <f>IF(AND(Input_Product=Elig!$C1435,Elig_MatchAll_Ct&lt;22,$BC1435=(Elig_MatchAll_Ct-1),AW1435=0),W1435,0)</f>
        <v>0</v>
      </c>
      <c r="CC1435" s="993">
        <f>IF(AND(Input_Product=Elig!$C1435,Elig_MatchAll_Ct&lt;22,$BC1435=(Elig_MatchAll_Ct-1),AX1435=0),X1435,0)</f>
        <v>0</v>
      </c>
      <c r="CD1435" s="994">
        <f>IF(AND(Input_Product=Elig!$C1435,Elig_MatchAll_Ct&lt;22,$BC1435=(Elig_MatchAll_Ct-1),AX1435=0),Y1435,0)</f>
        <v>0</v>
      </c>
      <c r="CE1435" s="993">
        <f>IF(AND(Input_LTV&lt;=AE1435,Input_Product=Elig!$C1435,Elig_MatchAll_Ct&lt;22,$BC1435=(Elig_MatchAll_Ct-1),AY1435=0),Z1435,0)</f>
        <v>0</v>
      </c>
      <c r="CF1435" s="994">
        <f>IF(AND(Input_LTV&lt;=AE1435,Input_Product=Elig!$C1435,Elig_MatchAll_Ct&lt;22,$BC1435=(Elig_MatchAll_Ct-1),AY1435=0),AA1435,0)</f>
        <v>0</v>
      </c>
      <c r="CG1435" s="993">
        <f>IF(AND(Input_Product=Elig!$C1435,Elig_MatchAll_Ct&lt;22,$BC1435=(Elig_MatchAll_Ct-1),AZ1435=0),AB1435,0)</f>
        <v>0</v>
      </c>
      <c r="CH1435" s="994">
        <f>IF(AND(Input_Product=Elig!$C1435,Elig_MatchAll_Ct&lt;22,$BC1435=(Elig_MatchAll_Ct-1),AZ1435=0),AC1435,0)</f>
        <v>0</v>
      </c>
      <c r="CI1435" s="993">
        <f>IF(AND(Input_Product=Elig!$C1435,Elig_MatchAll_Ct&lt;22,$BC1435=(Elig_MatchAll_Ct-1),BA1435=0),AD1435,0)</f>
        <v>0</v>
      </c>
      <c r="CJ1435" s="994">
        <f>IF(AND(Input_Product=Elig!$C1435,Elig_MatchAll_Ct&lt;22,$BC1435=(Elig_MatchAll_Ct-1),BA1435=0),AE1435,0)</f>
        <v>0</v>
      </c>
    </row>
    <row r="1436" spans="2:88" ht="10.15" customHeight="1" x14ac:dyDescent="0.25">
      <c r="B1436" s="1554" t="s">
        <v>2824</v>
      </c>
      <c r="C1436" s="1558" t="str">
        <f t="shared" si="500"/>
        <v xml:space="preserve">  OO</v>
      </c>
      <c r="D1436" s="1558" t="s">
        <v>2764</v>
      </c>
      <c r="E1436" s="1558" t="s">
        <v>167</v>
      </c>
      <c r="F1436" s="1558" t="s">
        <v>2765</v>
      </c>
      <c r="G1436" s="1558" t="s">
        <v>2810</v>
      </c>
      <c r="H1436" s="1558" t="s">
        <v>2767</v>
      </c>
      <c r="I1436" s="1559" t="s">
        <v>34</v>
      </c>
      <c r="J1436" s="1559" t="s">
        <v>1311</v>
      </c>
      <c r="K1436" s="1559" t="s">
        <v>3023</v>
      </c>
      <c r="L1436" s="1558" t="s">
        <v>3920</v>
      </c>
      <c r="M1436" s="1558" t="s">
        <v>4203</v>
      </c>
      <c r="N1436" s="1558" t="s">
        <v>2685</v>
      </c>
      <c r="O1436" s="1558" t="s">
        <v>310</v>
      </c>
      <c r="P1436" s="1558" t="s">
        <v>291</v>
      </c>
      <c r="Q1436" s="1558" t="s">
        <v>294</v>
      </c>
      <c r="R1436" s="1558">
        <v>150000</v>
      </c>
      <c r="S1436" s="1558">
        <v>1000000</v>
      </c>
      <c r="T1436" s="1558">
        <v>0</v>
      </c>
      <c r="U1436" s="1558">
        <v>0</v>
      </c>
      <c r="V1436" s="1558">
        <v>0</v>
      </c>
      <c r="W1436" s="1558">
        <v>50</v>
      </c>
      <c r="X1436" s="1558">
        <v>0</v>
      </c>
      <c r="Y1436" s="1558">
        <v>0</v>
      </c>
      <c r="Z1436" s="1560">
        <v>620</v>
      </c>
      <c r="AA1436" s="1560">
        <v>639</v>
      </c>
      <c r="AB1436" s="1560">
        <v>3</v>
      </c>
      <c r="AC1436" s="1560">
        <v>999999</v>
      </c>
      <c r="AD1436" s="1558">
        <v>0</v>
      </c>
      <c r="AE1436" s="1561">
        <v>70</v>
      </c>
      <c r="AF1436" s="170">
        <v>0</v>
      </c>
      <c r="AG1436" s="171">
        <v>1</v>
      </c>
      <c r="AH1436" s="171">
        <v>1</v>
      </c>
      <c r="AI1436" s="171">
        <v>1</v>
      </c>
      <c r="AJ1436" s="171">
        <v>1</v>
      </c>
      <c r="AK1436" s="171">
        <v>1</v>
      </c>
      <c r="AL1436" s="171">
        <v>0</v>
      </c>
      <c r="AM1436" s="171">
        <v>1</v>
      </c>
      <c r="AN1436" s="171">
        <v>1</v>
      </c>
      <c r="AO1436" s="171">
        <v>1</v>
      </c>
      <c r="AP1436" s="171">
        <v>1</v>
      </c>
      <c r="AQ1436" s="171">
        <v>1</v>
      </c>
      <c r="AR1436" s="171">
        <v>1</v>
      </c>
      <c r="AS1436" s="171">
        <v>1</v>
      </c>
      <c r="AT1436" s="171">
        <v>1</v>
      </c>
      <c r="AU1436" s="171">
        <f t="shared" si="488"/>
        <v>1</v>
      </c>
      <c r="AV1436" s="171">
        <f t="shared" si="489"/>
        <v>0</v>
      </c>
      <c r="AW1436" s="171">
        <f t="shared" si="490"/>
        <v>1</v>
      </c>
      <c r="AX1436" s="171">
        <f t="shared" si="499"/>
        <v>1</v>
      </c>
      <c r="AY1436" s="171">
        <f t="shared" si="491"/>
        <v>0</v>
      </c>
      <c r="AZ1436" s="171">
        <f t="shared" si="492"/>
        <v>1</v>
      </c>
      <c r="BA1436" s="172">
        <f t="shared" si="493"/>
        <v>1</v>
      </c>
      <c r="BB1436" s="175">
        <f t="shared" si="495"/>
        <v>18</v>
      </c>
      <c r="BC1436" s="176">
        <f t="shared" si="496"/>
        <v>17</v>
      </c>
      <c r="BD1436" s="176">
        <f t="shared" si="497"/>
        <v>18</v>
      </c>
      <c r="BE1436" s="240" t="str">
        <f t="shared" si="487"/>
        <v/>
      </c>
      <c r="BF1436" s="990"/>
      <c r="BG1436" s="990"/>
      <c r="BH1436" s="991">
        <f>IF(AND(Input_Product=Elig!$C1436,Elig_MatchAll_Ct&lt;22,$BC1436=(Elig_MatchAll_Ct-1),AF1436=0),C1436,0)</f>
        <v>0</v>
      </c>
      <c r="BI1436" s="991">
        <f>IF(AND(Input_Product=Elig!$C1436,Elig_MatchAll_Ct&lt;22,$BC1436=(Elig_MatchAll_Ct-1),AG1436=0),D1436,0)</f>
        <v>0</v>
      </c>
      <c r="BJ1436" s="991">
        <f>IF(AND(Input_Product=Elig!$C1436,Elig_MatchAll_Ct&lt;22,$BC1436=(Elig_MatchAll_Ct-1),AH1436=0),E1436,0)</f>
        <v>0</v>
      </c>
      <c r="BK1436" s="991">
        <f>IF(AND(Input_Product=Elig!$C1436,Elig_MatchAll_Ct&lt;22,$BC1436=(Elig_MatchAll_Ct-1),AI1436=0),F1436,0)</f>
        <v>0</v>
      </c>
      <c r="BL1436" s="991">
        <f>IF(AND(Input_Product=Elig!$C1436,Elig_MatchAll_Ct&lt;22,$BC1436=(Elig_MatchAll_Ct-1),AJ1436=0),G1436,0)</f>
        <v>0</v>
      </c>
      <c r="BM1436" s="991">
        <f>IF(AND(Input_Product=Elig!$C1436,Elig_MatchAll_Ct&lt;22,$BC1436=(Elig_MatchAll_Ct-1),AK1436=0),H1436,0)</f>
        <v>0</v>
      </c>
      <c r="BN1436" s="991">
        <f>IF(AND(Input_Product=Elig!$C1436,Elig_MatchAll_Ct&lt;22,$BC1436=(Elig_MatchAll_Ct-1),AL1436=0),I1436,0)</f>
        <v>0</v>
      </c>
      <c r="BO1436" s="991">
        <f>IF(AND(Input_Product=Elig!$C1436,Elig_MatchAll_Ct&lt;22,$BC1436=(Elig_MatchAll_Ct-1),AM1436=0),J1436,0)</f>
        <v>0</v>
      </c>
      <c r="BP1436" s="991">
        <f>IF(AND(Input_Product=Elig!$C1436,Elig_MatchAll_Ct&lt;22,$BC1436=(Elig_MatchAll_Ct-1),AN1436=0),K1436,0)</f>
        <v>0</v>
      </c>
      <c r="BQ1436" s="991">
        <f>IF(AND(Input_Product=Elig!$C1436,Elig_MatchAll_Ct&lt;22,$BC1436=(Elig_MatchAll_Ct-1),AP1436=0),L1436,0)</f>
        <v>0</v>
      </c>
      <c r="BR1436" s="991">
        <f>IF(AND(Input_Product=Elig!$C1436,Elig_MatchAll_Ct&lt;22,$BC1436=(Elig_MatchAll_Ct-1),AO1436=0),M1436,0)</f>
        <v>0</v>
      </c>
      <c r="BS1436" s="991">
        <f>IF(AND(Input_Product=Elig!$C1436,Elig_MatchAll_Ct&lt;22,$BC1436=(Elig_MatchAll_Ct-1),AQ1436=0),N1436,0)</f>
        <v>0</v>
      </c>
      <c r="BT1436" s="991">
        <f>IF(AND(Input_Product=Elig!$C1436,Elig_MatchAll_Ct&lt;22,$BC1436=(Elig_MatchAll_Ct-1),AR1436=0),O1436,0)</f>
        <v>0</v>
      </c>
      <c r="BU1436" s="991">
        <f>IF(AND(Input_Product=Elig!$C1436,Elig_MatchAll_Ct&lt;22,$BC1436=(Elig_MatchAll_Ct-1),AS1436=0),P1436,0)</f>
        <v>0</v>
      </c>
      <c r="BV1436" s="992">
        <f>IF(AND(Input_Product=Elig!$C1436,Elig_MatchAll_Ct&lt;22,$BC1436=(Elig_MatchAll_Ct-1),AT1436=0),Q1436,0)</f>
        <v>0</v>
      </c>
      <c r="BW1436" s="993">
        <f>IF(AND(Input_Product=Elig!$C1436,Elig_MatchAll_Ct&lt;22,$BC1436=(Elig_MatchAll_Ct-1),AU1436=0),R1436,0)</f>
        <v>0</v>
      </c>
      <c r="BX1436" s="994">
        <f>IF(AND(Input_Product=Elig!$C1436,Elig_MatchAll_Ct&lt;22,$BC1436=(Elig_MatchAll_Ct-1),AU1436=0),S1436,0)</f>
        <v>0</v>
      </c>
      <c r="BY1436" s="993">
        <f>IF(AND(Input_Product=Elig!$C1436,Elig_MatchAll_Ct&lt;22,$BC1436=(Elig_MatchAll_Ct-1),AV1436=0),T1436,0)</f>
        <v>0</v>
      </c>
      <c r="BZ1436" s="994">
        <f>IF(AND(Input_Product=Elig!$C1436,Elig_MatchAll_Ct&lt;22,$BC1436=(Elig_MatchAll_Ct-1),AV1436=0),U1436,0)</f>
        <v>0</v>
      </c>
      <c r="CA1436" s="993">
        <f>IF(AND(Input_Product=Elig!$C1436,Elig_MatchAll_Ct&lt;22,$BC1436=(Elig_MatchAll_Ct-1),AW1436=0),V1436,0)</f>
        <v>0</v>
      </c>
      <c r="CB1436" s="994">
        <f>IF(AND(Input_Product=Elig!$C1436,Elig_MatchAll_Ct&lt;22,$BC1436=(Elig_MatchAll_Ct-1),AW1436=0),W1436,0)</f>
        <v>0</v>
      </c>
      <c r="CC1436" s="993">
        <f>IF(AND(Input_Product=Elig!$C1436,Elig_MatchAll_Ct&lt;22,$BC1436=(Elig_MatchAll_Ct-1),AX1436=0),X1436,0)</f>
        <v>0</v>
      </c>
      <c r="CD1436" s="994">
        <f>IF(AND(Input_Product=Elig!$C1436,Elig_MatchAll_Ct&lt;22,$BC1436=(Elig_MatchAll_Ct-1),AX1436=0),Y1436,0)</f>
        <v>0</v>
      </c>
      <c r="CE1436" s="993">
        <f>IF(AND(Input_LTV&lt;=AE1436,Input_Product=Elig!$C1436,Elig_MatchAll_Ct&lt;22,$BC1436=(Elig_MatchAll_Ct-1),AY1436=0),Z1436,0)</f>
        <v>0</v>
      </c>
      <c r="CF1436" s="994">
        <f>IF(AND(Input_LTV&lt;=AE1436,Input_Product=Elig!$C1436,Elig_MatchAll_Ct&lt;22,$BC1436=(Elig_MatchAll_Ct-1),AY1436=0),AA1436,0)</f>
        <v>0</v>
      </c>
      <c r="CG1436" s="993">
        <f>IF(AND(Input_Product=Elig!$C1436,Elig_MatchAll_Ct&lt;22,$BC1436=(Elig_MatchAll_Ct-1),AZ1436=0),AB1436,0)</f>
        <v>0</v>
      </c>
      <c r="CH1436" s="994">
        <f>IF(AND(Input_Product=Elig!$C1436,Elig_MatchAll_Ct&lt;22,$BC1436=(Elig_MatchAll_Ct-1),AZ1436=0),AC1436,0)</f>
        <v>0</v>
      </c>
      <c r="CI1436" s="993">
        <f>IF(AND(Input_Product=Elig!$C1436,Elig_MatchAll_Ct&lt;22,$BC1436=(Elig_MatchAll_Ct-1),BA1436=0),AD1436,0)</f>
        <v>0</v>
      </c>
      <c r="CJ1436" s="994">
        <f>IF(AND(Input_Product=Elig!$C1436,Elig_MatchAll_Ct&lt;22,$BC1436=(Elig_MatchAll_Ct-1),BA1436=0),AE1436,0)</f>
        <v>0</v>
      </c>
    </row>
    <row r="1437" spans="2:88" ht="10.15" customHeight="1" x14ac:dyDescent="0.25">
      <c r="B1437" s="1554" t="s">
        <v>2825</v>
      </c>
      <c r="C1437" s="1550" t="str">
        <f t="shared" si="500"/>
        <v xml:space="preserve">  OO</v>
      </c>
      <c r="D1437" s="1550" t="s">
        <v>2764</v>
      </c>
      <c r="E1437" s="1550" t="s">
        <v>167</v>
      </c>
      <c r="F1437" s="1550" t="s">
        <v>2765</v>
      </c>
      <c r="G1437" s="1550" t="s">
        <v>2810</v>
      </c>
      <c r="H1437" s="1550" t="s">
        <v>2767</v>
      </c>
      <c r="I1437" s="1551" t="s">
        <v>35</v>
      </c>
      <c r="J1437" s="1551" t="s">
        <v>1311</v>
      </c>
      <c r="K1437" s="1551" t="s">
        <v>3023</v>
      </c>
      <c r="L1437" s="1550" t="s">
        <v>3920</v>
      </c>
      <c r="M1437" s="1550" t="s">
        <v>4203</v>
      </c>
      <c r="N1437" s="1550" t="s">
        <v>2685</v>
      </c>
      <c r="O1437" s="1550" t="s">
        <v>310</v>
      </c>
      <c r="P1437" s="1550" t="s">
        <v>291</v>
      </c>
      <c r="Q1437" s="1550" t="s">
        <v>294</v>
      </c>
      <c r="R1437" s="1550">
        <v>150000</v>
      </c>
      <c r="S1437" s="1550">
        <v>1000000</v>
      </c>
      <c r="T1437" s="1550">
        <v>0</v>
      </c>
      <c r="U1437" s="1550">
        <v>0</v>
      </c>
      <c r="V1437" s="1550">
        <v>0</v>
      </c>
      <c r="W1437" s="1550">
        <v>50</v>
      </c>
      <c r="X1437" s="1550">
        <v>0</v>
      </c>
      <c r="Y1437" s="1550">
        <v>0</v>
      </c>
      <c r="Z1437" s="1552">
        <v>700</v>
      </c>
      <c r="AA1437" s="1552">
        <v>999</v>
      </c>
      <c r="AB1437" s="1552">
        <v>3</v>
      </c>
      <c r="AC1437" s="1552">
        <v>999999</v>
      </c>
      <c r="AD1437" s="1550">
        <v>0</v>
      </c>
      <c r="AE1437" s="1553">
        <v>80</v>
      </c>
      <c r="AF1437" s="170">
        <v>0</v>
      </c>
      <c r="AG1437" s="171">
        <v>1</v>
      </c>
      <c r="AH1437" s="171">
        <v>1</v>
      </c>
      <c r="AI1437" s="171">
        <v>1</v>
      </c>
      <c r="AJ1437" s="171">
        <v>1</v>
      </c>
      <c r="AK1437" s="171">
        <v>1</v>
      </c>
      <c r="AL1437" s="171">
        <v>0</v>
      </c>
      <c r="AM1437" s="171">
        <v>1</v>
      </c>
      <c r="AN1437" s="171">
        <v>1</v>
      </c>
      <c r="AO1437" s="171">
        <v>1</v>
      </c>
      <c r="AP1437" s="171">
        <v>1</v>
      </c>
      <c r="AQ1437" s="171">
        <v>1</v>
      </c>
      <c r="AR1437" s="171">
        <v>1</v>
      </c>
      <c r="AS1437" s="171">
        <v>1</v>
      </c>
      <c r="AT1437" s="171">
        <v>1</v>
      </c>
      <c r="AU1437" s="171">
        <f t="shared" si="488"/>
        <v>1</v>
      </c>
      <c r="AV1437" s="171">
        <f t="shared" si="489"/>
        <v>0</v>
      </c>
      <c r="AW1437" s="171">
        <f t="shared" si="490"/>
        <v>1</v>
      </c>
      <c r="AX1437" s="171">
        <f t="shared" si="499"/>
        <v>1</v>
      </c>
      <c r="AY1437" s="171">
        <f t="shared" si="491"/>
        <v>1</v>
      </c>
      <c r="AZ1437" s="171">
        <f t="shared" si="492"/>
        <v>1</v>
      </c>
      <c r="BA1437" s="172">
        <f t="shared" si="493"/>
        <v>1</v>
      </c>
      <c r="BB1437" s="175">
        <f t="shared" si="495"/>
        <v>19</v>
      </c>
      <c r="BC1437" s="176">
        <f t="shared" si="496"/>
        <v>18</v>
      </c>
      <c r="BD1437" s="176">
        <f t="shared" si="497"/>
        <v>19</v>
      </c>
      <c r="BE1437" s="240" t="str">
        <f t="shared" si="487"/>
        <v/>
      </c>
      <c r="BF1437" s="990"/>
      <c r="BG1437" s="990"/>
      <c r="BH1437" s="991">
        <f>IF(AND(Input_Product=Elig!$C1437,Elig_MatchAll_Ct&lt;22,$BC1437=(Elig_MatchAll_Ct-1),AF1437=0),C1437,0)</f>
        <v>0</v>
      </c>
      <c r="BI1437" s="991">
        <f>IF(AND(Input_Product=Elig!$C1437,Elig_MatchAll_Ct&lt;22,$BC1437=(Elig_MatchAll_Ct-1),AG1437=0),D1437,0)</f>
        <v>0</v>
      </c>
      <c r="BJ1437" s="991">
        <f>IF(AND(Input_Product=Elig!$C1437,Elig_MatchAll_Ct&lt;22,$BC1437=(Elig_MatchAll_Ct-1),AH1437=0),E1437,0)</f>
        <v>0</v>
      </c>
      <c r="BK1437" s="991">
        <f>IF(AND(Input_Product=Elig!$C1437,Elig_MatchAll_Ct&lt;22,$BC1437=(Elig_MatchAll_Ct-1),AI1437=0),F1437,0)</f>
        <v>0</v>
      </c>
      <c r="BL1437" s="991">
        <f>IF(AND(Input_Product=Elig!$C1437,Elig_MatchAll_Ct&lt;22,$BC1437=(Elig_MatchAll_Ct-1),AJ1437=0),G1437,0)</f>
        <v>0</v>
      </c>
      <c r="BM1437" s="991">
        <f>IF(AND(Input_Product=Elig!$C1437,Elig_MatchAll_Ct&lt;22,$BC1437=(Elig_MatchAll_Ct-1),AK1437=0),H1437,0)</f>
        <v>0</v>
      </c>
      <c r="BN1437" s="991">
        <f>IF(AND(Input_Product=Elig!$C1437,Elig_MatchAll_Ct&lt;22,$BC1437=(Elig_MatchAll_Ct-1),AL1437=0),I1437,0)</f>
        <v>0</v>
      </c>
      <c r="BO1437" s="991">
        <f>IF(AND(Input_Product=Elig!$C1437,Elig_MatchAll_Ct&lt;22,$BC1437=(Elig_MatchAll_Ct-1),AM1437=0),J1437,0)</f>
        <v>0</v>
      </c>
      <c r="BP1437" s="991">
        <f>IF(AND(Input_Product=Elig!$C1437,Elig_MatchAll_Ct&lt;22,$BC1437=(Elig_MatchAll_Ct-1),AN1437=0),K1437,0)</f>
        <v>0</v>
      </c>
      <c r="BQ1437" s="991">
        <f>IF(AND(Input_Product=Elig!$C1437,Elig_MatchAll_Ct&lt;22,$BC1437=(Elig_MatchAll_Ct-1),AP1437=0),L1437,0)</f>
        <v>0</v>
      </c>
      <c r="BR1437" s="991">
        <f>IF(AND(Input_Product=Elig!$C1437,Elig_MatchAll_Ct&lt;22,$BC1437=(Elig_MatchAll_Ct-1),AO1437=0),M1437,0)</f>
        <v>0</v>
      </c>
      <c r="BS1437" s="991">
        <f>IF(AND(Input_Product=Elig!$C1437,Elig_MatchAll_Ct&lt;22,$BC1437=(Elig_MatchAll_Ct-1),AQ1437=0),N1437,0)</f>
        <v>0</v>
      </c>
      <c r="BT1437" s="991">
        <f>IF(AND(Input_Product=Elig!$C1437,Elig_MatchAll_Ct&lt;22,$BC1437=(Elig_MatchAll_Ct-1),AR1437=0),O1437,0)</f>
        <v>0</v>
      </c>
      <c r="BU1437" s="991">
        <f>IF(AND(Input_Product=Elig!$C1437,Elig_MatchAll_Ct&lt;22,$BC1437=(Elig_MatchAll_Ct-1),AS1437=0),P1437,0)</f>
        <v>0</v>
      </c>
      <c r="BV1437" s="992">
        <f>IF(AND(Input_Product=Elig!$C1437,Elig_MatchAll_Ct&lt;22,$BC1437=(Elig_MatchAll_Ct-1),AT1437=0),Q1437,0)</f>
        <v>0</v>
      </c>
      <c r="BW1437" s="993">
        <f>IF(AND(Input_Product=Elig!$C1437,Elig_MatchAll_Ct&lt;22,$BC1437=(Elig_MatchAll_Ct-1),AU1437=0),R1437,0)</f>
        <v>0</v>
      </c>
      <c r="BX1437" s="994">
        <f>IF(AND(Input_Product=Elig!$C1437,Elig_MatchAll_Ct&lt;22,$BC1437=(Elig_MatchAll_Ct-1),AU1437=0),S1437,0)</f>
        <v>0</v>
      </c>
      <c r="BY1437" s="993">
        <f>IF(AND(Input_Product=Elig!$C1437,Elig_MatchAll_Ct&lt;22,$BC1437=(Elig_MatchAll_Ct-1),AV1437=0),T1437,0)</f>
        <v>0</v>
      </c>
      <c r="BZ1437" s="994">
        <f>IF(AND(Input_Product=Elig!$C1437,Elig_MatchAll_Ct&lt;22,$BC1437=(Elig_MatchAll_Ct-1),AV1437=0),U1437,0)</f>
        <v>0</v>
      </c>
      <c r="CA1437" s="993">
        <f>IF(AND(Input_Product=Elig!$C1437,Elig_MatchAll_Ct&lt;22,$BC1437=(Elig_MatchAll_Ct-1),AW1437=0),V1437,0)</f>
        <v>0</v>
      </c>
      <c r="CB1437" s="994">
        <f>IF(AND(Input_Product=Elig!$C1437,Elig_MatchAll_Ct&lt;22,$BC1437=(Elig_MatchAll_Ct-1),AW1437=0),W1437,0)</f>
        <v>0</v>
      </c>
      <c r="CC1437" s="993">
        <f>IF(AND(Input_Product=Elig!$C1437,Elig_MatchAll_Ct&lt;22,$BC1437=(Elig_MatchAll_Ct-1),AX1437=0),X1437,0)</f>
        <v>0</v>
      </c>
      <c r="CD1437" s="994">
        <f>IF(AND(Input_Product=Elig!$C1437,Elig_MatchAll_Ct&lt;22,$BC1437=(Elig_MatchAll_Ct-1),AX1437=0),Y1437,0)</f>
        <v>0</v>
      </c>
      <c r="CE1437" s="993">
        <f>IF(AND(Input_LTV&lt;=AE1437,Input_Product=Elig!$C1437,Elig_MatchAll_Ct&lt;22,$BC1437=(Elig_MatchAll_Ct-1),AY1437=0),Z1437,0)</f>
        <v>0</v>
      </c>
      <c r="CF1437" s="994">
        <f>IF(AND(Input_LTV&lt;=AE1437,Input_Product=Elig!$C1437,Elig_MatchAll_Ct&lt;22,$BC1437=(Elig_MatchAll_Ct-1),AY1437=0),AA1437,0)</f>
        <v>0</v>
      </c>
      <c r="CG1437" s="993">
        <f>IF(AND(Input_Product=Elig!$C1437,Elig_MatchAll_Ct&lt;22,$BC1437=(Elig_MatchAll_Ct-1),AZ1437=0),AB1437,0)</f>
        <v>0</v>
      </c>
      <c r="CH1437" s="994">
        <f>IF(AND(Input_Product=Elig!$C1437,Elig_MatchAll_Ct&lt;22,$BC1437=(Elig_MatchAll_Ct-1),AZ1437=0),AC1437,0)</f>
        <v>0</v>
      </c>
      <c r="CI1437" s="993">
        <f>IF(AND(Input_Product=Elig!$C1437,Elig_MatchAll_Ct&lt;22,$BC1437=(Elig_MatchAll_Ct-1),BA1437=0),AD1437,0)</f>
        <v>0</v>
      </c>
      <c r="CJ1437" s="994">
        <f>IF(AND(Input_Product=Elig!$C1437,Elig_MatchAll_Ct&lt;22,$BC1437=(Elig_MatchAll_Ct-1),BA1437=0),AE1437,0)</f>
        <v>0</v>
      </c>
    </row>
    <row r="1438" spans="2:88" ht="10.15" customHeight="1" x14ac:dyDescent="0.25">
      <c r="B1438" s="1554" t="s">
        <v>2826</v>
      </c>
      <c r="C1438" s="1554" t="str">
        <f t="shared" si="500"/>
        <v xml:space="preserve">  OO</v>
      </c>
      <c r="D1438" s="1554" t="s">
        <v>2764</v>
      </c>
      <c r="E1438" s="1554" t="s">
        <v>167</v>
      </c>
      <c r="F1438" s="1554" t="s">
        <v>2765</v>
      </c>
      <c r="G1438" s="1554" t="s">
        <v>2810</v>
      </c>
      <c r="H1438" s="1554" t="s">
        <v>2767</v>
      </c>
      <c r="I1438" s="1555" t="s">
        <v>35</v>
      </c>
      <c r="J1438" s="1555" t="s">
        <v>1311</v>
      </c>
      <c r="K1438" s="1555" t="s">
        <v>3023</v>
      </c>
      <c r="L1438" s="1554" t="s">
        <v>3920</v>
      </c>
      <c r="M1438" s="1554" t="s">
        <v>4203</v>
      </c>
      <c r="N1438" s="1554" t="s">
        <v>2685</v>
      </c>
      <c r="O1438" s="1554" t="s">
        <v>310</v>
      </c>
      <c r="P1438" s="1554" t="s">
        <v>291</v>
      </c>
      <c r="Q1438" s="1554" t="s">
        <v>294</v>
      </c>
      <c r="R1438" s="1554">
        <v>1000000.01</v>
      </c>
      <c r="S1438" s="1554">
        <v>1500000</v>
      </c>
      <c r="T1438" s="1554">
        <v>0</v>
      </c>
      <c r="U1438" s="1554">
        <v>0</v>
      </c>
      <c r="V1438" s="1554">
        <v>0</v>
      </c>
      <c r="W1438" s="1554">
        <v>50</v>
      </c>
      <c r="X1438" s="1554">
        <v>0</v>
      </c>
      <c r="Y1438" s="1554">
        <v>0</v>
      </c>
      <c r="Z1438" s="1556">
        <v>700</v>
      </c>
      <c r="AA1438" s="1556">
        <v>999</v>
      </c>
      <c r="AB1438" s="1556">
        <v>3</v>
      </c>
      <c r="AC1438" s="1556">
        <v>999999</v>
      </c>
      <c r="AD1438" s="1554">
        <v>0</v>
      </c>
      <c r="AE1438" s="1557">
        <v>80</v>
      </c>
      <c r="AF1438" s="170">
        <v>0</v>
      </c>
      <c r="AG1438" s="171">
        <v>1</v>
      </c>
      <c r="AH1438" s="171">
        <v>1</v>
      </c>
      <c r="AI1438" s="171">
        <v>1</v>
      </c>
      <c r="AJ1438" s="171">
        <v>1</v>
      </c>
      <c r="AK1438" s="171">
        <v>1</v>
      </c>
      <c r="AL1438" s="171">
        <v>0</v>
      </c>
      <c r="AM1438" s="171">
        <v>1</v>
      </c>
      <c r="AN1438" s="171">
        <v>1</v>
      </c>
      <c r="AO1438" s="171">
        <v>1</v>
      </c>
      <c r="AP1438" s="171">
        <v>1</v>
      </c>
      <c r="AQ1438" s="171">
        <v>1</v>
      </c>
      <c r="AR1438" s="171">
        <v>1</v>
      </c>
      <c r="AS1438" s="171">
        <v>1</v>
      </c>
      <c r="AT1438" s="171">
        <v>1</v>
      </c>
      <c r="AU1438" s="171">
        <f t="shared" si="488"/>
        <v>0</v>
      </c>
      <c r="AV1438" s="171">
        <f t="shared" si="489"/>
        <v>0</v>
      </c>
      <c r="AW1438" s="171">
        <f t="shared" si="490"/>
        <v>1</v>
      </c>
      <c r="AX1438" s="171">
        <f t="shared" si="499"/>
        <v>1</v>
      </c>
      <c r="AY1438" s="171">
        <f t="shared" si="491"/>
        <v>1</v>
      </c>
      <c r="AZ1438" s="171">
        <f t="shared" si="492"/>
        <v>1</v>
      </c>
      <c r="BA1438" s="172">
        <f t="shared" si="493"/>
        <v>1</v>
      </c>
      <c r="BB1438" s="175">
        <f t="shared" si="495"/>
        <v>18</v>
      </c>
      <c r="BC1438" s="176">
        <f t="shared" si="496"/>
        <v>17</v>
      </c>
      <c r="BD1438" s="176">
        <f t="shared" si="497"/>
        <v>18</v>
      </c>
      <c r="BE1438" s="240" t="str">
        <f t="shared" si="487"/>
        <v/>
      </c>
      <c r="BF1438" s="990"/>
      <c r="BG1438" s="990"/>
      <c r="BH1438" s="991">
        <f>IF(AND(Input_Product=Elig!$C1438,Elig_MatchAll_Ct&lt;22,$BC1438=(Elig_MatchAll_Ct-1),AF1438=0),C1438,0)</f>
        <v>0</v>
      </c>
      <c r="BI1438" s="991">
        <f>IF(AND(Input_Product=Elig!$C1438,Elig_MatchAll_Ct&lt;22,$BC1438=(Elig_MatchAll_Ct-1),AG1438=0),D1438,0)</f>
        <v>0</v>
      </c>
      <c r="BJ1438" s="991">
        <f>IF(AND(Input_Product=Elig!$C1438,Elig_MatchAll_Ct&lt;22,$BC1438=(Elig_MatchAll_Ct-1),AH1438=0),E1438,0)</f>
        <v>0</v>
      </c>
      <c r="BK1438" s="991">
        <f>IF(AND(Input_Product=Elig!$C1438,Elig_MatchAll_Ct&lt;22,$BC1438=(Elig_MatchAll_Ct-1),AI1438=0),F1438,0)</f>
        <v>0</v>
      </c>
      <c r="BL1438" s="991">
        <f>IF(AND(Input_Product=Elig!$C1438,Elig_MatchAll_Ct&lt;22,$BC1438=(Elig_MatchAll_Ct-1),AJ1438=0),G1438,0)</f>
        <v>0</v>
      </c>
      <c r="BM1438" s="991">
        <f>IF(AND(Input_Product=Elig!$C1438,Elig_MatchAll_Ct&lt;22,$BC1438=(Elig_MatchAll_Ct-1),AK1438=0),H1438,0)</f>
        <v>0</v>
      </c>
      <c r="BN1438" s="991">
        <f>IF(AND(Input_Product=Elig!$C1438,Elig_MatchAll_Ct&lt;22,$BC1438=(Elig_MatchAll_Ct-1),AL1438=0),I1438,0)</f>
        <v>0</v>
      </c>
      <c r="BO1438" s="991">
        <f>IF(AND(Input_Product=Elig!$C1438,Elig_MatchAll_Ct&lt;22,$BC1438=(Elig_MatchAll_Ct-1),AM1438=0),J1438,0)</f>
        <v>0</v>
      </c>
      <c r="BP1438" s="991">
        <f>IF(AND(Input_Product=Elig!$C1438,Elig_MatchAll_Ct&lt;22,$BC1438=(Elig_MatchAll_Ct-1),AN1438=0),K1438,0)</f>
        <v>0</v>
      </c>
      <c r="BQ1438" s="991">
        <f>IF(AND(Input_Product=Elig!$C1438,Elig_MatchAll_Ct&lt;22,$BC1438=(Elig_MatchAll_Ct-1),AP1438=0),L1438,0)</f>
        <v>0</v>
      </c>
      <c r="BR1438" s="991">
        <f>IF(AND(Input_Product=Elig!$C1438,Elig_MatchAll_Ct&lt;22,$BC1438=(Elig_MatchAll_Ct-1),AO1438=0),M1438,0)</f>
        <v>0</v>
      </c>
      <c r="BS1438" s="991">
        <f>IF(AND(Input_Product=Elig!$C1438,Elig_MatchAll_Ct&lt;22,$BC1438=(Elig_MatchAll_Ct-1),AQ1438=0),N1438,0)</f>
        <v>0</v>
      </c>
      <c r="BT1438" s="991">
        <f>IF(AND(Input_Product=Elig!$C1438,Elig_MatchAll_Ct&lt;22,$BC1438=(Elig_MatchAll_Ct-1),AR1438=0),O1438,0)</f>
        <v>0</v>
      </c>
      <c r="BU1438" s="991">
        <f>IF(AND(Input_Product=Elig!$C1438,Elig_MatchAll_Ct&lt;22,$BC1438=(Elig_MatchAll_Ct-1),AS1438=0),P1438,0)</f>
        <v>0</v>
      </c>
      <c r="BV1438" s="992">
        <f>IF(AND(Input_Product=Elig!$C1438,Elig_MatchAll_Ct&lt;22,$BC1438=(Elig_MatchAll_Ct-1),AT1438=0),Q1438,0)</f>
        <v>0</v>
      </c>
      <c r="BW1438" s="993">
        <f>IF(AND(Input_Product=Elig!$C1438,Elig_MatchAll_Ct&lt;22,$BC1438=(Elig_MatchAll_Ct-1),AU1438=0),R1438,0)</f>
        <v>0</v>
      </c>
      <c r="BX1438" s="994">
        <f>IF(AND(Input_Product=Elig!$C1438,Elig_MatchAll_Ct&lt;22,$BC1438=(Elig_MatchAll_Ct-1),AU1438=0),S1438,0)</f>
        <v>0</v>
      </c>
      <c r="BY1438" s="993">
        <f>IF(AND(Input_Product=Elig!$C1438,Elig_MatchAll_Ct&lt;22,$BC1438=(Elig_MatchAll_Ct-1),AV1438=0),T1438,0)</f>
        <v>0</v>
      </c>
      <c r="BZ1438" s="994">
        <f>IF(AND(Input_Product=Elig!$C1438,Elig_MatchAll_Ct&lt;22,$BC1438=(Elig_MatchAll_Ct-1),AV1438=0),U1438,0)</f>
        <v>0</v>
      </c>
      <c r="CA1438" s="993">
        <f>IF(AND(Input_Product=Elig!$C1438,Elig_MatchAll_Ct&lt;22,$BC1438=(Elig_MatchAll_Ct-1),AW1438=0),V1438,0)</f>
        <v>0</v>
      </c>
      <c r="CB1438" s="994">
        <f>IF(AND(Input_Product=Elig!$C1438,Elig_MatchAll_Ct&lt;22,$BC1438=(Elig_MatchAll_Ct-1),AW1438=0),W1438,0)</f>
        <v>0</v>
      </c>
      <c r="CC1438" s="993">
        <f>IF(AND(Input_Product=Elig!$C1438,Elig_MatchAll_Ct&lt;22,$BC1438=(Elig_MatchAll_Ct-1),AX1438=0),X1438,0)</f>
        <v>0</v>
      </c>
      <c r="CD1438" s="994">
        <f>IF(AND(Input_Product=Elig!$C1438,Elig_MatchAll_Ct&lt;22,$BC1438=(Elig_MatchAll_Ct-1),AX1438=0),Y1438,0)</f>
        <v>0</v>
      </c>
      <c r="CE1438" s="993">
        <f>IF(AND(Input_LTV&lt;=AE1438,Input_Product=Elig!$C1438,Elig_MatchAll_Ct&lt;22,$BC1438=(Elig_MatchAll_Ct-1),AY1438=0),Z1438,0)</f>
        <v>0</v>
      </c>
      <c r="CF1438" s="994">
        <f>IF(AND(Input_LTV&lt;=AE1438,Input_Product=Elig!$C1438,Elig_MatchAll_Ct&lt;22,$BC1438=(Elig_MatchAll_Ct-1),AY1438=0),AA1438,0)</f>
        <v>0</v>
      </c>
      <c r="CG1438" s="993">
        <f>IF(AND(Input_Product=Elig!$C1438,Elig_MatchAll_Ct&lt;22,$BC1438=(Elig_MatchAll_Ct-1),AZ1438=0),AB1438,0)</f>
        <v>0</v>
      </c>
      <c r="CH1438" s="994">
        <f>IF(AND(Input_Product=Elig!$C1438,Elig_MatchAll_Ct&lt;22,$BC1438=(Elig_MatchAll_Ct-1),AZ1438=0),AC1438,0)</f>
        <v>0</v>
      </c>
      <c r="CI1438" s="993">
        <f>IF(AND(Input_Product=Elig!$C1438,Elig_MatchAll_Ct&lt;22,$BC1438=(Elig_MatchAll_Ct-1),BA1438=0),AD1438,0)</f>
        <v>0</v>
      </c>
      <c r="CJ1438" s="994">
        <f>IF(AND(Input_Product=Elig!$C1438,Elig_MatchAll_Ct&lt;22,$BC1438=(Elig_MatchAll_Ct-1),BA1438=0),AE1438,0)</f>
        <v>0</v>
      </c>
    </row>
    <row r="1439" spans="2:88" ht="10.15" customHeight="1" x14ac:dyDescent="0.25">
      <c r="B1439" s="1554" t="s">
        <v>2827</v>
      </c>
      <c r="C1439" s="1554" t="str">
        <f t="shared" si="500"/>
        <v xml:space="preserve">  OO</v>
      </c>
      <c r="D1439" s="1554" t="s">
        <v>2764</v>
      </c>
      <c r="E1439" s="1554" t="s">
        <v>167</v>
      </c>
      <c r="F1439" s="1554" t="s">
        <v>2765</v>
      </c>
      <c r="G1439" s="1554" t="s">
        <v>2810</v>
      </c>
      <c r="H1439" s="1554" t="s">
        <v>2767</v>
      </c>
      <c r="I1439" s="1555" t="s">
        <v>35</v>
      </c>
      <c r="J1439" s="1555" t="s">
        <v>1311</v>
      </c>
      <c r="K1439" s="1555" t="s">
        <v>3023</v>
      </c>
      <c r="L1439" s="1554" t="s">
        <v>3920</v>
      </c>
      <c r="M1439" s="1554" t="s">
        <v>4203</v>
      </c>
      <c r="N1439" s="1554" t="s">
        <v>2685</v>
      </c>
      <c r="O1439" s="1554" t="s">
        <v>310</v>
      </c>
      <c r="P1439" s="1554" t="s">
        <v>291</v>
      </c>
      <c r="Q1439" s="1554" t="s">
        <v>294</v>
      </c>
      <c r="R1439" s="1554">
        <v>1500000.01</v>
      </c>
      <c r="S1439" s="1554">
        <v>2000000</v>
      </c>
      <c r="T1439" s="1554">
        <v>0</v>
      </c>
      <c r="U1439" s="1554">
        <v>0</v>
      </c>
      <c r="V1439" s="1554">
        <v>0</v>
      </c>
      <c r="W1439" s="1554">
        <v>50</v>
      </c>
      <c r="X1439" s="1554">
        <v>0</v>
      </c>
      <c r="Y1439" s="1554">
        <v>0</v>
      </c>
      <c r="Z1439" s="1556">
        <v>700</v>
      </c>
      <c r="AA1439" s="1556">
        <v>999</v>
      </c>
      <c r="AB1439" s="1556">
        <v>3</v>
      </c>
      <c r="AC1439" s="1556">
        <v>999999</v>
      </c>
      <c r="AD1439" s="1554">
        <v>0</v>
      </c>
      <c r="AE1439" s="1557">
        <v>75</v>
      </c>
      <c r="AF1439" s="170">
        <v>0</v>
      </c>
      <c r="AG1439" s="171">
        <v>1</v>
      </c>
      <c r="AH1439" s="171">
        <v>1</v>
      </c>
      <c r="AI1439" s="171">
        <v>1</v>
      </c>
      <c r="AJ1439" s="171">
        <v>1</v>
      </c>
      <c r="AK1439" s="171">
        <v>1</v>
      </c>
      <c r="AL1439" s="171">
        <v>0</v>
      </c>
      <c r="AM1439" s="171">
        <v>1</v>
      </c>
      <c r="AN1439" s="171">
        <v>1</v>
      </c>
      <c r="AO1439" s="171">
        <v>1</v>
      </c>
      <c r="AP1439" s="171">
        <v>1</v>
      </c>
      <c r="AQ1439" s="171">
        <v>1</v>
      </c>
      <c r="AR1439" s="171">
        <v>1</v>
      </c>
      <c r="AS1439" s="171">
        <v>1</v>
      </c>
      <c r="AT1439" s="171">
        <v>1</v>
      </c>
      <c r="AU1439" s="171">
        <f t="shared" si="488"/>
        <v>0</v>
      </c>
      <c r="AV1439" s="171">
        <f t="shared" si="489"/>
        <v>0</v>
      </c>
      <c r="AW1439" s="171">
        <f t="shared" si="490"/>
        <v>1</v>
      </c>
      <c r="AX1439" s="171">
        <f t="shared" si="499"/>
        <v>1</v>
      </c>
      <c r="AY1439" s="171">
        <f t="shared" si="491"/>
        <v>1</v>
      </c>
      <c r="AZ1439" s="171">
        <f t="shared" si="492"/>
        <v>1</v>
      </c>
      <c r="BA1439" s="172">
        <f t="shared" si="493"/>
        <v>1</v>
      </c>
      <c r="BB1439" s="175">
        <f t="shared" si="495"/>
        <v>18</v>
      </c>
      <c r="BC1439" s="176">
        <f t="shared" si="496"/>
        <v>17</v>
      </c>
      <c r="BD1439" s="176">
        <f t="shared" si="497"/>
        <v>18</v>
      </c>
      <c r="BE1439" s="240" t="str">
        <f t="shared" si="487"/>
        <v/>
      </c>
      <c r="BF1439" s="990"/>
      <c r="BG1439" s="990"/>
      <c r="BH1439" s="991">
        <f>IF(AND(Input_Product=Elig!$C1439,Elig_MatchAll_Ct&lt;22,$BC1439=(Elig_MatchAll_Ct-1),AF1439=0),C1439,0)</f>
        <v>0</v>
      </c>
      <c r="BI1439" s="991">
        <f>IF(AND(Input_Product=Elig!$C1439,Elig_MatchAll_Ct&lt;22,$BC1439=(Elig_MatchAll_Ct-1),AG1439=0),D1439,0)</f>
        <v>0</v>
      </c>
      <c r="BJ1439" s="991">
        <f>IF(AND(Input_Product=Elig!$C1439,Elig_MatchAll_Ct&lt;22,$BC1439=(Elig_MatchAll_Ct-1),AH1439=0),E1439,0)</f>
        <v>0</v>
      </c>
      <c r="BK1439" s="991">
        <f>IF(AND(Input_Product=Elig!$C1439,Elig_MatchAll_Ct&lt;22,$BC1439=(Elig_MatchAll_Ct-1),AI1439=0),F1439,0)</f>
        <v>0</v>
      </c>
      <c r="BL1439" s="991">
        <f>IF(AND(Input_Product=Elig!$C1439,Elig_MatchAll_Ct&lt;22,$BC1439=(Elig_MatchAll_Ct-1),AJ1439=0),G1439,0)</f>
        <v>0</v>
      </c>
      <c r="BM1439" s="991">
        <f>IF(AND(Input_Product=Elig!$C1439,Elig_MatchAll_Ct&lt;22,$BC1439=(Elig_MatchAll_Ct-1),AK1439=0),H1439,0)</f>
        <v>0</v>
      </c>
      <c r="BN1439" s="991">
        <f>IF(AND(Input_Product=Elig!$C1439,Elig_MatchAll_Ct&lt;22,$BC1439=(Elig_MatchAll_Ct-1),AL1439=0),I1439,0)</f>
        <v>0</v>
      </c>
      <c r="BO1439" s="991">
        <f>IF(AND(Input_Product=Elig!$C1439,Elig_MatchAll_Ct&lt;22,$BC1439=(Elig_MatchAll_Ct-1),AM1439=0),J1439,0)</f>
        <v>0</v>
      </c>
      <c r="BP1439" s="991">
        <f>IF(AND(Input_Product=Elig!$C1439,Elig_MatchAll_Ct&lt;22,$BC1439=(Elig_MatchAll_Ct-1),AN1439=0),K1439,0)</f>
        <v>0</v>
      </c>
      <c r="BQ1439" s="991">
        <f>IF(AND(Input_Product=Elig!$C1439,Elig_MatchAll_Ct&lt;22,$BC1439=(Elig_MatchAll_Ct-1),AP1439=0),L1439,0)</f>
        <v>0</v>
      </c>
      <c r="BR1439" s="991">
        <f>IF(AND(Input_Product=Elig!$C1439,Elig_MatchAll_Ct&lt;22,$BC1439=(Elig_MatchAll_Ct-1),AO1439=0),M1439,0)</f>
        <v>0</v>
      </c>
      <c r="BS1439" s="991">
        <f>IF(AND(Input_Product=Elig!$C1439,Elig_MatchAll_Ct&lt;22,$BC1439=(Elig_MatchAll_Ct-1),AQ1439=0),N1439,0)</f>
        <v>0</v>
      </c>
      <c r="BT1439" s="991">
        <f>IF(AND(Input_Product=Elig!$C1439,Elig_MatchAll_Ct&lt;22,$BC1439=(Elig_MatchAll_Ct-1),AR1439=0),O1439,0)</f>
        <v>0</v>
      </c>
      <c r="BU1439" s="991">
        <f>IF(AND(Input_Product=Elig!$C1439,Elig_MatchAll_Ct&lt;22,$BC1439=(Elig_MatchAll_Ct-1),AS1439=0),P1439,0)</f>
        <v>0</v>
      </c>
      <c r="BV1439" s="992">
        <f>IF(AND(Input_Product=Elig!$C1439,Elig_MatchAll_Ct&lt;22,$BC1439=(Elig_MatchAll_Ct-1),AT1439=0),Q1439,0)</f>
        <v>0</v>
      </c>
      <c r="BW1439" s="993">
        <f>IF(AND(Input_Product=Elig!$C1439,Elig_MatchAll_Ct&lt;22,$BC1439=(Elig_MatchAll_Ct-1),AU1439=0),R1439,0)</f>
        <v>0</v>
      </c>
      <c r="BX1439" s="994">
        <f>IF(AND(Input_Product=Elig!$C1439,Elig_MatchAll_Ct&lt;22,$BC1439=(Elig_MatchAll_Ct-1),AU1439=0),S1439,0)</f>
        <v>0</v>
      </c>
      <c r="BY1439" s="993">
        <f>IF(AND(Input_Product=Elig!$C1439,Elig_MatchAll_Ct&lt;22,$BC1439=(Elig_MatchAll_Ct-1),AV1439=0),T1439,0)</f>
        <v>0</v>
      </c>
      <c r="BZ1439" s="994">
        <f>IF(AND(Input_Product=Elig!$C1439,Elig_MatchAll_Ct&lt;22,$BC1439=(Elig_MatchAll_Ct-1),AV1439=0),U1439,0)</f>
        <v>0</v>
      </c>
      <c r="CA1439" s="993">
        <f>IF(AND(Input_Product=Elig!$C1439,Elig_MatchAll_Ct&lt;22,$BC1439=(Elig_MatchAll_Ct-1),AW1439=0),V1439,0)</f>
        <v>0</v>
      </c>
      <c r="CB1439" s="994">
        <f>IF(AND(Input_Product=Elig!$C1439,Elig_MatchAll_Ct&lt;22,$BC1439=(Elig_MatchAll_Ct-1),AW1439=0),W1439,0)</f>
        <v>0</v>
      </c>
      <c r="CC1439" s="993">
        <f>IF(AND(Input_Product=Elig!$C1439,Elig_MatchAll_Ct&lt;22,$BC1439=(Elig_MatchAll_Ct-1),AX1439=0),X1439,0)</f>
        <v>0</v>
      </c>
      <c r="CD1439" s="994">
        <f>IF(AND(Input_Product=Elig!$C1439,Elig_MatchAll_Ct&lt;22,$BC1439=(Elig_MatchAll_Ct-1),AX1439=0),Y1439,0)</f>
        <v>0</v>
      </c>
      <c r="CE1439" s="993">
        <f>IF(AND(Input_LTV&lt;=AE1439,Input_Product=Elig!$C1439,Elig_MatchAll_Ct&lt;22,$BC1439=(Elig_MatchAll_Ct-1),AY1439=0),Z1439,0)</f>
        <v>0</v>
      </c>
      <c r="CF1439" s="994">
        <f>IF(AND(Input_LTV&lt;=AE1439,Input_Product=Elig!$C1439,Elig_MatchAll_Ct&lt;22,$BC1439=(Elig_MatchAll_Ct-1),AY1439=0),AA1439,0)</f>
        <v>0</v>
      </c>
      <c r="CG1439" s="993">
        <f>IF(AND(Input_Product=Elig!$C1439,Elig_MatchAll_Ct&lt;22,$BC1439=(Elig_MatchAll_Ct-1),AZ1439=0),AB1439,0)</f>
        <v>0</v>
      </c>
      <c r="CH1439" s="994">
        <f>IF(AND(Input_Product=Elig!$C1439,Elig_MatchAll_Ct&lt;22,$BC1439=(Elig_MatchAll_Ct-1),AZ1439=0),AC1439,0)</f>
        <v>0</v>
      </c>
      <c r="CI1439" s="993">
        <f>IF(AND(Input_Product=Elig!$C1439,Elig_MatchAll_Ct&lt;22,$BC1439=(Elig_MatchAll_Ct-1),BA1439=0),AD1439,0)</f>
        <v>0</v>
      </c>
      <c r="CJ1439" s="994">
        <f>IF(AND(Input_Product=Elig!$C1439,Elig_MatchAll_Ct&lt;22,$BC1439=(Elig_MatchAll_Ct-1),BA1439=0),AE1439,0)</f>
        <v>0</v>
      </c>
    </row>
    <row r="1440" spans="2:88" ht="10.15" customHeight="1" x14ac:dyDescent="0.25">
      <c r="B1440" s="1554" t="s">
        <v>2828</v>
      </c>
      <c r="C1440" s="1554" t="str">
        <f t="shared" si="500"/>
        <v xml:space="preserve">  OO</v>
      </c>
      <c r="D1440" s="1554" t="s">
        <v>2764</v>
      </c>
      <c r="E1440" s="1554" t="s">
        <v>167</v>
      </c>
      <c r="F1440" s="1554" t="s">
        <v>2765</v>
      </c>
      <c r="G1440" s="1554" t="s">
        <v>2810</v>
      </c>
      <c r="H1440" s="1554" t="s">
        <v>2767</v>
      </c>
      <c r="I1440" s="1555" t="s">
        <v>35</v>
      </c>
      <c r="J1440" s="1555" t="s">
        <v>1311</v>
      </c>
      <c r="K1440" s="1555" t="s">
        <v>3023</v>
      </c>
      <c r="L1440" s="1554" t="s">
        <v>3920</v>
      </c>
      <c r="M1440" s="1554" t="s">
        <v>4203</v>
      </c>
      <c r="N1440" s="1554" t="s">
        <v>2685</v>
      </c>
      <c r="O1440" s="1554" t="s">
        <v>310</v>
      </c>
      <c r="P1440" s="1554" t="s">
        <v>291</v>
      </c>
      <c r="Q1440" s="1554" t="s">
        <v>294</v>
      </c>
      <c r="R1440" s="1554">
        <v>2000000.01</v>
      </c>
      <c r="S1440" s="1554">
        <v>3000000</v>
      </c>
      <c r="T1440" s="1554">
        <v>0</v>
      </c>
      <c r="U1440" s="1554">
        <v>0</v>
      </c>
      <c r="V1440" s="1554">
        <v>0</v>
      </c>
      <c r="W1440" s="1554">
        <v>50</v>
      </c>
      <c r="X1440" s="1554">
        <v>0</v>
      </c>
      <c r="Y1440" s="1554">
        <v>0</v>
      </c>
      <c r="Z1440" s="1556">
        <v>700</v>
      </c>
      <c r="AA1440" s="1556">
        <v>999</v>
      </c>
      <c r="AB1440" s="1556">
        <v>3</v>
      </c>
      <c r="AC1440" s="1556">
        <v>999999</v>
      </c>
      <c r="AD1440" s="1554">
        <v>0</v>
      </c>
      <c r="AE1440" s="1557">
        <v>65</v>
      </c>
      <c r="AF1440" s="170">
        <v>0</v>
      </c>
      <c r="AG1440" s="171">
        <v>1</v>
      </c>
      <c r="AH1440" s="171">
        <v>1</v>
      </c>
      <c r="AI1440" s="171">
        <v>1</v>
      </c>
      <c r="AJ1440" s="171">
        <v>1</v>
      </c>
      <c r="AK1440" s="171">
        <v>1</v>
      </c>
      <c r="AL1440" s="171">
        <v>0</v>
      </c>
      <c r="AM1440" s="171">
        <v>1</v>
      </c>
      <c r="AN1440" s="171">
        <v>1</v>
      </c>
      <c r="AO1440" s="171">
        <v>1</v>
      </c>
      <c r="AP1440" s="171">
        <v>1</v>
      </c>
      <c r="AQ1440" s="171">
        <v>1</v>
      </c>
      <c r="AR1440" s="171">
        <v>1</v>
      </c>
      <c r="AS1440" s="171">
        <v>1</v>
      </c>
      <c r="AT1440" s="171">
        <v>1</v>
      </c>
      <c r="AU1440" s="171">
        <f t="shared" si="488"/>
        <v>0</v>
      </c>
      <c r="AV1440" s="171">
        <f t="shared" si="489"/>
        <v>0</v>
      </c>
      <c r="AW1440" s="171">
        <f t="shared" si="490"/>
        <v>1</v>
      </c>
      <c r="AX1440" s="171">
        <f t="shared" si="499"/>
        <v>1</v>
      </c>
      <c r="AY1440" s="171">
        <f t="shared" si="491"/>
        <v>1</v>
      </c>
      <c r="AZ1440" s="171">
        <f t="shared" si="492"/>
        <v>1</v>
      </c>
      <c r="BA1440" s="172">
        <f t="shared" si="493"/>
        <v>1</v>
      </c>
      <c r="BB1440" s="175">
        <f t="shared" si="495"/>
        <v>18</v>
      </c>
      <c r="BC1440" s="176">
        <f t="shared" si="496"/>
        <v>17</v>
      </c>
      <c r="BD1440" s="176">
        <f t="shared" si="497"/>
        <v>18</v>
      </c>
      <c r="BE1440" s="240" t="str">
        <f t="shared" si="487"/>
        <v/>
      </c>
      <c r="BF1440" s="990"/>
      <c r="BG1440" s="990"/>
      <c r="BH1440" s="991">
        <f>IF(AND(Input_Product=Elig!$C1440,Elig_MatchAll_Ct&lt;22,$BC1440=(Elig_MatchAll_Ct-1),AF1440=0),C1440,0)</f>
        <v>0</v>
      </c>
      <c r="BI1440" s="991">
        <f>IF(AND(Input_Product=Elig!$C1440,Elig_MatchAll_Ct&lt;22,$BC1440=(Elig_MatchAll_Ct-1),AG1440=0),D1440,0)</f>
        <v>0</v>
      </c>
      <c r="BJ1440" s="991">
        <f>IF(AND(Input_Product=Elig!$C1440,Elig_MatchAll_Ct&lt;22,$BC1440=(Elig_MatchAll_Ct-1),AH1440=0),E1440,0)</f>
        <v>0</v>
      </c>
      <c r="BK1440" s="991">
        <f>IF(AND(Input_Product=Elig!$C1440,Elig_MatchAll_Ct&lt;22,$BC1440=(Elig_MatchAll_Ct-1),AI1440=0),F1440,0)</f>
        <v>0</v>
      </c>
      <c r="BL1440" s="991">
        <f>IF(AND(Input_Product=Elig!$C1440,Elig_MatchAll_Ct&lt;22,$BC1440=(Elig_MatchAll_Ct-1),AJ1440=0),G1440,0)</f>
        <v>0</v>
      </c>
      <c r="BM1440" s="991">
        <f>IF(AND(Input_Product=Elig!$C1440,Elig_MatchAll_Ct&lt;22,$BC1440=(Elig_MatchAll_Ct-1),AK1440=0),H1440,0)</f>
        <v>0</v>
      </c>
      <c r="BN1440" s="991">
        <f>IF(AND(Input_Product=Elig!$C1440,Elig_MatchAll_Ct&lt;22,$BC1440=(Elig_MatchAll_Ct-1),AL1440=0),I1440,0)</f>
        <v>0</v>
      </c>
      <c r="BO1440" s="991">
        <f>IF(AND(Input_Product=Elig!$C1440,Elig_MatchAll_Ct&lt;22,$BC1440=(Elig_MatchAll_Ct-1),AM1440=0),J1440,0)</f>
        <v>0</v>
      </c>
      <c r="BP1440" s="991">
        <f>IF(AND(Input_Product=Elig!$C1440,Elig_MatchAll_Ct&lt;22,$BC1440=(Elig_MatchAll_Ct-1),AN1440=0),K1440,0)</f>
        <v>0</v>
      </c>
      <c r="BQ1440" s="991">
        <f>IF(AND(Input_Product=Elig!$C1440,Elig_MatchAll_Ct&lt;22,$BC1440=(Elig_MatchAll_Ct-1),AP1440=0),L1440,0)</f>
        <v>0</v>
      </c>
      <c r="BR1440" s="991">
        <f>IF(AND(Input_Product=Elig!$C1440,Elig_MatchAll_Ct&lt;22,$BC1440=(Elig_MatchAll_Ct-1),AO1440=0),M1440,0)</f>
        <v>0</v>
      </c>
      <c r="BS1440" s="991">
        <f>IF(AND(Input_Product=Elig!$C1440,Elig_MatchAll_Ct&lt;22,$BC1440=(Elig_MatchAll_Ct-1),AQ1440=0),N1440,0)</f>
        <v>0</v>
      </c>
      <c r="BT1440" s="991">
        <f>IF(AND(Input_Product=Elig!$C1440,Elig_MatchAll_Ct&lt;22,$BC1440=(Elig_MatchAll_Ct-1),AR1440=0),O1440,0)</f>
        <v>0</v>
      </c>
      <c r="BU1440" s="991">
        <f>IF(AND(Input_Product=Elig!$C1440,Elig_MatchAll_Ct&lt;22,$BC1440=(Elig_MatchAll_Ct-1),AS1440=0),P1440,0)</f>
        <v>0</v>
      </c>
      <c r="BV1440" s="992">
        <f>IF(AND(Input_Product=Elig!$C1440,Elig_MatchAll_Ct&lt;22,$BC1440=(Elig_MatchAll_Ct-1),AT1440=0),Q1440,0)</f>
        <v>0</v>
      </c>
      <c r="BW1440" s="993">
        <f>IF(AND(Input_Product=Elig!$C1440,Elig_MatchAll_Ct&lt;22,$BC1440=(Elig_MatchAll_Ct-1),AU1440=0),R1440,0)</f>
        <v>0</v>
      </c>
      <c r="BX1440" s="994">
        <f>IF(AND(Input_Product=Elig!$C1440,Elig_MatchAll_Ct&lt;22,$BC1440=(Elig_MatchAll_Ct-1),AU1440=0),S1440,0)</f>
        <v>0</v>
      </c>
      <c r="BY1440" s="993">
        <f>IF(AND(Input_Product=Elig!$C1440,Elig_MatchAll_Ct&lt;22,$BC1440=(Elig_MatchAll_Ct-1),AV1440=0),T1440,0)</f>
        <v>0</v>
      </c>
      <c r="BZ1440" s="994">
        <f>IF(AND(Input_Product=Elig!$C1440,Elig_MatchAll_Ct&lt;22,$BC1440=(Elig_MatchAll_Ct-1),AV1440=0),U1440,0)</f>
        <v>0</v>
      </c>
      <c r="CA1440" s="993">
        <f>IF(AND(Input_Product=Elig!$C1440,Elig_MatchAll_Ct&lt;22,$BC1440=(Elig_MatchAll_Ct-1),AW1440=0),V1440,0)</f>
        <v>0</v>
      </c>
      <c r="CB1440" s="994">
        <f>IF(AND(Input_Product=Elig!$C1440,Elig_MatchAll_Ct&lt;22,$BC1440=(Elig_MatchAll_Ct-1),AW1440=0),W1440,0)</f>
        <v>0</v>
      </c>
      <c r="CC1440" s="993">
        <f>IF(AND(Input_Product=Elig!$C1440,Elig_MatchAll_Ct&lt;22,$BC1440=(Elig_MatchAll_Ct-1),AX1440=0),X1440,0)</f>
        <v>0</v>
      </c>
      <c r="CD1440" s="994">
        <f>IF(AND(Input_Product=Elig!$C1440,Elig_MatchAll_Ct&lt;22,$BC1440=(Elig_MatchAll_Ct-1),AX1440=0),Y1440,0)</f>
        <v>0</v>
      </c>
      <c r="CE1440" s="993">
        <f>IF(AND(Input_LTV&lt;=AE1440,Input_Product=Elig!$C1440,Elig_MatchAll_Ct&lt;22,$BC1440=(Elig_MatchAll_Ct-1),AY1440=0),Z1440,0)</f>
        <v>0</v>
      </c>
      <c r="CF1440" s="994">
        <f>IF(AND(Input_LTV&lt;=AE1440,Input_Product=Elig!$C1440,Elig_MatchAll_Ct&lt;22,$BC1440=(Elig_MatchAll_Ct-1),AY1440=0),AA1440,0)</f>
        <v>0</v>
      </c>
      <c r="CG1440" s="993">
        <f>IF(AND(Input_Product=Elig!$C1440,Elig_MatchAll_Ct&lt;22,$BC1440=(Elig_MatchAll_Ct-1),AZ1440=0),AB1440,0)</f>
        <v>0</v>
      </c>
      <c r="CH1440" s="994">
        <f>IF(AND(Input_Product=Elig!$C1440,Elig_MatchAll_Ct&lt;22,$BC1440=(Elig_MatchAll_Ct-1),AZ1440=0),AC1440,0)</f>
        <v>0</v>
      </c>
      <c r="CI1440" s="993">
        <f>IF(AND(Input_Product=Elig!$C1440,Elig_MatchAll_Ct&lt;22,$BC1440=(Elig_MatchAll_Ct-1),BA1440=0),AD1440,0)</f>
        <v>0</v>
      </c>
      <c r="CJ1440" s="994">
        <f>IF(AND(Input_Product=Elig!$C1440,Elig_MatchAll_Ct&lt;22,$BC1440=(Elig_MatchAll_Ct-1),BA1440=0),AE1440,0)</f>
        <v>0</v>
      </c>
    </row>
    <row r="1441" spans="2:88" ht="10.15" customHeight="1" x14ac:dyDescent="0.25">
      <c r="B1441" s="1554" t="s">
        <v>2829</v>
      </c>
      <c r="C1441" s="1554" t="str">
        <f t="shared" si="500"/>
        <v xml:space="preserve">  OO</v>
      </c>
      <c r="D1441" s="1554" t="s">
        <v>2764</v>
      </c>
      <c r="E1441" s="1554" t="s">
        <v>167</v>
      </c>
      <c r="F1441" s="1554" t="s">
        <v>2765</v>
      </c>
      <c r="G1441" s="1554" t="s">
        <v>2810</v>
      </c>
      <c r="H1441" s="1554" t="s">
        <v>2767</v>
      </c>
      <c r="I1441" s="1555" t="s">
        <v>35</v>
      </c>
      <c r="J1441" s="1555" t="s">
        <v>1311</v>
      </c>
      <c r="K1441" s="1555" t="s">
        <v>3023</v>
      </c>
      <c r="L1441" s="1554" t="s">
        <v>3920</v>
      </c>
      <c r="M1441" s="1554" t="s">
        <v>4203</v>
      </c>
      <c r="N1441" s="1554" t="s">
        <v>2685</v>
      </c>
      <c r="O1441" s="1554" t="s">
        <v>310</v>
      </c>
      <c r="P1441" s="1554" t="s">
        <v>291</v>
      </c>
      <c r="Q1441" s="1554" t="s">
        <v>294</v>
      </c>
      <c r="R1441" s="1554">
        <v>150000</v>
      </c>
      <c r="S1441" s="1554">
        <v>1000000</v>
      </c>
      <c r="T1441" s="1554">
        <v>0</v>
      </c>
      <c r="U1441" s="1554">
        <v>0</v>
      </c>
      <c r="V1441" s="1554">
        <v>0</v>
      </c>
      <c r="W1441" s="1554">
        <v>50</v>
      </c>
      <c r="X1441" s="1554">
        <v>0</v>
      </c>
      <c r="Y1441" s="1554">
        <v>0</v>
      </c>
      <c r="Z1441" s="1556">
        <v>680</v>
      </c>
      <c r="AA1441" s="1556">
        <v>699</v>
      </c>
      <c r="AB1441" s="1556">
        <v>3</v>
      </c>
      <c r="AC1441" s="1556">
        <v>999999</v>
      </c>
      <c r="AD1441" s="1554">
        <v>0</v>
      </c>
      <c r="AE1441" s="1557">
        <v>80</v>
      </c>
      <c r="AF1441" s="170">
        <v>0</v>
      </c>
      <c r="AG1441" s="171">
        <v>1</v>
      </c>
      <c r="AH1441" s="171">
        <v>1</v>
      </c>
      <c r="AI1441" s="171">
        <v>1</v>
      </c>
      <c r="AJ1441" s="171">
        <v>1</v>
      </c>
      <c r="AK1441" s="171">
        <v>1</v>
      </c>
      <c r="AL1441" s="171">
        <v>0</v>
      </c>
      <c r="AM1441" s="171">
        <v>1</v>
      </c>
      <c r="AN1441" s="171">
        <v>1</v>
      </c>
      <c r="AO1441" s="171">
        <v>1</v>
      </c>
      <c r="AP1441" s="171">
        <v>1</v>
      </c>
      <c r="AQ1441" s="171">
        <v>1</v>
      </c>
      <c r="AR1441" s="171">
        <v>1</v>
      </c>
      <c r="AS1441" s="171">
        <v>1</v>
      </c>
      <c r="AT1441" s="171">
        <v>1</v>
      </c>
      <c r="AU1441" s="171">
        <f t="shared" si="488"/>
        <v>1</v>
      </c>
      <c r="AV1441" s="171">
        <f t="shared" si="489"/>
        <v>0</v>
      </c>
      <c r="AW1441" s="171">
        <f t="shared" si="490"/>
        <v>1</v>
      </c>
      <c r="AX1441" s="171">
        <f t="shared" si="499"/>
        <v>1</v>
      </c>
      <c r="AY1441" s="171">
        <f t="shared" si="491"/>
        <v>0</v>
      </c>
      <c r="AZ1441" s="171">
        <f t="shared" si="492"/>
        <v>1</v>
      </c>
      <c r="BA1441" s="172">
        <f t="shared" si="493"/>
        <v>1</v>
      </c>
      <c r="BB1441" s="175">
        <f t="shared" si="495"/>
        <v>18</v>
      </c>
      <c r="BC1441" s="176">
        <f t="shared" si="496"/>
        <v>17</v>
      </c>
      <c r="BD1441" s="176">
        <f t="shared" si="497"/>
        <v>18</v>
      </c>
      <c r="BE1441" s="240" t="str">
        <f t="shared" si="487"/>
        <v/>
      </c>
      <c r="BF1441" s="990"/>
      <c r="BG1441" s="990"/>
      <c r="BH1441" s="991">
        <f>IF(AND(Input_Product=Elig!$C1441,Elig_MatchAll_Ct&lt;22,$BC1441=(Elig_MatchAll_Ct-1),AF1441=0),C1441,0)</f>
        <v>0</v>
      </c>
      <c r="BI1441" s="991">
        <f>IF(AND(Input_Product=Elig!$C1441,Elig_MatchAll_Ct&lt;22,$BC1441=(Elig_MatchAll_Ct-1),AG1441=0),D1441,0)</f>
        <v>0</v>
      </c>
      <c r="BJ1441" s="991">
        <f>IF(AND(Input_Product=Elig!$C1441,Elig_MatchAll_Ct&lt;22,$BC1441=(Elig_MatchAll_Ct-1),AH1441=0),E1441,0)</f>
        <v>0</v>
      </c>
      <c r="BK1441" s="991">
        <f>IF(AND(Input_Product=Elig!$C1441,Elig_MatchAll_Ct&lt;22,$BC1441=(Elig_MatchAll_Ct-1),AI1441=0),F1441,0)</f>
        <v>0</v>
      </c>
      <c r="BL1441" s="991">
        <f>IF(AND(Input_Product=Elig!$C1441,Elig_MatchAll_Ct&lt;22,$BC1441=(Elig_MatchAll_Ct-1),AJ1441=0),G1441,0)</f>
        <v>0</v>
      </c>
      <c r="BM1441" s="991">
        <f>IF(AND(Input_Product=Elig!$C1441,Elig_MatchAll_Ct&lt;22,$BC1441=(Elig_MatchAll_Ct-1),AK1441=0),H1441,0)</f>
        <v>0</v>
      </c>
      <c r="BN1441" s="991">
        <f>IF(AND(Input_Product=Elig!$C1441,Elig_MatchAll_Ct&lt;22,$BC1441=(Elig_MatchAll_Ct-1),AL1441=0),I1441,0)</f>
        <v>0</v>
      </c>
      <c r="BO1441" s="991">
        <f>IF(AND(Input_Product=Elig!$C1441,Elig_MatchAll_Ct&lt;22,$BC1441=(Elig_MatchAll_Ct-1),AM1441=0),J1441,0)</f>
        <v>0</v>
      </c>
      <c r="BP1441" s="991">
        <f>IF(AND(Input_Product=Elig!$C1441,Elig_MatchAll_Ct&lt;22,$BC1441=(Elig_MatchAll_Ct-1),AN1441=0),K1441,0)</f>
        <v>0</v>
      </c>
      <c r="BQ1441" s="991">
        <f>IF(AND(Input_Product=Elig!$C1441,Elig_MatchAll_Ct&lt;22,$BC1441=(Elig_MatchAll_Ct-1),AP1441=0),L1441,0)</f>
        <v>0</v>
      </c>
      <c r="BR1441" s="991">
        <f>IF(AND(Input_Product=Elig!$C1441,Elig_MatchAll_Ct&lt;22,$BC1441=(Elig_MatchAll_Ct-1),AO1441=0),M1441,0)</f>
        <v>0</v>
      </c>
      <c r="BS1441" s="991">
        <f>IF(AND(Input_Product=Elig!$C1441,Elig_MatchAll_Ct&lt;22,$BC1441=(Elig_MatchAll_Ct-1),AQ1441=0),N1441,0)</f>
        <v>0</v>
      </c>
      <c r="BT1441" s="991">
        <f>IF(AND(Input_Product=Elig!$C1441,Elig_MatchAll_Ct&lt;22,$BC1441=(Elig_MatchAll_Ct-1),AR1441=0),O1441,0)</f>
        <v>0</v>
      </c>
      <c r="BU1441" s="991">
        <f>IF(AND(Input_Product=Elig!$C1441,Elig_MatchAll_Ct&lt;22,$BC1441=(Elig_MatchAll_Ct-1),AS1441=0),P1441,0)</f>
        <v>0</v>
      </c>
      <c r="BV1441" s="992">
        <f>IF(AND(Input_Product=Elig!$C1441,Elig_MatchAll_Ct&lt;22,$BC1441=(Elig_MatchAll_Ct-1),AT1441=0),Q1441,0)</f>
        <v>0</v>
      </c>
      <c r="BW1441" s="993">
        <f>IF(AND(Input_Product=Elig!$C1441,Elig_MatchAll_Ct&lt;22,$BC1441=(Elig_MatchAll_Ct-1),AU1441=0),R1441,0)</f>
        <v>0</v>
      </c>
      <c r="BX1441" s="994">
        <f>IF(AND(Input_Product=Elig!$C1441,Elig_MatchAll_Ct&lt;22,$BC1441=(Elig_MatchAll_Ct-1),AU1441=0),S1441,0)</f>
        <v>0</v>
      </c>
      <c r="BY1441" s="993">
        <f>IF(AND(Input_Product=Elig!$C1441,Elig_MatchAll_Ct&lt;22,$BC1441=(Elig_MatchAll_Ct-1),AV1441=0),T1441,0)</f>
        <v>0</v>
      </c>
      <c r="BZ1441" s="994">
        <f>IF(AND(Input_Product=Elig!$C1441,Elig_MatchAll_Ct&lt;22,$BC1441=(Elig_MatchAll_Ct-1),AV1441=0),U1441,0)</f>
        <v>0</v>
      </c>
      <c r="CA1441" s="993">
        <f>IF(AND(Input_Product=Elig!$C1441,Elig_MatchAll_Ct&lt;22,$BC1441=(Elig_MatchAll_Ct-1),AW1441=0),V1441,0)</f>
        <v>0</v>
      </c>
      <c r="CB1441" s="994">
        <f>IF(AND(Input_Product=Elig!$C1441,Elig_MatchAll_Ct&lt;22,$BC1441=(Elig_MatchAll_Ct-1),AW1441=0),W1441,0)</f>
        <v>0</v>
      </c>
      <c r="CC1441" s="993">
        <f>IF(AND(Input_Product=Elig!$C1441,Elig_MatchAll_Ct&lt;22,$BC1441=(Elig_MatchAll_Ct-1),AX1441=0),X1441,0)</f>
        <v>0</v>
      </c>
      <c r="CD1441" s="994">
        <f>IF(AND(Input_Product=Elig!$C1441,Elig_MatchAll_Ct&lt;22,$BC1441=(Elig_MatchAll_Ct-1),AX1441=0),Y1441,0)</f>
        <v>0</v>
      </c>
      <c r="CE1441" s="993">
        <f>IF(AND(Input_LTV&lt;=AE1441,Input_Product=Elig!$C1441,Elig_MatchAll_Ct&lt;22,$BC1441=(Elig_MatchAll_Ct-1),AY1441=0),Z1441,0)</f>
        <v>0</v>
      </c>
      <c r="CF1441" s="994">
        <f>IF(AND(Input_LTV&lt;=AE1441,Input_Product=Elig!$C1441,Elig_MatchAll_Ct&lt;22,$BC1441=(Elig_MatchAll_Ct-1),AY1441=0),AA1441,0)</f>
        <v>0</v>
      </c>
      <c r="CG1441" s="993">
        <f>IF(AND(Input_Product=Elig!$C1441,Elig_MatchAll_Ct&lt;22,$BC1441=(Elig_MatchAll_Ct-1),AZ1441=0),AB1441,0)</f>
        <v>0</v>
      </c>
      <c r="CH1441" s="994">
        <f>IF(AND(Input_Product=Elig!$C1441,Elig_MatchAll_Ct&lt;22,$BC1441=(Elig_MatchAll_Ct-1),AZ1441=0),AC1441,0)</f>
        <v>0</v>
      </c>
      <c r="CI1441" s="993">
        <f>IF(AND(Input_Product=Elig!$C1441,Elig_MatchAll_Ct&lt;22,$BC1441=(Elig_MatchAll_Ct-1),BA1441=0),AD1441,0)</f>
        <v>0</v>
      </c>
      <c r="CJ1441" s="994">
        <f>IF(AND(Input_Product=Elig!$C1441,Elig_MatchAll_Ct&lt;22,$BC1441=(Elig_MatchAll_Ct-1),BA1441=0),AE1441,0)</f>
        <v>0</v>
      </c>
    </row>
    <row r="1442" spans="2:88" ht="10.15" customHeight="1" x14ac:dyDescent="0.25">
      <c r="B1442" s="1554" t="s">
        <v>2830</v>
      </c>
      <c r="C1442" s="1554" t="str">
        <f t="shared" si="500"/>
        <v xml:space="preserve">  OO</v>
      </c>
      <c r="D1442" s="1554" t="s">
        <v>2764</v>
      </c>
      <c r="E1442" s="1554" t="s">
        <v>167</v>
      </c>
      <c r="F1442" s="1554" t="s">
        <v>2765</v>
      </c>
      <c r="G1442" s="1554" t="s">
        <v>2810</v>
      </c>
      <c r="H1442" s="1554" t="s">
        <v>2767</v>
      </c>
      <c r="I1442" s="1555" t="s">
        <v>35</v>
      </c>
      <c r="J1442" s="1555" t="s">
        <v>1311</v>
      </c>
      <c r="K1442" s="1555" t="s">
        <v>3023</v>
      </c>
      <c r="L1442" s="1554" t="s">
        <v>3920</v>
      </c>
      <c r="M1442" s="1554" t="s">
        <v>4203</v>
      </c>
      <c r="N1442" s="1554" t="s">
        <v>2685</v>
      </c>
      <c r="O1442" s="1554" t="s">
        <v>310</v>
      </c>
      <c r="P1442" s="1554" t="s">
        <v>291</v>
      </c>
      <c r="Q1442" s="1554" t="s">
        <v>294</v>
      </c>
      <c r="R1442" s="1554">
        <v>1000000.01</v>
      </c>
      <c r="S1442" s="1554">
        <v>1500000</v>
      </c>
      <c r="T1442" s="1554">
        <v>0</v>
      </c>
      <c r="U1442" s="1554">
        <v>0</v>
      </c>
      <c r="V1442" s="1554">
        <v>0</v>
      </c>
      <c r="W1442" s="1554">
        <v>50</v>
      </c>
      <c r="X1442" s="1554">
        <v>0</v>
      </c>
      <c r="Y1442" s="1554">
        <v>0</v>
      </c>
      <c r="Z1442" s="1556">
        <v>680</v>
      </c>
      <c r="AA1442" s="1556">
        <v>699</v>
      </c>
      <c r="AB1442" s="1556">
        <v>3</v>
      </c>
      <c r="AC1442" s="1556">
        <v>999999</v>
      </c>
      <c r="AD1442" s="1554">
        <v>0</v>
      </c>
      <c r="AE1442" s="1557">
        <v>75</v>
      </c>
      <c r="AF1442" s="170">
        <v>0</v>
      </c>
      <c r="AG1442" s="171">
        <v>1</v>
      </c>
      <c r="AH1442" s="171">
        <v>1</v>
      </c>
      <c r="AI1442" s="171">
        <v>1</v>
      </c>
      <c r="AJ1442" s="171">
        <v>1</v>
      </c>
      <c r="AK1442" s="171">
        <v>1</v>
      </c>
      <c r="AL1442" s="171">
        <v>0</v>
      </c>
      <c r="AM1442" s="171">
        <v>1</v>
      </c>
      <c r="AN1442" s="171">
        <v>1</v>
      </c>
      <c r="AO1442" s="171">
        <v>1</v>
      </c>
      <c r="AP1442" s="171">
        <v>1</v>
      </c>
      <c r="AQ1442" s="171">
        <v>1</v>
      </c>
      <c r="AR1442" s="171">
        <v>1</v>
      </c>
      <c r="AS1442" s="171">
        <v>1</v>
      </c>
      <c r="AT1442" s="171">
        <v>1</v>
      </c>
      <c r="AU1442" s="171">
        <f t="shared" si="488"/>
        <v>0</v>
      </c>
      <c r="AV1442" s="171">
        <f t="shared" si="489"/>
        <v>0</v>
      </c>
      <c r="AW1442" s="171">
        <f t="shared" si="490"/>
        <v>1</v>
      </c>
      <c r="AX1442" s="171">
        <f t="shared" si="499"/>
        <v>1</v>
      </c>
      <c r="AY1442" s="171">
        <f t="shared" si="491"/>
        <v>0</v>
      </c>
      <c r="AZ1442" s="171">
        <f t="shared" si="492"/>
        <v>1</v>
      </c>
      <c r="BA1442" s="172">
        <f t="shared" si="493"/>
        <v>1</v>
      </c>
      <c r="BB1442" s="175">
        <f t="shared" si="495"/>
        <v>17</v>
      </c>
      <c r="BC1442" s="176">
        <f t="shared" si="496"/>
        <v>16</v>
      </c>
      <c r="BD1442" s="176">
        <f t="shared" si="497"/>
        <v>17</v>
      </c>
      <c r="BE1442" s="240" t="str">
        <f t="shared" si="487"/>
        <v/>
      </c>
      <c r="BF1442" s="990"/>
      <c r="BG1442" s="990"/>
      <c r="BH1442" s="991">
        <f>IF(AND(Input_Product=Elig!$C1442,Elig_MatchAll_Ct&lt;22,$BC1442=(Elig_MatchAll_Ct-1),AF1442=0),C1442,0)</f>
        <v>0</v>
      </c>
      <c r="BI1442" s="991">
        <f>IF(AND(Input_Product=Elig!$C1442,Elig_MatchAll_Ct&lt;22,$BC1442=(Elig_MatchAll_Ct-1),AG1442=0),D1442,0)</f>
        <v>0</v>
      </c>
      <c r="BJ1442" s="991">
        <f>IF(AND(Input_Product=Elig!$C1442,Elig_MatchAll_Ct&lt;22,$BC1442=(Elig_MatchAll_Ct-1),AH1442=0),E1442,0)</f>
        <v>0</v>
      </c>
      <c r="BK1442" s="991">
        <f>IF(AND(Input_Product=Elig!$C1442,Elig_MatchAll_Ct&lt;22,$BC1442=(Elig_MatchAll_Ct-1),AI1442=0),F1442,0)</f>
        <v>0</v>
      </c>
      <c r="BL1442" s="991">
        <f>IF(AND(Input_Product=Elig!$C1442,Elig_MatchAll_Ct&lt;22,$BC1442=(Elig_MatchAll_Ct-1),AJ1442=0),G1442,0)</f>
        <v>0</v>
      </c>
      <c r="BM1442" s="991">
        <f>IF(AND(Input_Product=Elig!$C1442,Elig_MatchAll_Ct&lt;22,$BC1442=(Elig_MatchAll_Ct-1),AK1442=0),H1442,0)</f>
        <v>0</v>
      </c>
      <c r="BN1442" s="991">
        <f>IF(AND(Input_Product=Elig!$C1442,Elig_MatchAll_Ct&lt;22,$BC1442=(Elig_MatchAll_Ct-1),AL1442=0),I1442,0)</f>
        <v>0</v>
      </c>
      <c r="BO1442" s="991">
        <f>IF(AND(Input_Product=Elig!$C1442,Elig_MatchAll_Ct&lt;22,$BC1442=(Elig_MatchAll_Ct-1),AM1442=0),J1442,0)</f>
        <v>0</v>
      </c>
      <c r="BP1442" s="991">
        <f>IF(AND(Input_Product=Elig!$C1442,Elig_MatchAll_Ct&lt;22,$BC1442=(Elig_MatchAll_Ct-1),AN1442=0),K1442,0)</f>
        <v>0</v>
      </c>
      <c r="BQ1442" s="991">
        <f>IF(AND(Input_Product=Elig!$C1442,Elig_MatchAll_Ct&lt;22,$BC1442=(Elig_MatchAll_Ct-1),AP1442=0),L1442,0)</f>
        <v>0</v>
      </c>
      <c r="BR1442" s="991">
        <f>IF(AND(Input_Product=Elig!$C1442,Elig_MatchAll_Ct&lt;22,$BC1442=(Elig_MatchAll_Ct-1),AO1442=0),M1442,0)</f>
        <v>0</v>
      </c>
      <c r="BS1442" s="991">
        <f>IF(AND(Input_Product=Elig!$C1442,Elig_MatchAll_Ct&lt;22,$BC1442=(Elig_MatchAll_Ct-1),AQ1442=0),N1442,0)</f>
        <v>0</v>
      </c>
      <c r="BT1442" s="991">
        <f>IF(AND(Input_Product=Elig!$C1442,Elig_MatchAll_Ct&lt;22,$BC1442=(Elig_MatchAll_Ct-1),AR1442=0),O1442,0)</f>
        <v>0</v>
      </c>
      <c r="BU1442" s="991">
        <f>IF(AND(Input_Product=Elig!$C1442,Elig_MatchAll_Ct&lt;22,$BC1442=(Elig_MatchAll_Ct-1),AS1442=0),P1442,0)</f>
        <v>0</v>
      </c>
      <c r="BV1442" s="992">
        <f>IF(AND(Input_Product=Elig!$C1442,Elig_MatchAll_Ct&lt;22,$BC1442=(Elig_MatchAll_Ct-1),AT1442=0),Q1442,0)</f>
        <v>0</v>
      </c>
      <c r="BW1442" s="993">
        <f>IF(AND(Input_Product=Elig!$C1442,Elig_MatchAll_Ct&lt;22,$BC1442=(Elig_MatchAll_Ct-1),AU1442=0),R1442,0)</f>
        <v>0</v>
      </c>
      <c r="BX1442" s="994">
        <f>IF(AND(Input_Product=Elig!$C1442,Elig_MatchAll_Ct&lt;22,$BC1442=(Elig_MatchAll_Ct-1),AU1442=0),S1442,0)</f>
        <v>0</v>
      </c>
      <c r="BY1442" s="993">
        <f>IF(AND(Input_Product=Elig!$C1442,Elig_MatchAll_Ct&lt;22,$BC1442=(Elig_MatchAll_Ct-1),AV1442=0),T1442,0)</f>
        <v>0</v>
      </c>
      <c r="BZ1442" s="994">
        <f>IF(AND(Input_Product=Elig!$C1442,Elig_MatchAll_Ct&lt;22,$BC1442=(Elig_MatchAll_Ct-1),AV1442=0),U1442,0)</f>
        <v>0</v>
      </c>
      <c r="CA1442" s="993">
        <f>IF(AND(Input_Product=Elig!$C1442,Elig_MatchAll_Ct&lt;22,$BC1442=(Elig_MatchAll_Ct-1),AW1442=0),V1442,0)</f>
        <v>0</v>
      </c>
      <c r="CB1442" s="994">
        <f>IF(AND(Input_Product=Elig!$C1442,Elig_MatchAll_Ct&lt;22,$BC1442=(Elig_MatchAll_Ct-1),AW1442=0),W1442,0)</f>
        <v>0</v>
      </c>
      <c r="CC1442" s="993">
        <f>IF(AND(Input_Product=Elig!$C1442,Elig_MatchAll_Ct&lt;22,$BC1442=(Elig_MatchAll_Ct-1),AX1442=0),X1442,0)</f>
        <v>0</v>
      </c>
      <c r="CD1442" s="994">
        <f>IF(AND(Input_Product=Elig!$C1442,Elig_MatchAll_Ct&lt;22,$BC1442=(Elig_MatchAll_Ct-1),AX1442=0),Y1442,0)</f>
        <v>0</v>
      </c>
      <c r="CE1442" s="993">
        <f>IF(AND(Input_LTV&lt;=AE1442,Input_Product=Elig!$C1442,Elig_MatchAll_Ct&lt;22,$BC1442=(Elig_MatchAll_Ct-1),AY1442=0),Z1442,0)</f>
        <v>0</v>
      </c>
      <c r="CF1442" s="994">
        <f>IF(AND(Input_LTV&lt;=AE1442,Input_Product=Elig!$C1442,Elig_MatchAll_Ct&lt;22,$BC1442=(Elig_MatchAll_Ct-1),AY1442=0),AA1442,0)</f>
        <v>0</v>
      </c>
      <c r="CG1442" s="993">
        <f>IF(AND(Input_Product=Elig!$C1442,Elig_MatchAll_Ct&lt;22,$BC1442=(Elig_MatchAll_Ct-1),AZ1442=0),AB1442,0)</f>
        <v>0</v>
      </c>
      <c r="CH1442" s="994">
        <f>IF(AND(Input_Product=Elig!$C1442,Elig_MatchAll_Ct&lt;22,$BC1442=(Elig_MatchAll_Ct-1),AZ1442=0),AC1442,0)</f>
        <v>0</v>
      </c>
      <c r="CI1442" s="993">
        <f>IF(AND(Input_Product=Elig!$C1442,Elig_MatchAll_Ct&lt;22,$BC1442=(Elig_MatchAll_Ct-1),BA1442=0),AD1442,0)</f>
        <v>0</v>
      </c>
      <c r="CJ1442" s="994">
        <f>IF(AND(Input_Product=Elig!$C1442,Elig_MatchAll_Ct&lt;22,$BC1442=(Elig_MatchAll_Ct-1),BA1442=0),AE1442,0)</f>
        <v>0</v>
      </c>
    </row>
    <row r="1443" spans="2:88" ht="10.15" customHeight="1" x14ac:dyDescent="0.25">
      <c r="B1443" s="1554" t="s">
        <v>2831</v>
      </c>
      <c r="C1443" s="1554" t="str">
        <f t="shared" si="500"/>
        <v xml:space="preserve">  OO</v>
      </c>
      <c r="D1443" s="1554" t="s">
        <v>2764</v>
      </c>
      <c r="E1443" s="1554" t="s">
        <v>167</v>
      </c>
      <c r="F1443" s="1554" t="s">
        <v>2765</v>
      </c>
      <c r="G1443" s="1554" t="s">
        <v>2810</v>
      </c>
      <c r="H1443" s="1554" t="s">
        <v>2767</v>
      </c>
      <c r="I1443" s="1555" t="s">
        <v>35</v>
      </c>
      <c r="J1443" s="1555" t="s">
        <v>1311</v>
      </c>
      <c r="K1443" s="1555" t="s">
        <v>3023</v>
      </c>
      <c r="L1443" s="1554" t="s">
        <v>3920</v>
      </c>
      <c r="M1443" s="1554" t="s">
        <v>4203</v>
      </c>
      <c r="N1443" s="1554" t="s">
        <v>2685</v>
      </c>
      <c r="O1443" s="1554" t="s">
        <v>310</v>
      </c>
      <c r="P1443" s="1554" t="s">
        <v>291</v>
      </c>
      <c r="Q1443" s="1554" t="s">
        <v>294</v>
      </c>
      <c r="R1443" s="1554">
        <v>1500000.01</v>
      </c>
      <c r="S1443" s="1554">
        <v>2000000</v>
      </c>
      <c r="T1443" s="1554">
        <v>0</v>
      </c>
      <c r="U1443" s="1554">
        <v>0</v>
      </c>
      <c r="V1443" s="1554">
        <v>0</v>
      </c>
      <c r="W1443" s="1554">
        <v>50</v>
      </c>
      <c r="X1443" s="1554">
        <v>0</v>
      </c>
      <c r="Y1443" s="1554">
        <v>0</v>
      </c>
      <c r="Z1443" s="1556">
        <v>680</v>
      </c>
      <c r="AA1443" s="1556">
        <v>699</v>
      </c>
      <c r="AB1443" s="1556">
        <v>3</v>
      </c>
      <c r="AC1443" s="1556">
        <v>999999</v>
      </c>
      <c r="AD1443" s="1554">
        <v>0</v>
      </c>
      <c r="AE1443" s="1557">
        <v>70</v>
      </c>
      <c r="AF1443" s="170">
        <v>0</v>
      </c>
      <c r="AG1443" s="171">
        <v>1</v>
      </c>
      <c r="AH1443" s="171">
        <v>1</v>
      </c>
      <c r="AI1443" s="171">
        <v>1</v>
      </c>
      <c r="AJ1443" s="171">
        <v>1</v>
      </c>
      <c r="AK1443" s="171">
        <v>1</v>
      </c>
      <c r="AL1443" s="171">
        <v>0</v>
      </c>
      <c r="AM1443" s="171">
        <v>1</v>
      </c>
      <c r="AN1443" s="171">
        <v>1</v>
      </c>
      <c r="AO1443" s="171">
        <v>1</v>
      </c>
      <c r="AP1443" s="171">
        <v>1</v>
      </c>
      <c r="AQ1443" s="171">
        <v>1</v>
      </c>
      <c r="AR1443" s="171">
        <v>1</v>
      </c>
      <c r="AS1443" s="171">
        <v>1</v>
      </c>
      <c r="AT1443" s="171">
        <v>1</v>
      </c>
      <c r="AU1443" s="171">
        <f t="shared" si="488"/>
        <v>0</v>
      </c>
      <c r="AV1443" s="171">
        <f t="shared" si="489"/>
        <v>0</v>
      </c>
      <c r="AW1443" s="171">
        <f t="shared" si="490"/>
        <v>1</v>
      </c>
      <c r="AX1443" s="171">
        <f t="shared" si="499"/>
        <v>1</v>
      </c>
      <c r="AY1443" s="171">
        <f t="shared" si="491"/>
        <v>0</v>
      </c>
      <c r="AZ1443" s="171">
        <f t="shared" si="492"/>
        <v>1</v>
      </c>
      <c r="BA1443" s="172">
        <f t="shared" si="493"/>
        <v>1</v>
      </c>
      <c r="BB1443" s="175">
        <f t="shared" si="495"/>
        <v>17</v>
      </c>
      <c r="BC1443" s="176">
        <f t="shared" si="496"/>
        <v>16</v>
      </c>
      <c r="BD1443" s="176">
        <f t="shared" si="497"/>
        <v>17</v>
      </c>
      <c r="BE1443" s="240" t="str">
        <f t="shared" si="487"/>
        <v/>
      </c>
      <c r="BF1443" s="990"/>
      <c r="BG1443" s="990"/>
      <c r="BH1443" s="991">
        <f>IF(AND(Input_Product=Elig!$C1443,Elig_MatchAll_Ct&lt;22,$BC1443=(Elig_MatchAll_Ct-1),AF1443=0),C1443,0)</f>
        <v>0</v>
      </c>
      <c r="BI1443" s="991">
        <f>IF(AND(Input_Product=Elig!$C1443,Elig_MatchAll_Ct&lt;22,$BC1443=(Elig_MatchAll_Ct-1),AG1443=0),D1443,0)</f>
        <v>0</v>
      </c>
      <c r="BJ1443" s="991">
        <f>IF(AND(Input_Product=Elig!$C1443,Elig_MatchAll_Ct&lt;22,$BC1443=(Elig_MatchAll_Ct-1),AH1443=0),E1443,0)</f>
        <v>0</v>
      </c>
      <c r="BK1443" s="991">
        <f>IF(AND(Input_Product=Elig!$C1443,Elig_MatchAll_Ct&lt;22,$BC1443=(Elig_MatchAll_Ct-1),AI1443=0),F1443,0)</f>
        <v>0</v>
      </c>
      <c r="BL1443" s="991">
        <f>IF(AND(Input_Product=Elig!$C1443,Elig_MatchAll_Ct&lt;22,$BC1443=(Elig_MatchAll_Ct-1),AJ1443=0),G1443,0)</f>
        <v>0</v>
      </c>
      <c r="BM1443" s="991">
        <f>IF(AND(Input_Product=Elig!$C1443,Elig_MatchAll_Ct&lt;22,$BC1443=(Elig_MatchAll_Ct-1),AK1443=0),H1443,0)</f>
        <v>0</v>
      </c>
      <c r="BN1443" s="991">
        <f>IF(AND(Input_Product=Elig!$C1443,Elig_MatchAll_Ct&lt;22,$BC1443=(Elig_MatchAll_Ct-1),AL1443=0),I1443,0)</f>
        <v>0</v>
      </c>
      <c r="BO1443" s="991">
        <f>IF(AND(Input_Product=Elig!$C1443,Elig_MatchAll_Ct&lt;22,$BC1443=(Elig_MatchAll_Ct-1),AM1443=0),J1443,0)</f>
        <v>0</v>
      </c>
      <c r="BP1443" s="991">
        <f>IF(AND(Input_Product=Elig!$C1443,Elig_MatchAll_Ct&lt;22,$BC1443=(Elig_MatchAll_Ct-1),AN1443=0),K1443,0)</f>
        <v>0</v>
      </c>
      <c r="BQ1443" s="991">
        <f>IF(AND(Input_Product=Elig!$C1443,Elig_MatchAll_Ct&lt;22,$BC1443=(Elig_MatchAll_Ct-1),AP1443=0),L1443,0)</f>
        <v>0</v>
      </c>
      <c r="BR1443" s="991">
        <f>IF(AND(Input_Product=Elig!$C1443,Elig_MatchAll_Ct&lt;22,$BC1443=(Elig_MatchAll_Ct-1),AO1443=0),M1443,0)</f>
        <v>0</v>
      </c>
      <c r="BS1443" s="991">
        <f>IF(AND(Input_Product=Elig!$C1443,Elig_MatchAll_Ct&lt;22,$BC1443=(Elig_MatchAll_Ct-1),AQ1443=0),N1443,0)</f>
        <v>0</v>
      </c>
      <c r="BT1443" s="991">
        <f>IF(AND(Input_Product=Elig!$C1443,Elig_MatchAll_Ct&lt;22,$BC1443=(Elig_MatchAll_Ct-1),AR1443=0),O1443,0)</f>
        <v>0</v>
      </c>
      <c r="BU1443" s="991">
        <f>IF(AND(Input_Product=Elig!$C1443,Elig_MatchAll_Ct&lt;22,$BC1443=(Elig_MatchAll_Ct-1),AS1443=0),P1443,0)</f>
        <v>0</v>
      </c>
      <c r="BV1443" s="992">
        <f>IF(AND(Input_Product=Elig!$C1443,Elig_MatchAll_Ct&lt;22,$BC1443=(Elig_MatchAll_Ct-1),AT1443=0),Q1443,0)</f>
        <v>0</v>
      </c>
      <c r="BW1443" s="993">
        <f>IF(AND(Input_Product=Elig!$C1443,Elig_MatchAll_Ct&lt;22,$BC1443=(Elig_MatchAll_Ct-1),AU1443=0),R1443,0)</f>
        <v>0</v>
      </c>
      <c r="BX1443" s="994">
        <f>IF(AND(Input_Product=Elig!$C1443,Elig_MatchAll_Ct&lt;22,$BC1443=(Elig_MatchAll_Ct-1),AU1443=0),S1443,0)</f>
        <v>0</v>
      </c>
      <c r="BY1443" s="993">
        <f>IF(AND(Input_Product=Elig!$C1443,Elig_MatchAll_Ct&lt;22,$BC1443=(Elig_MatchAll_Ct-1),AV1443=0),T1443,0)</f>
        <v>0</v>
      </c>
      <c r="BZ1443" s="994">
        <f>IF(AND(Input_Product=Elig!$C1443,Elig_MatchAll_Ct&lt;22,$BC1443=(Elig_MatchAll_Ct-1),AV1443=0),U1443,0)</f>
        <v>0</v>
      </c>
      <c r="CA1443" s="993">
        <f>IF(AND(Input_Product=Elig!$C1443,Elig_MatchAll_Ct&lt;22,$BC1443=(Elig_MatchAll_Ct-1),AW1443=0),V1443,0)</f>
        <v>0</v>
      </c>
      <c r="CB1443" s="994">
        <f>IF(AND(Input_Product=Elig!$C1443,Elig_MatchAll_Ct&lt;22,$BC1443=(Elig_MatchAll_Ct-1),AW1443=0),W1443,0)</f>
        <v>0</v>
      </c>
      <c r="CC1443" s="993">
        <f>IF(AND(Input_Product=Elig!$C1443,Elig_MatchAll_Ct&lt;22,$BC1443=(Elig_MatchAll_Ct-1),AX1443=0),X1443,0)</f>
        <v>0</v>
      </c>
      <c r="CD1443" s="994">
        <f>IF(AND(Input_Product=Elig!$C1443,Elig_MatchAll_Ct&lt;22,$BC1443=(Elig_MatchAll_Ct-1),AX1443=0),Y1443,0)</f>
        <v>0</v>
      </c>
      <c r="CE1443" s="993">
        <f>IF(AND(Input_LTV&lt;=AE1443,Input_Product=Elig!$C1443,Elig_MatchAll_Ct&lt;22,$BC1443=(Elig_MatchAll_Ct-1),AY1443=0),Z1443,0)</f>
        <v>0</v>
      </c>
      <c r="CF1443" s="994">
        <f>IF(AND(Input_LTV&lt;=AE1443,Input_Product=Elig!$C1443,Elig_MatchAll_Ct&lt;22,$BC1443=(Elig_MatchAll_Ct-1),AY1443=0),AA1443,0)</f>
        <v>0</v>
      </c>
      <c r="CG1443" s="993">
        <f>IF(AND(Input_Product=Elig!$C1443,Elig_MatchAll_Ct&lt;22,$BC1443=(Elig_MatchAll_Ct-1),AZ1443=0),AB1443,0)</f>
        <v>0</v>
      </c>
      <c r="CH1443" s="994">
        <f>IF(AND(Input_Product=Elig!$C1443,Elig_MatchAll_Ct&lt;22,$BC1443=(Elig_MatchAll_Ct-1),AZ1443=0),AC1443,0)</f>
        <v>0</v>
      </c>
      <c r="CI1443" s="993">
        <f>IF(AND(Input_Product=Elig!$C1443,Elig_MatchAll_Ct&lt;22,$BC1443=(Elig_MatchAll_Ct-1),BA1443=0),AD1443,0)</f>
        <v>0</v>
      </c>
      <c r="CJ1443" s="994">
        <f>IF(AND(Input_Product=Elig!$C1443,Elig_MatchAll_Ct&lt;22,$BC1443=(Elig_MatchAll_Ct-1),BA1443=0),AE1443,0)</f>
        <v>0</v>
      </c>
    </row>
    <row r="1444" spans="2:88" ht="10.15" customHeight="1" x14ac:dyDescent="0.25">
      <c r="B1444" s="1554" t="s">
        <v>2832</v>
      </c>
      <c r="C1444" s="1554" t="str">
        <f t="shared" si="500"/>
        <v xml:space="preserve">  OO</v>
      </c>
      <c r="D1444" s="1554" t="s">
        <v>2764</v>
      </c>
      <c r="E1444" s="1554" t="s">
        <v>167</v>
      </c>
      <c r="F1444" s="1554" t="s">
        <v>2765</v>
      </c>
      <c r="G1444" s="1554" t="s">
        <v>2810</v>
      </c>
      <c r="H1444" s="1554" t="s">
        <v>2767</v>
      </c>
      <c r="I1444" s="1555" t="s">
        <v>35</v>
      </c>
      <c r="J1444" s="1555" t="s">
        <v>1311</v>
      </c>
      <c r="K1444" s="1555" t="s">
        <v>3023</v>
      </c>
      <c r="L1444" s="1554" t="s">
        <v>3920</v>
      </c>
      <c r="M1444" s="1554" t="s">
        <v>4203</v>
      </c>
      <c r="N1444" s="1554" t="s">
        <v>2685</v>
      </c>
      <c r="O1444" s="1554" t="s">
        <v>310</v>
      </c>
      <c r="P1444" s="1554" t="s">
        <v>291</v>
      </c>
      <c r="Q1444" s="1554" t="s">
        <v>294</v>
      </c>
      <c r="R1444" s="1554">
        <v>2000000.01</v>
      </c>
      <c r="S1444" s="1554">
        <v>3000000</v>
      </c>
      <c r="T1444" s="1554">
        <v>0</v>
      </c>
      <c r="U1444" s="1554">
        <v>0</v>
      </c>
      <c r="V1444" s="1554">
        <v>0</v>
      </c>
      <c r="W1444" s="1554">
        <v>50</v>
      </c>
      <c r="X1444" s="1554">
        <v>0</v>
      </c>
      <c r="Y1444" s="1554">
        <v>0</v>
      </c>
      <c r="Z1444" s="1556">
        <v>680</v>
      </c>
      <c r="AA1444" s="1556">
        <v>699</v>
      </c>
      <c r="AB1444" s="1556">
        <v>3</v>
      </c>
      <c r="AC1444" s="1556">
        <v>999999</v>
      </c>
      <c r="AD1444" s="1554">
        <v>0</v>
      </c>
      <c r="AE1444" s="1557">
        <v>65</v>
      </c>
      <c r="AF1444" s="170">
        <v>0</v>
      </c>
      <c r="AG1444" s="171">
        <v>1</v>
      </c>
      <c r="AH1444" s="171">
        <v>1</v>
      </c>
      <c r="AI1444" s="171">
        <v>1</v>
      </c>
      <c r="AJ1444" s="171">
        <v>1</v>
      </c>
      <c r="AK1444" s="171">
        <v>1</v>
      </c>
      <c r="AL1444" s="171">
        <v>0</v>
      </c>
      <c r="AM1444" s="171">
        <v>1</v>
      </c>
      <c r="AN1444" s="171">
        <v>1</v>
      </c>
      <c r="AO1444" s="171">
        <v>1</v>
      </c>
      <c r="AP1444" s="171">
        <v>1</v>
      </c>
      <c r="AQ1444" s="171">
        <v>1</v>
      </c>
      <c r="AR1444" s="171">
        <v>1</v>
      </c>
      <c r="AS1444" s="171">
        <v>1</v>
      </c>
      <c r="AT1444" s="171">
        <v>1</v>
      </c>
      <c r="AU1444" s="171">
        <f t="shared" si="488"/>
        <v>0</v>
      </c>
      <c r="AV1444" s="171">
        <f t="shared" si="489"/>
        <v>0</v>
      </c>
      <c r="AW1444" s="171">
        <f t="shared" si="490"/>
        <v>1</v>
      </c>
      <c r="AX1444" s="171">
        <f t="shared" si="499"/>
        <v>1</v>
      </c>
      <c r="AY1444" s="171">
        <f t="shared" si="491"/>
        <v>0</v>
      </c>
      <c r="AZ1444" s="171">
        <f t="shared" si="492"/>
        <v>1</v>
      </c>
      <c r="BA1444" s="172">
        <f t="shared" si="493"/>
        <v>1</v>
      </c>
      <c r="BB1444" s="175">
        <f t="shared" si="495"/>
        <v>17</v>
      </c>
      <c r="BC1444" s="176">
        <f t="shared" si="496"/>
        <v>16</v>
      </c>
      <c r="BD1444" s="176">
        <f t="shared" si="497"/>
        <v>17</v>
      </c>
      <c r="BE1444" s="240" t="str">
        <f t="shared" si="487"/>
        <v/>
      </c>
      <c r="BF1444" s="990"/>
      <c r="BG1444" s="990"/>
      <c r="BH1444" s="991">
        <f>IF(AND(Input_Product=Elig!$C1444,Elig_MatchAll_Ct&lt;22,$BC1444=(Elig_MatchAll_Ct-1),AF1444=0),C1444,0)</f>
        <v>0</v>
      </c>
      <c r="BI1444" s="991">
        <f>IF(AND(Input_Product=Elig!$C1444,Elig_MatchAll_Ct&lt;22,$BC1444=(Elig_MatchAll_Ct-1),AG1444=0),D1444,0)</f>
        <v>0</v>
      </c>
      <c r="BJ1444" s="991">
        <f>IF(AND(Input_Product=Elig!$C1444,Elig_MatchAll_Ct&lt;22,$BC1444=(Elig_MatchAll_Ct-1),AH1444=0),E1444,0)</f>
        <v>0</v>
      </c>
      <c r="BK1444" s="991">
        <f>IF(AND(Input_Product=Elig!$C1444,Elig_MatchAll_Ct&lt;22,$BC1444=(Elig_MatchAll_Ct-1),AI1444=0),F1444,0)</f>
        <v>0</v>
      </c>
      <c r="BL1444" s="991">
        <f>IF(AND(Input_Product=Elig!$C1444,Elig_MatchAll_Ct&lt;22,$BC1444=(Elig_MatchAll_Ct-1),AJ1444=0),G1444,0)</f>
        <v>0</v>
      </c>
      <c r="BM1444" s="991">
        <f>IF(AND(Input_Product=Elig!$C1444,Elig_MatchAll_Ct&lt;22,$BC1444=(Elig_MatchAll_Ct-1),AK1444=0),H1444,0)</f>
        <v>0</v>
      </c>
      <c r="BN1444" s="991">
        <f>IF(AND(Input_Product=Elig!$C1444,Elig_MatchAll_Ct&lt;22,$BC1444=(Elig_MatchAll_Ct-1),AL1444=0),I1444,0)</f>
        <v>0</v>
      </c>
      <c r="BO1444" s="991">
        <f>IF(AND(Input_Product=Elig!$C1444,Elig_MatchAll_Ct&lt;22,$BC1444=(Elig_MatchAll_Ct-1),AM1444=0),J1444,0)</f>
        <v>0</v>
      </c>
      <c r="BP1444" s="991">
        <f>IF(AND(Input_Product=Elig!$C1444,Elig_MatchAll_Ct&lt;22,$BC1444=(Elig_MatchAll_Ct-1),AN1444=0),K1444,0)</f>
        <v>0</v>
      </c>
      <c r="BQ1444" s="991">
        <f>IF(AND(Input_Product=Elig!$C1444,Elig_MatchAll_Ct&lt;22,$BC1444=(Elig_MatchAll_Ct-1),AP1444=0),L1444,0)</f>
        <v>0</v>
      </c>
      <c r="BR1444" s="991">
        <f>IF(AND(Input_Product=Elig!$C1444,Elig_MatchAll_Ct&lt;22,$BC1444=(Elig_MatchAll_Ct-1),AO1444=0),M1444,0)</f>
        <v>0</v>
      </c>
      <c r="BS1444" s="991">
        <f>IF(AND(Input_Product=Elig!$C1444,Elig_MatchAll_Ct&lt;22,$BC1444=(Elig_MatchAll_Ct-1),AQ1444=0),N1444,0)</f>
        <v>0</v>
      </c>
      <c r="BT1444" s="991">
        <f>IF(AND(Input_Product=Elig!$C1444,Elig_MatchAll_Ct&lt;22,$BC1444=(Elig_MatchAll_Ct-1),AR1444=0),O1444,0)</f>
        <v>0</v>
      </c>
      <c r="BU1444" s="991">
        <f>IF(AND(Input_Product=Elig!$C1444,Elig_MatchAll_Ct&lt;22,$BC1444=(Elig_MatchAll_Ct-1),AS1444=0),P1444,0)</f>
        <v>0</v>
      </c>
      <c r="BV1444" s="992">
        <f>IF(AND(Input_Product=Elig!$C1444,Elig_MatchAll_Ct&lt;22,$BC1444=(Elig_MatchAll_Ct-1),AT1444=0),Q1444,0)</f>
        <v>0</v>
      </c>
      <c r="BW1444" s="993">
        <f>IF(AND(Input_Product=Elig!$C1444,Elig_MatchAll_Ct&lt;22,$BC1444=(Elig_MatchAll_Ct-1),AU1444=0),R1444,0)</f>
        <v>0</v>
      </c>
      <c r="BX1444" s="994">
        <f>IF(AND(Input_Product=Elig!$C1444,Elig_MatchAll_Ct&lt;22,$BC1444=(Elig_MatchAll_Ct-1),AU1444=0),S1444,0)</f>
        <v>0</v>
      </c>
      <c r="BY1444" s="993">
        <f>IF(AND(Input_Product=Elig!$C1444,Elig_MatchAll_Ct&lt;22,$BC1444=(Elig_MatchAll_Ct-1),AV1444=0),T1444,0)</f>
        <v>0</v>
      </c>
      <c r="BZ1444" s="994">
        <f>IF(AND(Input_Product=Elig!$C1444,Elig_MatchAll_Ct&lt;22,$BC1444=(Elig_MatchAll_Ct-1),AV1444=0),U1444,0)</f>
        <v>0</v>
      </c>
      <c r="CA1444" s="993">
        <f>IF(AND(Input_Product=Elig!$C1444,Elig_MatchAll_Ct&lt;22,$BC1444=(Elig_MatchAll_Ct-1),AW1444=0),V1444,0)</f>
        <v>0</v>
      </c>
      <c r="CB1444" s="994">
        <f>IF(AND(Input_Product=Elig!$C1444,Elig_MatchAll_Ct&lt;22,$BC1444=(Elig_MatchAll_Ct-1),AW1444=0),W1444,0)</f>
        <v>0</v>
      </c>
      <c r="CC1444" s="993">
        <f>IF(AND(Input_Product=Elig!$C1444,Elig_MatchAll_Ct&lt;22,$BC1444=(Elig_MatchAll_Ct-1),AX1444=0),X1444,0)</f>
        <v>0</v>
      </c>
      <c r="CD1444" s="994">
        <f>IF(AND(Input_Product=Elig!$C1444,Elig_MatchAll_Ct&lt;22,$BC1444=(Elig_MatchAll_Ct-1),AX1444=0),Y1444,0)</f>
        <v>0</v>
      </c>
      <c r="CE1444" s="993">
        <f>IF(AND(Input_LTV&lt;=AE1444,Input_Product=Elig!$C1444,Elig_MatchAll_Ct&lt;22,$BC1444=(Elig_MatchAll_Ct-1),AY1444=0),Z1444,0)</f>
        <v>0</v>
      </c>
      <c r="CF1444" s="994">
        <f>IF(AND(Input_LTV&lt;=AE1444,Input_Product=Elig!$C1444,Elig_MatchAll_Ct&lt;22,$BC1444=(Elig_MatchAll_Ct-1),AY1444=0),AA1444,0)</f>
        <v>0</v>
      </c>
      <c r="CG1444" s="993">
        <f>IF(AND(Input_Product=Elig!$C1444,Elig_MatchAll_Ct&lt;22,$BC1444=(Elig_MatchAll_Ct-1),AZ1444=0),AB1444,0)</f>
        <v>0</v>
      </c>
      <c r="CH1444" s="994">
        <f>IF(AND(Input_Product=Elig!$C1444,Elig_MatchAll_Ct&lt;22,$BC1444=(Elig_MatchAll_Ct-1),AZ1444=0),AC1444,0)</f>
        <v>0</v>
      </c>
      <c r="CI1444" s="993">
        <f>IF(AND(Input_Product=Elig!$C1444,Elig_MatchAll_Ct&lt;22,$BC1444=(Elig_MatchAll_Ct-1),BA1444=0),AD1444,0)</f>
        <v>0</v>
      </c>
      <c r="CJ1444" s="994">
        <f>IF(AND(Input_Product=Elig!$C1444,Elig_MatchAll_Ct&lt;22,$BC1444=(Elig_MatchAll_Ct-1),BA1444=0),AE1444,0)</f>
        <v>0</v>
      </c>
    </row>
    <row r="1445" spans="2:88" ht="10.15" customHeight="1" x14ac:dyDescent="0.25">
      <c r="B1445" s="1554" t="s">
        <v>2833</v>
      </c>
      <c r="C1445" s="1554" t="str">
        <f t="shared" si="500"/>
        <v xml:space="preserve">  OO</v>
      </c>
      <c r="D1445" s="1554" t="s">
        <v>2764</v>
      </c>
      <c r="E1445" s="1554" t="s">
        <v>167</v>
      </c>
      <c r="F1445" s="1554" t="s">
        <v>2765</v>
      </c>
      <c r="G1445" s="1554" t="s">
        <v>2810</v>
      </c>
      <c r="H1445" s="1554" t="s">
        <v>2767</v>
      </c>
      <c r="I1445" s="1555" t="s">
        <v>35</v>
      </c>
      <c r="J1445" s="1555" t="s">
        <v>1311</v>
      </c>
      <c r="K1445" s="1555" t="s">
        <v>3023</v>
      </c>
      <c r="L1445" s="1554" t="s">
        <v>3920</v>
      </c>
      <c r="M1445" s="1554" t="s">
        <v>4203</v>
      </c>
      <c r="N1445" s="1554" t="s">
        <v>2685</v>
      </c>
      <c r="O1445" s="1554" t="s">
        <v>310</v>
      </c>
      <c r="P1445" s="1554" t="s">
        <v>291</v>
      </c>
      <c r="Q1445" s="1554" t="s">
        <v>294</v>
      </c>
      <c r="R1445" s="1554">
        <v>150000</v>
      </c>
      <c r="S1445" s="1554">
        <v>1000000</v>
      </c>
      <c r="T1445" s="1554">
        <v>0</v>
      </c>
      <c r="U1445" s="1554">
        <v>0</v>
      </c>
      <c r="V1445" s="1554">
        <v>0</v>
      </c>
      <c r="W1445" s="1554">
        <v>50</v>
      </c>
      <c r="X1445" s="1554">
        <v>0</v>
      </c>
      <c r="Y1445" s="1554">
        <v>0</v>
      </c>
      <c r="Z1445" s="1556">
        <v>660</v>
      </c>
      <c r="AA1445" s="1556">
        <v>679</v>
      </c>
      <c r="AB1445" s="1556">
        <v>3</v>
      </c>
      <c r="AC1445" s="1556">
        <v>999999</v>
      </c>
      <c r="AD1445" s="1554">
        <v>0</v>
      </c>
      <c r="AE1445" s="1557">
        <v>80</v>
      </c>
      <c r="AF1445" s="170">
        <v>0</v>
      </c>
      <c r="AG1445" s="171">
        <v>1</v>
      </c>
      <c r="AH1445" s="171">
        <v>1</v>
      </c>
      <c r="AI1445" s="171">
        <v>1</v>
      </c>
      <c r="AJ1445" s="171">
        <v>1</v>
      </c>
      <c r="AK1445" s="171">
        <v>1</v>
      </c>
      <c r="AL1445" s="171">
        <v>0</v>
      </c>
      <c r="AM1445" s="171">
        <v>1</v>
      </c>
      <c r="AN1445" s="171">
        <v>1</v>
      </c>
      <c r="AO1445" s="171">
        <v>1</v>
      </c>
      <c r="AP1445" s="171">
        <v>1</v>
      </c>
      <c r="AQ1445" s="171">
        <v>1</v>
      </c>
      <c r="AR1445" s="171">
        <v>1</v>
      </c>
      <c r="AS1445" s="171">
        <v>1</v>
      </c>
      <c r="AT1445" s="171">
        <v>1</v>
      </c>
      <c r="AU1445" s="171">
        <f t="shared" si="488"/>
        <v>1</v>
      </c>
      <c r="AV1445" s="171">
        <f t="shared" si="489"/>
        <v>0</v>
      </c>
      <c r="AW1445" s="171">
        <f t="shared" si="490"/>
        <v>1</v>
      </c>
      <c r="AX1445" s="171">
        <f t="shared" si="499"/>
        <v>1</v>
      </c>
      <c r="AY1445" s="171">
        <f t="shared" si="491"/>
        <v>0</v>
      </c>
      <c r="AZ1445" s="171">
        <f t="shared" si="492"/>
        <v>1</v>
      </c>
      <c r="BA1445" s="172">
        <f t="shared" si="493"/>
        <v>1</v>
      </c>
      <c r="BB1445" s="175">
        <f t="shared" si="495"/>
        <v>18</v>
      </c>
      <c r="BC1445" s="176">
        <f t="shared" si="496"/>
        <v>17</v>
      </c>
      <c r="BD1445" s="176">
        <f t="shared" si="497"/>
        <v>18</v>
      </c>
      <c r="BE1445" s="240" t="str">
        <f t="shared" ref="BE1445:BE1508" si="501">IF(BD1445=21,C1445,"")</f>
        <v/>
      </c>
      <c r="BF1445" s="990"/>
      <c r="BG1445" s="990"/>
      <c r="BH1445" s="991">
        <f>IF(AND(Input_Product=Elig!$C1445,Elig_MatchAll_Ct&lt;22,$BC1445=(Elig_MatchAll_Ct-1),AF1445=0),C1445,0)</f>
        <v>0</v>
      </c>
      <c r="BI1445" s="991">
        <f>IF(AND(Input_Product=Elig!$C1445,Elig_MatchAll_Ct&lt;22,$BC1445=(Elig_MatchAll_Ct-1),AG1445=0),D1445,0)</f>
        <v>0</v>
      </c>
      <c r="BJ1445" s="991">
        <f>IF(AND(Input_Product=Elig!$C1445,Elig_MatchAll_Ct&lt;22,$BC1445=(Elig_MatchAll_Ct-1),AH1445=0),E1445,0)</f>
        <v>0</v>
      </c>
      <c r="BK1445" s="991">
        <f>IF(AND(Input_Product=Elig!$C1445,Elig_MatchAll_Ct&lt;22,$BC1445=(Elig_MatchAll_Ct-1),AI1445=0),F1445,0)</f>
        <v>0</v>
      </c>
      <c r="BL1445" s="991">
        <f>IF(AND(Input_Product=Elig!$C1445,Elig_MatchAll_Ct&lt;22,$BC1445=(Elig_MatchAll_Ct-1),AJ1445=0),G1445,0)</f>
        <v>0</v>
      </c>
      <c r="BM1445" s="991">
        <f>IF(AND(Input_Product=Elig!$C1445,Elig_MatchAll_Ct&lt;22,$BC1445=(Elig_MatchAll_Ct-1),AK1445=0),H1445,0)</f>
        <v>0</v>
      </c>
      <c r="BN1445" s="991">
        <f>IF(AND(Input_Product=Elig!$C1445,Elig_MatchAll_Ct&lt;22,$BC1445=(Elig_MatchAll_Ct-1),AL1445=0),I1445,0)</f>
        <v>0</v>
      </c>
      <c r="BO1445" s="991">
        <f>IF(AND(Input_Product=Elig!$C1445,Elig_MatchAll_Ct&lt;22,$BC1445=(Elig_MatchAll_Ct-1),AM1445=0),J1445,0)</f>
        <v>0</v>
      </c>
      <c r="BP1445" s="991">
        <f>IF(AND(Input_Product=Elig!$C1445,Elig_MatchAll_Ct&lt;22,$BC1445=(Elig_MatchAll_Ct-1),AN1445=0),K1445,0)</f>
        <v>0</v>
      </c>
      <c r="BQ1445" s="991">
        <f>IF(AND(Input_Product=Elig!$C1445,Elig_MatchAll_Ct&lt;22,$BC1445=(Elig_MatchAll_Ct-1),AP1445=0),L1445,0)</f>
        <v>0</v>
      </c>
      <c r="BR1445" s="991">
        <f>IF(AND(Input_Product=Elig!$C1445,Elig_MatchAll_Ct&lt;22,$BC1445=(Elig_MatchAll_Ct-1),AO1445=0),M1445,0)</f>
        <v>0</v>
      </c>
      <c r="BS1445" s="991">
        <f>IF(AND(Input_Product=Elig!$C1445,Elig_MatchAll_Ct&lt;22,$BC1445=(Elig_MatchAll_Ct-1),AQ1445=0),N1445,0)</f>
        <v>0</v>
      </c>
      <c r="BT1445" s="991">
        <f>IF(AND(Input_Product=Elig!$C1445,Elig_MatchAll_Ct&lt;22,$BC1445=(Elig_MatchAll_Ct-1),AR1445=0),O1445,0)</f>
        <v>0</v>
      </c>
      <c r="BU1445" s="991">
        <f>IF(AND(Input_Product=Elig!$C1445,Elig_MatchAll_Ct&lt;22,$BC1445=(Elig_MatchAll_Ct-1),AS1445=0),P1445,0)</f>
        <v>0</v>
      </c>
      <c r="BV1445" s="992">
        <f>IF(AND(Input_Product=Elig!$C1445,Elig_MatchAll_Ct&lt;22,$BC1445=(Elig_MatchAll_Ct-1),AT1445=0),Q1445,0)</f>
        <v>0</v>
      </c>
      <c r="BW1445" s="993">
        <f>IF(AND(Input_Product=Elig!$C1445,Elig_MatchAll_Ct&lt;22,$BC1445=(Elig_MatchAll_Ct-1),AU1445=0),R1445,0)</f>
        <v>0</v>
      </c>
      <c r="BX1445" s="994">
        <f>IF(AND(Input_Product=Elig!$C1445,Elig_MatchAll_Ct&lt;22,$BC1445=(Elig_MatchAll_Ct-1),AU1445=0),S1445,0)</f>
        <v>0</v>
      </c>
      <c r="BY1445" s="993">
        <f>IF(AND(Input_Product=Elig!$C1445,Elig_MatchAll_Ct&lt;22,$BC1445=(Elig_MatchAll_Ct-1),AV1445=0),T1445,0)</f>
        <v>0</v>
      </c>
      <c r="BZ1445" s="994">
        <f>IF(AND(Input_Product=Elig!$C1445,Elig_MatchAll_Ct&lt;22,$BC1445=(Elig_MatchAll_Ct-1),AV1445=0),U1445,0)</f>
        <v>0</v>
      </c>
      <c r="CA1445" s="993">
        <f>IF(AND(Input_Product=Elig!$C1445,Elig_MatchAll_Ct&lt;22,$BC1445=(Elig_MatchAll_Ct-1),AW1445=0),V1445,0)</f>
        <v>0</v>
      </c>
      <c r="CB1445" s="994">
        <f>IF(AND(Input_Product=Elig!$C1445,Elig_MatchAll_Ct&lt;22,$BC1445=(Elig_MatchAll_Ct-1),AW1445=0),W1445,0)</f>
        <v>0</v>
      </c>
      <c r="CC1445" s="993">
        <f>IF(AND(Input_Product=Elig!$C1445,Elig_MatchAll_Ct&lt;22,$BC1445=(Elig_MatchAll_Ct-1),AX1445=0),X1445,0)</f>
        <v>0</v>
      </c>
      <c r="CD1445" s="994">
        <f>IF(AND(Input_Product=Elig!$C1445,Elig_MatchAll_Ct&lt;22,$BC1445=(Elig_MatchAll_Ct-1),AX1445=0),Y1445,0)</f>
        <v>0</v>
      </c>
      <c r="CE1445" s="993">
        <f>IF(AND(Input_LTV&lt;=AE1445,Input_Product=Elig!$C1445,Elig_MatchAll_Ct&lt;22,$BC1445=(Elig_MatchAll_Ct-1),AY1445=0),Z1445,0)</f>
        <v>0</v>
      </c>
      <c r="CF1445" s="994">
        <f>IF(AND(Input_LTV&lt;=AE1445,Input_Product=Elig!$C1445,Elig_MatchAll_Ct&lt;22,$BC1445=(Elig_MatchAll_Ct-1),AY1445=0),AA1445,0)</f>
        <v>0</v>
      </c>
      <c r="CG1445" s="993">
        <f>IF(AND(Input_Product=Elig!$C1445,Elig_MatchAll_Ct&lt;22,$BC1445=(Elig_MatchAll_Ct-1),AZ1445=0),AB1445,0)</f>
        <v>0</v>
      </c>
      <c r="CH1445" s="994">
        <f>IF(AND(Input_Product=Elig!$C1445,Elig_MatchAll_Ct&lt;22,$BC1445=(Elig_MatchAll_Ct-1),AZ1445=0),AC1445,0)</f>
        <v>0</v>
      </c>
      <c r="CI1445" s="993">
        <f>IF(AND(Input_Product=Elig!$C1445,Elig_MatchAll_Ct&lt;22,$BC1445=(Elig_MatchAll_Ct-1),BA1445=0),AD1445,0)</f>
        <v>0</v>
      </c>
      <c r="CJ1445" s="994">
        <f>IF(AND(Input_Product=Elig!$C1445,Elig_MatchAll_Ct&lt;22,$BC1445=(Elig_MatchAll_Ct-1),BA1445=0),AE1445,0)</f>
        <v>0</v>
      </c>
    </row>
    <row r="1446" spans="2:88" ht="10.15" customHeight="1" x14ac:dyDescent="0.25">
      <c r="B1446" s="1554" t="s">
        <v>2834</v>
      </c>
      <c r="C1446" s="1554" t="str">
        <f t="shared" si="500"/>
        <v xml:space="preserve">  OO</v>
      </c>
      <c r="D1446" s="1554" t="s">
        <v>2764</v>
      </c>
      <c r="E1446" s="1554" t="s">
        <v>167</v>
      </c>
      <c r="F1446" s="1554" t="s">
        <v>2765</v>
      </c>
      <c r="G1446" s="1554" t="s">
        <v>2810</v>
      </c>
      <c r="H1446" s="1554" t="s">
        <v>2767</v>
      </c>
      <c r="I1446" s="1555" t="s">
        <v>35</v>
      </c>
      <c r="J1446" s="1555" t="s">
        <v>1311</v>
      </c>
      <c r="K1446" s="1555" t="s">
        <v>3023</v>
      </c>
      <c r="L1446" s="1554" t="s">
        <v>3920</v>
      </c>
      <c r="M1446" s="1554" t="s">
        <v>4203</v>
      </c>
      <c r="N1446" s="1554" t="s">
        <v>2685</v>
      </c>
      <c r="O1446" s="1554" t="s">
        <v>310</v>
      </c>
      <c r="P1446" s="1554" t="s">
        <v>291</v>
      </c>
      <c r="Q1446" s="1554" t="s">
        <v>294</v>
      </c>
      <c r="R1446" s="1554">
        <v>1000000.01</v>
      </c>
      <c r="S1446" s="1554">
        <v>1500000</v>
      </c>
      <c r="T1446" s="1554">
        <v>0</v>
      </c>
      <c r="U1446" s="1554">
        <v>0</v>
      </c>
      <c r="V1446" s="1554">
        <v>0</v>
      </c>
      <c r="W1446" s="1554">
        <v>50</v>
      </c>
      <c r="X1446" s="1554">
        <v>0</v>
      </c>
      <c r="Y1446" s="1554">
        <v>0</v>
      </c>
      <c r="Z1446" s="1556">
        <v>660</v>
      </c>
      <c r="AA1446" s="1556">
        <v>679</v>
      </c>
      <c r="AB1446" s="1556">
        <v>3</v>
      </c>
      <c r="AC1446" s="1556">
        <v>999999</v>
      </c>
      <c r="AD1446" s="1554">
        <v>0</v>
      </c>
      <c r="AE1446" s="1557">
        <v>75</v>
      </c>
      <c r="AF1446" s="170">
        <v>0</v>
      </c>
      <c r="AG1446" s="171">
        <v>1</v>
      </c>
      <c r="AH1446" s="171">
        <v>1</v>
      </c>
      <c r="AI1446" s="171">
        <v>1</v>
      </c>
      <c r="AJ1446" s="171">
        <v>1</v>
      </c>
      <c r="AK1446" s="171">
        <v>1</v>
      </c>
      <c r="AL1446" s="171">
        <v>0</v>
      </c>
      <c r="AM1446" s="171">
        <v>1</v>
      </c>
      <c r="AN1446" s="171">
        <v>1</v>
      </c>
      <c r="AO1446" s="171">
        <v>1</v>
      </c>
      <c r="AP1446" s="171">
        <v>1</v>
      </c>
      <c r="AQ1446" s="171">
        <v>1</v>
      </c>
      <c r="AR1446" s="171">
        <v>1</v>
      </c>
      <c r="AS1446" s="171">
        <v>1</v>
      </c>
      <c r="AT1446" s="171">
        <v>1</v>
      </c>
      <c r="AU1446" s="171">
        <f t="shared" si="488"/>
        <v>0</v>
      </c>
      <c r="AV1446" s="171">
        <f t="shared" si="489"/>
        <v>0</v>
      </c>
      <c r="AW1446" s="171">
        <f t="shared" si="490"/>
        <v>1</v>
      </c>
      <c r="AX1446" s="171">
        <f t="shared" si="499"/>
        <v>1</v>
      </c>
      <c r="AY1446" s="171">
        <f t="shared" si="491"/>
        <v>0</v>
      </c>
      <c r="AZ1446" s="171">
        <f t="shared" si="492"/>
        <v>1</v>
      </c>
      <c r="BA1446" s="172">
        <f t="shared" si="493"/>
        <v>1</v>
      </c>
      <c r="BB1446" s="175">
        <f t="shared" si="495"/>
        <v>17</v>
      </c>
      <c r="BC1446" s="176">
        <f t="shared" si="496"/>
        <v>16</v>
      </c>
      <c r="BD1446" s="176">
        <f t="shared" si="497"/>
        <v>17</v>
      </c>
      <c r="BE1446" s="240" t="str">
        <f t="shared" si="501"/>
        <v/>
      </c>
      <c r="BF1446" s="990"/>
      <c r="BG1446" s="990"/>
      <c r="BH1446" s="991">
        <f>IF(AND(Input_Product=Elig!$C1446,Elig_MatchAll_Ct&lt;22,$BC1446=(Elig_MatchAll_Ct-1),AF1446=0),C1446,0)</f>
        <v>0</v>
      </c>
      <c r="BI1446" s="991">
        <f>IF(AND(Input_Product=Elig!$C1446,Elig_MatchAll_Ct&lt;22,$BC1446=(Elig_MatchAll_Ct-1),AG1446=0),D1446,0)</f>
        <v>0</v>
      </c>
      <c r="BJ1446" s="991">
        <f>IF(AND(Input_Product=Elig!$C1446,Elig_MatchAll_Ct&lt;22,$BC1446=(Elig_MatchAll_Ct-1),AH1446=0),E1446,0)</f>
        <v>0</v>
      </c>
      <c r="BK1446" s="991">
        <f>IF(AND(Input_Product=Elig!$C1446,Elig_MatchAll_Ct&lt;22,$BC1446=(Elig_MatchAll_Ct-1),AI1446=0),F1446,0)</f>
        <v>0</v>
      </c>
      <c r="BL1446" s="991">
        <f>IF(AND(Input_Product=Elig!$C1446,Elig_MatchAll_Ct&lt;22,$BC1446=(Elig_MatchAll_Ct-1),AJ1446=0),G1446,0)</f>
        <v>0</v>
      </c>
      <c r="BM1446" s="991">
        <f>IF(AND(Input_Product=Elig!$C1446,Elig_MatchAll_Ct&lt;22,$BC1446=(Elig_MatchAll_Ct-1),AK1446=0),H1446,0)</f>
        <v>0</v>
      </c>
      <c r="BN1446" s="991">
        <f>IF(AND(Input_Product=Elig!$C1446,Elig_MatchAll_Ct&lt;22,$BC1446=(Elig_MatchAll_Ct-1),AL1446=0),I1446,0)</f>
        <v>0</v>
      </c>
      <c r="BO1446" s="991">
        <f>IF(AND(Input_Product=Elig!$C1446,Elig_MatchAll_Ct&lt;22,$BC1446=(Elig_MatchAll_Ct-1),AM1446=0),J1446,0)</f>
        <v>0</v>
      </c>
      <c r="BP1446" s="991">
        <f>IF(AND(Input_Product=Elig!$C1446,Elig_MatchAll_Ct&lt;22,$BC1446=(Elig_MatchAll_Ct-1),AN1446=0),K1446,0)</f>
        <v>0</v>
      </c>
      <c r="BQ1446" s="991">
        <f>IF(AND(Input_Product=Elig!$C1446,Elig_MatchAll_Ct&lt;22,$BC1446=(Elig_MatchAll_Ct-1),AP1446=0),L1446,0)</f>
        <v>0</v>
      </c>
      <c r="BR1446" s="991">
        <f>IF(AND(Input_Product=Elig!$C1446,Elig_MatchAll_Ct&lt;22,$BC1446=(Elig_MatchAll_Ct-1),AO1446=0),M1446,0)</f>
        <v>0</v>
      </c>
      <c r="BS1446" s="991">
        <f>IF(AND(Input_Product=Elig!$C1446,Elig_MatchAll_Ct&lt;22,$BC1446=(Elig_MatchAll_Ct-1),AQ1446=0),N1446,0)</f>
        <v>0</v>
      </c>
      <c r="BT1446" s="991">
        <f>IF(AND(Input_Product=Elig!$C1446,Elig_MatchAll_Ct&lt;22,$BC1446=(Elig_MatchAll_Ct-1),AR1446=0),O1446,0)</f>
        <v>0</v>
      </c>
      <c r="BU1446" s="991">
        <f>IF(AND(Input_Product=Elig!$C1446,Elig_MatchAll_Ct&lt;22,$BC1446=(Elig_MatchAll_Ct-1),AS1446=0),P1446,0)</f>
        <v>0</v>
      </c>
      <c r="BV1446" s="992">
        <f>IF(AND(Input_Product=Elig!$C1446,Elig_MatchAll_Ct&lt;22,$BC1446=(Elig_MatchAll_Ct-1),AT1446=0),Q1446,0)</f>
        <v>0</v>
      </c>
      <c r="BW1446" s="993">
        <f>IF(AND(Input_Product=Elig!$C1446,Elig_MatchAll_Ct&lt;22,$BC1446=(Elig_MatchAll_Ct-1),AU1446=0),R1446,0)</f>
        <v>0</v>
      </c>
      <c r="BX1446" s="994">
        <f>IF(AND(Input_Product=Elig!$C1446,Elig_MatchAll_Ct&lt;22,$BC1446=(Elig_MatchAll_Ct-1),AU1446=0),S1446,0)</f>
        <v>0</v>
      </c>
      <c r="BY1446" s="993">
        <f>IF(AND(Input_Product=Elig!$C1446,Elig_MatchAll_Ct&lt;22,$BC1446=(Elig_MatchAll_Ct-1),AV1446=0),T1446,0)</f>
        <v>0</v>
      </c>
      <c r="BZ1446" s="994">
        <f>IF(AND(Input_Product=Elig!$C1446,Elig_MatchAll_Ct&lt;22,$BC1446=(Elig_MatchAll_Ct-1),AV1446=0),U1446,0)</f>
        <v>0</v>
      </c>
      <c r="CA1446" s="993">
        <f>IF(AND(Input_Product=Elig!$C1446,Elig_MatchAll_Ct&lt;22,$BC1446=(Elig_MatchAll_Ct-1),AW1446=0),V1446,0)</f>
        <v>0</v>
      </c>
      <c r="CB1446" s="994">
        <f>IF(AND(Input_Product=Elig!$C1446,Elig_MatchAll_Ct&lt;22,$BC1446=(Elig_MatchAll_Ct-1),AW1446=0),W1446,0)</f>
        <v>0</v>
      </c>
      <c r="CC1446" s="993">
        <f>IF(AND(Input_Product=Elig!$C1446,Elig_MatchAll_Ct&lt;22,$BC1446=(Elig_MatchAll_Ct-1),AX1446=0),X1446,0)</f>
        <v>0</v>
      </c>
      <c r="CD1446" s="994">
        <f>IF(AND(Input_Product=Elig!$C1446,Elig_MatchAll_Ct&lt;22,$BC1446=(Elig_MatchAll_Ct-1),AX1446=0),Y1446,0)</f>
        <v>0</v>
      </c>
      <c r="CE1446" s="993">
        <f>IF(AND(Input_LTV&lt;=AE1446,Input_Product=Elig!$C1446,Elig_MatchAll_Ct&lt;22,$BC1446=(Elig_MatchAll_Ct-1),AY1446=0),Z1446,0)</f>
        <v>0</v>
      </c>
      <c r="CF1446" s="994">
        <f>IF(AND(Input_LTV&lt;=AE1446,Input_Product=Elig!$C1446,Elig_MatchAll_Ct&lt;22,$BC1446=(Elig_MatchAll_Ct-1),AY1446=0),AA1446,0)</f>
        <v>0</v>
      </c>
      <c r="CG1446" s="993">
        <f>IF(AND(Input_Product=Elig!$C1446,Elig_MatchAll_Ct&lt;22,$BC1446=(Elig_MatchAll_Ct-1),AZ1446=0),AB1446,0)</f>
        <v>0</v>
      </c>
      <c r="CH1446" s="994">
        <f>IF(AND(Input_Product=Elig!$C1446,Elig_MatchAll_Ct&lt;22,$BC1446=(Elig_MatchAll_Ct-1),AZ1446=0),AC1446,0)</f>
        <v>0</v>
      </c>
      <c r="CI1446" s="993">
        <f>IF(AND(Input_Product=Elig!$C1446,Elig_MatchAll_Ct&lt;22,$BC1446=(Elig_MatchAll_Ct-1),BA1446=0),AD1446,0)</f>
        <v>0</v>
      </c>
      <c r="CJ1446" s="994">
        <f>IF(AND(Input_Product=Elig!$C1446,Elig_MatchAll_Ct&lt;22,$BC1446=(Elig_MatchAll_Ct-1),BA1446=0),AE1446,0)</f>
        <v>0</v>
      </c>
    </row>
    <row r="1447" spans="2:88" ht="10.15" customHeight="1" x14ac:dyDescent="0.25">
      <c r="B1447" s="1554" t="s">
        <v>2835</v>
      </c>
      <c r="C1447" s="1554" t="str">
        <f t="shared" si="500"/>
        <v xml:space="preserve">  OO</v>
      </c>
      <c r="D1447" s="1554" t="s">
        <v>2764</v>
      </c>
      <c r="E1447" s="1554" t="s">
        <v>167</v>
      </c>
      <c r="F1447" s="1554" t="s">
        <v>2765</v>
      </c>
      <c r="G1447" s="1554" t="s">
        <v>2810</v>
      </c>
      <c r="H1447" s="1554" t="s">
        <v>2767</v>
      </c>
      <c r="I1447" s="1555" t="s">
        <v>35</v>
      </c>
      <c r="J1447" s="1555" t="s">
        <v>1311</v>
      </c>
      <c r="K1447" s="1555" t="s">
        <v>3023</v>
      </c>
      <c r="L1447" s="1554" t="s">
        <v>3920</v>
      </c>
      <c r="M1447" s="1554" t="s">
        <v>4203</v>
      </c>
      <c r="N1447" s="1554" t="s">
        <v>2685</v>
      </c>
      <c r="O1447" s="1554" t="s">
        <v>310</v>
      </c>
      <c r="P1447" s="1554" t="s">
        <v>291</v>
      </c>
      <c r="Q1447" s="1554" t="s">
        <v>294</v>
      </c>
      <c r="R1447" s="1554">
        <v>1500000.01</v>
      </c>
      <c r="S1447" s="1554">
        <v>2000000</v>
      </c>
      <c r="T1447" s="1554">
        <v>0</v>
      </c>
      <c r="U1447" s="1554">
        <v>0</v>
      </c>
      <c r="V1447" s="1554">
        <v>0</v>
      </c>
      <c r="W1447" s="1554">
        <v>50</v>
      </c>
      <c r="X1447" s="1554">
        <v>0</v>
      </c>
      <c r="Y1447" s="1554">
        <v>0</v>
      </c>
      <c r="Z1447" s="1556">
        <v>660</v>
      </c>
      <c r="AA1447" s="1556">
        <v>679</v>
      </c>
      <c r="AB1447" s="1556">
        <v>3</v>
      </c>
      <c r="AC1447" s="1556">
        <v>999999</v>
      </c>
      <c r="AD1447" s="1554">
        <v>0</v>
      </c>
      <c r="AE1447" s="1557">
        <v>65</v>
      </c>
      <c r="AF1447" s="170">
        <v>0</v>
      </c>
      <c r="AG1447" s="171">
        <v>1</v>
      </c>
      <c r="AH1447" s="171">
        <v>1</v>
      </c>
      <c r="AI1447" s="171">
        <v>1</v>
      </c>
      <c r="AJ1447" s="171">
        <v>1</v>
      </c>
      <c r="AK1447" s="171">
        <v>1</v>
      </c>
      <c r="AL1447" s="171">
        <v>0</v>
      </c>
      <c r="AM1447" s="171">
        <v>1</v>
      </c>
      <c r="AN1447" s="171">
        <v>1</v>
      </c>
      <c r="AO1447" s="171">
        <v>1</v>
      </c>
      <c r="AP1447" s="171">
        <v>1</v>
      </c>
      <c r="AQ1447" s="171">
        <v>1</v>
      </c>
      <c r="AR1447" s="171">
        <v>1</v>
      </c>
      <c r="AS1447" s="171">
        <v>1</v>
      </c>
      <c r="AT1447" s="171">
        <v>1</v>
      </c>
      <c r="AU1447" s="171">
        <f t="shared" si="488"/>
        <v>0</v>
      </c>
      <c r="AV1447" s="171">
        <f t="shared" si="489"/>
        <v>0</v>
      </c>
      <c r="AW1447" s="171">
        <f t="shared" si="490"/>
        <v>1</v>
      </c>
      <c r="AX1447" s="171">
        <f t="shared" si="499"/>
        <v>1</v>
      </c>
      <c r="AY1447" s="171">
        <f t="shared" si="491"/>
        <v>0</v>
      </c>
      <c r="AZ1447" s="171">
        <f t="shared" si="492"/>
        <v>1</v>
      </c>
      <c r="BA1447" s="172">
        <f t="shared" si="493"/>
        <v>1</v>
      </c>
      <c r="BB1447" s="175">
        <f t="shared" si="495"/>
        <v>17</v>
      </c>
      <c r="BC1447" s="176">
        <f t="shared" si="496"/>
        <v>16</v>
      </c>
      <c r="BD1447" s="176">
        <f t="shared" si="497"/>
        <v>17</v>
      </c>
      <c r="BE1447" s="240" t="str">
        <f t="shared" si="501"/>
        <v/>
      </c>
      <c r="BF1447" s="990"/>
      <c r="BG1447" s="990"/>
      <c r="BH1447" s="991">
        <f>IF(AND(Input_Product=Elig!$C1447,Elig_MatchAll_Ct&lt;22,$BC1447=(Elig_MatchAll_Ct-1),AF1447=0),C1447,0)</f>
        <v>0</v>
      </c>
      <c r="BI1447" s="991">
        <f>IF(AND(Input_Product=Elig!$C1447,Elig_MatchAll_Ct&lt;22,$BC1447=(Elig_MatchAll_Ct-1),AG1447=0),D1447,0)</f>
        <v>0</v>
      </c>
      <c r="BJ1447" s="991">
        <f>IF(AND(Input_Product=Elig!$C1447,Elig_MatchAll_Ct&lt;22,$BC1447=(Elig_MatchAll_Ct-1),AH1447=0),E1447,0)</f>
        <v>0</v>
      </c>
      <c r="BK1447" s="991">
        <f>IF(AND(Input_Product=Elig!$C1447,Elig_MatchAll_Ct&lt;22,$BC1447=(Elig_MatchAll_Ct-1),AI1447=0),F1447,0)</f>
        <v>0</v>
      </c>
      <c r="BL1447" s="991">
        <f>IF(AND(Input_Product=Elig!$C1447,Elig_MatchAll_Ct&lt;22,$BC1447=(Elig_MatchAll_Ct-1),AJ1447=0),G1447,0)</f>
        <v>0</v>
      </c>
      <c r="BM1447" s="991">
        <f>IF(AND(Input_Product=Elig!$C1447,Elig_MatchAll_Ct&lt;22,$BC1447=(Elig_MatchAll_Ct-1),AK1447=0),H1447,0)</f>
        <v>0</v>
      </c>
      <c r="BN1447" s="991">
        <f>IF(AND(Input_Product=Elig!$C1447,Elig_MatchAll_Ct&lt;22,$BC1447=(Elig_MatchAll_Ct-1),AL1447=0),I1447,0)</f>
        <v>0</v>
      </c>
      <c r="BO1447" s="991">
        <f>IF(AND(Input_Product=Elig!$C1447,Elig_MatchAll_Ct&lt;22,$BC1447=(Elig_MatchAll_Ct-1),AM1447=0),J1447,0)</f>
        <v>0</v>
      </c>
      <c r="BP1447" s="991">
        <f>IF(AND(Input_Product=Elig!$C1447,Elig_MatchAll_Ct&lt;22,$BC1447=(Elig_MatchAll_Ct-1),AN1447=0),K1447,0)</f>
        <v>0</v>
      </c>
      <c r="BQ1447" s="991">
        <f>IF(AND(Input_Product=Elig!$C1447,Elig_MatchAll_Ct&lt;22,$BC1447=(Elig_MatchAll_Ct-1),AP1447=0),L1447,0)</f>
        <v>0</v>
      </c>
      <c r="BR1447" s="991">
        <f>IF(AND(Input_Product=Elig!$C1447,Elig_MatchAll_Ct&lt;22,$BC1447=(Elig_MatchAll_Ct-1),AO1447=0),M1447,0)</f>
        <v>0</v>
      </c>
      <c r="BS1447" s="991">
        <f>IF(AND(Input_Product=Elig!$C1447,Elig_MatchAll_Ct&lt;22,$BC1447=(Elig_MatchAll_Ct-1),AQ1447=0),N1447,0)</f>
        <v>0</v>
      </c>
      <c r="BT1447" s="991">
        <f>IF(AND(Input_Product=Elig!$C1447,Elig_MatchAll_Ct&lt;22,$BC1447=(Elig_MatchAll_Ct-1),AR1447=0),O1447,0)</f>
        <v>0</v>
      </c>
      <c r="BU1447" s="991">
        <f>IF(AND(Input_Product=Elig!$C1447,Elig_MatchAll_Ct&lt;22,$BC1447=(Elig_MatchAll_Ct-1),AS1447=0),P1447,0)</f>
        <v>0</v>
      </c>
      <c r="BV1447" s="992">
        <f>IF(AND(Input_Product=Elig!$C1447,Elig_MatchAll_Ct&lt;22,$BC1447=(Elig_MatchAll_Ct-1),AT1447=0),Q1447,0)</f>
        <v>0</v>
      </c>
      <c r="BW1447" s="993">
        <f>IF(AND(Input_Product=Elig!$C1447,Elig_MatchAll_Ct&lt;22,$BC1447=(Elig_MatchAll_Ct-1),AU1447=0),R1447,0)</f>
        <v>0</v>
      </c>
      <c r="BX1447" s="994">
        <f>IF(AND(Input_Product=Elig!$C1447,Elig_MatchAll_Ct&lt;22,$BC1447=(Elig_MatchAll_Ct-1),AU1447=0),S1447,0)</f>
        <v>0</v>
      </c>
      <c r="BY1447" s="993">
        <f>IF(AND(Input_Product=Elig!$C1447,Elig_MatchAll_Ct&lt;22,$BC1447=(Elig_MatchAll_Ct-1),AV1447=0),T1447,0)</f>
        <v>0</v>
      </c>
      <c r="BZ1447" s="994">
        <f>IF(AND(Input_Product=Elig!$C1447,Elig_MatchAll_Ct&lt;22,$BC1447=(Elig_MatchAll_Ct-1),AV1447=0),U1447,0)</f>
        <v>0</v>
      </c>
      <c r="CA1447" s="993">
        <f>IF(AND(Input_Product=Elig!$C1447,Elig_MatchAll_Ct&lt;22,$BC1447=(Elig_MatchAll_Ct-1),AW1447=0),V1447,0)</f>
        <v>0</v>
      </c>
      <c r="CB1447" s="994">
        <f>IF(AND(Input_Product=Elig!$C1447,Elig_MatchAll_Ct&lt;22,$BC1447=(Elig_MatchAll_Ct-1),AW1447=0),W1447,0)</f>
        <v>0</v>
      </c>
      <c r="CC1447" s="993">
        <f>IF(AND(Input_Product=Elig!$C1447,Elig_MatchAll_Ct&lt;22,$BC1447=(Elig_MatchAll_Ct-1),AX1447=0),X1447,0)</f>
        <v>0</v>
      </c>
      <c r="CD1447" s="994">
        <f>IF(AND(Input_Product=Elig!$C1447,Elig_MatchAll_Ct&lt;22,$BC1447=(Elig_MatchAll_Ct-1),AX1447=0),Y1447,0)</f>
        <v>0</v>
      </c>
      <c r="CE1447" s="993">
        <f>IF(AND(Input_LTV&lt;=AE1447,Input_Product=Elig!$C1447,Elig_MatchAll_Ct&lt;22,$BC1447=(Elig_MatchAll_Ct-1),AY1447=0),Z1447,0)</f>
        <v>0</v>
      </c>
      <c r="CF1447" s="994">
        <f>IF(AND(Input_LTV&lt;=AE1447,Input_Product=Elig!$C1447,Elig_MatchAll_Ct&lt;22,$BC1447=(Elig_MatchAll_Ct-1),AY1447=0),AA1447,0)</f>
        <v>0</v>
      </c>
      <c r="CG1447" s="993">
        <f>IF(AND(Input_Product=Elig!$C1447,Elig_MatchAll_Ct&lt;22,$BC1447=(Elig_MatchAll_Ct-1),AZ1447=0),AB1447,0)</f>
        <v>0</v>
      </c>
      <c r="CH1447" s="994">
        <f>IF(AND(Input_Product=Elig!$C1447,Elig_MatchAll_Ct&lt;22,$BC1447=(Elig_MatchAll_Ct-1),AZ1447=0),AC1447,0)</f>
        <v>0</v>
      </c>
      <c r="CI1447" s="993">
        <f>IF(AND(Input_Product=Elig!$C1447,Elig_MatchAll_Ct&lt;22,$BC1447=(Elig_MatchAll_Ct-1),BA1447=0),AD1447,0)</f>
        <v>0</v>
      </c>
      <c r="CJ1447" s="994">
        <f>IF(AND(Input_Product=Elig!$C1447,Elig_MatchAll_Ct&lt;22,$BC1447=(Elig_MatchAll_Ct-1),BA1447=0),AE1447,0)</f>
        <v>0</v>
      </c>
    </row>
    <row r="1448" spans="2:88" ht="10.15" customHeight="1" x14ac:dyDescent="0.25">
      <c r="B1448" s="1554" t="s">
        <v>2836</v>
      </c>
      <c r="C1448" s="1554" t="str">
        <f t="shared" si="500"/>
        <v xml:space="preserve">  OO</v>
      </c>
      <c r="D1448" s="1554" t="s">
        <v>2764</v>
      </c>
      <c r="E1448" s="1554" t="s">
        <v>167</v>
      </c>
      <c r="F1448" s="1554" t="s">
        <v>2765</v>
      </c>
      <c r="G1448" s="1554" t="s">
        <v>2810</v>
      </c>
      <c r="H1448" s="1554" t="s">
        <v>2767</v>
      </c>
      <c r="I1448" s="1555" t="s">
        <v>35</v>
      </c>
      <c r="J1448" s="1555" t="s">
        <v>1311</v>
      </c>
      <c r="K1448" s="1555" t="s">
        <v>3023</v>
      </c>
      <c r="L1448" s="1554" t="s">
        <v>3920</v>
      </c>
      <c r="M1448" s="1554" t="s">
        <v>4203</v>
      </c>
      <c r="N1448" s="1554" t="s">
        <v>2685</v>
      </c>
      <c r="O1448" s="1554" t="s">
        <v>310</v>
      </c>
      <c r="P1448" s="1554" t="s">
        <v>291</v>
      </c>
      <c r="Q1448" s="1554" t="s">
        <v>294</v>
      </c>
      <c r="R1448" s="1554">
        <v>150000</v>
      </c>
      <c r="S1448" s="1554">
        <v>1000000</v>
      </c>
      <c r="T1448" s="1554">
        <v>0</v>
      </c>
      <c r="U1448" s="1554">
        <v>0</v>
      </c>
      <c r="V1448" s="1554">
        <v>0</v>
      </c>
      <c r="W1448" s="1554">
        <v>50</v>
      </c>
      <c r="X1448" s="1554">
        <v>0</v>
      </c>
      <c r="Y1448" s="1554">
        <v>0</v>
      </c>
      <c r="Z1448" s="1556">
        <v>640</v>
      </c>
      <c r="AA1448" s="1556">
        <v>659</v>
      </c>
      <c r="AB1448" s="1556">
        <v>3</v>
      </c>
      <c r="AC1448" s="1556">
        <v>999999</v>
      </c>
      <c r="AD1448" s="1554">
        <v>0</v>
      </c>
      <c r="AE1448" s="1557">
        <v>75</v>
      </c>
      <c r="AF1448" s="170">
        <v>0</v>
      </c>
      <c r="AG1448" s="171">
        <v>1</v>
      </c>
      <c r="AH1448" s="171">
        <v>1</v>
      </c>
      <c r="AI1448" s="171">
        <v>1</v>
      </c>
      <c r="AJ1448" s="171">
        <v>1</v>
      </c>
      <c r="AK1448" s="171">
        <v>1</v>
      </c>
      <c r="AL1448" s="171">
        <v>0</v>
      </c>
      <c r="AM1448" s="171">
        <v>1</v>
      </c>
      <c r="AN1448" s="171">
        <v>1</v>
      </c>
      <c r="AO1448" s="171">
        <v>1</v>
      </c>
      <c r="AP1448" s="171">
        <v>1</v>
      </c>
      <c r="AQ1448" s="171">
        <v>1</v>
      </c>
      <c r="AR1448" s="171">
        <v>1</v>
      </c>
      <c r="AS1448" s="171">
        <v>1</v>
      </c>
      <c r="AT1448" s="171">
        <v>1</v>
      </c>
      <c r="AU1448" s="171">
        <f t="shared" si="488"/>
        <v>1</v>
      </c>
      <c r="AV1448" s="171">
        <f t="shared" si="489"/>
        <v>0</v>
      </c>
      <c r="AW1448" s="171">
        <f t="shared" si="490"/>
        <v>1</v>
      </c>
      <c r="AX1448" s="171">
        <f t="shared" si="499"/>
        <v>1</v>
      </c>
      <c r="AY1448" s="171">
        <f t="shared" si="491"/>
        <v>0</v>
      </c>
      <c r="AZ1448" s="171">
        <f t="shared" si="492"/>
        <v>1</v>
      </c>
      <c r="BA1448" s="172">
        <f t="shared" si="493"/>
        <v>1</v>
      </c>
      <c r="BB1448" s="175">
        <f t="shared" si="495"/>
        <v>18</v>
      </c>
      <c r="BC1448" s="176">
        <f t="shared" si="496"/>
        <v>17</v>
      </c>
      <c r="BD1448" s="176">
        <f t="shared" si="497"/>
        <v>18</v>
      </c>
      <c r="BE1448" s="240" t="str">
        <f t="shared" si="501"/>
        <v/>
      </c>
      <c r="BF1448" s="990"/>
      <c r="BG1448" s="990"/>
      <c r="BH1448" s="991">
        <f>IF(AND(Input_Product=Elig!$C1448,Elig_MatchAll_Ct&lt;22,$BC1448=(Elig_MatchAll_Ct-1),AF1448=0),C1448,0)</f>
        <v>0</v>
      </c>
      <c r="BI1448" s="991">
        <f>IF(AND(Input_Product=Elig!$C1448,Elig_MatchAll_Ct&lt;22,$BC1448=(Elig_MatchAll_Ct-1),AG1448=0),D1448,0)</f>
        <v>0</v>
      </c>
      <c r="BJ1448" s="991">
        <f>IF(AND(Input_Product=Elig!$C1448,Elig_MatchAll_Ct&lt;22,$BC1448=(Elig_MatchAll_Ct-1),AH1448=0),E1448,0)</f>
        <v>0</v>
      </c>
      <c r="BK1448" s="991">
        <f>IF(AND(Input_Product=Elig!$C1448,Elig_MatchAll_Ct&lt;22,$BC1448=(Elig_MatchAll_Ct-1),AI1448=0),F1448,0)</f>
        <v>0</v>
      </c>
      <c r="BL1448" s="991">
        <f>IF(AND(Input_Product=Elig!$C1448,Elig_MatchAll_Ct&lt;22,$BC1448=(Elig_MatchAll_Ct-1),AJ1448=0),G1448,0)</f>
        <v>0</v>
      </c>
      <c r="BM1448" s="991">
        <f>IF(AND(Input_Product=Elig!$C1448,Elig_MatchAll_Ct&lt;22,$BC1448=(Elig_MatchAll_Ct-1),AK1448=0),H1448,0)</f>
        <v>0</v>
      </c>
      <c r="BN1448" s="991">
        <f>IF(AND(Input_Product=Elig!$C1448,Elig_MatchAll_Ct&lt;22,$BC1448=(Elig_MatchAll_Ct-1),AL1448=0),I1448,0)</f>
        <v>0</v>
      </c>
      <c r="BO1448" s="991">
        <f>IF(AND(Input_Product=Elig!$C1448,Elig_MatchAll_Ct&lt;22,$BC1448=(Elig_MatchAll_Ct-1),AM1448=0),J1448,0)</f>
        <v>0</v>
      </c>
      <c r="BP1448" s="991">
        <f>IF(AND(Input_Product=Elig!$C1448,Elig_MatchAll_Ct&lt;22,$BC1448=(Elig_MatchAll_Ct-1),AN1448=0),K1448,0)</f>
        <v>0</v>
      </c>
      <c r="BQ1448" s="991">
        <f>IF(AND(Input_Product=Elig!$C1448,Elig_MatchAll_Ct&lt;22,$BC1448=(Elig_MatchAll_Ct-1),AP1448=0),L1448,0)</f>
        <v>0</v>
      </c>
      <c r="BR1448" s="991">
        <f>IF(AND(Input_Product=Elig!$C1448,Elig_MatchAll_Ct&lt;22,$BC1448=(Elig_MatchAll_Ct-1),AO1448=0),M1448,0)</f>
        <v>0</v>
      </c>
      <c r="BS1448" s="991">
        <f>IF(AND(Input_Product=Elig!$C1448,Elig_MatchAll_Ct&lt;22,$BC1448=(Elig_MatchAll_Ct-1),AQ1448=0),N1448,0)</f>
        <v>0</v>
      </c>
      <c r="BT1448" s="991">
        <f>IF(AND(Input_Product=Elig!$C1448,Elig_MatchAll_Ct&lt;22,$BC1448=(Elig_MatchAll_Ct-1),AR1448=0),O1448,0)</f>
        <v>0</v>
      </c>
      <c r="BU1448" s="991">
        <f>IF(AND(Input_Product=Elig!$C1448,Elig_MatchAll_Ct&lt;22,$BC1448=(Elig_MatchAll_Ct-1),AS1448=0),P1448,0)</f>
        <v>0</v>
      </c>
      <c r="BV1448" s="992">
        <f>IF(AND(Input_Product=Elig!$C1448,Elig_MatchAll_Ct&lt;22,$BC1448=(Elig_MatchAll_Ct-1),AT1448=0),Q1448,0)</f>
        <v>0</v>
      </c>
      <c r="BW1448" s="993">
        <f>IF(AND(Input_Product=Elig!$C1448,Elig_MatchAll_Ct&lt;22,$BC1448=(Elig_MatchAll_Ct-1),AU1448=0),R1448,0)</f>
        <v>0</v>
      </c>
      <c r="BX1448" s="994">
        <f>IF(AND(Input_Product=Elig!$C1448,Elig_MatchAll_Ct&lt;22,$BC1448=(Elig_MatchAll_Ct-1),AU1448=0),S1448,0)</f>
        <v>0</v>
      </c>
      <c r="BY1448" s="993">
        <f>IF(AND(Input_Product=Elig!$C1448,Elig_MatchAll_Ct&lt;22,$BC1448=(Elig_MatchAll_Ct-1),AV1448=0),T1448,0)</f>
        <v>0</v>
      </c>
      <c r="BZ1448" s="994">
        <f>IF(AND(Input_Product=Elig!$C1448,Elig_MatchAll_Ct&lt;22,$BC1448=(Elig_MatchAll_Ct-1),AV1448=0),U1448,0)</f>
        <v>0</v>
      </c>
      <c r="CA1448" s="993">
        <f>IF(AND(Input_Product=Elig!$C1448,Elig_MatchAll_Ct&lt;22,$BC1448=(Elig_MatchAll_Ct-1),AW1448=0),V1448,0)</f>
        <v>0</v>
      </c>
      <c r="CB1448" s="994">
        <f>IF(AND(Input_Product=Elig!$C1448,Elig_MatchAll_Ct&lt;22,$BC1448=(Elig_MatchAll_Ct-1),AW1448=0),W1448,0)</f>
        <v>0</v>
      </c>
      <c r="CC1448" s="993">
        <f>IF(AND(Input_Product=Elig!$C1448,Elig_MatchAll_Ct&lt;22,$BC1448=(Elig_MatchAll_Ct-1),AX1448=0),X1448,0)</f>
        <v>0</v>
      </c>
      <c r="CD1448" s="994">
        <f>IF(AND(Input_Product=Elig!$C1448,Elig_MatchAll_Ct&lt;22,$BC1448=(Elig_MatchAll_Ct-1),AX1448=0),Y1448,0)</f>
        <v>0</v>
      </c>
      <c r="CE1448" s="993">
        <f>IF(AND(Input_LTV&lt;=AE1448,Input_Product=Elig!$C1448,Elig_MatchAll_Ct&lt;22,$BC1448=(Elig_MatchAll_Ct-1),AY1448=0),Z1448,0)</f>
        <v>0</v>
      </c>
      <c r="CF1448" s="994">
        <f>IF(AND(Input_LTV&lt;=AE1448,Input_Product=Elig!$C1448,Elig_MatchAll_Ct&lt;22,$BC1448=(Elig_MatchAll_Ct-1),AY1448=0),AA1448,0)</f>
        <v>0</v>
      </c>
      <c r="CG1448" s="993">
        <f>IF(AND(Input_Product=Elig!$C1448,Elig_MatchAll_Ct&lt;22,$BC1448=(Elig_MatchAll_Ct-1),AZ1448=0),AB1448,0)</f>
        <v>0</v>
      </c>
      <c r="CH1448" s="994">
        <f>IF(AND(Input_Product=Elig!$C1448,Elig_MatchAll_Ct&lt;22,$BC1448=(Elig_MatchAll_Ct-1),AZ1448=0),AC1448,0)</f>
        <v>0</v>
      </c>
      <c r="CI1448" s="993">
        <f>IF(AND(Input_Product=Elig!$C1448,Elig_MatchAll_Ct&lt;22,$BC1448=(Elig_MatchAll_Ct-1),BA1448=0),AD1448,0)</f>
        <v>0</v>
      </c>
      <c r="CJ1448" s="994">
        <f>IF(AND(Input_Product=Elig!$C1448,Elig_MatchAll_Ct&lt;22,$BC1448=(Elig_MatchAll_Ct-1),BA1448=0),AE1448,0)</f>
        <v>0</v>
      </c>
    </row>
    <row r="1449" spans="2:88" ht="10.15" customHeight="1" x14ac:dyDescent="0.25">
      <c r="B1449" s="1554" t="s">
        <v>3620</v>
      </c>
      <c r="C1449" s="1558" t="str">
        <f t="shared" si="500"/>
        <v xml:space="preserve">  OO</v>
      </c>
      <c r="D1449" s="1558" t="s">
        <v>2764</v>
      </c>
      <c r="E1449" s="1558" t="s">
        <v>167</v>
      </c>
      <c r="F1449" s="1558" t="s">
        <v>2765</v>
      </c>
      <c r="G1449" s="1558" t="s">
        <v>2810</v>
      </c>
      <c r="H1449" s="1558" t="s">
        <v>2767</v>
      </c>
      <c r="I1449" s="1559" t="s">
        <v>35</v>
      </c>
      <c r="J1449" s="1559" t="s">
        <v>1311</v>
      </c>
      <c r="K1449" s="1559" t="s">
        <v>3023</v>
      </c>
      <c r="L1449" s="1558" t="s">
        <v>3920</v>
      </c>
      <c r="M1449" s="1558" t="s">
        <v>4203</v>
      </c>
      <c r="N1449" s="1558" t="s">
        <v>2685</v>
      </c>
      <c r="O1449" s="1558" t="s">
        <v>310</v>
      </c>
      <c r="P1449" s="1558" t="s">
        <v>291</v>
      </c>
      <c r="Q1449" s="1558" t="s">
        <v>294</v>
      </c>
      <c r="R1449" s="1558">
        <v>150000</v>
      </c>
      <c r="S1449" s="1558">
        <v>1000000</v>
      </c>
      <c r="T1449" s="1558">
        <v>0</v>
      </c>
      <c r="U1449" s="1558">
        <v>0</v>
      </c>
      <c r="V1449" s="1558">
        <v>0</v>
      </c>
      <c r="W1449" s="1558">
        <v>50</v>
      </c>
      <c r="X1449" s="1558">
        <v>0</v>
      </c>
      <c r="Y1449" s="1558">
        <v>0</v>
      </c>
      <c r="Z1449" s="1560">
        <v>620</v>
      </c>
      <c r="AA1449" s="1560">
        <v>639</v>
      </c>
      <c r="AB1449" s="1560">
        <v>3</v>
      </c>
      <c r="AC1449" s="1560">
        <v>999999</v>
      </c>
      <c r="AD1449" s="1558">
        <v>0</v>
      </c>
      <c r="AE1449" s="1561">
        <v>70</v>
      </c>
      <c r="AF1449" s="170">
        <v>0</v>
      </c>
      <c r="AG1449" s="171">
        <v>1</v>
      </c>
      <c r="AH1449" s="171">
        <v>1</v>
      </c>
      <c r="AI1449" s="171">
        <v>1</v>
      </c>
      <c r="AJ1449" s="171">
        <v>1</v>
      </c>
      <c r="AK1449" s="171">
        <v>1</v>
      </c>
      <c r="AL1449" s="171">
        <v>0</v>
      </c>
      <c r="AM1449" s="171">
        <v>1</v>
      </c>
      <c r="AN1449" s="171">
        <v>1</v>
      </c>
      <c r="AO1449" s="171">
        <v>1</v>
      </c>
      <c r="AP1449" s="171">
        <v>1</v>
      </c>
      <c r="AQ1449" s="171">
        <v>1</v>
      </c>
      <c r="AR1449" s="171">
        <v>1</v>
      </c>
      <c r="AS1449" s="171">
        <v>1</v>
      </c>
      <c r="AT1449" s="171">
        <v>1</v>
      </c>
      <c r="AU1449" s="171">
        <f t="shared" si="488"/>
        <v>1</v>
      </c>
      <c r="AV1449" s="171">
        <f t="shared" si="489"/>
        <v>0</v>
      </c>
      <c r="AW1449" s="171">
        <f t="shared" si="490"/>
        <v>1</v>
      </c>
      <c r="AX1449" s="171">
        <f t="shared" si="499"/>
        <v>1</v>
      </c>
      <c r="AY1449" s="171">
        <f t="shared" si="491"/>
        <v>0</v>
      </c>
      <c r="AZ1449" s="171">
        <f t="shared" si="492"/>
        <v>1</v>
      </c>
      <c r="BA1449" s="172">
        <f t="shared" si="493"/>
        <v>1</v>
      </c>
      <c r="BB1449" s="175">
        <f t="shared" si="495"/>
        <v>18</v>
      </c>
      <c r="BC1449" s="176">
        <f t="shared" si="496"/>
        <v>17</v>
      </c>
      <c r="BD1449" s="176">
        <f t="shared" si="497"/>
        <v>18</v>
      </c>
      <c r="BE1449" s="240" t="str">
        <f t="shared" si="501"/>
        <v/>
      </c>
      <c r="BF1449" s="990"/>
      <c r="BG1449" s="990"/>
      <c r="BH1449" s="991">
        <f>IF(AND(Input_Product=Elig!$C1449,Elig_MatchAll_Ct&lt;22,$BC1449=(Elig_MatchAll_Ct-1),AF1449=0),C1449,0)</f>
        <v>0</v>
      </c>
      <c r="BI1449" s="991">
        <f>IF(AND(Input_Product=Elig!$C1449,Elig_MatchAll_Ct&lt;22,$BC1449=(Elig_MatchAll_Ct-1),AG1449=0),D1449,0)</f>
        <v>0</v>
      </c>
      <c r="BJ1449" s="991">
        <f>IF(AND(Input_Product=Elig!$C1449,Elig_MatchAll_Ct&lt;22,$BC1449=(Elig_MatchAll_Ct-1),AH1449=0),E1449,0)</f>
        <v>0</v>
      </c>
      <c r="BK1449" s="991">
        <f>IF(AND(Input_Product=Elig!$C1449,Elig_MatchAll_Ct&lt;22,$BC1449=(Elig_MatchAll_Ct-1),AI1449=0),F1449,0)</f>
        <v>0</v>
      </c>
      <c r="BL1449" s="991">
        <f>IF(AND(Input_Product=Elig!$C1449,Elig_MatchAll_Ct&lt;22,$BC1449=(Elig_MatchAll_Ct-1),AJ1449=0),G1449,0)</f>
        <v>0</v>
      </c>
      <c r="BM1449" s="991">
        <f>IF(AND(Input_Product=Elig!$C1449,Elig_MatchAll_Ct&lt;22,$BC1449=(Elig_MatchAll_Ct-1),AK1449=0),H1449,0)</f>
        <v>0</v>
      </c>
      <c r="BN1449" s="991">
        <f>IF(AND(Input_Product=Elig!$C1449,Elig_MatchAll_Ct&lt;22,$BC1449=(Elig_MatchAll_Ct-1),AL1449=0),I1449,0)</f>
        <v>0</v>
      </c>
      <c r="BO1449" s="991">
        <f>IF(AND(Input_Product=Elig!$C1449,Elig_MatchAll_Ct&lt;22,$BC1449=(Elig_MatchAll_Ct-1),AM1449=0),J1449,0)</f>
        <v>0</v>
      </c>
      <c r="BP1449" s="991">
        <f>IF(AND(Input_Product=Elig!$C1449,Elig_MatchAll_Ct&lt;22,$BC1449=(Elig_MatchAll_Ct-1),AN1449=0),K1449,0)</f>
        <v>0</v>
      </c>
      <c r="BQ1449" s="991">
        <f>IF(AND(Input_Product=Elig!$C1449,Elig_MatchAll_Ct&lt;22,$BC1449=(Elig_MatchAll_Ct-1),AP1449=0),L1449,0)</f>
        <v>0</v>
      </c>
      <c r="BR1449" s="991">
        <f>IF(AND(Input_Product=Elig!$C1449,Elig_MatchAll_Ct&lt;22,$BC1449=(Elig_MatchAll_Ct-1),AO1449=0),M1449,0)</f>
        <v>0</v>
      </c>
      <c r="BS1449" s="991">
        <f>IF(AND(Input_Product=Elig!$C1449,Elig_MatchAll_Ct&lt;22,$BC1449=(Elig_MatchAll_Ct-1),AQ1449=0),N1449,0)</f>
        <v>0</v>
      </c>
      <c r="BT1449" s="991">
        <f>IF(AND(Input_Product=Elig!$C1449,Elig_MatchAll_Ct&lt;22,$BC1449=(Elig_MatchAll_Ct-1),AR1449=0),O1449,0)</f>
        <v>0</v>
      </c>
      <c r="BU1449" s="991">
        <f>IF(AND(Input_Product=Elig!$C1449,Elig_MatchAll_Ct&lt;22,$BC1449=(Elig_MatchAll_Ct-1),AS1449=0),P1449,0)</f>
        <v>0</v>
      </c>
      <c r="BV1449" s="992">
        <f>IF(AND(Input_Product=Elig!$C1449,Elig_MatchAll_Ct&lt;22,$BC1449=(Elig_MatchAll_Ct-1),AT1449=0),Q1449,0)</f>
        <v>0</v>
      </c>
      <c r="BW1449" s="993">
        <f>IF(AND(Input_Product=Elig!$C1449,Elig_MatchAll_Ct&lt;22,$BC1449=(Elig_MatchAll_Ct-1),AU1449=0),R1449,0)</f>
        <v>0</v>
      </c>
      <c r="BX1449" s="994">
        <f>IF(AND(Input_Product=Elig!$C1449,Elig_MatchAll_Ct&lt;22,$BC1449=(Elig_MatchAll_Ct-1),AU1449=0),S1449,0)</f>
        <v>0</v>
      </c>
      <c r="BY1449" s="993">
        <f>IF(AND(Input_Product=Elig!$C1449,Elig_MatchAll_Ct&lt;22,$BC1449=(Elig_MatchAll_Ct-1),AV1449=0),T1449,0)</f>
        <v>0</v>
      </c>
      <c r="BZ1449" s="994">
        <f>IF(AND(Input_Product=Elig!$C1449,Elig_MatchAll_Ct&lt;22,$BC1449=(Elig_MatchAll_Ct-1),AV1449=0),U1449,0)</f>
        <v>0</v>
      </c>
      <c r="CA1449" s="993">
        <f>IF(AND(Input_Product=Elig!$C1449,Elig_MatchAll_Ct&lt;22,$BC1449=(Elig_MatchAll_Ct-1),AW1449=0),V1449,0)</f>
        <v>0</v>
      </c>
      <c r="CB1449" s="994">
        <f>IF(AND(Input_Product=Elig!$C1449,Elig_MatchAll_Ct&lt;22,$BC1449=(Elig_MatchAll_Ct-1),AW1449=0),W1449,0)</f>
        <v>0</v>
      </c>
      <c r="CC1449" s="993">
        <f>IF(AND(Input_Product=Elig!$C1449,Elig_MatchAll_Ct&lt;22,$BC1449=(Elig_MatchAll_Ct-1),AX1449=0),X1449,0)</f>
        <v>0</v>
      </c>
      <c r="CD1449" s="994">
        <f>IF(AND(Input_Product=Elig!$C1449,Elig_MatchAll_Ct&lt;22,$BC1449=(Elig_MatchAll_Ct-1),AX1449=0),Y1449,0)</f>
        <v>0</v>
      </c>
      <c r="CE1449" s="993">
        <f>IF(AND(Input_LTV&lt;=AE1449,Input_Product=Elig!$C1449,Elig_MatchAll_Ct&lt;22,$BC1449=(Elig_MatchAll_Ct-1),AY1449=0),Z1449,0)</f>
        <v>0</v>
      </c>
      <c r="CF1449" s="994">
        <f>IF(AND(Input_LTV&lt;=AE1449,Input_Product=Elig!$C1449,Elig_MatchAll_Ct&lt;22,$BC1449=(Elig_MatchAll_Ct-1),AY1449=0),AA1449,0)</f>
        <v>0</v>
      </c>
      <c r="CG1449" s="993">
        <f>IF(AND(Input_Product=Elig!$C1449,Elig_MatchAll_Ct&lt;22,$BC1449=(Elig_MatchAll_Ct-1),AZ1449=0),AB1449,0)</f>
        <v>0</v>
      </c>
      <c r="CH1449" s="994">
        <f>IF(AND(Input_Product=Elig!$C1449,Elig_MatchAll_Ct&lt;22,$BC1449=(Elig_MatchAll_Ct-1),AZ1449=0),AC1449,0)</f>
        <v>0</v>
      </c>
      <c r="CI1449" s="993">
        <f>IF(AND(Input_Product=Elig!$C1449,Elig_MatchAll_Ct&lt;22,$BC1449=(Elig_MatchAll_Ct-1),BA1449=0),AD1449,0)</f>
        <v>0</v>
      </c>
      <c r="CJ1449" s="994">
        <f>IF(AND(Input_Product=Elig!$C1449,Elig_MatchAll_Ct&lt;22,$BC1449=(Elig_MatchAll_Ct-1),BA1449=0),AE1449,0)</f>
        <v>0</v>
      </c>
    </row>
    <row r="1450" spans="2:88" ht="10.15" customHeight="1" x14ac:dyDescent="0.25">
      <c r="B1450" s="1554" t="s">
        <v>3621</v>
      </c>
      <c r="C1450" s="1550" t="str">
        <f t="shared" si="500"/>
        <v xml:space="preserve">  OO</v>
      </c>
      <c r="D1450" s="1550" t="s">
        <v>2764</v>
      </c>
      <c r="E1450" s="1550" t="s">
        <v>167</v>
      </c>
      <c r="F1450" s="1550" t="s">
        <v>2765</v>
      </c>
      <c r="G1450" s="1550" t="s">
        <v>2810</v>
      </c>
      <c r="H1450" s="1550" t="s">
        <v>2767</v>
      </c>
      <c r="I1450" s="1551" t="s">
        <v>16</v>
      </c>
      <c r="J1450" s="1551" t="s">
        <v>1311</v>
      </c>
      <c r="K1450" s="1551" t="s">
        <v>3023</v>
      </c>
      <c r="L1450" s="1550" t="s">
        <v>3920</v>
      </c>
      <c r="M1450" s="1550" t="s">
        <v>4203</v>
      </c>
      <c r="N1450" s="1550" t="s">
        <v>2685</v>
      </c>
      <c r="O1450" s="1550" t="s">
        <v>310</v>
      </c>
      <c r="P1450" s="1550" t="s">
        <v>291</v>
      </c>
      <c r="Q1450" s="1550" t="s">
        <v>294</v>
      </c>
      <c r="R1450" s="1550">
        <v>150000</v>
      </c>
      <c r="S1450" s="1550">
        <v>1000000</v>
      </c>
      <c r="T1450" s="1550">
        <v>0</v>
      </c>
      <c r="U1450" s="1550">
        <v>1000000</v>
      </c>
      <c r="V1450" s="1550">
        <v>0</v>
      </c>
      <c r="W1450" s="1550">
        <v>50</v>
      </c>
      <c r="X1450" s="1550">
        <v>0</v>
      </c>
      <c r="Y1450" s="1550">
        <v>0</v>
      </c>
      <c r="Z1450" s="1552">
        <v>700</v>
      </c>
      <c r="AA1450" s="1552">
        <v>999</v>
      </c>
      <c r="AB1450" s="1552">
        <v>3</v>
      </c>
      <c r="AC1450" s="1552">
        <v>999999</v>
      </c>
      <c r="AD1450" s="1550">
        <v>0</v>
      </c>
      <c r="AE1450" s="1553">
        <v>80</v>
      </c>
      <c r="AF1450" s="170">
        <v>0</v>
      </c>
      <c r="AG1450" s="171">
        <v>1</v>
      </c>
      <c r="AH1450" s="171">
        <v>1</v>
      </c>
      <c r="AI1450" s="171">
        <v>1</v>
      </c>
      <c r="AJ1450" s="171">
        <v>1</v>
      </c>
      <c r="AK1450" s="171">
        <v>1</v>
      </c>
      <c r="AL1450" s="171">
        <v>1</v>
      </c>
      <c r="AM1450" s="171">
        <v>1</v>
      </c>
      <c r="AN1450" s="171">
        <v>1</v>
      </c>
      <c r="AO1450" s="171">
        <v>1</v>
      </c>
      <c r="AP1450" s="171">
        <v>1</v>
      </c>
      <c r="AQ1450" s="171">
        <v>1</v>
      </c>
      <c r="AR1450" s="171">
        <v>1</v>
      </c>
      <c r="AS1450" s="171">
        <v>1</v>
      </c>
      <c r="AT1450" s="171">
        <v>1</v>
      </c>
      <c r="AU1450" s="171">
        <f t="shared" si="488"/>
        <v>1</v>
      </c>
      <c r="AV1450" s="171">
        <f t="shared" si="489"/>
        <v>1</v>
      </c>
      <c r="AW1450" s="171">
        <f t="shared" si="490"/>
        <v>1</v>
      </c>
      <c r="AX1450" s="171">
        <f t="shared" si="499"/>
        <v>1</v>
      </c>
      <c r="AY1450" s="171">
        <f t="shared" si="491"/>
        <v>1</v>
      </c>
      <c r="AZ1450" s="171">
        <f t="shared" si="492"/>
        <v>1</v>
      </c>
      <c r="BA1450" s="172">
        <f t="shared" si="493"/>
        <v>1</v>
      </c>
      <c r="BB1450" s="175">
        <f t="shared" si="495"/>
        <v>21</v>
      </c>
      <c r="BC1450" s="176">
        <f t="shared" si="496"/>
        <v>20</v>
      </c>
      <c r="BD1450" s="176">
        <f t="shared" si="497"/>
        <v>21</v>
      </c>
      <c r="BE1450" s="240" t="str">
        <f t="shared" si="501"/>
        <v xml:space="preserve">  OO</v>
      </c>
      <c r="BF1450" s="990"/>
      <c r="BG1450" s="990"/>
      <c r="BH1450" s="991">
        <f>IF(AND(Input_Product=Elig!$C1450,Elig_MatchAll_Ct&lt;22,$BC1450=(Elig_MatchAll_Ct-1),AF1450=0),C1450,0)</f>
        <v>0</v>
      </c>
      <c r="BI1450" s="991">
        <f>IF(AND(Input_Product=Elig!$C1450,Elig_MatchAll_Ct&lt;22,$BC1450=(Elig_MatchAll_Ct-1),AG1450=0),D1450,0)</f>
        <v>0</v>
      </c>
      <c r="BJ1450" s="991">
        <f>IF(AND(Input_Product=Elig!$C1450,Elig_MatchAll_Ct&lt;22,$BC1450=(Elig_MatchAll_Ct-1),AH1450=0),E1450,0)</f>
        <v>0</v>
      </c>
      <c r="BK1450" s="991">
        <f>IF(AND(Input_Product=Elig!$C1450,Elig_MatchAll_Ct&lt;22,$BC1450=(Elig_MatchAll_Ct-1),AI1450=0),F1450,0)</f>
        <v>0</v>
      </c>
      <c r="BL1450" s="991">
        <f>IF(AND(Input_Product=Elig!$C1450,Elig_MatchAll_Ct&lt;22,$BC1450=(Elig_MatchAll_Ct-1),AJ1450=0),G1450,0)</f>
        <v>0</v>
      </c>
      <c r="BM1450" s="991">
        <f>IF(AND(Input_Product=Elig!$C1450,Elig_MatchAll_Ct&lt;22,$BC1450=(Elig_MatchAll_Ct-1),AK1450=0),H1450,0)</f>
        <v>0</v>
      </c>
      <c r="BN1450" s="991">
        <f>IF(AND(Input_Product=Elig!$C1450,Elig_MatchAll_Ct&lt;22,$BC1450=(Elig_MatchAll_Ct-1),AL1450=0),I1450,0)</f>
        <v>0</v>
      </c>
      <c r="BO1450" s="991">
        <f>IF(AND(Input_Product=Elig!$C1450,Elig_MatchAll_Ct&lt;22,$BC1450=(Elig_MatchAll_Ct-1),AM1450=0),J1450,0)</f>
        <v>0</v>
      </c>
      <c r="BP1450" s="991">
        <f>IF(AND(Input_Product=Elig!$C1450,Elig_MatchAll_Ct&lt;22,$BC1450=(Elig_MatchAll_Ct-1),AN1450=0),K1450,0)</f>
        <v>0</v>
      </c>
      <c r="BQ1450" s="991">
        <f>IF(AND(Input_Product=Elig!$C1450,Elig_MatchAll_Ct&lt;22,$BC1450=(Elig_MatchAll_Ct-1),AP1450=0),L1450,0)</f>
        <v>0</v>
      </c>
      <c r="BR1450" s="991">
        <f>IF(AND(Input_Product=Elig!$C1450,Elig_MatchAll_Ct&lt;22,$BC1450=(Elig_MatchAll_Ct-1),AO1450=0),M1450,0)</f>
        <v>0</v>
      </c>
      <c r="BS1450" s="991">
        <f>IF(AND(Input_Product=Elig!$C1450,Elig_MatchAll_Ct&lt;22,$BC1450=(Elig_MatchAll_Ct-1),AQ1450=0),N1450,0)</f>
        <v>0</v>
      </c>
      <c r="BT1450" s="991">
        <f>IF(AND(Input_Product=Elig!$C1450,Elig_MatchAll_Ct&lt;22,$BC1450=(Elig_MatchAll_Ct-1),AR1450=0),O1450,0)</f>
        <v>0</v>
      </c>
      <c r="BU1450" s="991">
        <f>IF(AND(Input_Product=Elig!$C1450,Elig_MatchAll_Ct&lt;22,$BC1450=(Elig_MatchAll_Ct-1),AS1450=0),P1450,0)</f>
        <v>0</v>
      </c>
      <c r="BV1450" s="992">
        <f>IF(AND(Input_Product=Elig!$C1450,Elig_MatchAll_Ct&lt;22,$BC1450=(Elig_MatchAll_Ct-1),AT1450=0),Q1450,0)</f>
        <v>0</v>
      </c>
      <c r="BW1450" s="993">
        <f>IF(AND(Input_Product=Elig!$C1450,Elig_MatchAll_Ct&lt;22,$BC1450=(Elig_MatchAll_Ct-1),AU1450=0),R1450,0)</f>
        <v>0</v>
      </c>
      <c r="BX1450" s="994">
        <f>IF(AND(Input_Product=Elig!$C1450,Elig_MatchAll_Ct&lt;22,$BC1450=(Elig_MatchAll_Ct-1),AU1450=0),S1450,0)</f>
        <v>0</v>
      </c>
      <c r="BY1450" s="993">
        <f>IF(AND(Input_Product=Elig!$C1450,Elig_MatchAll_Ct&lt;22,$BC1450=(Elig_MatchAll_Ct-1),AV1450=0),T1450,0)</f>
        <v>0</v>
      </c>
      <c r="BZ1450" s="994">
        <f>IF(AND(Input_Product=Elig!$C1450,Elig_MatchAll_Ct&lt;22,$BC1450=(Elig_MatchAll_Ct-1),AV1450=0),U1450,0)</f>
        <v>0</v>
      </c>
      <c r="CA1450" s="993">
        <f>IF(AND(Input_Product=Elig!$C1450,Elig_MatchAll_Ct&lt;22,$BC1450=(Elig_MatchAll_Ct-1),AW1450=0),V1450,0)</f>
        <v>0</v>
      </c>
      <c r="CB1450" s="994">
        <f>IF(AND(Input_Product=Elig!$C1450,Elig_MatchAll_Ct&lt;22,$BC1450=(Elig_MatchAll_Ct-1),AW1450=0),W1450,0)</f>
        <v>0</v>
      </c>
      <c r="CC1450" s="993">
        <f>IF(AND(Input_Product=Elig!$C1450,Elig_MatchAll_Ct&lt;22,$BC1450=(Elig_MatchAll_Ct-1),AX1450=0),X1450,0)</f>
        <v>0</v>
      </c>
      <c r="CD1450" s="994">
        <f>IF(AND(Input_Product=Elig!$C1450,Elig_MatchAll_Ct&lt;22,$BC1450=(Elig_MatchAll_Ct-1),AX1450=0),Y1450,0)</f>
        <v>0</v>
      </c>
      <c r="CE1450" s="993">
        <f>IF(AND(Input_LTV&lt;=AE1450,Input_Product=Elig!$C1450,Elig_MatchAll_Ct&lt;22,$BC1450=(Elig_MatchAll_Ct-1),AY1450=0),Z1450,0)</f>
        <v>0</v>
      </c>
      <c r="CF1450" s="994">
        <f>IF(AND(Input_LTV&lt;=AE1450,Input_Product=Elig!$C1450,Elig_MatchAll_Ct&lt;22,$BC1450=(Elig_MatchAll_Ct-1),AY1450=0),AA1450,0)</f>
        <v>0</v>
      </c>
      <c r="CG1450" s="993">
        <f>IF(AND(Input_Product=Elig!$C1450,Elig_MatchAll_Ct&lt;22,$BC1450=(Elig_MatchAll_Ct-1),AZ1450=0),AB1450,0)</f>
        <v>0</v>
      </c>
      <c r="CH1450" s="994">
        <f>IF(AND(Input_Product=Elig!$C1450,Elig_MatchAll_Ct&lt;22,$BC1450=(Elig_MatchAll_Ct-1),AZ1450=0),AC1450,0)</f>
        <v>0</v>
      </c>
      <c r="CI1450" s="993">
        <f>IF(AND(Input_Product=Elig!$C1450,Elig_MatchAll_Ct&lt;22,$BC1450=(Elig_MatchAll_Ct-1),BA1450=0),AD1450,0)</f>
        <v>0</v>
      </c>
      <c r="CJ1450" s="994">
        <f>IF(AND(Input_Product=Elig!$C1450,Elig_MatchAll_Ct&lt;22,$BC1450=(Elig_MatchAll_Ct-1),BA1450=0),AE1450,0)</f>
        <v>0</v>
      </c>
    </row>
    <row r="1451" spans="2:88" ht="10.15" customHeight="1" x14ac:dyDescent="0.25">
      <c r="B1451" s="1554" t="s">
        <v>2837</v>
      </c>
      <c r="C1451" s="1554" t="str">
        <f t="shared" si="500"/>
        <v xml:space="preserve">  OO</v>
      </c>
      <c r="D1451" s="1554" t="s">
        <v>2764</v>
      </c>
      <c r="E1451" s="1554" t="s">
        <v>167</v>
      </c>
      <c r="F1451" s="1554" t="s">
        <v>2765</v>
      </c>
      <c r="G1451" s="1554" t="s">
        <v>2810</v>
      </c>
      <c r="H1451" s="1554" t="s">
        <v>2767</v>
      </c>
      <c r="I1451" s="1555" t="s">
        <v>16</v>
      </c>
      <c r="J1451" s="1555" t="s">
        <v>1311</v>
      </c>
      <c r="K1451" s="1555" t="s">
        <v>3023</v>
      </c>
      <c r="L1451" s="1554" t="s">
        <v>3920</v>
      </c>
      <c r="M1451" s="1554" t="s">
        <v>4203</v>
      </c>
      <c r="N1451" s="1554" t="s">
        <v>2685</v>
      </c>
      <c r="O1451" s="1554" t="s">
        <v>310</v>
      </c>
      <c r="P1451" s="1554" t="s">
        <v>291</v>
      </c>
      <c r="Q1451" s="1554" t="s">
        <v>294</v>
      </c>
      <c r="R1451" s="1554">
        <v>1000000.01</v>
      </c>
      <c r="S1451" s="1554">
        <v>1500000</v>
      </c>
      <c r="T1451" s="1554">
        <v>0</v>
      </c>
      <c r="U1451" s="1554">
        <v>1000000</v>
      </c>
      <c r="V1451" s="1554">
        <v>0</v>
      </c>
      <c r="W1451" s="1554">
        <v>50</v>
      </c>
      <c r="X1451" s="1554">
        <v>0</v>
      </c>
      <c r="Y1451" s="1554">
        <v>0</v>
      </c>
      <c r="Z1451" s="1556">
        <v>700</v>
      </c>
      <c r="AA1451" s="1556">
        <v>999</v>
      </c>
      <c r="AB1451" s="1556">
        <v>3</v>
      </c>
      <c r="AC1451" s="1556">
        <v>999999</v>
      </c>
      <c r="AD1451" s="1554">
        <v>0</v>
      </c>
      <c r="AE1451" s="1557">
        <v>80</v>
      </c>
      <c r="AF1451" s="170">
        <v>0</v>
      </c>
      <c r="AG1451" s="171">
        <v>1</v>
      </c>
      <c r="AH1451" s="171">
        <v>1</v>
      </c>
      <c r="AI1451" s="171">
        <v>1</v>
      </c>
      <c r="AJ1451" s="171">
        <v>1</v>
      </c>
      <c r="AK1451" s="171">
        <v>1</v>
      </c>
      <c r="AL1451" s="171">
        <v>1</v>
      </c>
      <c r="AM1451" s="171">
        <v>1</v>
      </c>
      <c r="AN1451" s="171">
        <v>1</v>
      </c>
      <c r="AO1451" s="171">
        <v>1</v>
      </c>
      <c r="AP1451" s="171">
        <v>1</v>
      </c>
      <c r="AQ1451" s="171">
        <v>1</v>
      </c>
      <c r="AR1451" s="171">
        <v>1</v>
      </c>
      <c r="AS1451" s="171">
        <v>1</v>
      </c>
      <c r="AT1451" s="171">
        <v>1</v>
      </c>
      <c r="AU1451" s="171">
        <f t="shared" ref="AU1451:AU1514" si="502">IF(AND(Input_LoanAmt&gt;=Elig_LoanAmt_Min,Input_LoanAmt&lt;=Elig_LoanAmt_Max),1,0)</f>
        <v>0</v>
      </c>
      <c r="AV1451" s="171">
        <f t="shared" ref="AV1451:AV1514" si="503">IF(AND(Input_CashoutAmt&gt;=Elig_CashoutAmt_Min,Input_CashoutAmt&lt;=Elig_CashoutAmt_Max),1,0)</f>
        <v>1</v>
      </c>
      <c r="AW1451" s="171">
        <f t="shared" ref="AW1451:AW1514" si="504">IF(AND(Input_DTI&gt;=Elig_DTI_Min,Input_DTI&lt;=Elig_DTI_Max),1,0)</f>
        <v>1</v>
      </c>
      <c r="AX1451" s="171">
        <f t="shared" si="499"/>
        <v>1</v>
      </c>
      <c r="AY1451" s="171">
        <f t="shared" ref="AY1451:AY1514" si="505">IF(AND(Input_CreditScore&gt;=Elig_CreditScore_Min,Input_CreditScore&lt;=Elig_CreditScore_Max),1,0)</f>
        <v>1</v>
      </c>
      <c r="AZ1451" s="171">
        <f t="shared" ref="AZ1451:AZ1514" si="506">IF(AND(Input_ReservesMonths&gt;=Elig_Reserves_Min,Input_ReservesMonths&lt;=Elig_Reserves_Max),1,0)</f>
        <v>1</v>
      </c>
      <c r="BA1451" s="172">
        <f t="shared" ref="BA1451:BA1514" si="507">IF(AND(Input_LTV&gt;=Elig_LTV_Min,Input_LTV&lt;=Elig_LTV_Max),1,0)</f>
        <v>1</v>
      </c>
      <c r="BB1451" s="175">
        <f t="shared" si="495"/>
        <v>20</v>
      </c>
      <c r="BC1451" s="176">
        <f t="shared" si="496"/>
        <v>19</v>
      </c>
      <c r="BD1451" s="176">
        <f t="shared" si="497"/>
        <v>20</v>
      </c>
      <c r="BE1451" s="240" t="str">
        <f t="shared" si="501"/>
        <v/>
      </c>
      <c r="BF1451" s="990"/>
      <c r="BG1451" s="990"/>
      <c r="BH1451" s="991">
        <f>IF(AND(Input_Product=Elig!$C1451,Elig_MatchAll_Ct&lt;22,$BC1451=(Elig_MatchAll_Ct-1),AF1451=0),C1451,0)</f>
        <v>0</v>
      </c>
      <c r="BI1451" s="991">
        <f>IF(AND(Input_Product=Elig!$C1451,Elig_MatchAll_Ct&lt;22,$BC1451=(Elig_MatchAll_Ct-1),AG1451=0),D1451,0)</f>
        <v>0</v>
      </c>
      <c r="BJ1451" s="991">
        <f>IF(AND(Input_Product=Elig!$C1451,Elig_MatchAll_Ct&lt;22,$BC1451=(Elig_MatchAll_Ct-1),AH1451=0),E1451,0)</f>
        <v>0</v>
      </c>
      <c r="BK1451" s="991">
        <f>IF(AND(Input_Product=Elig!$C1451,Elig_MatchAll_Ct&lt;22,$BC1451=(Elig_MatchAll_Ct-1),AI1451=0),F1451,0)</f>
        <v>0</v>
      </c>
      <c r="BL1451" s="991">
        <f>IF(AND(Input_Product=Elig!$C1451,Elig_MatchAll_Ct&lt;22,$BC1451=(Elig_MatchAll_Ct-1),AJ1451=0),G1451,0)</f>
        <v>0</v>
      </c>
      <c r="BM1451" s="991">
        <f>IF(AND(Input_Product=Elig!$C1451,Elig_MatchAll_Ct&lt;22,$BC1451=(Elig_MatchAll_Ct-1),AK1451=0),H1451,0)</f>
        <v>0</v>
      </c>
      <c r="BN1451" s="991">
        <f>IF(AND(Input_Product=Elig!$C1451,Elig_MatchAll_Ct&lt;22,$BC1451=(Elig_MatchAll_Ct-1),AL1451=0),I1451,0)</f>
        <v>0</v>
      </c>
      <c r="BO1451" s="991">
        <f>IF(AND(Input_Product=Elig!$C1451,Elig_MatchAll_Ct&lt;22,$BC1451=(Elig_MatchAll_Ct-1),AM1451=0),J1451,0)</f>
        <v>0</v>
      </c>
      <c r="BP1451" s="991">
        <f>IF(AND(Input_Product=Elig!$C1451,Elig_MatchAll_Ct&lt;22,$BC1451=(Elig_MatchAll_Ct-1),AN1451=0),K1451,0)</f>
        <v>0</v>
      </c>
      <c r="BQ1451" s="991">
        <f>IF(AND(Input_Product=Elig!$C1451,Elig_MatchAll_Ct&lt;22,$BC1451=(Elig_MatchAll_Ct-1),AP1451=0),L1451,0)</f>
        <v>0</v>
      </c>
      <c r="BR1451" s="991">
        <f>IF(AND(Input_Product=Elig!$C1451,Elig_MatchAll_Ct&lt;22,$BC1451=(Elig_MatchAll_Ct-1),AO1451=0),M1451,0)</f>
        <v>0</v>
      </c>
      <c r="BS1451" s="991">
        <f>IF(AND(Input_Product=Elig!$C1451,Elig_MatchAll_Ct&lt;22,$BC1451=(Elig_MatchAll_Ct-1),AQ1451=0),N1451,0)</f>
        <v>0</v>
      </c>
      <c r="BT1451" s="991">
        <f>IF(AND(Input_Product=Elig!$C1451,Elig_MatchAll_Ct&lt;22,$BC1451=(Elig_MatchAll_Ct-1),AR1451=0),O1451,0)</f>
        <v>0</v>
      </c>
      <c r="BU1451" s="991">
        <f>IF(AND(Input_Product=Elig!$C1451,Elig_MatchAll_Ct&lt;22,$BC1451=(Elig_MatchAll_Ct-1),AS1451=0),P1451,0)</f>
        <v>0</v>
      </c>
      <c r="BV1451" s="992">
        <f>IF(AND(Input_Product=Elig!$C1451,Elig_MatchAll_Ct&lt;22,$BC1451=(Elig_MatchAll_Ct-1),AT1451=0),Q1451,0)</f>
        <v>0</v>
      </c>
      <c r="BW1451" s="993">
        <f>IF(AND(Input_Product=Elig!$C1451,Elig_MatchAll_Ct&lt;22,$BC1451=(Elig_MatchAll_Ct-1),AU1451=0),R1451,0)</f>
        <v>0</v>
      </c>
      <c r="BX1451" s="994">
        <f>IF(AND(Input_Product=Elig!$C1451,Elig_MatchAll_Ct&lt;22,$BC1451=(Elig_MatchAll_Ct-1),AU1451=0),S1451,0)</f>
        <v>0</v>
      </c>
      <c r="BY1451" s="993">
        <f>IF(AND(Input_Product=Elig!$C1451,Elig_MatchAll_Ct&lt;22,$BC1451=(Elig_MatchAll_Ct-1),AV1451=0),T1451,0)</f>
        <v>0</v>
      </c>
      <c r="BZ1451" s="994">
        <f>IF(AND(Input_Product=Elig!$C1451,Elig_MatchAll_Ct&lt;22,$BC1451=(Elig_MatchAll_Ct-1),AV1451=0),U1451,0)</f>
        <v>0</v>
      </c>
      <c r="CA1451" s="993">
        <f>IF(AND(Input_Product=Elig!$C1451,Elig_MatchAll_Ct&lt;22,$BC1451=(Elig_MatchAll_Ct-1),AW1451=0),V1451,0)</f>
        <v>0</v>
      </c>
      <c r="CB1451" s="994">
        <f>IF(AND(Input_Product=Elig!$C1451,Elig_MatchAll_Ct&lt;22,$BC1451=(Elig_MatchAll_Ct-1),AW1451=0),W1451,0)</f>
        <v>0</v>
      </c>
      <c r="CC1451" s="993">
        <f>IF(AND(Input_Product=Elig!$C1451,Elig_MatchAll_Ct&lt;22,$BC1451=(Elig_MatchAll_Ct-1),AX1451=0),X1451,0)</f>
        <v>0</v>
      </c>
      <c r="CD1451" s="994">
        <f>IF(AND(Input_Product=Elig!$C1451,Elig_MatchAll_Ct&lt;22,$BC1451=(Elig_MatchAll_Ct-1),AX1451=0),Y1451,0)</f>
        <v>0</v>
      </c>
      <c r="CE1451" s="993">
        <f>IF(AND(Input_LTV&lt;=AE1451,Input_Product=Elig!$C1451,Elig_MatchAll_Ct&lt;22,$BC1451=(Elig_MatchAll_Ct-1),AY1451=0),Z1451,0)</f>
        <v>0</v>
      </c>
      <c r="CF1451" s="994">
        <f>IF(AND(Input_LTV&lt;=AE1451,Input_Product=Elig!$C1451,Elig_MatchAll_Ct&lt;22,$BC1451=(Elig_MatchAll_Ct-1),AY1451=0),AA1451,0)</f>
        <v>0</v>
      </c>
      <c r="CG1451" s="993">
        <f>IF(AND(Input_Product=Elig!$C1451,Elig_MatchAll_Ct&lt;22,$BC1451=(Elig_MatchAll_Ct-1),AZ1451=0),AB1451,0)</f>
        <v>0</v>
      </c>
      <c r="CH1451" s="994">
        <f>IF(AND(Input_Product=Elig!$C1451,Elig_MatchAll_Ct&lt;22,$BC1451=(Elig_MatchAll_Ct-1),AZ1451=0),AC1451,0)</f>
        <v>0</v>
      </c>
      <c r="CI1451" s="993">
        <f>IF(AND(Input_Product=Elig!$C1451,Elig_MatchAll_Ct&lt;22,$BC1451=(Elig_MatchAll_Ct-1),BA1451=0),AD1451,0)</f>
        <v>0</v>
      </c>
      <c r="CJ1451" s="994">
        <f>IF(AND(Input_Product=Elig!$C1451,Elig_MatchAll_Ct&lt;22,$BC1451=(Elig_MatchAll_Ct-1),BA1451=0),AE1451,0)</f>
        <v>0</v>
      </c>
    </row>
    <row r="1452" spans="2:88" ht="10.15" customHeight="1" x14ac:dyDescent="0.25">
      <c r="B1452" s="1554" t="s">
        <v>2838</v>
      </c>
      <c r="C1452" s="1554" t="str">
        <f t="shared" si="500"/>
        <v xml:space="preserve">  OO</v>
      </c>
      <c r="D1452" s="1554" t="s">
        <v>2764</v>
      </c>
      <c r="E1452" s="1554" t="s">
        <v>167</v>
      </c>
      <c r="F1452" s="1554" t="s">
        <v>2765</v>
      </c>
      <c r="G1452" s="1554" t="s">
        <v>2810</v>
      </c>
      <c r="H1452" s="1554" t="s">
        <v>2767</v>
      </c>
      <c r="I1452" s="1555" t="s">
        <v>16</v>
      </c>
      <c r="J1452" s="1555" t="s">
        <v>1311</v>
      </c>
      <c r="K1452" s="1555" t="s">
        <v>3023</v>
      </c>
      <c r="L1452" s="1554" t="s">
        <v>3920</v>
      </c>
      <c r="M1452" s="1554" t="s">
        <v>4203</v>
      </c>
      <c r="N1452" s="1554" t="s">
        <v>2685</v>
      </c>
      <c r="O1452" s="1554" t="s">
        <v>310</v>
      </c>
      <c r="P1452" s="1554" t="s">
        <v>291</v>
      </c>
      <c r="Q1452" s="1554" t="s">
        <v>294</v>
      </c>
      <c r="R1452" s="1554">
        <v>1500000.01</v>
      </c>
      <c r="S1452" s="1554">
        <v>2000000</v>
      </c>
      <c r="T1452" s="1554">
        <v>0</v>
      </c>
      <c r="U1452" s="1554">
        <v>1000000</v>
      </c>
      <c r="V1452" s="1554">
        <v>0</v>
      </c>
      <c r="W1452" s="1554">
        <v>50</v>
      </c>
      <c r="X1452" s="1554">
        <v>0</v>
      </c>
      <c r="Y1452" s="1554">
        <v>0</v>
      </c>
      <c r="Z1452" s="1556">
        <v>700</v>
      </c>
      <c r="AA1452" s="1556">
        <v>999</v>
      </c>
      <c r="AB1452" s="1556">
        <v>3</v>
      </c>
      <c r="AC1452" s="1556">
        <v>999999</v>
      </c>
      <c r="AD1452" s="1554">
        <v>0</v>
      </c>
      <c r="AE1452" s="1557">
        <v>75</v>
      </c>
      <c r="AF1452" s="170">
        <v>0</v>
      </c>
      <c r="AG1452" s="171">
        <v>1</v>
      </c>
      <c r="AH1452" s="171">
        <v>1</v>
      </c>
      <c r="AI1452" s="171">
        <v>1</v>
      </c>
      <c r="AJ1452" s="171">
        <v>1</v>
      </c>
      <c r="AK1452" s="171">
        <v>1</v>
      </c>
      <c r="AL1452" s="171">
        <v>1</v>
      </c>
      <c r="AM1452" s="171">
        <v>1</v>
      </c>
      <c r="AN1452" s="171">
        <v>1</v>
      </c>
      <c r="AO1452" s="171">
        <v>1</v>
      </c>
      <c r="AP1452" s="171">
        <v>1</v>
      </c>
      <c r="AQ1452" s="171">
        <v>1</v>
      </c>
      <c r="AR1452" s="171">
        <v>1</v>
      </c>
      <c r="AS1452" s="171">
        <v>1</v>
      </c>
      <c r="AT1452" s="171">
        <v>1</v>
      </c>
      <c r="AU1452" s="171">
        <f t="shared" si="502"/>
        <v>0</v>
      </c>
      <c r="AV1452" s="171">
        <f t="shared" si="503"/>
        <v>1</v>
      </c>
      <c r="AW1452" s="171">
        <f t="shared" si="504"/>
        <v>1</v>
      </c>
      <c r="AX1452" s="171">
        <f t="shared" si="499"/>
        <v>1</v>
      </c>
      <c r="AY1452" s="171">
        <f t="shared" si="505"/>
        <v>1</v>
      </c>
      <c r="AZ1452" s="171">
        <f t="shared" si="506"/>
        <v>1</v>
      </c>
      <c r="BA1452" s="172">
        <f t="shared" si="507"/>
        <v>1</v>
      </c>
      <c r="BB1452" s="175">
        <f t="shared" si="495"/>
        <v>20</v>
      </c>
      <c r="BC1452" s="176">
        <f t="shared" si="496"/>
        <v>19</v>
      </c>
      <c r="BD1452" s="176">
        <f t="shared" si="497"/>
        <v>20</v>
      </c>
      <c r="BE1452" s="240" t="str">
        <f t="shared" si="501"/>
        <v/>
      </c>
      <c r="BF1452" s="990"/>
      <c r="BG1452" s="990"/>
      <c r="BH1452" s="991">
        <f>IF(AND(Input_Product=Elig!$C1452,Elig_MatchAll_Ct&lt;22,$BC1452=(Elig_MatchAll_Ct-1),AF1452=0),C1452,0)</f>
        <v>0</v>
      </c>
      <c r="BI1452" s="991">
        <f>IF(AND(Input_Product=Elig!$C1452,Elig_MatchAll_Ct&lt;22,$BC1452=(Elig_MatchAll_Ct-1),AG1452=0),D1452,0)</f>
        <v>0</v>
      </c>
      <c r="BJ1452" s="991">
        <f>IF(AND(Input_Product=Elig!$C1452,Elig_MatchAll_Ct&lt;22,$BC1452=(Elig_MatchAll_Ct-1),AH1452=0),E1452,0)</f>
        <v>0</v>
      </c>
      <c r="BK1452" s="991">
        <f>IF(AND(Input_Product=Elig!$C1452,Elig_MatchAll_Ct&lt;22,$BC1452=(Elig_MatchAll_Ct-1),AI1452=0),F1452,0)</f>
        <v>0</v>
      </c>
      <c r="BL1452" s="991">
        <f>IF(AND(Input_Product=Elig!$C1452,Elig_MatchAll_Ct&lt;22,$BC1452=(Elig_MatchAll_Ct-1),AJ1452=0),G1452,0)</f>
        <v>0</v>
      </c>
      <c r="BM1452" s="991">
        <f>IF(AND(Input_Product=Elig!$C1452,Elig_MatchAll_Ct&lt;22,$BC1452=(Elig_MatchAll_Ct-1),AK1452=0),H1452,0)</f>
        <v>0</v>
      </c>
      <c r="BN1452" s="991">
        <f>IF(AND(Input_Product=Elig!$C1452,Elig_MatchAll_Ct&lt;22,$BC1452=(Elig_MatchAll_Ct-1),AL1452=0),I1452,0)</f>
        <v>0</v>
      </c>
      <c r="BO1452" s="991">
        <f>IF(AND(Input_Product=Elig!$C1452,Elig_MatchAll_Ct&lt;22,$BC1452=(Elig_MatchAll_Ct-1),AM1452=0),J1452,0)</f>
        <v>0</v>
      </c>
      <c r="BP1452" s="991">
        <f>IF(AND(Input_Product=Elig!$C1452,Elig_MatchAll_Ct&lt;22,$BC1452=(Elig_MatchAll_Ct-1),AN1452=0),K1452,0)</f>
        <v>0</v>
      </c>
      <c r="BQ1452" s="991">
        <f>IF(AND(Input_Product=Elig!$C1452,Elig_MatchAll_Ct&lt;22,$BC1452=(Elig_MatchAll_Ct-1),AP1452=0),L1452,0)</f>
        <v>0</v>
      </c>
      <c r="BR1452" s="991">
        <f>IF(AND(Input_Product=Elig!$C1452,Elig_MatchAll_Ct&lt;22,$BC1452=(Elig_MatchAll_Ct-1),AO1452=0),M1452,0)</f>
        <v>0</v>
      </c>
      <c r="BS1452" s="991">
        <f>IF(AND(Input_Product=Elig!$C1452,Elig_MatchAll_Ct&lt;22,$BC1452=(Elig_MatchAll_Ct-1),AQ1452=0),N1452,0)</f>
        <v>0</v>
      </c>
      <c r="BT1452" s="991">
        <f>IF(AND(Input_Product=Elig!$C1452,Elig_MatchAll_Ct&lt;22,$BC1452=(Elig_MatchAll_Ct-1),AR1452=0),O1452,0)</f>
        <v>0</v>
      </c>
      <c r="BU1452" s="991">
        <f>IF(AND(Input_Product=Elig!$C1452,Elig_MatchAll_Ct&lt;22,$BC1452=(Elig_MatchAll_Ct-1),AS1452=0),P1452,0)</f>
        <v>0</v>
      </c>
      <c r="BV1452" s="992">
        <f>IF(AND(Input_Product=Elig!$C1452,Elig_MatchAll_Ct&lt;22,$BC1452=(Elig_MatchAll_Ct-1),AT1452=0),Q1452,0)</f>
        <v>0</v>
      </c>
      <c r="BW1452" s="993">
        <f>IF(AND(Input_Product=Elig!$C1452,Elig_MatchAll_Ct&lt;22,$BC1452=(Elig_MatchAll_Ct-1),AU1452=0),R1452,0)</f>
        <v>0</v>
      </c>
      <c r="BX1452" s="994">
        <f>IF(AND(Input_Product=Elig!$C1452,Elig_MatchAll_Ct&lt;22,$BC1452=(Elig_MatchAll_Ct-1),AU1452=0),S1452,0)</f>
        <v>0</v>
      </c>
      <c r="BY1452" s="993">
        <f>IF(AND(Input_Product=Elig!$C1452,Elig_MatchAll_Ct&lt;22,$BC1452=(Elig_MatchAll_Ct-1),AV1452=0),T1452,0)</f>
        <v>0</v>
      </c>
      <c r="BZ1452" s="994">
        <f>IF(AND(Input_Product=Elig!$C1452,Elig_MatchAll_Ct&lt;22,$BC1452=(Elig_MatchAll_Ct-1),AV1452=0),U1452,0)</f>
        <v>0</v>
      </c>
      <c r="CA1452" s="993">
        <f>IF(AND(Input_Product=Elig!$C1452,Elig_MatchAll_Ct&lt;22,$BC1452=(Elig_MatchAll_Ct-1),AW1452=0),V1452,0)</f>
        <v>0</v>
      </c>
      <c r="CB1452" s="994">
        <f>IF(AND(Input_Product=Elig!$C1452,Elig_MatchAll_Ct&lt;22,$BC1452=(Elig_MatchAll_Ct-1),AW1452=0),W1452,0)</f>
        <v>0</v>
      </c>
      <c r="CC1452" s="993">
        <f>IF(AND(Input_Product=Elig!$C1452,Elig_MatchAll_Ct&lt;22,$BC1452=(Elig_MatchAll_Ct-1),AX1452=0),X1452,0)</f>
        <v>0</v>
      </c>
      <c r="CD1452" s="994">
        <f>IF(AND(Input_Product=Elig!$C1452,Elig_MatchAll_Ct&lt;22,$BC1452=(Elig_MatchAll_Ct-1),AX1452=0),Y1452,0)</f>
        <v>0</v>
      </c>
      <c r="CE1452" s="993">
        <f>IF(AND(Input_LTV&lt;=AE1452,Input_Product=Elig!$C1452,Elig_MatchAll_Ct&lt;22,$BC1452=(Elig_MatchAll_Ct-1),AY1452=0),Z1452,0)</f>
        <v>0</v>
      </c>
      <c r="CF1452" s="994">
        <f>IF(AND(Input_LTV&lt;=AE1452,Input_Product=Elig!$C1452,Elig_MatchAll_Ct&lt;22,$BC1452=(Elig_MatchAll_Ct-1),AY1452=0),AA1452,0)</f>
        <v>0</v>
      </c>
      <c r="CG1452" s="993">
        <f>IF(AND(Input_Product=Elig!$C1452,Elig_MatchAll_Ct&lt;22,$BC1452=(Elig_MatchAll_Ct-1),AZ1452=0),AB1452,0)</f>
        <v>0</v>
      </c>
      <c r="CH1452" s="994">
        <f>IF(AND(Input_Product=Elig!$C1452,Elig_MatchAll_Ct&lt;22,$BC1452=(Elig_MatchAll_Ct-1),AZ1452=0),AC1452,0)</f>
        <v>0</v>
      </c>
      <c r="CI1452" s="993">
        <f>IF(AND(Input_Product=Elig!$C1452,Elig_MatchAll_Ct&lt;22,$BC1452=(Elig_MatchAll_Ct-1),BA1452=0),AD1452,0)</f>
        <v>0</v>
      </c>
      <c r="CJ1452" s="994">
        <f>IF(AND(Input_Product=Elig!$C1452,Elig_MatchAll_Ct&lt;22,$BC1452=(Elig_MatchAll_Ct-1),BA1452=0),AE1452,0)</f>
        <v>0</v>
      </c>
    </row>
    <row r="1453" spans="2:88" ht="10.15" customHeight="1" x14ac:dyDescent="0.25">
      <c r="B1453" s="1554" t="s">
        <v>2839</v>
      </c>
      <c r="C1453" s="1554" t="str">
        <f t="shared" si="500"/>
        <v xml:space="preserve">  OO</v>
      </c>
      <c r="D1453" s="1554" t="s">
        <v>2764</v>
      </c>
      <c r="E1453" s="1554" t="s">
        <v>167</v>
      </c>
      <c r="F1453" s="1554" t="s">
        <v>2765</v>
      </c>
      <c r="G1453" s="1554" t="s">
        <v>2810</v>
      </c>
      <c r="H1453" s="1554" t="s">
        <v>2767</v>
      </c>
      <c r="I1453" s="1555" t="s">
        <v>16</v>
      </c>
      <c r="J1453" s="1555" t="s">
        <v>1311</v>
      </c>
      <c r="K1453" s="1555" t="s">
        <v>3023</v>
      </c>
      <c r="L1453" s="1554" t="s">
        <v>3920</v>
      </c>
      <c r="M1453" s="1554" t="s">
        <v>4203</v>
      </c>
      <c r="N1453" s="1554" t="s">
        <v>2685</v>
      </c>
      <c r="O1453" s="1554" t="s">
        <v>310</v>
      </c>
      <c r="P1453" s="1554" t="s">
        <v>291</v>
      </c>
      <c r="Q1453" s="1554" t="s">
        <v>294</v>
      </c>
      <c r="R1453" s="1554">
        <v>2000000.01</v>
      </c>
      <c r="S1453" s="1554">
        <v>3000000</v>
      </c>
      <c r="T1453" s="1554">
        <v>0</v>
      </c>
      <c r="U1453" s="1554">
        <v>1000000</v>
      </c>
      <c r="V1453" s="1554">
        <v>0</v>
      </c>
      <c r="W1453" s="1554">
        <v>50</v>
      </c>
      <c r="X1453" s="1554">
        <v>0</v>
      </c>
      <c r="Y1453" s="1554">
        <v>0</v>
      </c>
      <c r="Z1453" s="1556">
        <v>700</v>
      </c>
      <c r="AA1453" s="1556">
        <v>999</v>
      </c>
      <c r="AB1453" s="1556">
        <v>3</v>
      </c>
      <c r="AC1453" s="1556">
        <v>999999</v>
      </c>
      <c r="AD1453" s="1554">
        <v>0</v>
      </c>
      <c r="AE1453" s="1557">
        <v>65</v>
      </c>
      <c r="AF1453" s="170">
        <v>0</v>
      </c>
      <c r="AG1453" s="171">
        <v>1</v>
      </c>
      <c r="AH1453" s="171">
        <v>1</v>
      </c>
      <c r="AI1453" s="171">
        <v>1</v>
      </c>
      <c r="AJ1453" s="171">
        <v>1</v>
      </c>
      <c r="AK1453" s="171">
        <v>1</v>
      </c>
      <c r="AL1453" s="171">
        <v>1</v>
      </c>
      <c r="AM1453" s="171">
        <v>1</v>
      </c>
      <c r="AN1453" s="171">
        <v>1</v>
      </c>
      <c r="AO1453" s="171">
        <v>1</v>
      </c>
      <c r="AP1453" s="171">
        <v>1</v>
      </c>
      <c r="AQ1453" s="171">
        <v>1</v>
      </c>
      <c r="AR1453" s="171">
        <v>1</v>
      </c>
      <c r="AS1453" s="171">
        <v>1</v>
      </c>
      <c r="AT1453" s="171">
        <v>1</v>
      </c>
      <c r="AU1453" s="171">
        <f t="shared" si="502"/>
        <v>0</v>
      </c>
      <c r="AV1453" s="171">
        <f t="shared" si="503"/>
        <v>1</v>
      </c>
      <c r="AW1453" s="171">
        <f t="shared" si="504"/>
        <v>1</v>
      </c>
      <c r="AX1453" s="171">
        <f t="shared" si="499"/>
        <v>1</v>
      </c>
      <c r="AY1453" s="171">
        <f t="shared" si="505"/>
        <v>1</v>
      </c>
      <c r="AZ1453" s="171">
        <f t="shared" si="506"/>
        <v>1</v>
      </c>
      <c r="BA1453" s="172">
        <f t="shared" si="507"/>
        <v>1</v>
      </c>
      <c r="BB1453" s="175">
        <f t="shared" si="495"/>
        <v>20</v>
      </c>
      <c r="BC1453" s="176">
        <f t="shared" si="496"/>
        <v>19</v>
      </c>
      <c r="BD1453" s="176">
        <f t="shared" si="497"/>
        <v>20</v>
      </c>
      <c r="BE1453" s="240" t="str">
        <f t="shared" si="501"/>
        <v/>
      </c>
      <c r="BF1453" s="990"/>
      <c r="BG1453" s="990"/>
      <c r="BH1453" s="991">
        <f>IF(AND(Input_Product=Elig!$C1453,Elig_MatchAll_Ct&lt;22,$BC1453=(Elig_MatchAll_Ct-1),AF1453=0),C1453,0)</f>
        <v>0</v>
      </c>
      <c r="BI1453" s="991">
        <f>IF(AND(Input_Product=Elig!$C1453,Elig_MatchAll_Ct&lt;22,$BC1453=(Elig_MatchAll_Ct-1),AG1453=0),D1453,0)</f>
        <v>0</v>
      </c>
      <c r="BJ1453" s="991">
        <f>IF(AND(Input_Product=Elig!$C1453,Elig_MatchAll_Ct&lt;22,$BC1453=(Elig_MatchAll_Ct-1),AH1453=0),E1453,0)</f>
        <v>0</v>
      </c>
      <c r="BK1453" s="991">
        <f>IF(AND(Input_Product=Elig!$C1453,Elig_MatchAll_Ct&lt;22,$BC1453=(Elig_MatchAll_Ct-1),AI1453=0),F1453,0)</f>
        <v>0</v>
      </c>
      <c r="BL1453" s="991">
        <f>IF(AND(Input_Product=Elig!$C1453,Elig_MatchAll_Ct&lt;22,$BC1453=(Elig_MatchAll_Ct-1),AJ1453=0),G1453,0)</f>
        <v>0</v>
      </c>
      <c r="BM1453" s="991">
        <f>IF(AND(Input_Product=Elig!$C1453,Elig_MatchAll_Ct&lt;22,$BC1453=(Elig_MatchAll_Ct-1),AK1453=0),H1453,0)</f>
        <v>0</v>
      </c>
      <c r="BN1453" s="991">
        <f>IF(AND(Input_Product=Elig!$C1453,Elig_MatchAll_Ct&lt;22,$BC1453=(Elig_MatchAll_Ct-1),AL1453=0),I1453,0)</f>
        <v>0</v>
      </c>
      <c r="BO1453" s="991">
        <f>IF(AND(Input_Product=Elig!$C1453,Elig_MatchAll_Ct&lt;22,$BC1453=(Elig_MatchAll_Ct-1),AM1453=0),J1453,0)</f>
        <v>0</v>
      </c>
      <c r="BP1453" s="991">
        <f>IF(AND(Input_Product=Elig!$C1453,Elig_MatchAll_Ct&lt;22,$BC1453=(Elig_MatchAll_Ct-1),AN1453=0),K1453,0)</f>
        <v>0</v>
      </c>
      <c r="BQ1453" s="991">
        <f>IF(AND(Input_Product=Elig!$C1453,Elig_MatchAll_Ct&lt;22,$BC1453=(Elig_MatchAll_Ct-1),AP1453=0),L1453,0)</f>
        <v>0</v>
      </c>
      <c r="BR1453" s="991">
        <f>IF(AND(Input_Product=Elig!$C1453,Elig_MatchAll_Ct&lt;22,$BC1453=(Elig_MatchAll_Ct-1),AO1453=0),M1453,0)</f>
        <v>0</v>
      </c>
      <c r="BS1453" s="991">
        <f>IF(AND(Input_Product=Elig!$C1453,Elig_MatchAll_Ct&lt;22,$BC1453=(Elig_MatchAll_Ct-1),AQ1453=0),N1453,0)</f>
        <v>0</v>
      </c>
      <c r="BT1453" s="991">
        <f>IF(AND(Input_Product=Elig!$C1453,Elig_MatchAll_Ct&lt;22,$BC1453=(Elig_MatchAll_Ct-1),AR1453=0),O1453,0)</f>
        <v>0</v>
      </c>
      <c r="BU1453" s="991">
        <f>IF(AND(Input_Product=Elig!$C1453,Elig_MatchAll_Ct&lt;22,$BC1453=(Elig_MatchAll_Ct-1),AS1453=0),P1453,0)</f>
        <v>0</v>
      </c>
      <c r="BV1453" s="992">
        <f>IF(AND(Input_Product=Elig!$C1453,Elig_MatchAll_Ct&lt;22,$BC1453=(Elig_MatchAll_Ct-1),AT1453=0),Q1453,0)</f>
        <v>0</v>
      </c>
      <c r="BW1453" s="993">
        <f>IF(AND(Input_Product=Elig!$C1453,Elig_MatchAll_Ct&lt;22,$BC1453=(Elig_MatchAll_Ct-1),AU1453=0),R1453,0)</f>
        <v>0</v>
      </c>
      <c r="BX1453" s="994">
        <f>IF(AND(Input_Product=Elig!$C1453,Elig_MatchAll_Ct&lt;22,$BC1453=(Elig_MatchAll_Ct-1),AU1453=0),S1453,0)</f>
        <v>0</v>
      </c>
      <c r="BY1453" s="993">
        <f>IF(AND(Input_Product=Elig!$C1453,Elig_MatchAll_Ct&lt;22,$BC1453=(Elig_MatchAll_Ct-1),AV1453=0),T1453,0)</f>
        <v>0</v>
      </c>
      <c r="BZ1453" s="994">
        <f>IF(AND(Input_Product=Elig!$C1453,Elig_MatchAll_Ct&lt;22,$BC1453=(Elig_MatchAll_Ct-1),AV1453=0),U1453,0)</f>
        <v>0</v>
      </c>
      <c r="CA1453" s="993">
        <f>IF(AND(Input_Product=Elig!$C1453,Elig_MatchAll_Ct&lt;22,$BC1453=(Elig_MatchAll_Ct-1),AW1453=0),V1453,0)</f>
        <v>0</v>
      </c>
      <c r="CB1453" s="994">
        <f>IF(AND(Input_Product=Elig!$C1453,Elig_MatchAll_Ct&lt;22,$BC1453=(Elig_MatchAll_Ct-1),AW1453=0),W1453,0)</f>
        <v>0</v>
      </c>
      <c r="CC1453" s="993">
        <f>IF(AND(Input_Product=Elig!$C1453,Elig_MatchAll_Ct&lt;22,$BC1453=(Elig_MatchAll_Ct-1),AX1453=0),X1453,0)</f>
        <v>0</v>
      </c>
      <c r="CD1453" s="994">
        <f>IF(AND(Input_Product=Elig!$C1453,Elig_MatchAll_Ct&lt;22,$BC1453=(Elig_MatchAll_Ct-1),AX1453=0),Y1453,0)</f>
        <v>0</v>
      </c>
      <c r="CE1453" s="993">
        <f>IF(AND(Input_LTV&lt;=AE1453,Input_Product=Elig!$C1453,Elig_MatchAll_Ct&lt;22,$BC1453=(Elig_MatchAll_Ct-1),AY1453=0),Z1453,0)</f>
        <v>0</v>
      </c>
      <c r="CF1453" s="994">
        <f>IF(AND(Input_LTV&lt;=AE1453,Input_Product=Elig!$C1453,Elig_MatchAll_Ct&lt;22,$BC1453=(Elig_MatchAll_Ct-1),AY1453=0),AA1453,0)</f>
        <v>0</v>
      </c>
      <c r="CG1453" s="993">
        <f>IF(AND(Input_Product=Elig!$C1453,Elig_MatchAll_Ct&lt;22,$BC1453=(Elig_MatchAll_Ct-1),AZ1453=0),AB1453,0)</f>
        <v>0</v>
      </c>
      <c r="CH1453" s="994">
        <f>IF(AND(Input_Product=Elig!$C1453,Elig_MatchAll_Ct&lt;22,$BC1453=(Elig_MatchAll_Ct-1),AZ1453=0),AC1453,0)</f>
        <v>0</v>
      </c>
      <c r="CI1453" s="993">
        <f>IF(AND(Input_Product=Elig!$C1453,Elig_MatchAll_Ct&lt;22,$BC1453=(Elig_MatchAll_Ct-1),BA1453=0),AD1453,0)</f>
        <v>0</v>
      </c>
      <c r="CJ1453" s="994">
        <f>IF(AND(Input_Product=Elig!$C1453,Elig_MatchAll_Ct&lt;22,$BC1453=(Elig_MatchAll_Ct-1),BA1453=0),AE1453,0)</f>
        <v>0</v>
      </c>
    </row>
    <row r="1454" spans="2:88" ht="10.15" customHeight="1" x14ac:dyDescent="0.25">
      <c r="B1454" s="1554" t="s">
        <v>2840</v>
      </c>
      <c r="C1454" s="1554" t="str">
        <f t="shared" si="500"/>
        <v xml:space="preserve">  OO</v>
      </c>
      <c r="D1454" s="1554" t="s">
        <v>2764</v>
      </c>
      <c r="E1454" s="1554" t="s">
        <v>167</v>
      </c>
      <c r="F1454" s="1554" t="s">
        <v>2765</v>
      </c>
      <c r="G1454" s="1554" t="s">
        <v>2810</v>
      </c>
      <c r="H1454" s="1554" t="s">
        <v>2767</v>
      </c>
      <c r="I1454" s="1555" t="s">
        <v>16</v>
      </c>
      <c r="J1454" s="1555" t="s">
        <v>1311</v>
      </c>
      <c r="K1454" s="1555" t="s">
        <v>3023</v>
      </c>
      <c r="L1454" s="1554" t="s">
        <v>3920</v>
      </c>
      <c r="M1454" s="1554" t="s">
        <v>4203</v>
      </c>
      <c r="N1454" s="1554" t="s">
        <v>2685</v>
      </c>
      <c r="O1454" s="1554" t="s">
        <v>310</v>
      </c>
      <c r="P1454" s="1554" t="s">
        <v>291</v>
      </c>
      <c r="Q1454" s="1554" t="s">
        <v>294</v>
      </c>
      <c r="R1454" s="1554">
        <v>150000</v>
      </c>
      <c r="S1454" s="1554">
        <v>1000000</v>
      </c>
      <c r="T1454" s="1554">
        <v>0</v>
      </c>
      <c r="U1454" s="1554">
        <v>1000000</v>
      </c>
      <c r="V1454" s="1554">
        <v>0</v>
      </c>
      <c r="W1454" s="1554">
        <v>50</v>
      </c>
      <c r="X1454" s="1554">
        <v>0</v>
      </c>
      <c r="Y1454" s="1554">
        <v>0</v>
      </c>
      <c r="Z1454" s="1556">
        <v>680</v>
      </c>
      <c r="AA1454" s="1556">
        <v>699</v>
      </c>
      <c r="AB1454" s="1556">
        <v>3</v>
      </c>
      <c r="AC1454" s="1556">
        <v>999999</v>
      </c>
      <c r="AD1454" s="1554">
        <v>0</v>
      </c>
      <c r="AE1454" s="1557">
        <v>75</v>
      </c>
      <c r="AF1454" s="170">
        <v>0</v>
      </c>
      <c r="AG1454" s="171">
        <v>1</v>
      </c>
      <c r="AH1454" s="171">
        <v>1</v>
      </c>
      <c r="AI1454" s="171">
        <v>1</v>
      </c>
      <c r="AJ1454" s="171">
        <v>1</v>
      </c>
      <c r="AK1454" s="171">
        <v>1</v>
      </c>
      <c r="AL1454" s="171">
        <v>1</v>
      </c>
      <c r="AM1454" s="171">
        <v>1</v>
      </c>
      <c r="AN1454" s="171">
        <v>1</v>
      </c>
      <c r="AO1454" s="171">
        <v>1</v>
      </c>
      <c r="AP1454" s="171">
        <v>1</v>
      </c>
      <c r="AQ1454" s="171">
        <v>1</v>
      </c>
      <c r="AR1454" s="171">
        <v>1</v>
      </c>
      <c r="AS1454" s="171">
        <v>1</v>
      </c>
      <c r="AT1454" s="171">
        <v>1</v>
      </c>
      <c r="AU1454" s="171">
        <f t="shared" si="502"/>
        <v>1</v>
      </c>
      <c r="AV1454" s="171">
        <f t="shared" si="503"/>
        <v>1</v>
      </c>
      <c r="AW1454" s="171">
        <f t="shared" si="504"/>
        <v>1</v>
      </c>
      <c r="AX1454" s="171">
        <f t="shared" si="499"/>
        <v>1</v>
      </c>
      <c r="AY1454" s="171">
        <f t="shared" si="505"/>
        <v>0</v>
      </c>
      <c r="AZ1454" s="171">
        <f t="shared" si="506"/>
        <v>1</v>
      </c>
      <c r="BA1454" s="172">
        <f t="shared" si="507"/>
        <v>1</v>
      </c>
      <c r="BB1454" s="175">
        <f t="shared" si="495"/>
        <v>20</v>
      </c>
      <c r="BC1454" s="176">
        <f t="shared" si="496"/>
        <v>19</v>
      </c>
      <c r="BD1454" s="176">
        <f t="shared" si="497"/>
        <v>20</v>
      </c>
      <c r="BE1454" s="240" t="str">
        <f t="shared" si="501"/>
        <v/>
      </c>
      <c r="BF1454" s="990"/>
      <c r="BG1454" s="990"/>
      <c r="BH1454" s="991">
        <f>IF(AND(Input_Product=Elig!$C1454,Elig_MatchAll_Ct&lt;22,$BC1454=(Elig_MatchAll_Ct-1),AF1454=0),C1454,0)</f>
        <v>0</v>
      </c>
      <c r="BI1454" s="991">
        <f>IF(AND(Input_Product=Elig!$C1454,Elig_MatchAll_Ct&lt;22,$BC1454=(Elig_MatchAll_Ct-1),AG1454=0),D1454,0)</f>
        <v>0</v>
      </c>
      <c r="BJ1454" s="991">
        <f>IF(AND(Input_Product=Elig!$C1454,Elig_MatchAll_Ct&lt;22,$BC1454=(Elig_MatchAll_Ct-1),AH1454=0),E1454,0)</f>
        <v>0</v>
      </c>
      <c r="BK1454" s="991">
        <f>IF(AND(Input_Product=Elig!$C1454,Elig_MatchAll_Ct&lt;22,$BC1454=(Elig_MatchAll_Ct-1),AI1454=0),F1454,0)</f>
        <v>0</v>
      </c>
      <c r="BL1454" s="991">
        <f>IF(AND(Input_Product=Elig!$C1454,Elig_MatchAll_Ct&lt;22,$BC1454=(Elig_MatchAll_Ct-1),AJ1454=0),G1454,0)</f>
        <v>0</v>
      </c>
      <c r="BM1454" s="991">
        <f>IF(AND(Input_Product=Elig!$C1454,Elig_MatchAll_Ct&lt;22,$BC1454=(Elig_MatchAll_Ct-1),AK1454=0),H1454,0)</f>
        <v>0</v>
      </c>
      <c r="BN1454" s="991">
        <f>IF(AND(Input_Product=Elig!$C1454,Elig_MatchAll_Ct&lt;22,$BC1454=(Elig_MatchAll_Ct-1),AL1454=0),I1454,0)</f>
        <v>0</v>
      </c>
      <c r="BO1454" s="991">
        <f>IF(AND(Input_Product=Elig!$C1454,Elig_MatchAll_Ct&lt;22,$BC1454=(Elig_MatchAll_Ct-1),AM1454=0),J1454,0)</f>
        <v>0</v>
      </c>
      <c r="BP1454" s="991">
        <f>IF(AND(Input_Product=Elig!$C1454,Elig_MatchAll_Ct&lt;22,$BC1454=(Elig_MatchAll_Ct-1),AN1454=0),K1454,0)</f>
        <v>0</v>
      </c>
      <c r="BQ1454" s="991">
        <f>IF(AND(Input_Product=Elig!$C1454,Elig_MatchAll_Ct&lt;22,$BC1454=(Elig_MatchAll_Ct-1),AP1454=0),L1454,0)</f>
        <v>0</v>
      </c>
      <c r="BR1454" s="991">
        <f>IF(AND(Input_Product=Elig!$C1454,Elig_MatchAll_Ct&lt;22,$BC1454=(Elig_MatchAll_Ct-1),AO1454=0),M1454,0)</f>
        <v>0</v>
      </c>
      <c r="BS1454" s="991">
        <f>IF(AND(Input_Product=Elig!$C1454,Elig_MatchAll_Ct&lt;22,$BC1454=(Elig_MatchAll_Ct-1),AQ1454=0),N1454,0)</f>
        <v>0</v>
      </c>
      <c r="BT1454" s="991">
        <f>IF(AND(Input_Product=Elig!$C1454,Elig_MatchAll_Ct&lt;22,$BC1454=(Elig_MatchAll_Ct-1),AR1454=0),O1454,0)</f>
        <v>0</v>
      </c>
      <c r="BU1454" s="991">
        <f>IF(AND(Input_Product=Elig!$C1454,Elig_MatchAll_Ct&lt;22,$BC1454=(Elig_MatchAll_Ct-1),AS1454=0),P1454,0)</f>
        <v>0</v>
      </c>
      <c r="BV1454" s="992">
        <f>IF(AND(Input_Product=Elig!$C1454,Elig_MatchAll_Ct&lt;22,$BC1454=(Elig_MatchAll_Ct-1),AT1454=0),Q1454,0)</f>
        <v>0</v>
      </c>
      <c r="BW1454" s="993">
        <f>IF(AND(Input_Product=Elig!$C1454,Elig_MatchAll_Ct&lt;22,$BC1454=(Elig_MatchAll_Ct-1),AU1454=0),R1454,0)</f>
        <v>0</v>
      </c>
      <c r="BX1454" s="994">
        <f>IF(AND(Input_Product=Elig!$C1454,Elig_MatchAll_Ct&lt;22,$BC1454=(Elig_MatchAll_Ct-1),AU1454=0),S1454,0)</f>
        <v>0</v>
      </c>
      <c r="BY1454" s="993">
        <f>IF(AND(Input_Product=Elig!$C1454,Elig_MatchAll_Ct&lt;22,$BC1454=(Elig_MatchAll_Ct-1),AV1454=0),T1454,0)</f>
        <v>0</v>
      </c>
      <c r="BZ1454" s="994">
        <f>IF(AND(Input_Product=Elig!$C1454,Elig_MatchAll_Ct&lt;22,$BC1454=(Elig_MatchAll_Ct-1),AV1454=0),U1454,0)</f>
        <v>0</v>
      </c>
      <c r="CA1454" s="993">
        <f>IF(AND(Input_Product=Elig!$C1454,Elig_MatchAll_Ct&lt;22,$BC1454=(Elig_MatchAll_Ct-1),AW1454=0),V1454,0)</f>
        <v>0</v>
      </c>
      <c r="CB1454" s="994">
        <f>IF(AND(Input_Product=Elig!$C1454,Elig_MatchAll_Ct&lt;22,$BC1454=(Elig_MatchAll_Ct-1),AW1454=0),W1454,0)</f>
        <v>0</v>
      </c>
      <c r="CC1454" s="993">
        <f>IF(AND(Input_Product=Elig!$C1454,Elig_MatchAll_Ct&lt;22,$BC1454=(Elig_MatchAll_Ct-1),AX1454=0),X1454,0)</f>
        <v>0</v>
      </c>
      <c r="CD1454" s="994">
        <f>IF(AND(Input_Product=Elig!$C1454,Elig_MatchAll_Ct&lt;22,$BC1454=(Elig_MatchAll_Ct-1),AX1454=0),Y1454,0)</f>
        <v>0</v>
      </c>
      <c r="CE1454" s="993">
        <f>IF(AND(Input_LTV&lt;=AE1454,Input_Product=Elig!$C1454,Elig_MatchAll_Ct&lt;22,$BC1454=(Elig_MatchAll_Ct-1),AY1454=0),Z1454,0)</f>
        <v>0</v>
      </c>
      <c r="CF1454" s="994">
        <f>IF(AND(Input_LTV&lt;=AE1454,Input_Product=Elig!$C1454,Elig_MatchAll_Ct&lt;22,$BC1454=(Elig_MatchAll_Ct-1),AY1454=0),AA1454,0)</f>
        <v>0</v>
      </c>
      <c r="CG1454" s="993">
        <f>IF(AND(Input_Product=Elig!$C1454,Elig_MatchAll_Ct&lt;22,$BC1454=(Elig_MatchAll_Ct-1),AZ1454=0),AB1454,0)</f>
        <v>0</v>
      </c>
      <c r="CH1454" s="994">
        <f>IF(AND(Input_Product=Elig!$C1454,Elig_MatchAll_Ct&lt;22,$BC1454=(Elig_MatchAll_Ct-1),AZ1454=0),AC1454,0)</f>
        <v>0</v>
      </c>
      <c r="CI1454" s="993">
        <f>IF(AND(Input_Product=Elig!$C1454,Elig_MatchAll_Ct&lt;22,$BC1454=(Elig_MatchAll_Ct-1),BA1454=0),AD1454,0)</f>
        <v>0</v>
      </c>
      <c r="CJ1454" s="994">
        <f>IF(AND(Input_Product=Elig!$C1454,Elig_MatchAll_Ct&lt;22,$BC1454=(Elig_MatchAll_Ct-1),BA1454=0),AE1454,0)</f>
        <v>0</v>
      </c>
    </row>
    <row r="1455" spans="2:88" ht="10.15" customHeight="1" x14ac:dyDescent="0.25">
      <c r="B1455" s="1554" t="s">
        <v>2841</v>
      </c>
      <c r="C1455" s="1554" t="str">
        <f t="shared" si="500"/>
        <v xml:space="preserve">  OO</v>
      </c>
      <c r="D1455" s="1554" t="s">
        <v>2764</v>
      </c>
      <c r="E1455" s="1554" t="s">
        <v>167</v>
      </c>
      <c r="F1455" s="1554" t="s">
        <v>2765</v>
      </c>
      <c r="G1455" s="1554" t="s">
        <v>2810</v>
      </c>
      <c r="H1455" s="1554" t="s">
        <v>2767</v>
      </c>
      <c r="I1455" s="1555" t="s">
        <v>16</v>
      </c>
      <c r="J1455" s="1555" t="s">
        <v>1311</v>
      </c>
      <c r="K1455" s="1555" t="s">
        <v>3023</v>
      </c>
      <c r="L1455" s="1554" t="s">
        <v>3920</v>
      </c>
      <c r="M1455" s="1554" t="s">
        <v>4203</v>
      </c>
      <c r="N1455" s="1554" t="s">
        <v>2685</v>
      </c>
      <c r="O1455" s="1554" t="s">
        <v>310</v>
      </c>
      <c r="P1455" s="1554" t="s">
        <v>291</v>
      </c>
      <c r="Q1455" s="1554" t="s">
        <v>294</v>
      </c>
      <c r="R1455" s="1554">
        <v>1000000.01</v>
      </c>
      <c r="S1455" s="1554">
        <v>1500000</v>
      </c>
      <c r="T1455" s="1554">
        <v>0</v>
      </c>
      <c r="U1455" s="1554">
        <v>1000000</v>
      </c>
      <c r="V1455" s="1554">
        <v>0</v>
      </c>
      <c r="W1455" s="1554">
        <v>50</v>
      </c>
      <c r="X1455" s="1554">
        <v>0</v>
      </c>
      <c r="Y1455" s="1554">
        <v>0</v>
      </c>
      <c r="Z1455" s="1556">
        <v>680</v>
      </c>
      <c r="AA1455" s="1556">
        <v>699</v>
      </c>
      <c r="AB1455" s="1556">
        <v>3</v>
      </c>
      <c r="AC1455" s="1556">
        <v>999999</v>
      </c>
      <c r="AD1455" s="1554">
        <v>0</v>
      </c>
      <c r="AE1455" s="1557">
        <v>75</v>
      </c>
      <c r="AF1455" s="170">
        <v>0</v>
      </c>
      <c r="AG1455" s="171">
        <v>1</v>
      </c>
      <c r="AH1455" s="171">
        <v>1</v>
      </c>
      <c r="AI1455" s="171">
        <v>1</v>
      </c>
      <c r="AJ1455" s="171">
        <v>1</v>
      </c>
      <c r="AK1455" s="171">
        <v>1</v>
      </c>
      <c r="AL1455" s="171">
        <v>1</v>
      </c>
      <c r="AM1455" s="171">
        <v>1</v>
      </c>
      <c r="AN1455" s="171">
        <v>1</v>
      </c>
      <c r="AO1455" s="171">
        <v>1</v>
      </c>
      <c r="AP1455" s="171">
        <v>1</v>
      </c>
      <c r="AQ1455" s="171">
        <v>1</v>
      </c>
      <c r="AR1455" s="171">
        <v>1</v>
      </c>
      <c r="AS1455" s="171">
        <v>1</v>
      </c>
      <c r="AT1455" s="171">
        <v>1</v>
      </c>
      <c r="AU1455" s="171">
        <f t="shared" si="502"/>
        <v>0</v>
      </c>
      <c r="AV1455" s="171">
        <f t="shared" si="503"/>
        <v>1</v>
      </c>
      <c r="AW1455" s="171">
        <f t="shared" si="504"/>
        <v>1</v>
      </c>
      <c r="AX1455" s="171">
        <f t="shared" si="499"/>
        <v>1</v>
      </c>
      <c r="AY1455" s="171">
        <f t="shared" si="505"/>
        <v>0</v>
      </c>
      <c r="AZ1455" s="171">
        <f t="shared" si="506"/>
        <v>1</v>
      </c>
      <c r="BA1455" s="172">
        <f t="shared" si="507"/>
        <v>1</v>
      </c>
      <c r="BB1455" s="175">
        <f t="shared" si="495"/>
        <v>19</v>
      </c>
      <c r="BC1455" s="176">
        <f t="shared" si="496"/>
        <v>18</v>
      </c>
      <c r="BD1455" s="176">
        <f t="shared" si="497"/>
        <v>19</v>
      </c>
      <c r="BE1455" s="240" t="str">
        <f t="shared" si="501"/>
        <v/>
      </c>
      <c r="BF1455" s="990"/>
      <c r="BG1455" s="990"/>
      <c r="BH1455" s="991">
        <f>IF(AND(Input_Product=Elig!$C1455,Elig_MatchAll_Ct&lt;22,$BC1455=(Elig_MatchAll_Ct-1),AF1455=0),C1455,0)</f>
        <v>0</v>
      </c>
      <c r="BI1455" s="991">
        <f>IF(AND(Input_Product=Elig!$C1455,Elig_MatchAll_Ct&lt;22,$BC1455=(Elig_MatchAll_Ct-1),AG1455=0),D1455,0)</f>
        <v>0</v>
      </c>
      <c r="BJ1455" s="991">
        <f>IF(AND(Input_Product=Elig!$C1455,Elig_MatchAll_Ct&lt;22,$BC1455=(Elig_MatchAll_Ct-1),AH1455=0),E1455,0)</f>
        <v>0</v>
      </c>
      <c r="BK1455" s="991">
        <f>IF(AND(Input_Product=Elig!$C1455,Elig_MatchAll_Ct&lt;22,$BC1455=(Elig_MatchAll_Ct-1),AI1455=0),F1455,0)</f>
        <v>0</v>
      </c>
      <c r="BL1455" s="991">
        <f>IF(AND(Input_Product=Elig!$C1455,Elig_MatchAll_Ct&lt;22,$BC1455=(Elig_MatchAll_Ct-1),AJ1455=0),G1455,0)</f>
        <v>0</v>
      </c>
      <c r="BM1455" s="991">
        <f>IF(AND(Input_Product=Elig!$C1455,Elig_MatchAll_Ct&lt;22,$BC1455=(Elig_MatchAll_Ct-1),AK1455=0),H1455,0)</f>
        <v>0</v>
      </c>
      <c r="BN1455" s="991">
        <f>IF(AND(Input_Product=Elig!$C1455,Elig_MatchAll_Ct&lt;22,$BC1455=(Elig_MatchAll_Ct-1),AL1455=0),I1455,0)</f>
        <v>0</v>
      </c>
      <c r="BO1455" s="991">
        <f>IF(AND(Input_Product=Elig!$C1455,Elig_MatchAll_Ct&lt;22,$BC1455=(Elig_MatchAll_Ct-1),AM1455=0),J1455,0)</f>
        <v>0</v>
      </c>
      <c r="BP1455" s="991">
        <f>IF(AND(Input_Product=Elig!$C1455,Elig_MatchAll_Ct&lt;22,$BC1455=(Elig_MatchAll_Ct-1),AN1455=0),K1455,0)</f>
        <v>0</v>
      </c>
      <c r="BQ1455" s="991">
        <f>IF(AND(Input_Product=Elig!$C1455,Elig_MatchAll_Ct&lt;22,$BC1455=(Elig_MatchAll_Ct-1),AP1455=0),L1455,0)</f>
        <v>0</v>
      </c>
      <c r="BR1455" s="991">
        <f>IF(AND(Input_Product=Elig!$C1455,Elig_MatchAll_Ct&lt;22,$BC1455=(Elig_MatchAll_Ct-1),AO1455=0),M1455,0)</f>
        <v>0</v>
      </c>
      <c r="BS1455" s="991">
        <f>IF(AND(Input_Product=Elig!$C1455,Elig_MatchAll_Ct&lt;22,$BC1455=(Elig_MatchAll_Ct-1),AQ1455=0),N1455,0)</f>
        <v>0</v>
      </c>
      <c r="BT1455" s="991">
        <f>IF(AND(Input_Product=Elig!$C1455,Elig_MatchAll_Ct&lt;22,$BC1455=(Elig_MatchAll_Ct-1),AR1455=0),O1455,0)</f>
        <v>0</v>
      </c>
      <c r="BU1455" s="991">
        <f>IF(AND(Input_Product=Elig!$C1455,Elig_MatchAll_Ct&lt;22,$BC1455=(Elig_MatchAll_Ct-1),AS1455=0),P1455,0)</f>
        <v>0</v>
      </c>
      <c r="BV1455" s="992">
        <f>IF(AND(Input_Product=Elig!$C1455,Elig_MatchAll_Ct&lt;22,$BC1455=(Elig_MatchAll_Ct-1),AT1455=0),Q1455,0)</f>
        <v>0</v>
      </c>
      <c r="BW1455" s="993">
        <f>IF(AND(Input_Product=Elig!$C1455,Elig_MatchAll_Ct&lt;22,$BC1455=(Elig_MatchAll_Ct-1),AU1455=0),R1455,0)</f>
        <v>0</v>
      </c>
      <c r="BX1455" s="994">
        <f>IF(AND(Input_Product=Elig!$C1455,Elig_MatchAll_Ct&lt;22,$BC1455=(Elig_MatchAll_Ct-1),AU1455=0),S1455,0)</f>
        <v>0</v>
      </c>
      <c r="BY1455" s="993">
        <f>IF(AND(Input_Product=Elig!$C1455,Elig_MatchAll_Ct&lt;22,$BC1455=(Elig_MatchAll_Ct-1),AV1455=0),T1455,0)</f>
        <v>0</v>
      </c>
      <c r="BZ1455" s="994">
        <f>IF(AND(Input_Product=Elig!$C1455,Elig_MatchAll_Ct&lt;22,$BC1455=(Elig_MatchAll_Ct-1),AV1455=0),U1455,0)</f>
        <v>0</v>
      </c>
      <c r="CA1455" s="993">
        <f>IF(AND(Input_Product=Elig!$C1455,Elig_MatchAll_Ct&lt;22,$BC1455=(Elig_MatchAll_Ct-1),AW1455=0),V1455,0)</f>
        <v>0</v>
      </c>
      <c r="CB1455" s="994">
        <f>IF(AND(Input_Product=Elig!$C1455,Elig_MatchAll_Ct&lt;22,$BC1455=(Elig_MatchAll_Ct-1),AW1455=0),W1455,0)</f>
        <v>0</v>
      </c>
      <c r="CC1455" s="993">
        <f>IF(AND(Input_Product=Elig!$C1455,Elig_MatchAll_Ct&lt;22,$BC1455=(Elig_MatchAll_Ct-1),AX1455=0),X1455,0)</f>
        <v>0</v>
      </c>
      <c r="CD1455" s="994">
        <f>IF(AND(Input_Product=Elig!$C1455,Elig_MatchAll_Ct&lt;22,$BC1455=(Elig_MatchAll_Ct-1),AX1455=0),Y1455,0)</f>
        <v>0</v>
      </c>
      <c r="CE1455" s="993">
        <f>IF(AND(Input_LTV&lt;=AE1455,Input_Product=Elig!$C1455,Elig_MatchAll_Ct&lt;22,$BC1455=(Elig_MatchAll_Ct-1),AY1455=0),Z1455,0)</f>
        <v>0</v>
      </c>
      <c r="CF1455" s="994">
        <f>IF(AND(Input_LTV&lt;=AE1455,Input_Product=Elig!$C1455,Elig_MatchAll_Ct&lt;22,$BC1455=(Elig_MatchAll_Ct-1),AY1455=0),AA1455,0)</f>
        <v>0</v>
      </c>
      <c r="CG1455" s="993">
        <f>IF(AND(Input_Product=Elig!$C1455,Elig_MatchAll_Ct&lt;22,$BC1455=(Elig_MatchAll_Ct-1),AZ1455=0),AB1455,0)</f>
        <v>0</v>
      </c>
      <c r="CH1455" s="994">
        <f>IF(AND(Input_Product=Elig!$C1455,Elig_MatchAll_Ct&lt;22,$BC1455=(Elig_MatchAll_Ct-1),AZ1455=0),AC1455,0)</f>
        <v>0</v>
      </c>
      <c r="CI1455" s="993">
        <f>IF(AND(Input_Product=Elig!$C1455,Elig_MatchAll_Ct&lt;22,$BC1455=(Elig_MatchAll_Ct-1),BA1455=0),AD1455,0)</f>
        <v>0</v>
      </c>
      <c r="CJ1455" s="994">
        <f>IF(AND(Input_Product=Elig!$C1455,Elig_MatchAll_Ct&lt;22,$BC1455=(Elig_MatchAll_Ct-1),BA1455=0),AE1455,0)</f>
        <v>0</v>
      </c>
    </row>
    <row r="1456" spans="2:88" ht="10.15" customHeight="1" x14ac:dyDescent="0.25">
      <c r="B1456" s="1554" t="s">
        <v>2842</v>
      </c>
      <c r="C1456" s="1554" t="str">
        <f t="shared" si="500"/>
        <v xml:space="preserve">  OO</v>
      </c>
      <c r="D1456" s="1554" t="s">
        <v>2764</v>
      </c>
      <c r="E1456" s="1554" t="s">
        <v>167</v>
      </c>
      <c r="F1456" s="1554" t="s">
        <v>2765</v>
      </c>
      <c r="G1456" s="1554" t="s">
        <v>2810</v>
      </c>
      <c r="H1456" s="1554" t="s">
        <v>2767</v>
      </c>
      <c r="I1456" s="1555" t="s">
        <v>16</v>
      </c>
      <c r="J1456" s="1555" t="s">
        <v>1311</v>
      </c>
      <c r="K1456" s="1555" t="s">
        <v>3023</v>
      </c>
      <c r="L1456" s="1554" t="s">
        <v>3920</v>
      </c>
      <c r="M1456" s="1554" t="s">
        <v>4203</v>
      </c>
      <c r="N1456" s="1554" t="s">
        <v>2685</v>
      </c>
      <c r="O1456" s="1554" t="s">
        <v>310</v>
      </c>
      <c r="P1456" s="1554" t="s">
        <v>291</v>
      </c>
      <c r="Q1456" s="1554" t="s">
        <v>294</v>
      </c>
      <c r="R1456" s="1554">
        <v>1500000.01</v>
      </c>
      <c r="S1456" s="1554">
        <v>2000000</v>
      </c>
      <c r="T1456" s="1554">
        <v>0</v>
      </c>
      <c r="U1456" s="1554">
        <v>1000000</v>
      </c>
      <c r="V1456" s="1554">
        <v>0</v>
      </c>
      <c r="W1456" s="1554">
        <v>50</v>
      </c>
      <c r="X1456" s="1554">
        <v>0</v>
      </c>
      <c r="Y1456" s="1554">
        <v>0</v>
      </c>
      <c r="Z1456" s="1556">
        <v>680</v>
      </c>
      <c r="AA1456" s="1556">
        <v>699</v>
      </c>
      <c r="AB1456" s="1556">
        <v>3</v>
      </c>
      <c r="AC1456" s="1556">
        <v>999999</v>
      </c>
      <c r="AD1456" s="1554">
        <v>0</v>
      </c>
      <c r="AE1456" s="1557">
        <v>70</v>
      </c>
      <c r="AF1456" s="170">
        <v>0</v>
      </c>
      <c r="AG1456" s="171">
        <v>1</v>
      </c>
      <c r="AH1456" s="171">
        <v>1</v>
      </c>
      <c r="AI1456" s="171">
        <v>1</v>
      </c>
      <c r="AJ1456" s="171">
        <v>1</v>
      </c>
      <c r="AK1456" s="171">
        <v>1</v>
      </c>
      <c r="AL1456" s="171">
        <v>1</v>
      </c>
      <c r="AM1456" s="171">
        <v>1</v>
      </c>
      <c r="AN1456" s="171">
        <v>1</v>
      </c>
      <c r="AO1456" s="171">
        <v>1</v>
      </c>
      <c r="AP1456" s="171">
        <v>1</v>
      </c>
      <c r="AQ1456" s="171">
        <v>1</v>
      </c>
      <c r="AR1456" s="171">
        <v>1</v>
      </c>
      <c r="AS1456" s="171">
        <v>1</v>
      </c>
      <c r="AT1456" s="171">
        <v>1</v>
      </c>
      <c r="AU1456" s="171">
        <f t="shared" si="502"/>
        <v>0</v>
      </c>
      <c r="AV1456" s="171">
        <f t="shared" si="503"/>
        <v>1</v>
      </c>
      <c r="AW1456" s="171">
        <f t="shared" si="504"/>
        <v>1</v>
      </c>
      <c r="AX1456" s="171">
        <f t="shared" si="499"/>
        <v>1</v>
      </c>
      <c r="AY1456" s="171">
        <f t="shared" si="505"/>
        <v>0</v>
      </c>
      <c r="AZ1456" s="171">
        <f t="shared" si="506"/>
        <v>1</v>
      </c>
      <c r="BA1456" s="172">
        <f t="shared" si="507"/>
        <v>1</v>
      </c>
      <c r="BB1456" s="175">
        <f t="shared" si="495"/>
        <v>19</v>
      </c>
      <c r="BC1456" s="176">
        <f t="shared" si="496"/>
        <v>18</v>
      </c>
      <c r="BD1456" s="176">
        <f t="shared" si="497"/>
        <v>19</v>
      </c>
      <c r="BE1456" s="240" t="str">
        <f t="shared" si="501"/>
        <v/>
      </c>
      <c r="BF1456" s="990"/>
      <c r="BG1456" s="990"/>
      <c r="BH1456" s="991">
        <f>IF(AND(Input_Product=Elig!$C1456,Elig_MatchAll_Ct&lt;22,$BC1456=(Elig_MatchAll_Ct-1),AF1456=0),C1456,0)</f>
        <v>0</v>
      </c>
      <c r="BI1456" s="991">
        <f>IF(AND(Input_Product=Elig!$C1456,Elig_MatchAll_Ct&lt;22,$BC1456=(Elig_MatchAll_Ct-1),AG1456=0),D1456,0)</f>
        <v>0</v>
      </c>
      <c r="BJ1456" s="991">
        <f>IF(AND(Input_Product=Elig!$C1456,Elig_MatchAll_Ct&lt;22,$BC1456=(Elig_MatchAll_Ct-1),AH1456=0),E1456,0)</f>
        <v>0</v>
      </c>
      <c r="BK1456" s="991">
        <f>IF(AND(Input_Product=Elig!$C1456,Elig_MatchAll_Ct&lt;22,$BC1456=(Elig_MatchAll_Ct-1),AI1456=0),F1456,0)</f>
        <v>0</v>
      </c>
      <c r="BL1456" s="991">
        <f>IF(AND(Input_Product=Elig!$C1456,Elig_MatchAll_Ct&lt;22,$BC1456=(Elig_MatchAll_Ct-1),AJ1456=0),G1456,0)</f>
        <v>0</v>
      </c>
      <c r="BM1456" s="991">
        <f>IF(AND(Input_Product=Elig!$C1456,Elig_MatchAll_Ct&lt;22,$BC1456=(Elig_MatchAll_Ct-1),AK1456=0),H1456,0)</f>
        <v>0</v>
      </c>
      <c r="BN1456" s="991">
        <f>IF(AND(Input_Product=Elig!$C1456,Elig_MatchAll_Ct&lt;22,$BC1456=(Elig_MatchAll_Ct-1),AL1456=0),I1456,0)</f>
        <v>0</v>
      </c>
      <c r="BO1456" s="991">
        <f>IF(AND(Input_Product=Elig!$C1456,Elig_MatchAll_Ct&lt;22,$BC1456=(Elig_MatchAll_Ct-1),AM1456=0),J1456,0)</f>
        <v>0</v>
      </c>
      <c r="BP1456" s="991">
        <f>IF(AND(Input_Product=Elig!$C1456,Elig_MatchAll_Ct&lt;22,$BC1456=(Elig_MatchAll_Ct-1),AN1456=0),K1456,0)</f>
        <v>0</v>
      </c>
      <c r="BQ1456" s="991">
        <f>IF(AND(Input_Product=Elig!$C1456,Elig_MatchAll_Ct&lt;22,$BC1456=(Elig_MatchAll_Ct-1),AP1456=0),L1456,0)</f>
        <v>0</v>
      </c>
      <c r="BR1456" s="991">
        <f>IF(AND(Input_Product=Elig!$C1456,Elig_MatchAll_Ct&lt;22,$BC1456=(Elig_MatchAll_Ct-1),AO1456=0),M1456,0)</f>
        <v>0</v>
      </c>
      <c r="BS1456" s="991">
        <f>IF(AND(Input_Product=Elig!$C1456,Elig_MatchAll_Ct&lt;22,$BC1456=(Elig_MatchAll_Ct-1),AQ1456=0),N1456,0)</f>
        <v>0</v>
      </c>
      <c r="BT1456" s="991">
        <f>IF(AND(Input_Product=Elig!$C1456,Elig_MatchAll_Ct&lt;22,$BC1456=(Elig_MatchAll_Ct-1),AR1456=0),O1456,0)</f>
        <v>0</v>
      </c>
      <c r="BU1456" s="991">
        <f>IF(AND(Input_Product=Elig!$C1456,Elig_MatchAll_Ct&lt;22,$BC1456=(Elig_MatchAll_Ct-1),AS1456=0),P1456,0)</f>
        <v>0</v>
      </c>
      <c r="BV1456" s="992">
        <f>IF(AND(Input_Product=Elig!$C1456,Elig_MatchAll_Ct&lt;22,$BC1456=(Elig_MatchAll_Ct-1),AT1456=0),Q1456,0)</f>
        <v>0</v>
      </c>
      <c r="BW1456" s="993">
        <f>IF(AND(Input_Product=Elig!$C1456,Elig_MatchAll_Ct&lt;22,$BC1456=(Elig_MatchAll_Ct-1),AU1456=0),R1456,0)</f>
        <v>0</v>
      </c>
      <c r="BX1456" s="994">
        <f>IF(AND(Input_Product=Elig!$C1456,Elig_MatchAll_Ct&lt;22,$BC1456=(Elig_MatchAll_Ct-1),AU1456=0),S1456,0)</f>
        <v>0</v>
      </c>
      <c r="BY1456" s="993">
        <f>IF(AND(Input_Product=Elig!$C1456,Elig_MatchAll_Ct&lt;22,$BC1456=(Elig_MatchAll_Ct-1),AV1456=0),T1456,0)</f>
        <v>0</v>
      </c>
      <c r="BZ1456" s="994">
        <f>IF(AND(Input_Product=Elig!$C1456,Elig_MatchAll_Ct&lt;22,$BC1456=(Elig_MatchAll_Ct-1),AV1456=0),U1456,0)</f>
        <v>0</v>
      </c>
      <c r="CA1456" s="993">
        <f>IF(AND(Input_Product=Elig!$C1456,Elig_MatchAll_Ct&lt;22,$BC1456=(Elig_MatchAll_Ct-1),AW1456=0),V1456,0)</f>
        <v>0</v>
      </c>
      <c r="CB1456" s="994">
        <f>IF(AND(Input_Product=Elig!$C1456,Elig_MatchAll_Ct&lt;22,$BC1456=(Elig_MatchAll_Ct-1),AW1456=0),W1456,0)</f>
        <v>0</v>
      </c>
      <c r="CC1456" s="993">
        <f>IF(AND(Input_Product=Elig!$C1456,Elig_MatchAll_Ct&lt;22,$BC1456=(Elig_MatchAll_Ct-1),AX1456=0),X1456,0)</f>
        <v>0</v>
      </c>
      <c r="CD1456" s="994">
        <f>IF(AND(Input_Product=Elig!$C1456,Elig_MatchAll_Ct&lt;22,$BC1456=(Elig_MatchAll_Ct-1),AX1456=0),Y1456,0)</f>
        <v>0</v>
      </c>
      <c r="CE1456" s="993">
        <f>IF(AND(Input_LTV&lt;=AE1456,Input_Product=Elig!$C1456,Elig_MatchAll_Ct&lt;22,$BC1456=(Elig_MatchAll_Ct-1),AY1456=0),Z1456,0)</f>
        <v>0</v>
      </c>
      <c r="CF1456" s="994">
        <f>IF(AND(Input_LTV&lt;=AE1456,Input_Product=Elig!$C1456,Elig_MatchAll_Ct&lt;22,$BC1456=(Elig_MatchAll_Ct-1),AY1456=0),AA1456,0)</f>
        <v>0</v>
      </c>
      <c r="CG1456" s="993">
        <f>IF(AND(Input_Product=Elig!$C1456,Elig_MatchAll_Ct&lt;22,$BC1456=(Elig_MatchAll_Ct-1),AZ1456=0),AB1456,0)</f>
        <v>0</v>
      </c>
      <c r="CH1456" s="994">
        <f>IF(AND(Input_Product=Elig!$C1456,Elig_MatchAll_Ct&lt;22,$BC1456=(Elig_MatchAll_Ct-1),AZ1456=0),AC1456,0)</f>
        <v>0</v>
      </c>
      <c r="CI1456" s="993">
        <f>IF(AND(Input_Product=Elig!$C1456,Elig_MatchAll_Ct&lt;22,$BC1456=(Elig_MatchAll_Ct-1),BA1456=0),AD1456,0)</f>
        <v>0</v>
      </c>
      <c r="CJ1456" s="994">
        <f>IF(AND(Input_Product=Elig!$C1456,Elig_MatchAll_Ct&lt;22,$BC1456=(Elig_MatchAll_Ct-1),BA1456=0),AE1456,0)</f>
        <v>0</v>
      </c>
    </row>
    <row r="1457" spans="2:88" ht="10.15" customHeight="1" x14ac:dyDescent="0.25">
      <c r="B1457" s="1554" t="s">
        <v>2843</v>
      </c>
      <c r="C1457" s="1554" t="str">
        <f t="shared" si="500"/>
        <v xml:space="preserve">  OO</v>
      </c>
      <c r="D1457" s="1554" t="s">
        <v>2764</v>
      </c>
      <c r="E1457" s="1554" t="s">
        <v>167</v>
      </c>
      <c r="F1457" s="1554" t="s">
        <v>2765</v>
      </c>
      <c r="G1457" s="1554" t="s">
        <v>2810</v>
      </c>
      <c r="H1457" s="1554" t="s">
        <v>2767</v>
      </c>
      <c r="I1457" s="1555" t="s">
        <v>16</v>
      </c>
      <c r="J1457" s="1555" t="s">
        <v>1311</v>
      </c>
      <c r="K1457" s="1555" t="s">
        <v>3023</v>
      </c>
      <c r="L1457" s="1554" t="s">
        <v>3920</v>
      </c>
      <c r="M1457" s="1554" t="s">
        <v>4203</v>
      </c>
      <c r="N1457" s="1554" t="s">
        <v>2685</v>
      </c>
      <c r="O1457" s="1554" t="s">
        <v>310</v>
      </c>
      <c r="P1457" s="1554" t="s">
        <v>291</v>
      </c>
      <c r="Q1457" s="1554" t="s">
        <v>294</v>
      </c>
      <c r="R1457" s="1554">
        <v>2000000.01</v>
      </c>
      <c r="S1457" s="1554">
        <v>3000000</v>
      </c>
      <c r="T1457" s="1554">
        <v>0</v>
      </c>
      <c r="U1457" s="1554">
        <v>1000000</v>
      </c>
      <c r="V1457" s="1554">
        <v>0</v>
      </c>
      <c r="W1457" s="1554">
        <v>50</v>
      </c>
      <c r="X1457" s="1554">
        <v>0</v>
      </c>
      <c r="Y1457" s="1554">
        <v>0</v>
      </c>
      <c r="Z1457" s="1556">
        <v>680</v>
      </c>
      <c r="AA1457" s="1556">
        <v>699</v>
      </c>
      <c r="AB1457" s="1556">
        <v>3</v>
      </c>
      <c r="AC1457" s="1556">
        <v>999999</v>
      </c>
      <c r="AD1457" s="1554">
        <v>0</v>
      </c>
      <c r="AE1457" s="1557">
        <v>65</v>
      </c>
      <c r="AF1457" s="170">
        <v>0</v>
      </c>
      <c r="AG1457" s="171">
        <v>1</v>
      </c>
      <c r="AH1457" s="171">
        <v>1</v>
      </c>
      <c r="AI1457" s="171">
        <v>1</v>
      </c>
      <c r="AJ1457" s="171">
        <v>1</v>
      </c>
      <c r="AK1457" s="171">
        <v>1</v>
      </c>
      <c r="AL1457" s="171">
        <v>1</v>
      </c>
      <c r="AM1457" s="171">
        <v>1</v>
      </c>
      <c r="AN1457" s="171">
        <v>1</v>
      </c>
      <c r="AO1457" s="171">
        <v>1</v>
      </c>
      <c r="AP1457" s="171">
        <v>1</v>
      </c>
      <c r="AQ1457" s="171">
        <v>1</v>
      </c>
      <c r="AR1457" s="171">
        <v>1</v>
      </c>
      <c r="AS1457" s="171">
        <v>1</v>
      </c>
      <c r="AT1457" s="171">
        <v>1</v>
      </c>
      <c r="AU1457" s="171">
        <f t="shared" si="502"/>
        <v>0</v>
      </c>
      <c r="AV1457" s="171">
        <f t="shared" si="503"/>
        <v>1</v>
      </c>
      <c r="AW1457" s="171">
        <f t="shared" si="504"/>
        <v>1</v>
      </c>
      <c r="AX1457" s="171">
        <f t="shared" si="499"/>
        <v>1</v>
      </c>
      <c r="AY1457" s="171">
        <f t="shared" si="505"/>
        <v>0</v>
      </c>
      <c r="AZ1457" s="171">
        <f t="shared" si="506"/>
        <v>1</v>
      </c>
      <c r="BA1457" s="172">
        <f t="shared" si="507"/>
        <v>1</v>
      </c>
      <c r="BB1457" s="175">
        <f t="shared" si="495"/>
        <v>19</v>
      </c>
      <c r="BC1457" s="176">
        <f t="shared" si="496"/>
        <v>18</v>
      </c>
      <c r="BD1457" s="176">
        <f t="shared" si="497"/>
        <v>19</v>
      </c>
      <c r="BE1457" s="240" t="str">
        <f t="shared" si="501"/>
        <v/>
      </c>
      <c r="BF1457" s="990"/>
      <c r="BG1457" s="990"/>
      <c r="BH1457" s="991">
        <f>IF(AND(Input_Product=Elig!$C1457,Elig_MatchAll_Ct&lt;22,$BC1457=(Elig_MatchAll_Ct-1),AF1457=0),C1457,0)</f>
        <v>0</v>
      </c>
      <c r="BI1457" s="991">
        <f>IF(AND(Input_Product=Elig!$C1457,Elig_MatchAll_Ct&lt;22,$BC1457=(Elig_MatchAll_Ct-1),AG1457=0),D1457,0)</f>
        <v>0</v>
      </c>
      <c r="BJ1457" s="991">
        <f>IF(AND(Input_Product=Elig!$C1457,Elig_MatchAll_Ct&lt;22,$BC1457=(Elig_MatchAll_Ct-1),AH1457=0),E1457,0)</f>
        <v>0</v>
      </c>
      <c r="BK1457" s="991">
        <f>IF(AND(Input_Product=Elig!$C1457,Elig_MatchAll_Ct&lt;22,$BC1457=(Elig_MatchAll_Ct-1),AI1457=0),F1457,0)</f>
        <v>0</v>
      </c>
      <c r="BL1457" s="991">
        <f>IF(AND(Input_Product=Elig!$C1457,Elig_MatchAll_Ct&lt;22,$BC1457=(Elig_MatchAll_Ct-1),AJ1457=0),G1457,0)</f>
        <v>0</v>
      </c>
      <c r="BM1457" s="991">
        <f>IF(AND(Input_Product=Elig!$C1457,Elig_MatchAll_Ct&lt;22,$BC1457=(Elig_MatchAll_Ct-1),AK1457=0),H1457,0)</f>
        <v>0</v>
      </c>
      <c r="BN1457" s="991">
        <f>IF(AND(Input_Product=Elig!$C1457,Elig_MatchAll_Ct&lt;22,$BC1457=(Elig_MatchAll_Ct-1),AL1457=0),I1457,0)</f>
        <v>0</v>
      </c>
      <c r="BO1457" s="991">
        <f>IF(AND(Input_Product=Elig!$C1457,Elig_MatchAll_Ct&lt;22,$BC1457=(Elig_MatchAll_Ct-1),AM1457=0),J1457,0)</f>
        <v>0</v>
      </c>
      <c r="BP1457" s="991">
        <f>IF(AND(Input_Product=Elig!$C1457,Elig_MatchAll_Ct&lt;22,$BC1457=(Elig_MatchAll_Ct-1),AN1457=0),K1457,0)</f>
        <v>0</v>
      </c>
      <c r="BQ1457" s="991">
        <f>IF(AND(Input_Product=Elig!$C1457,Elig_MatchAll_Ct&lt;22,$BC1457=(Elig_MatchAll_Ct-1),AP1457=0),L1457,0)</f>
        <v>0</v>
      </c>
      <c r="BR1457" s="991">
        <f>IF(AND(Input_Product=Elig!$C1457,Elig_MatchAll_Ct&lt;22,$BC1457=(Elig_MatchAll_Ct-1),AO1457=0),M1457,0)</f>
        <v>0</v>
      </c>
      <c r="BS1457" s="991">
        <f>IF(AND(Input_Product=Elig!$C1457,Elig_MatchAll_Ct&lt;22,$BC1457=(Elig_MatchAll_Ct-1),AQ1457=0),N1457,0)</f>
        <v>0</v>
      </c>
      <c r="BT1457" s="991">
        <f>IF(AND(Input_Product=Elig!$C1457,Elig_MatchAll_Ct&lt;22,$BC1457=(Elig_MatchAll_Ct-1),AR1457=0),O1457,0)</f>
        <v>0</v>
      </c>
      <c r="BU1457" s="991">
        <f>IF(AND(Input_Product=Elig!$C1457,Elig_MatchAll_Ct&lt;22,$BC1457=(Elig_MatchAll_Ct-1),AS1457=0),P1457,0)</f>
        <v>0</v>
      </c>
      <c r="BV1457" s="992">
        <f>IF(AND(Input_Product=Elig!$C1457,Elig_MatchAll_Ct&lt;22,$BC1457=(Elig_MatchAll_Ct-1),AT1457=0),Q1457,0)</f>
        <v>0</v>
      </c>
      <c r="BW1457" s="993">
        <f>IF(AND(Input_Product=Elig!$C1457,Elig_MatchAll_Ct&lt;22,$BC1457=(Elig_MatchAll_Ct-1),AU1457=0),R1457,0)</f>
        <v>0</v>
      </c>
      <c r="BX1457" s="994">
        <f>IF(AND(Input_Product=Elig!$C1457,Elig_MatchAll_Ct&lt;22,$BC1457=(Elig_MatchAll_Ct-1),AU1457=0),S1457,0)</f>
        <v>0</v>
      </c>
      <c r="BY1457" s="993">
        <f>IF(AND(Input_Product=Elig!$C1457,Elig_MatchAll_Ct&lt;22,$BC1457=(Elig_MatchAll_Ct-1),AV1457=0),T1457,0)</f>
        <v>0</v>
      </c>
      <c r="BZ1457" s="994">
        <f>IF(AND(Input_Product=Elig!$C1457,Elig_MatchAll_Ct&lt;22,$BC1457=(Elig_MatchAll_Ct-1),AV1457=0),U1457,0)</f>
        <v>0</v>
      </c>
      <c r="CA1457" s="993">
        <f>IF(AND(Input_Product=Elig!$C1457,Elig_MatchAll_Ct&lt;22,$BC1457=(Elig_MatchAll_Ct-1),AW1457=0),V1457,0)</f>
        <v>0</v>
      </c>
      <c r="CB1457" s="994">
        <f>IF(AND(Input_Product=Elig!$C1457,Elig_MatchAll_Ct&lt;22,$BC1457=(Elig_MatchAll_Ct-1),AW1457=0),W1457,0)</f>
        <v>0</v>
      </c>
      <c r="CC1457" s="993">
        <f>IF(AND(Input_Product=Elig!$C1457,Elig_MatchAll_Ct&lt;22,$BC1457=(Elig_MatchAll_Ct-1),AX1457=0),X1457,0)</f>
        <v>0</v>
      </c>
      <c r="CD1457" s="994">
        <f>IF(AND(Input_Product=Elig!$C1457,Elig_MatchAll_Ct&lt;22,$BC1457=(Elig_MatchAll_Ct-1),AX1457=0),Y1457,0)</f>
        <v>0</v>
      </c>
      <c r="CE1457" s="993">
        <f>IF(AND(Input_LTV&lt;=AE1457,Input_Product=Elig!$C1457,Elig_MatchAll_Ct&lt;22,$BC1457=(Elig_MatchAll_Ct-1),AY1457=0),Z1457,0)</f>
        <v>0</v>
      </c>
      <c r="CF1457" s="994">
        <f>IF(AND(Input_LTV&lt;=AE1457,Input_Product=Elig!$C1457,Elig_MatchAll_Ct&lt;22,$BC1457=(Elig_MatchAll_Ct-1),AY1457=0),AA1457,0)</f>
        <v>0</v>
      </c>
      <c r="CG1457" s="993">
        <f>IF(AND(Input_Product=Elig!$C1457,Elig_MatchAll_Ct&lt;22,$BC1457=(Elig_MatchAll_Ct-1),AZ1457=0),AB1457,0)</f>
        <v>0</v>
      </c>
      <c r="CH1457" s="994">
        <f>IF(AND(Input_Product=Elig!$C1457,Elig_MatchAll_Ct&lt;22,$BC1457=(Elig_MatchAll_Ct-1),AZ1457=0),AC1457,0)</f>
        <v>0</v>
      </c>
      <c r="CI1457" s="993">
        <f>IF(AND(Input_Product=Elig!$C1457,Elig_MatchAll_Ct&lt;22,$BC1457=(Elig_MatchAll_Ct-1),BA1457=0),AD1457,0)</f>
        <v>0</v>
      </c>
      <c r="CJ1457" s="994">
        <f>IF(AND(Input_Product=Elig!$C1457,Elig_MatchAll_Ct&lt;22,$BC1457=(Elig_MatchAll_Ct-1),BA1457=0),AE1457,0)</f>
        <v>0</v>
      </c>
    </row>
    <row r="1458" spans="2:88" ht="10.15" customHeight="1" x14ac:dyDescent="0.25">
      <c r="B1458" s="1554" t="s">
        <v>2844</v>
      </c>
      <c r="C1458" s="1554" t="str">
        <f t="shared" si="500"/>
        <v xml:space="preserve">  OO</v>
      </c>
      <c r="D1458" s="1554" t="s">
        <v>2764</v>
      </c>
      <c r="E1458" s="1554" t="s">
        <v>167</v>
      </c>
      <c r="F1458" s="1554" t="s">
        <v>2765</v>
      </c>
      <c r="G1458" s="1554" t="s">
        <v>2810</v>
      </c>
      <c r="H1458" s="1554" t="s">
        <v>2767</v>
      </c>
      <c r="I1458" s="1555" t="s">
        <v>16</v>
      </c>
      <c r="J1458" s="1555" t="s">
        <v>1311</v>
      </c>
      <c r="K1458" s="1555" t="s">
        <v>3023</v>
      </c>
      <c r="L1458" s="1554" t="s">
        <v>3920</v>
      </c>
      <c r="M1458" s="1554" t="s">
        <v>4203</v>
      </c>
      <c r="N1458" s="1554" t="s">
        <v>2685</v>
      </c>
      <c r="O1458" s="1554" t="s">
        <v>310</v>
      </c>
      <c r="P1458" s="1554" t="s">
        <v>291</v>
      </c>
      <c r="Q1458" s="1554" t="s">
        <v>294</v>
      </c>
      <c r="R1458" s="1554">
        <v>150000</v>
      </c>
      <c r="S1458" s="1554">
        <v>1000000</v>
      </c>
      <c r="T1458" s="1554">
        <v>0</v>
      </c>
      <c r="U1458" s="1554">
        <v>1000000</v>
      </c>
      <c r="V1458" s="1554">
        <v>0</v>
      </c>
      <c r="W1458" s="1554">
        <v>50</v>
      </c>
      <c r="X1458" s="1554">
        <v>0</v>
      </c>
      <c r="Y1458" s="1554">
        <v>0</v>
      </c>
      <c r="Z1458" s="1556">
        <v>660</v>
      </c>
      <c r="AA1458" s="1556">
        <v>679</v>
      </c>
      <c r="AB1458" s="1556">
        <v>3</v>
      </c>
      <c r="AC1458" s="1556">
        <v>999999</v>
      </c>
      <c r="AD1458" s="1554">
        <v>0</v>
      </c>
      <c r="AE1458" s="1557">
        <v>75</v>
      </c>
      <c r="AF1458" s="170">
        <v>0</v>
      </c>
      <c r="AG1458" s="171">
        <v>1</v>
      </c>
      <c r="AH1458" s="171">
        <v>1</v>
      </c>
      <c r="AI1458" s="171">
        <v>1</v>
      </c>
      <c r="AJ1458" s="171">
        <v>1</v>
      </c>
      <c r="AK1458" s="171">
        <v>1</v>
      </c>
      <c r="AL1458" s="171">
        <v>1</v>
      </c>
      <c r="AM1458" s="171">
        <v>1</v>
      </c>
      <c r="AN1458" s="171">
        <v>1</v>
      </c>
      <c r="AO1458" s="171">
        <v>1</v>
      </c>
      <c r="AP1458" s="171">
        <v>1</v>
      </c>
      <c r="AQ1458" s="171">
        <v>1</v>
      </c>
      <c r="AR1458" s="171">
        <v>1</v>
      </c>
      <c r="AS1458" s="171">
        <v>1</v>
      </c>
      <c r="AT1458" s="171">
        <v>1</v>
      </c>
      <c r="AU1458" s="171">
        <f t="shared" si="502"/>
        <v>1</v>
      </c>
      <c r="AV1458" s="171">
        <f t="shared" si="503"/>
        <v>1</v>
      </c>
      <c r="AW1458" s="171">
        <f t="shared" si="504"/>
        <v>1</v>
      </c>
      <c r="AX1458" s="171">
        <f t="shared" si="499"/>
        <v>1</v>
      </c>
      <c r="AY1458" s="171">
        <f t="shared" si="505"/>
        <v>0</v>
      </c>
      <c r="AZ1458" s="171">
        <f t="shared" si="506"/>
        <v>1</v>
      </c>
      <c r="BA1458" s="172">
        <f t="shared" si="507"/>
        <v>1</v>
      </c>
      <c r="BB1458" s="175">
        <f t="shared" ref="BB1458:BB1521" si="508">SUM(AF1458:BA1458)</f>
        <v>20</v>
      </c>
      <c r="BC1458" s="176">
        <f t="shared" ref="BC1458:BC1521" si="509">SUM(AF1458:AZ1458)</f>
        <v>19</v>
      </c>
      <c r="BD1458" s="176">
        <f t="shared" ref="BD1458:BD1521" si="510">SUM(AG1458:BA1458)</f>
        <v>20</v>
      </c>
      <c r="BE1458" s="240" t="str">
        <f t="shared" si="501"/>
        <v/>
      </c>
      <c r="BF1458" s="990"/>
      <c r="BG1458" s="990"/>
      <c r="BH1458" s="991">
        <f>IF(AND(Input_Product=Elig!$C1458,Elig_MatchAll_Ct&lt;22,$BC1458=(Elig_MatchAll_Ct-1),AF1458=0),C1458,0)</f>
        <v>0</v>
      </c>
      <c r="BI1458" s="991">
        <f>IF(AND(Input_Product=Elig!$C1458,Elig_MatchAll_Ct&lt;22,$BC1458=(Elig_MatchAll_Ct-1),AG1458=0),D1458,0)</f>
        <v>0</v>
      </c>
      <c r="BJ1458" s="991">
        <f>IF(AND(Input_Product=Elig!$C1458,Elig_MatchAll_Ct&lt;22,$BC1458=(Elig_MatchAll_Ct-1),AH1458=0),E1458,0)</f>
        <v>0</v>
      </c>
      <c r="BK1458" s="991">
        <f>IF(AND(Input_Product=Elig!$C1458,Elig_MatchAll_Ct&lt;22,$BC1458=(Elig_MatchAll_Ct-1),AI1458=0),F1458,0)</f>
        <v>0</v>
      </c>
      <c r="BL1458" s="991">
        <f>IF(AND(Input_Product=Elig!$C1458,Elig_MatchAll_Ct&lt;22,$BC1458=(Elig_MatchAll_Ct-1),AJ1458=0),G1458,0)</f>
        <v>0</v>
      </c>
      <c r="BM1458" s="991">
        <f>IF(AND(Input_Product=Elig!$C1458,Elig_MatchAll_Ct&lt;22,$BC1458=(Elig_MatchAll_Ct-1),AK1458=0),H1458,0)</f>
        <v>0</v>
      </c>
      <c r="BN1458" s="991">
        <f>IF(AND(Input_Product=Elig!$C1458,Elig_MatchAll_Ct&lt;22,$BC1458=(Elig_MatchAll_Ct-1),AL1458=0),I1458,0)</f>
        <v>0</v>
      </c>
      <c r="BO1458" s="991">
        <f>IF(AND(Input_Product=Elig!$C1458,Elig_MatchAll_Ct&lt;22,$BC1458=(Elig_MatchAll_Ct-1),AM1458=0),J1458,0)</f>
        <v>0</v>
      </c>
      <c r="BP1458" s="991">
        <f>IF(AND(Input_Product=Elig!$C1458,Elig_MatchAll_Ct&lt;22,$BC1458=(Elig_MatchAll_Ct-1),AN1458=0),K1458,0)</f>
        <v>0</v>
      </c>
      <c r="BQ1458" s="991">
        <f>IF(AND(Input_Product=Elig!$C1458,Elig_MatchAll_Ct&lt;22,$BC1458=(Elig_MatchAll_Ct-1),AP1458=0),L1458,0)</f>
        <v>0</v>
      </c>
      <c r="BR1458" s="991">
        <f>IF(AND(Input_Product=Elig!$C1458,Elig_MatchAll_Ct&lt;22,$BC1458=(Elig_MatchAll_Ct-1),AO1458=0),M1458,0)</f>
        <v>0</v>
      </c>
      <c r="BS1458" s="991">
        <f>IF(AND(Input_Product=Elig!$C1458,Elig_MatchAll_Ct&lt;22,$BC1458=(Elig_MatchAll_Ct-1),AQ1458=0),N1458,0)</f>
        <v>0</v>
      </c>
      <c r="BT1458" s="991">
        <f>IF(AND(Input_Product=Elig!$C1458,Elig_MatchAll_Ct&lt;22,$BC1458=(Elig_MatchAll_Ct-1),AR1458=0),O1458,0)</f>
        <v>0</v>
      </c>
      <c r="BU1458" s="991">
        <f>IF(AND(Input_Product=Elig!$C1458,Elig_MatchAll_Ct&lt;22,$BC1458=(Elig_MatchAll_Ct-1),AS1458=0),P1458,0)</f>
        <v>0</v>
      </c>
      <c r="BV1458" s="992">
        <f>IF(AND(Input_Product=Elig!$C1458,Elig_MatchAll_Ct&lt;22,$BC1458=(Elig_MatchAll_Ct-1),AT1458=0),Q1458,0)</f>
        <v>0</v>
      </c>
      <c r="BW1458" s="993">
        <f>IF(AND(Input_Product=Elig!$C1458,Elig_MatchAll_Ct&lt;22,$BC1458=(Elig_MatchAll_Ct-1),AU1458=0),R1458,0)</f>
        <v>0</v>
      </c>
      <c r="BX1458" s="994">
        <f>IF(AND(Input_Product=Elig!$C1458,Elig_MatchAll_Ct&lt;22,$BC1458=(Elig_MatchAll_Ct-1),AU1458=0),S1458,0)</f>
        <v>0</v>
      </c>
      <c r="BY1458" s="993">
        <f>IF(AND(Input_Product=Elig!$C1458,Elig_MatchAll_Ct&lt;22,$BC1458=(Elig_MatchAll_Ct-1),AV1458=0),T1458,0)</f>
        <v>0</v>
      </c>
      <c r="BZ1458" s="994">
        <f>IF(AND(Input_Product=Elig!$C1458,Elig_MatchAll_Ct&lt;22,$BC1458=(Elig_MatchAll_Ct-1),AV1458=0),U1458,0)</f>
        <v>0</v>
      </c>
      <c r="CA1458" s="993">
        <f>IF(AND(Input_Product=Elig!$C1458,Elig_MatchAll_Ct&lt;22,$BC1458=(Elig_MatchAll_Ct-1),AW1458=0),V1458,0)</f>
        <v>0</v>
      </c>
      <c r="CB1458" s="994">
        <f>IF(AND(Input_Product=Elig!$C1458,Elig_MatchAll_Ct&lt;22,$BC1458=(Elig_MatchAll_Ct-1),AW1458=0),W1458,0)</f>
        <v>0</v>
      </c>
      <c r="CC1458" s="993">
        <f>IF(AND(Input_Product=Elig!$C1458,Elig_MatchAll_Ct&lt;22,$BC1458=(Elig_MatchAll_Ct-1),AX1458=0),X1458,0)</f>
        <v>0</v>
      </c>
      <c r="CD1458" s="994">
        <f>IF(AND(Input_Product=Elig!$C1458,Elig_MatchAll_Ct&lt;22,$BC1458=(Elig_MatchAll_Ct-1),AX1458=0),Y1458,0)</f>
        <v>0</v>
      </c>
      <c r="CE1458" s="993">
        <f>IF(AND(Input_LTV&lt;=AE1458,Input_Product=Elig!$C1458,Elig_MatchAll_Ct&lt;22,$BC1458=(Elig_MatchAll_Ct-1),AY1458=0),Z1458,0)</f>
        <v>0</v>
      </c>
      <c r="CF1458" s="994">
        <f>IF(AND(Input_LTV&lt;=AE1458,Input_Product=Elig!$C1458,Elig_MatchAll_Ct&lt;22,$BC1458=(Elig_MatchAll_Ct-1),AY1458=0),AA1458,0)</f>
        <v>0</v>
      </c>
      <c r="CG1458" s="993">
        <f>IF(AND(Input_Product=Elig!$C1458,Elig_MatchAll_Ct&lt;22,$BC1458=(Elig_MatchAll_Ct-1),AZ1458=0),AB1458,0)</f>
        <v>0</v>
      </c>
      <c r="CH1458" s="994">
        <f>IF(AND(Input_Product=Elig!$C1458,Elig_MatchAll_Ct&lt;22,$BC1458=(Elig_MatchAll_Ct-1),AZ1458=0),AC1458,0)</f>
        <v>0</v>
      </c>
      <c r="CI1458" s="993">
        <f>IF(AND(Input_Product=Elig!$C1458,Elig_MatchAll_Ct&lt;22,$BC1458=(Elig_MatchAll_Ct-1),BA1458=0),AD1458,0)</f>
        <v>0</v>
      </c>
      <c r="CJ1458" s="994">
        <f>IF(AND(Input_Product=Elig!$C1458,Elig_MatchAll_Ct&lt;22,$BC1458=(Elig_MatchAll_Ct-1),BA1458=0),AE1458,0)</f>
        <v>0</v>
      </c>
    </row>
    <row r="1459" spans="2:88" ht="10.15" customHeight="1" x14ac:dyDescent="0.25">
      <c r="B1459" s="1554" t="s">
        <v>2845</v>
      </c>
      <c r="C1459" s="1554" t="str">
        <f t="shared" si="500"/>
        <v xml:space="preserve">  OO</v>
      </c>
      <c r="D1459" s="1554" t="s">
        <v>2764</v>
      </c>
      <c r="E1459" s="1554" t="s">
        <v>167</v>
      </c>
      <c r="F1459" s="1554" t="s">
        <v>2765</v>
      </c>
      <c r="G1459" s="1554" t="s">
        <v>2810</v>
      </c>
      <c r="H1459" s="1554" t="s">
        <v>2767</v>
      </c>
      <c r="I1459" s="1555" t="s">
        <v>16</v>
      </c>
      <c r="J1459" s="1555" t="s">
        <v>1311</v>
      </c>
      <c r="K1459" s="1555" t="s">
        <v>3023</v>
      </c>
      <c r="L1459" s="1554" t="s">
        <v>3920</v>
      </c>
      <c r="M1459" s="1554" t="s">
        <v>4203</v>
      </c>
      <c r="N1459" s="1554" t="s">
        <v>2685</v>
      </c>
      <c r="O1459" s="1554" t="s">
        <v>310</v>
      </c>
      <c r="P1459" s="1554" t="s">
        <v>291</v>
      </c>
      <c r="Q1459" s="1554" t="s">
        <v>294</v>
      </c>
      <c r="R1459" s="1554">
        <v>1000000.01</v>
      </c>
      <c r="S1459" s="1554">
        <v>1500000</v>
      </c>
      <c r="T1459" s="1554">
        <v>0</v>
      </c>
      <c r="U1459" s="1554">
        <v>1000000</v>
      </c>
      <c r="V1459" s="1554">
        <v>0</v>
      </c>
      <c r="W1459" s="1554">
        <v>50</v>
      </c>
      <c r="X1459" s="1554">
        <v>0</v>
      </c>
      <c r="Y1459" s="1554">
        <v>0</v>
      </c>
      <c r="Z1459" s="1556">
        <v>660</v>
      </c>
      <c r="AA1459" s="1556">
        <v>679</v>
      </c>
      <c r="AB1459" s="1556">
        <v>3</v>
      </c>
      <c r="AC1459" s="1556">
        <v>999999</v>
      </c>
      <c r="AD1459" s="1554">
        <v>0</v>
      </c>
      <c r="AE1459" s="1557">
        <v>75</v>
      </c>
      <c r="AF1459" s="170">
        <v>0</v>
      </c>
      <c r="AG1459" s="171">
        <v>1</v>
      </c>
      <c r="AH1459" s="171">
        <v>1</v>
      </c>
      <c r="AI1459" s="171">
        <v>1</v>
      </c>
      <c r="AJ1459" s="171">
        <v>1</v>
      </c>
      <c r="AK1459" s="171">
        <v>1</v>
      </c>
      <c r="AL1459" s="171">
        <v>1</v>
      </c>
      <c r="AM1459" s="171">
        <v>1</v>
      </c>
      <c r="AN1459" s="171">
        <v>1</v>
      </c>
      <c r="AO1459" s="171">
        <v>1</v>
      </c>
      <c r="AP1459" s="171">
        <v>1</v>
      </c>
      <c r="AQ1459" s="171">
        <v>1</v>
      </c>
      <c r="AR1459" s="171">
        <v>1</v>
      </c>
      <c r="AS1459" s="171">
        <v>1</v>
      </c>
      <c r="AT1459" s="171">
        <v>1</v>
      </c>
      <c r="AU1459" s="171">
        <f t="shared" si="502"/>
        <v>0</v>
      </c>
      <c r="AV1459" s="171">
        <f t="shared" si="503"/>
        <v>1</v>
      </c>
      <c r="AW1459" s="171">
        <f t="shared" si="504"/>
        <v>1</v>
      </c>
      <c r="AX1459" s="171">
        <f t="shared" si="499"/>
        <v>1</v>
      </c>
      <c r="AY1459" s="171">
        <f t="shared" si="505"/>
        <v>0</v>
      </c>
      <c r="AZ1459" s="171">
        <f t="shared" si="506"/>
        <v>1</v>
      </c>
      <c r="BA1459" s="172">
        <f t="shared" si="507"/>
        <v>1</v>
      </c>
      <c r="BB1459" s="175">
        <f t="shared" si="508"/>
        <v>19</v>
      </c>
      <c r="BC1459" s="176">
        <f t="shared" si="509"/>
        <v>18</v>
      </c>
      <c r="BD1459" s="176">
        <f t="shared" si="510"/>
        <v>19</v>
      </c>
      <c r="BE1459" s="240" t="str">
        <f t="shared" si="501"/>
        <v/>
      </c>
      <c r="BF1459" s="990"/>
      <c r="BG1459" s="990"/>
      <c r="BH1459" s="991">
        <f>IF(AND(Input_Product=Elig!$C1459,Elig_MatchAll_Ct&lt;22,$BC1459=(Elig_MatchAll_Ct-1),AF1459=0),C1459,0)</f>
        <v>0</v>
      </c>
      <c r="BI1459" s="991">
        <f>IF(AND(Input_Product=Elig!$C1459,Elig_MatchAll_Ct&lt;22,$BC1459=(Elig_MatchAll_Ct-1),AG1459=0),D1459,0)</f>
        <v>0</v>
      </c>
      <c r="BJ1459" s="991">
        <f>IF(AND(Input_Product=Elig!$C1459,Elig_MatchAll_Ct&lt;22,$BC1459=(Elig_MatchAll_Ct-1),AH1459=0),E1459,0)</f>
        <v>0</v>
      </c>
      <c r="BK1459" s="991">
        <f>IF(AND(Input_Product=Elig!$C1459,Elig_MatchAll_Ct&lt;22,$BC1459=(Elig_MatchAll_Ct-1),AI1459=0),F1459,0)</f>
        <v>0</v>
      </c>
      <c r="BL1459" s="991">
        <f>IF(AND(Input_Product=Elig!$C1459,Elig_MatchAll_Ct&lt;22,$BC1459=(Elig_MatchAll_Ct-1),AJ1459=0),G1459,0)</f>
        <v>0</v>
      </c>
      <c r="BM1459" s="991">
        <f>IF(AND(Input_Product=Elig!$C1459,Elig_MatchAll_Ct&lt;22,$BC1459=(Elig_MatchAll_Ct-1),AK1459=0),H1459,0)</f>
        <v>0</v>
      </c>
      <c r="BN1459" s="991">
        <f>IF(AND(Input_Product=Elig!$C1459,Elig_MatchAll_Ct&lt;22,$BC1459=(Elig_MatchAll_Ct-1),AL1459=0),I1459,0)</f>
        <v>0</v>
      </c>
      <c r="BO1459" s="991">
        <f>IF(AND(Input_Product=Elig!$C1459,Elig_MatchAll_Ct&lt;22,$BC1459=(Elig_MatchAll_Ct-1),AM1459=0),J1459,0)</f>
        <v>0</v>
      </c>
      <c r="BP1459" s="991">
        <f>IF(AND(Input_Product=Elig!$C1459,Elig_MatchAll_Ct&lt;22,$BC1459=(Elig_MatchAll_Ct-1),AN1459=0),K1459,0)</f>
        <v>0</v>
      </c>
      <c r="BQ1459" s="991">
        <f>IF(AND(Input_Product=Elig!$C1459,Elig_MatchAll_Ct&lt;22,$BC1459=(Elig_MatchAll_Ct-1),AP1459=0),L1459,0)</f>
        <v>0</v>
      </c>
      <c r="BR1459" s="991">
        <f>IF(AND(Input_Product=Elig!$C1459,Elig_MatchAll_Ct&lt;22,$BC1459=(Elig_MatchAll_Ct-1),AO1459=0),M1459,0)</f>
        <v>0</v>
      </c>
      <c r="BS1459" s="991">
        <f>IF(AND(Input_Product=Elig!$C1459,Elig_MatchAll_Ct&lt;22,$BC1459=(Elig_MatchAll_Ct-1),AQ1459=0),N1459,0)</f>
        <v>0</v>
      </c>
      <c r="BT1459" s="991">
        <f>IF(AND(Input_Product=Elig!$C1459,Elig_MatchAll_Ct&lt;22,$BC1459=(Elig_MatchAll_Ct-1),AR1459=0),O1459,0)</f>
        <v>0</v>
      </c>
      <c r="BU1459" s="991">
        <f>IF(AND(Input_Product=Elig!$C1459,Elig_MatchAll_Ct&lt;22,$BC1459=(Elig_MatchAll_Ct-1),AS1459=0),P1459,0)</f>
        <v>0</v>
      </c>
      <c r="BV1459" s="992">
        <f>IF(AND(Input_Product=Elig!$C1459,Elig_MatchAll_Ct&lt;22,$BC1459=(Elig_MatchAll_Ct-1),AT1459=0),Q1459,0)</f>
        <v>0</v>
      </c>
      <c r="BW1459" s="993">
        <f>IF(AND(Input_Product=Elig!$C1459,Elig_MatchAll_Ct&lt;22,$BC1459=(Elig_MatchAll_Ct-1),AU1459=0),R1459,0)</f>
        <v>0</v>
      </c>
      <c r="BX1459" s="994">
        <f>IF(AND(Input_Product=Elig!$C1459,Elig_MatchAll_Ct&lt;22,$BC1459=(Elig_MatchAll_Ct-1),AU1459=0),S1459,0)</f>
        <v>0</v>
      </c>
      <c r="BY1459" s="993">
        <f>IF(AND(Input_Product=Elig!$C1459,Elig_MatchAll_Ct&lt;22,$BC1459=(Elig_MatchAll_Ct-1),AV1459=0),T1459,0)</f>
        <v>0</v>
      </c>
      <c r="BZ1459" s="994">
        <f>IF(AND(Input_Product=Elig!$C1459,Elig_MatchAll_Ct&lt;22,$BC1459=(Elig_MatchAll_Ct-1),AV1459=0),U1459,0)</f>
        <v>0</v>
      </c>
      <c r="CA1459" s="993">
        <f>IF(AND(Input_Product=Elig!$C1459,Elig_MatchAll_Ct&lt;22,$BC1459=(Elig_MatchAll_Ct-1),AW1459=0),V1459,0)</f>
        <v>0</v>
      </c>
      <c r="CB1459" s="994">
        <f>IF(AND(Input_Product=Elig!$C1459,Elig_MatchAll_Ct&lt;22,$BC1459=(Elig_MatchAll_Ct-1),AW1459=0),W1459,0)</f>
        <v>0</v>
      </c>
      <c r="CC1459" s="993">
        <f>IF(AND(Input_Product=Elig!$C1459,Elig_MatchAll_Ct&lt;22,$BC1459=(Elig_MatchAll_Ct-1),AX1459=0),X1459,0)</f>
        <v>0</v>
      </c>
      <c r="CD1459" s="994">
        <f>IF(AND(Input_Product=Elig!$C1459,Elig_MatchAll_Ct&lt;22,$BC1459=(Elig_MatchAll_Ct-1),AX1459=0),Y1459,0)</f>
        <v>0</v>
      </c>
      <c r="CE1459" s="993">
        <f>IF(AND(Input_LTV&lt;=AE1459,Input_Product=Elig!$C1459,Elig_MatchAll_Ct&lt;22,$BC1459=(Elig_MatchAll_Ct-1),AY1459=0),Z1459,0)</f>
        <v>0</v>
      </c>
      <c r="CF1459" s="994">
        <f>IF(AND(Input_LTV&lt;=AE1459,Input_Product=Elig!$C1459,Elig_MatchAll_Ct&lt;22,$BC1459=(Elig_MatchAll_Ct-1),AY1459=0),AA1459,0)</f>
        <v>0</v>
      </c>
      <c r="CG1459" s="993">
        <f>IF(AND(Input_Product=Elig!$C1459,Elig_MatchAll_Ct&lt;22,$BC1459=(Elig_MatchAll_Ct-1),AZ1459=0),AB1459,0)</f>
        <v>0</v>
      </c>
      <c r="CH1459" s="994">
        <f>IF(AND(Input_Product=Elig!$C1459,Elig_MatchAll_Ct&lt;22,$BC1459=(Elig_MatchAll_Ct-1),AZ1459=0),AC1459,0)</f>
        <v>0</v>
      </c>
      <c r="CI1459" s="993">
        <f>IF(AND(Input_Product=Elig!$C1459,Elig_MatchAll_Ct&lt;22,$BC1459=(Elig_MatchAll_Ct-1),BA1459=0),AD1459,0)</f>
        <v>0</v>
      </c>
      <c r="CJ1459" s="994">
        <f>IF(AND(Input_Product=Elig!$C1459,Elig_MatchAll_Ct&lt;22,$BC1459=(Elig_MatchAll_Ct-1),BA1459=0),AE1459,0)</f>
        <v>0</v>
      </c>
    </row>
    <row r="1460" spans="2:88" ht="10.15" customHeight="1" x14ac:dyDescent="0.25">
      <c r="B1460" s="1554" t="s">
        <v>2846</v>
      </c>
      <c r="C1460" s="1554" t="str">
        <f t="shared" si="500"/>
        <v xml:space="preserve">  OO</v>
      </c>
      <c r="D1460" s="1554" t="s">
        <v>2764</v>
      </c>
      <c r="E1460" s="1554" t="s">
        <v>167</v>
      </c>
      <c r="F1460" s="1554" t="s">
        <v>2765</v>
      </c>
      <c r="G1460" s="1554" t="s">
        <v>2810</v>
      </c>
      <c r="H1460" s="1554" t="s">
        <v>2767</v>
      </c>
      <c r="I1460" s="1555" t="s">
        <v>16</v>
      </c>
      <c r="J1460" s="1555" t="s">
        <v>1311</v>
      </c>
      <c r="K1460" s="1555" t="s">
        <v>3023</v>
      </c>
      <c r="L1460" s="1554" t="s">
        <v>3920</v>
      </c>
      <c r="M1460" s="1554" t="s">
        <v>4203</v>
      </c>
      <c r="N1460" s="1554" t="s">
        <v>2685</v>
      </c>
      <c r="O1460" s="1554" t="s">
        <v>310</v>
      </c>
      <c r="P1460" s="1554" t="s">
        <v>291</v>
      </c>
      <c r="Q1460" s="1554" t="s">
        <v>294</v>
      </c>
      <c r="R1460" s="1554">
        <v>1500000.01</v>
      </c>
      <c r="S1460" s="1554">
        <v>2000000</v>
      </c>
      <c r="T1460" s="1554">
        <v>0</v>
      </c>
      <c r="U1460" s="1554">
        <v>1000000</v>
      </c>
      <c r="V1460" s="1554">
        <v>0</v>
      </c>
      <c r="W1460" s="1554">
        <v>50</v>
      </c>
      <c r="X1460" s="1554">
        <v>0</v>
      </c>
      <c r="Y1460" s="1554">
        <v>0</v>
      </c>
      <c r="Z1460" s="1556">
        <v>660</v>
      </c>
      <c r="AA1460" s="1556">
        <v>679</v>
      </c>
      <c r="AB1460" s="1556">
        <v>3</v>
      </c>
      <c r="AC1460" s="1556">
        <v>999999</v>
      </c>
      <c r="AD1460" s="1554">
        <v>0</v>
      </c>
      <c r="AE1460" s="1557">
        <v>65</v>
      </c>
      <c r="AF1460" s="170">
        <v>0</v>
      </c>
      <c r="AG1460" s="171">
        <v>1</v>
      </c>
      <c r="AH1460" s="171">
        <v>1</v>
      </c>
      <c r="AI1460" s="171">
        <v>1</v>
      </c>
      <c r="AJ1460" s="171">
        <v>1</v>
      </c>
      <c r="AK1460" s="171">
        <v>1</v>
      </c>
      <c r="AL1460" s="171">
        <v>1</v>
      </c>
      <c r="AM1460" s="171">
        <v>1</v>
      </c>
      <c r="AN1460" s="171">
        <v>1</v>
      </c>
      <c r="AO1460" s="171">
        <v>1</v>
      </c>
      <c r="AP1460" s="171">
        <v>1</v>
      </c>
      <c r="AQ1460" s="171">
        <v>1</v>
      </c>
      <c r="AR1460" s="171">
        <v>1</v>
      </c>
      <c r="AS1460" s="171">
        <v>1</v>
      </c>
      <c r="AT1460" s="171">
        <v>1</v>
      </c>
      <c r="AU1460" s="171">
        <f t="shared" si="502"/>
        <v>0</v>
      </c>
      <c r="AV1460" s="171">
        <f t="shared" si="503"/>
        <v>1</v>
      </c>
      <c r="AW1460" s="171">
        <f t="shared" si="504"/>
        <v>1</v>
      </c>
      <c r="AX1460" s="171">
        <f t="shared" si="499"/>
        <v>1</v>
      </c>
      <c r="AY1460" s="171">
        <f t="shared" si="505"/>
        <v>0</v>
      </c>
      <c r="AZ1460" s="171">
        <f t="shared" si="506"/>
        <v>1</v>
      </c>
      <c r="BA1460" s="172">
        <f t="shared" si="507"/>
        <v>1</v>
      </c>
      <c r="BB1460" s="175">
        <f t="shared" si="508"/>
        <v>19</v>
      </c>
      <c r="BC1460" s="176">
        <f t="shared" si="509"/>
        <v>18</v>
      </c>
      <c r="BD1460" s="176">
        <f t="shared" si="510"/>
        <v>19</v>
      </c>
      <c r="BE1460" s="240" t="str">
        <f t="shared" si="501"/>
        <v/>
      </c>
      <c r="BF1460" s="990"/>
      <c r="BG1460" s="990"/>
      <c r="BH1460" s="991">
        <f>IF(AND(Input_Product=Elig!$C1460,Elig_MatchAll_Ct&lt;22,$BC1460=(Elig_MatchAll_Ct-1),AF1460=0),C1460,0)</f>
        <v>0</v>
      </c>
      <c r="BI1460" s="991">
        <f>IF(AND(Input_Product=Elig!$C1460,Elig_MatchAll_Ct&lt;22,$BC1460=(Elig_MatchAll_Ct-1),AG1460=0),D1460,0)</f>
        <v>0</v>
      </c>
      <c r="BJ1460" s="991">
        <f>IF(AND(Input_Product=Elig!$C1460,Elig_MatchAll_Ct&lt;22,$BC1460=(Elig_MatchAll_Ct-1),AH1460=0),E1460,0)</f>
        <v>0</v>
      </c>
      <c r="BK1460" s="991">
        <f>IF(AND(Input_Product=Elig!$C1460,Elig_MatchAll_Ct&lt;22,$BC1460=(Elig_MatchAll_Ct-1),AI1460=0),F1460,0)</f>
        <v>0</v>
      </c>
      <c r="BL1460" s="991">
        <f>IF(AND(Input_Product=Elig!$C1460,Elig_MatchAll_Ct&lt;22,$BC1460=(Elig_MatchAll_Ct-1),AJ1460=0),G1460,0)</f>
        <v>0</v>
      </c>
      <c r="BM1460" s="991">
        <f>IF(AND(Input_Product=Elig!$C1460,Elig_MatchAll_Ct&lt;22,$BC1460=(Elig_MatchAll_Ct-1),AK1460=0),H1460,0)</f>
        <v>0</v>
      </c>
      <c r="BN1460" s="991">
        <f>IF(AND(Input_Product=Elig!$C1460,Elig_MatchAll_Ct&lt;22,$BC1460=(Elig_MatchAll_Ct-1),AL1460=0),I1460,0)</f>
        <v>0</v>
      </c>
      <c r="BO1460" s="991">
        <f>IF(AND(Input_Product=Elig!$C1460,Elig_MatchAll_Ct&lt;22,$BC1460=(Elig_MatchAll_Ct-1),AM1460=0),J1460,0)</f>
        <v>0</v>
      </c>
      <c r="BP1460" s="991">
        <f>IF(AND(Input_Product=Elig!$C1460,Elig_MatchAll_Ct&lt;22,$BC1460=(Elig_MatchAll_Ct-1),AN1460=0),K1460,0)</f>
        <v>0</v>
      </c>
      <c r="BQ1460" s="991">
        <f>IF(AND(Input_Product=Elig!$C1460,Elig_MatchAll_Ct&lt;22,$BC1460=(Elig_MatchAll_Ct-1),AP1460=0),L1460,0)</f>
        <v>0</v>
      </c>
      <c r="BR1460" s="991">
        <f>IF(AND(Input_Product=Elig!$C1460,Elig_MatchAll_Ct&lt;22,$BC1460=(Elig_MatchAll_Ct-1),AO1460=0),M1460,0)</f>
        <v>0</v>
      </c>
      <c r="BS1460" s="991">
        <f>IF(AND(Input_Product=Elig!$C1460,Elig_MatchAll_Ct&lt;22,$BC1460=(Elig_MatchAll_Ct-1),AQ1460=0),N1460,0)</f>
        <v>0</v>
      </c>
      <c r="BT1460" s="991">
        <f>IF(AND(Input_Product=Elig!$C1460,Elig_MatchAll_Ct&lt;22,$BC1460=(Elig_MatchAll_Ct-1),AR1460=0),O1460,0)</f>
        <v>0</v>
      </c>
      <c r="BU1460" s="991">
        <f>IF(AND(Input_Product=Elig!$C1460,Elig_MatchAll_Ct&lt;22,$BC1460=(Elig_MatchAll_Ct-1),AS1460=0),P1460,0)</f>
        <v>0</v>
      </c>
      <c r="BV1460" s="992">
        <f>IF(AND(Input_Product=Elig!$C1460,Elig_MatchAll_Ct&lt;22,$BC1460=(Elig_MatchAll_Ct-1),AT1460=0),Q1460,0)</f>
        <v>0</v>
      </c>
      <c r="BW1460" s="993">
        <f>IF(AND(Input_Product=Elig!$C1460,Elig_MatchAll_Ct&lt;22,$BC1460=(Elig_MatchAll_Ct-1),AU1460=0),R1460,0)</f>
        <v>0</v>
      </c>
      <c r="BX1460" s="994">
        <f>IF(AND(Input_Product=Elig!$C1460,Elig_MatchAll_Ct&lt;22,$BC1460=(Elig_MatchAll_Ct-1),AU1460=0),S1460,0)</f>
        <v>0</v>
      </c>
      <c r="BY1460" s="993">
        <f>IF(AND(Input_Product=Elig!$C1460,Elig_MatchAll_Ct&lt;22,$BC1460=(Elig_MatchAll_Ct-1),AV1460=0),T1460,0)</f>
        <v>0</v>
      </c>
      <c r="BZ1460" s="994">
        <f>IF(AND(Input_Product=Elig!$C1460,Elig_MatchAll_Ct&lt;22,$BC1460=(Elig_MatchAll_Ct-1),AV1460=0),U1460,0)</f>
        <v>0</v>
      </c>
      <c r="CA1460" s="993">
        <f>IF(AND(Input_Product=Elig!$C1460,Elig_MatchAll_Ct&lt;22,$BC1460=(Elig_MatchAll_Ct-1),AW1460=0),V1460,0)</f>
        <v>0</v>
      </c>
      <c r="CB1460" s="994">
        <f>IF(AND(Input_Product=Elig!$C1460,Elig_MatchAll_Ct&lt;22,$BC1460=(Elig_MatchAll_Ct-1),AW1460=0),W1460,0)</f>
        <v>0</v>
      </c>
      <c r="CC1460" s="993">
        <f>IF(AND(Input_Product=Elig!$C1460,Elig_MatchAll_Ct&lt;22,$BC1460=(Elig_MatchAll_Ct-1),AX1460=0),X1460,0)</f>
        <v>0</v>
      </c>
      <c r="CD1460" s="994">
        <f>IF(AND(Input_Product=Elig!$C1460,Elig_MatchAll_Ct&lt;22,$BC1460=(Elig_MatchAll_Ct-1),AX1460=0),Y1460,0)</f>
        <v>0</v>
      </c>
      <c r="CE1460" s="993">
        <f>IF(AND(Input_LTV&lt;=AE1460,Input_Product=Elig!$C1460,Elig_MatchAll_Ct&lt;22,$BC1460=(Elig_MatchAll_Ct-1),AY1460=0),Z1460,0)</f>
        <v>0</v>
      </c>
      <c r="CF1460" s="994">
        <f>IF(AND(Input_LTV&lt;=AE1460,Input_Product=Elig!$C1460,Elig_MatchAll_Ct&lt;22,$BC1460=(Elig_MatchAll_Ct-1),AY1460=0),AA1460,0)</f>
        <v>0</v>
      </c>
      <c r="CG1460" s="993">
        <f>IF(AND(Input_Product=Elig!$C1460,Elig_MatchAll_Ct&lt;22,$BC1460=(Elig_MatchAll_Ct-1),AZ1460=0),AB1460,0)</f>
        <v>0</v>
      </c>
      <c r="CH1460" s="994">
        <f>IF(AND(Input_Product=Elig!$C1460,Elig_MatchAll_Ct&lt;22,$BC1460=(Elig_MatchAll_Ct-1),AZ1460=0),AC1460,0)</f>
        <v>0</v>
      </c>
      <c r="CI1460" s="993">
        <f>IF(AND(Input_Product=Elig!$C1460,Elig_MatchAll_Ct&lt;22,$BC1460=(Elig_MatchAll_Ct-1),BA1460=0),AD1460,0)</f>
        <v>0</v>
      </c>
      <c r="CJ1460" s="994">
        <f>IF(AND(Input_Product=Elig!$C1460,Elig_MatchAll_Ct&lt;22,$BC1460=(Elig_MatchAll_Ct-1),BA1460=0),AE1460,0)</f>
        <v>0</v>
      </c>
    </row>
    <row r="1461" spans="2:88" ht="10.15" customHeight="1" x14ac:dyDescent="0.25">
      <c r="B1461" s="1554" t="s">
        <v>2847</v>
      </c>
      <c r="C1461" s="1554" t="str">
        <f t="shared" si="500"/>
        <v xml:space="preserve">  OO</v>
      </c>
      <c r="D1461" s="1554" t="s">
        <v>2764</v>
      </c>
      <c r="E1461" s="1554" t="s">
        <v>167</v>
      </c>
      <c r="F1461" s="1554" t="s">
        <v>2765</v>
      </c>
      <c r="G1461" s="1554" t="s">
        <v>2810</v>
      </c>
      <c r="H1461" s="1554" t="s">
        <v>2767</v>
      </c>
      <c r="I1461" s="1555" t="s">
        <v>16</v>
      </c>
      <c r="J1461" s="1555" t="s">
        <v>1311</v>
      </c>
      <c r="K1461" s="1555" t="s">
        <v>3023</v>
      </c>
      <c r="L1461" s="1554" t="s">
        <v>3920</v>
      </c>
      <c r="M1461" s="1554" t="s">
        <v>4203</v>
      </c>
      <c r="N1461" s="1554" t="s">
        <v>2685</v>
      </c>
      <c r="O1461" s="1554" t="s">
        <v>310</v>
      </c>
      <c r="P1461" s="1554" t="s">
        <v>291</v>
      </c>
      <c r="Q1461" s="1554" t="s">
        <v>294</v>
      </c>
      <c r="R1461" s="1554">
        <v>150000</v>
      </c>
      <c r="S1461" s="1554">
        <v>1000000</v>
      </c>
      <c r="T1461" s="1554">
        <v>0</v>
      </c>
      <c r="U1461" s="1554">
        <v>1000000</v>
      </c>
      <c r="V1461" s="1554">
        <v>0</v>
      </c>
      <c r="W1461" s="1554">
        <v>50</v>
      </c>
      <c r="X1461" s="1554">
        <v>0</v>
      </c>
      <c r="Y1461" s="1554">
        <v>0</v>
      </c>
      <c r="Z1461" s="1556">
        <v>640</v>
      </c>
      <c r="AA1461" s="1556">
        <v>659</v>
      </c>
      <c r="AB1461" s="1556">
        <v>3</v>
      </c>
      <c r="AC1461" s="1556">
        <v>999999</v>
      </c>
      <c r="AD1461" s="1554">
        <v>0</v>
      </c>
      <c r="AE1461" s="1557">
        <v>70</v>
      </c>
      <c r="AF1461" s="170">
        <v>0</v>
      </c>
      <c r="AG1461" s="171">
        <v>1</v>
      </c>
      <c r="AH1461" s="171">
        <v>1</v>
      </c>
      <c r="AI1461" s="171">
        <v>1</v>
      </c>
      <c r="AJ1461" s="171">
        <v>1</v>
      </c>
      <c r="AK1461" s="171">
        <v>1</v>
      </c>
      <c r="AL1461" s="171">
        <v>1</v>
      </c>
      <c r="AM1461" s="171">
        <v>1</v>
      </c>
      <c r="AN1461" s="171">
        <v>1</v>
      </c>
      <c r="AO1461" s="171">
        <v>1</v>
      </c>
      <c r="AP1461" s="171">
        <v>1</v>
      </c>
      <c r="AQ1461" s="171">
        <v>1</v>
      </c>
      <c r="AR1461" s="171">
        <v>1</v>
      </c>
      <c r="AS1461" s="171">
        <v>1</v>
      </c>
      <c r="AT1461" s="171">
        <v>1</v>
      </c>
      <c r="AU1461" s="171">
        <f t="shared" si="502"/>
        <v>1</v>
      </c>
      <c r="AV1461" s="171">
        <f t="shared" si="503"/>
        <v>1</v>
      </c>
      <c r="AW1461" s="171">
        <f t="shared" si="504"/>
        <v>1</v>
      </c>
      <c r="AX1461" s="171">
        <f t="shared" si="499"/>
        <v>1</v>
      </c>
      <c r="AY1461" s="171">
        <f t="shared" si="505"/>
        <v>0</v>
      </c>
      <c r="AZ1461" s="171">
        <f t="shared" si="506"/>
        <v>1</v>
      </c>
      <c r="BA1461" s="172">
        <f t="shared" si="507"/>
        <v>1</v>
      </c>
      <c r="BB1461" s="175">
        <f t="shared" si="508"/>
        <v>20</v>
      </c>
      <c r="BC1461" s="176">
        <f t="shared" si="509"/>
        <v>19</v>
      </c>
      <c r="BD1461" s="176">
        <f t="shared" si="510"/>
        <v>20</v>
      </c>
      <c r="BE1461" s="240" t="str">
        <f t="shared" si="501"/>
        <v/>
      </c>
      <c r="BF1461" s="990"/>
      <c r="BG1461" s="990"/>
      <c r="BH1461" s="991">
        <f>IF(AND(Input_Product=Elig!$C1461,Elig_MatchAll_Ct&lt;22,$BC1461=(Elig_MatchAll_Ct-1),AF1461=0),C1461,0)</f>
        <v>0</v>
      </c>
      <c r="BI1461" s="991">
        <f>IF(AND(Input_Product=Elig!$C1461,Elig_MatchAll_Ct&lt;22,$BC1461=(Elig_MatchAll_Ct-1),AG1461=0),D1461,0)</f>
        <v>0</v>
      </c>
      <c r="BJ1461" s="991">
        <f>IF(AND(Input_Product=Elig!$C1461,Elig_MatchAll_Ct&lt;22,$BC1461=(Elig_MatchAll_Ct-1),AH1461=0),E1461,0)</f>
        <v>0</v>
      </c>
      <c r="BK1461" s="991">
        <f>IF(AND(Input_Product=Elig!$C1461,Elig_MatchAll_Ct&lt;22,$BC1461=(Elig_MatchAll_Ct-1),AI1461=0),F1461,0)</f>
        <v>0</v>
      </c>
      <c r="BL1461" s="991">
        <f>IF(AND(Input_Product=Elig!$C1461,Elig_MatchAll_Ct&lt;22,$BC1461=(Elig_MatchAll_Ct-1),AJ1461=0),G1461,0)</f>
        <v>0</v>
      </c>
      <c r="BM1461" s="991">
        <f>IF(AND(Input_Product=Elig!$C1461,Elig_MatchAll_Ct&lt;22,$BC1461=(Elig_MatchAll_Ct-1),AK1461=0),H1461,0)</f>
        <v>0</v>
      </c>
      <c r="BN1461" s="991">
        <f>IF(AND(Input_Product=Elig!$C1461,Elig_MatchAll_Ct&lt;22,$BC1461=(Elig_MatchAll_Ct-1),AL1461=0),I1461,0)</f>
        <v>0</v>
      </c>
      <c r="BO1461" s="991">
        <f>IF(AND(Input_Product=Elig!$C1461,Elig_MatchAll_Ct&lt;22,$BC1461=(Elig_MatchAll_Ct-1),AM1461=0),J1461,0)</f>
        <v>0</v>
      </c>
      <c r="BP1461" s="991">
        <f>IF(AND(Input_Product=Elig!$C1461,Elig_MatchAll_Ct&lt;22,$BC1461=(Elig_MatchAll_Ct-1),AN1461=0),K1461,0)</f>
        <v>0</v>
      </c>
      <c r="BQ1461" s="991">
        <f>IF(AND(Input_Product=Elig!$C1461,Elig_MatchAll_Ct&lt;22,$BC1461=(Elig_MatchAll_Ct-1),AP1461=0),L1461,0)</f>
        <v>0</v>
      </c>
      <c r="BR1461" s="991">
        <f>IF(AND(Input_Product=Elig!$C1461,Elig_MatchAll_Ct&lt;22,$BC1461=(Elig_MatchAll_Ct-1),AO1461=0),M1461,0)</f>
        <v>0</v>
      </c>
      <c r="BS1461" s="991">
        <f>IF(AND(Input_Product=Elig!$C1461,Elig_MatchAll_Ct&lt;22,$BC1461=(Elig_MatchAll_Ct-1),AQ1461=0),N1461,0)</f>
        <v>0</v>
      </c>
      <c r="BT1461" s="991">
        <f>IF(AND(Input_Product=Elig!$C1461,Elig_MatchAll_Ct&lt;22,$BC1461=(Elig_MatchAll_Ct-1),AR1461=0),O1461,0)</f>
        <v>0</v>
      </c>
      <c r="BU1461" s="991">
        <f>IF(AND(Input_Product=Elig!$C1461,Elig_MatchAll_Ct&lt;22,$BC1461=(Elig_MatchAll_Ct-1),AS1461=0),P1461,0)</f>
        <v>0</v>
      </c>
      <c r="BV1461" s="992">
        <f>IF(AND(Input_Product=Elig!$C1461,Elig_MatchAll_Ct&lt;22,$BC1461=(Elig_MatchAll_Ct-1),AT1461=0),Q1461,0)</f>
        <v>0</v>
      </c>
      <c r="BW1461" s="993">
        <f>IF(AND(Input_Product=Elig!$C1461,Elig_MatchAll_Ct&lt;22,$BC1461=(Elig_MatchAll_Ct-1),AU1461=0),R1461,0)</f>
        <v>0</v>
      </c>
      <c r="BX1461" s="994">
        <f>IF(AND(Input_Product=Elig!$C1461,Elig_MatchAll_Ct&lt;22,$BC1461=(Elig_MatchAll_Ct-1),AU1461=0),S1461,0)</f>
        <v>0</v>
      </c>
      <c r="BY1461" s="993">
        <f>IF(AND(Input_Product=Elig!$C1461,Elig_MatchAll_Ct&lt;22,$BC1461=(Elig_MatchAll_Ct-1),AV1461=0),T1461,0)</f>
        <v>0</v>
      </c>
      <c r="BZ1461" s="994">
        <f>IF(AND(Input_Product=Elig!$C1461,Elig_MatchAll_Ct&lt;22,$BC1461=(Elig_MatchAll_Ct-1),AV1461=0),U1461,0)</f>
        <v>0</v>
      </c>
      <c r="CA1461" s="993">
        <f>IF(AND(Input_Product=Elig!$C1461,Elig_MatchAll_Ct&lt;22,$BC1461=(Elig_MatchAll_Ct-1),AW1461=0),V1461,0)</f>
        <v>0</v>
      </c>
      <c r="CB1461" s="994">
        <f>IF(AND(Input_Product=Elig!$C1461,Elig_MatchAll_Ct&lt;22,$BC1461=(Elig_MatchAll_Ct-1),AW1461=0),W1461,0)</f>
        <v>0</v>
      </c>
      <c r="CC1461" s="993">
        <f>IF(AND(Input_Product=Elig!$C1461,Elig_MatchAll_Ct&lt;22,$BC1461=(Elig_MatchAll_Ct-1),AX1461=0),X1461,0)</f>
        <v>0</v>
      </c>
      <c r="CD1461" s="994">
        <f>IF(AND(Input_Product=Elig!$C1461,Elig_MatchAll_Ct&lt;22,$BC1461=(Elig_MatchAll_Ct-1),AX1461=0),Y1461,0)</f>
        <v>0</v>
      </c>
      <c r="CE1461" s="993">
        <f>IF(AND(Input_LTV&lt;=AE1461,Input_Product=Elig!$C1461,Elig_MatchAll_Ct&lt;22,$BC1461=(Elig_MatchAll_Ct-1),AY1461=0),Z1461,0)</f>
        <v>0</v>
      </c>
      <c r="CF1461" s="994">
        <f>IF(AND(Input_LTV&lt;=AE1461,Input_Product=Elig!$C1461,Elig_MatchAll_Ct&lt;22,$BC1461=(Elig_MatchAll_Ct-1),AY1461=0),AA1461,0)</f>
        <v>0</v>
      </c>
      <c r="CG1461" s="993">
        <f>IF(AND(Input_Product=Elig!$C1461,Elig_MatchAll_Ct&lt;22,$BC1461=(Elig_MatchAll_Ct-1),AZ1461=0),AB1461,0)</f>
        <v>0</v>
      </c>
      <c r="CH1461" s="994">
        <f>IF(AND(Input_Product=Elig!$C1461,Elig_MatchAll_Ct&lt;22,$BC1461=(Elig_MatchAll_Ct-1),AZ1461=0),AC1461,0)</f>
        <v>0</v>
      </c>
      <c r="CI1461" s="993">
        <f>IF(AND(Input_Product=Elig!$C1461,Elig_MatchAll_Ct&lt;22,$BC1461=(Elig_MatchAll_Ct-1),BA1461=0),AD1461,0)</f>
        <v>0</v>
      </c>
      <c r="CJ1461" s="994">
        <f>IF(AND(Input_Product=Elig!$C1461,Elig_MatchAll_Ct&lt;22,$BC1461=(Elig_MatchAll_Ct-1),BA1461=0),AE1461,0)</f>
        <v>0</v>
      </c>
    </row>
    <row r="1462" spans="2:88" ht="10.15" customHeight="1" x14ac:dyDescent="0.25">
      <c r="B1462" s="1554" t="s">
        <v>2848</v>
      </c>
      <c r="C1462" s="1550" t="str">
        <f t="shared" ref="C1462:C1501" si="511">Input_Name_Product17&amp;" NOO"</f>
        <v xml:space="preserve">  NOO</v>
      </c>
      <c r="D1462" s="1550" t="s">
        <v>2764</v>
      </c>
      <c r="E1462" s="1550" t="s">
        <v>167</v>
      </c>
      <c r="F1462" s="1550" t="s">
        <v>2765</v>
      </c>
      <c r="G1462" s="1550" t="s">
        <v>2810</v>
      </c>
      <c r="H1462" s="1550" t="s">
        <v>2767</v>
      </c>
      <c r="I1462" s="1551" t="s">
        <v>34</v>
      </c>
      <c r="J1462" s="1551" t="s">
        <v>1311</v>
      </c>
      <c r="K1462" s="1551" t="s">
        <v>3023</v>
      </c>
      <c r="L1462" s="1550" t="s">
        <v>3920</v>
      </c>
      <c r="M1462" s="1550" t="s">
        <v>4203</v>
      </c>
      <c r="N1462" s="1550" t="s">
        <v>2685</v>
      </c>
      <c r="O1462" s="1550" t="s">
        <v>310</v>
      </c>
      <c r="P1462" s="1550" t="s">
        <v>291</v>
      </c>
      <c r="Q1462" s="1550" t="s">
        <v>294</v>
      </c>
      <c r="R1462" s="1550">
        <v>150000</v>
      </c>
      <c r="S1462" s="1550">
        <v>1000000</v>
      </c>
      <c r="T1462" s="1550">
        <v>0</v>
      </c>
      <c r="U1462" s="1550">
        <v>0</v>
      </c>
      <c r="V1462" s="1550">
        <v>0</v>
      </c>
      <c r="W1462" s="1550">
        <v>50</v>
      </c>
      <c r="X1462" s="1550">
        <v>0</v>
      </c>
      <c r="Y1462" s="1550">
        <v>0</v>
      </c>
      <c r="Z1462" s="1552">
        <v>700</v>
      </c>
      <c r="AA1462" s="1552">
        <v>999</v>
      </c>
      <c r="AB1462" s="1552">
        <v>3</v>
      </c>
      <c r="AC1462" s="1552">
        <v>999999</v>
      </c>
      <c r="AD1462" s="1550">
        <v>0</v>
      </c>
      <c r="AE1462" s="1553">
        <v>85</v>
      </c>
      <c r="AF1462" s="170">
        <v>0</v>
      </c>
      <c r="AG1462" s="171">
        <v>1</v>
      </c>
      <c r="AH1462" s="171">
        <v>1</v>
      </c>
      <c r="AI1462" s="171">
        <v>1</v>
      </c>
      <c r="AJ1462" s="171">
        <v>1</v>
      </c>
      <c r="AK1462" s="171">
        <v>1</v>
      </c>
      <c r="AL1462" s="171">
        <v>0</v>
      </c>
      <c r="AM1462" s="171">
        <v>1</v>
      </c>
      <c r="AN1462" s="171">
        <v>1</v>
      </c>
      <c r="AO1462" s="171">
        <v>1</v>
      </c>
      <c r="AP1462" s="171">
        <v>1</v>
      </c>
      <c r="AQ1462" s="171">
        <v>1</v>
      </c>
      <c r="AR1462" s="171">
        <v>1</v>
      </c>
      <c r="AS1462" s="171">
        <v>1</v>
      </c>
      <c r="AT1462" s="171">
        <v>1</v>
      </c>
      <c r="AU1462" s="171">
        <f t="shared" si="502"/>
        <v>1</v>
      </c>
      <c r="AV1462" s="171">
        <f t="shared" si="503"/>
        <v>0</v>
      </c>
      <c r="AW1462" s="171">
        <f t="shared" si="504"/>
        <v>1</v>
      </c>
      <c r="AX1462" s="171">
        <f t="shared" si="499"/>
        <v>1</v>
      </c>
      <c r="AY1462" s="171">
        <f t="shared" si="505"/>
        <v>1</v>
      </c>
      <c r="AZ1462" s="171">
        <f t="shared" si="506"/>
        <v>1</v>
      </c>
      <c r="BA1462" s="172">
        <f t="shared" si="507"/>
        <v>1</v>
      </c>
      <c r="BB1462" s="175">
        <f t="shared" si="508"/>
        <v>19</v>
      </c>
      <c r="BC1462" s="176">
        <f t="shared" si="509"/>
        <v>18</v>
      </c>
      <c r="BD1462" s="176">
        <f t="shared" si="510"/>
        <v>19</v>
      </c>
      <c r="BE1462" s="240" t="str">
        <f t="shared" si="501"/>
        <v/>
      </c>
      <c r="BF1462" s="990"/>
      <c r="BG1462" s="990"/>
      <c r="BH1462" s="991">
        <f>IF(AND(Input_Product=Elig!$C1462,Elig_MatchAll_Ct&lt;22,$BC1462=(Elig_MatchAll_Ct-1),AF1462=0),C1462,0)</f>
        <v>0</v>
      </c>
      <c r="BI1462" s="991">
        <f>IF(AND(Input_Product=Elig!$C1462,Elig_MatchAll_Ct&lt;22,$BC1462=(Elig_MatchAll_Ct-1),AG1462=0),D1462,0)</f>
        <v>0</v>
      </c>
      <c r="BJ1462" s="991">
        <f>IF(AND(Input_Product=Elig!$C1462,Elig_MatchAll_Ct&lt;22,$BC1462=(Elig_MatchAll_Ct-1),AH1462=0),E1462,0)</f>
        <v>0</v>
      </c>
      <c r="BK1462" s="991">
        <f>IF(AND(Input_Product=Elig!$C1462,Elig_MatchAll_Ct&lt;22,$BC1462=(Elig_MatchAll_Ct-1),AI1462=0),F1462,0)</f>
        <v>0</v>
      </c>
      <c r="BL1462" s="991">
        <f>IF(AND(Input_Product=Elig!$C1462,Elig_MatchAll_Ct&lt;22,$BC1462=(Elig_MatchAll_Ct-1),AJ1462=0),G1462,0)</f>
        <v>0</v>
      </c>
      <c r="BM1462" s="991">
        <f>IF(AND(Input_Product=Elig!$C1462,Elig_MatchAll_Ct&lt;22,$BC1462=(Elig_MatchAll_Ct-1),AK1462=0),H1462,0)</f>
        <v>0</v>
      </c>
      <c r="BN1462" s="991">
        <f>IF(AND(Input_Product=Elig!$C1462,Elig_MatchAll_Ct&lt;22,$BC1462=(Elig_MatchAll_Ct-1),AL1462=0),I1462,0)</f>
        <v>0</v>
      </c>
      <c r="BO1462" s="991">
        <f>IF(AND(Input_Product=Elig!$C1462,Elig_MatchAll_Ct&lt;22,$BC1462=(Elig_MatchAll_Ct-1),AM1462=0),J1462,0)</f>
        <v>0</v>
      </c>
      <c r="BP1462" s="991">
        <f>IF(AND(Input_Product=Elig!$C1462,Elig_MatchAll_Ct&lt;22,$BC1462=(Elig_MatchAll_Ct-1),AN1462=0),K1462,0)</f>
        <v>0</v>
      </c>
      <c r="BQ1462" s="991">
        <f>IF(AND(Input_Product=Elig!$C1462,Elig_MatchAll_Ct&lt;22,$BC1462=(Elig_MatchAll_Ct-1),AP1462=0),L1462,0)</f>
        <v>0</v>
      </c>
      <c r="BR1462" s="991">
        <f>IF(AND(Input_Product=Elig!$C1462,Elig_MatchAll_Ct&lt;22,$BC1462=(Elig_MatchAll_Ct-1),AO1462=0),M1462,0)</f>
        <v>0</v>
      </c>
      <c r="BS1462" s="991">
        <f>IF(AND(Input_Product=Elig!$C1462,Elig_MatchAll_Ct&lt;22,$BC1462=(Elig_MatchAll_Ct-1),AQ1462=0),N1462,0)</f>
        <v>0</v>
      </c>
      <c r="BT1462" s="991">
        <f>IF(AND(Input_Product=Elig!$C1462,Elig_MatchAll_Ct&lt;22,$BC1462=(Elig_MatchAll_Ct-1),AR1462=0),O1462,0)</f>
        <v>0</v>
      </c>
      <c r="BU1462" s="991">
        <f>IF(AND(Input_Product=Elig!$C1462,Elig_MatchAll_Ct&lt;22,$BC1462=(Elig_MatchAll_Ct-1),AS1462=0),P1462,0)</f>
        <v>0</v>
      </c>
      <c r="BV1462" s="992">
        <f>IF(AND(Input_Product=Elig!$C1462,Elig_MatchAll_Ct&lt;22,$BC1462=(Elig_MatchAll_Ct-1),AT1462=0),Q1462,0)</f>
        <v>0</v>
      </c>
      <c r="BW1462" s="993">
        <f>IF(AND(Input_Product=Elig!$C1462,Elig_MatchAll_Ct&lt;22,$BC1462=(Elig_MatchAll_Ct-1),AU1462=0),R1462,0)</f>
        <v>0</v>
      </c>
      <c r="BX1462" s="994">
        <f>IF(AND(Input_Product=Elig!$C1462,Elig_MatchAll_Ct&lt;22,$BC1462=(Elig_MatchAll_Ct-1),AU1462=0),S1462,0)</f>
        <v>0</v>
      </c>
      <c r="BY1462" s="993">
        <f>IF(AND(Input_Product=Elig!$C1462,Elig_MatchAll_Ct&lt;22,$BC1462=(Elig_MatchAll_Ct-1),AV1462=0),T1462,0)</f>
        <v>0</v>
      </c>
      <c r="BZ1462" s="994">
        <f>IF(AND(Input_Product=Elig!$C1462,Elig_MatchAll_Ct&lt;22,$BC1462=(Elig_MatchAll_Ct-1),AV1462=0),U1462,0)</f>
        <v>0</v>
      </c>
      <c r="CA1462" s="993">
        <f>IF(AND(Input_Product=Elig!$C1462,Elig_MatchAll_Ct&lt;22,$BC1462=(Elig_MatchAll_Ct-1),AW1462=0),V1462,0)</f>
        <v>0</v>
      </c>
      <c r="CB1462" s="994">
        <f>IF(AND(Input_Product=Elig!$C1462,Elig_MatchAll_Ct&lt;22,$BC1462=(Elig_MatchAll_Ct-1),AW1462=0),W1462,0)</f>
        <v>0</v>
      </c>
      <c r="CC1462" s="993">
        <f>IF(AND(Input_Product=Elig!$C1462,Elig_MatchAll_Ct&lt;22,$BC1462=(Elig_MatchAll_Ct-1),AX1462=0),X1462,0)</f>
        <v>0</v>
      </c>
      <c r="CD1462" s="994">
        <f>IF(AND(Input_Product=Elig!$C1462,Elig_MatchAll_Ct&lt;22,$BC1462=(Elig_MatchAll_Ct-1),AX1462=0),Y1462,0)</f>
        <v>0</v>
      </c>
      <c r="CE1462" s="993">
        <f>IF(AND(Input_LTV&lt;=AE1462,Input_Product=Elig!$C1462,Elig_MatchAll_Ct&lt;22,$BC1462=(Elig_MatchAll_Ct-1),AY1462=0),Z1462,0)</f>
        <v>0</v>
      </c>
      <c r="CF1462" s="994">
        <f>IF(AND(Input_LTV&lt;=AE1462,Input_Product=Elig!$C1462,Elig_MatchAll_Ct&lt;22,$BC1462=(Elig_MatchAll_Ct-1),AY1462=0),AA1462,0)</f>
        <v>0</v>
      </c>
      <c r="CG1462" s="993">
        <f>IF(AND(Input_Product=Elig!$C1462,Elig_MatchAll_Ct&lt;22,$BC1462=(Elig_MatchAll_Ct-1),AZ1462=0),AB1462,0)</f>
        <v>0</v>
      </c>
      <c r="CH1462" s="994">
        <f>IF(AND(Input_Product=Elig!$C1462,Elig_MatchAll_Ct&lt;22,$BC1462=(Elig_MatchAll_Ct-1),AZ1462=0),AC1462,0)</f>
        <v>0</v>
      </c>
      <c r="CI1462" s="993">
        <f>IF(AND(Input_Product=Elig!$C1462,Elig_MatchAll_Ct&lt;22,$BC1462=(Elig_MatchAll_Ct-1),BA1462=0),AD1462,0)</f>
        <v>0</v>
      </c>
      <c r="CJ1462" s="994">
        <f>IF(AND(Input_Product=Elig!$C1462,Elig_MatchAll_Ct&lt;22,$BC1462=(Elig_MatchAll_Ct-1),BA1462=0),AE1462,0)</f>
        <v>0</v>
      </c>
    </row>
    <row r="1463" spans="2:88" ht="10.15" customHeight="1" x14ac:dyDescent="0.25">
      <c r="B1463" s="1554" t="s">
        <v>2849</v>
      </c>
      <c r="C1463" s="1554" t="str">
        <f t="shared" si="511"/>
        <v xml:space="preserve">  NOO</v>
      </c>
      <c r="D1463" s="1554" t="s">
        <v>2764</v>
      </c>
      <c r="E1463" s="1554" t="s">
        <v>167</v>
      </c>
      <c r="F1463" s="1554" t="s">
        <v>2765</v>
      </c>
      <c r="G1463" s="1554" t="s">
        <v>2810</v>
      </c>
      <c r="H1463" s="1554" t="s">
        <v>2767</v>
      </c>
      <c r="I1463" s="1555" t="s">
        <v>34</v>
      </c>
      <c r="J1463" s="1555" t="s">
        <v>1311</v>
      </c>
      <c r="K1463" s="1555" t="s">
        <v>3023</v>
      </c>
      <c r="L1463" s="1554" t="s">
        <v>3920</v>
      </c>
      <c r="M1463" s="1554" t="s">
        <v>4203</v>
      </c>
      <c r="N1463" s="1554" t="s">
        <v>2685</v>
      </c>
      <c r="O1463" s="1554" t="s">
        <v>310</v>
      </c>
      <c r="P1463" s="1554" t="s">
        <v>291</v>
      </c>
      <c r="Q1463" s="1554" t="s">
        <v>294</v>
      </c>
      <c r="R1463" s="1554">
        <v>1000000.01</v>
      </c>
      <c r="S1463" s="1554">
        <v>1500000</v>
      </c>
      <c r="T1463" s="1554">
        <v>0</v>
      </c>
      <c r="U1463" s="1554">
        <v>0</v>
      </c>
      <c r="V1463" s="1554">
        <v>0</v>
      </c>
      <c r="W1463" s="1554">
        <v>50</v>
      </c>
      <c r="X1463" s="1554">
        <v>0</v>
      </c>
      <c r="Y1463" s="1554">
        <v>0</v>
      </c>
      <c r="Z1463" s="1556">
        <v>700</v>
      </c>
      <c r="AA1463" s="1556">
        <v>999</v>
      </c>
      <c r="AB1463" s="1556">
        <v>3</v>
      </c>
      <c r="AC1463" s="1556">
        <v>999999</v>
      </c>
      <c r="AD1463" s="1554">
        <v>0</v>
      </c>
      <c r="AE1463" s="1557">
        <v>85</v>
      </c>
      <c r="AF1463" s="170">
        <v>0</v>
      </c>
      <c r="AG1463" s="171">
        <v>1</v>
      </c>
      <c r="AH1463" s="171">
        <v>1</v>
      </c>
      <c r="AI1463" s="171">
        <v>1</v>
      </c>
      <c r="AJ1463" s="171">
        <v>1</v>
      </c>
      <c r="AK1463" s="171">
        <v>1</v>
      </c>
      <c r="AL1463" s="171">
        <v>0</v>
      </c>
      <c r="AM1463" s="171">
        <v>1</v>
      </c>
      <c r="AN1463" s="171">
        <v>1</v>
      </c>
      <c r="AO1463" s="171">
        <v>1</v>
      </c>
      <c r="AP1463" s="171">
        <v>1</v>
      </c>
      <c r="AQ1463" s="171">
        <v>1</v>
      </c>
      <c r="AR1463" s="171">
        <v>1</v>
      </c>
      <c r="AS1463" s="171">
        <v>1</v>
      </c>
      <c r="AT1463" s="171">
        <v>1</v>
      </c>
      <c r="AU1463" s="171">
        <f t="shared" si="502"/>
        <v>0</v>
      </c>
      <c r="AV1463" s="171">
        <f t="shared" si="503"/>
        <v>0</v>
      </c>
      <c r="AW1463" s="171">
        <f t="shared" si="504"/>
        <v>1</v>
      </c>
      <c r="AX1463" s="171">
        <f t="shared" si="499"/>
        <v>1</v>
      </c>
      <c r="AY1463" s="171">
        <f t="shared" si="505"/>
        <v>1</v>
      </c>
      <c r="AZ1463" s="171">
        <f t="shared" si="506"/>
        <v>1</v>
      </c>
      <c r="BA1463" s="172">
        <f t="shared" si="507"/>
        <v>1</v>
      </c>
      <c r="BB1463" s="175">
        <f t="shared" si="508"/>
        <v>18</v>
      </c>
      <c r="BC1463" s="176">
        <f t="shared" si="509"/>
        <v>17</v>
      </c>
      <c r="BD1463" s="176">
        <f t="shared" si="510"/>
        <v>18</v>
      </c>
      <c r="BE1463" s="240" t="str">
        <f t="shared" si="501"/>
        <v/>
      </c>
      <c r="BF1463" s="990"/>
      <c r="BG1463" s="990"/>
      <c r="BH1463" s="991">
        <f>IF(AND(Input_Product=Elig!$C1463,Elig_MatchAll_Ct&lt;22,$BC1463=(Elig_MatchAll_Ct-1),AF1463=0),C1463,0)</f>
        <v>0</v>
      </c>
      <c r="BI1463" s="991">
        <f>IF(AND(Input_Product=Elig!$C1463,Elig_MatchAll_Ct&lt;22,$BC1463=(Elig_MatchAll_Ct-1),AG1463=0),D1463,0)</f>
        <v>0</v>
      </c>
      <c r="BJ1463" s="991">
        <f>IF(AND(Input_Product=Elig!$C1463,Elig_MatchAll_Ct&lt;22,$BC1463=(Elig_MatchAll_Ct-1),AH1463=0),E1463,0)</f>
        <v>0</v>
      </c>
      <c r="BK1463" s="991">
        <f>IF(AND(Input_Product=Elig!$C1463,Elig_MatchAll_Ct&lt;22,$BC1463=(Elig_MatchAll_Ct-1),AI1463=0),F1463,0)</f>
        <v>0</v>
      </c>
      <c r="BL1463" s="991">
        <f>IF(AND(Input_Product=Elig!$C1463,Elig_MatchAll_Ct&lt;22,$BC1463=(Elig_MatchAll_Ct-1),AJ1463=0),G1463,0)</f>
        <v>0</v>
      </c>
      <c r="BM1463" s="991">
        <f>IF(AND(Input_Product=Elig!$C1463,Elig_MatchAll_Ct&lt;22,$BC1463=(Elig_MatchAll_Ct-1),AK1463=0),H1463,0)</f>
        <v>0</v>
      </c>
      <c r="BN1463" s="991">
        <f>IF(AND(Input_Product=Elig!$C1463,Elig_MatchAll_Ct&lt;22,$BC1463=(Elig_MatchAll_Ct-1),AL1463=0),I1463,0)</f>
        <v>0</v>
      </c>
      <c r="BO1463" s="991">
        <f>IF(AND(Input_Product=Elig!$C1463,Elig_MatchAll_Ct&lt;22,$BC1463=(Elig_MatchAll_Ct-1),AM1463=0),J1463,0)</f>
        <v>0</v>
      </c>
      <c r="BP1463" s="991">
        <f>IF(AND(Input_Product=Elig!$C1463,Elig_MatchAll_Ct&lt;22,$BC1463=(Elig_MatchAll_Ct-1),AN1463=0),K1463,0)</f>
        <v>0</v>
      </c>
      <c r="BQ1463" s="991">
        <f>IF(AND(Input_Product=Elig!$C1463,Elig_MatchAll_Ct&lt;22,$BC1463=(Elig_MatchAll_Ct-1),AP1463=0),L1463,0)</f>
        <v>0</v>
      </c>
      <c r="BR1463" s="991">
        <f>IF(AND(Input_Product=Elig!$C1463,Elig_MatchAll_Ct&lt;22,$BC1463=(Elig_MatchAll_Ct-1),AO1463=0),M1463,0)</f>
        <v>0</v>
      </c>
      <c r="BS1463" s="991">
        <f>IF(AND(Input_Product=Elig!$C1463,Elig_MatchAll_Ct&lt;22,$BC1463=(Elig_MatchAll_Ct-1),AQ1463=0),N1463,0)</f>
        <v>0</v>
      </c>
      <c r="BT1463" s="991">
        <f>IF(AND(Input_Product=Elig!$C1463,Elig_MatchAll_Ct&lt;22,$BC1463=(Elig_MatchAll_Ct-1),AR1463=0),O1463,0)</f>
        <v>0</v>
      </c>
      <c r="BU1463" s="991">
        <f>IF(AND(Input_Product=Elig!$C1463,Elig_MatchAll_Ct&lt;22,$BC1463=(Elig_MatchAll_Ct-1),AS1463=0),P1463,0)</f>
        <v>0</v>
      </c>
      <c r="BV1463" s="992">
        <f>IF(AND(Input_Product=Elig!$C1463,Elig_MatchAll_Ct&lt;22,$BC1463=(Elig_MatchAll_Ct-1),AT1463=0),Q1463,0)</f>
        <v>0</v>
      </c>
      <c r="BW1463" s="993">
        <f>IF(AND(Input_Product=Elig!$C1463,Elig_MatchAll_Ct&lt;22,$BC1463=(Elig_MatchAll_Ct-1),AU1463=0),R1463,0)</f>
        <v>0</v>
      </c>
      <c r="BX1463" s="994">
        <f>IF(AND(Input_Product=Elig!$C1463,Elig_MatchAll_Ct&lt;22,$BC1463=(Elig_MatchAll_Ct-1),AU1463=0),S1463,0)</f>
        <v>0</v>
      </c>
      <c r="BY1463" s="993">
        <f>IF(AND(Input_Product=Elig!$C1463,Elig_MatchAll_Ct&lt;22,$BC1463=(Elig_MatchAll_Ct-1),AV1463=0),T1463,0)</f>
        <v>0</v>
      </c>
      <c r="BZ1463" s="994">
        <f>IF(AND(Input_Product=Elig!$C1463,Elig_MatchAll_Ct&lt;22,$BC1463=(Elig_MatchAll_Ct-1),AV1463=0),U1463,0)</f>
        <v>0</v>
      </c>
      <c r="CA1463" s="993">
        <f>IF(AND(Input_Product=Elig!$C1463,Elig_MatchAll_Ct&lt;22,$BC1463=(Elig_MatchAll_Ct-1),AW1463=0),V1463,0)</f>
        <v>0</v>
      </c>
      <c r="CB1463" s="994">
        <f>IF(AND(Input_Product=Elig!$C1463,Elig_MatchAll_Ct&lt;22,$BC1463=(Elig_MatchAll_Ct-1),AW1463=0),W1463,0)</f>
        <v>0</v>
      </c>
      <c r="CC1463" s="993">
        <f>IF(AND(Input_Product=Elig!$C1463,Elig_MatchAll_Ct&lt;22,$BC1463=(Elig_MatchAll_Ct-1),AX1463=0),X1463,0)</f>
        <v>0</v>
      </c>
      <c r="CD1463" s="994">
        <f>IF(AND(Input_Product=Elig!$C1463,Elig_MatchAll_Ct&lt;22,$BC1463=(Elig_MatchAll_Ct-1),AX1463=0),Y1463,0)</f>
        <v>0</v>
      </c>
      <c r="CE1463" s="993">
        <f>IF(AND(Input_LTV&lt;=AE1463,Input_Product=Elig!$C1463,Elig_MatchAll_Ct&lt;22,$BC1463=(Elig_MatchAll_Ct-1),AY1463=0),Z1463,0)</f>
        <v>0</v>
      </c>
      <c r="CF1463" s="994">
        <f>IF(AND(Input_LTV&lt;=AE1463,Input_Product=Elig!$C1463,Elig_MatchAll_Ct&lt;22,$BC1463=(Elig_MatchAll_Ct-1),AY1463=0),AA1463,0)</f>
        <v>0</v>
      </c>
      <c r="CG1463" s="993">
        <f>IF(AND(Input_Product=Elig!$C1463,Elig_MatchAll_Ct&lt;22,$BC1463=(Elig_MatchAll_Ct-1),AZ1463=0),AB1463,0)</f>
        <v>0</v>
      </c>
      <c r="CH1463" s="994">
        <f>IF(AND(Input_Product=Elig!$C1463,Elig_MatchAll_Ct&lt;22,$BC1463=(Elig_MatchAll_Ct-1),AZ1463=0),AC1463,0)</f>
        <v>0</v>
      </c>
      <c r="CI1463" s="993">
        <f>IF(AND(Input_Product=Elig!$C1463,Elig_MatchAll_Ct&lt;22,$BC1463=(Elig_MatchAll_Ct-1),BA1463=0),AD1463,0)</f>
        <v>0</v>
      </c>
      <c r="CJ1463" s="994">
        <f>IF(AND(Input_Product=Elig!$C1463,Elig_MatchAll_Ct&lt;22,$BC1463=(Elig_MatchAll_Ct-1),BA1463=0),AE1463,0)</f>
        <v>0</v>
      </c>
    </row>
    <row r="1464" spans="2:88" ht="10.15" customHeight="1" x14ac:dyDescent="0.25">
      <c r="B1464" s="1554" t="s">
        <v>3737</v>
      </c>
      <c r="C1464" s="1554" t="str">
        <f t="shared" si="511"/>
        <v xml:space="preserve">  NOO</v>
      </c>
      <c r="D1464" s="1554" t="s">
        <v>2764</v>
      </c>
      <c r="E1464" s="1554" t="s">
        <v>167</v>
      </c>
      <c r="F1464" s="1554" t="s">
        <v>2765</v>
      </c>
      <c r="G1464" s="1554" t="s">
        <v>2810</v>
      </c>
      <c r="H1464" s="1554" t="s">
        <v>2767</v>
      </c>
      <c r="I1464" s="1555" t="s">
        <v>34</v>
      </c>
      <c r="J1464" s="1555" t="s">
        <v>1311</v>
      </c>
      <c r="K1464" s="1555" t="s">
        <v>3023</v>
      </c>
      <c r="L1464" s="1554" t="s">
        <v>3920</v>
      </c>
      <c r="M1464" s="1554" t="s">
        <v>4203</v>
      </c>
      <c r="N1464" s="1554" t="s">
        <v>2685</v>
      </c>
      <c r="O1464" s="1554" t="s">
        <v>310</v>
      </c>
      <c r="P1464" s="1554" t="s">
        <v>291</v>
      </c>
      <c r="Q1464" s="1554" t="s">
        <v>294</v>
      </c>
      <c r="R1464" s="1554">
        <v>1500000.01</v>
      </c>
      <c r="S1464" s="1554">
        <v>2000000</v>
      </c>
      <c r="T1464" s="1554">
        <v>0</v>
      </c>
      <c r="U1464" s="1554">
        <v>0</v>
      </c>
      <c r="V1464" s="1554">
        <v>0</v>
      </c>
      <c r="W1464" s="1554">
        <v>50</v>
      </c>
      <c r="X1464" s="1554">
        <v>0</v>
      </c>
      <c r="Y1464" s="1554">
        <v>0</v>
      </c>
      <c r="Z1464" s="1556">
        <v>700</v>
      </c>
      <c r="AA1464" s="1556">
        <v>999</v>
      </c>
      <c r="AB1464" s="1556">
        <v>3</v>
      </c>
      <c r="AC1464" s="1556">
        <v>999999</v>
      </c>
      <c r="AD1464" s="1554">
        <v>0</v>
      </c>
      <c r="AE1464" s="1557">
        <v>80</v>
      </c>
      <c r="AF1464" s="170">
        <v>0</v>
      </c>
      <c r="AG1464" s="171">
        <v>1</v>
      </c>
      <c r="AH1464" s="171">
        <v>1</v>
      </c>
      <c r="AI1464" s="171">
        <v>1</v>
      </c>
      <c r="AJ1464" s="171">
        <v>1</v>
      </c>
      <c r="AK1464" s="171">
        <v>1</v>
      </c>
      <c r="AL1464" s="171">
        <v>0</v>
      </c>
      <c r="AM1464" s="171">
        <v>1</v>
      </c>
      <c r="AN1464" s="171">
        <v>1</v>
      </c>
      <c r="AO1464" s="171">
        <v>1</v>
      </c>
      <c r="AP1464" s="171">
        <v>1</v>
      </c>
      <c r="AQ1464" s="171">
        <v>1</v>
      </c>
      <c r="AR1464" s="171">
        <v>1</v>
      </c>
      <c r="AS1464" s="171">
        <v>1</v>
      </c>
      <c r="AT1464" s="171">
        <v>1</v>
      </c>
      <c r="AU1464" s="171">
        <f t="shared" si="502"/>
        <v>0</v>
      </c>
      <c r="AV1464" s="171">
        <f t="shared" si="503"/>
        <v>0</v>
      </c>
      <c r="AW1464" s="171">
        <f t="shared" si="504"/>
        <v>1</v>
      </c>
      <c r="AX1464" s="171">
        <f t="shared" si="499"/>
        <v>1</v>
      </c>
      <c r="AY1464" s="171">
        <f t="shared" si="505"/>
        <v>1</v>
      </c>
      <c r="AZ1464" s="171">
        <f t="shared" si="506"/>
        <v>1</v>
      </c>
      <c r="BA1464" s="172">
        <f t="shared" si="507"/>
        <v>1</v>
      </c>
      <c r="BB1464" s="175">
        <f t="shared" si="508"/>
        <v>18</v>
      </c>
      <c r="BC1464" s="176">
        <f t="shared" si="509"/>
        <v>17</v>
      </c>
      <c r="BD1464" s="176">
        <f t="shared" si="510"/>
        <v>18</v>
      </c>
      <c r="BE1464" s="240" t="str">
        <f t="shared" si="501"/>
        <v/>
      </c>
      <c r="BF1464" s="990"/>
      <c r="BG1464" s="990"/>
      <c r="BH1464" s="991">
        <f>IF(AND(Input_Product=Elig!$C1464,Elig_MatchAll_Ct&lt;22,$BC1464=(Elig_MatchAll_Ct-1),AF1464=0),C1464,0)</f>
        <v>0</v>
      </c>
      <c r="BI1464" s="991">
        <f>IF(AND(Input_Product=Elig!$C1464,Elig_MatchAll_Ct&lt;22,$BC1464=(Elig_MatchAll_Ct-1),AG1464=0),D1464,0)</f>
        <v>0</v>
      </c>
      <c r="BJ1464" s="991">
        <f>IF(AND(Input_Product=Elig!$C1464,Elig_MatchAll_Ct&lt;22,$BC1464=(Elig_MatchAll_Ct-1),AH1464=0),E1464,0)</f>
        <v>0</v>
      </c>
      <c r="BK1464" s="991">
        <f>IF(AND(Input_Product=Elig!$C1464,Elig_MatchAll_Ct&lt;22,$BC1464=(Elig_MatchAll_Ct-1),AI1464=0),F1464,0)</f>
        <v>0</v>
      </c>
      <c r="BL1464" s="991">
        <f>IF(AND(Input_Product=Elig!$C1464,Elig_MatchAll_Ct&lt;22,$BC1464=(Elig_MatchAll_Ct-1),AJ1464=0),G1464,0)</f>
        <v>0</v>
      </c>
      <c r="BM1464" s="991">
        <f>IF(AND(Input_Product=Elig!$C1464,Elig_MatchAll_Ct&lt;22,$BC1464=(Elig_MatchAll_Ct-1),AK1464=0),H1464,0)</f>
        <v>0</v>
      </c>
      <c r="BN1464" s="991">
        <f>IF(AND(Input_Product=Elig!$C1464,Elig_MatchAll_Ct&lt;22,$BC1464=(Elig_MatchAll_Ct-1),AL1464=0),I1464,0)</f>
        <v>0</v>
      </c>
      <c r="BO1464" s="991">
        <f>IF(AND(Input_Product=Elig!$C1464,Elig_MatchAll_Ct&lt;22,$BC1464=(Elig_MatchAll_Ct-1),AM1464=0),J1464,0)</f>
        <v>0</v>
      </c>
      <c r="BP1464" s="991">
        <f>IF(AND(Input_Product=Elig!$C1464,Elig_MatchAll_Ct&lt;22,$BC1464=(Elig_MatchAll_Ct-1),AN1464=0),K1464,0)</f>
        <v>0</v>
      </c>
      <c r="BQ1464" s="991">
        <f>IF(AND(Input_Product=Elig!$C1464,Elig_MatchAll_Ct&lt;22,$BC1464=(Elig_MatchAll_Ct-1),AP1464=0),L1464,0)</f>
        <v>0</v>
      </c>
      <c r="BR1464" s="991">
        <f>IF(AND(Input_Product=Elig!$C1464,Elig_MatchAll_Ct&lt;22,$BC1464=(Elig_MatchAll_Ct-1),AO1464=0),M1464,0)</f>
        <v>0</v>
      </c>
      <c r="BS1464" s="991">
        <f>IF(AND(Input_Product=Elig!$C1464,Elig_MatchAll_Ct&lt;22,$BC1464=(Elig_MatchAll_Ct-1),AQ1464=0),N1464,0)</f>
        <v>0</v>
      </c>
      <c r="BT1464" s="991">
        <f>IF(AND(Input_Product=Elig!$C1464,Elig_MatchAll_Ct&lt;22,$BC1464=(Elig_MatchAll_Ct-1),AR1464=0),O1464,0)</f>
        <v>0</v>
      </c>
      <c r="BU1464" s="991">
        <f>IF(AND(Input_Product=Elig!$C1464,Elig_MatchAll_Ct&lt;22,$BC1464=(Elig_MatchAll_Ct-1),AS1464=0),P1464,0)</f>
        <v>0</v>
      </c>
      <c r="BV1464" s="992">
        <f>IF(AND(Input_Product=Elig!$C1464,Elig_MatchAll_Ct&lt;22,$BC1464=(Elig_MatchAll_Ct-1),AT1464=0),Q1464,0)</f>
        <v>0</v>
      </c>
      <c r="BW1464" s="993">
        <f>IF(AND(Input_Product=Elig!$C1464,Elig_MatchAll_Ct&lt;22,$BC1464=(Elig_MatchAll_Ct-1),AU1464=0),R1464,0)</f>
        <v>0</v>
      </c>
      <c r="BX1464" s="994">
        <f>IF(AND(Input_Product=Elig!$C1464,Elig_MatchAll_Ct&lt;22,$BC1464=(Elig_MatchAll_Ct-1),AU1464=0),S1464,0)</f>
        <v>0</v>
      </c>
      <c r="BY1464" s="993">
        <f>IF(AND(Input_Product=Elig!$C1464,Elig_MatchAll_Ct&lt;22,$BC1464=(Elig_MatchAll_Ct-1),AV1464=0),T1464,0)</f>
        <v>0</v>
      </c>
      <c r="BZ1464" s="994">
        <f>IF(AND(Input_Product=Elig!$C1464,Elig_MatchAll_Ct&lt;22,$BC1464=(Elig_MatchAll_Ct-1),AV1464=0),U1464,0)</f>
        <v>0</v>
      </c>
      <c r="CA1464" s="993">
        <f>IF(AND(Input_Product=Elig!$C1464,Elig_MatchAll_Ct&lt;22,$BC1464=(Elig_MatchAll_Ct-1),AW1464=0),V1464,0)</f>
        <v>0</v>
      </c>
      <c r="CB1464" s="994">
        <f>IF(AND(Input_Product=Elig!$C1464,Elig_MatchAll_Ct&lt;22,$BC1464=(Elig_MatchAll_Ct-1),AW1464=0),W1464,0)</f>
        <v>0</v>
      </c>
      <c r="CC1464" s="993">
        <f>IF(AND(Input_Product=Elig!$C1464,Elig_MatchAll_Ct&lt;22,$BC1464=(Elig_MatchAll_Ct-1),AX1464=0),X1464,0)</f>
        <v>0</v>
      </c>
      <c r="CD1464" s="994">
        <f>IF(AND(Input_Product=Elig!$C1464,Elig_MatchAll_Ct&lt;22,$BC1464=(Elig_MatchAll_Ct-1),AX1464=0),Y1464,0)</f>
        <v>0</v>
      </c>
      <c r="CE1464" s="993">
        <f>IF(AND(Input_LTV&lt;=AE1464,Input_Product=Elig!$C1464,Elig_MatchAll_Ct&lt;22,$BC1464=(Elig_MatchAll_Ct-1),AY1464=0),Z1464,0)</f>
        <v>0</v>
      </c>
      <c r="CF1464" s="994">
        <f>IF(AND(Input_LTV&lt;=AE1464,Input_Product=Elig!$C1464,Elig_MatchAll_Ct&lt;22,$BC1464=(Elig_MatchAll_Ct-1),AY1464=0),AA1464,0)</f>
        <v>0</v>
      </c>
      <c r="CG1464" s="993">
        <f>IF(AND(Input_Product=Elig!$C1464,Elig_MatchAll_Ct&lt;22,$BC1464=(Elig_MatchAll_Ct-1),AZ1464=0),AB1464,0)</f>
        <v>0</v>
      </c>
      <c r="CH1464" s="994">
        <f>IF(AND(Input_Product=Elig!$C1464,Elig_MatchAll_Ct&lt;22,$BC1464=(Elig_MatchAll_Ct-1),AZ1464=0),AC1464,0)</f>
        <v>0</v>
      </c>
      <c r="CI1464" s="993">
        <f>IF(AND(Input_Product=Elig!$C1464,Elig_MatchAll_Ct&lt;22,$BC1464=(Elig_MatchAll_Ct-1),BA1464=0),AD1464,0)</f>
        <v>0</v>
      </c>
      <c r="CJ1464" s="994">
        <f>IF(AND(Input_Product=Elig!$C1464,Elig_MatchAll_Ct&lt;22,$BC1464=(Elig_MatchAll_Ct-1),BA1464=0),AE1464,0)</f>
        <v>0</v>
      </c>
    </row>
    <row r="1465" spans="2:88" ht="10.15" customHeight="1" x14ac:dyDescent="0.25">
      <c r="B1465" s="1554" t="s">
        <v>3738</v>
      </c>
      <c r="C1465" s="1554" t="str">
        <f t="shared" si="511"/>
        <v xml:space="preserve">  NOO</v>
      </c>
      <c r="D1465" s="1554" t="s">
        <v>2764</v>
      </c>
      <c r="E1465" s="1554" t="s">
        <v>167</v>
      </c>
      <c r="F1465" s="1554" t="s">
        <v>2765</v>
      </c>
      <c r="G1465" s="1554" t="s">
        <v>2810</v>
      </c>
      <c r="H1465" s="1554" t="s">
        <v>2767</v>
      </c>
      <c r="I1465" s="1555" t="s">
        <v>34</v>
      </c>
      <c r="J1465" s="1555" t="s">
        <v>1311</v>
      </c>
      <c r="K1465" s="1555" t="s">
        <v>3023</v>
      </c>
      <c r="L1465" s="1554" t="s">
        <v>3920</v>
      </c>
      <c r="M1465" s="1554" t="s">
        <v>4203</v>
      </c>
      <c r="N1465" s="1554" t="s">
        <v>2685</v>
      </c>
      <c r="O1465" s="1554" t="s">
        <v>310</v>
      </c>
      <c r="P1465" s="1554" t="s">
        <v>291</v>
      </c>
      <c r="Q1465" s="1554" t="s">
        <v>294</v>
      </c>
      <c r="R1465" s="1554">
        <v>2000000.01</v>
      </c>
      <c r="S1465" s="1554">
        <v>3000000</v>
      </c>
      <c r="T1465" s="1554">
        <v>0</v>
      </c>
      <c r="U1465" s="1554">
        <v>0</v>
      </c>
      <c r="V1465" s="1554">
        <v>0</v>
      </c>
      <c r="W1465" s="1554">
        <v>50</v>
      </c>
      <c r="X1465" s="1554">
        <v>0</v>
      </c>
      <c r="Y1465" s="1554">
        <v>0</v>
      </c>
      <c r="Z1465" s="1556">
        <v>700</v>
      </c>
      <c r="AA1465" s="1556">
        <v>999</v>
      </c>
      <c r="AB1465" s="1556">
        <v>3</v>
      </c>
      <c r="AC1465" s="1556">
        <v>999999</v>
      </c>
      <c r="AD1465" s="1554">
        <v>0</v>
      </c>
      <c r="AE1465" s="1557">
        <v>70</v>
      </c>
      <c r="AF1465" s="170">
        <v>0</v>
      </c>
      <c r="AG1465" s="171">
        <v>1</v>
      </c>
      <c r="AH1465" s="171">
        <v>1</v>
      </c>
      <c r="AI1465" s="171">
        <v>1</v>
      </c>
      <c r="AJ1465" s="171">
        <v>1</v>
      </c>
      <c r="AK1465" s="171">
        <v>1</v>
      </c>
      <c r="AL1465" s="171">
        <v>0</v>
      </c>
      <c r="AM1465" s="171">
        <v>1</v>
      </c>
      <c r="AN1465" s="171">
        <v>1</v>
      </c>
      <c r="AO1465" s="171">
        <v>1</v>
      </c>
      <c r="AP1465" s="171">
        <v>1</v>
      </c>
      <c r="AQ1465" s="171">
        <v>1</v>
      </c>
      <c r="AR1465" s="171">
        <v>1</v>
      </c>
      <c r="AS1465" s="171">
        <v>1</v>
      </c>
      <c r="AT1465" s="171">
        <v>1</v>
      </c>
      <c r="AU1465" s="171">
        <f t="shared" si="502"/>
        <v>0</v>
      </c>
      <c r="AV1465" s="171">
        <f t="shared" si="503"/>
        <v>0</v>
      </c>
      <c r="AW1465" s="171">
        <f t="shared" si="504"/>
        <v>1</v>
      </c>
      <c r="AX1465" s="171">
        <f t="shared" si="499"/>
        <v>1</v>
      </c>
      <c r="AY1465" s="171">
        <f t="shared" si="505"/>
        <v>1</v>
      </c>
      <c r="AZ1465" s="171">
        <f t="shared" si="506"/>
        <v>1</v>
      </c>
      <c r="BA1465" s="172">
        <f t="shared" si="507"/>
        <v>1</v>
      </c>
      <c r="BB1465" s="175">
        <f t="shared" si="508"/>
        <v>18</v>
      </c>
      <c r="BC1465" s="176">
        <f t="shared" si="509"/>
        <v>17</v>
      </c>
      <c r="BD1465" s="176">
        <f t="shared" si="510"/>
        <v>18</v>
      </c>
      <c r="BE1465" s="240" t="str">
        <f t="shared" si="501"/>
        <v/>
      </c>
      <c r="BF1465" s="990"/>
      <c r="BG1465" s="990"/>
      <c r="BH1465" s="991">
        <f>IF(AND(Input_Product=Elig!$C1465,Elig_MatchAll_Ct&lt;22,$BC1465=(Elig_MatchAll_Ct-1),AF1465=0),C1465,0)</f>
        <v>0</v>
      </c>
      <c r="BI1465" s="991">
        <f>IF(AND(Input_Product=Elig!$C1465,Elig_MatchAll_Ct&lt;22,$BC1465=(Elig_MatchAll_Ct-1),AG1465=0),D1465,0)</f>
        <v>0</v>
      </c>
      <c r="BJ1465" s="991">
        <f>IF(AND(Input_Product=Elig!$C1465,Elig_MatchAll_Ct&lt;22,$BC1465=(Elig_MatchAll_Ct-1),AH1465=0),E1465,0)</f>
        <v>0</v>
      </c>
      <c r="BK1465" s="991">
        <f>IF(AND(Input_Product=Elig!$C1465,Elig_MatchAll_Ct&lt;22,$BC1465=(Elig_MatchAll_Ct-1),AI1465=0),F1465,0)</f>
        <v>0</v>
      </c>
      <c r="BL1465" s="991">
        <f>IF(AND(Input_Product=Elig!$C1465,Elig_MatchAll_Ct&lt;22,$BC1465=(Elig_MatchAll_Ct-1),AJ1465=0),G1465,0)</f>
        <v>0</v>
      </c>
      <c r="BM1465" s="991">
        <f>IF(AND(Input_Product=Elig!$C1465,Elig_MatchAll_Ct&lt;22,$BC1465=(Elig_MatchAll_Ct-1),AK1465=0),H1465,0)</f>
        <v>0</v>
      </c>
      <c r="BN1465" s="991">
        <f>IF(AND(Input_Product=Elig!$C1465,Elig_MatchAll_Ct&lt;22,$BC1465=(Elig_MatchAll_Ct-1),AL1465=0),I1465,0)</f>
        <v>0</v>
      </c>
      <c r="BO1465" s="991">
        <f>IF(AND(Input_Product=Elig!$C1465,Elig_MatchAll_Ct&lt;22,$BC1465=(Elig_MatchAll_Ct-1),AM1465=0),J1465,0)</f>
        <v>0</v>
      </c>
      <c r="BP1465" s="991">
        <f>IF(AND(Input_Product=Elig!$C1465,Elig_MatchAll_Ct&lt;22,$BC1465=(Elig_MatchAll_Ct-1),AN1465=0),K1465,0)</f>
        <v>0</v>
      </c>
      <c r="BQ1465" s="991">
        <f>IF(AND(Input_Product=Elig!$C1465,Elig_MatchAll_Ct&lt;22,$BC1465=(Elig_MatchAll_Ct-1),AP1465=0),L1465,0)</f>
        <v>0</v>
      </c>
      <c r="BR1465" s="991">
        <f>IF(AND(Input_Product=Elig!$C1465,Elig_MatchAll_Ct&lt;22,$BC1465=(Elig_MatchAll_Ct-1),AO1465=0),M1465,0)</f>
        <v>0</v>
      </c>
      <c r="BS1465" s="991">
        <f>IF(AND(Input_Product=Elig!$C1465,Elig_MatchAll_Ct&lt;22,$BC1465=(Elig_MatchAll_Ct-1),AQ1465=0),N1465,0)</f>
        <v>0</v>
      </c>
      <c r="BT1465" s="991">
        <f>IF(AND(Input_Product=Elig!$C1465,Elig_MatchAll_Ct&lt;22,$BC1465=(Elig_MatchAll_Ct-1),AR1465=0),O1465,0)</f>
        <v>0</v>
      </c>
      <c r="BU1465" s="991">
        <f>IF(AND(Input_Product=Elig!$C1465,Elig_MatchAll_Ct&lt;22,$BC1465=(Elig_MatchAll_Ct-1),AS1465=0),P1465,0)</f>
        <v>0</v>
      </c>
      <c r="BV1465" s="992">
        <f>IF(AND(Input_Product=Elig!$C1465,Elig_MatchAll_Ct&lt;22,$BC1465=(Elig_MatchAll_Ct-1),AT1465=0),Q1465,0)</f>
        <v>0</v>
      </c>
      <c r="BW1465" s="993">
        <f>IF(AND(Input_Product=Elig!$C1465,Elig_MatchAll_Ct&lt;22,$BC1465=(Elig_MatchAll_Ct-1),AU1465=0),R1465,0)</f>
        <v>0</v>
      </c>
      <c r="BX1465" s="994">
        <f>IF(AND(Input_Product=Elig!$C1465,Elig_MatchAll_Ct&lt;22,$BC1465=(Elig_MatchAll_Ct-1),AU1465=0),S1465,0)</f>
        <v>0</v>
      </c>
      <c r="BY1465" s="993">
        <f>IF(AND(Input_Product=Elig!$C1465,Elig_MatchAll_Ct&lt;22,$BC1465=(Elig_MatchAll_Ct-1),AV1465=0),T1465,0)</f>
        <v>0</v>
      </c>
      <c r="BZ1465" s="994">
        <f>IF(AND(Input_Product=Elig!$C1465,Elig_MatchAll_Ct&lt;22,$BC1465=(Elig_MatchAll_Ct-1),AV1465=0),U1465,0)</f>
        <v>0</v>
      </c>
      <c r="CA1465" s="993">
        <f>IF(AND(Input_Product=Elig!$C1465,Elig_MatchAll_Ct&lt;22,$BC1465=(Elig_MatchAll_Ct-1),AW1465=0),V1465,0)</f>
        <v>0</v>
      </c>
      <c r="CB1465" s="994">
        <f>IF(AND(Input_Product=Elig!$C1465,Elig_MatchAll_Ct&lt;22,$BC1465=(Elig_MatchAll_Ct-1),AW1465=0),W1465,0)</f>
        <v>0</v>
      </c>
      <c r="CC1465" s="993">
        <f>IF(AND(Input_Product=Elig!$C1465,Elig_MatchAll_Ct&lt;22,$BC1465=(Elig_MatchAll_Ct-1),AX1465=0),X1465,0)</f>
        <v>0</v>
      </c>
      <c r="CD1465" s="994">
        <f>IF(AND(Input_Product=Elig!$C1465,Elig_MatchAll_Ct&lt;22,$BC1465=(Elig_MatchAll_Ct-1),AX1465=0),Y1465,0)</f>
        <v>0</v>
      </c>
      <c r="CE1465" s="993">
        <f>IF(AND(Input_LTV&lt;=AE1465,Input_Product=Elig!$C1465,Elig_MatchAll_Ct&lt;22,$BC1465=(Elig_MatchAll_Ct-1),AY1465=0),Z1465,0)</f>
        <v>0</v>
      </c>
      <c r="CF1465" s="994">
        <f>IF(AND(Input_LTV&lt;=AE1465,Input_Product=Elig!$C1465,Elig_MatchAll_Ct&lt;22,$BC1465=(Elig_MatchAll_Ct-1),AY1465=0),AA1465,0)</f>
        <v>0</v>
      </c>
      <c r="CG1465" s="993">
        <f>IF(AND(Input_Product=Elig!$C1465,Elig_MatchAll_Ct&lt;22,$BC1465=(Elig_MatchAll_Ct-1),AZ1465=0),AB1465,0)</f>
        <v>0</v>
      </c>
      <c r="CH1465" s="994">
        <f>IF(AND(Input_Product=Elig!$C1465,Elig_MatchAll_Ct&lt;22,$BC1465=(Elig_MatchAll_Ct-1),AZ1465=0),AC1465,0)</f>
        <v>0</v>
      </c>
      <c r="CI1465" s="993">
        <f>IF(AND(Input_Product=Elig!$C1465,Elig_MatchAll_Ct&lt;22,$BC1465=(Elig_MatchAll_Ct-1),BA1465=0),AD1465,0)</f>
        <v>0</v>
      </c>
      <c r="CJ1465" s="994">
        <f>IF(AND(Input_Product=Elig!$C1465,Elig_MatchAll_Ct&lt;22,$BC1465=(Elig_MatchAll_Ct-1),BA1465=0),AE1465,0)</f>
        <v>0</v>
      </c>
    </row>
    <row r="1466" spans="2:88" ht="10.15" customHeight="1" x14ac:dyDescent="0.25">
      <c r="B1466" s="1554" t="s">
        <v>3739</v>
      </c>
      <c r="C1466" s="1554" t="str">
        <f t="shared" si="511"/>
        <v xml:space="preserve">  NOO</v>
      </c>
      <c r="D1466" s="1554" t="s">
        <v>2764</v>
      </c>
      <c r="E1466" s="1554" t="s">
        <v>167</v>
      </c>
      <c r="F1466" s="1554" t="s">
        <v>2765</v>
      </c>
      <c r="G1466" s="1554" t="s">
        <v>2810</v>
      </c>
      <c r="H1466" s="1554" t="s">
        <v>2767</v>
      </c>
      <c r="I1466" s="1555" t="s">
        <v>34</v>
      </c>
      <c r="J1466" s="1555" t="s">
        <v>1311</v>
      </c>
      <c r="K1466" s="1555" t="s">
        <v>3023</v>
      </c>
      <c r="L1466" s="1554" t="s">
        <v>3920</v>
      </c>
      <c r="M1466" s="1554" t="s">
        <v>4203</v>
      </c>
      <c r="N1466" s="1554" t="s">
        <v>2685</v>
      </c>
      <c r="O1466" s="1554" t="s">
        <v>310</v>
      </c>
      <c r="P1466" s="1554" t="s">
        <v>291</v>
      </c>
      <c r="Q1466" s="1554" t="s">
        <v>294</v>
      </c>
      <c r="R1466" s="1554">
        <v>150000</v>
      </c>
      <c r="S1466" s="1554">
        <v>1000000</v>
      </c>
      <c r="T1466" s="1554">
        <v>0</v>
      </c>
      <c r="U1466" s="1554">
        <v>0</v>
      </c>
      <c r="V1466" s="1554">
        <v>0</v>
      </c>
      <c r="W1466" s="1554">
        <v>50</v>
      </c>
      <c r="X1466" s="1554">
        <v>0</v>
      </c>
      <c r="Y1466" s="1554">
        <v>0</v>
      </c>
      <c r="Z1466" s="1556">
        <v>680</v>
      </c>
      <c r="AA1466" s="1556">
        <v>699</v>
      </c>
      <c r="AB1466" s="1556">
        <v>3</v>
      </c>
      <c r="AC1466" s="1556">
        <v>999999</v>
      </c>
      <c r="AD1466" s="1554">
        <v>0</v>
      </c>
      <c r="AE1466" s="1557">
        <v>85</v>
      </c>
      <c r="AF1466" s="170">
        <v>0</v>
      </c>
      <c r="AG1466" s="171">
        <v>1</v>
      </c>
      <c r="AH1466" s="171">
        <v>1</v>
      </c>
      <c r="AI1466" s="171">
        <v>1</v>
      </c>
      <c r="AJ1466" s="171">
        <v>1</v>
      </c>
      <c r="AK1466" s="171">
        <v>1</v>
      </c>
      <c r="AL1466" s="171">
        <v>0</v>
      </c>
      <c r="AM1466" s="171">
        <v>1</v>
      </c>
      <c r="AN1466" s="171">
        <v>1</v>
      </c>
      <c r="AO1466" s="171">
        <v>1</v>
      </c>
      <c r="AP1466" s="171">
        <v>1</v>
      </c>
      <c r="AQ1466" s="171">
        <v>1</v>
      </c>
      <c r="AR1466" s="171">
        <v>1</v>
      </c>
      <c r="AS1466" s="171">
        <v>1</v>
      </c>
      <c r="AT1466" s="171">
        <v>1</v>
      </c>
      <c r="AU1466" s="171">
        <f t="shared" si="502"/>
        <v>1</v>
      </c>
      <c r="AV1466" s="171">
        <f t="shared" si="503"/>
        <v>0</v>
      </c>
      <c r="AW1466" s="171">
        <f t="shared" si="504"/>
        <v>1</v>
      </c>
      <c r="AX1466" s="171">
        <f t="shared" si="499"/>
        <v>1</v>
      </c>
      <c r="AY1466" s="171">
        <f t="shared" si="505"/>
        <v>0</v>
      </c>
      <c r="AZ1466" s="171">
        <f t="shared" si="506"/>
        <v>1</v>
      </c>
      <c r="BA1466" s="172">
        <f t="shared" si="507"/>
        <v>1</v>
      </c>
      <c r="BB1466" s="175">
        <f t="shared" si="508"/>
        <v>18</v>
      </c>
      <c r="BC1466" s="176">
        <f t="shared" si="509"/>
        <v>17</v>
      </c>
      <c r="BD1466" s="176">
        <f t="shared" si="510"/>
        <v>18</v>
      </c>
      <c r="BE1466" s="240" t="str">
        <f t="shared" si="501"/>
        <v/>
      </c>
      <c r="BF1466" s="990"/>
      <c r="BG1466" s="990"/>
      <c r="BH1466" s="991">
        <f>IF(AND(Input_Product=Elig!$C1466,Elig_MatchAll_Ct&lt;22,$BC1466=(Elig_MatchAll_Ct-1),AF1466=0),C1466,0)</f>
        <v>0</v>
      </c>
      <c r="BI1466" s="991">
        <f>IF(AND(Input_Product=Elig!$C1466,Elig_MatchAll_Ct&lt;22,$BC1466=(Elig_MatchAll_Ct-1),AG1466=0),D1466,0)</f>
        <v>0</v>
      </c>
      <c r="BJ1466" s="991">
        <f>IF(AND(Input_Product=Elig!$C1466,Elig_MatchAll_Ct&lt;22,$BC1466=(Elig_MatchAll_Ct-1),AH1466=0),E1466,0)</f>
        <v>0</v>
      </c>
      <c r="BK1466" s="991">
        <f>IF(AND(Input_Product=Elig!$C1466,Elig_MatchAll_Ct&lt;22,$BC1466=(Elig_MatchAll_Ct-1),AI1466=0),F1466,0)</f>
        <v>0</v>
      </c>
      <c r="BL1466" s="991">
        <f>IF(AND(Input_Product=Elig!$C1466,Elig_MatchAll_Ct&lt;22,$BC1466=(Elig_MatchAll_Ct-1),AJ1466=0),G1466,0)</f>
        <v>0</v>
      </c>
      <c r="BM1466" s="991">
        <f>IF(AND(Input_Product=Elig!$C1466,Elig_MatchAll_Ct&lt;22,$BC1466=(Elig_MatchAll_Ct-1),AK1466=0),H1466,0)</f>
        <v>0</v>
      </c>
      <c r="BN1466" s="991">
        <f>IF(AND(Input_Product=Elig!$C1466,Elig_MatchAll_Ct&lt;22,$BC1466=(Elig_MatchAll_Ct-1),AL1466=0),I1466,0)</f>
        <v>0</v>
      </c>
      <c r="BO1466" s="991">
        <f>IF(AND(Input_Product=Elig!$C1466,Elig_MatchAll_Ct&lt;22,$BC1466=(Elig_MatchAll_Ct-1),AM1466=0),J1466,0)</f>
        <v>0</v>
      </c>
      <c r="BP1466" s="991">
        <f>IF(AND(Input_Product=Elig!$C1466,Elig_MatchAll_Ct&lt;22,$BC1466=(Elig_MatchAll_Ct-1),AN1466=0),K1466,0)</f>
        <v>0</v>
      </c>
      <c r="BQ1466" s="991">
        <f>IF(AND(Input_Product=Elig!$C1466,Elig_MatchAll_Ct&lt;22,$BC1466=(Elig_MatchAll_Ct-1),AP1466=0),L1466,0)</f>
        <v>0</v>
      </c>
      <c r="BR1466" s="991">
        <f>IF(AND(Input_Product=Elig!$C1466,Elig_MatchAll_Ct&lt;22,$BC1466=(Elig_MatchAll_Ct-1),AO1466=0),M1466,0)</f>
        <v>0</v>
      </c>
      <c r="BS1466" s="991">
        <f>IF(AND(Input_Product=Elig!$C1466,Elig_MatchAll_Ct&lt;22,$BC1466=(Elig_MatchAll_Ct-1),AQ1466=0),N1466,0)</f>
        <v>0</v>
      </c>
      <c r="BT1466" s="991">
        <f>IF(AND(Input_Product=Elig!$C1466,Elig_MatchAll_Ct&lt;22,$BC1466=(Elig_MatchAll_Ct-1),AR1466=0),O1466,0)</f>
        <v>0</v>
      </c>
      <c r="BU1466" s="991">
        <f>IF(AND(Input_Product=Elig!$C1466,Elig_MatchAll_Ct&lt;22,$BC1466=(Elig_MatchAll_Ct-1),AS1466=0),P1466,0)</f>
        <v>0</v>
      </c>
      <c r="BV1466" s="992">
        <f>IF(AND(Input_Product=Elig!$C1466,Elig_MatchAll_Ct&lt;22,$BC1466=(Elig_MatchAll_Ct-1),AT1466=0),Q1466,0)</f>
        <v>0</v>
      </c>
      <c r="BW1466" s="993">
        <f>IF(AND(Input_Product=Elig!$C1466,Elig_MatchAll_Ct&lt;22,$BC1466=(Elig_MatchAll_Ct-1),AU1466=0),R1466,0)</f>
        <v>0</v>
      </c>
      <c r="BX1466" s="994">
        <f>IF(AND(Input_Product=Elig!$C1466,Elig_MatchAll_Ct&lt;22,$BC1466=(Elig_MatchAll_Ct-1),AU1466=0),S1466,0)</f>
        <v>0</v>
      </c>
      <c r="BY1466" s="993">
        <f>IF(AND(Input_Product=Elig!$C1466,Elig_MatchAll_Ct&lt;22,$BC1466=(Elig_MatchAll_Ct-1),AV1466=0),T1466,0)</f>
        <v>0</v>
      </c>
      <c r="BZ1466" s="994">
        <f>IF(AND(Input_Product=Elig!$C1466,Elig_MatchAll_Ct&lt;22,$BC1466=(Elig_MatchAll_Ct-1),AV1466=0),U1466,0)</f>
        <v>0</v>
      </c>
      <c r="CA1466" s="993">
        <f>IF(AND(Input_Product=Elig!$C1466,Elig_MatchAll_Ct&lt;22,$BC1466=(Elig_MatchAll_Ct-1),AW1466=0),V1466,0)</f>
        <v>0</v>
      </c>
      <c r="CB1466" s="994">
        <f>IF(AND(Input_Product=Elig!$C1466,Elig_MatchAll_Ct&lt;22,$BC1466=(Elig_MatchAll_Ct-1),AW1466=0),W1466,0)</f>
        <v>0</v>
      </c>
      <c r="CC1466" s="993">
        <f>IF(AND(Input_Product=Elig!$C1466,Elig_MatchAll_Ct&lt;22,$BC1466=(Elig_MatchAll_Ct-1),AX1466=0),X1466,0)</f>
        <v>0</v>
      </c>
      <c r="CD1466" s="994">
        <f>IF(AND(Input_Product=Elig!$C1466,Elig_MatchAll_Ct&lt;22,$BC1466=(Elig_MatchAll_Ct-1),AX1466=0),Y1466,0)</f>
        <v>0</v>
      </c>
      <c r="CE1466" s="993">
        <f>IF(AND(Input_LTV&lt;=AE1466,Input_Product=Elig!$C1466,Elig_MatchAll_Ct&lt;22,$BC1466=(Elig_MatchAll_Ct-1),AY1466=0),Z1466,0)</f>
        <v>0</v>
      </c>
      <c r="CF1466" s="994">
        <f>IF(AND(Input_LTV&lt;=AE1466,Input_Product=Elig!$C1466,Elig_MatchAll_Ct&lt;22,$BC1466=(Elig_MatchAll_Ct-1),AY1466=0),AA1466,0)</f>
        <v>0</v>
      </c>
      <c r="CG1466" s="993">
        <f>IF(AND(Input_Product=Elig!$C1466,Elig_MatchAll_Ct&lt;22,$BC1466=(Elig_MatchAll_Ct-1),AZ1466=0),AB1466,0)</f>
        <v>0</v>
      </c>
      <c r="CH1466" s="994">
        <f>IF(AND(Input_Product=Elig!$C1466,Elig_MatchAll_Ct&lt;22,$BC1466=(Elig_MatchAll_Ct-1),AZ1466=0),AC1466,0)</f>
        <v>0</v>
      </c>
      <c r="CI1466" s="993">
        <f>IF(AND(Input_Product=Elig!$C1466,Elig_MatchAll_Ct&lt;22,$BC1466=(Elig_MatchAll_Ct-1),BA1466=0),AD1466,0)</f>
        <v>0</v>
      </c>
      <c r="CJ1466" s="994">
        <f>IF(AND(Input_Product=Elig!$C1466,Elig_MatchAll_Ct&lt;22,$BC1466=(Elig_MatchAll_Ct-1),BA1466=0),AE1466,0)</f>
        <v>0</v>
      </c>
    </row>
    <row r="1467" spans="2:88" ht="10.15" customHeight="1" x14ac:dyDescent="0.25">
      <c r="B1467" s="1554" t="s">
        <v>3740</v>
      </c>
      <c r="C1467" s="1554" t="str">
        <f t="shared" si="511"/>
        <v xml:space="preserve">  NOO</v>
      </c>
      <c r="D1467" s="1554" t="s">
        <v>2764</v>
      </c>
      <c r="E1467" s="1554" t="s">
        <v>167</v>
      </c>
      <c r="F1467" s="1554" t="s">
        <v>2765</v>
      </c>
      <c r="G1467" s="1554" t="s">
        <v>2810</v>
      </c>
      <c r="H1467" s="1554" t="s">
        <v>2767</v>
      </c>
      <c r="I1467" s="1555" t="s">
        <v>34</v>
      </c>
      <c r="J1467" s="1555" t="s">
        <v>1311</v>
      </c>
      <c r="K1467" s="1555" t="s">
        <v>3023</v>
      </c>
      <c r="L1467" s="1554" t="s">
        <v>3920</v>
      </c>
      <c r="M1467" s="1554" t="s">
        <v>4203</v>
      </c>
      <c r="N1467" s="1554" t="s">
        <v>2685</v>
      </c>
      <c r="O1467" s="1554" t="s">
        <v>310</v>
      </c>
      <c r="P1467" s="1554" t="s">
        <v>291</v>
      </c>
      <c r="Q1467" s="1554" t="s">
        <v>294</v>
      </c>
      <c r="R1467" s="1554">
        <v>1000000.01</v>
      </c>
      <c r="S1467" s="1554">
        <v>1500000</v>
      </c>
      <c r="T1467" s="1554">
        <v>0</v>
      </c>
      <c r="U1467" s="1554">
        <v>0</v>
      </c>
      <c r="V1467" s="1554">
        <v>0</v>
      </c>
      <c r="W1467" s="1554">
        <v>50</v>
      </c>
      <c r="X1467" s="1554">
        <v>0</v>
      </c>
      <c r="Y1467" s="1554">
        <v>0</v>
      </c>
      <c r="Z1467" s="1556">
        <v>680</v>
      </c>
      <c r="AA1467" s="1556">
        <v>699</v>
      </c>
      <c r="AB1467" s="1556">
        <v>3</v>
      </c>
      <c r="AC1467" s="1556">
        <v>999999</v>
      </c>
      <c r="AD1467" s="1554">
        <v>0</v>
      </c>
      <c r="AE1467" s="1557">
        <v>80</v>
      </c>
      <c r="AF1467" s="170">
        <v>0</v>
      </c>
      <c r="AG1467" s="171">
        <v>1</v>
      </c>
      <c r="AH1467" s="171">
        <v>1</v>
      </c>
      <c r="AI1467" s="171">
        <v>1</v>
      </c>
      <c r="AJ1467" s="171">
        <v>1</v>
      </c>
      <c r="AK1467" s="171">
        <v>1</v>
      </c>
      <c r="AL1467" s="171">
        <v>0</v>
      </c>
      <c r="AM1467" s="171">
        <v>1</v>
      </c>
      <c r="AN1467" s="171">
        <v>1</v>
      </c>
      <c r="AO1467" s="171">
        <v>1</v>
      </c>
      <c r="AP1467" s="171">
        <v>1</v>
      </c>
      <c r="AQ1467" s="171">
        <v>1</v>
      </c>
      <c r="AR1467" s="171">
        <v>1</v>
      </c>
      <c r="AS1467" s="171">
        <v>1</v>
      </c>
      <c r="AT1467" s="171">
        <v>1</v>
      </c>
      <c r="AU1467" s="171">
        <f t="shared" si="502"/>
        <v>0</v>
      </c>
      <c r="AV1467" s="171">
        <f t="shared" si="503"/>
        <v>0</v>
      </c>
      <c r="AW1467" s="171">
        <f t="shared" si="504"/>
        <v>1</v>
      </c>
      <c r="AX1467" s="171">
        <f t="shared" si="499"/>
        <v>1</v>
      </c>
      <c r="AY1467" s="171">
        <f t="shared" si="505"/>
        <v>0</v>
      </c>
      <c r="AZ1467" s="171">
        <f t="shared" si="506"/>
        <v>1</v>
      </c>
      <c r="BA1467" s="172">
        <f t="shared" si="507"/>
        <v>1</v>
      </c>
      <c r="BB1467" s="175">
        <f t="shared" si="508"/>
        <v>17</v>
      </c>
      <c r="BC1467" s="176">
        <f t="shared" si="509"/>
        <v>16</v>
      </c>
      <c r="BD1467" s="176">
        <f t="shared" si="510"/>
        <v>17</v>
      </c>
      <c r="BE1467" s="240" t="str">
        <f t="shared" si="501"/>
        <v/>
      </c>
      <c r="BF1467" s="990"/>
      <c r="BG1467" s="990"/>
      <c r="BH1467" s="991">
        <f>IF(AND(Input_Product=Elig!$C1467,Elig_MatchAll_Ct&lt;22,$BC1467=(Elig_MatchAll_Ct-1),AF1467=0),C1467,0)</f>
        <v>0</v>
      </c>
      <c r="BI1467" s="991">
        <f>IF(AND(Input_Product=Elig!$C1467,Elig_MatchAll_Ct&lt;22,$BC1467=(Elig_MatchAll_Ct-1),AG1467=0),D1467,0)</f>
        <v>0</v>
      </c>
      <c r="BJ1467" s="991">
        <f>IF(AND(Input_Product=Elig!$C1467,Elig_MatchAll_Ct&lt;22,$BC1467=(Elig_MatchAll_Ct-1),AH1467=0),E1467,0)</f>
        <v>0</v>
      </c>
      <c r="BK1467" s="991">
        <f>IF(AND(Input_Product=Elig!$C1467,Elig_MatchAll_Ct&lt;22,$BC1467=(Elig_MatchAll_Ct-1),AI1467=0),F1467,0)</f>
        <v>0</v>
      </c>
      <c r="BL1467" s="991">
        <f>IF(AND(Input_Product=Elig!$C1467,Elig_MatchAll_Ct&lt;22,$BC1467=(Elig_MatchAll_Ct-1),AJ1467=0),G1467,0)</f>
        <v>0</v>
      </c>
      <c r="BM1467" s="991">
        <f>IF(AND(Input_Product=Elig!$C1467,Elig_MatchAll_Ct&lt;22,$BC1467=(Elig_MatchAll_Ct-1),AK1467=0),H1467,0)</f>
        <v>0</v>
      </c>
      <c r="BN1467" s="991">
        <f>IF(AND(Input_Product=Elig!$C1467,Elig_MatchAll_Ct&lt;22,$BC1467=(Elig_MatchAll_Ct-1),AL1467=0),I1467,0)</f>
        <v>0</v>
      </c>
      <c r="BO1467" s="991">
        <f>IF(AND(Input_Product=Elig!$C1467,Elig_MatchAll_Ct&lt;22,$BC1467=(Elig_MatchAll_Ct-1),AM1467=0),J1467,0)</f>
        <v>0</v>
      </c>
      <c r="BP1467" s="991">
        <f>IF(AND(Input_Product=Elig!$C1467,Elig_MatchAll_Ct&lt;22,$BC1467=(Elig_MatchAll_Ct-1),AN1467=0),K1467,0)</f>
        <v>0</v>
      </c>
      <c r="BQ1467" s="991">
        <f>IF(AND(Input_Product=Elig!$C1467,Elig_MatchAll_Ct&lt;22,$BC1467=(Elig_MatchAll_Ct-1),AP1467=0),L1467,0)</f>
        <v>0</v>
      </c>
      <c r="BR1467" s="991">
        <f>IF(AND(Input_Product=Elig!$C1467,Elig_MatchAll_Ct&lt;22,$BC1467=(Elig_MatchAll_Ct-1),AO1467=0),M1467,0)</f>
        <v>0</v>
      </c>
      <c r="BS1467" s="991">
        <f>IF(AND(Input_Product=Elig!$C1467,Elig_MatchAll_Ct&lt;22,$BC1467=(Elig_MatchAll_Ct-1),AQ1467=0),N1467,0)</f>
        <v>0</v>
      </c>
      <c r="BT1467" s="991">
        <f>IF(AND(Input_Product=Elig!$C1467,Elig_MatchAll_Ct&lt;22,$BC1467=(Elig_MatchAll_Ct-1),AR1467=0),O1467,0)</f>
        <v>0</v>
      </c>
      <c r="BU1467" s="991">
        <f>IF(AND(Input_Product=Elig!$C1467,Elig_MatchAll_Ct&lt;22,$BC1467=(Elig_MatchAll_Ct-1),AS1467=0),P1467,0)</f>
        <v>0</v>
      </c>
      <c r="BV1467" s="992">
        <f>IF(AND(Input_Product=Elig!$C1467,Elig_MatchAll_Ct&lt;22,$BC1467=(Elig_MatchAll_Ct-1),AT1467=0),Q1467,0)</f>
        <v>0</v>
      </c>
      <c r="BW1467" s="993">
        <f>IF(AND(Input_Product=Elig!$C1467,Elig_MatchAll_Ct&lt;22,$BC1467=(Elig_MatchAll_Ct-1),AU1467=0),R1467,0)</f>
        <v>0</v>
      </c>
      <c r="BX1467" s="994">
        <f>IF(AND(Input_Product=Elig!$C1467,Elig_MatchAll_Ct&lt;22,$BC1467=(Elig_MatchAll_Ct-1),AU1467=0),S1467,0)</f>
        <v>0</v>
      </c>
      <c r="BY1467" s="993">
        <f>IF(AND(Input_Product=Elig!$C1467,Elig_MatchAll_Ct&lt;22,$BC1467=(Elig_MatchAll_Ct-1),AV1467=0),T1467,0)</f>
        <v>0</v>
      </c>
      <c r="BZ1467" s="994">
        <f>IF(AND(Input_Product=Elig!$C1467,Elig_MatchAll_Ct&lt;22,$BC1467=(Elig_MatchAll_Ct-1),AV1467=0),U1467,0)</f>
        <v>0</v>
      </c>
      <c r="CA1467" s="993">
        <f>IF(AND(Input_Product=Elig!$C1467,Elig_MatchAll_Ct&lt;22,$BC1467=(Elig_MatchAll_Ct-1),AW1467=0),V1467,0)</f>
        <v>0</v>
      </c>
      <c r="CB1467" s="994">
        <f>IF(AND(Input_Product=Elig!$C1467,Elig_MatchAll_Ct&lt;22,$BC1467=(Elig_MatchAll_Ct-1),AW1467=0),W1467,0)</f>
        <v>0</v>
      </c>
      <c r="CC1467" s="993">
        <f>IF(AND(Input_Product=Elig!$C1467,Elig_MatchAll_Ct&lt;22,$BC1467=(Elig_MatchAll_Ct-1),AX1467=0),X1467,0)</f>
        <v>0</v>
      </c>
      <c r="CD1467" s="994">
        <f>IF(AND(Input_Product=Elig!$C1467,Elig_MatchAll_Ct&lt;22,$BC1467=(Elig_MatchAll_Ct-1),AX1467=0),Y1467,0)</f>
        <v>0</v>
      </c>
      <c r="CE1467" s="993">
        <f>IF(AND(Input_LTV&lt;=AE1467,Input_Product=Elig!$C1467,Elig_MatchAll_Ct&lt;22,$BC1467=(Elig_MatchAll_Ct-1),AY1467=0),Z1467,0)</f>
        <v>0</v>
      </c>
      <c r="CF1467" s="994">
        <f>IF(AND(Input_LTV&lt;=AE1467,Input_Product=Elig!$C1467,Elig_MatchAll_Ct&lt;22,$BC1467=(Elig_MatchAll_Ct-1),AY1467=0),AA1467,0)</f>
        <v>0</v>
      </c>
      <c r="CG1467" s="993">
        <f>IF(AND(Input_Product=Elig!$C1467,Elig_MatchAll_Ct&lt;22,$BC1467=(Elig_MatchAll_Ct-1),AZ1467=0),AB1467,0)</f>
        <v>0</v>
      </c>
      <c r="CH1467" s="994">
        <f>IF(AND(Input_Product=Elig!$C1467,Elig_MatchAll_Ct&lt;22,$BC1467=(Elig_MatchAll_Ct-1),AZ1467=0),AC1467,0)</f>
        <v>0</v>
      </c>
      <c r="CI1467" s="993">
        <f>IF(AND(Input_Product=Elig!$C1467,Elig_MatchAll_Ct&lt;22,$BC1467=(Elig_MatchAll_Ct-1),BA1467=0),AD1467,0)</f>
        <v>0</v>
      </c>
      <c r="CJ1467" s="994">
        <f>IF(AND(Input_Product=Elig!$C1467,Elig_MatchAll_Ct&lt;22,$BC1467=(Elig_MatchAll_Ct-1),BA1467=0),AE1467,0)</f>
        <v>0</v>
      </c>
    </row>
    <row r="1468" spans="2:88" ht="10.15" customHeight="1" x14ac:dyDescent="0.25">
      <c r="B1468" s="1554" t="s">
        <v>3741</v>
      </c>
      <c r="C1468" s="1554" t="str">
        <f t="shared" si="511"/>
        <v xml:space="preserve">  NOO</v>
      </c>
      <c r="D1468" s="1554" t="s">
        <v>2764</v>
      </c>
      <c r="E1468" s="1554" t="s">
        <v>167</v>
      </c>
      <c r="F1468" s="1554" t="s">
        <v>2765</v>
      </c>
      <c r="G1468" s="1554" t="s">
        <v>2810</v>
      </c>
      <c r="H1468" s="1554" t="s">
        <v>2767</v>
      </c>
      <c r="I1468" s="1555" t="s">
        <v>34</v>
      </c>
      <c r="J1468" s="1555" t="s">
        <v>1311</v>
      </c>
      <c r="K1468" s="1555" t="s">
        <v>3023</v>
      </c>
      <c r="L1468" s="1554" t="s">
        <v>3920</v>
      </c>
      <c r="M1468" s="1554" t="s">
        <v>4203</v>
      </c>
      <c r="N1468" s="1554" t="s">
        <v>2685</v>
      </c>
      <c r="O1468" s="1554" t="s">
        <v>310</v>
      </c>
      <c r="P1468" s="1554" t="s">
        <v>291</v>
      </c>
      <c r="Q1468" s="1554" t="s">
        <v>294</v>
      </c>
      <c r="R1468" s="1554">
        <v>1500000.01</v>
      </c>
      <c r="S1468" s="1554">
        <v>2000000</v>
      </c>
      <c r="T1468" s="1554">
        <v>0</v>
      </c>
      <c r="U1468" s="1554">
        <v>0</v>
      </c>
      <c r="V1468" s="1554">
        <v>0</v>
      </c>
      <c r="W1468" s="1554">
        <v>50</v>
      </c>
      <c r="X1468" s="1554">
        <v>0</v>
      </c>
      <c r="Y1468" s="1554">
        <v>0</v>
      </c>
      <c r="Z1468" s="1556">
        <v>680</v>
      </c>
      <c r="AA1468" s="1556">
        <v>699</v>
      </c>
      <c r="AB1468" s="1556">
        <v>3</v>
      </c>
      <c r="AC1468" s="1556">
        <v>999999</v>
      </c>
      <c r="AD1468" s="1554">
        <v>0</v>
      </c>
      <c r="AE1468" s="1557">
        <v>80</v>
      </c>
      <c r="AF1468" s="170">
        <v>0</v>
      </c>
      <c r="AG1468" s="171">
        <v>1</v>
      </c>
      <c r="AH1468" s="171">
        <v>1</v>
      </c>
      <c r="AI1468" s="171">
        <v>1</v>
      </c>
      <c r="AJ1468" s="171">
        <v>1</v>
      </c>
      <c r="AK1468" s="171">
        <v>1</v>
      </c>
      <c r="AL1468" s="171">
        <v>0</v>
      </c>
      <c r="AM1468" s="171">
        <v>1</v>
      </c>
      <c r="AN1468" s="171">
        <v>1</v>
      </c>
      <c r="AO1468" s="171">
        <v>1</v>
      </c>
      <c r="AP1468" s="171">
        <v>1</v>
      </c>
      <c r="AQ1468" s="171">
        <v>1</v>
      </c>
      <c r="AR1468" s="171">
        <v>1</v>
      </c>
      <c r="AS1468" s="171">
        <v>1</v>
      </c>
      <c r="AT1468" s="171">
        <v>1</v>
      </c>
      <c r="AU1468" s="171">
        <f t="shared" si="502"/>
        <v>0</v>
      </c>
      <c r="AV1468" s="171">
        <f t="shared" si="503"/>
        <v>0</v>
      </c>
      <c r="AW1468" s="171">
        <f t="shared" si="504"/>
        <v>1</v>
      </c>
      <c r="AX1468" s="171">
        <f t="shared" si="499"/>
        <v>1</v>
      </c>
      <c r="AY1468" s="171">
        <f t="shared" si="505"/>
        <v>0</v>
      </c>
      <c r="AZ1468" s="171">
        <f t="shared" si="506"/>
        <v>1</v>
      </c>
      <c r="BA1468" s="172">
        <f t="shared" si="507"/>
        <v>1</v>
      </c>
      <c r="BB1468" s="175">
        <f t="shared" si="508"/>
        <v>17</v>
      </c>
      <c r="BC1468" s="176">
        <f t="shared" si="509"/>
        <v>16</v>
      </c>
      <c r="BD1468" s="176">
        <f t="shared" si="510"/>
        <v>17</v>
      </c>
      <c r="BE1468" s="240" t="str">
        <f t="shared" si="501"/>
        <v/>
      </c>
      <c r="BF1468" s="990"/>
      <c r="BG1468" s="990"/>
      <c r="BH1468" s="991">
        <f>IF(AND(Input_Product=Elig!$C1468,Elig_MatchAll_Ct&lt;22,$BC1468=(Elig_MatchAll_Ct-1),AF1468=0),C1468,0)</f>
        <v>0</v>
      </c>
      <c r="BI1468" s="991">
        <f>IF(AND(Input_Product=Elig!$C1468,Elig_MatchAll_Ct&lt;22,$BC1468=(Elig_MatchAll_Ct-1),AG1468=0),D1468,0)</f>
        <v>0</v>
      </c>
      <c r="BJ1468" s="991">
        <f>IF(AND(Input_Product=Elig!$C1468,Elig_MatchAll_Ct&lt;22,$BC1468=(Elig_MatchAll_Ct-1),AH1468=0),E1468,0)</f>
        <v>0</v>
      </c>
      <c r="BK1468" s="991">
        <f>IF(AND(Input_Product=Elig!$C1468,Elig_MatchAll_Ct&lt;22,$BC1468=(Elig_MatchAll_Ct-1),AI1468=0),F1468,0)</f>
        <v>0</v>
      </c>
      <c r="BL1468" s="991">
        <f>IF(AND(Input_Product=Elig!$C1468,Elig_MatchAll_Ct&lt;22,$BC1468=(Elig_MatchAll_Ct-1),AJ1468=0),G1468,0)</f>
        <v>0</v>
      </c>
      <c r="BM1468" s="991">
        <f>IF(AND(Input_Product=Elig!$C1468,Elig_MatchAll_Ct&lt;22,$BC1468=(Elig_MatchAll_Ct-1),AK1468=0),H1468,0)</f>
        <v>0</v>
      </c>
      <c r="BN1468" s="991">
        <f>IF(AND(Input_Product=Elig!$C1468,Elig_MatchAll_Ct&lt;22,$BC1468=(Elig_MatchAll_Ct-1),AL1468=0),I1468,0)</f>
        <v>0</v>
      </c>
      <c r="BO1468" s="991">
        <f>IF(AND(Input_Product=Elig!$C1468,Elig_MatchAll_Ct&lt;22,$BC1468=(Elig_MatchAll_Ct-1),AM1468=0),J1468,0)</f>
        <v>0</v>
      </c>
      <c r="BP1468" s="991">
        <f>IF(AND(Input_Product=Elig!$C1468,Elig_MatchAll_Ct&lt;22,$BC1468=(Elig_MatchAll_Ct-1),AN1468=0),K1468,0)</f>
        <v>0</v>
      </c>
      <c r="BQ1468" s="991">
        <f>IF(AND(Input_Product=Elig!$C1468,Elig_MatchAll_Ct&lt;22,$BC1468=(Elig_MatchAll_Ct-1),AP1468=0),L1468,0)</f>
        <v>0</v>
      </c>
      <c r="BR1468" s="991">
        <f>IF(AND(Input_Product=Elig!$C1468,Elig_MatchAll_Ct&lt;22,$BC1468=(Elig_MatchAll_Ct-1),AO1468=0),M1468,0)</f>
        <v>0</v>
      </c>
      <c r="BS1468" s="991">
        <f>IF(AND(Input_Product=Elig!$C1468,Elig_MatchAll_Ct&lt;22,$BC1468=(Elig_MatchAll_Ct-1),AQ1468=0),N1468,0)</f>
        <v>0</v>
      </c>
      <c r="BT1468" s="991">
        <f>IF(AND(Input_Product=Elig!$C1468,Elig_MatchAll_Ct&lt;22,$BC1468=(Elig_MatchAll_Ct-1),AR1468=0),O1468,0)</f>
        <v>0</v>
      </c>
      <c r="BU1468" s="991">
        <f>IF(AND(Input_Product=Elig!$C1468,Elig_MatchAll_Ct&lt;22,$BC1468=(Elig_MatchAll_Ct-1),AS1468=0),P1468,0)</f>
        <v>0</v>
      </c>
      <c r="BV1468" s="992">
        <f>IF(AND(Input_Product=Elig!$C1468,Elig_MatchAll_Ct&lt;22,$BC1468=(Elig_MatchAll_Ct-1),AT1468=0),Q1468,0)</f>
        <v>0</v>
      </c>
      <c r="BW1468" s="993">
        <f>IF(AND(Input_Product=Elig!$C1468,Elig_MatchAll_Ct&lt;22,$BC1468=(Elig_MatchAll_Ct-1),AU1468=0),R1468,0)</f>
        <v>0</v>
      </c>
      <c r="BX1468" s="994">
        <f>IF(AND(Input_Product=Elig!$C1468,Elig_MatchAll_Ct&lt;22,$BC1468=(Elig_MatchAll_Ct-1),AU1468=0),S1468,0)</f>
        <v>0</v>
      </c>
      <c r="BY1468" s="993">
        <f>IF(AND(Input_Product=Elig!$C1468,Elig_MatchAll_Ct&lt;22,$BC1468=(Elig_MatchAll_Ct-1),AV1468=0),T1468,0)</f>
        <v>0</v>
      </c>
      <c r="BZ1468" s="994">
        <f>IF(AND(Input_Product=Elig!$C1468,Elig_MatchAll_Ct&lt;22,$BC1468=(Elig_MatchAll_Ct-1),AV1468=0),U1468,0)</f>
        <v>0</v>
      </c>
      <c r="CA1468" s="993">
        <f>IF(AND(Input_Product=Elig!$C1468,Elig_MatchAll_Ct&lt;22,$BC1468=(Elig_MatchAll_Ct-1),AW1468=0),V1468,0)</f>
        <v>0</v>
      </c>
      <c r="CB1468" s="994">
        <f>IF(AND(Input_Product=Elig!$C1468,Elig_MatchAll_Ct&lt;22,$BC1468=(Elig_MatchAll_Ct-1),AW1468=0),W1468,0)</f>
        <v>0</v>
      </c>
      <c r="CC1468" s="993">
        <f>IF(AND(Input_Product=Elig!$C1468,Elig_MatchAll_Ct&lt;22,$BC1468=(Elig_MatchAll_Ct-1),AX1468=0),X1468,0)</f>
        <v>0</v>
      </c>
      <c r="CD1468" s="994">
        <f>IF(AND(Input_Product=Elig!$C1468,Elig_MatchAll_Ct&lt;22,$BC1468=(Elig_MatchAll_Ct-1),AX1468=0),Y1468,0)</f>
        <v>0</v>
      </c>
      <c r="CE1468" s="993">
        <f>IF(AND(Input_LTV&lt;=AE1468,Input_Product=Elig!$C1468,Elig_MatchAll_Ct&lt;22,$BC1468=(Elig_MatchAll_Ct-1),AY1468=0),Z1468,0)</f>
        <v>0</v>
      </c>
      <c r="CF1468" s="994">
        <f>IF(AND(Input_LTV&lt;=AE1468,Input_Product=Elig!$C1468,Elig_MatchAll_Ct&lt;22,$BC1468=(Elig_MatchAll_Ct-1),AY1468=0),AA1468,0)</f>
        <v>0</v>
      </c>
      <c r="CG1468" s="993">
        <f>IF(AND(Input_Product=Elig!$C1468,Elig_MatchAll_Ct&lt;22,$BC1468=(Elig_MatchAll_Ct-1),AZ1468=0),AB1468,0)</f>
        <v>0</v>
      </c>
      <c r="CH1468" s="994">
        <f>IF(AND(Input_Product=Elig!$C1468,Elig_MatchAll_Ct&lt;22,$BC1468=(Elig_MatchAll_Ct-1),AZ1468=0),AC1468,0)</f>
        <v>0</v>
      </c>
      <c r="CI1468" s="993">
        <f>IF(AND(Input_Product=Elig!$C1468,Elig_MatchAll_Ct&lt;22,$BC1468=(Elig_MatchAll_Ct-1),BA1468=0),AD1468,0)</f>
        <v>0</v>
      </c>
      <c r="CJ1468" s="994">
        <f>IF(AND(Input_Product=Elig!$C1468,Elig_MatchAll_Ct&lt;22,$BC1468=(Elig_MatchAll_Ct-1),BA1468=0),AE1468,0)</f>
        <v>0</v>
      </c>
    </row>
    <row r="1469" spans="2:88" ht="10.15" customHeight="1" x14ac:dyDescent="0.25">
      <c r="B1469" s="1554" t="s">
        <v>3742</v>
      </c>
      <c r="C1469" s="1554" t="str">
        <f t="shared" si="511"/>
        <v xml:space="preserve">  NOO</v>
      </c>
      <c r="D1469" s="1554" t="s">
        <v>2764</v>
      </c>
      <c r="E1469" s="1554" t="s">
        <v>167</v>
      </c>
      <c r="F1469" s="1554" t="s">
        <v>2765</v>
      </c>
      <c r="G1469" s="1554" t="s">
        <v>2810</v>
      </c>
      <c r="H1469" s="1554" t="s">
        <v>2767</v>
      </c>
      <c r="I1469" s="1555" t="s">
        <v>34</v>
      </c>
      <c r="J1469" s="1555" t="s">
        <v>1311</v>
      </c>
      <c r="K1469" s="1555" t="s">
        <v>3023</v>
      </c>
      <c r="L1469" s="1554" t="s">
        <v>3920</v>
      </c>
      <c r="M1469" s="1554" t="s">
        <v>4203</v>
      </c>
      <c r="N1469" s="1554" t="s">
        <v>2685</v>
      </c>
      <c r="O1469" s="1554" t="s">
        <v>310</v>
      </c>
      <c r="P1469" s="1554" t="s">
        <v>291</v>
      </c>
      <c r="Q1469" s="1554" t="s">
        <v>294</v>
      </c>
      <c r="R1469" s="1554">
        <v>2000000.01</v>
      </c>
      <c r="S1469" s="1554">
        <v>3000000</v>
      </c>
      <c r="T1469" s="1554">
        <v>0</v>
      </c>
      <c r="U1469" s="1554">
        <v>0</v>
      </c>
      <c r="V1469" s="1554">
        <v>0</v>
      </c>
      <c r="W1469" s="1554">
        <v>50</v>
      </c>
      <c r="X1469" s="1554">
        <v>0</v>
      </c>
      <c r="Y1469" s="1554">
        <v>0</v>
      </c>
      <c r="Z1469" s="1556">
        <v>680</v>
      </c>
      <c r="AA1469" s="1556">
        <v>699</v>
      </c>
      <c r="AB1469" s="1556">
        <v>3</v>
      </c>
      <c r="AC1469" s="1556">
        <v>999999</v>
      </c>
      <c r="AD1469" s="1554">
        <v>0</v>
      </c>
      <c r="AE1469" s="1557">
        <v>70</v>
      </c>
      <c r="AF1469" s="170">
        <v>0</v>
      </c>
      <c r="AG1469" s="171">
        <v>1</v>
      </c>
      <c r="AH1469" s="171">
        <v>1</v>
      </c>
      <c r="AI1469" s="171">
        <v>1</v>
      </c>
      <c r="AJ1469" s="171">
        <v>1</v>
      </c>
      <c r="AK1469" s="171">
        <v>1</v>
      </c>
      <c r="AL1469" s="171">
        <v>0</v>
      </c>
      <c r="AM1469" s="171">
        <v>1</v>
      </c>
      <c r="AN1469" s="171">
        <v>1</v>
      </c>
      <c r="AO1469" s="171">
        <v>1</v>
      </c>
      <c r="AP1469" s="171">
        <v>1</v>
      </c>
      <c r="AQ1469" s="171">
        <v>1</v>
      </c>
      <c r="AR1469" s="171">
        <v>1</v>
      </c>
      <c r="AS1469" s="171">
        <v>1</v>
      </c>
      <c r="AT1469" s="171">
        <v>1</v>
      </c>
      <c r="AU1469" s="171">
        <f t="shared" si="502"/>
        <v>0</v>
      </c>
      <c r="AV1469" s="171">
        <f t="shared" si="503"/>
        <v>0</v>
      </c>
      <c r="AW1469" s="171">
        <f t="shared" si="504"/>
        <v>1</v>
      </c>
      <c r="AX1469" s="171">
        <f t="shared" si="499"/>
        <v>1</v>
      </c>
      <c r="AY1469" s="171">
        <f t="shared" si="505"/>
        <v>0</v>
      </c>
      <c r="AZ1469" s="171">
        <f t="shared" si="506"/>
        <v>1</v>
      </c>
      <c r="BA1469" s="172">
        <f t="shared" si="507"/>
        <v>1</v>
      </c>
      <c r="BB1469" s="175">
        <f t="shared" si="508"/>
        <v>17</v>
      </c>
      <c r="BC1469" s="176">
        <f t="shared" si="509"/>
        <v>16</v>
      </c>
      <c r="BD1469" s="176">
        <f t="shared" si="510"/>
        <v>17</v>
      </c>
      <c r="BE1469" s="240" t="str">
        <f t="shared" si="501"/>
        <v/>
      </c>
      <c r="BF1469" s="990"/>
      <c r="BG1469" s="990"/>
      <c r="BH1469" s="991">
        <f>IF(AND(Input_Product=Elig!$C1469,Elig_MatchAll_Ct&lt;22,$BC1469=(Elig_MatchAll_Ct-1),AF1469=0),C1469,0)</f>
        <v>0</v>
      </c>
      <c r="BI1469" s="991">
        <f>IF(AND(Input_Product=Elig!$C1469,Elig_MatchAll_Ct&lt;22,$BC1469=(Elig_MatchAll_Ct-1),AG1469=0),D1469,0)</f>
        <v>0</v>
      </c>
      <c r="BJ1469" s="991">
        <f>IF(AND(Input_Product=Elig!$C1469,Elig_MatchAll_Ct&lt;22,$BC1469=(Elig_MatchAll_Ct-1),AH1469=0),E1469,0)</f>
        <v>0</v>
      </c>
      <c r="BK1469" s="991">
        <f>IF(AND(Input_Product=Elig!$C1469,Elig_MatchAll_Ct&lt;22,$BC1469=(Elig_MatchAll_Ct-1),AI1469=0),F1469,0)</f>
        <v>0</v>
      </c>
      <c r="BL1469" s="991">
        <f>IF(AND(Input_Product=Elig!$C1469,Elig_MatchAll_Ct&lt;22,$BC1469=(Elig_MatchAll_Ct-1),AJ1469=0),G1469,0)</f>
        <v>0</v>
      </c>
      <c r="BM1469" s="991">
        <f>IF(AND(Input_Product=Elig!$C1469,Elig_MatchAll_Ct&lt;22,$BC1469=(Elig_MatchAll_Ct-1),AK1469=0),H1469,0)</f>
        <v>0</v>
      </c>
      <c r="BN1469" s="991">
        <f>IF(AND(Input_Product=Elig!$C1469,Elig_MatchAll_Ct&lt;22,$BC1469=(Elig_MatchAll_Ct-1),AL1469=0),I1469,0)</f>
        <v>0</v>
      </c>
      <c r="BO1469" s="991">
        <f>IF(AND(Input_Product=Elig!$C1469,Elig_MatchAll_Ct&lt;22,$BC1469=(Elig_MatchAll_Ct-1),AM1469=0),J1469,0)</f>
        <v>0</v>
      </c>
      <c r="BP1469" s="991">
        <f>IF(AND(Input_Product=Elig!$C1469,Elig_MatchAll_Ct&lt;22,$BC1469=(Elig_MatchAll_Ct-1),AN1469=0),K1469,0)</f>
        <v>0</v>
      </c>
      <c r="BQ1469" s="991">
        <f>IF(AND(Input_Product=Elig!$C1469,Elig_MatchAll_Ct&lt;22,$BC1469=(Elig_MatchAll_Ct-1),AP1469=0),L1469,0)</f>
        <v>0</v>
      </c>
      <c r="BR1469" s="991">
        <f>IF(AND(Input_Product=Elig!$C1469,Elig_MatchAll_Ct&lt;22,$BC1469=(Elig_MatchAll_Ct-1),AO1469=0),M1469,0)</f>
        <v>0</v>
      </c>
      <c r="BS1469" s="991">
        <f>IF(AND(Input_Product=Elig!$C1469,Elig_MatchAll_Ct&lt;22,$BC1469=(Elig_MatchAll_Ct-1),AQ1469=0),N1469,0)</f>
        <v>0</v>
      </c>
      <c r="BT1469" s="991">
        <f>IF(AND(Input_Product=Elig!$C1469,Elig_MatchAll_Ct&lt;22,$BC1469=(Elig_MatchAll_Ct-1),AR1469=0),O1469,0)</f>
        <v>0</v>
      </c>
      <c r="BU1469" s="991">
        <f>IF(AND(Input_Product=Elig!$C1469,Elig_MatchAll_Ct&lt;22,$BC1469=(Elig_MatchAll_Ct-1),AS1469=0),P1469,0)</f>
        <v>0</v>
      </c>
      <c r="BV1469" s="992">
        <f>IF(AND(Input_Product=Elig!$C1469,Elig_MatchAll_Ct&lt;22,$BC1469=(Elig_MatchAll_Ct-1),AT1469=0),Q1469,0)</f>
        <v>0</v>
      </c>
      <c r="BW1469" s="993">
        <f>IF(AND(Input_Product=Elig!$C1469,Elig_MatchAll_Ct&lt;22,$BC1469=(Elig_MatchAll_Ct-1),AU1469=0),R1469,0)</f>
        <v>0</v>
      </c>
      <c r="BX1469" s="994">
        <f>IF(AND(Input_Product=Elig!$C1469,Elig_MatchAll_Ct&lt;22,$BC1469=(Elig_MatchAll_Ct-1),AU1469=0),S1469,0)</f>
        <v>0</v>
      </c>
      <c r="BY1469" s="993">
        <f>IF(AND(Input_Product=Elig!$C1469,Elig_MatchAll_Ct&lt;22,$BC1469=(Elig_MatchAll_Ct-1),AV1469=0),T1469,0)</f>
        <v>0</v>
      </c>
      <c r="BZ1469" s="994">
        <f>IF(AND(Input_Product=Elig!$C1469,Elig_MatchAll_Ct&lt;22,$BC1469=(Elig_MatchAll_Ct-1),AV1469=0),U1469,0)</f>
        <v>0</v>
      </c>
      <c r="CA1469" s="993">
        <f>IF(AND(Input_Product=Elig!$C1469,Elig_MatchAll_Ct&lt;22,$BC1469=(Elig_MatchAll_Ct-1),AW1469=0),V1469,0)</f>
        <v>0</v>
      </c>
      <c r="CB1469" s="994">
        <f>IF(AND(Input_Product=Elig!$C1469,Elig_MatchAll_Ct&lt;22,$BC1469=(Elig_MatchAll_Ct-1),AW1469=0),W1469,0)</f>
        <v>0</v>
      </c>
      <c r="CC1469" s="993">
        <f>IF(AND(Input_Product=Elig!$C1469,Elig_MatchAll_Ct&lt;22,$BC1469=(Elig_MatchAll_Ct-1),AX1469=0),X1469,0)</f>
        <v>0</v>
      </c>
      <c r="CD1469" s="994">
        <f>IF(AND(Input_Product=Elig!$C1469,Elig_MatchAll_Ct&lt;22,$BC1469=(Elig_MatchAll_Ct-1),AX1469=0),Y1469,0)</f>
        <v>0</v>
      </c>
      <c r="CE1469" s="993">
        <f>IF(AND(Input_LTV&lt;=AE1469,Input_Product=Elig!$C1469,Elig_MatchAll_Ct&lt;22,$BC1469=(Elig_MatchAll_Ct-1),AY1469=0),Z1469,0)</f>
        <v>0</v>
      </c>
      <c r="CF1469" s="994">
        <f>IF(AND(Input_LTV&lt;=AE1469,Input_Product=Elig!$C1469,Elig_MatchAll_Ct&lt;22,$BC1469=(Elig_MatchAll_Ct-1),AY1469=0),AA1469,0)</f>
        <v>0</v>
      </c>
      <c r="CG1469" s="993">
        <f>IF(AND(Input_Product=Elig!$C1469,Elig_MatchAll_Ct&lt;22,$BC1469=(Elig_MatchAll_Ct-1),AZ1469=0),AB1469,0)</f>
        <v>0</v>
      </c>
      <c r="CH1469" s="994">
        <f>IF(AND(Input_Product=Elig!$C1469,Elig_MatchAll_Ct&lt;22,$BC1469=(Elig_MatchAll_Ct-1),AZ1469=0),AC1469,0)</f>
        <v>0</v>
      </c>
      <c r="CI1469" s="993">
        <f>IF(AND(Input_Product=Elig!$C1469,Elig_MatchAll_Ct&lt;22,$BC1469=(Elig_MatchAll_Ct-1),BA1469=0),AD1469,0)</f>
        <v>0</v>
      </c>
      <c r="CJ1469" s="994">
        <f>IF(AND(Input_Product=Elig!$C1469,Elig_MatchAll_Ct&lt;22,$BC1469=(Elig_MatchAll_Ct-1),BA1469=0),AE1469,0)</f>
        <v>0</v>
      </c>
    </row>
    <row r="1470" spans="2:88" ht="10.15" customHeight="1" x14ac:dyDescent="0.25">
      <c r="B1470" s="1554" t="s">
        <v>3743</v>
      </c>
      <c r="C1470" s="1554" t="str">
        <f t="shared" si="511"/>
        <v xml:space="preserve">  NOO</v>
      </c>
      <c r="D1470" s="1554" t="s">
        <v>2764</v>
      </c>
      <c r="E1470" s="1554" t="s">
        <v>167</v>
      </c>
      <c r="F1470" s="1554" t="s">
        <v>2765</v>
      </c>
      <c r="G1470" s="1554" t="s">
        <v>2810</v>
      </c>
      <c r="H1470" s="1554" t="s">
        <v>2767</v>
      </c>
      <c r="I1470" s="1555" t="s">
        <v>34</v>
      </c>
      <c r="J1470" s="1555" t="s">
        <v>1311</v>
      </c>
      <c r="K1470" s="1555" t="s">
        <v>3023</v>
      </c>
      <c r="L1470" s="1554" t="s">
        <v>3920</v>
      </c>
      <c r="M1470" s="1554" t="s">
        <v>4203</v>
      </c>
      <c r="N1470" s="1554" t="s">
        <v>2685</v>
      </c>
      <c r="O1470" s="1554" t="s">
        <v>310</v>
      </c>
      <c r="P1470" s="1554" t="s">
        <v>291</v>
      </c>
      <c r="Q1470" s="1554" t="s">
        <v>294</v>
      </c>
      <c r="R1470" s="1554">
        <v>150000</v>
      </c>
      <c r="S1470" s="1554">
        <v>1000000</v>
      </c>
      <c r="T1470" s="1554">
        <v>0</v>
      </c>
      <c r="U1470" s="1554">
        <v>0</v>
      </c>
      <c r="V1470" s="1554">
        <v>0</v>
      </c>
      <c r="W1470" s="1554">
        <v>50</v>
      </c>
      <c r="X1470" s="1554">
        <v>0</v>
      </c>
      <c r="Y1470" s="1554">
        <v>0</v>
      </c>
      <c r="Z1470" s="1556">
        <v>660</v>
      </c>
      <c r="AA1470" s="1556">
        <v>679</v>
      </c>
      <c r="AB1470" s="1556">
        <v>3</v>
      </c>
      <c r="AC1470" s="1556">
        <v>999999</v>
      </c>
      <c r="AD1470" s="1554">
        <v>0</v>
      </c>
      <c r="AE1470" s="1557">
        <v>80</v>
      </c>
      <c r="AF1470" s="170">
        <v>0</v>
      </c>
      <c r="AG1470" s="171">
        <v>1</v>
      </c>
      <c r="AH1470" s="171">
        <v>1</v>
      </c>
      <c r="AI1470" s="171">
        <v>1</v>
      </c>
      <c r="AJ1470" s="171">
        <v>1</v>
      </c>
      <c r="AK1470" s="171">
        <v>1</v>
      </c>
      <c r="AL1470" s="171">
        <v>0</v>
      </c>
      <c r="AM1470" s="171">
        <v>1</v>
      </c>
      <c r="AN1470" s="171">
        <v>1</v>
      </c>
      <c r="AO1470" s="171">
        <v>1</v>
      </c>
      <c r="AP1470" s="171">
        <v>1</v>
      </c>
      <c r="AQ1470" s="171">
        <v>1</v>
      </c>
      <c r="AR1470" s="171">
        <v>1</v>
      </c>
      <c r="AS1470" s="171">
        <v>1</v>
      </c>
      <c r="AT1470" s="171">
        <v>1</v>
      </c>
      <c r="AU1470" s="171">
        <f t="shared" si="502"/>
        <v>1</v>
      </c>
      <c r="AV1470" s="171">
        <f t="shared" si="503"/>
        <v>0</v>
      </c>
      <c r="AW1470" s="171">
        <f t="shared" si="504"/>
        <v>1</v>
      </c>
      <c r="AX1470" s="171">
        <f t="shared" si="499"/>
        <v>1</v>
      </c>
      <c r="AY1470" s="171">
        <f t="shared" si="505"/>
        <v>0</v>
      </c>
      <c r="AZ1470" s="171">
        <f t="shared" si="506"/>
        <v>1</v>
      </c>
      <c r="BA1470" s="172">
        <f t="shared" si="507"/>
        <v>1</v>
      </c>
      <c r="BB1470" s="175">
        <f t="shared" si="508"/>
        <v>18</v>
      </c>
      <c r="BC1470" s="176">
        <f t="shared" si="509"/>
        <v>17</v>
      </c>
      <c r="BD1470" s="176">
        <f t="shared" si="510"/>
        <v>18</v>
      </c>
      <c r="BE1470" s="240" t="str">
        <f t="shared" si="501"/>
        <v/>
      </c>
      <c r="BF1470" s="990"/>
      <c r="BG1470" s="990"/>
      <c r="BH1470" s="991">
        <f>IF(AND(Input_Product=Elig!$C1470,Elig_MatchAll_Ct&lt;22,$BC1470=(Elig_MatchAll_Ct-1),AF1470=0),C1470,0)</f>
        <v>0</v>
      </c>
      <c r="BI1470" s="991">
        <f>IF(AND(Input_Product=Elig!$C1470,Elig_MatchAll_Ct&lt;22,$BC1470=(Elig_MatchAll_Ct-1),AG1470=0),D1470,0)</f>
        <v>0</v>
      </c>
      <c r="BJ1470" s="991">
        <f>IF(AND(Input_Product=Elig!$C1470,Elig_MatchAll_Ct&lt;22,$BC1470=(Elig_MatchAll_Ct-1),AH1470=0),E1470,0)</f>
        <v>0</v>
      </c>
      <c r="BK1470" s="991">
        <f>IF(AND(Input_Product=Elig!$C1470,Elig_MatchAll_Ct&lt;22,$BC1470=(Elig_MatchAll_Ct-1),AI1470=0),F1470,0)</f>
        <v>0</v>
      </c>
      <c r="BL1470" s="991">
        <f>IF(AND(Input_Product=Elig!$C1470,Elig_MatchAll_Ct&lt;22,$BC1470=(Elig_MatchAll_Ct-1),AJ1470=0),G1470,0)</f>
        <v>0</v>
      </c>
      <c r="BM1470" s="991">
        <f>IF(AND(Input_Product=Elig!$C1470,Elig_MatchAll_Ct&lt;22,$BC1470=(Elig_MatchAll_Ct-1),AK1470=0),H1470,0)</f>
        <v>0</v>
      </c>
      <c r="BN1470" s="991">
        <f>IF(AND(Input_Product=Elig!$C1470,Elig_MatchAll_Ct&lt;22,$BC1470=(Elig_MatchAll_Ct-1),AL1470=0),I1470,0)</f>
        <v>0</v>
      </c>
      <c r="BO1470" s="991">
        <f>IF(AND(Input_Product=Elig!$C1470,Elig_MatchAll_Ct&lt;22,$BC1470=(Elig_MatchAll_Ct-1),AM1470=0),J1470,0)</f>
        <v>0</v>
      </c>
      <c r="BP1470" s="991">
        <f>IF(AND(Input_Product=Elig!$C1470,Elig_MatchAll_Ct&lt;22,$BC1470=(Elig_MatchAll_Ct-1),AN1470=0),K1470,0)</f>
        <v>0</v>
      </c>
      <c r="BQ1470" s="991">
        <f>IF(AND(Input_Product=Elig!$C1470,Elig_MatchAll_Ct&lt;22,$BC1470=(Elig_MatchAll_Ct-1),AP1470=0),L1470,0)</f>
        <v>0</v>
      </c>
      <c r="BR1470" s="991">
        <f>IF(AND(Input_Product=Elig!$C1470,Elig_MatchAll_Ct&lt;22,$BC1470=(Elig_MatchAll_Ct-1),AO1470=0),M1470,0)</f>
        <v>0</v>
      </c>
      <c r="BS1470" s="991">
        <f>IF(AND(Input_Product=Elig!$C1470,Elig_MatchAll_Ct&lt;22,$BC1470=(Elig_MatchAll_Ct-1),AQ1470=0),N1470,0)</f>
        <v>0</v>
      </c>
      <c r="BT1470" s="991">
        <f>IF(AND(Input_Product=Elig!$C1470,Elig_MatchAll_Ct&lt;22,$BC1470=(Elig_MatchAll_Ct-1),AR1470=0),O1470,0)</f>
        <v>0</v>
      </c>
      <c r="BU1470" s="991">
        <f>IF(AND(Input_Product=Elig!$C1470,Elig_MatchAll_Ct&lt;22,$BC1470=(Elig_MatchAll_Ct-1),AS1470=0),P1470,0)</f>
        <v>0</v>
      </c>
      <c r="BV1470" s="992">
        <f>IF(AND(Input_Product=Elig!$C1470,Elig_MatchAll_Ct&lt;22,$BC1470=(Elig_MatchAll_Ct-1),AT1470=0),Q1470,0)</f>
        <v>0</v>
      </c>
      <c r="BW1470" s="993">
        <f>IF(AND(Input_Product=Elig!$C1470,Elig_MatchAll_Ct&lt;22,$BC1470=(Elig_MatchAll_Ct-1),AU1470=0),R1470,0)</f>
        <v>0</v>
      </c>
      <c r="BX1470" s="994">
        <f>IF(AND(Input_Product=Elig!$C1470,Elig_MatchAll_Ct&lt;22,$BC1470=(Elig_MatchAll_Ct-1),AU1470=0),S1470,0)</f>
        <v>0</v>
      </c>
      <c r="BY1470" s="993">
        <f>IF(AND(Input_Product=Elig!$C1470,Elig_MatchAll_Ct&lt;22,$BC1470=(Elig_MatchAll_Ct-1),AV1470=0),T1470,0)</f>
        <v>0</v>
      </c>
      <c r="BZ1470" s="994">
        <f>IF(AND(Input_Product=Elig!$C1470,Elig_MatchAll_Ct&lt;22,$BC1470=(Elig_MatchAll_Ct-1),AV1470=0),U1470,0)</f>
        <v>0</v>
      </c>
      <c r="CA1470" s="993">
        <f>IF(AND(Input_Product=Elig!$C1470,Elig_MatchAll_Ct&lt;22,$BC1470=(Elig_MatchAll_Ct-1),AW1470=0),V1470,0)</f>
        <v>0</v>
      </c>
      <c r="CB1470" s="994">
        <f>IF(AND(Input_Product=Elig!$C1470,Elig_MatchAll_Ct&lt;22,$BC1470=(Elig_MatchAll_Ct-1),AW1470=0),W1470,0)</f>
        <v>0</v>
      </c>
      <c r="CC1470" s="993">
        <f>IF(AND(Input_Product=Elig!$C1470,Elig_MatchAll_Ct&lt;22,$BC1470=(Elig_MatchAll_Ct-1),AX1470=0),X1470,0)</f>
        <v>0</v>
      </c>
      <c r="CD1470" s="994">
        <f>IF(AND(Input_Product=Elig!$C1470,Elig_MatchAll_Ct&lt;22,$BC1470=(Elig_MatchAll_Ct-1),AX1470=0),Y1470,0)</f>
        <v>0</v>
      </c>
      <c r="CE1470" s="993">
        <f>IF(AND(Input_LTV&lt;=AE1470,Input_Product=Elig!$C1470,Elig_MatchAll_Ct&lt;22,$BC1470=(Elig_MatchAll_Ct-1),AY1470=0),Z1470,0)</f>
        <v>0</v>
      </c>
      <c r="CF1470" s="994">
        <f>IF(AND(Input_LTV&lt;=AE1470,Input_Product=Elig!$C1470,Elig_MatchAll_Ct&lt;22,$BC1470=(Elig_MatchAll_Ct-1),AY1470=0),AA1470,0)</f>
        <v>0</v>
      </c>
      <c r="CG1470" s="993">
        <f>IF(AND(Input_Product=Elig!$C1470,Elig_MatchAll_Ct&lt;22,$BC1470=(Elig_MatchAll_Ct-1),AZ1470=0),AB1470,0)</f>
        <v>0</v>
      </c>
      <c r="CH1470" s="994">
        <f>IF(AND(Input_Product=Elig!$C1470,Elig_MatchAll_Ct&lt;22,$BC1470=(Elig_MatchAll_Ct-1),AZ1470=0),AC1470,0)</f>
        <v>0</v>
      </c>
      <c r="CI1470" s="993">
        <f>IF(AND(Input_Product=Elig!$C1470,Elig_MatchAll_Ct&lt;22,$BC1470=(Elig_MatchAll_Ct-1),BA1470=0),AD1470,0)</f>
        <v>0</v>
      </c>
      <c r="CJ1470" s="994">
        <f>IF(AND(Input_Product=Elig!$C1470,Elig_MatchAll_Ct&lt;22,$BC1470=(Elig_MatchAll_Ct-1),BA1470=0),AE1470,0)</f>
        <v>0</v>
      </c>
    </row>
    <row r="1471" spans="2:88" ht="10.15" customHeight="1" x14ac:dyDescent="0.25">
      <c r="B1471" s="1554" t="s">
        <v>3744</v>
      </c>
      <c r="C1471" s="1554" t="str">
        <f t="shared" si="511"/>
        <v xml:space="preserve">  NOO</v>
      </c>
      <c r="D1471" s="1554" t="s">
        <v>2764</v>
      </c>
      <c r="E1471" s="1554" t="s">
        <v>167</v>
      </c>
      <c r="F1471" s="1554" t="s">
        <v>2765</v>
      </c>
      <c r="G1471" s="1554" t="s">
        <v>2810</v>
      </c>
      <c r="H1471" s="1554" t="s">
        <v>2767</v>
      </c>
      <c r="I1471" s="1555" t="s">
        <v>34</v>
      </c>
      <c r="J1471" s="1555" t="s">
        <v>1311</v>
      </c>
      <c r="K1471" s="1555" t="s">
        <v>3023</v>
      </c>
      <c r="L1471" s="1554" t="s">
        <v>3920</v>
      </c>
      <c r="M1471" s="1554" t="s">
        <v>4203</v>
      </c>
      <c r="N1471" s="1554" t="s">
        <v>2685</v>
      </c>
      <c r="O1471" s="1554" t="s">
        <v>310</v>
      </c>
      <c r="P1471" s="1554" t="s">
        <v>291</v>
      </c>
      <c r="Q1471" s="1554" t="s">
        <v>294</v>
      </c>
      <c r="R1471" s="1554">
        <v>1000000.01</v>
      </c>
      <c r="S1471" s="1554">
        <v>1500000</v>
      </c>
      <c r="T1471" s="1554">
        <v>0</v>
      </c>
      <c r="U1471" s="1554">
        <v>0</v>
      </c>
      <c r="V1471" s="1554">
        <v>0</v>
      </c>
      <c r="W1471" s="1554">
        <v>50</v>
      </c>
      <c r="X1471" s="1554">
        <v>0</v>
      </c>
      <c r="Y1471" s="1554">
        <v>0</v>
      </c>
      <c r="Z1471" s="1556">
        <v>660</v>
      </c>
      <c r="AA1471" s="1556">
        <v>679</v>
      </c>
      <c r="AB1471" s="1556">
        <v>3</v>
      </c>
      <c r="AC1471" s="1556">
        <v>999999</v>
      </c>
      <c r="AD1471" s="1554">
        <v>0</v>
      </c>
      <c r="AE1471" s="1557">
        <v>80</v>
      </c>
      <c r="AF1471" s="170">
        <v>0</v>
      </c>
      <c r="AG1471" s="171">
        <v>1</v>
      </c>
      <c r="AH1471" s="171">
        <v>1</v>
      </c>
      <c r="AI1471" s="171">
        <v>1</v>
      </c>
      <c r="AJ1471" s="171">
        <v>1</v>
      </c>
      <c r="AK1471" s="171">
        <v>1</v>
      </c>
      <c r="AL1471" s="171">
        <v>0</v>
      </c>
      <c r="AM1471" s="171">
        <v>1</v>
      </c>
      <c r="AN1471" s="171">
        <v>1</v>
      </c>
      <c r="AO1471" s="171">
        <v>1</v>
      </c>
      <c r="AP1471" s="171">
        <v>1</v>
      </c>
      <c r="AQ1471" s="171">
        <v>1</v>
      </c>
      <c r="AR1471" s="171">
        <v>1</v>
      </c>
      <c r="AS1471" s="171">
        <v>1</v>
      </c>
      <c r="AT1471" s="171">
        <v>1</v>
      </c>
      <c r="AU1471" s="171">
        <f t="shared" si="502"/>
        <v>0</v>
      </c>
      <c r="AV1471" s="171">
        <f t="shared" si="503"/>
        <v>0</v>
      </c>
      <c r="AW1471" s="171">
        <f t="shared" si="504"/>
        <v>1</v>
      </c>
      <c r="AX1471" s="171">
        <f t="shared" si="499"/>
        <v>1</v>
      </c>
      <c r="AY1471" s="171">
        <f t="shared" si="505"/>
        <v>0</v>
      </c>
      <c r="AZ1471" s="171">
        <f t="shared" si="506"/>
        <v>1</v>
      </c>
      <c r="BA1471" s="172">
        <f t="shared" si="507"/>
        <v>1</v>
      </c>
      <c r="BB1471" s="175">
        <f t="shared" si="508"/>
        <v>17</v>
      </c>
      <c r="BC1471" s="176">
        <f t="shared" si="509"/>
        <v>16</v>
      </c>
      <c r="BD1471" s="176">
        <f t="shared" si="510"/>
        <v>17</v>
      </c>
      <c r="BE1471" s="240" t="str">
        <f t="shared" si="501"/>
        <v/>
      </c>
      <c r="BF1471" s="990"/>
      <c r="BG1471" s="990"/>
      <c r="BH1471" s="991">
        <f>IF(AND(Input_Product=Elig!$C1471,Elig_MatchAll_Ct&lt;22,$BC1471=(Elig_MatchAll_Ct-1),AF1471=0),C1471,0)</f>
        <v>0</v>
      </c>
      <c r="BI1471" s="991">
        <f>IF(AND(Input_Product=Elig!$C1471,Elig_MatchAll_Ct&lt;22,$BC1471=(Elig_MatchAll_Ct-1),AG1471=0),D1471,0)</f>
        <v>0</v>
      </c>
      <c r="BJ1471" s="991">
        <f>IF(AND(Input_Product=Elig!$C1471,Elig_MatchAll_Ct&lt;22,$BC1471=(Elig_MatchAll_Ct-1),AH1471=0),E1471,0)</f>
        <v>0</v>
      </c>
      <c r="BK1471" s="991">
        <f>IF(AND(Input_Product=Elig!$C1471,Elig_MatchAll_Ct&lt;22,$BC1471=(Elig_MatchAll_Ct-1),AI1471=0),F1471,0)</f>
        <v>0</v>
      </c>
      <c r="BL1471" s="991">
        <f>IF(AND(Input_Product=Elig!$C1471,Elig_MatchAll_Ct&lt;22,$BC1471=(Elig_MatchAll_Ct-1),AJ1471=0),G1471,0)</f>
        <v>0</v>
      </c>
      <c r="BM1471" s="991">
        <f>IF(AND(Input_Product=Elig!$C1471,Elig_MatchAll_Ct&lt;22,$BC1471=(Elig_MatchAll_Ct-1),AK1471=0),H1471,0)</f>
        <v>0</v>
      </c>
      <c r="BN1471" s="991">
        <f>IF(AND(Input_Product=Elig!$C1471,Elig_MatchAll_Ct&lt;22,$BC1471=(Elig_MatchAll_Ct-1),AL1471=0),I1471,0)</f>
        <v>0</v>
      </c>
      <c r="BO1471" s="991">
        <f>IF(AND(Input_Product=Elig!$C1471,Elig_MatchAll_Ct&lt;22,$BC1471=(Elig_MatchAll_Ct-1),AM1471=0),J1471,0)</f>
        <v>0</v>
      </c>
      <c r="BP1471" s="991">
        <f>IF(AND(Input_Product=Elig!$C1471,Elig_MatchAll_Ct&lt;22,$BC1471=(Elig_MatchAll_Ct-1),AN1471=0),K1471,0)</f>
        <v>0</v>
      </c>
      <c r="BQ1471" s="991">
        <f>IF(AND(Input_Product=Elig!$C1471,Elig_MatchAll_Ct&lt;22,$BC1471=(Elig_MatchAll_Ct-1),AP1471=0),L1471,0)</f>
        <v>0</v>
      </c>
      <c r="BR1471" s="991">
        <f>IF(AND(Input_Product=Elig!$C1471,Elig_MatchAll_Ct&lt;22,$BC1471=(Elig_MatchAll_Ct-1),AO1471=0),M1471,0)</f>
        <v>0</v>
      </c>
      <c r="BS1471" s="991">
        <f>IF(AND(Input_Product=Elig!$C1471,Elig_MatchAll_Ct&lt;22,$BC1471=(Elig_MatchAll_Ct-1),AQ1471=0),N1471,0)</f>
        <v>0</v>
      </c>
      <c r="BT1471" s="991">
        <f>IF(AND(Input_Product=Elig!$C1471,Elig_MatchAll_Ct&lt;22,$BC1471=(Elig_MatchAll_Ct-1),AR1471=0),O1471,0)</f>
        <v>0</v>
      </c>
      <c r="BU1471" s="991">
        <f>IF(AND(Input_Product=Elig!$C1471,Elig_MatchAll_Ct&lt;22,$BC1471=(Elig_MatchAll_Ct-1),AS1471=0),P1471,0)</f>
        <v>0</v>
      </c>
      <c r="BV1471" s="992">
        <f>IF(AND(Input_Product=Elig!$C1471,Elig_MatchAll_Ct&lt;22,$BC1471=(Elig_MatchAll_Ct-1),AT1471=0),Q1471,0)</f>
        <v>0</v>
      </c>
      <c r="BW1471" s="993">
        <f>IF(AND(Input_Product=Elig!$C1471,Elig_MatchAll_Ct&lt;22,$BC1471=(Elig_MatchAll_Ct-1),AU1471=0),R1471,0)</f>
        <v>0</v>
      </c>
      <c r="BX1471" s="994">
        <f>IF(AND(Input_Product=Elig!$C1471,Elig_MatchAll_Ct&lt;22,$BC1471=(Elig_MatchAll_Ct-1),AU1471=0),S1471,0)</f>
        <v>0</v>
      </c>
      <c r="BY1471" s="993">
        <f>IF(AND(Input_Product=Elig!$C1471,Elig_MatchAll_Ct&lt;22,$BC1471=(Elig_MatchAll_Ct-1),AV1471=0),T1471,0)</f>
        <v>0</v>
      </c>
      <c r="BZ1471" s="994">
        <f>IF(AND(Input_Product=Elig!$C1471,Elig_MatchAll_Ct&lt;22,$BC1471=(Elig_MatchAll_Ct-1),AV1471=0),U1471,0)</f>
        <v>0</v>
      </c>
      <c r="CA1471" s="993">
        <f>IF(AND(Input_Product=Elig!$C1471,Elig_MatchAll_Ct&lt;22,$BC1471=(Elig_MatchAll_Ct-1),AW1471=0),V1471,0)</f>
        <v>0</v>
      </c>
      <c r="CB1471" s="994">
        <f>IF(AND(Input_Product=Elig!$C1471,Elig_MatchAll_Ct&lt;22,$BC1471=(Elig_MatchAll_Ct-1),AW1471=0),W1471,0)</f>
        <v>0</v>
      </c>
      <c r="CC1471" s="993">
        <f>IF(AND(Input_Product=Elig!$C1471,Elig_MatchAll_Ct&lt;22,$BC1471=(Elig_MatchAll_Ct-1),AX1471=0),X1471,0)</f>
        <v>0</v>
      </c>
      <c r="CD1471" s="994">
        <f>IF(AND(Input_Product=Elig!$C1471,Elig_MatchAll_Ct&lt;22,$BC1471=(Elig_MatchAll_Ct-1),AX1471=0),Y1471,0)</f>
        <v>0</v>
      </c>
      <c r="CE1471" s="993">
        <f>IF(AND(Input_LTV&lt;=AE1471,Input_Product=Elig!$C1471,Elig_MatchAll_Ct&lt;22,$BC1471=(Elig_MatchAll_Ct-1),AY1471=0),Z1471,0)</f>
        <v>0</v>
      </c>
      <c r="CF1471" s="994">
        <f>IF(AND(Input_LTV&lt;=AE1471,Input_Product=Elig!$C1471,Elig_MatchAll_Ct&lt;22,$BC1471=(Elig_MatchAll_Ct-1),AY1471=0),AA1471,0)</f>
        <v>0</v>
      </c>
      <c r="CG1471" s="993">
        <f>IF(AND(Input_Product=Elig!$C1471,Elig_MatchAll_Ct&lt;22,$BC1471=(Elig_MatchAll_Ct-1),AZ1471=0),AB1471,0)</f>
        <v>0</v>
      </c>
      <c r="CH1471" s="994">
        <f>IF(AND(Input_Product=Elig!$C1471,Elig_MatchAll_Ct&lt;22,$BC1471=(Elig_MatchAll_Ct-1),AZ1471=0),AC1471,0)</f>
        <v>0</v>
      </c>
      <c r="CI1471" s="993">
        <f>IF(AND(Input_Product=Elig!$C1471,Elig_MatchAll_Ct&lt;22,$BC1471=(Elig_MatchAll_Ct-1),BA1471=0),AD1471,0)</f>
        <v>0</v>
      </c>
      <c r="CJ1471" s="994">
        <f>IF(AND(Input_Product=Elig!$C1471,Elig_MatchAll_Ct&lt;22,$BC1471=(Elig_MatchAll_Ct-1),BA1471=0),AE1471,0)</f>
        <v>0</v>
      </c>
    </row>
    <row r="1472" spans="2:88" ht="10.15" customHeight="1" x14ac:dyDescent="0.25">
      <c r="B1472" s="1554" t="s">
        <v>3745</v>
      </c>
      <c r="C1472" s="1554" t="str">
        <f t="shared" si="511"/>
        <v xml:space="preserve">  NOO</v>
      </c>
      <c r="D1472" s="1554" t="s">
        <v>2764</v>
      </c>
      <c r="E1472" s="1554" t="s">
        <v>167</v>
      </c>
      <c r="F1472" s="1554" t="s">
        <v>2765</v>
      </c>
      <c r="G1472" s="1554" t="s">
        <v>2810</v>
      </c>
      <c r="H1472" s="1554" t="s">
        <v>2767</v>
      </c>
      <c r="I1472" s="1555" t="s">
        <v>34</v>
      </c>
      <c r="J1472" s="1555" t="s">
        <v>1311</v>
      </c>
      <c r="K1472" s="1555" t="s">
        <v>3023</v>
      </c>
      <c r="L1472" s="1554" t="s">
        <v>3920</v>
      </c>
      <c r="M1472" s="1554" t="s">
        <v>4203</v>
      </c>
      <c r="N1472" s="1554" t="s">
        <v>2685</v>
      </c>
      <c r="O1472" s="1554" t="s">
        <v>310</v>
      </c>
      <c r="P1472" s="1554" t="s">
        <v>291</v>
      </c>
      <c r="Q1472" s="1554" t="s">
        <v>294</v>
      </c>
      <c r="R1472" s="1554">
        <v>1500000.01</v>
      </c>
      <c r="S1472" s="1554">
        <v>2000000</v>
      </c>
      <c r="T1472" s="1554">
        <v>0</v>
      </c>
      <c r="U1472" s="1554">
        <v>0</v>
      </c>
      <c r="V1472" s="1554">
        <v>0</v>
      </c>
      <c r="W1472" s="1554">
        <v>50</v>
      </c>
      <c r="X1472" s="1554">
        <v>0</v>
      </c>
      <c r="Y1472" s="1554">
        <v>0</v>
      </c>
      <c r="Z1472" s="1556">
        <v>660</v>
      </c>
      <c r="AA1472" s="1556">
        <v>679</v>
      </c>
      <c r="AB1472" s="1556">
        <v>3</v>
      </c>
      <c r="AC1472" s="1556">
        <v>999999</v>
      </c>
      <c r="AD1472" s="1554">
        <v>0</v>
      </c>
      <c r="AE1472" s="1557">
        <v>70</v>
      </c>
      <c r="AF1472" s="170">
        <v>0</v>
      </c>
      <c r="AG1472" s="171">
        <v>1</v>
      </c>
      <c r="AH1472" s="171">
        <v>1</v>
      </c>
      <c r="AI1472" s="171">
        <v>1</v>
      </c>
      <c r="AJ1472" s="171">
        <v>1</v>
      </c>
      <c r="AK1472" s="171">
        <v>1</v>
      </c>
      <c r="AL1472" s="171">
        <v>0</v>
      </c>
      <c r="AM1472" s="171">
        <v>1</v>
      </c>
      <c r="AN1472" s="171">
        <v>1</v>
      </c>
      <c r="AO1472" s="171">
        <v>1</v>
      </c>
      <c r="AP1472" s="171">
        <v>1</v>
      </c>
      <c r="AQ1472" s="171">
        <v>1</v>
      </c>
      <c r="AR1472" s="171">
        <v>1</v>
      </c>
      <c r="AS1472" s="171">
        <v>1</v>
      </c>
      <c r="AT1472" s="171">
        <v>1</v>
      </c>
      <c r="AU1472" s="171">
        <f t="shared" si="502"/>
        <v>0</v>
      </c>
      <c r="AV1472" s="171">
        <f t="shared" si="503"/>
        <v>0</v>
      </c>
      <c r="AW1472" s="171">
        <f t="shared" si="504"/>
        <v>1</v>
      </c>
      <c r="AX1472" s="171">
        <f t="shared" si="499"/>
        <v>1</v>
      </c>
      <c r="AY1472" s="171">
        <f t="shared" si="505"/>
        <v>0</v>
      </c>
      <c r="AZ1472" s="171">
        <f t="shared" si="506"/>
        <v>1</v>
      </c>
      <c r="BA1472" s="172">
        <f t="shared" si="507"/>
        <v>1</v>
      </c>
      <c r="BB1472" s="175">
        <f t="shared" si="508"/>
        <v>17</v>
      </c>
      <c r="BC1472" s="176">
        <f t="shared" si="509"/>
        <v>16</v>
      </c>
      <c r="BD1472" s="176">
        <f t="shared" si="510"/>
        <v>17</v>
      </c>
      <c r="BE1472" s="240" t="str">
        <f t="shared" si="501"/>
        <v/>
      </c>
      <c r="BF1472" s="990"/>
      <c r="BG1472" s="990"/>
      <c r="BH1472" s="991">
        <f>IF(AND(Input_Product=Elig!$C1472,Elig_MatchAll_Ct&lt;22,$BC1472=(Elig_MatchAll_Ct-1),AF1472=0),C1472,0)</f>
        <v>0</v>
      </c>
      <c r="BI1472" s="991">
        <f>IF(AND(Input_Product=Elig!$C1472,Elig_MatchAll_Ct&lt;22,$BC1472=(Elig_MatchAll_Ct-1),AG1472=0),D1472,0)</f>
        <v>0</v>
      </c>
      <c r="BJ1472" s="991">
        <f>IF(AND(Input_Product=Elig!$C1472,Elig_MatchAll_Ct&lt;22,$BC1472=(Elig_MatchAll_Ct-1),AH1472=0),E1472,0)</f>
        <v>0</v>
      </c>
      <c r="BK1472" s="991">
        <f>IF(AND(Input_Product=Elig!$C1472,Elig_MatchAll_Ct&lt;22,$BC1472=(Elig_MatchAll_Ct-1),AI1472=0),F1472,0)</f>
        <v>0</v>
      </c>
      <c r="BL1472" s="991">
        <f>IF(AND(Input_Product=Elig!$C1472,Elig_MatchAll_Ct&lt;22,$BC1472=(Elig_MatchAll_Ct-1),AJ1472=0),G1472,0)</f>
        <v>0</v>
      </c>
      <c r="BM1472" s="991">
        <f>IF(AND(Input_Product=Elig!$C1472,Elig_MatchAll_Ct&lt;22,$BC1472=(Elig_MatchAll_Ct-1),AK1472=0),H1472,0)</f>
        <v>0</v>
      </c>
      <c r="BN1472" s="991">
        <f>IF(AND(Input_Product=Elig!$C1472,Elig_MatchAll_Ct&lt;22,$BC1472=(Elig_MatchAll_Ct-1),AL1472=0),I1472,0)</f>
        <v>0</v>
      </c>
      <c r="BO1472" s="991">
        <f>IF(AND(Input_Product=Elig!$C1472,Elig_MatchAll_Ct&lt;22,$BC1472=(Elig_MatchAll_Ct-1),AM1472=0),J1472,0)</f>
        <v>0</v>
      </c>
      <c r="BP1472" s="991">
        <f>IF(AND(Input_Product=Elig!$C1472,Elig_MatchAll_Ct&lt;22,$BC1472=(Elig_MatchAll_Ct-1),AN1472=0),K1472,0)</f>
        <v>0</v>
      </c>
      <c r="BQ1472" s="991">
        <f>IF(AND(Input_Product=Elig!$C1472,Elig_MatchAll_Ct&lt;22,$BC1472=(Elig_MatchAll_Ct-1),AP1472=0),L1472,0)</f>
        <v>0</v>
      </c>
      <c r="BR1472" s="991">
        <f>IF(AND(Input_Product=Elig!$C1472,Elig_MatchAll_Ct&lt;22,$BC1472=(Elig_MatchAll_Ct-1),AO1472=0),M1472,0)</f>
        <v>0</v>
      </c>
      <c r="BS1472" s="991">
        <f>IF(AND(Input_Product=Elig!$C1472,Elig_MatchAll_Ct&lt;22,$BC1472=(Elig_MatchAll_Ct-1),AQ1472=0),N1472,0)</f>
        <v>0</v>
      </c>
      <c r="BT1472" s="991">
        <f>IF(AND(Input_Product=Elig!$C1472,Elig_MatchAll_Ct&lt;22,$BC1472=(Elig_MatchAll_Ct-1),AR1472=0),O1472,0)</f>
        <v>0</v>
      </c>
      <c r="BU1472" s="991">
        <f>IF(AND(Input_Product=Elig!$C1472,Elig_MatchAll_Ct&lt;22,$BC1472=(Elig_MatchAll_Ct-1),AS1472=0),P1472,0)</f>
        <v>0</v>
      </c>
      <c r="BV1472" s="992">
        <f>IF(AND(Input_Product=Elig!$C1472,Elig_MatchAll_Ct&lt;22,$BC1472=(Elig_MatchAll_Ct-1),AT1472=0),Q1472,0)</f>
        <v>0</v>
      </c>
      <c r="BW1472" s="993">
        <f>IF(AND(Input_Product=Elig!$C1472,Elig_MatchAll_Ct&lt;22,$BC1472=(Elig_MatchAll_Ct-1),AU1472=0),R1472,0)</f>
        <v>0</v>
      </c>
      <c r="BX1472" s="994">
        <f>IF(AND(Input_Product=Elig!$C1472,Elig_MatchAll_Ct&lt;22,$BC1472=(Elig_MatchAll_Ct-1),AU1472=0),S1472,0)</f>
        <v>0</v>
      </c>
      <c r="BY1472" s="993">
        <f>IF(AND(Input_Product=Elig!$C1472,Elig_MatchAll_Ct&lt;22,$BC1472=(Elig_MatchAll_Ct-1),AV1472=0),T1472,0)</f>
        <v>0</v>
      </c>
      <c r="BZ1472" s="994">
        <f>IF(AND(Input_Product=Elig!$C1472,Elig_MatchAll_Ct&lt;22,$BC1472=(Elig_MatchAll_Ct-1),AV1472=0),U1472,0)</f>
        <v>0</v>
      </c>
      <c r="CA1472" s="993">
        <f>IF(AND(Input_Product=Elig!$C1472,Elig_MatchAll_Ct&lt;22,$BC1472=(Elig_MatchAll_Ct-1),AW1472=0),V1472,0)</f>
        <v>0</v>
      </c>
      <c r="CB1472" s="994">
        <f>IF(AND(Input_Product=Elig!$C1472,Elig_MatchAll_Ct&lt;22,$BC1472=(Elig_MatchAll_Ct-1),AW1472=0),W1472,0)</f>
        <v>0</v>
      </c>
      <c r="CC1472" s="993">
        <f>IF(AND(Input_Product=Elig!$C1472,Elig_MatchAll_Ct&lt;22,$BC1472=(Elig_MatchAll_Ct-1),AX1472=0),X1472,0)</f>
        <v>0</v>
      </c>
      <c r="CD1472" s="994">
        <f>IF(AND(Input_Product=Elig!$C1472,Elig_MatchAll_Ct&lt;22,$BC1472=(Elig_MatchAll_Ct-1),AX1472=0),Y1472,0)</f>
        <v>0</v>
      </c>
      <c r="CE1472" s="993">
        <f>IF(AND(Input_LTV&lt;=AE1472,Input_Product=Elig!$C1472,Elig_MatchAll_Ct&lt;22,$BC1472=(Elig_MatchAll_Ct-1),AY1472=0),Z1472,0)</f>
        <v>0</v>
      </c>
      <c r="CF1472" s="994">
        <f>IF(AND(Input_LTV&lt;=AE1472,Input_Product=Elig!$C1472,Elig_MatchAll_Ct&lt;22,$BC1472=(Elig_MatchAll_Ct-1),AY1472=0),AA1472,0)</f>
        <v>0</v>
      </c>
      <c r="CG1472" s="993">
        <f>IF(AND(Input_Product=Elig!$C1472,Elig_MatchAll_Ct&lt;22,$BC1472=(Elig_MatchAll_Ct-1),AZ1472=0),AB1472,0)</f>
        <v>0</v>
      </c>
      <c r="CH1472" s="994">
        <f>IF(AND(Input_Product=Elig!$C1472,Elig_MatchAll_Ct&lt;22,$BC1472=(Elig_MatchAll_Ct-1),AZ1472=0),AC1472,0)</f>
        <v>0</v>
      </c>
      <c r="CI1472" s="993">
        <f>IF(AND(Input_Product=Elig!$C1472,Elig_MatchAll_Ct&lt;22,$BC1472=(Elig_MatchAll_Ct-1),BA1472=0),AD1472,0)</f>
        <v>0</v>
      </c>
      <c r="CJ1472" s="994">
        <f>IF(AND(Input_Product=Elig!$C1472,Elig_MatchAll_Ct&lt;22,$BC1472=(Elig_MatchAll_Ct-1),BA1472=0),AE1472,0)</f>
        <v>0</v>
      </c>
    </row>
    <row r="1473" spans="2:88" ht="10.15" customHeight="1" x14ac:dyDescent="0.25">
      <c r="B1473" s="1554" t="s">
        <v>3746</v>
      </c>
      <c r="C1473" s="1554" t="str">
        <f t="shared" si="511"/>
        <v xml:space="preserve">  NOO</v>
      </c>
      <c r="D1473" s="1554" t="s">
        <v>2764</v>
      </c>
      <c r="E1473" s="1554" t="s">
        <v>167</v>
      </c>
      <c r="F1473" s="1554" t="s">
        <v>2765</v>
      </c>
      <c r="G1473" s="1554" t="s">
        <v>2810</v>
      </c>
      <c r="H1473" s="1554" t="s">
        <v>2767</v>
      </c>
      <c r="I1473" s="1555" t="s">
        <v>34</v>
      </c>
      <c r="J1473" s="1555" t="s">
        <v>1311</v>
      </c>
      <c r="K1473" s="1555" t="s">
        <v>3023</v>
      </c>
      <c r="L1473" s="1554" t="s">
        <v>3920</v>
      </c>
      <c r="M1473" s="1554" t="s">
        <v>4203</v>
      </c>
      <c r="N1473" s="1554" t="s">
        <v>2685</v>
      </c>
      <c r="O1473" s="1554" t="s">
        <v>310</v>
      </c>
      <c r="P1473" s="1554" t="s">
        <v>291</v>
      </c>
      <c r="Q1473" s="1554" t="s">
        <v>294</v>
      </c>
      <c r="R1473" s="1554">
        <v>150000</v>
      </c>
      <c r="S1473" s="1554">
        <v>1000000</v>
      </c>
      <c r="T1473" s="1554">
        <v>0</v>
      </c>
      <c r="U1473" s="1554">
        <v>0</v>
      </c>
      <c r="V1473" s="1554">
        <v>0</v>
      </c>
      <c r="W1473" s="1554">
        <v>50</v>
      </c>
      <c r="X1473" s="1554">
        <v>0</v>
      </c>
      <c r="Y1473" s="1554">
        <v>0</v>
      </c>
      <c r="Z1473" s="1556">
        <v>640</v>
      </c>
      <c r="AA1473" s="1556">
        <v>659</v>
      </c>
      <c r="AB1473" s="1556">
        <v>3</v>
      </c>
      <c r="AC1473" s="1556">
        <v>999999</v>
      </c>
      <c r="AD1473" s="1554">
        <v>0</v>
      </c>
      <c r="AE1473" s="1557">
        <v>80</v>
      </c>
      <c r="AF1473" s="170">
        <v>0</v>
      </c>
      <c r="AG1473" s="171">
        <v>1</v>
      </c>
      <c r="AH1473" s="171">
        <v>1</v>
      </c>
      <c r="AI1473" s="171">
        <v>1</v>
      </c>
      <c r="AJ1473" s="171">
        <v>1</v>
      </c>
      <c r="AK1473" s="171">
        <v>1</v>
      </c>
      <c r="AL1473" s="171">
        <v>0</v>
      </c>
      <c r="AM1473" s="171">
        <v>1</v>
      </c>
      <c r="AN1473" s="171">
        <v>1</v>
      </c>
      <c r="AO1473" s="171">
        <v>1</v>
      </c>
      <c r="AP1473" s="171">
        <v>1</v>
      </c>
      <c r="AQ1473" s="171">
        <v>1</v>
      </c>
      <c r="AR1473" s="171">
        <v>1</v>
      </c>
      <c r="AS1473" s="171">
        <v>1</v>
      </c>
      <c r="AT1473" s="171">
        <v>1</v>
      </c>
      <c r="AU1473" s="171">
        <f t="shared" si="502"/>
        <v>1</v>
      </c>
      <c r="AV1473" s="171">
        <f t="shared" si="503"/>
        <v>0</v>
      </c>
      <c r="AW1473" s="171">
        <f t="shared" si="504"/>
        <v>1</v>
      </c>
      <c r="AX1473" s="171">
        <f t="shared" si="499"/>
        <v>1</v>
      </c>
      <c r="AY1473" s="171">
        <f t="shared" si="505"/>
        <v>0</v>
      </c>
      <c r="AZ1473" s="171">
        <f t="shared" si="506"/>
        <v>1</v>
      </c>
      <c r="BA1473" s="172">
        <f t="shared" si="507"/>
        <v>1</v>
      </c>
      <c r="BB1473" s="175">
        <f t="shared" si="508"/>
        <v>18</v>
      </c>
      <c r="BC1473" s="176">
        <f t="shared" si="509"/>
        <v>17</v>
      </c>
      <c r="BD1473" s="176">
        <f t="shared" si="510"/>
        <v>18</v>
      </c>
      <c r="BE1473" s="240" t="str">
        <f t="shared" si="501"/>
        <v/>
      </c>
      <c r="BF1473" s="990"/>
      <c r="BG1473" s="990"/>
      <c r="BH1473" s="991">
        <f>IF(AND(Input_Product=Elig!$C1473,Elig_MatchAll_Ct&lt;22,$BC1473=(Elig_MatchAll_Ct-1),AF1473=0),C1473,0)</f>
        <v>0</v>
      </c>
      <c r="BI1473" s="991">
        <f>IF(AND(Input_Product=Elig!$C1473,Elig_MatchAll_Ct&lt;22,$BC1473=(Elig_MatchAll_Ct-1),AG1473=0),D1473,0)</f>
        <v>0</v>
      </c>
      <c r="BJ1473" s="991">
        <f>IF(AND(Input_Product=Elig!$C1473,Elig_MatchAll_Ct&lt;22,$BC1473=(Elig_MatchAll_Ct-1),AH1473=0),E1473,0)</f>
        <v>0</v>
      </c>
      <c r="BK1473" s="991">
        <f>IF(AND(Input_Product=Elig!$C1473,Elig_MatchAll_Ct&lt;22,$BC1473=(Elig_MatchAll_Ct-1),AI1473=0),F1473,0)</f>
        <v>0</v>
      </c>
      <c r="BL1473" s="991">
        <f>IF(AND(Input_Product=Elig!$C1473,Elig_MatchAll_Ct&lt;22,$BC1473=(Elig_MatchAll_Ct-1),AJ1473=0),G1473,0)</f>
        <v>0</v>
      </c>
      <c r="BM1473" s="991">
        <f>IF(AND(Input_Product=Elig!$C1473,Elig_MatchAll_Ct&lt;22,$BC1473=(Elig_MatchAll_Ct-1),AK1473=0),H1473,0)</f>
        <v>0</v>
      </c>
      <c r="BN1473" s="991">
        <f>IF(AND(Input_Product=Elig!$C1473,Elig_MatchAll_Ct&lt;22,$BC1473=(Elig_MatchAll_Ct-1),AL1473=0),I1473,0)</f>
        <v>0</v>
      </c>
      <c r="BO1473" s="991">
        <f>IF(AND(Input_Product=Elig!$C1473,Elig_MatchAll_Ct&lt;22,$BC1473=(Elig_MatchAll_Ct-1),AM1473=0),J1473,0)</f>
        <v>0</v>
      </c>
      <c r="BP1473" s="991">
        <f>IF(AND(Input_Product=Elig!$C1473,Elig_MatchAll_Ct&lt;22,$BC1473=(Elig_MatchAll_Ct-1),AN1473=0),K1473,0)</f>
        <v>0</v>
      </c>
      <c r="BQ1473" s="991">
        <f>IF(AND(Input_Product=Elig!$C1473,Elig_MatchAll_Ct&lt;22,$BC1473=(Elig_MatchAll_Ct-1),AP1473=0),L1473,0)</f>
        <v>0</v>
      </c>
      <c r="BR1473" s="991">
        <f>IF(AND(Input_Product=Elig!$C1473,Elig_MatchAll_Ct&lt;22,$BC1473=(Elig_MatchAll_Ct-1),AO1473=0),M1473,0)</f>
        <v>0</v>
      </c>
      <c r="BS1473" s="991">
        <f>IF(AND(Input_Product=Elig!$C1473,Elig_MatchAll_Ct&lt;22,$BC1473=(Elig_MatchAll_Ct-1),AQ1473=0),N1473,0)</f>
        <v>0</v>
      </c>
      <c r="BT1473" s="991">
        <f>IF(AND(Input_Product=Elig!$C1473,Elig_MatchAll_Ct&lt;22,$BC1473=(Elig_MatchAll_Ct-1),AR1473=0),O1473,0)</f>
        <v>0</v>
      </c>
      <c r="BU1473" s="991">
        <f>IF(AND(Input_Product=Elig!$C1473,Elig_MatchAll_Ct&lt;22,$BC1473=(Elig_MatchAll_Ct-1),AS1473=0),P1473,0)</f>
        <v>0</v>
      </c>
      <c r="BV1473" s="992">
        <f>IF(AND(Input_Product=Elig!$C1473,Elig_MatchAll_Ct&lt;22,$BC1473=(Elig_MatchAll_Ct-1),AT1473=0),Q1473,0)</f>
        <v>0</v>
      </c>
      <c r="BW1473" s="993">
        <f>IF(AND(Input_Product=Elig!$C1473,Elig_MatchAll_Ct&lt;22,$BC1473=(Elig_MatchAll_Ct-1),AU1473=0),R1473,0)</f>
        <v>0</v>
      </c>
      <c r="BX1473" s="994">
        <f>IF(AND(Input_Product=Elig!$C1473,Elig_MatchAll_Ct&lt;22,$BC1473=(Elig_MatchAll_Ct-1),AU1473=0),S1473,0)</f>
        <v>0</v>
      </c>
      <c r="BY1473" s="993">
        <f>IF(AND(Input_Product=Elig!$C1473,Elig_MatchAll_Ct&lt;22,$BC1473=(Elig_MatchAll_Ct-1),AV1473=0),T1473,0)</f>
        <v>0</v>
      </c>
      <c r="BZ1473" s="994">
        <f>IF(AND(Input_Product=Elig!$C1473,Elig_MatchAll_Ct&lt;22,$BC1473=(Elig_MatchAll_Ct-1),AV1473=0),U1473,0)</f>
        <v>0</v>
      </c>
      <c r="CA1473" s="993">
        <f>IF(AND(Input_Product=Elig!$C1473,Elig_MatchAll_Ct&lt;22,$BC1473=(Elig_MatchAll_Ct-1),AW1473=0),V1473,0)</f>
        <v>0</v>
      </c>
      <c r="CB1473" s="994">
        <f>IF(AND(Input_Product=Elig!$C1473,Elig_MatchAll_Ct&lt;22,$BC1473=(Elig_MatchAll_Ct-1),AW1473=0),W1473,0)</f>
        <v>0</v>
      </c>
      <c r="CC1473" s="993">
        <f>IF(AND(Input_Product=Elig!$C1473,Elig_MatchAll_Ct&lt;22,$BC1473=(Elig_MatchAll_Ct-1),AX1473=0),X1473,0)</f>
        <v>0</v>
      </c>
      <c r="CD1473" s="994">
        <f>IF(AND(Input_Product=Elig!$C1473,Elig_MatchAll_Ct&lt;22,$BC1473=(Elig_MatchAll_Ct-1),AX1473=0),Y1473,0)</f>
        <v>0</v>
      </c>
      <c r="CE1473" s="993">
        <f>IF(AND(Input_LTV&lt;=AE1473,Input_Product=Elig!$C1473,Elig_MatchAll_Ct&lt;22,$BC1473=(Elig_MatchAll_Ct-1),AY1473=0),Z1473,0)</f>
        <v>0</v>
      </c>
      <c r="CF1473" s="994">
        <f>IF(AND(Input_LTV&lt;=AE1473,Input_Product=Elig!$C1473,Elig_MatchAll_Ct&lt;22,$BC1473=(Elig_MatchAll_Ct-1),AY1473=0),AA1473,0)</f>
        <v>0</v>
      </c>
      <c r="CG1473" s="993">
        <f>IF(AND(Input_Product=Elig!$C1473,Elig_MatchAll_Ct&lt;22,$BC1473=(Elig_MatchAll_Ct-1),AZ1473=0),AB1473,0)</f>
        <v>0</v>
      </c>
      <c r="CH1473" s="994">
        <f>IF(AND(Input_Product=Elig!$C1473,Elig_MatchAll_Ct&lt;22,$BC1473=(Elig_MatchAll_Ct-1),AZ1473=0),AC1473,0)</f>
        <v>0</v>
      </c>
      <c r="CI1473" s="993">
        <f>IF(AND(Input_Product=Elig!$C1473,Elig_MatchAll_Ct&lt;22,$BC1473=(Elig_MatchAll_Ct-1),BA1473=0),AD1473,0)</f>
        <v>0</v>
      </c>
      <c r="CJ1473" s="994">
        <f>IF(AND(Input_Product=Elig!$C1473,Elig_MatchAll_Ct&lt;22,$BC1473=(Elig_MatchAll_Ct-1),BA1473=0),AE1473,0)</f>
        <v>0</v>
      </c>
    </row>
    <row r="1474" spans="2:88" ht="10.15" customHeight="1" x14ac:dyDescent="0.25">
      <c r="B1474" s="1554" t="s">
        <v>3747</v>
      </c>
      <c r="C1474" s="1554" t="str">
        <f t="shared" si="511"/>
        <v xml:space="preserve">  NOO</v>
      </c>
      <c r="D1474" s="1554" t="s">
        <v>2764</v>
      </c>
      <c r="E1474" s="1554" t="s">
        <v>167</v>
      </c>
      <c r="F1474" s="1554" t="s">
        <v>2765</v>
      </c>
      <c r="G1474" s="1554" t="s">
        <v>2810</v>
      </c>
      <c r="H1474" s="1554" t="s">
        <v>2767</v>
      </c>
      <c r="I1474" s="1555" t="s">
        <v>34</v>
      </c>
      <c r="J1474" s="1555" t="s">
        <v>1311</v>
      </c>
      <c r="K1474" s="1555" t="s">
        <v>3023</v>
      </c>
      <c r="L1474" s="1554" t="s">
        <v>3920</v>
      </c>
      <c r="M1474" s="1554" t="s">
        <v>4203</v>
      </c>
      <c r="N1474" s="1554" t="s">
        <v>2685</v>
      </c>
      <c r="O1474" s="1554" t="s">
        <v>310</v>
      </c>
      <c r="P1474" s="1554" t="s">
        <v>291</v>
      </c>
      <c r="Q1474" s="1554" t="s">
        <v>294</v>
      </c>
      <c r="R1474" s="1554">
        <v>1000000.01</v>
      </c>
      <c r="S1474" s="1554">
        <v>1500000</v>
      </c>
      <c r="T1474" s="1554">
        <v>0</v>
      </c>
      <c r="U1474" s="1554">
        <v>0</v>
      </c>
      <c r="V1474" s="1554">
        <v>0</v>
      </c>
      <c r="W1474" s="1554">
        <v>50</v>
      </c>
      <c r="X1474" s="1554">
        <v>0</v>
      </c>
      <c r="Y1474" s="1554">
        <v>0</v>
      </c>
      <c r="Z1474" s="1556">
        <v>640</v>
      </c>
      <c r="AA1474" s="1556">
        <v>659</v>
      </c>
      <c r="AB1474" s="1556">
        <v>3</v>
      </c>
      <c r="AC1474" s="1556">
        <v>999999</v>
      </c>
      <c r="AD1474" s="1554">
        <v>0</v>
      </c>
      <c r="AE1474" s="1557">
        <v>70</v>
      </c>
      <c r="AF1474" s="170">
        <v>0</v>
      </c>
      <c r="AG1474" s="171">
        <v>1</v>
      </c>
      <c r="AH1474" s="171">
        <v>1</v>
      </c>
      <c r="AI1474" s="171">
        <v>1</v>
      </c>
      <c r="AJ1474" s="171">
        <v>1</v>
      </c>
      <c r="AK1474" s="171">
        <v>1</v>
      </c>
      <c r="AL1474" s="171">
        <v>0</v>
      </c>
      <c r="AM1474" s="171">
        <v>1</v>
      </c>
      <c r="AN1474" s="171">
        <v>1</v>
      </c>
      <c r="AO1474" s="171">
        <v>1</v>
      </c>
      <c r="AP1474" s="171">
        <v>1</v>
      </c>
      <c r="AQ1474" s="171">
        <v>1</v>
      </c>
      <c r="AR1474" s="171">
        <v>1</v>
      </c>
      <c r="AS1474" s="171">
        <v>1</v>
      </c>
      <c r="AT1474" s="171">
        <v>1</v>
      </c>
      <c r="AU1474" s="171">
        <f t="shared" si="502"/>
        <v>0</v>
      </c>
      <c r="AV1474" s="171">
        <f t="shared" si="503"/>
        <v>0</v>
      </c>
      <c r="AW1474" s="171">
        <f t="shared" si="504"/>
        <v>1</v>
      </c>
      <c r="AX1474" s="171">
        <f t="shared" si="499"/>
        <v>1</v>
      </c>
      <c r="AY1474" s="171">
        <f t="shared" si="505"/>
        <v>0</v>
      </c>
      <c r="AZ1474" s="171">
        <f t="shared" si="506"/>
        <v>1</v>
      </c>
      <c r="BA1474" s="172">
        <f t="shared" si="507"/>
        <v>1</v>
      </c>
      <c r="BB1474" s="175">
        <f t="shared" si="508"/>
        <v>17</v>
      </c>
      <c r="BC1474" s="176">
        <f t="shared" si="509"/>
        <v>16</v>
      </c>
      <c r="BD1474" s="176">
        <f t="shared" si="510"/>
        <v>17</v>
      </c>
      <c r="BE1474" s="240" t="str">
        <f t="shared" si="501"/>
        <v/>
      </c>
      <c r="BF1474" s="990"/>
      <c r="BG1474" s="990"/>
      <c r="BH1474" s="991">
        <f>IF(AND(Input_Product=Elig!$C1474,Elig_MatchAll_Ct&lt;22,$BC1474=(Elig_MatchAll_Ct-1),AF1474=0),C1474,0)</f>
        <v>0</v>
      </c>
      <c r="BI1474" s="991">
        <f>IF(AND(Input_Product=Elig!$C1474,Elig_MatchAll_Ct&lt;22,$BC1474=(Elig_MatchAll_Ct-1),AG1474=0),D1474,0)</f>
        <v>0</v>
      </c>
      <c r="BJ1474" s="991">
        <f>IF(AND(Input_Product=Elig!$C1474,Elig_MatchAll_Ct&lt;22,$BC1474=(Elig_MatchAll_Ct-1),AH1474=0),E1474,0)</f>
        <v>0</v>
      </c>
      <c r="BK1474" s="991">
        <f>IF(AND(Input_Product=Elig!$C1474,Elig_MatchAll_Ct&lt;22,$BC1474=(Elig_MatchAll_Ct-1),AI1474=0),F1474,0)</f>
        <v>0</v>
      </c>
      <c r="BL1474" s="991">
        <f>IF(AND(Input_Product=Elig!$C1474,Elig_MatchAll_Ct&lt;22,$BC1474=(Elig_MatchAll_Ct-1),AJ1474=0),G1474,0)</f>
        <v>0</v>
      </c>
      <c r="BM1474" s="991">
        <f>IF(AND(Input_Product=Elig!$C1474,Elig_MatchAll_Ct&lt;22,$BC1474=(Elig_MatchAll_Ct-1),AK1474=0),H1474,0)</f>
        <v>0</v>
      </c>
      <c r="BN1474" s="991">
        <f>IF(AND(Input_Product=Elig!$C1474,Elig_MatchAll_Ct&lt;22,$BC1474=(Elig_MatchAll_Ct-1),AL1474=0),I1474,0)</f>
        <v>0</v>
      </c>
      <c r="BO1474" s="991">
        <f>IF(AND(Input_Product=Elig!$C1474,Elig_MatchAll_Ct&lt;22,$BC1474=(Elig_MatchAll_Ct-1),AM1474=0),J1474,0)</f>
        <v>0</v>
      </c>
      <c r="BP1474" s="991">
        <f>IF(AND(Input_Product=Elig!$C1474,Elig_MatchAll_Ct&lt;22,$BC1474=(Elig_MatchAll_Ct-1),AN1474=0),K1474,0)</f>
        <v>0</v>
      </c>
      <c r="BQ1474" s="991">
        <f>IF(AND(Input_Product=Elig!$C1474,Elig_MatchAll_Ct&lt;22,$BC1474=(Elig_MatchAll_Ct-1),AP1474=0),L1474,0)</f>
        <v>0</v>
      </c>
      <c r="BR1474" s="991">
        <f>IF(AND(Input_Product=Elig!$C1474,Elig_MatchAll_Ct&lt;22,$BC1474=(Elig_MatchAll_Ct-1),AO1474=0),M1474,0)</f>
        <v>0</v>
      </c>
      <c r="BS1474" s="991">
        <f>IF(AND(Input_Product=Elig!$C1474,Elig_MatchAll_Ct&lt;22,$BC1474=(Elig_MatchAll_Ct-1),AQ1474=0),N1474,0)</f>
        <v>0</v>
      </c>
      <c r="BT1474" s="991">
        <f>IF(AND(Input_Product=Elig!$C1474,Elig_MatchAll_Ct&lt;22,$BC1474=(Elig_MatchAll_Ct-1),AR1474=0),O1474,0)</f>
        <v>0</v>
      </c>
      <c r="BU1474" s="991">
        <f>IF(AND(Input_Product=Elig!$C1474,Elig_MatchAll_Ct&lt;22,$BC1474=(Elig_MatchAll_Ct-1),AS1474=0),P1474,0)</f>
        <v>0</v>
      </c>
      <c r="BV1474" s="992">
        <f>IF(AND(Input_Product=Elig!$C1474,Elig_MatchAll_Ct&lt;22,$BC1474=(Elig_MatchAll_Ct-1),AT1474=0),Q1474,0)</f>
        <v>0</v>
      </c>
      <c r="BW1474" s="993">
        <f>IF(AND(Input_Product=Elig!$C1474,Elig_MatchAll_Ct&lt;22,$BC1474=(Elig_MatchAll_Ct-1),AU1474=0),R1474,0)</f>
        <v>0</v>
      </c>
      <c r="BX1474" s="994">
        <f>IF(AND(Input_Product=Elig!$C1474,Elig_MatchAll_Ct&lt;22,$BC1474=(Elig_MatchAll_Ct-1),AU1474=0),S1474,0)</f>
        <v>0</v>
      </c>
      <c r="BY1474" s="993">
        <f>IF(AND(Input_Product=Elig!$C1474,Elig_MatchAll_Ct&lt;22,$BC1474=(Elig_MatchAll_Ct-1),AV1474=0),T1474,0)</f>
        <v>0</v>
      </c>
      <c r="BZ1474" s="994">
        <f>IF(AND(Input_Product=Elig!$C1474,Elig_MatchAll_Ct&lt;22,$BC1474=(Elig_MatchAll_Ct-1),AV1474=0),U1474,0)</f>
        <v>0</v>
      </c>
      <c r="CA1474" s="993">
        <f>IF(AND(Input_Product=Elig!$C1474,Elig_MatchAll_Ct&lt;22,$BC1474=(Elig_MatchAll_Ct-1),AW1474=0),V1474,0)</f>
        <v>0</v>
      </c>
      <c r="CB1474" s="994">
        <f>IF(AND(Input_Product=Elig!$C1474,Elig_MatchAll_Ct&lt;22,$BC1474=(Elig_MatchAll_Ct-1),AW1474=0),W1474,0)</f>
        <v>0</v>
      </c>
      <c r="CC1474" s="993">
        <f>IF(AND(Input_Product=Elig!$C1474,Elig_MatchAll_Ct&lt;22,$BC1474=(Elig_MatchAll_Ct-1),AX1474=0),X1474,0)</f>
        <v>0</v>
      </c>
      <c r="CD1474" s="994">
        <f>IF(AND(Input_Product=Elig!$C1474,Elig_MatchAll_Ct&lt;22,$BC1474=(Elig_MatchAll_Ct-1),AX1474=0),Y1474,0)</f>
        <v>0</v>
      </c>
      <c r="CE1474" s="993">
        <f>IF(AND(Input_LTV&lt;=AE1474,Input_Product=Elig!$C1474,Elig_MatchAll_Ct&lt;22,$BC1474=(Elig_MatchAll_Ct-1),AY1474=0),Z1474,0)</f>
        <v>0</v>
      </c>
      <c r="CF1474" s="994">
        <f>IF(AND(Input_LTV&lt;=AE1474,Input_Product=Elig!$C1474,Elig_MatchAll_Ct&lt;22,$BC1474=(Elig_MatchAll_Ct-1),AY1474=0),AA1474,0)</f>
        <v>0</v>
      </c>
      <c r="CG1474" s="993">
        <f>IF(AND(Input_Product=Elig!$C1474,Elig_MatchAll_Ct&lt;22,$BC1474=(Elig_MatchAll_Ct-1),AZ1474=0),AB1474,0)</f>
        <v>0</v>
      </c>
      <c r="CH1474" s="994">
        <f>IF(AND(Input_Product=Elig!$C1474,Elig_MatchAll_Ct&lt;22,$BC1474=(Elig_MatchAll_Ct-1),AZ1474=0),AC1474,0)</f>
        <v>0</v>
      </c>
      <c r="CI1474" s="993">
        <f>IF(AND(Input_Product=Elig!$C1474,Elig_MatchAll_Ct&lt;22,$BC1474=(Elig_MatchAll_Ct-1),BA1474=0),AD1474,0)</f>
        <v>0</v>
      </c>
      <c r="CJ1474" s="994">
        <f>IF(AND(Input_Product=Elig!$C1474,Elig_MatchAll_Ct&lt;22,$BC1474=(Elig_MatchAll_Ct-1),BA1474=0),AE1474,0)</f>
        <v>0</v>
      </c>
    </row>
    <row r="1475" spans="2:88" ht="10.15" customHeight="1" x14ac:dyDescent="0.25">
      <c r="B1475" s="1554" t="s">
        <v>3748</v>
      </c>
      <c r="C1475" s="1554" t="str">
        <f t="shared" si="511"/>
        <v xml:space="preserve">  NOO</v>
      </c>
      <c r="D1475" s="1554" t="s">
        <v>2764</v>
      </c>
      <c r="E1475" s="1554" t="s">
        <v>167</v>
      </c>
      <c r="F1475" s="1554" t="s">
        <v>2765</v>
      </c>
      <c r="G1475" s="1554" t="s">
        <v>2810</v>
      </c>
      <c r="H1475" s="1554" t="s">
        <v>2767</v>
      </c>
      <c r="I1475" s="1555" t="s">
        <v>34</v>
      </c>
      <c r="J1475" s="1555" t="s">
        <v>1311</v>
      </c>
      <c r="K1475" s="1555" t="s">
        <v>3023</v>
      </c>
      <c r="L1475" s="1554" t="s">
        <v>3920</v>
      </c>
      <c r="M1475" s="1554" t="s">
        <v>4203</v>
      </c>
      <c r="N1475" s="1554" t="s">
        <v>2685</v>
      </c>
      <c r="O1475" s="1554" t="s">
        <v>310</v>
      </c>
      <c r="P1475" s="1554" t="s">
        <v>291</v>
      </c>
      <c r="Q1475" s="1554" t="s">
        <v>294</v>
      </c>
      <c r="R1475" s="1554">
        <v>1500000.01</v>
      </c>
      <c r="S1475" s="1554">
        <v>2000000</v>
      </c>
      <c r="T1475" s="1554">
        <v>0</v>
      </c>
      <c r="U1475" s="1554">
        <v>0</v>
      </c>
      <c r="V1475" s="1554">
        <v>0</v>
      </c>
      <c r="W1475" s="1554">
        <v>50</v>
      </c>
      <c r="X1475" s="1554">
        <v>0</v>
      </c>
      <c r="Y1475" s="1554">
        <v>0</v>
      </c>
      <c r="Z1475" s="1556">
        <v>640</v>
      </c>
      <c r="AA1475" s="1556">
        <v>659</v>
      </c>
      <c r="AB1475" s="1556">
        <v>3</v>
      </c>
      <c r="AC1475" s="1556">
        <v>999999</v>
      </c>
      <c r="AD1475" s="1554">
        <v>0</v>
      </c>
      <c r="AE1475" s="1557">
        <v>65</v>
      </c>
      <c r="AF1475" s="170">
        <v>0</v>
      </c>
      <c r="AG1475" s="171">
        <v>1</v>
      </c>
      <c r="AH1475" s="171">
        <v>1</v>
      </c>
      <c r="AI1475" s="171">
        <v>1</v>
      </c>
      <c r="AJ1475" s="171">
        <v>1</v>
      </c>
      <c r="AK1475" s="171">
        <v>1</v>
      </c>
      <c r="AL1475" s="171">
        <v>0</v>
      </c>
      <c r="AM1475" s="171">
        <v>1</v>
      </c>
      <c r="AN1475" s="171">
        <v>1</v>
      </c>
      <c r="AO1475" s="171">
        <v>1</v>
      </c>
      <c r="AP1475" s="171">
        <v>1</v>
      </c>
      <c r="AQ1475" s="171">
        <v>1</v>
      </c>
      <c r="AR1475" s="171">
        <v>1</v>
      </c>
      <c r="AS1475" s="171">
        <v>1</v>
      </c>
      <c r="AT1475" s="171">
        <v>1</v>
      </c>
      <c r="AU1475" s="171">
        <f t="shared" si="502"/>
        <v>0</v>
      </c>
      <c r="AV1475" s="171">
        <f t="shared" si="503"/>
        <v>0</v>
      </c>
      <c r="AW1475" s="171">
        <f t="shared" si="504"/>
        <v>1</v>
      </c>
      <c r="AX1475" s="171">
        <f t="shared" ref="AX1475:AX1538" si="512">IF(AND(Input_DSCR&gt;=Elig_DSCR_Min,Input_DSCR&lt;=Elig_DSCR_Max),1,0)</f>
        <v>1</v>
      </c>
      <c r="AY1475" s="171">
        <f t="shared" si="505"/>
        <v>0</v>
      </c>
      <c r="AZ1475" s="171">
        <f t="shared" si="506"/>
        <v>1</v>
      </c>
      <c r="BA1475" s="172">
        <f t="shared" si="507"/>
        <v>1</v>
      </c>
      <c r="BB1475" s="175">
        <f t="shared" si="508"/>
        <v>17</v>
      </c>
      <c r="BC1475" s="176">
        <f t="shared" si="509"/>
        <v>16</v>
      </c>
      <c r="BD1475" s="176">
        <f t="shared" si="510"/>
        <v>17</v>
      </c>
      <c r="BE1475" s="240" t="str">
        <f t="shared" si="501"/>
        <v/>
      </c>
      <c r="BF1475" s="990"/>
      <c r="BG1475" s="990"/>
      <c r="BH1475" s="991">
        <f>IF(AND(Input_Product=Elig!$C1475,Elig_MatchAll_Ct&lt;22,$BC1475=(Elig_MatchAll_Ct-1),AF1475=0),C1475,0)</f>
        <v>0</v>
      </c>
      <c r="BI1475" s="991">
        <f>IF(AND(Input_Product=Elig!$C1475,Elig_MatchAll_Ct&lt;22,$BC1475=(Elig_MatchAll_Ct-1),AG1475=0),D1475,0)</f>
        <v>0</v>
      </c>
      <c r="BJ1475" s="991">
        <f>IF(AND(Input_Product=Elig!$C1475,Elig_MatchAll_Ct&lt;22,$BC1475=(Elig_MatchAll_Ct-1),AH1475=0),E1475,0)</f>
        <v>0</v>
      </c>
      <c r="BK1475" s="991">
        <f>IF(AND(Input_Product=Elig!$C1475,Elig_MatchAll_Ct&lt;22,$BC1475=(Elig_MatchAll_Ct-1),AI1475=0),F1475,0)</f>
        <v>0</v>
      </c>
      <c r="BL1475" s="991">
        <f>IF(AND(Input_Product=Elig!$C1475,Elig_MatchAll_Ct&lt;22,$BC1475=(Elig_MatchAll_Ct-1),AJ1475=0),G1475,0)</f>
        <v>0</v>
      </c>
      <c r="BM1475" s="991">
        <f>IF(AND(Input_Product=Elig!$C1475,Elig_MatchAll_Ct&lt;22,$BC1475=(Elig_MatchAll_Ct-1),AK1475=0),H1475,0)</f>
        <v>0</v>
      </c>
      <c r="BN1475" s="991">
        <f>IF(AND(Input_Product=Elig!$C1475,Elig_MatchAll_Ct&lt;22,$BC1475=(Elig_MatchAll_Ct-1),AL1475=0),I1475,0)</f>
        <v>0</v>
      </c>
      <c r="BO1475" s="991">
        <f>IF(AND(Input_Product=Elig!$C1475,Elig_MatchAll_Ct&lt;22,$BC1475=(Elig_MatchAll_Ct-1),AM1475=0),J1475,0)</f>
        <v>0</v>
      </c>
      <c r="BP1475" s="991">
        <f>IF(AND(Input_Product=Elig!$C1475,Elig_MatchAll_Ct&lt;22,$BC1475=(Elig_MatchAll_Ct-1),AN1475=0),K1475,0)</f>
        <v>0</v>
      </c>
      <c r="BQ1475" s="991">
        <f>IF(AND(Input_Product=Elig!$C1475,Elig_MatchAll_Ct&lt;22,$BC1475=(Elig_MatchAll_Ct-1),AP1475=0),L1475,0)</f>
        <v>0</v>
      </c>
      <c r="BR1475" s="991">
        <f>IF(AND(Input_Product=Elig!$C1475,Elig_MatchAll_Ct&lt;22,$BC1475=(Elig_MatchAll_Ct-1),AO1475=0),M1475,0)</f>
        <v>0</v>
      </c>
      <c r="BS1475" s="991">
        <f>IF(AND(Input_Product=Elig!$C1475,Elig_MatchAll_Ct&lt;22,$BC1475=(Elig_MatchAll_Ct-1),AQ1475=0),N1475,0)</f>
        <v>0</v>
      </c>
      <c r="BT1475" s="991">
        <f>IF(AND(Input_Product=Elig!$C1475,Elig_MatchAll_Ct&lt;22,$BC1475=(Elig_MatchAll_Ct-1),AR1475=0),O1475,0)</f>
        <v>0</v>
      </c>
      <c r="BU1475" s="991">
        <f>IF(AND(Input_Product=Elig!$C1475,Elig_MatchAll_Ct&lt;22,$BC1475=(Elig_MatchAll_Ct-1),AS1475=0),P1475,0)</f>
        <v>0</v>
      </c>
      <c r="BV1475" s="992">
        <f>IF(AND(Input_Product=Elig!$C1475,Elig_MatchAll_Ct&lt;22,$BC1475=(Elig_MatchAll_Ct-1),AT1475=0),Q1475,0)</f>
        <v>0</v>
      </c>
      <c r="BW1475" s="993">
        <f>IF(AND(Input_Product=Elig!$C1475,Elig_MatchAll_Ct&lt;22,$BC1475=(Elig_MatchAll_Ct-1),AU1475=0),R1475,0)</f>
        <v>0</v>
      </c>
      <c r="BX1475" s="994">
        <f>IF(AND(Input_Product=Elig!$C1475,Elig_MatchAll_Ct&lt;22,$BC1475=(Elig_MatchAll_Ct-1),AU1475=0),S1475,0)</f>
        <v>0</v>
      </c>
      <c r="BY1475" s="993">
        <f>IF(AND(Input_Product=Elig!$C1475,Elig_MatchAll_Ct&lt;22,$BC1475=(Elig_MatchAll_Ct-1),AV1475=0),T1475,0)</f>
        <v>0</v>
      </c>
      <c r="BZ1475" s="994">
        <f>IF(AND(Input_Product=Elig!$C1475,Elig_MatchAll_Ct&lt;22,$BC1475=(Elig_MatchAll_Ct-1),AV1475=0),U1475,0)</f>
        <v>0</v>
      </c>
      <c r="CA1475" s="993">
        <f>IF(AND(Input_Product=Elig!$C1475,Elig_MatchAll_Ct&lt;22,$BC1475=(Elig_MatchAll_Ct-1),AW1475=0),V1475,0)</f>
        <v>0</v>
      </c>
      <c r="CB1475" s="994">
        <f>IF(AND(Input_Product=Elig!$C1475,Elig_MatchAll_Ct&lt;22,$BC1475=(Elig_MatchAll_Ct-1),AW1475=0),W1475,0)</f>
        <v>0</v>
      </c>
      <c r="CC1475" s="993">
        <f>IF(AND(Input_Product=Elig!$C1475,Elig_MatchAll_Ct&lt;22,$BC1475=(Elig_MatchAll_Ct-1),AX1475=0),X1475,0)</f>
        <v>0</v>
      </c>
      <c r="CD1475" s="994">
        <f>IF(AND(Input_Product=Elig!$C1475,Elig_MatchAll_Ct&lt;22,$BC1475=(Elig_MatchAll_Ct-1),AX1475=0),Y1475,0)</f>
        <v>0</v>
      </c>
      <c r="CE1475" s="993">
        <f>IF(AND(Input_LTV&lt;=AE1475,Input_Product=Elig!$C1475,Elig_MatchAll_Ct&lt;22,$BC1475=(Elig_MatchAll_Ct-1),AY1475=0),Z1475,0)</f>
        <v>0</v>
      </c>
      <c r="CF1475" s="994">
        <f>IF(AND(Input_LTV&lt;=AE1475,Input_Product=Elig!$C1475,Elig_MatchAll_Ct&lt;22,$BC1475=(Elig_MatchAll_Ct-1),AY1475=0),AA1475,0)</f>
        <v>0</v>
      </c>
      <c r="CG1475" s="993">
        <f>IF(AND(Input_Product=Elig!$C1475,Elig_MatchAll_Ct&lt;22,$BC1475=(Elig_MatchAll_Ct-1),AZ1475=0),AB1475,0)</f>
        <v>0</v>
      </c>
      <c r="CH1475" s="994">
        <f>IF(AND(Input_Product=Elig!$C1475,Elig_MatchAll_Ct&lt;22,$BC1475=(Elig_MatchAll_Ct-1),AZ1475=0),AC1475,0)</f>
        <v>0</v>
      </c>
      <c r="CI1475" s="993">
        <f>IF(AND(Input_Product=Elig!$C1475,Elig_MatchAll_Ct&lt;22,$BC1475=(Elig_MatchAll_Ct-1),BA1475=0),AD1475,0)</f>
        <v>0</v>
      </c>
      <c r="CJ1475" s="994">
        <f>IF(AND(Input_Product=Elig!$C1475,Elig_MatchAll_Ct&lt;22,$BC1475=(Elig_MatchAll_Ct-1),BA1475=0),AE1475,0)</f>
        <v>0</v>
      </c>
    </row>
    <row r="1476" spans="2:88" ht="10.15" customHeight="1" x14ac:dyDescent="0.25">
      <c r="B1476" s="1554" t="s">
        <v>3749</v>
      </c>
      <c r="C1476" s="1558" t="str">
        <f t="shared" si="511"/>
        <v xml:space="preserve">  NOO</v>
      </c>
      <c r="D1476" s="1558" t="s">
        <v>2764</v>
      </c>
      <c r="E1476" s="1558" t="s">
        <v>167</v>
      </c>
      <c r="F1476" s="1558" t="s">
        <v>2765</v>
      </c>
      <c r="G1476" s="1558" t="s">
        <v>2810</v>
      </c>
      <c r="H1476" s="1558" t="s">
        <v>2767</v>
      </c>
      <c r="I1476" s="1559" t="s">
        <v>34</v>
      </c>
      <c r="J1476" s="1559" t="s">
        <v>1311</v>
      </c>
      <c r="K1476" s="1559" t="s">
        <v>3023</v>
      </c>
      <c r="L1476" s="1558" t="s">
        <v>3920</v>
      </c>
      <c r="M1476" s="1558" t="s">
        <v>4203</v>
      </c>
      <c r="N1476" s="1558" t="s">
        <v>2685</v>
      </c>
      <c r="O1476" s="1558" t="s">
        <v>310</v>
      </c>
      <c r="P1476" s="1558" t="s">
        <v>291</v>
      </c>
      <c r="Q1476" s="1558" t="s">
        <v>294</v>
      </c>
      <c r="R1476" s="1558">
        <v>150000</v>
      </c>
      <c r="S1476" s="1558">
        <v>1000000</v>
      </c>
      <c r="T1476" s="1558">
        <v>0</v>
      </c>
      <c r="U1476" s="1558">
        <v>0</v>
      </c>
      <c r="V1476" s="1558">
        <v>0</v>
      </c>
      <c r="W1476" s="1558">
        <v>50</v>
      </c>
      <c r="X1476" s="1558">
        <v>0</v>
      </c>
      <c r="Y1476" s="1558">
        <v>0</v>
      </c>
      <c r="Z1476" s="1560">
        <v>620</v>
      </c>
      <c r="AA1476" s="1560">
        <v>639</v>
      </c>
      <c r="AB1476" s="1560">
        <v>3</v>
      </c>
      <c r="AC1476" s="1560">
        <v>999999</v>
      </c>
      <c r="AD1476" s="1558">
        <v>0</v>
      </c>
      <c r="AE1476" s="1561">
        <v>70</v>
      </c>
      <c r="AF1476" s="170">
        <v>0</v>
      </c>
      <c r="AG1476" s="171">
        <v>1</v>
      </c>
      <c r="AH1476" s="171">
        <v>1</v>
      </c>
      <c r="AI1476" s="171">
        <v>1</v>
      </c>
      <c r="AJ1476" s="171">
        <v>1</v>
      </c>
      <c r="AK1476" s="171">
        <v>1</v>
      </c>
      <c r="AL1476" s="171">
        <v>0</v>
      </c>
      <c r="AM1476" s="171">
        <v>1</v>
      </c>
      <c r="AN1476" s="171">
        <v>1</v>
      </c>
      <c r="AO1476" s="171">
        <v>1</v>
      </c>
      <c r="AP1476" s="171">
        <v>1</v>
      </c>
      <c r="AQ1476" s="171">
        <v>1</v>
      </c>
      <c r="AR1476" s="171">
        <v>1</v>
      </c>
      <c r="AS1476" s="171">
        <v>1</v>
      </c>
      <c r="AT1476" s="171">
        <v>1</v>
      </c>
      <c r="AU1476" s="171">
        <f t="shared" si="502"/>
        <v>1</v>
      </c>
      <c r="AV1476" s="171">
        <f t="shared" si="503"/>
        <v>0</v>
      </c>
      <c r="AW1476" s="171">
        <f t="shared" si="504"/>
        <v>1</v>
      </c>
      <c r="AX1476" s="171">
        <f t="shared" si="512"/>
        <v>1</v>
      </c>
      <c r="AY1476" s="171">
        <f t="shared" si="505"/>
        <v>0</v>
      </c>
      <c r="AZ1476" s="171">
        <f t="shared" si="506"/>
        <v>1</v>
      </c>
      <c r="BA1476" s="172">
        <f t="shared" si="507"/>
        <v>1</v>
      </c>
      <c r="BB1476" s="175">
        <f t="shared" si="508"/>
        <v>18</v>
      </c>
      <c r="BC1476" s="176">
        <f t="shared" si="509"/>
        <v>17</v>
      </c>
      <c r="BD1476" s="176">
        <f t="shared" si="510"/>
        <v>18</v>
      </c>
      <c r="BE1476" s="240" t="str">
        <f t="shared" si="501"/>
        <v/>
      </c>
      <c r="BF1476" s="990"/>
      <c r="BG1476" s="990"/>
      <c r="BH1476" s="991">
        <f>IF(AND(Input_Product=Elig!$C1476,Elig_MatchAll_Ct&lt;22,$BC1476=(Elig_MatchAll_Ct-1),AF1476=0),C1476,0)</f>
        <v>0</v>
      </c>
      <c r="BI1476" s="991">
        <f>IF(AND(Input_Product=Elig!$C1476,Elig_MatchAll_Ct&lt;22,$BC1476=(Elig_MatchAll_Ct-1),AG1476=0),D1476,0)</f>
        <v>0</v>
      </c>
      <c r="BJ1476" s="991">
        <f>IF(AND(Input_Product=Elig!$C1476,Elig_MatchAll_Ct&lt;22,$BC1476=(Elig_MatchAll_Ct-1),AH1476=0),E1476,0)</f>
        <v>0</v>
      </c>
      <c r="BK1476" s="991">
        <f>IF(AND(Input_Product=Elig!$C1476,Elig_MatchAll_Ct&lt;22,$BC1476=(Elig_MatchAll_Ct-1),AI1476=0),F1476,0)</f>
        <v>0</v>
      </c>
      <c r="BL1476" s="991">
        <f>IF(AND(Input_Product=Elig!$C1476,Elig_MatchAll_Ct&lt;22,$BC1476=(Elig_MatchAll_Ct-1),AJ1476=0),G1476,0)</f>
        <v>0</v>
      </c>
      <c r="BM1476" s="991">
        <f>IF(AND(Input_Product=Elig!$C1476,Elig_MatchAll_Ct&lt;22,$BC1476=(Elig_MatchAll_Ct-1),AK1476=0),H1476,0)</f>
        <v>0</v>
      </c>
      <c r="BN1476" s="991">
        <f>IF(AND(Input_Product=Elig!$C1476,Elig_MatchAll_Ct&lt;22,$BC1476=(Elig_MatchAll_Ct-1),AL1476=0),I1476,0)</f>
        <v>0</v>
      </c>
      <c r="BO1476" s="991">
        <f>IF(AND(Input_Product=Elig!$C1476,Elig_MatchAll_Ct&lt;22,$BC1476=(Elig_MatchAll_Ct-1),AM1476=0),J1476,0)</f>
        <v>0</v>
      </c>
      <c r="BP1476" s="991">
        <f>IF(AND(Input_Product=Elig!$C1476,Elig_MatchAll_Ct&lt;22,$BC1476=(Elig_MatchAll_Ct-1),AN1476=0),K1476,0)</f>
        <v>0</v>
      </c>
      <c r="BQ1476" s="991">
        <f>IF(AND(Input_Product=Elig!$C1476,Elig_MatchAll_Ct&lt;22,$BC1476=(Elig_MatchAll_Ct-1),AP1476=0),L1476,0)</f>
        <v>0</v>
      </c>
      <c r="BR1476" s="991">
        <f>IF(AND(Input_Product=Elig!$C1476,Elig_MatchAll_Ct&lt;22,$BC1476=(Elig_MatchAll_Ct-1),AO1476=0),M1476,0)</f>
        <v>0</v>
      </c>
      <c r="BS1476" s="991">
        <f>IF(AND(Input_Product=Elig!$C1476,Elig_MatchAll_Ct&lt;22,$BC1476=(Elig_MatchAll_Ct-1),AQ1476=0),N1476,0)</f>
        <v>0</v>
      </c>
      <c r="BT1476" s="991">
        <f>IF(AND(Input_Product=Elig!$C1476,Elig_MatchAll_Ct&lt;22,$BC1476=(Elig_MatchAll_Ct-1),AR1476=0),O1476,0)</f>
        <v>0</v>
      </c>
      <c r="BU1476" s="991">
        <f>IF(AND(Input_Product=Elig!$C1476,Elig_MatchAll_Ct&lt;22,$BC1476=(Elig_MatchAll_Ct-1),AS1476=0),P1476,0)</f>
        <v>0</v>
      </c>
      <c r="BV1476" s="992">
        <f>IF(AND(Input_Product=Elig!$C1476,Elig_MatchAll_Ct&lt;22,$BC1476=(Elig_MatchAll_Ct-1),AT1476=0),Q1476,0)</f>
        <v>0</v>
      </c>
      <c r="BW1476" s="993">
        <f>IF(AND(Input_Product=Elig!$C1476,Elig_MatchAll_Ct&lt;22,$BC1476=(Elig_MatchAll_Ct-1),AU1476=0),R1476,0)</f>
        <v>0</v>
      </c>
      <c r="BX1476" s="994">
        <f>IF(AND(Input_Product=Elig!$C1476,Elig_MatchAll_Ct&lt;22,$BC1476=(Elig_MatchAll_Ct-1),AU1476=0),S1476,0)</f>
        <v>0</v>
      </c>
      <c r="BY1476" s="993">
        <f>IF(AND(Input_Product=Elig!$C1476,Elig_MatchAll_Ct&lt;22,$BC1476=(Elig_MatchAll_Ct-1),AV1476=0),T1476,0)</f>
        <v>0</v>
      </c>
      <c r="BZ1476" s="994">
        <f>IF(AND(Input_Product=Elig!$C1476,Elig_MatchAll_Ct&lt;22,$BC1476=(Elig_MatchAll_Ct-1),AV1476=0),U1476,0)</f>
        <v>0</v>
      </c>
      <c r="CA1476" s="993">
        <f>IF(AND(Input_Product=Elig!$C1476,Elig_MatchAll_Ct&lt;22,$BC1476=(Elig_MatchAll_Ct-1),AW1476=0),V1476,0)</f>
        <v>0</v>
      </c>
      <c r="CB1476" s="994">
        <f>IF(AND(Input_Product=Elig!$C1476,Elig_MatchAll_Ct&lt;22,$BC1476=(Elig_MatchAll_Ct-1),AW1476=0),W1476,0)</f>
        <v>0</v>
      </c>
      <c r="CC1476" s="993">
        <f>IF(AND(Input_Product=Elig!$C1476,Elig_MatchAll_Ct&lt;22,$BC1476=(Elig_MatchAll_Ct-1),AX1476=0),X1476,0)</f>
        <v>0</v>
      </c>
      <c r="CD1476" s="994">
        <f>IF(AND(Input_Product=Elig!$C1476,Elig_MatchAll_Ct&lt;22,$BC1476=(Elig_MatchAll_Ct-1),AX1476=0),Y1476,0)</f>
        <v>0</v>
      </c>
      <c r="CE1476" s="993">
        <f>IF(AND(Input_LTV&lt;=AE1476,Input_Product=Elig!$C1476,Elig_MatchAll_Ct&lt;22,$BC1476=(Elig_MatchAll_Ct-1),AY1476=0),Z1476,0)</f>
        <v>0</v>
      </c>
      <c r="CF1476" s="994">
        <f>IF(AND(Input_LTV&lt;=AE1476,Input_Product=Elig!$C1476,Elig_MatchAll_Ct&lt;22,$BC1476=(Elig_MatchAll_Ct-1),AY1476=0),AA1476,0)</f>
        <v>0</v>
      </c>
      <c r="CG1476" s="993">
        <f>IF(AND(Input_Product=Elig!$C1476,Elig_MatchAll_Ct&lt;22,$BC1476=(Elig_MatchAll_Ct-1),AZ1476=0),AB1476,0)</f>
        <v>0</v>
      </c>
      <c r="CH1476" s="994">
        <f>IF(AND(Input_Product=Elig!$C1476,Elig_MatchAll_Ct&lt;22,$BC1476=(Elig_MatchAll_Ct-1),AZ1476=0),AC1476,0)</f>
        <v>0</v>
      </c>
      <c r="CI1476" s="993">
        <f>IF(AND(Input_Product=Elig!$C1476,Elig_MatchAll_Ct&lt;22,$BC1476=(Elig_MatchAll_Ct-1),BA1476=0),AD1476,0)</f>
        <v>0</v>
      </c>
      <c r="CJ1476" s="994">
        <f>IF(AND(Input_Product=Elig!$C1476,Elig_MatchAll_Ct&lt;22,$BC1476=(Elig_MatchAll_Ct-1),BA1476=0),AE1476,0)</f>
        <v>0</v>
      </c>
    </row>
    <row r="1477" spans="2:88" ht="10.15" customHeight="1" x14ac:dyDescent="0.25">
      <c r="B1477" s="1554" t="s">
        <v>3750</v>
      </c>
      <c r="C1477" s="1550" t="str">
        <f t="shared" si="511"/>
        <v xml:space="preserve">  NOO</v>
      </c>
      <c r="D1477" s="1550" t="s">
        <v>2764</v>
      </c>
      <c r="E1477" s="1550" t="s">
        <v>167</v>
      </c>
      <c r="F1477" s="1550" t="s">
        <v>2765</v>
      </c>
      <c r="G1477" s="1550" t="s">
        <v>2810</v>
      </c>
      <c r="H1477" s="1550" t="s">
        <v>2767</v>
      </c>
      <c r="I1477" s="1551" t="s">
        <v>35</v>
      </c>
      <c r="J1477" s="1551" t="s">
        <v>1311</v>
      </c>
      <c r="K1477" s="1551" t="s">
        <v>3023</v>
      </c>
      <c r="L1477" s="1550" t="s">
        <v>3920</v>
      </c>
      <c r="M1477" s="1550" t="s">
        <v>4203</v>
      </c>
      <c r="N1477" s="1550" t="s">
        <v>2685</v>
      </c>
      <c r="O1477" s="1550" t="s">
        <v>310</v>
      </c>
      <c r="P1477" s="1550" t="s">
        <v>291</v>
      </c>
      <c r="Q1477" s="1550" t="s">
        <v>294</v>
      </c>
      <c r="R1477" s="1550">
        <v>150000</v>
      </c>
      <c r="S1477" s="1550">
        <v>1000000</v>
      </c>
      <c r="T1477" s="1550">
        <v>0</v>
      </c>
      <c r="U1477" s="1550">
        <v>0</v>
      </c>
      <c r="V1477" s="1550">
        <v>0</v>
      </c>
      <c r="W1477" s="1550">
        <v>50</v>
      </c>
      <c r="X1477" s="1550">
        <v>0</v>
      </c>
      <c r="Y1477" s="1550">
        <v>0</v>
      </c>
      <c r="Z1477" s="1552">
        <v>700</v>
      </c>
      <c r="AA1477" s="1552">
        <v>999</v>
      </c>
      <c r="AB1477" s="1552">
        <v>3</v>
      </c>
      <c r="AC1477" s="1552">
        <v>999999</v>
      </c>
      <c r="AD1477" s="1550">
        <v>0</v>
      </c>
      <c r="AE1477" s="1553">
        <v>80</v>
      </c>
      <c r="AF1477" s="170">
        <v>0</v>
      </c>
      <c r="AG1477" s="171">
        <v>1</v>
      </c>
      <c r="AH1477" s="171">
        <v>1</v>
      </c>
      <c r="AI1477" s="171">
        <v>1</v>
      </c>
      <c r="AJ1477" s="171">
        <v>1</v>
      </c>
      <c r="AK1477" s="171">
        <v>1</v>
      </c>
      <c r="AL1477" s="171">
        <v>0</v>
      </c>
      <c r="AM1477" s="171">
        <v>1</v>
      </c>
      <c r="AN1477" s="171">
        <v>1</v>
      </c>
      <c r="AO1477" s="171">
        <v>1</v>
      </c>
      <c r="AP1477" s="171">
        <v>1</v>
      </c>
      <c r="AQ1477" s="171">
        <v>1</v>
      </c>
      <c r="AR1477" s="171">
        <v>1</v>
      </c>
      <c r="AS1477" s="171">
        <v>1</v>
      </c>
      <c r="AT1477" s="171">
        <v>1</v>
      </c>
      <c r="AU1477" s="171">
        <f t="shared" si="502"/>
        <v>1</v>
      </c>
      <c r="AV1477" s="171">
        <f t="shared" si="503"/>
        <v>0</v>
      </c>
      <c r="AW1477" s="171">
        <f t="shared" si="504"/>
        <v>1</v>
      </c>
      <c r="AX1477" s="171">
        <f t="shared" si="512"/>
        <v>1</v>
      </c>
      <c r="AY1477" s="171">
        <f t="shared" si="505"/>
        <v>1</v>
      </c>
      <c r="AZ1477" s="171">
        <f t="shared" si="506"/>
        <v>1</v>
      </c>
      <c r="BA1477" s="172">
        <f t="shared" si="507"/>
        <v>1</v>
      </c>
      <c r="BB1477" s="175">
        <f t="shared" si="508"/>
        <v>19</v>
      </c>
      <c r="BC1477" s="176">
        <f t="shared" si="509"/>
        <v>18</v>
      </c>
      <c r="BD1477" s="176">
        <f t="shared" si="510"/>
        <v>19</v>
      </c>
      <c r="BE1477" s="240" t="str">
        <f t="shared" si="501"/>
        <v/>
      </c>
      <c r="BF1477" s="990"/>
      <c r="BG1477" s="990"/>
      <c r="BH1477" s="991">
        <f>IF(AND(Input_Product=Elig!$C1477,Elig_MatchAll_Ct&lt;22,$BC1477=(Elig_MatchAll_Ct-1),AF1477=0),C1477,0)</f>
        <v>0</v>
      </c>
      <c r="BI1477" s="991">
        <f>IF(AND(Input_Product=Elig!$C1477,Elig_MatchAll_Ct&lt;22,$BC1477=(Elig_MatchAll_Ct-1),AG1477=0),D1477,0)</f>
        <v>0</v>
      </c>
      <c r="BJ1477" s="991">
        <f>IF(AND(Input_Product=Elig!$C1477,Elig_MatchAll_Ct&lt;22,$BC1477=(Elig_MatchAll_Ct-1),AH1477=0),E1477,0)</f>
        <v>0</v>
      </c>
      <c r="BK1477" s="991">
        <f>IF(AND(Input_Product=Elig!$C1477,Elig_MatchAll_Ct&lt;22,$BC1477=(Elig_MatchAll_Ct-1),AI1477=0),F1477,0)</f>
        <v>0</v>
      </c>
      <c r="BL1477" s="991">
        <f>IF(AND(Input_Product=Elig!$C1477,Elig_MatchAll_Ct&lt;22,$BC1477=(Elig_MatchAll_Ct-1),AJ1477=0),G1477,0)</f>
        <v>0</v>
      </c>
      <c r="BM1477" s="991">
        <f>IF(AND(Input_Product=Elig!$C1477,Elig_MatchAll_Ct&lt;22,$BC1477=(Elig_MatchAll_Ct-1),AK1477=0),H1477,0)</f>
        <v>0</v>
      </c>
      <c r="BN1477" s="991">
        <f>IF(AND(Input_Product=Elig!$C1477,Elig_MatchAll_Ct&lt;22,$BC1477=(Elig_MatchAll_Ct-1),AL1477=0),I1477,0)</f>
        <v>0</v>
      </c>
      <c r="BO1477" s="991">
        <f>IF(AND(Input_Product=Elig!$C1477,Elig_MatchAll_Ct&lt;22,$BC1477=(Elig_MatchAll_Ct-1),AM1477=0),J1477,0)</f>
        <v>0</v>
      </c>
      <c r="BP1477" s="991">
        <f>IF(AND(Input_Product=Elig!$C1477,Elig_MatchAll_Ct&lt;22,$BC1477=(Elig_MatchAll_Ct-1),AN1477=0),K1477,0)</f>
        <v>0</v>
      </c>
      <c r="BQ1477" s="991">
        <f>IF(AND(Input_Product=Elig!$C1477,Elig_MatchAll_Ct&lt;22,$BC1477=(Elig_MatchAll_Ct-1),AP1477=0),L1477,0)</f>
        <v>0</v>
      </c>
      <c r="BR1477" s="991">
        <f>IF(AND(Input_Product=Elig!$C1477,Elig_MatchAll_Ct&lt;22,$BC1477=(Elig_MatchAll_Ct-1),AO1477=0),M1477,0)</f>
        <v>0</v>
      </c>
      <c r="BS1477" s="991">
        <f>IF(AND(Input_Product=Elig!$C1477,Elig_MatchAll_Ct&lt;22,$BC1477=(Elig_MatchAll_Ct-1),AQ1477=0),N1477,0)</f>
        <v>0</v>
      </c>
      <c r="BT1477" s="991">
        <f>IF(AND(Input_Product=Elig!$C1477,Elig_MatchAll_Ct&lt;22,$BC1477=(Elig_MatchAll_Ct-1),AR1477=0),O1477,0)</f>
        <v>0</v>
      </c>
      <c r="BU1477" s="991">
        <f>IF(AND(Input_Product=Elig!$C1477,Elig_MatchAll_Ct&lt;22,$BC1477=(Elig_MatchAll_Ct-1),AS1477=0),P1477,0)</f>
        <v>0</v>
      </c>
      <c r="BV1477" s="992">
        <f>IF(AND(Input_Product=Elig!$C1477,Elig_MatchAll_Ct&lt;22,$BC1477=(Elig_MatchAll_Ct-1),AT1477=0),Q1477,0)</f>
        <v>0</v>
      </c>
      <c r="BW1477" s="993">
        <f>IF(AND(Input_Product=Elig!$C1477,Elig_MatchAll_Ct&lt;22,$BC1477=(Elig_MatchAll_Ct-1),AU1477=0),R1477,0)</f>
        <v>0</v>
      </c>
      <c r="BX1477" s="994">
        <f>IF(AND(Input_Product=Elig!$C1477,Elig_MatchAll_Ct&lt;22,$BC1477=(Elig_MatchAll_Ct-1),AU1477=0),S1477,0)</f>
        <v>0</v>
      </c>
      <c r="BY1477" s="993">
        <f>IF(AND(Input_Product=Elig!$C1477,Elig_MatchAll_Ct&lt;22,$BC1477=(Elig_MatchAll_Ct-1),AV1477=0),T1477,0)</f>
        <v>0</v>
      </c>
      <c r="BZ1477" s="994">
        <f>IF(AND(Input_Product=Elig!$C1477,Elig_MatchAll_Ct&lt;22,$BC1477=(Elig_MatchAll_Ct-1),AV1477=0),U1477,0)</f>
        <v>0</v>
      </c>
      <c r="CA1477" s="993">
        <f>IF(AND(Input_Product=Elig!$C1477,Elig_MatchAll_Ct&lt;22,$BC1477=(Elig_MatchAll_Ct-1),AW1477=0),V1477,0)</f>
        <v>0</v>
      </c>
      <c r="CB1477" s="994">
        <f>IF(AND(Input_Product=Elig!$C1477,Elig_MatchAll_Ct&lt;22,$BC1477=(Elig_MatchAll_Ct-1),AW1477=0),W1477,0)</f>
        <v>0</v>
      </c>
      <c r="CC1477" s="993">
        <f>IF(AND(Input_Product=Elig!$C1477,Elig_MatchAll_Ct&lt;22,$BC1477=(Elig_MatchAll_Ct-1),AX1477=0),X1477,0)</f>
        <v>0</v>
      </c>
      <c r="CD1477" s="994">
        <f>IF(AND(Input_Product=Elig!$C1477,Elig_MatchAll_Ct&lt;22,$BC1477=(Elig_MatchAll_Ct-1),AX1477=0),Y1477,0)</f>
        <v>0</v>
      </c>
      <c r="CE1477" s="993">
        <f>IF(AND(Input_LTV&lt;=AE1477,Input_Product=Elig!$C1477,Elig_MatchAll_Ct&lt;22,$BC1477=(Elig_MatchAll_Ct-1),AY1477=0),Z1477,0)</f>
        <v>0</v>
      </c>
      <c r="CF1477" s="994">
        <f>IF(AND(Input_LTV&lt;=AE1477,Input_Product=Elig!$C1477,Elig_MatchAll_Ct&lt;22,$BC1477=(Elig_MatchAll_Ct-1),AY1477=0),AA1477,0)</f>
        <v>0</v>
      </c>
      <c r="CG1477" s="993">
        <f>IF(AND(Input_Product=Elig!$C1477,Elig_MatchAll_Ct&lt;22,$BC1477=(Elig_MatchAll_Ct-1),AZ1477=0),AB1477,0)</f>
        <v>0</v>
      </c>
      <c r="CH1477" s="994">
        <f>IF(AND(Input_Product=Elig!$C1477,Elig_MatchAll_Ct&lt;22,$BC1477=(Elig_MatchAll_Ct-1),AZ1477=0),AC1477,0)</f>
        <v>0</v>
      </c>
      <c r="CI1477" s="993">
        <f>IF(AND(Input_Product=Elig!$C1477,Elig_MatchAll_Ct&lt;22,$BC1477=(Elig_MatchAll_Ct-1),BA1477=0),AD1477,0)</f>
        <v>0</v>
      </c>
      <c r="CJ1477" s="994">
        <f>IF(AND(Input_Product=Elig!$C1477,Elig_MatchAll_Ct&lt;22,$BC1477=(Elig_MatchAll_Ct-1),BA1477=0),AE1477,0)</f>
        <v>0</v>
      </c>
    </row>
    <row r="1478" spans="2:88" ht="10.15" customHeight="1" x14ac:dyDescent="0.25">
      <c r="B1478" s="1554" t="s">
        <v>3751</v>
      </c>
      <c r="C1478" s="1554" t="str">
        <f t="shared" si="511"/>
        <v xml:space="preserve">  NOO</v>
      </c>
      <c r="D1478" s="1554" t="s">
        <v>2764</v>
      </c>
      <c r="E1478" s="1554" t="s">
        <v>167</v>
      </c>
      <c r="F1478" s="1554" t="s">
        <v>2765</v>
      </c>
      <c r="G1478" s="1554" t="s">
        <v>2810</v>
      </c>
      <c r="H1478" s="1554" t="s">
        <v>2767</v>
      </c>
      <c r="I1478" s="1555" t="s">
        <v>35</v>
      </c>
      <c r="J1478" s="1555" t="s">
        <v>1311</v>
      </c>
      <c r="K1478" s="1555" t="s">
        <v>3023</v>
      </c>
      <c r="L1478" s="1554" t="s">
        <v>3920</v>
      </c>
      <c r="M1478" s="1554" t="s">
        <v>4203</v>
      </c>
      <c r="N1478" s="1554" t="s">
        <v>2685</v>
      </c>
      <c r="O1478" s="1554" t="s">
        <v>310</v>
      </c>
      <c r="P1478" s="1554" t="s">
        <v>291</v>
      </c>
      <c r="Q1478" s="1554" t="s">
        <v>294</v>
      </c>
      <c r="R1478" s="1554">
        <v>1000000.01</v>
      </c>
      <c r="S1478" s="1554">
        <v>1500000</v>
      </c>
      <c r="T1478" s="1554">
        <v>0</v>
      </c>
      <c r="U1478" s="1554">
        <v>0</v>
      </c>
      <c r="V1478" s="1554">
        <v>0</v>
      </c>
      <c r="W1478" s="1554">
        <v>50</v>
      </c>
      <c r="X1478" s="1554">
        <v>0</v>
      </c>
      <c r="Y1478" s="1554">
        <v>0</v>
      </c>
      <c r="Z1478" s="1556">
        <v>700</v>
      </c>
      <c r="AA1478" s="1556">
        <v>999</v>
      </c>
      <c r="AB1478" s="1556">
        <v>3</v>
      </c>
      <c r="AC1478" s="1556">
        <v>999999</v>
      </c>
      <c r="AD1478" s="1554">
        <v>0</v>
      </c>
      <c r="AE1478" s="1557">
        <v>80</v>
      </c>
      <c r="AF1478" s="170">
        <v>0</v>
      </c>
      <c r="AG1478" s="171">
        <v>1</v>
      </c>
      <c r="AH1478" s="171">
        <v>1</v>
      </c>
      <c r="AI1478" s="171">
        <v>1</v>
      </c>
      <c r="AJ1478" s="171">
        <v>1</v>
      </c>
      <c r="AK1478" s="171">
        <v>1</v>
      </c>
      <c r="AL1478" s="171">
        <v>0</v>
      </c>
      <c r="AM1478" s="171">
        <v>1</v>
      </c>
      <c r="AN1478" s="171">
        <v>1</v>
      </c>
      <c r="AO1478" s="171">
        <v>1</v>
      </c>
      <c r="AP1478" s="171">
        <v>1</v>
      </c>
      <c r="AQ1478" s="171">
        <v>1</v>
      </c>
      <c r="AR1478" s="171">
        <v>1</v>
      </c>
      <c r="AS1478" s="171">
        <v>1</v>
      </c>
      <c r="AT1478" s="171">
        <v>1</v>
      </c>
      <c r="AU1478" s="171">
        <f t="shared" si="502"/>
        <v>0</v>
      </c>
      <c r="AV1478" s="171">
        <f t="shared" si="503"/>
        <v>0</v>
      </c>
      <c r="AW1478" s="171">
        <f t="shared" si="504"/>
        <v>1</v>
      </c>
      <c r="AX1478" s="171">
        <f t="shared" si="512"/>
        <v>1</v>
      </c>
      <c r="AY1478" s="171">
        <f t="shared" si="505"/>
        <v>1</v>
      </c>
      <c r="AZ1478" s="171">
        <f t="shared" si="506"/>
        <v>1</v>
      </c>
      <c r="BA1478" s="172">
        <f t="shared" si="507"/>
        <v>1</v>
      </c>
      <c r="BB1478" s="175">
        <f t="shared" si="508"/>
        <v>18</v>
      </c>
      <c r="BC1478" s="176">
        <f t="shared" si="509"/>
        <v>17</v>
      </c>
      <c r="BD1478" s="176">
        <f t="shared" si="510"/>
        <v>18</v>
      </c>
      <c r="BE1478" s="240" t="str">
        <f t="shared" si="501"/>
        <v/>
      </c>
      <c r="BF1478" s="990"/>
      <c r="BG1478" s="990"/>
      <c r="BH1478" s="991">
        <f>IF(AND(Input_Product=Elig!$C1478,Elig_MatchAll_Ct&lt;22,$BC1478=(Elig_MatchAll_Ct-1),AF1478=0),C1478,0)</f>
        <v>0</v>
      </c>
      <c r="BI1478" s="991">
        <f>IF(AND(Input_Product=Elig!$C1478,Elig_MatchAll_Ct&lt;22,$BC1478=(Elig_MatchAll_Ct-1),AG1478=0),D1478,0)</f>
        <v>0</v>
      </c>
      <c r="BJ1478" s="991">
        <f>IF(AND(Input_Product=Elig!$C1478,Elig_MatchAll_Ct&lt;22,$BC1478=(Elig_MatchAll_Ct-1),AH1478=0),E1478,0)</f>
        <v>0</v>
      </c>
      <c r="BK1478" s="991">
        <f>IF(AND(Input_Product=Elig!$C1478,Elig_MatchAll_Ct&lt;22,$BC1478=(Elig_MatchAll_Ct-1),AI1478=0),F1478,0)</f>
        <v>0</v>
      </c>
      <c r="BL1478" s="991">
        <f>IF(AND(Input_Product=Elig!$C1478,Elig_MatchAll_Ct&lt;22,$BC1478=(Elig_MatchAll_Ct-1),AJ1478=0),G1478,0)</f>
        <v>0</v>
      </c>
      <c r="BM1478" s="991">
        <f>IF(AND(Input_Product=Elig!$C1478,Elig_MatchAll_Ct&lt;22,$BC1478=(Elig_MatchAll_Ct-1),AK1478=0),H1478,0)</f>
        <v>0</v>
      </c>
      <c r="BN1478" s="991">
        <f>IF(AND(Input_Product=Elig!$C1478,Elig_MatchAll_Ct&lt;22,$BC1478=(Elig_MatchAll_Ct-1),AL1478=0),I1478,0)</f>
        <v>0</v>
      </c>
      <c r="BO1478" s="991">
        <f>IF(AND(Input_Product=Elig!$C1478,Elig_MatchAll_Ct&lt;22,$BC1478=(Elig_MatchAll_Ct-1),AM1478=0),J1478,0)</f>
        <v>0</v>
      </c>
      <c r="BP1478" s="991">
        <f>IF(AND(Input_Product=Elig!$C1478,Elig_MatchAll_Ct&lt;22,$BC1478=(Elig_MatchAll_Ct-1),AN1478=0),K1478,0)</f>
        <v>0</v>
      </c>
      <c r="BQ1478" s="991">
        <f>IF(AND(Input_Product=Elig!$C1478,Elig_MatchAll_Ct&lt;22,$BC1478=(Elig_MatchAll_Ct-1),AP1478=0),L1478,0)</f>
        <v>0</v>
      </c>
      <c r="BR1478" s="991">
        <f>IF(AND(Input_Product=Elig!$C1478,Elig_MatchAll_Ct&lt;22,$BC1478=(Elig_MatchAll_Ct-1),AO1478=0),M1478,0)</f>
        <v>0</v>
      </c>
      <c r="BS1478" s="991">
        <f>IF(AND(Input_Product=Elig!$C1478,Elig_MatchAll_Ct&lt;22,$BC1478=(Elig_MatchAll_Ct-1),AQ1478=0),N1478,0)</f>
        <v>0</v>
      </c>
      <c r="BT1478" s="991">
        <f>IF(AND(Input_Product=Elig!$C1478,Elig_MatchAll_Ct&lt;22,$BC1478=(Elig_MatchAll_Ct-1),AR1478=0),O1478,0)</f>
        <v>0</v>
      </c>
      <c r="BU1478" s="991">
        <f>IF(AND(Input_Product=Elig!$C1478,Elig_MatchAll_Ct&lt;22,$BC1478=(Elig_MatchAll_Ct-1),AS1478=0),P1478,0)</f>
        <v>0</v>
      </c>
      <c r="BV1478" s="992">
        <f>IF(AND(Input_Product=Elig!$C1478,Elig_MatchAll_Ct&lt;22,$BC1478=(Elig_MatchAll_Ct-1),AT1478=0),Q1478,0)</f>
        <v>0</v>
      </c>
      <c r="BW1478" s="993">
        <f>IF(AND(Input_Product=Elig!$C1478,Elig_MatchAll_Ct&lt;22,$BC1478=(Elig_MatchAll_Ct-1),AU1478=0),R1478,0)</f>
        <v>0</v>
      </c>
      <c r="BX1478" s="994">
        <f>IF(AND(Input_Product=Elig!$C1478,Elig_MatchAll_Ct&lt;22,$BC1478=(Elig_MatchAll_Ct-1),AU1478=0),S1478,0)</f>
        <v>0</v>
      </c>
      <c r="BY1478" s="993">
        <f>IF(AND(Input_Product=Elig!$C1478,Elig_MatchAll_Ct&lt;22,$BC1478=(Elig_MatchAll_Ct-1),AV1478=0),T1478,0)</f>
        <v>0</v>
      </c>
      <c r="BZ1478" s="994">
        <f>IF(AND(Input_Product=Elig!$C1478,Elig_MatchAll_Ct&lt;22,$BC1478=(Elig_MatchAll_Ct-1),AV1478=0),U1478,0)</f>
        <v>0</v>
      </c>
      <c r="CA1478" s="993">
        <f>IF(AND(Input_Product=Elig!$C1478,Elig_MatchAll_Ct&lt;22,$BC1478=(Elig_MatchAll_Ct-1),AW1478=0),V1478,0)</f>
        <v>0</v>
      </c>
      <c r="CB1478" s="994">
        <f>IF(AND(Input_Product=Elig!$C1478,Elig_MatchAll_Ct&lt;22,$BC1478=(Elig_MatchAll_Ct-1),AW1478=0),W1478,0)</f>
        <v>0</v>
      </c>
      <c r="CC1478" s="993">
        <f>IF(AND(Input_Product=Elig!$C1478,Elig_MatchAll_Ct&lt;22,$BC1478=(Elig_MatchAll_Ct-1),AX1478=0),X1478,0)</f>
        <v>0</v>
      </c>
      <c r="CD1478" s="994">
        <f>IF(AND(Input_Product=Elig!$C1478,Elig_MatchAll_Ct&lt;22,$BC1478=(Elig_MatchAll_Ct-1),AX1478=0),Y1478,0)</f>
        <v>0</v>
      </c>
      <c r="CE1478" s="993">
        <f>IF(AND(Input_LTV&lt;=AE1478,Input_Product=Elig!$C1478,Elig_MatchAll_Ct&lt;22,$BC1478=(Elig_MatchAll_Ct-1),AY1478=0),Z1478,0)</f>
        <v>0</v>
      </c>
      <c r="CF1478" s="994">
        <f>IF(AND(Input_LTV&lt;=AE1478,Input_Product=Elig!$C1478,Elig_MatchAll_Ct&lt;22,$BC1478=(Elig_MatchAll_Ct-1),AY1478=0),AA1478,0)</f>
        <v>0</v>
      </c>
      <c r="CG1478" s="993">
        <f>IF(AND(Input_Product=Elig!$C1478,Elig_MatchAll_Ct&lt;22,$BC1478=(Elig_MatchAll_Ct-1),AZ1478=0),AB1478,0)</f>
        <v>0</v>
      </c>
      <c r="CH1478" s="994">
        <f>IF(AND(Input_Product=Elig!$C1478,Elig_MatchAll_Ct&lt;22,$BC1478=(Elig_MatchAll_Ct-1),AZ1478=0),AC1478,0)</f>
        <v>0</v>
      </c>
      <c r="CI1478" s="993">
        <f>IF(AND(Input_Product=Elig!$C1478,Elig_MatchAll_Ct&lt;22,$BC1478=(Elig_MatchAll_Ct-1),BA1478=0),AD1478,0)</f>
        <v>0</v>
      </c>
      <c r="CJ1478" s="994">
        <f>IF(AND(Input_Product=Elig!$C1478,Elig_MatchAll_Ct&lt;22,$BC1478=(Elig_MatchAll_Ct-1),BA1478=0),AE1478,0)</f>
        <v>0</v>
      </c>
    </row>
    <row r="1479" spans="2:88" ht="10.15" customHeight="1" x14ac:dyDescent="0.25">
      <c r="B1479" s="1554" t="s">
        <v>3752</v>
      </c>
      <c r="C1479" s="1554" t="str">
        <f t="shared" si="511"/>
        <v xml:space="preserve">  NOO</v>
      </c>
      <c r="D1479" s="1554" t="s">
        <v>2764</v>
      </c>
      <c r="E1479" s="1554" t="s">
        <v>167</v>
      </c>
      <c r="F1479" s="1554" t="s">
        <v>2765</v>
      </c>
      <c r="G1479" s="1554" t="s">
        <v>2810</v>
      </c>
      <c r="H1479" s="1554" t="s">
        <v>2767</v>
      </c>
      <c r="I1479" s="1555" t="s">
        <v>35</v>
      </c>
      <c r="J1479" s="1555" t="s">
        <v>1311</v>
      </c>
      <c r="K1479" s="1555" t="s">
        <v>3023</v>
      </c>
      <c r="L1479" s="1554" t="s">
        <v>3920</v>
      </c>
      <c r="M1479" s="1554" t="s">
        <v>4203</v>
      </c>
      <c r="N1479" s="1554" t="s">
        <v>2685</v>
      </c>
      <c r="O1479" s="1554" t="s">
        <v>310</v>
      </c>
      <c r="P1479" s="1554" t="s">
        <v>291</v>
      </c>
      <c r="Q1479" s="1554" t="s">
        <v>294</v>
      </c>
      <c r="R1479" s="1554">
        <v>1500000.01</v>
      </c>
      <c r="S1479" s="1554">
        <v>2000000</v>
      </c>
      <c r="T1479" s="1554">
        <v>0</v>
      </c>
      <c r="U1479" s="1554">
        <v>0</v>
      </c>
      <c r="V1479" s="1554">
        <v>0</v>
      </c>
      <c r="W1479" s="1554">
        <v>50</v>
      </c>
      <c r="X1479" s="1554">
        <v>0</v>
      </c>
      <c r="Y1479" s="1554">
        <v>0</v>
      </c>
      <c r="Z1479" s="1556">
        <v>700</v>
      </c>
      <c r="AA1479" s="1556">
        <v>999</v>
      </c>
      <c r="AB1479" s="1556">
        <v>3</v>
      </c>
      <c r="AC1479" s="1556">
        <v>999999</v>
      </c>
      <c r="AD1479" s="1554">
        <v>0</v>
      </c>
      <c r="AE1479" s="1557">
        <v>75</v>
      </c>
      <c r="AF1479" s="170">
        <v>0</v>
      </c>
      <c r="AG1479" s="171">
        <v>1</v>
      </c>
      <c r="AH1479" s="171">
        <v>1</v>
      </c>
      <c r="AI1479" s="171">
        <v>1</v>
      </c>
      <c r="AJ1479" s="171">
        <v>1</v>
      </c>
      <c r="AK1479" s="171">
        <v>1</v>
      </c>
      <c r="AL1479" s="171">
        <v>0</v>
      </c>
      <c r="AM1479" s="171">
        <v>1</v>
      </c>
      <c r="AN1479" s="171">
        <v>1</v>
      </c>
      <c r="AO1479" s="171">
        <v>1</v>
      </c>
      <c r="AP1479" s="171">
        <v>1</v>
      </c>
      <c r="AQ1479" s="171">
        <v>1</v>
      </c>
      <c r="AR1479" s="171">
        <v>1</v>
      </c>
      <c r="AS1479" s="171">
        <v>1</v>
      </c>
      <c r="AT1479" s="171">
        <v>1</v>
      </c>
      <c r="AU1479" s="171">
        <f t="shared" si="502"/>
        <v>0</v>
      </c>
      <c r="AV1479" s="171">
        <f t="shared" si="503"/>
        <v>0</v>
      </c>
      <c r="AW1479" s="171">
        <f t="shared" si="504"/>
        <v>1</v>
      </c>
      <c r="AX1479" s="171">
        <f t="shared" si="512"/>
        <v>1</v>
      </c>
      <c r="AY1479" s="171">
        <f t="shared" si="505"/>
        <v>1</v>
      </c>
      <c r="AZ1479" s="171">
        <f t="shared" si="506"/>
        <v>1</v>
      </c>
      <c r="BA1479" s="172">
        <f t="shared" si="507"/>
        <v>1</v>
      </c>
      <c r="BB1479" s="175">
        <f t="shared" si="508"/>
        <v>18</v>
      </c>
      <c r="BC1479" s="176">
        <f t="shared" si="509"/>
        <v>17</v>
      </c>
      <c r="BD1479" s="176">
        <f t="shared" si="510"/>
        <v>18</v>
      </c>
      <c r="BE1479" s="240" t="str">
        <f t="shared" si="501"/>
        <v/>
      </c>
      <c r="BF1479" s="990"/>
      <c r="BG1479" s="990"/>
      <c r="BH1479" s="991">
        <f>IF(AND(Input_Product=Elig!$C1479,Elig_MatchAll_Ct&lt;22,$BC1479=(Elig_MatchAll_Ct-1),AF1479=0),C1479,0)</f>
        <v>0</v>
      </c>
      <c r="BI1479" s="991">
        <f>IF(AND(Input_Product=Elig!$C1479,Elig_MatchAll_Ct&lt;22,$BC1479=(Elig_MatchAll_Ct-1),AG1479=0),D1479,0)</f>
        <v>0</v>
      </c>
      <c r="BJ1479" s="991">
        <f>IF(AND(Input_Product=Elig!$C1479,Elig_MatchAll_Ct&lt;22,$BC1479=(Elig_MatchAll_Ct-1),AH1479=0),E1479,0)</f>
        <v>0</v>
      </c>
      <c r="BK1479" s="991">
        <f>IF(AND(Input_Product=Elig!$C1479,Elig_MatchAll_Ct&lt;22,$BC1479=(Elig_MatchAll_Ct-1),AI1479=0),F1479,0)</f>
        <v>0</v>
      </c>
      <c r="BL1479" s="991">
        <f>IF(AND(Input_Product=Elig!$C1479,Elig_MatchAll_Ct&lt;22,$BC1479=(Elig_MatchAll_Ct-1),AJ1479=0),G1479,0)</f>
        <v>0</v>
      </c>
      <c r="BM1479" s="991">
        <f>IF(AND(Input_Product=Elig!$C1479,Elig_MatchAll_Ct&lt;22,$BC1479=(Elig_MatchAll_Ct-1),AK1479=0),H1479,0)</f>
        <v>0</v>
      </c>
      <c r="BN1479" s="991">
        <f>IF(AND(Input_Product=Elig!$C1479,Elig_MatchAll_Ct&lt;22,$BC1479=(Elig_MatchAll_Ct-1),AL1479=0),I1479,0)</f>
        <v>0</v>
      </c>
      <c r="BO1479" s="991">
        <f>IF(AND(Input_Product=Elig!$C1479,Elig_MatchAll_Ct&lt;22,$BC1479=(Elig_MatchAll_Ct-1),AM1479=0),J1479,0)</f>
        <v>0</v>
      </c>
      <c r="BP1479" s="991">
        <f>IF(AND(Input_Product=Elig!$C1479,Elig_MatchAll_Ct&lt;22,$BC1479=(Elig_MatchAll_Ct-1),AN1479=0),K1479,0)</f>
        <v>0</v>
      </c>
      <c r="BQ1479" s="991">
        <f>IF(AND(Input_Product=Elig!$C1479,Elig_MatchAll_Ct&lt;22,$BC1479=(Elig_MatchAll_Ct-1),AP1479=0),L1479,0)</f>
        <v>0</v>
      </c>
      <c r="BR1479" s="991">
        <f>IF(AND(Input_Product=Elig!$C1479,Elig_MatchAll_Ct&lt;22,$BC1479=(Elig_MatchAll_Ct-1),AO1479=0),M1479,0)</f>
        <v>0</v>
      </c>
      <c r="BS1479" s="991">
        <f>IF(AND(Input_Product=Elig!$C1479,Elig_MatchAll_Ct&lt;22,$BC1479=(Elig_MatchAll_Ct-1),AQ1479=0),N1479,0)</f>
        <v>0</v>
      </c>
      <c r="BT1479" s="991">
        <f>IF(AND(Input_Product=Elig!$C1479,Elig_MatchAll_Ct&lt;22,$BC1479=(Elig_MatchAll_Ct-1),AR1479=0),O1479,0)</f>
        <v>0</v>
      </c>
      <c r="BU1479" s="991">
        <f>IF(AND(Input_Product=Elig!$C1479,Elig_MatchAll_Ct&lt;22,$BC1479=(Elig_MatchAll_Ct-1),AS1479=0),P1479,0)</f>
        <v>0</v>
      </c>
      <c r="BV1479" s="992">
        <f>IF(AND(Input_Product=Elig!$C1479,Elig_MatchAll_Ct&lt;22,$BC1479=(Elig_MatchAll_Ct-1),AT1479=0),Q1479,0)</f>
        <v>0</v>
      </c>
      <c r="BW1479" s="993">
        <f>IF(AND(Input_Product=Elig!$C1479,Elig_MatchAll_Ct&lt;22,$BC1479=(Elig_MatchAll_Ct-1),AU1479=0),R1479,0)</f>
        <v>0</v>
      </c>
      <c r="BX1479" s="994">
        <f>IF(AND(Input_Product=Elig!$C1479,Elig_MatchAll_Ct&lt;22,$BC1479=(Elig_MatchAll_Ct-1),AU1479=0),S1479,0)</f>
        <v>0</v>
      </c>
      <c r="BY1479" s="993">
        <f>IF(AND(Input_Product=Elig!$C1479,Elig_MatchAll_Ct&lt;22,$BC1479=(Elig_MatchAll_Ct-1),AV1479=0),T1479,0)</f>
        <v>0</v>
      </c>
      <c r="BZ1479" s="994">
        <f>IF(AND(Input_Product=Elig!$C1479,Elig_MatchAll_Ct&lt;22,$BC1479=(Elig_MatchAll_Ct-1),AV1479=0),U1479,0)</f>
        <v>0</v>
      </c>
      <c r="CA1479" s="993">
        <f>IF(AND(Input_Product=Elig!$C1479,Elig_MatchAll_Ct&lt;22,$BC1479=(Elig_MatchAll_Ct-1),AW1479=0),V1479,0)</f>
        <v>0</v>
      </c>
      <c r="CB1479" s="994">
        <f>IF(AND(Input_Product=Elig!$C1479,Elig_MatchAll_Ct&lt;22,$BC1479=(Elig_MatchAll_Ct-1),AW1479=0),W1479,0)</f>
        <v>0</v>
      </c>
      <c r="CC1479" s="993">
        <f>IF(AND(Input_Product=Elig!$C1479,Elig_MatchAll_Ct&lt;22,$BC1479=(Elig_MatchAll_Ct-1),AX1479=0),X1479,0)</f>
        <v>0</v>
      </c>
      <c r="CD1479" s="994">
        <f>IF(AND(Input_Product=Elig!$C1479,Elig_MatchAll_Ct&lt;22,$BC1479=(Elig_MatchAll_Ct-1),AX1479=0),Y1479,0)</f>
        <v>0</v>
      </c>
      <c r="CE1479" s="993">
        <f>IF(AND(Input_LTV&lt;=AE1479,Input_Product=Elig!$C1479,Elig_MatchAll_Ct&lt;22,$BC1479=(Elig_MatchAll_Ct-1),AY1479=0),Z1479,0)</f>
        <v>0</v>
      </c>
      <c r="CF1479" s="994">
        <f>IF(AND(Input_LTV&lt;=AE1479,Input_Product=Elig!$C1479,Elig_MatchAll_Ct&lt;22,$BC1479=(Elig_MatchAll_Ct-1),AY1479=0),AA1479,0)</f>
        <v>0</v>
      </c>
      <c r="CG1479" s="993">
        <f>IF(AND(Input_Product=Elig!$C1479,Elig_MatchAll_Ct&lt;22,$BC1479=(Elig_MatchAll_Ct-1),AZ1479=0),AB1479,0)</f>
        <v>0</v>
      </c>
      <c r="CH1479" s="994">
        <f>IF(AND(Input_Product=Elig!$C1479,Elig_MatchAll_Ct&lt;22,$BC1479=(Elig_MatchAll_Ct-1),AZ1479=0),AC1479,0)</f>
        <v>0</v>
      </c>
      <c r="CI1479" s="993">
        <f>IF(AND(Input_Product=Elig!$C1479,Elig_MatchAll_Ct&lt;22,$BC1479=(Elig_MatchAll_Ct-1),BA1479=0),AD1479,0)</f>
        <v>0</v>
      </c>
      <c r="CJ1479" s="994">
        <f>IF(AND(Input_Product=Elig!$C1479,Elig_MatchAll_Ct&lt;22,$BC1479=(Elig_MatchAll_Ct-1),BA1479=0),AE1479,0)</f>
        <v>0</v>
      </c>
    </row>
    <row r="1480" spans="2:88" ht="10.15" customHeight="1" x14ac:dyDescent="0.25">
      <c r="B1480" s="1554" t="s">
        <v>3753</v>
      </c>
      <c r="C1480" s="1554" t="str">
        <f t="shared" si="511"/>
        <v xml:space="preserve">  NOO</v>
      </c>
      <c r="D1480" s="1554" t="s">
        <v>2764</v>
      </c>
      <c r="E1480" s="1554" t="s">
        <v>167</v>
      </c>
      <c r="F1480" s="1554" t="s">
        <v>2765</v>
      </c>
      <c r="G1480" s="1554" t="s">
        <v>2810</v>
      </c>
      <c r="H1480" s="1554" t="s">
        <v>2767</v>
      </c>
      <c r="I1480" s="1555" t="s">
        <v>35</v>
      </c>
      <c r="J1480" s="1555" t="s">
        <v>1311</v>
      </c>
      <c r="K1480" s="1555" t="s">
        <v>3023</v>
      </c>
      <c r="L1480" s="1554" t="s">
        <v>3920</v>
      </c>
      <c r="M1480" s="1554" t="s">
        <v>4203</v>
      </c>
      <c r="N1480" s="1554" t="s">
        <v>2685</v>
      </c>
      <c r="O1480" s="1554" t="s">
        <v>310</v>
      </c>
      <c r="P1480" s="1554" t="s">
        <v>291</v>
      </c>
      <c r="Q1480" s="1554" t="s">
        <v>294</v>
      </c>
      <c r="R1480" s="1554">
        <v>2000000.01</v>
      </c>
      <c r="S1480" s="1554">
        <v>3000000</v>
      </c>
      <c r="T1480" s="1554">
        <v>0</v>
      </c>
      <c r="U1480" s="1554">
        <v>0</v>
      </c>
      <c r="V1480" s="1554">
        <v>0</v>
      </c>
      <c r="W1480" s="1554">
        <v>50</v>
      </c>
      <c r="X1480" s="1554">
        <v>0</v>
      </c>
      <c r="Y1480" s="1554">
        <v>0</v>
      </c>
      <c r="Z1480" s="1556">
        <v>700</v>
      </c>
      <c r="AA1480" s="1556">
        <v>999</v>
      </c>
      <c r="AB1480" s="1556">
        <v>3</v>
      </c>
      <c r="AC1480" s="1556">
        <v>999999</v>
      </c>
      <c r="AD1480" s="1554">
        <v>0</v>
      </c>
      <c r="AE1480" s="1557">
        <v>65</v>
      </c>
      <c r="AF1480" s="170">
        <v>0</v>
      </c>
      <c r="AG1480" s="171">
        <v>1</v>
      </c>
      <c r="AH1480" s="171">
        <v>1</v>
      </c>
      <c r="AI1480" s="171">
        <v>1</v>
      </c>
      <c r="AJ1480" s="171">
        <v>1</v>
      </c>
      <c r="AK1480" s="171">
        <v>1</v>
      </c>
      <c r="AL1480" s="171">
        <v>0</v>
      </c>
      <c r="AM1480" s="171">
        <v>1</v>
      </c>
      <c r="AN1480" s="171">
        <v>1</v>
      </c>
      <c r="AO1480" s="171">
        <v>1</v>
      </c>
      <c r="AP1480" s="171">
        <v>1</v>
      </c>
      <c r="AQ1480" s="171">
        <v>1</v>
      </c>
      <c r="AR1480" s="171">
        <v>1</v>
      </c>
      <c r="AS1480" s="171">
        <v>1</v>
      </c>
      <c r="AT1480" s="171">
        <v>1</v>
      </c>
      <c r="AU1480" s="171">
        <f t="shared" si="502"/>
        <v>0</v>
      </c>
      <c r="AV1480" s="171">
        <f t="shared" si="503"/>
        <v>0</v>
      </c>
      <c r="AW1480" s="171">
        <f t="shared" si="504"/>
        <v>1</v>
      </c>
      <c r="AX1480" s="171">
        <f t="shared" si="512"/>
        <v>1</v>
      </c>
      <c r="AY1480" s="171">
        <f t="shared" si="505"/>
        <v>1</v>
      </c>
      <c r="AZ1480" s="171">
        <f t="shared" si="506"/>
        <v>1</v>
      </c>
      <c r="BA1480" s="172">
        <f t="shared" si="507"/>
        <v>1</v>
      </c>
      <c r="BB1480" s="175">
        <f t="shared" si="508"/>
        <v>18</v>
      </c>
      <c r="BC1480" s="176">
        <f t="shared" si="509"/>
        <v>17</v>
      </c>
      <c r="BD1480" s="176">
        <f t="shared" si="510"/>
        <v>18</v>
      </c>
      <c r="BE1480" s="240" t="str">
        <f t="shared" si="501"/>
        <v/>
      </c>
      <c r="BF1480" s="990"/>
      <c r="BG1480" s="990"/>
      <c r="BH1480" s="991">
        <f>IF(AND(Input_Product=Elig!$C1480,Elig_MatchAll_Ct&lt;22,$BC1480=(Elig_MatchAll_Ct-1),AF1480=0),C1480,0)</f>
        <v>0</v>
      </c>
      <c r="BI1480" s="991">
        <f>IF(AND(Input_Product=Elig!$C1480,Elig_MatchAll_Ct&lt;22,$BC1480=(Elig_MatchAll_Ct-1),AG1480=0),D1480,0)</f>
        <v>0</v>
      </c>
      <c r="BJ1480" s="991">
        <f>IF(AND(Input_Product=Elig!$C1480,Elig_MatchAll_Ct&lt;22,$BC1480=(Elig_MatchAll_Ct-1),AH1480=0),E1480,0)</f>
        <v>0</v>
      </c>
      <c r="BK1480" s="991">
        <f>IF(AND(Input_Product=Elig!$C1480,Elig_MatchAll_Ct&lt;22,$BC1480=(Elig_MatchAll_Ct-1),AI1480=0),F1480,0)</f>
        <v>0</v>
      </c>
      <c r="BL1480" s="991">
        <f>IF(AND(Input_Product=Elig!$C1480,Elig_MatchAll_Ct&lt;22,$BC1480=(Elig_MatchAll_Ct-1),AJ1480=0),G1480,0)</f>
        <v>0</v>
      </c>
      <c r="BM1480" s="991">
        <f>IF(AND(Input_Product=Elig!$C1480,Elig_MatchAll_Ct&lt;22,$BC1480=(Elig_MatchAll_Ct-1),AK1480=0),H1480,0)</f>
        <v>0</v>
      </c>
      <c r="BN1480" s="991">
        <f>IF(AND(Input_Product=Elig!$C1480,Elig_MatchAll_Ct&lt;22,$BC1480=(Elig_MatchAll_Ct-1),AL1480=0),I1480,0)</f>
        <v>0</v>
      </c>
      <c r="BO1480" s="991">
        <f>IF(AND(Input_Product=Elig!$C1480,Elig_MatchAll_Ct&lt;22,$BC1480=(Elig_MatchAll_Ct-1),AM1480=0),J1480,0)</f>
        <v>0</v>
      </c>
      <c r="BP1480" s="991">
        <f>IF(AND(Input_Product=Elig!$C1480,Elig_MatchAll_Ct&lt;22,$BC1480=(Elig_MatchAll_Ct-1),AN1480=0),K1480,0)</f>
        <v>0</v>
      </c>
      <c r="BQ1480" s="991">
        <f>IF(AND(Input_Product=Elig!$C1480,Elig_MatchAll_Ct&lt;22,$BC1480=(Elig_MatchAll_Ct-1),AP1480=0),L1480,0)</f>
        <v>0</v>
      </c>
      <c r="BR1480" s="991">
        <f>IF(AND(Input_Product=Elig!$C1480,Elig_MatchAll_Ct&lt;22,$BC1480=(Elig_MatchAll_Ct-1),AO1480=0),M1480,0)</f>
        <v>0</v>
      </c>
      <c r="BS1480" s="991">
        <f>IF(AND(Input_Product=Elig!$C1480,Elig_MatchAll_Ct&lt;22,$BC1480=(Elig_MatchAll_Ct-1),AQ1480=0),N1480,0)</f>
        <v>0</v>
      </c>
      <c r="BT1480" s="991">
        <f>IF(AND(Input_Product=Elig!$C1480,Elig_MatchAll_Ct&lt;22,$BC1480=(Elig_MatchAll_Ct-1),AR1480=0),O1480,0)</f>
        <v>0</v>
      </c>
      <c r="BU1480" s="991">
        <f>IF(AND(Input_Product=Elig!$C1480,Elig_MatchAll_Ct&lt;22,$BC1480=(Elig_MatchAll_Ct-1),AS1480=0),P1480,0)</f>
        <v>0</v>
      </c>
      <c r="BV1480" s="992">
        <f>IF(AND(Input_Product=Elig!$C1480,Elig_MatchAll_Ct&lt;22,$BC1480=(Elig_MatchAll_Ct-1),AT1480=0),Q1480,0)</f>
        <v>0</v>
      </c>
      <c r="BW1480" s="993">
        <f>IF(AND(Input_Product=Elig!$C1480,Elig_MatchAll_Ct&lt;22,$BC1480=(Elig_MatchAll_Ct-1),AU1480=0),R1480,0)</f>
        <v>0</v>
      </c>
      <c r="BX1480" s="994">
        <f>IF(AND(Input_Product=Elig!$C1480,Elig_MatchAll_Ct&lt;22,$BC1480=(Elig_MatchAll_Ct-1),AU1480=0),S1480,0)</f>
        <v>0</v>
      </c>
      <c r="BY1480" s="993">
        <f>IF(AND(Input_Product=Elig!$C1480,Elig_MatchAll_Ct&lt;22,$BC1480=(Elig_MatchAll_Ct-1),AV1480=0),T1480,0)</f>
        <v>0</v>
      </c>
      <c r="BZ1480" s="994">
        <f>IF(AND(Input_Product=Elig!$C1480,Elig_MatchAll_Ct&lt;22,$BC1480=(Elig_MatchAll_Ct-1),AV1480=0),U1480,0)</f>
        <v>0</v>
      </c>
      <c r="CA1480" s="993">
        <f>IF(AND(Input_Product=Elig!$C1480,Elig_MatchAll_Ct&lt;22,$BC1480=(Elig_MatchAll_Ct-1),AW1480=0),V1480,0)</f>
        <v>0</v>
      </c>
      <c r="CB1480" s="994">
        <f>IF(AND(Input_Product=Elig!$C1480,Elig_MatchAll_Ct&lt;22,$BC1480=(Elig_MatchAll_Ct-1),AW1480=0),W1480,0)</f>
        <v>0</v>
      </c>
      <c r="CC1480" s="993">
        <f>IF(AND(Input_Product=Elig!$C1480,Elig_MatchAll_Ct&lt;22,$BC1480=(Elig_MatchAll_Ct-1),AX1480=0),X1480,0)</f>
        <v>0</v>
      </c>
      <c r="CD1480" s="994">
        <f>IF(AND(Input_Product=Elig!$C1480,Elig_MatchAll_Ct&lt;22,$BC1480=(Elig_MatchAll_Ct-1),AX1480=0),Y1480,0)</f>
        <v>0</v>
      </c>
      <c r="CE1480" s="993">
        <f>IF(AND(Input_LTV&lt;=AE1480,Input_Product=Elig!$C1480,Elig_MatchAll_Ct&lt;22,$BC1480=(Elig_MatchAll_Ct-1),AY1480=0),Z1480,0)</f>
        <v>0</v>
      </c>
      <c r="CF1480" s="994">
        <f>IF(AND(Input_LTV&lt;=AE1480,Input_Product=Elig!$C1480,Elig_MatchAll_Ct&lt;22,$BC1480=(Elig_MatchAll_Ct-1),AY1480=0),AA1480,0)</f>
        <v>0</v>
      </c>
      <c r="CG1480" s="993">
        <f>IF(AND(Input_Product=Elig!$C1480,Elig_MatchAll_Ct&lt;22,$BC1480=(Elig_MatchAll_Ct-1),AZ1480=0),AB1480,0)</f>
        <v>0</v>
      </c>
      <c r="CH1480" s="994">
        <f>IF(AND(Input_Product=Elig!$C1480,Elig_MatchAll_Ct&lt;22,$BC1480=(Elig_MatchAll_Ct-1),AZ1480=0),AC1480,0)</f>
        <v>0</v>
      </c>
      <c r="CI1480" s="993">
        <f>IF(AND(Input_Product=Elig!$C1480,Elig_MatchAll_Ct&lt;22,$BC1480=(Elig_MatchAll_Ct-1),BA1480=0),AD1480,0)</f>
        <v>0</v>
      </c>
      <c r="CJ1480" s="994">
        <f>IF(AND(Input_Product=Elig!$C1480,Elig_MatchAll_Ct&lt;22,$BC1480=(Elig_MatchAll_Ct-1),BA1480=0),AE1480,0)</f>
        <v>0</v>
      </c>
    </row>
    <row r="1481" spans="2:88" ht="10.15" customHeight="1" x14ac:dyDescent="0.25">
      <c r="B1481" s="1554" t="s">
        <v>3754</v>
      </c>
      <c r="C1481" s="1554" t="str">
        <f t="shared" si="511"/>
        <v xml:space="preserve">  NOO</v>
      </c>
      <c r="D1481" s="1554" t="s">
        <v>2764</v>
      </c>
      <c r="E1481" s="1554" t="s">
        <v>167</v>
      </c>
      <c r="F1481" s="1554" t="s">
        <v>2765</v>
      </c>
      <c r="G1481" s="1554" t="s">
        <v>2810</v>
      </c>
      <c r="H1481" s="1554" t="s">
        <v>2767</v>
      </c>
      <c r="I1481" s="1555" t="s">
        <v>35</v>
      </c>
      <c r="J1481" s="1555" t="s">
        <v>1311</v>
      </c>
      <c r="K1481" s="1555" t="s">
        <v>3023</v>
      </c>
      <c r="L1481" s="1554" t="s">
        <v>3920</v>
      </c>
      <c r="M1481" s="1554" t="s">
        <v>4203</v>
      </c>
      <c r="N1481" s="1554" t="s">
        <v>2685</v>
      </c>
      <c r="O1481" s="1554" t="s">
        <v>310</v>
      </c>
      <c r="P1481" s="1554" t="s">
        <v>291</v>
      </c>
      <c r="Q1481" s="1554" t="s">
        <v>294</v>
      </c>
      <c r="R1481" s="1554">
        <v>150000</v>
      </c>
      <c r="S1481" s="1554">
        <v>1000000</v>
      </c>
      <c r="T1481" s="1554">
        <v>0</v>
      </c>
      <c r="U1481" s="1554">
        <v>0</v>
      </c>
      <c r="V1481" s="1554">
        <v>0</v>
      </c>
      <c r="W1481" s="1554">
        <v>50</v>
      </c>
      <c r="X1481" s="1554">
        <v>0</v>
      </c>
      <c r="Y1481" s="1554">
        <v>0</v>
      </c>
      <c r="Z1481" s="1556">
        <v>680</v>
      </c>
      <c r="AA1481" s="1556">
        <v>699</v>
      </c>
      <c r="AB1481" s="1556">
        <v>3</v>
      </c>
      <c r="AC1481" s="1556">
        <v>999999</v>
      </c>
      <c r="AD1481" s="1554">
        <v>0</v>
      </c>
      <c r="AE1481" s="1557">
        <v>80</v>
      </c>
      <c r="AF1481" s="170">
        <v>0</v>
      </c>
      <c r="AG1481" s="171">
        <v>1</v>
      </c>
      <c r="AH1481" s="171">
        <v>1</v>
      </c>
      <c r="AI1481" s="171">
        <v>1</v>
      </c>
      <c r="AJ1481" s="171">
        <v>1</v>
      </c>
      <c r="AK1481" s="171">
        <v>1</v>
      </c>
      <c r="AL1481" s="171">
        <v>0</v>
      </c>
      <c r="AM1481" s="171">
        <v>1</v>
      </c>
      <c r="AN1481" s="171">
        <v>1</v>
      </c>
      <c r="AO1481" s="171">
        <v>1</v>
      </c>
      <c r="AP1481" s="171">
        <v>1</v>
      </c>
      <c r="AQ1481" s="171">
        <v>1</v>
      </c>
      <c r="AR1481" s="171">
        <v>1</v>
      </c>
      <c r="AS1481" s="171">
        <v>1</v>
      </c>
      <c r="AT1481" s="171">
        <v>1</v>
      </c>
      <c r="AU1481" s="171">
        <f t="shared" si="502"/>
        <v>1</v>
      </c>
      <c r="AV1481" s="171">
        <f t="shared" si="503"/>
        <v>0</v>
      </c>
      <c r="AW1481" s="171">
        <f t="shared" si="504"/>
        <v>1</v>
      </c>
      <c r="AX1481" s="171">
        <f t="shared" si="512"/>
        <v>1</v>
      </c>
      <c r="AY1481" s="171">
        <f t="shared" si="505"/>
        <v>0</v>
      </c>
      <c r="AZ1481" s="171">
        <f t="shared" si="506"/>
        <v>1</v>
      </c>
      <c r="BA1481" s="172">
        <f t="shared" si="507"/>
        <v>1</v>
      </c>
      <c r="BB1481" s="175">
        <f t="shared" si="508"/>
        <v>18</v>
      </c>
      <c r="BC1481" s="176">
        <f t="shared" si="509"/>
        <v>17</v>
      </c>
      <c r="BD1481" s="176">
        <f t="shared" si="510"/>
        <v>18</v>
      </c>
      <c r="BE1481" s="240" t="str">
        <f t="shared" si="501"/>
        <v/>
      </c>
      <c r="BF1481" s="990"/>
      <c r="BG1481" s="990"/>
      <c r="BH1481" s="991">
        <f>IF(AND(Input_Product=Elig!$C1481,Elig_MatchAll_Ct&lt;22,$BC1481=(Elig_MatchAll_Ct-1),AF1481=0),C1481,0)</f>
        <v>0</v>
      </c>
      <c r="BI1481" s="991">
        <f>IF(AND(Input_Product=Elig!$C1481,Elig_MatchAll_Ct&lt;22,$BC1481=(Elig_MatchAll_Ct-1),AG1481=0),D1481,0)</f>
        <v>0</v>
      </c>
      <c r="BJ1481" s="991">
        <f>IF(AND(Input_Product=Elig!$C1481,Elig_MatchAll_Ct&lt;22,$BC1481=(Elig_MatchAll_Ct-1),AH1481=0),E1481,0)</f>
        <v>0</v>
      </c>
      <c r="BK1481" s="991">
        <f>IF(AND(Input_Product=Elig!$C1481,Elig_MatchAll_Ct&lt;22,$BC1481=(Elig_MatchAll_Ct-1),AI1481=0),F1481,0)</f>
        <v>0</v>
      </c>
      <c r="BL1481" s="991">
        <f>IF(AND(Input_Product=Elig!$C1481,Elig_MatchAll_Ct&lt;22,$BC1481=(Elig_MatchAll_Ct-1),AJ1481=0),G1481,0)</f>
        <v>0</v>
      </c>
      <c r="BM1481" s="991">
        <f>IF(AND(Input_Product=Elig!$C1481,Elig_MatchAll_Ct&lt;22,$BC1481=(Elig_MatchAll_Ct-1),AK1481=0),H1481,0)</f>
        <v>0</v>
      </c>
      <c r="BN1481" s="991">
        <f>IF(AND(Input_Product=Elig!$C1481,Elig_MatchAll_Ct&lt;22,$BC1481=(Elig_MatchAll_Ct-1),AL1481=0),I1481,0)</f>
        <v>0</v>
      </c>
      <c r="BO1481" s="991">
        <f>IF(AND(Input_Product=Elig!$C1481,Elig_MatchAll_Ct&lt;22,$BC1481=(Elig_MatchAll_Ct-1),AM1481=0),J1481,0)</f>
        <v>0</v>
      </c>
      <c r="BP1481" s="991">
        <f>IF(AND(Input_Product=Elig!$C1481,Elig_MatchAll_Ct&lt;22,$BC1481=(Elig_MatchAll_Ct-1),AN1481=0),K1481,0)</f>
        <v>0</v>
      </c>
      <c r="BQ1481" s="991">
        <f>IF(AND(Input_Product=Elig!$C1481,Elig_MatchAll_Ct&lt;22,$BC1481=(Elig_MatchAll_Ct-1),AP1481=0),L1481,0)</f>
        <v>0</v>
      </c>
      <c r="BR1481" s="991">
        <f>IF(AND(Input_Product=Elig!$C1481,Elig_MatchAll_Ct&lt;22,$BC1481=(Elig_MatchAll_Ct-1),AO1481=0),M1481,0)</f>
        <v>0</v>
      </c>
      <c r="BS1481" s="991">
        <f>IF(AND(Input_Product=Elig!$C1481,Elig_MatchAll_Ct&lt;22,$BC1481=(Elig_MatchAll_Ct-1),AQ1481=0),N1481,0)</f>
        <v>0</v>
      </c>
      <c r="BT1481" s="991">
        <f>IF(AND(Input_Product=Elig!$C1481,Elig_MatchAll_Ct&lt;22,$BC1481=(Elig_MatchAll_Ct-1),AR1481=0),O1481,0)</f>
        <v>0</v>
      </c>
      <c r="BU1481" s="991">
        <f>IF(AND(Input_Product=Elig!$C1481,Elig_MatchAll_Ct&lt;22,$BC1481=(Elig_MatchAll_Ct-1),AS1481=0),P1481,0)</f>
        <v>0</v>
      </c>
      <c r="BV1481" s="992">
        <f>IF(AND(Input_Product=Elig!$C1481,Elig_MatchAll_Ct&lt;22,$BC1481=(Elig_MatchAll_Ct-1),AT1481=0),Q1481,0)</f>
        <v>0</v>
      </c>
      <c r="BW1481" s="993">
        <f>IF(AND(Input_Product=Elig!$C1481,Elig_MatchAll_Ct&lt;22,$BC1481=(Elig_MatchAll_Ct-1),AU1481=0),R1481,0)</f>
        <v>0</v>
      </c>
      <c r="BX1481" s="994">
        <f>IF(AND(Input_Product=Elig!$C1481,Elig_MatchAll_Ct&lt;22,$BC1481=(Elig_MatchAll_Ct-1),AU1481=0),S1481,0)</f>
        <v>0</v>
      </c>
      <c r="BY1481" s="993">
        <f>IF(AND(Input_Product=Elig!$C1481,Elig_MatchAll_Ct&lt;22,$BC1481=(Elig_MatchAll_Ct-1),AV1481=0),T1481,0)</f>
        <v>0</v>
      </c>
      <c r="BZ1481" s="994">
        <f>IF(AND(Input_Product=Elig!$C1481,Elig_MatchAll_Ct&lt;22,$BC1481=(Elig_MatchAll_Ct-1),AV1481=0),U1481,0)</f>
        <v>0</v>
      </c>
      <c r="CA1481" s="993">
        <f>IF(AND(Input_Product=Elig!$C1481,Elig_MatchAll_Ct&lt;22,$BC1481=(Elig_MatchAll_Ct-1),AW1481=0),V1481,0)</f>
        <v>0</v>
      </c>
      <c r="CB1481" s="994">
        <f>IF(AND(Input_Product=Elig!$C1481,Elig_MatchAll_Ct&lt;22,$BC1481=(Elig_MatchAll_Ct-1),AW1481=0),W1481,0)</f>
        <v>0</v>
      </c>
      <c r="CC1481" s="993">
        <f>IF(AND(Input_Product=Elig!$C1481,Elig_MatchAll_Ct&lt;22,$BC1481=(Elig_MatchAll_Ct-1),AX1481=0),X1481,0)</f>
        <v>0</v>
      </c>
      <c r="CD1481" s="994">
        <f>IF(AND(Input_Product=Elig!$C1481,Elig_MatchAll_Ct&lt;22,$BC1481=(Elig_MatchAll_Ct-1),AX1481=0),Y1481,0)</f>
        <v>0</v>
      </c>
      <c r="CE1481" s="993">
        <f>IF(AND(Input_LTV&lt;=AE1481,Input_Product=Elig!$C1481,Elig_MatchAll_Ct&lt;22,$BC1481=(Elig_MatchAll_Ct-1),AY1481=0),Z1481,0)</f>
        <v>0</v>
      </c>
      <c r="CF1481" s="994">
        <f>IF(AND(Input_LTV&lt;=AE1481,Input_Product=Elig!$C1481,Elig_MatchAll_Ct&lt;22,$BC1481=(Elig_MatchAll_Ct-1),AY1481=0),AA1481,0)</f>
        <v>0</v>
      </c>
      <c r="CG1481" s="993">
        <f>IF(AND(Input_Product=Elig!$C1481,Elig_MatchAll_Ct&lt;22,$BC1481=(Elig_MatchAll_Ct-1),AZ1481=0),AB1481,0)</f>
        <v>0</v>
      </c>
      <c r="CH1481" s="994">
        <f>IF(AND(Input_Product=Elig!$C1481,Elig_MatchAll_Ct&lt;22,$BC1481=(Elig_MatchAll_Ct-1),AZ1481=0),AC1481,0)</f>
        <v>0</v>
      </c>
      <c r="CI1481" s="993">
        <f>IF(AND(Input_Product=Elig!$C1481,Elig_MatchAll_Ct&lt;22,$BC1481=(Elig_MatchAll_Ct-1),BA1481=0),AD1481,0)</f>
        <v>0</v>
      </c>
      <c r="CJ1481" s="994">
        <f>IF(AND(Input_Product=Elig!$C1481,Elig_MatchAll_Ct&lt;22,$BC1481=(Elig_MatchAll_Ct-1),BA1481=0),AE1481,0)</f>
        <v>0</v>
      </c>
    </row>
    <row r="1482" spans="2:88" ht="10.15" customHeight="1" x14ac:dyDescent="0.25">
      <c r="B1482" s="1554" t="s">
        <v>3755</v>
      </c>
      <c r="C1482" s="1554" t="str">
        <f t="shared" si="511"/>
        <v xml:space="preserve">  NOO</v>
      </c>
      <c r="D1482" s="1554" t="s">
        <v>2764</v>
      </c>
      <c r="E1482" s="1554" t="s">
        <v>167</v>
      </c>
      <c r="F1482" s="1554" t="s">
        <v>2765</v>
      </c>
      <c r="G1482" s="1554" t="s">
        <v>2810</v>
      </c>
      <c r="H1482" s="1554" t="s">
        <v>2767</v>
      </c>
      <c r="I1482" s="1555" t="s">
        <v>35</v>
      </c>
      <c r="J1482" s="1555" t="s">
        <v>1311</v>
      </c>
      <c r="K1482" s="1555" t="s">
        <v>3023</v>
      </c>
      <c r="L1482" s="1554" t="s">
        <v>3920</v>
      </c>
      <c r="M1482" s="1554" t="s">
        <v>4203</v>
      </c>
      <c r="N1482" s="1554" t="s">
        <v>2685</v>
      </c>
      <c r="O1482" s="1554" t="s">
        <v>310</v>
      </c>
      <c r="P1482" s="1554" t="s">
        <v>291</v>
      </c>
      <c r="Q1482" s="1554" t="s">
        <v>294</v>
      </c>
      <c r="R1482" s="1554">
        <v>1000000.01</v>
      </c>
      <c r="S1482" s="1554">
        <v>1500000</v>
      </c>
      <c r="T1482" s="1554">
        <v>0</v>
      </c>
      <c r="U1482" s="1554">
        <v>0</v>
      </c>
      <c r="V1482" s="1554">
        <v>0</v>
      </c>
      <c r="W1482" s="1554">
        <v>50</v>
      </c>
      <c r="X1482" s="1554">
        <v>0</v>
      </c>
      <c r="Y1482" s="1554">
        <v>0</v>
      </c>
      <c r="Z1482" s="1556">
        <v>680</v>
      </c>
      <c r="AA1482" s="1556">
        <v>699</v>
      </c>
      <c r="AB1482" s="1556">
        <v>3</v>
      </c>
      <c r="AC1482" s="1556">
        <v>999999</v>
      </c>
      <c r="AD1482" s="1554">
        <v>0</v>
      </c>
      <c r="AE1482" s="1557">
        <v>75</v>
      </c>
      <c r="AF1482" s="170">
        <v>0</v>
      </c>
      <c r="AG1482" s="171">
        <v>1</v>
      </c>
      <c r="AH1482" s="171">
        <v>1</v>
      </c>
      <c r="AI1482" s="171">
        <v>1</v>
      </c>
      <c r="AJ1482" s="171">
        <v>1</v>
      </c>
      <c r="AK1482" s="171">
        <v>1</v>
      </c>
      <c r="AL1482" s="171">
        <v>0</v>
      </c>
      <c r="AM1482" s="171">
        <v>1</v>
      </c>
      <c r="AN1482" s="171">
        <v>1</v>
      </c>
      <c r="AO1482" s="171">
        <v>1</v>
      </c>
      <c r="AP1482" s="171">
        <v>1</v>
      </c>
      <c r="AQ1482" s="171">
        <v>1</v>
      </c>
      <c r="AR1482" s="171">
        <v>1</v>
      </c>
      <c r="AS1482" s="171">
        <v>1</v>
      </c>
      <c r="AT1482" s="171">
        <v>1</v>
      </c>
      <c r="AU1482" s="171">
        <f t="shared" si="502"/>
        <v>0</v>
      </c>
      <c r="AV1482" s="171">
        <f t="shared" si="503"/>
        <v>0</v>
      </c>
      <c r="AW1482" s="171">
        <f t="shared" si="504"/>
        <v>1</v>
      </c>
      <c r="AX1482" s="171">
        <f t="shared" si="512"/>
        <v>1</v>
      </c>
      <c r="AY1482" s="171">
        <f t="shared" si="505"/>
        <v>0</v>
      </c>
      <c r="AZ1482" s="171">
        <f t="shared" si="506"/>
        <v>1</v>
      </c>
      <c r="BA1482" s="172">
        <f t="shared" si="507"/>
        <v>1</v>
      </c>
      <c r="BB1482" s="175">
        <f t="shared" si="508"/>
        <v>17</v>
      </c>
      <c r="BC1482" s="176">
        <f t="shared" si="509"/>
        <v>16</v>
      </c>
      <c r="BD1482" s="176">
        <f t="shared" si="510"/>
        <v>17</v>
      </c>
      <c r="BE1482" s="240" t="str">
        <f t="shared" si="501"/>
        <v/>
      </c>
      <c r="BF1482" s="990"/>
      <c r="BG1482" s="990"/>
      <c r="BH1482" s="991">
        <f>IF(AND(Input_Product=Elig!$C1482,Elig_MatchAll_Ct&lt;22,$BC1482=(Elig_MatchAll_Ct-1),AF1482=0),C1482,0)</f>
        <v>0</v>
      </c>
      <c r="BI1482" s="991">
        <f>IF(AND(Input_Product=Elig!$C1482,Elig_MatchAll_Ct&lt;22,$BC1482=(Elig_MatchAll_Ct-1),AG1482=0),D1482,0)</f>
        <v>0</v>
      </c>
      <c r="BJ1482" s="991">
        <f>IF(AND(Input_Product=Elig!$C1482,Elig_MatchAll_Ct&lt;22,$BC1482=(Elig_MatchAll_Ct-1),AH1482=0),E1482,0)</f>
        <v>0</v>
      </c>
      <c r="BK1482" s="991">
        <f>IF(AND(Input_Product=Elig!$C1482,Elig_MatchAll_Ct&lt;22,$BC1482=(Elig_MatchAll_Ct-1),AI1482=0),F1482,0)</f>
        <v>0</v>
      </c>
      <c r="BL1482" s="991">
        <f>IF(AND(Input_Product=Elig!$C1482,Elig_MatchAll_Ct&lt;22,$BC1482=(Elig_MatchAll_Ct-1),AJ1482=0),G1482,0)</f>
        <v>0</v>
      </c>
      <c r="BM1482" s="991">
        <f>IF(AND(Input_Product=Elig!$C1482,Elig_MatchAll_Ct&lt;22,$BC1482=(Elig_MatchAll_Ct-1),AK1482=0),H1482,0)</f>
        <v>0</v>
      </c>
      <c r="BN1482" s="991">
        <f>IF(AND(Input_Product=Elig!$C1482,Elig_MatchAll_Ct&lt;22,$BC1482=(Elig_MatchAll_Ct-1),AL1482=0),I1482,0)</f>
        <v>0</v>
      </c>
      <c r="BO1482" s="991">
        <f>IF(AND(Input_Product=Elig!$C1482,Elig_MatchAll_Ct&lt;22,$BC1482=(Elig_MatchAll_Ct-1),AM1482=0),J1482,0)</f>
        <v>0</v>
      </c>
      <c r="BP1482" s="991">
        <f>IF(AND(Input_Product=Elig!$C1482,Elig_MatchAll_Ct&lt;22,$BC1482=(Elig_MatchAll_Ct-1),AN1482=0),K1482,0)</f>
        <v>0</v>
      </c>
      <c r="BQ1482" s="991">
        <f>IF(AND(Input_Product=Elig!$C1482,Elig_MatchAll_Ct&lt;22,$BC1482=(Elig_MatchAll_Ct-1),AP1482=0),L1482,0)</f>
        <v>0</v>
      </c>
      <c r="BR1482" s="991">
        <f>IF(AND(Input_Product=Elig!$C1482,Elig_MatchAll_Ct&lt;22,$BC1482=(Elig_MatchAll_Ct-1),AO1482=0),M1482,0)</f>
        <v>0</v>
      </c>
      <c r="BS1482" s="991">
        <f>IF(AND(Input_Product=Elig!$C1482,Elig_MatchAll_Ct&lt;22,$BC1482=(Elig_MatchAll_Ct-1),AQ1482=0),N1482,0)</f>
        <v>0</v>
      </c>
      <c r="BT1482" s="991">
        <f>IF(AND(Input_Product=Elig!$C1482,Elig_MatchAll_Ct&lt;22,$BC1482=(Elig_MatchAll_Ct-1),AR1482=0),O1482,0)</f>
        <v>0</v>
      </c>
      <c r="BU1482" s="991">
        <f>IF(AND(Input_Product=Elig!$C1482,Elig_MatchAll_Ct&lt;22,$BC1482=(Elig_MatchAll_Ct-1),AS1482=0),P1482,0)</f>
        <v>0</v>
      </c>
      <c r="BV1482" s="992">
        <f>IF(AND(Input_Product=Elig!$C1482,Elig_MatchAll_Ct&lt;22,$BC1482=(Elig_MatchAll_Ct-1),AT1482=0),Q1482,0)</f>
        <v>0</v>
      </c>
      <c r="BW1482" s="993">
        <f>IF(AND(Input_Product=Elig!$C1482,Elig_MatchAll_Ct&lt;22,$BC1482=(Elig_MatchAll_Ct-1),AU1482=0),R1482,0)</f>
        <v>0</v>
      </c>
      <c r="BX1482" s="994">
        <f>IF(AND(Input_Product=Elig!$C1482,Elig_MatchAll_Ct&lt;22,$BC1482=(Elig_MatchAll_Ct-1),AU1482=0),S1482,0)</f>
        <v>0</v>
      </c>
      <c r="BY1482" s="993">
        <f>IF(AND(Input_Product=Elig!$C1482,Elig_MatchAll_Ct&lt;22,$BC1482=(Elig_MatchAll_Ct-1),AV1482=0),T1482,0)</f>
        <v>0</v>
      </c>
      <c r="BZ1482" s="994">
        <f>IF(AND(Input_Product=Elig!$C1482,Elig_MatchAll_Ct&lt;22,$BC1482=(Elig_MatchAll_Ct-1),AV1482=0),U1482,0)</f>
        <v>0</v>
      </c>
      <c r="CA1482" s="993">
        <f>IF(AND(Input_Product=Elig!$C1482,Elig_MatchAll_Ct&lt;22,$BC1482=(Elig_MatchAll_Ct-1),AW1482=0),V1482,0)</f>
        <v>0</v>
      </c>
      <c r="CB1482" s="994">
        <f>IF(AND(Input_Product=Elig!$C1482,Elig_MatchAll_Ct&lt;22,$BC1482=(Elig_MatchAll_Ct-1),AW1482=0),W1482,0)</f>
        <v>0</v>
      </c>
      <c r="CC1482" s="993">
        <f>IF(AND(Input_Product=Elig!$C1482,Elig_MatchAll_Ct&lt;22,$BC1482=(Elig_MatchAll_Ct-1),AX1482=0),X1482,0)</f>
        <v>0</v>
      </c>
      <c r="CD1482" s="994">
        <f>IF(AND(Input_Product=Elig!$C1482,Elig_MatchAll_Ct&lt;22,$BC1482=(Elig_MatchAll_Ct-1),AX1482=0),Y1482,0)</f>
        <v>0</v>
      </c>
      <c r="CE1482" s="993">
        <f>IF(AND(Input_LTV&lt;=AE1482,Input_Product=Elig!$C1482,Elig_MatchAll_Ct&lt;22,$BC1482=(Elig_MatchAll_Ct-1),AY1482=0),Z1482,0)</f>
        <v>0</v>
      </c>
      <c r="CF1482" s="994">
        <f>IF(AND(Input_LTV&lt;=AE1482,Input_Product=Elig!$C1482,Elig_MatchAll_Ct&lt;22,$BC1482=(Elig_MatchAll_Ct-1),AY1482=0),AA1482,0)</f>
        <v>0</v>
      </c>
      <c r="CG1482" s="993">
        <f>IF(AND(Input_Product=Elig!$C1482,Elig_MatchAll_Ct&lt;22,$BC1482=(Elig_MatchAll_Ct-1),AZ1482=0),AB1482,0)</f>
        <v>0</v>
      </c>
      <c r="CH1482" s="994">
        <f>IF(AND(Input_Product=Elig!$C1482,Elig_MatchAll_Ct&lt;22,$BC1482=(Elig_MatchAll_Ct-1),AZ1482=0),AC1482,0)</f>
        <v>0</v>
      </c>
      <c r="CI1482" s="993">
        <f>IF(AND(Input_Product=Elig!$C1482,Elig_MatchAll_Ct&lt;22,$BC1482=(Elig_MatchAll_Ct-1),BA1482=0),AD1482,0)</f>
        <v>0</v>
      </c>
      <c r="CJ1482" s="994">
        <f>IF(AND(Input_Product=Elig!$C1482,Elig_MatchAll_Ct&lt;22,$BC1482=(Elig_MatchAll_Ct-1),BA1482=0),AE1482,0)</f>
        <v>0</v>
      </c>
    </row>
    <row r="1483" spans="2:88" ht="10.15" customHeight="1" x14ac:dyDescent="0.25">
      <c r="B1483" s="1554" t="s">
        <v>3756</v>
      </c>
      <c r="C1483" s="1554" t="str">
        <f t="shared" si="511"/>
        <v xml:space="preserve">  NOO</v>
      </c>
      <c r="D1483" s="1554" t="s">
        <v>2764</v>
      </c>
      <c r="E1483" s="1554" t="s">
        <v>167</v>
      </c>
      <c r="F1483" s="1554" t="s">
        <v>2765</v>
      </c>
      <c r="G1483" s="1554" t="s">
        <v>2810</v>
      </c>
      <c r="H1483" s="1554" t="s">
        <v>2767</v>
      </c>
      <c r="I1483" s="1555" t="s">
        <v>35</v>
      </c>
      <c r="J1483" s="1555" t="s">
        <v>1311</v>
      </c>
      <c r="K1483" s="1555" t="s">
        <v>3023</v>
      </c>
      <c r="L1483" s="1554" t="s">
        <v>3920</v>
      </c>
      <c r="M1483" s="1554" t="s">
        <v>4203</v>
      </c>
      <c r="N1483" s="1554" t="s">
        <v>2685</v>
      </c>
      <c r="O1483" s="1554" t="s">
        <v>310</v>
      </c>
      <c r="P1483" s="1554" t="s">
        <v>291</v>
      </c>
      <c r="Q1483" s="1554" t="s">
        <v>294</v>
      </c>
      <c r="R1483" s="1554">
        <v>1500000.01</v>
      </c>
      <c r="S1483" s="1554">
        <v>2000000</v>
      </c>
      <c r="T1483" s="1554">
        <v>0</v>
      </c>
      <c r="U1483" s="1554">
        <v>0</v>
      </c>
      <c r="V1483" s="1554">
        <v>0</v>
      </c>
      <c r="W1483" s="1554">
        <v>50</v>
      </c>
      <c r="X1483" s="1554">
        <v>0</v>
      </c>
      <c r="Y1483" s="1554">
        <v>0</v>
      </c>
      <c r="Z1483" s="1556">
        <v>680</v>
      </c>
      <c r="AA1483" s="1556">
        <v>699</v>
      </c>
      <c r="AB1483" s="1556">
        <v>3</v>
      </c>
      <c r="AC1483" s="1556">
        <v>999999</v>
      </c>
      <c r="AD1483" s="1554">
        <v>0</v>
      </c>
      <c r="AE1483" s="1557">
        <v>70</v>
      </c>
      <c r="AF1483" s="170">
        <v>0</v>
      </c>
      <c r="AG1483" s="171">
        <v>1</v>
      </c>
      <c r="AH1483" s="171">
        <v>1</v>
      </c>
      <c r="AI1483" s="171">
        <v>1</v>
      </c>
      <c r="AJ1483" s="171">
        <v>1</v>
      </c>
      <c r="AK1483" s="171">
        <v>1</v>
      </c>
      <c r="AL1483" s="171">
        <v>0</v>
      </c>
      <c r="AM1483" s="171">
        <v>1</v>
      </c>
      <c r="AN1483" s="171">
        <v>1</v>
      </c>
      <c r="AO1483" s="171">
        <v>1</v>
      </c>
      <c r="AP1483" s="171">
        <v>1</v>
      </c>
      <c r="AQ1483" s="171">
        <v>1</v>
      </c>
      <c r="AR1483" s="171">
        <v>1</v>
      </c>
      <c r="AS1483" s="171">
        <v>1</v>
      </c>
      <c r="AT1483" s="171">
        <v>1</v>
      </c>
      <c r="AU1483" s="171">
        <f t="shared" si="502"/>
        <v>0</v>
      </c>
      <c r="AV1483" s="171">
        <f t="shared" si="503"/>
        <v>0</v>
      </c>
      <c r="AW1483" s="171">
        <f t="shared" si="504"/>
        <v>1</v>
      </c>
      <c r="AX1483" s="171">
        <f t="shared" si="512"/>
        <v>1</v>
      </c>
      <c r="AY1483" s="171">
        <f t="shared" si="505"/>
        <v>0</v>
      </c>
      <c r="AZ1483" s="171">
        <f t="shared" si="506"/>
        <v>1</v>
      </c>
      <c r="BA1483" s="172">
        <f t="shared" si="507"/>
        <v>1</v>
      </c>
      <c r="BB1483" s="175">
        <f t="shared" si="508"/>
        <v>17</v>
      </c>
      <c r="BC1483" s="176">
        <f t="shared" si="509"/>
        <v>16</v>
      </c>
      <c r="BD1483" s="176">
        <f t="shared" si="510"/>
        <v>17</v>
      </c>
      <c r="BE1483" s="240" t="str">
        <f t="shared" si="501"/>
        <v/>
      </c>
      <c r="BF1483" s="990"/>
      <c r="BG1483" s="990"/>
      <c r="BH1483" s="991">
        <f>IF(AND(Input_Product=Elig!$C1483,Elig_MatchAll_Ct&lt;22,$BC1483=(Elig_MatchAll_Ct-1),AF1483=0),C1483,0)</f>
        <v>0</v>
      </c>
      <c r="BI1483" s="991">
        <f>IF(AND(Input_Product=Elig!$C1483,Elig_MatchAll_Ct&lt;22,$BC1483=(Elig_MatchAll_Ct-1),AG1483=0),D1483,0)</f>
        <v>0</v>
      </c>
      <c r="BJ1483" s="991">
        <f>IF(AND(Input_Product=Elig!$C1483,Elig_MatchAll_Ct&lt;22,$BC1483=(Elig_MatchAll_Ct-1),AH1483=0),E1483,0)</f>
        <v>0</v>
      </c>
      <c r="BK1483" s="991">
        <f>IF(AND(Input_Product=Elig!$C1483,Elig_MatchAll_Ct&lt;22,$BC1483=(Elig_MatchAll_Ct-1),AI1483=0),F1483,0)</f>
        <v>0</v>
      </c>
      <c r="BL1483" s="991">
        <f>IF(AND(Input_Product=Elig!$C1483,Elig_MatchAll_Ct&lt;22,$BC1483=(Elig_MatchAll_Ct-1),AJ1483=0),G1483,0)</f>
        <v>0</v>
      </c>
      <c r="BM1483" s="991">
        <f>IF(AND(Input_Product=Elig!$C1483,Elig_MatchAll_Ct&lt;22,$BC1483=(Elig_MatchAll_Ct-1),AK1483=0),H1483,0)</f>
        <v>0</v>
      </c>
      <c r="BN1483" s="991">
        <f>IF(AND(Input_Product=Elig!$C1483,Elig_MatchAll_Ct&lt;22,$BC1483=(Elig_MatchAll_Ct-1),AL1483=0),I1483,0)</f>
        <v>0</v>
      </c>
      <c r="BO1483" s="991">
        <f>IF(AND(Input_Product=Elig!$C1483,Elig_MatchAll_Ct&lt;22,$BC1483=(Elig_MatchAll_Ct-1),AM1483=0),J1483,0)</f>
        <v>0</v>
      </c>
      <c r="BP1483" s="991">
        <f>IF(AND(Input_Product=Elig!$C1483,Elig_MatchAll_Ct&lt;22,$BC1483=(Elig_MatchAll_Ct-1),AN1483=0),K1483,0)</f>
        <v>0</v>
      </c>
      <c r="BQ1483" s="991">
        <f>IF(AND(Input_Product=Elig!$C1483,Elig_MatchAll_Ct&lt;22,$BC1483=(Elig_MatchAll_Ct-1),AP1483=0),L1483,0)</f>
        <v>0</v>
      </c>
      <c r="BR1483" s="991">
        <f>IF(AND(Input_Product=Elig!$C1483,Elig_MatchAll_Ct&lt;22,$BC1483=(Elig_MatchAll_Ct-1),AO1483=0),M1483,0)</f>
        <v>0</v>
      </c>
      <c r="BS1483" s="991">
        <f>IF(AND(Input_Product=Elig!$C1483,Elig_MatchAll_Ct&lt;22,$BC1483=(Elig_MatchAll_Ct-1),AQ1483=0),N1483,0)</f>
        <v>0</v>
      </c>
      <c r="BT1483" s="991">
        <f>IF(AND(Input_Product=Elig!$C1483,Elig_MatchAll_Ct&lt;22,$BC1483=(Elig_MatchAll_Ct-1),AR1483=0),O1483,0)</f>
        <v>0</v>
      </c>
      <c r="BU1483" s="991">
        <f>IF(AND(Input_Product=Elig!$C1483,Elig_MatchAll_Ct&lt;22,$BC1483=(Elig_MatchAll_Ct-1),AS1483=0),P1483,0)</f>
        <v>0</v>
      </c>
      <c r="BV1483" s="992">
        <f>IF(AND(Input_Product=Elig!$C1483,Elig_MatchAll_Ct&lt;22,$BC1483=(Elig_MatchAll_Ct-1),AT1483=0),Q1483,0)</f>
        <v>0</v>
      </c>
      <c r="BW1483" s="993">
        <f>IF(AND(Input_Product=Elig!$C1483,Elig_MatchAll_Ct&lt;22,$BC1483=(Elig_MatchAll_Ct-1),AU1483=0),R1483,0)</f>
        <v>0</v>
      </c>
      <c r="BX1483" s="994">
        <f>IF(AND(Input_Product=Elig!$C1483,Elig_MatchAll_Ct&lt;22,$BC1483=(Elig_MatchAll_Ct-1),AU1483=0),S1483,0)</f>
        <v>0</v>
      </c>
      <c r="BY1483" s="993">
        <f>IF(AND(Input_Product=Elig!$C1483,Elig_MatchAll_Ct&lt;22,$BC1483=(Elig_MatchAll_Ct-1),AV1483=0),T1483,0)</f>
        <v>0</v>
      </c>
      <c r="BZ1483" s="994">
        <f>IF(AND(Input_Product=Elig!$C1483,Elig_MatchAll_Ct&lt;22,$BC1483=(Elig_MatchAll_Ct-1),AV1483=0),U1483,0)</f>
        <v>0</v>
      </c>
      <c r="CA1483" s="993">
        <f>IF(AND(Input_Product=Elig!$C1483,Elig_MatchAll_Ct&lt;22,$BC1483=(Elig_MatchAll_Ct-1),AW1483=0),V1483,0)</f>
        <v>0</v>
      </c>
      <c r="CB1483" s="994">
        <f>IF(AND(Input_Product=Elig!$C1483,Elig_MatchAll_Ct&lt;22,$BC1483=(Elig_MatchAll_Ct-1),AW1483=0),W1483,0)</f>
        <v>0</v>
      </c>
      <c r="CC1483" s="993">
        <f>IF(AND(Input_Product=Elig!$C1483,Elig_MatchAll_Ct&lt;22,$BC1483=(Elig_MatchAll_Ct-1),AX1483=0),X1483,0)</f>
        <v>0</v>
      </c>
      <c r="CD1483" s="994">
        <f>IF(AND(Input_Product=Elig!$C1483,Elig_MatchAll_Ct&lt;22,$BC1483=(Elig_MatchAll_Ct-1),AX1483=0),Y1483,0)</f>
        <v>0</v>
      </c>
      <c r="CE1483" s="993">
        <f>IF(AND(Input_LTV&lt;=AE1483,Input_Product=Elig!$C1483,Elig_MatchAll_Ct&lt;22,$BC1483=(Elig_MatchAll_Ct-1),AY1483=0),Z1483,0)</f>
        <v>0</v>
      </c>
      <c r="CF1483" s="994">
        <f>IF(AND(Input_LTV&lt;=AE1483,Input_Product=Elig!$C1483,Elig_MatchAll_Ct&lt;22,$BC1483=(Elig_MatchAll_Ct-1),AY1483=0),AA1483,0)</f>
        <v>0</v>
      </c>
      <c r="CG1483" s="993">
        <f>IF(AND(Input_Product=Elig!$C1483,Elig_MatchAll_Ct&lt;22,$BC1483=(Elig_MatchAll_Ct-1),AZ1483=0),AB1483,0)</f>
        <v>0</v>
      </c>
      <c r="CH1483" s="994">
        <f>IF(AND(Input_Product=Elig!$C1483,Elig_MatchAll_Ct&lt;22,$BC1483=(Elig_MatchAll_Ct-1),AZ1483=0),AC1483,0)</f>
        <v>0</v>
      </c>
      <c r="CI1483" s="993">
        <f>IF(AND(Input_Product=Elig!$C1483,Elig_MatchAll_Ct&lt;22,$BC1483=(Elig_MatchAll_Ct-1),BA1483=0),AD1483,0)</f>
        <v>0</v>
      </c>
      <c r="CJ1483" s="994">
        <f>IF(AND(Input_Product=Elig!$C1483,Elig_MatchAll_Ct&lt;22,$BC1483=(Elig_MatchAll_Ct-1),BA1483=0),AE1483,0)</f>
        <v>0</v>
      </c>
    </row>
    <row r="1484" spans="2:88" ht="10.15" customHeight="1" x14ac:dyDescent="0.25">
      <c r="B1484" s="1554" t="s">
        <v>3757</v>
      </c>
      <c r="C1484" s="1554" t="str">
        <f t="shared" si="511"/>
        <v xml:space="preserve">  NOO</v>
      </c>
      <c r="D1484" s="1554" t="s">
        <v>2764</v>
      </c>
      <c r="E1484" s="1554" t="s">
        <v>167</v>
      </c>
      <c r="F1484" s="1554" t="s">
        <v>2765</v>
      </c>
      <c r="G1484" s="1554" t="s">
        <v>2810</v>
      </c>
      <c r="H1484" s="1554" t="s">
        <v>2767</v>
      </c>
      <c r="I1484" s="1555" t="s">
        <v>35</v>
      </c>
      <c r="J1484" s="1555" t="s">
        <v>1311</v>
      </c>
      <c r="K1484" s="1555" t="s">
        <v>3023</v>
      </c>
      <c r="L1484" s="1554" t="s">
        <v>3920</v>
      </c>
      <c r="M1484" s="1554" t="s">
        <v>4203</v>
      </c>
      <c r="N1484" s="1554" t="s">
        <v>2685</v>
      </c>
      <c r="O1484" s="1554" t="s">
        <v>310</v>
      </c>
      <c r="P1484" s="1554" t="s">
        <v>291</v>
      </c>
      <c r="Q1484" s="1554" t="s">
        <v>294</v>
      </c>
      <c r="R1484" s="1554">
        <v>2000000.01</v>
      </c>
      <c r="S1484" s="1554">
        <v>3000000</v>
      </c>
      <c r="T1484" s="1554">
        <v>0</v>
      </c>
      <c r="U1484" s="1554">
        <v>0</v>
      </c>
      <c r="V1484" s="1554">
        <v>0</v>
      </c>
      <c r="W1484" s="1554">
        <v>50</v>
      </c>
      <c r="X1484" s="1554">
        <v>0</v>
      </c>
      <c r="Y1484" s="1554">
        <v>0</v>
      </c>
      <c r="Z1484" s="1556">
        <v>680</v>
      </c>
      <c r="AA1484" s="1556">
        <v>699</v>
      </c>
      <c r="AB1484" s="1556">
        <v>3</v>
      </c>
      <c r="AC1484" s="1556">
        <v>999999</v>
      </c>
      <c r="AD1484" s="1554">
        <v>0</v>
      </c>
      <c r="AE1484" s="1557">
        <v>65</v>
      </c>
      <c r="AF1484" s="170">
        <v>0</v>
      </c>
      <c r="AG1484" s="171">
        <v>1</v>
      </c>
      <c r="AH1484" s="171">
        <v>1</v>
      </c>
      <c r="AI1484" s="171">
        <v>1</v>
      </c>
      <c r="AJ1484" s="171">
        <v>1</v>
      </c>
      <c r="AK1484" s="171">
        <v>1</v>
      </c>
      <c r="AL1484" s="171">
        <v>0</v>
      </c>
      <c r="AM1484" s="171">
        <v>1</v>
      </c>
      <c r="AN1484" s="171">
        <v>1</v>
      </c>
      <c r="AO1484" s="171">
        <v>1</v>
      </c>
      <c r="AP1484" s="171">
        <v>1</v>
      </c>
      <c r="AQ1484" s="171">
        <v>1</v>
      </c>
      <c r="AR1484" s="171">
        <v>1</v>
      </c>
      <c r="AS1484" s="171">
        <v>1</v>
      </c>
      <c r="AT1484" s="171">
        <v>1</v>
      </c>
      <c r="AU1484" s="171">
        <f t="shared" si="502"/>
        <v>0</v>
      </c>
      <c r="AV1484" s="171">
        <f t="shared" si="503"/>
        <v>0</v>
      </c>
      <c r="AW1484" s="171">
        <f t="shared" si="504"/>
        <v>1</v>
      </c>
      <c r="AX1484" s="171">
        <f t="shared" si="512"/>
        <v>1</v>
      </c>
      <c r="AY1484" s="171">
        <f t="shared" si="505"/>
        <v>0</v>
      </c>
      <c r="AZ1484" s="171">
        <f t="shared" si="506"/>
        <v>1</v>
      </c>
      <c r="BA1484" s="172">
        <f t="shared" si="507"/>
        <v>1</v>
      </c>
      <c r="BB1484" s="175">
        <f t="shared" si="508"/>
        <v>17</v>
      </c>
      <c r="BC1484" s="176">
        <f t="shared" si="509"/>
        <v>16</v>
      </c>
      <c r="BD1484" s="176">
        <f t="shared" si="510"/>
        <v>17</v>
      </c>
      <c r="BE1484" s="240" t="str">
        <f t="shared" si="501"/>
        <v/>
      </c>
      <c r="BF1484" s="990"/>
      <c r="BG1484" s="990"/>
      <c r="BH1484" s="991">
        <f>IF(AND(Input_Product=Elig!$C1484,Elig_MatchAll_Ct&lt;22,$BC1484=(Elig_MatchAll_Ct-1),AF1484=0),C1484,0)</f>
        <v>0</v>
      </c>
      <c r="BI1484" s="991">
        <f>IF(AND(Input_Product=Elig!$C1484,Elig_MatchAll_Ct&lt;22,$BC1484=(Elig_MatchAll_Ct-1),AG1484=0),D1484,0)</f>
        <v>0</v>
      </c>
      <c r="BJ1484" s="991">
        <f>IF(AND(Input_Product=Elig!$C1484,Elig_MatchAll_Ct&lt;22,$BC1484=(Elig_MatchAll_Ct-1),AH1484=0),E1484,0)</f>
        <v>0</v>
      </c>
      <c r="BK1484" s="991">
        <f>IF(AND(Input_Product=Elig!$C1484,Elig_MatchAll_Ct&lt;22,$BC1484=(Elig_MatchAll_Ct-1),AI1484=0),F1484,0)</f>
        <v>0</v>
      </c>
      <c r="BL1484" s="991">
        <f>IF(AND(Input_Product=Elig!$C1484,Elig_MatchAll_Ct&lt;22,$BC1484=(Elig_MatchAll_Ct-1),AJ1484=0),G1484,0)</f>
        <v>0</v>
      </c>
      <c r="BM1484" s="991">
        <f>IF(AND(Input_Product=Elig!$C1484,Elig_MatchAll_Ct&lt;22,$BC1484=(Elig_MatchAll_Ct-1),AK1484=0),H1484,0)</f>
        <v>0</v>
      </c>
      <c r="BN1484" s="991">
        <f>IF(AND(Input_Product=Elig!$C1484,Elig_MatchAll_Ct&lt;22,$BC1484=(Elig_MatchAll_Ct-1),AL1484=0),I1484,0)</f>
        <v>0</v>
      </c>
      <c r="BO1484" s="991">
        <f>IF(AND(Input_Product=Elig!$C1484,Elig_MatchAll_Ct&lt;22,$BC1484=(Elig_MatchAll_Ct-1),AM1484=0),J1484,0)</f>
        <v>0</v>
      </c>
      <c r="BP1484" s="991">
        <f>IF(AND(Input_Product=Elig!$C1484,Elig_MatchAll_Ct&lt;22,$BC1484=(Elig_MatchAll_Ct-1),AN1484=0),K1484,0)</f>
        <v>0</v>
      </c>
      <c r="BQ1484" s="991">
        <f>IF(AND(Input_Product=Elig!$C1484,Elig_MatchAll_Ct&lt;22,$BC1484=(Elig_MatchAll_Ct-1),AP1484=0),L1484,0)</f>
        <v>0</v>
      </c>
      <c r="BR1484" s="991">
        <f>IF(AND(Input_Product=Elig!$C1484,Elig_MatchAll_Ct&lt;22,$BC1484=(Elig_MatchAll_Ct-1),AO1484=0),M1484,0)</f>
        <v>0</v>
      </c>
      <c r="BS1484" s="991">
        <f>IF(AND(Input_Product=Elig!$C1484,Elig_MatchAll_Ct&lt;22,$BC1484=(Elig_MatchAll_Ct-1),AQ1484=0),N1484,0)</f>
        <v>0</v>
      </c>
      <c r="BT1484" s="991">
        <f>IF(AND(Input_Product=Elig!$C1484,Elig_MatchAll_Ct&lt;22,$BC1484=(Elig_MatchAll_Ct-1),AR1484=0),O1484,0)</f>
        <v>0</v>
      </c>
      <c r="BU1484" s="991">
        <f>IF(AND(Input_Product=Elig!$C1484,Elig_MatchAll_Ct&lt;22,$BC1484=(Elig_MatchAll_Ct-1),AS1484=0),P1484,0)</f>
        <v>0</v>
      </c>
      <c r="BV1484" s="992">
        <f>IF(AND(Input_Product=Elig!$C1484,Elig_MatchAll_Ct&lt;22,$BC1484=(Elig_MatchAll_Ct-1),AT1484=0),Q1484,0)</f>
        <v>0</v>
      </c>
      <c r="BW1484" s="993">
        <f>IF(AND(Input_Product=Elig!$C1484,Elig_MatchAll_Ct&lt;22,$BC1484=(Elig_MatchAll_Ct-1),AU1484=0),R1484,0)</f>
        <v>0</v>
      </c>
      <c r="BX1484" s="994">
        <f>IF(AND(Input_Product=Elig!$C1484,Elig_MatchAll_Ct&lt;22,$BC1484=(Elig_MatchAll_Ct-1),AU1484=0),S1484,0)</f>
        <v>0</v>
      </c>
      <c r="BY1484" s="993">
        <f>IF(AND(Input_Product=Elig!$C1484,Elig_MatchAll_Ct&lt;22,$BC1484=(Elig_MatchAll_Ct-1),AV1484=0),T1484,0)</f>
        <v>0</v>
      </c>
      <c r="BZ1484" s="994">
        <f>IF(AND(Input_Product=Elig!$C1484,Elig_MatchAll_Ct&lt;22,$BC1484=(Elig_MatchAll_Ct-1),AV1484=0),U1484,0)</f>
        <v>0</v>
      </c>
      <c r="CA1484" s="993">
        <f>IF(AND(Input_Product=Elig!$C1484,Elig_MatchAll_Ct&lt;22,$BC1484=(Elig_MatchAll_Ct-1),AW1484=0),V1484,0)</f>
        <v>0</v>
      </c>
      <c r="CB1484" s="994">
        <f>IF(AND(Input_Product=Elig!$C1484,Elig_MatchAll_Ct&lt;22,$BC1484=(Elig_MatchAll_Ct-1),AW1484=0),W1484,0)</f>
        <v>0</v>
      </c>
      <c r="CC1484" s="993">
        <f>IF(AND(Input_Product=Elig!$C1484,Elig_MatchAll_Ct&lt;22,$BC1484=(Elig_MatchAll_Ct-1),AX1484=0),X1484,0)</f>
        <v>0</v>
      </c>
      <c r="CD1484" s="994">
        <f>IF(AND(Input_Product=Elig!$C1484,Elig_MatchAll_Ct&lt;22,$BC1484=(Elig_MatchAll_Ct-1),AX1484=0),Y1484,0)</f>
        <v>0</v>
      </c>
      <c r="CE1484" s="993">
        <f>IF(AND(Input_LTV&lt;=AE1484,Input_Product=Elig!$C1484,Elig_MatchAll_Ct&lt;22,$BC1484=(Elig_MatchAll_Ct-1),AY1484=0),Z1484,0)</f>
        <v>0</v>
      </c>
      <c r="CF1484" s="994">
        <f>IF(AND(Input_LTV&lt;=AE1484,Input_Product=Elig!$C1484,Elig_MatchAll_Ct&lt;22,$BC1484=(Elig_MatchAll_Ct-1),AY1484=0),AA1484,0)</f>
        <v>0</v>
      </c>
      <c r="CG1484" s="993">
        <f>IF(AND(Input_Product=Elig!$C1484,Elig_MatchAll_Ct&lt;22,$BC1484=(Elig_MatchAll_Ct-1),AZ1484=0),AB1484,0)</f>
        <v>0</v>
      </c>
      <c r="CH1484" s="994">
        <f>IF(AND(Input_Product=Elig!$C1484,Elig_MatchAll_Ct&lt;22,$BC1484=(Elig_MatchAll_Ct-1),AZ1484=0),AC1484,0)</f>
        <v>0</v>
      </c>
      <c r="CI1484" s="993">
        <f>IF(AND(Input_Product=Elig!$C1484,Elig_MatchAll_Ct&lt;22,$BC1484=(Elig_MatchAll_Ct-1),BA1484=0),AD1484,0)</f>
        <v>0</v>
      </c>
      <c r="CJ1484" s="994">
        <f>IF(AND(Input_Product=Elig!$C1484,Elig_MatchAll_Ct&lt;22,$BC1484=(Elig_MatchAll_Ct-1),BA1484=0),AE1484,0)</f>
        <v>0</v>
      </c>
    </row>
    <row r="1485" spans="2:88" ht="10.15" customHeight="1" x14ac:dyDescent="0.25">
      <c r="B1485" s="1554" t="s">
        <v>3758</v>
      </c>
      <c r="C1485" s="1554" t="str">
        <f t="shared" si="511"/>
        <v xml:space="preserve">  NOO</v>
      </c>
      <c r="D1485" s="1554" t="s">
        <v>2764</v>
      </c>
      <c r="E1485" s="1554" t="s">
        <v>167</v>
      </c>
      <c r="F1485" s="1554" t="s">
        <v>2765</v>
      </c>
      <c r="G1485" s="1554" t="s">
        <v>2810</v>
      </c>
      <c r="H1485" s="1554" t="s">
        <v>2767</v>
      </c>
      <c r="I1485" s="1555" t="s">
        <v>35</v>
      </c>
      <c r="J1485" s="1555" t="s">
        <v>1311</v>
      </c>
      <c r="K1485" s="1555" t="s">
        <v>3023</v>
      </c>
      <c r="L1485" s="1554" t="s">
        <v>3920</v>
      </c>
      <c r="M1485" s="1554" t="s">
        <v>4203</v>
      </c>
      <c r="N1485" s="1554" t="s">
        <v>2685</v>
      </c>
      <c r="O1485" s="1554" t="s">
        <v>310</v>
      </c>
      <c r="P1485" s="1554" t="s">
        <v>291</v>
      </c>
      <c r="Q1485" s="1554" t="s">
        <v>294</v>
      </c>
      <c r="R1485" s="1554">
        <v>150000</v>
      </c>
      <c r="S1485" s="1554">
        <v>1000000</v>
      </c>
      <c r="T1485" s="1554">
        <v>0</v>
      </c>
      <c r="U1485" s="1554">
        <v>0</v>
      </c>
      <c r="V1485" s="1554">
        <v>0</v>
      </c>
      <c r="W1485" s="1554">
        <v>50</v>
      </c>
      <c r="X1485" s="1554">
        <v>0</v>
      </c>
      <c r="Y1485" s="1554">
        <v>0</v>
      </c>
      <c r="Z1485" s="1556">
        <v>660</v>
      </c>
      <c r="AA1485" s="1556">
        <v>679</v>
      </c>
      <c r="AB1485" s="1556">
        <v>3</v>
      </c>
      <c r="AC1485" s="1556">
        <v>999999</v>
      </c>
      <c r="AD1485" s="1554">
        <v>0</v>
      </c>
      <c r="AE1485" s="1557">
        <v>80</v>
      </c>
      <c r="AF1485" s="170">
        <v>0</v>
      </c>
      <c r="AG1485" s="171">
        <v>1</v>
      </c>
      <c r="AH1485" s="171">
        <v>1</v>
      </c>
      <c r="AI1485" s="171">
        <v>1</v>
      </c>
      <c r="AJ1485" s="171">
        <v>1</v>
      </c>
      <c r="AK1485" s="171">
        <v>1</v>
      </c>
      <c r="AL1485" s="171">
        <v>0</v>
      </c>
      <c r="AM1485" s="171">
        <v>1</v>
      </c>
      <c r="AN1485" s="171">
        <v>1</v>
      </c>
      <c r="AO1485" s="171">
        <v>1</v>
      </c>
      <c r="AP1485" s="171">
        <v>1</v>
      </c>
      <c r="AQ1485" s="171">
        <v>1</v>
      </c>
      <c r="AR1485" s="171">
        <v>1</v>
      </c>
      <c r="AS1485" s="171">
        <v>1</v>
      </c>
      <c r="AT1485" s="171">
        <v>1</v>
      </c>
      <c r="AU1485" s="171">
        <f t="shared" si="502"/>
        <v>1</v>
      </c>
      <c r="AV1485" s="171">
        <f t="shared" si="503"/>
        <v>0</v>
      </c>
      <c r="AW1485" s="171">
        <f t="shared" si="504"/>
        <v>1</v>
      </c>
      <c r="AX1485" s="171">
        <f t="shared" si="512"/>
        <v>1</v>
      </c>
      <c r="AY1485" s="171">
        <f t="shared" si="505"/>
        <v>0</v>
      </c>
      <c r="AZ1485" s="171">
        <f t="shared" si="506"/>
        <v>1</v>
      </c>
      <c r="BA1485" s="172">
        <f t="shared" si="507"/>
        <v>1</v>
      </c>
      <c r="BB1485" s="175">
        <f t="shared" si="508"/>
        <v>18</v>
      </c>
      <c r="BC1485" s="176">
        <f t="shared" si="509"/>
        <v>17</v>
      </c>
      <c r="BD1485" s="176">
        <f t="shared" si="510"/>
        <v>18</v>
      </c>
      <c r="BE1485" s="240" t="str">
        <f t="shared" si="501"/>
        <v/>
      </c>
      <c r="BF1485" s="990"/>
      <c r="BG1485" s="990"/>
      <c r="BH1485" s="991">
        <f>IF(AND(Input_Product=Elig!$C1485,Elig_MatchAll_Ct&lt;22,$BC1485=(Elig_MatchAll_Ct-1),AF1485=0),C1485,0)</f>
        <v>0</v>
      </c>
      <c r="BI1485" s="991">
        <f>IF(AND(Input_Product=Elig!$C1485,Elig_MatchAll_Ct&lt;22,$BC1485=(Elig_MatchAll_Ct-1),AG1485=0),D1485,0)</f>
        <v>0</v>
      </c>
      <c r="BJ1485" s="991">
        <f>IF(AND(Input_Product=Elig!$C1485,Elig_MatchAll_Ct&lt;22,$BC1485=(Elig_MatchAll_Ct-1),AH1485=0),E1485,0)</f>
        <v>0</v>
      </c>
      <c r="BK1485" s="991">
        <f>IF(AND(Input_Product=Elig!$C1485,Elig_MatchAll_Ct&lt;22,$BC1485=(Elig_MatchAll_Ct-1),AI1485=0),F1485,0)</f>
        <v>0</v>
      </c>
      <c r="BL1485" s="991">
        <f>IF(AND(Input_Product=Elig!$C1485,Elig_MatchAll_Ct&lt;22,$BC1485=(Elig_MatchAll_Ct-1),AJ1485=0),G1485,0)</f>
        <v>0</v>
      </c>
      <c r="BM1485" s="991">
        <f>IF(AND(Input_Product=Elig!$C1485,Elig_MatchAll_Ct&lt;22,$BC1485=(Elig_MatchAll_Ct-1),AK1485=0),H1485,0)</f>
        <v>0</v>
      </c>
      <c r="BN1485" s="991">
        <f>IF(AND(Input_Product=Elig!$C1485,Elig_MatchAll_Ct&lt;22,$BC1485=(Elig_MatchAll_Ct-1),AL1485=0),I1485,0)</f>
        <v>0</v>
      </c>
      <c r="BO1485" s="991">
        <f>IF(AND(Input_Product=Elig!$C1485,Elig_MatchAll_Ct&lt;22,$BC1485=(Elig_MatchAll_Ct-1),AM1485=0),J1485,0)</f>
        <v>0</v>
      </c>
      <c r="BP1485" s="991">
        <f>IF(AND(Input_Product=Elig!$C1485,Elig_MatchAll_Ct&lt;22,$BC1485=(Elig_MatchAll_Ct-1),AN1485=0),K1485,0)</f>
        <v>0</v>
      </c>
      <c r="BQ1485" s="991">
        <f>IF(AND(Input_Product=Elig!$C1485,Elig_MatchAll_Ct&lt;22,$BC1485=(Elig_MatchAll_Ct-1),AP1485=0),L1485,0)</f>
        <v>0</v>
      </c>
      <c r="BR1485" s="991">
        <f>IF(AND(Input_Product=Elig!$C1485,Elig_MatchAll_Ct&lt;22,$BC1485=(Elig_MatchAll_Ct-1),AO1485=0),M1485,0)</f>
        <v>0</v>
      </c>
      <c r="BS1485" s="991">
        <f>IF(AND(Input_Product=Elig!$C1485,Elig_MatchAll_Ct&lt;22,$BC1485=(Elig_MatchAll_Ct-1),AQ1485=0),N1485,0)</f>
        <v>0</v>
      </c>
      <c r="BT1485" s="991">
        <f>IF(AND(Input_Product=Elig!$C1485,Elig_MatchAll_Ct&lt;22,$BC1485=(Elig_MatchAll_Ct-1),AR1485=0),O1485,0)</f>
        <v>0</v>
      </c>
      <c r="BU1485" s="991">
        <f>IF(AND(Input_Product=Elig!$C1485,Elig_MatchAll_Ct&lt;22,$BC1485=(Elig_MatchAll_Ct-1),AS1485=0),P1485,0)</f>
        <v>0</v>
      </c>
      <c r="BV1485" s="992">
        <f>IF(AND(Input_Product=Elig!$C1485,Elig_MatchAll_Ct&lt;22,$BC1485=(Elig_MatchAll_Ct-1),AT1485=0),Q1485,0)</f>
        <v>0</v>
      </c>
      <c r="BW1485" s="993">
        <f>IF(AND(Input_Product=Elig!$C1485,Elig_MatchAll_Ct&lt;22,$BC1485=(Elig_MatchAll_Ct-1),AU1485=0),R1485,0)</f>
        <v>0</v>
      </c>
      <c r="BX1485" s="994">
        <f>IF(AND(Input_Product=Elig!$C1485,Elig_MatchAll_Ct&lt;22,$BC1485=(Elig_MatchAll_Ct-1),AU1485=0),S1485,0)</f>
        <v>0</v>
      </c>
      <c r="BY1485" s="993">
        <f>IF(AND(Input_Product=Elig!$C1485,Elig_MatchAll_Ct&lt;22,$BC1485=(Elig_MatchAll_Ct-1),AV1485=0),T1485,0)</f>
        <v>0</v>
      </c>
      <c r="BZ1485" s="994">
        <f>IF(AND(Input_Product=Elig!$C1485,Elig_MatchAll_Ct&lt;22,$BC1485=(Elig_MatchAll_Ct-1),AV1485=0),U1485,0)</f>
        <v>0</v>
      </c>
      <c r="CA1485" s="993">
        <f>IF(AND(Input_Product=Elig!$C1485,Elig_MatchAll_Ct&lt;22,$BC1485=(Elig_MatchAll_Ct-1),AW1485=0),V1485,0)</f>
        <v>0</v>
      </c>
      <c r="CB1485" s="994">
        <f>IF(AND(Input_Product=Elig!$C1485,Elig_MatchAll_Ct&lt;22,$BC1485=(Elig_MatchAll_Ct-1),AW1485=0),W1485,0)</f>
        <v>0</v>
      </c>
      <c r="CC1485" s="993">
        <f>IF(AND(Input_Product=Elig!$C1485,Elig_MatchAll_Ct&lt;22,$BC1485=(Elig_MatchAll_Ct-1),AX1485=0),X1485,0)</f>
        <v>0</v>
      </c>
      <c r="CD1485" s="994">
        <f>IF(AND(Input_Product=Elig!$C1485,Elig_MatchAll_Ct&lt;22,$BC1485=(Elig_MatchAll_Ct-1),AX1485=0),Y1485,0)</f>
        <v>0</v>
      </c>
      <c r="CE1485" s="993">
        <f>IF(AND(Input_LTV&lt;=AE1485,Input_Product=Elig!$C1485,Elig_MatchAll_Ct&lt;22,$BC1485=(Elig_MatchAll_Ct-1),AY1485=0),Z1485,0)</f>
        <v>0</v>
      </c>
      <c r="CF1485" s="994">
        <f>IF(AND(Input_LTV&lt;=AE1485,Input_Product=Elig!$C1485,Elig_MatchAll_Ct&lt;22,$BC1485=(Elig_MatchAll_Ct-1),AY1485=0),AA1485,0)</f>
        <v>0</v>
      </c>
      <c r="CG1485" s="993">
        <f>IF(AND(Input_Product=Elig!$C1485,Elig_MatchAll_Ct&lt;22,$BC1485=(Elig_MatchAll_Ct-1),AZ1485=0),AB1485,0)</f>
        <v>0</v>
      </c>
      <c r="CH1485" s="994">
        <f>IF(AND(Input_Product=Elig!$C1485,Elig_MatchAll_Ct&lt;22,$BC1485=(Elig_MatchAll_Ct-1),AZ1485=0),AC1485,0)</f>
        <v>0</v>
      </c>
      <c r="CI1485" s="993">
        <f>IF(AND(Input_Product=Elig!$C1485,Elig_MatchAll_Ct&lt;22,$BC1485=(Elig_MatchAll_Ct-1),BA1485=0),AD1485,0)</f>
        <v>0</v>
      </c>
      <c r="CJ1485" s="994">
        <f>IF(AND(Input_Product=Elig!$C1485,Elig_MatchAll_Ct&lt;22,$BC1485=(Elig_MatchAll_Ct-1),BA1485=0),AE1485,0)</f>
        <v>0</v>
      </c>
    </row>
    <row r="1486" spans="2:88" ht="10.15" customHeight="1" x14ac:dyDescent="0.25">
      <c r="B1486" s="1554" t="s">
        <v>3759</v>
      </c>
      <c r="C1486" s="1554" t="str">
        <f t="shared" si="511"/>
        <v xml:space="preserve">  NOO</v>
      </c>
      <c r="D1486" s="1554" t="s">
        <v>2764</v>
      </c>
      <c r="E1486" s="1554" t="s">
        <v>167</v>
      </c>
      <c r="F1486" s="1554" t="s">
        <v>2765</v>
      </c>
      <c r="G1486" s="1554" t="s">
        <v>2810</v>
      </c>
      <c r="H1486" s="1554" t="s">
        <v>2767</v>
      </c>
      <c r="I1486" s="1555" t="s">
        <v>35</v>
      </c>
      <c r="J1486" s="1555" t="s">
        <v>1311</v>
      </c>
      <c r="K1486" s="1555" t="s">
        <v>3023</v>
      </c>
      <c r="L1486" s="1554" t="s">
        <v>3920</v>
      </c>
      <c r="M1486" s="1554" t="s">
        <v>4203</v>
      </c>
      <c r="N1486" s="1554" t="s">
        <v>2685</v>
      </c>
      <c r="O1486" s="1554" t="s">
        <v>310</v>
      </c>
      <c r="P1486" s="1554" t="s">
        <v>291</v>
      </c>
      <c r="Q1486" s="1554" t="s">
        <v>294</v>
      </c>
      <c r="R1486" s="1554">
        <v>1000000.01</v>
      </c>
      <c r="S1486" s="1554">
        <v>1500000</v>
      </c>
      <c r="T1486" s="1554">
        <v>0</v>
      </c>
      <c r="U1486" s="1554">
        <v>0</v>
      </c>
      <c r="V1486" s="1554">
        <v>0</v>
      </c>
      <c r="W1486" s="1554">
        <v>50</v>
      </c>
      <c r="X1486" s="1554">
        <v>0</v>
      </c>
      <c r="Y1486" s="1554">
        <v>0</v>
      </c>
      <c r="Z1486" s="1556">
        <v>660</v>
      </c>
      <c r="AA1486" s="1556">
        <v>679</v>
      </c>
      <c r="AB1486" s="1556">
        <v>3</v>
      </c>
      <c r="AC1486" s="1556">
        <v>999999</v>
      </c>
      <c r="AD1486" s="1554">
        <v>0</v>
      </c>
      <c r="AE1486" s="1557">
        <v>75</v>
      </c>
      <c r="AF1486" s="170">
        <v>0</v>
      </c>
      <c r="AG1486" s="171">
        <v>1</v>
      </c>
      <c r="AH1486" s="171">
        <v>1</v>
      </c>
      <c r="AI1486" s="171">
        <v>1</v>
      </c>
      <c r="AJ1486" s="171">
        <v>1</v>
      </c>
      <c r="AK1486" s="171">
        <v>1</v>
      </c>
      <c r="AL1486" s="171">
        <v>0</v>
      </c>
      <c r="AM1486" s="171">
        <v>1</v>
      </c>
      <c r="AN1486" s="171">
        <v>1</v>
      </c>
      <c r="AO1486" s="171">
        <v>1</v>
      </c>
      <c r="AP1486" s="171">
        <v>1</v>
      </c>
      <c r="AQ1486" s="171">
        <v>1</v>
      </c>
      <c r="AR1486" s="171">
        <v>1</v>
      </c>
      <c r="AS1486" s="171">
        <v>1</v>
      </c>
      <c r="AT1486" s="171">
        <v>1</v>
      </c>
      <c r="AU1486" s="171">
        <f t="shared" si="502"/>
        <v>0</v>
      </c>
      <c r="AV1486" s="171">
        <f t="shared" si="503"/>
        <v>0</v>
      </c>
      <c r="AW1486" s="171">
        <f t="shared" si="504"/>
        <v>1</v>
      </c>
      <c r="AX1486" s="171">
        <f t="shared" si="512"/>
        <v>1</v>
      </c>
      <c r="AY1486" s="171">
        <f t="shared" si="505"/>
        <v>0</v>
      </c>
      <c r="AZ1486" s="171">
        <f t="shared" si="506"/>
        <v>1</v>
      </c>
      <c r="BA1486" s="172">
        <f t="shared" si="507"/>
        <v>1</v>
      </c>
      <c r="BB1486" s="175">
        <f t="shared" si="508"/>
        <v>17</v>
      </c>
      <c r="BC1486" s="176">
        <f t="shared" si="509"/>
        <v>16</v>
      </c>
      <c r="BD1486" s="176">
        <f t="shared" si="510"/>
        <v>17</v>
      </c>
      <c r="BE1486" s="240" t="str">
        <f t="shared" si="501"/>
        <v/>
      </c>
      <c r="BF1486" s="990"/>
      <c r="BG1486" s="990"/>
      <c r="BH1486" s="991">
        <f>IF(AND(Input_Product=Elig!$C1486,Elig_MatchAll_Ct&lt;22,$BC1486=(Elig_MatchAll_Ct-1),AF1486=0),C1486,0)</f>
        <v>0</v>
      </c>
      <c r="BI1486" s="991">
        <f>IF(AND(Input_Product=Elig!$C1486,Elig_MatchAll_Ct&lt;22,$BC1486=(Elig_MatchAll_Ct-1),AG1486=0),D1486,0)</f>
        <v>0</v>
      </c>
      <c r="BJ1486" s="991">
        <f>IF(AND(Input_Product=Elig!$C1486,Elig_MatchAll_Ct&lt;22,$BC1486=(Elig_MatchAll_Ct-1),AH1486=0),E1486,0)</f>
        <v>0</v>
      </c>
      <c r="BK1486" s="991">
        <f>IF(AND(Input_Product=Elig!$C1486,Elig_MatchAll_Ct&lt;22,$BC1486=(Elig_MatchAll_Ct-1),AI1486=0),F1486,0)</f>
        <v>0</v>
      </c>
      <c r="BL1486" s="991">
        <f>IF(AND(Input_Product=Elig!$C1486,Elig_MatchAll_Ct&lt;22,$BC1486=(Elig_MatchAll_Ct-1),AJ1486=0),G1486,0)</f>
        <v>0</v>
      </c>
      <c r="BM1486" s="991">
        <f>IF(AND(Input_Product=Elig!$C1486,Elig_MatchAll_Ct&lt;22,$BC1486=(Elig_MatchAll_Ct-1),AK1486=0),H1486,0)</f>
        <v>0</v>
      </c>
      <c r="BN1486" s="991">
        <f>IF(AND(Input_Product=Elig!$C1486,Elig_MatchAll_Ct&lt;22,$BC1486=(Elig_MatchAll_Ct-1),AL1486=0),I1486,0)</f>
        <v>0</v>
      </c>
      <c r="BO1486" s="991">
        <f>IF(AND(Input_Product=Elig!$C1486,Elig_MatchAll_Ct&lt;22,$BC1486=(Elig_MatchAll_Ct-1),AM1486=0),J1486,0)</f>
        <v>0</v>
      </c>
      <c r="BP1486" s="991">
        <f>IF(AND(Input_Product=Elig!$C1486,Elig_MatchAll_Ct&lt;22,$BC1486=(Elig_MatchAll_Ct-1),AN1486=0),K1486,0)</f>
        <v>0</v>
      </c>
      <c r="BQ1486" s="991">
        <f>IF(AND(Input_Product=Elig!$C1486,Elig_MatchAll_Ct&lt;22,$BC1486=(Elig_MatchAll_Ct-1),AP1486=0),L1486,0)</f>
        <v>0</v>
      </c>
      <c r="BR1486" s="991">
        <f>IF(AND(Input_Product=Elig!$C1486,Elig_MatchAll_Ct&lt;22,$BC1486=(Elig_MatchAll_Ct-1),AO1486=0),M1486,0)</f>
        <v>0</v>
      </c>
      <c r="BS1486" s="991">
        <f>IF(AND(Input_Product=Elig!$C1486,Elig_MatchAll_Ct&lt;22,$BC1486=(Elig_MatchAll_Ct-1),AQ1486=0),N1486,0)</f>
        <v>0</v>
      </c>
      <c r="BT1486" s="991">
        <f>IF(AND(Input_Product=Elig!$C1486,Elig_MatchAll_Ct&lt;22,$BC1486=(Elig_MatchAll_Ct-1),AR1486=0),O1486,0)</f>
        <v>0</v>
      </c>
      <c r="BU1486" s="991">
        <f>IF(AND(Input_Product=Elig!$C1486,Elig_MatchAll_Ct&lt;22,$BC1486=(Elig_MatchAll_Ct-1),AS1486=0),P1486,0)</f>
        <v>0</v>
      </c>
      <c r="BV1486" s="992">
        <f>IF(AND(Input_Product=Elig!$C1486,Elig_MatchAll_Ct&lt;22,$BC1486=(Elig_MatchAll_Ct-1),AT1486=0),Q1486,0)</f>
        <v>0</v>
      </c>
      <c r="BW1486" s="993">
        <f>IF(AND(Input_Product=Elig!$C1486,Elig_MatchAll_Ct&lt;22,$BC1486=(Elig_MatchAll_Ct-1),AU1486=0),R1486,0)</f>
        <v>0</v>
      </c>
      <c r="BX1486" s="994">
        <f>IF(AND(Input_Product=Elig!$C1486,Elig_MatchAll_Ct&lt;22,$BC1486=(Elig_MatchAll_Ct-1),AU1486=0),S1486,0)</f>
        <v>0</v>
      </c>
      <c r="BY1486" s="993">
        <f>IF(AND(Input_Product=Elig!$C1486,Elig_MatchAll_Ct&lt;22,$BC1486=(Elig_MatchAll_Ct-1),AV1486=0),T1486,0)</f>
        <v>0</v>
      </c>
      <c r="BZ1486" s="994">
        <f>IF(AND(Input_Product=Elig!$C1486,Elig_MatchAll_Ct&lt;22,$BC1486=(Elig_MatchAll_Ct-1),AV1486=0),U1486,0)</f>
        <v>0</v>
      </c>
      <c r="CA1486" s="993">
        <f>IF(AND(Input_Product=Elig!$C1486,Elig_MatchAll_Ct&lt;22,$BC1486=(Elig_MatchAll_Ct-1),AW1486=0),V1486,0)</f>
        <v>0</v>
      </c>
      <c r="CB1486" s="994">
        <f>IF(AND(Input_Product=Elig!$C1486,Elig_MatchAll_Ct&lt;22,$BC1486=(Elig_MatchAll_Ct-1),AW1486=0),W1486,0)</f>
        <v>0</v>
      </c>
      <c r="CC1486" s="993">
        <f>IF(AND(Input_Product=Elig!$C1486,Elig_MatchAll_Ct&lt;22,$BC1486=(Elig_MatchAll_Ct-1),AX1486=0),X1486,0)</f>
        <v>0</v>
      </c>
      <c r="CD1486" s="994">
        <f>IF(AND(Input_Product=Elig!$C1486,Elig_MatchAll_Ct&lt;22,$BC1486=(Elig_MatchAll_Ct-1),AX1486=0),Y1486,0)</f>
        <v>0</v>
      </c>
      <c r="CE1486" s="993">
        <f>IF(AND(Input_LTV&lt;=AE1486,Input_Product=Elig!$C1486,Elig_MatchAll_Ct&lt;22,$BC1486=(Elig_MatchAll_Ct-1),AY1486=0),Z1486,0)</f>
        <v>0</v>
      </c>
      <c r="CF1486" s="994">
        <f>IF(AND(Input_LTV&lt;=AE1486,Input_Product=Elig!$C1486,Elig_MatchAll_Ct&lt;22,$BC1486=(Elig_MatchAll_Ct-1),AY1486=0),AA1486,0)</f>
        <v>0</v>
      </c>
      <c r="CG1486" s="993">
        <f>IF(AND(Input_Product=Elig!$C1486,Elig_MatchAll_Ct&lt;22,$BC1486=(Elig_MatchAll_Ct-1),AZ1486=0),AB1486,0)</f>
        <v>0</v>
      </c>
      <c r="CH1486" s="994">
        <f>IF(AND(Input_Product=Elig!$C1486,Elig_MatchAll_Ct&lt;22,$BC1486=(Elig_MatchAll_Ct-1),AZ1486=0),AC1486,0)</f>
        <v>0</v>
      </c>
      <c r="CI1486" s="993">
        <f>IF(AND(Input_Product=Elig!$C1486,Elig_MatchAll_Ct&lt;22,$BC1486=(Elig_MatchAll_Ct-1),BA1486=0),AD1486,0)</f>
        <v>0</v>
      </c>
      <c r="CJ1486" s="994">
        <f>IF(AND(Input_Product=Elig!$C1486,Elig_MatchAll_Ct&lt;22,$BC1486=(Elig_MatchAll_Ct-1),BA1486=0),AE1486,0)</f>
        <v>0</v>
      </c>
    </row>
    <row r="1487" spans="2:88" ht="10.15" customHeight="1" x14ac:dyDescent="0.25">
      <c r="B1487" s="1554" t="s">
        <v>3760</v>
      </c>
      <c r="C1487" s="1554" t="str">
        <f t="shared" si="511"/>
        <v xml:space="preserve">  NOO</v>
      </c>
      <c r="D1487" s="1554" t="s">
        <v>2764</v>
      </c>
      <c r="E1487" s="1554" t="s">
        <v>167</v>
      </c>
      <c r="F1487" s="1554" t="s">
        <v>2765</v>
      </c>
      <c r="G1487" s="1554" t="s">
        <v>2810</v>
      </c>
      <c r="H1487" s="1554" t="s">
        <v>2767</v>
      </c>
      <c r="I1487" s="1555" t="s">
        <v>35</v>
      </c>
      <c r="J1487" s="1555" t="s">
        <v>1311</v>
      </c>
      <c r="K1487" s="1555" t="s">
        <v>3023</v>
      </c>
      <c r="L1487" s="1554" t="s">
        <v>3920</v>
      </c>
      <c r="M1487" s="1554" t="s">
        <v>4203</v>
      </c>
      <c r="N1487" s="1554" t="s">
        <v>2685</v>
      </c>
      <c r="O1487" s="1554" t="s">
        <v>310</v>
      </c>
      <c r="P1487" s="1554" t="s">
        <v>291</v>
      </c>
      <c r="Q1487" s="1554" t="s">
        <v>294</v>
      </c>
      <c r="R1487" s="1554">
        <v>1500000.01</v>
      </c>
      <c r="S1487" s="1554">
        <v>2000000</v>
      </c>
      <c r="T1487" s="1554">
        <v>0</v>
      </c>
      <c r="U1487" s="1554">
        <v>0</v>
      </c>
      <c r="V1487" s="1554">
        <v>0</v>
      </c>
      <c r="W1487" s="1554">
        <v>50</v>
      </c>
      <c r="X1487" s="1554">
        <v>0</v>
      </c>
      <c r="Y1487" s="1554">
        <v>0</v>
      </c>
      <c r="Z1487" s="1556">
        <v>660</v>
      </c>
      <c r="AA1487" s="1556">
        <v>679</v>
      </c>
      <c r="AB1487" s="1556">
        <v>3</v>
      </c>
      <c r="AC1487" s="1556">
        <v>999999</v>
      </c>
      <c r="AD1487" s="1554">
        <v>0</v>
      </c>
      <c r="AE1487" s="1557">
        <v>65</v>
      </c>
      <c r="AF1487" s="170">
        <v>0</v>
      </c>
      <c r="AG1487" s="171">
        <v>1</v>
      </c>
      <c r="AH1487" s="171">
        <v>1</v>
      </c>
      <c r="AI1487" s="171">
        <v>1</v>
      </c>
      <c r="AJ1487" s="171">
        <v>1</v>
      </c>
      <c r="AK1487" s="171">
        <v>1</v>
      </c>
      <c r="AL1487" s="171">
        <v>0</v>
      </c>
      <c r="AM1487" s="171">
        <v>1</v>
      </c>
      <c r="AN1487" s="171">
        <v>1</v>
      </c>
      <c r="AO1487" s="171">
        <v>1</v>
      </c>
      <c r="AP1487" s="171">
        <v>1</v>
      </c>
      <c r="AQ1487" s="171">
        <v>1</v>
      </c>
      <c r="AR1487" s="171">
        <v>1</v>
      </c>
      <c r="AS1487" s="171">
        <v>1</v>
      </c>
      <c r="AT1487" s="171">
        <v>1</v>
      </c>
      <c r="AU1487" s="171">
        <f t="shared" si="502"/>
        <v>0</v>
      </c>
      <c r="AV1487" s="171">
        <f t="shared" si="503"/>
        <v>0</v>
      </c>
      <c r="AW1487" s="171">
        <f t="shared" si="504"/>
        <v>1</v>
      </c>
      <c r="AX1487" s="171">
        <f t="shared" si="512"/>
        <v>1</v>
      </c>
      <c r="AY1487" s="171">
        <f t="shared" si="505"/>
        <v>0</v>
      </c>
      <c r="AZ1487" s="171">
        <f t="shared" si="506"/>
        <v>1</v>
      </c>
      <c r="BA1487" s="172">
        <f t="shared" si="507"/>
        <v>1</v>
      </c>
      <c r="BB1487" s="175">
        <f t="shared" si="508"/>
        <v>17</v>
      </c>
      <c r="BC1487" s="176">
        <f t="shared" si="509"/>
        <v>16</v>
      </c>
      <c r="BD1487" s="176">
        <f t="shared" si="510"/>
        <v>17</v>
      </c>
      <c r="BE1487" s="240" t="str">
        <f t="shared" si="501"/>
        <v/>
      </c>
      <c r="BF1487" s="990"/>
      <c r="BG1487" s="990"/>
      <c r="BH1487" s="991">
        <f>IF(AND(Input_Product=Elig!$C1487,Elig_MatchAll_Ct&lt;22,$BC1487=(Elig_MatchAll_Ct-1),AF1487=0),C1487,0)</f>
        <v>0</v>
      </c>
      <c r="BI1487" s="991">
        <f>IF(AND(Input_Product=Elig!$C1487,Elig_MatchAll_Ct&lt;22,$BC1487=(Elig_MatchAll_Ct-1),AG1487=0),D1487,0)</f>
        <v>0</v>
      </c>
      <c r="BJ1487" s="991">
        <f>IF(AND(Input_Product=Elig!$C1487,Elig_MatchAll_Ct&lt;22,$BC1487=(Elig_MatchAll_Ct-1),AH1487=0),E1487,0)</f>
        <v>0</v>
      </c>
      <c r="BK1487" s="991">
        <f>IF(AND(Input_Product=Elig!$C1487,Elig_MatchAll_Ct&lt;22,$BC1487=(Elig_MatchAll_Ct-1),AI1487=0),F1487,0)</f>
        <v>0</v>
      </c>
      <c r="BL1487" s="991">
        <f>IF(AND(Input_Product=Elig!$C1487,Elig_MatchAll_Ct&lt;22,$BC1487=(Elig_MatchAll_Ct-1),AJ1487=0),G1487,0)</f>
        <v>0</v>
      </c>
      <c r="BM1487" s="991">
        <f>IF(AND(Input_Product=Elig!$C1487,Elig_MatchAll_Ct&lt;22,$BC1487=(Elig_MatchAll_Ct-1),AK1487=0),H1487,0)</f>
        <v>0</v>
      </c>
      <c r="BN1487" s="991">
        <f>IF(AND(Input_Product=Elig!$C1487,Elig_MatchAll_Ct&lt;22,$BC1487=(Elig_MatchAll_Ct-1),AL1487=0),I1487,0)</f>
        <v>0</v>
      </c>
      <c r="BO1487" s="991">
        <f>IF(AND(Input_Product=Elig!$C1487,Elig_MatchAll_Ct&lt;22,$BC1487=(Elig_MatchAll_Ct-1),AM1487=0),J1487,0)</f>
        <v>0</v>
      </c>
      <c r="BP1487" s="991">
        <f>IF(AND(Input_Product=Elig!$C1487,Elig_MatchAll_Ct&lt;22,$BC1487=(Elig_MatchAll_Ct-1),AN1487=0),K1487,0)</f>
        <v>0</v>
      </c>
      <c r="BQ1487" s="991">
        <f>IF(AND(Input_Product=Elig!$C1487,Elig_MatchAll_Ct&lt;22,$BC1487=(Elig_MatchAll_Ct-1),AP1487=0),L1487,0)</f>
        <v>0</v>
      </c>
      <c r="BR1487" s="991">
        <f>IF(AND(Input_Product=Elig!$C1487,Elig_MatchAll_Ct&lt;22,$BC1487=(Elig_MatchAll_Ct-1),AO1487=0),M1487,0)</f>
        <v>0</v>
      </c>
      <c r="BS1487" s="991">
        <f>IF(AND(Input_Product=Elig!$C1487,Elig_MatchAll_Ct&lt;22,$BC1487=(Elig_MatchAll_Ct-1),AQ1487=0),N1487,0)</f>
        <v>0</v>
      </c>
      <c r="BT1487" s="991">
        <f>IF(AND(Input_Product=Elig!$C1487,Elig_MatchAll_Ct&lt;22,$BC1487=(Elig_MatchAll_Ct-1),AR1487=0),O1487,0)</f>
        <v>0</v>
      </c>
      <c r="BU1487" s="991">
        <f>IF(AND(Input_Product=Elig!$C1487,Elig_MatchAll_Ct&lt;22,$BC1487=(Elig_MatchAll_Ct-1),AS1487=0),P1487,0)</f>
        <v>0</v>
      </c>
      <c r="BV1487" s="992">
        <f>IF(AND(Input_Product=Elig!$C1487,Elig_MatchAll_Ct&lt;22,$BC1487=(Elig_MatchAll_Ct-1),AT1487=0),Q1487,0)</f>
        <v>0</v>
      </c>
      <c r="BW1487" s="993">
        <f>IF(AND(Input_Product=Elig!$C1487,Elig_MatchAll_Ct&lt;22,$BC1487=(Elig_MatchAll_Ct-1),AU1487=0),R1487,0)</f>
        <v>0</v>
      </c>
      <c r="BX1487" s="994">
        <f>IF(AND(Input_Product=Elig!$C1487,Elig_MatchAll_Ct&lt;22,$BC1487=(Elig_MatchAll_Ct-1),AU1487=0),S1487,0)</f>
        <v>0</v>
      </c>
      <c r="BY1487" s="993">
        <f>IF(AND(Input_Product=Elig!$C1487,Elig_MatchAll_Ct&lt;22,$BC1487=(Elig_MatchAll_Ct-1),AV1487=0),T1487,0)</f>
        <v>0</v>
      </c>
      <c r="BZ1487" s="994">
        <f>IF(AND(Input_Product=Elig!$C1487,Elig_MatchAll_Ct&lt;22,$BC1487=(Elig_MatchAll_Ct-1),AV1487=0),U1487,0)</f>
        <v>0</v>
      </c>
      <c r="CA1487" s="993">
        <f>IF(AND(Input_Product=Elig!$C1487,Elig_MatchAll_Ct&lt;22,$BC1487=(Elig_MatchAll_Ct-1),AW1487=0),V1487,0)</f>
        <v>0</v>
      </c>
      <c r="CB1487" s="994">
        <f>IF(AND(Input_Product=Elig!$C1487,Elig_MatchAll_Ct&lt;22,$BC1487=(Elig_MatchAll_Ct-1),AW1487=0),W1487,0)</f>
        <v>0</v>
      </c>
      <c r="CC1487" s="993">
        <f>IF(AND(Input_Product=Elig!$C1487,Elig_MatchAll_Ct&lt;22,$BC1487=(Elig_MatchAll_Ct-1),AX1487=0),X1487,0)</f>
        <v>0</v>
      </c>
      <c r="CD1487" s="994">
        <f>IF(AND(Input_Product=Elig!$C1487,Elig_MatchAll_Ct&lt;22,$BC1487=(Elig_MatchAll_Ct-1),AX1487=0),Y1487,0)</f>
        <v>0</v>
      </c>
      <c r="CE1487" s="993">
        <f>IF(AND(Input_LTV&lt;=AE1487,Input_Product=Elig!$C1487,Elig_MatchAll_Ct&lt;22,$BC1487=(Elig_MatchAll_Ct-1),AY1487=0),Z1487,0)</f>
        <v>0</v>
      </c>
      <c r="CF1487" s="994">
        <f>IF(AND(Input_LTV&lt;=AE1487,Input_Product=Elig!$C1487,Elig_MatchAll_Ct&lt;22,$BC1487=(Elig_MatchAll_Ct-1),AY1487=0),AA1487,0)</f>
        <v>0</v>
      </c>
      <c r="CG1487" s="993">
        <f>IF(AND(Input_Product=Elig!$C1487,Elig_MatchAll_Ct&lt;22,$BC1487=(Elig_MatchAll_Ct-1),AZ1487=0),AB1487,0)</f>
        <v>0</v>
      </c>
      <c r="CH1487" s="994">
        <f>IF(AND(Input_Product=Elig!$C1487,Elig_MatchAll_Ct&lt;22,$BC1487=(Elig_MatchAll_Ct-1),AZ1487=0),AC1487,0)</f>
        <v>0</v>
      </c>
      <c r="CI1487" s="993">
        <f>IF(AND(Input_Product=Elig!$C1487,Elig_MatchAll_Ct&lt;22,$BC1487=(Elig_MatchAll_Ct-1),BA1487=0),AD1487,0)</f>
        <v>0</v>
      </c>
      <c r="CJ1487" s="994">
        <f>IF(AND(Input_Product=Elig!$C1487,Elig_MatchAll_Ct&lt;22,$BC1487=(Elig_MatchAll_Ct-1),BA1487=0),AE1487,0)</f>
        <v>0</v>
      </c>
    </row>
    <row r="1488" spans="2:88" ht="10.15" customHeight="1" x14ac:dyDescent="0.25">
      <c r="B1488" s="1554" t="s">
        <v>3761</v>
      </c>
      <c r="C1488" s="1554" t="str">
        <f t="shared" si="511"/>
        <v xml:space="preserve">  NOO</v>
      </c>
      <c r="D1488" s="1554" t="s">
        <v>2764</v>
      </c>
      <c r="E1488" s="1554" t="s">
        <v>167</v>
      </c>
      <c r="F1488" s="1554" t="s">
        <v>2765</v>
      </c>
      <c r="G1488" s="1554" t="s">
        <v>2810</v>
      </c>
      <c r="H1488" s="1554" t="s">
        <v>2767</v>
      </c>
      <c r="I1488" s="1555" t="s">
        <v>35</v>
      </c>
      <c r="J1488" s="1555" t="s">
        <v>1311</v>
      </c>
      <c r="K1488" s="1555" t="s">
        <v>3023</v>
      </c>
      <c r="L1488" s="1554" t="s">
        <v>3920</v>
      </c>
      <c r="M1488" s="1554" t="s">
        <v>4203</v>
      </c>
      <c r="N1488" s="1554" t="s">
        <v>2685</v>
      </c>
      <c r="O1488" s="1554" t="s">
        <v>310</v>
      </c>
      <c r="P1488" s="1554" t="s">
        <v>291</v>
      </c>
      <c r="Q1488" s="1554" t="s">
        <v>294</v>
      </c>
      <c r="R1488" s="1554">
        <v>150000</v>
      </c>
      <c r="S1488" s="1554">
        <v>1000000</v>
      </c>
      <c r="T1488" s="1554">
        <v>0</v>
      </c>
      <c r="U1488" s="1554">
        <v>0</v>
      </c>
      <c r="V1488" s="1554">
        <v>0</v>
      </c>
      <c r="W1488" s="1554">
        <v>50</v>
      </c>
      <c r="X1488" s="1554">
        <v>0</v>
      </c>
      <c r="Y1488" s="1554">
        <v>0</v>
      </c>
      <c r="Z1488" s="1556">
        <v>640</v>
      </c>
      <c r="AA1488" s="1556">
        <v>659</v>
      </c>
      <c r="AB1488" s="1556">
        <v>3</v>
      </c>
      <c r="AC1488" s="1556">
        <v>999999</v>
      </c>
      <c r="AD1488" s="1554">
        <v>0</v>
      </c>
      <c r="AE1488" s="1557">
        <v>75</v>
      </c>
      <c r="AF1488" s="170">
        <v>0</v>
      </c>
      <c r="AG1488" s="171">
        <v>1</v>
      </c>
      <c r="AH1488" s="171">
        <v>1</v>
      </c>
      <c r="AI1488" s="171">
        <v>1</v>
      </c>
      <c r="AJ1488" s="171">
        <v>1</v>
      </c>
      <c r="AK1488" s="171">
        <v>1</v>
      </c>
      <c r="AL1488" s="171">
        <v>0</v>
      </c>
      <c r="AM1488" s="171">
        <v>1</v>
      </c>
      <c r="AN1488" s="171">
        <v>1</v>
      </c>
      <c r="AO1488" s="171">
        <v>1</v>
      </c>
      <c r="AP1488" s="171">
        <v>1</v>
      </c>
      <c r="AQ1488" s="171">
        <v>1</v>
      </c>
      <c r="AR1488" s="171">
        <v>1</v>
      </c>
      <c r="AS1488" s="171">
        <v>1</v>
      </c>
      <c r="AT1488" s="171">
        <v>1</v>
      </c>
      <c r="AU1488" s="171">
        <f t="shared" si="502"/>
        <v>1</v>
      </c>
      <c r="AV1488" s="171">
        <f t="shared" si="503"/>
        <v>0</v>
      </c>
      <c r="AW1488" s="171">
        <f t="shared" si="504"/>
        <v>1</v>
      </c>
      <c r="AX1488" s="171">
        <f t="shared" si="512"/>
        <v>1</v>
      </c>
      <c r="AY1488" s="171">
        <f t="shared" si="505"/>
        <v>0</v>
      </c>
      <c r="AZ1488" s="171">
        <f t="shared" si="506"/>
        <v>1</v>
      </c>
      <c r="BA1488" s="172">
        <f t="shared" si="507"/>
        <v>1</v>
      </c>
      <c r="BB1488" s="175">
        <f t="shared" si="508"/>
        <v>18</v>
      </c>
      <c r="BC1488" s="176">
        <f t="shared" si="509"/>
        <v>17</v>
      </c>
      <c r="BD1488" s="176">
        <f t="shared" si="510"/>
        <v>18</v>
      </c>
      <c r="BE1488" s="240" t="str">
        <f t="shared" si="501"/>
        <v/>
      </c>
      <c r="BF1488" s="990"/>
      <c r="BG1488" s="990"/>
      <c r="BH1488" s="991">
        <f>IF(AND(Input_Product=Elig!$C1488,Elig_MatchAll_Ct&lt;22,$BC1488=(Elig_MatchAll_Ct-1),AF1488=0),C1488,0)</f>
        <v>0</v>
      </c>
      <c r="BI1488" s="991">
        <f>IF(AND(Input_Product=Elig!$C1488,Elig_MatchAll_Ct&lt;22,$BC1488=(Elig_MatchAll_Ct-1),AG1488=0),D1488,0)</f>
        <v>0</v>
      </c>
      <c r="BJ1488" s="991">
        <f>IF(AND(Input_Product=Elig!$C1488,Elig_MatchAll_Ct&lt;22,$BC1488=(Elig_MatchAll_Ct-1),AH1488=0),E1488,0)</f>
        <v>0</v>
      </c>
      <c r="BK1488" s="991">
        <f>IF(AND(Input_Product=Elig!$C1488,Elig_MatchAll_Ct&lt;22,$BC1488=(Elig_MatchAll_Ct-1),AI1488=0),F1488,0)</f>
        <v>0</v>
      </c>
      <c r="BL1488" s="991">
        <f>IF(AND(Input_Product=Elig!$C1488,Elig_MatchAll_Ct&lt;22,$BC1488=(Elig_MatchAll_Ct-1),AJ1488=0),G1488,0)</f>
        <v>0</v>
      </c>
      <c r="BM1488" s="991">
        <f>IF(AND(Input_Product=Elig!$C1488,Elig_MatchAll_Ct&lt;22,$BC1488=(Elig_MatchAll_Ct-1),AK1488=0),H1488,0)</f>
        <v>0</v>
      </c>
      <c r="BN1488" s="991">
        <f>IF(AND(Input_Product=Elig!$C1488,Elig_MatchAll_Ct&lt;22,$BC1488=(Elig_MatchAll_Ct-1),AL1488=0),I1488,0)</f>
        <v>0</v>
      </c>
      <c r="BO1488" s="991">
        <f>IF(AND(Input_Product=Elig!$C1488,Elig_MatchAll_Ct&lt;22,$BC1488=(Elig_MatchAll_Ct-1),AM1488=0),J1488,0)</f>
        <v>0</v>
      </c>
      <c r="BP1488" s="991">
        <f>IF(AND(Input_Product=Elig!$C1488,Elig_MatchAll_Ct&lt;22,$BC1488=(Elig_MatchAll_Ct-1),AN1488=0),K1488,0)</f>
        <v>0</v>
      </c>
      <c r="BQ1488" s="991">
        <f>IF(AND(Input_Product=Elig!$C1488,Elig_MatchAll_Ct&lt;22,$BC1488=(Elig_MatchAll_Ct-1),AP1488=0),L1488,0)</f>
        <v>0</v>
      </c>
      <c r="BR1488" s="991">
        <f>IF(AND(Input_Product=Elig!$C1488,Elig_MatchAll_Ct&lt;22,$BC1488=(Elig_MatchAll_Ct-1),AO1488=0),M1488,0)</f>
        <v>0</v>
      </c>
      <c r="BS1488" s="991">
        <f>IF(AND(Input_Product=Elig!$C1488,Elig_MatchAll_Ct&lt;22,$BC1488=(Elig_MatchAll_Ct-1),AQ1488=0),N1488,0)</f>
        <v>0</v>
      </c>
      <c r="BT1488" s="991">
        <f>IF(AND(Input_Product=Elig!$C1488,Elig_MatchAll_Ct&lt;22,$BC1488=(Elig_MatchAll_Ct-1),AR1488=0),O1488,0)</f>
        <v>0</v>
      </c>
      <c r="BU1488" s="991">
        <f>IF(AND(Input_Product=Elig!$C1488,Elig_MatchAll_Ct&lt;22,$BC1488=(Elig_MatchAll_Ct-1),AS1488=0),P1488,0)</f>
        <v>0</v>
      </c>
      <c r="BV1488" s="992">
        <f>IF(AND(Input_Product=Elig!$C1488,Elig_MatchAll_Ct&lt;22,$BC1488=(Elig_MatchAll_Ct-1),AT1488=0),Q1488,0)</f>
        <v>0</v>
      </c>
      <c r="BW1488" s="993">
        <f>IF(AND(Input_Product=Elig!$C1488,Elig_MatchAll_Ct&lt;22,$BC1488=(Elig_MatchAll_Ct-1),AU1488=0),R1488,0)</f>
        <v>0</v>
      </c>
      <c r="BX1488" s="994">
        <f>IF(AND(Input_Product=Elig!$C1488,Elig_MatchAll_Ct&lt;22,$BC1488=(Elig_MatchAll_Ct-1),AU1488=0),S1488,0)</f>
        <v>0</v>
      </c>
      <c r="BY1488" s="993">
        <f>IF(AND(Input_Product=Elig!$C1488,Elig_MatchAll_Ct&lt;22,$BC1488=(Elig_MatchAll_Ct-1),AV1488=0),T1488,0)</f>
        <v>0</v>
      </c>
      <c r="BZ1488" s="994">
        <f>IF(AND(Input_Product=Elig!$C1488,Elig_MatchAll_Ct&lt;22,$BC1488=(Elig_MatchAll_Ct-1),AV1488=0),U1488,0)</f>
        <v>0</v>
      </c>
      <c r="CA1488" s="993">
        <f>IF(AND(Input_Product=Elig!$C1488,Elig_MatchAll_Ct&lt;22,$BC1488=(Elig_MatchAll_Ct-1),AW1488=0),V1488,0)</f>
        <v>0</v>
      </c>
      <c r="CB1488" s="994">
        <f>IF(AND(Input_Product=Elig!$C1488,Elig_MatchAll_Ct&lt;22,$BC1488=(Elig_MatchAll_Ct-1),AW1488=0),W1488,0)</f>
        <v>0</v>
      </c>
      <c r="CC1488" s="993">
        <f>IF(AND(Input_Product=Elig!$C1488,Elig_MatchAll_Ct&lt;22,$BC1488=(Elig_MatchAll_Ct-1),AX1488=0),X1488,0)</f>
        <v>0</v>
      </c>
      <c r="CD1488" s="994">
        <f>IF(AND(Input_Product=Elig!$C1488,Elig_MatchAll_Ct&lt;22,$BC1488=(Elig_MatchAll_Ct-1),AX1488=0),Y1488,0)</f>
        <v>0</v>
      </c>
      <c r="CE1488" s="993">
        <f>IF(AND(Input_LTV&lt;=AE1488,Input_Product=Elig!$C1488,Elig_MatchAll_Ct&lt;22,$BC1488=(Elig_MatchAll_Ct-1),AY1488=0),Z1488,0)</f>
        <v>0</v>
      </c>
      <c r="CF1488" s="994">
        <f>IF(AND(Input_LTV&lt;=AE1488,Input_Product=Elig!$C1488,Elig_MatchAll_Ct&lt;22,$BC1488=(Elig_MatchAll_Ct-1),AY1488=0),AA1488,0)</f>
        <v>0</v>
      </c>
      <c r="CG1488" s="993">
        <f>IF(AND(Input_Product=Elig!$C1488,Elig_MatchAll_Ct&lt;22,$BC1488=(Elig_MatchAll_Ct-1),AZ1488=0),AB1488,0)</f>
        <v>0</v>
      </c>
      <c r="CH1488" s="994">
        <f>IF(AND(Input_Product=Elig!$C1488,Elig_MatchAll_Ct&lt;22,$BC1488=(Elig_MatchAll_Ct-1),AZ1488=0),AC1488,0)</f>
        <v>0</v>
      </c>
      <c r="CI1488" s="993">
        <f>IF(AND(Input_Product=Elig!$C1488,Elig_MatchAll_Ct&lt;22,$BC1488=(Elig_MatchAll_Ct-1),BA1488=0),AD1488,0)</f>
        <v>0</v>
      </c>
      <c r="CJ1488" s="994">
        <f>IF(AND(Input_Product=Elig!$C1488,Elig_MatchAll_Ct&lt;22,$BC1488=(Elig_MatchAll_Ct-1),BA1488=0),AE1488,0)</f>
        <v>0</v>
      </c>
    </row>
    <row r="1489" spans="2:88" ht="10.15" customHeight="1" x14ac:dyDescent="0.25">
      <c r="B1489" s="1554" t="s">
        <v>3762</v>
      </c>
      <c r="C1489" s="1558" t="str">
        <f t="shared" si="511"/>
        <v xml:space="preserve">  NOO</v>
      </c>
      <c r="D1489" s="1558" t="s">
        <v>2764</v>
      </c>
      <c r="E1489" s="1558" t="s">
        <v>167</v>
      </c>
      <c r="F1489" s="1558" t="s">
        <v>2765</v>
      </c>
      <c r="G1489" s="1558" t="s">
        <v>2810</v>
      </c>
      <c r="H1489" s="1558" t="s">
        <v>2767</v>
      </c>
      <c r="I1489" s="1559" t="s">
        <v>35</v>
      </c>
      <c r="J1489" s="1559" t="s">
        <v>1311</v>
      </c>
      <c r="K1489" s="1559" t="s">
        <v>3023</v>
      </c>
      <c r="L1489" s="1558" t="s">
        <v>3920</v>
      </c>
      <c r="M1489" s="1558" t="s">
        <v>4203</v>
      </c>
      <c r="N1489" s="1558" t="s">
        <v>2685</v>
      </c>
      <c r="O1489" s="1558" t="s">
        <v>310</v>
      </c>
      <c r="P1489" s="1558" t="s">
        <v>291</v>
      </c>
      <c r="Q1489" s="1558" t="s">
        <v>294</v>
      </c>
      <c r="R1489" s="1558">
        <v>150000</v>
      </c>
      <c r="S1489" s="1558">
        <v>1000000</v>
      </c>
      <c r="T1489" s="1558">
        <v>0</v>
      </c>
      <c r="U1489" s="1558">
        <v>0</v>
      </c>
      <c r="V1489" s="1558">
        <v>0</v>
      </c>
      <c r="W1489" s="1558">
        <v>50</v>
      </c>
      <c r="X1489" s="1558">
        <v>0</v>
      </c>
      <c r="Y1489" s="1558">
        <v>0</v>
      </c>
      <c r="Z1489" s="1560">
        <v>620</v>
      </c>
      <c r="AA1489" s="1560">
        <v>639</v>
      </c>
      <c r="AB1489" s="1560">
        <v>3</v>
      </c>
      <c r="AC1489" s="1560">
        <v>999999</v>
      </c>
      <c r="AD1489" s="1558">
        <v>0</v>
      </c>
      <c r="AE1489" s="1561">
        <v>70</v>
      </c>
      <c r="AF1489" s="170">
        <v>0</v>
      </c>
      <c r="AG1489" s="171">
        <v>1</v>
      </c>
      <c r="AH1489" s="171">
        <v>1</v>
      </c>
      <c r="AI1489" s="171">
        <v>1</v>
      </c>
      <c r="AJ1489" s="171">
        <v>1</v>
      </c>
      <c r="AK1489" s="171">
        <v>1</v>
      </c>
      <c r="AL1489" s="171">
        <v>0</v>
      </c>
      <c r="AM1489" s="171">
        <v>1</v>
      </c>
      <c r="AN1489" s="171">
        <v>1</v>
      </c>
      <c r="AO1489" s="171">
        <v>1</v>
      </c>
      <c r="AP1489" s="171">
        <v>1</v>
      </c>
      <c r="AQ1489" s="171">
        <v>1</v>
      </c>
      <c r="AR1489" s="171">
        <v>1</v>
      </c>
      <c r="AS1489" s="171">
        <v>1</v>
      </c>
      <c r="AT1489" s="171">
        <v>1</v>
      </c>
      <c r="AU1489" s="171">
        <f t="shared" si="502"/>
        <v>1</v>
      </c>
      <c r="AV1489" s="171">
        <f t="shared" si="503"/>
        <v>0</v>
      </c>
      <c r="AW1489" s="171">
        <f t="shared" si="504"/>
        <v>1</v>
      </c>
      <c r="AX1489" s="171">
        <f t="shared" si="512"/>
        <v>1</v>
      </c>
      <c r="AY1489" s="171">
        <f t="shared" si="505"/>
        <v>0</v>
      </c>
      <c r="AZ1489" s="171">
        <f t="shared" si="506"/>
        <v>1</v>
      </c>
      <c r="BA1489" s="172">
        <f t="shared" si="507"/>
        <v>1</v>
      </c>
      <c r="BB1489" s="175">
        <f t="shared" si="508"/>
        <v>18</v>
      </c>
      <c r="BC1489" s="176">
        <f t="shared" si="509"/>
        <v>17</v>
      </c>
      <c r="BD1489" s="176">
        <f t="shared" si="510"/>
        <v>18</v>
      </c>
      <c r="BE1489" s="240" t="str">
        <f t="shared" si="501"/>
        <v/>
      </c>
      <c r="BF1489" s="990"/>
      <c r="BG1489" s="990"/>
      <c r="BH1489" s="991">
        <f>IF(AND(Input_Product=Elig!$C1489,Elig_MatchAll_Ct&lt;22,$BC1489=(Elig_MatchAll_Ct-1),AF1489=0),C1489,0)</f>
        <v>0</v>
      </c>
      <c r="BI1489" s="991">
        <f>IF(AND(Input_Product=Elig!$C1489,Elig_MatchAll_Ct&lt;22,$BC1489=(Elig_MatchAll_Ct-1),AG1489=0),D1489,0)</f>
        <v>0</v>
      </c>
      <c r="BJ1489" s="991">
        <f>IF(AND(Input_Product=Elig!$C1489,Elig_MatchAll_Ct&lt;22,$BC1489=(Elig_MatchAll_Ct-1),AH1489=0),E1489,0)</f>
        <v>0</v>
      </c>
      <c r="BK1489" s="991">
        <f>IF(AND(Input_Product=Elig!$C1489,Elig_MatchAll_Ct&lt;22,$BC1489=(Elig_MatchAll_Ct-1),AI1489=0),F1489,0)</f>
        <v>0</v>
      </c>
      <c r="BL1489" s="991">
        <f>IF(AND(Input_Product=Elig!$C1489,Elig_MatchAll_Ct&lt;22,$BC1489=(Elig_MatchAll_Ct-1),AJ1489=0),G1489,0)</f>
        <v>0</v>
      </c>
      <c r="BM1489" s="991">
        <f>IF(AND(Input_Product=Elig!$C1489,Elig_MatchAll_Ct&lt;22,$BC1489=(Elig_MatchAll_Ct-1),AK1489=0),H1489,0)</f>
        <v>0</v>
      </c>
      <c r="BN1489" s="991">
        <f>IF(AND(Input_Product=Elig!$C1489,Elig_MatchAll_Ct&lt;22,$BC1489=(Elig_MatchAll_Ct-1),AL1489=0),I1489,0)</f>
        <v>0</v>
      </c>
      <c r="BO1489" s="991">
        <f>IF(AND(Input_Product=Elig!$C1489,Elig_MatchAll_Ct&lt;22,$BC1489=(Elig_MatchAll_Ct-1),AM1489=0),J1489,0)</f>
        <v>0</v>
      </c>
      <c r="BP1489" s="991">
        <f>IF(AND(Input_Product=Elig!$C1489,Elig_MatchAll_Ct&lt;22,$BC1489=(Elig_MatchAll_Ct-1),AN1489=0),K1489,0)</f>
        <v>0</v>
      </c>
      <c r="BQ1489" s="991">
        <f>IF(AND(Input_Product=Elig!$C1489,Elig_MatchAll_Ct&lt;22,$BC1489=(Elig_MatchAll_Ct-1),AP1489=0),L1489,0)</f>
        <v>0</v>
      </c>
      <c r="BR1489" s="991">
        <f>IF(AND(Input_Product=Elig!$C1489,Elig_MatchAll_Ct&lt;22,$BC1489=(Elig_MatchAll_Ct-1),AO1489=0),M1489,0)</f>
        <v>0</v>
      </c>
      <c r="BS1489" s="991">
        <f>IF(AND(Input_Product=Elig!$C1489,Elig_MatchAll_Ct&lt;22,$BC1489=(Elig_MatchAll_Ct-1),AQ1489=0),N1489,0)</f>
        <v>0</v>
      </c>
      <c r="BT1489" s="991">
        <f>IF(AND(Input_Product=Elig!$C1489,Elig_MatchAll_Ct&lt;22,$BC1489=(Elig_MatchAll_Ct-1),AR1489=0),O1489,0)</f>
        <v>0</v>
      </c>
      <c r="BU1489" s="991">
        <f>IF(AND(Input_Product=Elig!$C1489,Elig_MatchAll_Ct&lt;22,$BC1489=(Elig_MatchAll_Ct-1),AS1489=0),P1489,0)</f>
        <v>0</v>
      </c>
      <c r="BV1489" s="992">
        <f>IF(AND(Input_Product=Elig!$C1489,Elig_MatchAll_Ct&lt;22,$BC1489=(Elig_MatchAll_Ct-1),AT1489=0),Q1489,0)</f>
        <v>0</v>
      </c>
      <c r="BW1489" s="993">
        <f>IF(AND(Input_Product=Elig!$C1489,Elig_MatchAll_Ct&lt;22,$BC1489=(Elig_MatchAll_Ct-1),AU1489=0),R1489,0)</f>
        <v>0</v>
      </c>
      <c r="BX1489" s="994">
        <f>IF(AND(Input_Product=Elig!$C1489,Elig_MatchAll_Ct&lt;22,$BC1489=(Elig_MatchAll_Ct-1),AU1489=0),S1489,0)</f>
        <v>0</v>
      </c>
      <c r="BY1489" s="993">
        <f>IF(AND(Input_Product=Elig!$C1489,Elig_MatchAll_Ct&lt;22,$BC1489=(Elig_MatchAll_Ct-1),AV1489=0),T1489,0)</f>
        <v>0</v>
      </c>
      <c r="BZ1489" s="994">
        <f>IF(AND(Input_Product=Elig!$C1489,Elig_MatchAll_Ct&lt;22,$BC1489=(Elig_MatchAll_Ct-1),AV1489=0),U1489,0)</f>
        <v>0</v>
      </c>
      <c r="CA1489" s="993">
        <f>IF(AND(Input_Product=Elig!$C1489,Elig_MatchAll_Ct&lt;22,$BC1489=(Elig_MatchAll_Ct-1),AW1489=0),V1489,0)</f>
        <v>0</v>
      </c>
      <c r="CB1489" s="994">
        <f>IF(AND(Input_Product=Elig!$C1489,Elig_MatchAll_Ct&lt;22,$BC1489=(Elig_MatchAll_Ct-1),AW1489=0),W1489,0)</f>
        <v>0</v>
      </c>
      <c r="CC1489" s="993">
        <f>IF(AND(Input_Product=Elig!$C1489,Elig_MatchAll_Ct&lt;22,$BC1489=(Elig_MatchAll_Ct-1),AX1489=0),X1489,0)</f>
        <v>0</v>
      </c>
      <c r="CD1489" s="994">
        <f>IF(AND(Input_Product=Elig!$C1489,Elig_MatchAll_Ct&lt;22,$BC1489=(Elig_MatchAll_Ct-1),AX1489=0),Y1489,0)</f>
        <v>0</v>
      </c>
      <c r="CE1489" s="993">
        <f>IF(AND(Input_LTV&lt;=AE1489,Input_Product=Elig!$C1489,Elig_MatchAll_Ct&lt;22,$BC1489=(Elig_MatchAll_Ct-1),AY1489=0),Z1489,0)</f>
        <v>0</v>
      </c>
      <c r="CF1489" s="994">
        <f>IF(AND(Input_LTV&lt;=AE1489,Input_Product=Elig!$C1489,Elig_MatchAll_Ct&lt;22,$BC1489=(Elig_MatchAll_Ct-1),AY1489=0),AA1489,0)</f>
        <v>0</v>
      </c>
      <c r="CG1489" s="993">
        <f>IF(AND(Input_Product=Elig!$C1489,Elig_MatchAll_Ct&lt;22,$BC1489=(Elig_MatchAll_Ct-1),AZ1489=0),AB1489,0)</f>
        <v>0</v>
      </c>
      <c r="CH1489" s="994">
        <f>IF(AND(Input_Product=Elig!$C1489,Elig_MatchAll_Ct&lt;22,$BC1489=(Elig_MatchAll_Ct-1),AZ1489=0),AC1489,0)</f>
        <v>0</v>
      </c>
      <c r="CI1489" s="993">
        <f>IF(AND(Input_Product=Elig!$C1489,Elig_MatchAll_Ct&lt;22,$BC1489=(Elig_MatchAll_Ct-1),BA1489=0),AD1489,0)</f>
        <v>0</v>
      </c>
      <c r="CJ1489" s="994">
        <f>IF(AND(Input_Product=Elig!$C1489,Elig_MatchAll_Ct&lt;22,$BC1489=(Elig_MatchAll_Ct-1),BA1489=0),AE1489,0)</f>
        <v>0</v>
      </c>
    </row>
    <row r="1490" spans="2:88" ht="10.15" customHeight="1" x14ac:dyDescent="0.25">
      <c r="B1490" s="1554" t="s">
        <v>3763</v>
      </c>
      <c r="C1490" s="1550" t="str">
        <f t="shared" si="511"/>
        <v xml:space="preserve">  NOO</v>
      </c>
      <c r="D1490" s="1550" t="s">
        <v>2764</v>
      </c>
      <c r="E1490" s="1550" t="s">
        <v>167</v>
      </c>
      <c r="F1490" s="1550" t="s">
        <v>2765</v>
      </c>
      <c r="G1490" s="1550" t="s">
        <v>2810</v>
      </c>
      <c r="H1490" s="1550" t="s">
        <v>2767</v>
      </c>
      <c r="I1490" s="1551" t="s">
        <v>16</v>
      </c>
      <c r="J1490" s="1551" t="s">
        <v>1311</v>
      </c>
      <c r="K1490" s="1551" t="s">
        <v>3023</v>
      </c>
      <c r="L1490" s="1550" t="s">
        <v>3920</v>
      </c>
      <c r="M1490" s="1550" t="s">
        <v>4203</v>
      </c>
      <c r="N1490" s="1550" t="s">
        <v>2685</v>
      </c>
      <c r="O1490" s="1550" t="s">
        <v>310</v>
      </c>
      <c r="P1490" s="1550" t="s">
        <v>291</v>
      </c>
      <c r="Q1490" s="1550" t="s">
        <v>294</v>
      </c>
      <c r="R1490" s="1550">
        <v>150000</v>
      </c>
      <c r="S1490" s="1550">
        <v>1000000</v>
      </c>
      <c r="T1490" s="1550">
        <v>0</v>
      </c>
      <c r="U1490" s="1550">
        <v>1000000</v>
      </c>
      <c r="V1490" s="1550">
        <v>0</v>
      </c>
      <c r="W1490" s="1550">
        <v>50</v>
      </c>
      <c r="X1490" s="1550">
        <v>0</v>
      </c>
      <c r="Y1490" s="1550">
        <v>0</v>
      </c>
      <c r="Z1490" s="1552">
        <v>700</v>
      </c>
      <c r="AA1490" s="1552">
        <v>999</v>
      </c>
      <c r="AB1490" s="1552">
        <v>3</v>
      </c>
      <c r="AC1490" s="1552">
        <v>999999</v>
      </c>
      <c r="AD1490" s="1550">
        <v>0</v>
      </c>
      <c r="AE1490" s="1553">
        <v>80</v>
      </c>
      <c r="AF1490" s="170">
        <v>0</v>
      </c>
      <c r="AG1490" s="171">
        <v>1</v>
      </c>
      <c r="AH1490" s="171">
        <v>1</v>
      </c>
      <c r="AI1490" s="171">
        <v>1</v>
      </c>
      <c r="AJ1490" s="171">
        <v>1</v>
      </c>
      <c r="AK1490" s="171">
        <v>1</v>
      </c>
      <c r="AL1490" s="171">
        <v>1</v>
      </c>
      <c r="AM1490" s="171">
        <v>1</v>
      </c>
      <c r="AN1490" s="171">
        <v>1</v>
      </c>
      <c r="AO1490" s="171">
        <v>1</v>
      </c>
      <c r="AP1490" s="171">
        <v>1</v>
      </c>
      <c r="AQ1490" s="171">
        <v>1</v>
      </c>
      <c r="AR1490" s="171">
        <v>1</v>
      </c>
      <c r="AS1490" s="171">
        <v>1</v>
      </c>
      <c r="AT1490" s="171">
        <v>1</v>
      </c>
      <c r="AU1490" s="171">
        <f t="shared" si="502"/>
        <v>1</v>
      </c>
      <c r="AV1490" s="171">
        <f t="shared" si="503"/>
        <v>1</v>
      </c>
      <c r="AW1490" s="171">
        <f t="shared" si="504"/>
        <v>1</v>
      </c>
      <c r="AX1490" s="171">
        <f t="shared" si="512"/>
        <v>1</v>
      </c>
      <c r="AY1490" s="171">
        <f t="shared" si="505"/>
        <v>1</v>
      </c>
      <c r="AZ1490" s="171">
        <f t="shared" si="506"/>
        <v>1</v>
      </c>
      <c r="BA1490" s="172">
        <f t="shared" si="507"/>
        <v>1</v>
      </c>
      <c r="BB1490" s="175">
        <f t="shared" si="508"/>
        <v>21</v>
      </c>
      <c r="BC1490" s="176">
        <f t="shared" si="509"/>
        <v>20</v>
      </c>
      <c r="BD1490" s="176">
        <f t="shared" si="510"/>
        <v>21</v>
      </c>
      <c r="BE1490" s="240" t="str">
        <f t="shared" si="501"/>
        <v xml:space="preserve">  NOO</v>
      </c>
      <c r="BF1490" s="990"/>
      <c r="BG1490" s="990"/>
      <c r="BH1490" s="991">
        <f>IF(AND(Input_Product=Elig!$C1490,Elig_MatchAll_Ct&lt;22,$BC1490=(Elig_MatchAll_Ct-1),AF1490=0),C1490,0)</f>
        <v>0</v>
      </c>
      <c r="BI1490" s="991">
        <f>IF(AND(Input_Product=Elig!$C1490,Elig_MatchAll_Ct&lt;22,$BC1490=(Elig_MatchAll_Ct-1),AG1490=0),D1490,0)</f>
        <v>0</v>
      </c>
      <c r="BJ1490" s="991">
        <f>IF(AND(Input_Product=Elig!$C1490,Elig_MatchAll_Ct&lt;22,$BC1490=(Elig_MatchAll_Ct-1),AH1490=0),E1490,0)</f>
        <v>0</v>
      </c>
      <c r="BK1490" s="991">
        <f>IF(AND(Input_Product=Elig!$C1490,Elig_MatchAll_Ct&lt;22,$BC1490=(Elig_MatchAll_Ct-1),AI1490=0),F1490,0)</f>
        <v>0</v>
      </c>
      <c r="BL1490" s="991">
        <f>IF(AND(Input_Product=Elig!$C1490,Elig_MatchAll_Ct&lt;22,$BC1490=(Elig_MatchAll_Ct-1),AJ1490=0),G1490,0)</f>
        <v>0</v>
      </c>
      <c r="BM1490" s="991">
        <f>IF(AND(Input_Product=Elig!$C1490,Elig_MatchAll_Ct&lt;22,$BC1490=(Elig_MatchAll_Ct-1),AK1490=0),H1490,0)</f>
        <v>0</v>
      </c>
      <c r="BN1490" s="991">
        <f>IF(AND(Input_Product=Elig!$C1490,Elig_MatchAll_Ct&lt;22,$BC1490=(Elig_MatchAll_Ct-1),AL1490=0),I1490,0)</f>
        <v>0</v>
      </c>
      <c r="BO1490" s="991">
        <f>IF(AND(Input_Product=Elig!$C1490,Elig_MatchAll_Ct&lt;22,$BC1490=(Elig_MatchAll_Ct-1),AM1490=0),J1490,0)</f>
        <v>0</v>
      </c>
      <c r="BP1490" s="991">
        <f>IF(AND(Input_Product=Elig!$C1490,Elig_MatchAll_Ct&lt;22,$BC1490=(Elig_MatchAll_Ct-1),AN1490=0),K1490,0)</f>
        <v>0</v>
      </c>
      <c r="BQ1490" s="991">
        <f>IF(AND(Input_Product=Elig!$C1490,Elig_MatchAll_Ct&lt;22,$BC1490=(Elig_MatchAll_Ct-1),AP1490=0),L1490,0)</f>
        <v>0</v>
      </c>
      <c r="BR1490" s="991">
        <f>IF(AND(Input_Product=Elig!$C1490,Elig_MatchAll_Ct&lt;22,$BC1490=(Elig_MatchAll_Ct-1),AO1490=0),M1490,0)</f>
        <v>0</v>
      </c>
      <c r="BS1490" s="991">
        <f>IF(AND(Input_Product=Elig!$C1490,Elig_MatchAll_Ct&lt;22,$BC1490=(Elig_MatchAll_Ct-1),AQ1490=0),N1490,0)</f>
        <v>0</v>
      </c>
      <c r="BT1490" s="991">
        <f>IF(AND(Input_Product=Elig!$C1490,Elig_MatchAll_Ct&lt;22,$BC1490=(Elig_MatchAll_Ct-1),AR1490=0),O1490,0)</f>
        <v>0</v>
      </c>
      <c r="BU1490" s="991">
        <f>IF(AND(Input_Product=Elig!$C1490,Elig_MatchAll_Ct&lt;22,$BC1490=(Elig_MatchAll_Ct-1),AS1490=0),P1490,0)</f>
        <v>0</v>
      </c>
      <c r="BV1490" s="992">
        <f>IF(AND(Input_Product=Elig!$C1490,Elig_MatchAll_Ct&lt;22,$BC1490=(Elig_MatchAll_Ct-1),AT1490=0),Q1490,0)</f>
        <v>0</v>
      </c>
      <c r="BW1490" s="993">
        <f>IF(AND(Input_Product=Elig!$C1490,Elig_MatchAll_Ct&lt;22,$BC1490=(Elig_MatchAll_Ct-1),AU1490=0),R1490,0)</f>
        <v>0</v>
      </c>
      <c r="BX1490" s="994">
        <f>IF(AND(Input_Product=Elig!$C1490,Elig_MatchAll_Ct&lt;22,$BC1490=(Elig_MatchAll_Ct-1),AU1490=0),S1490,0)</f>
        <v>0</v>
      </c>
      <c r="BY1490" s="993">
        <f>IF(AND(Input_Product=Elig!$C1490,Elig_MatchAll_Ct&lt;22,$BC1490=(Elig_MatchAll_Ct-1),AV1490=0),T1490,0)</f>
        <v>0</v>
      </c>
      <c r="BZ1490" s="994">
        <f>IF(AND(Input_Product=Elig!$C1490,Elig_MatchAll_Ct&lt;22,$BC1490=(Elig_MatchAll_Ct-1),AV1490=0),U1490,0)</f>
        <v>0</v>
      </c>
      <c r="CA1490" s="993">
        <f>IF(AND(Input_Product=Elig!$C1490,Elig_MatchAll_Ct&lt;22,$BC1490=(Elig_MatchAll_Ct-1),AW1490=0),V1490,0)</f>
        <v>0</v>
      </c>
      <c r="CB1490" s="994">
        <f>IF(AND(Input_Product=Elig!$C1490,Elig_MatchAll_Ct&lt;22,$BC1490=(Elig_MatchAll_Ct-1),AW1490=0),W1490,0)</f>
        <v>0</v>
      </c>
      <c r="CC1490" s="993">
        <f>IF(AND(Input_Product=Elig!$C1490,Elig_MatchAll_Ct&lt;22,$BC1490=(Elig_MatchAll_Ct-1),AX1490=0),X1490,0)</f>
        <v>0</v>
      </c>
      <c r="CD1490" s="994">
        <f>IF(AND(Input_Product=Elig!$C1490,Elig_MatchAll_Ct&lt;22,$BC1490=(Elig_MatchAll_Ct-1),AX1490=0),Y1490,0)</f>
        <v>0</v>
      </c>
      <c r="CE1490" s="993">
        <f>IF(AND(Input_LTV&lt;=AE1490,Input_Product=Elig!$C1490,Elig_MatchAll_Ct&lt;22,$BC1490=(Elig_MatchAll_Ct-1),AY1490=0),Z1490,0)</f>
        <v>0</v>
      </c>
      <c r="CF1490" s="994">
        <f>IF(AND(Input_LTV&lt;=AE1490,Input_Product=Elig!$C1490,Elig_MatchAll_Ct&lt;22,$BC1490=(Elig_MatchAll_Ct-1),AY1490=0),AA1490,0)</f>
        <v>0</v>
      </c>
      <c r="CG1490" s="993">
        <f>IF(AND(Input_Product=Elig!$C1490,Elig_MatchAll_Ct&lt;22,$BC1490=(Elig_MatchAll_Ct-1),AZ1490=0),AB1490,0)</f>
        <v>0</v>
      </c>
      <c r="CH1490" s="994">
        <f>IF(AND(Input_Product=Elig!$C1490,Elig_MatchAll_Ct&lt;22,$BC1490=(Elig_MatchAll_Ct-1),AZ1490=0),AC1490,0)</f>
        <v>0</v>
      </c>
      <c r="CI1490" s="993">
        <f>IF(AND(Input_Product=Elig!$C1490,Elig_MatchAll_Ct&lt;22,$BC1490=(Elig_MatchAll_Ct-1),BA1490=0),AD1490,0)</f>
        <v>0</v>
      </c>
      <c r="CJ1490" s="994">
        <f>IF(AND(Input_Product=Elig!$C1490,Elig_MatchAll_Ct&lt;22,$BC1490=(Elig_MatchAll_Ct-1),BA1490=0),AE1490,0)</f>
        <v>0</v>
      </c>
    </row>
    <row r="1491" spans="2:88" ht="10.15" customHeight="1" x14ac:dyDescent="0.25">
      <c r="B1491" s="1554" t="s">
        <v>3764</v>
      </c>
      <c r="C1491" s="1554" t="str">
        <f t="shared" si="511"/>
        <v xml:space="preserve">  NOO</v>
      </c>
      <c r="D1491" s="1554" t="s">
        <v>2764</v>
      </c>
      <c r="E1491" s="1554" t="s">
        <v>167</v>
      </c>
      <c r="F1491" s="1554" t="s">
        <v>2765</v>
      </c>
      <c r="G1491" s="1554" t="s">
        <v>2810</v>
      </c>
      <c r="H1491" s="1554" t="s">
        <v>2767</v>
      </c>
      <c r="I1491" s="1555" t="s">
        <v>16</v>
      </c>
      <c r="J1491" s="1555" t="s">
        <v>1311</v>
      </c>
      <c r="K1491" s="1555" t="s">
        <v>3023</v>
      </c>
      <c r="L1491" s="1554" t="s">
        <v>3920</v>
      </c>
      <c r="M1491" s="1554" t="s">
        <v>4203</v>
      </c>
      <c r="N1491" s="1554" t="s">
        <v>2685</v>
      </c>
      <c r="O1491" s="1554" t="s">
        <v>310</v>
      </c>
      <c r="P1491" s="1554" t="s">
        <v>291</v>
      </c>
      <c r="Q1491" s="1554" t="s">
        <v>294</v>
      </c>
      <c r="R1491" s="1554">
        <v>1000000.01</v>
      </c>
      <c r="S1491" s="1554">
        <v>1500000</v>
      </c>
      <c r="T1491" s="1554">
        <v>0</v>
      </c>
      <c r="U1491" s="1554">
        <v>1000000</v>
      </c>
      <c r="V1491" s="1554">
        <v>0</v>
      </c>
      <c r="W1491" s="1554">
        <v>50</v>
      </c>
      <c r="X1491" s="1554">
        <v>0</v>
      </c>
      <c r="Y1491" s="1554">
        <v>0</v>
      </c>
      <c r="Z1491" s="1556">
        <v>700</v>
      </c>
      <c r="AA1491" s="1556">
        <v>999</v>
      </c>
      <c r="AB1491" s="1556">
        <v>3</v>
      </c>
      <c r="AC1491" s="1556">
        <v>999999</v>
      </c>
      <c r="AD1491" s="1554">
        <v>0</v>
      </c>
      <c r="AE1491" s="1557">
        <v>80</v>
      </c>
      <c r="AF1491" s="170">
        <v>0</v>
      </c>
      <c r="AG1491" s="171">
        <v>1</v>
      </c>
      <c r="AH1491" s="171">
        <v>1</v>
      </c>
      <c r="AI1491" s="171">
        <v>1</v>
      </c>
      <c r="AJ1491" s="171">
        <v>1</v>
      </c>
      <c r="AK1491" s="171">
        <v>1</v>
      </c>
      <c r="AL1491" s="171">
        <v>1</v>
      </c>
      <c r="AM1491" s="171">
        <v>1</v>
      </c>
      <c r="AN1491" s="171">
        <v>1</v>
      </c>
      <c r="AO1491" s="171">
        <v>1</v>
      </c>
      <c r="AP1491" s="171">
        <v>1</v>
      </c>
      <c r="AQ1491" s="171">
        <v>1</v>
      </c>
      <c r="AR1491" s="171">
        <v>1</v>
      </c>
      <c r="AS1491" s="171">
        <v>1</v>
      </c>
      <c r="AT1491" s="171">
        <v>1</v>
      </c>
      <c r="AU1491" s="171">
        <f t="shared" si="502"/>
        <v>0</v>
      </c>
      <c r="AV1491" s="171">
        <f t="shared" si="503"/>
        <v>1</v>
      </c>
      <c r="AW1491" s="171">
        <f t="shared" si="504"/>
        <v>1</v>
      </c>
      <c r="AX1491" s="171">
        <f t="shared" si="512"/>
        <v>1</v>
      </c>
      <c r="AY1491" s="171">
        <f t="shared" si="505"/>
        <v>1</v>
      </c>
      <c r="AZ1491" s="171">
        <f t="shared" si="506"/>
        <v>1</v>
      </c>
      <c r="BA1491" s="172">
        <f t="shared" si="507"/>
        <v>1</v>
      </c>
      <c r="BB1491" s="175">
        <f t="shared" si="508"/>
        <v>20</v>
      </c>
      <c r="BC1491" s="176">
        <f t="shared" si="509"/>
        <v>19</v>
      </c>
      <c r="BD1491" s="176">
        <f t="shared" si="510"/>
        <v>20</v>
      </c>
      <c r="BE1491" s="240" t="str">
        <f t="shared" si="501"/>
        <v/>
      </c>
      <c r="BF1491" s="990"/>
      <c r="BG1491" s="990"/>
      <c r="BH1491" s="991">
        <f>IF(AND(Input_Product=Elig!$C1491,Elig_MatchAll_Ct&lt;22,$BC1491=(Elig_MatchAll_Ct-1),AF1491=0),C1491,0)</f>
        <v>0</v>
      </c>
      <c r="BI1491" s="991">
        <f>IF(AND(Input_Product=Elig!$C1491,Elig_MatchAll_Ct&lt;22,$BC1491=(Elig_MatchAll_Ct-1),AG1491=0),D1491,0)</f>
        <v>0</v>
      </c>
      <c r="BJ1491" s="991">
        <f>IF(AND(Input_Product=Elig!$C1491,Elig_MatchAll_Ct&lt;22,$BC1491=(Elig_MatchAll_Ct-1),AH1491=0),E1491,0)</f>
        <v>0</v>
      </c>
      <c r="BK1491" s="991">
        <f>IF(AND(Input_Product=Elig!$C1491,Elig_MatchAll_Ct&lt;22,$BC1491=(Elig_MatchAll_Ct-1),AI1491=0),F1491,0)</f>
        <v>0</v>
      </c>
      <c r="BL1491" s="991">
        <f>IF(AND(Input_Product=Elig!$C1491,Elig_MatchAll_Ct&lt;22,$BC1491=(Elig_MatchAll_Ct-1),AJ1491=0),G1491,0)</f>
        <v>0</v>
      </c>
      <c r="BM1491" s="991">
        <f>IF(AND(Input_Product=Elig!$C1491,Elig_MatchAll_Ct&lt;22,$BC1491=(Elig_MatchAll_Ct-1),AK1491=0),H1491,0)</f>
        <v>0</v>
      </c>
      <c r="BN1491" s="991">
        <f>IF(AND(Input_Product=Elig!$C1491,Elig_MatchAll_Ct&lt;22,$BC1491=(Elig_MatchAll_Ct-1),AL1491=0),I1491,0)</f>
        <v>0</v>
      </c>
      <c r="BO1491" s="991">
        <f>IF(AND(Input_Product=Elig!$C1491,Elig_MatchAll_Ct&lt;22,$BC1491=(Elig_MatchAll_Ct-1),AM1491=0),J1491,0)</f>
        <v>0</v>
      </c>
      <c r="BP1491" s="991">
        <f>IF(AND(Input_Product=Elig!$C1491,Elig_MatchAll_Ct&lt;22,$BC1491=(Elig_MatchAll_Ct-1),AN1491=0),K1491,0)</f>
        <v>0</v>
      </c>
      <c r="BQ1491" s="991">
        <f>IF(AND(Input_Product=Elig!$C1491,Elig_MatchAll_Ct&lt;22,$BC1491=(Elig_MatchAll_Ct-1),AP1491=0),L1491,0)</f>
        <v>0</v>
      </c>
      <c r="BR1491" s="991">
        <f>IF(AND(Input_Product=Elig!$C1491,Elig_MatchAll_Ct&lt;22,$BC1491=(Elig_MatchAll_Ct-1),AO1491=0),M1491,0)</f>
        <v>0</v>
      </c>
      <c r="BS1491" s="991">
        <f>IF(AND(Input_Product=Elig!$C1491,Elig_MatchAll_Ct&lt;22,$BC1491=(Elig_MatchAll_Ct-1),AQ1491=0),N1491,0)</f>
        <v>0</v>
      </c>
      <c r="BT1491" s="991">
        <f>IF(AND(Input_Product=Elig!$C1491,Elig_MatchAll_Ct&lt;22,$BC1491=(Elig_MatchAll_Ct-1),AR1491=0),O1491,0)</f>
        <v>0</v>
      </c>
      <c r="BU1491" s="991">
        <f>IF(AND(Input_Product=Elig!$C1491,Elig_MatchAll_Ct&lt;22,$BC1491=(Elig_MatchAll_Ct-1),AS1491=0),P1491,0)</f>
        <v>0</v>
      </c>
      <c r="BV1491" s="992">
        <f>IF(AND(Input_Product=Elig!$C1491,Elig_MatchAll_Ct&lt;22,$BC1491=(Elig_MatchAll_Ct-1),AT1491=0),Q1491,0)</f>
        <v>0</v>
      </c>
      <c r="BW1491" s="993">
        <f>IF(AND(Input_Product=Elig!$C1491,Elig_MatchAll_Ct&lt;22,$BC1491=(Elig_MatchAll_Ct-1),AU1491=0),R1491,0)</f>
        <v>0</v>
      </c>
      <c r="BX1491" s="994">
        <f>IF(AND(Input_Product=Elig!$C1491,Elig_MatchAll_Ct&lt;22,$BC1491=(Elig_MatchAll_Ct-1),AU1491=0),S1491,0)</f>
        <v>0</v>
      </c>
      <c r="BY1491" s="993">
        <f>IF(AND(Input_Product=Elig!$C1491,Elig_MatchAll_Ct&lt;22,$BC1491=(Elig_MatchAll_Ct-1),AV1491=0),T1491,0)</f>
        <v>0</v>
      </c>
      <c r="BZ1491" s="994">
        <f>IF(AND(Input_Product=Elig!$C1491,Elig_MatchAll_Ct&lt;22,$BC1491=(Elig_MatchAll_Ct-1),AV1491=0),U1491,0)</f>
        <v>0</v>
      </c>
      <c r="CA1491" s="993">
        <f>IF(AND(Input_Product=Elig!$C1491,Elig_MatchAll_Ct&lt;22,$BC1491=(Elig_MatchAll_Ct-1),AW1491=0),V1491,0)</f>
        <v>0</v>
      </c>
      <c r="CB1491" s="994">
        <f>IF(AND(Input_Product=Elig!$C1491,Elig_MatchAll_Ct&lt;22,$BC1491=(Elig_MatchAll_Ct-1),AW1491=0),W1491,0)</f>
        <v>0</v>
      </c>
      <c r="CC1491" s="993">
        <f>IF(AND(Input_Product=Elig!$C1491,Elig_MatchAll_Ct&lt;22,$BC1491=(Elig_MatchAll_Ct-1),AX1491=0),X1491,0)</f>
        <v>0</v>
      </c>
      <c r="CD1491" s="994">
        <f>IF(AND(Input_Product=Elig!$C1491,Elig_MatchAll_Ct&lt;22,$BC1491=(Elig_MatchAll_Ct-1),AX1491=0),Y1491,0)</f>
        <v>0</v>
      </c>
      <c r="CE1491" s="993">
        <f>IF(AND(Input_LTV&lt;=AE1491,Input_Product=Elig!$C1491,Elig_MatchAll_Ct&lt;22,$BC1491=(Elig_MatchAll_Ct-1),AY1491=0),Z1491,0)</f>
        <v>0</v>
      </c>
      <c r="CF1491" s="994">
        <f>IF(AND(Input_LTV&lt;=AE1491,Input_Product=Elig!$C1491,Elig_MatchAll_Ct&lt;22,$BC1491=(Elig_MatchAll_Ct-1),AY1491=0),AA1491,0)</f>
        <v>0</v>
      </c>
      <c r="CG1491" s="993">
        <f>IF(AND(Input_Product=Elig!$C1491,Elig_MatchAll_Ct&lt;22,$BC1491=(Elig_MatchAll_Ct-1),AZ1491=0),AB1491,0)</f>
        <v>0</v>
      </c>
      <c r="CH1491" s="994">
        <f>IF(AND(Input_Product=Elig!$C1491,Elig_MatchAll_Ct&lt;22,$BC1491=(Elig_MatchAll_Ct-1),AZ1491=0),AC1491,0)</f>
        <v>0</v>
      </c>
      <c r="CI1491" s="993">
        <f>IF(AND(Input_Product=Elig!$C1491,Elig_MatchAll_Ct&lt;22,$BC1491=(Elig_MatchAll_Ct-1),BA1491=0),AD1491,0)</f>
        <v>0</v>
      </c>
      <c r="CJ1491" s="994">
        <f>IF(AND(Input_Product=Elig!$C1491,Elig_MatchAll_Ct&lt;22,$BC1491=(Elig_MatchAll_Ct-1),BA1491=0),AE1491,0)</f>
        <v>0</v>
      </c>
    </row>
    <row r="1492" spans="2:88" ht="10.15" customHeight="1" x14ac:dyDescent="0.25">
      <c r="B1492" s="1554" t="s">
        <v>3765</v>
      </c>
      <c r="C1492" s="1554" t="str">
        <f t="shared" si="511"/>
        <v xml:space="preserve">  NOO</v>
      </c>
      <c r="D1492" s="1554" t="s">
        <v>2764</v>
      </c>
      <c r="E1492" s="1554" t="s">
        <v>167</v>
      </c>
      <c r="F1492" s="1554" t="s">
        <v>2765</v>
      </c>
      <c r="G1492" s="1554" t="s">
        <v>2810</v>
      </c>
      <c r="H1492" s="1554" t="s">
        <v>2767</v>
      </c>
      <c r="I1492" s="1555" t="s">
        <v>16</v>
      </c>
      <c r="J1492" s="1555" t="s">
        <v>1311</v>
      </c>
      <c r="K1492" s="1555" t="s">
        <v>3023</v>
      </c>
      <c r="L1492" s="1554" t="s">
        <v>3920</v>
      </c>
      <c r="M1492" s="1554" t="s">
        <v>4203</v>
      </c>
      <c r="N1492" s="1554" t="s">
        <v>2685</v>
      </c>
      <c r="O1492" s="1554" t="s">
        <v>310</v>
      </c>
      <c r="P1492" s="1554" t="s">
        <v>291</v>
      </c>
      <c r="Q1492" s="1554" t="s">
        <v>294</v>
      </c>
      <c r="R1492" s="1554">
        <v>1500000.01</v>
      </c>
      <c r="S1492" s="1554">
        <v>2000000</v>
      </c>
      <c r="T1492" s="1554">
        <v>0</v>
      </c>
      <c r="U1492" s="1554">
        <v>1000000</v>
      </c>
      <c r="V1492" s="1554">
        <v>0</v>
      </c>
      <c r="W1492" s="1554">
        <v>50</v>
      </c>
      <c r="X1492" s="1554">
        <v>0</v>
      </c>
      <c r="Y1492" s="1554">
        <v>0</v>
      </c>
      <c r="Z1492" s="1556">
        <v>700</v>
      </c>
      <c r="AA1492" s="1556">
        <v>999</v>
      </c>
      <c r="AB1492" s="1556">
        <v>3</v>
      </c>
      <c r="AC1492" s="1556">
        <v>999999</v>
      </c>
      <c r="AD1492" s="1554">
        <v>0</v>
      </c>
      <c r="AE1492" s="1557">
        <v>75</v>
      </c>
      <c r="AF1492" s="170">
        <v>0</v>
      </c>
      <c r="AG1492" s="171">
        <v>1</v>
      </c>
      <c r="AH1492" s="171">
        <v>1</v>
      </c>
      <c r="AI1492" s="171">
        <v>1</v>
      </c>
      <c r="AJ1492" s="171">
        <v>1</v>
      </c>
      <c r="AK1492" s="171">
        <v>1</v>
      </c>
      <c r="AL1492" s="171">
        <v>1</v>
      </c>
      <c r="AM1492" s="171">
        <v>1</v>
      </c>
      <c r="AN1492" s="171">
        <v>1</v>
      </c>
      <c r="AO1492" s="171">
        <v>1</v>
      </c>
      <c r="AP1492" s="171">
        <v>1</v>
      </c>
      <c r="AQ1492" s="171">
        <v>1</v>
      </c>
      <c r="AR1492" s="171">
        <v>1</v>
      </c>
      <c r="AS1492" s="171">
        <v>1</v>
      </c>
      <c r="AT1492" s="171">
        <v>1</v>
      </c>
      <c r="AU1492" s="171">
        <f t="shared" si="502"/>
        <v>0</v>
      </c>
      <c r="AV1492" s="171">
        <f t="shared" si="503"/>
        <v>1</v>
      </c>
      <c r="AW1492" s="171">
        <f t="shared" si="504"/>
        <v>1</v>
      </c>
      <c r="AX1492" s="171">
        <f t="shared" si="512"/>
        <v>1</v>
      </c>
      <c r="AY1492" s="171">
        <f t="shared" si="505"/>
        <v>1</v>
      </c>
      <c r="AZ1492" s="171">
        <f t="shared" si="506"/>
        <v>1</v>
      </c>
      <c r="BA1492" s="172">
        <f t="shared" si="507"/>
        <v>1</v>
      </c>
      <c r="BB1492" s="175">
        <f t="shared" si="508"/>
        <v>20</v>
      </c>
      <c r="BC1492" s="176">
        <f t="shared" si="509"/>
        <v>19</v>
      </c>
      <c r="BD1492" s="176">
        <f t="shared" si="510"/>
        <v>20</v>
      </c>
      <c r="BE1492" s="240" t="str">
        <f t="shared" si="501"/>
        <v/>
      </c>
      <c r="BF1492" s="990"/>
      <c r="BG1492" s="990"/>
      <c r="BH1492" s="991">
        <f>IF(AND(Input_Product=Elig!$C1492,Elig_MatchAll_Ct&lt;22,$BC1492=(Elig_MatchAll_Ct-1),AF1492=0),C1492,0)</f>
        <v>0</v>
      </c>
      <c r="BI1492" s="991">
        <f>IF(AND(Input_Product=Elig!$C1492,Elig_MatchAll_Ct&lt;22,$BC1492=(Elig_MatchAll_Ct-1),AG1492=0),D1492,0)</f>
        <v>0</v>
      </c>
      <c r="BJ1492" s="991">
        <f>IF(AND(Input_Product=Elig!$C1492,Elig_MatchAll_Ct&lt;22,$BC1492=(Elig_MatchAll_Ct-1),AH1492=0),E1492,0)</f>
        <v>0</v>
      </c>
      <c r="BK1492" s="991">
        <f>IF(AND(Input_Product=Elig!$C1492,Elig_MatchAll_Ct&lt;22,$BC1492=(Elig_MatchAll_Ct-1),AI1492=0),F1492,0)</f>
        <v>0</v>
      </c>
      <c r="BL1492" s="991">
        <f>IF(AND(Input_Product=Elig!$C1492,Elig_MatchAll_Ct&lt;22,$BC1492=(Elig_MatchAll_Ct-1),AJ1492=0),G1492,0)</f>
        <v>0</v>
      </c>
      <c r="BM1492" s="991">
        <f>IF(AND(Input_Product=Elig!$C1492,Elig_MatchAll_Ct&lt;22,$BC1492=(Elig_MatchAll_Ct-1),AK1492=0),H1492,0)</f>
        <v>0</v>
      </c>
      <c r="BN1492" s="991">
        <f>IF(AND(Input_Product=Elig!$C1492,Elig_MatchAll_Ct&lt;22,$BC1492=(Elig_MatchAll_Ct-1),AL1492=0),I1492,0)</f>
        <v>0</v>
      </c>
      <c r="BO1492" s="991">
        <f>IF(AND(Input_Product=Elig!$C1492,Elig_MatchAll_Ct&lt;22,$BC1492=(Elig_MatchAll_Ct-1),AM1492=0),J1492,0)</f>
        <v>0</v>
      </c>
      <c r="BP1492" s="991">
        <f>IF(AND(Input_Product=Elig!$C1492,Elig_MatchAll_Ct&lt;22,$BC1492=(Elig_MatchAll_Ct-1),AN1492=0),K1492,0)</f>
        <v>0</v>
      </c>
      <c r="BQ1492" s="991">
        <f>IF(AND(Input_Product=Elig!$C1492,Elig_MatchAll_Ct&lt;22,$BC1492=(Elig_MatchAll_Ct-1),AP1492=0),L1492,0)</f>
        <v>0</v>
      </c>
      <c r="BR1492" s="991">
        <f>IF(AND(Input_Product=Elig!$C1492,Elig_MatchAll_Ct&lt;22,$BC1492=(Elig_MatchAll_Ct-1),AO1492=0),M1492,0)</f>
        <v>0</v>
      </c>
      <c r="BS1492" s="991">
        <f>IF(AND(Input_Product=Elig!$C1492,Elig_MatchAll_Ct&lt;22,$BC1492=(Elig_MatchAll_Ct-1),AQ1492=0),N1492,0)</f>
        <v>0</v>
      </c>
      <c r="BT1492" s="991">
        <f>IF(AND(Input_Product=Elig!$C1492,Elig_MatchAll_Ct&lt;22,$BC1492=(Elig_MatchAll_Ct-1),AR1492=0),O1492,0)</f>
        <v>0</v>
      </c>
      <c r="BU1492" s="991">
        <f>IF(AND(Input_Product=Elig!$C1492,Elig_MatchAll_Ct&lt;22,$BC1492=(Elig_MatchAll_Ct-1),AS1492=0),P1492,0)</f>
        <v>0</v>
      </c>
      <c r="BV1492" s="992">
        <f>IF(AND(Input_Product=Elig!$C1492,Elig_MatchAll_Ct&lt;22,$BC1492=(Elig_MatchAll_Ct-1),AT1492=0),Q1492,0)</f>
        <v>0</v>
      </c>
      <c r="BW1492" s="993">
        <f>IF(AND(Input_Product=Elig!$C1492,Elig_MatchAll_Ct&lt;22,$BC1492=(Elig_MatchAll_Ct-1),AU1492=0),R1492,0)</f>
        <v>0</v>
      </c>
      <c r="BX1492" s="994">
        <f>IF(AND(Input_Product=Elig!$C1492,Elig_MatchAll_Ct&lt;22,$BC1492=(Elig_MatchAll_Ct-1),AU1492=0),S1492,0)</f>
        <v>0</v>
      </c>
      <c r="BY1492" s="993">
        <f>IF(AND(Input_Product=Elig!$C1492,Elig_MatchAll_Ct&lt;22,$BC1492=(Elig_MatchAll_Ct-1),AV1492=0),T1492,0)</f>
        <v>0</v>
      </c>
      <c r="BZ1492" s="994">
        <f>IF(AND(Input_Product=Elig!$C1492,Elig_MatchAll_Ct&lt;22,$BC1492=(Elig_MatchAll_Ct-1),AV1492=0),U1492,0)</f>
        <v>0</v>
      </c>
      <c r="CA1492" s="993">
        <f>IF(AND(Input_Product=Elig!$C1492,Elig_MatchAll_Ct&lt;22,$BC1492=(Elig_MatchAll_Ct-1),AW1492=0),V1492,0)</f>
        <v>0</v>
      </c>
      <c r="CB1492" s="994">
        <f>IF(AND(Input_Product=Elig!$C1492,Elig_MatchAll_Ct&lt;22,$BC1492=(Elig_MatchAll_Ct-1),AW1492=0),W1492,0)</f>
        <v>0</v>
      </c>
      <c r="CC1492" s="993">
        <f>IF(AND(Input_Product=Elig!$C1492,Elig_MatchAll_Ct&lt;22,$BC1492=(Elig_MatchAll_Ct-1),AX1492=0),X1492,0)</f>
        <v>0</v>
      </c>
      <c r="CD1492" s="994">
        <f>IF(AND(Input_Product=Elig!$C1492,Elig_MatchAll_Ct&lt;22,$BC1492=(Elig_MatchAll_Ct-1),AX1492=0),Y1492,0)</f>
        <v>0</v>
      </c>
      <c r="CE1492" s="993">
        <f>IF(AND(Input_LTV&lt;=AE1492,Input_Product=Elig!$C1492,Elig_MatchAll_Ct&lt;22,$BC1492=(Elig_MatchAll_Ct-1),AY1492=0),Z1492,0)</f>
        <v>0</v>
      </c>
      <c r="CF1492" s="994">
        <f>IF(AND(Input_LTV&lt;=AE1492,Input_Product=Elig!$C1492,Elig_MatchAll_Ct&lt;22,$BC1492=(Elig_MatchAll_Ct-1),AY1492=0),AA1492,0)</f>
        <v>0</v>
      </c>
      <c r="CG1492" s="993">
        <f>IF(AND(Input_Product=Elig!$C1492,Elig_MatchAll_Ct&lt;22,$BC1492=(Elig_MatchAll_Ct-1),AZ1492=0),AB1492,0)</f>
        <v>0</v>
      </c>
      <c r="CH1492" s="994">
        <f>IF(AND(Input_Product=Elig!$C1492,Elig_MatchAll_Ct&lt;22,$BC1492=(Elig_MatchAll_Ct-1),AZ1492=0),AC1492,0)</f>
        <v>0</v>
      </c>
      <c r="CI1492" s="993">
        <f>IF(AND(Input_Product=Elig!$C1492,Elig_MatchAll_Ct&lt;22,$BC1492=(Elig_MatchAll_Ct-1),BA1492=0),AD1492,0)</f>
        <v>0</v>
      </c>
      <c r="CJ1492" s="994">
        <f>IF(AND(Input_Product=Elig!$C1492,Elig_MatchAll_Ct&lt;22,$BC1492=(Elig_MatchAll_Ct-1),BA1492=0),AE1492,0)</f>
        <v>0</v>
      </c>
    </row>
    <row r="1493" spans="2:88" ht="10.15" customHeight="1" x14ac:dyDescent="0.25">
      <c r="B1493" s="1554" t="s">
        <v>3766</v>
      </c>
      <c r="C1493" s="1554" t="str">
        <f t="shared" si="511"/>
        <v xml:space="preserve">  NOO</v>
      </c>
      <c r="D1493" s="1554" t="s">
        <v>2764</v>
      </c>
      <c r="E1493" s="1554" t="s">
        <v>167</v>
      </c>
      <c r="F1493" s="1554" t="s">
        <v>2765</v>
      </c>
      <c r="G1493" s="1554" t="s">
        <v>2810</v>
      </c>
      <c r="H1493" s="1554" t="s">
        <v>2767</v>
      </c>
      <c r="I1493" s="1555" t="s">
        <v>16</v>
      </c>
      <c r="J1493" s="1555" t="s">
        <v>1311</v>
      </c>
      <c r="K1493" s="1555" t="s">
        <v>3023</v>
      </c>
      <c r="L1493" s="1554" t="s">
        <v>3920</v>
      </c>
      <c r="M1493" s="1554" t="s">
        <v>4203</v>
      </c>
      <c r="N1493" s="1554" t="s">
        <v>2685</v>
      </c>
      <c r="O1493" s="1554" t="s">
        <v>310</v>
      </c>
      <c r="P1493" s="1554" t="s">
        <v>291</v>
      </c>
      <c r="Q1493" s="1554" t="s">
        <v>294</v>
      </c>
      <c r="R1493" s="1554">
        <v>2000000.01</v>
      </c>
      <c r="S1493" s="1554">
        <v>3000000</v>
      </c>
      <c r="T1493" s="1554">
        <v>0</v>
      </c>
      <c r="U1493" s="1554">
        <v>1000000</v>
      </c>
      <c r="V1493" s="1554">
        <v>0</v>
      </c>
      <c r="W1493" s="1554">
        <v>50</v>
      </c>
      <c r="X1493" s="1554">
        <v>0</v>
      </c>
      <c r="Y1493" s="1554">
        <v>0</v>
      </c>
      <c r="Z1493" s="1556">
        <v>700</v>
      </c>
      <c r="AA1493" s="1556">
        <v>999</v>
      </c>
      <c r="AB1493" s="1556">
        <v>3</v>
      </c>
      <c r="AC1493" s="1556">
        <v>999999</v>
      </c>
      <c r="AD1493" s="1554">
        <v>0</v>
      </c>
      <c r="AE1493" s="1557">
        <v>65</v>
      </c>
      <c r="AF1493" s="170">
        <v>0</v>
      </c>
      <c r="AG1493" s="171">
        <v>1</v>
      </c>
      <c r="AH1493" s="171">
        <v>1</v>
      </c>
      <c r="AI1493" s="171">
        <v>1</v>
      </c>
      <c r="AJ1493" s="171">
        <v>1</v>
      </c>
      <c r="AK1493" s="171">
        <v>1</v>
      </c>
      <c r="AL1493" s="171">
        <v>1</v>
      </c>
      <c r="AM1493" s="171">
        <v>1</v>
      </c>
      <c r="AN1493" s="171">
        <v>1</v>
      </c>
      <c r="AO1493" s="171">
        <v>1</v>
      </c>
      <c r="AP1493" s="171">
        <v>1</v>
      </c>
      <c r="AQ1493" s="171">
        <v>1</v>
      </c>
      <c r="AR1493" s="171">
        <v>1</v>
      </c>
      <c r="AS1493" s="171">
        <v>1</v>
      </c>
      <c r="AT1493" s="171">
        <v>1</v>
      </c>
      <c r="AU1493" s="171">
        <f t="shared" si="502"/>
        <v>0</v>
      </c>
      <c r="AV1493" s="171">
        <f t="shared" si="503"/>
        <v>1</v>
      </c>
      <c r="AW1493" s="171">
        <f t="shared" si="504"/>
        <v>1</v>
      </c>
      <c r="AX1493" s="171">
        <f t="shared" si="512"/>
        <v>1</v>
      </c>
      <c r="AY1493" s="171">
        <f t="shared" si="505"/>
        <v>1</v>
      </c>
      <c r="AZ1493" s="171">
        <f t="shared" si="506"/>
        <v>1</v>
      </c>
      <c r="BA1493" s="172">
        <f t="shared" si="507"/>
        <v>1</v>
      </c>
      <c r="BB1493" s="175">
        <f t="shared" si="508"/>
        <v>20</v>
      </c>
      <c r="BC1493" s="176">
        <f t="shared" si="509"/>
        <v>19</v>
      </c>
      <c r="BD1493" s="176">
        <f t="shared" si="510"/>
        <v>20</v>
      </c>
      <c r="BE1493" s="240" t="str">
        <f t="shared" si="501"/>
        <v/>
      </c>
      <c r="BF1493" s="990"/>
      <c r="BG1493" s="990"/>
      <c r="BH1493" s="991">
        <f>IF(AND(Input_Product=Elig!$C1493,Elig_MatchAll_Ct&lt;22,$BC1493=(Elig_MatchAll_Ct-1),AF1493=0),C1493,0)</f>
        <v>0</v>
      </c>
      <c r="BI1493" s="991">
        <f>IF(AND(Input_Product=Elig!$C1493,Elig_MatchAll_Ct&lt;22,$BC1493=(Elig_MatchAll_Ct-1),AG1493=0),D1493,0)</f>
        <v>0</v>
      </c>
      <c r="BJ1493" s="991">
        <f>IF(AND(Input_Product=Elig!$C1493,Elig_MatchAll_Ct&lt;22,$BC1493=(Elig_MatchAll_Ct-1),AH1493=0),E1493,0)</f>
        <v>0</v>
      </c>
      <c r="BK1493" s="991">
        <f>IF(AND(Input_Product=Elig!$C1493,Elig_MatchAll_Ct&lt;22,$BC1493=(Elig_MatchAll_Ct-1),AI1493=0),F1493,0)</f>
        <v>0</v>
      </c>
      <c r="BL1493" s="991">
        <f>IF(AND(Input_Product=Elig!$C1493,Elig_MatchAll_Ct&lt;22,$BC1493=(Elig_MatchAll_Ct-1),AJ1493=0),G1493,0)</f>
        <v>0</v>
      </c>
      <c r="BM1493" s="991">
        <f>IF(AND(Input_Product=Elig!$C1493,Elig_MatchAll_Ct&lt;22,$BC1493=(Elig_MatchAll_Ct-1),AK1493=0),H1493,0)</f>
        <v>0</v>
      </c>
      <c r="BN1493" s="991">
        <f>IF(AND(Input_Product=Elig!$C1493,Elig_MatchAll_Ct&lt;22,$BC1493=(Elig_MatchAll_Ct-1),AL1493=0),I1493,0)</f>
        <v>0</v>
      </c>
      <c r="BO1493" s="991">
        <f>IF(AND(Input_Product=Elig!$C1493,Elig_MatchAll_Ct&lt;22,$BC1493=(Elig_MatchAll_Ct-1),AM1493=0),J1493,0)</f>
        <v>0</v>
      </c>
      <c r="BP1493" s="991">
        <f>IF(AND(Input_Product=Elig!$C1493,Elig_MatchAll_Ct&lt;22,$BC1493=(Elig_MatchAll_Ct-1),AN1493=0),K1493,0)</f>
        <v>0</v>
      </c>
      <c r="BQ1493" s="991">
        <f>IF(AND(Input_Product=Elig!$C1493,Elig_MatchAll_Ct&lt;22,$BC1493=(Elig_MatchAll_Ct-1),AP1493=0),L1493,0)</f>
        <v>0</v>
      </c>
      <c r="BR1493" s="991">
        <f>IF(AND(Input_Product=Elig!$C1493,Elig_MatchAll_Ct&lt;22,$BC1493=(Elig_MatchAll_Ct-1),AO1493=0),M1493,0)</f>
        <v>0</v>
      </c>
      <c r="BS1493" s="991">
        <f>IF(AND(Input_Product=Elig!$C1493,Elig_MatchAll_Ct&lt;22,$BC1493=(Elig_MatchAll_Ct-1),AQ1493=0),N1493,0)</f>
        <v>0</v>
      </c>
      <c r="BT1493" s="991">
        <f>IF(AND(Input_Product=Elig!$C1493,Elig_MatchAll_Ct&lt;22,$BC1493=(Elig_MatchAll_Ct-1),AR1493=0),O1493,0)</f>
        <v>0</v>
      </c>
      <c r="BU1493" s="991">
        <f>IF(AND(Input_Product=Elig!$C1493,Elig_MatchAll_Ct&lt;22,$BC1493=(Elig_MatchAll_Ct-1),AS1493=0),P1493,0)</f>
        <v>0</v>
      </c>
      <c r="BV1493" s="992">
        <f>IF(AND(Input_Product=Elig!$C1493,Elig_MatchAll_Ct&lt;22,$BC1493=(Elig_MatchAll_Ct-1),AT1493=0),Q1493,0)</f>
        <v>0</v>
      </c>
      <c r="BW1493" s="993">
        <f>IF(AND(Input_Product=Elig!$C1493,Elig_MatchAll_Ct&lt;22,$BC1493=(Elig_MatchAll_Ct-1),AU1493=0),R1493,0)</f>
        <v>0</v>
      </c>
      <c r="BX1493" s="994">
        <f>IF(AND(Input_Product=Elig!$C1493,Elig_MatchAll_Ct&lt;22,$BC1493=(Elig_MatchAll_Ct-1),AU1493=0),S1493,0)</f>
        <v>0</v>
      </c>
      <c r="BY1493" s="993">
        <f>IF(AND(Input_Product=Elig!$C1493,Elig_MatchAll_Ct&lt;22,$BC1493=(Elig_MatchAll_Ct-1),AV1493=0),T1493,0)</f>
        <v>0</v>
      </c>
      <c r="BZ1493" s="994">
        <f>IF(AND(Input_Product=Elig!$C1493,Elig_MatchAll_Ct&lt;22,$BC1493=(Elig_MatchAll_Ct-1),AV1493=0),U1493,0)</f>
        <v>0</v>
      </c>
      <c r="CA1493" s="993">
        <f>IF(AND(Input_Product=Elig!$C1493,Elig_MatchAll_Ct&lt;22,$BC1493=(Elig_MatchAll_Ct-1),AW1493=0),V1493,0)</f>
        <v>0</v>
      </c>
      <c r="CB1493" s="994">
        <f>IF(AND(Input_Product=Elig!$C1493,Elig_MatchAll_Ct&lt;22,$BC1493=(Elig_MatchAll_Ct-1),AW1493=0),W1493,0)</f>
        <v>0</v>
      </c>
      <c r="CC1493" s="993">
        <f>IF(AND(Input_Product=Elig!$C1493,Elig_MatchAll_Ct&lt;22,$BC1493=(Elig_MatchAll_Ct-1),AX1493=0),X1493,0)</f>
        <v>0</v>
      </c>
      <c r="CD1493" s="994">
        <f>IF(AND(Input_Product=Elig!$C1493,Elig_MatchAll_Ct&lt;22,$BC1493=(Elig_MatchAll_Ct-1),AX1493=0),Y1493,0)</f>
        <v>0</v>
      </c>
      <c r="CE1493" s="993">
        <f>IF(AND(Input_LTV&lt;=AE1493,Input_Product=Elig!$C1493,Elig_MatchAll_Ct&lt;22,$BC1493=(Elig_MatchAll_Ct-1),AY1493=0),Z1493,0)</f>
        <v>0</v>
      </c>
      <c r="CF1493" s="994">
        <f>IF(AND(Input_LTV&lt;=AE1493,Input_Product=Elig!$C1493,Elig_MatchAll_Ct&lt;22,$BC1493=(Elig_MatchAll_Ct-1),AY1493=0),AA1493,0)</f>
        <v>0</v>
      </c>
      <c r="CG1493" s="993">
        <f>IF(AND(Input_Product=Elig!$C1493,Elig_MatchAll_Ct&lt;22,$BC1493=(Elig_MatchAll_Ct-1),AZ1493=0),AB1493,0)</f>
        <v>0</v>
      </c>
      <c r="CH1493" s="994">
        <f>IF(AND(Input_Product=Elig!$C1493,Elig_MatchAll_Ct&lt;22,$BC1493=(Elig_MatchAll_Ct-1),AZ1493=0),AC1493,0)</f>
        <v>0</v>
      </c>
      <c r="CI1493" s="993">
        <f>IF(AND(Input_Product=Elig!$C1493,Elig_MatchAll_Ct&lt;22,$BC1493=(Elig_MatchAll_Ct-1),BA1493=0),AD1493,0)</f>
        <v>0</v>
      </c>
      <c r="CJ1493" s="994">
        <f>IF(AND(Input_Product=Elig!$C1493,Elig_MatchAll_Ct&lt;22,$BC1493=(Elig_MatchAll_Ct-1),BA1493=0),AE1493,0)</f>
        <v>0</v>
      </c>
    </row>
    <row r="1494" spans="2:88" ht="10.15" customHeight="1" x14ac:dyDescent="0.25">
      <c r="B1494" s="1554" t="s">
        <v>3767</v>
      </c>
      <c r="C1494" s="1554" t="str">
        <f t="shared" si="511"/>
        <v xml:space="preserve">  NOO</v>
      </c>
      <c r="D1494" s="1554" t="s">
        <v>2764</v>
      </c>
      <c r="E1494" s="1554" t="s">
        <v>167</v>
      </c>
      <c r="F1494" s="1554" t="s">
        <v>2765</v>
      </c>
      <c r="G1494" s="1554" t="s">
        <v>2810</v>
      </c>
      <c r="H1494" s="1554" t="s">
        <v>2767</v>
      </c>
      <c r="I1494" s="1555" t="s">
        <v>16</v>
      </c>
      <c r="J1494" s="1555" t="s">
        <v>1311</v>
      </c>
      <c r="K1494" s="1555" t="s">
        <v>3023</v>
      </c>
      <c r="L1494" s="1554" t="s">
        <v>3920</v>
      </c>
      <c r="M1494" s="1554" t="s">
        <v>4203</v>
      </c>
      <c r="N1494" s="1554" t="s">
        <v>2685</v>
      </c>
      <c r="O1494" s="1554" t="s">
        <v>310</v>
      </c>
      <c r="P1494" s="1554" t="s">
        <v>291</v>
      </c>
      <c r="Q1494" s="1554" t="s">
        <v>294</v>
      </c>
      <c r="R1494" s="1554">
        <v>150000</v>
      </c>
      <c r="S1494" s="1554">
        <v>1000000</v>
      </c>
      <c r="T1494" s="1554">
        <v>0</v>
      </c>
      <c r="U1494" s="1554">
        <v>1000000</v>
      </c>
      <c r="V1494" s="1554">
        <v>0</v>
      </c>
      <c r="W1494" s="1554">
        <v>50</v>
      </c>
      <c r="X1494" s="1554">
        <v>0</v>
      </c>
      <c r="Y1494" s="1554">
        <v>0</v>
      </c>
      <c r="Z1494" s="1556">
        <v>680</v>
      </c>
      <c r="AA1494" s="1556">
        <v>699</v>
      </c>
      <c r="AB1494" s="1556">
        <v>3</v>
      </c>
      <c r="AC1494" s="1556">
        <v>999999</v>
      </c>
      <c r="AD1494" s="1554">
        <v>0</v>
      </c>
      <c r="AE1494" s="1557">
        <v>75</v>
      </c>
      <c r="AF1494" s="170">
        <v>0</v>
      </c>
      <c r="AG1494" s="171">
        <v>1</v>
      </c>
      <c r="AH1494" s="171">
        <v>1</v>
      </c>
      <c r="AI1494" s="171">
        <v>1</v>
      </c>
      <c r="AJ1494" s="171">
        <v>1</v>
      </c>
      <c r="AK1494" s="171">
        <v>1</v>
      </c>
      <c r="AL1494" s="171">
        <v>1</v>
      </c>
      <c r="AM1494" s="171">
        <v>1</v>
      </c>
      <c r="AN1494" s="171">
        <v>1</v>
      </c>
      <c r="AO1494" s="171">
        <v>1</v>
      </c>
      <c r="AP1494" s="171">
        <v>1</v>
      </c>
      <c r="AQ1494" s="171">
        <v>1</v>
      </c>
      <c r="AR1494" s="171">
        <v>1</v>
      </c>
      <c r="AS1494" s="171">
        <v>1</v>
      </c>
      <c r="AT1494" s="171">
        <v>1</v>
      </c>
      <c r="AU1494" s="171">
        <f t="shared" si="502"/>
        <v>1</v>
      </c>
      <c r="AV1494" s="171">
        <f t="shared" si="503"/>
        <v>1</v>
      </c>
      <c r="AW1494" s="171">
        <f t="shared" si="504"/>
        <v>1</v>
      </c>
      <c r="AX1494" s="171">
        <f t="shared" si="512"/>
        <v>1</v>
      </c>
      <c r="AY1494" s="171">
        <f t="shared" si="505"/>
        <v>0</v>
      </c>
      <c r="AZ1494" s="171">
        <f t="shared" si="506"/>
        <v>1</v>
      </c>
      <c r="BA1494" s="172">
        <f t="shared" si="507"/>
        <v>1</v>
      </c>
      <c r="BB1494" s="175">
        <f t="shared" si="508"/>
        <v>20</v>
      </c>
      <c r="BC1494" s="176">
        <f t="shared" si="509"/>
        <v>19</v>
      </c>
      <c r="BD1494" s="176">
        <f t="shared" si="510"/>
        <v>20</v>
      </c>
      <c r="BE1494" s="240" t="str">
        <f t="shared" si="501"/>
        <v/>
      </c>
      <c r="BF1494" s="990"/>
      <c r="BG1494" s="990"/>
      <c r="BH1494" s="991">
        <f>IF(AND(Input_Product=Elig!$C1494,Elig_MatchAll_Ct&lt;22,$BC1494=(Elig_MatchAll_Ct-1),AF1494=0),C1494,0)</f>
        <v>0</v>
      </c>
      <c r="BI1494" s="991">
        <f>IF(AND(Input_Product=Elig!$C1494,Elig_MatchAll_Ct&lt;22,$BC1494=(Elig_MatchAll_Ct-1),AG1494=0),D1494,0)</f>
        <v>0</v>
      </c>
      <c r="BJ1494" s="991">
        <f>IF(AND(Input_Product=Elig!$C1494,Elig_MatchAll_Ct&lt;22,$BC1494=(Elig_MatchAll_Ct-1),AH1494=0),E1494,0)</f>
        <v>0</v>
      </c>
      <c r="BK1494" s="991">
        <f>IF(AND(Input_Product=Elig!$C1494,Elig_MatchAll_Ct&lt;22,$BC1494=(Elig_MatchAll_Ct-1),AI1494=0),F1494,0)</f>
        <v>0</v>
      </c>
      <c r="BL1494" s="991">
        <f>IF(AND(Input_Product=Elig!$C1494,Elig_MatchAll_Ct&lt;22,$BC1494=(Elig_MatchAll_Ct-1),AJ1494=0),G1494,0)</f>
        <v>0</v>
      </c>
      <c r="BM1494" s="991">
        <f>IF(AND(Input_Product=Elig!$C1494,Elig_MatchAll_Ct&lt;22,$BC1494=(Elig_MatchAll_Ct-1),AK1494=0),H1494,0)</f>
        <v>0</v>
      </c>
      <c r="BN1494" s="991">
        <f>IF(AND(Input_Product=Elig!$C1494,Elig_MatchAll_Ct&lt;22,$BC1494=(Elig_MatchAll_Ct-1),AL1494=0),I1494,0)</f>
        <v>0</v>
      </c>
      <c r="BO1494" s="991">
        <f>IF(AND(Input_Product=Elig!$C1494,Elig_MatchAll_Ct&lt;22,$BC1494=(Elig_MatchAll_Ct-1),AM1494=0),J1494,0)</f>
        <v>0</v>
      </c>
      <c r="BP1494" s="991">
        <f>IF(AND(Input_Product=Elig!$C1494,Elig_MatchAll_Ct&lt;22,$BC1494=(Elig_MatchAll_Ct-1),AN1494=0),K1494,0)</f>
        <v>0</v>
      </c>
      <c r="BQ1494" s="991">
        <f>IF(AND(Input_Product=Elig!$C1494,Elig_MatchAll_Ct&lt;22,$BC1494=(Elig_MatchAll_Ct-1),AP1494=0),L1494,0)</f>
        <v>0</v>
      </c>
      <c r="BR1494" s="991">
        <f>IF(AND(Input_Product=Elig!$C1494,Elig_MatchAll_Ct&lt;22,$BC1494=(Elig_MatchAll_Ct-1),AO1494=0),M1494,0)</f>
        <v>0</v>
      </c>
      <c r="BS1494" s="991">
        <f>IF(AND(Input_Product=Elig!$C1494,Elig_MatchAll_Ct&lt;22,$BC1494=(Elig_MatchAll_Ct-1),AQ1494=0),N1494,0)</f>
        <v>0</v>
      </c>
      <c r="BT1494" s="991">
        <f>IF(AND(Input_Product=Elig!$C1494,Elig_MatchAll_Ct&lt;22,$BC1494=(Elig_MatchAll_Ct-1),AR1494=0),O1494,0)</f>
        <v>0</v>
      </c>
      <c r="BU1494" s="991">
        <f>IF(AND(Input_Product=Elig!$C1494,Elig_MatchAll_Ct&lt;22,$BC1494=(Elig_MatchAll_Ct-1),AS1494=0),P1494,0)</f>
        <v>0</v>
      </c>
      <c r="BV1494" s="992">
        <f>IF(AND(Input_Product=Elig!$C1494,Elig_MatchAll_Ct&lt;22,$BC1494=(Elig_MatchAll_Ct-1),AT1494=0),Q1494,0)</f>
        <v>0</v>
      </c>
      <c r="BW1494" s="993">
        <f>IF(AND(Input_Product=Elig!$C1494,Elig_MatchAll_Ct&lt;22,$BC1494=(Elig_MatchAll_Ct-1),AU1494=0),R1494,0)</f>
        <v>0</v>
      </c>
      <c r="BX1494" s="994">
        <f>IF(AND(Input_Product=Elig!$C1494,Elig_MatchAll_Ct&lt;22,$BC1494=(Elig_MatchAll_Ct-1),AU1494=0),S1494,0)</f>
        <v>0</v>
      </c>
      <c r="BY1494" s="993">
        <f>IF(AND(Input_Product=Elig!$C1494,Elig_MatchAll_Ct&lt;22,$BC1494=(Elig_MatchAll_Ct-1),AV1494=0),T1494,0)</f>
        <v>0</v>
      </c>
      <c r="BZ1494" s="994">
        <f>IF(AND(Input_Product=Elig!$C1494,Elig_MatchAll_Ct&lt;22,$BC1494=(Elig_MatchAll_Ct-1),AV1494=0),U1494,0)</f>
        <v>0</v>
      </c>
      <c r="CA1494" s="993">
        <f>IF(AND(Input_Product=Elig!$C1494,Elig_MatchAll_Ct&lt;22,$BC1494=(Elig_MatchAll_Ct-1),AW1494=0),V1494,0)</f>
        <v>0</v>
      </c>
      <c r="CB1494" s="994">
        <f>IF(AND(Input_Product=Elig!$C1494,Elig_MatchAll_Ct&lt;22,$BC1494=(Elig_MatchAll_Ct-1),AW1494=0),W1494,0)</f>
        <v>0</v>
      </c>
      <c r="CC1494" s="993">
        <f>IF(AND(Input_Product=Elig!$C1494,Elig_MatchAll_Ct&lt;22,$BC1494=(Elig_MatchAll_Ct-1),AX1494=0),X1494,0)</f>
        <v>0</v>
      </c>
      <c r="CD1494" s="994">
        <f>IF(AND(Input_Product=Elig!$C1494,Elig_MatchAll_Ct&lt;22,$BC1494=(Elig_MatchAll_Ct-1),AX1494=0),Y1494,0)</f>
        <v>0</v>
      </c>
      <c r="CE1494" s="993">
        <f>IF(AND(Input_LTV&lt;=AE1494,Input_Product=Elig!$C1494,Elig_MatchAll_Ct&lt;22,$BC1494=(Elig_MatchAll_Ct-1),AY1494=0),Z1494,0)</f>
        <v>0</v>
      </c>
      <c r="CF1494" s="994">
        <f>IF(AND(Input_LTV&lt;=AE1494,Input_Product=Elig!$C1494,Elig_MatchAll_Ct&lt;22,$BC1494=(Elig_MatchAll_Ct-1),AY1494=0),AA1494,0)</f>
        <v>0</v>
      </c>
      <c r="CG1494" s="993">
        <f>IF(AND(Input_Product=Elig!$C1494,Elig_MatchAll_Ct&lt;22,$BC1494=(Elig_MatchAll_Ct-1),AZ1494=0),AB1494,0)</f>
        <v>0</v>
      </c>
      <c r="CH1494" s="994">
        <f>IF(AND(Input_Product=Elig!$C1494,Elig_MatchAll_Ct&lt;22,$BC1494=(Elig_MatchAll_Ct-1),AZ1494=0),AC1494,0)</f>
        <v>0</v>
      </c>
      <c r="CI1494" s="993">
        <f>IF(AND(Input_Product=Elig!$C1494,Elig_MatchAll_Ct&lt;22,$BC1494=(Elig_MatchAll_Ct-1),BA1494=0),AD1494,0)</f>
        <v>0</v>
      </c>
      <c r="CJ1494" s="994">
        <f>IF(AND(Input_Product=Elig!$C1494,Elig_MatchAll_Ct&lt;22,$BC1494=(Elig_MatchAll_Ct-1),BA1494=0),AE1494,0)</f>
        <v>0</v>
      </c>
    </row>
    <row r="1495" spans="2:88" ht="10.15" customHeight="1" x14ac:dyDescent="0.25">
      <c r="B1495" s="1554" t="s">
        <v>3768</v>
      </c>
      <c r="C1495" s="1554" t="str">
        <f t="shared" si="511"/>
        <v xml:space="preserve">  NOO</v>
      </c>
      <c r="D1495" s="1554" t="s">
        <v>2764</v>
      </c>
      <c r="E1495" s="1554" t="s">
        <v>167</v>
      </c>
      <c r="F1495" s="1554" t="s">
        <v>2765</v>
      </c>
      <c r="G1495" s="1554" t="s">
        <v>2810</v>
      </c>
      <c r="H1495" s="1554" t="s">
        <v>2767</v>
      </c>
      <c r="I1495" s="1555" t="s">
        <v>16</v>
      </c>
      <c r="J1495" s="1555" t="s">
        <v>1311</v>
      </c>
      <c r="K1495" s="1555" t="s">
        <v>3023</v>
      </c>
      <c r="L1495" s="1554" t="s">
        <v>3920</v>
      </c>
      <c r="M1495" s="1554" t="s">
        <v>4203</v>
      </c>
      <c r="N1495" s="1554" t="s">
        <v>2685</v>
      </c>
      <c r="O1495" s="1554" t="s">
        <v>310</v>
      </c>
      <c r="P1495" s="1554" t="s">
        <v>291</v>
      </c>
      <c r="Q1495" s="1554" t="s">
        <v>294</v>
      </c>
      <c r="R1495" s="1554">
        <v>1000000.01</v>
      </c>
      <c r="S1495" s="1554">
        <v>1500000</v>
      </c>
      <c r="T1495" s="1554">
        <v>0</v>
      </c>
      <c r="U1495" s="1554">
        <v>1000000</v>
      </c>
      <c r="V1495" s="1554">
        <v>0</v>
      </c>
      <c r="W1495" s="1554">
        <v>50</v>
      </c>
      <c r="X1495" s="1554">
        <v>0</v>
      </c>
      <c r="Y1495" s="1554">
        <v>0</v>
      </c>
      <c r="Z1495" s="1556">
        <v>680</v>
      </c>
      <c r="AA1495" s="1556">
        <v>699</v>
      </c>
      <c r="AB1495" s="1556">
        <v>3</v>
      </c>
      <c r="AC1495" s="1556">
        <v>999999</v>
      </c>
      <c r="AD1495" s="1554">
        <v>0</v>
      </c>
      <c r="AE1495" s="1557">
        <v>75</v>
      </c>
      <c r="AF1495" s="170">
        <v>0</v>
      </c>
      <c r="AG1495" s="171">
        <v>1</v>
      </c>
      <c r="AH1495" s="171">
        <v>1</v>
      </c>
      <c r="AI1495" s="171">
        <v>1</v>
      </c>
      <c r="AJ1495" s="171">
        <v>1</v>
      </c>
      <c r="AK1495" s="171">
        <v>1</v>
      </c>
      <c r="AL1495" s="171">
        <v>1</v>
      </c>
      <c r="AM1495" s="171">
        <v>1</v>
      </c>
      <c r="AN1495" s="171">
        <v>1</v>
      </c>
      <c r="AO1495" s="171">
        <v>1</v>
      </c>
      <c r="AP1495" s="171">
        <v>1</v>
      </c>
      <c r="AQ1495" s="171">
        <v>1</v>
      </c>
      <c r="AR1495" s="171">
        <v>1</v>
      </c>
      <c r="AS1495" s="171">
        <v>1</v>
      </c>
      <c r="AT1495" s="171">
        <v>1</v>
      </c>
      <c r="AU1495" s="171">
        <f t="shared" si="502"/>
        <v>0</v>
      </c>
      <c r="AV1495" s="171">
        <f t="shared" si="503"/>
        <v>1</v>
      </c>
      <c r="AW1495" s="171">
        <f t="shared" si="504"/>
        <v>1</v>
      </c>
      <c r="AX1495" s="171">
        <f t="shared" si="512"/>
        <v>1</v>
      </c>
      <c r="AY1495" s="171">
        <f t="shared" si="505"/>
        <v>0</v>
      </c>
      <c r="AZ1495" s="171">
        <f t="shared" si="506"/>
        <v>1</v>
      </c>
      <c r="BA1495" s="172">
        <f t="shared" si="507"/>
        <v>1</v>
      </c>
      <c r="BB1495" s="175">
        <f t="shared" si="508"/>
        <v>19</v>
      </c>
      <c r="BC1495" s="176">
        <f t="shared" si="509"/>
        <v>18</v>
      </c>
      <c r="BD1495" s="176">
        <f t="shared" si="510"/>
        <v>19</v>
      </c>
      <c r="BE1495" s="240" t="str">
        <f t="shared" si="501"/>
        <v/>
      </c>
      <c r="BF1495" s="990"/>
      <c r="BG1495" s="990"/>
      <c r="BH1495" s="991">
        <f>IF(AND(Input_Product=Elig!$C1495,Elig_MatchAll_Ct&lt;22,$BC1495=(Elig_MatchAll_Ct-1),AF1495=0),C1495,0)</f>
        <v>0</v>
      </c>
      <c r="BI1495" s="991">
        <f>IF(AND(Input_Product=Elig!$C1495,Elig_MatchAll_Ct&lt;22,$BC1495=(Elig_MatchAll_Ct-1),AG1495=0),D1495,0)</f>
        <v>0</v>
      </c>
      <c r="BJ1495" s="991">
        <f>IF(AND(Input_Product=Elig!$C1495,Elig_MatchAll_Ct&lt;22,$BC1495=(Elig_MatchAll_Ct-1),AH1495=0),E1495,0)</f>
        <v>0</v>
      </c>
      <c r="BK1495" s="991">
        <f>IF(AND(Input_Product=Elig!$C1495,Elig_MatchAll_Ct&lt;22,$BC1495=(Elig_MatchAll_Ct-1),AI1495=0),F1495,0)</f>
        <v>0</v>
      </c>
      <c r="BL1495" s="991">
        <f>IF(AND(Input_Product=Elig!$C1495,Elig_MatchAll_Ct&lt;22,$BC1495=(Elig_MatchAll_Ct-1),AJ1495=0),G1495,0)</f>
        <v>0</v>
      </c>
      <c r="BM1495" s="991">
        <f>IF(AND(Input_Product=Elig!$C1495,Elig_MatchAll_Ct&lt;22,$BC1495=(Elig_MatchAll_Ct-1),AK1495=0),H1495,0)</f>
        <v>0</v>
      </c>
      <c r="BN1495" s="991">
        <f>IF(AND(Input_Product=Elig!$C1495,Elig_MatchAll_Ct&lt;22,$BC1495=(Elig_MatchAll_Ct-1),AL1495=0),I1495,0)</f>
        <v>0</v>
      </c>
      <c r="BO1495" s="991">
        <f>IF(AND(Input_Product=Elig!$C1495,Elig_MatchAll_Ct&lt;22,$BC1495=(Elig_MatchAll_Ct-1),AM1495=0),J1495,0)</f>
        <v>0</v>
      </c>
      <c r="BP1495" s="991">
        <f>IF(AND(Input_Product=Elig!$C1495,Elig_MatchAll_Ct&lt;22,$BC1495=(Elig_MatchAll_Ct-1),AN1495=0),K1495,0)</f>
        <v>0</v>
      </c>
      <c r="BQ1495" s="991">
        <f>IF(AND(Input_Product=Elig!$C1495,Elig_MatchAll_Ct&lt;22,$BC1495=(Elig_MatchAll_Ct-1),AP1495=0),L1495,0)</f>
        <v>0</v>
      </c>
      <c r="BR1495" s="991">
        <f>IF(AND(Input_Product=Elig!$C1495,Elig_MatchAll_Ct&lt;22,$BC1495=(Elig_MatchAll_Ct-1),AO1495=0),M1495,0)</f>
        <v>0</v>
      </c>
      <c r="BS1495" s="991">
        <f>IF(AND(Input_Product=Elig!$C1495,Elig_MatchAll_Ct&lt;22,$BC1495=(Elig_MatchAll_Ct-1),AQ1495=0),N1495,0)</f>
        <v>0</v>
      </c>
      <c r="BT1495" s="991">
        <f>IF(AND(Input_Product=Elig!$C1495,Elig_MatchAll_Ct&lt;22,$BC1495=(Elig_MatchAll_Ct-1),AR1495=0),O1495,0)</f>
        <v>0</v>
      </c>
      <c r="BU1495" s="991">
        <f>IF(AND(Input_Product=Elig!$C1495,Elig_MatchAll_Ct&lt;22,$BC1495=(Elig_MatchAll_Ct-1),AS1495=0),P1495,0)</f>
        <v>0</v>
      </c>
      <c r="BV1495" s="992">
        <f>IF(AND(Input_Product=Elig!$C1495,Elig_MatchAll_Ct&lt;22,$BC1495=(Elig_MatchAll_Ct-1),AT1495=0),Q1495,0)</f>
        <v>0</v>
      </c>
      <c r="BW1495" s="993">
        <f>IF(AND(Input_Product=Elig!$C1495,Elig_MatchAll_Ct&lt;22,$BC1495=(Elig_MatchAll_Ct-1),AU1495=0),R1495,0)</f>
        <v>0</v>
      </c>
      <c r="BX1495" s="994">
        <f>IF(AND(Input_Product=Elig!$C1495,Elig_MatchAll_Ct&lt;22,$BC1495=(Elig_MatchAll_Ct-1),AU1495=0),S1495,0)</f>
        <v>0</v>
      </c>
      <c r="BY1495" s="993">
        <f>IF(AND(Input_Product=Elig!$C1495,Elig_MatchAll_Ct&lt;22,$BC1495=(Elig_MatchAll_Ct-1),AV1495=0),T1495,0)</f>
        <v>0</v>
      </c>
      <c r="BZ1495" s="994">
        <f>IF(AND(Input_Product=Elig!$C1495,Elig_MatchAll_Ct&lt;22,$BC1495=(Elig_MatchAll_Ct-1),AV1495=0),U1495,0)</f>
        <v>0</v>
      </c>
      <c r="CA1495" s="993">
        <f>IF(AND(Input_Product=Elig!$C1495,Elig_MatchAll_Ct&lt;22,$BC1495=(Elig_MatchAll_Ct-1),AW1495=0),V1495,0)</f>
        <v>0</v>
      </c>
      <c r="CB1495" s="994">
        <f>IF(AND(Input_Product=Elig!$C1495,Elig_MatchAll_Ct&lt;22,$BC1495=(Elig_MatchAll_Ct-1),AW1495=0),W1495,0)</f>
        <v>0</v>
      </c>
      <c r="CC1495" s="993">
        <f>IF(AND(Input_Product=Elig!$C1495,Elig_MatchAll_Ct&lt;22,$BC1495=(Elig_MatchAll_Ct-1),AX1495=0),X1495,0)</f>
        <v>0</v>
      </c>
      <c r="CD1495" s="994">
        <f>IF(AND(Input_Product=Elig!$C1495,Elig_MatchAll_Ct&lt;22,$BC1495=(Elig_MatchAll_Ct-1),AX1495=0),Y1495,0)</f>
        <v>0</v>
      </c>
      <c r="CE1495" s="993">
        <f>IF(AND(Input_LTV&lt;=AE1495,Input_Product=Elig!$C1495,Elig_MatchAll_Ct&lt;22,$BC1495=(Elig_MatchAll_Ct-1),AY1495=0),Z1495,0)</f>
        <v>0</v>
      </c>
      <c r="CF1495" s="994">
        <f>IF(AND(Input_LTV&lt;=AE1495,Input_Product=Elig!$C1495,Elig_MatchAll_Ct&lt;22,$BC1495=(Elig_MatchAll_Ct-1),AY1495=0),AA1495,0)</f>
        <v>0</v>
      </c>
      <c r="CG1495" s="993">
        <f>IF(AND(Input_Product=Elig!$C1495,Elig_MatchAll_Ct&lt;22,$BC1495=(Elig_MatchAll_Ct-1),AZ1495=0),AB1495,0)</f>
        <v>0</v>
      </c>
      <c r="CH1495" s="994">
        <f>IF(AND(Input_Product=Elig!$C1495,Elig_MatchAll_Ct&lt;22,$BC1495=(Elig_MatchAll_Ct-1),AZ1495=0),AC1495,0)</f>
        <v>0</v>
      </c>
      <c r="CI1495" s="993">
        <f>IF(AND(Input_Product=Elig!$C1495,Elig_MatchAll_Ct&lt;22,$BC1495=(Elig_MatchAll_Ct-1),BA1495=0),AD1495,0)</f>
        <v>0</v>
      </c>
      <c r="CJ1495" s="994">
        <f>IF(AND(Input_Product=Elig!$C1495,Elig_MatchAll_Ct&lt;22,$BC1495=(Elig_MatchAll_Ct-1),BA1495=0),AE1495,0)</f>
        <v>0</v>
      </c>
    </row>
    <row r="1496" spans="2:88" ht="10.15" customHeight="1" x14ac:dyDescent="0.25">
      <c r="B1496" s="1554" t="s">
        <v>3769</v>
      </c>
      <c r="C1496" s="1554" t="str">
        <f t="shared" si="511"/>
        <v xml:space="preserve">  NOO</v>
      </c>
      <c r="D1496" s="1554" t="s">
        <v>2764</v>
      </c>
      <c r="E1496" s="1554" t="s">
        <v>167</v>
      </c>
      <c r="F1496" s="1554" t="s">
        <v>2765</v>
      </c>
      <c r="G1496" s="1554" t="s">
        <v>2810</v>
      </c>
      <c r="H1496" s="1554" t="s">
        <v>2767</v>
      </c>
      <c r="I1496" s="1555" t="s">
        <v>16</v>
      </c>
      <c r="J1496" s="1555" t="s">
        <v>1311</v>
      </c>
      <c r="K1496" s="1555" t="s">
        <v>3023</v>
      </c>
      <c r="L1496" s="1554" t="s">
        <v>3920</v>
      </c>
      <c r="M1496" s="1554" t="s">
        <v>4203</v>
      </c>
      <c r="N1496" s="1554" t="s">
        <v>2685</v>
      </c>
      <c r="O1496" s="1554" t="s">
        <v>310</v>
      </c>
      <c r="P1496" s="1554" t="s">
        <v>291</v>
      </c>
      <c r="Q1496" s="1554" t="s">
        <v>294</v>
      </c>
      <c r="R1496" s="1554">
        <v>1500000.01</v>
      </c>
      <c r="S1496" s="1554">
        <v>2000000</v>
      </c>
      <c r="T1496" s="1554">
        <v>0</v>
      </c>
      <c r="U1496" s="1554">
        <v>1000000</v>
      </c>
      <c r="V1496" s="1554">
        <v>0</v>
      </c>
      <c r="W1496" s="1554">
        <v>50</v>
      </c>
      <c r="X1496" s="1554">
        <v>0</v>
      </c>
      <c r="Y1496" s="1554">
        <v>0</v>
      </c>
      <c r="Z1496" s="1556">
        <v>680</v>
      </c>
      <c r="AA1496" s="1556">
        <v>699</v>
      </c>
      <c r="AB1496" s="1556">
        <v>3</v>
      </c>
      <c r="AC1496" s="1556">
        <v>999999</v>
      </c>
      <c r="AD1496" s="1554">
        <v>0</v>
      </c>
      <c r="AE1496" s="1557">
        <v>70</v>
      </c>
      <c r="AF1496" s="170">
        <v>0</v>
      </c>
      <c r="AG1496" s="171">
        <v>1</v>
      </c>
      <c r="AH1496" s="171">
        <v>1</v>
      </c>
      <c r="AI1496" s="171">
        <v>1</v>
      </c>
      <c r="AJ1496" s="171">
        <v>1</v>
      </c>
      <c r="AK1496" s="171">
        <v>1</v>
      </c>
      <c r="AL1496" s="171">
        <v>1</v>
      </c>
      <c r="AM1496" s="171">
        <v>1</v>
      </c>
      <c r="AN1496" s="171">
        <v>1</v>
      </c>
      <c r="AO1496" s="171">
        <v>1</v>
      </c>
      <c r="AP1496" s="171">
        <v>1</v>
      </c>
      <c r="AQ1496" s="171">
        <v>1</v>
      </c>
      <c r="AR1496" s="171">
        <v>1</v>
      </c>
      <c r="AS1496" s="171">
        <v>1</v>
      </c>
      <c r="AT1496" s="171">
        <v>1</v>
      </c>
      <c r="AU1496" s="171">
        <f t="shared" si="502"/>
        <v>0</v>
      </c>
      <c r="AV1496" s="171">
        <f t="shared" si="503"/>
        <v>1</v>
      </c>
      <c r="AW1496" s="171">
        <f t="shared" si="504"/>
        <v>1</v>
      </c>
      <c r="AX1496" s="171">
        <f t="shared" si="512"/>
        <v>1</v>
      </c>
      <c r="AY1496" s="171">
        <f t="shared" si="505"/>
        <v>0</v>
      </c>
      <c r="AZ1496" s="171">
        <f t="shared" si="506"/>
        <v>1</v>
      </c>
      <c r="BA1496" s="172">
        <f t="shared" si="507"/>
        <v>1</v>
      </c>
      <c r="BB1496" s="175">
        <f t="shared" si="508"/>
        <v>19</v>
      </c>
      <c r="BC1496" s="176">
        <f t="shared" si="509"/>
        <v>18</v>
      </c>
      <c r="BD1496" s="176">
        <f t="shared" si="510"/>
        <v>19</v>
      </c>
      <c r="BE1496" s="240" t="str">
        <f t="shared" si="501"/>
        <v/>
      </c>
      <c r="BF1496" s="990"/>
      <c r="BG1496" s="990"/>
      <c r="BH1496" s="991">
        <f>IF(AND(Input_Product=Elig!$C1496,Elig_MatchAll_Ct&lt;22,$BC1496=(Elig_MatchAll_Ct-1),AF1496=0),C1496,0)</f>
        <v>0</v>
      </c>
      <c r="BI1496" s="991">
        <f>IF(AND(Input_Product=Elig!$C1496,Elig_MatchAll_Ct&lt;22,$BC1496=(Elig_MatchAll_Ct-1),AG1496=0),D1496,0)</f>
        <v>0</v>
      </c>
      <c r="BJ1496" s="991">
        <f>IF(AND(Input_Product=Elig!$C1496,Elig_MatchAll_Ct&lt;22,$BC1496=(Elig_MatchAll_Ct-1),AH1496=0),E1496,0)</f>
        <v>0</v>
      </c>
      <c r="BK1496" s="991">
        <f>IF(AND(Input_Product=Elig!$C1496,Elig_MatchAll_Ct&lt;22,$BC1496=(Elig_MatchAll_Ct-1),AI1496=0),F1496,0)</f>
        <v>0</v>
      </c>
      <c r="BL1496" s="991">
        <f>IF(AND(Input_Product=Elig!$C1496,Elig_MatchAll_Ct&lt;22,$BC1496=(Elig_MatchAll_Ct-1),AJ1496=0),G1496,0)</f>
        <v>0</v>
      </c>
      <c r="BM1496" s="991">
        <f>IF(AND(Input_Product=Elig!$C1496,Elig_MatchAll_Ct&lt;22,$BC1496=(Elig_MatchAll_Ct-1),AK1496=0),H1496,0)</f>
        <v>0</v>
      </c>
      <c r="BN1496" s="991">
        <f>IF(AND(Input_Product=Elig!$C1496,Elig_MatchAll_Ct&lt;22,$BC1496=(Elig_MatchAll_Ct-1),AL1496=0),I1496,0)</f>
        <v>0</v>
      </c>
      <c r="BO1496" s="991">
        <f>IF(AND(Input_Product=Elig!$C1496,Elig_MatchAll_Ct&lt;22,$BC1496=(Elig_MatchAll_Ct-1),AM1496=0),J1496,0)</f>
        <v>0</v>
      </c>
      <c r="BP1496" s="991">
        <f>IF(AND(Input_Product=Elig!$C1496,Elig_MatchAll_Ct&lt;22,$BC1496=(Elig_MatchAll_Ct-1),AN1496=0),K1496,0)</f>
        <v>0</v>
      </c>
      <c r="BQ1496" s="991">
        <f>IF(AND(Input_Product=Elig!$C1496,Elig_MatchAll_Ct&lt;22,$BC1496=(Elig_MatchAll_Ct-1),AP1496=0),L1496,0)</f>
        <v>0</v>
      </c>
      <c r="BR1496" s="991">
        <f>IF(AND(Input_Product=Elig!$C1496,Elig_MatchAll_Ct&lt;22,$BC1496=(Elig_MatchAll_Ct-1),AO1496=0),M1496,0)</f>
        <v>0</v>
      </c>
      <c r="BS1496" s="991">
        <f>IF(AND(Input_Product=Elig!$C1496,Elig_MatchAll_Ct&lt;22,$BC1496=(Elig_MatchAll_Ct-1),AQ1496=0),N1496,0)</f>
        <v>0</v>
      </c>
      <c r="BT1496" s="991">
        <f>IF(AND(Input_Product=Elig!$C1496,Elig_MatchAll_Ct&lt;22,$BC1496=(Elig_MatchAll_Ct-1),AR1496=0),O1496,0)</f>
        <v>0</v>
      </c>
      <c r="BU1496" s="991">
        <f>IF(AND(Input_Product=Elig!$C1496,Elig_MatchAll_Ct&lt;22,$BC1496=(Elig_MatchAll_Ct-1),AS1496=0),P1496,0)</f>
        <v>0</v>
      </c>
      <c r="BV1496" s="992">
        <f>IF(AND(Input_Product=Elig!$C1496,Elig_MatchAll_Ct&lt;22,$BC1496=(Elig_MatchAll_Ct-1),AT1496=0),Q1496,0)</f>
        <v>0</v>
      </c>
      <c r="BW1496" s="993">
        <f>IF(AND(Input_Product=Elig!$C1496,Elig_MatchAll_Ct&lt;22,$BC1496=(Elig_MatchAll_Ct-1),AU1496=0),R1496,0)</f>
        <v>0</v>
      </c>
      <c r="BX1496" s="994">
        <f>IF(AND(Input_Product=Elig!$C1496,Elig_MatchAll_Ct&lt;22,$BC1496=(Elig_MatchAll_Ct-1),AU1496=0),S1496,0)</f>
        <v>0</v>
      </c>
      <c r="BY1496" s="993">
        <f>IF(AND(Input_Product=Elig!$C1496,Elig_MatchAll_Ct&lt;22,$BC1496=(Elig_MatchAll_Ct-1),AV1496=0),T1496,0)</f>
        <v>0</v>
      </c>
      <c r="BZ1496" s="994">
        <f>IF(AND(Input_Product=Elig!$C1496,Elig_MatchAll_Ct&lt;22,$BC1496=(Elig_MatchAll_Ct-1),AV1496=0),U1496,0)</f>
        <v>0</v>
      </c>
      <c r="CA1496" s="993">
        <f>IF(AND(Input_Product=Elig!$C1496,Elig_MatchAll_Ct&lt;22,$BC1496=(Elig_MatchAll_Ct-1),AW1496=0),V1496,0)</f>
        <v>0</v>
      </c>
      <c r="CB1496" s="994">
        <f>IF(AND(Input_Product=Elig!$C1496,Elig_MatchAll_Ct&lt;22,$BC1496=(Elig_MatchAll_Ct-1),AW1496=0),W1496,0)</f>
        <v>0</v>
      </c>
      <c r="CC1496" s="993">
        <f>IF(AND(Input_Product=Elig!$C1496,Elig_MatchAll_Ct&lt;22,$BC1496=(Elig_MatchAll_Ct-1),AX1496=0),X1496,0)</f>
        <v>0</v>
      </c>
      <c r="CD1496" s="994">
        <f>IF(AND(Input_Product=Elig!$C1496,Elig_MatchAll_Ct&lt;22,$BC1496=(Elig_MatchAll_Ct-1),AX1496=0),Y1496,0)</f>
        <v>0</v>
      </c>
      <c r="CE1496" s="993">
        <f>IF(AND(Input_LTV&lt;=AE1496,Input_Product=Elig!$C1496,Elig_MatchAll_Ct&lt;22,$BC1496=(Elig_MatchAll_Ct-1),AY1496=0),Z1496,0)</f>
        <v>0</v>
      </c>
      <c r="CF1496" s="994">
        <f>IF(AND(Input_LTV&lt;=AE1496,Input_Product=Elig!$C1496,Elig_MatchAll_Ct&lt;22,$BC1496=(Elig_MatchAll_Ct-1),AY1496=0),AA1496,0)</f>
        <v>0</v>
      </c>
      <c r="CG1496" s="993">
        <f>IF(AND(Input_Product=Elig!$C1496,Elig_MatchAll_Ct&lt;22,$BC1496=(Elig_MatchAll_Ct-1),AZ1496=0),AB1496,0)</f>
        <v>0</v>
      </c>
      <c r="CH1496" s="994">
        <f>IF(AND(Input_Product=Elig!$C1496,Elig_MatchAll_Ct&lt;22,$BC1496=(Elig_MatchAll_Ct-1),AZ1496=0),AC1496,0)</f>
        <v>0</v>
      </c>
      <c r="CI1496" s="993">
        <f>IF(AND(Input_Product=Elig!$C1496,Elig_MatchAll_Ct&lt;22,$BC1496=(Elig_MatchAll_Ct-1),BA1496=0),AD1496,0)</f>
        <v>0</v>
      </c>
      <c r="CJ1496" s="994">
        <f>IF(AND(Input_Product=Elig!$C1496,Elig_MatchAll_Ct&lt;22,$BC1496=(Elig_MatchAll_Ct-1),BA1496=0),AE1496,0)</f>
        <v>0</v>
      </c>
    </row>
    <row r="1497" spans="2:88" ht="10.15" customHeight="1" x14ac:dyDescent="0.25">
      <c r="B1497" s="1554" t="s">
        <v>3770</v>
      </c>
      <c r="C1497" s="1554" t="str">
        <f t="shared" si="511"/>
        <v xml:space="preserve">  NOO</v>
      </c>
      <c r="D1497" s="1554" t="s">
        <v>2764</v>
      </c>
      <c r="E1497" s="1554" t="s">
        <v>167</v>
      </c>
      <c r="F1497" s="1554" t="s">
        <v>2765</v>
      </c>
      <c r="G1497" s="1554" t="s">
        <v>2810</v>
      </c>
      <c r="H1497" s="1554" t="s">
        <v>2767</v>
      </c>
      <c r="I1497" s="1555" t="s">
        <v>16</v>
      </c>
      <c r="J1497" s="1555" t="s">
        <v>1311</v>
      </c>
      <c r="K1497" s="1555" t="s">
        <v>3023</v>
      </c>
      <c r="L1497" s="1554" t="s">
        <v>3920</v>
      </c>
      <c r="M1497" s="1554" t="s">
        <v>4203</v>
      </c>
      <c r="N1497" s="1554" t="s">
        <v>2685</v>
      </c>
      <c r="O1497" s="1554" t="s">
        <v>310</v>
      </c>
      <c r="P1497" s="1554" t="s">
        <v>291</v>
      </c>
      <c r="Q1497" s="1554" t="s">
        <v>294</v>
      </c>
      <c r="R1497" s="1554">
        <v>2000000.01</v>
      </c>
      <c r="S1497" s="1554">
        <v>3000000</v>
      </c>
      <c r="T1497" s="1554">
        <v>0</v>
      </c>
      <c r="U1497" s="1554">
        <v>1000000</v>
      </c>
      <c r="V1497" s="1554">
        <v>0</v>
      </c>
      <c r="W1497" s="1554">
        <v>50</v>
      </c>
      <c r="X1497" s="1554">
        <v>0</v>
      </c>
      <c r="Y1497" s="1554">
        <v>0</v>
      </c>
      <c r="Z1497" s="1556">
        <v>680</v>
      </c>
      <c r="AA1497" s="1556">
        <v>699</v>
      </c>
      <c r="AB1497" s="1556">
        <v>3</v>
      </c>
      <c r="AC1497" s="1556">
        <v>999999</v>
      </c>
      <c r="AD1497" s="1554">
        <v>0</v>
      </c>
      <c r="AE1497" s="1557">
        <v>65</v>
      </c>
      <c r="AF1497" s="170">
        <v>0</v>
      </c>
      <c r="AG1497" s="171">
        <v>1</v>
      </c>
      <c r="AH1497" s="171">
        <v>1</v>
      </c>
      <c r="AI1497" s="171">
        <v>1</v>
      </c>
      <c r="AJ1497" s="171">
        <v>1</v>
      </c>
      <c r="AK1497" s="171">
        <v>1</v>
      </c>
      <c r="AL1497" s="171">
        <v>1</v>
      </c>
      <c r="AM1497" s="171">
        <v>1</v>
      </c>
      <c r="AN1497" s="171">
        <v>1</v>
      </c>
      <c r="AO1497" s="171">
        <v>1</v>
      </c>
      <c r="AP1497" s="171">
        <v>1</v>
      </c>
      <c r="AQ1497" s="171">
        <v>1</v>
      </c>
      <c r="AR1497" s="171">
        <v>1</v>
      </c>
      <c r="AS1497" s="171">
        <v>1</v>
      </c>
      <c r="AT1497" s="171">
        <v>1</v>
      </c>
      <c r="AU1497" s="171">
        <f t="shared" si="502"/>
        <v>0</v>
      </c>
      <c r="AV1497" s="171">
        <f t="shared" si="503"/>
        <v>1</v>
      </c>
      <c r="AW1497" s="171">
        <f t="shared" si="504"/>
        <v>1</v>
      </c>
      <c r="AX1497" s="171">
        <f t="shared" si="512"/>
        <v>1</v>
      </c>
      <c r="AY1497" s="171">
        <f t="shared" si="505"/>
        <v>0</v>
      </c>
      <c r="AZ1497" s="171">
        <f t="shared" si="506"/>
        <v>1</v>
      </c>
      <c r="BA1497" s="172">
        <f t="shared" si="507"/>
        <v>1</v>
      </c>
      <c r="BB1497" s="175">
        <f t="shared" si="508"/>
        <v>19</v>
      </c>
      <c r="BC1497" s="176">
        <f t="shared" si="509"/>
        <v>18</v>
      </c>
      <c r="BD1497" s="176">
        <f t="shared" si="510"/>
        <v>19</v>
      </c>
      <c r="BE1497" s="240" t="str">
        <f t="shared" si="501"/>
        <v/>
      </c>
      <c r="BF1497" s="990"/>
      <c r="BG1497" s="990"/>
      <c r="BH1497" s="991">
        <f>IF(AND(Input_Product=Elig!$C1497,Elig_MatchAll_Ct&lt;22,$BC1497=(Elig_MatchAll_Ct-1),AF1497=0),C1497,0)</f>
        <v>0</v>
      </c>
      <c r="BI1497" s="991">
        <f>IF(AND(Input_Product=Elig!$C1497,Elig_MatchAll_Ct&lt;22,$BC1497=(Elig_MatchAll_Ct-1),AG1497=0),D1497,0)</f>
        <v>0</v>
      </c>
      <c r="BJ1497" s="991">
        <f>IF(AND(Input_Product=Elig!$C1497,Elig_MatchAll_Ct&lt;22,$BC1497=(Elig_MatchAll_Ct-1),AH1497=0),E1497,0)</f>
        <v>0</v>
      </c>
      <c r="BK1497" s="991">
        <f>IF(AND(Input_Product=Elig!$C1497,Elig_MatchAll_Ct&lt;22,$BC1497=(Elig_MatchAll_Ct-1),AI1497=0),F1497,0)</f>
        <v>0</v>
      </c>
      <c r="BL1497" s="991">
        <f>IF(AND(Input_Product=Elig!$C1497,Elig_MatchAll_Ct&lt;22,$BC1497=(Elig_MatchAll_Ct-1),AJ1497=0),G1497,0)</f>
        <v>0</v>
      </c>
      <c r="BM1497" s="991">
        <f>IF(AND(Input_Product=Elig!$C1497,Elig_MatchAll_Ct&lt;22,$BC1497=(Elig_MatchAll_Ct-1),AK1497=0),H1497,0)</f>
        <v>0</v>
      </c>
      <c r="BN1497" s="991">
        <f>IF(AND(Input_Product=Elig!$C1497,Elig_MatchAll_Ct&lt;22,$BC1497=(Elig_MatchAll_Ct-1),AL1497=0),I1497,0)</f>
        <v>0</v>
      </c>
      <c r="BO1497" s="991">
        <f>IF(AND(Input_Product=Elig!$C1497,Elig_MatchAll_Ct&lt;22,$BC1497=(Elig_MatchAll_Ct-1),AM1497=0),J1497,0)</f>
        <v>0</v>
      </c>
      <c r="BP1497" s="991">
        <f>IF(AND(Input_Product=Elig!$C1497,Elig_MatchAll_Ct&lt;22,$BC1497=(Elig_MatchAll_Ct-1),AN1497=0),K1497,0)</f>
        <v>0</v>
      </c>
      <c r="BQ1497" s="991">
        <f>IF(AND(Input_Product=Elig!$C1497,Elig_MatchAll_Ct&lt;22,$BC1497=(Elig_MatchAll_Ct-1),AP1497=0),L1497,0)</f>
        <v>0</v>
      </c>
      <c r="BR1497" s="991">
        <f>IF(AND(Input_Product=Elig!$C1497,Elig_MatchAll_Ct&lt;22,$BC1497=(Elig_MatchAll_Ct-1),AO1497=0),M1497,0)</f>
        <v>0</v>
      </c>
      <c r="BS1497" s="991">
        <f>IF(AND(Input_Product=Elig!$C1497,Elig_MatchAll_Ct&lt;22,$BC1497=(Elig_MatchAll_Ct-1),AQ1497=0),N1497,0)</f>
        <v>0</v>
      </c>
      <c r="BT1497" s="991">
        <f>IF(AND(Input_Product=Elig!$C1497,Elig_MatchAll_Ct&lt;22,$BC1497=(Elig_MatchAll_Ct-1),AR1497=0),O1497,0)</f>
        <v>0</v>
      </c>
      <c r="BU1497" s="991">
        <f>IF(AND(Input_Product=Elig!$C1497,Elig_MatchAll_Ct&lt;22,$BC1497=(Elig_MatchAll_Ct-1),AS1497=0),P1497,0)</f>
        <v>0</v>
      </c>
      <c r="BV1497" s="992">
        <f>IF(AND(Input_Product=Elig!$C1497,Elig_MatchAll_Ct&lt;22,$BC1497=(Elig_MatchAll_Ct-1),AT1497=0),Q1497,0)</f>
        <v>0</v>
      </c>
      <c r="BW1497" s="993">
        <f>IF(AND(Input_Product=Elig!$C1497,Elig_MatchAll_Ct&lt;22,$BC1497=(Elig_MatchAll_Ct-1),AU1497=0),R1497,0)</f>
        <v>0</v>
      </c>
      <c r="BX1497" s="994">
        <f>IF(AND(Input_Product=Elig!$C1497,Elig_MatchAll_Ct&lt;22,$BC1497=(Elig_MatchAll_Ct-1),AU1497=0),S1497,0)</f>
        <v>0</v>
      </c>
      <c r="BY1497" s="993">
        <f>IF(AND(Input_Product=Elig!$C1497,Elig_MatchAll_Ct&lt;22,$BC1497=(Elig_MatchAll_Ct-1),AV1497=0),T1497,0)</f>
        <v>0</v>
      </c>
      <c r="BZ1497" s="994">
        <f>IF(AND(Input_Product=Elig!$C1497,Elig_MatchAll_Ct&lt;22,$BC1497=(Elig_MatchAll_Ct-1),AV1497=0),U1497,0)</f>
        <v>0</v>
      </c>
      <c r="CA1497" s="993">
        <f>IF(AND(Input_Product=Elig!$C1497,Elig_MatchAll_Ct&lt;22,$BC1497=(Elig_MatchAll_Ct-1),AW1497=0),V1497,0)</f>
        <v>0</v>
      </c>
      <c r="CB1497" s="994">
        <f>IF(AND(Input_Product=Elig!$C1497,Elig_MatchAll_Ct&lt;22,$BC1497=(Elig_MatchAll_Ct-1),AW1497=0),W1497,0)</f>
        <v>0</v>
      </c>
      <c r="CC1497" s="993">
        <f>IF(AND(Input_Product=Elig!$C1497,Elig_MatchAll_Ct&lt;22,$BC1497=(Elig_MatchAll_Ct-1),AX1497=0),X1497,0)</f>
        <v>0</v>
      </c>
      <c r="CD1497" s="994">
        <f>IF(AND(Input_Product=Elig!$C1497,Elig_MatchAll_Ct&lt;22,$BC1497=(Elig_MatchAll_Ct-1),AX1497=0),Y1497,0)</f>
        <v>0</v>
      </c>
      <c r="CE1497" s="993">
        <f>IF(AND(Input_LTV&lt;=AE1497,Input_Product=Elig!$C1497,Elig_MatchAll_Ct&lt;22,$BC1497=(Elig_MatchAll_Ct-1),AY1497=0),Z1497,0)</f>
        <v>0</v>
      </c>
      <c r="CF1497" s="994">
        <f>IF(AND(Input_LTV&lt;=AE1497,Input_Product=Elig!$C1497,Elig_MatchAll_Ct&lt;22,$BC1497=(Elig_MatchAll_Ct-1),AY1497=0),AA1497,0)</f>
        <v>0</v>
      </c>
      <c r="CG1497" s="993">
        <f>IF(AND(Input_Product=Elig!$C1497,Elig_MatchAll_Ct&lt;22,$BC1497=(Elig_MatchAll_Ct-1),AZ1497=0),AB1497,0)</f>
        <v>0</v>
      </c>
      <c r="CH1497" s="994">
        <f>IF(AND(Input_Product=Elig!$C1497,Elig_MatchAll_Ct&lt;22,$BC1497=(Elig_MatchAll_Ct-1),AZ1497=0),AC1497,0)</f>
        <v>0</v>
      </c>
      <c r="CI1497" s="993">
        <f>IF(AND(Input_Product=Elig!$C1497,Elig_MatchAll_Ct&lt;22,$BC1497=(Elig_MatchAll_Ct-1),BA1497=0),AD1497,0)</f>
        <v>0</v>
      </c>
      <c r="CJ1497" s="994">
        <f>IF(AND(Input_Product=Elig!$C1497,Elig_MatchAll_Ct&lt;22,$BC1497=(Elig_MatchAll_Ct-1),BA1497=0),AE1497,0)</f>
        <v>0</v>
      </c>
    </row>
    <row r="1498" spans="2:88" ht="10.15" customHeight="1" x14ac:dyDescent="0.25">
      <c r="B1498" s="1554" t="s">
        <v>3771</v>
      </c>
      <c r="C1498" s="1554" t="str">
        <f t="shared" si="511"/>
        <v xml:space="preserve">  NOO</v>
      </c>
      <c r="D1498" s="1554" t="s">
        <v>2764</v>
      </c>
      <c r="E1498" s="1554" t="s">
        <v>167</v>
      </c>
      <c r="F1498" s="1554" t="s">
        <v>2765</v>
      </c>
      <c r="G1498" s="1554" t="s">
        <v>2810</v>
      </c>
      <c r="H1498" s="1554" t="s">
        <v>2767</v>
      </c>
      <c r="I1498" s="1555" t="s">
        <v>16</v>
      </c>
      <c r="J1498" s="1555" t="s">
        <v>1311</v>
      </c>
      <c r="K1498" s="1555" t="s">
        <v>3023</v>
      </c>
      <c r="L1498" s="1554" t="s">
        <v>3920</v>
      </c>
      <c r="M1498" s="1554" t="s">
        <v>4203</v>
      </c>
      <c r="N1498" s="1554" t="s">
        <v>2685</v>
      </c>
      <c r="O1498" s="1554" t="s">
        <v>310</v>
      </c>
      <c r="P1498" s="1554" t="s">
        <v>291</v>
      </c>
      <c r="Q1498" s="1554" t="s">
        <v>294</v>
      </c>
      <c r="R1498" s="1554">
        <v>150000</v>
      </c>
      <c r="S1498" s="1554">
        <v>1000000</v>
      </c>
      <c r="T1498" s="1554">
        <v>0</v>
      </c>
      <c r="U1498" s="1554">
        <v>1000000</v>
      </c>
      <c r="V1498" s="1554">
        <v>0</v>
      </c>
      <c r="W1498" s="1554">
        <v>50</v>
      </c>
      <c r="X1498" s="1554">
        <v>0</v>
      </c>
      <c r="Y1498" s="1554">
        <v>0</v>
      </c>
      <c r="Z1498" s="1556">
        <v>660</v>
      </c>
      <c r="AA1498" s="1556">
        <v>679</v>
      </c>
      <c r="AB1498" s="1556">
        <v>3</v>
      </c>
      <c r="AC1498" s="1556">
        <v>999999</v>
      </c>
      <c r="AD1498" s="1554">
        <v>0</v>
      </c>
      <c r="AE1498" s="1557">
        <v>75</v>
      </c>
      <c r="AF1498" s="170">
        <v>0</v>
      </c>
      <c r="AG1498" s="171">
        <v>1</v>
      </c>
      <c r="AH1498" s="171">
        <v>1</v>
      </c>
      <c r="AI1498" s="171">
        <v>1</v>
      </c>
      <c r="AJ1498" s="171">
        <v>1</v>
      </c>
      <c r="AK1498" s="171">
        <v>1</v>
      </c>
      <c r="AL1498" s="171">
        <v>1</v>
      </c>
      <c r="AM1498" s="171">
        <v>1</v>
      </c>
      <c r="AN1498" s="171">
        <v>1</v>
      </c>
      <c r="AO1498" s="171">
        <v>1</v>
      </c>
      <c r="AP1498" s="171">
        <v>1</v>
      </c>
      <c r="AQ1498" s="171">
        <v>1</v>
      </c>
      <c r="AR1498" s="171">
        <v>1</v>
      </c>
      <c r="AS1498" s="171">
        <v>1</v>
      </c>
      <c r="AT1498" s="171">
        <v>1</v>
      </c>
      <c r="AU1498" s="171">
        <f t="shared" si="502"/>
        <v>1</v>
      </c>
      <c r="AV1498" s="171">
        <f t="shared" si="503"/>
        <v>1</v>
      </c>
      <c r="AW1498" s="171">
        <f t="shared" si="504"/>
        <v>1</v>
      </c>
      <c r="AX1498" s="171">
        <f t="shared" si="512"/>
        <v>1</v>
      </c>
      <c r="AY1498" s="171">
        <f t="shared" si="505"/>
        <v>0</v>
      </c>
      <c r="AZ1498" s="171">
        <f t="shared" si="506"/>
        <v>1</v>
      </c>
      <c r="BA1498" s="172">
        <f t="shared" si="507"/>
        <v>1</v>
      </c>
      <c r="BB1498" s="175">
        <f t="shared" si="508"/>
        <v>20</v>
      </c>
      <c r="BC1498" s="176">
        <f t="shared" si="509"/>
        <v>19</v>
      </c>
      <c r="BD1498" s="176">
        <f t="shared" si="510"/>
        <v>20</v>
      </c>
      <c r="BE1498" s="240" t="str">
        <f t="shared" si="501"/>
        <v/>
      </c>
      <c r="BF1498" s="990"/>
      <c r="BG1498" s="990"/>
      <c r="BH1498" s="991">
        <f>IF(AND(Input_Product=Elig!$C1498,Elig_MatchAll_Ct&lt;22,$BC1498=(Elig_MatchAll_Ct-1),AF1498=0),C1498,0)</f>
        <v>0</v>
      </c>
      <c r="BI1498" s="991">
        <f>IF(AND(Input_Product=Elig!$C1498,Elig_MatchAll_Ct&lt;22,$BC1498=(Elig_MatchAll_Ct-1),AG1498=0),D1498,0)</f>
        <v>0</v>
      </c>
      <c r="BJ1498" s="991">
        <f>IF(AND(Input_Product=Elig!$C1498,Elig_MatchAll_Ct&lt;22,$BC1498=(Elig_MatchAll_Ct-1),AH1498=0),E1498,0)</f>
        <v>0</v>
      </c>
      <c r="BK1498" s="991">
        <f>IF(AND(Input_Product=Elig!$C1498,Elig_MatchAll_Ct&lt;22,$BC1498=(Elig_MatchAll_Ct-1),AI1498=0),F1498,0)</f>
        <v>0</v>
      </c>
      <c r="BL1498" s="991">
        <f>IF(AND(Input_Product=Elig!$C1498,Elig_MatchAll_Ct&lt;22,$BC1498=(Elig_MatchAll_Ct-1),AJ1498=0),G1498,0)</f>
        <v>0</v>
      </c>
      <c r="BM1498" s="991">
        <f>IF(AND(Input_Product=Elig!$C1498,Elig_MatchAll_Ct&lt;22,$BC1498=(Elig_MatchAll_Ct-1),AK1498=0),H1498,0)</f>
        <v>0</v>
      </c>
      <c r="BN1498" s="991">
        <f>IF(AND(Input_Product=Elig!$C1498,Elig_MatchAll_Ct&lt;22,$BC1498=(Elig_MatchAll_Ct-1),AL1498=0),I1498,0)</f>
        <v>0</v>
      </c>
      <c r="BO1498" s="991">
        <f>IF(AND(Input_Product=Elig!$C1498,Elig_MatchAll_Ct&lt;22,$BC1498=(Elig_MatchAll_Ct-1),AM1498=0),J1498,0)</f>
        <v>0</v>
      </c>
      <c r="BP1498" s="991">
        <f>IF(AND(Input_Product=Elig!$C1498,Elig_MatchAll_Ct&lt;22,$BC1498=(Elig_MatchAll_Ct-1),AN1498=0),K1498,0)</f>
        <v>0</v>
      </c>
      <c r="BQ1498" s="991">
        <f>IF(AND(Input_Product=Elig!$C1498,Elig_MatchAll_Ct&lt;22,$BC1498=(Elig_MatchAll_Ct-1),AP1498=0),L1498,0)</f>
        <v>0</v>
      </c>
      <c r="BR1498" s="991">
        <f>IF(AND(Input_Product=Elig!$C1498,Elig_MatchAll_Ct&lt;22,$BC1498=(Elig_MatchAll_Ct-1),AO1498=0),M1498,0)</f>
        <v>0</v>
      </c>
      <c r="BS1498" s="991">
        <f>IF(AND(Input_Product=Elig!$C1498,Elig_MatchAll_Ct&lt;22,$BC1498=(Elig_MatchAll_Ct-1),AQ1498=0),N1498,0)</f>
        <v>0</v>
      </c>
      <c r="BT1498" s="991">
        <f>IF(AND(Input_Product=Elig!$C1498,Elig_MatchAll_Ct&lt;22,$BC1498=(Elig_MatchAll_Ct-1),AR1498=0),O1498,0)</f>
        <v>0</v>
      </c>
      <c r="BU1498" s="991">
        <f>IF(AND(Input_Product=Elig!$C1498,Elig_MatchAll_Ct&lt;22,$BC1498=(Elig_MatchAll_Ct-1),AS1498=0),P1498,0)</f>
        <v>0</v>
      </c>
      <c r="BV1498" s="992">
        <f>IF(AND(Input_Product=Elig!$C1498,Elig_MatchAll_Ct&lt;22,$BC1498=(Elig_MatchAll_Ct-1),AT1498=0),Q1498,0)</f>
        <v>0</v>
      </c>
      <c r="BW1498" s="993">
        <f>IF(AND(Input_Product=Elig!$C1498,Elig_MatchAll_Ct&lt;22,$BC1498=(Elig_MatchAll_Ct-1),AU1498=0),R1498,0)</f>
        <v>0</v>
      </c>
      <c r="BX1498" s="994">
        <f>IF(AND(Input_Product=Elig!$C1498,Elig_MatchAll_Ct&lt;22,$BC1498=(Elig_MatchAll_Ct-1),AU1498=0),S1498,0)</f>
        <v>0</v>
      </c>
      <c r="BY1498" s="993">
        <f>IF(AND(Input_Product=Elig!$C1498,Elig_MatchAll_Ct&lt;22,$BC1498=(Elig_MatchAll_Ct-1),AV1498=0),T1498,0)</f>
        <v>0</v>
      </c>
      <c r="BZ1498" s="994">
        <f>IF(AND(Input_Product=Elig!$C1498,Elig_MatchAll_Ct&lt;22,$BC1498=(Elig_MatchAll_Ct-1),AV1498=0),U1498,0)</f>
        <v>0</v>
      </c>
      <c r="CA1498" s="993">
        <f>IF(AND(Input_Product=Elig!$C1498,Elig_MatchAll_Ct&lt;22,$BC1498=(Elig_MatchAll_Ct-1),AW1498=0),V1498,0)</f>
        <v>0</v>
      </c>
      <c r="CB1498" s="994">
        <f>IF(AND(Input_Product=Elig!$C1498,Elig_MatchAll_Ct&lt;22,$BC1498=(Elig_MatchAll_Ct-1),AW1498=0),W1498,0)</f>
        <v>0</v>
      </c>
      <c r="CC1498" s="993">
        <f>IF(AND(Input_Product=Elig!$C1498,Elig_MatchAll_Ct&lt;22,$BC1498=(Elig_MatchAll_Ct-1),AX1498=0),X1498,0)</f>
        <v>0</v>
      </c>
      <c r="CD1498" s="994">
        <f>IF(AND(Input_Product=Elig!$C1498,Elig_MatchAll_Ct&lt;22,$BC1498=(Elig_MatchAll_Ct-1),AX1498=0),Y1498,0)</f>
        <v>0</v>
      </c>
      <c r="CE1498" s="993">
        <f>IF(AND(Input_LTV&lt;=AE1498,Input_Product=Elig!$C1498,Elig_MatchAll_Ct&lt;22,$BC1498=(Elig_MatchAll_Ct-1),AY1498=0),Z1498,0)</f>
        <v>0</v>
      </c>
      <c r="CF1498" s="994">
        <f>IF(AND(Input_LTV&lt;=AE1498,Input_Product=Elig!$C1498,Elig_MatchAll_Ct&lt;22,$BC1498=(Elig_MatchAll_Ct-1),AY1498=0),AA1498,0)</f>
        <v>0</v>
      </c>
      <c r="CG1498" s="993">
        <f>IF(AND(Input_Product=Elig!$C1498,Elig_MatchAll_Ct&lt;22,$BC1498=(Elig_MatchAll_Ct-1),AZ1498=0),AB1498,0)</f>
        <v>0</v>
      </c>
      <c r="CH1498" s="994">
        <f>IF(AND(Input_Product=Elig!$C1498,Elig_MatchAll_Ct&lt;22,$BC1498=(Elig_MatchAll_Ct-1),AZ1498=0),AC1498,0)</f>
        <v>0</v>
      </c>
      <c r="CI1498" s="993">
        <f>IF(AND(Input_Product=Elig!$C1498,Elig_MatchAll_Ct&lt;22,$BC1498=(Elig_MatchAll_Ct-1),BA1498=0),AD1498,0)</f>
        <v>0</v>
      </c>
      <c r="CJ1498" s="994">
        <f>IF(AND(Input_Product=Elig!$C1498,Elig_MatchAll_Ct&lt;22,$BC1498=(Elig_MatchAll_Ct-1),BA1498=0),AE1498,0)</f>
        <v>0</v>
      </c>
    </row>
    <row r="1499" spans="2:88" ht="10.15" customHeight="1" x14ac:dyDescent="0.25">
      <c r="B1499" s="1554" t="s">
        <v>3772</v>
      </c>
      <c r="C1499" s="1554" t="str">
        <f t="shared" si="511"/>
        <v xml:space="preserve">  NOO</v>
      </c>
      <c r="D1499" s="1554" t="s">
        <v>2764</v>
      </c>
      <c r="E1499" s="1554" t="s">
        <v>167</v>
      </c>
      <c r="F1499" s="1554" t="s">
        <v>2765</v>
      </c>
      <c r="G1499" s="1554" t="s">
        <v>2810</v>
      </c>
      <c r="H1499" s="1554" t="s">
        <v>2767</v>
      </c>
      <c r="I1499" s="1555" t="s">
        <v>16</v>
      </c>
      <c r="J1499" s="1555" t="s">
        <v>1311</v>
      </c>
      <c r="K1499" s="1555" t="s">
        <v>3023</v>
      </c>
      <c r="L1499" s="1554" t="s">
        <v>3920</v>
      </c>
      <c r="M1499" s="1554" t="s">
        <v>4203</v>
      </c>
      <c r="N1499" s="1554" t="s">
        <v>2685</v>
      </c>
      <c r="O1499" s="1554" t="s">
        <v>310</v>
      </c>
      <c r="P1499" s="1554" t="s">
        <v>291</v>
      </c>
      <c r="Q1499" s="1554" t="s">
        <v>294</v>
      </c>
      <c r="R1499" s="1554">
        <v>1000000.01</v>
      </c>
      <c r="S1499" s="1554">
        <v>1500000</v>
      </c>
      <c r="T1499" s="1554">
        <v>0</v>
      </c>
      <c r="U1499" s="1554">
        <v>1000000</v>
      </c>
      <c r="V1499" s="1554">
        <v>0</v>
      </c>
      <c r="W1499" s="1554">
        <v>50</v>
      </c>
      <c r="X1499" s="1554">
        <v>0</v>
      </c>
      <c r="Y1499" s="1554">
        <v>0</v>
      </c>
      <c r="Z1499" s="1556">
        <v>660</v>
      </c>
      <c r="AA1499" s="1556">
        <v>679</v>
      </c>
      <c r="AB1499" s="1556">
        <v>3</v>
      </c>
      <c r="AC1499" s="1556">
        <v>999999</v>
      </c>
      <c r="AD1499" s="1554">
        <v>0</v>
      </c>
      <c r="AE1499" s="1557">
        <v>75</v>
      </c>
      <c r="AF1499" s="170">
        <v>0</v>
      </c>
      <c r="AG1499" s="171">
        <v>1</v>
      </c>
      <c r="AH1499" s="171">
        <v>1</v>
      </c>
      <c r="AI1499" s="171">
        <v>1</v>
      </c>
      <c r="AJ1499" s="171">
        <v>1</v>
      </c>
      <c r="AK1499" s="171">
        <v>1</v>
      </c>
      <c r="AL1499" s="171">
        <v>1</v>
      </c>
      <c r="AM1499" s="171">
        <v>1</v>
      </c>
      <c r="AN1499" s="171">
        <v>1</v>
      </c>
      <c r="AO1499" s="171">
        <v>1</v>
      </c>
      <c r="AP1499" s="171">
        <v>1</v>
      </c>
      <c r="AQ1499" s="171">
        <v>1</v>
      </c>
      <c r="AR1499" s="171">
        <v>1</v>
      </c>
      <c r="AS1499" s="171">
        <v>1</v>
      </c>
      <c r="AT1499" s="171">
        <v>1</v>
      </c>
      <c r="AU1499" s="171">
        <f t="shared" si="502"/>
        <v>0</v>
      </c>
      <c r="AV1499" s="171">
        <f t="shared" si="503"/>
        <v>1</v>
      </c>
      <c r="AW1499" s="171">
        <f t="shared" si="504"/>
        <v>1</v>
      </c>
      <c r="AX1499" s="171">
        <f t="shared" si="512"/>
        <v>1</v>
      </c>
      <c r="AY1499" s="171">
        <f t="shared" si="505"/>
        <v>0</v>
      </c>
      <c r="AZ1499" s="171">
        <f t="shared" si="506"/>
        <v>1</v>
      </c>
      <c r="BA1499" s="172">
        <f t="shared" si="507"/>
        <v>1</v>
      </c>
      <c r="BB1499" s="175">
        <f t="shared" si="508"/>
        <v>19</v>
      </c>
      <c r="BC1499" s="176">
        <f t="shared" si="509"/>
        <v>18</v>
      </c>
      <c r="BD1499" s="176">
        <f t="shared" si="510"/>
        <v>19</v>
      </c>
      <c r="BE1499" s="240" t="str">
        <f t="shared" si="501"/>
        <v/>
      </c>
      <c r="BF1499" s="990"/>
      <c r="BG1499" s="990"/>
      <c r="BH1499" s="991">
        <f>IF(AND(Input_Product=Elig!$C1499,Elig_MatchAll_Ct&lt;22,$BC1499=(Elig_MatchAll_Ct-1),AF1499=0),C1499,0)</f>
        <v>0</v>
      </c>
      <c r="BI1499" s="991">
        <f>IF(AND(Input_Product=Elig!$C1499,Elig_MatchAll_Ct&lt;22,$BC1499=(Elig_MatchAll_Ct-1),AG1499=0),D1499,0)</f>
        <v>0</v>
      </c>
      <c r="BJ1499" s="991">
        <f>IF(AND(Input_Product=Elig!$C1499,Elig_MatchAll_Ct&lt;22,$BC1499=(Elig_MatchAll_Ct-1),AH1499=0),E1499,0)</f>
        <v>0</v>
      </c>
      <c r="BK1499" s="991">
        <f>IF(AND(Input_Product=Elig!$C1499,Elig_MatchAll_Ct&lt;22,$BC1499=(Elig_MatchAll_Ct-1),AI1499=0),F1499,0)</f>
        <v>0</v>
      </c>
      <c r="BL1499" s="991">
        <f>IF(AND(Input_Product=Elig!$C1499,Elig_MatchAll_Ct&lt;22,$BC1499=(Elig_MatchAll_Ct-1),AJ1499=0),G1499,0)</f>
        <v>0</v>
      </c>
      <c r="BM1499" s="991">
        <f>IF(AND(Input_Product=Elig!$C1499,Elig_MatchAll_Ct&lt;22,$BC1499=(Elig_MatchAll_Ct-1),AK1499=0),H1499,0)</f>
        <v>0</v>
      </c>
      <c r="BN1499" s="991">
        <f>IF(AND(Input_Product=Elig!$C1499,Elig_MatchAll_Ct&lt;22,$BC1499=(Elig_MatchAll_Ct-1),AL1499=0),I1499,0)</f>
        <v>0</v>
      </c>
      <c r="BO1499" s="991">
        <f>IF(AND(Input_Product=Elig!$C1499,Elig_MatchAll_Ct&lt;22,$BC1499=(Elig_MatchAll_Ct-1),AM1499=0),J1499,0)</f>
        <v>0</v>
      </c>
      <c r="BP1499" s="991">
        <f>IF(AND(Input_Product=Elig!$C1499,Elig_MatchAll_Ct&lt;22,$BC1499=(Elig_MatchAll_Ct-1),AN1499=0),K1499,0)</f>
        <v>0</v>
      </c>
      <c r="BQ1499" s="991">
        <f>IF(AND(Input_Product=Elig!$C1499,Elig_MatchAll_Ct&lt;22,$BC1499=(Elig_MatchAll_Ct-1),AP1499=0),L1499,0)</f>
        <v>0</v>
      </c>
      <c r="BR1499" s="991">
        <f>IF(AND(Input_Product=Elig!$C1499,Elig_MatchAll_Ct&lt;22,$BC1499=(Elig_MatchAll_Ct-1),AO1499=0),M1499,0)</f>
        <v>0</v>
      </c>
      <c r="BS1499" s="991">
        <f>IF(AND(Input_Product=Elig!$C1499,Elig_MatchAll_Ct&lt;22,$BC1499=(Elig_MatchAll_Ct-1),AQ1499=0),N1499,0)</f>
        <v>0</v>
      </c>
      <c r="BT1499" s="991">
        <f>IF(AND(Input_Product=Elig!$C1499,Elig_MatchAll_Ct&lt;22,$BC1499=(Elig_MatchAll_Ct-1),AR1499=0),O1499,0)</f>
        <v>0</v>
      </c>
      <c r="BU1499" s="991">
        <f>IF(AND(Input_Product=Elig!$C1499,Elig_MatchAll_Ct&lt;22,$BC1499=(Elig_MatchAll_Ct-1),AS1499=0),P1499,0)</f>
        <v>0</v>
      </c>
      <c r="BV1499" s="992">
        <f>IF(AND(Input_Product=Elig!$C1499,Elig_MatchAll_Ct&lt;22,$BC1499=(Elig_MatchAll_Ct-1),AT1499=0),Q1499,0)</f>
        <v>0</v>
      </c>
      <c r="BW1499" s="993">
        <f>IF(AND(Input_Product=Elig!$C1499,Elig_MatchAll_Ct&lt;22,$BC1499=(Elig_MatchAll_Ct-1),AU1499=0),R1499,0)</f>
        <v>0</v>
      </c>
      <c r="BX1499" s="994">
        <f>IF(AND(Input_Product=Elig!$C1499,Elig_MatchAll_Ct&lt;22,$BC1499=(Elig_MatchAll_Ct-1),AU1499=0),S1499,0)</f>
        <v>0</v>
      </c>
      <c r="BY1499" s="993">
        <f>IF(AND(Input_Product=Elig!$C1499,Elig_MatchAll_Ct&lt;22,$BC1499=(Elig_MatchAll_Ct-1),AV1499=0),T1499,0)</f>
        <v>0</v>
      </c>
      <c r="BZ1499" s="994">
        <f>IF(AND(Input_Product=Elig!$C1499,Elig_MatchAll_Ct&lt;22,$BC1499=(Elig_MatchAll_Ct-1),AV1499=0),U1499,0)</f>
        <v>0</v>
      </c>
      <c r="CA1499" s="993">
        <f>IF(AND(Input_Product=Elig!$C1499,Elig_MatchAll_Ct&lt;22,$BC1499=(Elig_MatchAll_Ct-1),AW1499=0),V1499,0)</f>
        <v>0</v>
      </c>
      <c r="CB1499" s="994">
        <f>IF(AND(Input_Product=Elig!$C1499,Elig_MatchAll_Ct&lt;22,$BC1499=(Elig_MatchAll_Ct-1),AW1499=0),W1499,0)</f>
        <v>0</v>
      </c>
      <c r="CC1499" s="993">
        <f>IF(AND(Input_Product=Elig!$C1499,Elig_MatchAll_Ct&lt;22,$BC1499=(Elig_MatchAll_Ct-1),AX1499=0),X1499,0)</f>
        <v>0</v>
      </c>
      <c r="CD1499" s="994">
        <f>IF(AND(Input_Product=Elig!$C1499,Elig_MatchAll_Ct&lt;22,$BC1499=(Elig_MatchAll_Ct-1),AX1499=0),Y1499,0)</f>
        <v>0</v>
      </c>
      <c r="CE1499" s="993">
        <f>IF(AND(Input_LTV&lt;=AE1499,Input_Product=Elig!$C1499,Elig_MatchAll_Ct&lt;22,$BC1499=(Elig_MatchAll_Ct-1),AY1499=0),Z1499,0)</f>
        <v>0</v>
      </c>
      <c r="CF1499" s="994">
        <f>IF(AND(Input_LTV&lt;=AE1499,Input_Product=Elig!$C1499,Elig_MatchAll_Ct&lt;22,$BC1499=(Elig_MatchAll_Ct-1),AY1499=0),AA1499,0)</f>
        <v>0</v>
      </c>
      <c r="CG1499" s="993">
        <f>IF(AND(Input_Product=Elig!$C1499,Elig_MatchAll_Ct&lt;22,$BC1499=(Elig_MatchAll_Ct-1),AZ1499=0),AB1499,0)</f>
        <v>0</v>
      </c>
      <c r="CH1499" s="994">
        <f>IF(AND(Input_Product=Elig!$C1499,Elig_MatchAll_Ct&lt;22,$BC1499=(Elig_MatchAll_Ct-1),AZ1499=0),AC1499,0)</f>
        <v>0</v>
      </c>
      <c r="CI1499" s="993">
        <f>IF(AND(Input_Product=Elig!$C1499,Elig_MatchAll_Ct&lt;22,$BC1499=(Elig_MatchAll_Ct-1),BA1499=0),AD1499,0)</f>
        <v>0</v>
      </c>
      <c r="CJ1499" s="994">
        <f>IF(AND(Input_Product=Elig!$C1499,Elig_MatchAll_Ct&lt;22,$BC1499=(Elig_MatchAll_Ct-1),BA1499=0),AE1499,0)</f>
        <v>0</v>
      </c>
    </row>
    <row r="1500" spans="2:88" ht="10.15" customHeight="1" x14ac:dyDescent="0.25">
      <c r="B1500" s="1554" t="s">
        <v>3773</v>
      </c>
      <c r="C1500" s="1554" t="str">
        <f t="shared" si="511"/>
        <v xml:space="preserve">  NOO</v>
      </c>
      <c r="D1500" s="1554" t="s">
        <v>2764</v>
      </c>
      <c r="E1500" s="1554" t="s">
        <v>167</v>
      </c>
      <c r="F1500" s="1554" t="s">
        <v>2765</v>
      </c>
      <c r="G1500" s="1554" t="s">
        <v>2810</v>
      </c>
      <c r="H1500" s="1554" t="s">
        <v>2767</v>
      </c>
      <c r="I1500" s="1555" t="s">
        <v>16</v>
      </c>
      <c r="J1500" s="1555" t="s">
        <v>1311</v>
      </c>
      <c r="K1500" s="1555" t="s">
        <v>3023</v>
      </c>
      <c r="L1500" s="1554" t="s">
        <v>3920</v>
      </c>
      <c r="M1500" s="1554" t="s">
        <v>4203</v>
      </c>
      <c r="N1500" s="1554" t="s">
        <v>2685</v>
      </c>
      <c r="O1500" s="1554" t="s">
        <v>310</v>
      </c>
      <c r="P1500" s="1554" t="s">
        <v>291</v>
      </c>
      <c r="Q1500" s="1554" t="s">
        <v>294</v>
      </c>
      <c r="R1500" s="1554">
        <v>1500000.01</v>
      </c>
      <c r="S1500" s="1554">
        <v>2000000</v>
      </c>
      <c r="T1500" s="1554">
        <v>0</v>
      </c>
      <c r="U1500" s="1554">
        <v>1000000</v>
      </c>
      <c r="V1500" s="1554">
        <v>0</v>
      </c>
      <c r="W1500" s="1554">
        <v>50</v>
      </c>
      <c r="X1500" s="1554">
        <v>0</v>
      </c>
      <c r="Y1500" s="1554">
        <v>0</v>
      </c>
      <c r="Z1500" s="1556">
        <v>660</v>
      </c>
      <c r="AA1500" s="1556">
        <v>679</v>
      </c>
      <c r="AB1500" s="1556">
        <v>3</v>
      </c>
      <c r="AC1500" s="1556">
        <v>999999</v>
      </c>
      <c r="AD1500" s="1554">
        <v>0</v>
      </c>
      <c r="AE1500" s="1557">
        <v>65</v>
      </c>
      <c r="AF1500" s="170">
        <v>0</v>
      </c>
      <c r="AG1500" s="171">
        <v>1</v>
      </c>
      <c r="AH1500" s="171">
        <v>1</v>
      </c>
      <c r="AI1500" s="171">
        <v>1</v>
      </c>
      <c r="AJ1500" s="171">
        <v>1</v>
      </c>
      <c r="AK1500" s="171">
        <v>1</v>
      </c>
      <c r="AL1500" s="171">
        <v>1</v>
      </c>
      <c r="AM1500" s="171">
        <v>1</v>
      </c>
      <c r="AN1500" s="171">
        <v>1</v>
      </c>
      <c r="AO1500" s="171">
        <v>1</v>
      </c>
      <c r="AP1500" s="171">
        <v>1</v>
      </c>
      <c r="AQ1500" s="171">
        <v>1</v>
      </c>
      <c r="AR1500" s="171">
        <v>1</v>
      </c>
      <c r="AS1500" s="171">
        <v>1</v>
      </c>
      <c r="AT1500" s="171">
        <v>1</v>
      </c>
      <c r="AU1500" s="171">
        <f t="shared" si="502"/>
        <v>0</v>
      </c>
      <c r="AV1500" s="171">
        <f t="shared" si="503"/>
        <v>1</v>
      </c>
      <c r="AW1500" s="171">
        <f t="shared" si="504"/>
        <v>1</v>
      </c>
      <c r="AX1500" s="171">
        <f t="shared" si="512"/>
        <v>1</v>
      </c>
      <c r="AY1500" s="171">
        <f t="shared" si="505"/>
        <v>0</v>
      </c>
      <c r="AZ1500" s="171">
        <f t="shared" si="506"/>
        <v>1</v>
      </c>
      <c r="BA1500" s="172">
        <f t="shared" si="507"/>
        <v>1</v>
      </c>
      <c r="BB1500" s="175">
        <f t="shared" si="508"/>
        <v>19</v>
      </c>
      <c r="BC1500" s="176">
        <f t="shared" si="509"/>
        <v>18</v>
      </c>
      <c r="BD1500" s="176">
        <f t="shared" si="510"/>
        <v>19</v>
      </c>
      <c r="BE1500" s="240" t="str">
        <f t="shared" si="501"/>
        <v/>
      </c>
      <c r="BF1500" s="990"/>
      <c r="BG1500" s="990"/>
      <c r="BH1500" s="991">
        <f>IF(AND(Input_Product=Elig!$C1500,Elig_MatchAll_Ct&lt;22,$BC1500=(Elig_MatchAll_Ct-1),AF1500=0),C1500,0)</f>
        <v>0</v>
      </c>
      <c r="BI1500" s="991">
        <f>IF(AND(Input_Product=Elig!$C1500,Elig_MatchAll_Ct&lt;22,$BC1500=(Elig_MatchAll_Ct-1),AG1500=0),D1500,0)</f>
        <v>0</v>
      </c>
      <c r="BJ1500" s="991">
        <f>IF(AND(Input_Product=Elig!$C1500,Elig_MatchAll_Ct&lt;22,$BC1500=(Elig_MatchAll_Ct-1),AH1500=0),E1500,0)</f>
        <v>0</v>
      </c>
      <c r="BK1500" s="991">
        <f>IF(AND(Input_Product=Elig!$C1500,Elig_MatchAll_Ct&lt;22,$BC1500=(Elig_MatchAll_Ct-1),AI1500=0),F1500,0)</f>
        <v>0</v>
      </c>
      <c r="BL1500" s="991">
        <f>IF(AND(Input_Product=Elig!$C1500,Elig_MatchAll_Ct&lt;22,$BC1500=(Elig_MatchAll_Ct-1),AJ1500=0),G1500,0)</f>
        <v>0</v>
      </c>
      <c r="BM1500" s="991">
        <f>IF(AND(Input_Product=Elig!$C1500,Elig_MatchAll_Ct&lt;22,$BC1500=(Elig_MatchAll_Ct-1),AK1500=0),H1500,0)</f>
        <v>0</v>
      </c>
      <c r="BN1500" s="991">
        <f>IF(AND(Input_Product=Elig!$C1500,Elig_MatchAll_Ct&lt;22,$BC1500=(Elig_MatchAll_Ct-1),AL1500=0),I1500,0)</f>
        <v>0</v>
      </c>
      <c r="BO1500" s="991">
        <f>IF(AND(Input_Product=Elig!$C1500,Elig_MatchAll_Ct&lt;22,$BC1500=(Elig_MatchAll_Ct-1),AM1500=0),J1500,0)</f>
        <v>0</v>
      </c>
      <c r="BP1500" s="991">
        <f>IF(AND(Input_Product=Elig!$C1500,Elig_MatchAll_Ct&lt;22,$BC1500=(Elig_MatchAll_Ct-1),AN1500=0),K1500,0)</f>
        <v>0</v>
      </c>
      <c r="BQ1500" s="991">
        <f>IF(AND(Input_Product=Elig!$C1500,Elig_MatchAll_Ct&lt;22,$BC1500=(Elig_MatchAll_Ct-1),AP1500=0),L1500,0)</f>
        <v>0</v>
      </c>
      <c r="BR1500" s="991">
        <f>IF(AND(Input_Product=Elig!$C1500,Elig_MatchAll_Ct&lt;22,$BC1500=(Elig_MatchAll_Ct-1),AO1500=0),M1500,0)</f>
        <v>0</v>
      </c>
      <c r="BS1500" s="991">
        <f>IF(AND(Input_Product=Elig!$C1500,Elig_MatchAll_Ct&lt;22,$BC1500=(Elig_MatchAll_Ct-1),AQ1500=0),N1500,0)</f>
        <v>0</v>
      </c>
      <c r="BT1500" s="991">
        <f>IF(AND(Input_Product=Elig!$C1500,Elig_MatchAll_Ct&lt;22,$BC1500=(Elig_MatchAll_Ct-1),AR1500=0),O1500,0)</f>
        <v>0</v>
      </c>
      <c r="BU1500" s="991">
        <f>IF(AND(Input_Product=Elig!$C1500,Elig_MatchAll_Ct&lt;22,$BC1500=(Elig_MatchAll_Ct-1),AS1500=0),P1500,0)</f>
        <v>0</v>
      </c>
      <c r="BV1500" s="992">
        <f>IF(AND(Input_Product=Elig!$C1500,Elig_MatchAll_Ct&lt;22,$BC1500=(Elig_MatchAll_Ct-1),AT1500=0),Q1500,0)</f>
        <v>0</v>
      </c>
      <c r="BW1500" s="993">
        <f>IF(AND(Input_Product=Elig!$C1500,Elig_MatchAll_Ct&lt;22,$BC1500=(Elig_MatchAll_Ct-1),AU1500=0),R1500,0)</f>
        <v>0</v>
      </c>
      <c r="BX1500" s="994">
        <f>IF(AND(Input_Product=Elig!$C1500,Elig_MatchAll_Ct&lt;22,$BC1500=(Elig_MatchAll_Ct-1),AU1500=0),S1500,0)</f>
        <v>0</v>
      </c>
      <c r="BY1500" s="993">
        <f>IF(AND(Input_Product=Elig!$C1500,Elig_MatchAll_Ct&lt;22,$BC1500=(Elig_MatchAll_Ct-1),AV1500=0),T1500,0)</f>
        <v>0</v>
      </c>
      <c r="BZ1500" s="994">
        <f>IF(AND(Input_Product=Elig!$C1500,Elig_MatchAll_Ct&lt;22,$BC1500=(Elig_MatchAll_Ct-1),AV1500=0),U1500,0)</f>
        <v>0</v>
      </c>
      <c r="CA1500" s="993">
        <f>IF(AND(Input_Product=Elig!$C1500,Elig_MatchAll_Ct&lt;22,$BC1500=(Elig_MatchAll_Ct-1),AW1500=0),V1500,0)</f>
        <v>0</v>
      </c>
      <c r="CB1500" s="994">
        <f>IF(AND(Input_Product=Elig!$C1500,Elig_MatchAll_Ct&lt;22,$BC1500=(Elig_MatchAll_Ct-1),AW1500=0),W1500,0)</f>
        <v>0</v>
      </c>
      <c r="CC1500" s="993">
        <f>IF(AND(Input_Product=Elig!$C1500,Elig_MatchAll_Ct&lt;22,$BC1500=(Elig_MatchAll_Ct-1),AX1500=0),X1500,0)</f>
        <v>0</v>
      </c>
      <c r="CD1500" s="994">
        <f>IF(AND(Input_Product=Elig!$C1500,Elig_MatchAll_Ct&lt;22,$BC1500=(Elig_MatchAll_Ct-1),AX1500=0),Y1500,0)</f>
        <v>0</v>
      </c>
      <c r="CE1500" s="993">
        <f>IF(AND(Input_LTV&lt;=AE1500,Input_Product=Elig!$C1500,Elig_MatchAll_Ct&lt;22,$BC1500=(Elig_MatchAll_Ct-1),AY1500=0),Z1500,0)</f>
        <v>0</v>
      </c>
      <c r="CF1500" s="994">
        <f>IF(AND(Input_LTV&lt;=AE1500,Input_Product=Elig!$C1500,Elig_MatchAll_Ct&lt;22,$BC1500=(Elig_MatchAll_Ct-1),AY1500=0),AA1500,0)</f>
        <v>0</v>
      </c>
      <c r="CG1500" s="993">
        <f>IF(AND(Input_Product=Elig!$C1500,Elig_MatchAll_Ct&lt;22,$BC1500=(Elig_MatchAll_Ct-1),AZ1500=0),AB1500,0)</f>
        <v>0</v>
      </c>
      <c r="CH1500" s="994">
        <f>IF(AND(Input_Product=Elig!$C1500,Elig_MatchAll_Ct&lt;22,$BC1500=(Elig_MatchAll_Ct-1),AZ1500=0),AC1500,0)</f>
        <v>0</v>
      </c>
      <c r="CI1500" s="993">
        <f>IF(AND(Input_Product=Elig!$C1500,Elig_MatchAll_Ct&lt;22,$BC1500=(Elig_MatchAll_Ct-1),BA1500=0),AD1500,0)</f>
        <v>0</v>
      </c>
      <c r="CJ1500" s="994">
        <f>IF(AND(Input_Product=Elig!$C1500,Elig_MatchAll_Ct&lt;22,$BC1500=(Elig_MatchAll_Ct-1),BA1500=0),AE1500,0)</f>
        <v>0</v>
      </c>
    </row>
    <row r="1501" spans="2:88" ht="10.15" customHeight="1" x14ac:dyDescent="0.25">
      <c r="B1501" s="1554" t="s">
        <v>3774</v>
      </c>
      <c r="C1501" s="1554" t="str">
        <f t="shared" si="511"/>
        <v xml:space="preserve">  NOO</v>
      </c>
      <c r="D1501" s="1554" t="s">
        <v>2764</v>
      </c>
      <c r="E1501" s="1554" t="s">
        <v>167</v>
      </c>
      <c r="F1501" s="1554" t="s">
        <v>2765</v>
      </c>
      <c r="G1501" s="1554" t="s">
        <v>2810</v>
      </c>
      <c r="H1501" s="1554" t="s">
        <v>2767</v>
      </c>
      <c r="I1501" s="1555" t="s">
        <v>16</v>
      </c>
      <c r="J1501" s="1555" t="s">
        <v>1311</v>
      </c>
      <c r="K1501" s="1555" t="s">
        <v>3023</v>
      </c>
      <c r="L1501" s="1554" t="s">
        <v>3920</v>
      </c>
      <c r="M1501" s="1554" t="s">
        <v>4203</v>
      </c>
      <c r="N1501" s="1554" t="s">
        <v>2685</v>
      </c>
      <c r="O1501" s="1554" t="s">
        <v>310</v>
      </c>
      <c r="P1501" s="1554" t="s">
        <v>291</v>
      </c>
      <c r="Q1501" s="1554" t="s">
        <v>294</v>
      </c>
      <c r="R1501" s="1554">
        <v>150000</v>
      </c>
      <c r="S1501" s="1554">
        <v>1000000</v>
      </c>
      <c r="T1501" s="1554">
        <v>0</v>
      </c>
      <c r="U1501" s="1554">
        <v>1000000</v>
      </c>
      <c r="V1501" s="1554">
        <v>0</v>
      </c>
      <c r="W1501" s="1554">
        <v>50</v>
      </c>
      <c r="X1501" s="1554">
        <v>0</v>
      </c>
      <c r="Y1501" s="1554">
        <v>0</v>
      </c>
      <c r="Z1501" s="1556">
        <v>640</v>
      </c>
      <c r="AA1501" s="1556">
        <v>659</v>
      </c>
      <c r="AB1501" s="1556">
        <v>3</v>
      </c>
      <c r="AC1501" s="1556">
        <v>999999</v>
      </c>
      <c r="AD1501" s="1554">
        <v>0</v>
      </c>
      <c r="AE1501" s="1557">
        <v>70</v>
      </c>
      <c r="AF1501" s="170">
        <v>0</v>
      </c>
      <c r="AG1501" s="171">
        <v>1</v>
      </c>
      <c r="AH1501" s="171">
        <v>1</v>
      </c>
      <c r="AI1501" s="171">
        <v>1</v>
      </c>
      <c r="AJ1501" s="171">
        <v>1</v>
      </c>
      <c r="AK1501" s="171">
        <v>1</v>
      </c>
      <c r="AL1501" s="171">
        <v>1</v>
      </c>
      <c r="AM1501" s="171">
        <v>1</v>
      </c>
      <c r="AN1501" s="171">
        <v>1</v>
      </c>
      <c r="AO1501" s="171">
        <v>1</v>
      </c>
      <c r="AP1501" s="171">
        <v>1</v>
      </c>
      <c r="AQ1501" s="171">
        <v>1</v>
      </c>
      <c r="AR1501" s="171">
        <v>1</v>
      </c>
      <c r="AS1501" s="171">
        <v>1</v>
      </c>
      <c r="AT1501" s="171">
        <v>1</v>
      </c>
      <c r="AU1501" s="171">
        <f t="shared" si="502"/>
        <v>1</v>
      </c>
      <c r="AV1501" s="171">
        <f t="shared" si="503"/>
        <v>1</v>
      </c>
      <c r="AW1501" s="171">
        <f t="shared" si="504"/>
        <v>1</v>
      </c>
      <c r="AX1501" s="171">
        <f t="shared" si="512"/>
        <v>1</v>
      </c>
      <c r="AY1501" s="171">
        <f t="shared" si="505"/>
        <v>0</v>
      </c>
      <c r="AZ1501" s="171">
        <f t="shared" si="506"/>
        <v>1</v>
      </c>
      <c r="BA1501" s="172">
        <f t="shared" si="507"/>
        <v>1</v>
      </c>
      <c r="BB1501" s="175">
        <f t="shared" si="508"/>
        <v>20</v>
      </c>
      <c r="BC1501" s="176">
        <f t="shared" si="509"/>
        <v>19</v>
      </c>
      <c r="BD1501" s="176">
        <f t="shared" si="510"/>
        <v>20</v>
      </c>
      <c r="BE1501" s="240" t="str">
        <f t="shared" si="501"/>
        <v/>
      </c>
      <c r="BF1501" s="990"/>
      <c r="BG1501" s="990"/>
      <c r="BH1501" s="991">
        <f>IF(AND(Input_Product=Elig!$C1501,Elig_MatchAll_Ct&lt;22,$BC1501=(Elig_MatchAll_Ct-1),AF1501=0),C1501,0)</f>
        <v>0</v>
      </c>
      <c r="BI1501" s="991">
        <f>IF(AND(Input_Product=Elig!$C1501,Elig_MatchAll_Ct&lt;22,$BC1501=(Elig_MatchAll_Ct-1),AG1501=0),D1501,0)</f>
        <v>0</v>
      </c>
      <c r="BJ1501" s="991">
        <f>IF(AND(Input_Product=Elig!$C1501,Elig_MatchAll_Ct&lt;22,$BC1501=(Elig_MatchAll_Ct-1),AH1501=0),E1501,0)</f>
        <v>0</v>
      </c>
      <c r="BK1501" s="991">
        <f>IF(AND(Input_Product=Elig!$C1501,Elig_MatchAll_Ct&lt;22,$BC1501=(Elig_MatchAll_Ct-1),AI1501=0),F1501,0)</f>
        <v>0</v>
      </c>
      <c r="BL1501" s="991">
        <f>IF(AND(Input_Product=Elig!$C1501,Elig_MatchAll_Ct&lt;22,$BC1501=(Elig_MatchAll_Ct-1),AJ1501=0),G1501,0)</f>
        <v>0</v>
      </c>
      <c r="BM1501" s="991">
        <f>IF(AND(Input_Product=Elig!$C1501,Elig_MatchAll_Ct&lt;22,$BC1501=(Elig_MatchAll_Ct-1),AK1501=0),H1501,0)</f>
        <v>0</v>
      </c>
      <c r="BN1501" s="991">
        <f>IF(AND(Input_Product=Elig!$C1501,Elig_MatchAll_Ct&lt;22,$BC1501=(Elig_MatchAll_Ct-1),AL1501=0),I1501,0)</f>
        <v>0</v>
      </c>
      <c r="BO1501" s="991">
        <f>IF(AND(Input_Product=Elig!$C1501,Elig_MatchAll_Ct&lt;22,$BC1501=(Elig_MatchAll_Ct-1),AM1501=0),J1501,0)</f>
        <v>0</v>
      </c>
      <c r="BP1501" s="991">
        <f>IF(AND(Input_Product=Elig!$C1501,Elig_MatchAll_Ct&lt;22,$BC1501=(Elig_MatchAll_Ct-1),AN1501=0),K1501,0)</f>
        <v>0</v>
      </c>
      <c r="BQ1501" s="991">
        <f>IF(AND(Input_Product=Elig!$C1501,Elig_MatchAll_Ct&lt;22,$BC1501=(Elig_MatchAll_Ct-1),AP1501=0),L1501,0)</f>
        <v>0</v>
      </c>
      <c r="BR1501" s="991">
        <f>IF(AND(Input_Product=Elig!$C1501,Elig_MatchAll_Ct&lt;22,$BC1501=(Elig_MatchAll_Ct-1),AO1501=0),M1501,0)</f>
        <v>0</v>
      </c>
      <c r="BS1501" s="991">
        <f>IF(AND(Input_Product=Elig!$C1501,Elig_MatchAll_Ct&lt;22,$BC1501=(Elig_MatchAll_Ct-1),AQ1501=0),N1501,0)</f>
        <v>0</v>
      </c>
      <c r="BT1501" s="991">
        <f>IF(AND(Input_Product=Elig!$C1501,Elig_MatchAll_Ct&lt;22,$BC1501=(Elig_MatchAll_Ct-1),AR1501=0),O1501,0)</f>
        <v>0</v>
      </c>
      <c r="BU1501" s="991">
        <f>IF(AND(Input_Product=Elig!$C1501,Elig_MatchAll_Ct&lt;22,$BC1501=(Elig_MatchAll_Ct-1),AS1501=0),P1501,0)</f>
        <v>0</v>
      </c>
      <c r="BV1501" s="992">
        <f>IF(AND(Input_Product=Elig!$C1501,Elig_MatchAll_Ct&lt;22,$BC1501=(Elig_MatchAll_Ct-1),AT1501=0),Q1501,0)</f>
        <v>0</v>
      </c>
      <c r="BW1501" s="993">
        <f>IF(AND(Input_Product=Elig!$C1501,Elig_MatchAll_Ct&lt;22,$BC1501=(Elig_MatchAll_Ct-1),AU1501=0),R1501,0)</f>
        <v>0</v>
      </c>
      <c r="BX1501" s="994">
        <f>IF(AND(Input_Product=Elig!$C1501,Elig_MatchAll_Ct&lt;22,$BC1501=(Elig_MatchAll_Ct-1),AU1501=0),S1501,0)</f>
        <v>0</v>
      </c>
      <c r="BY1501" s="993">
        <f>IF(AND(Input_Product=Elig!$C1501,Elig_MatchAll_Ct&lt;22,$BC1501=(Elig_MatchAll_Ct-1),AV1501=0),T1501,0)</f>
        <v>0</v>
      </c>
      <c r="BZ1501" s="994">
        <f>IF(AND(Input_Product=Elig!$C1501,Elig_MatchAll_Ct&lt;22,$BC1501=(Elig_MatchAll_Ct-1),AV1501=0),U1501,0)</f>
        <v>0</v>
      </c>
      <c r="CA1501" s="993">
        <f>IF(AND(Input_Product=Elig!$C1501,Elig_MatchAll_Ct&lt;22,$BC1501=(Elig_MatchAll_Ct-1),AW1501=0),V1501,0)</f>
        <v>0</v>
      </c>
      <c r="CB1501" s="994">
        <f>IF(AND(Input_Product=Elig!$C1501,Elig_MatchAll_Ct&lt;22,$BC1501=(Elig_MatchAll_Ct-1),AW1501=0),W1501,0)</f>
        <v>0</v>
      </c>
      <c r="CC1501" s="993">
        <f>IF(AND(Input_Product=Elig!$C1501,Elig_MatchAll_Ct&lt;22,$BC1501=(Elig_MatchAll_Ct-1),AX1501=0),X1501,0)</f>
        <v>0</v>
      </c>
      <c r="CD1501" s="994">
        <f>IF(AND(Input_Product=Elig!$C1501,Elig_MatchAll_Ct&lt;22,$BC1501=(Elig_MatchAll_Ct-1),AX1501=0),Y1501,0)</f>
        <v>0</v>
      </c>
      <c r="CE1501" s="993">
        <f>IF(AND(Input_LTV&lt;=AE1501,Input_Product=Elig!$C1501,Elig_MatchAll_Ct&lt;22,$BC1501=(Elig_MatchAll_Ct-1),AY1501=0),Z1501,0)</f>
        <v>0</v>
      </c>
      <c r="CF1501" s="994">
        <f>IF(AND(Input_LTV&lt;=AE1501,Input_Product=Elig!$C1501,Elig_MatchAll_Ct&lt;22,$BC1501=(Elig_MatchAll_Ct-1),AY1501=0),AA1501,0)</f>
        <v>0</v>
      </c>
      <c r="CG1501" s="993">
        <f>IF(AND(Input_Product=Elig!$C1501,Elig_MatchAll_Ct&lt;22,$BC1501=(Elig_MatchAll_Ct-1),AZ1501=0),AB1501,0)</f>
        <v>0</v>
      </c>
      <c r="CH1501" s="994">
        <f>IF(AND(Input_Product=Elig!$C1501,Elig_MatchAll_Ct&lt;22,$BC1501=(Elig_MatchAll_Ct-1),AZ1501=0),AC1501,0)</f>
        <v>0</v>
      </c>
      <c r="CI1501" s="993">
        <f>IF(AND(Input_Product=Elig!$C1501,Elig_MatchAll_Ct&lt;22,$BC1501=(Elig_MatchAll_Ct-1),BA1501=0),AD1501,0)</f>
        <v>0</v>
      </c>
      <c r="CJ1501" s="994">
        <f>IF(AND(Input_Product=Elig!$C1501,Elig_MatchAll_Ct&lt;22,$BC1501=(Elig_MatchAll_Ct-1),BA1501=0),AE1501,0)</f>
        <v>0</v>
      </c>
    </row>
    <row r="1502" spans="2:88" ht="10.15" customHeight="1" x14ac:dyDescent="0.25">
      <c r="B1502" s="1562" t="s">
        <v>2850</v>
      </c>
      <c r="C1502" s="1562" t="str">
        <f t="shared" ref="C1502:C1533" si="513">Input_Name_Product18&amp;" NOO"</f>
        <v xml:space="preserve">  NOO</v>
      </c>
      <c r="D1502" s="1562" t="s">
        <v>2764</v>
      </c>
      <c r="E1502" s="1562" t="s">
        <v>167</v>
      </c>
      <c r="F1502" s="1562" t="s">
        <v>330</v>
      </c>
      <c r="G1502" s="1563" t="s">
        <v>181</v>
      </c>
      <c r="H1502" s="1562" t="s">
        <v>136</v>
      </c>
      <c r="I1502" s="1564" t="s">
        <v>34</v>
      </c>
      <c r="J1502" s="1564" t="s">
        <v>1311</v>
      </c>
      <c r="K1502" s="1564" t="s">
        <v>3023</v>
      </c>
      <c r="L1502" s="1562" t="s">
        <v>312</v>
      </c>
      <c r="M1502" s="1562" t="s">
        <v>4204</v>
      </c>
      <c r="N1502" s="1562" t="s">
        <v>2685</v>
      </c>
      <c r="O1502" s="1562" t="s">
        <v>310</v>
      </c>
      <c r="P1502" s="1562" t="s">
        <v>291</v>
      </c>
      <c r="Q1502" s="1562" t="s">
        <v>294</v>
      </c>
      <c r="R1502" s="1562">
        <v>100000</v>
      </c>
      <c r="S1502" s="1562">
        <v>1000000</v>
      </c>
      <c r="T1502" s="1562">
        <v>0</v>
      </c>
      <c r="U1502" s="1562">
        <v>0</v>
      </c>
      <c r="V1502" s="1562">
        <v>0</v>
      </c>
      <c r="W1502" s="1562">
        <v>0</v>
      </c>
      <c r="X1502" s="1562">
        <v>1</v>
      </c>
      <c r="Y1502" s="1562">
        <v>999</v>
      </c>
      <c r="Z1502" s="1565">
        <v>700</v>
      </c>
      <c r="AA1502" s="1565">
        <v>999</v>
      </c>
      <c r="AB1502" s="1565">
        <v>2</v>
      </c>
      <c r="AC1502" s="1565">
        <v>999999</v>
      </c>
      <c r="AD1502" s="1562">
        <v>0</v>
      </c>
      <c r="AE1502" s="1566">
        <v>80</v>
      </c>
      <c r="AF1502" s="170">
        <v>0</v>
      </c>
      <c r="AG1502" s="171">
        <v>1</v>
      </c>
      <c r="AH1502" s="171">
        <v>1</v>
      </c>
      <c r="AI1502" s="171">
        <v>0</v>
      </c>
      <c r="AJ1502" s="171">
        <v>0</v>
      </c>
      <c r="AK1502" s="171">
        <v>1</v>
      </c>
      <c r="AL1502" s="171">
        <v>0</v>
      </c>
      <c r="AM1502" s="171">
        <v>1</v>
      </c>
      <c r="AN1502" s="171">
        <v>1</v>
      </c>
      <c r="AO1502" s="171">
        <v>1</v>
      </c>
      <c r="AP1502" s="171">
        <v>1</v>
      </c>
      <c r="AQ1502" s="171">
        <v>1</v>
      </c>
      <c r="AR1502" s="171">
        <v>1</v>
      </c>
      <c r="AS1502" s="171">
        <v>1</v>
      </c>
      <c r="AT1502" s="171">
        <v>1</v>
      </c>
      <c r="AU1502" s="171">
        <f t="shared" si="502"/>
        <v>1</v>
      </c>
      <c r="AV1502" s="171">
        <f t="shared" si="503"/>
        <v>0</v>
      </c>
      <c r="AW1502" s="171">
        <f t="shared" si="504"/>
        <v>0</v>
      </c>
      <c r="AX1502" s="171">
        <f t="shared" si="512"/>
        <v>0</v>
      </c>
      <c r="AY1502" s="171">
        <f t="shared" si="505"/>
        <v>1</v>
      </c>
      <c r="AZ1502" s="171">
        <f t="shared" si="506"/>
        <v>1</v>
      </c>
      <c r="BA1502" s="172">
        <f t="shared" si="507"/>
        <v>1</v>
      </c>
      <c r="BB1502" s="175">
        <f t="shared" si="508"/>
        <v>15</v>
      </c>
      <c r="BC1502" s="176">
        <f t="shared" si="509"/>
        <v>14</v>
      </c>
      <c r="BD1502" s="176">
        <f t="shared" si="510"/>
        <v>15</v>
      </c>
      <c r="BE1502" s="240" t="str">
        <f t="shared" si="501"/>
        <v/>
      </c>
      <c r="BF1502" s="990"/>
      <c r="BG1502" s="990"/>
      <c r="BH1502" s="991">
        <f>IF(AND(Input_Product=Elig!$C1502,Elig_MatchAll_Ct&lt;22,$BC1502=(Elig_MatchAll_Ct-1),AF1502=0),C1502,0)</f>
        <v>0</v>
      </c>
      <c r="BI1502" s="991">
        <f>IF(AND(Input_Product=Elig!$C1502,Elig_MatchAll_Ct&lt;22,$BC1502=(Elig_MatchAll_Ct-1),AG1502=0),D1502,0)</f>
        <v>0</v>
      </c>
      <c r="BJ1502" s="991">
        <f>IF(AND(Input_Product=Elig!$C1502,Elig_MatchAll_Ct&lt;22,$BC1502=(Elig_MatchAll_Ct-1),AH1502=0),E1502,0)</f>
        <v>0</v>
      </c>
      <c r="BK1502" s="991">
        <f>IF(AND(Input_Product=Elig!$C1502,Elig_MatchAll_Ct&lt;22,$BC1502=(Elig_MatchAll_Ct-1),AI1502=0),F1502,0)</f>
        <v>0</v>
      </c>
      <c r="BL1502" s="991">
        <f>IF(AND(Input_Product=Elig!$C1502,Elig_MatchAll_Ct&lt;22,$BC1502=(Elig_MatchAll_Ct-1),AJ1502=0),G1502,0)</f>
        <v>0</v>
      </c>
      <c r="BM1502" s="991">
        <f>IF(AND(Input_Product=Elig!$C1502,Elig_MatchAll_Ct&lt;22,$BC1502=(Elig_MatchAll_Ct-1),AK1502=0),H1502,0)</f>
        <v>0</v>
      </c>
      <c r="BN1502" s="991">
        <f>IF(AND(Input_Product=Elig!$C1502,Elig_MatchAll_Ct&lt;22,$BC1502=(Elig_MatchAll_Ct-1),AL1502=0),I1502,0)</f>
        <v>0</v>
      </c>
      <c r="BO1502" s="991">
        <f>IF(AND(Input_Product=Elig!$C1502,Elig_MatchAll_Ct&lt;22,$BC1502=(Elig_MatchAll_Ct-1),AM1502=0),J1502,0)</f>
        <v>0</v>
      </c>
      <c r="BP1502" s="991">
        <f>IF(AND(Input_Product=Elig!$C1502,Elig_MatchAll_Ct&lt;22,$BC1502=(Elig_MatchAll_Ct-1),AN1502=0),K1502,0)</f>
        <v>0</v>
      </c>
      <c r="BQ1502" s="991">
        <f>IF(AND(Input_Product=Elig!$C1502,Elig_MatchAll_Ct&lt;22,$BC1502=(Elig_MatchAll_Ct-1),AP1502=0),L1502,0)</f>
        <v>0</v>
      </c>
      <c r="BR1502" s="991">
        <f>IF(AND(Input_Product=Elig!$C1502,Elig_MatchAll_Ct&lt;22,$BC1502=(Elig_MatchAll_Ct-1),AO1502=0),M1502,0)</f>
        <v>0</v>
      </c>
      <c r="BS1502" s="991">
        <f>IF(AND(Input_Product=Elig!$C1502,Elig_MatchAll_Ct&lt;22,$BC1502=(Elig_MatchAll_Ct-1),AQ1502=0),N1502,0)</f>
        <v>0</v>
      </c>
      <c r="BT1502" s="991">
        <f>IF(AND(Input_Product=Elig!$C1502,Elig_MatchAll_Ct&lt;22,$BC1502=(Elig_MatchAll_Ct-1),AR1502=0),O1502,0)</f>
        <v>0</v>
      </c>
      <c r="BU1502" s="991">
        <f>IF(AND(Input_Product=Elig!$C1502,Elig_MatchAll_Ct&lt;22,$BC1502=(Elig_MatchAll_Ct-1),AS1502=0),P1502,0)</f>
        <v>0</v>
      </c>
      <c r="BV1502" s="992">
        <f>IF(AND(Input_Product=Elig!$C1502,Elig_MatchAll_Ct&lt;22,$BC1502=(Elig_MatchAll_Ct-1),AT1502=0),Q1502,0)</f>
        <v>0</v>
      </c>
      <c r="BW1502" s="993">
        <f>IF(AND(Input_Product=Elig!$C1502,Elig_MatchAll_Ct&lt;22,$BC1502=(Elig_MatchAll_Ct-1),AU1502=0),R1502,0)</f>
        <v>0</v>
      </c>
      <c r="BX1502" s="994">
        <f>IF(AND(Input_Product=Elig!$C1502,Elig_MatchAll_Ct&lt;22,$BC1502=(Elig_MatchAll_Ct-1),AU1502=0),S1502,0)</f>
        <v>0</v>
      </c>
      <c r="BY1502" s="993">
        <f>IF(AND(Input_Product=Elig!$C1502,Elig_MatchAll_Ct&lt;22,$BC1502=(Elig_MatchAll_Ct-1),AV1502=0),T1502,0)</f>
        <v>0</v>
      </c>
      <c r="BZ1502" s="994">
        <f>IF(AND(Input_Product=Elig!$C1502,Elig_MatchAll_Ct&lt;22,$BC1502=(Elig_MatchAll_Ct-1),AV1502=0),U1502,0)</f>
        <v>0</v>
      </c>
      <c r="CA1502" s="993">
        <f>IF(AND(Input_Product=Elig!$C1502,Elig_MatchAll_Ct&lt;22,$BC1502=(Elig_MatchAll_Ct-1),AW1502=0),V1502,0)</f>
        <v>0</v>
      </c>
      <c r="CB1502" s="994">
        <f>IF(AND(Input_Product=Elig!$C1502,Elig_MatchAll_Ct&lt;22,$BC1502=(Elig_MatchAll_Ct-1),AW1502=0),W1502,0)</f>
        <v>0</v>
      </c>
      <c r="CC1502" s="993">
        <f>IF(AND(Input_Product=Elig!$C1502,Elig_MatchAll_Ct&lt;22,$BC1502=(Elig_MatchAll_Ct-1),AX1502=0),X1502,0)</f>
        <v>0</v>
      </c>
      <c r="CD1502" s="994">
        <f>IF(AND(Input_Product=Elig!$C1502,Elig_MatchAll_Ct&lt;22,$BC1502=(Elig_MatchAll_Ct-1),AX1502=0),Y1502,0)</f>
        <v>0</v>
      </c>
      <c r="CE1502" s="993">
        <f>IF(AND(Input_LTV&lt;=AE1502,Input_Product=Elig!$C1502,Elig_MatchAll_Ct&lt;22,$BC1502=(Elig_MatchAll_Ct-1),AY1502=0),Z1502,0)</f>
        <v>0</v>
      </c>
      <c r="CF1502" s="994">
        <f>IF(AND(Input_LTV&lt;=AE1502,Input_Product=Elig!$C1502,Elig_MatchAll_Ct&lt;22,$BC1502=(Elig_MatchAll_Ct-1),AY1502=0),AA1502,0)</f>
        <v>0</v>
      </c>
      <c r="CG1502" s="993">
        <f>IF(AND(Input_Product=Elig!$C1502,Elig_MatchAll_Ct&lt;22,$BC1502=(Elig_MatchAll_Ct-1),AZ1502=0),AB1502,0)</f>
        <v>0</v>
      </c>
      <c r="CH1502" s="994">
        <f>IF(AND(Input_Product=Elig!$C1502,Elig_MatchAll_Ct&lt;22,$BC1502=(Elig_MatchAll_Ct-1),AZ1502=0),AC1502,0)</f>
        <v>0</v>
      </c>
      <c r="CI1502" s="993">
        <f>IF(AND(Input_Product=Elig!$C1502,Elig_MatchAll_Ct&lt;22,$BC1502=(Elig_MatchAll_Ct-1),BA1502=0),AD1502,0)</f>
        <v>0</v>
      </c>
      <c r="CJ1502" s="994">
        <f>IF(AND(Input_Product=Elig!$C1502,Elig_MatchAll_Ct&lt;22,$BC1502=(Elig_MatchAll_Ct-1),BA1502=0),AE1502,0)</f>
        <v>0</v>
      </c>
    </row>
    <row r="1503" spans="2:88" ht="10.15" customHeight="1" x14ac:dyDescent="0.25">
      <c r="B1503" s="1567" t="s">
        <v>2851</v>
      </c>
      <c r="C1503" s="1567" t="str">
        <f t="shared" si="513"/>
        <v xml:space="preserve">  NOO</v>
      </c>
      <c r="D1503" s="1567" t="s">
        <v>2764</v>
      </c>
      <c r="E1503" s="1567" t="s">
        <v>167</v>
      </c>
      <c r="F1503" s="1567" t="s">
        <v>330</v>
      </c>
      <c r="G1503" s="1567" t="s">
        <v>181</v>
      </c>
      <c r="H1503" s="1567" t="s">
        <v>136</v>
      </c>
      <c r="I1503" s="1568" t="s">
        <v>34</v>
      </c>
      <c r="J1503" s="1568" t="s">
        <v>1311</v>
      </c>
      <c r="K1503" s="1568" t="s">
        <v>3023</v>
      </c>
      <c r="L1503" s="1567" t="s">
        <v>312</v>
      </c>
      <c r="M1503" s="1567" t="s">
        <v>4204</v>
      </c>
      <c r="N1503" s="1567" t="s">
        <v>2685</v>
      </c>
      <c r="O1503" s="1567" t="s">
        <v>310</v>
      </c>
      <c r="P1503" s="1567" t="s">
        <v>291</v>
      </c>
      <c r="Q1503" s="1567" t="s">
        <v>294</v>
      </c>
      <c r="R1503" s="1567">
        <v>1000000.01</v>
      </c>
      <c r="S1503" s="1567">
        <v>1500000</v>
      </c>
      <c r="T1503" s="1567">
        <v>0</v>
      </c>
      <c r="U1503" s="1567">
        <v>0</v>
      </c>
      <c r="V1503" s="1567">
        <v>0</v>
      </c>
      <c r="W1503" s="1567">
        <v>0</v>
      </c>
      <c r="X1503" s="1567">
        <v>1</v>
      </c>
      <c r="Y1503" s="1567">
        <v>999</v>
      </c>
      <c r="Z1503" s="1569">
        <v>700</v>
      </c>
      <c r="AA1503" s="1569">
        <v>999</v>
      </c>
      <c r="AB1503" s="1569">
        <v>2</v>
      </c>
      <c r="AC1503" s="1569">
        <v>999999</v>
      </c>
      <c r="AD1503" s="1567">
        <v>0</v>
      </c>
      <c r="AE1503" s="1570">
        <v>80</v>
      </c>
      <c r="AF1503" s="170">
        <v>0</v>
      </c>
      <c r="AG1503" s="171">
        <v>1</v>
      </c>
      <c r="AH1503" s="171">
        <v>1</v>
      </c>
      <c r="AI1503" s="171">
        <v>0</v>
      </c>
      <c r="AJ1503" s="171">
        <v>0</v>
      </c>
      <c r="AK1503" s="171">
        <v>1</v>
      </c>
      <c r="AL1503" s="171">
        <v>0</v>
      </c>
      <c r="AM1503" s="171">
        <v>1</v>
      </c>
      <c r="AN1503" s="171">
        <v>1</v>
      </c>
      <c r="AO1503" s="171">
        <v>1</v>
      </c>
      <c r="AP1503" s="171">
        <v>1</v>
      </c>
      <c r="AQ1503" s="171">
        <v>1</v>
      </c>
      <c r="AR1503" s="171">
        <v>1</v>
      </c>
      <c r="AS1503" s="171">
        <v>1</v>
      </c>
      <c r="AT1503" s="171">
        <v>1</v>
      </c>
      <c r="AU1503" s="171">
        <f t="shared" si="502"/>
        <v>0</v>
      </c>
      <c r="AV1503" s="171">
        <f t="shared" si="503"/>
        <v>0</v>
      </c>
      <c r="AW1503" s="171">
        <f t="shared" si="504"/>
        <v>0</v>
      </c>
      <c r="AX1503" s="171">
        <f t="shared" si="512"/>
        <v>0</v>
      </c>
      <c r="AY1503" s="171">
        <f t="shared" si="505"/>
        <v>1</v>
      </c>
      <c r="AZ1503" s="171">
        <f t="shared" si="506"/>
        <v>1</v>
      </c>
      <c r="BA1503" s="172">
        <f t="shared" si="507"/>
        <v>1</v>
      </c>
      <c r="BB1503" s="175">
        <f t="shared" si="508"/>
        <v>14</v>
      </c>
      <c r="BC1503" s="176">
        <f t="shared" si="509"/>
        <v>13</v>
      </c>
      <c r="BD1503" s="176">
        <f t="shared" si="510"/>
        <v>14</v>
      </c>
      <c r="BE1503" s="240" t="str">
        <f t="shared" si="501"/>
        <v/>
      </c>
      <c r="BF1503" s="990"/>
      <c r="BG1503" s="990"/>
      <c r="BH1503" s="991">
        <f>IF(AND(Input_Product=Elig!$C1503,Elig_MatchAll_Ct&lt;22,$BC1503=(Elig_MatchAll_Ct-1),AF1503=0),C1503,0)</f>
        <v>0</v>
      </c>
      <c r="BI1503" s="991">
        <f>IF(AND(Input_Product=Elig!$C1503,Elig_MatchAll_Ct&lt;22,$BC1503=(Elig_MatchAll_Ct-1),AG1503=0),D1503,0)</f>
        <v>0</v>
      </c>
      <c r="BJ1503" s="991">
        <f>IF(AND(Input_Product=Elig!$C1503,Elig_MatchAll_Ct&lt;22,$BC1503=(Elig_MatchAll_Ct-1),AH1503=0),E1503,0)</f>
        <v>0</v>
      </c>
      <c r="BK1503" s="991">
        <f>IF(AND(Input_Product=Elig!$C1503,Elig_MatchAll_Ct&lt;22,$BC1503=(Elig_MatchAll_Ct-1),AI1503=0),F1503,0)</f>
        <v>0</v>
      </c>
      <c r="BL1503" s="991">
        <f>IF(AND(Input_Product=Elig!$C1503,Elig_MatchAll_Ct&lt;22,$BC1503=(Elig_MatchAll_Ct-1),AJ1503=0),G1503,0)</f>
        <v>0</v>
      </c>
      <c r="BM1503" s="991">
        <f>IF(AND(Input_Product=Elig!$C1503,Elig_MatchAll_Ct&lt;22,$BC1503=(Elig_MatchAll_Ct-1),AK1503=0),H1503,0)</f>
        <v>0</v>
      </c>
      <c r="BN1503" s="991">
        <f>IF(AND(Input_Product=Elig!$C1503,Elig_MatchAll_Ct&lt;22,$BC1503=(Elig_MatchAll_Ct-1),AL1503=0),I1503,0)</f>
        <v>0</v>
      </c>
      <c r="BO1503" s="991">
        <f>IF(AND(Input_Product=Elig!$C1503,Elig_MatchAll_Ct&lt;22,$BC1503=(Elig_MatchAll_Ct-1),AM1503=0),J1503,0)</f>
        <v>0</v>
      </c>
      <c r="BP1503" s="991">
        <f>IF(AND(Input_Product=Elig!$C1503,Elig_MatchAll_Ct&lt;22,$BC1503=(Elig_MatchAll_Ct-1),AN1503=0),K1503,0)</f>
        <v>0</v>
      </c>
      <c r="BQ1503" s="991">
        <f>IF(AND(Input_Product=Elig!$C1503,Elig_MatchAll_Ct&lt;22,$BC1503=(Elig_MatchAll_Ct-1),AP1503=0),L1503,0)</f>
        <v>0</v>
      </c>
      <c r="BR1503" s="991">
        <f>IF(AND(Input_Product=Elig!$C1503,Elig_MatchAll_Ct&lt;22,$BC1503=(Elig_MatchAll_Ct-1),AO1503=0),M1503,0)</f>
        <v>0</v>
      </c>
      <c r="BS1503" s="991">
        <f>IF(AND(Input_Product=Elig!$C1503,Elig_MatchAll_Ct&lt;22,$BC1503=(Elig_MatchAll_Ct-1),AQ1503=0),N1503,0)</f>
        <v>0</v>
      </c>
      <c r="BT1503" s="991">
        <f>IF(AND(Input_Product=Elig!$C1503,Elig_MatchAll_Ct&lt;22,$BC1503=(Elig_MatchAll_Ct-1),AR1503=0),O1503,0)</f>
        <v>0</v>
      </c>
      <c r="BU1503" s="991">
        <f>IF(AND(Input_Product=Elig!$C1503,Elig_MatchAll_Ct&lt;22,$BC1503=(Elig_MatchAll_Ct-1),AS1503=0),P1503,0)</f>
        <v>0</v>
      </c>
      <c r="BV1503" s="992">
        <f>IF(AND(Input_Product=Elig!$C1503,Elig_MatchAll_Ct&lt;22,$BC1503=(Elig_MatchAll_Ct-1),AT1503=0),Q1503,0)</f>
        <v>0</v>
      </c>
      <c r="BW1503" s="993">
        <f>IF(AND(Input_Product=Elig!$C1503,Elig_MatchAll_Ct&lt;22,$BC1503=(Elig_MatchAll_Ct-1),AU1503=0),R1503,0)</f>
        <v>0</v>
      </c>
      <c r="BX1503" s="994">
        <f>IF(AND(Input_Product=Elig!$C1503,Elig_MatchAll_Ct&lt;22,$BC1503=(Elig_MatchAll_Ct-1),AU1503=0),S1503,0)</f>
        <v>0</v>
      </c>
      <c r="BY1503" s="993">
        <f>IF(AND(Input_Product=Elig!$C1503,Elig_MatchAll_Ct&lt;22,$BC1503=(Elig_MatchAll_Ct-1),AV1503=0),T1503,0)</f>
        <v>0</v>
      </c>
      <c r="BZ1503" s="994">
        <f>IF(AND(Input_Product=Elig!$C1503,Elig_MatchAll_Ct&lt;22,$BC1503=(Elig_MatchAll_Ct-1),AV1503=0),U1503,0)</f>
        <v>0</v>
      </c>
      <c r="CA1503" s="993">
        <f>IF(AND(Input_Product=Elig!$C1503,Elig_MatchAll_Ct&lt;22,$BC1503=(Elig_MatchAll_Ct-1),AW1503=0),V1503,0)</f>
        <v>0</v>
      </c>
      <c r="CB1503" s="994">
        <f>IF(AND(Input_Product=Elig!$C1503,Elig_MatchAll_Ct&lt;22,$BC1503=(Elig_MatchAll_Ct-1),AW1503=0),W1503,0)</f>
        <v>0</v>
      </c>
      <c r="CC1503" s="993">
        <f>IF(AND(Input_Product=Elig!$C1503,Elig_MatchAll_Ct&lt;22,$BC1503=(Elig_MatchAll_Ct-1),AX1503=0),X1503,0)</f>
        <v>0</v>
      </c>
      <c r="CD1503" s="994">
        <f>IF(AND(Input_Product=Elig!$C1503,Elig_MatchAll_Ct&lt;22,$BC1503=(Elig_MatchAll_Ct-1),AX1503=0),Y1503,0)</f>
        <v>0</v>
      </c>
      <c r="CE1503" s="993">
        <f>IF(AND(Input_LTV&lt;=AE1503,Input_Product=Elig!$C1503,Elig_MatchAll_Ct&lt;22,$BC1503=(Elig_MatchAll_Ct-1),AY1503=0),Z1503,0)</f>
        <v>0</v>
      </c>
      <c r="CF1503" s="994">
        <f>IF(AND(Input_LTV&lt;=AE1503,Input_Product=Elig!$C1503,Elig_MatchAll_Ct&lt;22,$BC1503=(Elig_MatchAll_Ct-1),AY1503=0),AA1503,0)</f>
        <v>0</v>
      </c>
      <c r="CG1503" s="993">
        <f>IF(AND(Input_Product=Elig!$C1503,Elig_MatchAll_Ct&lt;22,$BC1503=(Elig_MatchAll_Ct-1),AZ1503=0),AB1503,0)</f>
        <v>0</v>
      </c>
      <c r="CH1503" s="994">
        <f>IF(AND(Input_Product=Elig!$C1503,Elig_MatchAll_Ct&lt;22,$BC1503=(Elig_MatchAll_Ct-1),AZ1503=0),AC1503,0)</f>
        <v>0</v>
      </c>
      <c r="CI1503" s="993">
        <f>IF(AND(Input_Product=Elig!$C1503,Elig_MatchAll_Ct&lt;22,$BC1503=(Elig_MatchAll_Ct-1),BA1503=0),AD1503,0)</f>
        <v>0</v>
      </c>
      <c r="CJ1503" s="994">
        <f>IF(AND(Input_Product=Elig!$C1503,Elig_MatchAll_Ct&lt;22,$BC1503=(Elig_MatchAll_Ct-1),BA1503=0),AE1503,0)</f>
        <v>0</v>
      </c>
    </row>
    <row r="1504" spans="2:88" ht="10.15" customHeight="1" x14ac:dyDescent="0.25">
      <c r="B1504" s="1567" t="s">
        <v>2852</v>
      </c>
      <c r="C1504" s="1567" t="str">
        <f t="shared" si="513"/>
        <v xml:space="preserve">  NOO</v>
      </c>
      <c r="D1504" s="1567" t="s">
        <v>2764</v>
      </c>
      <c r="E1504" s="1567" t="s">
        <v>167</v>
      </c>
      <c r="F1504" s="1567" t="s">
        <v>330</v>
      </c>
      <c r="G1504" s="1567" t="s">
        <v>181</v>
      </c>
      <c r="H1504" s="1567" t="s">
        <v>136</v>
      </c>
      <c r="I1504" s="1568" t="s">
        <v>34</v>
      </c>
      <c r="J1504" s="1568" t="s">
        <v>1311</v>
      </c>
      <c r="K1504" s="1568" t="s">
        <v>3023</v>
      </c>
      <c r="L1504" s="1567" t="s">
        <v>312</v>
      </c>
      <c r="M1504" s="1567" t="s">
        <v>4204</v>
      </c>
      <c r="N1504" s="1567" t="s">
        <v>2685</v>
      </c>
      <c r="O1504" s="1567" t="s">
        <v>310</v>
      </c>
      <c r="P1504" s="1567" t="s">
        <v>291</v>
      </c>
      <c r="Q1504" s="1567" t="s">
        <v>294</v>
      </c>
      <c r="R1504" s="1567">
        <v>1500000.01</v>
      </c>
      <c r="S1504" s="1567">
        <v>2000000</v>
      </c>
      <c r="T1504" s="1567">
        <v>0</v>
      </c>
      <c r="U1504" s="1567">
        <v>0</v>
      </c>
      <c r="V1504" s="1567">
        <v>0</v>
      </c>
      <c r="W1504" s="1567">
        <v>0</v>
      </c>
      <c r="X1504" s="1567">
        <v>1</v>
      </c>
      <c r="Y1504" s="1567">
        <v>999</v>
      </c>
      <c r="Z1504" s="1569">
        <v>700</v>
      </c>
      <c r="AA1504" s="1569">
        <v>999</v>
      </c>
      <c r="AB1504" s="1569">
        <v>2</v>
      </c>
      <c r="AC1504" s="1569">
        <v>999999</v>
      </c>
      <c r="AD1504" s="1567">
        <v>0</v>
      </c>
      <c r="AE1504" s="1570">
        <v>75</v>
      </c>
      <c r="AF1504" s="170">
        <v>0</v>
      </c>
      <c r="AG1504" s="171">
        <v>1</v>
      </c>
      <c r="AH1504" s="171">
        <v>1</v>
      </c>
      <c r="AI1504" s="171">
        <v>0</v>
      </c>
      <c r="AJ1504" s="171">
        <v>0</v>
      </c>
      <c r="AK1504" s="171">
        <v>1</v>
      </c>
      <c r="AL1504" s="171">
        <v>0</v>
      </c>
      <c r="AM1504" s="171">
        <v>1</v>
      </c>
      <c r="AN1504" s="171">
        <v>1</v>
      </c>
      <c r="AO1504" s="171">
        <v>1</v>
      </c>
      <c r="AP1504" s="171">
        <v>1</v>
      </c>
      <c r="AQ1504" s="171">
        <v>1</v>
      </c>
      <c r="AR1504" s="171">
        <v>1</v>
      </c>
      <c r="AS1504" s="171">
        <v>1</v>
      </c>
      <c r="AT1504" s="171">
        <v>1</v>
      </c>
      <c r="AU1504" s="171">
        <f t="shared" si="502"/>
        <v>0</v>
      </c>
      <c r="AV1504" s="171">
        <f t="shared" si="503"/>
        <v>0</v>
      </c>
      <c r="AW1504" s="171">
        <f t="shared" si="504"/>
        <v>0</v>
      </c>
      <c r="AX1504" s="171">
        <f t="shared" si="512"/>
        <v>0</v>
      </c>
      <c r="AY1504" s="171">
        <f t="shared" si="505"/>
        <v>1</v>
      </c>
      <c r="AZ1504" s="171">
        <f t="shared" si="506"/>
        <v>1</v>
      </c>
      <c r="BA1504" s="172">
        <f t="shared" si="507"/>
        <v>1</v>
      </c>
      <c r="BB1504" s="175">
        <f t="shared" si="508"/>
        <v>14</v>
      </c>
      <c r="BC1504" s="176">
        <f t="shared" si="509"/>
        <v>13</v>
      </c>
      <c r="BD1504" s="176">
        <f t="shared" si="510"/>
        <v>14</v>
      </c>
      <c r="BE1504" s="240" t="str">
        <f t="shared" si="501"/>
        <v/>
      </c>
      <c r="BF1504" s="990"/>
      <c r="BG1504" s="990"/>
      <c r="BH1504" s="991">
        <f>IF(AND(Input_Product=Elig!$C1504,Elig_MatchAll_Ct&lt;22,$BC1504=(Elig_MatchAll_Ct-1),AF1504=0),C1504,0)</f>
        <v>0</v>
      </c>
      <c r="BI1504" s="991">
        <f>IF(AND(Input_Product=Elig!$C1504,Elig_MatchAll_Ct&lt;22,$BC1504=(Elig_MatchAll_Ct-1),AG1504=0),D1504,0)</f>
        <v>0</v>
      </c>
      <c r="BJ1504" s="991">
        <f>IF(AND(Input_Product=Elig!$C1504,Elig_MatchAll_Ct&lt;22,$BC1504=(Elig_MatchAll_Ct-1),AH1504=0),E1504,0)</f>
        <v>0</v>
      </c>
      <c r="BK1504" s="991">
        <f>IF(AND(Input_Product=Elig!$C1504,Elig_MatchAll_Ct&lt;22,$BC1504=(Elig_MatchAll_Ct-1),AI1504=0),F1504,0)</f>
        <v>0</v>
      </c>
      <c r="BL1504" s="991">
        <f>IF(AND(Input_Product=Elig!$C1504,Elig_MatchAll_Ct&lt;22,$BC1504=(Elig_MatchAll_Ct-1),AJ1504=0),G1504,0)</f>
        <v>0</v>
      </c>
      <c r="BM1504" s="991">
        <f>IF(AND(Input_Product=Elig!$C1504,Elig_MatchAll_Ct&lt;22,$BC1504=(Elig_MatchAll_Ct-1),AK1504=0),H1504,0)</f>
        <v>0</v>
      </c>
      <c r="BN1504" s="991">
        <f>IF(AND(Input_Product=Elig!$C1504,Elig_MatchAll_Ct&lt;22,$BC1504=(Elig_MatchAll_Ct-1),AL1504=0),I1504,0)</f>
        <v>0</v>
      </c>
      <c r="BO1504" s="991">
        <f>IF(AND(Input_Product=Elig!$C1504,Elig_MatchAll_Ct&lt;22,$BC1504=(Elig_MatchAll_Ct-1),AM1504=0),J1504,0)</f>
        <v>0</v>
      </c>
      <c r="BP1504" s="991">
        <f>IF(AND(Input_Product=Elig!$C1504,Elig_MatchAll_Ct&lt;22,$BC1504=(Elig_MatchAll_Ct-1),AN1504=0),K1504,0)</f>
        <v>0</v>
      </c>
      <c r="BQ1504" s="991">
        <f>IF(AND(Input_Product=Elig!$C1504,Elig_MatchAll_Ct&lt;22,$BC1504=(Elig_MatchAll_Ct-1),AP1504=0),L1504,0)</f>
        <v>0</v>
      </c>
      <c r="BR1504" s="991">
        <f>IF(AND(Input_Product=Elig!$C1504,Elig_MatchAll_Ct&lt;22,$BC1504=(Elig_MatchAll_Ct-1),AO1504=0),M1504,0)</f>
        <v>0</v>
      </c>
      <c r="BS1504" s="991">
        <f>IF(AND(Input_Product=Elig!$C1504,Elig_MatchAll_Ct&lt;22,$BC1504=(Elig_MatchAll_Ct-1),AQ1504=0),N1504,0)</f>
        <v>0</v>
      </c>
      <c r="BT1504" s="991">
        <f>IF(AND(Input_Product=Elig!$C1504,Elig_MatchAll_Ct&lt;22,$BC1504=(Elig_MatchAll_Ct-1),AR1504=0),O1504,0)</f>
        <v>0</v>
      </c>
      <c r="BU1504" s="991">
        <f>IF(AND(Input_Product=Elig!$C1504,Elig_MatchAll_Ct&lt;22,$BC1504=(Elig_MatchAll_Ct-1),AS1504=0),P1504,0)</f>
        <v>0</v>
      </c>
      <c r="BV1504" s="992">
        <f>IF(AND(Input_Product=Elig!$C1504,Elig_MatchAll_Ct&lt;22,$BC1504=(Elig_MatchAll_Ct-1),AT1504=0),Q1504,0)</f>
        <v>0</v>
      </c>
      <c r="BW1504" s="993">
        <f>IF(AND(Input_Product=Elig!$C1504,Elig_MatchAll_Ct&lt;22,$BC1504=(Elig_MatchAll_Ct-1),AU1504=0),R1504,0)</f>
        <v>0</v>
      </c>
      <c r="BX1504" s="994">
        <f>IF(AND(Input_Product=Elig!$C1504,Elig_MatchAll_Ct&lt;22,$BC1504=(Elig_MatchAll_Ct-1),AU1504=0),S1504,0)</f>
        <v>0</v>
      </c>
      <c r="BY1504" s="993">
        <f>IF(AND(Input_Product=Elig!$C1504,Elig_MatchAll_Ct&lt;22,$BC1504=(Elig_MatchAll_Ct-1),AV1504=0),T1504,0)</f>
        <v>0</v>
      </c>
      <c r="BZ1504" s="994">
        <f>IF(AND(Input_Product=Elig!$C1504,Elig_MatchAll_Ct&lt;22,$BC1504=(Elig_MatchAll_Ct-1),AV1504=0),U1504,0)</f>
        <v>0</v>
      </c>
      <c r="CA1504" s="993">
        <f>IF(AND(Input_Product=Elig!$C1504,Elig_MatchAll_Ct&lt;22,$BC1504=(Elig_MatchAll_Ct-1),AW1504=0),V1504,0)</f>
        <v>0</v>
      </c>
      <c r="CB1504" s="994">
        <f>IF(AND(Input_Product=Elig!$C1504,Elig_MatchAll_Ct&lt;22,$BC1504=(Elig_MatchAll_Ct-1),AW1504=0),W1504,0)</f>
        <v>0</v>
      </c>
      <c r="CC1504" s="993">
        <f>IF(AND(Input_Product=Elig!$C1504,Elig_MatchAll_Ct&lt;22,$BC1504=(Elig_MatchAll_Ct-1),AX1504=0),X1504,0)</f>
        <v>0</v>
      </c>
      <c r="CD1504" s="994">
        <f>IF(AND(Input_Product=Elig!$C1504,Elig_MatchAll_Ct&lt;22,$BC1504=(Elig_MatchAll_Ct-1),AX1504=0),Y1504,0)</f>
        <v>0</v>
      </c>
      <c r="CE1504" s="993">
        <f>IF(AND(Input_LTV&lt;=AE1504,Input_Product=Elig!$C1504,Elig_MatchAll_Ct&lt;22,$BC1504=(Elig_MatchAll_Ct-1),AY1504=0),Z1504,0)</f>
        <v>0</v>
      </c>
      <c r="CF1504" s="994">
        <f>IF(AND(Input_LTV&lt;=AE1504,Input_Product=Elig!$C1504,Elig_MatchAll_Ct&lt;22,$BC1504=(Elig_MatchAll_Ct-1),AY1504=0),AA1504,0)</f>
        <v>0</v>
      </c>
      <c r="CG1504" s="993">
        <f>IF(AND(Input_Product=Elig!$C1504,Elig_MatchAll_Ct&lt;22,$BC1504=(Elig_MatchAll_Ct-1),AZ1504=0),AB1504,0)</f>
        <v>0</v>
      </c>
      <c r="CH1504" s="994">
        <f>IF(AND(Input_Product=Elig!$C1504,Elig_MatchAll_Ct&lt;22,$BC1504=(Elig_MatchAll_Ct-1),AZ1504=0),AC1504,0)</f>
        <v>0</v>
      </c>
      <c r="CI1504" s="993">
        <f>IF(AND(Input_Product=Elig!$C1504,Elig_MatchAll_Ct&lt;22,$BC1504=(Elig_MatchAll_Ct-1),BA1504=0),AD1504,0)</f>
        <v>0</v>
      </c>
      <c r="CJ1504" s="994">
        <f>IF(AND(Input_Product=Elig!$C1504,Elig_MatchAll_Ct&lt;22,$BC1504=(Elig_MatchAll_Ct-1),BA1504=0),AE1504,0)</f>
        <v>0</v>
      </c>
    </row>
    <row r="1505" spans="2:88" ht="10.15" customHeight="1" x14ac:dyDescent="0.25">
      <c r="B1505" s="1567" t="s">
        <v>2853</v>
      </c>
      <c r="C1505" s="1567" t="str">
        <f t="shared" si="513"/>
        <v xml:space="preserve">  NOO</v>
      </c>
      <c r="D1505" s="1567" t="s">
        <v>2764</v>
      </c>
      <c r="E1505" s="1567" t="s">
        <v>167</v>
      </c>
      <c r="F1505" s="1567" t="s">
        <v>330</v>
      </c>
      <c r="G1505" s="1567" t="s">
        <v>181</v>
      </c>
      <c r="H1505" s="1567" t="s">
        <v>136</v>
      </c>
      <c r="I1505" s="1568" t="s">
        <v>34</v>
      </c>
      <c r="J1505" s="1568" t="s">
        <v>1311</v>
      </c>
      <c r="K1505" s="1568" t="s">
        <v>3023</v>
      </c>
      <c r="L1505" s="1567" t="s">
        <v>312</v>
      </c>
      <c r="M1505" s="1567" t="s">
        <v>4204</v>
      </c>
      <c r="N1505" s="1567" t="s">
        <v>2685</v>
      </c>
      <c r="O1505" s="1567" t="s">
        <v>310</v>
      </c>
      <c r="P1505" s="1567" t="s">
        <v>291</v>
      </c>
      <c r="Q1505" s="1567" t="s">
        <v>294</v>
      </c>
      <c r="R1505" s="1567">
        <v>2000000.01</v>
      </c>
      <c r="S1505" s="1567">
        <v>3000000</v>
      </c>
      <c r="T1505" s="1567">
        <v>0</v>
      </c>
      <c r="U1505" s="1567">
        <v>0</v>
      </c>
      <c r="V1505" s="1567">
        <v>0</v>
      </c>
      <c r="W1505" s="1567">
        <v>0</v>
      </c>
      <c r="X1505" s="1567">
        <v>1</v>
      </c>
      <c r="Y1505" s="1567">
        <v>999</v>
      </c>
      <c r="Z1505" s="1569">
        <v>700</v>
      </c>
      <c r="AA1505" s="1569">
        <v>999</v>
      </c>
      <c r="AB1505" s="1569">
        <v>2</v>
      </c>
      <c r="AC1505" s="1569">
        <v>999999</v>
      </c>
      <c r="AD1505" s="1567">
        <v>0</v>
      </c>
      <c r="AE1505" s="1570">
        <v>70</v>
      </c>
      <c r="AF1505" s="170">
        <v>0</v>
      </c>
      <c r="AG1505" s="171">
        <v>1</v>
      </c>
      <c r="AH1505" s="171">
        <v>1</v>
      </c>
      <c r="AI1505" s="171">
        <v>0</v>
      </c>
      <c r="AJ1505" s="171">
        <v>0</v>
      </c>
      <c r="AK1505" s="171">
        <v>1</v>
      </c>
      <c r="AL1505" s="171">
        <v>0</v>
      </c>
      <c r="AM1505" s="171">
        <v>1</v>
      </c>
      <c r="AN1505" s="171">
        <v>1</v>
      </c>
      <c r="AO1505" s="171">
        <v>1</v>
      </c>
      <c r="AP1505" s="171">
        <v>1</v>
      </c>
      <c r="AQ1505" s="171">
        <v>1</v>
      </c>
      <c r="AR1505" s="171">
        <v>1</v>
      </c>
      <c r="AS1505" s="171">
        <v>1</v>
      </c>
      <c r="AT1505" s="171">
        <v>1</v>
      </c>
      <c r="AU1505" s="171">
        <f t="shared" si="502"/>
        <v>0</v>
      </c>
      <c r="AV1505" s="171">
        <f t="shared" si="503"/>
        <v>0</v>
      </c>
      <c r="AW1505" s="171">
        <f t="shared" si="504"/>
        <v>0</v>
      </c>
      <c r="AX1505" s="171">
        <f t="shared" si="512"/>
        <v>0</v>
      </c>
      <c r="AY1505" s="171">
        <f t="shared" si="505"/>
        <v>1</v>
      </c>
      <c r="AZ1505" s="171">
        <f t="shared" si="506"/>
        <v>1</v>
      </c>
      <c r="BA1505" s="172">
        <f t="shared" si="507"/>
        <v>1</v>
      </c>
      <c r="BB1505" s="175">
        <f t="shared" si="508"/>
        <v>14</v>
      </c>
      <c r="BC1505" s="176">
        <f t="shared" si="509"/>
        <v>13</v>
      </c>
      <c r="BD1505" s="176">
        <f t="shared" si="510"/>
        <v>14</v>
      </c>
      <c r="BE1505" s="240" t="str">
        <f t="shared" si="501"/>
        <v/>
      </c>
      <c r="BF1505" s="990"/>
      <c r="BG1505" s="990"/>
      <c r="BH1505" s="991">
        <f>IF(AND(Input_Product=Elig!$C1505,Elig_MatchAll_Ct&lt;22,$BC1505=(Elig_MatchAll_Ct-1),AF1505=0),C1505,0)</f>
        <v>0</v>
      </c>
      <c r="BI1505" s="991">
        <f>IF(AND(Input_Product=Elig!$C1505,Elig_MatchAll_Ct&lt;22,$BC1505=(Elig_MatchAll_Ct-1),AG1505=0),D1505,0)</f>
        <v>0</v>
      </c>
      <c r="BJ1505" s="991">
        <f>IF(AND(Input_Product=Elig!$C1505,Elig_MatchAll_Ct&lt;22,$BC1505=(Elig_MatchAll_Ct-1),AH1505=0),E1505,0)</f>
        <v>0</v>
      </c>
      <c r="BK1505" s="991">
        <f>IF(AND(Input_Product=Elig!$C1505,Elig_MatchAll_Ct&lt;22,$BC1505=(Elig_MatchAll_Ct-1),AI1505=0),F1505,0)</f>
        <v>0</v>
      </c>
      <c r="BL1505" s="991">
        <f>IF(AND(Input_Product=Elig!$C1505,Elig_MatchAll_Ct&lt;22,$BC1505=(Elig_MatchAll_Ct-1),AJ1505=0),G1505,0)</f>
        <v>0</v>
      </c>
      <c r="BM1505" s="991">
        <f>IF(AND(Input_Product=Elig!$C1505,Elig_MatchAll_Ct&lt;22,$BC1505=(Elig_MatchAll_Ct-1),AK1505=0),H1505,0)</f>
        <v>0</v>
      </c>
      <c r="BN1505" s="991">
        <f>IF(AND(Input_Product=Elig!$C1505,Elig_MatchAll_Ct&lt;22,$BC1505=(Elig_MatchAll_Ct-1),AL1505=0),I1505,0)</f>
        <v>0</v>
      </c>
      <c r="BO1505" s="991">
        <f>IF(AND(Input_Product=Elig!$C1505,Elig_MatchAll_Ct&lt;22,$BC1505=(Elig_MatchAll_Ct-1),AM1505=0),J1505,0)</f>
        <v>0</v>
      </c>
      <c r="BP1505" s="991">
        <f>IF(AND(Input_Product=Elig!$C1505,Elig_MatchAll_Ct&lt;22,$BC1505=(Elig_MatchAll_Ct-1),AN1505=0),K1505,0)</f>
        <v>0</v>
      </c>
      <c r="BQ1505" s="991">
        <f>IF(AND(Input_Product=Elig!$C1505,Elig_MatchAll_Ct&lt;22,$BC1505=(Elig_MatchAll_Ct-1),AP1505=0),L1505,0)</f>
        <v>0</v>
      </c>
      <c r="BR1505" s="991">
        <f>IF(AND(Input_Product=Elig!$C1505,Elig_MatchAll_Ct&lt;22,$BC1505=(Elig_MatchAll_Ct-1),AO1505=0),M1505,0)</f>
        <v>0</v>
      </c>
      <c r="BS1505" s="991">
        <f>IF(AND(Input_Product=Elig!$C1505,Elig_MatchAll_Ct&lt;22,$BC1505=(Elig_MatchAll_Ct-1),AQ1505=0),N1505,0)</f>
        <v>0</v>
      </c>
      <c r="BT1505" s="991">
        <f>IF(AND(Input_Product=Elig!$C1505,Elig_MatchAll_Ct&lt;22,$BC1505=(Elig_MatchAll_Ct-1),AR1505=0),O1505,0)</f>
        <v>0</v>
      </c>
      <c r="BU1505" s="991">
        <f>IF(AND(Input_Product=Elig!$C1505,Elig_MatchAll_Ct&lt;22,$BC1505=(Elig_MatchAll_Ct-1),AS1505=0),P1505,0)</f>
        <v>0</v>
      </c>
      <c r="BV1505" s="992">
        <f>IF(AND(Input_Product=Elig!$C1505,Elig_MatchAll_Ct&lt;22,$BC1505=(Elig_MatchAll_Ct-1),AT1505=0),Q1505,0)</f>
        <v>0</v>
      </c>
      <c r="BW1505" s="993">
        <f>IF(AND(Input_Product=Elig!$C1505,Elig_MatchAll_Ct&lt;22,$BC1505=(Elig_MatchAll_Ct-1),AU1505=0),R1505,0)</f>
        <v>0</v>
      </c>
      <c r="BX1505" s="994">
        <f>IF(AND(Input_Product=Elig!$C1505,Elig_MatchAll_Ct&lt;22,$BC1505=(Elig_MatchAll_Ct-1),AU1505=0),S1505,0)</f>
        <v>0</v>
      </c>
      <c r="BY1505" s="993">
        <f>IF(AND(Input_Product=Elig!$C1505,Elig_MatchAll_Ct&lt;22,$BC1505=(Elig_MatchAll_Ct-1),AV1505=0),T1505,0)</f>
        <v>0</v>
      </c>
      <c r="BZ1505" s="994">
        <f>IF(AND(Input_Product=Elig!$C1505,Elig_MatchAll_Ct&lt;22,$BC1505=(Elig_MatchAll_Ct-1),AV1505=0),U1505,0)</f>
        <v>0</v>
      </c>
      <c r="CA1505" s="993">
        <f>IF(AND(Input_Product=Elig!$C1505,Elig_MatchAll_Ct&lt;22,$BC1505=(Elig_MatchAll_Ct-1),AW1505=0),V1505,0)</f>
        <v>0</v>
      </c>
      <c r="CB1505" s="994">
        <f>IF(AND(Input_Product=Elig!$C1505,Elig_MatchAll_Ct&lt;22,$BC1505=(Elig_MatchAll_Ct-1),AW1505=0),W1505,0)</f>
        <v>0</v>
      </c>
      <c r="CC1505" s="993">
        <f>IF(AND(Input_Product=Elig!$C1505,Elig_MatchAll_Ct&lt;22,$BC1505=(Elig_MatchAll_Ct-1),AX1505=0),X1505,0)</f>
        <v>0</v>
      </c>
      <c r="CD1505" s="994">
        <f>IF(AND(Input_Product=Elig!$C1505,Elig_MatchAll_Ct&lt;22,$BC1505=(Elig_MatchAll_Ct-1),AX1505=0),Y1505,0)</f>
        <v>0</v>
      </c>
      <c r="CE1505" s="993">
        <f>IF(AND(Input_LTV&lt;=AE1505,Input_Product=Elig!$C1505,Elig_MatchAll_Ct&lt;22,$BC1505=(Elig_MatchAll_Ct-1),AY1505=0),Z1505,0)</f>
        <v>0</v>
      </c>
      <c r="CF1505" s="994">
        <f>IF(AND(Input_LTV&lt;=AE1505,Input_Product=Elig!$C1505,Elig_MatchAll_Ct&lt;22,$BC1505=(Elig_MatchAll_Ct-1),AY1505=0),AA1505,0)</f>
        <v>0</v>
      </c>
      <c r="CG1505" s="993">
        <f>IF(AND(Input_Product=Elig!$C1505,Elig_MatchAll_Ct&lt;22,$BC1505=(Elig_MatchAll_Ct-1),AZ1505=0),AB1505,0)</f>
        <v>0</v>
      </c>
      <c r="CH1505" s="994">
        <f>IF(AND(Input_Product=Elig!$C1505,Elig_MatchAll_Ct&lt;22,$BC1505=(Elig_MatchAll_Ct-1),AZ1505=0),AC1505,0)</f>
        <v>0</v>
      </c>
      <c r="CI1505" s="993">
        <f>IF(AND(Input_Product=Elig!$C1505,Elig_MatchAll_Ct&lt;22,$BC1505=(Elig_MatchAll_Ct-1),BA1505=0),AD1505,0)</f>
        <v>0</v>
      </c>
      <c r="CJ1505" s="994">
        <f>IF(AND(Input_Product=Elig!$C1505,Elig_MatchAll_Ct&lt;22,$BC1505=(Elig_MatchAll_Ct-1),BA1505=0),AE1505,0)</f>
        <v>0</v>
      </c>
    </row>
    <row r="1506" spans="2:88" ht="10.15" customHeight="1" x14ac:dyDescent="0.25">
      <c r="B1506" s="1567" t="s">
        <v>2854</v>
      </c>
      <c r="C1506" s="1567" t="str">
        <f t="shared" si="513"/>
        <v xml:space="preserve">  NOO</v>
      </c>
      <c r="D1506" s="1567" t="s">
        <v>2764</v>
      </c>
      <c r="E1506" s="1567" t="s">
        <v>167</v>
      </c>
      <c r="F1506" s="1567" t="s">
        <v>330</v>
      </c>
      <c r="G1506" s="1567" t="s">
        <v>181</v>
      </c>
      <c r="H1506" s="1567" t="s">
        <v>136</v>
      </c>
      <c r="I1506" s="1568" t="s">
        <v>34</v>
      </c>
      <c r="J1506" s="1568" t="s">
        <v>1311</v>
      </c>
      <c r="K1506" s="1568" t="s">
        <v>3023</v>
      </c>
      <c r="L1506" s="1567" t="s">
        <v>312</v>
      </c>
      <c r="M1506" s="1567" t="s">
        <v>4204</v>
      </c>
      <c r="N1506" s="1567" t="s">
        <v>2685</v>
      </c>
      <c r="O1506" s="1567" t="s">
        <v>310</v>
      </c>
      <c r="P1506" s="1567" t="s">
        <v>291</v>
      </c>
      <c r="Q1506" s="1567" t="s">
        <v>294</v>
      </c>
      <c r="R1506" s="1567">
        <v>3000000.01</v>
      </c>
      <c r="S1506" s="1567">
        <v>3500000</v>
      </c>
      <c r="T1506" s="1567">
        <v>0</v>
      </c>
      <c r="U1506" s="1567">
        <v>0</v>
      </c>
      <c r="V1506" s="1567">
        <v>0</v>
      </c>
      <c r="W1506" s="1567">
        <v>0</v>
      </c>
      <c r="X1506" s="1567">
        <v>1</v>
      </c>
      <c r="Y1506" s="1567">
        <v>999</v>
      </c>
      <c r="Z1506" s="1569">
        <v>700</v>
      </c>
      <c r="AA1506" s="1569">
        <v>999</v>
      </c>
      <c r="AB1506" s="1569">
        <v>2</v>
      </c>
      <c r="AC1506" s="1569">
        <v>999999</v>
      </c>
      <c r="AD1506" s="1567">
        <v>0</v>
      </c>
      <c r="AE1506" s="1570">
        <v>70</v>
      </c>
      <c r="AF1506" s="170">
        <v>0</v>
      </c>
      <c r="AG1506" s="171">
        <v>1</v>
      </c>
      <c r="AH1506" s="171">
        <v>1</v>
      </c>
      <c r="AI1506" s="171">
        <v>0</v>
      </c>
      <c r="AJ1506" s="171">
        <v>0</v>
      </c>
      <c r="AK1506" s="171">
        <v>1</v>
      </c>
      <c r="AL1506" s="171">
        <v>0</v>
      </c>
      <c r="AM1506" s="171">
        <v>1</v>
      </c>
      <c r="AN1506" s="171">
        <v>1</v>
      </c>
      <c r="AO1506" s="171">
        <v>1</v>
      </c>
      <c r="AP1506" s="171">
        <v>1</v>
      </c>
      <c r="AQ1506" s="171">
        <v>1</v>
      </c>
      <c r="AR1506" s="171">
        <v>1</v>
      </c>
      <c r="AS1506" s="171">
        <v>1</v>
      </c>
      <c r="AT1506" s="171">
        <v>1</v>
      </c>
      <c r="AU1506" s="171">
        <f t="shared" si="502"/>
        <v>0</v>
      </c>
      <c r="AV1506" s="171">
        <f t="shared" si="503"/>
        <v>0</v>
      </c>
      <c r="AW1506" s="171">
        <f t="shared" si="504"/>
        <v>0</v>
      </c>
      <c r="AX1506" s="171">
        <f t="shared" si="512"/>
        <v>0</v>
      </c>
      <c r="AY1506" s="171">
        <f t="shared" si="505"/>
        <v>1</v>
      </c>
      <c r="AZ1506" s="171">
        <f t="shared" si="506"/>
        <v>1</v>
      </c>
      <c r="BA1506" s="172">
        <f t="shared" si="507"/>
        <v>1</v>
      </c>
      <c r="BB1506" s="175">
        <f t="shared" si="508"/>
        <v>14</v>
      </c>
      <c r="BC1506" s="176">
        <f t="shared" si="509"/>
        <v>13</v>
      </c>
      <c r="BD1506" s="176">
        <f t="shared" si="510"/>
        <v>14</v>
      </c>
      <c r="BE1506" s="240" t="str">
        <f t="shared" si="501"/>
        <v/>
      </c>
      <c r="BF1506" s="990"/>
      <c r="BG1506" s="990"/>
      <c r="BH1506" s="991">
        <f>IF(AND(Input_Product=Elig!$C1506,Elig_MatchAll_Ct&lt;22,$BC1506=(Elig_MatchAll_Ct-1),AF1506=0),C1506,0)</f>
        <v>0</v>
      </c>
      <c r="BI1506" s="991">
        <f>IF(AND(Input_Product=Elig!$C1506,Elig_MatchAll_Ct&lt;22,$BC1506=(Elig_MatchAll_Ct-1),AG1506=0),D1506,0)</f>
        <v>0</v>
      </c>
      <c r="BJ1506" s="991">
        <f>IF(AND(Input_Product=Elig!$C1506,Elig_MatchAll_Ct&lt;22,$BC1506=(Elig_MatchAll_Ct-1),AH1506=0),E1506,0)</f>
        <v>0</v>
      </c>
      <c r="BK1506" s="991">
        <f>IF(AND(Input_Product=Elig!$C1506,Elig_MatchAll_Ct&lt;22,$BC1506=(Elig_MatchAll_Ct-1),AI1506=0),F1506,0)</f>
        <v>0</v>
      </c>
      <c r="BL1506" s="991">
        <f>IF(AND(Input_Product=Elig!$C1506,Elig_MatchAll_Ct&lt;22,$BC1506=(Elig_MatchAll_Ct-1),AJ1506=0),G1506,0)</f>
        <v>0</v>
      </c>
      <c r="BM1506" s="991">
        <f>IF(AND(Input_Product=Elig!$C1506,Elig_MatchAll_Ct&lt;22,$BC1506=(Elig_MatchAll_Ct-1),AK1506=0),H1506,0)</f>
        <v>0</v>
      </c>
      <c r="BN1506" s="991">
        <f>IF(AND(Input_Product=Elig!$C1506,Elig_MatchAll_Ct&lt;22,$BC1506=(Elig_MatchAll_Ct-1),AL1506=0),I1506,0)</f>
        <v>0</v>
      </c>
      <c r="BO1506" s="991">
        <f>IF(AND(Input_Product=Elig!$C1506,Elig_MatchAll_Ct&lt;22,$BC1506=(Elig_MatchAll_Ct-1),AM1506=0),J1506,0)</f>
        <v>0</v>
      </c>
      <c r="BP1506" s="991">
        <f>IF(AND(Input_Product=Elig!$C1506,Elig_MatchAll_Ct&lt;22,$BC1506=(Elig_MatchAll_Ct-1),AN1506=0),K1506,0)</f>
        <v>0</v>
      </c>
      <c r="BQ1506" s="991">
        <f>IF(AND(Input_Product=Elig!$C1506,Elig_MatchAll_Ct&lt;22,$BC1506=(Elig_MatchAll_Ct-1),AP1506=0),L1506,0)</f>
        <v>0</v>
      </c>
      <c r="BR1506" s="991">
        <f>IF(AND(Input_Product=Elig!$C1506,Elig_MatchAll_Ct&lt;22,$BC1506=(Elig_MatchAll_Ct-1),AO1506=0),M1506,0)</f>
        <v>0</v>
      </c>
      <c r="BS1506" s="991">
        <f>IF(AND(Input_Product=Elig!$C1506,Elig_MatchAll_Ct&lt;22,$BC1506=(Elig_MatchAll_Ct-1),AQ1506=0),N1506,0)</f>
        <v>0</v>
      </c>
      <c r="BT1506" s="991">
        <f>IF(AND(Input_Product=Elig!$C1506,Elig_MatchAll_Ct&lt;22,$BC1506=(Elig_MatchAll_Ct-1),AR1506=0),O1506,0)</f>
        <v>0</v>
      </c>
      <c r="BU1506" s="991">
        <f>IF(AND(Input_Product=Elig!$C1506,Elig_MatchAll_Ct&lt;22,$BC1506=(Elig_MatchAll_Ct-1),AS1506=0),P1506,0)</f>
        <v>0</v>
      </c>
      <c r="BV1506" s="992">
        <f>IF(AND(Input_Product=Elig!$C1506,Elig_MatchAll_Ct&lt;22,$BC1506=(Elig_MatchAll_Ct-1),AT1506=0),Q1506,0)</f>
        <v>0</v>
      </c>
      <c r="BW1506" s="993">
        <f>IF(AND(Input_Product=Elig!$C1506,Elig_MatchAll_Ct&lt;22,$BC1506=(Elig_MatchAll_Ct-1),AU1506=0),R1506,0)</f>
        <v>0</v>
      </c>
      <c r="BX1506" s="994">
        <f>IF(AND(Input_Product=Elig!$C1506,Elig_MatchAll_Ct&lt;22,$BC1506=(Elig_MatchAll_Ct-1),AU1506=0),S1506,0)</f>
        <v>0</v>
      </c>
      <c r="BY1506" s="993">
        <f>IF(AND(Input_Product=Elig!$C1506,Elig_MatchAll_Ct&lt;22,$BC1506=(Elig_MatchAll_Ct-1),AV1506=0),T1506,0)</f>
        <v>0</v>
      </c>
      <c r="BZ1506" s="994">
        <f>IF(AND(Input_Product=Elig!$C1506,Elig_MatchAll_Ct&lt;22,$BC1506=(Elig_MatchAll_Ct-1),AV1506=0),U1506,0)</f>
        <v>0</v>
      </c>
      <c r="CA1506" s="993">
        <f>IF(AND(Input_Product=Elig!$C1506,Elig_MatchAll_Ct&lt;22,$BC1506=(Elig_MatchAll_Ct-1),AW1506=0),V1506,0)</f>
        <v>0</v>
      </c>
      <c r="CB1506" s="994">
        <f>IF(AND(Input_Product=Elig!$C1506,Elig_MatchAll_Ct&lt;22,$BC1506=(Elig_MatchAll_Ct-1),AW1506=0),W1506,0)</f>
        <v>0</v>
      </c>
      <c r="CC1506" s="993">
        <f>IF(AND(Input_Product=Elig!$C1506,Elig_MatchAll_Ct&lt;22,$BC1506=(Elig_MatchAll_Ct-1),AX1506=0),X1506,0)</f>
        <v>0</v>
      </c>
      <c r="CD1506" s="994">
        <f>IF(AND(Input_Product=Elig!$C1506,Elig_MatchAll_Ct&lt;22,$BC1506=(Elig_MatchAll_Ct-1),AX1506=0),Y1506,0)</f>
        <v>0</v>
      </c>
      <c r="CE1506" s="993">
        <f>IF(AND(Input_LTV&lt;=AE1506,Input_Product=Elig!$C1506,Elig_MatchAll_Ct&lt;22,$BC1506=(Elig_MatchAll_Ct-1),AY1506=0),Z1506,0)</f>
        <v>0</v>
      </c>
      <c r="CF1506" s="994">
        <f>IF(AND(Input_LTV&lt;=AE1506,Input_Product=Elig!$C1506,Elig_MatchAll_Ct&lt;22,$BC1506=(Elig_MatchAll_Ct-1),AY1506=0),AA1506,0)</f>
        <v>0</v>
      </c>
      <c r="CG1506" s="993">
        <f>IF(AND(Input_Product=Elig!$C1506,Elig_MatchAll_Ct&lt;22,$BC1506=(Elig_MatchAll_Ct-1),AZ1506=0),AB1506,0)</f>
        <v>0</v>
      </c>
      <c r="CH1506" s="994">
        <f>IF(AND(Input_Product=Elig!$C1506,Elig_MatchAll_Ct&lt;22,$BC1506=(Elig_MatchAll_Ct-1),AZ1506=0),AC1506,0)</f>
        <v>0</v>
      </c>
      <c r="CI1506" s="993">
        <f>IF(AND(Input_Product=Elig!$C1506,Elig_MatchAll_Ct&lt;22,$BC1506=(Elig_MatchAll_Ct-1),BA1506=0),AD1506,0)</f>
        <v>0</v>
      </c>
      <c r="CJ1506" s="994">
        <f>IF(AND(Input_Product=Elig!$C1506,Elig_MatchAll_Ct&lt;22,$BC1506=(Elig_MatchAll_Ct-1),BA1506=0),AE1506,0)</f>
        <v>0</v>
      </c>
    </row>
    <row r="1507" spans="2:88" ht="10.15" customHeight="1" x14ac:dyDescent="0.25">
      <c r="B1507" s="1567" t="s">
        <v>2855</v>
      </c>
      <c r="C1507" s="1567" t="str">
        <f t="shared" si="513"/>
        <v xml:space="preserve">  NOO</v>
      </c>
      <c r="D1507" s="1567" t="s">
        <v>2764</v>
      </c>
      <c r="E1507" s="1567" t="s">
        <v>167</v>
      </c>
      <c r="F1507" s="1567" t="s">
        <v>330</v>
      </c>
      <c r="G1507" s="1567" t="s">
        <v>181</v>
      </c>
      <c r="H1507" s="1567" t="s">
        <v>136</v>
      </c>
      <c r="I1507" s="1568" t="s">
        <v>34</v>
      </c>
      <c r="J1507" s="1568" t="s">
        <v>1311</v>
      </c>
      <c r="K1507" s="1568" t="s">
        <v>3023</v>
      </c>
      <c r="L1507" s="1567" t="s">
        <v>312</v>
      </c>
      <c r="M1507" s="1567" t="s">
        <v>4204</v>
      </c>
      <c r="N1507" s="1567" t="s">
        <v>2685</v>
      </c>
      <c r="O1507" s="1567" t="s">
        <v>310</v>
      </c>
      <c r="P1507" s="1567" t="s">
        <v>291</v>
      </c>
      <c r="Q1507" s="1567" t="s">
        <v>294</v>
      </c>
      <c r="R1507" s="1567">
        <v>100000</v>
      </c>
      <c r="S1507" s="1567">
        <v>1000000</v>
      </c>
      <c r="T1507" s="1567">
        <v>0</v>
      </c>
      <c r="U1507" s="1567">
        <v>0</v>
      </c>
      <c r="V1507" s="1567">
        <v>0</v>
      </c>
      <c r="W1507" s="1567">
        <v>0</v>
      </c>
      <c r="X1507" s="1567">
        <v>1</v>
      </c>
      <c r="Y1507" s="1567">
        <v>999</v>
      </c>
      <c r="Z1507" s="1569">
        <v>660</v>
      </c>
      <c r="AA1507" s="1569">
        <v>699</v>
      </c>
      <c r="AB1507" s="1569">
        <v>2</v>
      </c>
      <c r="AC1507" s="1569">
        <v>999999</v>
      </c>
      <c r="AD1507" s="1567">
        <v>0</v>
      </c>
      <c r="AE1507" s="1570">
        <v>75</v>
      </c>
      <c r="AF1507" s="170">
        <v>0</v>
      </c>
      <c r="AG1507" s="171">
        <v>1</v>
      </c>
      <c r="AH1507" s="171">
        <v>1</v>
      </c>
      <c r="AI1507" s="171">
        <v>0</v>
      </c>
      <c r="AJ1507" s="171">
        <v>0</v>
      </c>
      <c r="AK1507" s="171">
        <v>1</v>
      </c>
      <c r="AL1507" s="171">
        <v>0</v>
      </c>
      <c r="AM1507" s="171">
        <v>1</v>
      </c>
      <c r="AN1507" s="171">
        <v>1</v>
      </c>
      <c r="AO1507" s="171">
        <v>1</v>
      </c>
      <c r="AP1507" s="171">
        <v>1</v>
      </c>
      <c r="AQ1507" s="171">
        <v>1</v>
      </c>
      <c r="AR1507" s="171">
        <v>1</v>
      </c>
      <c r="AS1507" s="171">
        <v>1</v>
      </c>
      <c r="AT1507" s="171">
        <v>1</v>
      </c>
      <c r="AU1507" s="171">
        <f t="shared" si="502"/>
        <v>1</v>
      </c>
      <c r="AV1507" s="171">
        <f t="shared" si="503"/>
        <v>0</v>
      </c>
      <c r="AW1507" s="171">
        <f t="shared" si="504"/>
        <v>0</v>
      </c>
      <c r="AX1507" s="171">
        <f t="shared" si="512"/>
        <v>0</v>
      </c>
      <c r="AY1507" s="171">
        <f t="shared" si="505"/>
        <v>0</v>
      </c>
      <c r="AZ1507" s="171">
        <f t="shared" si="506"/>
        <v>1</v>
      </c>
      <c r="BA1507" s="172">
        <f t="shared" si="507"/>
        <v>1</v>
      </c>
      <c r="BB1507" s="175">
        <f t="shared" si="508"/>
        <v>14</v>
      </c>
      <c r="BC1507" s="176">
        <f t="shared" si="509"/>
        <v>13</v>
      </c>
      <c r="BD1507" s="176">
        <f t="shared" si="510"/>
        <v>14</v>
      </c>
      <c r="BE1507" s="240" t="str">
        <f t="shared" si="501"/>
        <v/>
      </c>
      <c r="BF1507" s="990"/>
      <c r="BG1507" s="990"/>
      <c r="BH1507" s="991">
        <f>IF(AND(Input_Product=Elig!$C1507,Elig_MatchAll_Ct&lt;22,$BC1507=(Elig_MatchAll_Ct-1),AF1507=0),C1507,0)</f>
        <v>0</v>
      </c>
      <c r="BI1507" s="991">
        <f>IF(AND(Input_Product=Elig!$C1507,Elig_MatchAll_Ct&lt;22,$BC1507=(Elig_MatchAll_Ct-1),AG1507=0),D1507,0)</f>
        <v>0</v>
      </c>
      <c r="BJ1507" s="991">
        <f>IF(AND(Input_Product=Elig!$C1507,Elig_MatchAll_Ct&lt;22,$BC1507=(Elig_MatchAll_Ct-1),AH1507=0),E1507,0)</f>
        <v>0</v>
      </c>
      <c r="BK1507" s="991">
        <f>IF(AND(Input_Product=Elig!$C1507,Elig_MatchAll_Ct&lt;22,$BC1507=(Elig_MatchAll_Ct-1),AI1507=0),F1507,0)</f>
        <v>0</v>
      </c>
      <c r="BL1507" s="991">
        <f>IF(AND(Input_Product=Elig!$C1507,Elig_MatchAll_Ct&lt;22,$BC1507=(Elig_MatchAll_Ct-1),AJ1507=0),G1507,0)</f>
        <v>0</v>
      </c>
      <c r="BM1507" s="991">
        <f>IF(AND(Input_Product=Elig!$C1507,Elig_MatchAll_Ct&lt;22,$BC1507=(Elig_MatchAll_Ct-1),AK1507=0),H1507,0)</f>
        <v>0</v>
      </c>
      <c r="BN1507" s="991">
        <f>IF(AND(Input_Product=Elig!$C1507,Elig_MatchAll_Ct&lt;22,$BC1507=(Elig_MatchAll_Ct-1),AL1507=0),I1507,0)</f>
        <v>0</v>
      </c>
      <c r="BO1507" s="991">
        <f>IF(AND(Input_Product=Elig!$C1507,Elig_MatchAll_Ct&lt;22,$BC1507=(Elig_MatchAll_Ct-1),AM1507=0),J1507,0)</f>
        <v>0</v>
      </c>
      <c r="BP1507" s="991">
        <f>IF(AND(Input_Product=Elig!$C1507,Elig_MatchAll_Ct&lt;22,$BC1507=(Elig_MatchAll_Ct-1),AN1507=0),K1507,0)</f>
        <v>0</v>
      </c>
      <c r="BQ1507" s="991">
        <f>IF(AND(Input_Product=Elig!$C1507,Elig_MatchAll_Ct&lt;22,$BC1507=(Elig_MatchAll_Ct-1),AP1507=0),L1507,0)</f>
        <v>0</v>
      </c>
      <c r="BR1507" s="991">
        <f>IF(AND(Input_Product=Elig!$C1507,Elig_MatchAll_Ct&lt;22,$BC1507=(Elig_MatchAll_Ct-1),AO1507=0),M1507,0)</f>
        <v>0</v>
      </c>
      <c r="BS1507" s="991">
        <f>IF(AND(Input_Product=Elig!$C1507,Elig_MatchAll_Ct&lt;22,$BC1507=(Elig_MatchAll_Ct-1),AQ1507=0),N1507,0)</f>
        <v>0</v>
      </c>
      <c r="BT1507" s="991">
        <f>IF(AND(Input_Product=Elig!$C1507,Elig_MatchAll_Ct&lt;22,$BC1507=(Elig_MatchAll_Ct-1),AR1507=0),O1507,0)</f>
        <v>0</v>
      </c>
      <c r="BU1507" s="991">
        <f>IF(AND(Input_Product=Elig!$C1507,Elig_MatchAll_Ct&lt;22,$BC1507=(Elig_MatchAll_Ct-1),AS1507=0),P1507,0)</f>
        <v>0</v>
      </c>
      <c r="BV1507" s="992">
        <f>IF(AND(Input_Product=Elig!$C1507,Elig_MatchAll_Ct&lt;22,$BC1507=(Elig_MatchAll_Ct-1),AT1507=0),Q1507,0)</f>
        <v>0</v>
      </c>
      <c r="BW1507" s="993">
        <f>IF(AND(Input_Product=Elig!$C1507,Elig_MatchAll_Ct&lt;22,$BC1507=(Elig_MatchAll_Ct-1),AU1507=0),R1507,0)</f>
        <v>0</v>
      </c>
      <c r="BX1507" s="994">
        <f>IF(AND(Input_Product=Elig!$C1507,Elig_MatchAll_Ct&lt;22,$BC1507=(Elig_MatchAll_Ct-1),AU1507=0),S1507,0)</f>
        <v>0</v>
      </c>
      <c r="BY1507" s="993">
        <f>IF(AND(Input_Product=Elig!$C1507,Elig_MatchAll_Ct&lt;22,$BC1507=(Elig_MatchAll_Ct-1),AV1507=0),T1507,0)</f>
        <v>0</v>
      </c>
      <c r="BZ1507" s="994">
        <f>IF(AND(Input_Product=Elig!$C1507,Elig_MatchAll_Ct&lt;22,$BC1507=(Elig_MatchAll_Ct-1),AV1507=0),U1507,0)</f>
        <v>0</v>
      </c>
      <c r="CA1507" s="993">
        <f>IF(AND(Input_Product=Elig!$C1507,Elig_MatchAll_Ct&lt;22,$BC1507=(Elig_MatchAll_Ct-1),AW1507=0),V1507,0)</f>
        <v>0</v>
      </c>
      <c r="CB1507" s="994">
        <f>IF(AND(Input_Product=Elig!$C1507,Elig_MatchAll_Ct&lt;22,$BC1507=(Elig_MatchAll_Ct-1),AW1507=0),W1507,0)</f>
        <v>0</v>
      </c>
      <c r="CC1507" s="993">
        <f>IF(AND(Input_Product=Elig!$C1507,Elig_MatchAll_Ct&lt;22,$BC1507=(Elig_MatchAll_Ct-1),AX1507=0),X1507,0)</f>
        <v>0</v>
      </c>
      <c r="CD1507" s="994">
        <f>IF(AND(Input_Product=Elig!$C1507,Elig_MatchAll_Ct&lt;22,$BC1507=(Elig_MatchAll_Ct-1),AX1507=0),Y1507,0)</f>
        <v>0</v>
      </c>
      <c r="CE1507" s="993">
        <f>IF(AND(Input_LTV&lt;=AE1507,Input_Product=Elig!$C1507,Elig_MatchAll_Ct&lt;22,$BC1507=(Elig_MatchAll_Ct-1),AY1507=0),Z1507,0)</f>
        <v>0</v>
      </c>
      <c r="CF1507" s="994">
        <f>IF(AND(Input_LTV&lt;=AE1507,Input_Product=Elig!$C1507,Elig_MatchAll_Ct&lt;22,$BC1507=(Elig_MatchAll_Ct-1),AY1507=0),AA1507,0)</f>
        <v>0</v>
      </c>
      <c r="CG1507" s="993">
        <f>IF(AND(Input_Product=Elig!$C1507,Elig_MatchAll_Ct&lt;22,$BC1507=(Elig_MatchAll_Ct-1),AZ1507=0),AB1507,0)</f>
        <v>0</v>
      </c>
      <c r="CH1507" s="994">
        <f>IF(AND(Input_Product=Elig!$C1507,Elig_MatchAll_Ct&lt;22,$BC1507=(Elig_MatchAll_Ct-1),AZ1507=0),AC1507,0)</f>
        <v>0</v>
      </c>
      <c r="CI1507" s="993">
        <f>IF(AND(Input_Product=Elig!$C1507,Elig_MatchAll_Ct&lt;22,$BC1507=(Elig_MatchAll_Ct-1),BA1507=0),AD1507,0)</f>
        <v>0</v>
      </c>
      <c r="CJ1507" s="994">
        <f>IF(AND(Input_Product=Elig!$C1507,Elig_MatchAll_Ct&lt;22,$BC1507=(Elig_MatchAll_Ct-1),BA1507=0),AE1507,0)</f>
        <v>0</v>
      </c>
    </row>
    <row r="1508" spans="2:88" ht="10.15" customHeight="1" x14ac:dyDescent="0.25">
      <c r="B1508" s="1567" t="s">
        <v>2856</v>
      </c>
      <c r="C1508" s="1567" t="str">
        <f t="shared" si="513"/>
        <v xml:space="preserve">  NOO</v>
      </c>
      <c r="D1508" s="1567" t="s">
        <v>2764</v>
      </c>
      <c r="E1508" s="1567" t="s">
        <v>167</v>
      </c>
      <c r="F1508" s="1567" t="s">
        <v>330</v>
      </c>
      <c r="G1508" s="1567" t="s">
        <v>181</v>
      </c>
      <c r="H1508" s="1567" t="s">
        <v>136</v>
      </c>
      <c r="I1508" s="1568" t="s">
        <v>34</v>
      </c>
      <c r="J1508" s="1568" t="s">
        <v>1311</v>
      </c>
      <c r="K1508" s="1568" t="s">
        <v>3023</v>
      </c>
      <c r="L1508" s="1567" t="s">
        <v>312</v>
      </c>
      <c r="M1508" s="1567" t="s">
        <v>4204</v>
      </c>
      <c r="N1508" s="1567" t="s">
        <v>2685</v>
      </c>
      <c r="O1508" s="1567" t="s">
        <v>310</v>
      </c>
      <c r="P1508" s="1567" t="s">
        <v>291</v>
      </c>
      <c r="Q1508" s="1567" t="s">
        <v>294</v>
      </c>
      <c r="R1508" s="1567">
        <v>1000000.01</v>
      </c>
      <c r="S1508" s="1567">
        <v>1500000</v>
      </c>
      <c r="T1508" s="1567">
        <v>0</v>
      </c>
      <c r="U1508" s="1567">
        <v>0</v>
      </c>
      <c r="V1508" s="1567">
        <v>0</v>
      </c>
      <c r="W1508" s="1567">
        <v>0</v>
      </c>
      <c r="X1508" s="1567">
        <v>1</v>
      </c>
      <c r="Y1508" s="1567">
        <v>999</v>
      </c>
      <c r="Z1508" s="1569">
        <v>660</v>
      </c>
      <c r="AA1508" s="1569">
        <v>699</v>
      </c>
      <c r="AB1508" s="1569">
        <v>2</v>
      </c>
      <c r="AC1508" s="1569">
        <v>999999</v>
      </c>
      <c r="AD1508" s="1567">
        <v>0</v>
      </c>
      <c r="AE1508" s="1570">
        <v>75</v>
      </c>
      <c r="AF1508" s="170">
        <v>0</v>
      </c>
      <c r="AG1508" s="171">
        <v>1</v>
      </c>
      <c r="AH1508" s="171">
        <v>1</v>
      </c>
      <c r="AI1508" s="171">
        <v>0</v>
      </c>
      <c r="AJ1508" s="171">
        <v>0</v>
      </c>
      <c r="AK1508" s="171">
        <v>1</v>
      </c>
      <c r="AL1508" s="171">
        <v>0</v>
      </c>
      <c r="AM1508" s="171">
        <v>1</v>
      </c>
      <c r="AN1508" s="171">
        <v>1</v>
      </c>
      <c r="AO1508" s="171">
        <v>1</v>
      </c>
      <c r="AP1508" s="171">
        <v>1</v>
      </c>
      <c r="AQ1508" s="171">
        <v>1</v>
      </c>
      <c r="AR1508" s="171">
        <v>1</v>
      </c>
      <c r="AS1508" s="171">
        <v>1</v>
      </c>
      <c r="AT1508" s="171">
        <v>1</v>
      </c>
      <c r="AU1508" s="171">
        <f t="shared" si="502"/>
        <v>0</v>
      </c>
      <c r="AV1508" s="171">
        <f t="shared" si="503"/>
        <v>0</v>
      </c>
      <c r="AW1508" s="171">
        <f t="shared" si="504"/>
        <v>0</v>
      </c>
      <c r="AX1508" s="171">
        <f t="shared" si="512"/>
        <v>0</v>
      </c>
      <c r="AY1508" s="171">
        <f t="shared" si="505"/>
        <v>0</v>
      </c>
      <c r="AZ1508" s="171">
        <f t="shared" si="506"/>
        <v>1</v>
      </c>
      <c r="BA1508" s="172">
        <f t="shared" si="507"/>
        <v>1</v>
      </c>
      <c r="BB1508" s="175">
        <f t="shared" si="508"/>
        <v>13</v>
      </c>
      <c r="BC1508" s="176">
        <f t="shared" si="509"/>
        <v>12</v>
      </c>
      <c r="BD1508" s="176">
        <f t="shared" si="510"/>
        <v>13</v>
      </c>
      <c r="BE1508" s="240" t="str">
        <f t="shared" si="501"/>
        <v/>
      </c>
      <c r="BF1508" s="990"/>
      <c r="BG1508" s="990"/>
      <c r="BH1508" s="991">
        <f>IF(AND(Input_Product=Elig!$C1508,Elig_MatchAll_Ct&lt;22,$BC1508=(Elig_MatchAll_Ct-1),AF1508=0),C1508,0)</f>
        <v>0</v>
      </c>
      <c r="BI1508" s="991">
        <f>IF(AND(Input_Product=Elig!$C1508,Elig_MatchAll_Ct&lt;22,$BC1508=(Elig_MatchAll_Ct-1),AG1508=0),D1508,0)</f>
        <v>0</v>
      </c>
      <c r="BJ1508" s="991">
        <f>IF(AND(Input_Product=Elig!$C1508,Elig_MatchAll_Ct&lt;22,$BC1508=(Elig_MatchAll_Ct-1),AH1508=0),E1508,0)</f>
        <v>0</v>
      </c>
      <c r="BK1508" s="991">
        <f>IF(AND(Input_Product=Elig!$C1508,Elig_MatchAll_Ct&lt;22,$BC1508=(Elig_MatchAll_Ct-1),AI1508=0),F1508,0)</f>
        <v>0</v>
      </c>
      <c r="BL1508" s="991">
        <f>IF(AND(Input_Product=Elig!$C1508,Elig_MatchAll_Ct&lt;22,$BC1508=(Elig_MatchAll_Ct-1),AJ1508=0),G1508,0)</f>
        <v>0</v>
      </c>
      <c r="BM1508" s="991">
        <f>IF(AND(Input_Product=Elig!$C1508,Elig_MatchAll_Ct&lt;22,$BC1508=(Elig_MatchAll_Ct-1),AK1508=0),H1508,0)</f>
        <v>0</v>
      </c>
      <c r="BN1508" s="991">
        <f>IF(AND(Input_Product=Elig!$C1508,Elig_MatchAll_Ct&lt;22,$BC1508=(Elig_MatchAll_Ct-1),AL1508=0),I1508,0)</f>
        <v>0</v>
      </c>
      <c r="BO1508" s="991">
        <f>IF(AND(Input_Product=Elig!$C1508,Elig_MatchAll_Ct&lt;22,$BC1508=(Elig_MatchAll_Ct-1),AM1508=0),J1508,0)</f>
        <v>0</v>
      </c>
      <c r="BP1508" s="991">
        <f>IF(AND(Input_Product=Elig!$C1508,Elig_MatchAll_Ct&lt;22,$BC1508=(Elig_MatchAll_Ct-1),AN1508=0),K1508,0)</f>
        <v>0</v>
      </c>
      <c r="BQ1508" s="991">
        <f>IF(AND(Input_Product=Elig!$C1508,Elig_MatchAll_Ct&lt;22,$BC1508=(Elig_MatchAll_Ct-1),AP1508=0),L1508,0)</f>
        <v>0</v>
      </c>
      <c r="BR1508" s="991">
        <f>IF(AND(Input_Product=Elig!$C1508,Elig_MatchAll_Ct&lt;22,$BC1508=(Elig_MatchAll_Ct-1),AO1508=0),M1508,0)</f>
        <v>0</v>
      </c>
      <c r="BS1508" s="991">
        <f>IF(AND(Input_Product=Elig!$C1508,Elig_MatchAll_Ct&lt;22,$BC1508=(Elig_MatchAll_Ct-1),AQ1508=0),N1508,0)</f>
        <v>0</v>
      </c>
      <c r="BT1508" s="991">
        <f>IF(AND(Input_Product=Elig!$C1508,Elig_MatchAll_Ct&lt;22,$BC1508=(Elig_MatchAll_Ct-1),AR1508=0),O1508,0)</f>
        <v>0</v>
      </c>
      <c r="BU1508" s="991">
        <f>IF(AND(Input_Product=Elig!$C1508,Elig_MatchAll_Ct&lt;22,$BC1508=(Elig_MatchAll_Ct-1),AS1508=0),P1508,0)</f>
        <v>0</v>
      </c>
      <c r="BV1508" s="992">
        <f>IF(AND(Input_Product=Elig!$C1508,Elig_MatchAll_Ct&lt;22,$BC1508=(Elig_MatchAll_Ct-1),AT1508=0),Q1508,0)</f>
        <v>0</v>
      </c>
      <c r="BW1508" s="993">
        <f>IF(AND(Input_Product=Elig!$C1508,Elig_MatchAll_Ct&lt;22,$BC1508=(Elig_MatchAll_Ct-1),AU1508=0),R1508,0)</f>
        <v>0</v>
      </c>
      <c r="BX1508" s="994">
        <f>IF(AND(Input_Product=Elig!$C1508,Elig_MatchAll_Ct&lt;22,$BC1508=(Elig_MatchAll_Ct-1),AU1508=0),S1508,0)</f>
        <v>0</v>
      </c>
      <c r="BY1508" s="993">
        <f>IF(AND(Input_Product=Elig!$C1508,Elig_MatchAll_Ct&lt;22,$BC1508=(Elig_MatchAll_Ct-1),AV1508=0),T1508,0)</f>
        <v>0</v>
      </c>
      <c r="BZ1508" s="994">
        <f>IF(AND(Input_Product=Elig!$C1508,Elig_MatchAll_Ct&lt;22,$BC1508=(Elig_MatchAll_Ct-1),AV1508=0),U1508,0)</f>
        <v>0</v>
      </c>
      <c r="CA1508" s="993">
        <f>IF(AND(Input_Product=Elig!$C1508,Elig_MatchAll_Ct&lt;22,$BC1508=(Elig_MatchAll_Ct-1),AW1508=0),V1508,0)</f>
        <v>0</v>
      </c>
      <c r="CB1508" s="994">
        <f>IF(AND(Input_Product=Elig!$C1508,Elig_MatchAll_Ct&lt;22,$BC1508=(Elig_MatchAll_Ct-1),AW1508=0),W1508,0)</f>
        <v>0</v>
      </c>
      <c r="CC1508" s="993">
        <f>IF(AND(Input_Product=Elig!$C1508,Elig_MatchAll_Ct&lt;22,$BC1508=(Elig_MatchAll_Ct-1),AX1508=0),X1508,0)</f>
        <v>0</v>
      </c>
      <c r="CD1508" s="994">
        <f>IF(AND(Input_Product=Elig!$C1508,Elig_MatchAll_Ct&lt;22,$BC1508=(Elig_MatchAll_Ct-1),AX1508=0),Y1508,0)</f>
        <v>0</v>
      </c>
      <c r="CE1508" s="993">
        <f>IF(AND(Input_LTV&lt;=AE1508,Input_Product=Elig!$C1508,Elig_MatchAll_Ct&lt;22,$BC1508=(Elig_MatchAll_Ct-1),AY1508=0),Z1508,0)</f>
        <v>0</v>
      </c>
      <c r="CF1508" s="994">
        <f>IF(AND(Input_LTV&lt;=AE1508,Input_Product=Elig!$C1508,Elig_MatchAll_Ct&lt;22,$BC1508=(Elig_MatchAll_Ct-1),AY1508=0),AA1508,0)</f>
        <v>0</v>
      </c>
      <c r="CG1508" s="993">
        <f>IF(AND(Input_Product=Elig!$C1508,Elig_MatchAll_Ct&lt;22,$BC1508=(Elig_MatchAll_Ct-1),AZ1508=0),AB1508,0)</f>
        <v>0</v>
      </c>
      <c r="CH1508" s="994">
        <f>IF(AND(Input_Product=Elig!$C1508,Elig_MatchAll_Ct&lt;22,$BC1508=(Elig_MatchAll_Ct-1),AZ1508=0),AC1508,0)</f>
        <v>0</v>
      </c>
      <c r="CI1508" s="993">
        <f>IF(AND(Input_Product=Elig!$C1508,Elig_MatchAll_Ct&lt;22,$BC1508=(Elig_MatchAll_Ct-1),BA1508=0),AD1508,0)</f>
        <v>0</v>
      </c>
      <c r="CJ1508" s="994">
        <f>IF(AND(Input_Product=Elig!$C1508,Elig_MatchAll_Ct&lt;22,$BC1508=(Elig_MatchAll_Ct-1),BA1508=0),AE1508,0)</f>
        <v>0</v>
      </c>
    </row>
    <row r="1509" spans="2:88" ht="10.15" customHeight="1" x14ac:dyDescent="0.25">
      <c r="B1509" s="1567" t="s">
        <v>2857</v>
      </c>
      <c r="C1509" s="1567" t="str">
        <f t="shared" si="513"/>
        <v xml:space="preserve">  NOO</v>
      </c>
      <c r="D1509" s="1567" t="s">
        <v>2764</v>
      </c>
      <c r="E1509" s="1567" t="s">
        <v>167</v>
      </c>
      <c r="F1509" s="1567" t="s">
        <v>330</v>
      </c>
      <c r="G1509" s="1567" t="s">
        <v>181</v>
      </c>
      <c r="H1509" s="1567" t="s">
        <v>136</v>
      </c>
      <c r="I1509" s="1568" t="s">
        <v>34</v>
      </c>
      <c r="J1509" s="1568" t="s">
        <v>1311</v>
      </c>
      <c r="K1509" s="1568" t="s">
        <v>3023</v>
      </c>
      <c r="L1509" s="1567" t="s">
        <v>312</v>
      </c>
      <c r="M1509" s="1567" t="s">
        <v>4204</v>
      </c>
      <c r="N1509" s="1567" t="s">
        <v>2685</v>
      </c>
      <c r="O1509" s="1567" t="s">
        <v>310</v>
      </c>
      <c r="P1509" s="1567" t="s">
        <v>291</v>
      </c>
      <c r="Q1509" s="1567" t="s">
        <v>294</v>
      </c>
      <c r="R1509" s="1567">
        <v>1500000.01</v>
      </c>
      <c r="S1509" s="1567">
        <v>2000000</v>
      </c>
      <c r="T1509" s="1567">
        <v>0</v>
      </c>
      <c r="U1509" s="1567">
        <v>0</v>
      </c>
      <c r="V1509" s="1567">
        <v>0</v>
      </c>
      <c r="W1509" s="1567">
        <v>0</v>
      </c>
      <c r="X1509" s="1567">
        <v>1</v>
      </c>
      <c r="Y1509" s="1567">
        <v>999</v>
      </c>
      <c r="Z1509" s="1569">
        <v>660</v>
      </c>
      <c r="AA1509" s="1569">
        <v>699</v>
      </c>
      <c r="AB1509" s="1569">
        <v>2</v>
      </c>
      <c r="AC1509" s="1569">
        <v>999999</v>
      </c>
      <c r="AD1509" s="1567">
        <v>0</v>
      </c>
      <c r="AE1509" s="1570">
        <v>70</v>
      </c>
      <c r="AF1509" s="170">
        <v>0</v>
      </c>
      <c r="AG1509" s="171">
        <v>1</v>
      </c>
      <c r="AH1509" s="171">
        <v>1</v>
      </c>
      <c r="AI1509" s="171">
        <v>0</v>
      </c>
      <c r="AJ1509" s="171">
        <v>0</v>
      </c>
      <c r="AK1509" s="171">
        <v>1</v>
      </c>
      <c r="AL1509" s="171">
        <v>0</v>
      </c>
      <c r="AM1509" s="171">
        <v>1</v>
      </c>
      <c r="AN1509" s="171">
        <v>1</v>
      </c>
      <c r="AO1509" s="171">
        <v>1</v>
      </c>
      <c r="AP1509" s="171">
        <v>1</v>
      </c>
      <c r="AQ1509" s="171">
        <v>1</v>
      </c>
      <c r="AR1509" s="171">
        <v>1</v>
      </c>
      <c r="AS1509" s="171">
        <v>1</v>
      </c>
      <c r="AT1509" s="171">
        <v>1</v>
      </c>
      <c r="AU1509" s="171">
        <f t="shared" si="502"/>
        <v>0</v>
      </c>
      <c r="AV1509" s="171">
        <f t="shared" si="503"/>
        <v>0</v>
      </c>
      <c r="AW1509" s="171">
        <f t="shared" si="504"/>
        <v>0</v>
      </c>
      <c r="AX1509" s="171">
        <f t="shared" si="512"/>
        <v>0</v>
      </c>
      <c r="AY1509" s="171">
        <f t="shared" si="505"/>
        <v>0</v>
      </c>
      <c r="AZ1509" s="171">
        <f t="shared" si="506"/>
        <v>1</v>
      </c>
      <c r="BA1509" s="172">
        <f t="shared" si="507"/>
        <v>1</v>
      </c>
      <c r="BB1509" s="175">
        <f t="shared" si="508"/>
        <v>13</v>
      </c>
      <c r="BC1509" s="176">
        <f t="shared" si="509"/>
        <v>12</v>
      </c>
      <c r="BD1509" s="176">
        <f t="shared" si="510"/>
        <v>13</v>
      </c>
      <c r="BE1509" s="240" t="str">
        <f t="shared" ref="BE1509:BE1572" si="514">IF(BD1509=21,C1509,"")</f>
        <v/>
      </c>
      <c r="BF1509" s="990"/>
      <c r="BG1509" s="990"/>
      <c r="BH1509" s="991">
        <f>IF(AND(Input_Product=Elig!$C1509,Elig_MatchAll_Ct&lt;22,$BC1509=(Elig_MatchAll_Ct-1),AF1509=0),C1509,0)</f>
        <v>0</v>
      </c>
      <c r="BI1509" s="991">
        <f>IF(AND(Input_Product=Elig!$C1509,Elig_MatchAll_Ct&lt;22,$BC1509=(Elig_MatchAll_Ct-1),AG1509=0),D1509,0)</f>
        <v>0</v>
      </c>
      <c r="BJ1509" s="991">
        <f>IF(AND(Input_Product=Elig!$C1509,Elig_MatchAll_Ct&lt;22,$BC1509=(Elig_MatchAll_Ct-1),AH1509=0),E1509,0)</f>
        <v>0</v>
      </c>
      <c r="BK1509" s="991">
        <f>IF(AND(Input_Product=Elig!$C1509,Elig_MatchAll_Ct&lt;22,$BC1509=(Elig_MatchAll_Ct-1),AI1509=0),F1509,0)</f>
        <v>0</v>
      </c>
      <c r="BL1509" s="991">
        <f>IF(AND(Input_Product=Elig!$C1509,Elig_MatchAll_Ct&lt;22,$BC1509=(Elig_MatchAll_Ct-1),AJ1509=0),G1509,0)</f>
        <v>0</v>
      </c>
      <c r="BM1509" s="991">
        <f>IF(AND(Input_Product=Elig!$C1509,Elig_MatchAll_Ct&lt;22,$BC1509=(Elig_MatchAll_Ct-1),AK1509=0),H1509,0)</f>
        <v>0</v>
      </c>
      <c r="BN1509" s="991">
        <f>IF(AND(Input_Product=Elig!$C1509,Elig_MatchAll_Ct&lt;22,$BC1509=(Elig_MatchAll_Ct-1),AL1509=0),I1509,0)</f>
        <v>0</v>
      </c>
      <c r="BO1509" s="991">
        <f>IF(AND(Input_Product=Elig!$C1509,Elig_MatchAll_Ct&lt;22,$BC1509=(Elig_MatchAll_Ct-1),AM1509=0),J1509,0)</f>
        <v>0</v>
      </c>
      <c r="BP1509" s="991">
        <f>IF(AND(Input_Product=Elig!$C1509,Elig_MatchAll_Ct&lt;22,$BC1509=(Elig_MatchAll_Ct-1),AN1509=0),K1509,0)</f>
        <v>0</v>
      </c>
      <c r="BQ1509" s="991">
        <f>IF(AND(Input_Product=Elig!$C1509,Elig_MatchAll_Ct&lt;22,$BC1509=(Elig_MatchAll_Ct-1),AP1509=0),L1509,0)</f>
        <v>0</v>
      </c>
      <c r="BR1509" s="991">
        <f>IF(AND(Input_Product=Elig!$C1509,Elig_MatchAll_Ct&lt;22,$BC1509=(Elig_MatchAll_Ct-1),AO1509=0),M1509,0)</f>
        <v>0</v>
      </c>
      <c r="BS1509" s="991">
        <f>IF(AND(Input_Product=Elig!$C1509,Elig_MatchAll_Ct&lt;22,$BC1509=(Elig_MatchAll_Ct-1),AQ1509=0),N1509,0)</f>
        <v>0</v>
      </c>
      <c r="BT1509" s="991">
        <f>IF(AND(Input_Product=Elig!$C1509,Elig_MatchAll_Ct&lt;22,$BC1509=(Elig_MatchAll_Ct-1),AR1509=0),O1509,0)</f>
        <v>0</v>
      </c>
      <c r="BU1509" s="991">
        <f>IF(AND(Input_Product=Elig!$C1509,Elig_MatchAll_Ct&lt;22,$BC1509=(Elig_MatchAll_Ct-1),AS1509=0),P1509,0)</f>
        <v>0</v>
      </c>
      <c r="BV1509" s="992">
        <f>IF(AND(Input_Product=Elig!$C1509,Elig_MatchAll_Ct&lt;22,$BC1509=(Elig_MatchAll_Ct-1),AT1509=0),Q1509,0)</f>
        <v>0</v>
      </c>
      <c r="BW1509" s="993">
        <f>IF(AND(Input_Product=Elig!$C1509,Elig_MatchAll_Ct&lt;22,$BC1509=(Elig_MatchAll_Ct-1),AU1509=0),R1509,0)</f>
        <v>0</v>
      </c>
      <c r="BX1509" s="994">
        <f>IF(AND(Input_Product=Elig!$C1509,Elig_MatchAll_Ct&lt;22,$BC1509=(Elig_MatchAll_Ct-1),AU1509=0),S1509,0)</f>
        <v>0</v>
      </c>
      <c r="BY1509" s="993">
        <f>IF(AND(Input_Product=Elig!$C1509,Elig_MatchAll_Ct&lt;22,$BC1509=(Elig_MatchAll_Ct-1),AV1509=0),T1509,0)</f>
        <v>0</v>
      </c>
      <c r="BZ1509" s="994">
        <f>IF(AND(Input_Product=Elig!$C1509,Elig_MatchAll_Ct&lt;22,$BC1509=(Elig_MatchAll_Ct-1),AV1509=0),U1509,0)</f>
        <v>0</v>
      </c>
      <c r="CA1509" s="993">
        <f>IF(AND(Input_Product=Elig!$C1509,Elig_MatchAll_Ct&lt;22,$BC1509=(Elig_MatchAll_Ct-1),AW1509=0),V1509,0)</f>
        <v>0</v>
      </c>
      <c r="CB1509" s="994">
        <f>IF(AND(Input_Product=Elig!$C1509,Elig_MatchAll_Ct&lt;22,$BC1509=(Elig_MatchAll_Ct-1),AW1509=0),W1509,0)</f>
        <v>0</v>
      </c>
      <c r="CC1509" s="993">
        <f>IF(AND(Input_Product=Elig!$C1509,Elig_MatchAll_Ct&lt;22,$BC1509=(Elig_MatchAll_Ct-1),AX1509=0),X1509,0)</f>
        <v>0</v>
      </c>
      <c r="CD1509" s="994">
        <f>IF(AND(Input_Product=Elig!$C1509,Elig_MatchAll_Ct&lt;22,$BC1509=(Elig_MatchAll_Ct-1),AX1509=0),Y1509,0)</f>
        <v>0</v>
      </c>
      <c r="CE1509" s="993">
        <f>IF(AND(Input_LTV&lt;=AE1509,Input_Product=Elig!$C1509,Elig_MatchAll_Ct&lt;22,$BC1509=(Elig_MatchAll_Ct-1),AY1509=0),Z1509,0)</f>
        <v>0</v>
      </c>
      <c r="CF1509" s="994">
        <f>IF(AND(Input_LTV&lt;=AE1509,Input_Product=Elig!$C1509,Elig_MatchAll_Ct&lt;22,$BC1509=(Elig_MatchAll_Ct-1),AY1509=0),AA1509,0)</f>
        <v>0</v>
      </c>
      <c r="CG1509" s="993">
        <f>IF(AND(Input_Product=Elig!$C1509,Elig_MatchAll_Ct&lt;22,$BC1509=(Elig_MatchAll_Ct-1),AZ1509=0),AB1509,0)</f>
        <v>0</v>
      </c>
      <c r="CH1509" s="994">
        <f>IF(AND(Input_Product=Elig!$C1509,Elig_MatchAll_Ct&lt;22,$BC1509=(Elig_MatchAll_Ct-1),AZ1509=0),AC1509,0)</f>
        <v>0</v>
      </c>
      <c r="CI1509" s="993">
        <f>IF(AND(Input_Product=Elig!$C1509,Elig_MatchAll_Ct&lt;22,$BC1509=(Elig_MatchAll_Ct-1),BA1509=0),AD1509,0)</f>
        <v>0</v>
      </c>
      <c r="CJ1509" s="994">
        <f>IF(AND(Input_Product=Elig!$C1509,Elig_MatchAll_Ct&lt;22,$BC1509=(Elig_MatchAll_Ct-1),BA1509=0),AE1509,0)</f>
        <v>0</v>
      </c>
    </row>
    <row r="1510" spans="2:88" ht="10.15" customHeight="1" x14ac:dyDescent="0.25">
      <c r="B1510" s="1567" t="s">
        <v>2858</v>
      </c>
      <c r="C1510" s="1567" t="str">
        <f t="shared" si="513"/>
        <v xml:space="preserve">  NOO</v>
      </c>
      <c r="D1510" s="1567" t="s">
        <v>2764</v>
      </c>
      <c r="E1510" s="1567" t="s">
        <v>167</v>
      </c>
      <c r="F1510" s="1567" t="s">
        <v>330</v>
      </c>
      <c r="G1510" s="1567" t="s">
        <v>181</v>
      </c>
      <c r="H1510" s="1567" t="s">
        <v>136</v>
      </c>
      <c r="I1510" s="1568" t="s">
        <v>34</v>
      </c>
      <c r="J1510" s="1568" t="s">
        <v>1311</v>
      </c>
      <c r="K1510" s="1568" t="s">
        <v>3023</v>
      </c>
      <c r="L1510" s="1567" t="s">
        <v>312</v>
      </c>
      <c r="M1510" s="1567" t="s">
        <v>4204</v>
      </c>
      <c r="N1510" s="1567" t="s">
        <v>2685</v>
      </c>
      <c r="O1510" s="1567" t="s">
        <v>310</v>
      </c>
      <c r="P1510" s="1567" t="s">
        <v>291</v>
      </c>
      <c r="Q1510" s="1567" t="s">
        <v>294</v>
      </c>
      <c r="R1510" s="1567">
        <v>2000000.01</v>
      </c>
      <c r="S1510" s="1567">
        <v>2500000</v>
      </c>
      <c r="T1510" s="1567">
        <v>0</v>
      </c>
      <c r="U1510" s="1567">
        <v>0</v>
      </c>
      <c r="V1510" s="1567">
        <v>0</v>
      </c>
      <c r="W1510" s="1567">
        <v>0</v>
      </c>
      <c r="X1510" s="1567">
        <v>1</v>
      </c>
      <c r="Y1510" s="1567">
        <v>999</v>
      </c>
      <c r="Z1510" s="1569">
        <v>660</v>
      </c>
      <c r="AA1510" s="1569">
        <v>699</v>
      </c>
      <c r="AB1510" s="1569">
        <v>2</v>
      </c>
      <c r="AC1510" s="1569">
        <v>999999</v>
      </c>
      <c r="AD1510" s="1567">
        <v>0</v>
      </c>
      <c r="AE1510" s="1570">
        <v>70</v>
      </c>
      <c r="AF1510" s="170">
        <v>0</v>
      </c>
      <c r="AG1510" s="171">
        <v>1</v>
      </c>
      <c r="AH1510" s="171">
        <v>1</v>
      </c>
      <c r="AI1510" s="171">
        <v>0</v>
      </c>
      <c r="AJ1510" s="171">
        <v>0</v>
      </c>
      <c r="AK1510" s="171">
        <v>1</v>
      </c>
      <c r="AL1510" s="171">
        <v>0</v>
      </c>
      <c r="AM1510" s="171">
        <v>1</v>
      </c>
      <c r="AN1510" s="171">
        <v>1</v>
      </c>
      <c r="AO1510" s="171">
        <v>1</v>
      </c>
      <c r="AP1510" s="171">
        <v>1</v>
      </c>
      <c r="AQ1510" s="171">
        <v>1</v>
      </c>
      <c r="AR1510" s="171">
        <v>1</v>
      </c>
      <c r="AS1510" s="171">
        <v>1</v>
      </c>
      <c r="AT1510" s="171">
        <v>1</v>
      </c>
      <c r="AU1510" s="171">
        <f t="shared" si="502"/>
        <v>0</v>
      </c>
      <c r="AV1510" s="171">
        <f t="shared" si="503"/>
        <v>0</v>
      </c>
      <c r="AW1510" s="171">
        <f t="shared" si="504"/>
        <v>0</v>
      </c>
      <c r="AX1510" s="171">
        <f t="shared" si="512"/>
        <v>0</v>
      </c>
      <c r="AY1510" s="171">
        <f t="shared" si="505"/>
        <v>0</v>
      </c>
      <c r="AZ1510" s="171">
        <f t="shared" si="506"/>
        <v>1</v>
      </c>
      <c r="BA1510" s="172">
        <f t="shared" si="507"/>
        <v>1</v>
      </c>
      <c r="BB1510" s="175">
        <f t="shared" si="508"/>
        <v>13</v>
      </c>
      <c r="BC1510" s="176">
        <f t="shared" si="509"/>
        <v>12</v>
      </c>
      <c r="BD1510" s="176">
        <f t="shared" si="510"/>
        <v>13</v>
      </c>
      <c r="BE1510" s="240" t="str">
        <f t="shared" si="514"/>
        <v/>
      </c>
      <c r="BF1510" s="990"/>
      <c r="BG1510" s="990"/>
      <c r="BH1510" s="991">
        <f>IF(AND(Input_Product=Elig!$C1510,Elig_MatchAll_Ct&lt;22,$BC1510=(Elig_MatchAll_Ct-1),AF1510=0),C1510,0)</f>
        <v>0</v>
      </c>
      <c r="BI1510" s="991">
        <f>IF(AND(Input_Product=Elig!$C1510,Elig_MatchAll_Ct&lt;22,$BC1510=(Elig_MatchAll_Ct-1),AG1510=0),D1510,0)</f>
        <v>0</v>
      </c>
      <c r="BJ1510" s="991">
        <f>IF(AND(Input_Product=Elig!$C1510,Elig_MatchAll_Ct&lt;22,$BC1510=(Elig_MatchAll_Ct-1),AH1510=0),E1510,0)</f>
        <v>0</v>
      </c>
      <c r="BK1510" s="991">
        <f>IF(AND(Input_Product=Elig!$C1510,Elig_MatchAll_Ct&lt;22,$BC1510=(Elig_MatchAll_Ct-1),AI1510=0),F1510,0)</f>
        <v>0</v>
      </c>
      <c r="BL1510" s="991">
        <f>IF(AND(Input_Product=Elig!$C1510,Elig_MatchAll_Ct&lt;22,$BC1510=(Elig_MatchAll_Ct-1),AJ1510=0),G1510,0)</f>
        <v>0</v>
      </c>
      <c r="BM1510" s="991">
        <f>IF(AND(Input_Product=Elig!$C1510,Elig_MatchAll_Ct&lt;22,$BC1510=(Elig_MatchAll_Ct-1),AK1510=0),H1510,0)</f>
        <v>0</v>
      </c>
      <c r="BN1510" s="991">
        <f>IF(AND(Input_Product=Elig!$C1510,Elig_MatchAll_Ct&lt;22,$BC1510=(Elig_MatchAll_Ct-1),AL1510=0),I1510,0)</f>
        <v>0</v>
      </c>
      <c r="BO1510" s="991">
        <f>IF(AND(Input_Product=Elig!$C1510,Elig_MatchAll_Ct&lt;22,$BC1510=(Elig_MatchAll_Ct-1),AM1510=0),J1510,0)</f>
        <v>0</v>
      </c>
      <c r="BP1510" s="991">
        <f>IF(AND(Input_Product=Elig!$C1510,Elig_MatchAll_Ct&lt;22,$BC1510=(Elig_MatchAll_Ct-1),AN1510=0),K1510,0)</f>
        <v>0</v>
      </c>
      <c r="BQ1510" s="991">
        <f>IF(AND(Input_Product=Elig!$C1510,Elig_MatchAll_Ct&lt;22,$BC1510=(Elig_MatchAll_Ct-1),AP1510=0),L1510,0)</f>
        <v>0</v>
      </c>
      <c r="BR1510" s="991">
        <f>IF(AND(Input_Product=Elig!$C1510,Elig_MatchAll_Ct&lt;22,$BC1510=(Elig_MatchAll_Ct-1),AO1510=0),M1510,0)</f>
        <v>0</v>
      </c>
      <c r="BS1510" s="991">
        <f>IF(AND(Input_Product=Elig!$C1510,Elig_MatchAll_Ct&lt;22,$BC1510=(Elig_MatchAll_Ct-1),AQ1510=0),N1510,0)</f>
        <v>0</v>
      </c>
      <c r="BT1510" s="991">
        <f>IF(AND(Input_Product=Elig!$C1510,Elig_MatchAll_Ct&lt;22,$BC1510=(Elig_MatchAll_Ct-1),AR1510=0),O1510,0)</f>
        <v>0</v>
      </c>
      <c r="BU1510" s="991">
        <f>IF(AND(Input_Product=Elig!$C1510,Elig_MatchAll_Ct&lt;22,$BC1510=(Elig_MatchAll_Ct-1),AS1510=0),P1510,0)</f>
        <v>0</v>
      </c>
      <c r="BV1510" s="992">
        <f>IF(AND(Input_Product=Elig!$C1510,Elig_MatchAll_Ct&lt;22,$BC1510=(Elig_MatchAll_Ct-1),AT1510=0),Q1510,0)</f>
        <v>0</v>
      </c>
      <c r="BW1510" s="993">
        <f>IF(AND(Input_Product=Elig!$C1510,Elig_MatchAll_Ct&lt;22,$BC1510=(Elig_MatchAll_Ct-1),AU1510=0),R1510,0)</f>
        <v>0</v>
      </c>
      <c r="BX1510" s="994">
        <f>IF(AND(Input_Product=Elig!$C1510,Elig_MatchAll_Ct&lt;22,$BC1510=(Elig_MatchAll_Ct-1),AU1510=0),S1510,0)</f>
        <v>0</v>
      </c>
      <c r="BY1510" s="993">
        <f>IF(AND(Input_Product=Elig!$C1510,Elig_MatchAll_Ct&lt;22,$BC1510=(Elig_MatchAll_Ct-1),AV1510=0),T1510,0)</f>
        <v>0</v>
      </c>
      <c r="BZ1510" s="994">
        <f>IF(AND(Input_Product=Elig!$C1510,Elig_MatchAll_Ct&lt;22,$BC1510=(Elig_MatchAll_Ct-1),AV1510=0),U1510,0)</f>
        <v>0</v>
      </c>
      <c r="CA1510" s="993">
        <f>IF(AND(Input_Product=Elig!$C1510,Elig_MatchAll_Ct&lt;22,$BC1510=(Elig_MatchAll_Ct-1),AW1510=0),V1510,0)</f>
        <v>0</v>
      </c>
      <c r="CB1510" s="994">
        <f>IF(AND(Input_Product=Elig!$C1510,Elig_MatchAll_Ct&lt;22,$BC1510=(Elig_MatchAll_Ct-1),AW1510=0),W1510,0)</f>
        <v>0</v>
      </c>
      <c r="CC1510" s="993">
        <f>IF(AND(Input_Product=Elig!$C1510,Elig_MatchAll_Ct&lt;22,$BC1510=(Elig_MatchAll_Ct-1),AX1510=0),X1510,0)</f>
        <v>0</v>
      </c>
      <c r="CD1510" s="994">
        <f>IF(AND(Input_Product=Elig!$C1510,Elig_MatchAll_Ct&lt;22,$BC1510=(Elig_MatchAll_Ct-1),AX1510=0),Y1510,0)</f>
        <v>0</v>
      </c>
      <c r="CE1510" s="993">
        <f>IF(AND(Input_LTV&lt;=AE1510,Input_Product=Elig!$C1510,Elig_MatchAll_Ct&lt;22,$BC1510=(Elig_MatchAll_Ct-1),AY1510=0),Z1510,0)</f>
        <v>0</v>
      </c>
      <c r="CF1510" s="994">
        <f>IF(AND(Input_LTV&lt;=AE1510,Input_Product=Elig!$C1510,Elig_MatchAll_Ct&lt;22,$BC1510=(Elig_MatchAll_Ct-1),AY1510=0),AA1510,0)</f>
        <v>0</v>
      </c>
      <c r="CG1510" s="993">
        <f>IF(AND(Input_Product=Elig!$C1510,Elig_MatchAll_Ct&lt;22,$BC1510=(Elig_MatchAll_Ct-1),AZ1510=0),AB1510,0)</f>
        <v>0</v>
      </c>
      <c r="CH1510" s="994">
        <f>IF(AND(Input_Product=Elig!$C1510,Elig_MatchAll_Ct&lt;22,$BC1510=(Elig_MatchAll_Ct-1),AZ1510=0),AC1510,0)</f>
        <v>0</v>
      </c>
      <c r="CI1510" s="993">
        <f>IF(AND(Input_Product=Elig!$C1510,Elig_MatchAll_Ct&lt;22,$BC1510=(Elig_MatchAll_Ct-1),BA1510=0),AD1510,0)</f>
        <v>0</v>
      </c>
      <c r="CJ1510" s="994">
        <f>IF(AND(Input_Product=Elig!$C1510,Elig_MatchAll_Ct&lt;22,$BC1510=(Elig_MatchAll_Ct-1),BA1510=0),AE1510,0)</f>
        <v>0</v>
      </c>
    </row>
    <row r="1511" spans="2:88" ht="10.15" customHeight="1" x14ac:dyDescent="0.25">
      <c r="B1511" s="1567" t="s">
        <v>2859</v>
      </c>
      <c r="C1511" s="1567" t="str">
        <f t="shared" si="513"/>
        <v xml:space="preserve">  NOO</v>
      </c>
      <c r="D1511" s="1567" t="s">
        <v>2764</v>
      </c>
      <c r="E1511" s="1567" t="s">
        <v>167</v>
      </c>
      <c r="F1511" s="1567" t="s">
        <v>330</v>
      </c>
      <c r="G1511" s="1567" t="s">
        <v>181</v>
      </c>
      <c r="H1511" s="1567" t="s">
        <v>136</v>
      </c>
      <c r="I1511" s="1568" t="s">
        <v>34</v>
      </c>
      <c r="J1511" s="1568" t="s">
        <v>1311</v>
      </c>
      <c r="K1511" s="1568" t="s">
        <v>3023</v>
      </c>
      <c r="L1511" s="1567" t="s">
        <v>312</v>
      </c>
      <c r="M1511" s="1567" t="s">
        <v>4204</v>
      </c>
      <c r="N1511" s="1567" t="s">
        <v>2685</v>
      </c>
      <c r="O1511" s="1567" t="s">
        <v>310</v>
      </c>
      <c r="P1511" s="1567" t="s">
        <v>291</v>
      </c>
      <c r="Q1511" s="1567" t="s">
        <v>294</v>
      </c>
      <c r="R1511" s="1567">
        <v>2500000.0099999998</v>
      </c>
      <c r="S1511" s="1567">
        <v>3000000</v>
      </c>
      <c r="T1511" s="1567">
        <v>0</v>
      </c>
      <c r="U1511" s="1567">
        <v>0</v>
      </c>
      <c r="V1511" s="1567">
        <v>0</v>
      </c>
      <c r="W1511" s="1567">
        <v>0</v>
      </c>
      <c r="X1511" s="1567">
        <v>1</v>
      </c>
      <c r="Y1511" s="1567">
        <v>999</v>
      </c>
      <c r="Z1511" s="1569">
        <v>660</v>
      </c>
      <c r="AA1511" s="1569">
        <v>699</v>
      </c>
      <c r="AB1511" s="1569">
        <v>2</v>
      </c>
      <c r="AC1511" s="1569">
        <v>999999</v>
      </c>
      <c r="AD1511" s="1567">
        <v>0</v>
      </c>
      <c r="AE1511" s="1570">
        <v>65</v>
      </c>
      <c r="AF1511" s="170">
        <v>0</v>
      </c>
      <c r="AG1511" s="171">
        <v>1</v>
      </c>
      <c r="AH1511" s="171">
        <v>1</v>
      </c>
      <c r="AI1511" s="171">
        <v>0</v>
      </c>
      <c r="AJ1511" s="171">
        <v>0</v>
      </c>
      <c r="AK1511" s="171">
        <v>1</v>
      </c>
      <c r="AL1511" s="171">
        <v>0</v>
      </c>
      <c r="AM1511" s="171">
        <v>1</v>
      </c>
      <c r="AN1511" s="171">
        <v>1</v>
      </c>
      <c r="AO1511" s="171">
        <v>1</v>
      </c>
      <c r="AP1511" s="171">
        <v>1</v>
      </c>
      <c r="AQ1511" s="171">
        <v>1</v>
      </c>
      <c r="AR1511" s="171">
        <v>1</v>
      </c>
      <c r="AS1511" s="171">
        <v>1</v>
      </c>
      <c r="AT1511" s="171">
        <v>1</v>
      </c>
      <c r="AU1511" s="171">
        <f t="shared" si="502"/>
        <v>0</v>
      </c>
      <c r="AV1511" s="171">
        <f t="shared" si="503"/>
        <v>0</v>
      </c>
      <c r="AW1511" s="171">
        <f t="shared" si="504"/>
        <v>0</v>
      </c>
      <c r="AX1511" s="171">
        <f t="shared" si="512"/>
        <v>0</v>
      </c>
      <c r="AY1511" s="171">
        <f t="shared" si="505"/>
        <v>0</v>
      </c>
      <c r="AZ1511" s="171">
        <f t="shared" si="506"/>
        <v>1</v>
      </c>
      <c r="BA1511" s="172">
        <f t="shared" si="507"/>
        <v>1</v>
      </c>
      <c r="BB1511" s="175">
        <f t="shared" si="508"/>
        <v>13</v>
      </c>
      <c r="BC1511" s="176">
        <f t="shared" si="509"/>
        <v>12</v>
      </c>
      <c r="BD1511" s="176">
        <f t="shared" si="510"/>
        <v>13</v>
      </c>
      <c r="BE1511" s="240" t="str">
        <f t="shared" si="514"/>
        <v/>
      </c>
      <c r="BF1511" s="990"/>
      <c r="BG1511" s="990"/>
      <c r="BH1511" s="991">
        <f>IF(AND(Input_Product=Elig!$C1511,Elig_MatchAll_Ct&lt;22,$BC1511=(Elig_MatchAll_Ct-1),AF1511=0),C1511,0)</f>
        <v>0</v>
      </c>
      <c r="BI1511" s="991">
        <f>IF(AND(Input_Product=Elig!$C1511,Elig_MatchAll_Ct&lt;22,$BC1511=(Elig_MatchAll_Ct-1),AG1511=0),D1511,0)</f>
        <v>0</v>
      </c>
      <c r="BJ1511" s="991">
        <f>IF(AND(Input_Product=Elig!$C1511,Elig_MatchAll_Ct&lt;22,$BC1511=(Elig_MatchAll_Ct-1),AH1511=0),E1511,0)</f>
        <v>0</v>
      </c>
      <c r="BK1511" s="991">
        <f>IF(AND(Input_Product=Elig!$C1511,Elig_MatchAll_Ct&lt;22,$BC1511=(Elig_MatchAll_Ct-1),AI1511=0),F1511,0)</f>
        <v>0</v>
      </c>
      <c r="BL1511" s="991">
        <f>IF(AND(Input_Product=Elig!$C1511,Elig_MatchAll_Ct&lt;22,$BC1511=(Elig_MatchAll_Ct-1),AJ1511=0),G1511,0)</f>
        <v>0</v>
      </c>
      <c r="BM1511" s="991">
        <f>IF(AND(Input_Product=Elig!$C1511,Elig_MatchAll_Ct&lt;22,$BC1511=(Elig_MatchAll_Ct-1),AK1511=0),H1511,0)</f>
        <v>0</v>
      </c>
      <c r="BN1511" s="991">
        <f>IF(AND(Input_Product=Elig!$C1511,Elig_MatchAll_Ct&lt;22,$BC1511=(Elig_MatchAll_Ct-1),AL1511=0),I1511,0)</f>
        <v>0</v>
      </c>
      <c r="BO1511" s="991">
        <f>IF(AND(Input_Product=Elig!$C1511,Elig_MatchAll_Ct&lt;22,$BC1511=(Elig_MatchAll_Ct-1),AM1511=0),J1511,0)</f>
        <v>0</v>
      </c>
      <c r="BP1511" s="991">
        <f>IF(AND(Input_Product=Elig!$C1511,Elig_MatchAll_Ct&lt;22,$BC1511=(Elig_MatchAll_Ct-1),AN1511=0),K1511,0)</f>
        <v>0</v>
      </c>
      <c r="BQ1511" s="991">
        <f>IF(AND(Input_Product=Elig!$C1511,Elig_MatchAll_Ct&lt;22,$BC1511=(Elig_MatchAll_Ct-1),AP1511=0),L1511,0)</f>
        <v>0</v>
      </c>
      <c r="BR1511" s="991">
        <f>IF(AND(Input_Product=Elig!$C1511,Elig_MatchAll_Ct&lt;22,$BC1511=(Elig_MatchAll_Ct-1),AO1511=0),M1511,0)</f>
        <v>0</v>
      </c>
      <c r="BS1511" s="991">
        <f>IF(AND(Input_Product=Elig!$C1511,Elig_MatchAll_Ct&lt;22,$BC1511=(Elig_MatchAll_Ct-1),AQ1511=0),N1511,0)</f>
        <v>0</v>
      </c>
      <c r="BT1511" s="991">
        <f>IF(AND(Input_Product=Elig!$C1511,Elig_MatchAll_Ct&lt;22,$BC1511=(Elig_MatchAll_Ct-1),AR1511=0),O1511,0)</f>
        <v>0</v>
      </c>
      <c r="BU1511" s="991">
        <f>IF(AND(Input_Product=Elig!$C1511,Elig_MatchAll_Ct&lt;22,$BC1511=(Elig_MatchAll_Ct-1),AS1511=0),P1511,0)</f>
        <v>0</v>
      </c>
      <c r="BV1511" s="992">
        <f>IF(AND(Input_Product=Elig!$C1511,Elig_MatchAll_Ct&lt;22,$BC1511=(Elig_MatchAll_Ct-1),AT1511=0),Q1511,0)</f>
        <v>0</v>
      </c>
      <c r="BW1511" s="993">
        <f>IF(AND(Input_Product=Elig!$C1511,Elig_MatchAll_Ct&lt;22,$BC1511=(Elig_MatchAll_Ct-1),AU1511=0),R1511,0)</f>
        <v>0</v>
      </c>
      <c r="BX1511" s="994">
        <f>IF(AND(Input_Product=Elig!$C1511,Elig_MatchAll_Ct&lt;22,$BC1511=(Elig_MatchAll_Ct-1),AU1511=0),S1511,0)</f>
        <v>0</v>
      </c>
      <c r="BY1511" s="993">
        <f>IF(AND(Input_Product=Elig!$C1511,Elig_MatchAll_Ct&lt;22,$BC1511=(Elig_MatchAll_Ct-1),AV1511=0),T1511,0)</f>
        <v>0</v>
      </c>
      <c r="BZ1511" s="994">
        <f>IF(AND(Input_Product=Elig!$C1511,Elig_MatchAll_Ct&lt;22,$BC1511=(Elig_MatchAll_Ct-1),AV1511=0),U1511,0)</f>
        <v>0</v>
      </c>
      <c r="CA1511" s="993">
        <f>IF(AND(Input_Product=Elig!$C1511,Elig_MatchAll_Ct&lt;22,$BC1511=(Elig_MatchAll_Ct-1),AW1511=0),V1511,0)</f>
        <v>0</v>
      </c>
      <c r="CB1511" s="994">
        <f>IF(AND(Input_Product=Elig!$C1511,Elig_MatchAll_Ct&lt;22,$BC1511=(Elig_MatchAll_Ct-1),AW1511=0),W1511,0)</f>
        <v>0</v>
      </c>
      <c r="CC1511" s="993">
        <f>IF(AND(Input_Product=Elig!$C1511,Elig_MatchAll_Ct&lt;22,$BC1511=(Elig_MatchAll_Ct-1),AX1511=0),X1511,0)</f>
        <v>0</v>
      </c>
      <c r="CD1511" s="994">
        <f>IF(AND(Input_Product=Elig!$C1511,Elig_MatchAll_Ct&lt;22,$BC1511=(Elig_MatchAll_Ct-1),AX1511=0),Y1511,0)</f>
        <v>0</v>
      </c>
      <c r="CE1511" s="993">
        <f>IF(AND(Input_LTV&lt;=AE1511,Input_Product=Elig!$C1511,Elig_MatchAll_Ct&lt;22,$BC1511=(Elig_MatchAll_Ct-1),AY1511=0),Z1511,0)</f>
        <v>0</v>
      </c>
      <c r="CF1511" s="994">
        <f>IF(AND(Input_LTV&lt;=AE1511,Input_Product=Elig!$C1511,Elig_MatchAll_Ct&lt;22,$BC1511=(Elig_MatchAll_Ct-1),AY1511=0),AA1511,0)</f>
        <v>0</v>
      </c>
      <c r="CG1511" s="993">
        <f>IF(AND(Input_Product=Elig!$C1511,Elig_MatchAll_Ct&lt;22,$BC1511=(Elig_MatchAll_Ct-1),AZ1511=0),AB1511,0)</f>
        <v>0</v>
      </c>
      <c r="CH1511" s="994">
        <f>IF(AND(Input_Product=Elig!$C1511,Elig_MatchAll_Ct&lt;22,$BC1511=(Elig_MatchAll_Ct-1),AZ1511=0),AC1511,0)</f>
        <v>0</v>
      </c>
      <c r="CI1511" s="993">
        <f>IF(AND(Input_Product=Elig!$C1511,Elig_MatchAll_Ct&lt;22,$BC1511=(Elig_MatchAll_Ct-1),BA1511=0),AD1511,0)</f>
        <v>0</v>
      </c>
      <c r="CJ1511" s="994">
        <f>IF(AND(Input_Product=Elig!$C1511,Elig_MatchAll_Ct&lt;22,$BC1511=(Elig_MatchAll_Ct-1),BA1511=0),AE1511,0)</f>
        <v>0</v>
      </c>
    </row>
    <row r="1512" spans="2:88" ht="10.15" customHeight="1" x14ac:dyDescent="0.25">
      <c r="B1512" s="1567" t="s">
        <v>2860</v>
      </c>
      <c r="C1512" s="1567" t="str">
        <f t="shared" si="513"/>
        <v xml:space="preserve">  NOO</v>
      </c>
      <c r="D1512" s="1567" t="s">
        <v>2764</v>
      </c>
      <c r="E1512" s="1567" t="s">
        <v>167</v>
      </c>
      <c r="F1512" s="1567" t="s">
        <v>330</v>
      </c>
      <c r="G1512" s="1567" t="s">
        <v>181</v>
      </c>
      <c r="H1512" s="1567" t="s">
        <v>136</v>
      </c>
      <c r="I1512" s="1568" t="s">
        <v>34</v>
      </c>
      <c r="J1512" s="1568" t="s">
        <v>1311</v>
      </c>
      <c r="K1512" s="1568" t="s">
        <v>3023</v>
      </c>
      <c r="L1512" s="1567" t="s">
        <v>312</v>
      </c>
      <c r="M1512" s="1567" t="s">
        <v>4204</v>
      </c>
      <c r="N1512" s="1567" t="s">
        <v>2685</v>
      </c>
      <c r="O1512" s="1567" t="s">
        <v>310</v>
      </c>
      <c r="P1512" s="1567" t="s">
        <v>291</v>
      </c>
      <c r="Q1512" s="1567" t="s">
        <v>294</v>
      </c>
      <c r="R1512" s="1567">
        <v>100000</v>
      </c>
      <c r="S1512" s="1567">
        <v>1000000</v>
      </c>
      <c r="T1512" s="1567">
        <v>0</v>
      </c>
      <c r="U1512" s="1567">
        <v>0</v>
      </c>
      <c r="V1512" s="1567">
        <v>0</v>
      </c>
      <c r="W1512" s="1567">
        <v>0</v>
      </c>
      <c r="X1512" s="1567">
        <v>1</v>
      </c>
      <c r="Y1512" s="1567">
        <v>999</v>
      </c>
      <c r="Z1512" s="1569">
        <v>640</v>
      </c>
      <c r="AA1512" s="1569">
        <v>659</v>
      </c>
      <c r="AB1512" s="1569">
        <v>2</v>
      </c>
      <c r="AC1512" s="1569">
        <v>999999</v>
      </c>
      <c r="AD1512" s="1567">
        <v>0</v>
      </c>
      <c r="AE1512" s="1570">
        <v>75</v>
      </c>
      <c r="AF1512" s="170">
        <v>0</v>
      </c>
      <c r="AG1512" s="171">
        <v>1</v>
      </c>
      <c r="AH1512" s="171">
        <v>1</v>
      </c>
      <c r="AI1512" s="171">
        <v>0</v>
      </c>
      <c r="AJ1512" s="171">
        <v>0</v>
      </c>
      <c r="AK1512" s="171">
        <v>1</v>
      </c>
      <c r="AL1512" s="171">
        <v>0</v>
      </c>
      <c r="AM1512" s="171">
        <v>1</v>
      </c>
      <c r="AN1512" s="171">
        <v>1</v>
      </c>
      <c r="AO1512" s="171">
        <v>1</v>
      </c>
      <c r="AP1512" s="171">
        <v>1</v>
      </c>
      <c r="AQ1512" s="171">
        <v>1</v>
      </c>
      <c r="AR1512" s="171">
        <v>1</v>
      </c>
      <c r="AS1512" s="171">
        <v>1</v>
      </c>
      <c r="AT1512" s="171">
        <v>1</v>
      </c>
      <c r="AU1512" s="171">
        <f t="shared" si="502"/>
        <v>1</v>
      </c>
      <c r="AV1512" s="171">
        <f t="shared" si="503"/>
        <v>0</v>
      </c>
      <c r="AW1512" s="171">
        <f t="shared" si="504"/>
        <v>0</v>
      </c>
      <c r="AX1512" s="171">
        <f t="shared" si="512"/>
        <v>0</v>
      </c>
      <c r="AY1512" s="171">
        <f t="shared" si="505"/>
        <v>0</v>
      </c>
      <c r="AZ1512" s="171">
        <f t="shared" si="506"/>
        <v>1</v>
      </c>
      <c r="BA1512" s="172">
        <f t="shared" si="507"/>
        <v>1</v>
      </c>
      <c r="BB1512" s="175">
        <f t="shared" si="508"/>
        <v>14</v>
      </c>
      <c r="BC1512" s="176">
        <f t="shared" si="509"/>
        <v>13</v>
      </c>
      <c r="BD1512" s="176">
        <f t="shared" si="510"/>
        <v>14</v>
      </c>
      <c r="BE1512" s="240" t="str">
        <f t="shared" si="514"/>
        <v/>
      </c>
      <c r="BF1512" s="990"/>
      <c r="BG1512" s="990"/>
      <c r="BH1512" s="991">
        <f>IF(AND(Input_Product=Elig!$C1512,Elig_MatchAll_Ct&lt;22,$BC1512=(Elig_MatchAll_Ct-1),AF1512=0),C1512,0)</f>
        <v>0</v>
      </c>
      <c r="BI1512" s="991">
        <f>IF(AND(Input_Product=Elig!$C1512,Elig_MatchAll_Ct&lt;22,$BC1512=(Elig_MatchAll_Ct-1),AG1512=0),D1512,0)</f>
        <v>0</v>
      </c>
      <c r="BJ1512" s="991">
        <f>IF(AND(Input_Product=Elig!$C1512,Elig_MatchAll_Ct&lt;22,$BC1512=(Elig_MatchAll_Ct-1),AH1512=0),E1512,0)</f>
        <v>0</v>
      </c>
      <c r="BK1512" s="991">
        <f>IF(AND(Input_Product=Elig!$C1512,Elig_MatchAll_Ct&lt;22,$BC1512=(Elig_MatchAll_Ct-1),AI1512=0),F1512,0)</f>
        <v>0</v>
      </c>
      <c r="BL1512" s="991">
        <f>IF(AND(Input_Product=Elig!$C1512,Elig_MatchAll_Ct&lt;22,$BC1512=(Elig_MatchAll_Ct-1),AJ1512=0),G1512,0)</f>
        <v>0</v>
      </c>
      <c r="BM1512" s="991">
        <f>IF(AND(Input_Product=Elig!$C1512,Elig_MatchAll_Ct&lt;22,$BC1512=(Elig_MatchAll_Ct-1),AK1512=0),H1512,0)</f>
        <v>0</v>
      </c>
      <c r="BN1512" s="991">
        <f>IF(AND(Input_Product=Elig!$C1512,Elig_MatchAll_Ct&lt;22,$BC1512=(Elig_MatchAll_Ct-1),AL1512=0),I1512,0)</f>
        <v>0</v>
      </c>
      <c r="BO1512" s="991">
        <f>IF(AND(Input_Product=Elig!$C1512,Elig_MatchAll_Ct&lt;22,$BC1512=(Elig_MatchAll_Ct-1),AM1512=0),J1512,0)</f>
        <v>0</v>
      </c>
      <c r="BP1512" s="991">
        <f>IF(AND(Input_Product=Elig!$C1512,Elig_MatchAll_Ct&lt;22,$BC1512=(Elig_MatchAll_Ct-1),AN1512=0),K1512,0)</f>
        <v>0</v>
      </c>
      <c r="BQ1512" s="991">
        <f>IF(AND(Input_Product=Elig!$C1512,Elig_MatchAll_Ct&lt;22,$BC1512=(Elig_MatchAll_Ct-1),AP1512=0),L1512,0)</f>
        <v>0</v>
      </c>
      <c r="BR1512" s="991">
        <f>IF(AND(Input_Product=Elig!$C1512,Elig_MatchAll_Ct&lt;22,$BC1512=(Elig_MatchAll_Ct-1),AO1512=0),M1512,0)</f>
        <v>0</v>
      </c>
      <c r="BS1512" s="991">
        <f>IF(AND(Input_Product=Elig!$C1512,Elig_MatchAll_Ct&lt;22,$BC1512=(Elig_MatchAll_Ct-1),AQ1512=0),N1512,0)</f>
        <v>0</v>
      </c>
      <c r="BT1512" s="991">
        <f>IF(AND(Input_Product=Elig!$C1512,Elig_MatchAll_Ct&lt;22,$BC1512=(Elig_MatchAll_Ct-1),AR1512=0),O1512,0)</f>
        <v>0</v>
      </c>
      <c r="BU1512" s="991">
        <f>IF(AND(Input_Product=Elig!$C1512,Elig_MatchAll_Ct&lt;22,$BC1512=(Elig_MatchAll_Ct-1),AS1512=0),P1512,0)</f>
        <v>0</v>
      </c>
      <c r="BV1512" s="992">
        <f>IF(AND(Input_Product=Elig!$C1512,Elig_MatchAll_Ct&lt;22,$BC1512=(Elig_MatchAll_Ct-1),AT1512=0),Q1512,0)</f>
        <v>0</v>
      </c>
      <c r="BW1512" s="993">
        <f>IF(AND(Input_Product=Elig!$C1512,Elig_MatchAll_Ct&lt;22,$BC1512=(Elig_MatchAll_Ct-1),AU1512=0),R1512,0)</f>
        <v>0</v>
      </c>
      <c r="BX1512" s="994">
        <f>IF(AND(Input_Product=Elig!$C1512,Elig_MatchAll_Ct&lt;22,$BC1512=(Elig_MatchAll_Ct-1),AU1512=0),S1512,0)</f>
        <v>0</v>
      </c>
      <c r="BY1512" s="993">
        <f>IF(AND(Input_Product=Elig!$C1512,Elig_MatchAll_Ct&lt;22,$BC1512=(Elig_MatchAll_Ct-1),AV1512=0),T1512,0)</f>
        <v>0</v>
      </c>
      <c r="BZ1512" s="994">
        <f>IF(AND(Input_Product=Elig!$C1512,Elig_MatchAll_Ct&lt;22,$BC1512=(Elig_MatchAll_Ct-1),AV1512=0),U1512,0)</f>
        <v>0</v>
      </c>
      <c r="CA1512" s="993">
        <f>IF(AND(Input_Product=Elig!$C1512,Elig_MatchAll_Ct&lt;22,$BC1512=(Elig_MatchAll_Ct-1),AW1512=0),V1512,0)</f>
        <v>0</v>
      </c>
      <c r="CB1512" s="994">
        <f>IF(AND(Input_Product=Elig!$C1512,Elig_MatchAll_Ct&lt;22,$BC1512=(Elig_MatchAll_Ct-1),AW1512=0),W1512,0)</f>
        <v>0</v>
      </c>
      <c r="CC1512" s="993">
        <f>IF(AND(Input_Product=Elig!$C1512,Elig_MatchAll_Ct&lt;22,$BC1512=(Elig_MatchAll_Ct-1),AX1512=0),X1512,0)</f>
        <v>0</v>
      </c>
      <c r="CD1512" s="994">
        <f>IF(AND(Input_Product=Elig!$C1512,Elig_MatchAll_Ct&lt;22,$BC1512=(Elig_MatchAll_Ct-1),AX1512=0),Y1512,0)</f>
        <v>0</v>
      </c>
      <c r="CE1512" s="993">
        <f>IF(AND(Input_LTV&lt;=AE1512,Input_Product=Elig!$C1512,Elig_MatchAll_Ct&lt;22,$BC1512=(Elig_MatchAll_Ct-1),AY1512=0),Z1512,0)</f>
        <v>0</v>
      </c>
      <c r="CF1512" s="994">
        <f>IF(AND(Input_LTV&lt;=AE1512,Input_Product=Elig!$C1512,Elig_MatchAll_Ct&lt;22,$BC1512=(Elig_MatchAll_Ct-1),AY1512=0),AA1512,0)</f>
        <v>0</v>
      </c>
      <c r="CG1512" s="993">
        <f>IF(AND(Input_Product=Elig!$C1512,Elig_MatchAll_Ct&lt;22,$BC1512=(Elig_MatchAll_Ct-1),AZ1512=0),AB1512,0)</f>
        <v>0</v>
      </c>
      <c r="CH1512" s="994">
        <f>IF(AND(Input_Product=Elig!$C1512,Elig_MatchAll_Ct&lt;22,$BC1512=(Elig_MatchAll_Ct-1),AZ1512=0),AC1512,0)</f>
        <v>0</v>
      </c>
      <c r="CI1512" s="993">
        <f>IF(AND(Input_Product=Elig!$C1512,Elig_MatchAll_Ct&lt;22,$BC1512=(Elig_MatchAll_Ct-1),BA1512=0),AD1512,0)</f>
        <v>0</v>
      </c>
      <c r="CJ1512" s="994">
        <f>IF(AND(Input_Product=Elig!$C1512,Elig_MatchAll_Ct&lt;22,$BC1512=(Elig_MatchAll_Ct-1),BA1512=0),AE1512,0)</f>
        <v>0</v>
      </c>
    </row>
    <row r="1513" spans="2:88" ht="10.15" customHeight="1" x14ac:dyDescent="0.25">
      <c r="B1513" s="1567" t="s">
        <v>2861</v>
      </c>
      <c r="C1513" s="1567" t="str">
        <f t="shared" si="513"/>
        <v xml:space="preserve">  NOO</v>
      </c>
      <c r="D1513" s="1567" t="s">
        <v>2764</v>
      </c>
      <c r="E1513" s="1567" t="s">
        <v>167</v>
      </c>
      <c r="F1513" s="1567" t="s">
        <v>330</v>
      </c>
      <c r="G1513" s="1567" t="s">
        <v>181</v>
      </c>
      <c r="H1513" s="1567" t="s">
        <v>136</v>
      </c>
      <c r="I1513" s="1568" t="s">
        <v>34</v>
      </c>
      <c r="J1513" s="1568" t="s">
        <v>1311</v>
      </c>
      <c r="K1513" s="1568" t="s">
        <v>3023</v>
      </c>
      <c r="L1513" s="1567" t="s">
        <v>312</v>
      </c>
      <c r="M1513" s="1567" t="s">
        <v>4204</v>
      </c>
      <c r="N1513" s="1567" t="s">
        <v>2685</v>
      </c>
      <c r="O1513" s="1567" t="s">
        <v>310</v>
      </c>
      <c r="P1513" s="1567" t="s">
        <v>291</v>
      </c>
      <c r="Q1513" s="1567" t="s">
        <v>294</v>
      </c>
      <c r="R1513" s="1567">
        <v>1000000.01</v>
      </c>
      <c r="S1513" s="1567">
        <v>1500000</v>
      </c>
      <c r="T1513" s="1567">
        <v>0</v>
      </c>
      <c r="U1513" s="1567">
        <v>0</v>
      </c>
      <c r="V1513" s="1567">
        <v>0</v>
      </c>
      <c r="W1513" s="1567">
        <v>0</v>
      </c>
      <c r="X1513" s="1567">
        <v>1</v>
      </c>
      <c r="Y1513" s="1567">
        <v>999</v>
      </c>
      <c r="Z1513" s="1569">
        <v>640</v>
      </c>
      <c r="AA1513" s="1569">
        <v>659</v>
      </c>
      <c r="AB1513" s="1569">
        <v>2</v>
      </c>
      <c r="AC1513" s="1569">
        <v>999999</v>
      </c>
      <c r="AD1513" s="1567">
        <v>0</v>
      </c>
      <c r="AE1513" s="1570">
        <v>65</v>
      </c>
      <c r="AF1513" s="170">
        <v>0</v>
      </c>
      <c r="AG1513" s="171">
        <v>1</v>
      </c>
      <c r="AH1513" s="171">
        <v>1</v>
      </c>
      <c r="AI1513" s="171">
        <v>0</v>
      </c>
      <c r="AJ1513" s="171">
        <v>0</v>
      </c>
      <c r="AK1513" s="171">
        <v>1</v>
      </c>
      <c r="AL1513" s="171">
        <v>0</v>
      </c>
      <c r="AM1513" s="171">
        <v>1</v>
      </c>
      <c r="AN1513" s="171">
        <v>1</v>
      </c>
      <c r="AO1513" s="171">
        <v>1</v>
      </c>
      <c r="AP1513" s="171">
        <v>1</v>
      </c>
      <c r="AQ1513" s="171">
        <v>1</v>
      </c>
      <c r="AR1513" s="171">
        <v>1</v>
      </c>
      <c r="AS1513" s="171">
        <v>1</v>
      </c>
      <c r="AT1513" s="171">
        <v>1</v>
      </c>
      <c r="AU1513" s="171">
        <f t="shared" si="502"/>
        <v>0</v>
      </c>
      <c r="AV1513" s="171">
        <f t="shared" si="503"/>
        <v>0</v>
      </c>
      <c r="AW1513" s="171">
        <f t="shared" si="504"/>
        <v>0</v>
      </c>
      <c r="AX1513" s="171">
        <f t="shared" si="512"/>
        <v>0</v>
      </c>
      <c r="AY1513" s="171">
        <f t="shared" si="505"/>
        <v>0</v>
      </c>
      <c r="AZ1513" s="171">
        <f t="shared" si="506"/>
        <v>1</v>
      </c>
      <c r="BA1513" s="172">
        <f t="shared" si="507"/>
        <v>1</v>
      </c>
      <c r="BB1513" s="175">
        <f t="shared" si="508"/>
        <v>13</v>
      </c>
      <c r="BC1513" s="176">
        <f t="shared" si="509"/>
        <v>12</v>
      </c>
      <c r="BD1513" s="176">
        <f t="shared" si="510"/>
        <v>13</v>
      </c>
      <c r="BE1513" s="240" t="str">
        <f t="shared" si="514"/>
        <v/>
      </c>
      <c r="BF1513" s="990"/>
      <c r="BG1513" s="990"/>
      <c r="BH1513" s="991">
        <f>IF(AND(Input_Product=Elig!$C1513,Elig_MatchAll_Ct&lt;22,$BC1513=(Elig_MatchAll_Ct-1),AF1513=0),C1513,0)</f>
        <v>0</v>
      </c>
      <c r="BI1513" s="991">
        <f>IF(AND(Input_Product=Elig!$C1513,Elig_MatchAll_Ct&lt;22,$BC1513=(Elig_MatchAll_Ct-1),AG1513=0),D1513,0)</f>
        <v>0</v>
      </c>
      <c r="BJ1513" s="991">
        <f>IF(AND(Input_Product=Elig!$C1513,Elig_MatchAll_Ct&lt;22,$BC1513=(Elig_MatchAll_Ct-1),AH1513=0),E1513,0)</f>
        <v>0</v>
      </c>
      <c r="BK1513" s="991">
        <f>IF(AND(Input_Product=Elig!$C1513,Elig_MatchAll_Ct&lt;22,$BC1513=(Elig_MatchAll_Ct-1),AI1513=0),F1513,0)</f>
        <v>0</v>
      </c>
      <c r="BL1513" s="991">
        <f>IF(AND(Input_Product=Elig!$C1513,Elig_MatchAll_Ct&lt;22,$BC1513=(Elig_MatchAll_Ct-1),AJ1513=0),G1513,0)</f>
        <v>0</v>
      </c>
      <c r="BM1513" s="991">
        <f>IF(AND(Input_Product=Elig!$C1513,Elig_MatchAll_Ct&lt;22,$BC1513=(Elig_MatchAll_Ct-1),AK1513=0),H1513,0)</f>
        <v>0</v>
      </c>
      <c r="BN1513" s="991">
        <f>IF(AND(Input_Product=Elig!$C1513,Elig_MatchAll_Ct&lt;22,$BC1513=(Elig_MatchAll_Ct-1),AL1513=0),I1513,0)</f>
        <v>0</v>
      </c>
      <c r="BO1513" s="991">
        <f>IF(AND(Input_Product=Elig!$C1513,Elig_MatchAll_Ct&lt;22,$BC1513=(Elig_MatchAll_Ct-1),AM1513=0),J1513,0)</f>
        <v>0</v>
      </c>
      <c r="BP1513" s="991">
        <f>IF(AND(Input_Product=Elig!$C1513,Elig_MatchAll_Ct&lt;22,$BC1513=(Elig_MatchAll_Ct-1),AN1513=0),K1513,0)</f>
        <v>0</v>
      </c>
      <c r="BQ1513" s="991">
        <f>IF(AND(Input_Product=Elig!$C1513,Elig_MatchAll_Ct&lt;22,$BC1513=(Elig_MatchAll_Ct-1),AP1513=0),L1513,0)</f>
        <v>0</v>
      </c>
      <c r="BR1513" s="991">
        <f>IF(AND(Input_Product=Elig!$C1513,Elig_MatchAll_Ct&lt;22,$BC1513=(Elig_MatchAll_Ct-1),AO1513=0),M1513,0)</f>
        <v>0</v>
      </c>
      <c r="BS1513" s="991">
        <f>IF(AND(Input_Product=Elig!$C1513,Elig_MatchAll_Ct&lt;22,$BC1513=(Elig_MatchAll_Ct-1),AQ1513=0),N1513,0)</f>
        <v>0</v>
      </c>
      <c r="BT1513" s="991">
        <f>IF(AND(Input_Product=Elig!$C1513,Elig_MatchAll_Ct&lt;22,$BC1513=(Elig_MatchAll_Ct-1),AR1513=0),O1513,0)</f>
        <v>0</v>
      </c>
      <c r="BU1513" s="991">
        <f>IF(AND(Input_Product=Elig!$C1513,Elig_MatchAll_Ct&lt;22,$BC1513=(Elig_MatchAll_Ct-1),AS1513=0),P1513,0)</f>
        <v>0</v>
      </c>
      <c r="BV1513" s="992">
        <f>IF(AND(Input_Product=Elig!$C1513,Elig_MatchAll_Ct&lt;22,$BC1513=(Elig_MatchAll_Ct-1),AT1513=0),Q1513,0)</f>
        <v>0</v>
      </c>
      <c r="BW1513" s="993">
        <f>IF(AND(Input_Product=Elig!$C1513,Elig_MatchAll_Ct&lt;22,$BC1513=(Elig_MatchAll_Ct-1),AU1513=0),R1513,0)</f>
        <v>0</v>
      </c>
      <c r="BX1513" s="994">
        <f>IF(AND(Input_Product=Elig!$C1513,Elig_MatchAll_Ct&lt;22,$BC1513=(Elig_MatchAll_Ct-1),AU1513=0),S1513,0)</f>
        <v>0</v>
      </c>
      <c r="BY1513" s="993">
        <f>IF(AND(Input_Product=Elig!$C1513,Elig_MatchAll_Ct&lt;22,$BC1513=(Elig_MatchAll_Ct-1),AV1513=0),T1513,0)</f>
        <v>0</v>
      </c>
      <c r="BZ1513" s="994">
        <f>IF(AND(Input_Product=Elig!$C1513,Elig_MatchAll_Ct&lt;22,$BC1513=(Elig_MatchAll_Ct-1),AV1513=0),U1513,0)</f>
        <v>0</v>
      </c>
      <c r="CA1513" s="993">
        <f>IF(AND(Input_Product=Elig!$C1513,Elig_MatchAll_Ct&lt;22,$BC1513=(Elig_MatchAll_Ct-1),AW1513=0),V1513,0)</f>
        <v>0</v>
      </c>
      <c r="CB1513" s="994">
        <f>IF(AND(Input_Product=Elig!$C1513,Elig_MatchAll_Ct&lt;22,$BC1513=(Elig_MatchAll_Ct-1),AW1513=0),W1513,0)</f>
        <v>0</v>
      </c>
      <c r="CC1513" s="993">
        <f>IF(AND(Input_Product=Elig!$C1513,Elig_MatchAll_Ct&lt;22,$BC1513=(Elig_MatchAll_Ct-1),AX1513=0),X1513,0)</f>
        <v>0</v>
      </c>
      <c r="CD1513" s="994">
        <f>IF(AND(Input_Product=Elig!$C1513,Elig_MatchAll_Ct&lt;22,$BC1513=(Elig_MatchAll_Ct-1),AX1513=0),Y1513,0)</f>
        <v>0</v>
      </c>
      <c r="CE1513" s="993">
        <f>IF(AND(Input_LTV&lt;=AE1513,Input_Product=Elig!$C1513,Elig_MatchAll_Ct&lt;22,$BC1513=(Elig_MatchAll_Ct-1),AY1513=0),Z1513,0)</f>
        <v>0</v>
      </c>
      <c r="CF1513" s="994">
        <f>IF(AND(Input_LTV&lt;=AE1513,Input_Product=Elig!$C1513,Elig_MatchAll_Ct&lt;22,$BC1513=(Elig_MatchAll_Ct-1),AY1513=0),AA1513,0)</f>
        <v>0</v>
      </c>
      <c r="CG1513" s="993">
        <f>IF(AND(Input_Product=Elig!$C1513,Elig_MatchAll_Ct&lt;22,$BC1513=(Elig_MatchAll_Ct-1),AZ1513=0),AB1513,0)</f>
        <v>0</v>
      </c>
      <c r="CH1513" s="994">
        <f>IF(AND(Input_Product=Elig!$C1513,Elig_MatchAll_Ct&lt;22,$BC1513=(Elig_MatchAll_Ct-1),AZ1513=0),AC1513,0)</f>
        <v>0</v>
      </c>
      <c r="CI1513" s="993">
        <f>IF(AND(Input_Product=Elig!$C1513,Elig_MatchAll_Ct&lt;22,$BC1513=(Elig_MatchAll_Ct-1),BA1513=0),AD1513,0)</f>
        <v>0</v>
      </c>
      <c r="CJ1513" s="994">
        <f>IF(AND(Input_Product=Elig!$C1513,Elig_MatchAll_Ct&lt;22,$BC1513=(Elig_MatchAll_Ct-1),BA1513=0),AE1513,0)</f>
        <v>0</v>
      </c>
    </row>
    <row r="1514" spans="2:88" ht="10.15" customHeight="1" x14ac:dyDescent="0.25">
      <c r="B1514" s="1567" t="s">
        <v>2862</v>
      </c>
      <c r="C1514" s="1567" t="str">
        <f t="shared" si="513"/>
        <v xml:space="preserve">  NOO</v>
      </c>
      <c r="D1514" s="1567" t="s">
        <v>2764</v>
      </c>
      <c r="E1514" s="1567" t="s">
        <v>167</v>
      </c>
      <c r="F1514" s="1567" t="s">
        <v>330</v>
      </c>
      <c r="G1514" s="1567" t="s">
        <v>181</v>
      </c>
      <c r="H1514" s="1567" t="s">
        <v>136</v>
      </c>
      <c r="I1514" s="1568" t="s">
        <v>34</v>
      </c>
      <c r="J1514" s="1568" t="s">
        <v>1311</v>
      </c>
      <c r="K1514" s="1568" t="s">
        <v>3023</v>
      </c>
      <c r="L1514" s="1567" t="s">
        <v>312</v>
      </c>
      <c r="M1514" s="1567" t="s">
        <v>4204</v>
      </c>
      <c r="N1514" s="1567" t="s">
        <v>2685</v>
      </c>
      <c r="O1514" s="1567" t="s">
        <v>310</v>
      </c>
      <c r="P1514" s="1567" t="s">
        <v>291</v>
      </c>
      <c r="Q1514" s="1567" t="s">
        <v>294</v>
      </c>
      <c r="R1514" s="1567">
        <v>1500000.01</v>
      </c>
      <c r="S1514" s="1567">
        <v>2000000</v>
      </c>
      <c r="T1514" s="1567">
        <v>0</v>
      </c>
      <c r="U1514" s="1567">
        <v>0</v>
      </c>
      <c r="V1514" s="1567">
        <v>0</v>
      </c>
      <c r="W1514" s="1567">
        <v>0</v>
      </c>
      <c r="X1514" s="1567">
        <v>1</v>
      </c>
      <c r="Y1514" s="1567">
        <v>999</v>
      </c>
      <c r="Z1514" s="1569">
        <v>640</v>
      </c>
      <c r="AA1514" s="1569">
        <v>659</v>
      </c>
      <c r="AB1514" s="1569">
        <v>2</v>
      </c>
      <c r="AC1514" s="1569">
        <v>999999</v>
      </c>
      <c r="AD1514" s="1567">
        <v>0</v>
      </c>
      <c r="AE1514" s="1570">
        <v>65</v>
      </c>
      <c r="AF1514" s="170">
        <v>0</v>
      </c>
      <c r="AG1514" s="171">
        <v>1</v>
      </c>
      <c r="AH1514" s="171">
        <v>1</v>
      </c>
      <c r="AI1514" s="171">
        <v>0</v>
      </c>
      <c r="AJ1514" s="171">
        <v>0</v>
      </c>
      <c r="AK1514" s="171">
        <v>1</v>
      </c>
      <c r="AL1514" s="171">
        <v>0</v>
      </c>
      <c r="AM1514" s="171">
        <v>1</v>
      </c>
      <c r="AN1514" s="171">
        <v>1</v>
      </c>
      <c r="AO1514" s="171">
        <v>1</v>
      </c>
      <c r="AP1514" s="171">
        <v>1</v>
      </c>
      <c r="AQ1514" s="171">
        <v>1</v>
      </c>
      <c r="AR1514" s="171">
        <v>1</v>
      </c>
      <c r="AS1514" s="171">
        <v>1</v>
      </c>
      <c r="AT1514" s="171">
        <v>1</v>
      </c>
      <c r="AU1514" s="171">
        <f t="shared" si="502"/>
        <v>0</v>
      </c>
      <c r="AV1514" s="171">
        <f t="shared" si="503"/>
        <v>0</v>
      </c>
      <c r="AW1514" s="171">
        <f t="shared" si="504"/>
        <v>0</v>
      </c>
      <c r="AX1514" s="171">
        <f t="shared" si="512"/>
        <v>0</v>
      </c>
      <c r="AY1514" s="171">
        <f t="shared" si="505"/>
        <v>0</v>
      </c>
      <c r="AZ1514" s="171">
        <f t="shared" si="506"/>
        <v>1</v>
      </c>
      <c r="BA1514" s="172">
        <f t="shared" si="507"/>
        <v>1</v>
      </c>
      <c r="BB1514" s="175">
        <f t="shared" si="508"/>
        <v>13</v>
      </c>
      <c r="BC1514" s="176">
        <f t="shared" si="509"/>
        <v>12</v>
      </c>
      <c r="BD1514" s="176">
        <f t="shared" si="510"/>
        <v>13</v>
      </c>
      <c r="BE1514" s="240" t="str">
        <f t="shared" si="514"/>
        <v/>
      </c>
      <c r="BF1514" s="990"/>
      <c r="BG1514" s="990"/>
      <c r="BH1514" s="991">
        <f>IF(AND(Input_Product=Elig!$C1514,Elig_MatchAll_Ct&lt;22,$BC1514=(Elig_MatchAll_Ct-1),AF1514=0),C1514,0)</f>
        <v>0</v>
      </c>
      <c r="BI1514" s="991">
        <f>IF(AND(Input_Product=Elig!$C1514,Elig_MatchAll_Ct&lt;22,$BC1514=(Elig_MatchAll_Ct-1),AG1514=0),D1514,0)</f>
        <v>0</v>
      </c>
      <c r="BJ1514" s="991">
        <f>IF(AND(Input_Product=Elig!$C1514,Elig_MatchAll_Ct&lt;22,$BC1514=(Elig_MatchAll_Ct-1),AH1514=0),E1514,0)</f>
        <v>0</v>
      </c>
      <c r="BK1514" s="991">
        <f>IF(AND(Input_Product=Elig!$C1514,Elig_MatchAll_Ct&lt;22,$BC1514=(Elig_MatchAll_Ct-1),AI1514=0),F1514,0)</f>
        <v>0</v>
      </c>
      <c r="BL1514" s="991">
        <f>IF(AND(Input_Product=Elig!$C1514,Elig_MatchAll_Ct&lt;22,$BC1514=(Elig_MatchAll_Ct-1),AJ1514=0),G1514,0)</f>
        <v>0</v>
      </c>
      <c r="BM1514" s="991">
        <f>IF(AND(Input_Product=Elig!$C1514,Elig_MatchAll_Ct&lt;22,$BC1514=(Elig_MatchAll_Ct-1),AK1514=0),H1514,0)</f>
        <v>0</v>
      </c>
      <c r="BN1514" s="991">
        <f>IF(AND(Input_Product=Elig!$C1514,Elig_MatchAll_Ct&lt;22,$BC1514=(Elig_MatchAll_Ct-1),AL1514=0),I1514,0)</f>
        <v>0</v>
      </c>
      <c r="BO1514" s="991">
        <f>IF(AND(Input_Product=Elig!$C1514,Elig_MatchAll_Ct&lt;22,$BC1514=(Elig_MatchAll_Ct-1),AM1514=0),J1514,0)</f>
        <v>0</v>
      </c>
      <c r="BP1514" s="991">
        <f>IF(AND(Input_Product=Elig!$C1514,Elig_MatchAll_Ct&lt;22,$BC1514=(Elig_MatchAll_Ct-1),AN1514=0),K1514,0)</f>
        <v>0</v>
      </c>
      <c r="BQ1514" s="991">
        <f>IF(AND(Input_Product=Elig!$C1514,Elig_MatchAll_Ct&lt;22,$BC1514=(Elig_MatchAll_Ct-1),AP1514=0),L1514,0)</f>
        <v>0</v>
      </c>
      <c r="BR1514" s="991">
        <f>IF(AND(Input_Product=Elig!$C1514,Elig_MatchAll_Ct&lt;22,$BC1514=(Elig_MatchAll_Ct-1),AO1514=0),M1514,0)</f>
        <v>0</v>
      </c>
      <c r="BS1514" s="991">
        <f>IF(AND(Input_Product=Elig!$C1514,Elig_MatchAll_Ct&lt;22,$BC1514=(Elig_MatchAll_Ct-1),AQ1514=0),N1514,0)</f>
        <v>0</v>
      </c>
      <c r="BT1514" s="991">
        <f>IF(AND(Input_Product=Elig!$C1514,Elig_MatchAll_Ct&lt;22,$BC1514=(Elig_MatchAll_Ct-1),AR1514=0),O1514,0)</f>
        <v>0</v>
      </c>
      <c r="BU1514" s="991">
        <f>IF(AND(Input_Product=Elig!$C1514,Elig_MatchAll_Ct&lt;22,$BC1514=(Elig_MatchAll_Ct-1),AS1514=0),P1514,0)</f>
        <v>0</v>
      </c>
      <c r="BV1514" s="992">
        <f>IF(AND(Input_Product=Elig!$C1514,Elig_MatchAll_Ct&lt;22,$BC1514=(Elig_MatchAll_Ct-1),AT1514=0),Q1514,0)</f>
        <v>0</v>
      </c>
      <c r="BW1514" s="993">
        <f>IF(AND(Input_Product=Elig!$C1514,Elig_MatchAll_Ct&lt;22,$BC1514=(Elig_MatchAll_Ct-1),AU1514=0),R1514,0)</f>
        <v>0</v>
      </c>
      <c r="BX1514" s="994">
        <f>IF(AND(Input_Product=Elig!$C1514,Elig_MatchAll_Ct&lt;22,$BC1514=(Elig_MatchAll_Ct-1),AU1514=0),S1514,0)</f>
        <v>0</v>
      </c>
      <c r="BY1514" s="993">
        <f>IF(AND(Input_Product=Elig!$C1514,Elig_MatchAll_Ct&lt;22,$BC1514=(Elig_MatchAll_Ct-1),AV1514=0),T1514,0)</f>
        <v>0</v>
      </c>
      <c r="BZ1514" s="994">
        <f>IF(AND(Input_Product=Elig!$C1514,Elig_MatchAll_Ct&lt;22,$BC1514=(Elig_MatchAll_Ct-1),AV1514=0),U1514,0)</f>
        <v>0</v>
      </c>
      <c r="CA1514" s="993">
        <f>IF(AND(Input_Product=Elig!$C1514,Elig_MatchAll_Ct&lt;22,$BC1514=(Elig_MatchAll_Ct-1),AW1514=0),V1514,0)</f>
        <v>0</v>
      </c>
      <c r="CB1514" s="994">
        <f>IF(AND(Input_Product=Elig!$C1514,Elig_MatchAll_Ct&lt;22,$BC1514=(Elig_MatchAll_Ct-1),AW1514=0),W1514,0)</f>
        <v>0</v>
      </c>
      <c r="CC1514" s="993">
        <f>IF(AND(Input_Product=Elig!$C1514,Elig_MatchAll_Ct&lt;22,$BC1514=(Elig_MatchAll_Ct-1),AX1514=0),X1514,0)</f>
        <v>0</v>
      </c>
      <c r="CD1514" s="994">
        <f>IF(AND(Input_Product=Elig!$C1514,Elig_MatchAll_Ct&lt;22,$BC1514=(Elig_MatchAll_Ct-1),AX1514=0),Y1514,0)</f>
        <v>0</v>
      </c>
      <c r="CE1514" s="993">
        <f>IF(AND(Input_LTV&lt;=AE1514,Input_Product=Elig!$C1514,Elig_MatchAll_Ct&lt;22,$BC1514=(Elig_MatchAll_Ct-1),AY1514=0),Z1514,0)</f>
        <v>0</v>
      </c>
      <c r="CF1514" s="994">
        <f>IF(AND(Input_LTV&lt;=AE1514,Input_Product=Elig!$C1514,Elig_MatchAll_Ct&lt;22,$BC1514=(Elig_MatchAll_Ct-1),AY1514=0),AA1514,0)</f>
        <v>0</v>
      </c>
      <c r="CG1514" s="993">
        <f>IF(AND(Input_Product=Elig!$C1514,Elig_MatchAll_Ct&lt;22,$BC1514=(Elig_MatchAll_Ct-1),AZ1514=0),AB1514,0)</f>
        <v>0</v>
      </c>
      <c r="CH1514" s="994">
        <f>IF(AND(Input_Product=Elig!$C1514,Elig_MatchAll_Ct&lt;22,$BC1514=(Elig_MatchAll_Ct-1),AZ1514=0),AC1514,0)</f>
        <v>0</v>
      </c>
      <c r="CI1514" s="993">
        <f>IF(AND(Input_Product=Elig!$C1514,Elig_MatchAll_Ct&lt;22,$BC1514=(Elig_MatchAll_Ct-1),BA1514=0),AD1514,0)</f>
        <v>0</v>
      </c>
      <c r="CJ1514" s="994">
        <f>IF(AND(Input_Product=Elig!$C1514,Elig_MatchAll_Ct&lt;22,$BC1514=(Elig_MatchAll_Ct-1),BA1514=0),AE1514,0)</f>
        <v>0</v>
      </c>
    </row>
    <row r="1515" spans="2:88" ht="10.15" customHeight="1" x14ac:dyDescent="0.25">
      <c r="B1515" s="1567" t="s">
        <v>2863</v>
      </c>
      <c r="C1515" s="1567" t="str">
        <f t="shared" si="513"/>
        <v xml:space="preserve">  NOO</v>
      </c>
      <c r="D1515" s="1567" t="s">
        <v>2764</v>
      </c>
      <c r="E1515" s="1567" t="s">
        <v>167</v>
      </c>
      <c r="F1515" s="1567" t="s">
        <v>330</v>
      </c>
      <c r="G1515" s="1567" t="s">
        <v>181</v>
      </c>
      <c r="H1515" s="1567" t="s">
        <v>136</v>
      </c>
      <c r="I1515" s="1568" t="s">
        <v>34</v>
      </c>
      <c r="J1515" s="1568" t="s">
        <v>1311</v>
      </c>
      <c r="K1515" s="1568" t="s">
        <v>3023</v>
      </c>
      <c r="L1515" s="1567" t="s">
        <v>312</v>
      </c>
      <c r="M1515" s="1567" t="s">
        <v>4204</v>
      </c>
      <c r="N1515" s="1567" t="s">
        <v>2685</v>
      </c>
      <c r="O1515" s="1567" t="s">
        <v>310</v>
      </c>
      <c r="P1515" s="1567" t="s">
        <v>291</v>
      </c>
      <c r="Q1515" s="1567" t="s">
        <v>294</v>
      </c>
      <c r="R1515" s="1567">
        <v>2000000.01</v>
      </c>
      <c r="S1515" s="1567">
        <v>3000000</v>
      </c>
      <c r="T1515" s="1567">
        <v>0</v>
      </c>
      <c r="U1515" s="1567">
        <v>0</v>
      </c>
      <c r="V1515" s="1567">
        <v>0</v>
      </c>
      <c r="W1515" s="1567">
        <v>0</v>
      </c>
      <c r="X1515" s="1567">
        <v>1</v>
      </c>
      <c r="Y1515" s="1567">
        <v>999</v>
      </c>
      <c r="Z1515" s="1569">
        <v>640</v>
      </c>
      <c r="AA1515" s="1569">
        <v>659</v>
      </c>
      <c r="AB1515" s="1569">
        <v>2</v>
      </c>
      <c r="AC1515" s="1569">
        <v>999999</v>
      </c>
      <c r="AD1515" s="1567">
        <v>0</v>
      </c>
      <c r="AE1515" s="1570">
        <v>60</v>
      </c>
      <c r="AF1515" s="170">
        <v>0</v>
      </c>
      <c r="AG1515" s="171">
        <v>1</v>
      </c>
      <c r="AH1515" s="171">
        <v>1</v>
      </c>
      <c r="AI1515" s="171">
        <v>0</v>
      </c>
      <c r="AJ1515" s="171">
        <v>0</v>
      </c>
      <c r="AK1515" s="171">
        <v>1</v>
      </c>
      <c r="AL1515" s="171">
        <v>0</v>
      </c>
      <c r="AM1515" s="171">
        <v>1</v>
      </c>
      <c r="AN1515" s="171">
        <v>1</v>
      </c>
      <c r="AO1515" s="171">
        <v>1</v>
      </c>
      <c r="AP1515" s="171">
        <v>1</v>
      </c>
      <c r="AQ1515" s="171">
        <v>1</v>
      </c>
      <c r="AR1515" s="171">
        <v>1</v>
      </c>
      <c r="AS1515" s="171">
        <v>1</v>
      </c>
      <c r="AT1515" s="171">
        <v>1</v>
      </c>
      <c r="AU1515" s="171">
        <f t="shared" ref="AU1515:AU1578" si="515">IF(AND(Input_LoanAmt&gt;=Elig_LoanAmt_Min,Input_LoanAmt&lt;=Elig_LoanAmt_Max),1,0)</f>
        <v>0</v>
      </c>
      <c r="AV1515" s="171">
        <f t="shared" ref="AV1515:AV1578" si="516">IF(AND(Input_CashoutAmt&gt;=Elig_CashoutAmt_Min,Input_CashoutAmt&lt;=Elig_CashoutAmt_Max),1,0)</f>
        <v>0</v>
      </c>
      <c r="AW1515" s="171">
        <f t="shared" ref="AW1515:AW1578" si="517">IF(AND(Input_DTI&gt;=Elig_DTI_Min,Input_DTI&lt;=Elig_DTI_Max),1,0)</f>
        <v>0</v>
      </c>
      <c r="AX1515" s="171">
        <f t="shared" si="512"/>
        <v>0</v>
      </c>
      <c r="AY1515" s="171">
        <f t="shared" ref="AY1515:AY1578" si="518">IF(AND(Input_CreditScore&gt;=Elig_CreditScore_Min,Input_CreditScore&lt;=Elig_CreditScore_Max),1,0)</f>
        <v>0</v>
      </c>
      <c r="AZ1515" s="171">
        <f t="shared" ref="AZ1515:AZ1578" si="519">IF(AND(Input_ReservesMonths&gt;=Elig_Reserves_Min,Input_ReservesMonths&lt;=Elig_Reserves_Max),1,0)</f>
        <v>1</v>
      </c>
      <c r="BA1515" s="172">
        <f t="shared" ref="BA1515:BA1578" si="520">IF(AND(Input_LTV&gt;=Elig_LTV_Min,Input_LTV&lt;=Elig_LTV_Max),1,0)</f>
        <v>0</v>
      </c>
      <c r="BB1515" s="175">
        <f t="shared" si="508"/>
        <v>12</v>
      </c>
      <c r="BC1515" s="176">
        <f t="shared" si="509"/>
        <v>12</v>
      </c>
      <c r="BD1515" s="176">
        <f t="shared" si="510"/>
        <v>12</v>
      </c>
      <c r="BE1515" s="240" t="str">
        <f t="shared" si="514"/>
        <v/>
      </c>
      <c r="BF1515" s="990"/>
      <c r="BG1515" s="990"/>
      <c r="BH1515" s="991">
        <f>IF(AND(Input_Product=Elig!$C1515,Elig_MatchAll_Ct&lt;22,$BC1515=(Elig_MatchAll_Ct-1),AF1515=0),C1515,0)</f>
        <v>0</v>
      </c>
      <c r="BI1515" s="991">
        <f>IF(AND(Input_Product=Elig!$C1515,Elig_MatchAll_Ct&lt;22,$BC1515=(Elig_MatchAll_Ct-1),AG1515=0),D1515,0)</f>
        <v>0</v>
      </c>
      <c r="BJ1515" s="991">
        <f>IF(AND(Input_Product=Elig!$C1515,Elig_MatchAll_Ct&lt;22,$BC1515=(Elig_MatchAll_Ct-1),AH1515=0),E1515,0)</f>
        <v>0</v>
      </c>
      <c r="BK1515" s="991">
        <f>IF(AND(Input_Product=Elig!$C1515,Elig_MatchAll_Ct&lt;22,$BC1515=(Elig_MatchAll_Ct-1),AI1515=0),F1515,0)</f>
        <v>0</v>
      </c>
      <c r="BL1515" s="991">
        <f>IF(AND(Input_Product=Elig!$C1515,Elig_MatchAll_Ct&lt;22,$BC1515=(Elig_MatchAll_Ct-1),AJ1515=0),G1515,0)</f>
        <v>0</v>
      </c>
      <c r="BM1515" s="991">
        <f>IF(AND(Input_Product=Elig!$C1515,Elig_MatchAll_Ct&lt;22,$BC1515=(Elig_MatchAll_Ct-1),AK1515=0),H1515,0)</f>
        <v>0</v>
      </c>
      <c r="BN1515" s="991">
        <f>IF(AND(Input_Product=Elig!$C1515,Elig_MatchAll_Ct&lt;22,$BC1515=(Elig_MatchAll_Ct-1),AL1515=0),I1515,0)</f>
        <v>0</v>
      </c>
      <c r="BO1515" s="991">
        <f>IF(AND(Input_Product=Elig!$C1515,Elig_MatchAll_Ct&lt;22,$BC1515=(Elig_MatchAll_Ct-1),AM1515=0),J1515,0)</f>
        <v>0</v>
      </c>
      <c r="BP1515" s="991">
        <f>IF(AND(Input_Product=Elig!$C1515,Elig_MatchAll_Ct&lt;22,$BC1515=(Elig_MatchAll_Ct-1),AN1515=0),K1515,0)</f>
        <v>0</v>
      </c>
      <c r="BQ1515" s="991">
        <f>IF(AND(Input_Product=Elig!$C1515,Elig_MatchAll_Ct&lt;22,$BC1515=(Elig_MatchAll_Ct-1),AP1515=0),L1515,0)</f>
        <v>0</v>
      </c>
      <c r="BR1515" s="991">
        <f>IF(AND(Input_Product=Elig!$C1515,Elig_MatchAll_Ct&lt;22,$BC1515=(Elig_MatchAll_Ct-1),AO1515=0),M1515,0)</f>
        <v>0</v>
      </c>
      <c r="BS1515" s="991">
        <f>IF(AND(Input_Product=Elig!$C1515,Elig_MatchAll_Ct&lt;22,$BC1515=(Elig_MatchAll_Ct-1),AQ1515=0),N1515,0)</f>
        <v>0</v>
      </c>
      <c r="BT1515" s="991">
        <f>IF(AND(Input_Product=Elig!$C1515,Elig_MatchAll_Ct&lt;22,$BC1515=(Elig_MatchAll_Ct-1),AR1515=0),O1515,0)</f>
        <v>0</v>
      </c>
      <c r="BU1515" s="991">
        <f>IF(AND(Input_Product=Elig!$C1515,Elig_MatchAll_Ct&lt;22,$BC1515=(Elig_MatchAll_Ct-1),AS1515=0),P1515,0)</f>
        <v>0</v>
      </c>
      <c r="BV1515" s="992">
        <f>IF(AND(Input_Product=Elig!$C1515,Elig_MatchAll_Ct&lt;22,$BC1515=(Elig_MatchAll_Ct-1),AT1515=0),Q1515,0)</f>
        <v>0</v>
      </c>
      <c r="BW1515" s="993">
        <f>IF(AND(Input_Product=Elig!$C1515,Elig_MatchAll_Ct&lt;22,$BC1515=(Elig_MatchAll_Ct-1),AU1515=0),R1515,0)</f>
        <v>0</v>
      </c>
      <c r="BX1515" s="994">
        <f>IF(AND(Input_Product=Elig!$C1515,Elig_MatchAll_Ct&lt;22,$BC1515=(Elig_MatchAll_Ct-1),AU1515=0),S1515,0)</f>
        <v>0</v>
      </c>
      <c r="BY1515" s="993">
        <f>IF(AND(Input_Product=Elig!$C1515,Elig_MatchAll_Ct&lt;22,$BC1515=(Elig_MatchAll_Ct-1),AV1515=0),T1515,0)</f>
        <v>0</v>
      </c>
      <c r="BZ1515" s="994">
        <f>IF(AND(Input_Product=Elig!$C1515,Elig_MatchAll_Ct&lt;22,$BC1515=(Elig_MatchAll_Ct-1),AV1515=0),U1515,0)</f>
        <v>0</v>
      </c>
      <c r="CA1515" s="993">
        <f>IF(AND(Input_Product=Elig!$C1515,Elig_MatchAll_Ct&lt;22,$BC1515=(Elig_MatchAll_Ct-1),AW1515=0),V1515,0)</f>
        <v>0</v>
      </c>
      <c r="CB1515" s="994">
        <f>IF(AND(Input_Product=Elig!$C1515,Elig_MatchAll_Ct&lt;22,$BC1515=(Elig_MatchAll_Ct-1),AW1515=0),W1515,0)</f>
        <v>0</v>
      </c>
      <c r="CC1515" s="993">
        <f>IF(AND(Input_Product=Elig!$C1515,Elig_MatchAll_Ct&lt;22,$BC1515=(Elig_MatchAll_Ct-1),AX1515=0),X1515,0)</f>
        <v>0</v>
      </c>
      <c r="CD1515" s="994">
        <f>IF(AND(Input_Product=Elig!$C1515,Elig_MatchAll_Ct&lt;22,$BC1515=(Elig_MatchAll_Ct-1),AX1515=0),Y1515,0)</f>
        <v>0</v>
      </c>
      <c r="CE1515" s="993">
        <f>IF(AND(Input_LTV&lt;=AE1515,Input_Product=Elig!$C1515,Elig_MatchAll_Ct&lt;22,$BC1515=(Elig_MatchAll_Ct-1),AY1515=0),Z1515,0)</f>
        <v>0</v>
      </c>
      <c r="CF1515" s="994">
        <f>IF(AND(Input_LTV&lt;=AE1515,Input_Product=Elig!$C1515,Elig_MatchAll_Ct&lt;22,$BC1515=(Elig_MatchAll_Ct-1),AY1515=0),AA1515,0)</f>
        <v>0</v>
      </c>
      <c r="CG1515" s="993">
        <f>IF(AND(Input_Product=Elig!$C1515,Elig_MatchAll_Ct&lt;22,$BC1515=(Elig_MatchAll_Ct-1),AZ1515=0),AB1515,0)</f>
        <v>0</v>
      </c>
      <c r="CH1515" s="994">
        <f>IF(AND(Input_Product=Elig!$C1515,Elig_MatchAll_Ct&lt;22,$BC1515=(Elig_MatchAll_Ct-1),AZ1515=0),AC1515,0)</f>
        <v>0</v>
      </c>
      <c r="CI1515" s="993">
        <f>IF(AND(Input_Product=Elig!$C1515,Elig_MatchAll_Ct&lt;22,$BC1515=(Elig_MatchAll_Ct-1),BA1515=0),AD1515,0)</f>
        <v>0</v>
      </c>
      <c r="CJ1515" s="994">
        <f>IF(AND(Input_Product=Elig!$C1515,Elig_MatchAll_Ct&lt;22,$BC1515=(Elig_MatchAll_Ct-1),BA1515=0),AE1515,0)</f>
        <v>0</v>
      </c>
    </row>
    <row r="1516" spans="2:88" ht="10.15" customHeight="1" x14ac:dyDescent="0.25">
      <c r="B1516" s="1567" t="s">
        <v>2864</v>
      </c>
      <c r="C1516" s="1567" t="str">
        <f t="shared" si="513"/>
        <v xml:space="preserve">  NOO</v>
      </c>
      <c r="D1516" s="1567" t="s">
        <v>2764</v>
      </c>
      <c r="E1516" s="1567" t="s">
        <v>167</v>
      </c>
      <c r="F1516" s="1567" t="s">
        <v>330</v>
      </c>
      <c r="G1516" s="1567" t="s">
        <v>181</v>
      </c>
      <c r="H1516" s="1567" t="s">
        <v>136</v>
      </c>
      <c r="I1516" s="1568" t="s">
        <v>34</v>
      </c>
      <c r="J1516" s="1568" t="s">
        <v>1311</v>
      </c>
      <c r="K1516" s="1568" t="s">
        <v>3023</v>
      </c>
      <c r="L1516" s="1567" t="s">
        <v>312</v>
      </c>
      <c r="M1516" s="1567" t="s">
        <v>4204</v>
      </c>
      <c r="N1516" s="1567" t="s">
        <v>2685</v>
      </c>
      <c r="O1516" s="1567" t="s">
        <v>310</v>
      </c>
      <c r="P1516" s="1567" t="s">
        <v>291</v>
      </c>
      <c r="Q1516" s="1567" t="s">
        <v>294</v>
      </c>
      <c r="R1516" s="1567">
        <v>100000</v>
      </c>
      <c r="S1516" s="1567">
        <v>1000000</v>
      </c>
      <c r="T1516" s="1567">
        <v>0</v>
      </c>
      <c r="U1516" s="1567">
        <v>0</v>
      </c>
      <c r="V1516" s="1567">
        <v>0</v>
      </c>
      <c r="W1516" s="1567">
        <v>0</v>
      </c>
      <c r="X1516" s="1567">
        <v>0.01</v>
      </c>
      <c r="Y1516" s="1567">
        <v>0.99</v>
      </c>
      <c r="Z1516" s="1569">
        <v>700</v>
      </c>
      <c r="AA1516" s="1569">
        <v>999</v>
      </c>
      <c r="AB1516" s="1569">
        <v>2</v>
      </c>
      <c r="AC1516" s="1569">
        <v>999999</v>
      </c>
      <c r="AD1516" s="1567">
        <v>0</v>
      </c>
      <c r="AE1516" s="1570">
        <v>75</v>
      </c>
      <c r="AF1516" s="170">
        <v>0</v>
      </c>
      <c r="AG1516" s="171">
        <v>1</v>
      </c>
      <c r="AH1516" s="171">
        <v>1</v>
      </c>
      <c r="AI1516" s="171">
        <v>0</v>
      </c>
      <c r="AJ1516" s="171">
        <v>0</v>
      </c>
      <c r="AK1516" s="171">
        <v>1</v>
      </c>
      <c r="AL1516" s="171">
        <v>0</v>
      </c>
      <c r="AM1516" s="171">
        <v>1</v>
      </c>
      <c r="AN1516" s="171">
        <v>1</v>
      </c>
      <c r="AO1516" s="171">
        <v>1</v>
      </c>
      <c r="AP1516" s="171">
        <v>1</v>
      </c>
      <c r="AQ1516" s="171">
        <v>1</v>
      </c>
      <c r="AR1516" s="171">
        <v>1</v>
      </c>
      <c r="AS1516" s="171">
        <v>1</v>
      </c>
      <c r="AT1516" s="171">
        <v>1</v>
      </c>
      <c r="AU1516" s="171">
        <f t="shared" si="515"/>
        <v>1</v>
      </c>
      <c r="AV1516" s="171">
        <f t="shared" si="516"/>
        <v>0</v>
      </c>
      <c r="AW1516" s="171">
        <f t="shared" si="517"/>
        <v>0</v>
      </c>
      <c r="AX1516" s="171">
        <f t="shared" si="512"/>
        <v>0</v>
      </c>
      <c r="AY1516" s="171">
        <f t="shared" si="518"/>
        <v>1</v>
      </c>
      <c r="AZ1516" s="171">
        <f t="shared" si="519"/>
        <v>1</v>
      </c>
      <c r="BA1516" s="172">
        <f t="shared" si="520"/>
        <v>1</v>
      </c>
      <c r="BB1516" s="175">
        <f t="shared" si="508"/>
        <v>15</v>
      </c>
      <c r="BC1516" s="176">
        <f t="shared" si="509"/>
        <v>14</v>
      </c>
      <c r="BD1516" s="176">
        <f t="shared" si="510"/>
        <v>15</v>
      </c>
      <c r="BE1516" s="240" t="str">
        <f t="shared" si="514"/>
        <v/>
      </c>
      <c r="BF1516" s="990"/>
      <c r="BG1516" s="990"/>
      <c r="BH1516" s="991">
        <f>IF(AND(Input_Product=Elig!$C1516,Elig_MatchAll_Ct&lt;22,$BC1516=(Elig_MatchAll_Ct-1),AF1516=0),C1516,0)</f>
        <v>0</v>
      </c>
      <c r="BI1516" s="991">
        <f>IF(AND(Input_Product=Elig!$C1516,Elig_MatchAll_Ct&lt;22,$BC1516=(Elig_MatchAll_Ct-1),AG1516=0),D1516,0)</f>
        <v>0</v>
      </c>
      <c r="BJ1516" s="991">
        <f>IF(AND(Input_Product=Elig!$C1516,Elig_MatchAll_Ct&lt;22,$BC1516=(Elig_MatchAll_Ct-1),AH1516=0),E1516,0)</f>
        <v>0</v>
      </c>
      <c r="BK1516" s="991">
        <f>IF(AND(Input_Product=Elig!$C1516,Elig_MatchAll_Ct&lt;22,$BC1516=(Elig_MatchAll_Ct-1),AI1516=0),F1516,0)</f>
        <v>0</v>
      </c>
      <c r="BL1516" s="991">
        <f>IF(AND(Input_Product=Elig!$C1516,Elig_MatchAll_Ct&lt;22,$BC1516=(Elig_MatchAll_Ct-1),AJ1516=0),G1516,0)</f>
        <v>0</v>
      </c>
      <c r="BM1516" s="991">
        <f>IF(AND(Input_Product=Elig!$C1516,Elig_MatchAll_Ct&lt;22,$BC1516=(Elig_MatchAll_Ct-1),AK1516=0),H1516,0)</f>
        <v>0</v>
      </c>
      <c r="BN1516" s="991">
        <f>IF(AND(Input_Product=Elig!$C1516,Elig_MatchAll_Ct&lt;22,$BC1516=(Elig_MatchAll_Ct-1),AL1516=0),I1516,0)</f>
        <v>0</v>
      </c>
      <c r="BO1516" s="991">
        <f>IF(AND(Input_Product=Elig!$C1516,Elig_MatchAll_Ct&lt;22,$BC1516=(Elig_MatchAll_Ct-1),AM1516=0),J1516,0)</f>
        <v>0</v>
      </c>
      <c r="BP1516" s="991">
        <f>IF(AND(Input_Product=Elig!$C1516,Elig_MatchAll_Ct&lt;22,$BC1516=(Elig_MatchAll_Ct-1),AN1516=0),K1516,0)</f>
        <v>0</v>
      </c>
      <c r="BQ1516" s="991">
        <f>IF(AND(Input_Product=Elig!$C1516,Elig_MatchAll_Ct&lt;22,$BC1516=(Elig_MatchAll_Ct-1),AP1516=0),L1516,0)</f>
        <v>0</v>
      </c>
      <c r="BR1516" s="991">
        <f>IF(AND(Input_Product=Elig!$C1516,Elig_MatchAll_Ct&lt;22,$BC1516=(Elig_MatchAll_Ct-1),AO1516=0),M1516,0)</f>
        <v>0</v>
      </c>
      <c r="BS1516" s="991">
        <f>IF(AND(Input_Product=Elig!$C1516,Elig_MatchAll_Ct&lt;22,$BC1516=(Elig_MatchAll_Ct-1),AQ1516=0),N1516,0)</f>
        <v>0</v>
      </c>
      <c r="BT1516" s="991">
        <f>IF(AND(Input_Product=Elig!$C1516,Elig_MatchAll_Ct&lt;22,$BC1516=(Elig_MatchAll_Ct-1),AR1516=0),O1516,0)</f>
        <v>0</v>
      </c>
      <c r="BU1516" s="991">
        <f>IF(AND(Input_Product=Elig!$C1516,Elig_MatchAll_Ct&lt;22,$BC1516=(Elig_MatchAll_Ct-1),AS1516=0),P1516,0)</f>
        <v>0</v>
      </c>
      <c r="BV1516" s="992">
        <f>IF(AND(Input_Product=Elig!$C1516,Elig_MatchAll_Ct&lt;22,$BC1516=(Elig_MatchAll_Ct-1),AT1516=0),Q1516,0)</f>
        <v>0</v>
      </c>
      <c r="BW1516" s="993">
        <f>IF(AND(Input_Product=Elig!$C1516,Elig_MatchAll_Ct&lt;22,$BC1516=(Elig_MatchAll_Ct-1),AU1516=0),R1516,0)</f>
        <v>0</v>
      </c>
      <c r="BX1516" s="994">
        <f>IF(AND(Input_Product=Elig!$C1516,Elig_MatchAll_Ct&lt;22,$BC1516=(Elig_MatchAll_Ct-1),AU1516=0),S1516,0)</f>
        <v>0</v>
      </c>
      <c r="BY1516" s="993">
        <f>IF(AND(Input_Product=Elig!$C1516,Elig_MatchAll_Ct&lt;22,$BC1516=(Elig_MatchAll_Ct-1),AV1516=0),T1516,0)</f>
        <v>0</v>
      </c>
      <c r="BZ1516" s="994">
        <f>IF(AND(Input_Product=Elig!$C1516,Elig_MatchAll_Ct&lt;22,$BC1516=(Elig_MatchAll_Ct-1),AV1516=0),U1516,0)</f>
        <v>0</v>
      </c>
      <c r="CA1516" s="993">
        <f>IF(AND(Input_Product=Elig!$C1516,Elig_MatchAll_Ct&lt;22,$BC1516=(Elig_MatchAll_Ct-1),AW1516=0),V1516,0)</f>
        <v>0</v>
      </c>
      <c r="CB1516" s="994">
        <f>IF(AND(Input_Product=Elig!$C1516,Elig_MatchAll_Ct&lt;22,$BC1516=(Elig_MatchAll_Ct-1),AW1516=0),W1516,0)</f>
        <v>0</v>
      </c>
      <c r="CC1516" s="993">
        <f>IF(AND(Input_Product=Elig!$C1516,Elig_MatchAll_Ct&lt;22,$BC1516=(Elig_MatchAll_Ct-1),AX1516=0),X1516,0)</f>
        <v>0</v>
      </c>
      <c r="CD1516" s="994">
        <f>IF(AND(Input_Product=Elig!$C1516,Elig_MatchAll_Ct&lt;22,$BC1516=(Elig_MatchAll_Ct-1),AX1516=0),Y1516,0)</f>
        <v>0</v>
      </c>
      <c r="CE1516" s="993">
        <f>IF(AND(Input_LTV&lt;=AE1516,Input_Product=Elig!$C1516,Elig_MatchAll_Ct&lt;22,$BC1516=(Elig_MatchAll_Ct-1),AY1516=0),Z1516,0)</f>
        <v>0</v>
      </c>
      <c r="CF1516" s="994">
        <f>IF(AND(Input_LTV&lt;=AE1516,Input_Product=Elig!$C1516,Elig_MatchAll_Ct&lt;22,$BC1516=(Elig_MatchAll_Ct-1),AY1516=0),AA1516,0)</f>
        <v>0</v>
      </c>
      <c r="CG1516" s="993">
        <f>IF(AND(Input_Product=Elig!$C1516,Elig_MatchAll_Ct&lt;22,$BC1516=(Elig_MatchAll_Ct-1),AZ1516=0),AB1516,0)</f>
        <v>0</v>
      </c>
      <c r="CH1516" s="994">
        <f>IF(AND(Input_Product=Elig!$C1516,Elig_MatchAll_Ct&lt;22,$BC1516=(Elig_MatchAll_Ct-1),AZ1516=0),AC1516,0)</f>
        <v>0</v>
      </c>
      <c r="CI1516" s="993">
        <f>IF(AND(Input_Product=Elig!$C1516,Elig_MatchAll_Ct&lt;22,$BC1516=(Elig_MatchAll_Ct-1),BA1516=0),AD1516,0)</f>
        <v>0</v>
      </c>
      <c r="CJ1516" s="994">
        <f>IF(AND(Input_Product=Elig!$C1516,Elig_MatchAll_Ct&lt;22,$BC1516=(Elig_MatchAll_Ct-1),BA1516=0),AE1516,0)</f>
        <v>0</v>
      </c>
    </row>
    <row r="1517" spans="2:88" ht="10.15" customHeight="1" x14ac:dyDescent="0.25">
      <c r="B1517" s="1567" t="s">
        <v>2865</v>
      </c>
      <c r="C1517" s="1567" t="str">
        <f t="shared" si="513"/>
        <v xml:space="preserve">  NOO</v>
      </c>
      <c r="D1517" s="1567" t="s">
        <v>2764</v>
      </c>
      <c r="E1517" s="1567" t="s">
        <v>167</v>
      </c>
      <c r="F1517" s="1567" t="s">
        <v>330</v>
      </c>
      <c r="G1517" s="1567" t="s">
        <v>181</v>
      </c>
      <c r="H1517" s="1567" t="s">
        <v>136</v>
      </c>
      <c r="I1517" s="1568" t="s">
        <v>34</v>
      </c>
      <c r="J1517" s="1568" t="s">
        <v>1311</v>
      </c>
      <c r="K1517" s="1568" t="s">
        <v>3023</v>
      </c>
      <c r="L1517" s="1567" t="s">
        <v>312</v>
      </c>
      <c r="M1517" s="1567" t="s">
        <v>4204</v>
      </c>
      <c r="N1517" s="1567" t="s">
        <v>2685</v>
      </c>
      <c r="O1517" s="1567" t="s">
        <v>310</v>
      </c>
      <c r="P1517" s="1567" t="s">
        <v>291</v>
      </c>
      <c r="Q1517" s="1567" t="s">
        <v>294</v>
      </c>
      <c r="R1517" s="1567">
        <v>1000000.01</v>
      </c>
      <c r="S1517" s="1567">
        <v>1500000</v>
      </c>
      <c r="T1517" s="1567">
        <v>0</v>
      </c>
      <c r="U1517" s="1567">
        <v>0</v>
      </c>
      <c r="V1517" s="1567">
        <v>0</v>
      </c>
      <c r="W1517" s="1567">
        <v>0</v>
      </c>
      <c r="X1517" s="1567">
        <v>0.01</v>
      </c>
      <c r="Y1517" s="1567">
        <v>0.99</v>
      </c>
      <c r="Z1517" s="1569">
        <v>700</v>
      </c>
      <c r="AA1517" s="1569">
        <v>999</v>
      </c>
      <c r="AB1517" s="1569">
        <v>2</v>
      </c>
      <c r="AC1517" s="1569">
        <v>999999</v>
      </c>
      <c r="AD1517" s="1567">
        <v>0</v>
      </c>
      <c r="AE1517" s="1570">
        <v>75</v>
      </c>
      <c r="AF1517" s="170">
        <v>0</v>
      </c>
      <c r="AG1517" s="171">
        <v>1</v>
      </c>
      <c r="AH1517" s="171">
        <v>1</v>
      </c>
      <c r="AI1517" s="171">
        <v>0</v>
      </c>
      <c r="AJ1517" s="171">
        <v>0</v>
      </c>
      <c r="AK1517" s="171">
        <v>1</v>
      </c>
      <c r="AL1517" s="171">
        <v>0</v>
      </c>
      <c r="AM1517" s="171">
        <v>1</v>
      </c>
      <c r="AN1517" s="171">
        <v>1</v>
      </c>
      <c r="AO1517" s="171">
        <v>1</v>
      </c>
      <c r="AP1517" s="171">
        <v>1</v>
      </c>
      <c r="AQ1517" s="171">
        <v>1</v>
      </c>
      <c r="AR1517" s="171">
        <v>1</v>
      </c>
      <c r="AS1517" s="171">
        <v>1</v>
      </c>
      <c r="AT1517" s="171">
        <v>1</v>
      </c>
      <c r="AU1517" s="171">
        <f t="shared" si="515"/>
        <v>0</v>
      </c>
      <c r="AV1517" s="171">
        <f t="shared" si="516"/>
        <v>0</v>
      </c>
      <c r="AW1517" s="171">
        <f t="shared" si="517"/>
        <v>0</v>
      </c>
      <c r="AX1517" s="171">
        <f t="shared" si="512"/>
        <v>0</v>
      </c>
      <c r="AY1517" s="171">
        <f t="shared" si="518"/>
        <v>1</v>
      </c>
      <c r="AZ1517" s="171">
        <f t="shared" si="519"/>
        <v>1</v>
      </c>
      <c r="BA1517" s="172">
        <f t="shared" si="520"/>
        <v>1</v>
      </c>
      <c r="BB1517" s="175">
        <f t="shared" si="508"/>
        <v>14</v>
      </c>
      <c r="BC1517" s="176">
        <f t="shared" si="509"/>
        <v>13</v>
      </c>
      <c r="BD1517" s="176">
        <f t="shared" si="510"/>
        <v>14</v>
      </c>
      <c r="BE1517" s="240" t="str">
        <f t="shared" si="514"/>
        <v/>
      </c>
      <c r="BF1517" s="990"/>
      <c r="BG1517" s="990"/>
      <c r="BH1517" s="991">
        <f>IF(AND(Input_Product=Elig!$C1517,Elig_MatchAll_Ct&lt;22,$BC1517=(Elig_MatchAll_Ct-1),AF1517=0),C1517,0)</f>
        <v>0</v>
      </c>
      <c r="BI1517" s="991">
        <f>IF(AND(Input_Product=Elig!$C1517,Elig_MatchAll_Ct&lt;22,$BC1517=(Elig_MatchAll_Ct-1),AG1517=0),D1517,0)</f>
        <v>0</v>
      </c>
      <c r="BJ1517" s="991">
        <f>IF(AND(Input_Product=Elig!$C1517,Elig_MatchAll_Ct&lt;22,$BC1517=(Elig_MatchAll_Ct-1),AH1517=0),E1517,0)</f>
        <v>0</v>
      </c>
      <c r="BK1517" s="991">
        <f>IF(AND(Input_Product=Elig!$C1517,Elig_MatchAll_Ct&lt;22,$BC1517=(Elig_MatchAll_Ct-1),AI1517=0),F1517,0)</f>
        <v>0</v>
      </c>
      <c r="BL1517" s="991">
        <f>IF(AND(Input_Product=Elig!$C1517,Elig_MatchAll_Ct&lt;22,$BC1517=(Elig_MatchAll_Ct-1),AJ1517=0),G1517,0)</f>
        <v>0</v>
      </c>
      <c r="BM1517" s="991">
        <f>IF(AND(Input_Product=Elig!$C1517,Elig_MatchAll_Ct&lt;22,$BC1517=(Elig_MatchAll_Ct-1),AK1517=0),H1517,0)</f>
        <v>0</v>
      </c>
      <c r="BN1517" s="991">
        <f>IF(AND(Input_Product=Elig!$C1517,Elig_MatchAll_Ct&lt;22,$BC1517=(Elig_MatchAll_Ct-1),AL1517=0),I1517,0)</f>
        <v>0</v>
      </c>
      <c r="BO1517" s="991">
        <f>IF(AND(Input_Product=Elig!$C1517,Elig_MatchAll_Ct&lt;22,$BC1517=(Elig_MatchAll_Ct-1),AM1517=0),J1517,0)</f>
        <v>0</v>
      </c>
      <c r="BP1517" s="991">
        <f>IF(AND(Input_Product=Elig!$C1517,Elig_MatchAll_Ct&lt;22,$BC1517=(Elig_MatchAll_Ct-1),AN1517=0),K1517,0)</f>
        <v>0</v>
      </c>
      <c r="BQ1517" s="991">
        <f>IF(AND(Input_Product=Elig!$C1517,Elig_MatchAll_Ct&lt;22,$BC1517=(Elig_MatchAll_Ct-1),AP1517=0),L1517,0)</f>
        <v>0</v>
      </c>
      <c r="BR1517" s="991">
        <f>IF(AND(Input_Product=Elig!$C1517,Elig_MatchAll_Ct&lt;22,$BC1517=(Elig_MatchAll_Ct-1),AO1517=0),M1517,0)</f>
        <v>0</v>
      </c>
      <c r="BS1517" s="991">
        <f>IF(AND(Input_Product=Elig!$C1517,Elig_MatchAll_Ct&lt;22,$BC1517=(Elig_MatchAll_Ct-1),AQ1517=0),N1517,0)</f>
        <v>0</v>
      </c>
      <c r="BT1517" s="991">
        <f>IF(AND(Input_Product=Elig!$C1517,Elig_MatchAll_Ct&lt;22,$BC1517=(Elig_MatchAll_Ct-1),AR1517=0),O1517,0)</f>
        <v>0</v>
      </c>
      <c r="BU1517" s="991">
        <f>IF(AND(Input_Product=Elig!$C1517,Elig_MatchAll_Ct&lt;22,$BC1517=(Elig_MatchAll_Ct-1),AS1517=0),P1517,0)</f>
        <v>0</v>
      </c>
      <c r="BV1517" s="992">
        <f>IF(AND(Input_Product=Elig!$C1517,Elig_MatchAll_Ct&lt;22,$BC1517=(Elig_MatchAll_Ct-1),AT1517=0),Q1517,0)</f>
        <v>0</v>
      </c>
      <c r="BW1517" s="993">
        <f>IF(AND(Input_Product=Elig!$C1517,Elig_MatchAll_Ct&lt;22,$BC1517=(Elig_MatchAll_Ct-1),AU1517=0),R1517,0)</f>
        <v>0</v>
      </c>
      <c r="BX1517" s="994">
        <f>IF(AND(Input_Product=Elig!$C1517,Elig_MatchAll_Ct&lt;22,$BC1517=(Elig_MatchAll_Ct-1),AU1517=0),S1517,0)</f>
        <v>0</v>
      </c>
      <c r="BY1517" s="993">
        <f>IF(AND(Input_Product=Elig!$C1517,Elig_MatchAll_Ct&lt;22,$BC1517=(Elig_MatchAll_Ct-1),AV1517=0),T1517,0)</f>
        <v>0</v>
      </c>
      <c r="BZ1517" s="994">
        <f>IF(AND(Input_Product=Elig!$C1517,Elig_MatchAll_Ct&lt;22,$BC1517=(Elig_MatchAll_Ct-1),AV1517=0),U1517,0)</f>
        <v>0</v>
      </c>
      <c r="CA1517" s="993">
        <f>IF(AND(Input_Product=Elig!$C1517,Elig_MatchAll_Ct&lt;22,$BC1517=(Elig_MatchAll_Ct-1),AW1517=0),V1517,0)</f>
        <v>0</v>
      </c>
      <c r="CB1517" s="994">
        <f>IF(AND(Input_Product=Elig!$C1517,Elig_MatchAll_Ct&lt;22,$BC1517=(Elig_MatchAll_Ct-1),AW1517=0),W1517,0)</f>
        <v>0</v>
      </c>
      <c r="CC1517" s="993">
        <f>IF(AND(Input_Product=Elig!$C1517,Elig_MatchAll_Ct&lt;22,$BC1517=(Elig_MatchAll_Ct-1),AX1517=0),X1517,0)</f>
        <v>0</v>
      </c>
      <c r="CD1517" s="994">
        <f>IF(AND(Input_Product=Elig!$C1517,Elig_MatchAll_Ct&lt;22,$BC1517=(Elig_MatchAll_Ct-1),AX1517=0),Y1517,0)</f>
        <v>0</v>
      </c>
      <c r="CE1517" s="993">
        <f>IF(AND(Input_LTV&lt;=AE1517,Input_Product=Elig!$C1517,Elig_MatchAll_Ct&lt;22,$BC1517=(Elig_MatchAll_Ct-1),AY1517=0),Z1517,0)</f>
        <v>0</v>
      </c>
      <c r="CF1517" s="994">
        <f>IF(AND(Input_LTV&lt;=AE1517,Input_Product=Elig!$C1517,Elig_MatchAll_Ct&lt;22,$BC1517=(Elig_MatchAll_Ct-1),AY1517=0),AA1517,0)</f>
        <v>0</v>
      </c>
      <c r="CG1517" s="993">
        <f>IF(AND(Input_Product=Elig!$C1517,Elig_MatchAll_Ct&lt;22,$BC1517=(Elig_MatchAll_Ct-1),AZ1517=0),AB1517,0)</f>
        <v>0</v>
      </c>
      <c r="CH1517" s="994">
        <f>IF(AND(Input_Product=Elig!$C1517,Elig_MatchAll_Ct&lt;22,$BC1517=(Elig_MatchAll_Ct-1),AZ1517=0),AC1517,0)</f>
        <v>0</v>
      </c>
      <c r="CI1517" s="993">
        <f>IF(AND(Input_Product=Elig!$C1517,Elig_MatchAll_Ct&lt;22,$BC1517=(Elig_MatchAll_Ct-1),BA1517=0),AD1517,0)</f>
        <v>0</v>
      </c>
      <c r="CJ1517" s="994">
        <f>IF(AND(Input_Product=Elig!$C1517,Elig_MatchAll_Ct&lt;22,$BC1517=(Elig_MatchAll_Ct-1),BA1517=0),AE1517,0)</f>
        <v>0</v>
      </c>
    </row>
    <row r="1518" spans="2:88" ht="10.15" customHeight="1" x14ac:dyDescent="0.25">
      <c r="B1518" s="1567" t="s">
        <v>2866</v>
      </c>
      <c r="C1518" s="1567" t="str">
        <f t="shared" si="513"/>
        <v xml:space="preserve">  NOO</v>
      </c>
      <c r="D1518" s="1567" t="s">
        <v>2764</v>
      </c>
      <c r="E1518" s="1567" t="s">
        <v>167</v>
      </c>
      <c r="F1518" s="1567" t="s">
        <v>330</v>
      </c>
      <c r="G1518" s="1567" t="s">
        <v>181</v>
      </c>
      <c r="H1518" s="1567" t="s">
        <v>136</v>
      </c>
      <c r="I1518" s="1568" t="s">
        <v>34</v>
      </c>
      <c r="J1518" s="1568" t="s">
        <v>1311</v>
      </c>
      <c r="K1518" s="1568" t="s">
        <v>3023</v>
      </c>
      <c r="L1518" s="1567" t="s">
        <v>312</v>
      </c>
      <c r="M1518" s="1567" t="s">
        <v>4204</v>
      </c>
      <c r="N1518" s="1567" t="s">
        <v>2685</v>
      </c>
      <c r="O1518" s="1567" t="s">
        <v>310</v>
      </c>
      <c r="P1518" s="1567" t="s">
        <v>291</v>
      </c>
      <c r="Q1518" s="1567" t="s">
        <v>294</v>
      </c>
      <c r="R1518" s="1567">
        <v>1500000.01</v>
      </c>
      <c r="S1518" s="1567">
        <v>2000000</v>
      </c>
      <c r="T1518" s="1567">
        <v>0</v>
      </c>
      <c r="U1518" s="1567">
        <v>0</v>
      </c>
      <c r="V1518" s="1567">
        <v>0</v>
      </c>
      <c r="W1518" s="1567">
        <v>0</v>
      </c>
      <c r="X1518" s="1567">
        <v>0.01</v>
      </c>
      <c r="Y1518" s="1567">
        <v>0.99</v>
      </c>
      <c r="Z1518" s="1569">
        <v>700</v>
      </c>
      <c r="AA1518" s="1569">
        <v>999</v>
      </c>
      <c r="AB1518" s="1569">
        <v>2</v>
      </c>
      <c r="AC1518" s="1569">
        <v>999999</v>
      </c>
      <c r="AD1518" s="1567">
        <v>0</v>
      </c>
      <c r="AE1518" s="1570">
        <v>70</v>
      </c>
      <c r="AF1518" s="170">
        <v>0</v>
      </c>
      <c r="AG1518" s="171">
        <v>1</v>
      </c>
      <c r="AH1518" s="171">
        <v>1</v>
      </c>
      <c r="AI1518" s="171">
        <v>0</v>
      </c>
      <c r="AJ1518" s="171">
        <v>0</v>
      </c>
      <c r="AK1518" s="171">
        <v>1</v>
      </c>
      <c r="AL1518" s="171">
        <v>0</v>
      </c>
      <c r="AM1518" s="171">
        <v>1</v>
      </c>
      <c r="AN1518" s="171">
        <v>1</v>
      </c>
      <c r="AO1518" s="171">
        <v>1</v>
      </c>
      <c r="AP1518" s="171">
        <v>1</v>
      </c>
      <c r="AQ1518" s="171">
        <v>1</v>
      </c>
      <c r="AR1518" s="171">
        <v>1</v>
      </c>
      <c r="AS1518" s="171">
        <v>1</v>
      </c>
      <c r="AT1518" s="171">
        <v>1</v>
      </c>
      <c r="AU1518" s="171">
        <f t="shared" si="515"/>
        <v>0</v>
      </c>
      <c r="AV1518" s="171">
        <f t="shared" si="516"/>
        <v>0</v>
      </c>
      <c r="AW1518" s="171">
        <f t="shared" si="517"/>
        <v>0</v>
      </c>
      <c r="AX1518" s="171">
        <f t="shared" si="512"/>
        <v>0</v>
      </c>
      <c r="AY1518" s="171">
        <f t="shared" si="518"/>
        <v>1</v>
      </c>
      <c r="AZ1518" s="171">
        <f t="shared" si="519"/>
        <v>1</v>
      </c>
      <c r="BA1518" s="172">
        <f t="shared" si="520"/>
        <v>1</v>
      </c>
      <c r="BB1518" s="175">
        <f t="shared" si="508"/>
        <v>14</v>
      </c>
      <c r="BC1518" s="176">
        <f t="shared" si="509"/>
        <v>13</v>
      </c>
      <c r="BD1518" s="176">
        <f t="shared" si="510"/>
        <v>14</v>
      </c>
      <c r="BE1518" s="240" t="str">
        <f t="shared" si="514"/>
        <v/>
      </c>
      <c r="BF1518" s="990"/>
      <c r="BG1518" s="990"/>
      <c r="BH1518" s="991">
        <f>IF(AND(Input_Product=Elig!$C1518,Elig_MatchAll_Ct&lt;22,$BC1518=(Elig_MatchAll_Ct-1),AF1518=0),C1518,0)</f>
        <v>0</v>
      </c>
      <c r="BI1518" s="991">
        <f>IF(AND(Input_Product=Elig!$C1518,Elig_MatchAll_Ct&lt;22,$BC1518=(Elig_MatchAll_Ct-1),AG1518=0),D1518,0)</f>
        <v>0</v>
      </c>
      <c r="BJ1518" s="991">
        <f>IF(AND(Input_Product=Elig!$C1518,Elig_MatchAll_Ct&lt;22,$BC1518=(Elig_MatchAll_Ct-1),AH1518=0),E1518,0)</f>
        <v>0</v>
      </c>
      <c r="BK1518" s="991">
        <f>IF(AND(Input_Product=Elig!$C1518,Elig_MatchAll_Ct&lt;22,$BC1518=(Elig_MatchAll_Ct-1),AI1518=0),F1518,0)</f>
        <v>0</v>
      </c>
      <c r="BL1518" s="991">
        <f>IF(AND(Input_Product=Elig!$C1518,Elig_MatchAll_Ct&lt;22,$BC1518=(Elig_MatchAll_Ct-1),AJ1518=0),G1518,0)</f>
        <v>0</v>
      </c>
      <c r="BM1518" s="991">
        <f>IF(AND(Input_Product=Elig!$C1518,Elig_MatchAll_Ct&lt;22,$BC1518=(Elig_MatchAll_Ct-1),AK1518=0),H1518,0)</f>
        <v>0</v>
      </c>
      <c r="BN1518" s="991">
        <f>IF(AND(Input_Product=Elig!$C1518,Elig_MatchAll_Ct&lt;22,$BC1518=(Elig_MatchAll_Ct-1),AL1518=0),I1518,0)</f>
        <v>0</v>
      </c>
      <c r="BO1518" s="991">
        <f>IF(AND(Input_Product=Elig!$C1518,Elig_MatchAll_Ct&lt;22,$BC1518=(Elig_MatchAll_Ct-1),AM1518=0),J1518,0)</f>
        <v>0</v>
      </c>
      <c r="BP1518" s="991">
        <f>IF(AND(Input_Product=Elig!$C1518,Elig_MatchAll_Ct&lt;22,$BC1518=(Elig_MatchAll_Ct-1),AN1518=0),K1518,0)</f>
        <v>0</v>
      </c>
      <c r="BQ1518" s="991">
        <f>IF(AND(Input_Product=Elig!$C1518,Elig_MatchAll_Ct&lt;22,$BC1518=(Elig_MatchAll_Ct-1),AP1518=0),L1518,0)</f>
        <v>0</v>
      </c>
      <c r="BR1518" s="991">
        <f>IF(AND(Input_Product=Elig!$C1518,Elig_MatchAll_Ct&lt;22,$BC1518=(Elig_MatchAll_Ct-1),AO1518=0),M1518,0)</f>
        <v>0</v>
      </c>
      <c r="BS1518" s="991">
        <f>IF(AND(Input_Product=Elig!$C1518,Elig_MatchAll_Ct&lt;22,$BC1518=(Elig_MatchAll_Ct-1),AQ1518=0),N1518,0)</f>
        <v>0</v>
      </c>
      <c r="BT1518" s="991">
        <f>IF(AND(Input_Product=Elig!$C1518,Elig_MatchAll_Ct&lt;22,$BC1518=(Elig_MatchAll_Ct-1),AR1518=0),O1518,0)</f>
        <v>0</v>
      </c>
      <c r="BU1518" s="991">
        <f>IF(AND(Input_Product=Elig!$C1518,Elig_MatchAll_Ct&lt;22,$BC1518=(Elig_MatchAll_Ct-1),AS1518=0),P1518,0)</f>
        <v>0</v>
      </c>
      <c r="BV1518" s="992">
        <f>IF(AND(Input_Product=Elig!$C1518,Elig_MatchAll_Ct&lt;22,$BC1518=(Elig_MatchAll_Ct-1),AT1518=0),Q1518,0)</f>
        <v>0</v>
      </c>
      <c r="BW1518" s="993">
        <f>IF(AND(Input_Product=Elig!$C1518,Elig_MatchAll_Ct&lt;22,$BC1518=(Elig_MatchAll_Ct-1),AU1518=0),R1518,0)</f>
        <v>0</v>
      </c>
      <c r="BX1518" s="994">
        <f>IF(AND(Input_Product=Elig!$C1518,Elig_MatchAll_Ct&lt;22,$BC1518=(Elig_MatchAll_Ct-1),AU1518=0),S1518,0)</f>
        <v>0</v>
      </c>
      <c r="BY1518" s="993">
        <f>IF(AND(Input_Product=Elig!$C1518,Elig_MatchAll_Ct&lt;22,$BC1518=(Elig_MatchAll_Ct-1),AV1518=0),T1518,0)</f>
        <v>0</v>
      </c>
      <c r="BZ1518" s="994">
        <f>IF(AND(Input_Product=Elig!$C1518,Elig_MatchAll_Ct&lt;22,$BC1518=(Elig_MatchAll_Ct-1),AV1518=0),U1518,0)</f>
        <v>0</v>
      </c>
      <c r="CA1518" s="993">
        <f>IF(AND(Input_Product=Elig!$C1518,Elig_MatchAll_Ct&lt;22,$BC1518=(Elig_MatchAll_Ct-1),AW1518=0),V1518,0)</f>
        <v>0</v>
      </c>
      <c r="CB1518" s="994">
        <f>IF(AND(Input_Product=Elig!$C1518,Elig_MatchAll_Ct&lt;22,$BC1518=(Elig_MatchAll_Ct-1),AW1518=0),W1518,0)</f>
        <v>0</v>
      </c>
      <c r="CC1518" s="993">
        <f>IF(AND(Input_Product=Elig!$C1518,Elig_MatchAll_Ct&lt;22,$BC1518=(Elig_MatchAll_Ct-1),AX1518=0),X1518,0)</f>
        <v>0</v>
      </c>
      <c r="CD1518" s="994">
        <f>IF(AND(Input_Product=Elig!$C1518,Elig_MatchAll_Ct&lt;22,$BC1518=(Elig_MatchAll_Ct-1),AX1518=0),Y1518,0)</f>
        <v>0</v>
      </c>
      <c r="CE1518" s="993">
        <f>IF(AND(Input_LTV&lt;=AE1518,Input_Product=Elig!$C1518,Elig_MatchAll_Ct&lt;22,$BC1518=(Elig_MatchAll_Ct-1),AY1518=0),Z1518,0)</f>
        <v>0</v>
      </c>
      <c r="CF1518" s="994">
        <f>IF(AND(Input_LTV&lt;=AE1518,Input_Product=Elig!$C1518,Elig_MatchAll_Ct&lt;22,$BC1518=(Elig_MatchAll_Ct-1),AY1518=0),AA1518,0)</f>
        <v>0</v>
      </c>
      <c r="CG1518" s="993">
        <f>IF(AND(Input_Product=Elig!$C1518,Elig_MatchAll_Ct&lt;22,$BC1518=(Elig_MatchAll_Ct-1),AZ1518=0),AB1518,0)</f>
        <v>0</v>
      </c>
      <c r="CH1518" s="994">
        <f>IF(AND(Input_Product=Elig!$C1518,Elig_MatchAll_Ct&lt;22,$BC1518=(Elig_MatchAll_Ct-1),AZ1518=0),AC1518,0)</f>
        <v>0</v>
      </c>
      <c r="CI1518" s="993">
        <f>IF(AND(Input_Product=Elig!$C1518,Elig_MatchAll_Ct&lt;22,$BC1518=(Elig_MatchAll_Ct-1),BA1518=0),AD1518,0)</f>
        <v>0</v>
      </c>
      <c r="CJ1518" s="994">
        <f>IF(AND(Input_Product=Elig!$C1518,Elig_MatchAll_Ct&lt;22,$BC1518=(Elig_MatchAll_Ct-1),BA1518=0),AE1518,0)</f>
        <v>0</v>
      </c>
    </row>
    <row r="1519" spans="2:88" ht="10.15" customHeight="1" x14ac:dyDescent="0.25">
      <c r="B1519" s="1567" t="s">
        <v>2867</v>
      </c>
      <c r="C1519" s="1567" t="str">
        <f t="shared" si="513"/>
        <v xml:space="preserve">  NOO</v>
      </c>
      <c r="D1519" s="1567" t="s">
        <v>2764</v>
      </c>
      <c r="E1519" s="1567" t="s">
        <v>167</v>
      </c>
      <c r="F1519" s="1567" t="s">
        <v>330</v>
      </c>
      <c r="G1519" s="1567" t="s">
        <v>181</v>
      </c>
      <c r="H1519" s="1567" t="s">
        <v>136</v>
      </c>
      <c r="I1519" s="1568" t="s">
        <v>34</v>
      </c>
      <c r="J1519" s="1568" t="s">
        <v>1311</v>
      </c>
      <c r="K1519" s="1568" t="s">
        <v>3023</v>
      </c>
      <c r="L1519" s="1567" t="s">
        <v>312</v>
      </c>
      <c r="M1519" s="1567" t="s">
        <v>4204</v>
      </c>
      <c r="N1519" s="1567" t="s">
        <v>2685</v>
      </c>
      <c r="O1519" s="1567" t="s">
        <v>310</v>
      </c>
      <c r="P1519" s="1567" t="s">
        <v>291</v>
      </c>
      <c r="Q1519" s="1567" t="s">
        <v>294</v>
      </c>
      <c r="R1519" s="1567">
        <v>2000000.01</v>
      </c>
      <c r="S1519" s="1567">
        <v>2500000</v>
      </c>
      <c r="T1519" s="1567">
        <v>0</v>
      </c>
      <c r="U1519" s="1567">
        <v>0</v>
      </c>
      <c r="V1519" s="1567">
        <v>0</v>
      </c>
      <c r="W1519" s="1567">
        <v>0</v>
      </c>
      <c r="X1519" s="1567">
        <v>0.01</v>
      </c>
      <c r="Y1519" s="1567">
        <v>0.99</v>
      </c>
      <c r="Z1519" s="1569">
        <v>700</v>
      </c>
      <c r="AA1519" s="1569">
        <v>999</v>
      </c>
      <c r="AB1519" s="1569">
        <v>2</v>
      </c>
      <c r="AC1519" s="1569">
        <v>999999</v>
      </c>
      <c r="AD1519" s="1567">
        <v>0</v>
      </c>
      <c r="AE1519" s="1570">
        <v>65</v>
      </c>
      <c r="AF1519" s="170">
        <v>0</v>
      </c>
      <c r="AG1519" s="171">
        <v>1</v>
      </c>
      <c r="AH1519" s="171">
        <v>1</v>
      </c>
      <c r="AI1519" s="171">
        <v>0</v>
      </c>
      <c r="AJ1519" s="171">
        <v>0</v>
      </c>
      <c r="AK1519" s="171">
        <v>1</v>
      </c>
      <c r="AL1519" s="171">
        <v>0</v>
      </c>
      <c r="AM1519" s="171">
        <v>1</v>
      </c>
      <c r="AN1519" s="171">
        <v>1</v>
      </c>
      <c r="AO1519" s="171">
        <v>1</v>
      </c>
      <c r="AP1519" s="171">
        <v>1</v>
      </c>
      <c r="AQ1519" s="171">
        <v>1</v>
      </c>
      <c r="AR1519" s="171">
        <v>1</v>
      </c>
      <c r="AS1519" s="171">
        <v>1</v>
      </c>
      <c r="AT1519" s="171">
        <v>1</v>
      </c>
      <c r="AU1519" s="171">
        <f t="shared" si="515"/>
        <v>0</v>
      </c>
      <c r="AV1519" s="171">
        <f t="shared" si="516"/>
        <v>0</v>
      </c>
      <c r="AW1519" s="171">
        <f t="shared" si="517"/>
        <v>0</v>
      </c>
      <c r="AX1519" s="171">
        <f t="shared" si="512"/>
        <v>0</v>
      </c>
      <c r="AY1519" s="171">
        <f t="shared" si="518"/>
        <v>1</v>
      </c>
      <c r="AZ1519" s="171">
        <f t="shared" si="519"/>
        <v>1</v>
      </c>
      <c r="BA1519" s="172">
        <f t="shared" si="520"/>
        <v>1</v>
      </c>
      <c r="BB1519" s="175">
        <f t="shared" si="508"/>
        <v>14</v>
      </c>
      <c r="BC1519" s="176">
        <f t="shared" si="509"/>
        <v>13</v>
      </c>
      <c r="BD1519" s="176">
        <f t="shared" si="510"/>
        <v>14</v>
      </c>
      <c r="BE1519" s="240" t="str">
        <f t="shared" si="514"/>
        <v/>
      </c>
      <c r="BF1519" s="990"/>
      <c r="BG1519" s="990"/>
      <c r="BH1519" s="991">
        <f>IF(AND(Input_Product=Elig!$C1519,Elig_MatchAll_Ct&lt;22,$BC1519=(Elig_MatchAll_Ct-1),AF1519=0),C1519,0)</f>
        <v>0</v>
      </c>
      <c r="BI1519" s="991">
        <f>IF(AND(Input_Product=Elig!$C1519,Elig_MatchAll_Ct&lt;22,$BC1519=(Elig_MatchAll_Ct-1),AG1519=0),D1519,0)</f>
        <v>0</v>
      </c>
      <c r="BJ1519" s="991">
        <f>IF(AND(Input_Product=Elig!$C1519,Elig_MatchAll_Ct&lt;22,$BC1519=(Elig_MatchAll_Ct-1),AH1519=0),E1519,0)</f>
        <v>0</v>
      </c>
      <c r="BK1519" s="991">
        <f>IF(AND(Input_Product=Elig!$C1519,Elig_MatchAll_Ct&lt;22,$BC1519=(Elig_MatchAll_Ct-1),AI1519=0),F1519,0)</f>
        <v>0</v>
      </c>
      <c r="BL1519" s="991">
        <f>IF(AND(Input_Product=Elig!$C1519,Elig_MatchAll_Ct&lt;22,$BC1519=(Elig_MatchAll_Ct-1),AJ1519=0),G1519,0)</f>
        <v>0</v>
      </c>
      <c r="BM1519" s="991">
        <f>IF(AND(Input_Product=Elig!$C1519,Elig_MatchAll_Ct&lt;22,$BC1519=(Elig_MatchAll_Ct-1),AK1519=0),H1519,0)</f>
        <v>0</v>
      </c>
      <c r="BN1519" s="991">
        <f>IF(AND(Input_Product=Elig!$C1519,Elig_MatchAll_Ct&lt;22,$BC1519=(Elig_MatchAll_Ct-1),AL1519=0),I1519,0)</f>
        <v>0</v>
      </c>
      <c r="BO1519" s="991">
        <f>IF(AND(Input_Product=Elig!$C1519,Elig_MatchAll_Ct&lt;22,$BC1519=(Elig_MatchAll_Ct-1),AM1519=0),J1519,0)</f>
        <v>0</v>
      </c>
      <c r="BP1519" s="991">
        <f>IF(AND(Input_Product=Elig!$C1519,Elig_MatchAll_Ct&lt;22,$BC1519=(Elig_MatchAll_Ct-1),AN1519=0),K1519,0)</f>
        <v>0</v>
      </c>
      <c r="BQ1519" s="991">
        <f>IF(AND(Input_Product=Elig!$C1519,Elig_MatchAll_Ct&lt;22,$BC1519=(Elig_MatchAll_Ct-1),AP1519=0),L1519,0)</f>
        <v>0</v>
      </c>
      <c r="BR1519" s="991">
        <f>IF(AND(Input_Product=Elig!$C1519,Elig_MatchAll_Ct&lt;22,$BC1519=(Elig_MatchAll_Ct-1),AO1519=0),M1519,0)</f>
        <v>0</v>
      </c>
      <c r="BS1519" s="991">
        <f>IF(AND(Input_Product=Elig!$C1519,Elig_MatchAll_Ct&lt;22,$BC1519=(Elig_MatchAll_Ct-1),AQ1519=0),N1519,0)</f>
        <v>0</v>
      </c>
      <c r="BT1519" s="991">
        <f>IF(AND(Input_Product=Elig!$C1519,Elig_MatchAll_Ct&lt;22,$BC1519=(Elig_MatchAll_Ct-1),AR1519=0),O1519,0)</f>
        <v>0</v>
      </c>
      <c r="BU1519" s="991">
        <f>IF(AND(Input_Product=Elig!$C1519,Elig_MatchAll_Ct&lt;22,$BC1519=(Elig_MatchAll_Ct-1),AS1519=0),P1519,0)</f>
        <v>0</v>
      </c>
      <c r="BV1519" s="992">
        <f>IF(AND(Input_Product=Elig!$C1519,Elig_MatchAll_Ct&lt;22,$BC1519=(Elig_MatchAll_Ct-1),AT1519=0),Q1519,0)</f>
        <v>0</v>
      </c>
      <c r="BW1519" s="993">
        <f>IF(AND(Input_Product=Elig!$C1519,Elig_MatchAll_Ct&lt;22,$BC1519=(Elig_MatchAll_Ct-1),AU1519=0),R1519,0)</f>
        <v>0</v>
      </c>
      <c r="BX1519" s="994">
        <f>IF(AND(Input_Product=Elig!$C1519,Elig_MatchAll_Ct&lt;22,$BC1519=(Elig_MatchAll_Ct-1),AU1519=0),S1519,0)</f>
        <v>0</v>
      </c>
      <c r="BY1519" s="993">
        <f>IF(AND(Input_Product=Elig!$C1519,Elig_MatchAll_Ct&lt;22,$BC1519=(Elig_MatchAll_Ct-1),AV1519=0),T1519,0)</f>
        <v>0</v>
      </c>
      <c r="BZ1519" s="994">
        <f>IF(AND(Input_Product=Elig!$C1519,Elig_MatchAll_Ct&lt;22,$BC1519=(Elig_MatchAll_Ct-1),AV1519=0),U1519,0)</f>
        <v>0</v>
      </c>
      <c r="CA1519" s="993">
        <f>IF(AND(Input_Product=Elig!$C1519,Elig_MatchAll_Ct&lt;22,$BC1519=(Elig_MatchAll_Ct-1),AW1519=0),V1519,0)</f>
        <v>0</v>
      </c>
      <c r="CB1519" s="994">
        <f>IF(AND(Input_Product=Elig!$C1519,Elig_MatchAll_Ct&lt;22,$BC1519=(Elig_MatchAll_Ct-1),AW1519=0),W1519,0)</f>
        <v>0</v>
      </c>
      <c r="CC1519" s="993">
        <f>IF(AND(Input_Product=Elig!$C1519,Elig_MatchAll_Ct&lt;22,$BC1519=(Elig_MatchAll_Ct-1),AX1519=0),X1519,0)</f>
        <v>0</v>
      </c>
      <c r="CD1519" s="994">
        <f>IF(AND(Input_Product=Elig!$C1519,Elig_MatchAll_Ct&lt;22,$BC1519=(Elig_MatchAll_Ct-1),AX1519=0),Y1519,0)</f>
        <v>0</v>
      </c>
      <c r="CE1519" s="993">
        <f>IF(AND(Input_LTV&lt;=AE1519,Input_Product=Elig!$C1519,Elig_MatchAll_Ct&lt;22,$BC1519=(Elig_MatchAll_Ct-1),AY1519=0),Z1519,0)</f>
        <v>0</v>
      </c>
      <c r="CF1519" s="994">
        <f>IF(AND(Input_LTV&lt;=AE1519,Input_Product=Elig!$C1519,Elig_MatchAll_Ct&lt;22,$BC1519=(Elig_MatchAll_Ct-1),AY1519=0),AA1519,0)</f>
        <v>0</v>
      </c>
      <c r="CG1519" s="993">
        <f>IF(AND(Input_Product=Elig!$C1519,Elig_MatchAll_Ct&lt;22,$BC1519=(Elig_MatchAll_Ct-1),AZ1519=0),AB1519,0)</f>
        <v>0</v>
      </c>
      <c r="CH1519" s="994">
        <f>IF(AND(Input_Product=Elig!$C1519,Elig_MatchAll_Ct&lt;22,$BC1519=(Elig_MatchAll_Ct-1),AZ1519=0),AC1519,0)</f>
        <v>0</v>
      </c>
      <c r="CI1519" s="993">
        <f>IF(AND(Input_Product=Elig!$C1519,Elig_MatchAll_Ct&lt;22,$BC1519=(Elig_MatchAll_Ct-1),BA1519=0),AD1519,0)</f>
        <v>0</v>
      </c>
      <c r="CJ1519" s="994">
        <f>IF(AND(Input_Product=Elig!$C1519,Elig_MatchAll_Ct&lt;22,$BC1519=(Elig_MatchAll_Ct-1),BA1519=0),AE1519,0)</f>
        <v>0</v>
      </c>
    </row>
    <row r="1520" spans="2:88" ht="10.15" customHeight="1" x14ac:dyDescent="0.25">
      <c r="B1520" s="1567" t="s">
        <v>2868</v>
      </c>
      <c r="C1520" s="1567" t="str">
        <f t="shared" si="513"/>
        <v xml:space="preserve">  NOO</v>
      </c>
      <c r="D1520" s="1567" t="s">
        <v>2764</v>
      </c>
      <c r="E1520" s="1567" t="s">
        <v>167</v>
      </c>
      <c r="F1520" s="1567" t="s">
        <v>330</v>
      </c>
      <c r="G1520" s="1567" t="s">
        <v>181</v>
      </c>
      <c r="H1520" s="1567" t="s">
        <v>136</v>
      </c>
      <c r="I1520" s="1568" t="s">
        <v>34</v>
      </c>
      <c r="J1520" s="1568" t="s">
        <v>1311</v>
      </c>
      <c r="K1520" s="1568" t="s">
        <v>3023</v>
      </c>
      <c r="L1520" s="1567" t="s">
        <v>312</v>
      </c>
      <c r="M1520" s="1567" t="s">
        <v>4204</v>
      </c>
      <c r="N1520" s="1567" t="s">
        <v>2685</v>
      </c>
      <c r="O1520" s="1567" t="s">
        <v>310</v>
      </c>
      <c r="P1520" s="1567" t="s">
        <v>291</v>
      </c>
      <c r="Q1520" s="1567" t="s">
        <v>294</v>
      </c>
      <c r="R1520" s="1567">
        <v>2500000.0099999998</v>
      </c>
      <c r="S1520" s="1567">
        <v>3000000</v>
      </c>
      <c r="T1520" s="1567">
        <v>0</v>
      </c>
      <c r="U1520" s="1567">
        <v>0</v>
      </c>
      <c r="V1520" s="1567">
        <v>0</v>
      </c>
      <c r="W1520" s="1567">
        <v>0</v>
      </c>
      <c r="X1520" s="1567">
        <v>0.01</v>
      </c>
      <c r="Y1520" s="1567">
        <v>0.99</v>
      </c>
      <c r="Z1520" s="1569">
        <v>700</v>
      </c>
      <c r="AA1520" s="1569">
        <v>999</v>
      </c>
      <c r="AB1520" s="1569">
        <v>2</v>
      </c>
      <c r="AC1520" s="1569">
        <v>999999</v>
      </c>
      <c r="AD1520" s="1567">
        <v>0</v>
      </c>
      <c r="AE1520" s="1570">
        <v>60</v>
      </c>
      <c r="AF1520" s="170">
        <v>0</v>
      </c>
      <c r="AG1520" s="171">
        <v>1</v>
      </c>
      <c r="AH1520" s="171">
        <v>1</v>
      </c>
      <c r="AI1520" s="171">
        <v>0</v>
      </c>
      <c r="AJ1520" s="171">
        <v>0</v>
      </c>
      <c r="AK1520" s="171">
        <v>1</v>
      </c>
      <c r="AL1520" s="171">
        <v>0</v>
      </c>
      <c r="AM1520" s="171">
        <v>1</v>
      </c>
      <c r="AN1520" s="171">
        <v>1</v>
      </c>
      <c r="AO1520" s="171">
        <v>1</v>
      </c>
      <c r="AP1520" s="171">
        <v>1</v>
      </c>
      <c r="AQ1520" s="171">
        <v>1</v>
      </c>
      <c r="AR1520" s="171">
        <v>1</v>
      </c>
      <c r="AS1520" s="171">
        <v>1</v>
      </c>
      <c r="AT1520" s="171">
        <v>1</v>
      </c>
      <c r="AU1520" s="171">
        <f t="shared" si="515"/>
        <v>0</v>
      </c>
      <c r="AV1520" s="171">
        <f t="shared" si="516"/>
        <v>0</v>
      </c>
      <c r="AW1520" s="171">
        <f t="shared" si="517"/>
        <v>0</v>
      </c>
      <c r="AX1520" s="171">
        <f t="shared" si="512"/>
        <v>0</v>
      </c>
      <c r="AY1520" s="171">
        <f t="shared" si="518"/>
        <v>1</v>
      </c>
      <c r="AZ1520" s="171">
        <f t="shared" si="519"/>
        <v>1</v>
      </c>
      <c r="BA1520" s="172">
        <f t="shared" si="520"/>
        <v>0</v>
      </c>
      <c r="BB1520" s="175">
        <f t="shared" si="508"/>
        <v>13</v>
      </c>
      <c r="BC1520" s="176">
        <f t="shared" si="509"/>
        <v>13</v>
      </c>
      <c r="BD1520" s="176">
        <f t="shared" si="510"/>
        <v>13</v>
      </c>
      <c r="BE1520" s="240" t="str">
        <f t="shared" si="514"/>
        <v/>
      </c>
      <c r="BF1520" s="990"/>
      <c r="BG1520" s="990"/>
      <c r="BH1520" s="991">
        <f>IF(AND(Input_Product=Elig!$C1520,Elig_MatchAll_Ct&lt;22,$BC1520=(Elig_MatchAll_Ct-1),AF1520=0),C1520,0)</f>
        <v>0</v>
      </c>
      <c r="BI1520" s="991">
        <f>IF(AND(Input_Product=Elig!$C1520,Elig_MatchAll_Ct&lt;22,$BC1520=(Elig_MatchAll_Ct-1),AG1520=0),D1520,0)</f>
        <v>0</v>
      </c>
      <c r="BJ1520" s="991">
        <f>IF(AND(Input_Product=Elig!$C1520,Elig_MatchAll_Ct&lt;22,$BC1520=(Elig_MatchAll_Ct-1),AH1520=0),E1520,0)</f>
        <v>0</v>
      </c>
      <c r="BK1520" s="991">
        <f>IF(AND(Input_Product=Elig!$C1520,Elig_MatchAll_Ct&lt;22,$BC1520=(Elig_MatchAll_Ct-1),AI1520=0),F1520,0)</f>
        <v>0</v>
      </c>
      <c r="BL1520" s="991">
        <f>IF(AND(Input_Product=Elig!$C1520,Elig_MatchAll_Ct&lt;22,$BC1520=(Elig_MatchAll_Ct-1),AJ1520=0),G1520,0)</f>
        <v>0</v>
      </c>
      <c r="BM1520" s="991">
        <f>IF(AND(Input_Product=Elig!$C1520,Elig_MatchAll_Ct&lt;22,$BC1520=(Elig_MatchAll_Ct-1),AK1520=0),H1520,0)</f>
        <v>0</v>
      </c>
      <c r="BN1520" s="991">
        <f>IF(AND(Input_Product=Elig!$C1520,Elig_MatchAll_Ct&lt;22,$BC1520=(Elig_MatchAll_Ct-1),AL1520=0),I1520,0)</f>
        <v>0</v>
      </c>
      <c r="BO1520" s="991">
        <f>IF(AND(Input_Product=Elig!$C1520,Elig_MatchAll_Ct&lt;22,$BC1520=(Elig_MatchAll_Ct-1),AM1520=0),J1520,0)</f>
        <v>0</v>
      </c>
      <c r="BP1520" s="991">
        <f>IF(AND(Input_Product=Elig!$C1520,Elig_MatchAll_Ct&lt;22,$BC1520=(Elig_MatchAll_Ct-1),AN1520=0),K1520,0)</f>
        <v>0</v>
      </c>
      <c r="BQ1520" s="991">
        <f>IF(AND(Input_Product=Elig!$C1520,Elig_MatchAll_Ct&lt;22,$BC1520=(Elig_MatchAll_Ct-1),AP1520=0),L1520,0)</f>
        <v>0</v>
      </c>
      <c r="BR1520" s="991">
        <f>IF(AND(Input_Product=Elig!$C1520,Elig_MatchAll_Ct&lt;22,$BC1520=(Elig_MatchAll_Ct-1),AO1520=0),M1520,0)</f>
        <v>0</v>
      </c>
      <c r="BS1520" s="991">
        <f>IF(AND(Input_Product=Elig!$C1520,Elig_MatchAll_Ct&lt;22,$BC1520=(Elig_MatchAll_Ct-1),AQ1520=0),N1520,0)</f>
        <v>0</v>
      </c>
      <c r="BT1520" s="991">
        <f>IF(AND(Input_Product=Elig!$C1520,Elig_MatchAll_Ct&lt;22,$BC1520=(Elig_MatchAll_Ct-1),AR1520=0),O1520,0)</f>
        <v>0</v>
      </c>
      <c r="BU1520" s="991">
        <f>IF(AND(Input_Product=Elig!$C1520,Elig_MatchAll_Ct&lt;22,$BC1520=(Elig_MatchAll_Ct-1),AS1520=0),P1520,0)</f>
        <v>0</v>
      </c>
      <c r="BV1520" s="992">
        <f>IF(AND(Input_Product=Elig!$C1520,Elig_MatchAll_Ct&lt;22,$BC1520=(Elig_MatchAll_Ct-1),AT1520=0),Q1520,0)</f>
        <v>0</v>
      </c>
      <c r="BW1520" s="993">
        <f>IF(AND(Input_Product=Elig!$C1520,Elig_MatchAll_Ct&lt;22,$BC1520=(Elig_MatchAll_Ct-1),AU1520=0),R1520,0)</f>
        <v>0</v>
      </c>
      <c r="BX1520" s="994">
        <f>IF(AND(Input_Product=Elig!$C1520,Elig_MatchAll_Ct&lt;22,$BC1520=(Elig_MatchAll_Ct-1),AU1520=0),S1520,0)</f>
        <v>0</v>
      </c>
      <c r="BY1520" s="993">
        <f>IF(AND(Input_Product=Elig!$C1520,Elig_MatchAll_Ct&lt;22,$BC1520=(Elig_MatchAll_Ct-1),AV1520=0),T1520,0)</f>
        <v>0</v>
      </c>
      <c r="BZ1520" s="994">
        <f>IF(AND(Input_Product=Elig!$C1520,Elig_MatchAll_Ct&lt;22,$BC1520=(Elig_MatchAll_Ct-1),AV1520=0),U1520,0)</f>
        <v>0</v>
      </c>
      <c r="CA1520" s="993">
        <f>IF(AND(Input_Product=Elig!$C1520,Elig_MatchAll_Ct&lt;22,$BC1520=(Elig_MatchAll_Ct-1),AW1520=0),V1520,0)</f>
        <v>0</v>
      </c>
      <c r="CB1520" s="994">
        <f>IF(AND(Input_Product=Elig!$C1520,Elig_MatchAll_Ct&lt;22,$BC1520=(Elig_MatchAll_Ct-1),AW1520=0),W1520,0)</f>
        <v>0</v>
      </c>
      <c r="CC1520" s="993">
        <f>IF(AND(Input_Product=Elig!$C1520,Elig_MatchAll_Ct&lt;22,$BC1520=(Elig_MatchAll_Ct-1),AX1520=0),X1520,0)</f>
        <v>0</v>
      </c>
      <c r="CD1520" s="994">
        <f>IF(AND(Input_Product=Elig!$C1520,Elig_MatchAll_Ct&lt;22,$BC1520=(Elig_MatchAll_Ct-1),AX1520=0),Y1520,0)</f>
        <v>0</v>
      </c>
      <c r="CE1520" s="993">
        <f>IF(AND(Input_LTV&lt;=AE1520,Input_Product=Elig!$C1520,Elig_MatchAll_Ct&lt;22,$BC1520=(Elig_MatchAll_Ct-1),AY1520=0),Z1520,0)</f>
        <v>0</v>
      </c>
      <c r="CF1520" s="994">
        <f>IF(AND(Input_LTV&lt;=AE1520,Input_Product=Elig!$C1520,Elig_MatchAll_Ct&lt;22,$BC1520=(Elig_MatchAll_Ct-1),AY1520=0),AA1520,0)</f>
        <v>0</v>
      </c>
      <c r="CG1520" s="993">
        <f>IF(AND(Input_Product=Elig!$C1520,Elig_MatchAll_Ct&lt;22,$BC1520=(Elig_MatchAll_Ct-1),AZ1520=0),AB1520,0)</f>
        <v>0</v>
      </c>
      <c r="CH1520" s="994">
        <f>IF(AND(Input_Product=Elig!$C1520,Elig_MatchAll_Ct&lt;22,$BC1520=(Elig_MatchAll_Ct-1),AZ1520=0),AC1520,0)</f>
        <v>0</v>
      </c>
      <c r="CI1520" s="993">
        <f>IF(AND(Input_Product=Elig!$C1520,Elig_MatchAll_Ct&lt;22,$BC1520=(Elig_MatchAll_Ct-1),BA1520=0),AD1520,0)</f>
        <v>0</v>
      </c>
      <c r="CJ1520" s="994">
        <f>IF(AND(Input_Product=Elig!$C1520,Elig_MatchAll_Ct&lt;22,$BC1520=(Elig_MatchAll_Ct-1),BA1520=0),AE1520,0)</f>
        <v>0</v>
      </c>
    </row>
    <row r="1521" spans="2:88" ht="10.15" customHeight="1" x14ac:dyDescent="0.25">
      <c r="B1521" s="1567" t="s">
        <v>2869</v>
      </c>
      <c r="C1521" s="1567" t="str">
        <f t="shared" si="513"/>
        <v xml:space="preserve">  NOO</v>
      </c>
      <c r="D1521" s="1567" t="s">
        <v>2764</v>
      </c>
      <c r="E1521" s="1567" t="s">
        <v>167</v>
      </c>
      <c r="F1521" s="1567" t="s">
        <v>330</v>
      </c>
      <c r="G1521" s="1567" t="s">
        <v>181</v>
      </c>
      <c r="H1521" s="1567" t="s">
        <v>136</v>
      </c>
      <c r="I1521" s="1568" t="s">
        <v>34</v>
      </c>
      <c r="J1521" s="1568" t="s">
        <v>1311</v>
      </c>
      <c r="K1521" s="1568" t="s">
        <v>3023</v>
      </c>
      <c r="L1521" s="1567" t="s">
        <v>312</v>
      </c>
      <c r="M1521" s="1567" t="s">
        <v>4204</v>
      </c>
      <c r="N1521" s="1567" t="s">
        <v>2685</v>
      </c>
      <c r="O1521" s="1567" t="s">
        <v>310</v>
      </c>
      <c r="P1521" s="1567" t="s">
        <v>291</v>
      </c>
      <c r="Q1521" s="1567" t="s">
        <v>294</v>
      </c>
      <c r="R1521" s="1567">
        <v>100000</v>
      </c>
      <c r="S1521" s="1567">
        <v>1000000</v>
      </c>
      <c r="T1521" s="1567">
        <v>0</v>
      </c>
      <c r="U1521" s="1567">
        <v>0</v>
      </c>
      <c r="V1521" s="1567">
        <v>0</v>
      </c>
      <c r="W1521" s="1567">
        <v>0</v>
      </c>
      <c r="X1521" s="1567">
        <v>0.01</v>
      </c>
      <c r="Y1521" s="1567">
        <v>0.99</v>
      </c>
      <c r="Z1521" s="1569">
        <v>680</v>
      </c>
      <c r="AA1521" s="1569">
        <v>699</v>
      </c>
      <c r="AB1521" s="1569">
        <v>2</v>
      </c>
      <c r="AC1521" s="1569">
        <v>999999</v>
      </c>
      <c r="AD1521" s="1567">
        <v>0</v>
      </c>
      <c r="AE1521" s="1570">
        <v>70</v>
      </c>
      <c r="AF1521" s="170">
        <v>0</v>
      </c>
      <c r="AG1521" s="171">
        <v>1</v>
      </c>
      <c r="AH1521" s="171">
        <v>1</v>
      </c>
      <c r="AI1521" s="171">
        <v>0</v>
      </c>
      <c r="AJ1521" s="171">
        <v>0</v>
      </c>
      <c r="AK1521" s="171">
        <v>1</v>
      </c>
      <c r="AL1521" s="171">
        <v>0</v>
      </c>
      <c r="AM1521" s="171">
        <v>1</v>
      </c>
      <c r="AN1521" s="171">
        <v>1</v>
      </c>
      <c r="AO1521" s="171">
        <v>1</v>
      </c>
      <c r="AP1521" s="171">
        <v>1</v>
      </c>
      <c r="AQ1521" s="171">
        <v>1</v>
      </c>
      <c r="AR1521" s="171">
        <v>1</v>
      </c>
      <c r="AS1521" s="171">
        <v>1</v>
      </c>
      <c r="AT1521" s="171">
        <v>1</v>
      </c>
      <c r="AU1521" s="171">
        <f t="shared" si="515"/>
        <v>1</v>
      </c>
      <c r="AV1521" s="171">
        <f t="shared" si="516"/>
        <v>0</v>
      </c>
      <c r="AW1521" s="171">
        <f t="shared" si="517"/>
        <v>0</v>
      </c>
      <c r="AX1521" s="171">
        <f t="shared" si="512"/>
        <v>0</v>
      </c>
      <c r="AY1521" s="171">
        <f t="shared" si="518"/>
        <v>0</v>
      </c>
      <c r="AZ1521" s="171">
        <f t="shared" si="519"/>
        <v>1</v>
      </c>
      <c r="BA1521" s="172">
        <f t="shared" si="520"/>
        <v>1</v>
      </c>
      <c r="BB1521" s="175">
        <f t="shared" si="508"/>
        <v>14</v>
      </c>
      <c r="BC1521" s="176">
        <f t="shared" si="509"/>
        <v>13</v>
      </c>
      <c r="BD1521" s="176">
        <f t="shared" si="510"/>
        <v>14</v>
      </c>
      <c r="BE1521" s="240" t="str">
        <f t="shared" si="514"/>
        <v/>
      </c>
      <c r="BF1521" s="990"/>
      <c r="BG1521" s="990"/>
      <c r="BH1521" s="991">
        <f>IF(AND(Input_Product=Elig!$C1521,Elig_MatchAll_Ct&lt;22,$BC1521=(Elig_MatchAll_Ct-1),AF1521=0),C1521,0)</f>
        <v>0</v>
      </c>
      <c r="BI1521" s="991">
        <f>IF(AND(Input_Product=Elig!$C1521,Elig_MatchAll_Ct&lt;22,$BC1521=(Elig_MatchAll_Ct-1),AG1521=0),D1521,0)</f>
        <v>0</v>
      </c>
      <c r="BJ1521" s="991">
        <f>IF(AND(Input_Product=Elig!$C1521,Elig_MatchAll_Ct&lt;22,$BC1521=(Elig_MatchAll_Ct-1),AH1521=0),E1521,0)</f>
        <v>0</v>
      </c>
      <c r="BK1521" s="991">
        <f>IF(AND(Input_Product=Elig!$C1521,Elig_MatchAll_Ct&lt;22,$BC1521=(Elig_MatchAll_Ct-1),AI1521=0),F1521,0)</f>
        <v>0</v>
      </c>
      <c r="BL1521" s="991">
        <f>IF(AND(Input_Product=Elig!$C1521,Elig_MatchAll_Ct&lt;22,$BC1521=(Elig_MatchAll_Ct-1),AJ1521=0),G1521,0)</f>
        <v>0</v>
      </c>
      <c r="BM1521" s="991">
        <f>IF(AND(Input_Product=Elig!$C1521,Elig_MatchAll_Ct&lt;22,$BC1521=(Elig_MatchAll_Ct-1),AK1521=0),H1521,0)</f>
        <v>0</v>
      </c>
      <c r="BN1521" s="991">
        <f>IF(AND(Input_Product=Elig!$C1521,Elig_MatchAll_Ct&lt;22,$BC1521=(Elig_MatchAll_Ct-1),AL1521=0),I1521,0)</f>
        <v>0</v>
      </c>
      <c r="BO1521" s="991">
        <f>IF(AND(Input_Product=Elig!$C1521,Elig_MatchAll_Ct&lt;22,$BC1521=(Elig_MatchAll_Ct-1),AM1521=0),J1521,0)</f>
        <v>0</v>
      </c>
      <c r="BP1521" s="991">
        <f>IF(AND(Input_Product=Elig!$C1521,Elig_MatchAll_Ct&lt;22,$BC1521=(Elig_MatchAll_Ct-1),AN1521=0),K1521,0)</f>
        <v>0</v>
      </c>
      <c r="BQ1521" s="991">
        <f>IF(AND(Input_Product=Elig!$C1521,Elig_MatchAll_Ct&lt;22,$BC1521=(Elig_MatchAll_Ct-1),AP1521=0),L1521,0)</f>
        <v>0</v>
      </c>
      <c r="BR1521" s="991">
        <f>IF(AND(Input_Product=Elig!$C1521,Elig_MatchAll_Ct&lt;22,$BC1521=(Elig_MatchAll_Ct-1),AO1521=0),M1521,0)</f>
        <v>0</v>
      </c>
      <c r="BS1521" s="991">
        <f>IF(AND(Input_Product=Elig!$C1521,Elig_MatchAll_Ct&lt;22,$BC1521=(Elig_MatchAll_Ct-1),AQ1521=0),N1521,0)</f>
        <v>0</v>
      </c>
      <c r="BT1521" s="991">
        <f>IF(AND(Input_Product=Elig!$C1521,Elig_MatchAll_Ct&lt;22,$BC1521=(Elig_MatchAll_Ct-1),AR1521=0),O1521,0)</f>
        <v>0</v>
      </c>
      <c r="BU1521" s="991">
        <f>IF(AND(Input_Product=Elig!$C1521,Elig_MatchAll_Ct&lt;22,$BC1521=(Elig_MatchAll_Ct-1),AS1521=0),P1521,0)</f>
        <v>0</v>
      </c>
      <c r="BV1521" s="992">
        <f>IF(AND(Input_Product=Elig!$C1521,Elig_MatchAll_Ct&lt;22,$BC1521=(Elig_MatchAll_Ct-1),AT1521=0),Q1521,0)</f>
        <v>0</v>
      </c>
      <c r="BW1521" s="993">
        <f>IF(AND(Input_Product=Elig!$C1521,Elig_MatchAll_Ct&lt;22,$BC1521=(Elig_MatchAll_Ct-1),AU1521=0),R1521,0)</f>
        <v>0</v>
      </c>
      <c r="BX1521" s="994">
        <f>IF(AND(Input_Product=Elig!$C1521,Elig_MatchAll_Ct&lt;22,$BC1521=(Elig_MatchAll_Ct-1),AU1521=0),S1521,0)</f>
        <v>0</v>
      </c>
      <c r="BY1521" s="993">
        <f>IF(AND(Input_Product=Elig!$C1521,Elig_MatchAll_Ct&lt;22,$BC1521=(Elig_MatchAll_Ct-1),AV1521=0),T1521,0)</f>
        <v>0</v>
      </c>
      <c r="BZ1521" s="994">
        <f>IF(AND(Input_Product=Elig!$C1521,Elig_MatchAll_Ct&lt;22,$BC1521=(Elig_MatchAll_Ct-1),AV1521=0),U1521,0)</f>
        <v>0</v>
      </c>
      <c r="CA1521" s="993">
        <f>IF(AND(Input_Product=Elig!$C1521,Elig_MatchAll_Ct&lt;22,$BC1521=(Elig_MatchAll_Ct-1),AW1521=0),V1521,0)</f>
        <v>0</v>
      </c>
      <c r="CB1521" s="994">
        <f>IF(AND(Input_Product=Elig!$C1521,Elig_MatchAll_Ct&lt;22,$BC1521=(Elig_MatchAll_Ct-1),AW1521=0),W1521,0)</f>
        <v>0</v>
      </c>
      <c r="CC1521" s="993">
        <f>IF(AND(Input_Product=Elig!$C1521,Elig_MatchAll_Ct&lt;22,$BC1521=(Elig_MatchAll_Ct-1),AX1521=0),X1521,0)</f>
        <v>0</v>
      </c>
      <c r="CD1521" s="994">
        <f>IF(AND(Input_Product=Elig!$C1521,Elig_MatchAll_Ct&lt;22,$BC1521=(Elig_MatchAll_Ct-1),AX1521=0),Y1521,0)</f>
        <v>0</v>
      </c>
      <c r="CE1521" s="993">
        <f>IF(AND(Input_LTV&lt;=AE1521,Input_Product=Elig!$C1521,Elig_MatchAll_Ct&lt;22,$BC1521=(Elig_MatchAll_Ct-1),AY1521=0),Z1521,0)</f>
        <v>0</v>
      </c>
      <c r="CF1521" s="994">
        <f>IF(AND(Input_LTV&lt;=AE1521,Input_Product=Elig!$C1521,Elig_MatchAll_Ct&lt;22,$BC1521=(Elig_MatchAll_Ct-1),AY1521=0),AA1521,0)</f>
        <v>0</v>
      </c>
      <c r="CG1521" s="993">
        <f>IF(AND(Input_Product=Elig!$C1521,Elig_MatchAll_Ct&lt;22,$BC1521=(Elig_MatchAll_Ct-1),AZ1521=0),AB1521,0)</f>
        <v>0</v>
      </c>
      <c r="CH1521" s="994">
        <f>IF(AND(Input_Product=Elig!$C1521,Elig_MatchAll_Ct&lt;22,$BC1521=(Elig_MatchAll_Ct-1),AZ1521=0),AC1521,0)</f>
        <v>0</v>
      </c>
      <c r="CI1521" s="993">
        <f>IF(AND(Input_Product=Elig!$C1521,Elig_MatchAll_Ct&lt;22,$BC1521=(Elig_MatchAll_Ct-1),BA1521=0),AD1521,0)</f>
        <v>0</v>
      </c>
      <c r="CJ1521" s="994">
        <f>IF(AND(Input_Product=Elig!$C1521,Elig_MatchAll_Ct&lt;22,$BC1521=(Elig_MatchAll_Ct-1),BA1521=0),AE1521,0)</f>
        <v>0</v>
      </c>
    </row>
    <row r="1522" spans="2:88" ht="10.15" customHeight="1" x14ac:dyDescent="0.25">
      <c r="B1522" s="1567" t="s">
        <v>2870</v>
      </c>
      <c r="C1522" s="1567" t="str">
        <f t="shared" si="513"/>
        <v xml:space="preserve">  NOO</v>
      </c>
      <c r="D1522" s="1567" t="s">
        <v>2764</v>
      </c>
      <c r="E1522" s="1567" t="s">
        <v>167</v>
      </c>
      <c r="F1522" s="1567" t="s">
        <v>330</v>
      </c>
      <c r="G1522" s="1567" t="s">
        <v>181</v>
      </c>
      <c r="H1522" s="1567" t="s">
        <v>136</v>
      </c>
      <c r="I1522" s="1568" t="s">
        <v>34</v>
      </c>
      <c r="J1522" s="1568" t="s">
        <v>1311</v>
      </c>
      <c r="K1522" s="1568" t="s">
        <v>3023</v>
      </c>
      <c r="L1522" s="1567" t="s">
        <v>312</v>
      </c>
      <c r="M1522" s="1567" t="s">
        <v>4204</v>
      </c>
      <c r="N1522" s="1567" t="s">
        <v>2685</v>
      </c>
      <c r="O1522" s="1567" t="s">
        <v>310</v>
      </c>
      <c r="P1522" s="1567" t="s">
        <v>291</v>
      </c>
      <c r="Q1522" s="1567" t="s">
        <v>294</v>
      </c>
      <c r="R1522" s="1567">
        <v>1000000.01</v>
      </c>
      <c r="S1522" s="1567">
        <v>1500000</v>
      </c>
      <c r="T1522" s="1567">
        <v>0</v>
      </c>
      <c r="U1522" s="1567">
        <v>0</v>
      </c>
      <c r="V1522" s="1567">
        <v>0</v>
      </c>
      <c r="W1522" s="1567">
        <v>0</v>
      </c>
      <c r="X1522" s="1567">
        <v>0.01</v>
      </c>
      <c r="Y1522" s="1567">
        <v>0.99</v>
      </c>
      <c r="Z1522" s="1569">
        <v>680</v>
      </c>
      <c r="AA1522" s="1569">
        <v>699</v>
      </c>
      <c r="AB1522" s="1569">
        <v>2</v>
      </c>
      <c r="AC1522" s="1569">
        <v>999999</v>
      </c>
      <c r="AD1522" s="1567">
        <v>0</v>
      </c>
      <c r="AE1522" s="1570">
        <v>70</v>
      </c>
      <c r="AF1522" s="170">
        <v>0</v>
      </c>
      <c r="AG1522" s="171">
        <v>1</v>
      </c>
      <c r="AH1522" s="171">
        <v>1</v>
      </c>
      <c r="AI1522" s="171">
        <v>0</v>
      </c>
      <c r="AJ1522" s="171">
        <v>0</v>
      </c>
      <c r="AK1522" s="171">
        <v>1</v>
      </c>
      <c r="AL1522" s="171">
        <v>0</v>
      </c>
      <c r="AM1522" s="171">
        <v>1</v>
      </c>
      <c r="AN1522" s="171">
        <v>1</v>
      </c>
      <c r="AO1522" s="171">
        <v>1</v>
      </c>
      <c r="AP1522" s="171">
        <v>1</v>
      </c>
      <c r="AQ1522" s="171">
        <v>1</v>
      </c>
      <c r="AR1522" s="171">
        <v>1</v>
      </c>
      <c r="AS1522" s="171">
        <v>1</v>
      </c>
      <c r="AT1522" s="171">
        <v>1</v>
      </c>
      <c r="AU1522" s="171">
        <f t="shared" si="515"/>
        <v>0</v>
      </c>
      <c r="AV1522" s="171">
        <f t="shared" si="516"/>
        <v>0</v>
      </c>
      <c r="AW1522" s="171">
        <f t="shared" si="517"/>
        <v>0</v>
      </c>
      <c r="AX1522" s="171">
        <f t="shared" si="512"/>
        <v>0</v>
      </c>
      <c r="AY1522" s="171">
        <f t="shared" si="518"/>
        <v>0</v>
      </c>
      <c r="AZ1522" s="171">
        <f t="shared" si="519"/>
        <v>1</v>
      </c>
      <c r="BA1522" s="172">
        <f t="shared" si="520"/>
        <v>1</v>
      </c>
      <c r="BB1522" s="175">
        <f t="shared" ref="BB1522:BB1585" si="521">SUM(AF1522:BA1522)</f>
        <v>13</v>
      </c>
      <c r="BC1522" s="176">
        <f t="shared" ref="BC1522:BC1585" si="522">SUM(AF1522:AZ1522)</f>
        <v>12</v>
      </c>
      <c r="BD1522" s="176">
        <f t="shared" ref="BD1522:BD1585" si="523">SUM(AG1522:BA1522)</f>
        <v>13</v>
      </c>
      <c r="BE1522" s="240" t="str">
        <f t="shared" si="514"/>
        <v/>
      </c>
      <c r="BF1522" s="990"/>
      <c r="BG1522" s="990"/>
      <c r="BH1522" s="991">
        <f>IF(AND(Input_Product=Elig!$C1522,Elig_MatchAll_Ct&lt;22,$BC1522=(Elig_MatchAll_Ct-1),AF1522=0),C1522,0)</f>
        <v>0</v>
      </c>
      <c r="BI1522" s="991">
        <f>IF(AND(Input_Product=Elig!$C1522,Elig_MatchAll_Ct&lt;22,$BC1522=(Elig_MatchAll_Ct-1),AG1522=0),D1522,0)</f>
        <v>0</v>
      </c>
      <c r="BJ1522" s="991">
        <f>IF(AND(Input_Product=Elig!$C1522,Elig_MatchAll_Ct&lt;22,$BC1522=(Elig_MatchAll_Ct-1),AH1522=0),E1522,0)</f>
        <v>0</v>
      </c>
      <c r="BK1522" s="991">
        <f>IF(AND(Input_Product=Elig!$C1522,Elig_MatchAll_Ct&lt;22,$BC1522=(Elig_MatchAll_Ct-1),AI1522=0),F1522,0)</f>
        <v>0</v>
      </c>
      <c r="BL1522" s="991">
        <f>IF(AND(Input_Product=Elig!$C1522,Elig_MatchAll_Ct&lt;22,$BC1522=(Elig_MatchAll_Ct-1),AJ1522=0),G1522,0)</f>
        <v>0</v>
      </c>
      <c r="BM1522" s="991">
        <f>IF(AND(Input_Product=Elig!$C1522,Elig_MatchAll_Ct&lt;22,$BC1522=(Elig_MatchAll_Ct-1),AK1522=0),H1522,0)</f>
        <v>0</v>
      </c>
      <c r="BN1522" s="991">
        <f>IF(AND(Input_Product=Elig!$C1522,Elig_MatchAll_Ct&lt;22,$BC1522=(Elig_MatchAll_Ct-1),AL1522=0),I1522,0)</f>
        <v>0</v>
      </c>
      <c r="BO1522" s="991">
        <f>IF(AND(Input_Product=Elig!$C1522,Elig_MatchAll_Ct&lt;22,$BC1522=(Elig_MatchAll_Ct-1),AM1522=0),J1522,0)</f>
        <v>0</v>
      </c>
      <c r="BP1522" s="991">
        <f>IF(AND(Input_Product=Elig!$C1522,Elig_MatchAll_Ct&lt;22,$BC1522=(Elig_MatchAll_Ct-1),AN1522=0),K1522,0)</f>
        <v>0</v>
      </c>
      <c r="BQ1522" s="991">
        <f>IF(AND(Input_Product=Elig!$C1522,Elig_MatchAll_Ct&lt;22,$BC1522=(Elig_MatchAll_Ct-1),AP1522=0),L1522,0)</f>
        <v>0</v>
      </c>
      <c r="BR1522" s="991">
        <f>IF(AND(Input_Product=Elig!$C1522,Elig_MatchAll_Ct&lt;22,$BC1522=(Elig_MatchAll_Ct-1),AO1522=0),M1522,0)</f>
        <v>0</v>
      </c>
      <c r="BS1522" s="991">
        <f>IF(AND(Input_Product=Elig!$C1522,Elig_MatchAll_Ct&lt;22,$BC1522=(Elig_MatchAll_Ct-1),AQ1522=0),N1522,0)</f>
        <v>0</v>
      </c>
      <c r="BT1522" s="991">
        <f>IF(AND(Input_Product=Elig!$C1522,Elig_MatchAll_Ct&lt;22,$BC1522=(Elig_MatchAll_Ct-1),AR1522=0),O1522,0)</f>
        <v>0</v>
      </c>
      <c r="BU1522" s="991">
        <f>IF(AND(Input_Product=Elig!$C1522,Elig_MatchAll_Ct&lt;22,$BC1522=(Elig_MatchAll_Ct-1),AS1522=0),P1522,0)</f>
        <v>0</v>
      </c>
      <c r="BV1522" s="992">
        <f>IF(AND(Input_Product=Elig!$C1522,Elig_MatchAll_Ct&lt;22,$BC1522=(Elig_MatchAll_Ct-1),AT1522=0),Q1522,0)</f>
        <v>0</v>
      </c>
      <c r="BW1522" s="993">
        <f>IF(AND(Input_Product=Elig!$C1522,Elig_MatchAll_Ct&lt;22,$BC1522=(Elig_MatchAll_Ct-1),AU1522=0),R1522,0)</f>
        <v>0</v>
      </c>
      <c r="BX1522" s="994">
        <f>IF(AND(Input_Product=Elig!$C1522,Elig_MatchAll_Ct&lt;22,$BC1522=(Elig_MatchAll_Ct-1),AU1522=0),S1522,0)</f>
        <v>0</v>
      </c>
      <c r="BY1522" s="993">
        <f>IF(AND(Input_Product=Elig!$C1522,Elig_MatchAll_Ct&lt;22,$BC1522=(Elig_MatchAll_Ct-1),AV1522=0),T1522,0)</f>
        <v>0</v>
      </c>
      <c r="BZ1522" s="994">
        <f>IF(AND(Input_Product=Elig!$C1522,Elig_MatchAll_Ct&lt;22,$BC1522=(Elig_MatchAll_Ct-1),AV1522=0),U1522,0)</f>
        <v>0</v>
      </c>
      <c r="CA1522" s="993">
        <f>IF(AND(Input_Product=Elig!$C1522,Elig_MatchAll_Ct&lt;22,$BC1522=(Elig_MatchAll_Ct-1),AW1522=0),V1522,0)</f>
        <v>0</v>
      </c>
      <c r="CB1522" s="994">
        <f>IF(AND(Input_Product=Elig!$C1522,Elig_MatchAll_Ct&lt;22,$BC1522=(Elig_MatchAll_Ct-1),AW1522=0),W1522,0)</f>
        <v>0</v>
      </c>
      <c r="CC1522" s="993">
        <f>IF(AND(Input_Product=Elig!$C1522,Elig_MatchAll_Ct&lt;22,$BC1522=(Elig_MatchAll_Ct-1),AX1522=0),X1522,0)</f>
        <v>0</v>
      </c>
      <c r="CD1522" s="994">
        <f>IF(AND(Input_Product=Elig!$C1522,Elig_MatchAll_Ct&lt;22,$BC1522=(Elig_MatchAll_Ct-1),AX1522=0),Y1522,0)</f>
        <v>0</v>
      </c>
      <c r="CE1522" s="993">
        <f>IF(AND(Input_LTV&lt;=AE1522,Input_Product=Elig!$C1522,Elig_MatchAll_Ct&lt;22,$BC1522=(Elig_MatchAll_Ct-1),AY1522=0),Z1522,0)</f>
        <v>0</v>
      </c>
      <c r="CF1522" s="994">
        <f>IF(AND(Input_LTV&lt;=AE1522,Input_Product=Elig!$C1522,Elig_MatchAll_Ct&lt;22,$BC1522=(Elig_MatchAll_Ct-1),AY1522=0),AA1522,0)</f>
        <v>0</v>
      </c>
      <c r="CG1522" s="993">
        <f>IF(AND(Input_Product=Elig!$C1522,Elig_MatchAll_Ct&lt;22,$BC1522=(Elig_MatchAll_Ct-1),AZ1522=0),AB1522,0)</f>
        <v>0</v>
      </c>
      <c r="CH1522" s="994">
        <f>IF(AND(Input_Product=Elig!$C1522,Elig_MatchAll_Ct&lt;22,$BC1522=(Elig_MatchAll_Ct-1),AZ1522=0),AC1522,0)</f>
        <v>0</v>
      </c>
      <c r="CI1522" s="993">
        <f>IF(AND(Input_Product=Elig!$C1522,Elig_MatchAll_Ct&lt;22,$BC1522=(Elig_MatchAll_Ct-1),BA1522=0),AD1522,0)</f>
        <v>0</v>
      </c>
      <c r="CJ1522" s="994">
        <f>IF(AND(Input_Product=Elig!$C1522,Elig_MatchAll_Ct&lt;22,$BC1522=(Elig_MatchAll_Ct-1),BA1522=0),AE1522,0)</f>
        <v>0</v>
      </c>
    </row>
    <row r="1523" spans="2:88" ht="10.15" customHeight="1" x14ac:dyDescent="0.25">
      <c r="B1523" s="1567" t="s">
        <v>2871</v>
      </c>
      <c r="C1523" s="1567" t="str">
        <f t="shared" si="513"/>
        <v xml:space="preserve">  NOO</v>
      </c>
      <c r="D1523" s="1567" t="s">
        <v>2764</v>
      </c>
      <c r="E1523" s="1567" t="s">
        <v>167</v>
      </c>
      <c r="F1523" s="1567" t="s">
        <v>330</v>
      </c>
      <c r="G1523" s="1567" t="s">
        <v>181</v>
      </c>
      <c r="H1523" s="1567" t="s">
        <v>136</v>
      </c>
      <c r="I1523" s="1568" t="s">
        <v>34</v>
      </c>
      <c r="J1523" s="1568" t="s">
        <v>1311</v>
      </c>
      <c r="K1523" s="1568" t="s">
        <v>3023</v>
      </c>
      <c r="L1523" s="1567" t="s">
        <v>312</v>
      </c>
      <c r="M1523" s="1567" t="s">
        <v>4204</v>
      </c>
      <c r="N1523" s="1567" t="s">
        <v>2685</v>
      </c>
      <c r="O1523" s="1567" t="s">
        <v>310</v>
      </c>
      <c r="P1523" s="1567" t="s">
        <v>291</v>
      </c>
      <c r="Q1523" s="1567" t="s">
        <v>294</v>
      </c>
      <c r="R1523" s="1567">
        <v>1500000.01</v>
      </c>
      <c r="S1523" s="1567">
        <v>2000000</v>
      </c>
      <c r="T1523" s="1567">
        <v>0</v>
      </c>
      <c r="U1523" s="1567">
        <v>0</v>
      </c>
      <c r="V1523" s="1567">
        <v>0</v>
      </c>
      <c r="W1523" s="1567">
        <v>0</v>
      </c>
      <c r="X1523" s="1567">
        <v>0.01</v>
      </c>
      <c r="Y1523" s="1567">
        <v>0.99</v>
      </c>
      <c r="Z1523" s="1569">
        <v>680</v>
      </c>
      <c r="AA1523" s="1569">
        <v>699</v>
      </c>
      <c r="AB1523" s="1569">
        <v>2</v>
      </c>
      <c r="AC1523" s="1569">
        <v>999999</v>
      </c>
      <c r="AD1523" s="1567">
        <v>0</v>
      </c>
      <c r="AE1523" s="1570">
        <v>65</v>
      </c>
      <c r="AF1523" s="170">
        <v>0</v>
      </c>
      <c r="AG1523" s="171">
        <v>1</v>
      </c>
      <c r="AH1523" s="171">
        <v>1</v>
      </c>
      <c r="AI1523" s="171">
        <v>0</v>
      </c>
      <c r="AJ1523" s="171">
        <v>0</v>
      </c>
      <c r="AK1523" s="171">
        <v>1</v>
      </c>
      <c r="AL1523" s="171">
        <v>0</v>
      </c>
      <c r="AM1523" s="171">
        <v>1</v>
      </c>
      <c r="AN1523" s="171">
        <v>1</v>
      </c>
      <c r="AO1523" s="171">
        <v>1</v>
      </c>
      <c r="AP1523" s="171">
        <v>1</v>
      </c>
      <c r="AQ1523" s="171">
        <v>1</v>
      </c>
      <c r="AR1523" s="171">
        <v>1</v>
      </c>
      <c r="AS1523" s="171">
        <v>1</v>
      </c>
      <c r="AT1523" s="171">
        <v>1</v>
      </c>
      <c r="AU1523" s="171">
        <f t="shared" si="515"/>
        <v>0</v>
      </c>
      <c r="AV1523" s="171">
        <f t="shared" si="516"/>
        <v>0</v>
      </c>
      <c r="AW1523" s="171">
        <f t="shared" si="517"/>
        <v>0</v>
      </c>
      <c r="AX1523" s="171">
        <f t="shared" si="512"/>
        <v>0</v>
      </c>
      <c r="AY1523" s="171">
        <f t="shared" si="518"/>
        <v>0</v>
      </c>
      <c r="AZ1523" s="171">
        <f t="shared" si="519"/>
        <v>1</v>
      </c>
      <c r="BA1523" s="172">
        <f t="shared" si="520"/>
        <v>1</v>
      </c>
      <c r="BB1523" s="175">
        <f t="shared" si="521"/>
        <v>13</v>
      </c>
      <c r="BC1523" s="176">
        <f t="shared" si="522"/>
        <v>12</v>
      </c>
      <c r="BD1523" s="176">
        <f t="shared" si="523"/>
        <v>13</v>
      </c>
      <c r="BE1523" s="240" t="str">
        <f t="shared" si="514"/>
        <v/>
      </c>
      <c r="BF1523" s="990"/>
      <c r="BG1523" s="990"/>
      <c r="BH1523" s="991">
        <f>IF(AND(Input_Product=Elig!$C1523,Elig_MatchAll_Ct&lt;22,$BC1523=(Elig_MatchAll_Ct-1),AF1523=0),C1523,0)</f>
        <v>0</v>
      </c>
      <c r="BI1523" s="991">
        <f>IF(AND(Input_Product=Elig!$C1523,Elig_MatchAll_Ct&lt;22,$BC1523=(Elig_MatchAll_Ct-1),AG1523=0),D1523,0)</f>
        <v>0</v>
      </c>
      <c r="BJ1523" s="991">
        <f>IF(AND(Input_Product=Elig!$C1523,Elig_MatchAll_Ct&lt;22,$BC1523=(Elig_MatchAll_Ct-1),AH1523=0),E1523,0)</f>
        <v>0</v>
      </c>
      <c r="BK1523" s="991">
        <f>IF(AND(Input_Product=Elig!$C1523,Elig_MatchAll_Ct&lt;22,$BC1523=(Elig_MatchAll_Ct-1),AI1523=0),F1523,0)</f>
        <v>0</v>
      </c>
      <c r="BL1523" s="991">
        <f>IF(AND(Input_Product=Elig!$C1523,Elig_MatchAll_Ct&lt;22,$BC1523=(Elig_MatchAll_Ct-1),AJ1523=0),G1523,0)</f>
        <v>0</v>
      </c>
      <c r="BM1523" s="991">
        <f>IF(AND(Input_Product=Elig!$C1523,Elig_MatchAll_Ct&lt;22,$BC1523=(Elig_MatchAll_Ct-1),AK1523=0),H1523,0)</f>
        <v>0</v>
      </c>
      <c r="BN1523" s="991">
        <f>IF(AND(Input_Product=Elig!$C1523,Elig_MatchAll_Ct&lt;22,$BC1523=(Elig_MatchAll_Ct-1),AL1523=0),I1523,0)</f>
        <v>0</v>
      </c>
      <c r="BO1523" s="991">
        <f>IF(AND(Input_Product=Elig!$C1523,Elig_MatchAll_Ct&lt;22,$BC1523=(Elig_MatchAll_Ct-1),AM1523=0),J1523,0)</f>
        <v>0</v>
      </c>
      <c r="BP1523" s="991">
        <f>IF(AND(Input_Product=Elig!$C1523,Elig_MatchAll_Ct&lt;22,$BC1523=(Elig_MatchAll_Ct-1),AN1523=0),K1523,0)</f>
        <v>0</v>
      </c>
      <c r="BQ1523" s="991">
        <f>IF(AND(Input_Product=Elig!$C1523,Elig_MatchAll_Ct&lt;22,$BC1523=(Elig_MatchAll_Ct-1),AP1523=0),L1523,0)</f>
        <v>0</v>
      </c>
      <c r="BR1523" s="991">
        <f>IF(AND(Input_Product=Elig!$C1523,Elig_MatchAll_Ct&lt;22,$BC1523=(Elig_MatchAll_Ct-1),AO1523=0),M1523,0)</f>
        <v>0</v>
      </c>
      <c r="BS1523" s="991">
        <f>IF(AND(Input_Product=Elig!$C1523,Elig_MatchAll_Ct&lt;22,$BC1523=(Elig_MatchAll_Ct-1),AQ1523=0),N1523,0)</f>
        <v>0</v>
      </c>
      <c r="BT1523" s="991">
        <f>IF(AND(Input_Product=Elig!$C1523,Elig_MatchAll_Ct&lt;22,$BC1523=(Elig_MatchAll_Ct-1),AR1523=0),O1523,0)</f>
        <v>0</v>
      </c>
      <c r="BU1523" s="991">
        <f>IF(AND(Input_Product=Elig!$C1523,Elig_MatchAll_Ct&lt;22,$BC1523=(Elig_MatchAll_Ct-1),AS1523=0),P1523,0)</f>
        <v>0</v>
      </c>
      <c r="BV1523" s="992">
        <f>IF(AND(Input_Product=Elig!$C1523,Elig_MatchAll_Ct&lt;22,$BC1523=(Elig_MatchAll_Ct-1),AT1523=0),Q1523,0)</f>
        <v>0</v>
      </c>
      <c r="BW1523" s="993">
        <f>IF(AND(Input_Product=Elig!$C1523,Elig_MatchAll_Ct&lt;22,$BC1523=(Elig_MatchAll_Ct-1),AU1523=0),R1523,0)</f>
        <v>0</v>
      </c>
      <c r="BX1523" s="994">
        <f>IF(AND(Input_Product=Elig!$C1523,Elig_MatchAll_Ct&lt;22,$BC1523=(Elig_MatchAll_Ct-1),AU1523=0),S1523,0)</f>
        <v>0</v>
      </c>
      <c r="BY1523" s="993">
        <f>IF(AND(Input_Product=Elig!$C1523,Elig_MatchAll_Ct&lt;22,$BC1523=(Elig_MatchAll_Ct-1),AV1523=0),T1523,0)</f>
        <v>0</v>
      </c>
      <c r="BZ1523" s="994">
        <f>IF(AND(Input_Product=Elig!$C1523,Elig_MatchAll_Ct&lt;22,$BC1523=(Elig_MatchAll_Ct-1),AV1523=0),U1523,0)</f>
        <v>0</v>
      </c>
      <c r="CA1523" s="993">
        <f>IF(AND(Input_Product=Elig!$C1523,Elig_MatchAll_Ct&lt;22,$BC1523=(Elig_MatchAll_Ct-1),AW1523=0),V1523,0)</f>
        <v>0</v>
      </c>
      <c r="CB1523" s="994">
        <f>IF(AND(Input_Product=Elig!$C1523,Elig_MatchAll_Ct&lt;22,$BC1523=(Elig_MatchAll_Ct-1),AW1523=0),W1523,0)</f>
        <v>0</v>
      </c>
      <c r="CC1523" s="993">
        <f>IF(AND(Input_Product=Elig!$C1523,Elig_MatchAll_Ct&lt;22,$BC1523=(Elig_MatchAll_Ct-1),AX1523=0),X1523,0)</f>
        <v>0</v>
      </c>
      <c r="CD1523" s="994">
        <f>IF(AND(Input_Product=Elig!$C1523,Elig_MatchAll_Ct&lt;22,$BC1523=(Elig_MatchAll_Ct-1),AX1523=0),Y1523,0)</f>
        <v>0</v>
      </c>
      <c r="CE1523" s="993">
        <f>IF(AND(Input_LTV&lt;=AE1523,Input_Product=Elig!$C1523,Elig_MatchAll_Ct&lt;22,$BC1523=(Elig_MatchAll_Ct-1),AY1523=0),Z1523,0)</f>
        <v>0</v>
      </c>
      <c r="CF1523" s="994">
        <f>IF(AND(Input_LTV&lt;=AE1523,Input_Product=Elig!$C1523,Elig_MatchAll_Ct&lt;22,$BC1523=(Elig_MatchAll_Ct-1),AY1523=0),AA1523,0)</f>
        <v>0</v>
      </c>
      <c r="CG1523" s="993">
        <f>IF(AND(Input_Product=Elig!$C1523,Elig_MatchAll_Ct&lt;22,$BC1523=(Elig_MatchAll_Ct-1),AZ1523=0),AB1523,0)</f>
        <v>0</v>
      </c>
      <c r="CH1523" s="994">
        <f>IF(AND(Input_Product=Elig!$C1523,Elig_MatchAll_Ct&lt;22,$BC1523=(Elig_MatchAll_Ct-1),AZ1523=0),AC1523,0)</f>
        <v>0</v>
      </c>
      <c r="CI1523" s="993">
        <f>IF(AND(Input_Product=Elig!$C1523,Elig_MatchAll_Ct&lt;22,$BC1523=(Elig_MatchAll_Ct-1),BA1523=0),AD1523,0)</f>
        <v>0</v>
      </c>
      <c r="CJ1523" s="994">
        <f>IF(AND(Input_Product=Elig!$C1523,Elig_MatchAll_Ct&lt;22,$BC1523=(Elig_MatchAll_Ct-1),BA1523=0),AE1523,0)</f>
        <v>0</v>
      </c>
    </row>
    <row r="1524" spans="2:88" ht="10.15" customHeight="1" x14ac:dyDescent="0.25">
      <c r="B1524" s="1567" t="s">
        <v>2872</v>
      </c>
      <c r="C1524" s="1567" t="str">
        <f t="shared" si="513"/>
        <v xml:space="preserve">  NOO</v>
      </c>
      <c r="D1524" s="1567" t="s">
        <v>2764</v>
      </c>
      <c r="E1524" s="1567" t="s">
        <v>167</v>
      </c>
      <c r="F1524" s="1567" t="s">
        <v>330</v>
      </c>
      <c r="G1524" s="1567" t="s">
        <v>181</v>
      </c>
      <c r="H1524" s="1567" t="s">
        <v>136</v>
      </c>
      <c r="I1524" s="1568" t="s">
        <v>34</v>
      </c>
      <c r="J1524" s="1568" t="s">
        <v>1311</v>
      </c>
      <c r="K1524" s="1568" t="s">
        <v>3023</v>
      </c>
      <c r="L1524" s="1567" t="s">
        <v>312</v>
      </c>
      <c r="M1524" s="1567" t="s">
        <v>4204</v>
      </c>
      <c r="N1524" s="1567" t="s">
        <v>2685</v>
      </c>
      <c r="O1524" s="1567" t="s">
        <v>310</v>
      </c>
      <c r="P1524" s="1567" t="s">
        <v>291</v>
      </c>
      <c r="Q1524" s="1567" t="s">
        <v>294</v>
      </c>
      <c r="R1524" s="1567">
        <v>2000000.01</v>
      </c>
      <c r="S1524" s="1567">
        <v>3000000</v>
      </c>
      <c r="T1524" s="1567">
        <v>0</v>
      </c>
      <c r="U1524" s="1567">
        <v>0</v>
      </c>
      <c r="V1524" s="1567">
        <v>0</v>
      </c>
      <c r="W1524" s="1567">
        <v>0</v>
      </c>
      <c r="X1524" s="1567">
        <v>0.01</v>
      </c>
      <c r="Y1524" s="1567">
        <v>0.99</v>
      </c>
      <c r="Z1524" s="1569">
        <v>680</v>
      </c>
      <c r="AA1524" s="1569">
        <v>699</v>
      </c>
      <c r="AB1524" s="1569">
        <v>2</v>
      </c>
      <c r="AC1524" s="1569">
        <v>999999</v>
      </c>
      <c r="AD1524" s="1567">
        <v>0</v>
      </c>
      <c r="AE1524" s="1570">
        <v>60</v>
      </c>
      <c r="AF1524" s="170">
        <v>0</v>
      </c>
      <c r="AG1524" s="171">
        <v>1</v>
      </c>
      <c r="AH1524" s="171">
        <v>1</v>
      </c>
      <c r="AI1524" s="171">
        <v>0</v>
      </c>
      <c r="AJ1524" s="171">
        <v>0</v>
      </c>
      <c r="AK1524" s="171">
        <v>1</v>
      </c>
      <c r="AL1524" s="171">
        <v>0</v>
      </c>
      <c r="AM1524" s="171">
        <v>1</v>
      </c>
      <c r="AN1524" s="171">
        <v>1</v>
      </c>
      <c r="AO1524" s="171">
        <v>1</v>
      </c>
      <c r="AP1524" s="171">
        <v>1</v>
      </c>
      <c r="AQ1524" s="171">
        <v>1</v>
      </c>
      <c r="AR1524" s="171">
        <v>1</v>
      </c>
      <c r="AS1524" s="171">
        <v>1</v>
      </c>
      <c r="AT1524" s="171">
        <v>1</v>
      </c>
      <c r="AU1524" s="171">
        <f t="shared" si="515"/>
        <v>0</v>
      </c>
      <c r="AV1524" s="171">
        <f t="shared" si="516"/>
        <v>0</v>
      </c>
      <c r="AW1524" s="171">
        <f t="shared" si="517"/>
        <v>0</v>
      </c>
      <c r="AX1524" s="171">
        <f t="shared" si="512"/>
        <v>0</v>
      </c>
      <c r="AY1524" s="171">
        <f t="shared" si="518"/>
        <v>0</v>
      </c>
      <c r="AZ1524" s="171">
        <f t="shared" si="519"/>
        <v>1</v>
      </c>
      <c r="BA1524" s="172">
        <f t="shared" si="520"/>
        <v>0</v>
      </c>
      <c r="BB1524" s="175">
        <f t="shared" si="521"/>
        <v>12</v>
      </c>
      <c r="BC1524" s="176">
        <f t="shared" si="522"/>
        <v>12</v>
      </c>
      <c r="BD1524" s="176">
        <f t="shared" si="523"/>
        <v>12</v>
      </c>
      <c r="BE1524" s="240" t="str">
        <f t="shared" si="514"/>
        <v/>
      </c>
      <c r="BF1524" s="990"/>
      <c r="BG1524" s="990"/>
      <c r="BH1524" s="991">
        <f>IF(AND(Input_Product=Elig!$C1524,Elig_MatchAll_Ct&lt;22,$BC1524=(Elig_MatchAll_Ct-1),AF1524=0),C1524,0)</f>
        <v>0</v>
      </c>
      <c r="BI1524" s="991">
        <f>IF(AND(Input_Product=Elig!$C1524,Elig_MatchAll_Ct&lt;22,$BC1524=(Elig_MatchAll_Ct-1),AG1524=0),D1524,0)</f>
        <v>0</v>
      </c>
      <c r="BJ1524" s="991">
        <f>IF(AND(Input_Product=Elig!$C1524,Elig_MatchAll_Ct&lt;22,$BC1524=(Elig_MatchAll_Ct-1),AH1524=0),E1524,0)</f>
        <v>0</v>
      </c>
      <c r="BK1524" s="991">
        <f>IF(AND(Input_Product=Elig!$C1524,Elig_MatchAll_Ct&lt;22,$BC1524=(Elig_MatchAll_Ct-1),AI1524=0),F1524,0)</f>
        <v>0</v>
      </c>
      <c r="BL1524" s="991">
        <f>IF(AND(Input_Product=Elig!$C1524,Elig_MatchAll_Ct&lt;22,$BC1524=(Elig_MatchAll_Ct-1),AJ1524=0),G1524,0)</f>
        <v>0</v>
      </c>
      <c r="BM1524" s="991">
        <f>IF(AND(Input_Product=Elig!$C1524,Elig_MatchAll_Ct&lt;22,$BC1524=(Elig_MatchAll_Ct-1),AK1524=0),H1524,0)</f>
        <v>0</v>
      </c>
      <c r="BN1524" s="991">
        <f>IF(AND(Input_Product=Elig!$C1524,Elig_MatchAll_Ct&lt;22,$BC1524=(Elig_MatchAll_Ct-1),AL1524=0),I1524,0)</f>
        <v>0</v>
      </c>
      <c r="BO1524" s="991">
        <f>IF(AND(Input_Product=Elig!$C1524,Elig_MatchAll_Ct&lt;22,$BC1524=(Elig_MatchAll_Ct-1),AM1524=0),J1524,0)</f>
        <v>0</v>
      </c>
      <c r="BP1524" s="991">
        <f>IF(AND(Input_Product=Elig!$C1524,Elig_MatchAll_Ct&lt;22,$BC1524=(Elig_MatchAll_Ct-1),AN1524=0),K1524,0)</f>
        <v>0</v>
      </c>
      <c r="BQ1524" s="991">
        <f>IF(AND(Input_Product=Elig!$C1524,Elig_MatchAll_Ct&lt;22,$BC1524=(Elig_MatchAll_Ct-1),AP1524=0),L1524,0)</f>
        <v>0</v>
      </c>
      <c r="BR1524" s="991">
        <f>IF(AND(Input_Product=Elig!$C1524,Elig_MatchAll_Ct&lt;22,$BC1524=(Elig_MatchAll_Ct-1),AO1524=0),M1524,0)</f>
        <v>0</v>
      </c>
      <c r="BS1524" s="991">
        <f>IF(AND(Input_Product=Elig!$C1524,Elig_MatchAll_Ct&lt;22,$BC1524=(Elig_MatchAll_Ct-1),AQ1524=0),N1524,0)</f>
        <v>0</v>
      </c>
      <c r="BT1524" s="991">
        <f>IF(AND(Input_Product=Elig!$C1524,Elig_MatchAll_Ct&lt;22,$BC1524=(Elig_MatchAll_Ct-1),AR1524=0),O1524,0)</f>
        <v>0</v>
      </c>
      <c r="BU1524" s="991">
        <f>IF(AND(Input_Product=Elig!$C1524,Elig_MatchAll_Ct&lt;22,$BC1524=(Elig_MatchAll_Ct-1),AS1524=0),P1524,0)</f>
        <v>0</v>
      </c>
      <c r="BV1524" s="992">
        <f>IF(AND(Input_Product=Elig!$C1524,Elig_MatchAll_Ct&lt;22,$BC1524=(Elig_MatchAll_Ct-1),AT1524=0),Q1524,0)</f>
        <v>0</v>
      </c>
      <c r="BW1524" s="993">
        <f>IF(AND(Input_Product=Elig!$C1524,Elig_MatchAll_Ct&lt;22,$BC1524=(Elig_MatchAll_Ct-1),AU1524=0),R1524,0)</f>
        <v>0</v>
      </c>
      <c r="BX1524" s="994">
        <f>IF(AND(Input_Product=Elig!$C1524,Elig_MatchAll_Ct&lt;22,$BC1524=(Elig_MatchAll_Ct-1),AU1524=0),S1524,0)</f>
        <v>0</v>
      </c>
      <c r="BY1524" s="993">
        <f>IF(AND(Input_Product=Elig!$C1524,Elig_MatchAll_Ct&lt;22,$BC1524=(Elig_MatchAll_Ct-1),AV1524=0),T1524,0)</f>
        <v>0</v>
      </c>
      <c r="BZ1524" s="994">
        <f>IF(AND(Input_Product=Elig!$C1524,Elig_MatchAll_Ct&lt;22,$BC1524=(Elig_MatchAll_Ct-1),AV1524=0),U1524,0)</f>
        <v>0</v>
      </c>
      <c r="CA1524" s="993">
        <f>IF(AND(Input_Product=Elig!$C1524,Elig_MatchAll_Ct&lt;22,$BC1524=(Elig_MatchAll_Ct-1),AW1524=0),V1524,0)</f>
        <v>0</v>
      </c>
      <c r="CB1524" s="994">
        <f>IF(AND(Input_Product=Elig!$C1524,Elig_MatchAll_Ct&lt;22,$BC1524=(Elig_MatchAll_Ct-1),AW1524=0),W1524,0)</f>
        <v>0</v>
      </c>
      <c r="CC1524" s="993">
        <f>IF(AND(Input_Product=Elig!$C1524,Elig_MatchAll_Ct&lt;22,$BC1524=(Elig_MatchAll_Ct-1),AX1524=0),X1524,0)</f>
        <v>0</v>
      </c>
      <c r="CD1524" s="994">
        <f>IF(AND(Input_Product=Elig!$C1524,Elig_MatchAll_Ct&lt;22,$BC1524=(Elig_MatchAll_Ct-1),AX1524=0),Y1524,0)</f>
        <v>0</v>
      </c>
      <c r="CE1524" s="993">
        <f>IF(AND(Input_LTV&lt;=AE1524,Input_Product=Elig!$C1524,Elig_MatchAll_Ct&lt;22,$BC1524=(Elig_MatchAll_Ct-1),AY1524=0),Z1524,0)</f>
        <v>0</v>
      </c>
      <c r="CF1524" s="994">
        <f>IF(AND(Input_LTV&lt;=AE1524,Input_Product=Elig!$C1524,Elig_MatchAll_Ct&lt;22,$BC1524=(Elig_MatchAll_Ct-1),AY1524=0),AA1524,0)</f>
        <v>0</v>
      </c>
      <c r="CG1524" s="993">
        <f>IF(AND(Input_Product=Elig!$C1524,Elig_MatchAll_Ct&lt;22,$BC1524=(Elig_MatchAll_Ct-1),AZ1524=0),AB1524,0)</f>
        <v>0</v>
      </c>
      <c r="CH1524" s="994">
        <f>IF(AND(Input_Product=Elig!$C1524,Elig_MatchAll_Ct&lt;22,$BC1524=(Elig_MatchAll_Ct-1),AZ1524=0),AC1524,0)</f>
        <v>0</v>
      </c>
      <c r="CI1524" s="993">
        <f>IF(AND(Input_Product=Elig!$C1524,Elig_MatchAll_Ct&lt;22,$BC1524=(Elig_MatchAll_Ct-1),BA1524=0),AD1524,0)</f>
        <v>0</v>
      </c>
      <c r="CJ1524" s="994">
        <f>IF(AND(Input_Product=Elig!$C1524,Elig_MatchAll_Ct&lt;22,$BC1524=(Elig_MatchAll_Ct-1),BA1524=0),AE1524,0)</f>
        <v>0</v>
      </c>
    </row>
    <row r="1525" spans="2:88" ht="10.15" customHeight="1" x14ac:dyDescent="0.25">
      <c r="B1525" s="1567" t="s">
        <v>2873</v>
      </c>
      <c r="C1525" s="1571" t="str">
        <f t="shared" si="513"/>
        <v xml:space="preserve">  NOO</v>
      </c>
      <c r="D1525" s="1571" t="s">
        <v>2764</v>
      </c>
      <c r="E1525" s="1571" t="s">
        <v>167</v>
      </c>
      <c r="F1525" s="1571" t="s">
        <v>330</v>
      </c>
      <c r="G1525" s="1571" t="s">
        <v>181</v>
      </c>
      <c r="H1525" s="1571" t="s">
        <v>136</v>
      </c>
      <c r="I1525" s="1572" t="s">
        <v>34</v>
      </c>
      <c r="J1525" s="1572" t="s">
        <v>1311</v>
      </c>
      <c r="K1525" s="1572" t="s">
        <v>3023</v>
      </c>
      <c r="L1525" s="1571" t="s">
        <v>312</v>
      </c>
      <c r="M1525" s="1571" t="s">
        <v>4204</v>
      </c>
      <c r="N1525" s="1571" t="s">
        <v>2685</v>
      </c>
      <c r="O1525" s="1571" t="s">
        <v>310</v>
      </c>
      <c r="P1525" s="1571" t="s">
        <v>291</v>
      </c>
      <c r="Q1525" s="1571" t="s">
        <v>294</v>
      </c>
      <c r="R1525" s="1571">
        <v>100000</v>
      </c>
      <c r="S1525" s="1571">
        <v>1000000</v>
      </c>
      <c r="T1525" s="1571">
        <v>0</v>
      </c>
      <c r="U1525" s="1571">
        <v>0</v>
      </c>
      <c r="V1525" s="1571">
        <v>0</v>
      </c>
      <c r="W1525" s="1571">
        <v>0</v>
      </c>
      <c r="X1525" s="1571">
        <v>0.01</v>
      </c>
      <c r="Y1525" s="1571">
        <v>0.99</v>
      </c>
      <c r="Z1525" s="1573">
        <v>660</v>
      </c>
      <c r="AA1525" s="1573">
        <v>679</v>
      </c>
      <c r="AB1525" s="1573">
        <v>2</v>
      </c>
      <c r="AC1525" s="1573">
        <v>999999</v>
      </c>
      <c r="AD1525" s="1571">
        <v>0</v>
      </c>
      <c r="AE1525" s="1574">
        <v>65</v>
      </c>
      <c r="AF1525" s="170">
        <v>0</v>
      </c>
      <c r="AG1525" s="171">
        <v>1</v>
      </c>
      <c r="AH1525" s="171">
        <v>1</v>
      </c>
      <c r="AI1525" s="171">
        <v>0</v>
      </c>
      <c r="AJ1525" s="171">
        <v>0</v>
      </c>
      <c r="AK1525" s="171">
        <v>1</v>
      </c>
      <c r="AL1525" s="171">
        <v>0</v>
      </c>
      <c r="AM1525" s="171">
        <v>1</v>
      </c>
      <c r="AN1525" s="171">
        <v>1</v>
      </c>
      <c r="AO1525" s="171">
        <v>1</v>
      </c>
      <c r="AP1525" s="171">
        <v>1</v>
      </c>
      <c r="AQ1525" s="171">
        <v>1</v>
      </c>
      <c r="AR1525" s="171">
        <v>1</v>
      </c>
      <c r="AS1525" s="171">
        <v>1</v>
      </c>
      <c r="AT1525" s="171">
        <v>1</v>
      </c>
      <c r="AU1525" s="171">
        <f t="shared" si="515"/>
        <v>1</v>
      </c>
      <c r="AV1525" s="171">
        <f t="shared" si="516"/>
        <v>0</v>
      </c>
      <c r="AW1525" s="171">
        <f t="shared" si="517"/>
        <v>0</v>
      </c>
      <c r="AX1525" s="171">
        <f t="shared" si="512"/>
        <v>0</v>
      </c>
      <c r="AY1525" s="171">
        <f t="shared" si="518"/>
        <v>0</v>
      </c>
      <c r="AZ1525" s="171">
        <f t="shared" si="519"/>
        <v>1</v>
      </c>
      <c r="BA1525" s="172">
        <f t="shared" si="520"/>
        <v>1</v>
      </c>
      <c r="BB1525" s="175">
        <f t="shared" si="521"/>
        <v>14</v>
      </c>
      <c r="BC1525" s="176">
        <f t="shared" si="522"/>
        <v>13</v>
      </c>
      <c r="BD1525" s="176">
        <f t="shared" si="523"/>
        <v>14</v>
      </c>
      <c r="BE1525" s="240" t="str">
        <f t="shared" si="514"/>
        <v/>
      </c>
      <c r="BF1525" s="990"/>
      <c r="BG1525" s="990"/>
      <c r="BH1525" s="991">
        <f>IF(AND(Input_Product=Elig!$C1525,Elig_MatchAll_Ct&lt;22,$BC1525=(Elig_MatchAll_Ct-1),AF1525=0),C1525,0)</f>
        <v>0</v>
      </c>
      <c r="BI1525" s="991">
        <f>IF(AND(Input_Product=Elig!$C1525,Elig_MatchAll_Ct&lt;22,$BC1525=(Elig_MatchAll_Ct-1),AG1525=0),D1525,0)</f>
        <v>0</v>
      </c>
      <c r="BJ1525" s="991">
        <f>IF(AND(Input_Product=Elig!$C1525,Elig_MatchAll_Ct&lt;22,$BC1525=(Elig_MatchAll_Ct-1),AH1525=0),E1525,0)</f>
        <v>0</v>
      </c>
      <c r="BK1525" s="991">
        <f>IF(AND(Input_Product=Elig!$C1525,Elig_MatchAll_Ct&lt;22,$BC1525=(Elig_MatchAll_Ct-1),AI1525=0),F1525,0)</f>
        <v>0</v>
      </c>
      <c r="BL1525" s="991">
        <f>IF(AND(Input_Product=Elig!$C1525,Elig_MatchAll_Ct&lt;22,$BC1525=(Elig_MatchAll_Ct-1),AJ1525=0),G1525,0)</f>
        <v>0</v>
      </c>
      <c r="BM1525" s="991">
        <f>IF(AND(Input_Product=Elig!$C1525,Elig_MatchAll_Ct&lt;22,$BC1525=(Elig_MatchAll_Ct-1),AK1525=0),H1525,0)</f>
        <v>0</v>
      </c>
      <c r="BN1525" s="991">
        <f>IF(AND(Input_Product=Elig!$C1525,Elig_MatchAll_Ct&lt;22,$BC1525=(Elig_MatchAll_Ct-1),AL1525=0),I1525,0)</f>
        <v>0</v>
      </c>
      <c r="BO1525" s="991">
        <f>IF(AND(Input_Product=Elig!$C1525,Elig_MatchAll_Ct&lt;22,$BC1525=(Elig_MatchAll_Ct-1),AM1525=0),J1525,0)</f>
        <v>0</v>
      </c>
      <c r="BP1525" s="991">
        <f>IF(AND(Input_Product=Elig!$C1525,Elig_MatchAll_Ct&lt;22,$BC1525=(Elig_MatchAll_Ct-1),AN1525=0),K1525,0)</f>
        <v>0</v>
      </c>
      <c r="BQ1525" s="991">
        <f>IF(AND(Input_Product=Elig!$C1525,Elig_MatchAll_Ct&lt;22,$BC1525=(Elig_MatchAll_Ct-1),AP1525=0),L1525,0)</f>
        <v>0</v>
      </c>
      <c r="BR1525" s="991">
        <f>IF(AND(Input_Product=Elig!$C1525,Elig_MatchAll_Ct&lt;22,$BC1525=(Elig_MatchAll_Ct-1),AO1525=0),M1525,0)</f>
        <v>0</v>
      </c>
      <c r="BS1525" s="991">
        <f>IF(AND(Input_Product=Elig!$C1525,Elig_MatchAll_Ct&lt;22,$BC1525=(Elig_MatchAll_Ct-1),AQ1525=0),N1525,0)</f>
        <v>0</v>
      </c>
      <c r="BT1525" s="991">
        <f>IF(AND(Input_Product=Elig!$C1525,Elig_MatchAll_Ct&lt;22,$BC1525=(Elig_MatchAll_Ct-1),AR1525=0),O1525,0)</f>
        <v>0</v>
      </c>
      <c r="BU1525" s="991">
        <f>IF(AND(Input_Product=Elig!$C1525,Elig_MatchAll_Ct&lt;22,$BC1525=(Elig_MatchAll_Ct-1),AS1525=0),P1525,0)</f>
        <v>0</v>
      </c>
      <c r="BV1525" s="992">
        <f>IF(AND(Input_Product=Elig!$C1525,Elig_MatchAll_Ct&lt;22,$BC1525=(Elig_MatchAll_Ct-1),AT1525=0),Q1525,0)</f>
        <v>0</v>
      </c>
      <c r="BW1525" s="993">
        <f>IF(AND(Input_Product=Elig!$C1525,Elig_MatchAll_Ct&lt;22,$BC1525=(Elig_MatchAll_Ct-1),AU1525=0),R1525,0)</f>
        <v>0</v>
      </c>
      <c r="BX1525" s="994">
        <f>IF(AND(Input_Product=Elig!$C1525,Elig_MatchAll_Ct&lt;22,$BC1525=(Elig_MatchAll_Ct-1),AU1525=0),S1525,0)</f>
        <v>0</v>
      </c>
      <c r="BY1525" s="993">
        <f>IF(AND(Input_Product=Elig!$C1525,Elig_MatchAll_Ct&lt;22,$BC1525=(Elig_MatchAll_Ct-1),AV1525=0),T1525,0)</f>
        <v>0</v>
      </c>
      <c r="BZ1525" s="994">
        <f>IF(AND(Input_Product=Elig!$C1525,Elig_MatchAll_Ct&lt;22,$BC1525=(Elig_MatchAll_Ct-1),AV1525=0),U1525,0)</f>
        <v>0</v>
      </c>
      <c r="CA1525" s="993">
        <f>IF(AND(Input_Product=Elig!$C1525,Elig_MatchAll_Ct&lt;22,$BC1525=(Elig_MatchAll_Ct-1),AW1525=0),V1525,0)</f>
        <v>0</v>
      </c>
      <c r="CB1525" s="994">
        <f>IF(AND(Input_Product=Elig!$C1525,Elig_MatchAll_Ct&lt;22,$BC1525=(Elig_MatchAll_Ct-1),AW1525=0),W1525,0)</f>
        <v>0</v>
      </c>
      <c r="CC1525" s="993">
        <f>IF(AND(Input_Product=Elig!$C1525,Elig_MatchAll_Ct&lt;22,$BC1525=(Elig_MatchAll_Ct-1),AX1525=0),X1525,0)</f>
        <v>0</v>
      </c>
      <c r="CD1525" s="994">
        <f>IF(AND(Input_Product=Elig!$C1525,Elig_MatchAll_Ct&lt;22,$BC1525=(Elig_MatchAll_Ct-1),AX1525=0),Y1525,0)</f>
        <v>0</v>
      </c>
      <c r="CE1525" s="993">
        <f>IF(AND(Input_LTV&lt;=AE1525,Input_Product=Elig!$C1525,Elig_MatchAll_Ct&lt;22,$BC1525=(Elig_MatchAll_Ct-1),AY1525=0),Z1525,0)</f>
        <v>0</v>
      </c>
      <c r="CF1525" s="994">
        <f>IF(AND(Input_LTV&lt;=AE1525,Input_Product=Elig!$C1525,Elig_MatchAll_Ct&lt;22,$BC1525=(Elig_MatchAll_Ct-1),AY1525=0),AA1525,0)</f>
        <v>0</v>
      </c>
      <c r="CG1525" s="993">
        <f>IF(AND(Input_Product=Elig!$C1525,Elig_MatchAll_Ct&lt;22,$BC1525=(Elig_MatchAll_Ct-1),AZ1525=0),AB1525,0)</f>
        <v>0</v>
      </c>
      <c r="CH1525" s="994">
        <f>IF(AND(Input_Product=Elig!$C1525,Elig_MatchAll_Ct&lt;22,$BC1525=(Elig_MatchAll_Ct-1),AZ1525=0),AC1525,0)</f>
        <v>0</v>
      </c>
      <c r="CI1525" s="993">
        <f>IF(AND(Input_Product=Elig!$C1525,Elig_MatchAll_Ct&lt;22,$BC1525=(Elig_MatchAll_Ct-1),BA1525=0),AD1525,0)</f>
        <v>0</v>
      </c>
      <c r="CJ1525" s="994">
        <f>IF(AND(Input_Product=Elig!$C1525,Elig_MatchAll_Ct&lt;22,$BC1525=(Elig_MatchAll_Ct-1),BA1525=0),AE1525,0)</f>
        <v>0</v>
      </c>
    </row>
    <row r="1526" spans="2:88" ht="10.15" customHeight="1" x14ac:dyDescent="0.25">
      <c r="B1526" s="1567" t="s">
        <v>2874</v>
      </c>
      <c r="C1526" s="1562" t="str">
        <f t="shared" si="513"/>
        <v xml:space="preserve">  NOO</v>
      </c>
      <c r="D1526" s="1562" t="s">
        <v>2764</v>
      </c>
      <c r="E1526" s="1562" t="s">
        <v>167</v>
      </c>
      <c r="F1526" s="1562" t="s">
        <v>330</v>
      </c>
      <c r="G1526" s="1562" t="s">
        <v>181</v>
      </c>
      <c r="H1526" s="1562" t="s">
        <v>136</v>
      </c>
      <c r="I1526" s="1564" t="s">
        <v>35</v>
      </c>
      <c r="J1526" s="1564" t="s">
        <v>1311</v>
      </c>
      <c r="K1526" s="1564" t="s">
        <v>3023</v>
      </c>
      <c r="L1526" s="1562" t="s">
        <v>312</v>
      </c>
      <c r="M1526" s="1562" t="s">
        <v>4204</v>
      </c>
      <c r="N1526" s="1562" t="s">
        <v>2685</v>
      </c>
      <c r="O1526" s="1562" t="s">
        <v>310</v>
      </c>
      <c r="P1526" s="1562" t="s">
        <v>291</v>
      </c>
      <c r="Q1526" s="1562" t="s">
        <v>294</v>
      </c>
      <c r="R1526" s="1562">
        <v>100000</v>
      </c>
      <c r="S1526" s="1562">
        <v>1000000</v>
      </c>
      <c r="T1526" s="1562">
        <v>0</v>
      </c>
      <c r="U1526" s="1562">
        <v>0</v>
      </c>
      <c r="V1526" s="1562">
        <v>0</v>
      </c>
      <c r="W1526" s="1562">
        <v>0</v>
      </c>
      <c r="X1526" s="1562">
        <v>1</v>
      </c>
      <c r="Y1526" s="1562">
        <v>999</v>
      </c>
      <c r="Z1526" s="1565">
        <v>700</v>
      </c>
      <c r="AA1526" s="1565">
        <v>999</v>
      </c>
      <c r="AB1526" s="1565">
        <v>2</v>
      </c>
      <c r="AC1526" s="1565">
        <v>999999</v>
      </c>
      <c r="AD1526" s="1562">
        <v>0</v>
      </c>
      <c r="AE1526" s="1566">
        <v>75</v>
      </c>
      <c r="AF1526" s="170">
        <v>0</v>
      </c>
      <c r="AG1526" s="171">
        <v>1</v>
      </c>
      <c r="AH1526" s="171">
        <v>1</v>
      </c>
      <c r="AI1526" s="171">
        <v>0</v>
      </c>
      <c r="AJ1526" s="171">
        <v>0</v>
      </c>
      <c r="AK1526" s="171">
        <v>1</v>
      </c>
      <c r="AL1526" s="171">
        <v>0</v>
      </c>
      <c r="AM1526" s="171">
        <v>1</v>
      </c>
      <c r="AN1526" s="171">
        <v>1</v>
      </c>
      <c r="AO1526" s="171">
        <v>1</v>
      </c>
      <c r="AP1526" s="171">
        <v>1</v>
      </c>
      <c r="AQ1526" s="171">
        <v>1</v>
      </c>
      <c r="AR1526" s="171">
        <v>1</v>
      </c>
      <c r="AS1526" s="171">
        <v>1</v>
      </c>
      <c r="AT1526" s="171">
        <v>1</v>
      </c>
      <c r="AU1526" s="171">
        <f t="shared" si="515"/>
        <v>1</v>
      </c>
      <c r="AV1526" s="171">
        <f t="shared" si="516"/>
        <v>0</v>
      </c>
      <c r="AW1526" s="171">
        <f t="shared" si="517"/>
        <v>0</v>
      </c>
      <c r="AX1526" s="171">
        <f t="shared" si="512"/>
        <v>0</v>
      </c>
      <c r="AY1526" s="171">
        <f t="shared" si="518"/>
        <v>1</v>
      </c>
      <c r="AZ1526" s="171">
        <f t="shared" si="519"/>
        <v>1</v>
      </c>
      <c r="BA1526" s="172">
        <f t="shared" si="520"/>
        <v>1</v>
      </c>
      <c r="BB1526" s="175">
        <f t="shared" si="521"/>
        <v>15</v>
      </c>
      <c r="BC1526" s="176">
        <f t="shared" si="522"/>
        <v>14</v>
      </c>
      <c r="BD1526" s="176">
        <f t="shared" si="523"/>
        <v>15</v>
      </c>
      <c r="BE1526" s="240" t="str">
        <f t="shared" si="514"/>
        <v/>
      </c>
      <c r="BF1526" s="990"/>
      <c r="BG1526" s="990"/>
      <c r="BH1526" s="991">
        <f>IF(AND(Input_Product=Elig!$C1526,Elig_MatchAll_Ct&lt;22,$BC1526=(Elig_MatchAll_Ct-1),AF1526=0),C1526,0)</f>
        <v>0</v>
      </c>
      <c r="BI1526" s="991">
        <f>IF(AND(Input_Product=Elig!$C1526,Elig_MatchAll_Ct&lt;22,$BC1526=(Elig_MatchAll_Ct-1),AG1526=0),D1526,0)</f>
        <v>0</v>
      </c>
      <c r="BJ1526" s="991">
        <f>IF(AND(Input_Product=Elig!$C1526,Elig_MatchAll_Ct&lt;22,$BC1526=(Elig_MatchAll_Ct-1),AH1526=0),E1526,0)</f>
        <v>0</v>
      </c>
      <c r="BK1526" s="991">
        <f>IF(AND(Input_Product=Elig!$C1526,Elig_MatchAll_Ct&lt;22,$BC1526=(Elig_MatchAll_Ct-1),AI1526=0),F1526,0)</f>
        <v>0</v>
      </c>
      <c r="BL1526" s="991">
        <f>IF(AND(Input_Product=Elig!$C1526,Elig_MatchAll_Ct&lt;22,$BC1526=(Elig_MatchAll_Ct-1),AJ1526=0),G1526,0)</f>
        <v>0</v>
      </c>
      <c r="BM1526" s="991">
        <f>IF(AND(Input_Product=Elig!$C1526,Elig_MatchAll_Ct&lt;22,$BC1526=(Elig_MatchAll_Ct-1),AK1526=0),H1526,0)</f>
        <v>0</v>
      </c>
      <c r="BN1526" s="991">
        <f>IF(AND(Input_Product=Elig!$C1526,Elig_MatchAll_Ct&lt;22,$BC1526=(Elig_MatchAll_Ct-1),AL1526=0),I1526,0)</f>
        <v>0</v>
      </c>
      <c r="BO1526" s="991">
        <f>IF(AND(Input_Product=Elig!$C1526,Elig_MatchAll_Ct&lt;22,$BC1526=(Elig_MatchAll_Ct-1),AM1526=0),J1526,0)</f>
        <v>0</v>
      </c>
      <c r="BP1526" s="991">
        <f>IF(AND(Input_Product=Elig!$C1526,Elig_MatchAll_Ct&lt;22,$BC1526=(Elig_MatchAll_Ct-1),AN1526=0),K1526,0)</f>
        <v>0</v>
      </c>
      <c r="BQ1526" s="991">
        <f>IF(AND(Input_Product=Elig!$C1526,Elig_MatchAll_Ct&lt;22,$BC1526=(Elig_MatchAll_Ct-1),AP1526=0),L1526,0)</f>
        <v>0</v>
      </c>
      <c r="BR1526" s="991">
        <f>IF(AND(Input_Product=Elig!$C1526,Elig_MatchAll_Ct&lt;22,$BC1526=(Elig_MatchAll_Ct-1),AO1526=0),M1526,0)</f>
        <v>0</v>
      </c>
      <c r="BS1526" s="991">
        <f>IF(AND(Input_Product=Elig!$C1526,Elig_MatchAll_Ct&lt;22,$BC1526=(Elig_MatchAll_Ct-1),AQ1526=0),N1526,0)</f>
        <v>0</v>
      </c>
      <c r="BT1526" s="991">
        <f>IF(AND(Input_Product=Elig!$C1526,Elig_MatchAll_Ct&lt;22,$BC1526=(Elig_MatchAll_Ct-1),AR1526=0),O1526,0)</f>
        <v>0</v>
      </c>
      <c r="BU1526" s="991">
        <f>IF(AND(Input_Product=Elig!$C1526,Elig_MatchAll_Ct&lt;22,$BC1526=(Elig_MatchAll_Ct-1),AS1526=0),P1526,0)</f>
        <v>0</v>
      </c>
      <c r="BV1526" s="992">
        <f>IF(AND(Input_Product=Elig!$C1526,Elig_MatchAll_Ct&lt;22,$BC1526=(Elig_MatchAll_Ct-1),AT1526=0),Q1526,0)</f>
        <v>0</v>
      </c>
      <c r="BW1526" s="993">
        <f>IF(AND(Input_Product=Elig!$C1526,Elig_MatchAll_Ct&lt;22,$BC1526=(Elig_MatchAll_Ct-1),AU1526=0),R1526,0)</f>
        <v>0</v>
      </c>
      <c r="BX1526" s="994">
        <f>IF(AND(Input_Product=Elig!$C1526,Elig_MatchAll_Ct&lt;22,$BC1526=(Elig_MatchAll_Ct-1),AU1526=0),S1526,0)</f>
        <v>0</v>
      </c>
      <c r="BY1526" s="993">
        <f>IF(AND(Input_Product=Elig!$C1526,Elig_MatchAll_Ct&lt;22,$BC1526=(Elig_MatchAll_Ct-1),AV1526=0),T1526,0)</f>
        <v>0</v>
      </c>
      <c r="BZ1526" s="994">
        <f>IF(AND(Input_Product=Elig!$C1526,Elig_MatchAll_Ct&lt;22,$BC1526=(Elig_MatchAll_Ct-1),AV1526=0),U1526,0)</f>
        <v>0</v>
      </c>
      <c r="CA1526" s="993">
        <f>IF(AND(Input_Product=Elig!$C1526,Elig_MatchAll_Ct&lt;22,$BC1526=(Elig_MatchAll_Ct-1),AW1526=0),V1526,0)</f>
        <v>0</v>
      </c>
      <c r="CB1526" s="994">
        <f>IF(AND(Input_Product=Elig!$C1526,Elig_MatchAll_Ct&lt;22,$BC1526=(Elig_MatchAll_Ct-1),AW1526=0),W1526,0)</f>
        <v>0</v>
      </c>
      <c r="CC1526" s="993">
        <f>IF(AND(Input_Product=Elig!$C1526,Elig_MatchAll_Ct&lt;22,$BC1526=(Elig_MatchAll_Ct-1),AX1526=0),X1526,0)</f>
        <v>0</v>
      </c>
      <c r="CD1526" s="994">
        <f>IF(AND(Input_Product=Elig!$C1526,Elig_MatchAll_Ct&lt;22,$BC1526=(Elig_MatchAll_Ct-1),AX1526=0),Y1526,0)</f>
        <v>0</v>
      </c>
      <c r="CE1526" s="993">
        <f>IF(AND(Input_LTV&lt;=AE1526,Input_Product=Elig!$C1526,Elig_MatchAll_Ct&lt;22,$BC1526=(Elig_MatchAll_Ct-1),AY1526=0),Z1526,0)</f>
        <v>0</v>
      </c>
      <c r="CF1526" s="994">
        <f>IF(AND(Input_LTV&lt;=AE1526,Input_Product=Elig!$C1526,Elig_MatchAll_Ct&lt;22,$BC1526=(Elig_MatchAll_Ct-1),AY1526=0),AA1526,0)</f>
        <v>0</v>
      </c>
      <c r="CG1526" s="993">
        <f>IF(AND(Input_Product=Elig!$C1526,Elig_MatchAll_Ct&lt;22,$BC1526=(Elig_MatchAll_Ct-1),AZ1526=0),AB1526,0)</f>
        <v>0</v>
      </c>
      <c r="CH1526" s="994">
        <f>IF(AND(Input_Product=Elig!$C1526,Elig_MatchAll_Ct&lt;22,$BC1526=(Elig_MatchAll_Ct-1),AZ1526=0),AC1526,0)</f>
        <v>0</v>
      </c>
      <c r="CI1526" s="993">
        <f>IF(AND(Input_Product=Elig!$C1526,Elig_MatchAll_Ct&lt;22,$BC1526=(Elig_MatchAll_Ct-1),BA1526=0),AD1526,0)</f>
        <v>0</v>
      </c>
      <c r="CJ1526" s="994">
        <f>IF(AND(Input_Product=Elig!$C1526,Elig_MatchAll_Ct&lt;22,$BC1526=(Elig_MatchAll_Ct-1),BA1526=0),AE1526,0)</f>
        <v>0</v>
      </c>
    </row>
    <row r="1527" spans="2:88" ht="10.15" customHeight="1" x14ac:dyDescent="0.25">
      <c r="B1527" s="1567" t="s">
        <v>2875</v>
      </c>
      <c r="C1527" s="1567" t="str">
        <f t="shared" si="513"/>
        <v xml:space="preserve">  NOO</v>
      </c>
      <c r="D1527" s="1567" t="s">
        <v>2764</v>
      </c>
      <c r="E1527" s="1567" t="s">
        <v>167</v>
      </c>
      <c r="F1527" s="1567" t="s">
        <v>330</v>
      </c>
      <c r="G1527" s="1567" t="s">
        <v>181</v>
      </c>
      <c r="H1527" s="1567" t="s">
        <v>136</v>
      </c>
      <c r="I1527" s="1568" t="s">
        <v>35</v>
      </c>
      <c r="J1527" s="1568" t="s">
        <v>1311</v>
      </c>
      <c r="K1527" s="1568" t="s">
        <v>3023</v>
      </c>
      <c r="L1527" s="1567" t="s">
        <v>312</v>
      </c>
      <c r="M1527" s="1567" t="s">
        <v>4204</v>
      </c>
      <c r="N1527" s="1567" t="s">
        <v>2685</v>
      </c>
      <c r="O1527" s="1567" t="s">
        <v>310</v>
      </c>
      <c r="P1527" s="1567" t="s">
        <v>291</v>
      </c>
      <c r="Q1527" s="1567" t="s">
        <v>294</v>
      </c>
      <c r="R1527" s="1567">
        <v>1000000.01</v>
      </c>
      <c r="S1527" s="1567">
        <v>1500000</v>
      </c>
      <c r="T1527" s="1567">
        <v>0</v>
      </c>
      <c r="U1527" s="1567">
        <v>0</v>
      </c>
      <c r="V1527" s="1567">
        <v>0</v>
      </c>
      <c r="W1527" s="1567">
        <v>0</v>
      </c>
      <c r="X1527" s="1567">
        <v>1</v>
      </c>
      <c r="Y1527" s="1567">
        <v>999</v>
      </c>
      <c r="Z1527" s="1569">
        <v>700</v>
      </c>
      <c r="AA1527" s="1569">
        <v>999</v>
      </c>
      <c r="AB1527" s="1569">
        <v>2</v>
      </c>
      <c r="AC1527" s="1569">
        <v>999999</v>
      </c>
      <c r="AD1527" s="1567">
        <v>0</v>
      </c>
      <c r="AE1527" s="1570">
        <v>75</v>
      </c>
      <c r="AF1527" s="170">
        <v>0</v>
      </c>
      <c r="AG1527" s="171">
        <v>1</v>
      </c>
      <c r="AH1527" s="171">
        <v>1</v>
      </c>
      <c r="AI1527" s="171">
        <v>0</v>
      </c>
      <c r="AJ1527" s="171">
        <v>0</v>
      </c>
      <c r="AK1527" s="171">
        <v>1</v>
      </c>
      <c r="AL1527" s="171">
        <v>0</v>
      </c>
      <c r="AM1527" s="171">
        <v>1</v>
      </c>
      <c r="AN1527" s="171">
        <v>1</v>
      </c>
      <c r="AO1527" s="171">
        <v>1</v>
      </c>
      <c r="AP1527" s="171">
        <v>1</v>
      </c>
      <c r="AQ1527" s="171">
        <v>1</v>
      </c>
      <c r="AR1527" s="171">
        <v>1</v>
      </c>
      <c r="AS1527" s="171">
        <v>1</v>
      </c>
      <c r="AT1527" s="171">
        <v>1</v>
      </c>
      <c r="AU1527" s="171">
        <f t="shared" si="515"/>
        <v>0</v>
      </c>
      <c r="AV1527" s="171">
        <f t="shared" si="516"/>
        <v>0</v>
      </c>
      <c r="AW1527" s="171">
        <f t="shared" si="517"/>
        <v>0</v>
      </c>
      <c r="AX1527" s="171">
        <f t="shared" si="512"/>
        <v>0</v>
      </c>
      <c r="AY1527" s="171">
        <f t="shared" si="518"/>
        <v>1</v>
      </c>
      <c r="AZ1527" s="171">
        <f t="shared" si="519"/>
        <v>1</v>
      </c>
      <c r="BA1527" s="172">
        <f t="shared" si="520"/>
        <v>1</v>
      </c>
      <c r="BB1527" s="175">
        <f t="shared" si="521"/>
        <v>14</v>
      </c>
      <c r="BC1527" s="176">
        <f t="shared" si="522"/>
        <v>13</v>
      </c>
      <c r="BD1527" s="176">
        <f t="shared" si="523"/>
        <v>14</v>
      </c>
      <c r="BE1527" s="240" t="str">
        <f t="shared" si="514"/>
        <v/>
      </c>
      <c r="BF1527" s="990"/>
      <c r="BG1527" s="990"/>
      <c r="BH1527" s="991">
        <f>IF(AND(Input_Product=Elig!$C1527,Elig_MatchAll_Ct&lt;22,$BC1527=(Elig_MatchAll_Ct-1),AF1527=0),C1527,0)</f>
        <v>0</v>
      </c>
      <c r="BI1527" s="991">
        <f>IF(AND(Input_Product=Elig!$C1527,Elig_MatchAll_Ct&lt;22,$BC1527=(Elig_MatchAll_Ct-1),AG1527=0),D1527,0)</f>
        <v>0</v>
      </c>
      <c r="BJ1527" s="991">
        <f>IF(AND(Input_Product=Elig!$C1527,Elig_MatchAll_Ct&lt;22,$BC1527=(Elig_MatchAll_Ct-1),AH1527=0),E1527,0)</f>
        <v>0</v>
      </c>
      <c r="BK1527" s="991">
        <f>IF(AND(Input_Product=Elig!$C1527,Elig_MatchAll_Ct&lt;22,$BC1527=(Elig_MatchAll_Ct-1),AI1527=0),F1527,0)</f>
        <v>0</v>
      </c>
      <c r="BL1527" s="991">
        <f>IF(AND(Input_Product=Elig!$C1527,Elig_MatchAll_Ct&lt;22,$BC1527=(Elig_MatchAll_Ct-1),AJ1527=0),G1527,0)</f>
        <v>0</v>
      </c>
      <c r="BM1527" s="991">
        <f>IF(AND(Input_Product=Elig!$C1527,Elig_MatchAll_Ct&lt;22,$BC1527=(Elig_MatchAll_Ct-1),AK1527=0),H1527,0)</f>
        <v>0</v>
      </c>
      <c r="BN1527" s="991">
        <f>IF(AND(Input_Product=Elig!$C1527,Elig_MatchAll_Ct&lt;22,$BC1527=(Elig_MatchAll_Ct-1),AL1527=0),I1527,0)</f>
        <v>0</v>
      </c>
      <c r="BO1527" s="991">
        <f>IF(AND(Input_Product=Elig!$C1527,Elig_MatchAll_Ct&lt;22,$BC1527=(Elig_MatchAll_Ct-1),AM1527=0),J1527,0)</f>
        <v>0</v>
      </c>
      <c r="BP1527" s="991">
        <f>IF(AND(Input_Product=Elig!$C1527,Elig_MatchAll_Ct&lt;22,$BC1527=(Elig_MatchAll_Ct-1),AN1527=0),K1527,0)</f>
        <v>0</v>
      </c>
      <c r="BQ1527" s="991">
        <f>IF(AND(Input_Product=Elig!$C1527,Elig_MatchAll_Ct&lt;22,$BC1527=(Elig_MatchAll_Ct-1),AP1527=0),L1527,0)</f>
        <v>0</v>
      </c>
      <c r="BR1527" s="991">
        <f>IF(AND(Input_Product=Elig!$C1527,Elig_MatchAll_Ct&lt;22,$BC1527=(Elig_MatchAll_Ct-1),AO1527=0),M1527,0)</f>
        <v>0</v>
      </c>
      <c r="BS1527" s="991">
        <f>IF(AND(Input_Product=Elig!$C1527,Elig_MatchAll_Ct&lt;22,$BC1527=(Elig_MatchAll_Ct-1),AQ1527=0),N1527,0)</f>
        <v>0</v>
      </c>
      <c r="BT1527" s="991">
        <f>IF(AND(Input_Product=Elig!$C1527,Elig_MatchAll_Ct&lt;22,$BC1527=(Elig_MatchAll_Ct-1),AR1527=0),O1527,0)</f>
        <v>0</v>
      </c>
      <c r="BU1527" s="991">
        <f>IF(AND(Input_Product=Elig!$C1527,Elig_MatchAll_Ct&lt;22,$BC1527=(Elig_MatchAll_Ct-1),AS1527=0),P1527,0)</f>
        <v>0</v>
      </c>
      <c r="BV1527" s="992">
        <f>IF(AND(Input_Product=Elig!$C1527,Elig_MatchAll_Ct&lt;22,$BC1527=(Elig_MatchAll_Ct-1),AT1527=0),Q1527,0)</f>
        <v>0</v>
      </c>
      <c r="BW1527" s="993">
        <f>IF(AND(Input_Product=Elig!$C1527,Elig_MatchAll_Ct&lt;22,$BC1527=(Elig_MatchAll_Ct-1),AU1527=0),R1527,0)</f>
        <v>0</v>
      </c>
      <c r="BX1527" s="994">
        <f>IF(AND(Input_Product=Elig!$C1527,Elig_MatchAll_Ct&lt;22,$BC1527=(Elig_MatchAll_Ct-1),AU1527=0),S1527,0)</f>
        <v>0</v>
      </c>
      <c r="BY1527" s="993">
        <f>IF(AND(Input_Product=Elig!$C1527,Elig_MatchAll_Ct&lt;22,$BC1527=(Elig_MatchAll_Ct-1),AV1527=0),T1527,0)</f>
        <v>0</v>
      </c>
      <c r="BZ1527" s="994">
        <f>IF(AND(Input_Product=Elig!$C1527,Elig_MatchAll_Ct&lt;22,$BC1527=(Elig_MatchAll_Ct-1),AV1527=0),U1527,0)</f>
        <v>0</v>
      </c>
      <c r="CA1527" s="993">
        <f>IF(AND(Input_Product=Elig!$C1527,Elig_MatchAll_Ct&lt;22,$BC1527=(Elig_MatchAll_Ct-1),AW1527=0),V1527,0)</f>
        <v>0</v>
      </c>
      <c r="CB1527" s="994">
        <f>IF(AND(Input_Product=Elig!$C1527,Elig_MatchAll_Ct&lt;22,$BC1527=(Elig_MatchAll_Ct-1),AW1527=0),W1527,0)</f>
        <v>0</v>
      </c>
      <c r="CC1527" s="993">
        <f>IF(AND(Input_Product=Elig!$C1527,Elig_MatchAll_Ct&lt;22,$BC1527=(Elig_MatchAll_Ct-1),AX1527=0),X1527,0)</f>
        <v>0</v>
      </c>
      <c r="CD1527" s="994">
        <f>IF(AND(Input_Product=Elig!$C1527,Elig_MatchAll_Ct&lt;22,$BC1527=(Elig_MatchAll_Ct-1),AX1527=0),Y1527,0)</f>
        <v>0</v>
      </c>
      <c r="CE1527" s="993">
        <f>IF(AND(Input_LTV&lt;=AE1527,Input_Product=Elig!$C1527,Elig_MatchAll_Ct&lt;22,$BC1527=(Elig_MatchAll_Ct-1),AY1527=0),Z1527,0)</f>
        <v>0</v>
      </c>
      <c r="CF1527" s="994">
        <f>IF(AND(Input_LTV&lt;=AE1527,Input_Product=Elig!$C1527,Elig_MatchAll_Ct&lt;22,$BC1527=(Elig_MatchAll_Ct-1),AY1527=0),AA1527,0)</f>
        <v>0</v>
      </c>
      <c r="CG1527" s="993">
        <f>IF(AND(Input_Product=Elig!$C1527,Elig_MatchAll_Ct&lt;22,$BC1527=(Elig_MatchAll_Ct-1),AZ1527=0),AB1527,0)</f>
        <v>0</v>
      </c>
      <c r="CH1527" s="994">
        <f>IF(AND(Input_Product=Elig!$C1527,Elig_MatchAll_Ct&lt;22,$BC1527=(Elig_MatchAll_Ct-1),AZ1527=0),AC1527,0)</f>
        <v>0</v>
      </c>
      <c r="CI1527" s="993">
        <f>IF(AND(Input_Product=Elig!$C1527,Elig_MatchAll_Ct&lt;22,$BC1527=(Elig_MatchAll_Ct-1),BA1527=0),AD1527,0)</f>
        <v>0</v>
      </c>
      <c r="CJ1527" s="994">
        <f>IF(AND(Input_Product=Elig!$C1527,Elig_MatchAll_Ct&lt;22,$BC1527=(Elig_MatchAll_Ct-1),BA1527=0),AE1527,0)</f>
        <v>0</v>
      </c>
    </row>
    <row r="1528" spans="2:88" ht="10.15" customHeight="1" x14ac:dyDescent="0.25">
      <c r="B1528" s="1567" t="s">
        <v>2876</v>
      </c>
      <c r="C1528" s="1567" t="str">
        <f t="shared" si="513"/>
        <v xml:space="preserve">  NOO</v>
      </c>
      <c r="D1528" s="1567" t="s">
        <v>2764</v>
      </c>
      <c r="E1528" s="1567" t="s">
        <v>167</v>
      </c>
      <c r="F1528" s="1567" t="s">
        <v>330</v>
      </c>
      <c r="G1528" s="1567" t="s">
        <v>181</v>
      </c>
      <c r="H1528" s="1567" t="s">
        <v>136</v>
      </c>
      <c r="I1528" s="1568" t="s">
        <v>35</v>
      </c>
      <c r="J1528" s="1568" t="s">
        <v>1311</v>
      </c>
      <c r="K1528" s="1568" t="s">
        <v>3023</v>
      </c>
      <c r="L1528" s="1567" t="s">
        <v>312</v>
      </c>
      <c r="M1528" s="1567" t="s">
        <v>4204</v>
      </c>
      <c r="N1528" s="1567" t="s">
        <v>2685</v>
      </c>
      <c r="O1528" s="1567" t="s">
        <v>310</v>
      </c>
      <c r="P1528" s="1567" t="s">
        <v>291</v>
      </c>
      <c r="Q1528" s="1567" t="s">
        <v>294</v>
      </c>
      <c r="R1528" s="1567">
        <v>1500000.01</v>
      </c>
      <c r="S1528" s="1567">
        <v>2000000</v>
      </c>
      <c r="T1528" s="1567">
        <v>0</v>
      </c>
      <c r="U1528" s="1567">
        <v>0</v>
      </c>
      <c r="V1528" s="1567">
        <v>0</v>
      </c>
      <c r="W1528" s="1567">
        <v>0</v>
      </c>
      <c r="X1528" s="1567">
        <v>1</v>
      </c>
      <c r="Y1528" s="1567">
        <v>999</v>
      </c>
      <c r="Z1528" s="1569">
        <v>700</v>
      </c>
      <c r="AA1528" s="1569">
        <v>999</v>
      </c>
      <c r="AB1528" s="1569">
        <v>2</v>
      </c>
      <c r="AC1528" s="1569">
        <v>999999</v>
      </c>
      <c r="AD1528" s="1567">
        <v>0</v>
      </c>
      <c r="AE1528" s="1570">
        <v>70</v>
      </c>
      <c r="AF1528" s="170">
        <v>0</v>
      </c>
      <c r="AG1528" s="171">
        <v>1</v>
      </c>
      <c r="AH1528" s="171">
        <v>1</v>
      </c>
      <c r="AI1528" s="171">
        <v>0</v>
      </c>
      <c r="AJ1528" s="171">
        <v>0</v>
      </c>
      <c r="AK1528" s="171">
        <v>1</v>
      </c>
      <c r="AL1528" s="171">
        <v>0</v>
      </c>
      <c r="AM1528" s="171">
        <v>1</v>
      </c>
      <c r="AN1528" s="171">
        <v>1</v>
      </c>
      <c r="AO1528" s="171">
        <v>1</v>
      </c>
      <c r="AP1528" s="171">
        <v>1</v>
      </c>
      <c r="AQ1528" s="171">
        <v>1</v>
      </c>
      <c r="AR1528" s="171">
        <v>1</v>
      </c>
      <c r="AS1528" s="171">
        <v>1</v>
      </c>
      <c r="AT1528" s="171">
        <v>1</v>
      </c>
      <c r="AU1528" s="171">
        <f t="shared" si="515"/>
        <v>0</v>
      </c>
      <c r="AV1528" s="171">
        <f t="shared" si="516"/>
        <v>0</v>
      </c>
      <c r="AW1528" s="171">
        <f t="shared" si="517"/>
        <v>0</v>
      </c>
      <c r="AX1528" s="171">
        <f t="shared" si="512"/>
        <v>0</v>
      </c>
      <c r="AY1528" s="171">
        <f t="shared" si="518"/>
        <v>1</v>
      </c>
      <c r="AZ1528" s="171">
        <f t="shared" si="519"/>
        <v>1</v>
      </c>
      <c r="BA1528" s="172">
        <f t="shared" si="520"/>
        <v>1</v>
      </c>
      <c r="BB1528" s="175">
        <f t="shared" si="521"/>
        <v>14</v>
      </c>
      <c r="BC1528" s="176">
        <f t="shared" si="522"/>
        <v>13</v>
      </c>
      <c r="BD1528" s="176">
        <f t="shared" si="523"/>
        <v>14</v>
      </c>
      <c r="BE1528" s="240" t="str">
        <f t="shared" si="514"/>
        <v/>
      </c>
      <c r="BF1528" s="990"/>
      <c r="BG1528" s="990"/>
      <c r="BH1528" s="991">
        <f>IF(AND(Input_Product=Elig!$C1528,Elig_MatchAll_Ct&lt;22,$BC1528=(Elig_MatchAll_Ct-1),AF1528=0),C1528,0)</f>
        <v>0</v>
      </c>
      <c r="BI1528" s="991">
        <f>IF(AND(Input_Product=Elig!$C1528,Elig_MatchAll_Ct&lt;22,$BC1528=(Elig_MatchAll_Ct-1),AG1528=0),D1528,0)</f>
        <v>0</v>
      </c>
      <c r="BJ1528" s="991">
        <f>IF(AND(Input_Product=Elig!$C1528,Elig_MatchAll_Ct&lt;22,$BC1528=(Elig_MatchAll_Ct-1),AH1528=0),E1528,0)</f>
        <v>0</v>
      </c>
      <c r="BK1528" s="991">
        <f>IF(AND(Input_Product=Elig!$C1528,Elig_MatchAll_Ct&lt;22,$BC1528=(Elig_MatchAll_Ct-1),AI1528=0),F1528,0)</f>
        <v>0</v>
      </c>
      <c r="BL1528" s="991">
        <f>IF(AND(Input_Product=Elig!$C1528,Elig_MatchAll_Ct&lt;22,$BC1528=(Elig_MatchAll_Ct-1),AJ1528=0),G1528,0)</f>
        <v>0</v>
      </c>
      <c r="BM1528" s="991">
        <f>IF(AND(Input_Product=Elig!$C1528,Elig_MatchAll_Ct&lt;22,$BC1528=(Elig_MatchAll_Ct-1),AK1528=0),H1528,0)</f>
        <v>0</v>
      </c>
      <c r="BN1528" s="991">
        <f>IF(AND(Input_Product=Elig!$C1528,Elig_MatchAll_Ct&lt;22,$BC1528=(Elig_MatchAll_Ct-1),AL1528=0),I1528,0)</f>
        <v>0</v>
      </c>
      <c r="BO1528" s="991">
        <f>IF(AND(Input_Product=Elig!$C1528,Elig_MatchAll_Ct&lt;22,$BC1528=(Elig_MatchAll_Ct-1),AM1528=0),J1528,0)</f>
        <v>0</v>
      </c>
      <c r="BP1528" s="991">
        <f>IF(AND(Input_Product=Elig!$C1528,Elig_MatchAll_Ct&lt;22,$BC1528=(Elig_MatchAll_Ct-1),AN1528=0),K1528,0)</f>
        <v>0</v>
      </c>
      <c r="BQ1528" s="991">
        <f>IF(AND(Input_Product=Elig!$C1528,Elig_MatchAll_Ct&lt;22,$BC1528=(Elig_MatchAll_Ct-1),AP1528=0),L1528,0)</f>
        <v>0</v>
      </c>
      <c r="BR1528" s="991">
        <f>IF(AND(Input_Product=Elig!$C1528,Elig_MatchAll_Ct&lt;22,$BC1528=(Elig_MatchAll_Ct-1),AO1528=0),M1528,0)</f>
        <v>0</v>
      </c>
      <c r="BS1528" s="991">
        <f>IF(AND(Input_Product=Elig!$C1528,Elig_MatchAll_Ct&lt;22,$BC1528=(Elig_MatchAll_Ct-1),AQ1528=0),N1528,0)</f>
        <v>0</v>
      </c>
      <c r="BT1528" s="991">
        <f>IF(AND(Input_Product=Elig!$C1528,Elig_MatchAll_Ct&lt;22,$BC1528=(Elig_MatchAll_Ct-1),AR1528=0),O1528,0)</f>
        <v>0</v>
      </c>
      <c r="BU1528" s="991">
        <f>IF(AND(Input_Product=Elig!$C1528,Elig_MatchAll_Ct&lt;22,$BC1528=(Elig_MatchAll_Ct-1),AS1528=0),P1528,0)</f>
        <v>0</v>
      </c>
      <c r="BV1528" s="992">
        <f>IF(AND(Input_Product=Elig!$C1528,Elig_MatchAll_Ct&lt;22,$BC1528=(Elig_MatchAll_Ct-1),AT1528=0),Q1528,0)</f>
        <v>0</v>
      </c>
      <c r="BW1528" s="993">
        <f>IF(AND(Input_Product=Elig!$C1528,Elig_MatchAll_Ct&lt;22,$BC1528=(Elig_MatchAll_Ct-1),AU1528=0),R1528,0)</f>
        <v>0</v>
      </c>
      <c r="BX1528" s="994">
        <f>IF(AND(Input_Product=Elig!$C1528,Elig_MatchAll_Ct&lt;22,$BC1528=(Elig_MatchAll_Ct-1),AU1528=0),S1528,0)</f>
        <v>0</v>
      </c>
      <c r="BY1528" s="993">
        <f>IF(AND(Input_Product=Elig!$C1528,Elig_MatchAll_Ct&lt;22,$BC1528=(Elig_MatchAll_Ct-1),AV1528=0),T1528,0)</f>
        <v>0</v>
      </c>
      <c r="BZ1528" s="994">
        <f>IF(AND(Input_Product=Elig!$C1528,Elig_MatchAll_Ct&lt;22,$BC1528=(Elig_MatchAll_Ct-1),AV1528=0),U1528,0)</f>
        <v>0</v>
      </c>
      <c r="CA1528" s="993">
        <f>IF(AND(Input_Product=Elig!$C1528,Elig_MatchAll_Ct&lt;22,$BC1528=(Elig_MatchAll_Ct-1),AW1528=0),V1528,0)</f>
        <v>0</v>
      </c>
      <c r="CB1528" s="994">
        <f>IF(AND(Input_Product=Elig!$C1528,Elig_MatchAll_Ct&lt;22,$BC1528=(Elig_MatchAll_Ct-1),AW1528=0),W1528,0)</f>
        <v>0</v>
      </c>
      <c r="CC1528" s="993">
        <f>IF(AND(Input_Product=Elig!$C1528,Elig_MatchAll_Ct&lt;22,$BC1528=(Elig_MatchAll_Ct-1),AX1528=0),X1528,0)</f>
        <v>0</v>
      </c>
      <c r="CD1528" s="994">
        <f>IF(AND(Input_Product=Elig!$C1528,Elig_MatchAll_Ct&lt;22,$BC1528=(Elig_MatchAll_Ct-1),AX1528=0),Y1528,0)</f>
        <v>0</v>
      </c>
      <c r="CE1528" s="993">
        <f>IF(AND(Input_LTV&lt;=AE1528,Input_Product=Elig!$C1528,Elig_MatchAll_Ct&lt;22,$BC1528=(Elig_MatchAll_Ct-1),AY1528=0),Z1528,0)</f>
        <v>0</v>
      </c>
      <c r="CF1528" s="994">
        <f>IF(AND(Input_LTV&lt;=AE1528,Input_Product=Elig!$C1528,Elig_MatchAll_Ct&lt;22,$BC1528=(Elig_MatchAll_Ct-1),AY1528=0),AA1528,0)</f>
        <v>0</v>
      </c>
      <c r="CG1528" s="993">
        <f>IF(AND(Input_Product=Elig!$C1528,Elig_MatchAll_Ct&lt;22,$BC1528=(Elig_MatchAll_Ct-1),AZ1528=0),AB1528,0)</f>
        <v>0</v>
      </c>
      <c r="CH1528" s="994">
        <f>IF(AND(Input_Product=Elig!$C1528,Elig_MatchAll_Ct&lt;22,$BC1528=(Elig_MatchAll_Ct-1),AZ1528=0),AC1528,0)</f>
        <v>0</v>
      </c>
      <c r="CI1528" s="993">
        <f>IF(AND(Input_Product=Elig!$C1528,Elig_MatchAll_Ct&lt;22,$BC1528=(Elig_MatchAll_Ct-1),BA1528=0),AD1528,0)</f>
        <v>0</v>
      </c>
      <c r="CJ1528" s="994">
        <f>IF(AND(Input_Product=Elig!$C1528,Elig_MatchAll_Ct&lt;22,$BC1528=(Elig_MatchAll_Ct-1),BA1528=0),AE1528,0)</f>
        <v>0</v>
      </c>
    </row>
    <row r="1529" spans="2:88" ht="10.15" customHeight="1" x14ac:dyDescent="0.25">
      <c r="B1529" s="1567" t="s">
        <v>2877</v>
      </c>
      <c r="C1529" s="1567" t="str">
        <f t="shared" si="513"/>
        <v xml:space="preserve">  NOO</v>
      </c>
      <c r="D1529" s="1567" t="s">
        <v>2764</v>
      </c>
      <c r="E1529" s="1567" t="s">
        <v>167</v>
      </c>
      <c r="F1529" s="1567" t="s">
        <v>330</v>
      </c>
      <c r="G1529" s="1567" t="s">
        <v>181</v>
      </c>
      <c r="H1529" s="1567" t="s">
        <v>136</v>
      </c>
      <c r="I1529" s="1568" t="s">
        <v>35</v>
      </c>
      <c r="J1529" s="1568" t="s">
        <v>1311</v>
      </c>
      <c r="K1529" s="1568" t="s">
        <v>3023</v>
      </c>
      <c r="L1529" s="1567" t="s">
        <v>312</v>
      </c>
      <c r="M1529" s="1567" t="s">
        <v>4204</v>
      </c>
      <c r="N1529" s="1567" t="s">
        <v>2685</v>
      </c>
      <c r="O1529" s="1567" t="s">
        <v>310</v>
      </c>
      <c r="P1529" s="1567" t="s">
        <v>291</v>
      </c>
      <c r="Q1529" s="1567" t="s">
        <v>294</v>
      </c>
      <c r="R1529" s="1567">
        <v>2000000.01</v>
      </c>
      <c r="S1529" s="1567">
        <v>3000000</v>
      </c>
      <c r="T1529" s="1567">
        <v>0</v>
      </c>
      <c r="U1529" s="1567">
        <v>0</v>
      </c>
      <c r="V1529" s="1567">
        <v>0</v>
      </c>
      <c r="W1529" s="1567">
        <v>0</v>
      </c>
      <c r="X1529" s="1567">
        <v>1</v>
      </c>
      <c r="Y1529" s="1567">
        <v>999</v>
      </c>
      <c r="Z1529" s="1569">
        <v>700</v>
      </c>
      <c r="AA1529" s="1569">
        <v>999</v>
      </c>
      <c r="AB1529" s="1569">
        <v>2</v>
      </c>
      <c r="AC1529" s="1569">
        <v>999999</v>
      </c>
      <c r="AD1529" s="1567">
        <v>0</v>
      </c>
      <c r="AE1529" s="1570">
        <v>65</v>
      </c>
      <c r="AF1529" s="170">
        <v>0</v>
      </c>
      <c r="AG1529" s="171">
        <v>1</v>
      </c>
      <c r="AH1529" s="171">
        <v>1</v>
      </c>
      <c r="AI1529" s="171">
        <v>0</v>
      </c>
      <c r="AJ1529" s="171">
        <v>0</v>
      </c>
      <c r="AK1529" s="171">
        <v>1</v>
      </c>
      <c r="AL1529" s="171">
        <v>0</v>
      </c>
      <c r="AM1529" s="171">
        <v>1</v>
      </c>
      <c r="AN1529" s="171">
        <v>1</v>
      </c>
      <c r="AO1529" s="171">
        <v>1</v>
      </c>
      <c r="AP1529" s="171">
        <v>1</v>
      </c>
      <c r="AQ1529" s="171">
        <v>1</v>
      </c>
      <c r="AR1529" s="171">
        <v>1</v>
      </c>
      <c r="AS1529" s="171">
        <v>1</v>
      </c>
      <c r="AT1529" s="171">
        <v>1</v>
      </c>
      <c r="AU1529" s="171">
        <f t="shared" si="515"/>
        <v>0</v>
      </c>
      <c r="AV1529" s="171">
        <f t="shared" si="516"/>
        <v>0</v>
      </c>
      <c r="AW1529" s="171">
        <f t="shared" si="517"/>
        <v>0</v>
      </c>
      <c r="AX1529" s="171">
        <f t="shared" si="512"/>
        <v>0</v>
      </c>
      <c r="AY1529" s="171">
        <f t="shared" si="518"/>
        <v>1</v>
      </c>
      <c r="AZ1529" s="171">
        <f t="shared" si="519"/>
        <v>1</v>
      </c>
      <c r="BA1529" s="172">
        <f t="shared" si="520"/>
        <v>1</v>
      </c>
      <c r="BB1529" s="175">
        <f t="shared" si="521"/>
        <v>14</v>
      </c>
      <c r="BC1529" s="176">
        <f t="shared" si="522"/>
        <v>13</v>
      </c>
      <c r="BD1529" s="176">
        <f t="shared" si="523"/>
        <v>14</v>
      </c>
      <c r="BE1529" s="240" t="str">
        <f t="shared" si="514"/>
        <v/>
      </c>
      <c r="BF1529" s="990"/>
      <c r="BG1529" s="990"/>
      <c r="BH1529" s="991">
        <f>IF(AND(Input_Product=Elig!$C1529,Elig_MatchAll_Ct&lt;22,$BC1529=(Elig_MatchAll_Ct-1),AF1529=0),C1529,0)</f>
        <v>0</v>
      </c>
      <c r="BI1529" s="991">
        <f>IF(AND(Input_Product=Elig!$C1529,Elig_MatchAll_Ct&lt;22,$BC1529=(Elig_MatchAll_Ct-1),AG1529=0),D1529,0)</f>
        <v>0</v>
      </c>
      <c r="BJ1529" s="991">
        <f>IF(AND(Input_Product=Elig!$C1529,Elig_MatchAll_Ct&lt;22,$BC1529=(Elig_MatchAll_Ct-1),AH1529=0),E1529,0)</f>
        <v>0</v>
      </c>
      <c r="BK1529" s="991">
        <f>IF(AND(Input_Product=Elig!$C1529,Elig_MatchAll_Ct&lt;22,$BC1529=(Elig_MatchAll_Ct-1),AI1529=0),F1529,0)</f>
        <v>0</v>
      </c>
      <c r="BL1529" s="991">
        <f>IF(AND(Input_Product=Elig!$C1529,Elig_MatchAll_Ct&lt;22,$BC1529=(Elig_MatchAll_Ct-1),AJ1529=0),G1529,0)</f>
        <v>0</v>
      </c>
      <c r="BM1529" s="991">
        <f>IF(AND(Input_Product=Elig!$C1529,Elig_MatchAll_Ct&lt;22,$BC1529=(Elig_MatchAll_Ct-1),AK1529=0),H1529,0)</f>
        <v>0</v>
      </c>
      <c r="BN1529" s="991">
        <f>IF(AND(Input_Product=Elig!$C1529,Elig_MatchAll_Ct&lt;22,$BC1529=(Elig_MatchAll_Ct-1),AL1529=0),I1529,0)</f>
        <v>0</v>
      </c>
      <c r="BO1529" s="991">
        <f>IF(AND(Input_Product=Elig!$C1529,Elig_MatchAll_Ct&lt;22,$BC1529=(Elig_MatchAll_Ct-1),AM1529=0),J1529,0)</f>
        <v>0</v>
      </c>
      <c r="BP1529" s="991">
        <f>IF(AND(Input_Product=Elig!$C1529,Elig_MatchAll_Ct&lt;22,$BC1529=(Elig_MatchAll_Ct-1),AN1529=0),K1529,0)</f>
        <v>0</v>
      </c>
      <c r="BQ1529" s="991">
        <f>IF(AND(Input_Product=Elig!$C1529,Elig_MatchAll_Ct&lt;22,$BC1529=(Elig_MatchAll_Ct-1),AP1529=0),L1529,0)</f>
        <v>0</v>
      </c>
      <c r="BR1529" s="991">
        <f>IF(AND(Input_Product=Elig!$C1529,Elig_MatchAll_Ct&lt;22,$BC1529=(Elig_MatchAll_Ct-1),AO1529=0),M1529,0)</f>
        <v>0</v>
      </c>
      <c r="BS1529" s="991">
        <f>IF(AND(Input_Product=Elig!$C1529,Elig_MatchAll_Ct&lt;22,$BC1529=(Elig_MatchAll_Ct-1),AQ1529=0),N1529,0)</f>
        <v>0</v>
      </c>
      <c r="BT1529" s="991">
        <f>IF(AND(Input_Product=Elig!$C1529,Elig_MatchAll_Ct&lt;22,$BC1529=(Elig_MatchAll_Ct-1),AR1529=0),O1529,0)</f>
        <v>0</v>
      </c>
      <c r="BU1529" s="991">
        <f>IF(AND(Input_Product=Elig!$C1529,Elig_MatchAll_Ct&lt;22,$BC1529=(Elig_MatchAll_Ct-1),AS1529=0),P1529,0)</f>
        <v>0</v>
      </c>
      <c r="BV1529" s="992">
        <f>IF(AND(Input_Product=Elig!$C1529,Elig_MatchAll_Ct&lt;22,$BC1529=(Elig_MatchAll_Ct-1),AT1529=0),Q1529,0)</f>
        <v>0</v>
      </c>
      <c r="BW1529" s="993">
        <f>IF(AND(Input_Product=Elig!$C1529,Elig_MatchAll_Ct&lt;22,$BC1529=(Elig_MatchAll_Ct-1),AU1529=0),R1529,0)</f>
        <v>0</v>
      </c>
      <c r="BX1529" s="994">
        <f>IF(AND(Input_Product=Elig!$C1529,Elig_MatchAll_Ct&lt;22,$BC1529=(Elig_MatchAll_Ct-1),AU1529=0),S1529,0)</f>
        <v>0</v>
      </c>
      <c r="BY1529" s="993">
        <f>IF(AND(Input_Product=Elig!$C1529,Elig_MatchAll_Ct&lt;22,$BC1529=(Elig_MatchAll_Ct-1),AV1529=0),T1529,0)</f>
        <v>0</v>
      </c>
      <c r="BZ1529" s="994">
        <f>IF(AND(Input_Product=Elig!$C1529,Elig_MatchAll_Ct&lt;22,$BC1529=(Elig_MatchAll_Ct-1),AV1529=0),U1529,0)</f>
        <v>0</v>
      </c>
      <c r="CA1529" s="993">
        <f>IF(AND(Input_Product=Elig!$C1529,Elig_MatchAll_Ct&lt;22,$BC1529=(Elig_MatchAll_Ct-1),AW1529=0),V1529,0)</f>
        <v>0</v>
      </c>
      <c r="CB1529" s="994">
        <f>IF(AND(Input_Product=Elig!$C1529,Elig_MatchAll_Ct&lt;22,$BC1529=(Elig_MatchAll_Ct-1),AW1529=0),W1529,0)</f>
        <v>0</v>
      </c>
      <c r="CC1529" s="993">
        <f>IF(AND(Input_Product=Elig!$C1529,Elig_MatchAll_Ct&lt;22,$BC1529=(Elig_MatchAll_Ct-1),AX1529=0),X1529,0)</f>
        <v>0</v>
      </c>
      <c r="CD1529" s="994">
        <f>IF(AND(Input_Product=Elig!$C1529,Elig_MatchAll_Ct&lt;22,$BC1529=(Elig_MatchAll_Ct-1),AX1529=0),Y1529,0)</f>
        <v>0</v>
      </c>
      <c r="CE1529" s="993">
        <f>IF(AND(Input_LTV&lt;=AE1529,Input_Product=Elig!$C1529,Elig_MatchAll_Ct&lt;22,$BC1529=(Elig_MatchAll_Ct-1),AY1529=0),Z1529,0)</f>
        <v>0</v>
      </c>
      <c r="CF1529" s="994">
        <f>IF(AND(Input_LTV&lt;=AE1529,Input_Product=Elig!$C1529,Elig_MatchAll_Ct&lt;22,$BC1529=(Elig_MatchAll_Ct-1),AY1529=0),AA1529,0)</f>
        <v>0</v>
      </c>
      <c r="CG1529" s="993">
        <f>IF(AND(Input_Product=Elig!$C1529,Elig_MatchAll_Ct&lt;22,$BC1529=(Elig_MatchAll_Ct-1),AZ1529=0),AB1529,0)</f>
        <v>0</v>
      </c>
      <c r="CH1529" s="994">
        <f>IF(AND(Input_Product=Elig!$C1529,Elig_MatchAll_Ct&lt;22,$BC1529=(Elig_MatchAll_Ct-1),AZ1529=0),AC1529,0)</f>
        <v>0</v>
      </c>
      <c r="CI1529" s="993">
        <f>IF(AND(Input_Product=Elig!$C1529,Elig_MatchAll_Ct&lt;22,$BC1529=(Elig_MatchAll_Ct-1),BA1529=0),AD1529,0)</f>
        <v>0</v>
      </c>
      <c r="CJ1529" s="994">
        <f>IF(AND(Input_Product=Elig!$C1529,Elig_MatchAll_Ct&lt;22,$BC1529=(Elig_MatchAll_Ct-1),BA1529=0),AE1529,0)</f>
        <v>0</v>
      </c>
    </row>
    <row r="1530" spans="2:88" ht="10.15" customHeight="1" x14ac:dyDescent="0.25">
      <c r="B1530" s="1567" t="s">
        <v>2878</v>
      </c>
      <c r="C1530" s="1567" t="str">
        <f t="shared" si="513"/>
        <v xml:space="preserve">  NOO</v>
      </c>
      <c r="D1530" s="1567" t="s">
        <v>2764</v>
      </c>
      <c r="E1530" s="1567" t="s">
        <v>167</v>
      </c>
      <c r="F1530" s="1567" t="s">
        <v>330</v>
      </c>
      <c r="G1530" s="1567" t="s">
        <v>181</v>
      </c>
      <c r="H1530" s="1567" t="s">
        <v>136</v>
      </c>
      <c r="I1530" s="1568" t="s">
        <v>35</v>
      </c>
      <c r="J1530" s="1568" t="s">
        <v>1311</v>
      </c>
      <c r="K1530" s="1568" t="s">
        <v>3023</v>
      </c>
      <c r="L1530" s="1567" t="s">
        <v>312</v>
      </c>
      <c r="M1530" s="1567" t="s">
        <v>4204</v>
      </c>
      <c r="N1530" s="1567" t="s">
        <v>2685</v>
      </c>
      <c r="O1530" s="1567" t="s">
        <v>310</v>
      </c>
      <c r="P1530" s="1567" t="s">
        <v>291</v>
      </c>
      <c r="Q1530" s="1567" t="s">
        <v>294</v>
      </c>
      <c r="R1530" s="1567">
        <v>3000000.01</v>
      </c>
      <c r="S1530" s="1567">
        <v>3500000</v>
      </c>
      <c r="T1530" s="1567">
        <v>0</v>
      </c>
      <c r="U1530" s="1567">
        <v>0</v>
      </c>
      <c r="V1530" s="1567">
        <v>0</v>
      </c>
      <c r="W1530" s="1567">
        <v>0</v>
      </c>
      <c r="X1530" s="1567">
        <v>1</v>
      </c>
      <c r="Y1530" s="1567">
        <v>999</v>
      </c>
      <c r="Z1530" s="1569">
        <v>700</v>
      </c>
      <c r="AA1530" s="1569">
        <v>999</v>
      </c>
      <c r="AB1530" s="1569">
        <v>2</v>
      </c>
      <c r="AC1530" s="1569">
        <v>999999</v>
      </c>
      <c r="AD1530" s="1567">
        <v>0</v>
      </c>
      <c r="AE1530" s="1570">
        <v>65</v>
      </c>
      <c r="AF1530" s="170">
        <v>0</v>
      </c>
      <c r="AG1530" s="171">
        <v>1</v>
      </c>
      <c r="AH1530" s="171">
        <v>1</v>
      </c>
      <c r="AI1530" s="171">
        <v>0</v>
      </c>
      <c r="AJ1530" s="171">
        <v>0</v>
      </c>
      <c r="AK1530" s="171">
        <v>1</v>
      </c>
      <c r="AL1530" s="171">
        <v>0</v>
      </c>
      <c r="AM1530" s="171">
        <v>1</v>
      </c>
      <c r="AN1530" s="171">
        <v>1</v>
      </c>
      <c r="AO1530" s="171">
        <v>1</v>
      </c>
      <c r="AP1530" s="171">
        <v>1</v>
      </c>
      <c r="AQ1530" s="171">
        <v>1</v>
      </c>
      <c r="AR1530" s="171">
        <v>1</v>
      </c>
      <c r="AS1530" s="171">
        <v>1</v>
      </c>
      <c r="AT1530" s="171">
        <v>1</v>
      </c>
      <c r="AU1530" s="171">
        <f t="shared" si="515"/>
        <v>0</v>
      </c>
      <c r="AV1530" s="171">
        <f t="shared" si="516"/>
        <v>0</v>
      </c>
      <c r="AW1530" s="171">
        <f t="shared" si="517"/>
        <v>0</v>
      </c>
      <c r="AX1530" s="171">
        <f t="shared" si="512"/>
        <v>0</v>
      </c>
      <c r="AY1530" s="171">
        <f t="shared" si="518"/>
        <v>1</v>
      </c>
      <c r="AZ1530" s="171">
        <f t="shared" si="519"/>
        <v>1</v>
      </c>
      <c r="BA1530" s="172">
        <f t="shared" si="520"/>
        <v>1</v>
      </c>
      <c r="BB1530" s="175">
        <f t="shared" si="521"/>
        <v>14</v>
      </c>
      <c r="BC1530" s="176">
        <f t="shared" si="522"/>
        <v>13</v>
      </c>
      <c r="BD1530" s="176">
        <f t="shared" si="523"/>
        <v>14</v>
      </c>
      <c r="BE1530" s="240" t="str">
        <f t="shared" si="514"/>
        <v/>
      </c>
      <c r="BF1530" s="990"/>
      <c r="BG1530" s="990"/>
      <c r="BH1530" s="991">
        <f>IF(AND(Input_Product=Elig!$C1530,Elig_MatchAll_Ct&lt;22,$BC1530=(Elig_MatchAll_Ct-1),AF1530=0),C1530,0)</f>
        <v>0</v>
      </c>
      <c r="BI1530" s="991">
        <f>IF(AND(Input_Product=Elig!$C1530,Elig_MatchAll_Ct&lt;22,$BC1530=(Elig_MatchAll_Ct-1),AG1530=0),D1530,0)</f>
        <v>0</v>
      </c>
      <c r="BJ1530" s="991">
        <f>IF(AND(Input_Product=Elig!$C1530,Elig_MatchAll_Ct&lt;22,$BC1530=(Elig_MatchAll_Ct-1),AH1530=0),E1530,0)</f>
        <v>0</v>
      </c>
      <c r="BK1530" s="991">
        <f>IF(AND(Input_Product=Elig!$C1530,Elig_MatchAll_Ct&lt;22,$BC1530=(Elig_MatchAll_Ct-1),AI1530=0),F1530,0)</f>
        <v>0</v>
      </c>
      <c r="BL1530" s="991">
        <f>IF(AND(Input_Product=Elig!$C1530,Elig_MatchAll_Ct&lt;22,$BC1530=(Elig_MatchAll_Ct-1),AJ1530=0),G1530,0)</f>
        <v>0</v>
      </c>
      <c r="BM1530" s="991">
        <f>IF(AND(Input_Product=Elig!$C1530,Elig_MatchAll_Ct&lt;22,$BC1530=(Elig_MatchAll_Ct-1),AK1530=0),H1530,0)</f>
        <v>0</v>
      </c>
      <c r="BN1530" s="991">
        <f>IF(AND(Input_Product=Elig!$C1530,Elig_MatchAll_Ct&lt;22,$BC1530=(Elig_MatchAll_Ct-1),AL1530=0),I1530,0)</f>
        <v>0</v>
      </c>
      <c r="BO1530" s="991">
        <f>IF(AND(Input_Product=Elig!$C1530,Elig_MatchAll_Ct&lt;22,$BC1530=(Elig_MatchAll_Ct-1),AM1530=0),J1530,0)</f>
        <v>0</v>
      </c>
      <c r="BP1530" s="991">
        <f>IF(AND(Input_Product=Elig!$C1530,Elig_MatchAll_Ct&lt;22,$BC1530=(Elig_MatchAll_Ct-1),AN1530=0),K1530,0)</f>
        <v>0</v>
      </c>
      <c r="BQ1530" s="991">
        <f>IF(AND(Input_Product=Elig!$C1530,Elig_MatchAll_Ct&lt;22,$BC1530=(Elig_MatchAll_Ct-1),AP1530=0),L1530,0)</f>
        <v>0</v>
      </c>
      <c r="BR1530" s="991">
        <f>IF(AND(Input_Product=Elig!$C1530,Elig_MatchAll_Ct&lt;22,$BC1530=(Elig_MatchAll_Ct-1),AO1530=0),M1530,0)</f>
        <v>0</v>
      </c>
      <c r="BS1530" s="991">
        <f>IF(AND(Input_Product=Elig!$C1530,Elig_MatchAll_Ct&lt;22,$BC1530=(Elig_MatchAll_Ct-1),AQ1530=0),N1530,0)</f>
        <v>0</v>
      </c>
      <c r="BT1530" s="991">
        <f>IF(AND(Input_Product=Elig!$C1530,Elig_MatchAll_Ct&lt;22,$BC1530=(Elig_MatchAll_Ct-1),AR1530=0),O1530,0)</f>
        <v>0</v>
      </c>
      <c r="BU1530" s="991">
        <f>IF(AND(Input_Product=Elig!$C1530,Elig_MatchAll_Ct&lt;22,$BC1530=(Elig_MatchAll_Ct-1),AS1530=0),P1530,0)</f>
        <v>0</v>
      </c>
      <c r="BV1530" s="992">
        <f>IF(AND(Input_Product=Elig!$C1530,Elig_MatchAll_Ct&lt;22,$BC1530=(Elig_MatchAll_Ct-1),AT1530=0),Q1530,0)</f>
        <v>0</v>
      </c>
      <c r="BW1530" s="993">
        <f>IF(AND(Input_Product=Elig!$C1530,Elig_MatchAll_Ct&lt;22,$BC1530=(Elig_MatchAll_Ct-1),AU1530=0),R1530,0)</f>
        <v>0</v>
      </c>
      <c r="BX1530" s="994">
        <f>IF(AND(Input_Product=Elig!$C1530,Elig_MatchAll_Ct&lt;22,$BC1530=(Elig_MatchAll_Ct-1),AU1530=0),S1530,0)</f>
        <v>0</v>
      </c>
      <c r="BY1530" s="993">
        <f>IF(AND(Input_Product=Elig!$C1530,Elig_MatchAll_Ct&lt;22,$BC1530=(Elig_MatchAll_Ct-1),AV1530=0),T1530,0)</f>
        <v>0</v>
      </c>
      <c r="BZ1530" s="994">
        <f>IF(AND(Input_Product=Elig!$C1530,Elig_MatchAll_Ct&lt;22,$BC1530=(Elig_MatchAll_Ct-1),AV1530=0),U1530,0)</f>
        <v>0</v>
      </c>
      <c r="CA1530" s="993">
        <f>IF(AND(Input_Product=Elig!$C1530,Elig_MatchAll_Ct&lt;22,$BC1530=(Elig_MatchAll_Ct-1),AW1530=0),V1530,0)</f>
        <v>0</v>
      </c>
      <c r="CB1530" s="994">
        <f>IF(AND(Input_Product=Elig!$C1530,Elig_MatchAll_Ct&lt;22,$BC1530=(Elig_MatchAll_Ct-1),AW1530=0),W1530,0)</f>
        <v>0</v>
      </c>
      <c r="CC1530" s="993">
        <f>IF(AND(Input_Product=Elig!$C1530,Elig_MatchAll_Ct&lt;22,$BC1530=(Elig_MatchAll_Ct-1),AX1530=0),X1530,0)</f>
        <v>0</v>
      </c>
      <c r="CD1530" s="994">
        <f>IF(AND(Input_Product=Elig!$C1530,Elig_MatchAll_Ct&lt;22,$BC1530=(Elig_MatchAll_Ct-1),AX1530=0),Y1530,0)</f>
        <v>0</v>
      </c>
      <c r="CE1530" s="993">
        <f>IF(AND(Input_LTV&lt;=AE1530,Input_Product=Elig!$C1530,Elig_MatchAll_Ct&lt;22,$BC1530=(Elig_MatchAll_Ct-1),AY1530=0),Z1530,0)</f>
        <v>0</v>
      </c>
      <c r="CF1530" s="994">
        <f>IF(AND(Input_LTV&lt;=AE1530,Input_Product=Elig!$C1530,Elig_MatchAll_Ct&lt;22,$BC1530=(Elig_MatchAll_Ct-1),AY1530=0),AA1530,0)</f>
        <v>0</v>
      </c>
      <c r="CG1530" s="993">
        <f>IF(AND(Input_Product=Elig!$C1530,Elig_MatchAll_Ct&lt;22,$BC1530=(Elig_MatchAll_Ct-1),AZ1530=0),AB1530,0)</f>
        <v>0</v>
      </c>
      <c r="CH1530" s="994">
        <f>IF(AND(Input_Product=Elig!$C1530,Elig_MatchAll_Ct&lt;22,$BC1530=(Elig_MatchAll_Ct-1),AZ1530=0),AC1530,0)</f>
        <v>0</v>
      </c>
      <c r="CI1530" s="993">
        <f>IF(AND(Input_Product=Elig!$C1530,Elig_MatchAll_Ct&lt;22,$BC1530=(Elig_MatchAll_Ct-1),BA1530=0),AD1530,0)</f>
        <v>0</v>
      </c>
      <c r="CJ1530" s="994">
        <f>IF(AND(Input_Product=Elig!$C1530,Elig_MatchAll_Ct&lt;22,$BC1530=(Elig_MatchAll_Ct-1),BA1530=0),AE1530,0)</f>
        <v>0</v>
      </c>
    </row>
    <row r="1531" spans="2:88" ht="10.15" customHeight="1" x14ac:dyDescent="0.25">
      <c r="B1531" s="1567" t="s">
        <v>2879</v>
      </c>
      <c r="C1531" s="1567" t="str">
        <f t="shared" si="513"/>
        <v xml:space="preserve">  NOO</v>
      </c>
      <c r="D1531" s="1567" t="s">
        <v>2764</v>
      </c>
      <c r="E1531" s="1567" t="s">
        <v>167</v>
      </c>
      <c r="F1531" s="1567" t="s">
        <v>330</v>
      </c>
      <c r="G1531" s="1567" t="s">
        <v>181</v>
      </c>
      <c r="H1531" s="1567" t="s">
        <v>136</v>
      </c>
      <c r="I1531" s="1568" t="s">
        <v>35</v>
      </c>
      <c r="J1531" s="1568" t="s">
        <v>1311</v>
      </c>
      <c r="K1531" s="1568" t="s">
        <v>3023</v>
      </c>
      <c r="L1531" s="1567" t="s">
        <v>312</v>
      </c>
      <c r="M1531" s="1567" t="s">
        <v>4204</v>
      </c>
      <c r="N1531" s="1567" t="s">
        <v>2685</v>
      </c>
      <c r="O1531" s="1567" t="s">
        <v>310</v>
      </c>
      <c r="P1531" s="1567" t="s">
        <v>291</v>
      </c>
      <c r="Q1531" s="1567" t="s">
        <v>294</v>
      </c>
      <c r="R1531" s="1567">
        <v>100000</v>
      </c>
      <c r="S1531" s="1567">
        <v>1000000</v>
      </c>
      <c r="T1531" s="1567">
        <v>0</v>
      </c>
      <c r="U1531" s="1567">
        <v>0</v>
      </c>
      <c r="V1531" s="1567">
        <v>0</v>
      </c>
      <c r="W1531" s="1567">
        <v>0</v>
      </c>
      <c r="X1531" s="1567">
        <v>1</v>
      </c>
      <c r="Y1531" s="1567">
        <v>999</v>
      </c>
      <c r="Z1531" s="1569">
        <v>660</v>
      </c>
      <c r="AA1531" s="1569">
        <v>699</v>
      </c>
      <c r="AB1531" s="1569">
        <v>2</v>
      </c>
      <c r="AC1531" s="1569">
        <v>999999</v>
      </c>
      <c r="AD1531" s="1567">
        <v>0</v>
      </c>
      <c r="AE1531" s="1570">
        <v>75</v>
      </c>
      <c r="AF1531" s="170">
        <v>0</v>
      </c>
      <c r="AG1531" s="171">
        <v>1</v>
      </c>
      <c r="AH1531" s="171">
        <v>1</v>
      </c>
      <c r="AI1531" s="171">
        <v>0</v>
      </c>
      <c r="AJ1531" s="171">
        <v>0</v>
      </c>
      <c r="AK1531" s="171">
        <v>1</v>
      </c>
      <c r="AL1531" s="171">
        <v>0</v>
      </c>
      <c r="AM1531" s="171">
        <v>1</v>
      </c>
      <c r="AN1531" s="171">
        <v>1</v>
      </c>
      <c r="AO1531" s="171">
        <v>1</v>
      </c>
      <c r="AP1531" s="171">
        <v>1</v>
      </c>
      <c r="AQ1531" s="171">
        <v>1</v>
      </c>
      <c r="AR1531" s="171">
        <v>1</v>
      </c>
      <c r="AS1531" s="171">
        <v>1</v>
      </c>
      <c r="AT1531" s="171">
        <v>1</v>
      </c>
      <c r="AU1531" s="171">
        <f t="shared" si="515"/>
        <v>1</v>
      </c>
      <c r="AV1531" s="171">
        <f t="shared" si="516"/>
        <v>0</v>
      </c>
      <c r="AW1531" s="171">
        <f t="shared" si="517"/>
        <v>0</v>
      </c>
      <c r="AX1531" s="171">
        <f t="shared" si="512"/>
        <v>0</v>
      </c>
      <c r="AY1531" s="171">
        <f t="shared" si="518"/>
        <v>0</v>
      </c>
      <c r="AZ1531" s="171">
        <f t="shared" si="519"/>
        <v>1</v>
      </c>
      <c r="BA1531" s="172">
        <f t="shared" si="520"/>
        <v>1</v>
      </c>
      <c r="BB1531" s="175">
        <f t="shared" si="521"/>
        <v>14</v>
      </c>
      <c r="BC1531" s="176">
        <f t="shared" si="522"/>
        <v>13</v>
      </c>
      <c r="BD1531" s="176">
        <f t="shared" si="523"/>
        <v>14</v>
      </c>
      <c r="BE1531" s="240" t="str">
        <f t="shared" si="514"/>
        <v/>
      </c>
      <c r="BF1531" s="990"/>
      <c r="BG1531" s="990"/>
      <c r="BH1531" s="991">
        <f>IF(AND(Input_Product=Elig!$C1531,Elig_MatchAll_Ct&lt;22,$BC1531=(Elig_MatchAll_Ct-1),AF1531=0),C1531,0)</f>
        <v>0</v>
      </c>
      <c r="BI1531" s="991">
        <f>IF(AND(Input_Product=Elig!$C1531,Elig_MatchAll_Ct&lt;22,$BC1531=(Elig_MatchAll_Ct-1),AG1531=0),D1531,0)</f>
        <v>0</v>
      </c>
      <c r="BJ1531" s="991">
        <f>IF(AND(Input_Product=Elig!$C1531,Elig_MatchAll_Ct&lt;22,$BC1531=(Elig_MatchAll_Ct-1),AH1531=0),E1531,0)</f>
        <v>0</v>
      </c>
      <c r="BK1531" s="991">
        <f>IF(AND(Input_Product=Elig!$C1531,Elig_MatchAll_Ct&lt;22,$BC1531=(Elig_MatchAll_Ct-1),AI1531=0),F1531,0)</f>
        <v>0</v>
      </c>
      <c r="BL1531" s="991">
        <f>IF(AND(Input_Product=Elig!$C1531,Elig_MatchAll_Ct&lt;22,$BC1531=(Elig_MatchAll_Ct-1),AJ1531=0),G1531,0)</f>
        <v>0</v>
      </c>
      <c r="BM1531" s="991">
        <f>IF(AND(Input_Product=Elig!$C1531,Elig_MatchAll_Ct&lt;22,$BC1531=(Elig_MatchAll_Ct-1),AK1531=0),H1531,0)</f>
        <v>0</v>
      </c>
      <c r="BN1531" s="991">
        <f>IF(AND(Input_Product=Elig!$C1531,Elig_MatchAll_Ct&lt;22,$BC1531=(Elig_MatchAll_Ct-1),AL1531=0),I1531,0)</f>
        <v>0</v>
      </c>
      <c r="BO1531" s="991">
        <f>IF(AND(Input_Product=Elig!$C1531,Elig_MatchAll_Ct&lt;22,$BC1531=(Elig_MatchAll_Ct-1),AM1531=0),J1531,0)</f>
        <v>0</v>
      </c>
      <c r="BP1531" s="991">
        <f>IF(AND(Input_Product=Elig!$C1531,Elig_MatchAll_Ct&lt;22,$BC1531=(Elig_MatchAll_Ct-1),AN1531=0),K1531,0)</f>
        <v>0</v>
      </c>
      <c r="BQ1531" s="991">
        <f>IF(AND(Input_Product=Elig!$C1531,Elig_MatchAll_Ct&lt;22,$BC1531=(Elig_MatchAll_Ct-1),AP1531=0),L1531,0)</f>
        <v>0</v>
      </c>
      <c r="BR1531" s="991">
        <f>IF(AND(Input_Product=Elig!$C1531,Elig_MatchAll_Ct&lt;22,$BC1531=(Elig_MatchAll_Ct-1),AO1531=0),M1531,0)</f>
        <v>0</v>
      </c>
      <c r="BS1531" s="991">
        <f>IF(AND(Input_Product=Elig!$C1531,Elig_MatchAll_Ct&lt;22,$BC1531=(Elig_MatchAll_Ct-1),AQ1531=0),N1531,0)</f>
        <v>0</v>
      </c>
      <c r="BT1531" s="991">
        <f>IF(AND(Input_Product=Elig!$C1531,Elig_MatchAll_Ct&lt;22,$BC1531=(Elig_MatchAll_Ct-1),AR1531=0),O1531,0)</f>
        <v>0</v>
      </c>
      <c r="BU1531" s="991">
        <f>IF(AND(Input_Product=Elig!$C1531,Elig_MatchAll_Ct&lt;22,$BC1531=(Elig_MatchAll_Ct-1),AS1531=0),P1531,0)</f>
        <v>0</v>
      </c>
      <c r="BV1531" s="992">
        <f>IF(AND(Input_Product=Elig!$C1531,Elig_MatchAll_Ct&lt;22,$BC1531=(Elig_MatchAll_Ct-1),AT1531=0),Q1531,0)</f>
        <v>0</v>
      </c>
      <c r="BW1531" s="993">
        <f>IF(AND(Input_Product=Elig!$C1531,Elig_MatchAll_Ct&lt;22,$BC1531=(Elig_MatchAll_Ct-1),AU1531=0),R1531,0)</f>
        <v>0</v>
      </c>
      <c r="BX1531" s="994">
        <f>IF(AND(Input_Product=Elig!$C1531,Elig_MatchAll_Ct&lt;22,$BC1531=(Elig_MatchAll_Ct-1),AU1531=0),S1531,0)</f>
        <v>0</v>
      </c>
      <c r="BY1531" s="993">
        <f>IF(AND(Input_Product=Elig!$C1531,Elig_MatchAll_Ct&lt;22,$BC1531=(Elig_MatchAll_Ct-1),AV1531=0),T1531,0)</f>
        <v>0</v>
      </c>
      <c r="BZ1531" s="994">
        <f>IF(AND(Input_Product=Elig!$C1531,Elig_MatchAll_Ct&lt;22,$BC1531=(Elig_MatchAll_Ct-1),AV1531=0),U1531,0)</f>
        <v>0</v>
      </c>
      <c r="CA1531" s="993">
        <f>IF(AND(Input_Product=Elig!$C1531,Elig_MatchAll_Ct&lt;22,$BC1531=(Elig_MatchAll_Ct-1),AW1531=0),V1531,0)</f>
        <v>0</v>
      </c>
      <c r="CB1531" s="994">
        <f>IF(AND(Input_Product=Elig!$C1531,Elig_MatchAll_Ct&lt;22,$BC1531=(Elig_MatchAll_Ct-1),AW1531=0),W1531,0)</f>
        <v>0</v>
      </c>
      <c r="CC1531" s="993">
        <f>IF(AND(Input_Product=Elig!$C1531,Elig_MatchAll_Ct&lt;22,$BC1531=(Elig_MatchAll_Ct-1),AX1531=0),X1531,0)</f>
        <v>0</v>
      </c>
      <c r="CD1531" s="994">
        <f>IF(AND(Input_Product=Elig!$C1531,Elig_MatchAll_Ct&lt;22,$BC1531=(Elig_MatchAll_Ct-1),AX1531=0),Y1531,0)</f>
        <v>0</v>
      </c>
      <c r="CE1531" s="993">
        <f>IF(AND(Input_LTV&lt;=AE1531,Input_Product=Elig!$C1531,Elig_MatchAll_Ct&lt;22,$BC1531=(Elig_MatchAll_Ct-1),AY1531=0),Z1531,0)</f>
        <v>0</v>
      </c>
      <c r="CF1531" s="994">
        <f>IF(AND(Input_LTV&lt;=AE1531,Input_Product=Elig!$C1531,Elig_MatchAll_Ct&lt;22,$BC1531=(Elig_MatchAll_Ct-1),AY1531=0),AA1531,0)</f>
        <v>0</v>
      </c>
      <c r="CG1531" s="993">
        <f>IF(AND(Input_Product=Elig!$C1531,Elig_MatchAll_Ct&lt;22,$BC1531=(Elig_MatchAll_Ct-1),AZ1531=0),AB1531,0)</f>
        <v>0</v>
      </c>
      <c r="CH1531" s="994">
        <f>IF(AND(Input_Product=Elig!$C1531,Elig_MatchAll_Ct&lt;22,$BC1531=(Elig_MatchAll_Ct-1),AZ1531=0),AC1531,0)</f>
        <v>0</v>
      </c>
      <c r="CI1531" s="993">
        <f>IF(AND(Input_Product=Elig!$C1531,Elig_MatchAll_Ct&lt;22,$BC1531=(Elig_MatchAll_Ct-1),BA1531=0),AD1531,0)</f>
        <v>0</v>
      </c>
      <c r="CJ1531" s="994">
        <f>IF(AND(Input_Product=Elig!$C1531,Elig_MatchAll_Ct&lt;22,$BC1531=(Elig_MatchAll_Ct-1),BA1531=0),AE1531,0)</f>
        <v>0</v>
      </c>
    </row>
    <row r="1532" spans="2:88" ht="10.15" customHeight="1" x14ac:dyDescent="0.25">
      <c r="B1532" s="1567" t="s">
        <v>2880</v>
      </c>
      <c r="C1532" s="1567" t="str">
        <f t="shared" si="513"/>
        <v xml:space="preserve">  NOO</v>
      </c>
      <c r="D1532" s="1567" t="s">
        <v>2764</v>
      </c>
      <c r="E1532" s="1567" t="s">
        <v>167</v>
      </c>
      <c r="F1532" s="1567" t="s">
        <v>330</v>
      </c>
      <c r="G1532" s="1567" t="s">
        <v>181</v>
      </c>
      <c r="H1532" s="1567" t="s">
        <v>136</v>
      </c>
      <c r="I1532" s="1568" t="s">
        <v>35</v>
      </c>
      <c r="J1532" s="1568" t="s">
        <v>1311</v>
      </c>
      <c r="K1532" s="1568" t="s">
        <v>3023</v>
      </c>
      <c r="L1532" s="1567" t="s">
        <v>312</v>
      </c>
      <c r="M1532" s="1567" t="s">
        <v>4204</v>
      </c>
      <c r="N1532" s="1567" t="s">
        <v>2685</v>
      </c>
      <c r="O1532" s="1567" t="s">
        <v>310</v>
      </c>
      <c r="P1532" s="1567" t="s">
        <v>291</v>
      </c>
      <c r="Q1532" s="1567" t="s">
        <v>294</v>
      </c>
      <c r="R1532" s="1567">
        <v>1000000.01</v>
      </c>
      <c r="S1532" s="1567">
        <v>1500000</v>
      </c>
      <c r="T1532" s="1567">
        <v>0</v>
      </c>
      <c r="U1532" s="1567">
        <v>0</v>
      </c>
      <c r="V1532" s="1567">
        <v>0</v>
      </c>
      <c r="W1532" s="1567">
        <v>0</v>
      </c>
      <c r="X1532" s="1567">
        <v>1</v>
      </c>
      <c r="Y1532" s="1567">
        <v>999</v>
      </c>
      <c r="Z1532" s="1569">
        <v>660</v>
      </c>
      <c r="AA1532" s="1569">
        <v>699</v>
      </c>
      <c r="AB1532" s="1569">
        <v>2</v>
      </c>
      <c r="AC1532" s="1569">
        <v>999999</v>
      </c>
      <c r="AD1532" s="1567">
        <v>0</v>
      </c>
      <c r="AE1532" s="1570">
        <v>70</v>
      </c>
      <c r="AF1532" s="170">
        <v>0</v>
      </c>
      <c r="AG1532" s="171">
        <v>1</v>
      </c>
      <c r="AH1532" s="171">
        <v>1</v>
      </c>
      <c r="AI1532" s="171">
        <v>0</v>
      </c>
      <c r="AJ1532" s="171">
        <v>0</v>
      </c>
      <c r="AK1532" s="171">
        <v>1</v>
      </c>
      <c r="AL1532" s="171">
        <v>0</v>
      </c>
      <c r="AM1532" s="171">
        <v>1</v>
      </c>
      <c r="AN1532" s="171">
        <v>1</v>
      </c>
      <c r="AO1532" s="171">
        <v>1</v>
      </c>
      <c r="AP1532" s="171">
        <v>1</v>
      </c>
      <c r="AQ1532" s="171">
        <v>1</v>
      </c>
      <c r="AR1532" s="171">
        <v>1</v>
      </c>
      <c r="AS1532" s="171">
        <v>1</v>
      </c>
      <c r="AT1532" s="171">
        <v>1</v>
      </c>
      <c r="AU1532" s="171">
        <f t="shared" si="515"/>
        <v>0</v>
      </c>
      <c r="AV1532" s="171">
        <f t="shared" si="516"/>
        <v>0</v>
      </c>
      <c r="AW1532" s="171">
        <f t="shared" si="517"/>
        <v>0</v>
      </c>
      <c r="AX1532" s="171">
        <f t="shared" si="512"/>
        <v>0</v>
      </c>
      <c r="AY1532" s="171">
        <f t="shared" si="518"/>
        <v>0</v>
      </c>
      <c r="AZ1532" s="171">
        <f t="shared" si="519"/>
        <v>1</v>
      </c>
      <c r="BA1532" s="172">
        <f t="shared" si="520"/>
        <v>1</v>
      </c>
      <c r="BB1532" s="175">
        <f t="shared" si="521"/>
        <v>13</v>
      </c>
      <c r="BC1532" s="176">
        <f t="shared" si="522"/>
        <v>12</v>
      </c>
      <c r="BD1532" s="176">
        <f t="shared" si="523"/>
        <v>13</v>
      </c>
      <c r="BE1532" s="240" t="str">
        <f t="shared" si="514"/>
        <v/>
      </c>
      <c r="BF1532" s="990"/>
      <c r="BG1532" s="990"/>
      <c r="BH1532" s="991">
        <f>IF(AND(Input_Product=Elig!$C1532,Elig_MatchAll_Ct&lt;22,$BC1532=(Elig_MatchAll_Ct-1),AF1532=0),C1532,0)</f>
        <v>0</v>
      </c>
      <c r="BI1532" s="991">
        <f>IF(AND(Input_Product=Elig!$C1532,Elig_MatchAll_Ct&lt;22,$BC1532=(Elig_MatchAll_Ct-1),AG1532=0),D1532,0)</f>
        <v>0</v>
      </c>
      <c r="BJ1532" s="991">
        <f>IF(AND(Input_Product=Elig!$C1532,Elig_MatchAll_Ct&lt;22,$BC1532=(Elig_MatchAll_Ct-1),AH1532=0),E1532,0)</f>
        <v>0</v>
      </c>
      <c r="BK1532" s="991">
        <f>IF(AND(Input_Product=Elig!$C1532,Elig_MatchAll_Ct&lt;22,$BC1532=(Elig_MatchAll_Ct-1),AI1532=0),F1532,0)</f>
        <v>0</v>
      </c>
      <c r="BL1532" s="991">
        <f>IF(AND(Input_Product=Elig!$C1532,Elig_MatchAll_Ct&lt;22,$BC1532=(Elig_MatchAll_Ct-1),AJ1532=0),G1532,0)</f>
        <v>0</v>
      </c>
      <c r="BM1532" s="991">
        <f>IF(AND(Input_Product=Elig!$C1532,Elig_MatchAll_Ct&lt;22,$BC1532=(Elig_MatchAll_Ct-1),AK1532=0),H1532,0)</f>
        <v>0</v>
      </c>
      <c r="BN1532" s="991">
        <f>IF(AND(Input_Product=Elig!$C1532,Elig_MatchAll_Ct&lt;22,$BC1532=(Elig_MatchAll_Ct-1),AL1532=0),I1532,0)</f>
        <v>0</v>
      </c>
      <c r="BO1532" s="991">
        <f>IF(AND(Input_Product=Elig!$C1532,Elig_MatchAll_Ct&lt;22,$BC1532=(Elig_MatchAll_Ct-1),AM1532=0),J1532,0)</f>
        <v>0</v>
      </c>
      <c r="BP1532" s="991">
        <f>IF(AND(Input_Product=Elig!$C1532,Elig_MatchAll_Ct&lt;22,$BC1532=(Elig_MatchAll_Ct-1),AN1532=0),K1532,0)</f>
        <v>0</v>
      </c>
      <c r="BQ1532" s="991">
        <f>IF(AND(Input_Product=Elig!$C1532,Elig_MatchAll_Ct&lt;22,$BC1532=(Elig_MatchAll_Ct-1),AP1532=0),L1532,0)</f>
        <v>0</v>
      </c>
      <c r="BR1532" s="991">
        <f>IF(AND(Input_Product=Elig!$C1532,Elig_MatchAll_Ct&lt;22,$BC1532=(Elig_MatchAll_Ct-1),AO1532=0),M1532,0)</f>
        <v>0</v>
      </c>
      <c r="BS1532" s="991">
        <f>IF(AND(Input_Product=Elig!$C1532,Elig_MatchAll_Ct&lt;22,$BC1532=(Elig_MatchAll_Ct-1),AQ1532=0),N1532,0)</f>
        <v>0</v>
      </c>
      <c r="BT1532" s="991">
        <f>IF(AND(Input_Product=Elig!$C1532,Elig_MatchAll_Ct&lt;22,$BC1532=(Elig_MatchAll_Ct-1),AR1532=0),O1532,0)</f>
        <v>0</v>
      </c>
      <c r="BU1532" s="991">
        <f>IF(AND(Input_Product=Elig!$C1532,Elig_MatchAll_Ct&lt;22,$BC1532=(Elig_MatchAll_Ct-1),AS1532=0),P1532,0)</f>
        <v>0</v>
      </c>
      <c r="BV1532" s="992">
        <f>IF(AND(Input_Product=Elig!$C1532,Elig_MatchAll_Ct&lt;22,$BC1532=(Elig_MatchAll_Ct-1),AT1532=0),Q1532,0)</f>
        <v>0</v>
      </c>
      <c r="BW1532" s="993">
        <f>IF(AND(Input_Product=Elig!$C1532,Elig_MatchAll_Ct&lt;22,$BC1532=(Elig_MatchAll_Ct-1),AU1532=0),R1532,0)</f>
        <v>0</v>
      </c>
      <c r="BX1532" s="994">
        <f>IF(AND(Input_Product=Elig!$C1532,Elig_MatchAll_Ct&lt;22,$BC1532=(Elig_MatchAll_Ct-1),AU1532=0),S1532,0)</f>
        <v>0</v>
      </c>
      <c r="BY1532" s="993">
        <f>IF(AND(Input_Product=Elig!$C1532,Elig_MatchAll_Ct&lt;22,$BC1532=(Elig_MatchAll_Ct-1),AV1532=0),T1532,0)</f>
        <v>0</v>
      </c>
      <c r="BZ1532" s="994">
        <f>IF(AND(Input_Product=Elig!$C1532,Elig_MatchAll_Ct&lt;22,$BC1532=(Elig_MatchAll_Ct-1),AV1532=0),U1532,0)</f>
        <v>0</v>
      </c>
      <c r="CA1532" s="993">
        <f>IF(AND(Input_Product=Elig!$C1532,Elig_MatchAll_Ct&lt;22,$BC1532=(Elig_MatchAll_Ct-1),AW1532=0),V1532,0)</f>
        <v>0</v>
      </c>
      <c r="CB1532" s="994">
        <f>IF(AND(Input_Product=Elig!$C1532,Elig_MatchAll_Ct&lt;22,$BC1532=(Elig_MatchAll_Ct-1),AW1532=0),W1532,0)</f>
        <v>0</v>
      </c>
      <c r="CC1532" s="993">
        <f>IF(AND(Input_Product=Elig!$C1532,Elig_MatchAll_Ct&lt;22,$BC1532=(Elig_MatchAll_Ct-1),AX1532=0),X1532,0)</f>
        <v>0</v>
      </c>
      <c r="CD1532" s="994">
        <f>IF(AND(Input_Product=Elig!$C1532,Elig_MatchAll_Ct&lt;22,$BC1532=(Elig_MatchAll_Ct-1),AX1532=0),Y1532,0)</f>
        <v>0</v>
      </c>
      <c r="CE1532" s="993">
        <f>IF(AND(Input_LTV&lt;=AE1532,Input_Product=Elig!$C1532,Elig_MatchAll_Ct&lt;22,$BC1532=(Elig_MatchAll_Ct-1),AY1532=0),Z1532,0)</f>
        <v>0</v>
      </c>
      <c r="CF1532" s="994">
        <f>IF(AND(Input_LTV&lt;=AE1532,Input_Product=Elig!$C1532,Elig_MatchAll_Ct&lt;22,$BC1532=(Elig_MatchAll_Ct-1),AY1532=0),AA1532,0)</f>
        <v>0</v>
      </c>
      <c r="CG1532" s="993">
        <f>IF(AND(Input_Product=Elig!$C1532,Elig_MatchAll_Ct&lt;22,$BC1532=(Elig_MatchAll_Ct-1),AZ1532=0),AB1532,0)</f>
        <v>0</v>
      </c>
      <c r="CH1532" s="994">
        <f>IF(AND(Input_Product=Elig!$C1532,Elig_MatchAll_Ct&lt;22,$BC1532=(Elig_MatchAll_Ct-1),AZ1532=0),AC1532,0)</f>
        <v>0</v>
      </c>
      <c r="CI1532" s="993">
        <f>IF(AND(Input_Product=Elig!$C1532,Elig_MatchAll_Ct&lt;22,$BC1532=(Elig_MatchAll_Ct-1),BA1532=0),AD1532,0)</f>
        <v>0</v>
      </c>
      <c r="CJ1532" s="994">
        <f>IF(AND(Input_Product=Elig!$C1532,Elig_MatchAll_Ct&lt;22,$BC1532=(Elig_MatchAll_Ct-1),BA1532=0),AE1532,0)</f>
        <v>0</v>
      </c>
    </row>
    <row r="1533" spans="2:88" ht="10.15" customHeight="1" x14ac:dyDescent="0.25">
      <c r="B1533" s="1567" t="s">
        <v>2881</v>
      </c>
      <c r="C1533" s="1567" t="str">
        <f t="shared" si="513"/>
        <v xml:space="preserve">  NOO</v>
      </c>
      <c r="D1533" s="1567" t="s">
        <v>2764</v>
      </c>
      <c r="E1533" s="1567" t="s">
        <v>167</v>
      </c>
      <c r="F1533" s="1567" t="s">
        <v>330</v>
      </c>
      <c r="G1533" s="1567" t="s">
        <v>181</v>
      </c>
      <c r="H1533" s="1567" t="s">
        <v>136</v>
      </c>
      <c r="I1533" s="1568" t="s">
        <v>35</v>
      </c>
      <c r="J1533" s="1568" t="s">
        <v>1311</v>
      </c>
      <c r="K1533" s="1568" t="s">
        <v>3023</v>
      </c>
      <c r="L1533" s="1567" t="s">
        <v>312</v>
      </c>
      <c r="M1533" s="1567" t="s">
        <v>4204</v>
      </c>
      <c r="N1533" s="1567" t="s">
        <v>2685</v>
      </c>
      <c r="O1533" s="1567" t="s">
        <v>310</v>
      </c>
      <c r="P1533" s="1567" t="s">
        <v>291</v>
      </c>
      <c r="Q1533" s="1567" t="s">
        <v>294</v>
      </c>
      <c r="R1533" s="1567">
        <v>1500000.01</v>
      </c>
      <c r="S1533" s="1567">
        <v>2000000</v>
      </c>
      <c r="T1533" s="1567">
        <v>0</v>
      </c>
      <c r="U1533" s="1567">
        <v>0</v>
      </c>
      <c r="V1533" s="1567">
        <v>0</v>
      </c>
      <c r="W1533" s="1567">
        <v>0</v>
      </c>
      <c r="X1533" s="1567">
        <v>1</v>
      </c>
      <c r="Y1533" s="1567">
        <v>999</v>
      </c>
      <c r="Z1533" s="1569">
        <v>660</v>
      </c>
      <c r="AA1533" s="1569">
        <v>699</v>
      </c>
      <c r="AB1533" s="1569">
        <v>2</v>
      </c>
      <c r="AC1533" s="1569">
        <v>999999</v>
      </c>
      <c r="AD1533" s="1567">
        <v>0</v>
      </c>
      <c r="AE1533" s="1570">
        <v>65</v>
      </c>
      <c r="AF1533" s="170">
        <v>0</v>
      </c>
      <c r="AG1533" s="171">
        <v>1</v>
      </c>
      <c r="AH1533" s="171">
        <v>1</v>
      </c>
      <c r="AI1533" s="171">
        <v>0</v>
      </c>
      <c r="AJ1533" s="171">
        <v>0</v>
      </c>
      <c r="AK1533" s="171">
        <v>1</v>
      </c>
      <c r="AL1533" s="171">
        <v>0</v>
      </c>
      <c r="AM1533" s="171">
        <v>1</v>
      </c>
      <c r="AN1533" s="171">
        <v>1</v>
      </c>
      <c r="AO1533" s="171">
        <v>1</v>
      </c>
      <c r="AP1533" s="171">
        <v>1</v>
      </c>
      <c r="AQ1533" s="171">
        <v>1</v>
      </c>
      <c r="AR1533" s="171">
        <v>1</v>
      </c>
      <c r="AS1533" s="171">
        <v>1</v>
      </c>
      <c r="AT1533" s="171">
        <v>1</v>
      </c>
      <c r="AU1533" s="171">
        <f t="shared" si="515"/>
        <v>0</v>
      </c>
      <c r="AV1533" s="171">
        <f t="shared" si="516"/>
        <v>0</v>
      </c>
      <c r="AW1533" s="171">
        <f t="shared" si="517"/>
        <v>0</v>
      </c>
      <c r="AX1533" s="171">
        <f t="shared" si="512"/>
        <v>0</v>
      </c>
      <c r="AY1533" s="171">
        <f t="shared" si="518"/>
        <v>0</v>
      </c>
      <c r="AZ1533" s="171">
        <f t="shared" si="519"/>
        <v>1</v>
      </c>
      <c r="BA1533" s="172">
        <f t="shared" si="520"/>
        <v>1</v>
      </c>
      <c r="BB1533" s="175">
        <f t="shared" si="521"/>
        <v>13</v>
      </c>
      <c r="BC1533" s="176">
        <f t="shared" si="522"/>
        <v>12</v>
      </c>
      <c r="BD1533" s="176">
        <f t="shared" si="523"/>
        <v>13</v>
      </c>
      <c r="BE1533" s="240" t="str">
        <f t="shared" si="514"/>
        <v/>
      </c>
      <c r="BF1533" s="990"/>
      <c r="BG1533" s="990"/>
      <c r="BH1533" s="991">
        <f>IF(AND(Input_Product=Elig!$C1533,Elig_MatchAll_Ct&lt;22,$BC1533=(Elig_MatchAll_Ct-1),AF1533=0),C1533,0)</f>
        <v>0</v>
      </c>
      <c r="BI1533" s="991">
        <f>IF(AND(Input_Product=Elig!$C1533,Elig_MatchAll_Ct&lt;22,$BC1533=(Elig_MatchAll_Ct-1),AG1533=0),D1533,0)</f>
        <v>0</v>
      </c>
      <c r="BJ1533" s="991">
        <f>IF(AND(Input_Product=Elig!$C1533,Elig_MatchAll_Ct&lt;22,$BC1533=(Elig_MatchAll_Ct-1),AH1533=0),E1533,0)</f>
        <v>0</v>
      </c>
      <c r="BK1533" s="991">
        <f>IF(AND(Input_Product=Elig!$C1533,Elig_MatchAll_Ct&lt;22,$BC1533=(Elig_MatchAll_Ct-1),AI1533=0),F1533,0)</f>
        <v>0</v>
      </c>
      <c r="BL1533" s="991">
        <f>IF(AND(Input_Product=Elig!$C1533,Elig_MatchAll_Ct&lt;22,$BC1533=(Elig_MatchAll_Ct-1),AJ1533=0),G1533,0)</f>
        <v>0</v>
      </c>
      <c r="BM1533" s="991">
        <f>IF(AND(Input_Product=Elig!$C1533,Elig_MatchAll_Ct&lt;22,$BC1533=(Elig_MatchAll_Ct-1),AK1533=0),H1533,0)</f>
        <v>0</v>
      </c>
      <c r="BN1533" s="991">
        <f>IF(AND(Input_Product=Elig!$C1533,Elig_MatchAll_Ct&lt;22,$BC1533=(Elig_MatchAll_Ct-1),AL1533=0),I1533,0)</f>
        <v>0</v>
      </c>
      <c r="BO1533" s="991">
        <f>IF(AND(Input_Product=Elig!$C1533,Elig_MatchAll_Ct&lt;22,$BC1533=(Elig_MatchAll_Ct-1),AM1533=0),J1533,0)</f>
        <v>0</v>
      </c>
      <c r="BP1533" s="991">
        <f>IF(AND(Input_Product=Elig!$C1533,Elig_MatchAll_Ct&lt;22,$BC1533=(Elig_MatchAll_Ct-1),AN1533=0),K1533,0)</f>
        <v>0</v>
      </c>
      <c r="BQ1533" s="991">
        <f>IF(AND(Input_Product=Elig!$C1533,Elig_MatchAll_Ct&lt;22,$BC1533=(Elig_MatchAll_Ct-1),AP1533=0),L1533,0)</f>
        <v>0</v>
      </c>
      <c r="BR1533" s="991">
        <f>IF(AND(Input_Product=Elig!$C1533,Elig_MatchAll_Ct&lt;22,$BC1533=(Elig_MatchAll_Ct-1),AO1533=0),M1533,0)</f>
        <v>0</v>
      </c>
      <c r="BS1533" s="991">
        <f>IF(AND(Input_Product=Elig!$C1533,Elig_MatchAll_Ct&lt;22,$BC1533=(Elig_MatchAll_Ct-1),AQ1533=0),N1533,0)</f>
        <v>0</v>
      </c>
      <c r="BT1533" s="991">
        <f>IF(AND(Input_Product=Elig!$C1533,Elig_MatchAll_Ct&lt;22,$BC1533=(Elig_MatchAll_Ct-1),AR1533=0),O1533,0)</f>
        <v>0</v>
      </c>
      <c r="BU1533" s="991">
        <f>IF(AND(Input_Product=Elig!$C1533,Elig_MatchAll_Ct&lt;22,$BC1533=(Elig_MatchAll_Ct-1),AS1533=0),P1533,0)</f>
        <v>0</v>
      </c>
      <c r="BV1533" s="992">
        <f>IF(AND(Input_Product=Elig!$C1533,Elig_MatchAll_Ct&lt;22,$BC1533=(Elig_MatchAll_Ct-1),AT1533=0),Q1533,0)</f>
        <v>0</v>
      </c>
      <c r="BW1533" s="993">
        <f>IF(AND(Input_Product=Elig!$C1533,Elig_MatchAll_Ct&lt;22,$BC1533=(Elig_MatchAll_Ct-1),AU1533=0),R1533,0)</f>
        <v>0</v>
      </c>
      <c r="BX1533" s="994">
        <f>IF(AND(Input_Product=Elig!$C1533,Elig_MatchAll_Ct&lt;22,$BC1533=(Elig_MatchAll_Ct-1),AU1533=0),S1533,0)</f>
        <v>0</v>
      </c>
      <c r="BY1533" s="993">
        <f>IF(AND(Input_Product=Elig!$C1533,Elig_MatchAll_Ct&lt;22,$BC1533=(Elig_MatchAll_Ct-1),AV1533=0),T1533,0)</f>
        <v>0</v>
      </c>
      <c r="BZ1533" s="994">
        <f>IF(AND(Input_Product=Elig!$C1533,Elig_MatchAll_Ct&lt;22,$BC1533=(Elig_MatchAll_Ct-1),AV1533=0),U1533,0)</f>
        <v>0</v>
      </c>
      <c r="CA1533" s="993">
        <f>IF(AND(Input_Product=Elig!$C1533,Elig_MatchAll_Ct&lt;22,$BC1533=(Elig_MatchAll_Ct-1),AW1533=0),V1533,0)</f>
        <v>0</v>
      </c>
      <c r="CB1533" s="994">
        <f>IF(AND(Input_Product=Elig!$C1533,Elig_MatchAll_Ct&lt;22,$BC1533=(Elig_MatchAll_Ct-1),AW1533=0),W1533,0)</f>
        <v>0</v>
      </c>
      <c r="CC1533" s="993">
        <f>IF(AND(Input_Product=Elig!$C1533,Elig_MatchAll_Ct&lt;22,$BC1533=(Elig_MatchAll_Ct-1),AX1533=0),X1533,0)</f>
        <v>0</v>
      </c>
      <c r="CD1533" s="994">
        <f>IF(AND(Input_Product=Elig!$C1533,Elig_MatchAll_Ct&lt;22,$BC1533=(Elig_MatchAll_Ct-1),AX1533=0),Y1533,0)</f>
        <v>0</v>
      </c>
      <c r="CE1533" s="993">
        <f>IF(AND(Input_LTV&lt;=AE1533,Input_Product=Elig!$C1533,Elig_MatchAll_Ct&lt;22,$BC1533=(Elig_MatchAll_Ct-1),AY1533=0),Z1533,0)</f>
        <v>0</v>
      </c>
      <c r="CF1533" s="994">
        <f>IF(AND(Input_LTV&lt;=AE1533,Input_Product=Elig!$C1533,Elig_MatchAll_Ct&lt;22,$BC1533=(Elig_MatchAll_Ct-1),AY1533=0),AA1533,0)</f>
        <v>0</v>
      </c>
      <c r="CG1533" s="993">
        <f>IF(AND(Input_Product=Elig!$C1533,Elig_MatchAll_Ct&lt;22,$BC1533=(Elig_MatchAll_Ct-1),AZ1533=0),AB1533,0)</f>
        <v>0</v>
      </c>
      <c r="CH1533" s="994">
        <f>IF(AND(Input_Product=Elig!$C1533,Elig_MatchAll_Ct&lt;22,$BC1533=(Elig_MatchAll_Ct-1),AZ1533=0),AC1533,0)</f>
        <v>0</v>
      </c>
      <c r="CI1533" s="993">
        <f>IF(AND(Input_Product=Elig!$C1533,Elig_MatchAll_Ct&lt;22,$BC1533=(Elig_MatchAll_Ct-1),BA1533=0),AD1533,0)</f>
        <v>0</v>
      </c>
      <c r="CJ1533" s="994">
        <f>IF(AND(Input_Product=Elig!$C1533,Elig_MatchAll_Ct&lt;22,$BC1533=(Elig_MatchAll_Ct-1),BA1533=0),AE1533,0)</f>
        <v>0</v>
      </c>
    </row>
    <row r="1534" spans="2:88" ht="10.15" customHeight="1" x14ac:dyDescent="0.25">
      <c r="B1534" s="1567" t="s">
        <v>2882</v>
      </c>
      <c r="C1534" s="1567" t="str">
        <f t="shared" ref="C1534:C1553" si="524">Input_Name_Product18&amp;" NOO"</f>
        <v xml:space="preserve">  NOO</v>
      </c>
      <c r="D1534" s="1567" t="s">
        <v>2764</v>
      </c>
      <c r="E1534" s="1567" t="s">
        <v>167</v>
      </c>
      <c r="F1534" s="1567" t="s">
        <v>330</v>
      </c>
      <c r="G1534" s="1567" t="s">
        <v>181</v>
      </c>
      <c r="H1534" s="1567" t="s">
        <v>136</v>
      </c>
      <c r="I1534" s="1568" t="s">
        <v>35</v>
      </c>
      <c r="J1534" s="1568" t="s">
        <v>1311</v>
      </c>
      <c r="K1534" s="1568" t="s">
        <v>3023</v>
      </c>
      <c r="L1534" s="1567" t="s">
        <v>312</v>
      </c>
      <c r="M1534" s="1567" t="s">
        <v>4204</v>
      </c>
      <c r="N1534" s="1567" t="s">
        <v>2685</v>
      </c>
      <c r="O1534" s="1567" t="s">
        <v>310</v>
      </c>
      <c r="P1534" s="1567" t="s">
        <v>291</v>
      </c>
      <c r="Q1534" s="1567" t="s">
        <v>294</v>
      </c>
      <c r="R1534" s="1567">
        <v>2000000.01</v>
      </c>
      <c r="S1534" s="1567">
        <v>2500000</v>
      </c>
      <c r="T1534" s="1567">
        <v>0</v>
      </c>
      <c r="U1534" s="1567">
        <v>0</v>
      </c>
      <c r="V1534" s="1567">
        <v>0</v>
      </c>
      <c r="W1534" s="1567">
        <v>0</v>
      </c>
      <c r="X1534" s="1567">
        <v>1</v>
      </c>
      <c r="Y1534" s="1567">
        <v>999</v>
      </c>
      <c r="Z1534" s="1569">
        <v>660</v>
      </c>
      <c r="AA1534" s="1569">
        <v>699</v>
      </c>
      <c r="AB1534" s="1569">
        <v>2</v>
      </c>
      <c r="AC1534" s="1569">
        <v>999999</v>
      </c>
      <c r="AD1534" s="1567">
        <v>0</v>
      </c>
      <c r="AE1534" s="1570">
        <v>65</v>
      </c>
      <c r="AF1534" s="170">
        <v>0</v>
      </c>
      <c r="AG1534" s="171">
        <v>1</v>
      </c>
      <c r="AH1534" s="171">
        <v>1</v>
      </c>
      <c r="AI1534" s="171">
        <v>0</v>
      </c>
      <c r="AJ1534" s="171">
        <v>0</v>
      </c>
      <c r="AK1534" s="171">
        <v>1</v>
      </c>
      <c r="AL1534" s="171">
        <v>0</v>
      </c>
      <c r="AM1534" s="171">
        <v>1</v>
      </c>
      <c r="AN1534" s="171">
        <v>1</v>
      </c>
      <c r="AO1534" s="171">
        <v>1</v>
      </c>
      <c r="AP1534" s="171">
        <v>1</v>
      </c>
      <c r="AQ1534" s="171">
        <v>1</v>
      </c>
      <c r="AR1534" s="171">
        <v>1</v>
      </c>
      <c r="AS1534" s="171">
        <v>1</v>
      </c>
      <c r="AT1534" s="171">
        <v>1</v>
      </c>
      <c r="AU1534" s="171">
        <f t="shared" si="515"/>
        <v>0</v>
      </c>
      <c r="AV1534" s="171">
        <f t="shared" si="516"/>
        <v>0</v>
      </c>
      <c r="AW1534" s="171">
        <f t="shared" si="517"/>
        <v>0</v>
      </c>
      <c r="AX1534" s="171">
        <f t="shared" si="512"/>
        <v>0</v>
      </c>
      <c r="AY1534" s="171">
        <f t="shared" si="518"/>
        <v>0</v>
      </c>
      <c r="AZ1534" s="171">
        <f t="shared" si="519"/>
        <v>1</v>
      </c>
      <c r="BA1534" s="172">
        <f t="shared" si="520"/>
        <v>1</v>
      </c>
      <c r="BB1534" s="175">
        <f t="shared" si="521"/>
        <v>13</v>
      </c>
      <c r="BC1534" s="176">
        <f t="shared" si="522"/>
        <v>12</v>
      </c>
      <c r="BD1534" s="176">
        <f t="shared" si="523"/>
        <v>13</v>
      </c>
      <c r="BE1534" s="240" t="str">
        <f t="shared" si="514"/>
        <v/>
      </c>
      <c r="BF1534" s="990"/>
      <c r="BG1534" s="990"/>
      <c r="BH1534" s="991">
        <f>IF(AND(Input_Product=Elig!$C1534,Elig_MatchAll_Ct&lt;22,$BC1534=(Elig_MatchAll_Ct-1),AF1534=0),C1534,0)</f>
        <v>0</v>
      </c>
      <c r="BI1534" s="991">
        <f>IF(AND(Input_Product=Elig!$C1534,Elig_MatchAll_Ct&lt;22,$BC1534=(Elig_MatchAll_Ct-1),AG1534=0),D1534,0)</f>
        <v>0</v>
      </c>
      <c r="BJ1534" s="991">
        <f>IF(AND(Input_Product=Elig!$C1534,Elig_MatchAll_Ct&lt;22,$BC1534=(Elig_MatchAll_Ct-1),AH1534=0),E1534,0)</f>
        <v>0</v>
      </c>
      <c r="BK1534" s="991">
        <f>IF(AND(Input_Product=Elig!$C1534,Elig_MatchAll_Ct&lt;22,$BC1534=(Elig_MatchAll_Ct-1),AI1534=0),F1534,0)</f>
        <v>0</v>
      </c>
      <c r="BL1534" s="991">
        <f>IF(AND(Input_Product=Elig!$C1534,Elig_MatchAll_Ct&lt;22,$BC1534=(Elig_MatchAll_Ct-1),AJ1534=0),G1534,0)</f>
        <v>0</v>
      </c>
      <c r="BM1534" s="991">
        <f>IF(AND(Input_Product=Elig!$C1534,Elig_MatchAll_Ct&lt;22,$BC1534=(Elig_MatchAll_Ct-1),AK1534=0),H1534,0)</f>
        <v>0</v>
      </c>
      <c r="BN1534" s="991">
        <f>IF(AND(Input_Product=Elig!$C1534,Elig_MatchAll_Ct&lt;22,$BC1534=(Elig_MatchAll_Ct-1),AL1534=0),I1534,0)</f>
        <v>0</v>
      </c>
      <c r="BO1534" s="991">
        <f>IF(AND(Input_Product=Elig!$C1534,Elig_MatchAll_Ct&lt;22,$BC1534=(Elig_MatchAll_Ct-1),AM1534=0),J1534,0)</f>
        <v>0</v>
      </c>
      <c r="BP1534" s="991">
        <f>IF(AND(Input_Product=Elig!$C1534,Elig_MatchAll_Ct&lt;22,$BC1534=(Elig_MatchAll_Ct-1),AN1534=0),K1534,0)</f>
        <v>0</v>
      </c>
      <c r="BQ1534" s="991">
        <f>IF(AND(Input_Product=Elig!$C1534,Elig_MatchAll_Ct&lt;22,$BC1534=(Elig_MatchAll_Ct-1),AP1534=0),L1534,0)</f>
        <v>0</v>
      </c>
      <c r="BR1534" s="991">
        <f>IF(AND(Input_Product=Elig!$C1534,Elig_MatchAll_Ct&lt;22,$BC1534=(Elig_MatchAll_Ct-1),AO1534=0),M1534,0)</f>
        <v>0</v>
      </c>
      <c r="BS1534" s="991">
        <f>IF(AND(Input_Product=Elig!$C1534,Elig_MatchAll_Ct&lt;22,$BC1534=(Elig_MatchAll_Ct-1),AQ1534=0),N1534,0)</f>
        <v>0</v>
      </c>
      <c r="BT1534" s="991">
        <f>IF(AND(Input_Product=Elig!$C1534,Elig_MatchAll_Ct&lt;22,$BC1534=(Elig_MatchAll_Ct-1),AR1534=0),O1534,0)</f>
        <v>0</v>
      </c>
      <c r="BU1534" s="991">
        <f>IF(AND(Input_Product=Elig!$C1534,Elig_MatchAll_Ct&lt;22,$BC1534=(Elig_MatchAll_Ct-1),AS1534=0),P1534,0)</f>
        <v>0</v>
      </c>
      <c r="BV1534" s="992">
        <f>IF(AND(Input_Product=Elig!$C1534,Elig_MatchAll_Ct&lt;22,$BC1534=(Elig_MatchAll_Ct-1),AT1534=0),Q1534,0)</f>
        <v>0</v>
      </c>
      <c r="BW1534" s="993">
        <f>IF(AND(Input_Product=Elig!$C1534,Elig_MatchAll_Ct&lt;22,$BC1534=(Elig_MatchAll_Ct-1),AU1534=0),R1534,0)</f>
        <v>0</v>
      </c>
      <c r="BX1534" s="994">
        <f>IF(AND(Input_Product=Elig!$C1534,Elig_MatchAll_Ct&lt;22,$BC1534=(Elig_MatchAll_Ct-1),AU1534=0),S1534,0)</f>
        <v>0</v>
      </c>
      <c r="BY1534" s="993">
        <f>IF(AND(Input_Product=Elig!$C1534,Elig_MatchAll_Ct&lt;22,$BC1534=(Elig_MatchAll_Ct-1),AV1534=0),T1534,0)</f>
        <v>0</v>
      </c>
      <c r="BZ1534" s="994">
        <f>IF(AND(Input_Product=Elig!$C1534,Elig_MatchAll_Ct&lt;22,$BC1534=(Elig_MatchAll_Ct-1),AV1534=0),U1534,0)</f>
        <v>0</v>
      </c>
      <c r="CA1534" s="993">
        <f>IF(AND(Input_Product=Elig!$C1534,Elig_MatchAll_Ct&lt;22,$BC1534=(Elig_MatchAll_Ct-1),AW1534=0),V1534,0)</f>
        <v>0</v>
      </c>
      <c r="CB1534" s="994">
        <f>IF(AND(Input_Product=Elig!$C1534,Elig_MatchAll_Ct&lt;22,$BC1534=(Elig_MatchAll_Ct-1),AW1534=0),W1534,0)</f>
        <v>0</v>
      </c>
      <c r="CC1534" s="993">
        <f>IF(AND(Input_Product=Elig!$C1534,Elig_MatchAll_Ct&lt;22,$BC1534=(Elig_MatchAll_Ct-1),AX1534=0),X1534,0)</f>
        <v>0</v>
      </c>
      <c r="CD1534" s="994">
        <f>IF(AND(Input_Product=Elig!$C1534,Elig_MatchAll_Ct&lt;22,$BC1534=(Elig_MatchAll_Ct-1),AX1534=0),Y1534,0)</f>
        <v>0</v>
      </c>
      <c r="CE1534" s="993">
        <f>IF(AND(Input_LTV&lt;=AE1534,Input_Product=Elig!$C1534,Elig_MatchAll_Ct&lt;22,$BC1534=(Elig_MatchAll_Ct-1),AY1534=0),Z1534,0)</f>
        <v>0</v>
      </c>
      <c r="CF1534" s="994">
        <f>IF(AND(Input_LTV&lt;=AE1534,Input_Product=Elig!$C1534,Elig_MatchAll_Ct&lt;22,$BC1534=(Elig_MatchAll_Ct-1),AY1534=0),AA1534,0)</f>
        <v>0</v>
      </c>
      <c r="CG1534" s="993">
        <f>IF(AND(Input_Product=Elig!$C1534,Elig_MatchAll_Ct&lt;22,$BC1534=(Elig_MatchAll_Ct-1),AZ1534=0),AB1534,0)</f>
        <v>0</v>
      </c>
      <c r="CH1534" s="994">
        <f>IF(AND(Input_Product=Elig!$C1534,Elig_MatchAll_Ct&lt;22,$BC1534=(Elig_MatchAll_Ct-1),AZ1534=0),AC1534,0)</f>
        <v>0</v>
      </c>
      <c r="CI1534" s="993">
        <f>IF(AND(Input_Product=Elig!$C1534,Elig_MatchAll_Ct&lt;22,$BC1534=(Elig_MatchAll_Ct-1),BA1534=0),AD1534,0)</f>
        <v>0</v>
      </c>
      <c r="CJ1534" s="994">
        <f>IF(AND(Input_Product=Elig!$C1534,Elig_MatchAll_Ct&lt;22,$BC1534=(Elig_MatchAll_Ct-1),BA1534=0),AE1534,0)</f>
        <v>0</v>
      </c>
    </row>
    <row r="1535" spans="2:88" ht="10.15" customHeight="1" x14ac:dyDescent="0.25">
      <c r="B1535" s="1567" t="s">
        <v>3622</v>
      </c>
      <c r="C1535" s="1567" t="str">
        <f t="shared" si="524"/>
        <v xml:space="preserve">  NOO</v>
      </c>
      <c r="D1535" s="1567" t="s">
        <v>2764</v>
      </c>
      <c r="E1535" s="1567" t="s">
        <v>167</v>
      </c>
      <c r="F1535" s="1567" t="s">
        <v>330</v>
      </c>
      <c r="G1535" s="1567" t="s">
        <v>181</v>
      </c>
      <c r="H1535" s="1567" t="s">
        <v>136</v>
      </c>
      <c r="I1535" s="1568" t="s">
        <v>35</v>
      </c>
      <c r="J1535" s="1568" t="s">
        <v>1311</v>
      </c>
      <c r="K1535" s="1568" t="s">
        <v>3023</v>
      </c>
      <c r="L1535" s="1567" t="s">
        <v>312</v>
      </c>
      <c r="M1535" s="1567" t="s">
        <v>4204</v>
      </c>
      <c r="N1535" s="1567" t="s">
        <v>2685</v>
      </c>
      <c r="O1535" s="1567" t="s">
        <v>310</v>
      </c>
      <c r="P1535" s="1567" t="s">
        <v>291</v>
      </c>
      <c r="Q1535" s="1567" t="s">
        <v>294</v>
      </c>
      <c r="R1535" s="1567">
        <v>100000</v>
      </c>
      <c r="S1535" s="1567">
        <v>1000000</v>
      </c>
      <c r="T1535" s="1567">
        <v>0</v>
      </c>
      <c r="U1535" s="1567">
        <v>0</v>
      </c>
      <c r="V1535" s="1567">
        <v>0</v>
      </c>
      <c r="W1535" s="1567">
        <v>0</v>
      </c>
      <c r="X1535" s="1567">
        <v>1</v>
      </c>
      <c r="Y1535" s="1567">
        <v>999</v>
      </c>
      <c r="Z1535" s="1569">
        <v>640</v>
      </c>
      <c r="AA1535" s="1569">
        <v>659</v>
      </c>
      <c r="AB1535" s="1569">
        <v>2</v>
      </c>
      <c r="AC1535" s="1569">
        <v>999999</v>
      </c>
      <c r="AD1535" s="1567">
        <v>0</v>
      </c>
      <c r="AE1535" s="1570">
        <v>70</v>
      </c>
      <c r="AF1535" s="170">
        <v>0</v>
      </c>
      <c r="AG1535" s="171">
        <v>1</v>
      </c>
      <c r="AH1535" s="171">
        <v>1</v>
      </c>
      <c r="AI1535" s="171">
        <v>0</v>
      </c>
      <c r="AJ1535" s="171">
        <v>0</v>
      </c>
      <c r="AK1535" s="171">
        <v>1</v>
      </c>
      <c r="AL1535" s="171">
        <v>0</v>
      </c>
      <c r="AM1535" s="171">
        <v>1</v>
      </c>
      <c r="AN1535" s="171">
        <v>1</v>
      </c>
      <c r="AO1535" s="171">
        <v>1</v>
      </c>
      <c r="AP1535" s="171">
        <v>1</v>
      </c>
      <c r="AQ1535" s="171">
        <v>1</v>
      </c>
      <c r="AR1535" s="171">
        <v>1</v>
      </c>
      <c r="AS1535" s="171">
        <v>1</v>
      </c>
      <c r="AT1535" s="171">
        <v>1</v>
      </c>
      <c r="AU1535" s="171">
        <f t="shared" si="515"/>
        <v>1</v>
      </c>
      <c r="AV1535" s="171">
        <f t="shared" si="516"/>
        <v>0</v>
      </c>
      <c r="AW1535" s="171">
        <f t="shared" si="517"/>
        <v>0</v>
      </c>
      <c r="AX1535" s="171">
        <f t="shared" si="512"/>
        <v>0</v>
      </c>
      <c r="AY1535" s="171">
        <f t="shared" si="518"/>
        <v>0</v>
      </c>
      <c r="AZ1535" s="171">
        <f t="shared" si="519"/>
        <v>1</v>
      </c>
      <c r="BA1535" s="172">
        <f t="shared" si="520"/>
        <v>1</v>
      </c>
      <c r="BB1535" s="175">
        <f t="shared" si="521"/>
        <v>14</v>
      </c>
      <c r="BC1535" s="176">
        <f t="shared" si="522"/>
        <v>13</v>
      </c>
      <c r="BD1535" s="176">
        <f t="shared" si="523"/>
        <v>14</v>
      </c>
      <c r="BE1535" s="240" t="str">
        <f t="shared" si="514"/>
        <v/>
      </c>
      <c r="BF1535" s="990"/>
      <c r="BG1535" s="990"/>
      <c r="BH1535" s="991">
        <f>IF(AND(Input_Product=Elig!$C1535,Elig_MatchAll_Ct&lt;22,$BC1535=(Elig_MatchAll_Ct-1),AF1535=0),C1535,0)</f>
        <v>0</v>
      </c>
      <c r="BI1535" s="991">
        <f>IF(AND(Input_Product=Elig!$C1535,Elig_MatchAll_Ct&lt;22,$BC1535=(Elig_MatchAll_Ct-1),AG1535=0),D1535,0)</f>
        <v>0</v>
      </c>
      <c r="BJ1535" s="991">
        <f>IF(AND(Input_Product=Elig!$C1535,Elig_MatchAll_Ct&lt;22,$BC1535=(Elig_MatchAll_Ct-1),AH1535=0),E1535,0)</f>
        <v>0</v>
      </c>
      <c r="BK1535" s="991">
        <f>IF(AND(Input_Product=Elig!$C1535,Elig_MatchAll_Ct&lt;22,$BC1535=(Elig_MatchAll_Ct-1),AI1535=0),F1535,0)</f>
        <v>0</v>
      </c>
      <c r="BL1535" s="991">
        <f>IF(AND(Input_Product=Elig!$C1535,Elig_MatchAll_Ct&lt;22,$BC1535=(Elig_MatchAll_Ct-1),AJ1535=0),G1535,0)</f>
        <v>0</v>
      </c>
      <c r="BM1535" s="991">
        <f>IF(AND(Input_Product=Elig!$C1535,Elig_MatchAll_Ct&lt;22,$BC1535=(Elig_MatchAll_Ct-1),AK1535=0),H1535,0)</f>
        <v>0</v>
      </c>
      <c r="BN1535" s="991">
        <f>IF(AND(Input_Product=Elig!$C1535,Elig_MatchAll_Ct&lt;22,$BC1535=(Elig_MatchAll_Ct-1),AL1535=0),I1535,0)</f>
        <v>0</v>
      </c>
      <c r="BO1535" s="991">
        <f>IF(AND(Input_Product=Elig!$C1535,Elig_MatchAll_Ct&lt;22,$BC1535=(Elig_MatchAll_Ct-1),AM1535=0),J1535,0)</f>
        <v>0</v>
      </c>
      <c r="BP1535" s="991">
        <f>IF(AND(Input_Product=Elig!$C1535,Elig_MatchAll_Ct&lt;22,$BC1535=(Elig_MatchAll_Ct-1),AN1535=0),K1535,0)</f>
        <v>0</v>
      </c>
      <c r="BQ1535" s="991">
        <f>IF(AND(Input_Product=Elig!$C1535,Elig_MatchAll_Ct&lt;22,$BC1535=(Elig_MatchAll_Ct-1),AP1535=0),L1535,0)</f>
        <v>0</v>
      </c>
      <c r="BR1535" s="991">
        <f>IF(AND(Input_Product=Elig!$C1535,Elig_MatchAll_Ct&lt;22,$BC1535=(Elig_MatchAll_Ct-1),AO1535=0),M1535,0)</f>
        <v>0</v>
      </c>
      <c r="BS1535" s="991">
        <f>IF(AND(Input_Product=Elig!$C1535,Elig_MatchAll_Ct&lt;22,$BC1535=(Elig_MatchAll_Ct-1),AQ1535=0),N1535,0)</f>
        <v>0</v>
      </c>
      <c r="BT1535" s="991">
        <f>IF(AND(Input_Product=Elig!$C1535,Elig_MatchAll_Ct&lt;22,$BC1535=(Elig_MatchAll_Ct-1),AR1535=0),O1535,0)</f>
        <v>0</v>
      </c>
      <c r="BU1535" s="991">
        <f>IF(AND(Input_Product=Elig!$C1535,Elig_MatchAll_Ct&lt;22,$BC1535=(Elig_MatchAll_Ct-1),AS1535=0),P1535,0)</f>
        <v>0</v>
      </c>
      <c r="BV1535" s="992">
        <f>IF(AND(Input_Product=Elig!$C1535,Elig_MatchAll_Ct&lt;22,$BC1535=(Elig_MatchAll_Ct-1),AT1535=0),Q1535,0)</f>
        <v>0</v>
      </c>
      <c r="BW1535" s="993">
        <f>IF(AND(Input_Product=Elig!$C1535,Elig_MatchAll_Ct&lt;22,$BC1535=(Elig_MatchAll_Ct-1),AU1535=0),R1535,0)</f>
        <v>0</v>
      </c>
      <c r="BX1535" s="994">
        <f>IF(AND(Input_Product=Elig!$C1535,Elig_MatchAll_Ct&lt;22,$BC1535=(Elig_MatchAll_Ct-1),AU1535=0),S1535,0)</f>
        <v>0</v>
      </c>
      <c r="BY1535" s="993">
        <f>IF(AND(Input_Product=Elig!$C1535,Elig_MatchAll_Ct&lt;22,$BC1535=(Elig_MatchAll_Ct-1),AV1535=0),T1535,0)</f>
        <v>0</v>
      </c>
      <c r="BZ1535" s="994">
        <f>IF(AND(Input_Product=Elig!$C1535,Elig_MatchAll_Ct&lt;22,$BC1535=(Elig_MatchAll_Ct-1),AV1535=0),U1535,0)</f>
        <v>0</v>
      </c>
      <c r="CA1535" s="993">
        <f>IF(AND(Input_Product=Elig!$C1535,Elig_MatchAll_Ct&lt;22,$BC1535=(Elig_MatchAll_Ct-1),AW1535=0),V1535,0)</f>
        <v>0</v>
      </c>
      <c r="CB1535" s="994">
        <f>IF(AND(Input_Product=Elig!$C1535,Elig_MatchAll_Ct&lt;22,$BC1535=(Elig_MatchAll_Ct-1),AW1535=0),W1535,0)</f>
        <v>0</v>
      </c>
      <c r="CC1535" s="993">
        <f>IF(AND(Input_Product=Elig!$C1535,Elig_MatchAll_Ct&lt;22,$BC1535=(Elig_MatchAll_Ct-1),AX1535=0),X1535,0)</f>
        <v>0</v>
      </c>
      <c r="CD1535" s="994">
        <f>IF(AND(Input_Product=Elig!$C1535,Elig_MatchAll_Ct&lt;22,$BC1535=(Elig_MatchAll_Ct-1),AX1535=0),Y1535,0)</f>
        <v>0</v>
      </c>
      <c r="CE1535" s="993">
        <f>IF(AND(Input_LTV&lt;=AE1535,Input_Product=Elig!$C1535,Elig_MatchAll_Ct&lt;22,$BC1535=(Elig_MatchAll_Ct-1),AY1535=0),Z1535,0)</f>
        <v>0</v>
      </c>
      <c r="CF1535" s="994">
        <f>IF(AND(Input_LTV&lt;=AE1535,Input_Product=Elig!$C1535,Elig_MatchAll_Ct&lt;22,$BC1535=(Elig_MatchAll_Ct-1),AY1535=0),AA1535,0)</f>
        <v>0</v>
      </c>
      <c r="CG1535" s="993">
        <f>IF(AND(Input_Product=Elig!$C1535,Elig_MatchAll_Ct&lt;22,$BC1535=(Elig_MatchAll_Ct-1),AZ1535=0),AB1535,0)</f>
        <v>0</v>
      </c>
      <c r="CH1535" s="994">
        <f>IF(AND(Input_Product=Elig!$C1535,Elig_MatchAll_Ct&lt;22,$BC1535=(Elig_MatchAll_Ct-1),AZ1535=0),AC1535,0)</f>
        <v>0</v>
      </c>
      <c r="CI1535" s="993">
        <f>IF(AND(Input_Product=Elig!$C1535,Elig_MatchAll_Ct&lt;22,$BC1535=(Elig_MatchAll_Ct-1),BA1535=0),AD1535,0)</f>
        <v>0</v>
      </c>
      <c r="CJ1535" s="994">
        <f>IF(AND(Input_Product=Elig!$C1535,Elig_MatchAll_Ct&lt;22,$BC1535=(Elig_MatchAll_Ct-1),BA1535=0),AE1535,0)</f>
        <v>0</v>
      </c>
    </row>
    <row r="1536" spans="2:88" ht="10.15" customHeight="1" x14ac:dyDescent="0.25">
      <c r="B1536" s="1567" t="s">
        <v>2883</v>
      </c>
      <c r="C1536" s="1567" t="str">
        <f t="shared" si="524"/>
        <v xml:space="preserve">  NOO</v>
      </c>
      <c r="D1536" s="1567" t="s">
        <v>2764</v>
      </c>
      <c r="E1536" s="1567" t="s">
        <v>167</v>
      </c>
      <c r="F1536" s="1567" t="s">
        <v>330</v>
      </c>
      <c r="G1536" s="1567" t="s">
        <v>181</v>
      </c>
      <c r="H1536" s="1567" t="s">
        <v>136</v>
      </c>
      <c r="I1536" s="1568" t="s">
        <v>35</v>
      </c>
      <c r="J1536" s="1568" t="s">
        <v>1311</v>
      </c>
      <c r="K1536" s="1568" t="s">
        <v>3023</v>
      </c>
      <c r="L1536" s="1567" t="s">
        <v>312</v>
      </c>
      <c r="M1536" s="1567" t="s">
        <v>4204</v>
      </c>
      <c r="N1536" s="1567" t="s">
        <v>2685</v>
      </c>
      <c r="O1536" s="1567" t="s">
        <v>310</v>
      </c>
      <c r="P1536" s="1567" t="s">
        <v>291</v>
      </c>
      <c r="Q1536" s="1567" t="s">
        <v>294</v>
      </c>
      <c r="R1536" s="1567">
        <v>1000000.01</v>
      </c>
      <c r="S1536" s="1567">
        <v>1500000</v>
      </c>
      <c r="T1536" s="1567">
        <v>0</v>
      </c>
      <c r="U1536" s="1567">
        <v>0</v>
      </c>
      <c r="V1536" s="1567">
        <v>0</v>
      </c>
      <c r="W1536" s="1567">
        <v>0</v>
      </c>
      <c r="X1536" s="1567">
        <v>1</v>
      </c>
      <c r="Y1536" s="1567">
        <v>999</v>
      </c>
      <c r="Z1536" s="1569">
        <v>640</v>
      </c>
      <c r="AA1536" s="1569">
        <v>659</v>
      </c>
      <c r="AB1536" s="1569">
        <v>2</v>
      </c>
      <c r="AC1536" s="1569">
        <v>999999</v>
      </c>
      <c r="AD1536" s="1567">
        <v>0</v>
      </c>
      <c r="AE1536" s="1570">
        <v>65</v>
      </c>
      <c r="AF1536" s="170">
        <v>0</v>
      </c>
      <c r="AG1536" s="171">
        <v>1</v>
      </c>
      <c r="AH1536" s="171">
        <v>1</v>
      </c>
      <c r="AI1536" s="171">
        <v>0</v>
      </c>
      <c r="AJ1536" s="171">
        <v>0</v>
      </c>
      <c r="AK1536" s="171">
        <v>1</v>
      </c>
      <c r="AL1536" s="171">
        <v>0</v>
      </c>
      <c r="AM1536" s="171">
        <v>1</v>
      </c>
      <c r="AN1536" s="171">
        <v>1</v>
      </c>
      <c r="AO1536" s="171">
        <v>1</v>
      </c>
      <c r="AP1536" s="171">
        <v>1</v>
      </c>
      <c r="AQ1536" s="171">
        <v>1</v>
      </c>
      <c r="AR1536" s="171">
        <v>1</v>
      </c>
      <c r="AS1536" s="171">
        <v>1</v>
      </c>
      <c r="AT1536" s="171">
        <v>1</v>
      </c>
      <c r="AU1536" s="171">
        <f t="shared" si="515"/>
        <v>0</v>
      </c>
      <c r="AV1536" s="171">
        <f t="shared" si="516"/>
        <v>0</v>
      </c>
      <c r="AW1536" s="171">
        <f t="shared" si="517"/>
        <v>0</v>
      </c>
      <c r="AX1536" s="171">
        <f t="shared" si="512"/>
        <v>0</v>
      </c>
      <c r="AY1536" s="171">
        <f t="shared" si="518"/>
        <v>0</v>
      </c>
      <c r="AZ1536" s="171">
        <f t="shared" si="519"/>
        <v>1</v>
      </c>
      <c r="BA1536" s="172">
        <f t="shared" si="520"/>
        <v>1</v>
      </c>
      <c r="BB1536" s="175">
        <f t="shared" si="521"/>
        <v>13</v>
      </c>
      <c r="BC1536" s="176">
        <f t="shared" si="522"/>
        <v>12</v>
      </c>
      <c r="BD1536" s="176">
        <f t="shared" si="523"/>
        <v>13</v>
      </c>
      <c r="BE1536" s="240" t="str">
        <f t="shared" si="514"/>
        <v/>
      </c>
      <c r="BF1536" s="990"/>
      <c r="BG1536" s="990"/>
      <c r="BH1536" s="991">
        <f>IF(AND(Input_Product=Elig!$C1536,Elig_MatchAll_Ct&lt;22,$BC1536=(Elig_MatchAll_Ct-1),AF1536=0),C1536,0)</f>
        <v>0</v>
      </c>
      <c r="BI1536" s="991">
        <f>IF(AND(Input_Product=Elig!$C1536,Elig_MatchAll_Ct&lt;22,$BC1536=(Elig_MatchAll_Ct-1),AG1536=0),D1536,0)</f>
        <v>0</v>
      </c>
      <c r="BJ1536" s="991">
        <f>IF(AND(Input_Product=Elig!$C1536,Elig_MatchAll_Ct&lt;22,$BC1536=(Elig_MatchAll_Ct-1),AH1536=0),E1536,0)</f>
        <v>0</v>
      </c>
      <c r="BK1536" s="991">
        <f>IF(AND(Input_Product=Elig!$C1536,Elig_MatchAll_Ct&lt;22,$BC1536=(Elig_MatchAll_Ct-1),AI1536=0),F1536,0)</f>
        <v>0</v>
      </c>
      <c r="BL1536" s="991">
        <f>IF(AND(Input_Product=Elig!$C1536,Elig_MatchAll_Ct&lt;22,$BC1536=(Elig_MatchAll_Ct-1),AJ1536=0),G1536,0)</f>
        <v>0</v>
      </c>
      <c r="BM1536" s="991">
        <f>IF(AND(Input_Product=Elig!$C1536,Elig_MatchAll_Ct&lt;22,$BC1536=(Elig_MatchAll_Ct-1),AK1536=0),H1536,0)</f>
        <v>0</v>
      </c>
      <c r="BN1536" s="991">
        <f>IF(AND(Input_Product=Elig!$C1536,Elig_MatchAll_Ct&lt;22,$BC1536=(Elig_MatchAll_Ct-1),AL1536=0),I1536,0)</f>
        <v>0</v>
      </c>
      <c r="BO1536" s="991">
        <f>IF(AND(Input_Product=Elig!$C1536,Elig_MatchAll_Ct&lt;22,$BC1536=(Elig_MatchAll_Ct-1),AM1536=0),J1536,0)</f>
        <v>0</v>
      </c>
      <c r="BP1536" s="991">
        <f>IF(AND(Input_Product=Elig!$C1536,Elig_MatchAll_Ct&lt;22,$BC1536=(Elig_MatchAll_Ct-1),AN1536=0),K1536,0)</f>
        <v>0</v>
      </c>
      <c r="BQ1536" s="991">
        <f>IF(AND(Input_Product=Elig!$C1536,Elig_MatchAll_Ct&lt;22,$BC1536=(Elig_MatchAll_Ct-1),AP1536=0),L1536,0)</f>
        <v>0</v>
      </c>
      <c r="BR1536" s="991">
        <f>IF(AND(Input_Product=Elig!$C1536,Elig_MatchAll_Ct&lt;22,$BC1536=(Elig_MatchAll_Ct-1),AO1536=0),M1536,0)</f>
        <v>0</v>
      </c>
      <c r="BS1536" s="991">
        <f>IF(AND(Input_Product=Elig!$C1536,Elig_MatchAll_Ct&lt;22,$BC1536=(Elig_MatchAll_Ct-1),AQ1536=0),N1536,0)</f>
        <v>0</v>
      </c>
      <c r="BT1536" s="991">
        <f>IF(AND(Input_Product=Elig!$C1536,Elig_MatchAll_Ct&lt;22,$BC1536=(Elig_MatchAll_Ct-1),AR1536=0),O1536,0)</f>
        <v>0</v>
      </c>
      <c r="BU1536" s="991">
        <f>IF(AND(Input_Product=Elig!$C1536,Elig_MatchAll_Ct&lt;22,$BC1536=(Elig_MatchAll_Ct-1),AS1536=0),P1536,0)</f>
        <v>0</v>
      </c>
      <c r="BV1536" s="992">
        <f>IF(AND(Input_Product=Elig!$C1536,Elig_MatchAll_Ct&lt;22,$BC1536=(Elig_MatchAll_Ct-1),AT1536=0),Q1536,0)</f>
        <v>0</v>
      </c>
      <c r="BW1536" s="993">
        <f>IF(AND(Input_Product=Elig!$C1536,Elig_MatchAll_Ct&lt;22,$BC1536=(Elig_MatchAll_Ct-1),AU1536=0),R1536,0)</f>
        <v>0</v>
      </c>
      <c r="BX1536" s="994">
        <f>IF(AND(Input_Product=Elig!$C1536,Elig_MatchAll_Ct&lt;22,$BC1536=(Elig_MatchAll_Ct-1),AU1536=0),S1536,0)</f>
        <v>0</v>
      </c>
      <c r="BY1536" s="993">
        <f>IF(AND(Input_Product=Elig!$C1536,Elig_MatchAll_Ct&lt;22,$BC1536=(Elig_MatchAll_Ct-1),AV1536=0),T1536,0)</f>
        <v>0</v>
      </c>
      <c r="BZ1536" s="994">
        <f>IF(AND(Input_Product=Elig!$C1536,Elig_MatchAll_Ct&lt;22,$BC1536=(Elig_MatchAll_Ct-1),AV1536=0),U1536,0)</f>
        <v>0</v>
      </c>
      <c r="CA1536" s="993">
        <f>IF(AND(Input_Product=Elig!$C1536,Elig_MatchAll_Ct&lt;22,$BC1536=(Elig_MatchAll_Ct-1),AW1536=0),V1536,0)</f>
        <v>0</v>
      </c>
      <c r="CB1536" s="994">
        <f>IF(AND(Input_Product=Elig!$C1536,Elig_MatchAll_Ct&lt;22,$BC1536=(Elig_MatchAll_Ct-1),AW1536=0),W1536,0)</f>
        <v>0</v>
      </c>
      <c r="CC1536" s="993">
        <f>IF(AND(Input_Product=Elig!$C1536,Elig_MatchAll_Ct&lt;22,$BC1536=(Elig_MatchAll_Ct-1),AX1536=0),X1536,0)</f>
        <v>0</v>
      </c>
      <c r="CD1536" s="994">
        <f>IF(AND(Input_Product=Elig!$C1536,Elig_MatchAll_Ct&lt;22,$BC1536=(Elig_MatchAll_Ct-1),AX1536=0),Y1536,0)</f>
        <v>0</v>
      </c>
      <c r="CE1536" s="993">
        <f>IF(AND(Input_LTV&lt;=AE1536,Input_Product=Elig!$C1536,Elig_MatchAll_Ct&lt;22,$BC1536=(Elig_MatchAll_Ct-1),AY1536=0),Z1536,0)</f>
        <v>0</v>
      </c>
      <c r="CF1536" s="994">
        <f>IF(AND(Input_LTV&lt;=AE1536,Input_Product=Elig!$C1536,Elig_MatchAll_Ct&lt;22,$BC1536=(Elig_MatchAll_Ct-1),AY1536=0),AA1536,0)</f>
        <v>0</v>
      </c>
      <c r="CG1536" s="993">
        <f>IF(AND(Input_Product=Elig!$C1536,Elig_MatchAll_Ct&lt;22,$BC1536=(Elig_MatchAll_Ct-1),AZ1536=0),AB1536,0)</f>
        <v>0</v>
      </c>
      <c r="CH1536" s="994">
        <f>IF(AND(Input_Product=Elig!$C1536,Elig_MatchAll_Ct&lt;22,$BC1536=(Elig_MatchAll_Ct-1),AZ1536=0),AC1536,0)</f>
        <v>0</v>
      </c>
      <c r="CI1536" s="993">
        <f>IF(AND(Input_Product=Elig!$C1536,Elig_MatchAll_Ct&lt;22,$BC1536=(Elig_MatchAll_Ct-1),BA1536=0),AD1536,0)</f>
        <v>0</v>
      </c>
      <c r="CJ1536" s="994">
        <f>IF(AND(Input_Product=Elig!$C1536,Elig_MatchAll_Ct&lt;22,$BC1536=(Elig_MatchAll_Ct-1),BA1536=0),AE1536,0)</f>
        <v>0</v>
      </c>
    </row>
    <row r="1537" spans="2:88" ht="10.15" customHeight="1" x14ac:dyDescent="0.25">
      <c r="B1537" s="1567" t="s">
        <v>2884</v>
      </c>
      <c r="C1537" s="1567" t="str">
        <f t="shared" si="524"/>
        <v xml:space="preserve">  NOO</v>
      </c>
      <c r="D1537" s="1567" t="s">
        <v>2764</v>
      </c>
      <c r="E1537" s="1567" t="s">
        <v>167</v>
      </c>
      <c r="F1537" s="1567" t="s">
        <v>330</v>
      </c>
      <c r="G1537" s="1567" t="s">
        <v>181</v>
      </c>
      <c r="H1537" s="1567" t="s">
        <v>136</v>
      </c>
      <c r="I1537" s="1568" t="s">
        <v>35</v>
      </c>
      <c r="J1537" s="1568" t="s">
        <v>1311</v>
      </c>
      <c r="K1537" s="1568" t="s">
        <v>3023</v>
      </c>
      <c r="L1537" s="1567" t="s">
        <v>312</v>
      </c>
      <c r="M1537" s="1567" t="s">
        <v>4204</v>
      </c>
      <c r="N1537" s="1567" t="s">
        <v>2685</v>
      </c>
      <c r="O1537" s="1567" t="s">
        <v>310</v>
      </c>
      <c r="P1537" s="1567" t="s">
        <v>291</v>
      </c>
      <c r="Q1537" s="1567" t="s">
        <v>294</v>
      </c>
      <c r="R1537" s="1567">
        <v>100000</v>
      </c>
      <c r="S1537" s="1567">
        <v>1000000</v>
      </c>
      <c r="T1537" s="1567">
        <v>0</v>
      </c>
      <c r="U1537" s="1567">
        <v>0</v>
      </c>
      <c r="V1537" s="1567">
        <v>0</v>
      </c>
      <c r="W1537" s="1567">
        <v>0</v>
      </c>
      <c r="X1537" s="1567">
        <v>0.01</v>
      </c>
      <c r="Y1537" s="1567">
        <v>0.99</v>
      </c>
      <c r="Z1537" s="1569">
        <v>700</v>
      </c>
      <c r="AA1537" s="1569">
        <v>999</v>
      </c>
      <c r="AB1537" s="1569">
        <v>2</v>
      </c>
      <c r="AC1537" s="1569">
        <v>999999</v>
      </c>
      <c r="AD1537" s="1567">
        <v>0</v>
      </c>
      <c r="AE1537" s="1570">
        <v>70</v>
      </c>
      <c r="AF1537" s="170">
        <v>0</v>
      </c>
      <c r="AG1537" s="171">
        <v>1</v>
      </c>
      <c r="AH1537" s="171">
        <v>1</v>
      </c>
      <c r="AI1537" s="171">
        <v>0</v>
      </c>
      <c r="AJ1537" s="171">
        <v>0</v>
      </c>
      <c r="AK1537" s="171">
        <v>1</v>
      </c>
      <c r="AL1537" s="171">
        <v>0</v>
      </c>
      <c r="AM1537" s="171">
        <v>1</v>
      </c>
      <c r="AN1537" s="171">
        <v>1</v>
      </c>
      <c r="AO1537" s="171">
        <v>1</v>
      </c>
      <c r="AP1537" s="171">
        <v>1</v>
      </c>
      <c r="AQ1537" s="171">
        <v>1</v>
      </c>
      <c r="AR1537" s="171">
        <v>1</v>
      </c>
      <c r="AS1537" s="171">
        <v>1</v>
      </c>
      <c r="AT1537" s="171">
        <v>1</v>
      </c>
      <c r="AU1537" s="171">
        <f t="shared" si="515"/>
        <v>1</v>
      </c>
      <c r="AV1537" s="171">
        <f t="shared" si="516"/>
        <v>0</v>
      </c>
      <c r="AW1537" s="171">
        <f t="shared" si="517"/>
        <v>0</v>
      </c>
      <c r="AX1537" s="171">
        <f t="shared" si="512"/>
        <v>0</v>
      </c>
      <c r="AY1537" s="171">
        <f t="shared" si="518"/>
        <v>1</v>
      </c>
      <c r="AZ1537" s="171">
        <f t="shared" si="519"/>
        <v>1</v>
      </c>
      <c r="BA1537" s="172">
        <f t="shared" si="520"/>
        <v>1</v>
      </c>
      <c r="BB1537" s="175">
        <f t="shared" si="521"/>
        <v>15</v>
      </c>
      <c r="BC1537" s="176">
        <f t="shared" si="522"/>
        <v>14</v>
      </c>
      <c r="BD1537" s="176">
        <f t="shared" si="523"/>
        <v>15</v>
      </c>
      <c r="BE1537" s="240" t="str">
        <f t="shared" si="514"/>
        <v/>
      </c>
      <c r="BF1537" s="990"/>
      <c r="BG1537" s="990"/>
      <c r="BH1537" s="991">
        <f>IF(AND(Input_Product=Elig!$C1537,Elig_MatchAll_Ct&lt;22,$BC1537=(Elig_MatchAll_Ct-1),AF1537=0),C1537,0)</f>
        <v>0</v>
      </c>
      <c r="BI1537" s="991">
        <f>IF(AND(Input_Product=Elig!$C1537,Elig_MatchAll_Ct&lt;22,$BC1537=(Elig_MatchAll_Ct-1),AG1537=0),D1537,0)</f>
        <v>0</v>
      </c>
      <c r="BJ1537" s="991">
        <f>IF(AND(Input_Product=Elig!$C1537,Elig_MatchAll_Ct&lt;22,$BC1537=(Elig_MatchAll_Ct-1),AH1537=0),E1537,0)</f>
        <v>0</v>
      </c>
      <c r="BK1537" s="991">
        <f>IF(AND(Input_Product=Elig!$C1537,Elig_MatchAll_Ct&lt;22,$BC1537=(Elig_MatchAll_Ct-1),AI1537=0),F1537,0)</f>
        <v>0</v>
      </c>
      <c r="BL1537" s="991">
        <f>IF(AND(Input_Product=Elig!$C1537,Elig_MatchAll_Ct&lt;22,$BC1537=(Elig_MatchAll_Ct-1),AJ1537=0),G1537,0)</f>
        <v>0</v>
      </c>
      <c r="BM1537" s="991">
        <f>IF(AND(Input_Product=Elig!$C1537,Elig_MatchAll_Ct&lt;22,$BC1537=(Elig_MatchAll_Ct-1),AK1537=0),H1537,0)</f>
        <v>0</v>
      </c>
      <c r="BN1537" s="991">
        <f>IF(AND(Input_Product=Elig!$C1537,Elig_MatchAll_Ct&lt;22,$BC1537=(Elig_MatchAll_Ct-1),AL1537=0),I1537,0)</f>
        <v>0</v>
      </c>
      <c r="BO1537" s="991">
        <f>IF(AND(Input_Product=Elig!$C1537,Elig_MatchAll_Ct&lt;22,$BC1537=(Elig_MatchAll_Ct-1),AM1537=0),J1537,0)</f>
        <v>0</v>
      </c>
      <c r="BP1537" s="991">
        <f>IF(AND(Input_Product=Elig!$C1537,Elig_MatchAll_Ct&lt;22,$BC1537=(Elig_MatchAll_Ct-1),AN1537=0),K1537,0)</f>
        <v>0</v>
      </c>
      <c r="BQ1537" s="991">
        <f>IF(AND(Input_Product=Elig!$C1537,Elig_MatchAll_Ct&lt;22,$BC1537=(Elig_MatchAll_Ct-1),AP1537=0),L1537,0)</f>
        <v>0</v>
      </c>
      <c r="BR1537" s="991">
        <f>IF(AND(Input_Product=Elig!$C1537,Elig_MatchAll_Ct&lt;22,$BC1537=(Elig_MatchAll_Ct-1),AO1537=0),M1537,0)</f>
        <v>0</v>
      </c>
      <c r="BS1537" s="991">
        <f>IF(AND(Input_Product=Elig!$C1537,Elig_MatchAll_Ct&lt;22,$BC1537=(Elig_MatchAll_Ct-1),AQ1537=0),N1537,0)</f>
        <v>0</v>
      </c>
      <c r="BT1537" s="991">
        <f>IF(AND(Input_Product=Elig!$C1537,Elig_MatchAll_Ct&lt;22,$BC1537=(Elig_MatchAll_Ct-1),AR1537=0),O1537,0)</f>
        <v>0</v>
      </c>
      <c r="BU1537" s="991">
        <f>IF(AND(Input_Product=Elig!$C1537,Elig_MatchAll_Ct&lt;22,$BC1537=(Elig_MatchAll_Ct-1),AS1537=0),P1537,0)</f>
        <v>0</v>
      </c>
      <c r="BV1537" s="992">
        <f>IF(AND(Input_Product=Elig!$C1537,Elig_MatchAll_Ct&lt;22,$BC1537=(Elig_MatchAll_Ct-1),AT1537=0),Q1537,0)</f>
        <v>0</v>
      </c>
      <c r="BW1537" s="993">
        <f>IF(AND(Input_Product=Elig!$C1537,Elig_MatchAll_Ct&lt;22,$BC1537=(Elig_MatchAll_Ct-1),AU1537=0),R1537,0)</f>
        <v>0</v>
      </c>
      <c r="BX1537" s="994">
        <f>IF(AND(Input_Product=Elig!$C1537,Elig_MatchAll_Ct&lt;22,$BC1537=(Elig_MatchAll_Ct-1),AU1537=0),S1537,0)</f>
        <v>0</v>
      </c>
      <c r="BY1537" s="993">
        <f>IF(AND(Input_Product=Elig!$C1537,Elig_MatchAll_Ct&lt;22,$BC1537=(Elig_MatchAll_Ct-1),AV1537=0),T1537,0)</f>
        <v>0</v>
      </c>
      <c r="BZ1537" s="994">
        <f>IF(AND(Input_Product=Elig!$C1537,Elig_MatchAll_Ct&lt;22,$BC1537=(Elig_MatchAll_Ct-1),AV1537=0),U1537,0)</f>
        <v>0</v>
      </c>
      <c r="CA1537" s="993">
        <f>IF(AND(Input_Product=Elig!$C1537,Elig_MatchAll_Ct&lt;22,$BC1537=(Elig_MatchAll_Ct-1),AW1537=0),V1537,0)</f>
        <v>0</v>
      </c>
      <c r="CB1537" s="994">
        <f>IF(AND(Input_Product=Elig!$C1537,Elig_MatchAll_Ct&lt;22,$BC1537=(Elig_MatchAll_Ct-1),AW1537=0),W1537,0)</f>
        <v>0</v>
      </c>
      <c r="CC1537" s="993">
        <f>IF(AND(Input_Product=Elig!$C1537,Elig_MatchAll_Ct&lt;22,$BC1537=(Elig_MatchAll_Ct-1),AX1537=0),X1537,0)</f>
        <v>0</v>
      </c>
      <c r="CD1537" s="994">
        <f>IF(AND(Input_Product=Elig!$C1537,Elig_MatchAll_Ct&lt;22,$BC1537=(Elig_MatchAll_Ct-1),AX1537=0),Y1537,0)</f>
        <v>0</v>
      </c>
      <c r="CE1537" s="993">
        <f>IF(AND(Input_LTV&lt;=AE1537,Input_Product=Elig!$C1537,Elig_MatchAll_Ct&lt;22,$BC1537=(Elig_MatchAll_Ct-1),AY1537=0),Z1537,0)</f>
        <v>0</v>
      </c>
      <c r="CF1537" s="994">
        <f>IF(AND(Input_LTV&lt;=AE1537,Input_Product=Elig!$C1537,Elig_MatchAll_Ct&lt;22,$BC1537=(Elig_MatchAll_Ct-1),AY1537=0),AA1537,0)</f>
        <v>0</v>
      </c>
      <c r="CG1537" s="993">
        <f>IF(AND(Input_Product=Elig!$C1537,Elig_MatchAll_Ct&lt;22,$BC1537=(Elig_MatchAll_Ct-1),AZ1537=0),AB1537,0)</f>
        <v>0</v>
      </c>
      <c r="CH1537" s="994">
        <f>IF(AND(Input_Product=Elig!$C1537,Elig_MatchAll_Ct&lt;22,$BC1537=(Elig_MatchAll_Ct-1),AZ1537=0),AC1537,0)</f>
        <v>0</v>
      </c>
      <c r="CI1537" s="993">
        <f>IF(AND(Input_Product=Elig!$C1537,Elig_MatchAll_Ct&lt;22,$BC1537=(Elig_MatchAll_Ct-1),BA1537=0),AD1537,0)</f>
        <v>0</v>
      </c>
      <c r="CJ1537" s="994">
        <f>IF(AND(Input_Product=Elig!$C1537,Elig_MatchAll_Ct&lt;22,$BC1537=(Elig_MatchAll_Ct-1),BA1537=0),AE1537,0)</f>
        <v>0</v>
      </c>
    </row>
    <row r="1538" spans="2:88" ht="10.15" customHeight="1" x14ac:dyDescent="0.25">
      <c r="B1538" s="1567" t="s">
        <v>3623</v>
      </c>
      <c r="C1538" s="1567" t="str">
        <f t="shared" si="524"/>
        <v xml:space="preserve">  NOO</v>
      </c>
      <c r="D1538" s="1567" t="s">
        <v>2764</v>
      </c>
      <c r="E1538" s="1567" t="s">
        <v>167</v>
      </c>
      <c r="F1538" s="1567" t="s">
        <v>330</v>
      </c>
      <c r="G1538" s="1567" t="s">
        <v>181</v>
      </c>
      <c r="H1538" s="1567" t="s">
        <v>136</v>
      </c>
      <c r="I1538" s="1568" t="s">
        <v>35</v>
      </c>
      <c r="J1538" s="1568" t="s">
        <v>1311</v>
      </c>
      <c r="K1538" s="1568" t="s">
        <v>3023</v>
      </c>
      <c r="L1538" s="1567" t="s">
        <v>312</v>
      </c>
      <c r="M1538" s="1567" t="s">
        <v>4204</v>
      </c>
      <c r="N1538" s="1567" t="s">
        <v>2685</v>
      </c>
      <c r="O1538" s="1567" t="s">
        <v>310</v>
      </c>
      <c r="P1538" s="1567" t="s">
        <v>291</v>
      </c>
      <c r="Q1538" s="1567" t="s">
        <v>294</v>
      </c>
      <c r="R1538" s="1567">
        <v>1000000.01</v>
      </c>
      <c r="S1538" s="1567">
        <v>1500000</v>
      </c>
      <c r="T1538" s="1567">
        <v>0</v>
      </c>
      <c r="U1538" s="1567">
        <v>0</v>
      </c>
      <c r="V1538" s="1567">
        <v>0</v>
      </c>
      <c r="W1538" s="1567">
        <v>0</v>
      </c>
      <c r="X1538" s="1567">
        <v>0.01</v>
      </c>
      <c r="Y1538" s="1567">
        <v>0.99</v>
      </c>
      <c r="Z1538" s="1569">
        <v>700</v>
      </c>
      <c r="AA1538" s="1569">
        <v>999</v>
      </c>
      <c r="AB1538" s="1569">
        <v>2</v>
      </c>
      <c r="AC1538" s="1569">
        <v>999999</v>
      </c>
      <c r="AD1538" s="1567">
        <v>0</v>
      </c>
      <c r="AE1538" s="1570">
        <v>70</v>
      </c>
      <c r="AF1538" s="170">
        <v>0</v>
      </c>
      <c r="AG1538" s="171">
        <v>1</v>
      </c>
      <c r="AH1538" s="171">
        <v>1</v>
      </c>
      <c r="AI1538" s="171">
        <v>0</v>
      </c>
      <c r="AJ1538" s="171">
        <v>0</v>
      </c>
      <c r="AK1538" s="171">
        <v>1</v>
      </c>
      <c r="AL1538" s="171">
        <v>0</v>
      </c>
      <c r="AM1538" s="171">
        <v>1</v>
      </c>
      <c r="AN1538" s="171">
        <v>1</v>
      </c>
      <c r="AO1538" s="171">
        <v>1</v>
      </c>
      <c r="AP1538" s="171">
        <v>1</v>
      </c>
      <c r="AQ1538" s="171">
        <v>1</v>
      </c>
      <c r="AR1538" s="171">
        <v>1</v>
      </c>
      <c r="AS1538" s="171">
        <v>1</v>
      </c>
      <c r="AT1538" s="171">
        <v>1</v>
      </c>
      <c r="AU1538" s="171">
        <f t="shared" si="515"/>
        <v>0</v>
      </c>
      <c r="AV1538" s="171">
        <f t="shared" si="516"/>
        <v>0</v>
      </c>
      <c r="AW1538" s="171">
        <f t="shared" si="517"/>
        <v>0</v>
      </c>
      <c r="AX1538" s="171">
        <f t="shared" si="512"/>
        <v>0</v>
      </c>
      <c r="AY1538" s="171">
        <f t="shared" si="518"/>
        <v>1</v>
      </c>
      <c r="AZ1538" s="171">
        <f t="shared" si="519"/>
        <v>1</v>
      </c>
      <c r="BA1538" s="172">
        <f t="shared" si="520"/>
        <v>1</v>
      </c>
      <c r="BB1538" s="175">
        <f t="shared" si="521"/>
        <v>14</v>
      </c>
      <c r="BC1538" s="176">
        <f t="shared" si="522"/>
        <v>13</v>
      </c>
      <c r="BD1538" s="176">
        <f t="shared" si="523"/>
        <v>14</v>
      </c>
      <c r="BE1538" s="240" t="str">
        <f t="shared" si="514"/>
        <v/>
      </c>
      <c r="BF1538" s="990"/>
      <c r="BG1538" s="990"/>
      <c r="BH1538" s="991">
        <f>IF(AND(Input_Product=Elig!$C1538,Elig_MatchAll_Ct&lt;22,$BC1538=(Elig_MatchAll_Ct-1),AF1538=0),C1538,0)</f>
        <v>0</v>
      </c>
      <c r="BI1538" s="991">
        <f>IF(AND(Input_Product=Elig!$C1538,Elig_MatchAll_Ct&lt;22,$BC1538=(Elig_MatchAll_Ct-1),AG1538=0),D1538,0)</f>
        <v>0</v>
      </c>
      <c r="BJ1538" s="991">
        <f>IF(AND(Input_Product=Elig!$C1538,Elig_MatchAll_Ct&lt;22,$BC1538=(Elig_MatchAll_Ct-1),AH1538=0),E1538,0)</f>
        <v>0</v>
      </c>
      <c r="BK1538" s="991">
        <f>IF(AND(Input_Product=Elig!$C1538,Elig_MatchAll_Ct&lt;22,$BC1538=(Elig_MatchAll_Ct-1),AI1538=0),F1538,0)</f>
        <v>0</v>
      </c>
      <c r="BL1538" s="991">
        <f>IF(AND(Input_Product=Elig!$C1538,Elig_MatchAll_Ct&lt;22,$BC1538=(Elig_MatchAll_Ct-1),AJ1538=0),G1538,0)</f>
        <v>0</v>
      </c>
      <c r="BM1538" s="991">
        <f>IF(AND(Input_Product=Elig!$C1538,Elig_MatchAll_Ct&lt;22,$BC1538=(Elig_MatchAll_Ct-1),AK1538=0),H1538,0)</f>
        <v>0</v>
      </c>
      <c r="BN1538" s="991">
        <f>IF(AND(Input_Product=Elig!$C1538,Elig_MatchAll_Ct&lt;22,$BC1538=(Elig_MatchAll_Ct-1),AL1538=0),I1538,0)</f>
        <v>0</v>
      </c>
      <c r="BO1538" s="991">
        <f>IF(AND(Input_Product=Elig!$C1538,Elig_MatchAll_Ct&lt;22,$BC1538=(Elig_MatchAll_Ct-1),AM1538=0),J1538,0)</f>
        <v>0</v>
      </c>
      <c r="BP1538" s="991">
        <f>IF(AND(Input_Product=Elig!$C1538,Elig_MatchAll_Ct&lt;22,$BC1538=(Elig_MatchAll_Ct-1),AN1538=0),K1538,0)</f>
        <v>0</v>
      </c>
      <c r="BQ1538" s="991">
        <f>IF(AND(Input_Product=Elig!$C1538,Elig_MatchAll_Ct&lt;22,$BC1538=(Elig_MatchAll_Ct-1),AP1538=0),L1538,0)</f>
        <v>0</v>
      </c>
      <c r="BR1538" s="991">
        <f>IF(AND(Input_Product=Elig!$C1538,Elig_MatchAll_Ct&lt;22,$BC1538=(Elig_MatchAll_Ct-1),AO1538=0),M1538,0)</f>
        <v>0</v>
      </c>
      <c r="BS1538" s="991">
        <f>IF(AND(Input_Product=Elig!$C1538,Elig_MatchAll_Ct&lt;22,$BC1538=(Elig_MatchAll_Ct-1),AQ1538=0),N1538,0)</f>
        <v>0</v>
      </c>
      <c r="BT1538" s="991">
        <f>IF(AND(Input_Product=Elig!$C1538,Elig_MatchAll_Ct&lt;22,$BC1538=(Elig_MatchAll_Ct-1),AR1538=0),O1538,0)</f>
        <v>0</v>
      </c>
      <c r="BU1538" s="991">
        <f>IF(AND(Input_Product=Elig!$C1538,Elig_MatchAll_Ct&lt;22,$BC1538=(Elig_MatchAll_Ct-1),AS1538=0),P1538,0)</f>
        <v>0</v>
      </c>
      <c r="BV1538" s="992">
        <f>IF(AND(Input_Product=Elig!$C1538,Elig_MatchAll_Ct&lt;22,$BC1538=(Elig_MatchAll_Ct-1),AT1538=0),Q1538,0)</f>
        <v>0</v>
      </c>
      <c r="BW1538" s="993">
        <f>IF(AND(Input_Product=Elig!$C1538,Elig_MatchAll_Ct&lt;22,$BC1538=(Elig_MatchAll_Ct-1),AU1538=0),R1538,0)</f>
        <v>0</v>
      </c>
      <c r="BX1538" s="994">
        <f>IF(AND(Input_Product=Elig!$C1538,Elig_MatchAll_Ct&lt;22,$BC1538=(Elig_MatchAll_Ct-1),AU1538=0),S1538,0)</f>
        <v>0</v>
      </c>
      <c r="BY1538" s="993">
        <f>IF(AND(Input_Product=Elig!$C1538,Elig_MatchAll_Ct&lt;22,$BC1538=(Elig_MatchAll_Ct-1),AV1538=0),T1538,0)</f>
        <v>0</v>
      </c>
      <c r="BZ1538" s="994">
        <f>IF(AND(Input_Product=Elig!$C1538,Elig_MatchAll_Ct&lt;22,$BC1538=(Elig_MatchAll_Ct-1),AV1538=0),U1538,0)</f>
        <v>0</v>
      </c>
      <c r="CA1538" s="993">
        <f>IF(AND(Input_Product=Elig!$C1538,Elig_MatchAll_Ct&lt;22,$BC1538=(Elig_MatchAll_Ct-1),AW1538=0),V1538,0)</f>
        <v>0</v>
      </c>
      <c r="CB1538" s="994">
        <f>IF(AND(Input_Product=Elig!$C1538,Elig_MatchAll_Ct&lt;22,$BC1538=(Elig_MatchAll_Ct-1),AW1538=0),W1538,0)</f>
        <v>0</v>
      </c>
      <c r="CC1538" s="993">
        <f>IF(AND(Input_Product=Elig!$C1538,Elig_MatchAll_Ct&lt;22,$BC1538=(Elig_MatchAll_Ct-1),AX1538=0),X1538,0)</f>
        <v>0</v>
      </c>
      <c r="CD1538" s="994">
        <f>IF(AND(Input_Product=Elig!$C1538,Elig_MatchAll_Ct&lt;22,$BC1538=(Elig_MatchAll_Ct-1),AX1538=0),Y1538,0)</f>
        <v>0</v>
      </c>
      <c r="CE1538" s="993">
        <f>IF(AND(Input_LTV&lt;=AE1538,Input_Product=Elig!$C1538,Elig_MatchAll_Ct&lt;22,$BC1538=(Elig_MatchAll_Ct-1),AY1538=0),Z1538,0)</f>
        <v>0</v>
      </c>
      <c r="CF1538" s="994">
        <f>IF(AND(Input_LTV&lt;=AE1538,Input_Product=Elig!$C1538,Elig_MatchAll_Ct&lt;22,$BC1538=(Elig_MatchAll_Ct-1),AY1538=0),AA1538,0)</f>
        <v>0</v>
      </c>
      <c r="CG1538" s="993">
        <f>IF(AND(Input_Product=Elig!$C1538,Elig_MatchAll_Ct&lt;22,$BC1538=(Elig_MatchAll_Ct-1),AZ1538=0),AB1538,0)</f>
        <v>0</v>
      </c>
      <c r="CH1538" s="994">
        <f>IF(AND(Input_Product=Elig!$C1538,Elig_MatchAll_Ct&lt;22,$BC1538=(Elig_MatchAll_Ct-1),AZ1538=0),AC1538,0)</f>
        <v>0</v>
      </c>
      <c r="CI1538" s="993">
        <f>IF(AND(Input_Product=Elig!$C1538,Elig_MatchAll_Ct&lt;22,$BC1538=(Elig_MatchAll_Ct-1),BA1538=0),AD1538,0)</f>
        <v>0</v>
      </c>
      <c r="CJ1538" s="994">
        <f>IF(AND(Input_Product=Elig!$C1538,Elig_MatchAll_Ct&lt;22,$BC1538=(Elig_MatchAll_Ct-1),BA1538=0),AE1538,0)</f>
        <v>0</v>
      </c>
    </row>
    <row r="1539" spans="2:88" ht="10.15" customHeight="1" x14ac:dyDescent="0.25">
      <c r="B1539" s="1567" t="s">
        <v>3624</v>
      </c>
      <c r="C1539" s="1567" t="str">
        <f t="shared" si="524"/>
        <v xml:space="preserve">  NOO</v>
      </c>
      <c r="D1539" s="1567" t="s">
        <v>2764</v>
      </c>
      <c r="E1539" s="1567" t="s">
        <v>167</v>
      </c>
      <c r="F1539" s="1567" t="s">
        <v>330</v>
      </c>
      <c r="G1539" s="1567" t="s">
        <v>181</v>
      </c>
      <c r="H1539" s="1567" t="s">
        <v>136</v>
      </c>
      <c r="I1539" s="1568" t="s">
        <v>35</v>
      </c>
      <c r="J1539" s="1568" t="s">
        <v>1311</v>
      </c>
      <c r="K1539" s="1568" t="s">
        <v>3023</v>
      </c>
      <c r="L1539" s="1567" t="s">
        <v>312</v>
      </c>
      <c r="M1539" s="1567" t="s">
        <v>4204</v>
      </c>
      <c r="N1539" s="1567" t="s">
        <v>2685</v>
      </c>
      <c r="O1539" s="1567" t="s">
        <v>310</v>
      </c>
      <c r="P1539" s="1567" t="s">
        <v>291</v>
      </c>
      <c r="Q1539" s="1567" t="s">
        <v>294</v>
      </c>
      <c r="R1539" s="1567">
        <v>1500000.01</v>
      </c>
      <c r="S1539" s="1567">
        <v>2000000</v>
      </c>
      <c r="T1539" s="1567">
        <v>0</v>
      </c>
      <c r="U1539" s="1567">
        <v>0</v>
      </c>
      <c r="V1539" s="1567">
        <v>0</v>
      </c>
      <c r="W1539" s="1567">
        <v>0</v>
      </c>
      <c r="X1539" s="1567">
        <v>0.01</v>
      </c>
      <c r="Y1539" s="1567">
        <v>0.99</v>
      </c>
      <c r="Z1539" s="1569">
        <v>700</v>
      </c>
      <c r="AA1539" s="1569">
        <v>999</v>
      </c>
      <c r="AB1539" s="1569">
        <v>2</v>
      </c>
      <c r="AC1539" s="1569">
        <v>999999</v>
      </c>
      <c r="AD1539" s="1567">
        <v>0</v>
      </c>
      <c r="AE1539" s="1570">
        <v>65</v>
      </c>
      <c r="AF1539" s="170">
        <v>0</v>
      </c>
      <c r="AG1539" s="171">
        <v>1</v>
      </c>
      <c r="AH1539" s="171">
        <v>1</v>
      </c>
      <c r="AI1539" s="171">
        <v>0</v>
      </c>
      <c r="AJ1539" s="171">
        <v>0</v>
      </c>
      <c r="AK1539" s="171">
        <v>1</v>
      </c>
      <c r="AL1539" s="171">
        <v>0</v>
      </c>
      <c r="AM1539" s="171">
        <v>1</v>
      </c>
      <c r="AN1539" s="171">
        <v>1</v>
      </c>
      <c r="AO1539" s="171">
        <v>1</v>
      </c>
      <c r="AP1539" s="171">
        <v>1</v>
      </c>
      <c r="AQ1539" s="171">
        <v>1</v>
      </c>
      <c r="AR1539" s="171">
        <v>1</v>
      </c>
      <c r="AS1539" s="171">
        <v>1</v>
      </c>
      <c r="AT1539" s="171">
        <v>1</v>
      </c>
      <c r="AU1539" s="171">
        <f t="shared" si="515"/>
        <v>0</v>
      </c>
      <c r="AV1539" s="171">
        <f t="shared" si="516"/>
        <v>0</v>
      </c>
      <c r="AW1539" s="171">
        <f t="shared" si="517"/>
        <v>0</v>
      </c>
      <c r="AX1539" s="171">
        <f t="shared" ref="AX1539:AX1602" si="525">IF(AND(Input_DSCR&gt;=Elig_DSCR_Min,Input_DSCR&lt;=Elig_DSCR_Max),1,0)</f>
        <v>0</v>
      </c>
      <c r="AY1539" s="171">
        <f t="shared" si="518"/>
        <v>1</v>
      </c>
      <c r="AZ1539" s="171">
        <f t="shared" si="519"/>
        <v>1</v>
      </c>
      <c r="BA1539" s="172">
        <f t="shared" si="520"/>
        <v>1</v>
      </c>
      <c r="BB1539" s="175">
        <f t="shared" si="521"/>
        <v>14</v>
      </c>
      <c r="BC1539" s="176">
        <f t="shared" si="522"/>
        <v>13</v>
      </c>
      <c r="BD1539" s="176">
        <f t="shared" si="523"/>
        <v>14</v>
      </c>
      <c r="BE1539" s="240" t="str">
        <f t="shared" si="514"/>
        <v/>
      </c>
      <c r="BF1539" s="990"/>
      <c r="BG1539" s="990"/>
      <c r="BH1539" s="991">
        <f>IF(AND(Input_Product=Elig!$C1539,Elig_MatchAll_Ct&lt;22,$BC1539=(Elig_MatchAll_Ct-1),AF1539=0),C1539,0)</f>
        <v>0</v>
      </c>
      <c r="BI1539" s="991">
        <f>IF(AND(Input_Product=Elig!$C1539,Elig_MatchAll_Ct&lt;22,$BC1539=(Elig_MatchAll_Ct-1),AG1539=0),D1539,0)</f>
        <v>0</v>
      </c>
      <c r="BJ1539" s="991">
        <f>IF(AND(Input_Product=Elig!$C1539,Elig_MatchAll_Ct&lt;22,$BC1539=(Elig_MatchAll_Ct-1),AH1539=0),E1539,0)</f>
        <v>0</v>
      </c>
      <c r="BK1539" s="991">
        <f>IF(AND(Input_Product=Elig!$C1539,Elig_MatchAll_Ct&lt;22,$BC1539=(Elig_MatchAll_Ct-1),AI1539=0),F1539,0)</f>
        <v>0</v>
      </c>
      <c r="BL1539" s="991">
        <f>IF(AND(Input_Product=Elig!$C1539,Elig_MatchAll_Ct&lt;22,$BC1539=(Elig_MatchAll_Ct-1),AJ1539=0),G1539,0)</f>
        <v>0</v>
      </c>
      <c r="BM1539" s="991">
        <f>IF(AND(Input_Product=Elig!$C1539,Elig_MatchAll_Ct&lt;22,$BC1539=(Elig_MatchAll_Ct-1),AK1539=0),H1539,0)</f>
        <v>0</v>
      </c>
      <c r="BN1539" s="991">
        <f>IF(AND(Input_Product=Elig!$C1539,Elig_MatchAll_Ct&lt;22,$BC1539=(Elig_MatchAll_Ct-1),AL1539=0),I1539,0)</f>
        <v>0</v>
      </c>
      <c r="BO1539" s="991">
        <f>IF(AND(Input_Product=Elig!$C1539,Elig_MatchAll_Ct&lt;22,$BC1539=(Elig_MatchAll_Ct-1),AM1539=0),J1539,0)</f>
        <v>0</v>
      </c>
      <c r="BP1539" s="991">
        <f>IF(AND(Input_Product=Elig!$C1539,Elig_MatchAll_Ct&lt;22,$BC1539=(Elig_MatchAll_Ct-1),AN1539=0),K1539,0)</f>
        <v>0</v>
      </c>
      <c r="BQ1539" s="991">
        <f>IF(AND(Input_Product=Elig!$C1539,Elig_MatchAll_Ct&lt;22,$BC1539=(Elig_MatchAll_Ct-1),AP1539=0),L1539,0)</f>
        <v>0</v>
      </c>
      <c r="BR1539" s="991">
        <f>IF(AND(Input_Product=Elig!$C1539,Elig_MatchAll_Ct&lt;22,$BC1539=(Elig_MatchAll_Ct-1),AO1539=0),M1539,0)</f>
        <v>0</v>
      </c>
      <c r="BS1539" s="991">
        <f>IF(AND(Input_Product=Elig!$C1539,Elig_MatchAll_Ct&lt;22,$BC1539=(Elig_MatchAll_Ct-1),AQ1539=0),N1539,0)</f>
        <v>0</v>
      </c>
      <c r="BT1539" s="991">
        <f>IF(AND(Input_Product=Elig!$C1539,Elig_MatchAll_Ct&lt;22,$BC1539=(Elig_MatchAll_Ct-1),AR1539=0),O1539,0)</f>
        <v>0</v>
      </c>
      <c r="BU1539" s="991">
        <f>IF(AND(Input_Product=Elig!$C1539,Elig_MatchAll_Ct&lt;22,$BC1539=(Elig_MatchAll_Ct-1),AS1539=0),P1539,0)</f>
        <v>0</v>
      </c>
      <c r="BV1539" s="992">
        <f>IF(AND(Input_Product=Elig!$C1539,Elig_MatchAll_Ct&lt;22,$BC1539=(Elig_MatchAll_Ct-1),AT1539=0),Q1539,0)</f>
        <v>0</v>
      </c>
      <c r="BW1539" s="993">
        <f>IF(AND(Input_Product=Elig!$C1539,Elig_MatchAll_Ct&lt;22,$BC1539=(Elig_MatchAll_Ct-1),AU1539=0),R1539,0)</f>
        <v>0</v>
      </c>
      <c r="BX1539" s="994">
        <f>IF(AND(Input_Product=Elig!$C1539,Elig_MatchAll_Ct&lt;22,$BC1539=(Elig_MatchAll_Ct-1),AU1539=0),S1539,0)</f>
        <v>0</v>
      </c>
      <c r="BY1539" s="993">
        <f>IF(AND(Input_Product=Elig!$C1539,Elig_MatchAll_Ct&lt;22,$BC1539=(Elig_MatchAll_Ct-1),AV1539=0),T1539,0)</f>
        <v>0</v>
      </c>
      <c r="BZ1539" s="994">
        <f>IF(AND(Input_Product=Elig!$C1539,Elig_MatchAll_Ct&lt;22,$BC1539=(Elig_MatchAll_Ct-1),AV1539=0),U1539,0)</f>
        <v>0</v>
      </c>
      <c r="CA1539" s="993">
        <f>IF(AND(Input_Product=Elig!$C1539,Elig_MatchAll_Ct&lt;22,$BC1539=(Elig_MatchAll_Ct-1),AW1539=0),V1539,0)</f>
        <v>0</v>
      </c>
      <c r="CB1539" s="994">
        <f>IF(AND(Input_Product=Elig!$C1539,Elig_MatchAll_Ct&lt;22,$BC1539=(Elig_MatchAll_Ct-1),AW1539=0),W1539,0)</f>
        <v>0</v>
      </c>
      <c r="CC1539" s="993">
        <f>IF(AND(Input_Product=Elig!$C1539,Elig_MatchAll_Ct&lt;22,$BC1539=(Elig_MatchAll_Ct-1),AX1539=0),X1539,0)</f>
        <v>0</v>
      </c>
      <c r="CD1539" s="994">
        <f>IF(AND(Input_Product=Elig!$C1539,Elig_MatchAll_Ct&lt;22,$BC1539=(Elig_MatchAll_Ct-1),AX1539=0),Y1539,0)</f>
        <v>0</v>
      </c>
      <c r="CE1539" s="993">
        <f>IF(AND(Input_LTV&lt;=AE1539,Input_Product=Elig!$C1539,Elig_MatchAll_Ct&lt;22,$BC1539=(Elig_MatchAll_Ct-1),AY1539=0),Z1539,0)</f>
        <v>0</v>
      </c>
      <c r="CF1539" s="994">
        <f>IF(AND(Input_LTV&lt;=AE1539,Input_Product=Elig!$C1539,Elig_MatchAll_Ct&lt;22,$BC1539=(Elig_MatchAll_Ct-1),AY1539=0),AA1539,0)</f>
        <v>0</v>
      </c>
      <c r="CG1539" s="993">
        <f>IF(AND(Input_Product=Elig!$C1539,Elig_MatchAll_Ct&lt;22,$BC1539=(Elig_MatchAll_Ct-1),AZ1539=0),AB1539,0)</f>
        <v>0</v>
      </c>
      <c r="CH1539" s="994">
        <f>IF(AND(Input_Product=Elig!$C1539,Elig_MatchAll_Ct&lt;22,$BC1539=(Elig_MatchAll_Ct-1),AZ1539=0),AC1539,0)</f>
        <v>0</v>
      </c>
      <c r="CI1539" s="993">
        <f>IF(AND(Input_Product=Elig!$C1539,Elig_MatchAll_Ct&lt;22,$BC1539=(Elig_MatchAll_Ct-1),BA1539=0),AD1539,0)</f>
        <v>0</v>
      </c>
      <c r="CJ1539" s="994">
        <f>IF(AND(Input_Product=Elig!$C1539,Elig_MatchAll_Ct&lt;22,$BC1539=(Elig_MatchAll_Ct-1),BA1539=0),AE1539,0)</f>
        <v>0</v>
      </c>
    </row>
    <row r="1540" spans="2:88" ht="10.15" customHeight="1" x14ac:dyDescent="0.25">
      <c r="B1540" s="1567" t="s">
        <v>2885</v>
      </c>
      <c r="C1540" s="1567" t="str">
        <f t="shared" si="524"/>
        <v xml:space="preserve">  NOO</v>
      </c>
      <c r="D1540" s="1567" t="s">
        <v>2764</v>
      </c>
      <c r="E1540" s="1567" t="s">
        <v>167</v>
      </c>
      <c r="F1540" s="1567" t="s">
        <v>330</v>
      </c>
      <c r="G1540" s="1567" t="s">
        <v>181</v>
      </c>
      <c r="H1540" s="1567" t="s">
        <v>136</v>
      </c>
      <c r="I1540" s="1568" t="s">
        <v>35</v>
      </c>
      <c r="J1540" s="1568" t="s">
        <v>1311</v>
      </c>
      <c r="K1540" s="1568" t="s">
        <v>3023</v>
      </c>
      <c r="L1540" s="1567" t="s">
        <v>312</v>
      </c>
      <c r="M1540" s="1567" t="s">
        <v>4204</v>
      </c>
      <c r="N1540" s="1567" t="s">
        <v>2685</v>
      </c>
      <c r="O1540" s="1567" t="s">
        <v>310</v>
      </c>
      <c r="P1540" s="1567" t="s">
        <v>291</v>
      </c>
      <c r="Q1540" s="1567" t="s">
        <v>294</v>
      </c>
      <c r="R1540" s="1567">
        <v>100000</v>
      </c>
      <c r="S1540" s="1567">
        <v>1000000</v>
      </c>
      <c r="T1540" s="1567">
        <v>0</v>
      </c>
      <c r="U1540" s="1567">
        <v>0</v>
      </c>
      <c r="V1540" s="1567">
        <v>0</v>
      </c>
      <c r="W1540" s="1567">
        <v>0</v>
      </c>
      <c r="X1540" s="1567">
        <v>0.01</v>
      </c>
      <c r="Y1540" s="1567">
        <v>0.99</v>
      </c>
      <c r="Z1540" s="1569">
        <v>680</v>
      </c>
      <c r="AA1540" s="1569">
        <v>699</v>
      </c>
      <c r="AB1540" s="1569">
        <v>2</v>
      </c>
      <c r="AC1540" s="1569">
        <v>999999</v>
      </c>
      <c r="AD1540" s="1567">
        <v>0</v>
      </c>
      <c r="AE1540" s="1570">
        <v>65</v>
      </c>
      <c r="AF1540" s="170">
        <v>0</v>
      </c>
      <c r="AG1540" s="171">
        <v>1</v>
      </c>
      <c r="AH1540" s="171">
        <v>1</v>
      </c>
      <c r="AI1540" s="171">
        <v>0</v>
      </c>
      <c r="AJ1540" s="171">
        <v>0</v>
      </c>
      <c r="AK1540" s="171">
        <v>1</v>
      </c>
      <c r="AL1540" s="171">
        <v>0</v>
      </c>
      <c r="AM1540" s="171">
        <v>1</v>
      </c>
      <c r="AN1540" s="171">
        <v>1</v>
      </c>
      <c r="AO1540" s="171">
        <v>1</v>
      </c>
      <c r="AP1540" s="171">
        <v>1</v>
      </c>
      <c r="AQ1540" s="171">
        <v>1</v>
      </c>
      <c r="AR1540" s="171">
        <v>1</v>
      </c>
      <c r="AS1540" s="171">
        <v>1</v>
      </c>
      <c r="AT1540" s="171">
        <v>1</v>
      </c>
      <c r="AU1540" s="171">
        <f t="shared" si="515"/>
        <v>1</v>
      </c>
      <c r="AV1540" s="171">
        <f t="shared" si="516"/>
        <v>0</v>
      </c>
      <c r="AW1540" s="171">
        <f t="shared" si="517"/>
        <v>0</v>
      </c>
      <c r="AX1540" s="171">
        <f t="shared" si="525"/>
        <v>0</v>
      </c>
      <c r="AY1540" s="171">
        <f t="shared" si="518"/>
        <v>0</v>
      </c>
      <c r="AZ1540" s="171">
        <f t="shared" si="519"/>
        <v>1</v>
      </c>
      <c r="BA1540" s="172">
        <f t="shared" si="520"/>
        <v>1</v>
      </c>
      <c r="BB1540" s="175">
        <f t="shared" si="521"/>
        <v>14</v>
      </c>
      <c r="BC1540" s="176">
        <f t="shared" si="522"/>
        <v>13</v>
      </c>
      <c r="BD1540" s="176">
        <f t="shared" si="523"/>
        <v>14</v>
      </c>
      <c r="BE1540" s="240" t="str">
        <f t="shared" si="514"/>
        <v/>
      </c>
      <c r="BF1540" s="990"/>
      <c r="BG1540" s="990"/>
      <c r="BH1540" s="991">
        <f>IF(AND(Input_Product=Elig!$C1540,Elig_MatchAll_Ct&lt;22,$BC1540=(Elig_MatchAll_Ct-1),AF1540=0),C1540,0)</f>
        <v>0</v>
      </c>
      <c r="BI1540" s="991">
        <f>IF(AND(Input_Product=Elig!$C1540,Elig_MatchAll_Ct&lt;22,$BC1540=(Elig_MatchAll_Ct-1),AG1540=0),D1540,0)</f>
        <v>0</v>
      </c>
      <c r="BJ1540" s="991">
        <f>IF(AND(Input_Product=Elig!$C1540,Elig_MatchAll_Ct&lt;22,$BC1540=(Elig_MatchAll_Ct-1),AH1540=0),E1540,0)</f>
        <v>0</v>
      </c>
      <c r="BK1540" s="991">
        <f>IF(AND(Input_Product=Elig!$C1540,Elig_MatchAll_Ct&lt;22,$BC1540=(Elig_MatchAll_Ct-1),AI1540=0),F1540,0)</f>
        <v>0</v>
      </c>
      <c r="BL1540" s="991">
        <f>IF(AND(Input_Product=Elig!$C1540,Elig_MatchAll_Ct&lt;22,$BC1540=(Elig_MatchAll_Ct-1),AJ1540=0),G1540,0)</f>
        <v>0</v>
      </c>
      <c r="BM1540" s="991">
        <f>IF(AND(Input_Product=Elig!$C1540,Elig_MatchAll_Ct&lt;22,$BC1540=(Elig_MatchAll_Ct-1),AK1540=0),H1540,0)</f>
        <v>0</v>
      </c>
      <c r="BN1540" s="991">
        <f>IF(AND(Input_Product=Elig!$C1540,Elig_MatchAll_Ct&lt;22,$BC1540=(Elig_MatchAll_Ct-1),AL1540=0),I1540,0)</f>
        <v>0</v>
      </c>
      <c r="BO1540" s="991">
        <f>IF(AND(Input_Product=Elig!$C1540,Elig_MatchAll_Ct&lt;22,$BC1540=(Elig_MatchAll_Ct-1),AM1540=0),J1540,0)</f>
        <v>0</v>
      </c>
      <c r="BP1540" s="991">
        <f>IF(AND(Input_Product=Elig!$C1540,Elig_MatchAll_Ct&lt;22,$BC1540=(Elig_MatchAll_Ct-1),AN1540=0),K1540,0)</f>
        <v>0</v>
      </c>
      <c r="BQ1540" s="991">
        <f>IF(AND(Input_Product=Elig!$C1540,Elig_MatchAll_Ct&lt;22,$BC1540=(Elig_MatchAll_Ct-1),AP1540=0),L1540,0)</f>
        <v>0</v>
      </c>
      <c r="BR1540" s="991">
        <f>IF(AND(Input_Product=Elig!$C1540,Elig_MatchAll_Ct&lt;22,$BC1540=(Elig_MatchAll_Ct-1),AO1540=0),M1540,0)</f>
        <v>0</v>
      </c>
      <c r="BS1540" s="991">
        <f>IF(AND(Input_Product=Elig!$C1540,Elig_MatchAll_Ct&lt;22,$BC1540=(Elig_MatchAll_Ct-1),AQ1540=0),N1540,0)</f>
        <v>0</v>
      </c>
      <c r="BT1540" s="991">
        <f>IF(AND(Input_Product=Elig!$C1540,Elig_MatchAll_Ct&lt;22,$BC1540=(Elig_MatchAll_Ct-1),AR1540=0),O1540,0)</f>
        <v>0</v>
      </c>
      <c r="BU1540" s="991">
        <f>IF(AND(Input_Product=Elig!$C1540,Elig_MatchAll_Ct&lt;22,$BC1540=(Elig_MatchAll_Ct-1),AS1540=0),P1540,0)</f>
        <v>0</v>
      </c>
      <c r="BV1540" s="992">
        <f>IF(AND(Input_Product=Elig!$C1540,Elig_MatchAll_Ct&lt;22,$BC1540=(Elig_MatchAll_Ct-1),AT1540=0),Q1540,0)</f>
        <v>0</v>
      </c>
      <c r="BW1540" s="993">
        <f>IF(AND(Input_Product=Elig!$C1540,Elig_MatchAll_Ct&lt;22,$BC1540=(Elig_MatchAll_Ct-1),AU1540=0),R1540,0)</f>
        <v>0</v>
      </c>
      <c r="BX1540" s="994">
        <f>IF(AND(Input_Product=Elig!$C1540,Elig_MatchAll_Ct&lt;22,$BC1540=(Elig_MatchAll_Ct-1),AU1540=0),S1540,0)</f>
        <v>0</v>
      </c>
      <c r="BY1540" s="993">
        <f>IF(AND(Input_Product=Elig!$C1540,Elig_MatchAll_Ct&lt;22,$BC1540=(Elig_MatchAll_Ct-1),AV1540=0),T1540,0)</f>
        <v>0</v>
      </c>
      <c r="BZ1540" s="994">
        <f>IF(AND(Input_Product=Elig!$C1540,Elig_MatchAll_Ct&lt;22,$BC1540=(Elig_MatchAll_Ct-1),AV1540=0),U1540,0)</f>
        <v>0</v>
      </c>
      <c r="CA1540" s="993">
        <f>IF(AND(Input_Product=Elig!$C1540,Elig_MatchAll_Ct&lt;22,$BC1540=(Elig_MatchAll_Ct-1),AW1540=0),V1540,0)</f>
        <v>0</v>
      </c>
      <c r="CB1540" s="994">
        <f>IF(AND(Input_Product=Elig!$C1540,Elig_MatchAll_Ct&lt;22,$BC1540=(Elig_MatchAll_Ct-1),AW1540=0),W1540,0)</f>
        <v>0</v>
      </c>
      <c r="CC1540" s="993">
        <f>IF(AND(Input_Product=Elig!$C1540,Elig_MatchAll_Ct&lt;22,$BC1540=(Elig_MatchAll_Ct-1),AX1540=0),X1540,0)</f>
        <v>0</v>
      </c>
      <c r="CD1540" s="994">
        <f>IF(AND(Input_Product=Elig!$C1540,Elig_MatchAll_Ct&lt;22,$BC1540=(Elig_MatchAll_Ct-1),AX1540=0),Y1540,0)</f>
        <v>0</v>
      </c>
      <c r="CE1540" s="993">
        <f>IF(AND(Input_LTV&lt;=AE1540,Input_Product=Elig!$C1540,Elig_MatchAll_Ct&lt;22,$BC1540=(Elig_MatchAll_Ct-1),AY1540=0),Z1540,0)</f>
        <v>0</v>
      </c>
      <c r="CF1540" s="994">
        <f>IF(AND(Input_LTV&lt;=AE1540,Input_Product=Elig!$C1540,Elig_MatchAll_Ct&lt;22,$BC1540=(Elig_MatchAll_Ct-1),AY1540=0),AA1540,0)</f>
        <v>0</v>
      </c>
      <c r="CG1540" s="993">
        <f>IF(AND(Input_Product=Elig!$C1540,Elig_MatchAll_Ct&lt;22,$BC1540=(Elig_MatchAll_Ct-1),AZ1540=0),AB1540,0)</f>
        <v>0</v>
      </c>
      <c r="CH1540" s="994">
        <f>IF(AND(Input_Product=Elig!$C1540,Elig_MatchAll_Ct&lt;22,$BC1540=(Elig_MatchAll_Ct-1),AZ1540=0),AC1540,0)</f>
        <v>0</v>
      </c>
      <c r="CI1540" s="993">
        <f>IF(AND(Input_Product=Elig!$C1540,Elig_MatchAll_Ct&lt;22,$BC1540=(Elig_MatchAll_Ct-1),BA1540=0),AD1540,0)</f>
        <v>0</v>
      </c>
      <c r="CJ1540" s="994">
        <f>IF(AND(Input_Product=Elig!$C1540,Elig_MatchAll_Ct&lt;22,$BC1540=(Elig_MatchAll_Ct-1),BA1540=0),AE1540,0)</f>
        <v>0</v>
      </c>
    </row>
    <row r="1541" spans="2:88" ht="10.15" customHeight="1" x14ac:dyDescent="0.25">
      <c r="B1541" s="1567" t="s">
        <v>2886</v>
      </c>
      <c r="C1541" s="1567" t="str">
        <f t="shared" si="524"/>
        <v xml:space="preserve">  NOO</v>
      </c>
      <c r="D1541" s="1567" t="s">
        <v>2764</v>
      </c>
      <c r="E1541" s="1567" t="s">
        <v>167</v>
      </c>
      <c r="F1541" s="1567" t="s">
        <v>330</v>
      </c>
      <c r="G1541" s="1567" t="s">
        <v>181</v>
      </c>
      <c r="H1541" s="1567" t="s">
        <v>136</v>
      </c>
      <c r="I1541" s="1568" t="s">
        <v>35</v>
      </c>
      <c r="J1541" s="1568" t="s">
        <v>1311</v>
      </c>
      <c r="K1541" s="1568" t="s">
        <v>3023</v>
      </c>
      <c r="L1541" s="1567" t="s">
        <v>312</v>
      </c>
      <c r="M1541" s="1567" t="s">
        <v>4204</v>
      </c>
      <c r="N1541" s="1567" t="s">
        <v>2685</v>
      </c>
      <c r="O1541" s="1567" t="s">
        <v>310</v>
      </c>
      <c r="P1541" s="1567" t="s">
        <v>291</v>
      </c>
      <c r="Q1541" s="1567" t="s">
        <v>294</v>
      </c>
      <c r="R1541" s="1567">
        <v>1000000.01</v>
      </c>
      <c r="S1541" s="1567">
        <v>1500000</v>
      </c>
      <c r="T1541" s="1567">
        <v>0</v>
      </c>
      <c r="U1541" s="1567">
        <v>0</v>
      </c>
      <c r="V1541" s="1567">
        <v>0</v>
      </c>
      <c r="W1541" s="1567">
        <v>0</v>
      </c>
      <c r="X1541" s="1567">
        <v>0.01</v>
      </c>
      <c r="Y1541" s="1567">
        <v>0.99</v>
      </c>
      <c r="Z1541" s="1569">
        <v>680</v>
      </c>
      <c r="AA1541" s="1569">
        <v>699</v>
      </c>
      <c r="AB1541" s="1569">
        <v>2</v>
      </c>
      <c r="AC1541" s="1569">
        <v>999999</v>
      </c>
      <c r="AD1541" s="1567">
        <v>0</v>
      </c>
      <c r="AE1541" s="1570">
        <v>65</v>
      </c>
      <c r="AF1541" s="170">
        <v>0</v>
      </c>
      <c r="AG1541" s="171">
        <v>1</v>
      </c>
      <c r="AH1541" s="171">
        <v>1</v>
      </c>
      <c r="AI1541" s="171">
        <v>0</v>
      </c>
      <c r="AJ1541" s="171">
        <v>0</v>
      </c>
      <c r="AK1541" s="171">
        <v>1</v>
      </c>
      <c r="AL1541" s="171">
        <v>0</v>
      </c>
      <c r="AM1541" s="171">
        <v>1</v>
      </c>
      <c r="AN1541" s="171">
        <v>1</v>
      </c>
      <c r="AO1541" s="171">
        <v>1</v>
      </c>
      <c r="AP1541" s="171">
        <v>1</v>
      </c>
      <c r="AQ1541" s="171">
        <v>1</v>
      </c>
      <c r="AR1541" s="171">
        <v>1</v>
      </c>
      <c r="AS1541" s="171">
        <v>1</v>
      </c>
      <c r="AT1541" s="171">
        <v>1</v>
      </c>
      <c r="AU1541" s="171">
        <f t="shared" si="515"/>
        <v>0</v>
      </c>
      <c r="AV1541" s="171">
        <f t="shared" si="516"/>
        <v>0</v>
      </c>
      <c r="AW1541" s="171">
        <f t="shared" si="517"/>
        <v>0</v>
      </c>
      <c r="AX1541" s="171">
        <f t="shared" si="525"/>
        <v>0</v>
      </c>
      <c r="AY1541" s="171">
        <f t="shared" si="518"/>
        <v>0</v>
      </c>
      <c r="AZ1541" s="171">
        <f t="shared" si="519"/>
        <v>1</v>
      </c>
      <c r="BA1541" s="172">
        <f t="shared" si="520"/>
        <v>1</v>
      </c>
      <c r="BB1541" s="175">
        <f t="shared" si="521"/>
        <v>13</v>
      </c>
      <c r="BC1541" s="176">
        <f t="shared" si="522"/>
        <v>12</v>
      </c>
      <c r="BD1541" s="176">
        <f t="shared" si="523"/>
        <v>13</v>
      </c>
      <c r="BE1541" s="240" t="str">
        <f t="shared" si="514"/>
        <v/>
      </c>
      <c r="BF1541" s="990"/>
      <c r="BG1541" s="990"/>
      <c r="BH1541" s="991">
        <f>IF(AND(Input_Product=Elig!$C1541,Elig_MatchAll_Ct&lt;22,$BC1541=(Elig_MatchAll_Ct-1),AF1541=0),C1541,0)</f>
        <v>0</v>
      </c>
      <c r="BI1541" s="991">
        <f>IF(AND(Input_Product=Elig!$C1541,Elig_MatchAll_Ct&lt;22,$BC1541=(Elig_MatchAll_Ct-1),AG1541=0),D1541,0)</f>
        <v>0</v>
      </c>
      <c r="BJ1541" s="991">
        <f>IF(AND(Input_Product=Elig!$C1541,Elig_MatchAll_Ct&lt;22,$BC1541=(Elig_MatchAll_Ct-1),AH1541=0),E1541,0)</f>
        <v>0</v>
      </c>
      <c r="BK1541" s="991">
        <f>IF(AND(Input_Product=Elig!$C1541,Elig_MatchAll_Ct&lt;22,$BC1541=(Elig_MatchAll_Ct-1),AI1541=0),F1541,0)</f>
        <v>0</v>
      </c>
      <c r="BL1541" s="991">
        <f>IF(AND(Input_Product=Elig!$C1541,Elig_MatchAll_Ct&lt;22,$BC1541=(Elig_MatchAll_Ct-1),AJ1541=0),G1541,0)</f>
        <v>0</v>
      </c>
      <c r="BM1541" s="991">
        <f>IF(AND(Input_Product=Elig!$C1541,Elig_MatchAll_Ct&lt;22,$BC1541=(Elig_MatchAll_Ct-1),AK1541=0),H1541,0)</f>
        <v>0</v>
      </c>
      <c r="BN1541" s="991">
        <f>IF(AND(Input_Product=Elig!$C1541,Elig_MatchAll_Ct&lt;22,$BC1541=(Elig_MatchAll_Ct-1),AL1541=0),I1541,0)</f>
        <v>0</v>
      </c>
      <c r="BO1541" s="991">
        <f>IF(AND(Input_Product=Elig!$C1541,Elig_MatchAll_Ct&lt;22,$BC1541=(Elig_MatchAll_Ct-1),AM1541=0),J1541,0)</f>
        <v>0</v>
      </c>
      <c r="BP1541" s="991">
        <f>IF(AND(Input_Product=Elig!$C1541,Elig_MatchAll_Ct&lt;22,$BC1541=(Elig_MatchAll_Ct-1),AN1541=0),K1541,0)</f>
        <v>0</v>
      </c>
      <c r="BQ1541" s="991">
        <f>IF(AND(Input_Product=Elig!$C1541,Elig_MatchAll_Ct&lt;22,$BC1541=(Elig_MatchAll_Ct-1),AP1541=0),L1541,0)</f>
        <v>0</v>
      </c>
      <c r="BR1541" s="991">
        <f>IF(AND(Input_Product=Elig!$C1541,Elig_MatchAll_Ct&lt;22,$BC1541=(Elig_MatchAll_Ct-1),AO1541=0),M1541,0)</f>
        <v>0</v>
      </c>
      <c r="BS1541" s="991">
        <f>IF(AND(Input_Product=Elig!$C1541,Elig_MatchAll_Ct&lt;22,$BC1541=(Elig_MatchAll_Ct-1),AQ1541=0),N1541,0)</f>
        <v>0</v>
      </c>
      <c r="BT1541" s="991">
        <f>IF(AND(Input_Product=Elig!$C1541,Elig_MatchAll_Ct&lt;22,$BC1541=(Elig_MatchAll_Ct-1),AR1541=0),O1541,0)</f>
        <v>0</v>
      </c>
      <c r="BU1541" s="991">
        <f>IF(AND(Input_Product=Elig!$C1541,Elig_MatchAll_Ct&lt;22,$BC1541=(Elig_MatchAll_Ct-1),AS1541=0),P1541,0)</f>
        <v>0</v>
      </c>
      <c r="BV1541" s="992">
        <f>IF(AND(Input_Product=Elig!$C1541,Elig_MatchAll_Ct&lt;22,$BC1541=(Elig_MatchAll_Ct-1),AT1541=0),Q1541,0)</f>
        <v>0</v>
      </c>
      <c r="BW1541" s="993">
        <f>IF(AND(Input_Product=Elig!$C1541,Elig_MatchAll_Ct&lt;22,$BC1541=(Elig_MatchAll_Ct-1),AU1541=0),R1541,0)</f>
        <v>0</v>
      </c>
      <c r="BX1541" s="994">
        <f>IF(AND(Input_Product=Elig!$C1541,Elig_MatchAll_Ct&lt;22,$BC1541=(Elig_MatchAll_Ct-1),AU1541=0),S1541,0)</f>
        <v>0</v>
      </c>
      <c r="BY1541" s="993">
        <f>IF(AND(Input_Product=Elig!$C1541,Elig_MatchAll_Ct&lt;22,$BC1541=(Elig_MatchAll_Ct-1),AV1541=0),T1541,0)</f>
        <v>0</v>
      </c>
      <c r="BZ1541" s="994">
        <f>IF(AND(Input_Product=Elig!$C1541,Elig_MatchAll_Ct&lt;22,$BC1541=(Elig_MatchAll_Ct-1),AV1541=0),U1541,0)</f>
        <v>0</v>
      </c>
      <c r="CA1541" s="993">
        <f>IF(AND(Input_Product=Elig!$C1541,Elig_MatchAll_Ct&lt;22,$BC1541=(Elig_MatchAll_Ct-1),AW1541=0),V1541,0)</f>
        <v>0</v>
      </c>
      <c r="CB1541" s="994">
        <f>IF(AND(Input_Product=Elig!$C1541,Elig_MatchAll_Ct&lt;22,$BC1541=(Elig_MatchAll_Ct-1),AW1541=0),W1541,0)</f>
        <v>0</v>
      </c>
      <c r="CC1541" s="993">
        <f>IF(AND(Input_Product=Elig!$C1541,Elig_MatchAll_Ct&lt;22,$BC1541=(Elig_MatchAll_Ct-1),AX1541=0),X1541,0)</f>
        <v>0</v>
      </c>
      <c r="CD1541" s="994">
        <f>IF(AND(Input_Product=Elig!$C1541,Elig_MatchAll_Ct&lt;22,$BC1541=(Elig_MatchAll_Ct-1),AX1541=0),Y1541,0)</f>
        <v>0</v>
      </c>
      <c r="CE1541" s="993">
        <f>IF(AND(Input_LTV&lt;=AE1541,Input_Product=Elig!$C1541,Elig_MatchAll_Ct&lt;22,$BC1541=(Elig_MatchAll_Ct-1),AY1541=0),Z1541,0)</f>
        <v>0</v>
      </c>
      <c r="CF1541" s="994">
        <f>IF(AND(Input_LTV&lt;=AE1541,Input_Product=Elig!$C1541,Elig_MatchAll_Ct&lt;22,$BC1541=(Elig_MatchAll_Ct-1),AY1541=0),AA1541,0)</f>
        <v>0</v>
      </c>
      <c r="CG1541" s="993">
        <f>IF(AND(Input_Product=Elig!$C1541,Elig_MatchAll_Ct&lt;22,$BC1541=(Elig_MatchAll_Ct-1),AZ1541=0),AB1541,0)</f>
        <v>0</v>
      </c>
      <c r="CH1541" s="994">
        <f>IF(AND(Input_Product=Elig!$C1541,Elig_MatchAll_Ct&lt;22,$BC1541=(Elig_MatchAll_Ct-1),AZ1541=0),AC1541,0)</f>
        <v>0</v>
      </c>
      <c r="CI1541" s="993">
        <f>IF(AND(Input_Product=Elig!$C1541,Elig_MatchAll_Ct&lt;22,$BC1541=(Elig_MatchAll_Ct-1),BA1541=0),AD1541,0)</f>
        <v>0</v>
      </c>
      <c r="CJ1541" s="994">
        <f>IF(AND(Input_Product=Elig!$C1541,Elig_MatchAll_Ct&lt;22,$BC1541=(Elig_MatchAll_Ct-1),BA1541=0),AE1541,0)</f>
        <v>0</v>
      </c>
    </row>
    <row r="1542" spans="2:88" ht="10.15" customHeight="1" x14ac:dyDescent="0.25">
      <c r="B1542" s="1567" t="s">
        <v>2887</v>
      </c>
      <c r="C1542" s="1567" t="str">
        <f t="shared" si="524"/>
        <v xml:space="preserve">  NOO</v>
      </c>
      <c r="D1542" s="1567" t="s">
        <v>2764</v>
      </c>
      <c r="E1542" s="1567" t="s">
        <v>167</v>
      </c>
      <c r="F1542" s="1567" t="s">
        <v>330</v>
      </c>
      <c r="G1542" s="1567" t="s">
        <v>181</v>
      </c>
      <c r="H1542" s="1567" t="s">
        <v>136</v>
      </c>
      <c r="I1542" s="1568" t="s">
        <v>35</v>
      </c>
      <c r="J1542" s="1568" t="s">
        <v>1311</v>
      </c>
      <c r="K1542" s="1568" t="s">
        <v>3023</v>
      </c>
      <c r="L1542" s="1567" t="s">
        <v>312</v>
      </c>
      <c r="M1542" s="1567" t="s">
        <v>4204</v>
      </c>
      <c r="N1542" s="1567" t="s">
        <v>2685</v>
      </c>
      <c r="O1542" s="1567" t="s">
        <v>310</v>
      </c>
      <c r="P1542" s="1567" t="s">
        <v>291</v>
      </c>
      <c r="Q1542" s="1567" t="s">
        <v>294</v>
      </c>
      <c r="R1542" s="1567">
        <v>1500000.01</v>
      </c>
      <c r="S1542" s="1567">
        <v>2000000</v>
      </c>
      <c r="T1542" s="1567">
        <v>0</v>
      </c>
      <c r="U1542" s="1567">
        <v>0</v>
      </c>
      <c r="V1542" s="1567">
        <v>0</v>
      </c>
      <c r="W1542" s="1567">
        <v>0</v>
      </c>
      <c r="X1542" s="1567">
        <v>0.01</v>
      </c>
      <c r="Y1542" s="1567">
        <v>0.99</v>
      </c>
      <c r="Z1542" s="1569">
        <v>680</v>
      </c>
      <c r="AA1542" s="1569">
        <v>699</v>
      </c>
      <c r="AB1542" s="1569">
        <v>2</v>
      </c>
      <c r="AC1542" s="1569">
        <v>999999</v>
      </c>
      <c r="AD1542" s="1567">
        <v>0</v>
      </c>
      <c r="AE1542" s="1570">
        <v>60</v>
      </c>
      <c r="AF1542" s="170">
        <v>0</v>
      </c>
      <c r="AG1542" s="171">
        <v>1</v>
      </c>
      <c r="AH1542" s="171">
        <v>1</v>
      </c>
      <c r="AI1542" s="171">
        <v>0</v>
      </c>
      <c r="AJ1542" s="171">
        <v>0</v>
      </c>
      <c r="AK1542" s="171">
        <v>1</v>
      </c>
      <c r="AL1542" s="171">
        <v>0</v>
      </c>
      <c r="AM1542" s="171">
        <v>1</v>
      </c>
      <c r="AN1542" s="171">
        <v>1</v>
      </c>
      <c r="AO1542" s="171">
        <v>1</v>
      </c>
      <c r="AP1542" s="171">
        <v>1</v>
      </c>
      <c r="AQ1542" s="171">
        <v>1</v>
      </c>
      <c r="AR1542" s="171">
        <v>1</v>
      </c>
      <c r="AS1542" s="171">
        <v>1</v>
      </c>
      <c r="AT1542" s="171">
        <v>1</v>
      </c>
      <c r="AU1542" s="171">
        <f t="shared" si="515"/>
        <v>0</v>
      </c>
      <c r="AV1542" s="171">
        <f t="shared" si="516"/>
        <v>0</v>
      </c>
      <c r="AW1542" s="171">
        <f t="shared" si="517"/>
        <v>0</v>
      </c>
      <c r="AX1542" s="171">
        <f t="shared" si="525"/>
        <v>0</v>
      </c>
      <c r="AY1542" s="171">
        <f t="shared" si="518"/>
        <v>0</v>
      </c>
      <c r="AZ1542" s="171">
        <f t="shared" si="519"/>
        <v>1</v>
      </c>
      <c r="BA1542" s="172">
        <f t="shared" si="520"/>
        <v>0</v>
      </c>
      <c r="BB1542" s="175">
        <f t="shared" si="521"/>
        <v>12</v>
      </c>
      <c r="BC1542" s="176">
        <f t="shared" si="522"/>
        <v>12</v>
      </c>
      <c r="BD1542" s="176">
        <f t="shared" si="523"/>
        <v>12</v>
      </c>
      <c r="BE1542" s="240" t="str">
        <f t="shared" si="514"/>
        <v/>
      </c>
      <c r="BF1542" s="990"/>
      <c r="BG1542" s="990"/>
      <c r="BH1542" s="991">
        <f>IF(AND(Input_Product=Elig!$C1542,Elig_MatchAll_Ct&lt;22,$BC1542=(Elig_MatchAll_Ct-1),AF1542=0),C1542,0)</f>
        <v>0</v>
      </c>
      <c r="BI1542" s="991">
        <f>IF(AND(Input_Product=Elig!$C1542,Elig_MatchAll_Ct&lt;22,$BC1542=(Elig_MatchAll_Ct-1),AG1542=0),D1542,0)</f>
        <v>0</v>
      </c>
      <c r="BJ1542" s="991">
        <f>IF(AND(Input_Product=Elig!$C1542,Elig_MatchAll_Ct&lt;22,$BC1542=(Elig_MatchAll_Ct-1),AH1542=0),E1542,0)</f>
        <v>0</v>
      </c>
      <c r="BK1542" s="991">
        <f>IF(AND(Input_Product=Elig!$C1542,Elig_MatchAll_Ct&lt;22,$BC1542=(Elig_MatchAll_Ct-1),AI1542=0),F1542,0)</f>
        <v>0</v>
      </c>
      <c r="BL1542" s="991">
        <f>IF(AND(Input_Product=Elig!$C1542,Elig_MatchAll_Ct&lt;22,$BC1542=(Elig_MatchAll_Ct-1),AJ1542=0),G1542,0)</f>
        <v>0</v>
      </c>
      <c r="BM1542" s="991">
        <f>IF(AND(Input_Product=Elig!$C1542,Elig_MatchAll_Ct&lt;22,$BC1542=(Elig_MatchAll_Ct-1),AK1542=0),H1542,0)</f>
        <v>0</v>
      </c>
      <c r="BN1542" s="991">
        <f>IF(AND(Input_Product=Elig!$C1542,Elig_MatchAll_Ct&lt;22,$BC1542=(Elig_MatchAll_Ct-1),AL1542=0),I1542,0)</f>
        <v>0</v>
      </c>
      <c r="BO1542" s="991">
        <f>IF(AND(Input_Product=Elig!$C1542,Elig_MatchAll_Ct&lt;22,$BC1542=(Elig_MatchAll_Ct-1),AM1542=0),J1542,0)</f>
        <v>0</v>
      </c>
      <c r="BP1542" s="991">
        <f>IF(AND(Input_Product=Elig!$C1542,Elig_MatchAll_Ct&lt;22,$BC1542=(Elig_MatchAll_Ct-1),AN1542=0),K1542,0)</f>
        <v>0</v>
      </c>
      <c r="BQ1542" s="991">
        <f>IF(AND(Input_Product=Elig!$C1542,Elig_MatchAll_Ct&lt;22,$BC1542=(Elig_MatchAll_Ct-1),AP1542=0),L1542,0)</f>
        <v>0</v>
      </c>
      <c r="BR1542" s="991">
        <f>IF(AND(Input_Product=Elig!$C1542,Elig_MatchAll_Ct&lt;22,$BC1542=(Elig_MatchAll_Ct-1),AO1542=0),M1542,0)</f>
        <v>0</v>
      </c>
      <c r="BS1542" s="991">
        <f>IF(AND(Input_Product=Elig!$C1542,Elig_MatchAll_Ct&lt;22,$BC1542=(Elig_MatchAll_Ct-1),AQ1542=0),N1542,0)</f>
        <v>0</v>
      </c>
      <c r="BT1542" s="991">
        <f>IF(AND(Input_Product=Elig!$C1542,Elig_MatchAll_Ct&lt;22,$BC1542=(Elig_MatchAll_Ct-1),AR1542=0),O1542,0)</f>
        <v>0</v>
      </c>
      <c r="BU1542" s="991">
        <f>IF(AND(Input_Product=Elig!$C1542,Elig_MatchAll_Ct&lt;22,$BC1542=(Elig_MatchAll_Ct-1),AS1542=0),P1542,0)</f>
        <v>0</v>
      </c>
      <c r="BV1542" s="992">
        <f>IF(AND(Input_Product=Elig!$C1542,Elig_MatchAll_Ct&lt;22,$BC1542=(Elig_MatchAll_Ct-1),AT1542=0),Q1542,0)</f>
        <v>0</v>
      </c>
      <c r="BW1542" s="993">
        <f>IF(AND(Input_Product=Elig!$C1542,Elig_MatchAll_Ct&lt;22,$BC1542=(Elig_MatchAll_Ct-1),AU1542=0),R1542,0)</f>
        <v>0</v>
      </c>
      <c r="BX1542" s="994">
        <f>IF(AND(Input_Product=Elig!$C1542,Elig_MatchAll_Ct&lt;22,$BC1542=(Elig_MatchAll_Ct-1),AU1542=0),S1542,0)</f>
        <v>0</v>
      </c>
      <c r="BY1542" s="993">
        <f>IF(AND(Input_Product=Elig!$C1542,Elig_MatchAll_Ct&lt;22,$BC1542=(Elig_MatchAll_Ct-1),AV1542=0),T1542,0)</f>
        <v>0</v>
      </c>
      <c r="BZ1542" s="994">
        <f>IF(AND(Input_Product=Elig!$C1542,Elig_MatchAll_Ct&lt;22,$BC1542=(Elig_MatchAll_Ct-1),AV1542=0),U1542,0)</f>
        <v>0</v>
      </c>
      <c r="CA1542" s="993">
        <f>IF(AND(Input_Product=Elig!$C1542,Elig_MatchAll_Ct&lt;22,$BC1542=(Elig_MatchAll_Ct-1),AW1542=0),V1542,0)</f>
        <v>0</v>
      </c>
      <c r="CB1542" s="994">
        <f>IF(AND(Input_Product=Elig!$C1542,Elig_MatchAll_Ct&lt;22,$BC1542=(Elig_MatchAll_Ct-1),AW1542=0),W1542,0)</f>
        <v>0</v>
      </c>
      <c r="CC1542" s="993">
        <f>IF(AND(Input_Product=Elig!$C1542,Elig_MatchAll_Ct&lt;22,$BC1542=(Elig_MatchAll_Ct-1),AX1542=0),X1542,0)</f>
        <v>0</v>
      </c>
      <c r="CD1542" s="994">
        <f>IF(AND(Input_Product=Elig!$C1542,Elig_MatchAll_Ct&lt;22,$BC1542=(Elig_MatchAll_Ct-1),AX1542=0),Y1542,0)</f>
        <v>0</v>
      </c>
      <c r="CE1542" s="993">
        <f>IF(AND(Input_LTV&lt;=AE1542,Input_Product=Elig!$C1542,Elig_MatchAll_Ct&lt;22,$BC1542=(Elig_MatchAll_Ct-1),AY1542=0),Z1542,0)</f>
        <v>0</v>
      </c>
      <c r="CF1542" s="994">
        <f>IF(AND(Input_LTV&lt;=AE1542,Input_Product=Elig!$C1542,Elig_MatchAll_Ct&lt;22,$BC1542=(Elig_MatchAll_Ct-1),AY1542=0),AA1542,0)</f>
        <v>0</v>
      </c>
      <c r="CG1542" s="993">
        <f>IF(AND(Input_Product=Elig!$C1542,Elig_MatchAll_Ct&lt;22,$BC1542=(Elig_MatchAll_Ct-1),AZ1542=0),AB1542,0)</f>
        <v>0</v>
      </c>
      <c r="CH1542" s="994">
        <f>IF(AND(Input_Product=Elig!$C1542,Elig_MatchAll_Ct&lt;22,$BC1542=(Elig_MatchAll_Ct-1),AZ1542=0),AC1542,0)</f>
        <v>0</v>
      </c>
      <c r="CI1542" s="993">
        <f>IF(AND(Input_Product=Elig!$C1542,Elig_MatchAll_Ct&lt;22,$BC1542=(Elig_MatchAll_Ct-1),BA1542=0),AD1542,0)</f>
        <v>0</v>
      </c>
      <c r="CJ1542" s="994">
        <f>IF(AND(Input_Product=Elig!$C1542,Elig_MatchAll_Ct&lt;22,$BC1542=(Elig_MatchAll_Ct-1),BA1542=0),AE1542,0)</f>
        <v>0</v>
      </c>
    </row>
    <row r="1543" spans="2:88" ht="10.15" customHeight="1" x14ac:dyDescent="0.25">
      <c r="B1543" s="1567" t="s">
        <v>3625</v>
      </c>
      <c r="C1543" s="1562" t="str">
        <f t="shared" si="524"/>
        <v xml:space="preserve">  NOO</v>
      </c>
      <c r="D1543" s="1562" t="s">
        <v>2764</v>
      </c>
      <c r="E1543" s="1562" t="s">
        <v>167</v>
      </c>
      <c r="F1543" s="1562" t="s">
        <v>330</v>
      </c>
      <c r="G1543" s="1562" t="s">
        <v>181</v>
      </c>
      <c r="H1543" s="1562" t="s">
        <v>136</v>
      </c>
      <c r="I1543" s="1564" t="s">
        <v>16</v>
      </c>
      <c r="J1543" s="1564" t="s">
        <v>1311</v>
      </c>
      <c r="K1543" s="1564" t="s">
        <v>3023</v>
      </c>
      <c r="L1543" s="1562" t="s">
        <v>312</v>
      </c>
      <c r="M1543" s="1562" t="s">
        <v>4204</v>
      </c>
      <c r="N1543" s="1562" t="s">
        <v>2685</v>
      </c>
      <c r="O1543" s="1562" t="s">
        <v>310</v>
      </c>
      <c r="P1543" s="1562" t="s">
        <v>291</v>
      </c>
      <c r="Q1543" s="1562" t="s">
        <v>294</v>
      </c>
      <c r="R1543" s="1562">
        <v>100000</v>
      </c>
      <c r="S1543" s="1562">
        <v>1000000</v>
      </c>
      <c r="T1543" s="1562">
        <v>0</v>
      </c>
      <c r="U1543" s="1562">
        <v>1000000</v>
      </c>
      <c r="V1543" s="1562">
        <v>0</v>
      </c>
      <c r="W1543" s="1562">
        <v>0</v>
      </c>
      <c r="X1543" s="1562">
        <v>1</v>
      </c>
      <c r="Y1543" s="1562">
        <v>999</v>
      </c>
      <c r="Z1543" s="1565">
        <v>700</v>
      </c>
      <c r="AA1543" s="1565">
        <v>999</v>
      </c>
      <c r="AB1543" s="1565">
        <v>2</v>
      </c>
      <c r="AC1543" s="1565">
        <v>999999</v>
      </c>
      <c r="AD1543" s="1562">
        <v>0</v>
      </c>
      <c r="AE1543" s="1566">
        <v>75</v>
      </c>
      <c r="AF1543" s="170">
        <v>0</v>
      </c>
      <c r="AG1543" s="171">
        <v>1</v>
      </c>
      <c r="AH1543" s="171">
        <v>1</v>
      </c>
      <c r="AI1543" s="171">
        <v>0</v>
      </c>
      <c r="AJ1543" s="171">
        <v>0</v>
      </c>
      <c r="AK1543" s="171">
        <v>1</v>
      </c>
      <c r="AL1543" s="171">
        <v>1</v>
      </c>
      <c r="AM1543" s="171">
        <v>1</v>
      </c>
      <c r="AN1543" s="171">
        <v>1</v>
      </c>
      <c r="AO1543" s="171">
        <v>1</v>
      </c>
      <c r="AP1543" s="171">
        <v>1</v>
      </c>
      <c r="AQ1543" s="171">
        <v>1</v>
      </c>
      <c r="AR1543" s="171">
        <v>1</v>
      </c>
      <c r="AS1543" s="171">
        <v>1</v>
      </c>
      <c r="AT1543" s="171">
        <v>1</v>
      </c>
      <c r="AU1543" s="171">
        <f t="shared" si="515"/>
        <v>1</v>
      </c>
      <c r="AV1543" s="171">
        <f t="shared" si="516"/>
        <v>1</v>
      </c>
      <c r="AW1543" s="171">
        <f t="shared" si="517"/>
        <v>0</v>
      </c>
      <c r="AX1543" s="171">
        <f t="shared" si="525"/>
        <v>0</v>
      </c>
      <c r="AY1543" s="171">
        <f t="shared" si="518"/>
        <v>1</v>
      </c>
      <c r="AZ1543" s="171">
        <f t="shared" si="519"/>
        <v>1</v>
      </c>
      <c r="BA1543" s="172">
        <f t="shared" si="520"/>
        <v>1</v>
      </c>
      <c r="BB1543" s="175">
        <f t="shared" si="521"/>
        <v>17</v>
      </c>
      <c r="BC1543" s="176">
        <f t="shared" si="522"/>
        <v>16</v>
      </c>
      <c r="BD1543" s="176">
        <f t="shared" si="523"/>
        <v>17</v>
      </c>
      <c r="BE1543" s="240" t="str">
        <f t="shared" si="514"/>
        <v/>
      </c>
      <c r="BF1543" s="990"/>
      <c r="BG1543" s="990"/>
      <c r="BH1543" s="991">
        <f>IF(AND(Input_Product=Elig!$C1543,Elig_MatchAll_Ct&lt;22,$BC1543=(Elig_MatchAll_Ct-1),AF1543=0),C1543,0)</f>
        <v>0</v>
      </c>
      <c r="BI1543" s="991">
        <f>IF(AND(Input_Product=Elig!$C1543,Elig_MatchAll_Ct&lt;22,$BC1543=(Elig_MatchAll_Ct-1),AG1543=0),D1543,0)</f>
        <v>0</v>
      </c>
      <c r="BJ1543" s="991">
        <f>IF(AND(Input_Product=Elig!$C1543,Elig_MatchAll_Ct&lt;22,$BC1543=(Elig_MatchAll_Ct-1),AH1543=0),E1543,0)</f>
        <v>0</v>
      </c>
      <c r="BK1543" s="991">
        <f>IF(AND(Input_Product=Elig!$C1543,Elig_MatchAll_Ct&lt;22,$BC1543=(Elig_MatchAll_Ct-1),AI1543=0),F1543,0)</f>
        <v>0</v>
      </c>
      <c r="BL1543" s="991">
        <f>IF(AND(Input_Product=Elig!$C1543,Elig_MatchAll_Ct&lt;22,$BC1543=(Elig_MatchAll_Ct-1),AJ1543=0),G1543,0)</f>
        <v>0</v>
      </c>
      <c r="BM1543" s="991">
        <f>IF(AND(Input_Product=Elig!$C1543,Elig_MatchAll_Ct&lt;22,$BC1543=(Elig_MatchAll_Ct-1),AK1543=0),H1543,0)</f>
        <v>0</v>
      </c>
      <c r="BN1543" s="991">
        <f>IF(AND(Input_Product=Elig!$C1543,Elig_MatchAll_Ct&lt;22,$BC1543=(Elig_MatchAll_Ct-1),AL1543=0),I1543,0)</f>
        <v>0</v>
      </c>
      <c r="BO1543" s="991">
        <f>IF(AND(Input_Product=Elig!$C1543,Elig_MatchAll_Ct&lt;22,$BC1543=(Elig_MatchAll_Ct-1),AM1543=0),J1543,0)</f>
        <v>0</v>
      </c>
      <c r="BP1543" s="991">
        <f>IF(AND(Input_Product=Elig!$C1543,Elig_MatchAll_Ct&lt;22,$BC1543=(Elig_MatchAll_Ct-1),AN1543=0),K1543,0)</f>
        <v>0</v>
      </c>
      <c r="BQ1543" s="991">
        <f>IF(AND(Input_Product=Elig!$C1543,Elig_MatchAll_Ct&lt;22,$BC1543=(Elig_MatchAll_Ct-1),AP1543=0),L1543,0)</f>
        <v>0</v>
      </c>
      <c r="BR1543" s="991">
        <f>IF(AND(Input_Product=Elig!$C1543,Elig_MatchAll_Ct&lt;22,$BC1543=(Elig_MatchAll_Ct-1),AO1543=0),M1543,0)</f>
        <v>0</v>
      </c>
      <c r="BS1543" s="991">
        <f>IF(AND(Input_Product=Elig!$C1543,Elig_MatchAll_Ct&lt;22,$BC1543=(Elig_MatchAll_Ct-1),AQ1543=0),N1543,0)</f>
        <v>0</v>
      </c>
      <c r="BT1543" s="991">
        <f>IF(AND(Input_Product=Elig!$C1543,Elig_MatchAll_Ct&lt;22,$BC1543=(Elig_MatchAll_Ct-1),AR1543=0),O1543,0)</f>
        <v>0</v>
      </c>
      <c r="BU1543" s="991">
        <f>IF(AND(Input_Product=Elig!$C1543,Elig_MatchAll_Ct&lt;22,$BC1543=(Elig_MatchAll_Ct-1),AS1543=0),P1543,0)</f>
        <v>0</v>
      </c>
      <c r="BV1543" s="992">
        <f>IF(AND(Input_Product=Elig!$C1543,Elig_MatchAll_Ct&lt;22,$BC1543=(Elig_MatchAll_Ct-1),AT1543=0),Q1543,0)</f>
        <v>0</v>
      </c>
      <c r="BW1543" s="993">
        <f>IF(AND(Input_Product=Elig!$C1543,Elig_MatchAll_Ct&lt;22,$BC1543=(Elig_MatchAll_Ct-1),AU1543=0),R1543,0)</f>
        <v>0</v>
      </c>
      <c r="BX1543" s="994">
        <f>IF(AND(Input_Product=Elig!$C1543,Elig_MatchAll_Ct&lt;22,$BC1543=(Elig_MatchAll_Ct-1),AU1543=0),S1543,0)</f>
        <v>0</v>
      </c>
      <c r="BY1543" s="993">
        <f>IF(AND(Input_Product=Elig!$C1543,Elig_MatchAll_Ct&lt;22,$BC1543=(Elig_MatchAll_Ct-1),AV1543=0),T1543,0)</f>
        <v>0</v>
      </c>
      <c r="BZ1543" s="994">
        <f>IF(AND(Input_Product=Elig!$C1543,Elig_MatchAll_Ct&lt;22,$BC1543=(Elig_MatchAll_Ct-1),AV1543=0),U1543,0)</f>
        <v>0</v>
      </c>
      <c r="CA1543" s="993">
        <f>IF(AND(Input_Product=Elig!$C1543,Elig_MatchAll_Ct&lt;22,$BC1543=(Elig_MatchAll_Ct-1),AW1543=0),V1543,0)</f>
        <v>0</v>
      </c>
      <c r="CB1543" s="994">
        <f>IF(AND(Input_Product=Elig!$C1543,Elig_MatchAll_Ct&lt;22,$BC1543=(Elig_MatchAll_Ct-1),AW1543=0),W1543,0)</f>
        <v>0</v>
      </c>
      <c r="CC1543" s="993">
        <f>IF(AND(Input_Product=Elig!$C1543,Elig_MatchAll_Ct&lt;22,$BC1543=(Elig_MatchAll_Ct-1),AX1543=0),X1543,0)</f>
        <v>0</v>
      </c>
      <c r="CD1543" s="994">
        <f>IF(AND(Input_Product=Elig!$C1543,Elig_MatchAll_Ct&lt;22,$BC1543=(Elig_MatchAll_Ct-1),AX1543=0),Y1543,0)</f>
        <v>0</v>
      </c>
      <c r="CE1543" s="993">
        <f>IF(AND(Input_LTV&lt;=AE1543,Input_Product=Elig!$C1543,Elig_MatchAll_Ct&lt;22,$BC1543=(Elig_MatchAll_Ct-1),AY1543=0),Z1543,0)</f>
        <v>0</v>
      </c>
      <c r="CF1543" s="994">
        <f>IF(AND(Input_LTV&lt;=AE1543,Input_Product=Elig!$C1543,Elig_MatchAll_Ct&lt;22,$BC1543=(Elig_MatchAll_Ct-1),AY1543=0),AA1543,0)</f>
        <v>0</v>
      </c>
      <c r="CG1543" s="993">
        <f>IF(AND(Input_Product=Elig!$C1543,Elig_MatchAll_Ct&lt;22,$BC1543=(Elig_MatchAll_Ct-1),AZ1543=0),AB1543,0)</f>
        <v>0</v>
      </c>
      <c r="CH1543" s="994">
        <f>IF(AND(Input_Product=Elig!$C1543,Elig_MatchAll_Ct&lt;22,$BC1543=(Elig_MatchAll_Ct-1),AZ1543=0),AC1543,0)</f>
        <v>0</v>
      </c>
      <c r="CI1543" s="993">
        <f>IF(AND(Input_Product=Elig!$C1543,Elig_MatchAll_Ct&lt;22,$BC1543=(Elig_MatchAll_Ct-1),BA1543=0),AD1543,0)</f>
        <v>0</v>
      </c>
      <c r="CJ1543" s="994">
        <f>IF(AND(Input_Product=Elig!$C1543,Elig_MatchAll_Ct&lt;22,$BC1543=(Elig_MatchAll_Ct-1),BA1543=0),AE1543,0)</f>
        <v>0</v>
      </c>
    </row>
    <row r="1544" spans="2:88" ht="10.15" customHeight="1" x14ac:dyDescent="0.25">
      <c r="B1544" s="1567" t="s">
        <v>3626</v>
      </c>
      <c r="C1544" s="1567" t="str">
        <f t="shared" si="524"/>
        <v xml:space="preserve">  NOO</v>
      </c>
      <c r="D1544" s="1567" t="s">
        <v>2764</v>
      </c>
      <c r="E1544" s="1567" t="s">
        <v>167</v>
      </c>
      <c r="F1544" s="1567" t="s">
        <v>330</v>
      </c>
      <c r="G1544" s="1567" t="s">
        <v>181</v>
      </c>
      <c r="H1544" s="1567" t="s">
        <v>136</v>
      </c>
      <c r="I1544" s="1568" t="s">
        <v>16</v>
      </c>
      <c r="J1544" s="1568" t="s">
        <v>1311</v>
      </c>
      <c r="K1544" s="1568" t="s">
        <v>3023</v>
      </c>
      <c r="L1544" s="1567" t="s">
        <v>312</v>
      </c>
      <c r="M1544" s="1567" t="s">
        <v>4204</v>
      </c>
      <c r="N1544" s="1567" t="s">
        <v>2685</v>
      </c>
      <c r="O1544" s="1567" t="s">
        <v>310</v>
      </c>
      <c r="P1544" s="1567" t="s">
        <v>291</v>
      </c>
      <c r="Q1544" s="1567" t="s">
        <v>294</v>
      </c>
      <c r="R1544" s="1567">
        <v>1000000.01</v>
      </c>
      <c r="S1544" s="1567">
        <v>1500000</v>
      </c>
      <c r="T1544" s="1567">
        <v>0</v>
      </c>
      <c r="U1544" s="1567">
        <v>1000000</v>
      </c>
      <c r="V1544" s="1567">
        <v>0</v>
      </c>
      <c r="W1544" s="1567">
        <v>0</v>
      </c>
      <c r="X1544" s="1567">
        <v>1</v>
      </c>
      <c r="Y1544" s="1567">
        <v>999</v>
      </c>
      <c r="Z1544" s="1569">
        <v>700</v>
      </c>
      <c r="AA1544" s="1569">
        <v>999</v>
      </c>
      <c r="AB1544" s="1569">
        <v>2</v>
      </c>
      <c r="AC1544" s="1569">
        <v>999999</v>
      </c>
      <c r="AD1544" s="1567">
        <v>0</v>
      </c>
      <c r="AE1544" s="1570">
        <v>75</v>
      </c>
      <c r="AF1544" s="170">
        <v>0</v>
      </c>
      <c r="AG1544" s="171">
        <v>1</v>
      </c>
      <c r="AH1544" s="171">
        <v>1</v>
      </c>
      <c r="AI1544" s="171">
        <v>0</v>
      </c>
      <c r="AJ1544" s="171">
        <v>0</v>
      </c>
      <c r="AK1544" s="171">
        <v>1</v>
      </c>
      <c r="AL1544" s="171">
        <v>1</v>
      </c>
      <c r="AM1544" s="171">
        <v>1</v>
      </c>
      <c r="AN1544" s="171">
        <v>1</v>
      </c>
      <c r="AO1544" s="171">
        <v>1</v>
      </c>
      <c r="AP1544" s="171">
        <v>1</v>
      </c>
      <c r="AQ1544" s="171">
        <v>1</v>
      </c>
      <c r="AR1544" s="171">
        <v>1</v>
      </c>
      <c r="AS1544" s="171">
        <v>1</v>
      </c>
      <c r="AT1544" s="171">
        <v>1</v>
      </c>
      <c r="AU1544" s="171">
        <f t="shared" si="515"/>
        <v>0</v>
      </c>
      <c r="AV1544" s="171">
        <f t="shared" si="516"/>
        <v>1</v>
      </c>
      <c r="AW1544" s="171">
        <f t="shared" si="517"/>
        <v>0</v>
      </c>
      <c r="AX1544" s="171">
        <f t="shared" si="525"/>
        <v>0</v>
      </c>
      <c r="AY1544" s="171">
        <f t="shared" si="518"/>
        <v>1</v>
      </c>
      <c r="AZ1544" s="171">
        <f t="shared" si="519"/>
        <v>1</v>
      </c>
      <c r="BA1544" s="172">
        <f t="shared" si="520"/>
        <v>1</v>
      </c>
      <c r="BB1544" s="175">
        <f t="shared" si="521"/>
        <v>16</v>
      </c>
      <c r="BC1544" s="176">
        <f t="shared" si="522"/>
        <v>15</v>
      </c>
      <c r="BD1544" s="176">
        <f t="shared" si="523"/>
        <v>16</v>
      </c>
      <c r="BE1544" s="240" t="str">
        <f t="shared" si="514"/>
        <v/>
      </c>
      <c r="BF1544" s="990"/>
      <c r="BG1544" s="990"/>
      <c r="BH1544" s="991">
        <f>IF(AND(Input_Product=Elig!$C1544,Elig_MatchAll_Ct&lt;22,$BC1544=(Elig_MatchAll_Ct-1),AF1544=0),C1544,0)</f>
        <v>0</v>
      </c>
      <c r="BI1544" s="991">
        <f>IF(AND(Input_Product=Elig!$C1544,Elig_MatchAll_Ct&lt;22,$BC1544=(Elig_MatchAll_Ct-1),AG1544=0),D1544,0)</f>
        <v>0</v>
      </c>
      <c r="BJ1544" s="991">
        <f>IF(AND(Input_Product=Elig!$C1544,Elig_MatchAll_Ct&lt;22,$BC1544=(Elig_MatchAll_Ct-1),AH1544=0),E1544,0)</f>
        <v>0</v>
      </c>
      <c r="BK1544" s="991">
        <f>IF(AND(Input_Product=Elig!$C1544,Elig_MatchAll_Ct&lt;22,$BC1544=(Elig_MatchAll_Ct-1),AI1544=0),F1544,0)</f>
        <v>0</v>
      </c>
      <c r="BL1544" s="991">
        <f>IF(AND(Input_Product=Elig!$C1544,Elig_MatchAll_Ct&lt;22,$BC1544=(Elig_MatchAll_Ct-1),AJ1544=0),G1544,0)</f>
        <v>0</v>
      </c>
      <c r="BM1544" s="991">
        <f>IF(AND(Input_Product=Elig!$C1544,Elig_MatchAll_Ct&lt;22,$BC1544=(Elig_MatchAll_Ct-1),AK1544=0),H1544,0)</f>
        <v>0</v>
      </c>
      <c r="BN1544" s="991">
        <f>IF(AND(Input_Product=Elig!$C1544,Elig_MatchAll_Ct&lt;22,$BC1544=(Elig_MatchAll_Ct-1),AL1544=0),I1544,0)</f>
        <v>0</v>
      </c>
      <c r="BO1544" s="991">
        <f>IF(AND(Input_Product=Elig!$C1544,Elig_MatchAll_Ct&lt;22,$BC1544=(Elig_MatchAll_Ct-1),AM1544=0),J1544,0)</f>
        <v>0</v>
      </c>
      <c r="BP1544" s="991">
        <f>IF(AND(Input_Product=Elig!$C1544,Elig_MatchAll_Ct&lt;22,$BC1544=(Elig_MatchAll_Ct-1),AN1544=0),K1544,0)</f>
        <v>0</v>
      </c>
      <c r="BQ1544" s="991">
        <f>IF(AND(Input_Product=Elig!$C1544,Elig_MatchAll_Ct&lt;22,$BC1544=(Elig_MatchAll_Ct-1),AP1544=0),L1544,0)</f>
        <v>0</v>
      </c>
      <c r="BR1544" s="991">
        <f>IF(AND(Input_Product=Elig!$C1544,Elig_MatchAll_Ct&lt;22,$BC1544=(Elig_MatchAll_Ct-1),AO1544=0),M1544,0)</f>
        <v>0</v>
      </c>
      <c r="BS1544" s="991">
        <f>IF(AND(Input_Product=Elig!$C1544,Elig_MatchAll_Ct&lt;22,$BC1544=(Elig_MatchAll_Ct-1),AQ1544=0),N1544,0)</f>
        <v>0</v>
      </c>
      <c r="BT1544" s="991">
        <f>IF(AND(Input_Product=Elig!$C1544,Elig_MatchAll_Ct&lt;22,$BC1544=(Elig_MatchAll_Ct-1),AR1544=0),O1544,0)</f>
        <v>0</v>
      </c>
      <c r="BU1544" s="991">
        <f>IF(AND(Input_Product=Elig!$C1544,Elig_MatchAll_Ct&lt;22,$BC1544=(Elig_MatchAll_Ct-1),AS1544=0),P1544,0)</f>
        <v>0</v>
      </c>
      <c r="BV1544" s="992">
        <f>IF(AND(Input_Product=Elig!$C1544,Elig_MatchAll_Ct&lt;22,$BC1544=(Elig_MatchAll_Ct-1),AT1544=0),Q1544,0)</f>
        <v>0</v>
      </c>
      <c r="BW1544" s="993">
        <f>IF(AND(Input_Product=Elig!$C1544,Elig_MatchAll_Ct&lt;22,$BC1544=(Elig_MatchAll_Ct-1),AU1544=0),R1544,0)</f>
        <v>0</v>
      </c>
      <c r="BX1544" s="994">
        <f>IF(AND(Input_Product=Elig!$C1544,Elig_MatchAll_Ct&lt;22,$BC1544=(Elig_MatchAll_Ct-1),AU1544=0),S1544,0)</f>
        <v>0</v>
      </c>
      <c r="BY1544" s="993">
        <f>IF(AND(Input_Product=Elig!$C1544,Elig_MatchAll_Ct&lt;22,$BC1544=(Elig_MatchAll_Ct-1),AV1544=0),T1544,0)</f>
        <v>0</v>
      </c>
      <c r="BZ1544" s="994">
        <f>IF(AND(Input_Product=Elig!$C1544,Elig_MatchAll_Ct&lt;22,$BC1544=(Elig_MatchAll_Ct-1),AV1544=0),U1544,0)</f>
        <v>0</v>
      </c>
      <c r="CA1544" s="993">
        <f>IF(AND(Input_Product=Elig!$C1544,Elig_MatchAll_Ct&lt;22,$BC1544=(Elig_MatchAll_Ct-1),AW1544=0),V1544,0)</f>
        <v>0</v>
      </c>
      <c r="CB1544" s="994">
        <f>IF(AND(Input_Product=Elig!$C1544,Elig_MatchAll_Ct&lt;22,$BC1544=(Elig_MatchAll_Ct-1),AW1544=0),W1544,0)</f>
        <v>0</v>
      </c>
      <c r="CC1544" s="993">
        <f>IF(AND(Input_Product=Elig!$C1544,Elig_MatchAll_Ct&lt;22,$BC1544=(Elig_MatchAll_Ct-1),AX1544=0),X1544,0)</f>
        <v>0</v>
      </c>
      <c r="CD1544" s="994">
        <f>IF(AND(Input_Product=Elig!$C1544,Elig_MatchAll_Ct&lt;22,$BC1544=(Elig_MatchAll_Ct-1),AX1544=0),Y1544,0)</f>
        <v>0</v>
      </c>
      <c r="CE1544" s="993">
        <f>IF(AND(Input_LTV&lt;=AE1544,Input_Product=Elig!$C1544,Elig_MatchAll_Ct&lt;22,$BC1544=(Elig_MatchAll_Ct-1),AY1544=0),Z1544,0)</f>
        <v>0</v>
      </c>
      <c r="CF1544" s="994">
        <f>IF(AND(Input_LTV&lt;=AE1544,Input_Product=Elig!$C1544,Elig_MatchAll_Ct&lt;22,$BC1544=(Elig_MatchAll_Ct-1),AY1544=0),AA1544,0)</f>
        <v>0</v>
      </c>
      <c r="CG1544" s="993">
        <f>IF(AND(Input_Product=Elig!$C1544,Elig_MatchAll_Ct&lt;22,$BC1544=(Elig_MatchAll_Ct-1),AZ1544=0),AB1544,0)</f>
        <v>0</v>
      </c>
      <c r="CH1544" s="994">
        <f>IF(AND(Input_Product=Elig!$C1544,Elig_MatchAll_Ct&lt;22,$BC1544=(Elig_MatchAll_Ct-1),AZ1544=0),AC1544,0)</f>
        <v>0</v>
      </c>
      <c r="CI1544" s="993">
        <f>IF(AND(Input_Product=Elig!$C1544,Elig_MatchAll_Ct&lt;22,$BC1544=(Elig_MatchAll_Ct-1),BA1544=0),AD1544,0)</f>
        <v>0</v>
      </c>
      <c r="CJ1544" s="994">
        <f>IF(AND(Input_Product=Elig!$C1544,Elig_MatchAll_Ct&lt;22,$BC1544=(Elig_MatchAll_Ct-1),BA1544=0),AE1544,0)</f>
        <v>0</v>
      </c>
    </row>
    <row r="1545" spans="2:88" ht="10.15" customHeight="1" x14ac:dyDescent="0.25">
      <c r="B1545" s="1567" t="s">
        <v>2888</v>
      </c>
      <c r="C1545" s="1567" t="str">
        <f t="shared" si="524"/>
        <v xml:space="preserve">  NOO</v>
      </c>
      <c r="D1545" s="1567" t="s">
        <v>2764</v>
      </c>
      <c r="E1545" s="1567" t="s">
        <v>167</v>
      </c>
      <c r="F1545" s="1567" t="s">
        <v>330</v>
      </c>
      <c r="G1545" s="1567" t="s">
        <v>181</v>
      </c>
      <c r="H1545" s="1567" t="s">
        <v>136</v>
      </c>
      <c r="I1545" s="1568" t="s">
        <v>16</v>
      </c>
      <c r="J1545" s="1568" t="s">
        <v>1311</v>
      </c>
      <c r="K1545" s="1568" t="s">
        <v>3023</v>
      </c>
      <c r="L1545" s="1567" t="s">
        <v>312</v>
      </c>
      <c r="M1545" s="1567" t="s">
        <v>4204</v>
      </c>
      <c r="N1545" s="1567" t="s">
        <v>2685</v>
      </c>
      <c r="O1545" s="1567" t="s">
        <v>310</v>
      </c>
      <c r="P1545" s="1567" t="s">
        <v>291</v>
      </c>
      <c r="Q1545" s="1567" t="s">
        <v>294</v>
      </c>
      <c r="R1545" s="1567">
        <v>1500000.01</v>
      </c>
      <c r="S1545" s="1567">
        <v>2000000</v>
      </c>
      <c r="T1545" s="1567">
        <v>0</v>
      </c>
      <c r="U1545" s="1567">
        <v>1000000</v>
      </c>
      <c r="V1545" s="1567">
        <v>0</v>
      </c>
      <c r="W1545" s="1567">
        <v>0</v>
      </c>
      <c r="X1545" s="1567">
        <v>1</v>
      </c>
      <c r="Y1545" s="1567">
        <v>999</v>
      </c>
      <c r="Z1545" s="1569">
        <v>700</v>
      </c>
      <c r="AA1545" s="1569">
        <v>999</v>
      </c>
      <c r="AB1545" s="1569">
        <v>2</v>
      </c>
      <c r="AC1545" s="1569">
        <v>999999</v>
      </c>
      <c r="AD1545" s="1567">
        <v>0</v>
      </c>
      <c r="AE1545" s="1570">
        <v>70</v>
      </c>
      <c r="AF1545" s="170">
        <v>0</v>
      </c>
      <c r="AG1545" s="171">
        <v>1</v>
      </c>
      <c r="AH1545" s="171">
        <v>1</v>
      </c>
      <c r="AI1545" s="171">
        <v>0</v>
      </c>
      <c r="AJ1545" s="171">
        <v>0</v>
      </c>
      <c r="AK1545" s="171">
        <v>1</v>
      </c>
      <c r="AL1545" s="171">
        <v>1</v>
      </c>
      <c r="AM1545" s="171">
        <v>1</v>
      </c>
      <c r="AN1545" s="171">
        <v>1</v>
      </c>
      <c r="AO1545" s="171">
        <v>1</v>
      </c>
      <c r="AP1545" s="171">
        <v>1</v>
      </c>
      <c r="AQ1545" s="171">
        <v>1</v>
      </c>
      <c r="AR1545" s="171">
        <v>1</v>
      </c>
      <c r="AS1545" s="171">
        <v>1</v>
      </c>
      <c r="AT1545" s="171">
        <v>1</v>
      </c>
      <c r="AU1545" s="171">
        <f t="shared" si="515"/>
        <v>0</v>
      </c>
      <c r="AV1545" s="171">
        <f t="shared" si="516"/>
        <v>1</v>
      </c>
      <c r="AW1545" s="171">
        <f t="shared" si="517"/>
        <v>0</v>
      </c>
      <c r="AX1545" s="171">
        <f t="shared" si="525"/>
        <v>0</v>
      </c>
      <c r="AY1545" s="171">
        <f t="shared" si="518"/>
        <v>1</v>
      </c>
      <c r="AZ1545" s="171">
        <f t="shared" si="519"/>
        <v>1</v>
      </c>
      <c r="BA1545" s="172">
        <f t="shared" si="520"/>
        <v>1</v>
      </c>
      <c r="BB1545" s="175">
        <f t="shared" si="521"/>
        <v>16</v>
      </c>
      <c r="BC1545" s="176">
        <f t="shared" si="522"/>
        <v>15</v>
      </c>
      <c r="BD1545" s="176">
        <f t="shared" si="523"/>
        <v>16</v>
      </c>
      <c r="BE1545" s="240" t="str">
        <f t="shared" si="514"/>
        <v/>
      </c>
      <c r="BF1545" s="990"/>
      <c r="BG1545" s="990"/>
      <c r="BH1545" s="991">
        <f>IF(AND(Input_Product=Elig!$C1545,Elig_MatchAll_Ct&lt;22,$BC1545=(Elig_MatchAll_Ct-1),AF1545=0),C1545,0)</f>
        <v>0</v>
      </c>
      <c r="BI1545" s="991">
        <f>IF(AND(Input_Product=Elig!$C1545,Elig_MatchAll_Ct&lt;22,$BC1545=(Elig_MatchAll_Ct-1),AG1545=0),D1545,0)</f>
        <v>0</v>
      </c>
      <c r="BJ1545" s="991">
        <f>IF(AND(Input_Product=Elig!$C1545,Elig_MatchAll_Ct&lt;22,$BC1545=(Elig_MatchAll_Ct-1),AH1545=0),E1545,0)</f>
        <v>0</v>
      </c>
      <c r="BK1545" s="991">
        <f>IF(AND(Input_Product=Elig!$C1545,Elig_MatchAll_Ct&lt;22,$BC1545=(Elig_MatchAll_Ct-1),AI1545=0),F1545,0)</f>
        <v>0</v>
      </c>
      <c r="BL1545" s="991">
        <f>IF(AND(Input_Product=Elig!$C1545,Elig_MatchAll_Ct&lt;22,$BC1545=(Elig_MatchAll_Ct-1),AJ1545=0),G1545,0)</f>
        <v>0</v>
      </c>
      <c r="BM1545" s="991">
        <f>IF(AND(Input_Product=Elig!$C1545,Elig_MatchAll_Ct&lt;22,$BC1545=(Elig_MatchAll_Ct-1),AK1545=0),H1545,0)</f>
        <v>0</v>
      </c>
      <c r="BN1545" s="991">
        <f>IF(AND(Input_Product=Elig!$C1545,Elig_MatchAll_Ct&lt;22,$BC1545=(Elig_MatchAll_Ct-1),AL1545=0),I1545,0)</f>
        <v>0</v>
      </c>
      <c r="BO1545" s="991">
        <f>IF(AND(Input_Product=Elig!$C1545,Elig_MatchAll_Ct&lt;22,$BC1545=(Elig_MatchAll_Ct-1),AM1545=0),J1545,0)</f>
        <v>0</v>
      </c>
      <c r="BP1545" s="991">
        <f>IF(AND(Input_Product=Elig!$C1545,Elig_MatchAll_Ct&lt;22,$BC1545=(Elig_MatchAll_Ct-1),AN1545=0),K1545,0)</f>
        <v>0</v>
      </c>
      <c r="BQ1545" s="991">
        <f>IF(AND(Input_Product=Elig!$C1545,Elig_MatchAll_Ct&lt;22,$BC1545=(Elig_MatchAll_Ct-1),AP1545=0),L1545,0)</f>
        <v>0</v>
      </c>
      <c r="BR1545" s="991">
        <f>IF(AND(Input_Product=Elig!$C1545,Elig_MatchAll_Ct&lt;22,$BC1545=(Elig_MatchAll_Ct-1),AO1545=0),M1545,0)</f>
        <v>0</v>
      </c>
      <c r="BS1545" s="991">
        <f>IF(AND(Input_Product=Elig!$C1545,Elig_MatchAll_Ct&lt;22,$BC1545=(Elig_MatchAll_Ct-1),AQ1545=0),N1545,0)</f>
        <v>0</v>
      </c>
      <c r="BT1545" s="991">
        <f>IF(AND(Input_Product=Elig!$C1545,Elig_MatchAll_Ct&lt;22,$BC1545=(Elig_MatchAll_Ct-1),AR1545=0),O1545,0)</f>
        <v>0</v>
      </c>
      <c r="BU1545" s="991">
        <f>IF(AND(Input_Product=Elig!$C1545,Elig_MatchAll_Ct&lt;22,$BC1545=(Elig_MatchAll_Ct-1),AS1545=0),P1545,0)</f>
        <v>0</v>
      </c>
      <c r="BV1545" s="992">
        <f>IF(AND(Input_Product=Elig!$C1545,Elig_MatchAll_Ct&lt;22,$BC1545=(Elig_MatchAll_Ct-1),AT1545=0),Q1545,0)</f>
        <v>0</v>
      </c>
      <c r="BW1545" s="993">
        <f>IF(AND(Input_Product=Elig!$C1545,Elig_MatchAll_Ct&lt;22,$BC1545=(Elig_MatchAll_Ct-1),AU1545=0),R1545,0)</f>
        <v>0</v>
      </c>
      <c r="BX1545" s="994">
        <f>IF(AND(Input_Product=Elig!$C1545,Elig_MatchAll_Ct&lt;22,$BC1545=(Elig_MatchAll_Ct-1),AU1545=0),S1545,0)</f>
        <v>0</v>
      </c>
      <c r="BY1545" s="993">
        <f>IF(AND(Input_Product=Elig!$C1545,Elig_MatchAll_Ct&lt;22,$BC1545=(Elig_MatchAll_Ct-1),AV1545=0),T1545,0)</f>
        <v>0</v>
      </c>
      <c r="BZ1545" s="994">
        <f>IF(AND(Input_Product=Elig!$C1545,Elig_MatchAll_Ct&lt;22,$BC1545=(Elig_MatchAll_Ct-1),AV1545=0),U1545,0)</f>
        <v>0</v>
      </c>
      <c r="CA1545" s="993">
        <f>IF(AND(Input_Product=Elig!$C1545,Elig_MatchAll_Ct&lt;22,$BC1545=(Elig_MatchAll_Ct-1),AW1545=0),V1545,0)</f>
        <v>0</v>
      </c>
      <c r="CB1545" s="994">
        <f>IF(AND(Input_Product=Elig!$C1545,Elig_MatchAll_Ct&lt;22,$BC1545=(Elig_MatchAll_Ct-1),AW1545=0),W1545,0)</f>
        <v>0</v>
      </c>
      <c r="CC1545" s="993">
        <f>IF(AND(Input_Product=Elig!$C1545,Elig_MatchAll_Ct&lt;22,$BC1545=(Elig_MatchAll_Ct-1),AX1545=0),X1545,0)</f>
        <v>0</v>
      </c>
      <c r="CD1545" s="994">
        <f>IF(AND(Input_Product=Elig!$C1545,Elig_MatchAll_Ct&lt;22,$BC1545=(Elig_MatchAll_Ct-1),AX1545=0),Y1545,0)</f>
        <v>0</v>
      </c>
      <c r="CE1545" s="993">
        <f>IF(AND(Input_LTV&lt;=AE1545,Input_Product=Elig!$C1545,Elig_MatchAll_Ct&lt;22,$BC1545=(Elig_MatchAll_Ct-1),AY1545=0),Z1545,0)</f>
        <v>0</v>
      </c>
      <c r="CF1545" s="994">
        <f>IF(AND(Input_LTV&lt;=AE1545,Input_Product=Elig!$C1545,Elig_MatchAll_Ct&lt;22,$BC1545=(Elig_MatchAll_Ct-1),AY1545=0),AA1545,0)</f>
        <v>0</v>
      </c>
      <c r="CG1545" s="993">
        <f>IF(AND(Input_Product=Elig!$C1545,Elig_MatchAll_Ct&lt;22,$BC1545=(Elig_MatchAll_Ct-1),AZ1545=0),AB1545,0)</f>
        <v>0</v>
      </c>
      <c r="CH1545" s="994">
        <f>IF(AND(Input_Product=Elig!$C1545,Elig_MatchAll_Ct&lt;22,$BC1545=(Elig_MatchAll_Ct-1),AZ1545=0),AC1545,0)</f>
        <v>0</v>
      </c>
      <c r="CI1545" s="993">
        <f>IF(AND(Input_Product=Elig!$C1545,Elig_MatchAll_Ct&lt;22,$BC1545=(Elig_MatchAll_Ct-1),BA1545=0),AD1545,0)</f>
        <v>0</v>
      </c>
      <c r="CJ1545" s="994">
        <f>IF(AND(Input_Product=Elig!$C1545,Elig_MatchAll_Ct&lt;22,$BC1545=(Elig_MatchAll_Ct-1),BA1545=0),AE1545,0)</f>
        <v>0</v>
      </c>
    </row>
    <row r="1546" spans="2:88" ht="10.15" customHeight="1" x14ac:dyDescent="0.25">
      <c r="B1546" s="1567" t="s">
        <v>2889</v>
      </c>
      <c r="C1546" s="1567" t="str">
        <f t="shared" si="524"/>
        <v xml:space="preserve">  NOO</v>
      </c>
      <c r="D1546" s="1567" t="s">
        <v>2764</v>
      </c>
      <c r="E1546" s="1567" t="s">
        <v>167</v>
      </c>
      <c r="F1546" s="1567" t="s">
        <v>330</v>
      </c>
      <c r="G1546" s="1567" t="s">
        <v>181</v>
      </c>
      <c r="H1546" s="1567" t="s">
        <v>136</v>
      </c>
      <c r="I1546" s="1568" t="s">
        <v>16</v>
      </c>
      <c r="J1546" s="1568" t="s">
        <v>1311</v>
      </c>
      <c r="K1546" s="1568" t="s">
        <v>3023</v>
      </c>
      <c r="L1546" s="1567" t="s">
        <v>312</v>
      </c>
      <c r="M1546" s="1567" t="s">
        <v>4204</v>
      </c>
      <c r="N1546" s="1567" t="s">
        <v>2685</v>
      </c>
      <c r="O1546" s="1567" t="s">
        <v>310</v>
      </c>
      <c r="P1546" s="1567" t="s">
        <v>291</v>
      </c>
      <c r="Q1546" s="1567" t="s">
        <v>294</v>
      </c>
      <c r="R1546" s="1567">
        <v>2000000.01</v>
      </c>
      <c r="S1546" s="1567">
        <v>3000000</v>
      </c>
      <c r="T1546" s="1567">
        <v>0</v>
      </c>
      <c r="U1546" s="1567">
        <v>1000000</v>
      </c>
      <c r="V1546" s="1567">
        <v>0</v>
      </c>
      <c r="W1546" s="1567">
        <v>0</v>
      </c>
      <c r="X1546" s="1567">
        <v>1</v>
      </c>
      <c r="Y1546" s="1567">
        <v>999</v>
      </c>
      <c r="Z1546" s="1569">
        <v>700</v>
      </c>
      <c r="AA1546" s="1569">
        <v>999</v>
      </c>
      <c r="AB1546" s="1569">
        <v>2</v>
      </c>
      <c r="AC1546" s="1569">
        <v>999999</v>
      </c>
      <c r="AD1546" s="1567">
        <v>0</v>
      </c>
      <c r="AE1546" s="1570">
        <v>65</v>
      </c>
      <c r="AF1546" s="170">
        <v>0</v>
      </c>
      <c r="AG1546" s="171">
        <v>1</v>
      </c>
      <c r="AH1546" s="171">
        <v>1</v>
      </c>
      <c r="AI1546" s="171">
        <v>0</v>
      </c>
      <c r="AJ1546" s="171">
        <v>0</v>
      </c>
      <c r="AK1546" s="171">
        <v>1</v>
      </c>
      <c r="AL1546" s="171">
        <v>1</v>
      </c>
      <c r="AM1546" s="171">
        <v>1</v>
      </c>
      <c r="AN1546" s="171">
        <v>1</v>
      </c>
      <c r="AO1546" s="171">
        <v>1</v>
      </c>
      <c r="AP1546" s="171">
        <v>1</v>
      </c>
      <c r="AQ1546" s="171">
        <v>1</v>
      </c>
      <c r="AR1546" s="171">
        <v>1</v>
      </c>
      <c r="AS1546" s="171">
        <v>1</v>
      </c>
      <c r="AT1546" s="171">
        <v>1</v>
      </c>
      <c r="AU1546" s="171">
        <f t="shared" si="515"/>
        <v>0</v>
      </c>
      <c r="AV1546" s="171">
        <f t="shared" si="516"/>
        <v>1</v>
      </c>
      <c r="AW1546" s="171">
        <f t="shared" si="517"/>
        <v>0</v>
      </c>
      <c r="AX1546" s="171">
        <f t="shared" si="525"/>
        <v>0</v>
      </c>
      <c r="AY1546" s="171">
        <f t="shared" si="518"/>
        <v>1</v>
      </c>
      <c r="AZ1546" s="171">
        <f t="shared" si="519"/>
        <v>1</v>
      </c>
      <c r="BA1546" s="172">
        <f t="shared" si="520"/>
        <v>1</v>
      </c>
      <c r="BB1546" s="175">
        <f t="shared" si="521"/>
        <v>16</v>
      </c>
      <c r="BC1546" s="176">
        <f t="shared" si="522"/>
        <v>15</v>
      </c>
      <c r="BD1546" s="176">
        <f t="shared" si="523"/>
        <v>16</v>
      </c>
      <c r="BE1546" s="240" t="str">
        <f t="shared" si="514"/>
        <v/>
      </c>
      <c r="BF1546" s="990"/>
      <c r="BG1546" s="990"/>
      <c r="BH1546" s="991">
        <f>IF(AND(Input_Product=Elig!$C1546,Elig_MatchAll_Ct&lt;22,$BC1546=(Elig_MatchAll_Ct-1),AF1546=0),C1546,0)</f>
        <v>0</v>
      </c>
      <c r="BI1546" s="991">
        <f>IF(AND(Input_Product=Elig!$C1546,Elig_MatchAll_Ct&lt;22,$BC1546=(Elig_MatchAll_Ct-1),AG1546=0),D1546,0)</f>
        <v>0</v>
      </c>
      <c r="BJ1546" s="991">
        <f>IF(AND(Input_Product=Elig!$C1546,Elig_MatchAll_Ct&lt;22,$BC1546=(Elig_MatchAll_Ct-1),AH1546=0),E1546,0)</f>
        <v>0</v>
      </c>
      <c r="BK1546" s="991">
        <f>IF(AND(Input_Product=Elig!$C1546,Elig_MatchAll_Ct&lt;22,$BC1546=(Elig_MatchAll_Ct-1),AI1546=0),F1546,0)</f>
        <v>0</v>
      </c>
      <c r="BL1546" s="991">
        <f>IF(AND(Input_Product=Elig!$C1546,Elig_MatchAll_Ct&lt;22,$BC1546=(Elig_MatchAll_Ct-1),AJ1546=0),G1546,0)</f>
        <v>0</v>
      </c>
      <c r="BM1546" s="991">
        <f>IF(AND(Input_Product=Elig!$C1546,Elig_MatchAll_Ct&lt;22,$BC1546=(Elig_MatchAll_Ct-1),AK1546=0),H1546,0)</f>
        <v>0</v>
      </c>
      <c r="BN1546" s="991">
        <f>IF(AND(Input_Product=Elig!$C1546,Elig_MatchAll_Ct&lt;22,$BC1546=(Elig_MatchAll_Ct-1),AL1546=0),I1546,0)</f>
        <v>0</v>
      </c>
      <c r="BO1546" s="991">
        <f>IF(AND(Input_Product=Elig!$C1546,Elig_MatchAll_Ct&lt;22,$BC1546=(Elig_MatchAll_Ct-1),AM1546=0),J1546,0)</f>
        <v>0</v>
      </c>
      <c r="BP1546" s="991">
        <f>IF(AND(Input_Product=Elig!$C1546,Elig_MatchAll_Ct&lt;22,$BC1546=(Elig_MatchAll_Ct-1),AN1546=0),K1546,0)</f>
        <v>0</v>
      </c>
      <c r="BQ1546" s="991">
        <f>IF(AND(Input_Product=Elig!$C1546,Elig_MatchAll_Ct&lt;22,$BC1546=(Elig_MatchAll_Ct-1),AP1546=0),L1546,0)</f>
        <v>0</v>
      </c>
      <c r="BR1546" s="991">
        <f>IF(AND(Input_Product=Elig!$C1546,Elig_MatchAll_Ct&lt;22,$BC1546=(Elig_MatchAll_Ct-1),AO1546=0),M1546,0)</f>
        <v>0</v>
      </c>
      <c r="BS1546" s="991">
        <f>IF(AND(Input_Product=Elig!$C1546,Elig_MatchAll_Ct&lt;22,$BC1546=(Elig_MatchAll_Ct-1),AQ1546=0),N1546,0)</f>
        <v>0</v>
      </c>
      <c r="BT1546" s="991">
        <f>IF(AND(Input_Product=Elig!$C1546,Elig_MatchAll_Ct&lt;22,$BC1546=(Elig_MatchAll_Ct-1),AR1546=0),O1546,0)</f>
        <v>0</v>
      </c>
      <c r="BU1546" s="991">
        <f>IF(AND(Input_Product=Elig!$C1546,Elig_MatchAll_Ct&lt;22,$BC1546=(Elig_MatchAll_Ct-1),AS1546=0),P1546,0)</f>
        <v>0</v>
      </c>
      <c r="BV1546" s="992">
        <f>IF(AND(Input_Product=Elig!$C1546,Elig_MatchAll_Ct&lt;22,$BC1546=(Elig_MatchAll_Ct-1),AT1546=0),Q1546,0)</f>
        <v>0</v>
      </c>
      <c r="BW1546" s="993">
        <f>IF(AND(Input_Product=Elig!$C1546,Elig_MatchAll_Ct&lt;22,$BC1546=(Elig_MatchAll_Ct-1),AU1546=0),R1546,0)</f>
        <v>0</v>
      </c>
      <c r="BX1546" s="994">
        <f>IF(AND(Input_Product=Elig!$C1546,Elig_MatchAll_Ct&lt;22,$BC1546=(Elig_MatchAll_Ct-1),AU1546=0),S1546,0)</f>
        <v>0</v>
      </c>
      <c r="BY1546" s="993">
        <f>IF(AND(Input_Product=Elig!$C1546,Elig_MatchAll_Ct&lt;22,$BC1546=(Elig_MatchAll_Ct-1),AV1546=0),T1546,0)</f>
        <v>0</v>
      </c>
      <c r="BZ1546" s="994">
        <f>IF(AND(Input_Product=Elig!$C1546,Elig_MatchAll_Ct&lt;22,$BC1546=(Elig_MatchAll_Ct-1),AV1546=0),U1546,0)</f>
        <v>0</v>
      </c>
      <c r="CA1546" s="993">
        <f>IF(AND(Input_Product=Elig!$C1546,Elig_MatchAll_Ct&lt;22,$BC1546=(Elig_MatchAll_Ct-1),AW1546=0),V1546,0)</f>
        <v>0</v>
      </c>
      <c r="CB1546" s="994">
        <f>IF(AND(Input_Product=Elig!$C1546,Elig_MatchAll_Ct&lt;22,$BC1546=(Elig_MatchAll_Ct-1),AW1546=0),W1546,0)</f>
        <v>0</v>
      </c>
      <c r="CC1546" s="993">
        <f>IF(AND(Input_Product=Elig!$C1546,Elig_MatchAll_Ct&lt;22,$BC1546=(Elig_MatchAll_Ct-1),AX1546=0),X1546,0)</f>
        <v>0</v>
      </c>
      <c r="CD1546" s="994">
        <f>IF(AND(Input_Product=Elig!$C1546,Elig_MatchAll_Ct&lt;22,$BC1546=(Elig_MatchAll_Ct-1),AX1546=0),Y1546,0)</f>
        <v>0</v>
      </c>
      <c r="CE1546" s="993">
        <f>IF(AND(Input_LTV&lt;=AE1546,Input_Product=Elig!$C1546,Elig_MatchAll_Ct&lt;22,$BC1546=(Elig_MatchAll_Ct-1),AY1546=0),Z1546,0)</f>
        <v>0</v>
      </c>
      <c r="CF1546" s="994">
        <f>IF(AND(Input_LTV&lt;=AE1546,Input_Product=Elig!$C1546,Elig_MatchAll_Ct&lt;22,$BC1546=(Elig_MatchAll_Ct-1),AY1546=0),AA1546,0)</f>
        <v>0</v>
      </c>
      <c r="CG1546" s="993">
        <f>IF(AND(Input_Product=Elig!$C1546,Elig_MatchAll_Ct&lt;22,$BC1546=(Elig_MatchAll_Ct-1),AZ1546=0),AB1546,0)</f>
        <v>0</v>
      </c>
      <c r="CH1546" s="994">
        <f>IF(AND(Input_Product=Elig!$C1546,Elig_MatchAll_Ct&lt;22,$BC1546=(Elig_MatchAll_Ct-1),AZ1546=0),AC1546,0)</f>
        <v>0</v>
      </c>
      <c r="CI1546" s="993">
        <f>IF(AND(Input_Product=Elig!$C1546,Elig_MatchAll_Ct&lt;22,$BC1546=(Elig_MatchAll_Ct-1),BA1546=0),AD1546,0)</f>
        <v>0</v>
      </c>
      <c r="CJ1546" s="994">
        <f>IF(AND(Input_Product=Elig!$C1546,Elig_MatchAll_Ct&lt;22,$BC1546=(Elig_MatchAll_Ct-1),BA1546=0),AE1546,0)</f>
        <v>0</v>
      </c>
    </row>
    <row r="1547" spans="2:88" ht="10.15" customHeight="1" x14ac:dyDescent="0.25">
      <c r="B1547" s="1567" t="s">
        <v>2890</v>
      </c>
      <c r="C1547" s="1567" t="str">
        <f t="shared" si="524"/>
        <v xml:space="preserve">  NOO</v>
      </c>
      <c r="D1547" s="1567" t="s">
        <v>2764</v>
      </c>
      <c r="E1547" s="1567" t="s">
        <v>167</v>
      </c>
      <c r="F1547" s="1567" t="s">
        <v>330</v>
      </c>
      <c r="G1547" s="1567" t="s">
        <v>181</v>
      </c>
      <c r="H1547" s="1567" t="s">
        <v>136</v>
      </c>
      <c r="I1547" s="1568" t="s">
        <v>16</v>
      </c>
      <c r="J1547" s="1568" t="s">
        <v>1311</v>
      </c>
      <c r="K1547" s="1568" t="s">
        <v>3023</v>
      </c>
      <c r="L1547" s="1567" t="s">
        <v>312</v>
      </c>
      <c r="M1547" s="1567" t="s">
        <v>4204</v>
      </c>
      <c r="N1547" s="1567" t="s">
        <v>2685</v>
      </c>
      <c r="O1547" s="1567" t="s">
        <v>310</v>
      </c>
      <c r="P1547" s="1567" t="s">
        <v>291</v>
      </c>
      <c r="Q1547" s="1567" t="s">
        <v>294</v>
      </c>
      <c r="R1547" s="1567">
        <v>100000</v>
      </c>
      <c r="S1547" s="1567">
        <v>1000000</v>
      </c>
      <c r="T1547" s="1567">
        <v>0</v>
      </c>
      <c r="U1547" s="1567">
        <v>1000000</v>
      </c>
      <c r="V1547" s="1567">
        <v>0</v>
      </c>
      <c r="W1547" s="1567">
        <v>0</v>
      </c>
      <c r="X1547" s="1567">
        <v>1</v>
      </c>
      <c r="Y1547" s="1567">
        <v>999</v>
      </c>
      <c r="Z1547" s="1569">
        <v>660</v>
      </c>
      <c r="AA1547" s="1569">
        <v>699</v>
      </c>
      <c r="AB1547" s="1569">
        <v>2</v>
      </c>
      <c r="AC1547" s="1569">
        <v>999999</v>
      </c>
      <c r="AD1547" s="1567">
        <v>0</v>
      </c>
      <c r="AE1547" s="1570">
        <v>70</v>
      </c>
      <c r="AF1547" s="170">
        <v>0</v>
      </c>
      <c r="AG1547" s="171">
        <v>1</v>
      </c>
      <c r="AH1547" s="171">
        <v>1</v>
      </c>
      <c r="AI1547" s="171">
        <v>0</v>
      </c>
      <c r="AJ1547" s="171">
        <v>0</v>
      </c>
      <c r="AK1547" s="171">
        <v>1</v>
      </c>
      <c r="AL1547" s="171">
        <v>1</v>
      </c>
      <c r="AM1547" s="171">
        <v>1</v>
      </c>
      <c r="AN1547" s="171">
        <v>1</v>
      </c>
      <c r="AO1547" s="171">
        <v>1</v>
      </c>
      <c r="AP1547" s="171">
        <v>1</v>
      </c>
      <c r="AQ1547" s="171">
        <v>1</v>
      </c>
      <c r="AR1547" s="171">
        <v>1</v>
      </c>
      <c r="AS1547" s="171">
        <v>1</v>
      </c>
      <c r="AT1547" s="171">
        <v>1</v>
      </c>
      <c r="AU1547" s="171">
        <f t="shared" si="515"/>
        <v>1</v>
      </c>
      <c r="AV1547" s="171">
        <f t="shared" si="516"/>
        <v>1</v>
      </c>
      <c r="AW1547" s="171">
        <f t="shared" si="517"/>
        <v>0</v>
      </c>
      <c r="AX1547" s="171">
        <f t="shared" si="525"/>
        <v>0</v>
      </c>
      <c r="AY1547" s="171">
        <f t="shared" si="518"/>
        <v>0</v>
      </c>
      <c r="AZ1547" s="171">
        <f t="shared" si="519"/>
        <v>1</v>
      </c>
      <c r="BA1547" s="172">
        <f t="shared" si="520"/>
        <v>1</v>
      </c>
      <c r="BB1547" s="175">
        <f t="shared" si="521"/>
        <v>16</v>
      </c>
      <c r="BC1547" s="176">
        <f t="shared" si="522"/>
        <v>15</v>
      </c>
      <c r="BD1547" s="176">
        <f t="shared" si="523"/>
        <v>16</v>
      </c>
      <c r="BE1547" s="240" t="str">
        <f t="shared" si="514"/>
        <v/>
      </c>
      <c r="BF1547" s="990"/>
      <c r="BG1547" s="990"/>
      <c r="BH1547" s="991">
        <f>IF(AND(Input_Product=Elig!$C1547,Elig_MatchAll_Ct&lt;22,$BC1547=(Elig_MatchAll_Ct-1),AF1547=0),C1547,0)</f>
        <v>0</v>
      </c>
      <c r="BI1547" s="991">
        <f>IF(AND(Input_Product=Elig!$C1547,Elig_MatchAll_Ct&lt;22,$BC1547=(Elig_MatchAll_Ct-1),AG1547=0),D1547,0)</f>
        <v>0</v>
      </c>
      <c r="BJ1547" s="991">
        <f>IF(AND(Input_Product=Elig!$C1547,Elig_MatchAll_Ct&lt;22,$BC1547=(Elig_MatchAll_Ct-1),AH1547=0),E1547,0)</f>
        <v>0</v>
      </c>
      <c r="BK1547" s="991">
        <f>IF(AND(Input_Product=Elig!$C1547,Elig_MatchAll_Ct&lt;22,$BC1547=(Elig_MatchAll_Ct-1),AI1547=0),F1547,0)</f>
        <v>0</v>
      </c>
      <c r="BL1547" s="991">
        <f>IF(AND(Input_Product=Elig!$C1547,Elig_MatchAll_Ct&lt;22,$BC1547=(Elig_MatchAll_Ct-1),AJ1547=0),G1547,0)</f>
        <v>0</v>
      </c>
      <c r="BM1547" s="991">
        <f>IF(AND(Input_Product=Elig!$C1547,Elig_MatchAll_Ct&lt;22,$BC1547=(Elig_MatchAll_Ct-1),AK1547=0),H1547,0)</f>
        <v>0</v>
      </c>
      <c r="BN1547" s="991">
        <f>IF(AND(Input_Product=Elig!$C1547,Elig_MatchAll_Ct&lt;22,$BC1547=(Elig_MatchAll_Ct-1),AL1547=0),I1547,0)</f>
        <v>0</v>
      </c>
      <c r="BO1547" s="991">
        <f>IF(AND(Input_Product=Elig!$C1547,Elig_MatchAll_Ct&lt;22,$BC1547=(Elig_MatchAll_Ct-1),AM1547=0),J1547,0)</f>
        <v>0</v>
      </c>
      <c r="BP1547" s="991">
        <f>IF(AND(Input_Product=Elig!$C1547,Elig_MatchAll_Ct&lt;22,$BC1547=(Elig_MatchAll_Ct-1),AN1547=0),K1547,0)</f>
        <v>0</v>
      </c>
      <c r="BQ1547" s="991">
        <f>IF(AND(Input_Product=Elig!$C1547,Elig_MatchAll_Ct&lt;22,$BC1547=(Elig_MatchAll_Ct-1),AP1547=0),L1547,0)</f>
        <v>0</v>
      </c>
      <c r="BR1547" s="991">
        <f>IF(AND(Input_Product=Elig!$C1547,Elig_MatchAll_Ct&lt;22,$BC1547=(Elig_MatchAll_Ct-1),AO1547=0),M1547,0)</f>
        <v>0</v>
      </c>
      <c r="BS1547" s="991">
        <f>IF(AND(Input_Product=Elig!$C1547,Elig_MatchAll_Ct&lt;22,$BC1547=(Elig_MatchAll_Ct-1),AQ1547=0),N1547,0)</f>
        <v>0</v>
      </c>
      <c r="BT1547" s="991">
        <f>IF(AND(Input_Product=Elig!$C1547,Elig_MatchAll_Ct&lt;22,$BC1547=(Elig_MatchAll_Ct-1),AR1547=0),O1547,0)</f>
        <v>0</v>
      </c>
      <c r="BU1547" s="991">
        <f>IF(AND(Input_Product=Elig!$C1547,Elig_MatchAll_Ct&lt;22,$BC1547=(Elig_MatchAll_Ct-1),AS1547=0),P1547,0)</f>
        <v>0</v>
      </c>
      <c r="BV1547" s="992">
        <f>IF(AND(Input_Product=Elig!$C1547,Elig_MatchAll_Ct&lt;22,$BC1547=(Elig_MatchAll_Ct-1),AT1547=0),Q1547,0)</f>
        <v>0</v>
      </c>
      <c r="BW1547" s="993">
        <f>IF(AND(Input_Product=Elig!$C1547,Elig_MatchAll_Ct&lt;22,$BC1547=(Elig_MatchAll_Ct-1),AU1547=0),R1547,0)</f>
        <v>0</v>
      </c>
      <c r="BX1547" s="994">
        <f>IF(AND(Input_Product=Elig!$C1547,Elig_MatchAll_Ct&lt;22,$BC1547=(Elig_MatchAll_Ct-1),AU1547=0),S1547,0)</f>
        <v>0</v>
      </c>
      <c r="BY1547" s="993">
        <f>IF(AND(Input_Product=Elig!$C1547,Elig_MatchAll_Ct&lt;22,$BC1547=(Elig_MatchAll_Ct-1),AV1547=0),T1547,0)</f>
        <v>0</v>
      </c>
      <c r="BZ1547" s="994">
        <f>IF(AND(Input_Product=Elig!$C1547,Elig_MatchAll_Ct&lt;22,$BC1547=(Elig_MatchAll_Ct-1),AV1547=0),U1547,0)</f>
        <v>0</v>
      </c>
      <c r="CA1547" s="993">
        <f>IF(AND(Input_Product=Elig!$C1547,Elig_MatchAll_Ct&lt;22,$BC1547=(Elig_MatchAll_Ct-1),AW1547=0),V1547,0)</f>
        <v>0</v>
      </c>
      <c r="CB1547" s="994">
        <f>IF(AND(Input_Product=Elig!$C1547,Elig_MatchAll_Ct&lt;22,$BC1547=(Elig_MatchAll_Ct-1),AW1547=0),W1547,0)</f>
        <v>0</v>
      </c>
      <c r="CC1547" s="993">
        <f>IF(AND(Input_Product=Elig!$C1547,Elig_MatchAll_Ct&lt;22,$BC1547=(Elig_MatchAll_Ct-1),AX1547=0),X1547,0)</f>
        <v>0</v>
      </c>
      <c r="CD1547" s="994">
        <f>IF(AND(Input_Product=Elig!$C1547,Elig_MatchAll_Ct&lt;22,$BC1547=(Elig_MatchAll_Ct-1),AX1547=0),Y1547,0)</f>
        <v>0</v>
      </c>
      <c r="CE1547" s="993">
        <f>IF(AND(Input_LTV&lt;=AE1547,Input_Product=Elig!$C1547,Elig_MatchAll_Ct&lt;22,$BC1547=(Elig_MatchAll_Ct-1),AY1547=0),Z1547,0)</f>
        <v>0</v>
      </c>
      <c r="CF1547" s="994">
        <f>IF(AND(Input_LTV&lt;=AE1547,Input_Product=Elig!$C1547,Elig_MatchAll_Ct&lt;22,$BC1547=(Elig_MatchAll_Ct-1),AY1547=0),AA1547,0)</f>
        <v>0</v>
      </c>
      <c r="CG1547" s="993">
        <f>IF(AND(Input_Product=Elig!$C1547,Elig_MatchAll_Ct&lt;22,$BC1547=(Elig_MatchAll_Ct-1),AZ1547=0),AB1547,0)</f>
        <v>0</v>
      </c>
      <c r="CH1547" s="994">
        <f>IF(AND(Input_Product=Elig!$C1547,Elig_MatchAll_Ct&lt;22,$BC1547=(Elig_MatchAll_Ct-1),AZ1547=0),AC1547,0)</f>
        <v>0</v>
      </c>
      <c r="CI1547" s="993">
        <f>IF(AND(Input_Product=Elig!$C1547,Elig_MatchAll_Ct&lt;22,$BC1547=(Elig_MatchAll_Ct-1),BA1547=0),AD1547,0)</f>
        <v>0</v>
      </c>
      <c r="CJ1547" s="994">
        <f>IF(AND(Input_Product=Elig!$C1547,Elig_MatchAll_Ct&lt;22,$BC1547=(Elig_MatchAll_Ct-1),BA1547=0),AE1547,0)</f>
        <v>0</v>
      </c>
    </row>
    <row r="1548" spans="2:88" ht="10.15" customHeight="1" x14ac:dyDescent="0.25">
      <c r="B1548" s="1567" t="s">
        <v>3627</v>
      </c>
      <c r="C1548" s="1567" t="str">
        <f t="shared" si="524"/>
        <v xml:space="preserve">  NOO</v>
      </c>
      <c r="D1548" s="1567" t="s">
        <v>2764</v>
      </c>
      <c r="E1548" s="1567" t="s">
        <v>167</v>
      </c>
      <c r="F1548" s="1567" t="s">
        <v>330</v>
      </c>
      <c r="G1548" s="1567" t="s">
        <v>181</v>
      </c>
      <c r="H1548" s="1567" t="s">
        <v>136</v>
      </c>
      <c r="I1548" s="1568" t="s">
        <v>16</v>
      </c>
      <c r="J1548" s="1568" t="s">
        <v>1311</v>
      </c>
      <c r="K1548" s="1568" t="s">
        <v>3023</v>
      </c>
      <c r="L1548" s="1567" t="s">
        <v>312</v>
      </c>
      <c r="M1548" s="1567" t="s">
        <v>4204</v>
      </c>
      <c r="N1548" s="1567" t="s">
        <v>2685</v>
      </c>
      <c r="O1548" s="1567" t="s">
        <v>310</v>
      </c>
      <c r="P1548" s="1567" t="s">
        <v>291</v>
      </c>
      <c r="Q1548" s="1567" t="s">
        <v>294</v>
      </c>
      <c r="R1548" s="1567">
        <v>1000000.01</v>
      </c>
      <c r="S1548" s="1567">
        <v>1500000</v>
      </c>
      <c r="T1548" s="1567">
        <v>0</v>
      </c>
      <c r="U1548" s="1567">
        <v>1000000</v>
      </c>
      <c r="V1548" s="1567">
        <v>0</v>
      </c>
      <c r="W1548" s="1567">
        <v>0</v>
      </c>
      <c r="X1548" s="1567">
        <v>1</v>
      </c>
      <c r="Y1548" s="1567">
        <v>999</v>
      </c>
      <c r="Z1548" s="1569">
        <v>660</v>
      </c>
      <c r="AA1548" s="1569">
        <v>699</v>
      </c>
      <c r="AB1548" s="1569">
        <v>2</v>
      </c>
      <c r="AC1548" s="1569">
        <v>999999</v>
      </c>
      <c r="AD1548" s="1567">
        <v>0</v>
      </c>
      <c r="AE1548" s="1570">
        <v>70</v>
      </c>
      <c r="AF1548" s="170">
        <v>0</v>
      </c>
      <c r="AG1548" s="171">
        <v>1</v>
      </c>
      <c r="AH1548" s="171">
        <v>1</v>
      </c>
      <c r="AI1548" s="171">
        <v>0</v>
      </c>
      <c r="AJ1548" s="171">
        <v>0</v>
      </c>
      <c r="AK1548" s="171">
        <v>1</v>
      </c>
      <c r="AL1548" s="171">
        <v>1</v>
      </c>
      <c r="AM1548" s="171">
        <v>1</v>
      </c>
      <c r="AN1548" s="171">
        <v>1</v>
      </c>
      <c r="AO1548" s="171">
        <v>1</v>
      </c>
      <c r="AP1548" s="171">
        <v>1</v>
      </c>
      <c r="AQ1548" s="171">
        <v>1</v>
      </c>
      <c r="AR1548" s="171">
        <v>1</v>
      </c>
      <c r="AS1548" s="171">
        <v>1</v>
      </c>
      <c r="AT1548" s="171">
        <v>1</v>
      </c>
      <c r="AU1548" s="171">
        <f t="shared" si="515"/>
        <v>0</v>
      </c>
      <c r="AV1548" s="171">
        <f t="shared" si="516"/>
        <v>1</v>
      </c>
      <c r="AW1548" s="171">
        <f t="shared" si="517"/>
        <v>0</v>
      </c>
      <c r="AX1548" s="171">
        <f t="shared" si="525"/>
        <v>0</v>
      </c>
      <c r="AY1548" s="171">
        <f t="shared" si="518"/>
        <v>0</v>
      </c>
      <c r="AZ1548" s="171">
        <f t="shared" si="519"/>
        <v>1</v>
      </c>
      <c r="BA1548" s="172">
        <f t="shared" si="520"/>
        <v>1</v>
      </c>
      <c r="BB1548" s="175">
        <f t="shared" si="521"/>
        <v>15</v>
      </c>
      <c r="BC1548" s="176">
        <f t="shared" si="522"/>
        <v>14</v>
      </c>
      <c r="BD1548" s="176">
        <f t="shared" si="523"/>
        <v>15</v>
      </c>
      <c r="BE1548" s="240" t="str">
        <f t="shared" si="514"/>
        <v/>
      </c>
      <c r="BF1548" s="990"/>
      <c r="BG1548" s="990"/>
      <c r="BH1548" s="991">
        <f>IF(AND(Input_Product=Elig!$C1548,Elig_MatchAll_Ct&lt;22,$BC1548=(Elig_MatchAll_Ct-1),AF1548=0),C1548,0)</f>
        <v>0</v>
      </c>
      <c r="BI1548" s="991">
        <f>IF(AND(Input_Product=Elig!$C1548,Elig_MatchAll_Ct&lt;22,$BC1548=(Elig_MatchAll_Ct-1),AG1548=0),D1548,0)</f>
        <v>0</v>
      </c>
      <c r="BJ1548" s="991">
        <f>IF(AND(Input_Product=Elig!$C1548,Elig_MatchAll_Ct&lt;22,$BC1548=(Elig_MatchAll_Ct-1),AH1548=0),E1548,0)</f>
        <v>0</v>
      </c>
      <c r="BK1548" s="991">
        <f>IF(AND(Input_Product=Elig!$C1548,Elig_MatchAll_Ct&lt;22,$BC1548=(Elig_MatchAll_Ct-1),AI1548=0),F1548,0)</f>
        <v>0</v>
      </c>
      <c r="BL1548" s="991">
        <f>IF(AND(Input_Product=Elig!$C1548,Elig_MatchAll_Ct&lt;22,$BC1548=(Elig_MatchAll_Ct-1),AJ1548=0),G1548,0)</f>
        <v>0</v>
      </c>
      <c r="BM1548" s="991">
        <f>IF(AND(Input_Product=Elig!$C1548,Elig_MatchAll_Ct&lt;22,$BC1548=(Elig_MatchAll_Ct-1),AK1548=0),H1548,0)</f>
        <v>0</v>
      </c>
      <c r="BN1548" s="991">
        <f>IF(AND(Input_Product=Elig!$C1548,Elig_MatchAll_Ct&lt;22,$BC1548=(Elig_MatchAll_Ct-1),AL1548=0),I1548,0)</f>
        <v>0</v>
      </c>
      <c r="BO1548" s="991">
        <f>IF(AND(Input_Product=Elig!$C1548,Elig_MatchAll_Ct&lt;22,$BC1548=(Elig_MatchAll_Ct-1),AM1548=0),J1548,0)</f>
        <v>0</v>
      </c>
      <c r="BP1548" s="991">
        <f>IF(AND(Input_Product=Elig!$C1548,Elig_MatchAll_Ct&lt;22,$BC1548=(Elig_MatchAll_Ct-1),AN1548=0),K1548,0)</f>
        <v>0</v>
      </c>
      <c r="BQ1548" s="991">
        <f>IF(AND(Input_Product=Elig!$C1548,Elig_MatchAll_Ct&lt;22,$BC1548=(Elig_MatchAll_Ct-1),AP1548=0),L1548,0)</f>
        <v>0</v>
      </c>
      <c r="BR1548" s="991">
        <f>IF(AND(Input_Product=Elig!$C1548,Elig_MatchAll_Ct&lt;22,$BC1548=(Elig_MatchAll_Ct-1),AO1548=0),M1548,0)</f>
        <v>0</v>
      </c>
      <c r="BS1548" s="991">
        <f>IF(AND(Input_Product=Elig!$C1548,Elig_MatchAll_Ct&lt;22,$BC1548=(Elig_MatchAll_Ct-1),AQ1548=0),N1548,0)</f>
        <v>0</v>
      </c>
      <c r="BT1548" s="991">
        <f>IF(AND(Input_Product=Elig!$C1548,Elig_MatchAll_Ct&lt;22,$BC1548=(Elig_MatchAll_Ct-1),AR1548=0),O1548,0)</f>
        <v>0</v>
      </c>
      <c r="BU1548" s="991">
        <f>IF(AND(Input_Product=Elig!$C1548,Elig_MatchAll_Ct&lt;22,$BC1548=(Elig_MatchAll_Ct-1),AS1548=0),P1548,0)</f>
        <v>0</v>
      </c>
      <c r="BV1548" s="992">
        <f>IF(AND(Input_Product=Elig!$C1548,Elig_MatchAll_Ct&lt;22,$BC1548=(Elig_MatchAll_Ct-1),AT1548=0),Q1548,0)</f>
        <v>0</v>
      </c>
      <c r="BW1548" s="993">
        <f>IF(AND(Input_Product=Elig!$C1548,Elig_MatchAll_Ct&lt;22,$BC1548=(Elig_MatchAll_Ct-1),AU1548=0),R1548,0)</f>
        <v>0</v>
      </c>
      <c r="BX1548" s="994">
        <f>IF(AND(Input_Product=Elig!$C1548,Elig_MatchAll_Ct&lt;22,$BC1548=(Elig_MatchAll_Ct-1),AU1548=0),S1548,0)</f>
        <v>0</v>
      </c>
      <c r="BY1548" s="993">
        <f>IF(AND(Input_Product=Elig!$C1548,Elig_MatchAll_Ct&lt;22,$BC1548=(Elig_MatchAll_Ct-1),AV1548=0),T1548,0)</f>
        <v>0</v>
      </c>
      <c r="BZ1548" s="994">
        <f>IF(AND(Input_Product=Elig!$C1548,Elig_MatchAll_Ct&lt;22,$BC1548=(Elig_MatchAll_Ct-1),AV1548=0),U1548,0)</f>
        <v>0</v>
      </c>
      <c r="CA1548" s="993">
        <f>IF(AND(Input_Product=Elig!$C1548,Elig_MatchAll_Ct&lt;22,$BC1548=(Elig_MatchAll_Ct-1),AW1548=0),V1548,0)</f>
        <v>0</v>
      </c>
      <c r="CB1548" s="994">
        <f>IF(AND(Input_Product=Elig!$C1548,Elig_MatchAll_Ct&lt;22,$BC1548=(Elig_MatchAll_Ct-1),AW1548=0),W1548,0)</f>
        <v>0</v>
      </c>
      <c r="CC1548" s="993">
        <f>IF(AND(Input_Product=Elig!$C1548,Elig_MatchAll_Ct&lt;22,$BC1548=(Elig_MatchAll_Ct-1),AX1548=0),X1548,0)</f>
        <v>0</v>
      </c>
      <c r="CD1548" s="994">
        <f>IF(AND(Input_Product=Elig!$C1548,Elig_MatchAll_Ct&lt;22,$BC1548=(Elig_MatchAll_Ct-1),AX1548=0),Y1548,0)</f>
        <v>0</v>
      </c>
      <c r="CE1548" s="993">
        <f>IF(AND(Input_LTV&lt;=AE1548,Input_Product=Elig!$C1548,Elig_MatchAll_Ct&lt;22,$BC1548=(Elig_MatchAll_Ct-1),AY1548=0),Z1548,0)</f>
        <v>0</v>
      </c>
      <c r="CF1548" s="994">
        <f>IF(AND(Input_LTV&lt;=AE1548,Input_Product=Elig!$C1548,Elig_MatchAll_Ct&lt;22,$BC1548=(Elig_MatchAll_Ct-1),AY1548=0),AA1548,0)</f>
        <v>0</v>
      </c>
      <c r="CG1548" s="993">
        <f>IF(AND(Input_Product=Elig!$C1548,Elig_MatchAll_Ct&lt;22,$BC1548=(Elig_MatchAll_Ct-1),AZ1548=0),AB1548,0)</f>
        <v>0</v>
      </c>
      <c r="CH1548" s="994">
        <f>IF(AND(Input_Product=Elig!$C1548,Elig_MatchAll_Ct&lt;22,$BC1548=(Elig_MatchAll_Ct-1),AZ1548=0),AC1548,0)</f>
        <v>0</v>
      </c>
      <c r="CI1548" s="993">
        <f>IF(AND(Input_Product=Elig!$C1548,Elig_MatchAll_Ct&lt;22,$BC1548=(Elig_MatchAll_Ct-1),BA1548=0),AD1548,0)</f>
        <v>0</v>
      </c>
      <c r="CJ1548" s="994">
        <f>IF(AND(Input_Product=Elig!$C1548,Elig_MatchAll_Ct&lt;22,$BC1548=(Elig_MatchAll_Ct-1),BA1548=0),AE1548,0)</f>
        <v>0</v>
      </c>
    </row>
    <row r="1549" spans="2:88" ht="10.15" customHeight="1" x14ac:dyDescent="0.25">
      <c r="B1549" s="1567" t="s">
        <v>3628</v>
      </c>
      <c r="C1549" s="1567" t="str">
        <f t="shared" si="524"/>
        <v xml:space="preserve">  NOO</v>
      </c>
      <c r="D1549" s="1567" t="s">
        <v>2764</v>
      </c>
      <c r="E1549" s="1567" t="s">
        <v>167</v>
      </c>
      <c r="F1549" s="1567" t="s">
        <v>330</v>
      </c>
      <c r="G1549" s="1567" t="s">
        <v>181</v>
      </c>
      <c r="H1549" s="1567" t="s">
        <v>136</v>
      </c>
      <c r="I1549" s="1568" t="s">
        <v>16</v>
      </c>
      <c r="J1549" s="1568" t="s">
        <v>1311</v>
      </c>
      <c r="K1549" s="1568" t="s">
        <v>3023</v>
      </c>
      <c r="L1549" s="1567" t="s">
        <v>312</v>
      </c>
      <c r="M1549" s="1567" t="s">
        <v>4204</v>
      </c>
      <c r="N1549" s="1567" t="s">
        <v>2685</v>
      </c>
      <c r="O1549" s="1567" t="s">
        <v>310</v>
      </c>
      <c r="P1549" s="1567" t="s">
        <v>291</v>
      </c>
      <c r="Q1549" s="1567" t="s">
        <v>294</v>
      </c>
      <c r="R1549" s="1567">
        <v>1500000.01</v>
      </c>
      <c r="S1549" s="1567">
        <v>2000000</v>
      </c>
      <c r="T1549" s="1567">
        <v>0</v>
      </c>
      <c r="U1549" s="1567">
        <v>1000000</v>
      </c>
      <c r="V1549" s="1567">
        <v>0</v>
      </c>
      <c r="W1549" s="1567">
        <v>0</v>
      </c>
      <c r="X1549" s="1567">
        <v>1</v>
      </c>
      <c r="Y1549" s="1567">
        <v>999</v>
      </c>
      <c r="Z1549" s="1569">
        <v>660</v>
      </c>
      <c r="AA1549" s="1569">
        <v>699</v>
      </c>
      <c r="AB1549" s="1569">
        <v>2</v>
      </c>
      <c r="AC1549" s="1569">
        <v>999999</v>
      </c>
      <c r="AD1549" s="1567">
        <v>0</v>
      </c>
      <c r="AE1549" s="1570">
        <v>65</v>
      </c>
      <c r="AF1549" s="170">
        <v>0</v>
      </c>
      <c r="AG1549" s="171">
        <v>1</v>
      </c>
      <c r="AH1549" s="171">
        <v>1</v>
      </c>
      <c r="AI1549" s="171">
        <v>0</v>
      </c>
      <c r="AJ1549" s="171">
        <v>0</v>
      </c>
      <c r="AK1549" s="171">
        <v>1</v>
      </c>
      <c r="AL1549" s="171">
        <v>1</v>
      </c>
      <c r="AM1549" s="171">
        <v>1</v>
      </c>
      <c r="AN1549" s="171">
        <v>1</v>
      </c>
      <c r="AO1549" s="171">
        <v>1</v>
      </c>
      <c r="AP1549" s="171">
        <v>1</v>
      </c>
      <c r="AQ1549" s="171">
        <v>1</v>
      </c>
      <c r="AR1549" s="171">
        <v>1</v>
      </c>
      <c r="AS1549" s="171">
        <v>1</v>
      </c>
      <c r="AT1549" s="171">
        <v>1</v>
      </c>
      <c r="AU1549" s="171">
        <f t="shared" si="515"/>
        <v>0</v>
      </c>
      <c r="AV1549" s="171">
        <f t="shared" si="516"/>
        <v>1</v>
      </c>
      <c r="AW1549" s="171">
        <f t="shared" si="517"/>
        <v>0</v>
      </c>
      <c r="AX1549" s="171">
        <f t="shared" si="525"/>
        <v>0</v>
      </c>
      <c r="AY1549" s="171">
        <f t="shared" si="518"/>
        <v>0</v>
      </c>
      <c r="AZ1549" s="171">
        <f t="shared" si="519"/>
        <v>1</v>
      </c>
      <c r="BA1549" s="172">
        <f t="shared" si="520"/>
        <v>1</v>
      </c>
      <c r="BB1549" s="175">
        <f t="shared" si="521"/>
        <v>15</v>
      </c>
      <c r="BC1549" s="176">
        <f t="shared" si="522"/>
        <v>14</v>
      </c>
      <c r="BD1549" s="176">
        <f t="shared" si="523"/>
        <v>15</v>
      </c>
      <c r="BE1549" s="240" t="str">
        <f t="shared" si="514"/>
        <v/>
      </c>
      <c r="BF1549" s="990"/>
      <c r="BG1549" s="990"/>
      <c r="BH1549" s="991">
        <f>IF(AND(Input_Product=Elig!$C1549,Elig_MatchAll_Ct&lt;22,$BC1549=(Elig_MatchAll_Ct-1),AF1549=0),C1549,0)</f>
        <v>0</v>
      </c>
      <c r="BI1549" s="991">
        <f>IF(AND(Input_Product=Elig!$C1549,Elig_MatchAll_Ct&lt;22,$BC1549=(Elig_MatchAll_Ct-1),AG1549=0),D1549,0)</f>
        <v>0</v>
      </c>
      <c r="BJ1549" s="991">
        <f>IF(AND(Input_Product=Elig!$C1549,Elig_MatchAll_Ct&lt;22,$BC1549=(Elig_MatchAll_Ct-1),AH1549=0),E1549,0)</f>
        <v>0</v>
      </c>
      <c r="BK1549" s="991">
        <f>IF(AND(Input_Product=Elig!$C1549,Elig_MatchAll_Ct&lt;22,$BC1549=(Elig_MatchAll_Ct-1),AI1549=0),F1549,0)</f>
        <v>0</v>
      </c>
      <c r="BL1549" s="991">
        <f>IF(AND(Input_Product=Elig!$C1549,Elig_MatchAll_Ct&lt;22,$BC1549=(Elig_MatchAll_Ct-1),AJ1549=0),G1549,0)</f>
        <v>0</v>
      </c>
      <c r="BM1549" s="991">
        <f>IF(AND(Input_Product=Elig!$C1549,Elig_MatchAll_Ct&lt;22,$BC1549=(Elig_MatchAll_Ct-1),AK1549=0),H1549,0)</f>
        <v>0</v>
      </c>
      <c r="BN1549" s="991">
        <f>IF(AND(Input_Product=Elig!$C1549,Elig_MatchAll_Ct&lt;22,$BC1549=(Elig_MatchAll_Ct-1),AL1549=0),I1549,0)</f>
        <v>0</v>
      </c>
      <c r="BO1549" s="991">
        <f>IF(AND(Input_Product=Elig!$C1549,Elig_MatchAll_Ct&lt;22,$BC1549=(Elig_MatchAll_Ct-1),AM1549=0),J1549,0)</f>
        <v>0</v>
      </c>
      <c r="BP1549" s="991">
        <f>IF(AND(Input_Product=Elig!$C1549,Elig_MatchAll_Ct&lt;22,$BC1549=(Elig_MatchAll_Ct-1),AN1549=0),K1549,0)</f>
        <v>0</v>
      </c>
      <c r="BQ1549" s="991">
        <f>IF(AND(Input_Product=Elig!$C1549,Elig_MatchAll_Ct&lt;22,$BC1549=(Elig_MatchAll_Ct-1),AP1549=0),L1549,0)</f>
        <v>0</v>
      </c>
      <c r="BR1549" s="991">
        <f>IF(AND(Input_Product=Elig!$C1549,Elig_MatchAll_Ct&lt;22,$BC1549=(Elig_MatchAll_Ct-1),AO1549=0),M1549,0)</f>
        <v>0</v>
      </c>
      <c r="BS1549" s="991">
        <f>IF(AND(Input_Product=Elig!$C1549,Elig_MatchAll_Ct&lt;22,$BC1549=(Elig_MatchAll_Ct-1),AQ1549=0),N1549,0)</f>
        <v>0</v>
      </c>
      <c r="BT1549" s="991">
        <f>IF(AND(Input_Product=Elig!$C1549,Elig_MatchAll_Ct&lt;22,$BC1549=(Elig_MatchAll_Ct-1),AR1549=0),O1549,0)</f>
        <v>0</v>
      </c>
      <c r="BU1549" s="991">
        <f>IF(AND(Input_Product=Elig!$C1549,Elig_MatchAll_Ct&lt;22,$BC1549=(Elig_MatchAll_Ct-1),AS1549=0),P1549,0)</f>
        <v>0</v>
      </c>
      <c r="BV1549" s="992">
        <f>IF(AND(Input_Product=Elig!$C1549,Elig_MatchAll_Ct&lt;22,$BC1549=(Elig_MatchAll_Ct-1),AT1549=0),Q1549,0)</f>
        <v>0</v>
      </c>
      <c r="BW1549" s="993">
        <f>IF(AND(Input_Product=Elig!$C1549,Elig_MatchAll_Ct&lt;22,$BC1549=(Elig_MatchAll_Ct-1),AU1549=0),R1549,0)</f>
        <v>0</v>
      </c>
      <c r="BX1549" s="994">
        <f>IF(AND(Input_Product=Elig!$C1549,Elig_MatchAll_Ct&lt;22,$BC1549=(Elig_MatchAll_Ct-1),AU1549=0),S1549,0)</f>
        <v>0</v>
      </c>
      <c r="BY1549" s="993">
        <f>IF(AND(Input_Product=Elig!$C1549,Elig_MatchAll_Ct&lt;22,$BC1549=(Elig_MatchAll_Ct-1),AV1549=0),T1549,0)</f>
        <v>0</v>
      </c>
      <c r="BZ1549" s="994">
        <f>IF(AND(Input_Product=Elig!$C1549,Elig_MatchAll_Ct&lt;22,$BC1549=(Elig_MatchAll_Ct-1),AV1549=0),U1549,0)</f>
        <v>0</v>
      </c>
      <c r="CA1549" s="993">
        <f>IF(AND(Input_Product=Elig!$C1549,Elig_MatchAll_Ct&lt;22,$BC1549=(Elig_MatchAll_Ct-1),AW1549=0),V1549,0)</f>
        <v>0</v>
      </c>
      <c r="CB1549" s="994">
        <f>IF(AND(Input_Product=Elig!$C1549,Elig_MatchAll_Ct&lt;22,$BC1549=(Elig_MatchAll_Ct-1),AW1549=0),W1549,0)</f>
        <v>0</v>
      </c>
      <c r="CC1549" s="993">
        <f>IF(AND(Input_Product=Elig!$C1549,Elig_MatchAll_Ct&lt;22,$BC1549=(Elig_MatchAll_Ct-1),AX1549=0),X1549,0)</f>
        <v>0</v>
      </c>
      <c r="CD1549" s="994">
        <f>IF(AND(Input_Product=Elig!$C1549,Elig_MatchAll_Ct&lt;22,$BC1549=(Elig_MatchAll_Ct-1),AX1549=0),Y1549,0)</f>
        <v>0</v>
      </c>
      <c r="CE1549" s="993">
        <f>IF(AND(Input_LTV&lt;=AE1549,Input_Product=Elig!$C1549,Elig_MatchAll_Ct&lt;22,$BC1549=(Elig_MatchAll_Ct-1),AY1549=0),Z1549,0)</f>
        <v>0</v>
      </c>
      <c r="CF1549" s="994">
        <f>IF(AND(Input_LTV&lt;=AE1549,Input_Product=Elig!$C1549,Elig_MatchAll_Ct&lt;22,$BC1549=(Elig_MatchAll_Ct-1),AY1549=0),AA1549,0)</f>
        <v>0</v>
      </c>
      <c r="CG1549" s="993">
        <f>IF(AND(Input_Product=Elig!$C1549,Elig_MatchAll_Ct&lt;22,$BC1549=(Elig_MatchAll_Ct-1),AZ1549=0),AB1549,0)</f>
        <v>0</v>
      </c>
      <c r="CH1549" s="994">
        <f>IF(AND(Input_Product=Elig!$C1549,Elig_MatchAll_Ct&lt;22,$BC1549=(Elig_MatchAll_Ct-1),AZ1549=0),AC1549,0)</f>
        <v>0</v>
      </c>
      <c r="CI1549" s="993">
        <f>IF(AND(Input_Product=Elig!$C1549,Elig_MatchAll_Ct&lt;22,$BC1549=(Elig_MatchAll_Ct-1),BA1549=0),AD1549,0)</f>
        <v>0</v>
      </c>
      <c r="CJ1549" s="994">
        <f>IF(AND(Input_Product=Elig!$C1549,Elig_MatchAll_Ct&lt;22,$BC1549=(Elig_MatchAll_Ct-1),BA1549=0),AE1549,0)</f>
        <v>0</v>
      </c>
    </row>
    <row r="1550" spans="2:88" ht="10.15" customHeight="1" x14ac:dyDescent="0.25">
      <c r="B1550" s="1567" t="s">
        <v>2891</v>
      </c>
      <c r="C1550" s="1567" t="str">
        <f t="shared" si="524"/>
        <v xml:space="preserve">  NOO</v>
      </c>
      <c r="D1550" s="1567" t="s">
        <v>2764</v>
      </c>
      <c r="E1550" s="1567" t="s">
        <v>167</v>
      </c>
      <c r="F1550" s="1567" t="s">
        <v>330</v>
      </c>
      <c r="G1550" s="1567" t="s">
        <v>181</v>
      </c>
      <c r="H1550" s="1567" t="s">
        <v>136</v>
      </c>
      <c r="I1550" s="1568" t="s">
        <v>16</v>
      </c>
      <c r="J1550" s="1568" t="s">
        <v>1311</v>
      </c>
      <c r="K1550" s="1568" t="s">
        <v>3023</v>
      </c>
      <c r="L1550" s="1567" t="s">
        <v>312</v>
      </c>
      <c r="M1550" s="1567" t="s">
        <v>4204</v>
      </c>
      <c r="N1550" s="1567" t="s">
        <v>2685</v>
      </c>
      <c r="O1550" s="1567" t="s">
        <v>310</v>
      </c>
      <c r="P1550" s="1567" t="s">
        <v>291</v>
      </c>
      <c r="Q1550" s="1567" t="s">
        <v>294</v>
      </c>
      <c r="R1550" s="1567">
        <v>2000000.01</v>
      </c>
      <c r="S1550" s="1567">
        <v>2500000</v>
      </c>
      <c r="T1550" s="1567">
        <v>0</v>
      </c>
      <c r="U1550" s="1567">
        <v>1000000</v>
      </c>
      <c r="V1550" s="1567">
        <v>0</v>
      </c>
      <c r="W1550" s="1567">
        <v>0</v>
      </c>
      <c r="X1550" s="1567">
        <v>1</v>
      </c>
      <c r="Y1550" s="1567">
        <v>999</v>
      </c>
      <c r="Z1550" s="1569">
        <v>660</v>
      </c>
      <c r="AA1550" s="1569">
        <v>699</v>
      </c>
      <c r="AB1550" s="1569">
        <v>2</v>
      </c>
      <c r="AC1550" s="1569">
        <v>999999</v>
      </c>
      <c r="AD1550" s="1567">
        <v>0</v>
      </c>
      <c r="AE1550" s="1570">
        <v>65</v>
      </c>
      <c r="AF1550" s="170">
        <v>0</v>
      </c>
      <c r="AG1550" s="171">
        <v>1</v>
      </c>
      <c r="AH1550" s="171">
        <v>1</v>
      </c>
      <c r="AI1550" s="171">
        <v>0</v>
      </c>
      <c r="AJ1550" s="171">
        <v>0</v>
      </c>
      <c r="AK1550" s="171">
        <v>1</v>
      </c>
      <c r="AL1550" s="171">
        <v>1</v>
      </c>
      <c r="AM1550" s="171">
        <v>1</v>
      </c>
      <c r="AN1550" s="171">
        <v>1</v>
      </c>
      <c r="AO1550" s="171">
        <v>1</v>
      </c>
      <c r="AP1550" s="171">
        <v>1</v>
      </c>
      <c r="AQ1550" s="171">
        <v>1</v>
      </c>
      <c r="AR1550" s="171">
        <v>1</v>
      </c>
      <c r="AS1550" s="171">
        <v>1</v>
      </c>
      <c r="AT1550" s="171">
        <v>1</v>
      </c>
      <c r="AU1550" s="171">
        <f t="shared" si="515"/>
        <v>0</v>
      </c>
      <c r="AV1550" s="171">
        <f t="shared" si="516"/>
        <v>1</v>
      </c>
      <c r="AW1550" s="171">
        <f t="shared" si="517"/>
        <v>0</v>
      </c>
      <c r="AX1550" s="171">
        <f t="shared" si="525"/>
        <v>0</v>
      </c>
      <c r="AY1550" s="171">
        <f t="shared" si="518"/>
        <v>0</v>
      </c>
      <c r="AZ1550" s="171">
        <f t="shared" si="519"/>
        <v>1</v>
      </c>
      <c r="BA1550" s="172">
        <f t="shared" si="520"/>
        <v>1</v>
      </c>
      <c r="BB1550" s="175">
        <f t="shared" si="521"/>
        <v>15</v>
      </c>
      <c r="BC1550" s="176">
        <f t="shared" si="522"/>
        <v>14</v>
      </c>
      <c r="BD1550" s="176">
        <f t="shared" si="523"/>
        <v>15</v>
      </c>
      <c r="BE1550" s="240" t="str">
        <f t="shared" si="514"/>
        <v/>
      </c>
      <c r="BF1550" s="990"/>
      <c r="BG1550" s="990"/>
      <c r="BH1550" s="991">
        <f>IF(AND(Input_Product=Elig!$C1550,Elig_MatchAll_Ct&lt;22,$BC1550=(Elig_MatchAll_Ct-1),AF1550=0),C1550,0)</f>
        <v>0</v>
      </c>
      <c r="BI1550" s="991">
        <f>IF(AND(Input_Product=Elig!$C1550,Elig_MatchAll_Ct&lt;22,$BC1550=(Elig_MatchAll_Ct-1),AG1550=0),D1550,0)</f>
        <v>0</v>
      </c>
      <c r="BJ1550" s="991">
        <f>IF(AND(Input_Product=Elig!$C1550,Elig_MatchAll_Ct&lt;22,$BC1550=(Elig_MatchAll_Ct-1),AH1550=0),E1550,0)</f>
        <v>0</v>
      </c>
      <c r="BK1550" s="991">
        <f>IF(AND(Input_Product=Elig!$C1550,Elig_MatchAll_Ct&lt;22,$BC1550=(Elig_MatchAll_Ct-1),AI1550=0),F1550,0)</f>
        <v>0</v>
      </c>
      <c r="BL1550" s="991">
        <f>IF(AND(Input_Product=Elig!$C1550,Elig_MatchAll_Ct&lt;22,$BC1550=(Elig_MatchAll_Ct-1),AJ1550=0),G1550,0)</f>
        <v>0</v>
      </c>
      <c r="BM1550" s="991">
        <f>IF(AND(Input_Product=Elig!$C1550,Elig_MatchAll_Ct&lt;22,$BC1550=(Elig_MatchAll_Ct-1),AK1550=0),H1550,0)</f>
        <v>0</v>
      </c>
      <c r="BN1550" s="991">
        <f>IF(AND(Input_Product=Elig!$C1550,Elig_MatchAll_Ct&lt;22,$BC1550=(Elig_MatchAll_Ct-1),AL1550=0),I1550,0)</f>
        <v>0</v>
      </c>
      <c r="BO1550" s="991">
        <f>IF(AND(Input_Product=Elig!$C1550,Elig_MatchAll_Ct&lt;22,$BC1550=(Elig_MatchAll_Ct-1),AM1550=0),J1550,0)</f>
        <v>0</v>
      </c>
      <c r="BP1550" s="991">
        <f>IF(AND(Input_Product=Elig!$C1550,Elig_MatchAll_Ct&lt;22,$BC1550=(Elig_MatchAll_Ct-1),AN1550=0),K1550,0)</f>
        <v>0</v>
      </c>
      <c r="BQ1550" s="991">
        <f>IF(AND(Input_Product=Elig!$C1550,Elig_MatchAll_Ct&lt;22,$BC1550=(Elig_MatchAll_Ct-1),AP1550=0),L1550,0)</f>
        <v>0</v>
      </c>
      <c r="BR1550" s="991">
        <f>IF(AND(Input_Product=Elig!$C1550,Elig_MatchAll_Ct&lt;22,$BC1550=(Elig_MatchAll_Ct-1),AO1550=0),M1550,0)</f>
        <v>0</v>
      </c>
      <c r="BS1550" s="991">
        <f>IF(AND(Input_Product=Elig!$C1550,Elig_MatchAll_Ct&lt;22,$BC1550=(Elig_MatchAll_Ct-1),AQ1550=0),N1550,0)</f>
        <v>0</v>
      </c>
      <c r="BT1550" s="991">
        <f>IF(AND(Input_Product=Elig!$C1550,Elig_MatchAll_Ct&lt;22,$BC1550=(Elig_MatchAll_Ct-1),AR1550=0),O1550,0)</f>
        <v>0</v>
      </c>
      <c r="BU1550" s="991">
        <f>IF(AND(Input_Product=Elig!$C1550,Elig_MatchAll_Ct&lt;22,$BC1550=(Elig_MatchAll_Ct-1),AS1550=0),P1550,0)</f>
        <v>0</v>
      </c>
      <c r="BV1550" s="992">
        <f>IF(AND(Input_Product=Elig!$C1550,Elig_MatchAll_Ct&lt;22,$BC1550=(Elig_MatchAll_Ct-1),AT1550=0),Q1550,0)</f>
        <v>0</v>
      </c>
      <c r="BW1550" s="993">
        <f>IF(AND(Input_Product=Elig!$C1550,Elig_MatchAll_Ct&lt;22,$BC1550=(Elig_MatchAll_Ct-1),AU1550=0),R1550,0)</f>
        <v>0</v>
      </c>
      <c r="BX1550" s="994">
        <f>IF(AND(Input_Product=Elig!$C1550,Elig_MatchAll_Ct&lt;22,$BC1550=(Elig_MatchAll_Ct-1),AU1550=0),S1550,0)</f>
        <v>0</v>
      </c>
      <c r="BY1550" s="993">
        <f>IF(AND(Input_Product=Elig!$C1550,Elig_MatchAll_Ct&lt;22,$BC1550=(Elig_MatchAll_Ct-1),AV1550=0),T1550,0)</f>
        <v>0</v>
      </c>
      <c r="BZ1550" s="994">
        <f>IF(AND(Input_Product=Elig!$C1550,Elig_MatchAll_Ct&lt;22,$BC1550=(Elig_MatchAll_Ct-1),AV1550=0),U1550,0)</f>
        <v>0</v>
      </c>
      <c r="CA1550" s="993">
        <f>IF(AND(Input_Product=Elig!$C1550,Elig_MatchAll_Ct&lt;22,$BC1550=(Elig_MatchAll_Ct-1),AW1550=0),V1550,0)</f>
        <v>0</v>
      </c>
      <c r="CB1550" s="994">
        <f>IF(AND(Input_Product=Elig!$C1550,Elig_MatchAll_Ct&lt;22,$BC1550=(Elig_MatchAll_Ct-1),AW1550=0),W1550,0)</f>
        <v>0</v>
      </c>
      <c r="CC1550" s="993">
        <f>IF(AND(Input_Product=Elig!$C1550,Elig_MatchAll_Ct&lt;22,$BC1550=(Elig_MatchAll_Ct-1),AX1550=0),X1550,0)</f>
        <v>0</v>
      </c>
      <c r="CD1550" s="994">
        <f>IF(AND(Input_Product=Elig!$C1550,Elig_MatchAll_Ct&lt;22,$BC1550=(Elig_MatchAll_Ct-1),AX1550=0),Y1550,0)</f>
        <v>0</v>
      </c>
      <c r="CE1550" s="993">
        <f>IF(AND(Input_LTV&lt;=AE1550,Input_Product=Elig!$C1550,Elig_MatchAll_Ct&lt;22,$BC1550=(Elig_MatchAll_Ct-1),AY1550=0),Z1550,0)</f>
        <v>0</v>
      </c>
      <c r="CF1550" s="994">
        <f>IF(AND(Input_LTV&lt;=AE1550,Input_Product=Elig!$C1550,Elig_MatchAll_Ct&lt;22,$BC1550=(Elig_MatchAll_Ct-1),AY1550=0),AA1550,0)</f>
        <v>0</v>
      </c>
      <c r="CG1550" s="993">
        <f>IF(AND(Input_Product=Elig!$C1550,Elig_MatchAll_Ct&lt;22,$BC1550=(Elig_MatchAll_Ct-1),AZ1550=0),AB1550,0)</f>
        <v>0</v>
      </c>
      <c r="CH1550" s="994">
        <f>IF(AND(Input_Product=Elig!$C1550,Elig_MatchAll_Ct&lt;22,$BC1550=(Elig_MatchAll_Ct-1),AZ1550=0),AC1550,0)</f>
        <v>0</v>
      </c>
      <c r="CI1550" s="993">
        <f>IF(AND(Input_Product=Elig!$C1550,Elig_MatchAll_Ct&lt;22,$BC1550=(Elig_MatchAll_Ct-1),BA1550=0),AD1550,0)</f>
        <v>0</v>
      </c>
      <c r="CJ1550" s="994">
        <f>IF(AND(Input_Product=Elig!$C1550,Elig_MatchAll_Ct&lt;22,$BC1550=(Elig_MatchAll_Ct-1),BA1550=0),AE1550,0)</f>
        <v>0</v>
      </c>
    </row>
    <row r="1551" spans="2:88" ht="10.15" customHeight="1" x14ac:dyDescent="0.25">
      <c r="B1551" s="1567" t="s">
        <v>2892</v>
      </c>
      <c r="C1551" s="1567" t="str">
        <f t="shared" si="524"/>
        <v xml:space="preserve">  NOO</v>
      </c>
      <c r="D1551" s="1567" t="s">
        <v>2764</v>
      </c>
      <c r="E1551" s="1567" t="s">
        <v>167</v>
      </c>
      <c r="F1551" s="1567" t="s">
        <v>330</v>
      </c>
      <c r="G1551" s="1567" t="s">
        <v>181</v>
      </c>
      <c r="H1551" s="1567" t="s">
        <v>136</v>
      </c>
      <c r="I1551" s="1568" t="s">
        <v>16</v>
      </c>
      <c r="J1551" s="1568" t="s">
        <v>1311</v>
      </c>
      <c r="K1551" s="1568" t="s">
        <v>3023</v>
      </c>
      <c r="L1551" s="1567" t="s">
        <v>312</v>
      </c>
      <c r="M1551" s="1567" t="s">
        <v>4204</v>
      </c>
      <c r="N1551" s="1567" t="s">
        <v>2685</v>
      </c>
      <c r="O1551" s="1567" t="s">
        <v>310</v>
      </c>
      <c r="P1551" s="1567" t="s">
        <v>291</v>
      </c>
      <c r="Q1551" s="1567" t="s">
        <v>294</v>
      </c>
      <c r="R1551" s="1567">
        <v>100000</v>
      </c>
      <c r="S1551" s="1567">
        <v>1000000</v>
      </c>
      <c r="T1551" s="1567">
        <v>0</v>
      </c>
      <c r="U1551" s="1567">
        <v>1000000</v>
      </c>
      <c r="V1551" s="1567">
        <v>0</v>
      </c>
      <c r="W1551" s="1567">
        <v>0</v>
      </c>
      <c r="X1551" s="1567">
        <v>0.01</v>
      </c>
      <c r="Y1551" s="1567">
        <v>0.99</v>
      </c>
      <c r="Z1551" s="1569">
        <v>700</v>
      </c>
      <c r="AA1551" s="1569">
        <v>999</v>
      </c>
      <c r="AB1551" s="1569">
        <v>2</v>
      </c>
      <c r="AC1551" s="1569">
        <v>999999</v>
      </c>
      <c r="AD1551" s="1567">
        <v>0</v>
      </c>
      <c r="AE1551" s="1570">
        <v>70</v>
      </c>
      <c r="AF1551" s="170">
        <v>0</v>
      </c>
      <c r="AG1551" s="171">
        <v>1</v>
      </c>
      <c r="AH1551" s="171">
        <v>1</v>
      </c>
      <c r="AI1551" s="171">
        <v>0</v>
      </c>
      <c r="AJ1551" s="171">
        <v>0</v>
      </c>
      <c r="AK1551" s="171">
        <v>1</v>
      </c>
      <c r="AL1551" s="171">
        <v>1</v>
      </c>
      <c r="AM1551" s="171">
        <v>1</v>
      </c>
      <c r="AN1551" s="171">
        <v>1</v>
      </c>
      <c r="AO1551" s="171">
        <v>1</v>
      </c>
      <c r="AP1551" s="171">
        <v>1</v>
      </c>
      <c r="AQ1551" s="171">
        <v>1</v>
      </c>
      <c r="AR1551" s="171">
        <v>1</v>
      </c>
      <c r="AS1551" s="171">
        <v>1</v>
      </c>
      <c r="AT1551" s="171">
        <v>1</v>
      </c>
      <c r="AU1551" s="171">
        <f t="shared" si="515"/>
        <v>1</v>
      </c>
      <c r="AV1551" s="171">
        <f t="shared" si="516"/>
        <v>1</v>
      </c>
      <c r="AW1551" s="171">
        <f t="shared" si="517"/>
        <v>0</v>
      </c>
      <c r="AX1551" s="171">
        <f t="shared" si="525"/>
        <v>0</v>
      </c>
      <c r="AY1551" s="171">
        <f t="shared" si="518"/>
        <v>1</v>
      </c>
      <c r="AZ1551" s="171">
        <f t="shared" si="519"/>
        <v>1</v>
      </c>
      <c r="BA1551" s="172">
        <f t="shared" si="520"/>
        <v>1</v>
      </c>
      <c r="BB1551" s="175">
        <f t="shared" si="521"/>
        <v>17</v>
      </c>
      <c r="BC1551" s="176">
        <f t="shared" si="522"/>
        <v>16</v>
      </c>
      <c r="BD1551" s="176">
        <f t="shared" si="523"/>
        <v>17</v>
      </c>
      <c r="BE1551" s="240" t="str">
        <f t="shared" si="514"/>
        <v/>
      </c>
      <c r="BF1551" s="990"/>
      <c r="BG1551" s="990"/>
      <c r="BH1551" s="991">
        <f>IF(AND(Input_Product=Elig!$C1551,Elig_MatchAll_Ct&lt;22,$BC1551=(Elig_MatchAll_Ct-1),AF1551=0),C1551,0)</f>
        <v>0</v>
      </c>
      <c r="BI1551" s="991">
        <f>IF(AND(Input_Product=Elig!$C1551,Elig_MatchAll_Ct&lt;22,$BC1551=(Elig_MatchAll_Ct-1),AG1551=0),D1551,0)</f>
        <v>0</v>
      </c>
      <c r="BJ1551" s="991">
        <f>IF(AND(Input_Product=Elig!$C1551,Elig_MatchAll_Ct&lt;22,$BC1551=(Elig_MatchAll_Ct-1),AH1551=0),E1551,0)</f>
        <v>0</v>
      </c>
      <c r="BK1551" s="991">
        <f>IF(AND(Input_Product=Elig!$C1551,Elig_MatchAll_Ct&lt;22,$BC1551=(Elig_MatchAll_Ct-1),AI1551=0),F1551,0)</f>
        <v>0</v>
      </c>
      <c r="BL1551" s="991">
        <f>IF(AND(Input_Product=Elig!$C1551,Elig_MatchAll_Ct&lt;22,$BC1551=(Elig_MatchAll_Ct-1),AJ1551=0),G1551,0)</f>
        <v>0</v>
      </c>
      <c r="BM1551" s="991">
        <f>IF(AND(Input_Product=Elig!$C1551,Elig_MatchAll_Ct&lt;22,$BC1551=(Elig_MatchAll_Ct-1),AK1551=0),H1551,0)</f>
        <v>0</v>
      </c>
      <c r="BN1551" s="991">
        <f>IF(AND(Input_Product=Elig!$C1551,Elig_MatchAll_Ct&lt;22,$BC1551=(Elig_MatchAll_Ct-1),AL1551=0),I1551,0)</f>
        <v>0</v>
      </c>
      <c r="BO1551" s="991">
        <f>IF(AND(Input_Product=Elig!$C1551,Elig_MatchAll_Ct&lt;22,$BC1551=(Elig_MatchAll_Ct-1),AM1551=0),J1551,0)</f>
        <v>0</v>
      </c>
      <c r="BP1551" s="991">
        <f>IF(AND(Input_Product=Elig!$C1551,Elig_MatchAll_Ct&lt;22,$BC1551=(Elig_MatchAll_Ct-1),AN1551=0),K1551,0)</f>
        <v>0</v>
      </c>
      <c r="BQ1551" s="991">
        <f>IF(AND(Input_Product=Elig!$C1551,Elig_MatchAll_Ct&lt;22,$BC1551=(Elig_MatchAll_Ct-1),AP1551=0),L1551,0)</f>
        <v>0</v>
      </c>
      <c r="BR1551" s="991">
        <f>IF(AND(Input_Product=Elig!$C1551,Elig_MatchAll_Ct&lt;22,$BC1551=(Elig_MatchAll_Ct-1),AO1551=0),M1551,0)</f>
        <v>0</v>
      </c>
      <c r="BS1551" s="991">
        <f>IF(AND(Input_Product=Elig!$C1551,Elig_MatchAll_Ct&lt;22,$BC1551=(Elig_MatchAll_Ct-1),AQ1551=0),N1551,0)</f>
        <v>0</v>
      </c>
      <c r="BT1551" s="991">
        <f>IF(AND(Input_Product=Elig!$C1551,Elig_MatchAll_Ct&lt;22,$BC1551=(Elig_MatchAll_Ct-1),AR1551=0),O1551,0)</f>
        <v>0</v>
      </c>
      <c r="BU1551" s="991">
        <f>IF(AND(Input_Product=Elig!$C1551,Elig_MatchAll_Ct&lt;22,$BC1551=(Elig_MatchAll_Ct-1),AS1551=0),P1551,0)</f>
        <v>0</v>
      </c>
      <c r="BV1551" s="992">
        <f>IF(AND(Input_Product=Elig!$C1551,Elig_MatchAll_Ct&lt;22,$BC1551=(Elig_MatchAll_Ct-1),AT1551=0),Q1551,0)</f>
        <v>0</v>
      </c>
      <c r="BW1551" s="993">
        <f>IF(AND(Input_Product=Elig!$C1551,Elig_MatchAll_Ct&lt;22,$BC1551=(Elig_MatchAll_Ct-1),AU1551=0),R1551,0)</f>
        <v>0</v>
      </c>
      <c r="BX1551" s="994">
        <f>IF(AND(Input_Product=Elig!$C1551,Elig_MatchAll_Ct&lt;22,$BC1551=(Elig_MatchAll_Ct-1),AU1551=0),S1551,0)</f>
        <v>0</v>
      </c>
      <c r="BY1551" s="993">
        <f>IF(AND(Input_Product=Elig!$C1551,Elig_MatchAll_Ct&lt;22,$BC1551=(Elig_MatchAll_Ct-1),AV1551=0),T1551,0)</f>
        <v>0</v>
      </c>
      <c r="BZ1551" s="994">
        <f>IF(AND(Input_Product=Elig!$C1551,Elig_MatchAll_Ct&lt;22,$BC1551=(Elig_MatchAll_Ct-1),AV1551=0),U1551,0)</f>
        <v>0</v>
      </c>
      <c r="CA1551" s="993">
        <f>IF(AND(Input_Product=Elig!$C1551,Elig_MatchAll_Ct&lt;22,$BC1551=(Elig_MatchAll_Ct-1),AW1551=0),V1551,0)</f>
        <v>0</v>
      </c>
      <c r="CB1551" s="994">
        <f>IF(AND(Input_Product=Elig!$C1551,Elig_MatchAll_Ct&lt;22,$BC1551=(Elig_MatchAll_Ct-1),AW1551=0),W1551,0)</f>
        <v>0</v>
      </c>
      <c r="CC1551" s="993">
        <f>IF(AND(Input_Product=Elig!$C1551,Elig_MatchAll_Ct&lt;22,$BC1551=(Elig_MatchAll_Ct-1),AX1551=0),X1551,0)</f>
        <v>0</v>
      </c>
      <c r="CD1551" s="994">
        <f>IF(AND(Input_Product=Elig!$C1551,Elig_MatchAll_Ct&lt;22,$BC1551=(Elig_MatchAll_Ct-1),AX1551=0),Y1551,0)</f>
        <v>0</v>
      </c>
      <c r="CE1551" s="993">
        <f>IF(AND(Input_LTV&lt;=AE1551,Input_Product=Elig!$C1551,Elig_MatchAll_Ct&lt;22,$BC1551=(Elig_MatchAll_Ct-1),AY1551=0),Z1551,0)</f>
        <v>0</v>
      </c>
      <c r="CF1551" s="994">
        <f>IF(AND(Input_LTV&lt;=AE1551,Input_Product=Elig!$C1551,Elig_MatchAll_Ct&lt;22,$BC1551=(Elig_MatchAll_Ct-1),AY1551=0),AA1551,0)</f>
        <v>0</v>
      </c>
      <c r="CG1551" s="993">
        <f>IF(AND(Input_Product=Elig!$C1551,Elig_MatchAll_Ct&lt;22,$BC1551=(Elig_MatchAll_Ct-1),AZ1551=0),AB1551,0)</f>
        <v>0</v>
      </c>
      <c r="CH1551" s="994">
        <f>IF(AND(Input_Product=Elig!$C1551,Elig_MatchAll_Ct&lt;22,$BC1551=(Elig_MatchAll_Ct-1),AZ1551=0),AC1551,0)</f>
        <v>0</v>
      </c>
      <c r="CI1551" s="993">
        <f>IF(AND(Input_Product=Elig!$C1551,Elig_MatchAll_Ct&lt;22,$BC1551=(Elig_MatchAll_Ct-1),BA1551=0),AD1551,0)</f>
        <v>0</v>
      </c>
      <c r="CJ1551" s="994">
        <f>IF(AND(Input_Product=Elig!$C1551,Elig_MatchAll_Ct&lt;22,$BC1551=(Elig_MatchAll_Ct-1),BA1551=0),AE1551,0)</f>
        <v>0</v>
      </c>
    </row>
    <row r="1552" spans="2:88" ht="10.15" customHeight="1" x14ac:dyDescent="0.25">
      <c r="B1552" s="1567" t="s">
        <v>2893</v>
      </c>
      <c r="C1552" s="1567" t="str">
        <f t="shared" si="524"/>
        <v xml:space="preserve">  NOO</v>
      </c>
      <c r="D1552" s="1567" t="s">
        <v>2764</v>
      </c>
      <c r="E1552" s="1567" t="s">
        <v>167</v>
      </c>
      <c r="F1552" s="1567" t="s">
        <v>330</v>
      </c>
      <c r="G1552" s="1567" t="s">
        <v>181</v>
      </c>
      <c r="H1552" s="1567" t="s">
        <v>136</v>
      </c>
      <c r="I1552" s="1568" t="s">
        <v>16</v>
      </c>
      <c r="J1552" s="1568" t="s">
        <v>1311</v>
      </c>
      <c r="K1552" s="1568" t="s">
        <v>3023</v>
      </c>
      <c r="L1552" s="1567" t="s">
        <v>312</v>
      </c>
      <c r="M1552" s="1567" t="s">
        <v>4204</v>
      </c>
      <c r="N1552" s="1567" t="s">
        <v>2685</v>
      </c>
      <c r="O1552" s="1567" t="s">
        <v>310</v>
      </c>
      <c r="P1552" s="1567" t="s">
        <v>291</v>
      </c>
      <c r="Q1552" s="1567" t="s">
        <v>294</v>
      </c>
      <c r="R1552" s="1567">
        <v>1000000.01</v>
      </c>
      <c r="S1552" s="1567">
        <v>1500000</v>
      </c>
      <c r="T1552" s="1567">
        <v>0</v>
      </c>
      <c r="U1552" s="1567">
        <v>1000000</v>
      </c>
      <c r="V1552" s="1567">
        <v>0</v>
      </c>
      <c r="W1552" s="1567">
        <v>0</v>
      </c>
      <c r="X1552" s="1567">
        <v>0.01</v>
      </c>
      <c r="Y1552" s="1567">
        <v>0.99</v>
      </c>
      <c r="Z1552" s="1569">
        <v>700</v>
      </c>
      <c r="AA1552" s="1569">
        <v>999</v>
      </c>
      <c r="AB1552" s="1569">
        <v>2</v>
      </c>
      <c r="AC1552" s="1569">
        <v>999999</v>
      </c>
      <c r="AD1552" s="1567">
        <v>0</v>
      </c>
      <c r="AE1552" s="1570">
        <v>70</v>
      </c>
      <c r="AF1552" s="170">
        <v>0</v>
      </c>
      <c r="AG1552" s="171">
        <v>1</v>
      </c>
      <c r="AH1552" s="171">
        <v>1</v>
      </c>
      <c r="AI1552" s="171">
        <v>0</v>
      </c>
      <c r="AJ1552" s="171">
        <v>0</v>
      </c>
      <c r="AK1552" s="171">
        <v>1</v>
      </c>
      <c r="AL1552" s="171">
        <v>1</v>
      </c>
      <c r="AM1552" s="171">
        <v>1</v>
      </c>
      <c r="AN1552" s="171">
        <v>1</v>
      </c>
      <c r="AO1552" s="171">
        <v>1</v>
      </c>
      <c r="AP1552" s="171">
        <v>1</v>
      </c>
      <c r="AQ1552" s="171">
        <v>1</v>
      </c>
      <c r="AR1552" s="171">
        <v>1</v>
      </c>
      <c r="AS1552" s="171">
        <v>1</v>
      </c>
      <c r="AT1552" s="171">
        <v>1</v>
      </c>
      <c r="AU1552" s="171">
        <f t="shared" si="515"/>
        <v>0</v>
      </c>
      <c r="AV1552" s="171">
        <f t="shared" si="516"/>
        <v>1</v>
      </c>
      <c r="AW1552" s="171">
        <f t="shared" si="517"/>
        <v>0</v>
      </c>
      <c r="AX1552" s="171">
        <f t="shared" si="525"/>
        <v>0</v>
      </c>
      <c r="AY1552" s="171">
        <f t="shared" si="518"/>
        <v>1</v>
      </c>
      <c r="AZ1552" s="171">
        <f t="shared" si="519"/>
        <v>1</v>
      </c>
      <c r="BA1552" s="172">
        <f t="shared" si="520"/>
        <v>1</v>
      </c>
      <c r="BB1552" s="175">
        <f t="shared" si="521"/>
        <v>16</v>
      </c>
      <c r="BC1552" s="176">
        <f t="shared" si="522"/>
        <v>15</v>
      </c>
      <c r="BD1552" s="176">
        <f t="shared" si="523"/>
        <v>16</v>
      </c>
      <c r="BE1552" s="240" t="str">
        <f t="shared" si="514"/>
        <v/>
      </c>
      <c r="BF1552" s="990"/>
      <c r="BG1552" s="990"/>
      <c r="BH1552" s="991">
        <f>IF(AND(Input_Product=Elig!$C1552,Elig_MatchAll_Ct&lt;22,$BC1552=(Elig_MatchAll_Ct-1),AF1552=0),C1552,0)</f>
        <v>0</v>
      </c>
      <c r="BI1552" s="991">
        <f>IF(AND(Input_Product=Elig!$C1552,Elig_MatchAll_Ct&lt;22,$BC1552=(Elig_MatchAll_Ct-1),AG1552=0),D1552,0)</f>
        <v>0</v>
      </c>
      <c r="BJ1552" s="991">
        <f>IF(AND(Input_Product=Elig!$C1552,Elig_MatchAll_Ct&lt;22,$BC1552=(Elig_MatchAll_Ct-1),AH1552=0),E1552,0)</f>
        <v>0</v>
      </c>
      <c r="BK1552" s="991">
        <f>IF(AND(Input_Product=Elig!$C1552,Elig_MatchAll_Ct&lt;22,$BC1552=(Elig_MatchAll_Ct-1),AI1552=0),F1552,0)</f>
        <v>0</v>
      </c>
      <c r="BL1552" s="991">
        <f>IF(AND(Input_Product=Elig!$C1552,Elig_MatchAll_Ct&lt;22,$BC1552=(Elig_MatchAll_Ct-1),AJ1552=0),G1552,0)</f>
        <v>0</v>
      </c>
      <c r="BM1552" s="991">
        <f>IF(AND(Input_Product=Elig!$C1552,Elig_MatchAll_Ct&lt;22,$BC1552=(Elig_MatchAll_Ct-1),AK1552=0),H1552,0)</f>
        <v>0</v>
      </c>
      <c r="BN1552" s="991">
        <f>IF(AND(Input_Product=Elig!$C1552,Elig_MatchAll_Ct&lt;22,$BC1552=(Elig_MatchAll_Ct-1),AL1552=0),I1552,0)</f>
        <v>0</v>
      </c>
      <c r="BO1552" s="991">
        <f>IF(AND(Input_Product=Elig!$C1552,Elig_MatchAll_Ct&lt;22,$BC1552=(Elig_MatchAll_Ct-1),AM1552=0),J1552,0)</f>
        <v>0</v>
      </c>
      <c r="BP1552" s="991">
        <f>IF(AND(Input_Product=Elig!$C1552,Elig_MatchAll_Ct&lt;22,$BC1552=(Elig_MatchAll_Ct-1),AN1552=0),K1552,0)</f>
        <v>0</v>
      </c>
      <c r="BQ1552" s="991">
        <f>IF(AND(Input_Product=Elig!$C1552,Elig_MatchAll_Ct&lt;22,$BC1552=(Elig_MatchAll_Ct-1),AP1552=0),L1552,0)</f>
        <v>0</v>
      </c>
      <c r="BR1552" s="991">
        <f>IF(AND(Input_Product=Elig!$C1552,Elig_MatchAll_Ct&lt;22,$BC1552=(Elig_MatchAll_Ct-1),AO1552=0),M1552,0)</f>
        <v>0</v>
      </c>
      <c r="BS1552" s="991">
        <f>IF(AND(Input_Product=Elig!$C1552,Elig_MatchAll_Ct&lt;22,$BC1552=(Elig_MatchAll_Ct-1),AQ1552=0),N1552,0)</f>
        <v>0</v>
      </c>
      <c r="BT1552" s="991">
        <f>IF(AND(Input_Product=Elig!$C1552,Elig_MatchAll_Ct&lt;22,$BC1552=(Elig_MatchAll_Ct-1),AR1552=0),O1552,0)</f>
        <v>0</v>
      </c>
      <c r="BU1552" s="991">
        <f>IF(AND(Input_Product=Elig!$C1552,Elig_MatchAll_Ct&lt;22,$BC1552=(Elig_MatchAll_Ct-1),AS1552=0),P1552,0)</f>
        <v>0</v>
      </c>
      <c r="BV1552" s="992">
        <f>IF(AND(Input_Product=Elig!$C1552,Elig_MatchAll_Ct&lt;22,$BC1552=(Elig_MatchAll_Ct-1),AT1552=0),Q1552,0)</f>
        <v>0</v>
      </c>
      <c r="BW1552" s="993">
        <f>IF(AND(Input_Product=Elig!$C1552,Elig_MatchAll_Ct&lt;22,$BC1552=(Elig_MatchAll_Ct-1),AU1552=0),R1552,0)</f>
        <v>0</v>
      </c>
      <c r="BX1552" s="994">
        <f>IF(AND(Input_Product=Elig!$C1552,Elig_MatchAll_Ct&lt;22,$BC1552=(Elig_MatchAll_Ct-1),AU1552=0),S1552,0)</f>
        <v>0</v>
      </c>
      <c r="BY1552" s="993">
        <f>IF(AND(Input_Product=Elig!$C1552,Elig_MatchAll_Ct&lt;22,$BC1552=(Elig_MatchAll_Ct-1),AV1552=0),T1552,0)</f>
        <v>0</v>
      </c>
      <c r="BZ1552" s="994">
        <f>IF(AND(Input_Product=Elig!$C1552,Elig_MatchAll_Ct&lt;22,$BC1552=(Elig_MatchAll_Ct-1),AV1552=0),U1552,0)</f>
        <v>0</v>
      </c>
      <c r="CA1552" s="993">
        <f>IF(AND(Input_Product=Elig!$C1552,Elig_MatchAll_Ct&lt;22,$BC1552=(Elig_MatchAll_Ct-1),AW1552=0),V1552,0)</f>
        <v>0</v>
      </c>
      <c r="CB1552" s="994">
        <f>IF(AND(Input_Product=Elig!$C1552,Elig_MatchAll_Ct&lt;22,$BC1552=(Elig_MatchAll_Ct-1),AW1552=0),W1552,0)</f>
        <v>0</v>
      </c>
      <c r="CC1552" s="993">
        <f>IF(AND(Input_Product=Elig!$C1552,Elig_MatchAll_Ct&lt;22,$BC1552=(Elig_MatchAll_Ct-1),AX1552=0),X1552,0)</f>
        <v>0</v>
      </c>
      <c r="CD1552" s="994">
        <f>IF(AND(Input_Product=Elig!$C1552,Elig_MatchAll_Ct&lt;22,$BC1552=(Elig_MatchAll_Ct-1),AX1552=0),Y1552,0)</f>
        <v>0</v>
      </c>
      <c r="CE1552" s="993">
        <f>IF(AND(Input_LTV&lt;=AE1552,Input_Product=Elig!$C1552,Elig_MatchAll_Ct&lt;22,$BC1552=(Elig_MatchAll_Ct-1),AY1552=0),Z1552,0)</f>
        <v>0</v>
      </c>
      <c r="CF1552" s="994">
        <f>IF(AND(Input_LTV&lt;=AE1552,Input_Product=Elig!$C1552,Elig_MatchAll_Ct&lt;22,$BC1552=(Elig_MatchAll_Ct-1),AY1552=0),AA1552,0)</f>
        <v>0</v>
      </c>
      <c r="CG1552" s="993">
        <f>IF(AND(Input_Product=Elig!$C1552,Elig_MatchAll_Ct&lt;22,$BC1552=(Elig_MatchAll_Ct-1),AZ1552=0),AB1552,0)</f>
        <v>0</v>
      </c>
      <c r="CH1552" s="994">
        <f>IF(AND(Input_Product=Elig!$C1552,Elig_MatchAll_Ct&lt;22,$BC1552=(Elig_MatchAll_Ct-1),AZ1552=0),AC1552,0)</f>
        <v>0</v>
      </c>
      <c r="CI1552" s="993">
        <f>IF(AND(Input_Product=Elig!$C1552,Elig_MatchAll_Ct&lt;22,$BC1552=(Elig_MatchAll_Ct-1),BA1552=0),AD1552,0)</f>
        <v>0</v>
      </c>
      <c r="CJ1552" s="994">
        <f>IF(AND(Input_Product=Elig!$C1552,Elig_MatchAll_Ct&lt;22,$BC1552=(Elig_MatchAll_Ct-1),BA1552=0),AE1552,0)</f>
        <v>0</v>
      </c>
    </row>
    <row r="1553" spans="2:88" ht="10.15" customHeight="1" x14ac:dyDescent="0.25">
      <c r="B1553" s="1567" t="s">
        <v>2894</v>
      </c>
      <c r="C1553" s="1567" t="str">
        <f t="shared" si="524"/>
        <v xml:space="preserve">  NOO</v>
      </c>
      <c r="D1553" s="1567" t="s">
        <v>2764</v>
      </c>
      <c r="E1553" s="1567" t="s">
        <v>167</v>
      </c>
      <c r="F1553" s="1567" t="s">
        <v>330</v>
      </c>
      <c r="G1553" s="1567" t="s">
        <v>181</v>
      </c>
      <c r="H1553" s="1567" t="s">
        <v>136</v>
      </c>
      <c r="I1553" s="1568" t="s">
        <v>16</v>
      </c>
      <c r="J1553" s="1568" t="s">
        <v>1311</v>
      </c>
      <c r="K1553" s="1568" t="s">
        <v>3023</v>
      </c>
      <c r="L1553" s="1567" t="s">
        <v>312</v>
      </c>
      <c r="M1553" s="1567" t="s">
        <v>4204</v>
      </c>
      <c r="N1553" s="1567" t="s">
        <v>2685</v>
      </c>
      <c r="O1553" s="1567" t="s">
        <v>310</v>
      </c>
      <c r="P1553" s="1567" t="s">
        <v>291</v>
      </c>
      <c r="Q1553" s="1567" t="s">
        <v>294</v>
      </c>
      <c r="R1553" s="1567">
        <v>1500000.01</v>
      </c>
      <c r="S1553" s="1567">
        <v>2000000</v>
      </c>
      <c r="T1553" s="1567">
        <v>0</v>
      </c>
      <c r="U1553" s="1567">
        <v>1000000</v>
      </c>
      <c r="V1553" s="1567">
        <v>0</v>
      </c>
      <c r="W1553" s="1567">
        <v>0</v>
      </c>
      <c r="X1553" s="1567">
        <v>0.01</v>
      </c>
      <c r="Y1553" s="1567">
        <v>0.99</v>
      </c>
      <c r="Z1553" s="1569">
        <v>700</v>
      </c>
      <c r="AA1553" s="1569">
        <v>999</v>
      </c>
      <c r="AB1553" s="1569">
        <v>2</v>
      </c>
      <c r="AC1553" s="1569">
        <v>999999</v>
      </c>
      <c r="AD1553" s="1567">
        <v>0</v>
      </c>
      <c r="AE1553" s="1570">
        <v>65</v>
      </c>
      <c r="AF1553" s="170">
        <v>0</v>
      </c>
      <c r="AG1553" s="171">
        <v>1</v>
      </c>
      <c r="AH1553" s="171">
        <v>1</v>
      </c>
      <c r="AI1553" s="171">
        <v>0</v>
      </c>
      <c r="AJ1553" s="171">
        <v>0</v>
      </c>
      <c r="AK1553" s="171">
        <v>1</v>
      </c>
      <c r="AL1553" s="171">
        <v>1</v>
      </c>
      <c r="AM1553" s="171">
        <v>1</v>
      </c>
      <c r="AN1553" s="171">
        <v>1</v>
      </c>
      <c r="AO1553" s="171">
        <v>1</v>
      </c>
      <c r="AP1553" s="171">
        <v>1</v>
      </c>
      <c r="AQ1553" s="171">
        <v>1</v>
      </c>
      <c r="AR1553" s="171">
        <v>1</v>
      </c>
      <c r="AS1553" s="171">
        <v>1</v>
      </c>
      <c r="AT1553" s="171">
        <v>1</v>
      </c>
      <c r="AU1553" s="171">
        <f t="shared" si="515"/>
        <v>0</v>
      </c>
      <c r="AV1553" s="171">
        <f t="shared" si="516"/>
        <v>1</v>
      </c>
      <c r="AW1553" s="171">
        <f t="shared" si="517"/>
        <v>0</v>
      </c>
      <c r="AX1553" s="171">
        <f t="shared" si="525"/>
        <v>0</v>
      </c>
      <c r="AY1553" s="171">
        <f t="shared" si="518"/>
        <v>1</v>
      </c>
      <c r="AZ1553" s="171">
        <f t="shared" si="519"/>
        <v>1</v>
      </c>
      <c r="BA1553" s="172">
        <f t="shared" si="520"/>
        <v>1</v>
      </c>
      <c r="BB1553" s="175">
        <f t="shared" si="521"/>
        <v>16</v>
      </c>
      <c r="BC1553" s="176">
        <f t="shared" si="522"/>
        <v>15</v>
      </c>
      <c r="BD1553" s="176">
        <f t="shared" si="523"/>
        <v>16</v>
      </c>
      <c r="BE1553" s="240" t="str">
        <f t="shared" si="514"/>
        <v/>
      </c>
      <c r="BF1553" s="990"/>
      <c r="BG1553" s="990"/>
      <c r="BH1553" s="991">
        <f>IF(AND(Input_Product=Elig!$C1553,Elig_MatchAll_Ct&lt;22,$BC1553=(Elig_MatchAll_Ct-1),AF1553=0),C1553,0)</f>
        <v>0</v>
      </c>
      <c r="BI1553" s="991">
        <f>IF(AND(Input_Product=Elig!$C1553,Elig_MatchAll_Ct&lt;22,$BC1553=(Elig_MatchAll_Ct-1),AG1553=0),D1553,0)</f>
        <v>0</v>
      </c>
      <c r="BJ1553" s="991">
        <f>IF(AND(Input_Product=Elig!$C1553,Elig_MatchAll_Ct&lt;22,$BC1553=(Elig_MatchAll_Ct-1),AH1553=0),E1553,0)</f>
        <v>0</v>
      </c>
      <c r="BK1553" s="991">
        <f>IF(AND(Input_Product=Elig!$C1553,Elig_MatchAll_Ct&lt;22,$BC1553=(Elig_MatchAll_Ct-1),AI1553=0),F1553,0)</f>
        <v>0</v>
      </c>
      <c r="BL1553" s="991">
        <f>IF(AND(Input_Product=Elig!$C1553,Elig_MatchAll_Ct&lt;22,$BC1553=(Elig_MatchAll_Ct-1),AJ1553=0),G1553,0)</f>
        <v>0</v>
      </c>
      <c r="BM1553" s="991">
        <f>IF(AND(Input_Product=Elig!$C1553,Elig_MatchAll_Ct&lt;22,$BC1553=(Elig_MatchAll_Ct-1),AK1553=0),H1553,0)</f>
        <v>0</v>
      </c>
      <c r="BN1553" s="991">
        <f>IF(AND(Input_Product=Elig!$C1553,Elig_MatchAll_Ct&lt;22,$BC1553=(Elig_MatchAll_Ct-1),AL1553=0),I1553,0)</f>
        <v>0</v>
      </c>
      <c r="BO1553" s="991">
        <f>IF(AND(Input_Product=Elig!$C1553,Elig_MatchAll_Ct&lt;22,$BC1553=(Elig_MatchAll_Ct-1),AM1553=0),J1553,0)</f>
        <v>0</v>
      </c>
      <c r="BP1553" s="991">
        <f>IF(AND(Input_Product=Elig!$C1553,Elig_MatchAll_Ct&lt;22,$BC1553=(Elig_MatchAll_Ct-1),AN1553=0),K1553,0)</f>
        <v>0</v>
      </c>
      <c r="BQ1553" s="991">
        <f>IF(AND(Input_Product=Elig!$C1553,Elig_MatchAll_Ct&lt;22,$BC1553=(Elig_MatchAll_Ct-1),AP1553=0),L1553,0)</f>
        <v>0</v>
      </c>
      <c r="BR1553" s="991">
        <f>IF(AND(Input_Product=Elig!$C1553,Elig_MatchAll_Ct&lt;22,$BC1553=(Elig_MatchAll_Ct-1),AO1553=0),M1553,0)</f>
        <v>0</v>
      </c>
      <c r="BS1553" s="991">
        <f>IF(AND(Input_Product=Elig!$C1553,Elig_MatchAll_Ct&lt;22,$BC1553=(Elig_MatchAll_Ct-1),AQ1553=0),N1553,0)</f>
        <v>0</v>
      </c>
      <c r="BT1553" s="991">
        <f>IF(AND(Input_Product=Elig!$C1553,Elig_MatchAll_Ct&lt;22,$BC1553=(Elig_MatchAll_Ct-1),AR1553=0),O1553,0)</f>
        <v>0</v>
      </c>
      <c r="BU1553" s="991">
        <f>IF(AND(Input_Product=Elig!$C1553,Elig_MatchAll_Ct&lt;22,$BC1553=(Elig_MatchAll_Ct-1),AS1553=0),P1553,0)</f>
        <v>0</v>
      </c>
      <c r="BV1553" s="992">
        <f>IF(AND(Input_Product=Elig!$C1553,Elig_MatchAll_Ct&lt;22,$BC1553=(Elig_MatchAll_Ct-1),AT1553=0),Q1553,0)</f>
        <v>0</v>
      </c>
      <c r="BW1553" s="993">
        <f>IF(AND(Input_Product=Elig!$C1553,Elig_MatchAll_Ct&lt;22,$BC1553=(Elig_MatchAll_Ct-1),AU1553=0),R1553,0)</f>
        <v>0</v>
      </c>
      <c r="BX1553" s="994">
        <f>IF(AND(Input_Product=Elig!$C1553,Elig_MatchAll_Ct&lt;22,$BC1553=(Elig_MatchAll_Ct-1),AU1553=0),S1553,0)</f>
        <v>0</v>
      </c>
      <c r="BY1553" s="993">
        <f>IF(AND(Input_Product=Elig!$C1553,Elig_MatchAll_Ct&lt;22,$BC1553=(Elig_MatchAll_Ct-1),AV1553=0),T1553,0)</f>
        <v>0</v>
      </c>
      <c r="BZ1553" s="994">
        <f>IF(AND(Input_Product=Elig!$C1553,Elig_MatchAll_Ct&lt;22,$BC1553=(Elig_MatchAll_Ct-1),AV1553=0),U1553,0)</f>
        <v>0</v>
      </c>
      <c r="CA1553" s="993">
        <f>IF(AND(Input_Product=Elig!$C1553,Elig_MatchAll_Ct&lt;22,$BC1553=(Elig_MatchAll_Ct-1),AW1553=0),V1553,0)</f>
        <v>0</v>
      </c>
      <c r="CB1553" s="994">
        <f>IF(AND(Input_Product=Elig!$C1553,Elig_MatchAll_Ct&lt;22,$BC1553=(Elig_MatchAll_Ct-1),AW1553=0),W1553,0)</f>
        <v>0</v>
      </c>
      <c r="CC1553" s="993">
        <f>IF(AND(Input_Product=Elig!$C1553,Elig_MatchAll_Ct&lt;22,$BC1553=(Elig_MatchAll_Ct-1),AX1553=0),X1553,0)</f>
        <v>0</v>
      </c>
      <c r="CD1553" s="994">
        <f>IF(AND(Input_Product=Elig!$C1553,Elig_MatchAll_Ct&lt;22,$BC1553=(Elig_MatchAll_Ct-1),AX1553=0),Y1553,0)</f>
        <v>0</v>
      </c>
      <c r="CE1553" s="993">
        <f>IF(AND(Input_LTV&lt;=AE1553,Input_Product=Elig!$C1553,Elig_MatchAll_Ct&lt;22,$BC1553=(Elig_MatchAll_Ct-1),AY1553=0),Z1553,0)</f>
        <v>0</v>
      </c>
      <c r="CF1553" s="994">
        <f>IF(AND(Input_LTV&lt;=AE1553,Input_Product=Elig!$C1553,Elig_MatchAll_Ct&lt;22,$BC1553=(Elig_MatchAll_Ct-1),AY1553=0),AA1553,0)</f>
        <v>0</v>
      </c>
      <c r="CG1553" s="993">
        <f>IF(AND(Input_Product=Elig!$C1553,Elig_MatchAll_Ct&lt;22,$BC1553=(Elig_MatchAll_Ct-1),AZ1553=0),AB1553,0)</f>
        <v>0</v>
      </c>
      <c r="CH1553" s="994">
        <f>IF(AND(Input_Product=Elig!$C1553,Elig_MatchAll_Ct&lt;22,$BC1553=(Elig_MatchAll_Ct-1),AZ1553=0),AC1553,0)</f>
        <v>0</v>
      </c>
      <c r="CI1553" s="993">
        <f>IF(AND(Input_Product=Elig!$C1553,Elig_MatchAll_Ct&lt;22,$BC1553=(Elig_MatchAll_Ct-1),BA1553=0),AD1553,0)</f>
        <v>0</v>
      </c>
      <c r="CJ1553" s="994">
        <f>IF(AND(Input_Product=Elig!$C1553,Elig_MatchAll_Ct&lt;22,$BC1553=(Elig_MatchAll_Ct-1),BA1553=0),AE1553,0)</f>
        <v>0</v>
      </c>
    </row>
    <row r="1554" spans="2:88" ht="10.15" customHeight="1" x14ac:dyDescent="0.25">
      <c r="B1554" s="1921" t="s">
        <v>2895</v>
      </c>
      <c r="C1554" s="1575" t="s">
        <v>3054</v>
      </c>
      <c r="D1554" s="1575" t="s">
        <v>2896</v>
      </c>
      <c r="E1554" s="1575" t="s">
        <v>167</v>
      </c>
      <c r="F1554" s="1575" t="s">
        <v>330</v>
      </c>
      <c r="G1554" s="1575" t="s">
        <v>181</v>
      </c>
      <c r="H1554" s="1575" t="s">
        <v>136</v>
      </c>
      <c r="I1554" s="1576" t="s">
        <v>34</v>
      </c>
      <c r="J1554" s="1576" t="s">
        <v>1311</v>
      </c>
      <c r="K1554" s="1576" t="s">
        <v>3024</v>
      </c>
      <c r="L1554" s="1575" t="s">
        <v>430</v>
      </c>
      <c r="M1554" s="1575" t="s">
        <v>4205</v>
      </c>
      <c r="N1554" s="1575" t="s">
        <v>2685</v>
      </c>
      <c r="O1554" s="1575" t="s">
        <v>310</v>
      </c>
      <c r="P1554" s="1575" t="s">
        <v>108</v>
      </c>
      <c r="Q1554" s="1575" t="s">
        <v>294</v>
      </c>
      <c r="R1554" s="1575">
        <v>400000</v>
      </c>
      <c r="S1554" s="1575">
        <v>1500000</v>
      </c>
      <c r="T1554" s="1575">
        <v>0</v>
      </c>
      <c r="U1554" s="1575">
        <v>0</v>
      </c>
      <c r="V1554" s="1575">
        <v>0</v>
      </c>
      <c r="W1554" s="1575">
        <v>0</v>
      </c>
      <c r="X1554" s="1575">
        <v>1</v>
      </c>
      <c r="Y1554" s="1575">
        <v>999</v>
      </c>
      <c r="Z1554" s="1577">
        <v>700</v>
      </c>
      <c r="AA1554" s="1577">
        <v>999</v>
      </c>
      <c r="AB1554" s="1577">
        <v>6</v>
      </c>
      <c r="AC1554" s="1577">
        <v>999999</v>
      </c>
      <c r="AD1554" s="1575">
        <v>0</v>
      </c>
      <c r="AE1554" s="1578">
        <v>75</v>
      </c>
      <c r="AF1554" s="170">
        <v>0</v>
      </c>
      <c r="AG1554" s="171">
        <v>1</v>
      </c>
      <c r="AH1554" s="171">
        <v>1</v>
      </c>
      <c r="AI1554" s="171">
        <v>0</v>
      </c>
      <c r="AJ1554" s="171">
        <v>0</v>
      </c>
      <c r="AK1554" s="171">
        <v>1</v>
      </c>
      <c r="AL1554" s="171">
        <v>0</v>
      </c>
      <c r="AM1554" s="171">
        <v>1</v>
      </c>
      <c r="AN1554" s="171">
        <v>0</v>
      </c>
      <c r="AO1554" s="171">
        <v>1</v>
      </c>
      <c r="AP1554" s="171">
        <v>1</v>
      </c>
      <c r="AQ1554" s="171">
        <v>1</v>
      </c>
      <c r="AR1554" s="171">
        <v>1</v>
      </c>
      <c r="AS1554" s="171">
        <v>1</v>
      </c>
      <c r="AT1554" s="171">
        <v>1</v>
      </c>
      <c r="AU1554" s="171">
        <f t="shared" si="515"/>
        <v>0</v>
      </c>
      <c r="AV1554" s="171">
        <f t="shared" si="516"/>
        <v>0</v>
      </c>
      <c r="AW1554" s="171">
        <f t="shared" si="517"/>
        <v>0</v>
      </c>
      <c r="AX1554" s="171">
        <f t="shared" si="525"/>
        <v>0</v>
      </c>
      <c r="AY1554" s="171">
        <f t="shared" si="518"/>
        <v>1</v>
      </c>
      <c r="AZ1554" s="171">
        <f t="shared" si="519"/>
        <v>1</v>
      </c>
      <c r="BA1554" s="172">
        <f t="shared" si="520"/>
        <v>1</v>
      </c>
      <c r="BB1554" s="175">
        <f t="shared" si="521"/>
        <v>13</v>
      </c>
      <c r="BC1554" s="176">
        <f t="shared" si="522"/>
        <v>12</v>
      </c>
      <c r="BD1554" s="176">
        <f t="shared" si="523"/>
        <v>13</v>
      </c>
      <c r="BE1554" s="240" t="str">
        <f t="shared" si="514"/>
        <v/>
      </c>
      <c r="BF1554" s="990"/>
      <c r="BG1554" s="990"/>
      <c r="BH1554" s="991">
        <f>IF(AND(Input_Product=Elig!$C1554,Elig_MatchAll_Ct&lt;22,$BC1554=(Elig_MatchAll_Ct-1),AF1554=0),C1554,0)</f>
        <v>0</v>
      </c>
      <c r="BI1554" s="991">
        <f>IF(AND(Input_Product=Elig!$C1554,Elig_MatchAll_Ct&lt;22,$BC1554=(Elig_MatchAll_Ct-1),AG1554=0),D1554,0)</f>
        <v>0</v>
      </c>
      <c r="BJ1554" s="991">
        <f>IF(AND(Input_Product=Elig!$C1554,Elig_MatchAll_Ct&lt;22,$BC1554=(Elig_MatchAll_Ct-1),AH1554=0),E1554,0)</f>
        <v>0</v>
      </c>
      <c r="BK1554" s="991">
        <f>IF(AND(Input_Product=Elig!$C1554,Elig_MatchAll_Ct&lt;22,$BC1554=(Elig_MatchAll_Ct-1),AI1554=0),F1554,0)</f>
        <v>0</v>
      </c>
      <c r="BL1554" s="991">
        <f>IF(AND(Input_Product=Elig!$C1554,Elig_MatchAll_Ct&lt;22,$BC1554=(Elig_MatchAll_Ct-1),AJ1554=0),G1554,0)</f>
        <v>0</v>
      </c>
      <c r="BM1554" s="991">
        <f>IF(AND(Input_Product=Elig!$C1554,Elig_MatchAll_Ct&lt;22,$BC1554=(Elig_MatchAll_Ct-1),AK1554=0),H1554,0)</f>
        <v>0</v>
      </c>
      <c r="BN1554" s="991">
        <f>IF(AND(Input_Product=Elig!$C1554,Elig_MatchAll_Ct&lt;22,$BC1554=(Elig_MatchAll_Ct-1),AL1554=0),I1554,0)</f>
        <v>0</v>
      </c>
      <c r="BO1554" s="991">
        <f>IF(AND(Input_Product=Elig!$C1554,Elig_MatchAll_Ct&lt;22,$BC1554=(Elig_MatchAll_Ct-1),AM1554=0),J1554,0)</f>
        <v>0</v>
      </c>
      <c r="BP1554" s="991">
        <f>IF(AND(Input_Product=Elig!$C1554,Elig_MatchAll_Ct&lt;22,$BC1554=(Elig_MatchAll_Ct-1),AN1554=0),K1554,0)</f>
        <v>0</v>
      </c>
      <c r="BQ1554" s="991">
        <f>IF(AND(Input_Product=Elig!$C1554,Elig_MatchAll_Ct&lt;22,$BC1554=(Elig_MatchAll_Ct-1),AP1554=0),L1554,0)</f>
        <v>0</v>
      </c>
      <c r="BR1554" s="991">
        <f>IF(AND(Input_Product=Elig!$C1554,Elig_MatchAll_Ct&lt;22,$BC1554=(Elig_MatchAll_Ct-1),AO1554=0),M1554,0)</f>
        <v>0</v>
      </c>
      <c r="BS1554" s="991">
        <f>IF(AND(Input_Product=Elig!$C1554,Elig_MatchAll_Ct&lt;22,$BC1554=(Elig_MatchAll_Ct-1),AQ1554=0),N1554,0)</f>
        <v>0</v>
      </c>
      <c r="BT1554" s="991">
        <f>IF(AND(Input_Product=Elig!$C1554,Elig_MatchAll_Ct&lt;22,$BC1554=(Elig_MatchAll_Ct-1),AR1554=0),O1554,0)</f>
        <v>0</v>
      </c>
      <c r="BU1554" s="991">
        <f>IF(AND(Input_Product=Elig!$C1554,Elig_MatchAll_Ct&lt;22,$BC1554=(Elig_MatchAll_Ct-1),AS1554=0),P1554,0)</f>
        <v>0</v>
      </c>
      <c r="BV1554" s="992">
        <f>IF(AND(Input_Product=Elig!$C1554,Elig_MatchAll_Ct&lt;22,$BC1554=(Elig_MatchAll_Ct-1),AT1554=0),Q1554,0)</f>
        <v>0</v>
      </c>
      <c r="BW1554" s="993">
        <f>IF(AND(Input_Product=Elig!$C1554,Elig_MatchAll_Ct&lt;22,$BC1554=(Elig_MatchAll_Ct-1),AU1554=0),R1554,0)</f>
        <v>0</v>
      </c>
      <c r="BX1554" s="994">
        <f>IF(AND(Input_Product=Elig!$C1554,Elig_MatchAll_Ct&lt;22,$BC1554=(Elig_MatchAll_Ct-1),AU1554=0),S1554,0)</f>
        <v>0</v>
      </c>
      <c r="BY1554" s="993">
        <f>IF(AND(Input_Product=Elig!$C1554,Elig_MatchAll_Ct&lt;22,$BC1554=(Elig_MatchAll_Ct-1),AV1554=0),T1554,0)</f>
        <v>0</v>
      </c>
      <c r="BZ1554" s="994">
        <f>IF(AND(Input_Product=Elig!$C1554,Elig_MatchAll_Ct&lt;22,$BC1554=(Elig_MatchAll_Ct-1),AV1554=0),U1554,0)</f>
        <v>0</v>
      </c>
      <c r="CA1554" s="993">
        <f>IF(AND(Input_Product=Elig!$C1554,Elig_MatchAll_Ct&lt;22,$BC1554=(Elig_MatchAll_Ct-1),AW1554=0),V1554,0)</f>
        <v>0</v>
      </c>
      <c r="CB1554" s="994">
        <f>IF(AND(Input_Product=Elig!$C1554,Elig_MatchAll_Ct&lt;22,$BC1554=(Elig_MatchAll_Ct-1),AW1554=0),W1554,0)</f>
        <v>0</v>
      </c>
      <c r="CC1554" s="993">
        <f>IF(AND(Input_Product=Elig!$C1554,Elig_MatchAll_Ct&lt;22,$BC1554=(Elig_MatchAll_Ct-1),AX1554=0),X1554,0)</f>
        <v>0</v>
      </c>
      <c r="CD1554" s="994">
        <f>IF(AND(Input_Product=Elig!$C1554,Elig_MatchAll_Ct&lt;22,$BC1554=(Elig_MatchAll_Ct-1),AX1554=0),Y1554,0)</f>
        <v>0</v>
      </c>
      <c r="CE1554" s="993">
        <f>IF(AND(Input_LTV&lt;=AE1554,Input_Product=Elig!$C1554,Elig_MatchAll_Ct&lt;22,$BC1554=(Elig_MatchAll_Ct-1),AY1554=0),Z1554,0)</f>
        <v>0</v>
      </c>
      <c r="CF1554" s="994">
        <f>IF(AND(Input_LTV&lt;=AE1554,Input_Product=Elig!$C1554,Elig_MatchAll_Ct&lt;22,$BC1554=(Elig_MatchAll_Ct-1),AY1554=0),AA1554,0)</f>
        <v>0</v>
      </c>
      <c r="CG1554" s="993">
        <f>IF(AND(Input_Product=Elig!$C1554,Elig_MatchAll_Ct&lt;22,$BC1554=(Elig_MatchAll_Ct-1),AZ1554=0),AB1554,0)</f>
        <v>0</v>
      </c>
      <c r="CH1554" s="994">
        <f>IF(AND(Input_Product=Elig!$C1554,Elig_MatchAll_Ct&lt;22,$BC1554=(Elig_MatchAll_Ct-1),AZ1554=0),AC1554,0)</f>
        <v>0</v>
      </c>
      <c r="CI1554" s="993">
        <f>IF(AND(Input_Product=Elig!$C1554,Elig_MatchAll_Ct&lt;22,$BC1554=(Elig_MatchAll_Ct-1),BA1554=0),AD1554,0)</f>
        <v>0</v>
      </c>
      <c r="CJ1554" s="994">
        <f>IF(AND(Input_Product=Elig!$C1554,Elig_MatchAll_Ct&lt;22,$BC1554=(Elig_MatchAll_Ct-1),BA1554=0),AE1554,0)</f>
        <v>0</v>
      </c>
    </row>
    <row r="1555" spans="2:88" ht="10.15" customHeight="1" x14ac:dyDescent="0.25">
      <c r="B1555" s="1922" t="s">
        <v>2897</v>
      </c>
      <c r="C1555" s="1579" t="s">
        <v>3054</v>
      </c>
      <c r="D1555" s="1579" t="s">
        <v>2896</v>
      </c>
      <c r="E1555" s="1579" t="s">
        <v>167</v>
      </c>
      <c r="F1555" s="1579" t="s">
        <v>330</v>
      </c>
      <c r="G1555" s="1579" t="s">
        <v>181</v>
      </c>
      <c r="H1555" s="1579" t="s">
        <v>136</v>
      </c>
      <c r="I1555" s="1580" t="s">
        <v>34</v>
      </c>
      <c r="J1555" s="1580" t="s">
        <v>1311</v>
      </c>
      <c r="K1555" s="1580" t="s">
        <v>3024</v>
      </c>
      <c r="L1555" s="1579" t="s">
        <v>430</v>
      </c>
      <c r="M1555" s="1579" t="s">
        <v>4205</v>
      </c>
      <c r="N1555" s="1579" t="s">
        <v>2685</v>
      </c>
      <c r="O1555" s="1579" t="s">
        <v>310</v>
      </c>
      <c r="P1555" s="1579" t="s">
        <v>108</v>
      </c>
      <c r="Q1555" s="1579" t="s">
        <v>294</v>
      </c>
      <c r="R1555" s="1579">
        <v>1500000.01</v>
      </c>
      <c r="S1555" s="1579">
        <v>2000000</v>
      </c>
      <c r="T1555" s="1579">
        <v>0</v>
      </c>
      <c r="U1555" s="1579">
        <v>0</v>
      </c>
      <c r="V1555" s="1579">
        <v>0</v>
      </c>
      <c r="W1555" s="1579">
        <v>0</v>
      </c>
      <c r="X1555" s="1579">
        <v>1</v>
      </c>
      <c r="Y1555" s="1579">
        <v>999</v>
      </c>
      <c r="Z1555" s="1581">
        <v>700</v>
      </c>
      <c r="AA1555" s="1581">
        <v>999</v>
      </c>
      <c r="AB1555" s="1581">
        <v>6</v>
      </c>
      <c r="AC1555" s="1581">
        <v>999999</v>
      </c>
      <c r="AD1555" s="1579">
        <v>0</v>
      </c>
      <c r="AE1555" s="1582">
        <v>70</v>
      </c>
      <c r="AF1555" s="170">
        <v>0</v>
      </c>
      <c r="AG1555" s="171">
        <v>1</v>
      </c>
      <c r="AH1555" s="171">
        <v>1</v>
      </c>
      <c r="AI1555" s="171">
        <v>0</v>
      </c>
      <c r="AJ1555" s="171">
        <v>0</v>
      </c>
      <c r="AK1555" s="171">
        <v>1</v>
      </c>
      <c r="AL1555" s="171">
        <v>0</v>
      </c>
      <c r="AM1555" s="171">
        <v>1</v>
      </c>
      <c r="AN1555" s="171">
        <v>0</v>
      </c>
      <c r="AO1555" s="171">
        <v>1</v>
      </c>
      <c r="AP1555" s="171">
        <v>1</v>
      </c>
      <c r="AQ1555" s="171">
        <v>1</v>
      </c>
      <c r="AR1555" s="171">
        <v>1</v>
      </c>
      <c r="AS1555" s="171">
        <v>1</v>
      </c>
      <c r="AT1555" s="171">
        <v>1</v>
      </c>
      <c r="AU1555" s="171">
        <f t="shared" si="515"/>
        <v>0</v>
      </c>
      <c r="AV1555" s="171">
        <f t="shared" si="516"/>
        <v>0</v>
      </c>
      <c r="AW1555" s="171">
        <f t="shared" si="517"/>
        <v>0</v>
      </c>
      <c r="AX1555" s="171">
        <f t="shared" si="525"/>
        <v>0</v>
      </c>
      <c r="AY1555" s="171">
        <f t="shared" si="518"/>
        <v>1</v>
      </c>
      <c r="AZ1555" s="171">
        <f t="shared" si="519"/>
        <v>1</v>
      </c>
      <c r="BA1555" s="172">
        <f t="shared" si="520"/>
        <v>1</v>
      </c>
      <c r="BB1555" s="175">
        <f t="shared" si="521"/>
        <v>13</v>
      </c>
      <c r="BC1555" s="176">
        <f t="shared" si="522"/>
        <v>12</v>
      </c>
      <c r="BD1555" s="176">
        <f t="shared" si="523"/>
        <v>13</v>
      </c>
      <c r="BE1555" s="240" t="str">
        <f t="shared" si="514"/>
        <v/>
      </c>
      <c r="BF1555" s="990"/>
      <c r="BG1555" s="990"/>
      <c r="BH1555" s="991">
        <f>IF(AND(Input_Product=Elig!$C1555,Elig_MatchAll_Ct&lt;22,$BC1555=(Elig_MatchAll_Ct-1),AF1555=0),C1555,0)</f>
        <v>0</v>
      </c>
      <c r="BI1555" s="991">
        <f>IF(AND(Input_Product=Elig!$C1555,Elig_MatchAll_Ct&lt;22,$BC1555=(Elig_MatchAll_Ct-1),AG1555=0),D1555,0)</f>
        <v>0</v>
      </c>
      <c r="BJ1555" s="991">
        <f>IF(AND(Input_Product=Elig!$C1555,Elig_MatchAll_Ct&lt;22,$BC1555=(Elig_MatchAll_Ct-1),AH1555=0),E1555,0)</f>
        <v>0</v>
      </c>
      <c r="BK1555" s="991">
        <f>IF(AND(Input_Product=Elig!$C1555,Elig_MatchAll_Ct&lt;22,$BC1555=(Elig_MatchAll_Ct-1),AI1555=0),F1555,0)</f>
        <v>0</v>
      </c>
      <c r="BL1555" s="991">
        <f>IF(AND(Input_Product=Elig!$C1555,Elig_MatchAll_Ct&lt;22,$BC1555=(Elig_MatchAll_Ct-1),AJ1555=0),G1555,0)</f>
        <v>0</v>
      </c>
      <c r="BM1555" s="991">
        <f>IF(AND(Input_Product=Elig!$C1555,Elig_MatchAll_Ct&lt;22,$BC1555=(Elig_MatchAll_Ct-1),AK1555=0),H1555,0)</f>
        <v>0</v>
      </c>
      <c r="BN1555" s="991">
        <f>IF(AND(Input_Product=Elig!$C1555,Elig_MatchAll_Ct&lt;22,$BC1555=(Elig_MatchAll_Ct-1),AL1555=0),I1555,0)</f>
        <v>0</v>
      </c>
      <c r="BO1555" s="991">
        <f>IF(AND(Input_Product=Elig!$C1555,Elig_MatchAll_Ct&lt;22,$BC1555=(Elig_MatchAll_Ct-1),AM1555=0),J1555,0)</f>
        <v>0</v>
      </c>
      <c r="BP1555" s="991">
        <f>IF(AND(Input_Product=Elig!$C1555,Elig_MatchAll_Ct&lt;22,$BC1555=(Elig_MatchAll_Ct-1),AN1555=0),K1555,0)</f>
        <v>0</v>
      </c>
      <c r="BQ1555" s="991">
        <f>IF(AND(Input_Product=Elig!$C1555,Elig_MatchAll_Ct&lt;22,$BC1555=(Elig_MatchAll_Ct-1),AP1555=0),L1555,0)</f>
        <v>0</v>
      </c>
      <c r="BR1555" s="991">
        <f>IF(AND(Input_Product=Elig!$C1555,Elig_MatchAll_Ct&lt;22,$BC1555=(Elig_MatchAll_Ct-1),AO1555=0),M1555,0)</f>
        <v>0</v>
      </c>
      <c r="BS1555" s="991">
        <f>IF(AND(Input_Product=Elig!$C1555,Elig_MatchAll_Ct&lt;22,$BC1555=(Elig_MatchAll_Ct-1),AQ1555=0),N1555,0)</f>
        <v>0</v>
      </c>
      <c r="BT1555" s="991">
        <f>IF(AND(Input_Product=Elig!$C1555,Elig_MatchAll_Ct&lt;22,$BC1555=(Elig_MatchAll_Ct-1),AR1555=0),O1555,0)</f>
        <v>0</v>
      </c>
      <c r="BU1555" s="991">
        <f>IF(AND(Input_Product=Elig!$C1555,Elig_MatchAll_Ct&lt;22,$BC1555=(Elig_MatchAll_Ct-1),AS1555=0),P1555,0)</f>
        <v>0</v>
      </c>
      <c r="BV1555" s="992">
        <f>IF(AND(Input_Product=Elig!$C1555,Elig_MatchAll_Ct&lt;22,$BC1555=(Elig_MatchAll_Ct-1),AT1555=0),Q1555,0)</f>
        <v>0</v>
      </c>
      <c r="BW1555" s="993">
        <f>IF(AND(Input_Product=Elig!$C1555,Elig_MatchAll_Ct&lt;22,$BC1555=(Elig_MatchAll_Ct-1),AU1555=0),R1555,0)</f>
        <v>0</v>
      </c>
      <c r="BX1555" s="994">
        <f>IF(AND(Input_Product=Elig!$C1555,Elig_MatchAll_Ct&lt;22,$BC1555=(Elig_MatchAll_Ct-1),AU1555=0),S1555,0)</f>
        <v>0</v>
      </c>
      <c r="BY1555" s="993">
        <f>IF(AND(Input_Product=Elig!$C1555,Elig_MatchAll_Ct&lt;22,$BC1555=(Elig_MatchAll_Ct-1),AV1555=0),T1555,0)</f>
        <v>0</v>
      </c>
      <c r="BZ1555" s="994">
        <f>IF(AND(Input_Product=Elig!$C1555,Elig_MatchAll_Ct&lt;22,$BC1555=(Elig_MatchAll_Ct-1),AV1555=0),U1555,0)</f>
        <v>0</v>
      </c>
      <c r="CA1555" s="993">
        <f>IF(AND(Input_Product=Elig!$C1555,Elig_MatchAll_Ct&lt;22,$BC1555=(Elig_MatchAll_Ct-1),AW1555=0),V1555,0)</f>
        <v>0</v>
      </c>
      <c r="CB1555" s="994">
        <f>IF(AND(Input_Product=Elig!$C1555,Elig_MatchAll_Ct&lt;22,$BC1555=(Elig_MatchAll_Ct-1),AW1555=0),W1555,0)</f>
        <v>0</v>
      </c>
      <c r="CC1555" s="993">
        <f>IF(AND(Input_Product=Elig!$C1555,Elig_MatchAll_Ct&lt;22,$BC1555=(Elig_MatchAll_Ct-1),AX1555=0),X1555,0)</f>
        <v>0</v>
      </c>
      <c r="CD1555" s="994">
        <f>IF(AND(Input_Product=Elig!$C1555,Elig_MatchAll_Ct&lt;22,$BC1555=(Elig_MatchAll_Ct-1),AX1555=0),Y1555,0)</f>
        <v>0</v>
      </c>
      <c r="CE1555" s="993">
        <f>IF(AND(Input_LTV&lt;=AE1555,Input_Product=Elig!$C1555,Elig_MatchAll_Ct&lt;22,$BC1555=(Elig_MatchAll_Ct-1),AY1555=0),Z1555,0)</f>
        <v>0</v>
      </c>
      <c r="CF1555" s="994">
        <f>IF(AND(Input_LTV&lt;=AE1555,Input_Product=Elig!$C1555,Elig_MatchAll_Ct&lt;22,$BC1555=(Elig_MatchAll_Ct-1),AY1555=0),AA1555,0)</f>
        <v>0</v>
      </c>
      <c r="CG1555" s="993">
        <f>IF(AND(Input_Product=Elig!$C1555,Elig_MatchAll_Ct&lt;22,$BC1555=(Elig_MatchAll_Ct-1),AZ1555=0),AB1555,0)</f>
        <v>0</v>
      </c>
      <c r="CH1555" s="994">
        <f>IF(AND(Input_Product=Elig!$C1555,Elig_MatchAll_Ct&lt;22,$BC1555=(Elig_MatchAll_Ct-1),AZ1555=0),AC1555,0)</f>
        <v>0</v>
      </c>
      <c r="CI1555" s="993">
        <f>IF(AND(Input_Product=Elig!$C1555,Elig_MatchAll_Ct&lt;22,$BC1555=(Elig_MatchAll_Ct-1),BA1555=0),AD1555,0)</f>
        <v>0</v>
      </c>
      <c r="CJ1555" s="994">
        <f>IF(AND(Input_Product=Elig!$C1555,Elig_MatchAll_Ct&lt;22,$BC1555=(Elig_MatchAll_Ct-1),BA1555=0),AE1555,0)</f>
        <v>0</v>
      </c>
    </row>
    <row r="1556" spans="2:88" ht="10.15" customHeight="1" x14ac:dyDescent="0.25">
      <c r="B1556" s="1922" t="s">
        <v>2898</v>
      </c>
      <c r="C1556" s="1575" t="s">
        <v>3054</v>
      </c>
      <c r="D1556" s="1575" t="s">
        <v>2896</v>
      </c>
      <c r="E1556" s="1575" t="s">
        <v>167</v>
      </c>
      <c r="F1556" s="1575" t="s">
        <v>330</v>
      </c>
      <c r="G1556" s="1575" t="s">
        <v>181</v>
      </c>
      <c r="H1556" s="1575" t="s">
        <v>136</v>
      </c>
      <c r="I1556" s="1576" t="s">
        <v>35</v>
      </c>
      <c r="J1556" s="1576" t="s">
        <v>1311</v>
      </c>
      <c r="K1556" s="1576" t="s">
        <v>3024</v>
      </c>
      <c r="L1556" s="1575" t="s">
        <v>430</v>
      </c>
      <c r="M1556" s="1575" t="s">
        <v>4205</v>
      </c>
      <c r="N1556" s="1575" t="s">
        <v>2685</v>
      </c>
      <c r="O1556" s="1575" t="s">
        <v>310</v>
      </c>
      <c r="P1556" s="1575" t="s">
        <v>108</v>
      </c>
      <c r="Q1556" s="1575" t="s">
        <v>294</v>
      </c>
      <c r="R1556" s="1575">
        <v>400000</v>
      </c>
      <c r="S1556" s="1575">
        <v>1500000</v>
      </c>
      <c r="T1556" s="1575">
        <v>0</v>
      </c>
      <c r="U1556" s="1575">
        <v>0</v>
      </c>
      <c r="V1556" s="1575">
        <v>0</v>
      </c>
      <c r="W1556" s="1575">
        <v>0</v>
      </c>
      <c r="X1556" s="1575">
        <v>1</v>
      </c>
      <c r="Y1556" s="1575">
        <v>999</v>
      </c>
      <c r="Z1556" s="1577">
        <v>700</v>
      </c>
      <c r="AA1556" s="1577">
        <v>999</v>
      </c>
      <c r="AB1556" s="1577">
        <v>6</v>
      </c>
      <c r="AC1556" s="1577">
        <v>999999</v>
      </c>
      <c r="AD1556" s="1575">
        <v>0</v>
      </c>
      <c r="AE1556" s="1578">
        <v>70</v>
      </c>
      <c r="AF1556" s="170">
        <v>0</v>
      </c>
      <c r="AG1556" s="171">
        <v>1</v>
      </c>
      <c r="AH1556" s="171">
        <v>1</v>
      </c>
      <c r="AI1556" s="171">
        <v>0</v>
      </c>
      <c r="AJ1556" s="171">
        <v>0</v>
      </c>
      <c r="AK1556" s="171">
        <v>1</v>
      </c>
      <c r="AL1556" s="171">
        <v>0</v>
      </c>
      <c r="AM1556" s="171">
        <v>1</v>
      </c>
      <c r="AN1556" s="171">
        <v>0</v>
      </c>
      <c r="AO1556" s="171">
        <v>1</v>
      </c>
      <c r="AP1556" s="171">
        <v>1</v>
      </c>
      <c r="AQ1556" s="171">
        <v>1</v>
      </c>
      <c r="AR1556" s="171">
        <v>1</v>
      </c>
      <c r="AS1556" s="171">
        <v>1</v>
      </c>
      <c r="AT1556" s="171">
        <v>1</v>
      </c>
      <c r="AU1556" s="171">
        <f t="shared" si="515"/>
        <v>0</v>
      </c>
      <c r="AV1556" s="171">
        <f t="shared" si="516"/>
        <v>0</v>
      </c>
      <c r="AW1556" s="171">
        <f t="shared" si="517"/>
        <v>0</v>
      </c>
      <c r="AX1556" s="171">
        <f t="shared" si="525"/>
        <v>0</v>
      </c>
      <c r="AY1556" s="171">
        <f t="shared" si="518"/>
        <v>1</v>
      </c>
      <c r="AZ1556" s="171">
        <f t="shared" si="519"/>
        <v>1</v>
      </c>
      <c r="BA1556" s="172">
        <f t="shared" si="520"/>
        <v>1</v>
      </c>
      <c r="BB1556" s="175">
        <f t="shared" si="521"/>
        <v>13</v>
      </c>
      <c r="BC1556" s="176">
        <f t="shared" si="522"/>
        <v>12</v>
      </c>
      <c r="BD1556" s="176">
        <f t="shared" si="523"/>
        <v>13</v>
      </c>
      <c r="BE1556" s="240" t="str">
        <f t="shared" si="514"/>
        <v/>
      </c>
      <c r="BF1556" s="990"/>
      <c r="BG1556" s="990"/>
      <c r="BH1556" s="991">
        <f>IF(AND(Input_Product=Elig!$C1556,Elig_MatchAll_Ct&lt;22,$BC1556=(Elig_MatchAll_Ct-1),AF1556=0),C1556,0)</f>
        <v>0</v>
      </c>
      <c r="BI1556" s="991">
        <f>IF(AND(Input_Product=Elig!$C1556,Elig_MatchAll_Ct&lt;22,$BC1556=(Elig_MatchAll_Ct-1),AG1556=0),D1556,0)</f>
        <v>0</v>
      </c>
      <c r="BJ1556" s="991">
        <f>IF(AND(Input_Product=Elig!$C1556,Elig_MatchAll_Ct&lt;22,$BC1556=(Elig_MatchAll_Ct-1),AH1556=0),E1556,0)</f>
        <v>0</v>
      </c>
      <c r="BK1556" s="991">
        <f>IF(AND(Input_Product=Elig!$C1556,Elig_MatchAll_Ct&lt;22,$BC1556=(Elig_MatchAll_Ct-1),AI1556=0),F1556,0)</f>
        <v>0</v>
      </c>
      <c r="BL1556" s="991">
        <f>IF(AND(Input_Product=Elig!$C1556,Elig_MatchAll_Ct&lt;22,$BC1556=(Elig_MatchAll_Ct-1),AJ1556=0),G1556,0)</f>
        <v>0</v>
      </c>
      <c r="BM1556" s="991">
        <f>IF(AND(Input_Product=Elig!$C1556,Elig_MatchAll_Ct&lt;22,$BC1556=(Elig_MatchAll_Ct-1),AK1556=0),H1556,0)</f>
        <v>0</v>
      </c>
      <c r="BN1556" s="991">
        <f>IF(AND(Input_Product=Elig!$C1556,Elig_MatchAll_Ct&lt;22,$BC1556=(Elig_MatchAll_Ct-1),AL1556=0),I1556,0)</f>
        <v>0</v>
      </c>
      <c r="BO1556" s="991">
        <f>IF(AND(Input_Product=Elig!$C1556,Elig_MatchAll_Ct&lt;22,$BC1556=(Elig_MatchAll_Ct-1),AM1556=0),J1556,0)</f>
        <v>0</v>
      </c>
      <c r="BP1556" s="991">
        <f>IF(AND(Input_Product=Elig!$C1556,Elig_MatchAll_Ct&lt;22,$BC1556=(Elig_MatchAll_Ct-1),AN1556=0),K1556,0)</f>
        <v>0</v>
      </c>
      <c r="BQ1556" s="991">
        <f>IF(AND(Input_Product=Elig!$C1556,Elig_MatchAll_Ct&lt;22,$BC1556=(Elig_MatchAll_Ct-1),AP1556=0),L1556,0)</f>
        <v>0</v>
      </c>
      <c r="BR1556" s="991">
        <f>IF(AND(Input_Product=Elig!$C1556,Elig_MatchAll_Ct&lt;22,$BC1556=(Elig_MatchAll_Ct-1),AO1556=0),M1556,0)</f>
        <v>0</v>
      </c>
      <c r="BS1556" s="991">
        <f>IF(AND(Input_Product=Elig!$C1556,Elig_MatchAll_Ct&lt;22,$BC1556=(Elig_MatchAll_Ct-1),AQ1556=0),N1556,0)</f>
        <v>0</v>
      </c>
      <c r="BT1556" s="991">
        <f>IF(AND(Input_Product=Elig!$C1556,Elig_MatchAll_Ct&lt;22,$BC1556=(Elig_MatchAll_Ct-1),AR1556=0),O1556,0)</f>
        <v>0</v>
      </c>
      <c r="BU1556" s="991">
        <f>IF(AND(Input_Product=Elig!$C1556,Elig_MatchAll_Ct&lt;22,$BC1556=(Elig_MatchAll_Ct-1),AS1556=0),P1556,0)</f>
        <v>0</v>
      </c>
      <c r="BV1556" s="992">
        <f>IF(AND(Input_Product=Elig!$C1556,Elig_MatchAll_Ct&lt;22,$BC1556=(Elig_MatchAll_Ct-1),AT1556=0),Q1556,0)</f>
        <v>0</v>
      </c>
      <c r="BW1556" s="993">
        <f>IF(AND(Input_Product=Elig!$C1556,Elig_MatchAll_Ct&lt;22,$BC1556=(Elig_MatchAll_Ct-1),AU1556=0),R1556,0)</f>
        <v>0</v>
      </c>
      <c r="BX1556" s="994">
        <f>IF(AND(Input_Product=Elig!$C1556,Elig_MatchAll_Ct&lt;22,$BC1556=(Elig_MatchAll_Ct-1),AU1556=0),S1556,0)</f>
        <v>0</v>
      </c>
      <c r="BY1556" s="993">
        <f>IF(AND(Input_Product=Elig!$C1556,Elig_MatchAll_Ct&lt;22,$BC1556=(Elig_MatchAll_Ct-1),AV1556=0),T1556,0)</f>
        <v>0</v>
      </c>
      <c r="BZ1556" s="994">
        <f>IF(AND(Input_Product=Elig!$C1556,Elig_MatchAll_Ct&lt;22,$BC1556=(Elig_MatchAll_Ct-1),AV1556=0),U1556,0)</f>
        <v>0</v>
      </c>
      <c r="CA1556" s="993">
        <f>IF(AND(Input_Product=Elig!$C1556,Elig_MatchAll_Ct&lt;22,$BC1556=(Elig_MatchAll_Ct-1),AW1556=0),V1556,0)</f>
        <v>0</v>
      </c>
      <c r="CB1556" s="994">
        <f>IF(AND(Input_Product=Elig!$C1556,Elig_MatchAll_Ct&lt;22,$BC1556=(Elig_MatchAll_Ct-1),AW1556=0),W1556,0)</f>
        <v>0</v>
      </c>
      <c r="CC1556" s="993">
        <f>IF(AND(Input_Product=Elig!$C1556,Elig_MatchAll_Ct&lt;22,$BC1556=(Elig_MatchAll_Ct-1),AX1556=0),X1556,0)</f>
        <v>0</v>
      </c>
      <c r="CD1556" s="994">
        <f>IF(AND(Input_Product=Elig!$C1556,Elig_MatchAll_Ct&lt;22,$BC1556=(Elig_MatchAll_Ct-1),AX1556=0),Y1556,0)</f>
        <v>0</v>
      </c>
      <c r="CE1556" s="993">
        <f>IF(AND(Input_LTV&lt;=AE1556,Input_Product=Elig!$C1556,Elig_MatchAll_Ct&lt;22,$BC1556=(Elig_MatchAll_Ct-1),AY1556=0),Z1556,0)</f>
        <v>0</v>
      </c>
      <c r="CF1556" s="994">
        <f>IF(AND(Input_LTV&lt;=AE1556,Input_Product=Elig!$C1556,Elig_MatchAll_Ct&lt;22,$BC1556=(Elig_MatchAll_Ct-1),AY1556=0),AA1556,0)</f>
        <v>0</v>
      </c>
      <c r="CG1556" s="993">
        <f>IF(AND(Input_Product=Elig!$C1556,Elig_MatchAll_Ct&lt;22,$BC1556=(Elig_MatchAll_Ct-1),AZ1556=0),AB1556,0)</f>
        <v>0</v>
      </c>
      <c r="CH1556" s="994">
        <f>IF(AND(Input_Product=Elig!$C1556,Elig_MatchAll_Ct&lt;22,$BC1556=(Elig_MatchAll_Ct-1),AZ1556=0),AC1556,0)</f>
        <v>0</v>
      </c>
      <c r="CI1556" s="993">
        <f>IF(AND(Input_Product=Elig!$C1556,Elig_MatchAll_Ct&lt;22,$BC1556=(Elig_MatchAll_Ct-1),BA1556=0),AD1556,0)</f>
        <v>0</v>
      </c>
      <c r="CJ1556" s="994">
        <f>IF(AND(Input_Product=Elig!$C1556,Elig_MatchAll_Ct&lt;22,$BC1556=(Elig_MatchAll_Ct-1),BA1556=0),AE1556,0)</f>
        <v>0</v>
      </c>
    </row>
    <row r="1557" spans="2:88" ht="10.15" customHeight="1" x14ac:dyDescent="0.25">
      <c r="B1557" s="1922" t="s">
        <v>2899</v>
      </c>
      <c r="C1557" s="1579" t="s">
        <v>3054</v>
      </c>
      <c r="D1557" s="1579" t="s">
        <v>2896</v>
      </c>
      <c r="E1557" s="1579" t="s">
        <v>167</v>
      </c>
      <c r="F1557" s="1579" t="s">
        <v>330</v>
      </c>
      <c r="G1557" s="1579" t="s">
        <v>181</v>
      </c>
      <c r="H1557" s="1579" t="s">
        <v>136</v>
      </c>
      <c r="I1557" s="1580" t="s">
        <v>35</v>
      </c>
      <c r="J1557" s="1580" t="s">
        <v>1311</v>
      </c>
      <c r="K1557" s="1580" t="s">
        <v>3024</v>
      </c>
      <c r="L1557" s="1579" t="s">
        <v>430</v>
      </c>
      <c r="M1557" s="1579" t="s">
        <v>4205</v>
      </c>
      <c r="N1557" s="1579" t="s">
        <v>2685</v>
      </c>
      <c r="O1557" s="1579" t="s">
        <v>310</v>
      </c>
      <c r="P1557" s="1579" t="s">
        <v>108</v>
      </c>
      <c r="Q1557" s="1579" t="s">
        <v>294</v>
      </c>
      <c r="R1557" s="1579">
        <v>1500000.01</v>
      </c>
      <c r="S1557" s="1579">
        <v>2000000</v>
      </c>
      <c r="T1557" s="1579">
        <v>0</v>
      </c>
      <c r="U1557" s="1579">
        <v>0</v>
      </c>
      <c r="V1557" s="1579">
        <v>0</v>
      </c>
      <c r="W1557" s="1579">
        <v>0</v>
      </c>
      <c r="X1557" s="1579">
        <v>1</v>
      </c>
      <c r="Y1557" s="1579">
        <v>999</v>
      </c>
      <c r="Z1557" s="1581">
        <v>700</v>
      </c>
      <c r="AA1557" s="1581">
        <v>999</v>
      </c>
      <c r="AB1557" s="1581">
        <v>6</v>
      </c>
      <c r="AC1557" s="1581">
        <v>999999</v>
      </c>
      <c r="AD1557" s="1579">
        <v>0</v>
      </c>
      <c r="AE1557" s="1582">
        <v>65</v>
      </c>
      <c r="AF1557" s="170">
        <v>0</v>
      </c>
      <c r="AG1557" s="171">
        <v>1</v>
      </c>
      <c r="AH1557" s="171">
        <v>1</v>
      </c>
      <c r="AI1557" s="171">
        <v>0</v>
      </c>
      <c r="AJ1557" s="171">
        <v>0</v>
      </c>
      <c r="AK1557" s="171">
        <v>1</v>
      </c>
      <c r="AL1557" s="171">
        <v>0</v>
      </c>
      <c r="AM1557" s="171">
        <v>1</v>
      </c>
      <c r="AN1557" s="171">
        <v>0</v>
      </c>
      <c r="AO1557" s="171">
        <v>1</v>
      </c>
      <c r="AP1557" s="171">
        <v>1</v>
      </c>
      <c r="AQ1557" s="171">
        <v>1</v>
      </c>
      <c r="AR1557" s="171">
        <v>1</v>
      </c>
      <c r="AS1557" s="171">
        <v>1</v>
      </c>
      <c r="AT1557" s="171">
        <v>1</v>
      </c>
      <c r="AU1557" s="171">
        <f t="shared" si="515"/>
        <v>0</v>
      </c>
      <c r="AV1557" s="171">
        <f t="shared" si="516"/>
        <v>0</v>
      </c>
      <c r="AW1557" s="171">
        <f t="shared" si="517"/>
        <v>0</v>
      </c>
      <c r="AX1557" s="171">
        <f t="shared" si="525"/>
        <v>0</v>
      </c>
      <c r="AY1557" s="171">
        <f t="shared" si="518"/>
        <v>1</v>
      </c>
      <c r="AZ1557" s="171">
        <f t="shared" si="519"/>
        <v>1</v>
      </c>
      <c r="BA1557" s="172">
        <f t="shared" si="520"/>
        <v>1</v>
      </c>
      <c r="BB1557" s="175">
        <f t="shared" si="521"/>
        <v>13</v>
      </c>
      <c r="BC1557" s="176">
        <f t="shared" si="522"/>
        <v>12</v>
      </c>
      <c r="BD1557" s="176">
        <f t="shared" si="523"/>
        <v>13</v>
      </c>
      <c r="BE1557" s="240" t="str">
        <f t="shared" si="514"/>
        <v/>
      </c>
      <c r="BF1557" s="990"/>
      <c r="BG1557" s="990"/>
      <c r="BH1557" s="991">
        <f>IF(AND(Input_Product=Elig!$C1557,Elig_MatchAll_Ct&lt;22,$BC1557=(Elig_MatchAll_Ct-1),AF1557=0),C1557,0)</f>
        <v>0</v>
      </c>
      <c r="BI1557" s="991">
        <f>IF(AND(Input_Product=Elig!$C1557,Elig_MatchAll_Ct&lt;22,$BC1557=(Elig_MatchAll_Ct-1),AG1557=0),D1557,0)</f>
        <v>0</v>
      </c>
      <c r="BJ1557" s="991">
        <f>IF(AND(Input_Product=Elig!$C1557,Elig_MatchAll_Ct&lt;22,$BC1557=(Elig_MatchAll_Ct-1),AH1557=0),E1557,0)</f>
        <v>0</v>
      </c>
      <c r="BK1557" s="991">
        <f>IF(AND(Input_Product=Elig!$C1557,Elig_MatchAll_Ct&lt;22,$BC1557=(Elig_MatchAll_Ct-1),AI1557=0),F1557,0)</f>
        <v>0</v>
      </c>
      <c r="BL1557" s="991">
        <f>IF(AND(Input_Product=Elig!$C1557,Elig_MatchAll_Ct&lt;22,$BC1557=(Elig_MatchAll_Ct-1),AJ1557=0),G1557,0)</f>
        <v>0</v>
      </c>
      <c r="BM1557" s="991">
        <f>IF(AND(Input_Product=Elig!$C1557,Elig_MatchAll_Ct&lt;22,$BC1557=(Elig_MatchAll_Ct-1),AK1557=0),H1557,0)</f>
        <v>0</v>
      </c>
      <c r="BN1557" s="991">
        <f>IF(AND(Input_Product=Elig!$C1557,Elig_MatchAll_Ct&lt;22,$BC1557=(Elig_MatchAll_Ct-1),AL1557=0),I1557,0)</f>
        <v>0</v>
      </c>
      <c r="BO1557" s="991">
        <f>IF(AND(Input_Product=Elig!$C1557,Elig_MatchAll_Ct&lt;22,$BC1557=(Elig_MatchAll_Ct-1),AM1557=0),J1557,0)</f>
        <v>0</v>
      </c>
      <c r="BP1557" s="991">
        <f>IF(AND(Input_Product=Elig!$C1557,Elig_MatchAll_Ct&lt;22,$BC1557=(Elig_MatchAll_Ct-1),AN1557=0),K1557,0)</f>
        <v>0</v>
      </c>
      <c r="BQ1557" s="991">
        <f>IF(AND(Input_Product=Elig!$C1557,Elig_MatchAll_Ct&lt;22,$BC1557=(Elig_MatchAll_Ct-1),AP1557=0),L1557,0)</f>
        <v>0</v>
      </c>
      <c r="BR1557" s="991">
        <f>IF(AND(Input_Product=Elig!$C1557,Elig_MatchAll_Ct&lt;22,$BC1557=(Elig_MatchAll_Ct-1),AO1557=0),M1557,0)</f>
        <v>0</v>
      </c>
      <c r="BS1557" s="991">
        <f>IF(AND(Input_Product=Elig!$C1557,Elig_MatchAll_Ct&lt;22,$BC1557=(Elig_MatchAll_Ct-1),AQ1557=0),N1557,0)</f>
        <v>0</v>
      </c>
      <c r="BT1557" s="991">
        <f>IF(AND(Input_Product=Elig!$C1557,Elig_MatchAll_Ct&lt;22,$BC1557=(Elig_MatchAll_Ct-1),AR1557=0),O1557,0)</f>
        <v>0</v>
      </c>
      <c r="BU1557" s="991">
        <f>IF(AND(Input_Product=Elig!$C1557,Elig_MatchAll_Ct&lt;22,$BC1557=(Elig_MatchAll_Ct-1),AS1557=0),P1557,0)</f>
        <v>0</v>
      </c>
      <c r="BV1557" s="992">
        <f>IF(AND(Input_Product=Elig!$C1557,Elig_MatchAll_Ct&lt;22,$BC1557=(Elig_MatchAll_Ct-1),AT1557=0),Q1557,0)</f>
        <v>0</v>
      </c>
      <c r="BW1557" s="993">
        <f>IF(AND(Input_Product=Elig!$C1557,Elig_MatchAll_Ct&lt;22,$BC1557=(Elig_MatchAll_Ct-1),AU1557=0),R1557,0)</f>
        <v>0</v>
      </c>
      <c r="BX1557" s="994">
        <f>IF(AND(Input_Product=Elig!$C1557,Elig_MatchAll_Ct&lt;22,$BC1557=(Elig_MatchAll_Ct-1),AU1557=0),S1557,0)</f>
        <v>0</v>
      </c>
      <c r="BY1557" s="993">
        <f>IF(AND(Input_Product=Elig!$C1557,Elig_MatchAll_Ct&lt;22,$BC1557=(Elig_MatchAll_Ct-1),AV1557=0),T1557,0)</f>
        <v>0</v>
      </c>
      <c r="BZ1557" s="994">
        <f>IF(AND(Input_Product=Elig!$C1557,Elig_MatchAll_Ct&lt;22,$BC1557=(Elig_MatchAll_Ct-1),AV1557=0),U1557,0)</f>
        <v>0</v>
      </c>
      <c r="CA1557" s="993">
        <f>IF(AND(Input_Product=Elig!$C1557,Elig_MatchAll_Ct&lt;22,$BC1557=(Elig_MatchAll_Ct-1),AW1557=0),V1557,0)</f>
        <v>0</v>
      </c>
      <c r="CB1557" s="994">
        <f>IF(AND(Input_Product=Elig!$C1557,Elig_MatchAll_Ct&lt;22,$BC1557=(Elig_MatchAll_Ct-1),AW1557=0),W1557,0)</f>
        <v>0</v>
      </c>
      <c r="CC1557" s="993">
        <f>IF(AND(Input_Product=Elig!$C1557,Elig_MatchAll_Ct&lt;22,$BC1557=(Elig_MatchAll_Ct-1),AX1557=0),X1557,0)</f>
        <v>0</v>
      </c>
      <c r="CD1557" s="994">
        <f>IF(AND(Input_Product=Elig!$C1557,Elig_MatchAll_Ct&lt;22,$BC1557=(Elig_MatchAll_Ct-1),AX1557=0),Y1557,0)</f>
        <v>0</v>
      </c>
      <c r="CE1557" s="993">
        <f>IF(AND(Input_LTV&lt;=AE1557,Input_Product=Elig!$C1557,Elig_MatchAll_Ct&lt;22,$BC1557=(Elig_MatchAll_Ct-1),AY1557=0),Z1557,0)</f>
        <v>0</v>
      </c>
      <c r="CF1557" s="994">
        <f>IF(AND(Input_LTV&lt;=AE1557,Input_Product=Elig!$C1557,Elig_MatchAll_Ct&lt;22,$BC1557=(Elig_MatchAll_Ct-1),AY1557=0),AA1557,0)</f>
        <v>0</v>
      </c>
      <c r="CG1557" s="993">
        <f>IF(AND(Input_Product=Elig!$C1557,Elig_MatchAll_Ct&lt;22,$BC1557=(Elig_MatchAll_Ct-1),AZ1557=0),AB1557,0)</f>
        <v>0</v>
      </c>
      <c r="CH1557" s="994">
        <f>IF(AND(Input_Product=Elig!$C1557,Elig_MatchAll_Ct&lt;22,$BC1557=(Elig_MatchAll_Ct-1),AZ1557=0),AC1557,0)</f>
        <v>0</v>
      </c>
      <c r="CI1557" s="993">
        <f>IF(AND(Input_Product=Elig!$C1557,Elig_MatchAll_Ct&lt;22,$BC1557=(Elig_MatchAll_Ct-1),BA1557=0),AD1557,0)</f>
        <v>0</v>
      </c>
      <c r="CJ1557" s="994">
        <f>IF(AND(Input_Product=Elig!$C1557,Elig_MatchAll_Ct&lt;22,$BC1557=(Elig_MatchAll_Ct-1),BA1557=0),AE1557,0)</f>
        <v>0</v>
      </c>
    </row>
    <row r="1558" spans="2:88" ht="10.15" customHeight="1" x14ac:dyDescent="0.25">
      <c r="B1558" s="1922" t="s">
        <v>2900</v>
      </c>
      <c r="C1558" s="1575" t="s">
        <v>3054</v>
      </c>
      <c r="D1558" s="1575" t="s">
        <v>2896</v>
      </c>
      <c r="E1558" s="1575" t="s">
        <v>167</v>
      </c>
      <c r="F1558" s="1575" t="s">
        <v>330</v>
      </c>
      <c r="G1558" s="1575" t="s">
        <v>181</v>
      </c>
      <c r="H1558" s="1575" t="s">
        <v>136</v>
      </c>
      <c r="I1558" s="1576" t="s">
        <v>16</v>
      </c>
      <c r="J1558" s="1576" t="s">
        <v>1311</v>
      </c>
      <c r="K1558" s="1576" t="s">
        <v>3024</v>
      </c>
      <c r="L1558" s="1575" t="s">
        <v>430</v>
      </c>
      <c r="M1558" s="1575" t="s">
        <v>4205</v>
      </c>
      <c r="N1558" s="1575" t="s">
        <v>2685</v>
      </c>
      <c r="O1558" s="1575" t="s">
        <v>310</v>
      </c>
      <c r="P1558" s="1575" t="s">
        <v>108</v>
      </c>
      <c r="Q1558" s="1575" t="s">
        <v>294</v>
      </c>
      <c r="R1558" s="1575">
        <v>400000</v>
      </c>
      <c r="S1558" s="1575">
        <v>1500000</v>
      </c>
      <c r="T1558" s="1575">
        <v>0</v>
      </c>
      <c r="U1558" s="1575">
        <v>1000000</v>
      </c>
      <c r="V1558" s="1575">
        <v>0</v>
      </c>
      <c r="W1558" s="1575">
        <v>0</v>
      </c>
      <c r="X1558" s="1575">
        <v>1</v>
      </c>
      <c r="Y1558" s="1575">
        <v>999</v>
      </c>
      <c r="Z1558" s="1577">
        <v>700</v>
      </c>
      <c r="AA1558" s="1577">
        <v>999</v>
      </c>
      <c r="AB1558" s="1577">
        <v>6</v>
      </c>
      <c r="AC1558" s="1577">
        <v>999999</v>
      </c>
      <c r="AD1558" s="1575">
        <v>0</v>
      </c>
      <c r="AE1558" s="1578">
        <v>65</v>
      </c>
      <c r="AF1558" s="170">
        <v>0</v>
      </c>
      <c r="AG1558" s="171">
        <v>1</v>
      </c>
      <c r="AH1558" s="171">
        <v>1</v>
      </c>
      <c r="AI1558" s="171">
        <v>0</v>
      </c>
      <c r="AJ1558" s="171">
        <v>0</v>
      </c>
      <c r="AK1558" s="171">
        <v>1</v>
      </c>
      <c r="AL1558" s="171">
        <v>1</v>
      </c>
      <c r="AM1558" s="171">
        <v>1</v>
      </c>
      <c r="AN1558" s="171">
        <v>0</v>
      </c>
      <c r="AO1558" s="171">
        <v>1</v>
      </c>
      <c r="AP1558" s="171">
        <v>1</v>
      </c>
      <c r="AQ1558" s="171">
        <v>1</v>
      </c>
      <c r="AR1558" s="171">
        <v>1</v>
      </c>
      <c r="AS1558" s="171">
        <v>1</v>
      </c>
      <c r="AT1558" s="171">
        <v>1</v>
      </c>
      <c r="AU1558" s="171">
        <f t="shared" si="515"/>
        <v>0</v>
      </c>
      <c r="AV1558" s="171">
        <f t="shared" si="516"/>
        <v>1</v>
      </c>
      <c r="AW1558" s="171">
        <f t="shared" si="517"/>
        <v>0</v>
      </c>
      <c r="AX1558" s="171">
        <f t="shared" si="525"/>
        <v>0</v>
      </c>
      <c r="AY1558" s="171">
        <f t="shared" si="518"/>
        <v>1</v>
      </c>
      <c r="AZ1558" s="171">
        <f t="shared" si="519"/>
        <v>1</v>
      </c>
      <c r="BA1558" s="172">
        <f t="shared" si="520"/>
        <v>1</v>
      </c>
      <c r="BB1558" s="175">
        <f t="shared" si="521"/>
        <v>15</v>
      </c>
      <c r="BC1558" s="176">
        <f t="shared" si="522"/>
        <v>14</v>
      </c>
      <c r="BD1558" s="176">
        <f t="shared" si="523"/>
        <v>15</v>
      </c>
      <c r="BE1558" s="240" t="str">
        <f t="shared" si="514"/>
        <v/>
      </c>
      <c r="BF1558" s="990"/>
      <c r="BG1558" s="990"/>
      <c r="BH1558" s="991">
        <f>IF(AND(Input_Product=Elig!$C1558,Elig_MatchAll_Ct&lt;22,$BC1558=(Elig_MatchAll_Ct-1),AF1558=0),C1558,0)</f>
        <v>0</v>
      </c>
      <c r="BI1558" s="991">
        <f>IF(AND(Input_Product=Elig!$C1558,Elig_MatchAll_Ct&lt;22,$BC1558=(Elig_MatchAll_Ct-1),AG1558=0),D1558,0)</f>
        <v>0</v>
      </c>
      <c r="BJ1558" s="991">
        <f>IF(AND(Input_Product=Elig!$C1558,Elig_MatchAll_Ct&lt;22,$BC1558=(Elig_MatchAll_Ct-1),AH1558=0),E1558,0)</f>
        <v>0</v>
      </c>
      <c r="BK1558" s="991">
        <f>IF(AND(Input_Product=Elig!$C1558,Elig_MatchAll_Ct&lt;22,$BC1558=(Elig_MatchAll_Ct-1),AI1558=0),F1558,0)</f>
        <v>0</v>
      </c>
      <c r="BL1558" s="991">
        <f>IF(AND(Input_Product=Elig!$C1558,Elig_MatchAll_Ct&lt;22,$BC1558=(Elig_MatchAll_Ct-1),AJ1558=0),G1558,0)</f>
        <v>0</v>
      </c>
      <c r="BM1558" s="991">
        <f>IF(AND(Input_Product=Elig!$C1558,Elig_MatchAll_Ct&lt;22,$BC1558=(Elig_MatchAll_Ct-1),AK1558=0),H1558,0)</f>
        <v>0</v>
      </c>
      <c r="BN1558" s="991">
        <f>IF(AND(Input_Product=Elig!$C1558,Elig_MatchAll_Ct&lt;22,$BC1558=(Elig_MatchAll_Ct-1),AL1558=0),I1558,0)</f>
        <v>0</v>
      </c>
      <c r="BO1558" s="991">
        <f>IF(AND(Input_Product=Elig!$C1558,Elig_MatchAll_Ct&lt;22,$BC1558=(Elig_MatchAll_Ct-1),AM1558=0),J1558,0)</f>
        <v>0</v>
      </c>
      <c r="BP1558" s="991">
        <f>IF(AND(Input_Product=Elig!$C1558,Elig_MatchAll_Ct&lt;22,$BC1558=(Elig_MatchAll_Ct-1),AN1558=0),K1558,0)</f>
        <v>0</v>
      </c>
      <c r="BQ1558" s="991">
        <f>IF(AND(Input_Product=Elig!$C1558,Elig_MatchAll_Ct&lt;22,$BC1558=(Elig_MatchAll_Ct-1),AP1558=0),L1558,0)</f>
        <v>0</v>
      </c>
      <c r="BR1558" s="991">
        <f>IF(AND(Input_Product=Elig!$C1558,Elig_MatchAll_Ct&lt;22,$BC1558=(Elig_MatchAll_Ct-1),AO1558=0),M1558,0)</f>
        <v>0</v>
      </c>
      <c r="BS1558" s="991">
        <f>IF(AND(Input_Product=Elig!$C1558,Elig_MatchAll_Ct&lt;22,$BC1558=(Elig_MatchAll_Ct-1),AQ1558=0),N1558,0)</f>
        <v>0</v>
      </c>
      <c r="BT1558" s="991">
        <f>IF(AND(Input_Product=Elig!$C1558,Elig_MatchAll_Ct&lt;22,$BC1558=(Elig_MatchAll_Ct-1),AR1558=0),O1558,0)</f>
        <v>0</v>
      </c>
      <c r="BU1558" s="991">
        <f>IF(AND(Input_Product=Elig!$C1558,Elig_MatchAll_Ct&lt;22,$BC1558=(Elig_MatchAll_Ct-1),AS1558=0),P1558,0)</f>
        <v>0</v>
      </c>
      <c r="BV1558" s="992">
        <f>IF(AND(Input_Product=Elig!$C1558,Elig_MatchAll_Ct&lt;22,$BC1558=(Elig_MatchAll_Ct-1),AT1558=0),Q1558,0)</f>
        <v>0</v>
      </c>
      <c r="BW1558" s="993">
        <f>IF(AND(Input_Product=Elig!$C1558,Elig_MatchAll_Ct&lt;22,$BC1558=(Elig_MatchAll_Ct-1),AU1558=0),R1558,0)</f>
        <v>0</v>
      </c>
      <c r="BX1558" s="994">
        <f>IF(AND(Input_Product=Elig!$C1558,Elig_MatchAll_Ct&lt;22,$BC1558=(Elig_MatchAll_Ct-1),AU1558=0),S1558,0)</f>
        <v>0</v>
      </c>
      <c r="BY1558" s="993">
        <f>IF(AND(Input_Product=Elig!$C1558,Elig_MatchAll_Ct&lt;22,$BC1558=(Elig_MatchAll_Ct-1),AV1558=0),T1558,0)</f>
        <v>0</v>
      </c>
      <c r="BZ1558" s="994">
        <f>IF(AND(Input_Product=Elig!$C1558,Elig_MatchAll_Ct&lt;22,$BC1558=(Elig_MatchAll_Ct-1),AV1558=0),U1558,0)</f>
        <v>0</v>
      </c>
      <c r="CA1558" s="993">
        <f>IF(AND(Input_Product=Elig!$C1558,Elig_MatchAll_Ct&lt;22,$BC1558=(Elig_MatchAll_Ct-1),AW1558=0),V1558,0)</f>
        <v>0</v>
      </c>
      <c r="CB1558" s="994">
        <f>IF(AND(Input_Product=Elig!$C1558,Elig_MatchAll_Ct&lt;22,$BC1558=(Elig_MatchAll_Ct-1),AW1558=0),W1558,0)</f>
        <v>0</v>
      </c>
      <c r="CC1558" s="993">
        <f>IF(AND(Input_Product=Elig!$C1558,Elig_MatchAll_Ct&lt;22,$BC1558=(Elig_MatchAll_Ct-1),AX1558=0),X1558,0)</f>
        <v>0</v>
      </c>
      <c r="CD1558" s="994">
        <f>IF(AND(Input_Product=Elig!$C1558,Elig_MatchAll_Ct&lt;22,$BC1558=(Elig_MatchAll_Ct-1),AX1558=0),Y1558,0)</f>
        <v>0</v>
      </c>
      <c r="CE1558" s="993">
        <f>IF(AND(Input_LTV&lt;=AE1558,Input_Product=Elig!$C1558,Elig_MatchAll_Ct&lt;22,$BC1558=(Elig_MatchAll_Ct-1),AY1558=0),Z1558,0)</f>
        <v>0</v>
      </c>
      <c r="CF1558" s="994">
        <f>IF(AND(Input_LTV&lt;=AE1558,Input_Product=Elig!$C1558,Elig_MatchAll_Ct&lt;22,$BC1558=(Elig_MatchAll_Ct-1),AY1558=0),AA1558,0)</f>
        <v>0</v>
      </c>
      <c r="CG1558" s="993">
        <f>IF(AND(Input_Product=Elig!$C1558,Elig_MatchAll_Ct&lt;22,$BC1558=(Elig_MatchAll_Ct-1),AZ1558=0),AB1558,0)</f>
        <v>0</v>
      </c>
      <c r="CH1558" s="994">
        <f>IF(AND(Input_Product=Elig!$C1558,Elig_MatchAll_Ct&lt;22,$BC1558=(Elig_MatchAll_Ct-1),AZ1558=0),AC1558,0)</f>
        <v>0</v>
      </c>
      <c r="CI1558" s="993">
        <f>IF(AND(Input_Product=Elig!$C1558,Elig_MatchAll_Ct&lt;22,$BC1558=(Elig_MatchAll_Ct-1),BA1558=0),AD1558,0)</f>
        <v>0</v>
      </c>
      <c r="CJ1558" s="994">
        <f>IF(AND(Input_Product=Elig!$C1558,Elig_MatchAll_Ct&lt;22,$BC1558=(Elig_MatchAll_Ct-1),BA1558=0),AE1558,0)</f>
        <v>0</v>
      </c>
    </row>
    <row r="1559" spans="2:88" ht="10.15" customHeight="1" x14ac:dyDescent="0.25">
      <c r="B1559" s="1922" t="s">
        <v>2901</v>
      </c>
      <c r="C1559" s="1579" t="s">
        <v>3054</v>
      </c>
      <c r="D1559" s="1579" t="s">
        <v>2896</v>
      </c>
      <c r="E1559" s="1579" t="s">
        <v>167</v>
      </c>
      <c r="F1559" s="1579" t="s">
        <v>330</v>
      </c>
      <c r="G1559" s="1579" t="s">
        <v>181</v>
      </c>
      <c r="H1559" s="1579" t="s">
        <v>136</v>
      </c>
      <c r="I1559" s="1580" t="s">
        <v>16</v>
      </c>
      <c r="J1559" s="1580" t="s">
        <v>1311</v>
      </c>
      <c r="K1559" s="1580" t="s">
        <v>3024</v>
      </c>
      <c r="L1559" s="1579" t="s">
        <v>430</v>
      </c>
      <c r="M1559" s="1579" t="s">
        <v>4205</v>
      </c>
      <c r="N1559" s="1579" t="s">
        <v>2685</v>
      </c>
      <c r="O1559" s="1579" t="s">
        <v>310</v>
      </c>
      <c r="P1559" s="1579" t="s">
        <v>108</v>
      </c>
      <c r="Q1559" s="1579" t="s">
        <v>294</v>
      </c>
      <c r="R1559" s="1579">
        <v>1500000.01</v>
      </c>
      <c r="S1559" s="1579">
        <v>2000000</v>
      </c>
      <c r="T1559" s="1579">
        <v>0</v>
      </c>
      <c r="U1559" s="1579">
        <v>1000000</v>
      </c>
      <c r="V1559" s="1579">
        <v>0</v>
      </c>
      <c r="W1559" s="1579">
        <v>0</v>
      </c>
      <c r="X1559" s="1579">
        <v>1</v>
      </c>
      <c r="Y1559" s="1579">
        <v>999</v>
      </c>
      <c r="Z1559" s="1581">
        <v>700</v>
      </c>
      <c r="AA1559" s="1581">
        <v>999</v>
      </c>
      <c r="AB1559" s="1581">
        <v>6</v>
      </c>
      <c r="AC1559" s="1581">
        <v>999999</v>
      </c>
      <c r="AD1559" s="1579">
        <v>0</v>
      </c>
      <c r="AE1559" s="1582">
        <v>65</v>
      </c>
      <c r="AF1559" s="170">
        <v>0</v>
      </c>
      <c r="AG1559" s="171">
        <v>1</v>
      </c>
      <c r="AH1559" s="171">
        <v>1</v>
      </c>
      <c r="AI1559" s="171">
        <v>0</v>
      </c>
      <c r="AJ1559" s="171">
        <v>0</v>
      </c>
      <c r="AK1559" s="171">
        <v>1</v>
      </c>
      <c r="AL1559" s="171">
        <v>1</v>
      </c>
      <c r="AM1559" s="171">
        <v>1</v>
      </c>
      <c r="AN1559" s="171">
        <v>0</v>
      </c>
      <c r="AO1559" s="171">
        <v>1</v>
      </c>
      <c r="AP1559" s="171">
        <v>1</v>
      </c>
      <c r="AQ1559" s="171">
        <v>1</v>
      </c>
      <c r="AR1559" s="171">
        <v>1</v>
      </c>
      <c r="AS1559" s="171">
        <v>1</v>
      </c>
      <c r="AT1559" s="171">
        <v>1</v>
      </c>
      <c r="AU1559" s="171">
        <f t="shared" si="515"/>
        <v>0</v>
      </c>
      <c r="AV1559" s="171">
        <f t="shared" si="516"/>
        <v>1</v>
      </c>
      <c r="AW1559" s="171">
        <f t="shared" si="517"/>
        <v>0</v>
      </c>
      <c r="AX1559" s="171">
        <f t="shared" si="525"/>
        <v>0</v>
      </c>
      <c r="AY1559" s="171">
        <f t="shared" si="518"/>
        <v>1</v>
      </c>
      <c r="AZ1559" s="171">
        <f t="shared" si="519"/>
        <v>1</v>
      </c>
      <c r="BA1559" s="172">
        <f t="shared" si="520"/>
        <v>1</v>
      </c>
      <c r="BB1559" s="175">
        <f t="shared" si="521"/>
        <v>15</v>
      </c>
      <c r="BC1559" s="176">
        <f t="shared" si="522"/>
        <v>14</v>
      </c>
      <c r="BD1559" s="176">
        <f t="shared" si="523"/>
        <v>15</v>
      </c>
      <c r="BE1559" s="240" t="str">
        <f t="shared" si="514"/>
        <v/>
      </c>
      <c r="BF1559" s="990"/>
      <c r="BG1559" s="990"/>
      <c r="BH1559" s="991">
        <f>IF(AND(Input_Product=Elig!$C1559,Elig_MatchAll_Ct&lt;22,$BC1559=(Elig_MatchAll_Ct-1),AF1559=0),C1559,0)</f>
        <v>0</v>
      </c>
      <c r="BI1559" s="991">
        <f>IF(AND(Input_Product=Elig!$C1559,Elig_MatchAll_Ct&lt;22,$BC1559=(Elig_MatchAll_Ct-1),AG1559=0),D1559,0)</f>
        <v>0</v>
      </c>
      <c r="BJ1559" s="991">
        <f>IF(AND(Input_Product=Elig!$C1559,Elig_MatchAll_Ct&lt;22,$BC1559=(Elig_MatchAll_Ct-1),AH1559=0),E1559,0)</f>
        <v>0</v>
      </c>
      <c r="BK1559" s="991">
        <f>IF(AND(Input_Product=Elig!$C1559,Elig_MatchAll_Ct&lt;22,$BC1559=(Elig_MatchAll_Ct-1),AI1559=0),F1559,0)</f>
        <v>0</v>
      </c>
      <c r="BL1559" s="991">
        <f>IF(AND(Input_Product=Elig!$C1559,Elig_MatchAll_Ct&lt;22,$BC1559=(Elig_MatchAll_Ct-1),AJ1559=0),G1559,0)</f>
        <v>0</v>
      </c>
      <c r="BM1559" s="991">
        <f>IF(AND(Input_Product=Elig!$C1559,Elig_MatchAll_Ct&lt;22,$BC1559=(Elig_MatchAll_Ct-1),AK1559=0),H1559,0)</f>
        <v>0</v>
      </c>
      <c r="BN1559" s="991">
        <f>IF(AND(Input_Product=Elig!$C1559,Elig_MatchAll_Ct&lt;22,$BC1559=(Elig_MatchAll_Ct-1),AL1559=0),I1559,0)</f>
        <v>0</v>
      </c>
      <c r="BO1559" s="991">
        <f>IF(AND(Input_Product=Elig!$C1559,Elig_MatchAll_Ct&lt;22,$BC1559=(Elig_MatchAll_Ct-1),AM1559=0),J1559,0)</f>
        <v>0</v>
      </c>
      <c r="BP1559" s="991">
        <f>IF(AND(Input_Product=Elig!$C1559,Elig_MatchAll_Ct&lt;22,$BC1559=(Elig_MatchAll_Ct-1),AN1559=0),K1559,0)</f>
        <v>0</v>
      </c>
      <c r="BQ1559" s="991">
        <f>IF(AND(Input_Product=Elig!$C1559,Elig_MatchAll_Ct&lt;22,$BC1559=(Elig_MatchAll_Ct-1),AP1559=0),L1559,0)</f>
        <v>0</v>
      </c>
      <c r="BR1559" s="991">
        <f>IF(AND(Input_Product=Elig!$C1559,Elig_MatchAll_Ct&lt;22,$BC1559=(Elig_MatchAll_Ct-1),AO1559=0),M1559,0)</f>
        <v>0</v>
      </c>
      <c r="BS1559" s="991">
        <f>IF(AND(Input_Product=Elig!$C1559,Elig_MatchAll_Ct&lt;22,$BC1559=(Elig_MatchAll_Ct-1),AQ1559=0),N1559,0)</f>
        <v>0</v>
      </c>
      <c r="BT1559" s="991">
        <f>IF(AND(Input_Product=Elig!$C1559,Elig_MatchAll_Ct&lt;22,$BC1559=(Elig_MatchAll_Ct-1),AR1559=0),O1559,0)</f>
        <v>0</v>
      </c>
      <c r="BU1559" s="991">
        <f>IF(AND(Input_Product=Elig!$C1559,Elig_MatchAll_Ct&lt;22,$BC1559=(Elig_MatchAll_Ct-1),AS1559=0),P1559,0)</f>
        <v>0</v>
      </c>
      <c r="BV1559" s="992">
        <f>IF(AND(Input_Product=Elig!$C1559,Elig_MatchAll_Ct&lt;22,$BC1559=(Elig_MatchAll_Ct-1),AT1559=0),Q1559,0)</f>
        <v>0</v>
      </c>
      <c r="BW1559" s="993">
        <f>IF(AND(Input_Product=Elig!$C1559,Elig_MatchAll_Ct&lt;22,$BC1559=(Elig_MatchAll_Ct-1),AU1559=0),R1559,0)</f>
        <v>0</v>
      </c>
      <c r="BX1559" s="994">
        <f>IF(AND(Input_Product=Elig!$C1559,Elig_MatchAll_Ct&lt;22,$BC1559=(Elig_MatchAll_Ct-1),AU1559=0),S1559,0)</f>
        <v>0</v>
      </c>
      <c r="BY1559" s="993">
        <f>IF(AND(Input_Product=Elig!$C1559,Elig_MatchAll_Ct&lt;22,$BC1559=(Elig_MatchAll_Ct-1),AV1559=0),T1559,0)</f>
        <v>0</v>
      </c>
      <c r="BZ1559" s="994">
        <f>IF(AND(Input_Product=Elig!$C1559,Elig_MatchAll_Ct&lt;22,$BC1559=(Elig_MatchAll_Ct-1),AV1559=0),U1559,0)</f>
        <v>0</v>
      </c>
      <c r="CA1559" s="993">
        <f>IF(AND(Input_Product=Elig!$C1559,Elig_MatchAll_Ct&lt;22,$BC1559=(Elig_MatchAll_Ct-1),AW1559=0),V1559,0)</f>
        <v>0</v>
      </c>
      <c r="CB1559" s="994">
        <f>IF(AND(Input_Product=Elig!$C1559,Elig_MatchAll_Ct&lt;22,$BC1559=(Elig_MatchAll_Ct-1),AW1559=0),W1559,0)</f>
        <v>0</v>
      </c>
      <c r="CC1559" s="993">
        <f>IF(AND(Input_Product=Elig!$C1559,Elig_MatchAll_Ct&lt;22,$BC1559=(Elig_MatchAll_Ct-1),AX1559=0),X1559,0)</f>
        <v>0</v>
      </c>
      <c r="CD1559" s="994">
        <f>IF(AND(Input_Product=Elig!$C1559,Elig_MatchAll_Ct&lt;22,$BC1559=(Elig_MatchAll_Ct-1),AX1559=0),Y1559,0)</f>
        <v>0</v>
      </c>
      <c r="CE1559" s="993">
        <f>IF(AND(Input_LTV&lt;=AE1559,Input_Product=Elig!$C1559,Elig_MatchAll_Ct&lt;22,$BC1559=(Elig_MatchAll_Ct-1),AY1559=0),Z1559,0)</f>
        <v>0</v>
      </c>
      <c r="CF1559" s="994">
        <f>IF(AND(Input_LTV&lt;=AE1559,Input_Product=Elig!$C1559,Elig_MatchAll_Ct&lt;22,$BC1559=(Elig_MatchAll_Ct-1),AY1559=0),AA1559,0)</f>
        <v>0</v>
      </c>
      <c r="CG1559" s="993">
        <f>IF(AND(Input_Product=Elig!$C1559,Elig_MatchAll_Ct&lt;22,$BC1559=(Elig_MatchAll_Ct-1),AZ1559=0),AB1559,0)</f>
        <v>0</v>
      </c>
      <c r="CH1559" s="994">
        <f>IF(AND(Input_Product=Elig!$C1559,Elig_MatchAll_Ct&lt;22,$BC1559=(Elig_MatchAll_Ct-1),AZ1559=0),AC1559,0)</f>
        <v>0</v>
      </c>
      <c r="CI1559" s="993">
        <f>IF(AND(Input_Product=Elig!$C1559,Elig_MatchAll_Ct&lt;22,$BC1559=(Elig_MatchAll_Ct-1),BA1559=0),AD1559,0)</f>
        <v>0</v>
      </c>
      <c r="CJ1559" s="994">
        <f>IF(AND(Input_Product=Elig!$C1559,Elig_MatchAll_Ct&lt;22,$BC1559=(Elig_MatchAll_Ct-1),BA1559=0),AE1559,0)</f>
        <v>0</v>
      </c>
    </row>
    <row r="1560" spans="2:88" ht="10.15" customHeight="1" x14ac:dyDescent="0.25">
      <c r="B1560" s="1923" t="s">
        <v>2902</v>
      </c>
      <c r="C1560" s="1583" t="s">
        <v>3055</v>
      </c>
      <c r="D1560" s="1583" t="s">
        <v>2764</v>
      </c>
      <c r="E1560" s="1583" t="s">
        <v>167</v>
      </c>
      <c r="F1560" s="1583" t="s">
        <v>330</v>
      </c>
      <c r="G1560" s="1583" t="s">
        <v>181</v>
      </c>
      <c r="H1560" s="1583" t="s">
        <v>136</v>
      </c>
      <c r="I1560" s="1584" t="s">
        <v>34</v>
      </c>
      <c r="J1560" s="1584" t="s">
        <v>1311</v>
      </c>
      <c r="K1560" s="1584" t="s">
        <v>3023</v>
      </c>
      <c r="L1560" s="1583" t="s">
        <v>430</v>
      </c>
      <c r="M1560" s="1583" t="s">
        <v>4205</v>
      </c>
      <c r="N1560" s="1583" t="s">
        <v>2685</v>
      </c>
      <c r="O1560" s="1583" t="s">
        <v>45</v>
      </c>
      <c r="P1560" s="1583" t="s">
        <v>291</v>
      </c>
      <c r="Q1560" s="1583" t="s">
        <v>294</v>
      </c>
      <c r="R1560" s="1583">
        <v>150000</v>
      </c>
      <c r="S1560" s="1583">
        <v>1000000</v>
      </c>
      <c r="T1560" s="1583">
        <v>0</v>
      </c>
      <c r="U1560" s="1583">
        <v>0</v>
      </c>
      <c r="V1560" s="1583">
        <v>0</v>
      </c>
      <c r="W1560" s="1583">
        <v>0</v>
      </c>
      <c r="X1560" s="1583">
        <v>1</v>
      </c>
      <c r="Y1560" s="1583">
        <v>999</v>
      </c>
      <c r="Z1560" s="1585">
        <v>680</v>
      </c>
      <c r="AA1560" s="1585">
        <v>999</v>
      </c>
      <c r="AB1560" s="1585">
        <v>6</v>
      </c>
      <c r="AC1560" s="1585">
        <v>999999</v>
      </c>
      <c r="AD1560" s="1583">
        <v>0</v>
      </c>
      <c r="AE1560" s="1586">
        <v>75</v>
      </c>
      <c r="AF1560" s="170">
        <v>0</v>
      </c>
      <c r="AG1560" s="171">
        <v>1</v>
      </c>
      <c r="AH1560" s="171">
        <v>1</v>
      </c>
      <c r="AI1560" s="171">
        <v>0</v>
      </c>
      <c r="AJ1560" s="171">
        <v>0</v>
      </c>
      <c r="AK1560" s="171">
        <v>1</v>
      </c>
      <c r="AL1560" s="171">
        <v>0</v>
      </c>
      <c r="AM1560" s="171">
        <v>1</v>
      </c>
      <c r="AN1560" s="171">
        <v>1</v>
      </c>
      <c r="AO1560" s="171">
        <v>1</v>
      </c>
      <c r="AP1560" s="171">
        <v>1</v>
      </c>
      <c r="AQ1560" s="171">
        <v>1</v>
      </c>
      <c r="AR1560" s="171">
        <v>0</v>
      </c>
      <c r="AS1560" s="171">
        <v>1</v>
      </c>
      <c r="AT1560" s="171">
        <v>1</v>
      </c>
      <c r="AU1560" s="171">
        <f t="shared" si="515"/>
        <v>1</v>
      </c>
      <c r="AV1560" s="171">
        <f t="shared" si="516"/>
        <v>0</v>
      </c>
      <c r="AW1560" s="171">
        <f t="shared" si="517"/>
        <v>0</v>
      </c>
      <c r="AX1560" s="171">
        <f t="shared" si="525"/>
        <v>0</v>
      </c>
      <c r="AY1560" s="171">
        <f t="shared" si="518"/>
        <v>1</v>
      </c>
      <c r="AZ1560" s="171">
        <f t="shared" si="519"/>
        <v>1</v>
      </c>
      <c r="BA1560" s="172">
        <f t="shared" si="520"/>
        <v>1</v>
      </c>
      <c r="BB1560" s="175">
        <f t="shared" si="521"/>
        <v>14</v>
      </c>
      <c r="BC1560" s="176">
        <f t="shared" si="522"/>
        <v>13</v>
      </c>
      <c r="BD1560" s="176">
        <f t="shared" si="523"/>
        <v>14</v>
      </c>
      <c r="BE1560" s="240" t="str">
        <f t="shared" si="514"/>
        <v/>
      </c>
      <c r="BF1560" s="990"/>
      <c r="BG1560" s="990"/>
      <c r="BH1560" s="991">
        <f>IF(AND(Input_Product=Elig!$C1560,Elig_MatchAll_Ct&lt;22,$BC1560=(Elig_MatchAll_Ct-1),AF1560=0),C1560,0)</f>
        <v>0</v>
      </c>
      <c r="BI1560" s="991">
        <f>IF(AND(Input_Product=Elig!$C1560,Elig_MatchAll_Ct&lt;22,$BC1560=(Elig_MatchAll_Ct-1),AG1560=0),D1560,0)</f>
        <v>0</v>
      </c>
      <c r="BJ1560" s="991">
        <f>IF(AND(Input_Product=Elig!$C1560,Elig_MatchAll_Ct&lt;22,$BC1560=(Elig_MatchAll_Ct-1),AH1560=0),E1560,0)</f>
        <v>0</v>
      </c>
      <c r="BK1560" s="991">
        <f>IF(AND(Input_Product=Elig!$C1560,Elig_MatchAll_Ct&lt;22,$BC1560=(Elig_MatchAll_Ct-1),AI1560=0),F1560,0)</f>
        <v>0</v>
      </c>
      <c r="BL1560" s="991">
        <f>IF(AND(Input_Product=Elig!$C1560,Elig_MatchAll_Ct&lt;22,$BC1560=(Elig_MatchAll_Ct-1),AJ1560=0),G1560,0)</f>
        <v>0</v>
      </c>
      <c r="BM1560" s="991">
        <f>IF(AND(Input_Product=Elig!$C1560,Elig_MatchAll_Ct&lt;22,$BC1560=(Elig_MatchAll_Ct-1),AK1560=0),H1560,0)</f>
        <v>0</v>
      </c>
      <c r="BN1560" s="991">
        <f>IF(AND(Input_Product=Elig!$C1560,Elig_MatchAll_Ct&lt;22,$BC1560=(Elig_MatchAll_Ct-1),AL1560=0),I1560,0)</f>
        <v>0</v>
      </c>
      <c r="BO1560" s="991">
        <f>IF(AND(Input_Product=Elig!$C1560,Elig_MatchAll_Ct&lt;22,$BC1560=(Elig_MatchAll_Ct-1),AM1560=0),J1560,0)</f>
        <v>0</v>
      </c>
      <c r="BP1560" s="991">
        <f>IF(AND(Input_Product=Elig!$C1560,Elig_MatchAll_Ct&lt;22,$BC1560=(Elig_MatchAll_Ct-1),AN1560=0),K1560,0)</f>
        <v>0</v>
      </c>
      <c r="BQ1560" s="991">
        <f>IF(AND(Input_Product=Elig!$C1560,Elig_MatchAll_Ct&lt;22,$BC1560=(Elig_MatchAll_Ct-1),AP1560=0),L1560,0)</f>
        <v>0</v>
      </c>
      <c r="BR1560" s="991">
        <f>IF(AND(Input_Product=Elig!$C1560,Elig_MatchAll_Ct&lt;22,$BC1560=(Elig_MatchAll_Ct-1),AO1560=0),M1560,0)</f>
        <v>0</v>
      </c>
      <c r="BS1560" s="991">
        <f>IF(AND(Input_Product=Elig!$C1560,Elig_MatchAll_Ct&lt;22,$BC1560=(Elig_MatchAll_Ct-1),AQ1560=0),N1560,0)</f>
        <v>0</v>
      </c>
      <c r="BT1560" s="991">
        <f>IF(AND(Input_Product=Elig!$C1560,Elig_MatchAll_Ct&lt;22,$BC1560=(Elig_MatchAll_Ct-1),AR1560=0),O1560,0)</f>
        <v>0</v>
      </c>
      <c r="BU1560" s="991">
        <f>IF(AND(Input_Product=Elig!$C1560,Elig_MatchAll_Ct&lt;22,$BC1560=(Elig_MatchAll_Ct-1),AS1560=0),P1560,0)</f>
        <v>0</v>
      </c>
      <c r="BV1560" s="992">
        <f>IF(AND(Input_Product=Elig!$C1560,Elig_MatchAll_Ct&lt;22,$BC1560=(Elig_MatchAll_Ct-1),AT1560=0),Q1560,0)</f>
        <v>0</v>
      </c>
      <c r="BW1560" s="993">
        <f>IF(AND(Input_Product=Elig!$C1560,Elig_MatchAll_Ct&lt;22,$BC1560=(Elig_MatchAll_Ct-1),AU1560=0),R1560,0)</f>
        <v>0</v>
      </c>
      <c r="BX1560" s="994">
        <f>IF(AND(Input_Product=Elig!$C1560,Elig_MatchAll_Ct&lt;22,$BC1560=(Elig_MatchAll_Ct-1),AU1560=0),S1560,0)</f>
        <v>0</v>
      </c>
      <c r="BY1560" s="993">
        <f>IF(AND(Input_Product=Elig!$C1560,Elig_MatchAll_Ct&lt;22,$BC1560=(Elig_MatchAll_Ct-1),AV1560=0),T1560,0)</f>
        <v>0</v>
      </c>
      <c r="BZ1560" s="994">
        <f>IF(AND(Input_Product=Elig!$C1560,Elig_MatchAll_Ct&lt;22,$BC1560=(Elig_MatchAll_Ct-1),AV1560=0),U1560,0)</f>
        <v>0</v>
      </c>
      <c r="CA1560" s="993">
        <f>IF(AND(Input_Product=Elig!$C1560,Elig_MatchAll_Ct&lt;22,$BC1560=(Elig_MatchAll_Ct-1),AW1560=0),V1560,0)</f>
        <v>0</v>
      </c>
      <c r="CB1560" s="994">
        <f>IF(AND(Input_Product=Elig!$C1560,Elig_MatchAll_Ct&lt;22,$BC1560=(Elig_MatchAll_Ct-1),AW1560=0),W1560,0)</f>
        <v>0</v>
      </c>
      <c r="CC1560" s="993">
        <f>IF(AND(Input_Product=Elig!$C1560,Elig_MatchAll_Ct&lt;22,$BC1560=(Elig_MatchAll_Ct-1),AX1560=0),X1560,0)</f>
        <v>0</v>
      </c>
      <c r="CD1560" s="994">
        <f>IF(AND(Input_Product=Elig!$C1560,Elig_MatchAll_Ct&lt;22,$BC1560=(Elig_MatchAll_Ct-1),AX1560=0),Y1560,0)</f>
        <v>0</v>
      </c>
      <c r="CE1560" s="993">
        <f>IF(AND(Input_LTV&lt;=AE1560,Input_Product=Elig!$C1560,Elig_MatchAll_Ct&lt;22,$BC1560=(Elig_MatchAll_Ct-1),AY1560=0),Z1560,0)</f>
        <v>0</v>
      </c>
      <c r="CF1560" s="994">
        <f>IF(AND(Input_LTV&lt;=AE1560,Input_Product=Elig!$C1560,Elig_MatchAll_Ct&lt;22,$BC1560=(Elig_MatchAll_Ct-1),AY1560=0),AA1560,0)</f>
        <v>0</v>
      </c>
      <c r="CG1560" s="993">
        <f>IF(AND(Input_Product=Elig!$C1560,Elig_MatchAll_Ct&lt;22,$BC1560=(Elig_MatchAll_Ct-1),AZ1560=0),AB1560,0)</f>
        <v>0</v>
      </c>
      <c r="CH1560" s="994">
        <f>IF(AND(Input_Product=Elig!$C1560,Elig_MatchAll_Ct&lt;22,$BC1560=(Elig_MatchAll_Ct-1),AZ1560=0),AC1560,0)</f>
        <v>0</v>
      </c>
      <c r="CI1560" s="993">
        <f>IF(AND(Input_Product=Elig!$C1560,Elig_MatchAll_Ct&lt;22,$BC1560=(Elig_MatchAll_Ct-1),BA1560=0),AD1560,0)</f>
        <v>0</v>
      </c>
      <c r="CJ1560" s="994">
        <f>IF(AND(Input_Product=Elig!$C1560,Elig_MatchAll_Ct&lt;22,$BC1560=(Elig_MatchAll_Ct-1),BA1560=0),AE1560,0)</f>
        <v>0</v>
      </c>
    </row>
    <row r="1561" spans="2:88" ht="10.15" customHeight="1" x14ac:dyDescent="0.25">
      <c r="B1561" s="1924" t="s">
        <v>2903</v>
      </c>
      <c r="C1561" s="1587" t="s">
        <v>3055</v>
      </c>
      <c r="D1561" s="1587" t="s">
        <v>2764</v>
      </c>
      <c r="E1561" s="1587" t="s">
        <v>167</v>
      </c>
      <c r="F1561" s="1587" t="s">
        <v>330</v>
      </c>
      <c r="G1561" s="1587" t="s">
        <v>181</v>
      </c>
      <c r="H1561" s="1587" t="s">
        <v>136</v>
      </c>
      <c r="I1561" s="1588" t="s">
        <v>34</v>
      </c>
      <c r="J1561" s="1588" t="s">
        <v>1311</v>
      </c>
      <c r="K1561" s="1588" t="s">
        <v>3023</v>
      </c>
      <c r="L1561" s="1587" t="s">
        <v>430</v>
      </c>
      <c r="M1561" s="1587" t="s">
        <v>4205</v>
      </c>
      <c r="N1561" s="1587" t="s">
        <v>2685</v>
      </c>
      <c r="O1561" s="1587" t="s">
        <v>45</v>
      </c>
      <c r="P1561" s="1587" t="s">
        <v>291</v>
      </c>
      <c r="Q1561" s="1587" t="s">
        <v>294</v>
      </c>
      <c r="R1561" s="1587">
        <v>1000000.01</v>
      </c>
      <c r="S1561" s="1587">
        <v>1500000</v>
      </c>
      <c r="T1561" s="1587">
        <v>0</v>
      </c>
      <c r="U1561" s="1587">
        <v>0</v>
      </c>
      <c r="V1561" s="1587">
        <v>0</v>
      </c>
      <c r="W1561" s="1587">
        <v>0</v>
      </c>
      <c r="X1561" s="1587">
        <v>1</v>
      </c>
      <c r="Y1561" s="1587">
        <v>999</v>
      </c>
      <c r="Z1561" s="1589">
        <v>680</v>
      </c>
      <c r="AA1561" s="1589">
        <v>999</v>
      </c>
      <c r="AB1561" s="1589">
        <v>6</v>
      </c>
      <c r="AC1561" s="1589">
        <v>999999</v>
      </c>
      <c r="AD1561" s="1587">
        <v>0</v>
      </c>
      <c r="AE1561" s="1590">
        <v>70</v>
      </c>
      <c r="AF1561" s="170">
        <v>0</v>
      </c>
      <c r="AG1561" s="171">
        <v>1</v>
      </c>
      <c r="AH1561" s="171">
        <v>1</v>
      </c>
      <c r="AI1561" s="171">
        <v>0</v>
      </c>
      <c r="AJ1561" s="171">
        <v>0</v>
      </c>
      <c r="AK1561" s="171">
        <v>1</v>
      </c>
      <c r="AL1561" s="171">
        <v>0</v>
      </c>
      <c r="AM1561" s="171">
        <v>1</v>
      </c>
      <c r="AN1561" s="171">
        <v>1</v>
      </c>
      <c r="AO1561" s="171">
        <v>1</v>
      </c>
      <c r="AP1561" s="171">
        <v>1</v>
      </c>
      <c r="AQ1561" s="171">
        <v>1</v>
      </c>
      <c r="AR1561" s="171">
        <v>0</v>
      </c>
      <c r="AS1561" s="171">
        <v>1</v>
      </c>
      <c r="AT1561" s="171">
        <v>1</v>
      </c>
      <c r="AU1561" s="171">
        <f t="shared" si="515"/>
        <v>0</v>
      </c>
      <c r="AV1561" s="171">
        <f t="shared" si="516"/>
        <v>0</v>
      </c>
      <c r="AW1561" s="171">
        <f t="shared" si="517"/>
        <v>0</v>
      </c>
      <c r="AX1561" s="171">
        <f t="shared" si="525"/>
        <v>0</v>
      </c>
      <c r="AY1561" s="171">
        <f t="shared" si="518"/>
        <v>1</v>
      </c>
      <c r="AZ1561" s="171">
        <f t="shared" si="519"/>
        <v>1</v>
      </c>
      <c r="BA1561" s="172">
        <f t="shared" si="520"/>
        <v>1</v>
      </c>
      <c r="BB1561" s="175">
        <f t="shared" si="521"/>
        <v>13</v>
      </c>
      <c r="BC1561" s="176">
        <f t="shared" si="522"/>
        <v>12</v>
      </c>
      <c r="BD1561" s="176">
        <f t="shared" si="523"/>
        <v>13</v>
      </c>
      <c r="BE1561" s="240" t="str">
        <f t="shared" si="514"/>
        <v/>
      </c>
      <c r="BF1561" s="990"/>
      <c r="BG1561" s="990"/>
      <c r="BH1561" s="991">
        <f>IF(AND(Input_Product=Elig!$C1561,Elig_MatchAll_Ct&lt;22,$BC1561=(Elig_MatchAll_Ct-1),AF1561=0),C1561,0)</f>
        <v>0</v>
      </c>
      <c r="BI1561" s="991">
        <f>IF(AND(Input_Product=Elig!$C1561,Elig_MatchAll_Ct&lt;22,$BC1561=(Elig_MatchAll_Ct-1),AG1561=0),D1561,0)</f>
        <v>0</v>
      </c>
      <c r="BJ1561" s="991">
        <f>IF(AND(Input_Product=Elig!$C1561,Elig_MatchAll_Ct&lt;22,$BC1561=(Elig_MatchAll_Ct-1),AH1561=0),E1561,0)</f>
        <v>0</v>
      </c>
      <c r="BK1561" s="991">
        <f>IF(AND(Input_Product=Elig!$C1561,Elig_MatchAll_Ct&lt;22,$BC1561=(Elig_MatchAll_Ct-1),AI1561=0),F1561,0)</f>
        <v>0</v>
      </c>
      <c r="BL1561" s="991">
        <f>IF(AND(Input_Product=Elig!$C1561,Elig_MatchAll_Ct&lt;22,$BC1561=(Elig_MatchAll_Ct-1),AJ1561=0),G1561,0)</f>
        <v>0</v>
      </c>
      <c r="BM1561" s="991">
        <f>IF(AND(Input_Product=Elig!$C1561,Elig_MatchAll_Ct&lt;22,$BC1561=(Elig_MatchAll_Ct-1),AK1561=0),H1561,0)</f>
        <v>0</v>
      </c>
      <c r="BN1561" s="991">
        <f>IF(AND(Input_Product=Elig!$C1561,Elig_MatchAll_Ct&lt;22,$BC1561=(Elig_MatchAll_Ct-1),AL1561=0),I1561,0)</f>
        <v>0</v>
      </c>
      <c r="BO1561" s="991">
        <f>IF(AND(Input_Product=Elig!$C1561,Elig_MatchAll_Ct&lt;22,$BC1561=(Elig_MatchAll_Ct-1),AM1561=0),J1561,0)</f>
        <v>0</v>
      </c>
      <c r="BP1561" s="991">
        <f>IF(AND(Input_Product=Elig!$C1561,Elig_MatchAll_Ct&lt;22,$BC1561=(Elig_MatchAll_Ct-1),AN1561=0),K1561,0)</f>
        <v>0</v>
      </c>
      <c r="BQ1561" s="991">
        <f>IF(AND(Input_Product=Elig!$C1561,Elig_MatchAll_Ct&lt;22,$BC1561=(Elig_MatchAll_Ct-1),AP1561=0),L1561,0)</f>
        <v>0</v>
      </c>
      <c r="BR1561" s="991">
        <f>IF(AND(Input_Product=Elig!$C1561,Elig_MatchAll_Ct&lt;22,$BC1561=(Elig_MatchAll_Ct-1),AO1561=0),M1561,0)</f>
        <v>0</v>
      </c>
      <c r="BS1561" s="991">
        <f>IF(AND(Input_Product=Elig!$C1561,Elig_MatchAll_Ct&lt;22,$BC1561=(Elig_MatchAll_Ct-1),AQ1561=0),N1561,0)</f>
        <v>0</v>
      </c>
      <c r="BT1561" s="991">
        <f>IF(AND(Input_Product=Elig!$C1561,Elig_MatchAll_Ct&lt;22,$BC1561=(Elig_MatchAll_Ct-1),AR1561=0),O1561,0)</f>
        <v>0</v>
      </c>
      <c r="BU1561" s="991">
        <f>IF(AND(Input_Product=Elig!$C1561,Elig_MatchAll_Ct&lt;22,$BC1561=(Elig_MatchAll_Ct-1),AS1561=0),P1561,0)</f>
        <v>0</v>
      </c>
      <c r="BV1561" s="992">
        <f>IF(AND(Input_Product=Elig!$C1561,Elig_MatchAll_Ct&lt;22,$BC1561=(Elig_MatchAll_Ct-1),AT1561=0),Q1561,0)</f>
        <v>0</v>
      </c>
      <c r="BW1561" s="993">
        <f>IF(AND(Input_Product=Elig!$C1561,Elig_MatchAll_Ct&lt;22,$BC1561=(Elig_MatchAll_Ct-1),AU1561=0),R1561,0)</f>
        <v>0</v>
      </c>
      <c r="BX1561" s="994">
        <f>IF(AND(Input_Product=Elig!$C1561,Elig_MatchAll_Ct&lt;22,$BC1561=(Elig_MatchAll_Ct-1),AU1561=0),S1561,0)</f>
        <v>0</v>
      </c>
      <c r="BY1561" s="993">
        <f>IF(AND(Input_Product=Elig!$C1561,Elig_MatchAll_Ct&lt;22,$BC1561=(Elig_MatchAll_Ct-1),AV1561=0),T1561,0)</f>
        <v>0</v>
      </c>
      <c r="BZ1561" s="994">
        <f>IF(AND(Input_Product=Elig!$C1561,Elig_MatchAll_Ct&lt;22,$BC1561=(Elig_MatchAll_Ct-1),AV1561=0),U1561,0)</f>
        <v>0</v>
      </c>
      <c r="CA1561" s="993">
        <f>IF(AND(Input_Product=Elig!$C1561,Elig_MatchAll_Ct&lt;22,$BC1561=(Elig_MatchAll_Ct-1),AW1561=0),V1561,0)</f>
        <v>0</v>
      </c>
      <c r="CB1561" s="994">
        <f>IF(AND(Input_Product=Elig!$C1561,Elig_MatchAll_Ct&lt;22,$BC1561=(Elig_MatchAll_Ct-1),AW1561=0),W1561,0)</f>
        <v>0</v>
      </c>
      <c r="CC1561" s="993">
        <f>IF(AND(Input_Product=Elig!$C1561,Elig_MatchAll_Ct&lt;22,$BC1561=(Elig_MatchAll_Ct-1),AX1561=0),X1561,0)</f>
        <v>0</v>
      </c>
      <c r="CD1561" s="994">
        <f>IF(AND(Input_Product=Elig!$C1561,Elig_MatchAll_Ct&lt;22,$BC1561=(Elig_MatchAll_Ct-1),AX1561=0),Y1561,0)</f>
        <v>0</v>
      </c>
      <c r="CE1561" s="993">
        <f>IF(AND(Input_LTV&lt;=AE1561,Input_Product=Elig!$C1561,Elig_MatchAll_Ct&lt;22,$BC1561=(Elig_MatchAll_Ct-1),AY1561=0),Z1561,0)</f>
        <v>0</v>
      </c>
      <c r="CF1561" s="994">
        <f>IF(AND(Input_LTV&lt;=AE1561,Input_Product=Elig!$C1561,Elig_MatchAll_Ct&lt;22,$BC1561=(Elig_MatchAll_Ct-1),AY1561=0),AA1561,0)</f>
        <v>0</v>
      </c>
      <c r="CG1561" s="993">
        <f>IF(AND(Input_Product=Elig!$C1561,Elig_MatchAll_Ct&lt;22,$BC1561=(Elig_MatchAll_Ct-1),AZ1561=0),AB1561,0)</f>
        <v>0</v>
      </c>
      <c r="CH1561" s="994">
        <f>IF(AND(Input_Product=Elig!$C1561,Elig_MatchAll_Ct&lt;22,$BC1561=(Elig_MatchAll_Ct-1),AZ1561=0),AC1561,0)</f>
        <v>0</v>
      </c>
      <c r="CI1561" s="993">
        <f>IF(AND(Input_Product=Elig!$C1561,Elig_MatchAll_Ct&lt;22,$BC1561=(Elig_MatchAll_Ct-1),BA1561=0),AD1561,0)</f>
        <v>0</v>
      </c>
      <c r="CJ1561" s="994">
        <f>IF(AND(Input_Product=Elig!$C1561,Elig_MatchAll_Ct&lt;22,$BC1561=(Elig_MatchAll_Ct-1),BA1561=0),AE1561,0)</f>
        <v>0</v>
      </c>
    </row>
    <row r="1562" spans="2:88" ht="10.15" customHeight="1" x14ac:dyDescent="0.25">
      <c r="B1562" s="1924" t="s">
        <v>2904</v>
      </c>
      <c r="C1562" s="1587" t="s">
        <v>3055</v>
      </c>
      <c r="D1562" s="1587" t="s">
        <v>2764</v>
      </c>
      <c r="E1562" s="1587" t="s">
        <v>167</v>
      </c>
      <c r="F1562" s="1587" t="s">
        <v>330</v>
      </c>
      <c r="G1562" s="1587" t="s">
        <v>181</v>
      </c>
      <c r="H1562" s="1587" t="s">
        <v>136</v>
      </c>
      <c r="I1562" s="1588" t="s">
        <v>34</v>
      </c>
      <c r="J1562" s="1588" t="s">
        <v>1311</v>
      </c>
      <c r="K1562" s="1588" t="s">
        <v>3023</v>
      </c>
      <c r="L1562" s="1587" t="s">
        <v>430</v>
      </c>
      <c r="M1562" s="1587" t="s">
        <v>4205</v>
      </c>
      <c r="N1562" s="1587" t="s">
        <v>2685</v>
      </c>
      <c r="O1562" s="1587" t="s">
        <v>45</v>
      </c>
      <c r="P1562" s="1587" t="s">
        <v>291</v>
      </c>
      <c r="Q1562" s="1587" t="s">
        <v>294</v>
      </c>
      <c r="R1562" s="1587">
        <v>150000</v>
      </c>
      <c r="S1562" s="1587">
        <v>1000000</v>
      </c>
      <c r="T1562" s="1587">
        <v>0</v>
      </c>
      <c r="U1562" s="1587">
        <v>0</v>
      </c>
      <c r="V1562" s="1587">
        <v>0</v>
      </c>
      <c r="W1562" s="1587">
        <v>0</v>
      </c>
      <c r="X1562" s="1587">
        <v>1</v>
      </c>
      <c r="Y1562" s="1587">
        <v>999</v>
      </c>
      <c r="Z1562" s="1589">
        <v>660</v>
      </c>
      <c r="AA1562" s="1589">
        <v>660</v>
      </c>
      <c r="AB1562" s="1589">
        <v>6</v>
      </c>
      <c r="AC1562" s="1589">
        <v>999999</v>
      </c>
      <c r="AD1562" s="1587">
        <v>0</v>
      </c>
      <c r="AE1562" s="1590">
        <v>75</v>
      </c>
      <c r="AF1562" s="170">
        <v>0</v>
      </c>
      <c r="AG1562" s="171">
        <v>1</v>
      </c>
      <c r="AH1562" s="171">
        <v>1</v>
      </c>
      <c r="AI1562" s="171">
        <v>0</v>
      </c>
      <c r="AJ1562" s="171">
        <v>0</v>
      </c>
      <c r="AK1562" s="171">
        <v>1</v>
      </c>
      <c r="AL1562" s="171">
        <v>0</v>
      </c>
      <c r="AM1562" s="171">
        <v>1</v>
      </c>
      <c r="AN1562" s="171">
        <v>1</v>
      </c>
      <c r="AO1562" s="171">
        <v>1</v>
      </c>
      <c r="AP1562" s="171">
        <v>1</v>
      </c>
      <c r="AQ1562" s="171">
        <v>1</v>
      </c>
      <c r="AR1562" s="171">
        <v>0</v>
      </c>
      <c r="AS1562" s="171">
        <v>1</v>
      </c>
      <c r="AT1562" s="171">
        <v>1</v>
      </c>
      <c r="AU1562" s="171">
        <f t="shared" si="515"/>
        <v>1</v>
      </c>
      <c r="AV1562" s="171">
        <f t="shared" si="516"/>
        <v>0</v>
      </c>
      <c r="AW1562" s="171">
        <f t="shared" si="517"/>
        <v>0</v>
      </c>
      <c r="AX1562" s="171">
        <f t="shared" si="525"/>
        <v>0</v>
      </c>
      <c r="AY1562" s="171">
        <f t="shared" si="518"/>
        <v>0</v>
      </c>
      <c r="AZ1562" s="171">
        <f t="shared" si="519"/>
        <v>1</v>
      </c>
      <c r="BA1562" s="172">
        <f t="shared" si="520"/>
        <v>1</v>
      </c>
      <c r="BB1562" s="175">
        <f t="shared" si="521"/>
        <v>13</v>
      </c>
      <c r="BC1562" s="176">
        <f t="shared" si="522"/>
        <v>12</v>
      </c>
      <c r="BD1562" s="176">
        <f t="shared" si="523"/>
        <v>13</v>
      </c>
      <c r="BE1562" s="240" t="str">
        <f t="shared" si="514"/>
        <v/>
      </c>
      <c r="BF1562" s="990"/>
      <c r="BG1562" s="990"/>
      <c r="BH1562" s="991">
        <f>IF(AND(Input_Product=Elig!$C1562,Elig_MatchAll_Ct&lt;22,$BC1562=(Elig_MatchAll_Ct-1),AF1562=0),C1562,0)</f>
        <v>0</v>
      </c>
      <c r="BI1562" s="991">
        <f>IF(AND(Input_Product=Elig!$C1562,Elig_MatchAll_Ct&lt;22,$BC1562=(Elig_MatchAll_Ct-1),AG1562=0),D1562,0)</f>
        <v>0</v>
      </c>
      <c r="BJ1562" s="991">
        <f>IF(AND(Input_Product=Elig!$C1562,Elig_MatchAll_Ct&lt;22,$BC1562=(Elig_MatchAll_Ct-1),AH1562=0),E1562,0)</f>
        <v>0</v>
      </c>
      <c r="BK1562" s="991">
        <f>IF(AND(Input_Product=Elig!$C1562,Elig_MatchAll_Ct&lt;22,$BC1562=(Elig_MatchAll_Ct-1),AI1562=0),F1562,0)</f>
        <v>0</v>
      </c>
      <c r="BL1562" s="991">
        <f>IF(AND(Input_Product=Elig!$C1562,Elig_MatchAll_Ct&lt;22,$BC1562=(Elig_MatchAll_Ct-1),AJ1562=0),G1562,0)</f>
        <v>0</v>
      </c>
      <c r="BM1562" s="991">
        <f>IF(AND(Input_Product=Elig!$C1562,Elig_MatchAll_Ct&lt;22,$BC1562=(Elig_MatchAll_Ct-1),AK1562=0),H1562,0)</f>
        <v>0</v>
      </c>
      <c r="BN1562" s="991">
        <f>IF(AND(Input_Product=Elig!$C1562,Elig_MatchAll_Ct&lt;22,$BC1562=(Elig_MatchAll_Ct-1),AL1562=0),I1562,0)</f>
        <v>0</v>
      </c>
      <c r="BO1562" s="991">
        <f>IF(AND(Input_Product=Elig!$C1562,Elig_MatchAll_Ct&lt;22,$BC1562=(Elig_MatchAll_Ct-1),AM1562=0),J1562,0)</f>
        <v>0</v>
      </c>
      <c r="BP1562" s="991">
        <f>IF(AND(Input_Product=Elig!$C1562,Elig_MatchAll_Ct&lt;22,$BC1562=(Elig_MatchAll_Ct-1),AN1562=0),K1562,0)</f>
        <v>0</v>
      </c>
      <c r="BQ1562" s="991">
        <f>IF(AND(Input_Product=Elig!$C1562,Elig_MatchAll_Ct&lt;22,$BC1562=(Elig_MatchAll_Ct-1),AP1562=0),L1562,0)</f>
        <v>0</v>
      </c>
      <c r="BR1562" s="991">
        <f>IF(AND(Input_Product=Elig!$C1562,Elig_MatchAll_Ct&lt;22,$BC1562=(Elig_MatchAll_Ct-1),AO1562=0),M1562,0)</f>
        <v>0</v>
      </c>
      <c r="BS1562" s="991">
        <f>IF(AND(Input_Product=Elig!$C1562,Elig_MatchAll_Ct&lt;22,$BC1562=(Elig_MatchAll_Ct-1),AQ1562=0),N1562,0)</f>
        <v>0</v>
      </c>
      <c r="BT1562" s="991">
        <f>IF(AND(Input_Product=Elig!$C1562,Elig_MatchAll_Ct&lt;22,$BC1562=(Elig_MatchAll_Ct-1),AR1562=0),O1562,0)</f>
        <v>0</v>
      </c>
      <c r="BU1562" s="991">
        <f>IF(AND(Input_Product=Elig!$C1562,Elig_MatchAll_Ct&lt;22,$BC1562=(Elig_MatchAll_Ct-1),AS1562=0),P1562,0)</f>
        <v>0</v>
      </c>
      <c r="BV1562" s="992">
        <f>IF(AND(Input_Product=Elig!$C1562,Elig_MatchAll_Ct&lt;22,$BC1562=(Elig_MatchAll_Ct-1),AT1562=0),Q1562,0)</f>
        <v>0</v>
      </c>
      <c r="BW1562" s="993">
        <f>IF(AND(Input_Product=Elig!$C1562,Elig_MatchAll_Ct&lt;22,$BC1562=(Elig_MatchAll_Ct-1),AU1562=0),R1562,0)</f>
        <v>0</v>
      </c>
      <c r="BX1562" s="994">
        <f>IF(AND(Input_Product=Elig!$C1562,Elig_MatchAll_Ct&lt;22,$BC1562=(Elig_MatchAll_Ct-1),AU1562=0),S1562,0)</f>
        <v>0</v>
      </c>
      <c r="BY1562" s="993">
        <f>IF(AND(Input_Product=Elig!$C1562,Elig_MatchAll_Ct&lt;22,$BC1562=(Elig_MatchAll_Ct-1),AV1562=0),T1562,0)</f>
        <v>0</v>
      </c>
      <c r="BZ1562" s="994">
        <f>IF(AND(Input_Product=Elig!$C1562,Elig_MatchAll_Ct&lt;22,$BC1562=(Elig_MatchAll_Ct-1),AV1562=0),U1562,0)</f>
        <v>0</v>
      </c>
      <c r="CA1562" s="993">
        <f>IF(AND(Input_Product=Elig!$C1562,Elig_MatchAll_Ct&lt;22,$BC1562=(Elig_MatchAll_Ct-1),AW1562=0),V1562,0)</f>
        <v>0</v>
      </c>
      <c r="CB1562" s="994">
        <f>IF(AND(Input_Product=Elig!$C1562,Elig_MatchAll_Ct&lt;22,$BC1562=(Elig_MatchAll_Ct-1),AW1562=0),W1562,0)</f>
        <v>0</v>
      </c>
      <c r="CC1562" s="993">
        <f>IF(AND(Input_Product=Elig!$C1562,Elig_MatchAll_Ct&lt;22,$BC1562=(Elig_MatchAll_Ct-1),AX1562=0),X1562,0)</f>
        <v>0</v>
      </c>
      <c r="CD1562" s="994">
        <f>IF(AND(Input_Product=Elig!$C1562,Elig_MatchAll_Ct&lt;22,$BC1562=(Elig_MatchAll_Ct-1),AX1562=0),Y1562,0)</f>
        <v>0</v>
      </c>
      <c r="CE1562" s="993">
        <f>IF(AND(Input_LTV&lt;=AE1562,Input_Product=Elig!$C1562,Elig_MatchAll_Ct&lt;22,$BC1562=(Elig_MatchAll_Ct-1),AY1562=0),Z1562,0)</f>
        <v>0</v>
      </c>
      <c r="CF1562" s="994">
        <f>IF(AND(Input_LTV&lt;=AE1562,Input_Product=Elig!$C1562,Elig_MatchAll_Ct&lt;22,$BC1562=(Elig_MatchAll_Ct-1),AY1562=0),AA1562,0)</f>
        <v>0</v>
      </c>
      <c r="CG1562" s="993">
        <f>IF(AND(Input_Product=Elig!$C1562,Elig_MatchAll_Ct&lt;22,$BC1562=(Elig_MatchAll_Ct-1),AZ1562=0),AB1562,0)</f>
        <v>0</v>
      </c>
      <c r="CH1562" s="994">
        <f>IF(AND(Input_Product=Elig!$C1562,Elig_MatchAll_Ct&lt;22,$BC1562=(Elig_MatchAll_Ct-1),AZ1562=0),AC1562,0)</f>
        <v>0</v>
      </c>
      <c r="CI1562" s="993">
        <f>IF(AND(Input_Product=Elig!$C1562,Elig_MatchAll_Ct&lt;22,$BC1562=(Elig_MatchAll_Ct-1),BA1562=0),AD1562,0)</f>
        <v>0</v>
      </c>
      <c r="CJ1562" s="994">
        <f>IF(AND(Input_Product=Elig!$C1562,Elig_MatchAll_Ct&lt;22,$BC1562=(Elig_MatchAll_Ct-1),BA1562=0),AE1562,0)</f>
        <v>0</v>
      </c>
    </row>
    <row r="1563" spans="2:88" ht="10.15" customHeight="1" x14ac:dyDescent="0.25">
      <c r="B1563" s="1924" t="s">
        <v>2905</v>
      </c>
      <c r="C1563" s="1587" t="s">
        <v>3055</v>
      </c>
      <c r="D1563" s="1587" t="s">
        <v>2764</v>
      </c>
      <c r="E1563" s="1587" t="s">
        <v>167</v>
      </c>
      <c r="F1563" s="1587" t="s">
        <v>330</v>
      </c>
      <c r="G1563" s="1587" t="s">
        <v>181</v>
      </c>
      <c r="H1563" s="1587" t="s">
        <v>136</v>
      </c>
      <c r="I1563" s="1588" t="s">
        <v>34</v>
      </c>
      <c r="J1563" s="1588" t="s">
        <v>1311</v>
      </c>
      <c r="K1563" s="1588" t="s">
        <v>3023</v>
      </c>
      <c r="L1563" s="1587" t="s">
        <v>430</v>
      </c>
      <c r="M1563" s="1587" t="s">
        <v>4205</v>
      </c>
      <c r="N1563" s="1587" t="s">
        <v>2685</v>
      </c>
      <c r="O1563" s="1587" t="s">
        <v>45</v>
      </c>
      <c r="P1563" s="1587" t="s">
        <v>291</v>
      </c>
      <c r="Q1563" s="1587" t="s">
        <v>294</v>
      </c>
      <c r="R1563" s="1587">
        <v>1000000.01</v>
      </c>
      <c r="S1563" s="1587">
        <v>1500000</v>
      </c>
      <c r="T1563" s="1587">
        <v>0</v>
      </c>
      <c r="U1563" s="1587">
        <v>0</v>
      </c>
      <c r="V1563" s="1587">
        <v>0</v>
      </c>
      <c r="W1563" s="1587">
        <v>0</v>
      </c>
      <c r="X1563" s="1587">
        <v>1</v>
      </c>
      <c r="Y1563" s="1587">
        <v>999</v>
      </c>
      <c r="Z1563" s="1589">
        <v>660</v>
      </c>
      <c r="AA1563" s="1589">
        <v>660</v>
      </c>
      <c r="AB1563" s="1589">
        <v>6</v>
      </c>
      <c r="AC1563" s="1589">
        <v>999999</v>
      </c>
      <c r="AD1563" s="1587">
        <v>0</v>
      </c>
      <c r="AE1563" s="1590">
        <v>70</v>
      </c>
      <c r="AF1563" s="170">
        <v>0</v>
      </c>
      <c r="AG1563" s="171">
        <v>1</v>
      </c>
      <c r="AH1563" s="171">
        <v>1</v>
      </c>
      <c r="AI1563" s="171">
        <v>0</v>
      </c>
      <c r="AJ1563" s="171">
        <v>0</v>
      </c>
      <c r="AK1563" s="171">
        <v>1</v>
      </c>
      <c r="AL1563" s="171">
        <v>0</v>
      </c>
      <c r="AM1563" s="171">
        <v>1</v>
      </c>
      <c r="AN1563" s="171">
        <v>1</v>
      </c>
      <c r="AO1563" s="171">
        <v>1</v>
      </c>
      <c r="AP1563" s="171">
        <v>1</v>
      </c>
      <c r="AQ1563" s="171">
        <v>1</v>
      </c>
      <c r="AR1563" s="171">
        <v>0</v>
      </c>
      <c r="AS1563" s="171">
        <v>1</v>
      </c>
      <c r="AT1563" s="171">
        <v>1</v>
      </c>
      <c r="AU1563" s="171">
        <f t="shared" si="515"/>
        <v>0</v>
      </c>
      <c r="AV1563" s="171">
        <f t="shared" si="516"/>
        <v>0</v>
      </c>
      <c r="AW1563" s="171">
        <f t="shared" si="517"/>
        <v>0</v>
      </c>
      <c r="AX1563" s="171">
        <f t="shared" si="525"/>
        <v>0</v>
      </c>
      <c r="AY1563" s="171">
        <f t="shared" si="518"/>
        <v>0</v>
      </c>
      <c r="AZ1563" s="171">
        <f t="shared" si="519"/>
        <v>1</v>
      </c>
      <c r="BA1563" s="172">
        <f t="shared" si="520"/>
        <v>1</v>
      </c>
      <c r="BB1563" s="175">
        <f t="shared" si="521"/>
        <v>12</v>
      </c>
      <c r="BC1563" s="176">
        <f t="shared" si="522"/>
        <v>11</v>
      </c>
      <c r="BD1563" s="176">
        <f t="shared" si="523"/>
        <v>12</v>
      </c>
      <c r="BE1563" s="240" t="str">
        <f t="shared" si="514"/>
        <v/>
      </c>
      <c r="BF1563" s="990"/>
      <c r="BG1563" s="990"/>
      <c r="BH1563" s="991">
        <f>IF(AND(Input_Product=Elig!$C1563,Elig_MatchAll_Ct&lt;22,$BC1563=(Elig_MatchAll_Ct-1),AF1563=0),C1563,0)</f>
        <v>0</v>
      </c>
      <c r="BI1563" s="991">
        <f>IF(AND(Input_Product=Elig!$C1563,Elig_MatchAll_Ct&lt;22,$BC1563=(Elig_MatchAll_Ct-1),AG1563=0),D1563,0)</f>
        <v>0</v>
      </c>
      <c r="BJ1563" s="991">
        <f>IF(AND(Input_Product=Elig!$C1563,Elig_MatchAll_Ct&lt;22,$BC1563=(Elig_MatchAll_Ct-1),AH1563=0),E1563,0)</f>
        <v>0</v>
      </c>
      <c r="BK1563" s="991">
        <f>IF(AND(Input_Product=Elig!$C1563,Elig_MatchAll_Ct&lt;22,$BC1563=(Elig_MatchAll_Ct-1),AI1563=0),F1563,0)</f>
        <v>0</v>
      </c>
      <c r="BL1563" s="991">
        <f>IF(AND(Input_Product=Elig!$C1563,Elig_MatchAll_Ct&lt;22,$BC1563=(Elig_MatchAll_Ct-1),AJ1563=0),G1563,0)</f>
        <v>0</v>
      </c>
      <c r="BM1563" s="991">
        <f>IF(AND(Input_Product=Elig!$C1563,Elig_MatchAll_Ct&lt;22,$BC1563=(Elig_MatchAll_Ct-1),AK1563=0),H1563,0)</f>
        <v>0</v>
      </c>
      <c r="BN1563" s="991">
        <f>IF(AND(Input_Product=Elig!$C1563,Elig_MatchAll_Ct&lt;22,$BC1563=(Elig_MatchAll_Ct-1),AL1563=0),I1563,0)</f>
        <v>0</v>
      </c>
      <c r="BO1563" s="991">
        <f>IF(AND(Input_Product=Elig!$C1563,Elig_MatchAll_Ct&lt;22,$BC1563=(Elig_MatchAll_Ct-1),AM1563=0),J1563,0)</f>
        <v>0</v>
      </c>
      <c r="BP1563" s="991">
        <f>IF(AND(Input_Product=Elig!$C1563,Elig_MatchAll_Ct&lt;22,$BC1563=(Elig_MatchAll_Ct-1),AN1563=0),K1563,0)</f>
        <v>0</v>
      </c>
      <c r="BQ1563" s="991">
        <f>IF(AND(Input_Product=Elig!$C1563,Elig_MatchAll_Ct&lt;22,$BC1563=(Elig_MatchAll_Ct-1),AP1563=0),L1563,0)</f>
        <v>0</v>
      </c>
      <c r="BR1563" s="991">
        <f>IF(AND(Input_Product=Elig!$C1563,Elig_MatchAll_Ct&lt;22,$BC1563=(Elig_MatchAll_Ct-1),AO1563=0),M1563,0)</f>
        <v>0</v>
      </c>
      <c r="BS1563" s="991">
        <f>IF(AND(Input_Product=Elig!$C1563,Elig_MatchAll_Ct&lt;22,$BC1563=(Elig_MatchAll_Ct-1),AQ1563=0),N1563,0)</f>
        <v>0</v>
      </c>
      <c r="BT1563" s="991">
        <f>IF(AND(Input_Product=Elig!$C1563,Elig_MatchAll_Ct&lt;22,$BC1563=(Elig_MatchAll_Ct-1),AR1563=0),O1563,0)</f>
        <v>0</v>
      </c>
      <c r="BU1563" s="991">
        <f>IF(AND(Input_Product=Elig!$C1563,Elig_MatchAll_Ct&lt;22,$BC1563=(Elig_MatchAll_Ct-1),AS1563=0),P1563,0)</f>
        <v>0</v>
      </c>
      <c r="BV1563" s="992">
        <f>IF(AND(Input_Product=Elig!$C1563,Elig_MatchAll_Ct&lt;22,$BC1563=(Elig_MatchAll_Ct-1),AT1563=0),Q1563,0)</f>
        <v>0</v>
      </c>
      <c r="BW1563" s="993">
        <f>IF(AND(Input_Product=Elig!$C1563,Elig_MatchAll_Ct&lt;22,$BC1563=(Elig_MatchAll_Ct-1),AU1563=0),R1563,0)</f>
        <v>0</v>
      </c>
      <c r="BX1563" s="994">
        <f>IF(AND(Input_Product=Elig!$C1563,Elig_MatchAll_Ct&lt;22,$BC1563=(Elig_MatchAll_Ct-1),AU1563=0),S1563,0)</f>
        <v>0</v>
      </c>
      <c r="BY1563" s="993">
        <f>IF(AND(Input_Product=Elig!$C1563,Elig_MatchAll_Ct&lt;22,$BC1563=(Elig_MatchAll_Ct-1),AV1563=0),T1563,0)</f>
        <v>0</v>
      </c>
      <c r="BZ1563" s="994">
        <f>IF(AND(Input_Product=Elig!$C1563,Elig_MatchAll_Ct&lt;22,$BC1563=(Elig_MatchAll_Ct-1),AV1563=0),U1563,0)</f>
        <v>0</v>
      </c>
      <c r="CA1563" s="993">
        <f>IF(AND(Input_Product=Elig!$C1563,Elig_MatchAll_Ct&lt;22,$BC1563=(Elig_MatchAll_Ct-1),AW1563=0),V1563,0)</f>
        <v>0</v>
      </c>
      <c r="CB1563" s="994">
        <f>IF(AND(Input_Product=Elig!$C1563,Elig_MatchAll_Ct&lt;22,$BC1563=(Elig_MatchAll_Ct-1),AW1563=0),W1563,0)</f>
        <v>0</v>
      </c>
      <c r="CC1563" s="993">
        <f>IF(AND(Input_Product=Elig!$C1563,Elig_MatchAll_Ct&lt;22,$BC1563=(Elig_MatchAll_Ct-1),AX1563=0),X1563,0)</f>
        <v>0</v>
      </c>
      <c r="CD1563" s="994">
        <f>IF(AND(Input_Product=Elig!$C1563,Elig_MatchAll_Ct&lt;22,$BC1563=(Elig_MatchAll_Ct-1),AX1563=0),Y1563,0)</f>
        <v>0</v>
      </c>
      <c r="CE1563" s="993">
        <f>IF(AND(Input_LTV&lt;=AE1563,Input_Product=Elig!$C1563,Elig_MatchAll_Ct&lt;22,$BC1563=(Elig_MatchAll_Ct-1),AY1563=0),Z1563,0)</f>
        <v>0</v>
      </c>
      <c r="CF1563" s="994">
        <f>IF(AND(Input_LTV&lt;=AE1563,Input_Product=Elig!$C1563,Elig_MatchAll_Ct&lt;22,$BC1563=(Elig_MatchAll_Ct-1),AY1563=0),AA1563,0)</f>
        <v>0</v>
      </c>
      <c r="CG1563" s="993">
        <f>IF(AND(Input_Product=Elig!$C1563,Elig_MatchAll_Ct&lt;22,$BC1563=(Elig_MatchAll_Ct-1),AZ1563=0),AB1563,0)</f>
        <v>0</v>
      </c>
      <c r="CH1563" s="994">
        <f>IF(AND(Input_Product=Elig!$C1563,Elig_MatchAll_Ct&lt;22,$BC1563=(Elig_MatchAll_Ct-1),AZ1563=0),AC1563,0)</f>
        <v>0</v>
      </c>
      <c r="CI1563" s="993">
        <f>IF(AND(Input_Product=Elig!$C1563,Elig_MatchAll_Ct&lt;22,$BC1563=(Elig_MatchAll_Ct-1),BA1563=0),AD1563,0)</f>
        <v>0</v>
      </c>
      <c r="CJ1563" s="994">
        <f>IF(AND(Input_Product=Elig!$C1563,Elig_MatchAll_Ct&lt;22,$BC1563=(Elig_MatchAll_Ct-1),BA1563=0),AE1563,0)</f>
        <v>0</v>
      </c>
    </row>
    <row r="1564" spans="2:88" ht="10.15" customHeight="1" x14ac:dyDescent="0.25">
      <c r="B1564" s="1924" t="s">
        <v>2906</v>
      </c>
      <c r="C1564" s="1587" t="s">
        <v>3055</v>
      </c>
      <c r="D1564" s="1587" t="s">
        <v>2764</v>
      </c>
      <c r="E1564" s="1587" t="s">
        <v>167</v>
      </c>
      <c r="F1564" s="1587" t="s">
        <v>330</v>
      </c>
      <c r="G1564" s="1587" t="s">
        <v>181</v>
      </c>
      <c r="H1564" s="1587" t="s">
        <v>136</v>
      </c>
      <c r="I1564" s="1588" t="s">
        <v>34</v>
      </c>
      <c r="J1564" s="1588" t="s">
        <v>1311</v>
      </c>
      <c r="K1564" s="1588" t="s">
        <v>3023</v>
      </c>
      <c r="L1564" s="1587" t="s">
        <v>430</v>
      </c>
      <c r="M1564" s="1587" t="s">
        <v>4205</v>
      </c>
      <c r="N1564" s="1587" t="s">
        <v>2685</v>
      </c>
      <c r="O1564" s="1587" t="s">
        <v>45</v>
      </c>
      <c r="P1564" s="1587" t="s">
        <v>291</v>
      </c>
      <c r="Q1564" s="1587" t="s">
        <v>294</v>
      </c>
      <c r="R1564" s="1587">
        <v>150000</v>
      </c>
      <c r="S1564" s="1587">
        <v>1000000</v>
      </c>
      <c r="T1564" s="1587">
        <v>0</v>
      </c>
      <c r="U1564" s="1587">
        <v>0</v>
      </c>
      <c r="V1564" s="1587">
        <v>0</v>
      </c>
      <c r="W1564" s="1587">
        <v>0</v>
      </c>
      <c r="X1564" s="1587">
        <v>0.01</v>
      </c>
      <c r="Y1564" s="1587">
        <v>0.99</v>
      </c>
      <c r="Z1564" s="1589">
        <v>680</v>
      </c>
      <c r="AA1564" s="1589">
        <v>999</v>
      </c>
      <c r="AB1564" s="1589">
        <v>6</v>
      </c>
      <c r="AC1564" s="1589">
        <v>999999</v>
      </c>
      <c r="AD1564" s="1587">
        <v>0</v>
      </c>
      <c r="AE1564" s="1590">
        <v>65</v>
      </c>
      <c r="AF1564" s="170">
        <v>0</v>
      </c>
      <c r="AG1564" s="171">
        <v>1</v>
      </c>
      <c r="AH1564" s="171">
        <v>1</v>
      </c>
      <c r="AI1564" s="171">
        <v>0</v>
      </c>
      <c r="AJ1564" s="171">
        <v>0</v>
      </c>
      <c r="AK1564" s="171">
        <v>1</v>
      </c>
      <c r="AL1564" s="171">
        <v>0</v>
      </c>
      <c r="AM1564" s="171">
        <v>1</v>
      </c>
      <c r="AN1564" s="171">
        <v>1</v>
      </c>
      <c r="AO1564" s="171">
        <v>1</v>
      </c>
      <c r="AP1564" s="171">
        <v>1</v>
      </c>
      <c r="AQ1564" s="171">
        <v>1</v>
      </c>
      <c r="AR1564" s="171">
        <v>0</v>
      </c>
      <c r="AS1564" s="171">
        <v>1</v>
      </c>
      <c r="AT1564" s="171">
        <v>1</v>
      </c>
      <c r="AU1564" s="171">
        <f t="shared" si="515"/>
        <v>1</v>
      </c>
      <c r="AV1564" s="171">
        <f t="shared" si="516"/>
        <v>0</v>
      </c>
      <c r="AW1564" s="171">
        <f t="shared" si="517"/>
        <v>0</v>
      </c>
      <c r="AX1564" s="171">
        <f t="shared" si="525"/>
        <v>0</v>
      </c>
      <c r="AY1564" s="171">
        <f t="shared" si="518"/>
        <v>1</v>
      </c>
      <c r="AZ1564" s="171">
        <f t="shared" si="519"/>
        <v>1</v>
      </c>
      <c r="BA1564" s="172">
        <f t="shared" si="520"/>
        <v>1</v>
      </c>
      <c r="BB1564" s="175">
        <f t="shared" si="521"/>
        <v>14</v>
      </c>
      <c r="BC1564" s="176">
        <f t="shared" si="522"/>
        <v>13</v>
      </c>
      <c r="BD1564" s="176">
        <f t="shared" si="523"/>
        <v>14</v>
      </c>
      <c r="BE1564" s="240" t="str">
        <f t="shared" si="514"/>
        <v/>
      </c>
      <c r="BF1564" s="990"/>
      <c r="BG1564" s="990"/>
      <c r="BH1564" s="991">
        <f>IF(AND(Input_Product=Elig!$C1564,Elig_MatchAll_Ct&lt;22,$BC1564=(Elig_MatchAll_Ct-1),AF1564=0),C1564,0)</f>
        <v>0</v>
      </c>
      <c r="BI1564" s="991">
        <f>IF(AND(Input_Product=Elig!$C1564,Elig_MatchAll_Ct&lt;22,$BC1564=(Elig_MatchAll_Ct-1),AG1564=0),D1564,0)</f>
        <v>0</v>
      </c>
      <c r="BJ1564" s="991">
        <f>IF(AND(Input_Product=Elig!$C1564,Elig_MatchAll_Ct&lt;22,$BC1564=(Elig_MatchAll_Ct-1),AH1564=0),E1564,0)</f>
        <v>0</v>
      </c>
      <c r="BK1564" s="991">
        <f>IF(AND(Input_Product=Elig!$C1564,Elig_MatchAll_Ct&lt;22,$BC1564=(Elig_MatchAll_Ct-1),AI1564=0),F1564,0)</f>
        <v>0</v>
      </c>
      <c r="BL1564" s="991">
        <f>IF(AND(Input_Product=Elig!$C1564,Elig_MatchAll_Ct&lt;22,$BC1564=(Elig_MatchAll_Ct-1),AJ1564=0),G1564,0)</f>
        <v>0</v>
      </c>
      <c r="BM1564" s="991">
        <f>IF(AND(Input_Product=Elig!$C1564,Elig_MatchAll_Ct&lt;22,$BC1564=(Elig_MatchAll_Ct-1),AK1564=0),H1564,0)</f>
        <v>0</v>
      </c>
      <c r="BN1564" s="991">
        <f>IF(AND(Input_Product=Elig!$C1564,Elig_MatchAll_Ct&lt;22,$BC1564=(Elig_MatchAll_Ct-1),AL1564=0),I1564,0)</f>
        <v>0</v>
      </c>
      <c r="BO1564" s="991">
        <f>IF(AND(Input_Product=Elig!$C1564,Elig_MatchAll_Ct&lt;22,$BC1564=(Elig_MatchAll_Ct-1),AM1564=0),J1564,0)</f>
        <v>0</v>
      </c>
      <c r="BP1564" s="991">
        <f>IF(AND(Input_Product=Elig!$C1564,Elig_MatchAll_Ct&lt;22,$BC1564=(Elig_MatchAll_Ct-1),AN1564=0),K1564,0)</f>
        <v>0</v>
      </c>
      <c r="BQ1564" s="991">
        <f>IF(AND(Input_Product=Elig!$C1564,Elig_MatchAll_Ct&lt;22,$BC1564=(Elig_MatchAll_Ct-1),AP1564=0),L1564,0)</f>
        <v>0</v>
      </c>
      <c r="BR1564" s="991">
        <f>IF(AND(Input_Product=Elig!$C1564,Elig_MatchAll_Ct&lt;22,$BC1564=(Elig_MatchAll_Ct-1),AO1564=0),M1564,0)</f>
        <v>0</v>
      </c>
      <c r="BS1564" s="991">
        <f>IF(AND(Input_Product=Elig!$C1564,Elig_MatchAll_Ct&lt;22,$BC1564=(Elig_MatchAll_Ct-1),AQ1564=0),N1564,0)</f>
        <v>0</v>
      </c>
      <c r="BT1564" s="991">
        <f>IF(AND(Input_Product=Elig!$C1564,Elig_MatchAll_Ct&lt;22,$BC1564=(Elig_MatchAll_Ct-1),AR1564=0),O1564,0)</f>
        <v>0</v>
      </c>
      <c r="BU1564" s="991">
        <f>IF(AND(Input_Product=Elig!$C1564,Elig_MatchAll_Ct&lt;22,$BC1564=(Elig_MatchAll_Ct-1),AS1564=0),P1564,0)</f>
        <v>0</v>
      </c>
      <c r="BV1564" s="992">
        <f>IF(AND(Input_Product=Elig!$C1564,Elig_MatchAll_Ct&lt;22,$BC1564=(Elig_MatchAll_Ct-1),AT1564=0),Q1564,0)</f>
        <v>0</v>
      </c>
      <c r="BW1564" s="993">
        <f>IF(AND(Input_Product=Elig!$C1564,Elig_MatchAll_Ct&lt;22,$BC1564=(Elig_MatchAll_Ct-1),AU1564=0),R1564,0)</f>
        <v>0</v>
      </c>
      <c r="BX1564" s="994">
        <f>IF(AND(Input_Product=Elig!$C1564,Elig_MatchAll_Ct&lt;22,$BC1564=(Elig_MatchAll_Ct-1),AU1564=0),S1564,0)</f>
        <v>0</v>
      </c>
      <c r="BY1564" s="993">
        <f>IF(AND(Input_Product=Elig!$C1564,Elig_MatchAll_Ct&lt;22,$BC1564=(Elig_MatchAll_Ct-1),AV1564=0),T1564,0)</f>
        <v>0</v>
      </c>
      <c r="BZ1564" s="994">
        <f>IF(AND(Input_Product=Elig!$C1564,Elig_MatchAll_Ct&lt;22,$BC1564=(Elig_MatchAll_Ct-1),AV1564=0),U1564,0)</f>
        <v>0</v>
      </c>
      <c r="CA1564" s="993">
        <f>IF(AND(Input_Product=Elig!$C1564,Elig_MatchAll_Ct&lt;22,$BC1564=(Elig_MatchAll_Ct-1),AW1564=0),V1564,0)</f>
        <v>0</v>
      </c>
      <c r="CB1564" s="994">
        <f>IF(AND(Input_Product=Elig!$C1564,Elig_MatchAll_Ct&lt;22,$BC1564=(Elig_MatchAll_Ct-1),AW1564=0),W1564,0)</f>
        <v>0</v>
      </c>
      <c r="CC1564" s="993">
        <f>IF(AND(Input_Product=Elig!$C1564,Elig_MatchAll_Ct&lt;22,$BC1564=(Elig_MatchAll_Ct-1),AX1564=0),X1564,0)</f>
        <v>0</v>
      </c>
      <c r="CD1564" s="994">
        <f>IF(AND(Input_Product=Elig!$C1564,Elig_MatchAll_Ct&lt;22,$BC1564=(Elig_MatchAll_Ct-1),AX1564=0),Y1564,0)</f>
        <v>0</v>
      </c>
      <c r="CE1564" s="993">
        <f>IF(AND(Input_LTV&lt;=AE1564,Input_Product=Elig!$C1564,Elig_MatchAll_Ct&lt;22,$BC1564=(Elig_MatchAll_Ct-1),AY1564=0),Z1564,0)</f>
        <v>0</v>
      </c>
      <c r="CF1564" s="994">
        <f>IF(AND(Input_LTV&lt;=AE1564,Input_Product=Elig!$C1564,Elig_MatchAll_Ct&lt;22,$BC1564=(Elig_MatchAll_Ct-1),AY1564=0),AA1564,0)</f>
        <v>0</v>
      </c>
      <c r="CG1564" s="993">
        <f>IF(AND(Input_Product=Elig!$C1564,Elig_MatchAll_Ct&lt;22,$BC1564=(Elig_MatchAll_Ct-1),AZ1564=0),AB1564,0)</f>
        <v>0</v>
      </c>
      <c r="CH1564" s="994">
        <f>IF(AND(Input_Product=Elig!$C1564,Elig_MatchAll_Ct&lt;22,$BC1564=(Elig_MatchAll_Ct-1),AZ1564=0),AC1564,0)</f>
        <v>0</v>
      </c>
      <c r="CI1564" s="993">
        <f>IF(AND(Input_Product=Elig!$C1564,Elig_MatchAll_Ct&lt;22,$BC1564=(Elig_MatchAll_Ct-1),BA1564=0),AD1564,0)</f>
        <v>0</v>
      </c>
      <c r="CJ1564" s="994">
        <f>IF(AND(Input_Product=Elig!$C1564,Elig_MatchAll_Ct&lt;22,$BC1564=(Elig_MatchAll_Ct-1),BA1564=0),AE1564,0)</f>
        <v>0</v>
      </c>
    </row>
    <row r="1565" spans="2:88" ht="10.15" customHeight="1" x14ac:dyDescent="0.25">
      <c r="B1565" s="1924" t="s">
        <v>2907</v>
      </c>
      <c r="C1565" s="1587" t="s">
        <v>3055</v>
      </c>
      <c r="D1565" s="1587" t="s">
        <v>2764</v>
      </c>
      <c r="E1565" s="1587" t="s">
        <v>167</v>
      </c>
      <c r="F1565" s="1587" t="s">
        <v>330</v>
      </c>
      <c r="G1565" s="1587" t="s">
        <v>181</v>
      </c>
      <c r="H1565" s="1587" t="s">
        <v>136</v>
      </c>
      <c r="I1565" s="1588" t="s">
        <v>34</v>
      </c>
      <c r="J1565" s="1588" t="s">
        <v>1311</v>
      </c>
      <c r="K1565" s="1588" t="s">
        <v>3023</v>
      </c>
      <c r="L1565" s="1587" t="s">
        <v>430</v>
      </c>
      <c r="M1565" s="1587" t="s">
        <v>4205</v>
      </c>
      <c r="N1565" s="1587" t="s">
        <v>2685</v>
      </c>
      <c r="O1565" s="1587" t="s">
        <v>45</v>
      </c>
      <c r="P1565" s="1587" t="s">
        <v>291</v>
      </c>
      <c r="Q1565" s="1587" t="s">
        <v>294</v>
      </c>
      <c r="R1565" s="1587">
        <v>1000000.01</v>
      </c>
      <c r="S1565" s="1587">
        <v>1500000</v>
      </c>
      <c r="T1565" s="1587">
        <v>0</v>
      </c>
      <c r="U1565" s="1587">
        <v>0</v>
      </c>
      <c r="V1565" s="1587">
        <v>0</v>
      </c>
      <c r="W1565" s="1587">
        <v>0</v>
      </c>
      <c r="X1565" s="1587">
        <v>0.01</v>
      </c>
      <c r="Y1565" s="1587">
        <v>0.99</v>
      </c>
      <c r="Z1565" s="1589">
        <v>680</v>
      </c>
      <c r="AA1565" s="1589">
        <v>999</v>
      </c>
      <c r="AB1565" s="1589">
        <v>6</v>
      </c>
      <c r="AC1565" s="1589">
        <v>999999</v>
      </c>
      <c r="AD1565" s="1587">
        <v>0</v>
      </c>
      <c r="AE1565" s="1590">
        <v>65</v>
      </c>
      <c r="AF1565" s="170">
        <v>0</v>
      </c>
      <c r="AG1565" s="171">
        <v>1</v>
      </c>
      <c r="AH1565" s="171">
        <v>1</v>
      </c>
      <c r="AI1565" s="171">
        <v>0</v>
      </c>
      <c r="AJ1565" s="171">
        <v>0</v>
      </c>
      <c r="AK1565" s="171">
        <v>1</v>
      </c>
      <c r="AL1565" s="171">
        <v>0</v>
      </c>
      <c r="AM1565" s="171">
        <v>1</v>
      </c>
      <c r="AN1565" s="171">
        <v>1</v>
      </c>
      <c r="AO1565" s="171">
        <v>1</v>
      </c>
      <c r="AP1565" s="171">
        <v>1</v>
      </c>
      <c r="AQ1565" s="171">
        <v>1</v>
      </c>
      <c r="AR1565" s="171">
        <v>0</v>
      </c>
      <c r="AS1565" s="171">
        <v>1</v>
      </c>
      <c r="AT1565" s="171">
        <v>1</v>
      </c>
      <c r="AU1565" s="171">
        <f t="shared" si="515"/>
        <v>0</v>
      </c>
      <c r="AV1565" s="171">
        <f t="shared" si="516"/>
        <v>0</v>
      </c>
      <c r="AW1565" s="171">
        <f t="shared" si="517"/>
        <v>0</v>
      </c>
      <c r="AX1565" s="171">
        <f t="shared" si="525"/>
        <v>0</v>
      </c>
      <c r="AY1565" s="171">
        <f t="shared" si="518"/>
        <v>1</v>
      </c>
      <c r="AZ1565" s="171">
        <f t="shared" si="519"/>
        <v>1</v>
      </c>
      <c r="BA1565" s="172">
        <f t="shared" si="520"/>
        <v>1</v>
      </c>
      <c r="BB1565" s="175">
        <f t="shared" si="521"/>
        <v>13</v>
      </c>
      <c r="BC1565" s="176">
        <f t="shared" si="522"/>
        <v>12</v>
      </c>
      <c r="BD1565" s="176">
        <f t="shared" si="523"/>
        <v>13</v>
      </c>
      <c r="BE1565" s="240" t="str">
        <f t="shared" si="514"/>
        <v/>
      </c>
      <c r="BF1565" s="990"/>
      <c r="BG1565" s="990"/>
      <c r="BH1565" s="991">
        <f>IF(AND(Input_Product=Elig!$C1565,Elig_MatchAll_Ct&lt;22,$BC1565=(Elig_MatchAll_Ct-1),AF1565=0),C1565,0)</f>
        <v>0</v>
      </c>
      <c r="BI1565" s="991">
        <f>IF(AND(Input_Product=Elig!$C1565,Elig_MatchAll_Ct&lt;22,$BC1565=(Elig_MatchAll_Ct-1),AG1565=0),D1565,0)</f>
        <v>0</v>
      </c>
      <c r="BJ1565" s="991">
        <f>IF(AND(Input_Product=Elig!$C1565,Elig_MatchAll_Ct&lt;22,$BC1565=(Elig_MatchAll_Ct-1),AH1565=0),E1565,0)</f>
        <v>0</v>
      </c>
      <c r="BK1565" s="991">
        <f>IF(AND(Input_Product=Elig!$C1565,Elig_MatchAll_Ct&lt;22,$BC1565=(Elig_MatchAll_Ct-1),AI1565=0),F1565,0)</f>
        <v>0</v>
      </c>
      <c r="BL1565" s="991">
        <f>IF(AND(Input_Product=Elig!$C1565,Elig_MatchAll_Ct&lt;22,$BC1565=(Elig_MatchAll_Ct-1),AJ1565=0),G1565,0)</f>
        <v>0</v>
      </c>
      <c r="BM1565" s="991">
        <f>IF(AND(Input_Product=Elig!$C1565,Elig_MatchAll_Ct&lt;22,$BC1565=(Elig_MatchAll_Ct-1),AK1565=0),H1565,0)</f>
        <v>0</v>
      </c>
      <c r="BN1565" s="991">
        <f>IF(AND(Input_Product=Elig!$C1565,Elig_MatchAll_Ct&lt;22,$BC1565=(Elig_MatchAll_Ct-1),AL1565=0),I1565,0)</f>
        <v>0</v>
      </c>
      <c r="BO1565" s="991">
        <f>IF(AND(Input_Product=Elig!$C1565,Elig_MatchAll_Ct&lt;22,$BC1565=(Elig_MatchAll_Ct-1),AM1565=0),J1565,0)</f>
        <v>0</v>
      </c>
      <c r="BP1565" s="991">
        <f>IF(AND(Input_Product=Elig!$C1565,Elig_MatchAll_Ct&lt;22,$BC1565=(Elig_MatchAll_Ct-1),AN1565=0),K1565,0)</f>
        <v>0</v>
      </c>
      <c r="BQ1565" s="991">
        <f>IF(AND(Input_Product=Elig!$C1565,Elig_MatchAll_Ct&lt;22,$BC1565=(Elig_MatchAll_Ct-1),AP1565=0),L1565,0)</f>
        <v>0</v>
      </c>
      <c r="BR1565" s="991">
        <f>IF(AND(Input_Product=Elig!$C1565,Elig_MatchAll_Ct&lt;22,$BC1565=(Elig_MatchAll_Ct-1),AO1565=0),M1565,0)</f>
        <v>0</v>
      </c>
      <c r="BS1565" s="991">
        <f>IF(AND(Input_Product=Elig!$C1565,Elig_MatchAll_Ct&lt;22,$BC1565=(Elig_MatchAll_Ct-1),AQ1565=0),N1565,0)</f>
        <v>0</v>
      </c>
      <c r="BT1565" s="991">
        <f>IF(AND(Input_Product=Elig!$C1565,Elig_MatchAll_Ct&lt;22,$BC1565=(Elig_MatchAll_Ct-1),AR1565=0),O1565,0)</f>
        <v>0</v>
      </c>
      <c r="BU1565" s="991">
        <f>IF(AND(Input_Product=Elig!$C1565,Elig_MatchAll_Ct&lt;22,$BC1565=(Elig_MatchAll_Ct-1),AS1565=0),P1565,0)</f>
        <v>0</v>
      </c>
      <c r="BV1565" s="992">
        <f>IF(AND(Input_Product=Elig!$C1565,Elig_MatchAll_Ct&lt;22,$BC1565=(Elig_MatchAll_Ct-1),AT1565=0),Q1565,0)</f>
        <v>0</v>
      </c>
      <c r="BW1565" s="993">
        <f>IF(AND(Input_Product=Elig!$C1565,Elig_MatchAll_Ct&lt;22,$BC1565=(Elig_MatchAll_Ct-1),AU1565=0),R1565,0)</f>
        <v>0</v>
      </c>
      <c r="BX1565" s="994">
        <f>IF(AND(Input_Product=Elig!$C1565,Elig_MatchAll_Ct&lt;22,$BC1565=(Elig_MatchAll_Ct-1),AU1565=0),S1565,0)</f>
        <v>0</v>
      </c>
      <c r="BY1565" s="993">
        <f>IF(AND(Input_Product=Elig!$C1565,Elig_MatchAll_Ct&lt;22,$BC1565=(Elig_MatchAll_Ct-1),AV1565=0),T1565,0)</f>
        <v>0</v>
      </c>
      <c r="BZ1565" s="994">
        <f>IF(AND(Input_Product=Elig!$C1565,Elig_MatchAll_Ct&lt;22,$BC1565=(Elig_MatchAll_Ct-1),AV1565=0),U1565,0)</f>
        <v>0</v>
      </c>
      <c r="CA1565" s="993">
        <f>IF(AND(Input_Product=Elig!$C1565,Elig_MatchAll_Ct&lt;22,$BC1565=(Elig_MatchAll_Ct-1),AW1565=0),V1565,0)</f>
        <v>0</v>
      </c>
      <c r="CB1565" s="994">
        <f>IF(AND(Input_Product=Elig!$C1565,Elig_MatchAll_Ct&lt;22,$BC1565=(Elig_MatchAll_Ct-1),AW1565=0),W1565,0)</f>
        <v>0</v>
      </c>
      <c r="CC1565" s="993">
        <f>IF(AND(Input_Product=Elig!$C1565,Elig_MatchAll_Ct&lt;22,$BC1565=(Elig_MatchAll_Ct-1),AX1565=0),X1565,0)</f>
        <v>0</v>
      </c>
      <c r="CD1565" s="994">
        <f>IF(AND(Input_Product=Elig!$C1565,Elig_MatchAll_Ct&lt;22,$BC1565=(Elig_MatchAll_Ct-1),AX1565=0),Y1565,0)</f>
        <v>0</v>
      </c>
      <c r="CE1565" s="993">
        <f>IF(AND(Input_LTV&lt;=AE1565,Input_Product=Elig!$C1565,Elig_MatchAll_Ct&lt;22,$BC1565=(Elig_MatchAll_Ct-1),AY1565=0),Z1565,0)</f>
        <v>0</v>
      </c>
      <c r="CF1565" s="994">
        <f>IF(AND(Input_LTV&lt;=AE1565,Input_Product=Elig!$C1565,Elig_MatchAll_Ct&lt;22,$BC1565=(Elig_MatchAll_Ct-1),AY1565=0),AA1565,0)</f>
        <v>0</v>
      </c>
      <c r="CG1565" s="993">
        <f>IF(AND(Input_Product=Elig!$C1565,Elig_MatchAll_Ct&lt;22,$BC1565=(Elig_MatchAll_Ct-1),AZ1565=0),AB1565,0)</f>
        <v>0</v>
      </c>
      <c r="CH1565" s="994">
        <f>IF(AND(Input_Product=Elig!$C1565,Elig_MatchAll_Ct&lt;22,$BC1565=(Elig_MatchAll_Ct-1),AZ1565=0),AC1565,0)</f>
        <v>0</v>
      </c>
      <c r="CI1565" s="993">
        <f>IF(AND(Input_Product=Elig!$C1565,Elig_MatchAll_Ct&lt;22,$BC1565=(Elig_MatchAll_Ct-1),BA1565=0),AD1565,0)</f>
        <v>0</v>
      </c>
      <c r="CJ1565" s="994">
        <f>IF(AND(Input_Product=Elig!$C1565,Elig_MatchAll_Ct&lt;22,$BC1565=(Elig_MatchAll_Ct-1),BA1565=0),AE1565,0)</f>
        <v>0</v>
      </c>
    </row>
    <row r="1566" spans="2:88" ht="10.15" customHeight="1" x14ac:dyDescent="0.25">
      <c r="B1566" s="1924" t="s">
        <v>2908</v>
      </c>
      <c r="C1566" s="1587" t="s">
        <v>3055</v>
      </c>
      <c r="D1566" s="1587" t="s">
        <v>2764</v>
      </c>
      <c r="E1566" s="1587" t="s">
        <v>167</v>
      </c>
      <c r="F1566" s="1587" t="s">
        <v>330</v>
      </c>
      <c r="G1566" s="1587" t="s">
        <v>181</v>
      </c>
      <c r="H1566" s="1587" t="s">
        <v>136</v>
      </c>
      <c r="I1566" s="1588" t="s">
        <v>34</v>
      </c>
      <c r="J1566" s="1588" t="s">
        <v>1311</v>
      </c>
      <c r="K1566" s="1588" t="s">
        <v>3023</v>
      </c>
      <c r="L1566" s="1587" t="s">
        <v>430</v>
      </c>
      <c r="M1566" s="1587" t="s">
        <v>4205</v>
      </c>
      <c r="N1566" s="1587" t="s">
        <v>2685</v>
      </c>
      <c r="O1566" s="1587" t="s">
        <v>45</v>
      </c>
      <c r="P1566" s="1587" t="s">
        <v>291</v>
      </c>
      <c r="Q1566" s="1587" t="s">
        <v>294</v>
      </c>
      <c r="R1566" s="1587">
        <v>150000</v>
      </c>
      <c r="S1566" s="1587">
        <v>1000000</v>
      </c>
      <c r="T1566" s="1587">
        <v>0</v>
      </c>
      <c r="U1566" s="1587">
        <v>0</v>
      </c>
      <c r="V1566" s="1587">
        <v>0</v>
      </c>
      <c r="W1566" s="1587">
        <v>0</v>
      </c>
      <c r="X1566" s="1587">
        <v>0.01</v>
      </c>
      <c r="Y1566" s="1587">
        <v>0.99</v>
      </c>
      <c r="Z1566" s="1589">
        <v>660</v>
      </c>
      <c r="AA1566" s="1589">
        <v>660</v>
      </c>
      <c r="AB1566" s="1589">
        <v>6</v>
      </c>
      <c r="AC1566" s="1589">
        <v>999999</v>
      </c>
      <c r="AD1566" s="1587">
        <v>0</v>
      </c>
      <c r="AE1566" s="1590">
        <v>65</v>
      </c>
      <c r="AF1566" s="170">
        <v>0</v>
      </c>
      <c r="AG1566" s="171">
        <v>1</v>
      </c>
      <c r="AH1566" s="171">
        <v>1</v>
      </c>
      <c r="AI1566" s="171">
        <v>0</v>
      </c>
      <c r="AJ1566" s="171">
        <v>0</v>
      </c>
      <c r="AK1566" s="171">
        <v>1</v>
      </c>
      <c r="AL1566" s="171">
        <v>0</v>
      </c>
      <c r="AM1566" s="171">
        <v>1</v>
      </c>
      <c r="AN1566" s="171">
        <v>1</v>
      </c>
      <c r="AO1566" s="171">
        <v>1</v>
      </c>
      <c r="AP1566" s="171">
        <v>1</v>
      </c>
      <c r="AQ1566" s="171">
        <v>1</v>
      </c>
      <c r="AR1566" s="171">
        <v>0</v>
      </c>
      <c r="AS1566" s="171">
        <v>1</v>
      </c>
      <c r="AT1566" s="171">
        <v>1</v>
      </c>
      <c r="AU1566" s="171">
        <f t="shared" si="515"/>
        <v>1</v>
      </c>
      <c r="AV1566" s="171">
        <f t="shared" si="516"/>
        <v>0</v>
      </c>
      <c r="AW1566" s="171">
        <f t="shared" si="517"/>
        <v>0</v>
      </c>
      <c r="AX1566" s="171">
        <f t="shared" si="525"/>
        <v>0</v>
      </c>
      <c r="AY1566" s="171">
        <f t="shared" si="518"/>
        <v>0</v>
      </c>
      <c r="AZ1566" s="171">
        <f t="shared" si="519"/>
        <v>1</v>
      </c>
      <c r="BA1566" s="172">
        <f t="shared" si="520"/>
        <v>1</v>
      </c>
      <c r="BB1566" s="175">
        <f t="shared" si="521"/>
        <v>13</v>
      </c>
      <c r="BC1566" s="176">
        <f t="shared" si="522"/>
        <v>12</v>
      </c>
      <c r="BD1566" s="176">
        <f t="shared" si="523"/>
        <v>13</v>
      </c>
      <c r="BE1566" s="240" t="str">
        <f t="shared" si="514"/>
        <v/>
      </c>
      <c r="BF1566" s="990"/>
      <c r="BG1566" s="990"/>
      <c r="BH1566" s="991">
        <f>IF(AND(Input_Product=Elig!$C1566,Elig_MatchAll_Ct&lt;22,$BC1566=(Elig_MatchAll_Ct-1),AF1566=0),C1566,0)</f>
        <v>0</v>
      </c>
      <c r="BI1566" s="991">
        <f>IF(AND(Input_Product=Elig!$C1566,Elig_MatchAll_Ct&lt;22,$BC1566=(Elig_MatchAll_Ct-1),AG1566=0),D1566,0)</f>
        <v>0</v>
      </c>
      <c r="BJ1566" s="991">
        <f>IF(AND(Input_Product=Elig!$C1566,Elig_MatchAll_Ct&lt;22,$BC1566=(Elig_MatchAll_Ct-1),AH1566=0),E1566,0)</f>
        <v>0</v>
      </c>
      <c r="BK1566" s="991">
        <f>IF(AND(Input_Product=Elig!$C1566,Elig_MatchAll_Ct&lt;22,$BC1566=(Elig_MatchAll_Ct-1),AI1566=0),F1566,0)</f>
        <v>0</v>
      </c>
      <c r="BL1566" s="991">
        <f>IF(AND(Input_Product=Elig!$C1566,Elig_MatchAll_Ct&lt;22,$BC1566=(Elig_MatchAll_Ct-1),AJ1566=0),G1566,0)</f>
        <v>0</v>
      </c>
      <c r="BM1566" s="991">
        <f>IF(AND(Input_Product=Elig!$C1566,Elig_MatchAll_Ct&lt;22,$BC1566=(Elig_MatchAll_Ct-1),AK1566=0),H1566,0)</f>
        <v>0</v>
      </c>
      <c r="BN1566" s="991">
        <f>IF(AND(Input_Product=Elig!$C1566,Elig_MatchAll_Ct&lt;22,$BC1566=(Elig_MatchAll_Ct-1),AL1566=0),I1566,0)</f>
        <v>0</v>
      </c>
      <c r="BO1566" s="991">
        <f>IF(AND(Input_Product=Elig!$C1566,Elig_MatchAll_Ct&lt;22,$BC1566=(Elig_MatchAll_Ct-1),AM1566=0),J1566,0)</f>
        <v>0</v>
      </c>
      <c r="BP1566" s="991">
        <f>IF(AND(Input_Product=Elig!$C1566,Elig_MatchAll_Ct&lt;22,$BC1566=(Elig_MatchAll_Ct-1),AN1566=0),K1566,0)</f>
        <v>0</v>
      </c>
      <c r="BQ1566" s="991">
        <f>IF(AND(Input_Product=Elig!$C1566,Elig_MatchAll_Ct&lt;22,$BC1566=(Elig_MatchAll_Ct-1),AP1566=0),L1566,0)</f>
        <v>0</v>
      </c>
      <c r="BR1566" s="991">
        <f>IF(AND(Input_Product=Elig!$C1566,Elig_MatchAll_Ct&lt;22,$BC1566=(Elig_MatchAll_Ct-1),AO1566=0),M1566,0)</f>
        <v>0</v>
      </c>
      <c r="BS1566" s="991">
        <f>IF(AND(Input_Product=Elig!$C1566,Elig_MatchAll_Ct&lt;22,$BC1566=(Elig_MatchAll_Ct-1),AQ1566=0),N1566,0)</f>
        <v>0</v>
      </c>
      <c r="BT1566" s="991">
        <f>IF(AND(Input_Product=Elig!$C1566,Elig_MatchAll_Ct&lt;22,$BC1566=(Elig_MatchAll_Ct-1),AR1566=0),O1566,0)</f>
        <v>0</v>
      </c>
      <c r="BU1566" s="991">
        <f>IF(AND(Input_Product=Elig!$C1566,Elig_MatchAll_Ct&lt;22,$BC1566=(Elig_MatchAll_Ct-1),AS1566=0),P1566,0)</f>
        <v>0</v>
      </c>
      <c r="BV1566" s="992">
        <f>IF(AND(Input_Product=Elig!$C1566,Elig_MatchAll_Ct&lt;22,$BC1566=(Elig_MatchAll_Ct-1),AT1566=0),Q1566,0)</f>
        <v>0</v>
      </c>
      <c r="BW1566" s="993">
        <f>IF(AND(Input_Product=Elig!$C1566,Elig_MatchAll_Ct&lt;22,$BC1566=(Elig_MatchAll_Ct-1),AU1566=0),R1566,0)</f>
        <v>0</v>
      </c>
      <c r="BX1566" s="994">
        <f>IF(AND(Input_Product=Elig!$C1566,Elig_MatchAll_Ct&lt;22,$BC1566=(Elig_MatchAll_Ct-1),AU1566=0),S1566,0)</f>
        <v>0</v>
      </c>
      <c r="BY1566" s="993">
        <f>IF(AND(Input_Product=Elig!$C1566,Elig_MatchAll_Ct&lt;22,$BC1566=(Elig_MatchAll_Ct-1),AV1566=0),T1566,0)</f>
        <v>0</v>
      </c>
      <c r="BZ1566" s="994">
        <f>IF(AND(Input_Product=Elig!$C1566,Elig_MatchAll_Ct&lt;22,$BC1566=(Elig_MatchAll_Ct-1),AV1566=0),U1566,0)</f>
        <v>0</v>
      </c>
      <c r="CA1566" s="993">
        <f>IF(AND(Input_Product=Elig!$C1566,Elig_MatchAll_Ct&lt;22,$BC1566=(Elig_MatchAll_Ct-1),AW1566=0),V1566,0)</f>
        <v>0</v>
      </c>
      <c r="CB1566" s="994">
        <f>IF(AND(Input_Product=Elig!$C1566,Elig_MatchAll_Ct&lt;22,$BC1566=(Elig_MatchAll_Ct-1),AW1566=0),W1566,0)</f>
        <v>0</v>
      </c>
      <c r="CC1566" s="993">
        <f>IF(AND(Input_Product=Elig!$C1566,Elig_MatchAll_Ct&lt;22,$BC1566=(Elig_MatchAll_Ct-1),AX1566=0),X1566,0)</f>
        <v>0</v>
      </c>
      <c r="CD1566" s="994">
        <f>IF(AND(Input_Product=Elig!$C1566,Elig_MatchAll_Ct&lt;22,$BC1566=(Elig_MatchAll_Ct-1),AX1566=0),Y1566,0)</f>
        <v>0</v>
      </c>
      <c r="CE1566" s="993">
        <f>IF(AND(Input_LTV&lt;=AE1566,Input_Product=Elig!$C1566,Elig_MatchAll_Ct&lt;22,$BC1566=(Elig_MatchAll_Ct-1),AY1566=0),Z1566,0)</f>
        <v>0</v>
      </c>
      <c r="CF1566" s="994">
        <f>IF(AND(Input_LTV&lt;=AE1566,Input_Product=Elig!$C1566,Elig_MatchAll_Ct&lt;22,$BC1566=(Elig_MatchAll_Ct-1),AY1566=0),AA1566,0)</f>
        <v>0</v>
      </c>
      <c r="CG1566" s="993">
        <f>IF(AND(Input_Product=Elig!$C1566,Elig_MatchAll_Ct&lt;22,$BC1566=(Elig_MatchAll_Ct-1),AZ1566=0),AB1566,0)</f>
        <v>0</v>
      </c>
      <c r="CH1566" s="994">
        <f>IF(AND(Input_Product=Elig!$C1566,Elig_MatchAll_Ct&lt;22,$BC1566=(Elig_MatchAll_Ct-1),AZ1566=0),AC1566,0)</f>
        <v>0</v>
      </c>
      <c r="CI1566" s="993">
        <f>IF(AND(Input_Product=Elig!$C1566,Elig_MatchAll_Ct&lt;22,$BC1566=(Elig_MatchAll_Ct-1),BA1566=0),AD1566,0)</f>
        <v>0</v>
      </c>
      <c r="CJ1566" s="994">
        <f>IF(AND(Input_Product=Elig!$C1566,Elig_MatchAll_Ct&lt;22,$BC1566=(Elig_MatchAll_Ct-1),BA1566=0),AE1566,0)</f>
        <v>0</v>
      </c>
    </row>
    <row r="1567" spans="2:88" ht="10.15" customHeight="1" x14ac:dyDescent="0.25">
      <c r="B1567" s="1924" t="s">
        <v>2909</v>
      </c>
      <c r="C1567" s="1591" t="s">
        <v>3055</v>
      </c>
      <c r="D1567" s="1591" t="s">
        <v>2764</v>
      </c>
      <c r="E1567" s="1591" t="s">
        <v>167</v>
      </c>
      <c r="F1567" s="1591" t="s">
        <v>330</v>
      </c>
      <c r="G1567" s="1591" t="s">
        <v>181</v>
      </c>
      <c r="H1567" s="1591" t="s">
        <v>136</v>
      </c>
      <c r="I1567" s="1592" t="s">
        <v>34</v>
      </c>
      <c r="J1567" s="1592" t="s">
        <v>1311</v>
      </c>
      <c r="K1567" s="1592" t="s">
        <v>3023</v>
      </c>
      <c r="L1567" s="1591" t="s">
        <v>430</v>
      </c>
      <c r="M1567" s="1591" t="s">
        <v>4205</v>
      </c>
      <c r="N1567" s="1591" t="s">
        <v>2685</v>
      </c>
      <c r="O1567" s="1591" t="s">
        <v>45</v>
      </c>
      <c r="P1567" s="1591" t="s">
        <v>291</v>
      </c>
      <c r="Q1567" s="1591" t="s">
        <v>294</v>
      </c>
      <c r="R1567" s="1591">
        <v>1000000.01</v>
      </c>
      <c r="S1567" s="1591">
        <v>1500000</v>
      </c>
      <c r="T1567" s="1591">
        <v>0</v>
      </c>
      <c r="U1567" s="1591">
        <v>0</v>
      </c>
      <c r="V1567" s="1591">
        <v>0</v>
      </c>
      <c r="W1567" s="1591">
        <v>0</v>
      </c>
      <c r="X1567" s="1591">
        <v>0.01</v>
      </c>
      <c r="Y1567" s="1591">
        <v>0.99</v>
      </c>
      <c r="Z1567" s="1593">
        <v>660</v>
      </c>
      <c r="AA1567" s="1593">
        <v>660</v>
      </c>
      <c r="AB1567" s="1593">
        <v>6</v>
      </c>
      <c r="AC1567" s="1593">
        <v>999999</v>
      </c>
      <c r="AD1567" s="1591">
        <v>0</v>
      </c>
      <c r="AE1567" s="1594">
        <v>65</v>
      </c>
      <c r="AF1567" s="170">
        <v>0</v>
      </c>
      <c r="AG1567" s="171">
        <v>1</v>
      </c>
      <c r="AH1567" s="171">
        <v>1</v>
      </c>
      <c r="AI1567" s="171">
        <v>0</v>
      </c>
      <c r="AJ1567" s="171">
        <v>0</v>
      </c>
      <c r="AK1567" s="171">
        <v>1</v>
      </c>
      <c r="AL1567" s="171">
        <v>0</v>
      </c>
      <c r="AM1567" s="171">
        <v>1</v>
      </c>
      <c r="AN1567" s="171">
        <v>1</v>
      </c>
      <c r="AO1567" s="171">
        <v>1</v>
      </c>
      <c r="AP1567" s="171">
        <v>1</v>
      </c>
      <c r="AQ1567" s="171">
        <v>1</v>
      </c>
      <c r="AR1567" s="171">
        <v>0</v>
      </c>
      <c r="AS1567" s="171">
        <v>1</v>
      </c>
      <c r="AT1567" s="171">
        <v>1</v>
      </c>
      <c r="AU1567" s="171">
        <f t="shared" si="515"/>
        <v>0</v>
      </c>
      <c r="AV1567" s="171">
        <f t="shared" si="516"/>
        <v>0</v>
      </c>
      <c r="AW1567" s="171">
        <f t="shared" si="517"/>
        <v>0</v>
      </c>
      <c r="AX1567" s="171">
        <f t="shared" si="525"/>
        <v>0</v>
      </c>
      <c r="AY1567" s="171">
        <f t="shared" si="518"/>
        <v>0</v>
      </c>
      <c r="AZ1567" s="171">
        <f t="shared" si="519"/>
        <v>1</v>
      </c>
      <c r="BA1567" s="172">
        <f t="shared" si="520"/>
        <v>1</v>
      </c>
      <c r="BB1567" s="175">
        <f t="shared" si="521"/>
        <v>12</v>
      </c>
      <c r="BC1567" s="176">
        <f t="shared" si="522"/>
        <v>11</v>
      </c>
      <c r="BD1567" s="176">
        <f t="shared" si="523"/>
        <v>12</v>
      </c>
      <c r="BE1567" s="240" t="str">
        <f t="shared" si="514"/>
        <v/>
      </c>
      <c r="BF1567" s="990"/>
      <c r="BG1567" s="990"/>
      <c r="BH1567" s="991">
        <f>IF(AND(Input_Product=Elig!$C1567,Elig_MatchAll_Ct&lt;22,$BC1567=(Elig_MatchAll_Ct-1),AF1567=0),C1567,0)</f>
        <v>0</v>
      </c>
      <c r="BI1567" s="991">
        <f>IF(AND(Input_Product=Elig!$C1567,Elig_MatchAll_Ct&lt;22,$BC1567=(Elig_MatchAll_Ct-1),AG1567=0),D1567,0)</f>
        <v>0</v>
      </c>
      <c r="BJ1567" s="991">
        <f>IF(AND(Input_Product=Elig!$C1567,Elig_MatchAll_Ct&lt;22,$BC1567=(Elig_MatchAll_Ct-1),AH1567=0),E1567,0)</f>
        <v>0</v>
      </c>
      <c r="BK1567" s="991">
        <f>IF(AND(Input_Product=Elig!$C1567,Elig_MatchAll_Ct&lt;22,$BC1567=(Elig_MatchAll_Ct-1),AI1567=0),F1567,0)</f>
        <v>0</v>
      </c>
      <c r="BL1567" s="991">
        <f>IF(AND(Input_Product=Elig!$C1567,Elig_MatchAll_Ct&lt;22,$BC1567=(Elig_MatchAll_Ct-1),AJ1567=0),G1567,0)</f>
        <v>0</v>
      </c>
      <c r="BM1567" s="991">
        <f>IF(AND(Input_Product=Elig!$C1567,Elig_MatchAll_Ct&lt;22,$BC1567=(Elig_MatchAll_Ct-1),AK1567=0),H1567,0)</f>
        <v>0</v>
      </c>
      <c r="BN1567" s="991">
        <f>IF(AND(Input_Product=Elig!$C1567,Elig_MatchAll_Ct&lt;22,$BC1567=(Elig_MatchAll_Ct-1),AL1567=0),I1567,0)</f>
        <v>0</v>
      </c>
      <c r="BO1567" s="991">
        <f>IF(AND(Input_Product=Elig!$C1567,Elig_MatchAll_Ct&lt;22,$BC1567=(Elig_MatchAll_Ct-1),AM1567=0),J1567,0)</f>
        <v>0</v>
      </c>
      <c r="BP1567" s="991">
        <f>IF(AND(Input_Product=Elig!$C1567,Elig_MatchAll_Ct&lt;22,$BC1567=(Elig_MatchAll_Ct-1),AN1567=0),K1567,0)</f>
        <v>0</v>
      </c>
      <c r="BQ1567" s="991">
        <f>IF(AND(Input_Product=Elig!$C1567,Elig_MatchAll_Ct&lt;22,$BC1567=(Elig_MatchAll_Ct-1),AP1567=0),L1567,0)</f>
        <v>0</v>
      </c>
      <c r="BR1567" s="991">
        <f>IF(AND(Input_Product=Elig!$C1567,Elig_MatchAll_Ct&lt;22,$BC1567=(Elig_MatchAll_Ct-1),AO1567=0),M1567,0)</f>
        <v>0</v>
      </c>
      <c r="BS1567" s="991">
        <f>IF(AND(Input_Product=Elig!$C1567,Elig_MatchAll_Ct&lt;22,$BC1567=(Elig_MatchAll_Ct-1),AQ1567=0),N1567,0)</f>
        <v>0</v>
      </c>
      <c r="BT1567" s="991">
        <f>IF(AND(Input_Product=Elig!$C1567,Elig_MatchAll_Ct&lt;22,$BC1567=(Elig_MatchAll_Ct-1),AR1567=0),O1567,0)</f>
        <v>0</v>
      </c>
      <c r="BU1567" s="991">
        <f>IF(AND(Input_Product=Elig!$C1567,Elig_MatchAll_Ct&lt;22,$BC1567=(Elig_MatchAll_Ct-1),AS1567=0),P1567,0)</f>
        <v>0</v>
      </c>
      <c r="BV1567" s="992">
        <f>IF(AND(Input_Product=Elig!$C1567,Elig_MatchAll_Ct&lt;22,$BC1567=(Elig_MatchAll_Ct-1),AT1567=0),Q1567,0)</f>
        <v>0</v>
      </c>
      <c r="BW1567" s="993">
        <f>IF(AND(Input_Product=Elig!$C1567,Elig_MatchAll_Ct&lt;22,$BC1567=(Elig_MatchAll_Ct-1),AU1567=0),R1567,0)</f>
        <v>0</v>
      </c>
      <c r="BX1567" s="994">
        <f>IF(AND(Input_Product=Elig!$C1567,Elig_MatchAll_Ct&lt;22,$BC1567=(Elig_MatchAll_Ct-1),AU1567=0),S1567,0)</f>
        <v>0</v>
      </c>
      <c r="BY1567" s="993">
        <f>IF(AND(Input_Product=Elig!$C1567,Elig_MatchAll_Ct&lt;22,$BC1567=(Elig_MatchAll_Ct-1),AV1567=0),T1567,0)</f>
        <v>0</v>
      </c>
      <c r="BZ1567" s="994">
        <f>IF(AND(Input_Product=Elig!$C1567,Elig_MatchAll_Ct&lt;22,$BC1567=(Elig_MatchAll_Ct-1),AV1567=0),U1567,0)</f>
        <v>0</v>
      </c>
      <c r="CA1567" s="993">
        <f>IF(AND(Input_Product=Elig!$C1567,Elig_MatchAll_Ct&lt;22,$BC1567=(Elig_MatchAll_Ct-1),AW1567=0),V1567,0)</f>
        <v>0</v>
      </c>
      <c r="CB1567" s="994">
        <f>IF(AND(Input_Product=Elig!$C1567,Elig_MatchAll_Ct&lt;22,$BC1567=(Elig_MatchAll_Ct-1),AW1567=0),W1567,0)</f>
        <v>0</v>
      </c>
      <c r="CC1567" s="993">
        <f>IF(AND(Input_Product=Elig!$C1567,Elig_MatchAll_Ct&lt;22,$BC1567=(Elig_MatchAll_Ct-1),AX1567=0),X1567,0)</f>
        <v>0</v>
      </c>
      <c r="CD1567" s="994">
        <f>IF(AND(Input_Product=Elig!$C1567,Elig_MatchAll_Ct&lt;22,$BC1567=(Elig_MatchAll_Ct-1),AX1567=0),Y1567,0)</f>
        <v>0</v>
      </c>
      <c r="CE1567" s="993">
        <f>IF(AND(Input_LTV&lt;=AE1567,Input_Product=Elig!$C1567,Elig_MatchAll_Ct&lt;22,$BC1567=(Elig_MatchAll_Ct-1),AY1567=0),Z1567,0)</f>
        <v>0</v>
      </c>
      <c r="CF1567" s="994">
        <f>IF(AND(Input_LTV&lt;=AE1567,Input_Product=Elig!$C1567,Elig_MatchAll_Ct&lt;22,$BC1567=(Elig_MatchAll_Ct-1),AY1567=0),AA1567,0)</f>
        <v>0</v>
      </c>
      <c r="CG1567" s="993">
        <f>IF(AND(Input_Product=Elig!$C1567,Elig_MatchAll_Ct&lt;22,$BC1567=(Elig_MatchAll_Ct-1),AZ1567=0),AB1567,0)</f>
        <v>0</v>
      </c>
      <c r="CH1567" s="994">
        <f>IF(AND(Input_Product=Elig!$C1567,Elig_MatchAll_Ct&lt;22,$BC1567=(Elig_MatchAll_Ct-1),AZ1567=0),AC1567,0)</f>
        <v>0</v>
      </c>
      <c r="CI1567" s="993">
        <f>IF(AND(Input_Product=Elig!$C1567,Elig_MatchAll_Ct&lt;22,$BC1567=(Elig_MatchAll_Ct-1),BA1567=0),AD1567,0)</f>
        <v>0</v>
      </c>
      <c r="CJ1567" s="994">
        <f>IF(AND(Input_Product=Elig!$C1567,Elig_MatchAll_Ct&lt;22,$BC1567=(Elig_MatchAll_Ct-1),BA1567=0),AE1567,0)</f>
        <v>0</v>
      </c>
    </row>
    <row r="1568" spans="2:88" ht="10.15" customHeight="1" x14ac:dyDescent="0.25">
      <c r="B1568" s="1924" t="s">
        <v>2910</v>
      </c>
      <c r="C1568" s="1583" t="s">
        <v>3055</v>
      </c>
      <c r="D1568" s="1583" t="s">
        <v>2764</v>
      </c>
      <c r="E1568" s="1583" t="s">
        <v>167</v>
      </c>
      <c r="F1568" s="1583" t="s">
        <v>330</v>
      </c>
      <c r="G1568" s="1583" t="s">
        <v>181</v>
      </c>
      <c r="H1568" s="1583" t="s">
        <v>136</v>
      </c>
      <c r="I1568" s="1584" t="s">
        <v>35</v>
      </c>
      <c r="J1568" s="1584" t="s">
        <v>1311</v>
      </c>
      <c r="K1568" s="1584" t="s">
        <v>3023</v>
      </c>
      <c r="L1568" s="1583" t="s">
        <v>430</v>
      </c>
      <c r="M1568" s="1583" t="s">
        <v>4205</v>
      </c>
      <c r="N1568" s="1583" t="s">
        <v>2685</v>
      </c>
      <c r="O1568" s="1583" t="s">
        <v>45</v>
      </c>
      <c r="P1568" s="1583" t="s">
        <v>291</v>
      </c>
      <c r="Q1568" s="1583" t="s">
        <v>294</v>
      </c>
      <c r="R1568" s="1583">
        <v>150000</v>
      </c>
      <c r="S1568" s="1583">
        <v>1000000</v>
      </c>
      <c r="T1568" s="1583">
        <v>0</v>
      </c>
      <c r="U1568" s="1583">
        <v>0</v>
      </c>
      <c r="V1568" s="1583">
        <v>0</v>
      </c>
      <c r="W1568" s="1583">
        <v>0</v>
      </c>
      <c r="X1568" s="1583">
        <v>1</v>
      </c>
      <c r="Y1568" s="1583">
        <v>999</v>
      </c>
      <c r="Z1568" s="1585">
        <v>680</v>
      </c>
      <c r="AA1568" s="1585">
        <v>999</v>
      </c>
      <c r="AB1568" s="1585">
        <v>6</v>
      </c>
      <c r="AC1568" s="1585">
        <v>999999</v>
      </c>
      <c r="AD1568" s="1583">
        <v>0</v>
      </c>
      <c r="AE1568" s="1586">
        <v>65</v>
      </c>
      <c r="AF1568" s="170">
        <v>0</v>
      </c>
      <c r="AG1568" s="171">
        <v>1</v>
      </c>
      <c r="AH1568" s="171">
        <v>1</v>
      </c>
      <c r="AI1568" s="171">
        <v>0</v>
      </c>
      <c r="AJ1568" s="171">
        <v>0</v>
      </c>
      <c r="AK1568" s="171">
        <v>1</v>
      </c>
      <c r="AL1568" s="171">
        <v>0</v>
      </c>
      <c r="AM1568" s="171">
        <v>1</v>
      </c>
      <c r="AN1568" s="171">
        <v>1</v>
      </c>
      <c r="AO1568" s="171">
        <v>1</v>
      </c>
      <c r="AP1568" s="171">
        <v>1</v>
      </c>
      <c r="AQ1568" s="171">
        <v>1</v>
      </c>
      <c r="AR1568" s="171">
        <v>0</v>
      </c>
      <c r="AS1568" s="171">
        <v>1</v>
      </c>
      <c r="AT1568" s="171">
        <v>1</v>
      </c>
      <c r="AU1568" s="171">
        <f t="shared" si="515"/>
        <v>1</v>
      </c>
      <c r="AV1568" s="171">
        <f t="shared" si="516"/>
        <v>0</v>
      </c>
      <c r="AW1568" s="171">
        <f t="shared" si="517"/>
        <v>0</v>
      </c>
      <c r="AX1568" s="171">
        <f t="shared" si="525"/>
        <v>0</v>
      </c>
      <c r="AY1568" s="171">
        <f t="shared" si="518"/>
        <v>1</v>
      </c>
      <c r="AZ1568" s="171">
        <f t="shared" si="519"/>
        <v>1</v>
      </c>
      <c r="BA1568" s="172">
        <f t="shared" si="520"/>
        <v>1</v>
      </c>
      <c r="BB1568" s="175">
        <f t="shared" si="521"/>
        <v>14</v>
      </c>
      <c r="BC1568" s="176">
        <f t="shared" si="522"/>
        <v>13</v>
      </c>
      <c r="BD1568" s="176">
        <f t="shared" si="523"/>
        <v>14</v>
      </c>
      <c r="BE1568" s="240" t="str">
        <f t="shared" si="514"/>
        <v/>
      </c>
      <c r="BF1568" s="990"/>
      <c r="BG1568" s="990"/>
      <c r="BH1568" s="991">
        <f>IF(AND(Input_Product=Elig!$C1568,Elig_MatchAll_Ct&lt;22,$BC1568=(Elig_MatchAll_Ct-1),AF1568=0),C1568,0)</f>
        <v>0</v>
      </c>
      <c r="BI1568" s="991">
        <f>IF(AND(Input_Product=Elig!$C1568,Elig_MatchAll_Ct&lt;22,$BC1568=(Elig_MatchAll_Ct-1),AG1568=0),D1568,0)</f>
        <v>0</v>
      </c>
      <c r="BJ1568" s="991">
        <f>IF(AND(Input_Product=Elig!$C1568,Elig_MatchAll_Ct&lt;22,$BC1568=(Elig_MatchAll_Ct-1),AH1568=0),E1568,0)</f>
        <v>0</v>
      </c>
      <c r="BK1568" s="991">
        <f>IF(AND(Input_Product=Elig!$C1568,Elig_MatchAll_Ct&lt;22,$BC1568=(Elig_MatchAll_Ct-1),AI1568=0),F1568,0)</f>
        <v>0</v>
      </c>
      <c r="BL1568" s="991">
        <f>IF(AND(Input_Product=Elig!$C1568,Elig_MatchAll_Ct&lt;22,$BC1568=(Elig_MatchAll_Ct-1),AJ1568=0),G1568,0)</f>
        <v>0</v>
      </c>
      <c r="BM1568" s="991">
        <f>IF(AND(Input_Product=Elig!$C1568,Elig_MatchAll_Ct&lt;22,$BC1568=(Elig_MatchAll_Ct-1),AK1568=0),H1568,0)</f>
        <v>0</v>
      </c>
      <c r="BN1568" s="991">
        <f>IF(AND(Input_Product=Elig!$C1568,Elig_MatchAll_Ct&lt;22,$BC1568=(Elig_MatchAll_Ct-1),AL1568=0),I1568,0)</f>
        <v>0</v>
      </c>
      <c r="BO1568" s="991">
        <f>IF(AND(Input_Product=Elig!$C1568,Elig_MatchAll_Ct&lt;22,$BC1568=(Elig_MatchAll_Ct-1),AM1568=0),J1568,0)</f>
        <v>0</v>
      </c>
      <c r="BP1568" s="991">
        <f>IF(AND(Input_Product=Elig!$C1568,Elig_MatchAll_Ct&lt;22,$BC1568=(Elig_MatchAll_Ct-1),AN1568=0),K1568,0)</f>
        <v>0</v>
      </c>
      <c r="BQ1568" s="991">
        <f>IF(AND(Input_Product=Elig!$C1568,Elig_MatchAll_Ct&lt;22,$BC1568=(Elig_MatchAll_Ct-1),AP1568=0),L1568,0)</f>
        <v>0</v>
      </c>
      <c r="BR1568" s="991">
        <f>IF(AND(Input_Product=Elig!$C1568,Elig_MatchAll_Ct&lt;22,$BC1568=(Elig_MatchAll_Ct-1),AO1568=0),M1568,0)</f>
        <v>0</v>
      </c>
      <c r="BS1568" s="991">
        <f>IF(AND(Input_Product=Elig!$C1568,Elig_MatchAll_Ct&lt;22,$BC1568=(Elig_MatchAll_Ct-1),AQ1568=0),N1568,0)</f>
        <v>0</v>
      </c>
      <c r="BT1568" s="991">
        <f>IF(AND(Input_Product=Elig!$C1568,Elig_MatchAll_Ct&lt;22,$BC1568=(Elig_MatchAll_Ct-1),AR1568=0),O1568,0)</f>
        <v>0</v>
      </c>
      <c r="BU1568" s="991">
        <f>IF(AND(Input_Product=Elig!$C1568,Elig_MatchAll_Ct&lt;22,$BC1568=(Elig_MatchAll_Ct-1),AS1568=0),P1568,0)</f>
        <v>0</v>
      </c>
      <c r="BV1568" s="992">
        <f>IF(AND(Input_Product=Elig!$C1568,Elig_MatchAll_Ct&lt;22,$BC1568=(Elig_MatchAll_Ct-1),AT1568=0),Q1568,0)</f>
        <v>0</v>
      </c>
      <c r="BW1568" s="993">
        <f>IF(AND(Input_Product=Elig!$C1568,Elig_MatchAll_Ct&lt;22,$BC1568=(Elig_MatchAll_Ct-1),AU1568=0),R1568,0)</f>
        <v>0</v>
      </c>
      <c r="BX1568" s="994">
        <f>IF(AND(Input_Product=Elig!$C1568,Elig_MatchAll_Ct&lt;22,$BC1568=(Elig_MatchAll_Ct-1),AU1568=0),S1568,0)</f>
        <v>0</v>
      </c>
      <c r="BY1568" s="993">
        <f>IF(AND(Input_Product=Elig!$C1568,Elig_MatchAll_Ct&lt;22,$BC1568=(Elig_MatchAll_Ct-1),AV1568=0),T1568,0)</f>
        <v>0</v>
      </c>
      <c r="BZ1568" s="994">
        <f>IF(AND(Input_Product=Elig!$C1568,Elig_MatchAll_Ct&lt;22,$BC1568=(Elig_MatchAll_Ct-1),AV1568=0),U1568,0)</f>
        <v>0</v>
      </c>
      <c r="CA1568" s="993">
        <f>IF(AND(Input_Product=Elig!$C1568,Elig_MatchAll_Ct&lt;22,$BC1568=(Elig_MatchAll_Ct-1),AW1568=0),V1568,0)</f>
        <v>0</v>
      </c>
      <c r="CB1568" s="994">
        <f>IF(AND(Input_Product=Elig!$C1568,Elig_MatchAll_Ct&lt;22,$BC1568=(Elig_MatchAll_Ct-1),AW1568=0),W1568,0)</f>
        <v>0</v>
      </c>
      <c r="CC1568" s="993">
        <f>IF(AND(Input_Product=Elig!$C1568,Elig_MatchAll_Ct&lt;22,$BC1568=(Elig_MatchAll_Ct-1),AX1568=0),X1568,0)</f>
        <v>0</v>
      </c>
      <c r="CD1568" s="994">
        <f>IF(AND(Input_Product=Elig!$C1568,Elig_MatchAll_Ct&lt;22,$BC1568=(Elig_MatchAll_Ct-1),AX1568=0),Y1568,0)</f>
        <v>0</v>
      </c>
      <c r="CE1568" s="993">
        <f>IF(AND(Input_LTV&lt;=AE1568,Input_Product=Elig!$C1568,Elig_MatchAll_Ct&lt;22,$BC1568=(Elig_MatchAll_Ct-1),AY1568=0),Z1568,0)</f>
        <v>0</v>
      </c>
      <c r="CF1568" s="994">
        <f>IF(AND(Input_LTV&lt;=AE1568,Input_Product=Elig!$C1568,Elig_MatchAll_Ct&lt;22,$BC1568=(Elig_MatchAll_Ct-1),AY1568=0),AA1568,0)</f>
        <v>0</v>
      </c>
      <c r="CG1568" s="993">
        <f>IF(AND(Input_Product=Elig!$C1568,Elig_MatchAll_Ct&lt;22,$BC1568=(Elig_MatchAll_Ct-1),AZ1568=0),AB1568,0)</f>
        <v>0</v>
      </c>
      <c r="CH1568" s="994">
        <f>IF(AND(Input_Product=Elig!$C1568,Elig_MatchAll_Ct&lt;22,$BC1568=(Elig_MatchAll_Ct-1),AZ1568=0),AC1568,0)</f>
        <v>0</v>
      </c>
      <c r="CI1568" s="993">
        <f>IF(AND(Input_Product=Elig!$C1568,Elig_MatchAll_Ct&lt;22,$BC1568=(Elig_MatchAll_Ct-1),BA1568=0),AD1568,0)</f>
        <v>0</v>
      </c>
      <c r="CJ1568" s="994">
        <f>IF(AND(Input_Product=Elig!$C1568,Elig_MatchAll_Ct&lt;22,$BC1568=(Elig_MatchAll_Ct-1),BA1568=0),AE1568,0)</f>
        <v>0</v>
      </c>
    </row>
    <row r="1569" spans="2:88" ht="10.15" customHeight="1" x14ac:dyDescent="0.25">
      <c r="B1569" s="1924" t="s">
        <v>2911</v>
      </c>
      <c r="C1569" s="1587" t="s">
        <v>3055</v>
      </c>
      <c r="D1569" s="1587" t="s">
        <v>2764</v>
      </c>
      <c r="E1569" s="1587" t="s">
        <v>167</v>
      </c>
      <c r="F1569" s="1587" t="s">
        <v>330</v>
      </c>
      <c r="G1569" s="1587" t="s">
        <v>181</v>
      </c>
      <c r="H1569" s="1587" t="s">
        <v>136</v>
      </c>
      <c r="I1569" s="1588" t="s">
        <v>35</v>
      </c>
      <c r="J1569" s="1588" t="s">
        <v>1311</v>
      </c>
      <c r="K1569" s="1588" t="s">
        <v>3023</v>
      </c>
      <c r="L1569" s="1587" t="s">
        <v>430</v>
      </c>
      <c r="M1569" s="1587" t="s">
        <v>4205</v>
      </c>
      <c r="N1569" s="1587" t="s">
        <v>2685</v>
      </c>
      <c r="O1569" s="1587" t="s">
        <v>45</v>
      </c>
      <c r="P1569" s="1587" t="s">
        <v>291</v>
      </c>
      <c r="Q1569" s="1587" t="s">
        <v>294</v>
      </c>
      <c r="R1569" s="1587">
        <v>1000000.01</v>
      </c>
      <c r="S1569" s="1587">
        <v>1500000</v>
      </c>
      <c r="T1569" s="1587">
        <v>0</v>
      </c>
      <c r="U1569" s="1587">
        <v>0</v>
      </c>
      <c r="V1569" s="1587">
        <v>0</v>
      </c>
      <c r="W1569" s="1587">
        <v>0</v>
      </c>
      <c r="X1569" s="1587">
        <v>1</v>
      </c>
      <c r="Y1569" s="1587">
        <v>999</v>
      </c>
      <c r="Z1569" s="1589">
        <v>680</v>
      </c>
      <c r="AA1569" s="1589">
        <v>999</v>
      </c>
      <c r="AB1569" s="1589">
        <v>6</v>
      </c>
      <c r="AC1569" s="1589">
        <v>999999</v>
      </c>
      <c r="AD1569" s="1587">
        <v>0</v>
      </c>
      <c r="AE1569" s="1590">
        <v>60</v>
      </c>
      <c r="AF1569" s="170">
        <v>0</v>
      </c>
      <c r="AG1569" s="171">
        <v>1</v>
      </c>
      <c r="AH1569" s="171">
        <v>1</v>
      </c>
      <c r="AI1569" s="171">
        <v>0</v>
      </c>
      <c r="AJ1569" s="171">
        <v>0</v>
      </c>
      <c r="AK1569" s="171">
        <v>1</v>
      </c>
      <c r="AL1569" s="171">
        <v>0</v>
      </c>
      <c r="AM1569" s="171">
        <v>1</v>
      </c>
      <c r="AN1569" s="171">
        <v>1</v>
      </c>
      <c r="AO1569" s="171">
        <v>1</v>
      </c>
      <c r="AP1569" s="171">
        <v>1</v>
      </c>
      <c r="AQ1569" s="171">
        <v>1</v>
      </c>
      <c r="AR1569" s="171">
        <v>0</v>
      </c>
      <c r="AS1569" s="171">
        <v>1</v>
      </c>
      <c r="AT1569" s="171">
        <v>1</v>
      </c>
      <c r="AU1569" s="171">
        <f t="shared" si="515"/>
        <v>0</v>
      </c>
      <c r="AV1569" s="171">
        <f t="shared" si="516"/>
        <v>0</v>
      </c>
      <c r="AW1569" s="171">
        <f t="shared" si="517"/>
        <v>0</v>
      </c>
      <c r="AX1569" s="171">
        <f t="shared" si="525"/>
        <v>0</v>
      </c>
      <c r="AY1569" s="171">
        <f t="shared" si="518"/>
        <v>1</v>
      </c>
      <c r="AZ1569" s="171">
        <f t="shared" si="519"/>
        <v>1</v>
      </c>
      <c r="BA1569" s="172">
        <f t="shared" si="520"/>
        <v>0</v>
      </c>
      <c r="BB1569" s="175">
        <f t="shared" si="521"/>
        <v>12</v>
      </c>
      <c r="BC1569" s="176">
        <f t="shared" si="522"/>
        <v>12</v>
      </c>
      <c r="BD1569" s="176">
        <f t="shared" si="523"/>
        <v>12</v>
      </c>
      <c r="BE1569" s="240" t="str">
        <f t="shared" si="514"/>
        <v/>
      </c>
      <c r="BF1569" s="990"/>
      <c r="BG1569" s="990"/>
      <c r="BH1569" s="991">
        <f>IF(AND(Input_Product=Elig!$C1569,Elig_MatchAll_Ct&lt;22,$BC1569=(Elig_MatchAll_Ct-1),AF1569=0),C1569,0)</f>
        <v>0</v>
      </c>
      <c r="BI1569" s="991">
        <f>IF(AND(Input_Product=Elig!$C1569,Elig_MatchAll_Ct&lt;22,$BC1569=(Elig_MatchAll_Ct-1),AG1569=0),D1569,0)</f>
        <v>0</v>
      </c>
      <c r="BJ1569" s="991">
        <f>IF(AND(Input_Product=Elig!$C1569,Elig_MatchAll_Ct&lt;22,$BC1569=(Elig_MatchAll_Ct-1),AH1569=0),E1569,0)</f>
        <v>0</v>
      </c>
      <c r="BK1569" s="991">
        <f>IF(AND(Input_Product=Elig!$C1569,Elig_MatchAll_Ct&lt;22,$BC1569=(Elig_MatchAll_Ct-1),AI1569=0),F1569,0)</f>
        <v>0</v>
      </c>
      <c r="BL1569" s="991">
        <f>IF(AND(Input_Product=Elig!$C1569,Elig_MatchAll_Ct&lt;22,$BC1569=(Elig_MatchAll_Ct-1),AJ1569=0),G1569,0)</f>
        <v>0</v>
      </c>
      <c r="BM1569" s="991">
        <f>IF(AND(Input_Product=Elig!$C1569,Elig_MatchAll_Ct&lt;22,$BC1569=(Elig_MatchAll_Ct-1),AK1569=0),H1569,0)</f>
        <v>0</v>
      </c>
      <c r="BN1569" s="991">
        <f>IF(AND(Input_Product=Elig!$C1569,Elig_MatchAll_Ct&lt;22,$BC1569=(Elig_MatchAll_Ct-1),AL1569=0),I1569,0)</f>
        <v>0</v>
      </c>
      <c r="BO1569" s="991">
        <f>IF(AND(Input_Product=Elig!$C1569,Elig_MatchAll_Ct&lt;22,$BC1569=(Elig_MatchAll_Ct-1),AM1569=0),J1569,0)</f>
        <v>0</v>
      </c>
      <c r="BP1569" s="991">
        <f>IF(AND(Input_Product=Elig!$C1569,Elig_MatchAll_Ct&lt;22,$BC1569=(Elig_MatchAll_Ct-1),AN1569=0),K1569,0)</f>
        <v>0</v>
      </c>
      <c r="BQ1569" s="991">
        <f>IF(AND(Input_Product=Elig!$C1569,Elig_MatchAll_Ct&lt;22,$BC1569=(Elig_MatchAll_Ct-1),AP1569=0),L1569,0)</f>
        <v>0</v>
      </c>
      <c r="BR1569" s="991">
        <f>IF(AND(Input_Product=Elig!$C1569,Elig_MatchAll_Ct&lt;22,$BC1569=(Elig_MatchAll_Ct-1),AO1569=0),M1569,0)</f>
        <v>0</v>
      </c>
      <c r="BS1569" s="991">
        <f>IF(AND(Input_Product=Elig!$C1569,Elig_MatchAll_Ct&lt;22,$BC1569=(Elig_MatchAll_Ct-1),AQ1569=0),N1569,0)</f>
        <v>0</v>
      </c>
      <c r="BT1569" s="991">
        <f>IF(AND(Input_Product=Elig!$C1569,Elig_MatchAll_Ct&lt;22,$BC1569=(Elig_MatchAll_Ct-1),AR1569=0),O1569,0)</f>
        <v>0</v>
      </c>
      <c r="BU1569" s="991">
        <f>IF(AND(Input_Product=Elig!$C1569,Elig_MatchAll_Ct&lt;22,$BC1569=(Elig_MatchAll_Ct-1),AS1569=0),P1569,0)</f>
        <v>0</v>
      </c>
      <c r="BV1569" s="992">
        <f>IF(AND(Input_Product=Elig!$C1569,Elig_MatchAll_Ct&lt;22,$BC1569=(Elig_MatchAll_Ct-1),AT1569=0),Q1569,0)</f>
        <v>0</v>
      </c>
      <c r="BW1569" s="993">
        <f>IF(AND(Input_Product=Elig!$C1569,Elig_MatchAll_Ct&lt;22,$BC1569=(Elig_MatchAll_Ct-1),AU1569=0),R1569,0)</f>
        <v>0</v>
      </c>
      <c r="BX1569" s="994">
        <f>IF(AND(Input_Product=Elig!$C1569,Elig_MatchAll_Ct&lt;22,$BC1569=(Elig_MatchAll_Ct-1),AU1569=0),S1569,0)</f>
        <v>0</v>
      </c>
      <c r="BY1569" s="993">
        <f>IF(AND(Input_Product=Elig!$C1569,Elig_MatchAll_Ct&lt;22,$BC1569=(Elig_MatchAll_Ct-1),AV1569=0),T1569,0)</f>
        <v>0</v>
      </c>
      <c r="BZ1569" s="994">
        <f>IF(AND(Input_Product=Elig!$C1569,Elig_MatchAll_Ct&lt;22,$BC1569=(Elig_MatchAll_Ct-1),AV1569=0),U1569,0)</f>
        <v>0</v>
      </c>
      <c r="CA1569" s="993">
        <f>IF(AND(Input_Product=Elig!$C1569,Elig_MatchAll_Ct&lt;22,$BC1569=(Elig_MatchAll_Ct-1),AW1569=0),V1569,0)</f>
        <v>0</v>
      </c>
      <c r="CB1569" s="994">
        <f>IF(AND(Input_Product=Elig!$C1569,Elig_MatchAll_Ct&lt;22,$BC1569=(Elig_MatchAll_Ct-1),AW1569=0),W1569,0)</f>
        <v>0</v>
      </c>
      <c r="CC1569" s="993">
        <f>IF(AND(Input_Product=Elig!$C1569,Elig_MatchAll_Ct&lt;22,$BC1569=(Elig_MatchAll_Ct-1),AX1569=0),X1569,0)</f>
        <v>0</v>
      </c>
      <c r="CD1569" s="994">
        <f>IF(AND(Input_Product=Elig!$C1569,Elig_MatchAll_Ct&lt;22,$BC1569=(Elig_MatchAll_Ct-1),AX1569=0),Y1569,0)</f>
        <v>0</v>
      </c>
      <c r="CE1569" s="993">
        <f>IF(AND(Input_LTV&lt;=AE1569,Input_Product=Elig!$C1569,Elig_MatchAll_Ct&lt;22,$BC1569=(Elig_MatchAll_Ct-1),AY1569=0),Z1569,0)</f>
        <v>0</v>
      </c>
      <c r="CF1569" s="994">
        <f>IF(AND(Input_LTV&lt;=AE1569,Input_Product=Elig!$C1569,Elig_MatchAll_Ct&lt;22,$BC1569=(Elig_MatchAll_Ct-1),AY1569=0),AA1569,0)</f>
        <v>0</v>
      </c>
      <c r="CG1569" s="993">
        <f>IF(AND(Input_Product=Elig!$C1569,Elig_MatchAll_Ct&lt;22,$BC1569=(Elig_MatchAll_Ct-1),AZ1569=0),AB1569,0)</f>
        <v>0</v>
      </c>
      <c r="CH1569" s="994">
        <f>IF(AND(Input_Product=Elig!$C1569,Elig_MatchAll_Ct&lt;22,$BC1569=(Elig_MatchAll_Ct-1),AZ1569=0),AC1569,0)</f>
        <v>0</v>
      </c>
      <c r="CI1569" s="993">
        <f>IF(AND(Input_Product=Elig!$C1569,Elig_MatchAll_Ct&lt;22,$BC1569=(Elig_MatchAll_Ct-1),BA1569=0),AD1569,0)</f>
        <v>0</v>
      </c>
      <c r="CJ1569" s="994">
        <f>IF(AND(Input_Product=Elig!$C1569,Elig_MatchAll_Ct&lt;22,$BC1569=(Elig_MatchAll_Ct-1),BA1569=0),AE1569,0)</f>
        <v>0</v>
      </c>
    </row>
    <row r="1570" spans="2:88" ht="10.15" customHeight="1" x14ac:dyDescent="0.25">
      <c r="B1570" s="1924" t="s">
        <v>2912</v>
      </c>
      <c r="C1570" s="1587" t="s">
        <v>3055</v>
      </c>
      <c r="D1570" s="1587" t="s">
        <v>2764</v>
      </c>
      <c r="E1570" s="1587" t="s">
        <v>167</v>
      </c>
      <c r="F1570" s="1587" t="s">
        <v>330</v>
      </c>
      <c r="G1570" s="1587" t="s">
        <v>181</v>
      </c>
      <c r="H1570" s="1587" t="s">
        <v>136</v>
      </c>
      <c r="I1570" s="1588" t="s">
        <v>35</v>
      </c>
      <c r="J1570" s="1588" t="s">
        <v>1311</v>
      </c>
      <c r="K1570" s="1588" t="s">
        <v>3023</v>
      </c>
      <c r="L1570" s="1587" t="s">
        <v>430</v>
      </c>
      <c r="M1570" s="1587" t="s">
        <v>4205</v>
      </c>
      <c r="N1570" s="1587" t="s">
        <v>2685</v>
      </c>
      <c r="O1570" s="1587" t="s">
        <v>45</v>
      </c>
      <c r="P1570" s="1587" t="s">
        <v>291</v>
      </c>
      <c r="Q1570" s="1587" t="s">
        <v>294</v>
      </c>
      <c r="R1570" s="1587">
        <v>150000</v>
      </c>
      <c r="S1570" s="1587">
        <v>1000000</v>
      </c>
      <c r="T1570" s="1587">
        <v>0</v>
      </c>
      <c r="U1570" s="1587">
        <v>0</v>
      </c>
      <c r="V1570" s="1587">
        <v>0</v>
      </c>
      <c r="W1570" s="1587">
        <v>0</v>
      </c>
      <c r="X1570" s="1587">
        <v>1</v>
      </c>
      <c r="Y1570" s="1587">
        <v>999</v>
      </c>
      <c r="Z1570" s="1589">
        <v>660</v>
      </c>
      <c r="AA1570" s="1589">
        <v>660</v>
      </c>
      <c r="AB1570" s="1589">
        <v>6</v>
      </c>
      <c r="AC1570" s="1589">
        <v>999999</v>
      </c>
      <c r="AD1570" s="1587">
        <v>0</v>
      </c>
      <c r="AE1570" s="1590">
        <v>65</v>
      </c>
      <c r="AF1570" s="170">
        <v>0</v>
      </c>
      <c r="AG1570" s="171">
        <v>1</v>
      </c>
      <c r="AH1570" s="171">
        <v>1</v>
      </c>
      <c r="AI1570" s="171">
        <v>0</v>
      </c>
      <c r="AJ1570" s="171">
        <v>0</v>
      </c>
      <c r="AK1570" s="171">
        <v>1</v>
      </c>
      <c r="AL1570" s="171">
        <v>0</v>
      </c>
      <c r="AM1570" s="171">
        <v>1</v>
      </c>
      <c r="AN1570" s="171">
        <v>1</v>
      </c>
      <c r="AO1570" s="171">
        <v>1</v>
      </c>
      <c r="AP1570" s="171">
        <v>1</v>
      </c>
      <c r="AQ1570" s="171">
        <v>1</v>
      </c>
      <c r="AR1570" s="171">
        <v>0</v>
      </c>
      <c r="AS1570" s="171">
        <v>1</v>
      </c>
      <c r="AT1570" s="171">
        <v>1</v>
      </c>
      <c r="AU1570" s="171">
        <f t="shared" si="515"/>
        <v>1</v>
      </c>
      <c r="AV1570" s="171">
        <f t="shared" si="516"/>
        <v>0</v>
      </c>
      <c r="AW1570" s="171">
        <f t="shared" si="517"/>
        <v>0</v>
      </c>
      <c r="AX1570" s="171">
        <f t="shared" si="525"/>
        <v>0</v>
      </c>
      <c r="AY1570" s="171">
        <f t="shared" si="518"/>
        <v>0</v>
      </c>
      <c r="AZ1570" s="171">
        <f t="shared" si="519"/>
        <v>1</v>
      </c>
      <c r="BA1570" s="172">
        <f t="shared" si="520"/>
        <v>1</v>
      </c>
      <c r="BB1570" s="175">
        <f t="shared" si="521"/>
        <v>13</v>
      </c>
      <c r="BC1570" s="176">
        <f t="shared" si="522"/>
        <v>12</v>
      </c>
      <c r="BD1570" s="176">
        <f t="shared" si="523"/>
        <v>13</v>
      </c>
      <c r="BE1570" s="240" t="str">
        <f t="shared" si="514"/>
        <v/>
      </c>
      <c r="BF1570" s="990"/>
      <c r="BG1570" s="990"/>
      <c r="BH1570" s="991">
        <f>IF(AND(Input_Product=Elig!$C1570,Elig_MatchAll_Ct&lt;22,$BC1570=(Elig_MatchAll_Ct-1),AF1570=0),C1570,0)</f>
        <v>0</v>
      </c>
      <c r="BI1570" s="991">
        <f>IF(AND(Input_Product=Elig!$C1570,Elig_MatchAll_Ct&lt;22,$BC1570=(Elig_MatchAll_Ct-1),AG1570=0),D1570,0)</f>
        <v>0</v>
      </c>
      <c r="BJ1570" s="991">
        <f>IF(AND(Input_Product=Elig!$C1570,Elig_MatchAll_Ct&lt;22,$BC1570=(Elig_MatchAll_Ct-1),AH1570=0),E1570,0)</f>
        <v>0</v>
      </c>
      <c r="BK1570" s="991">
        <f>IF(AND(Input_Product=Elig!$C1570,Elig_MatchAll_Ct&lt;22,$BC1570=(Elig_MatchAll_Ct-1),AI1570=0),F1570,0)</f>
        <v>0</v>
      </c>
      <c r="BL1570" s="991">
        <f>IF(AND(Input_Product=Elig!$C1570,Elig_MatchAll_Ct&lt;22,$BC1570=(Elig_MatchAll_Ct-1),AJ1570=0),G1570,0)</f>
        <v>0</v>
      </c>
      <c r="BM1570" s="991">
        <f>IF(AND(Input_Product=Elig!$C1570,Elig_MatchAll_Ct&lt;22,$BC1570=(Elig_MatchAll_Ct-1),AK1570=0),H1570,0)</f>
        <v>0</v>
      </c>
      <c r="BN1570" s="991">
        <f>IF(AND(Input_Product=Elig!$C1570,Elig_MatchAll_Ct&lt;22,$BC1570=(Elig_MatchAll_Ct-1),AL1570=0),I1570,0)</f>
        <v>0</v>
      </c>
      <c r="BO1570" s="991">
        <f>IF(AND(Input_Product=Elig!$C1570,Elig_MatchAll_Ct&lt;22,$BC1570=(Elig_MatchAll_Ct-1),AM1570=0),J1570,0)</f>
        <v>0</v>
      </c>
      <c r="BP1570" s="991">
        <f>IF(AND(Input_Product=Elig!$C1570,Elig_MatchAll_Ct&lt;22,$BC1570=(Elig_MatchAll_Ct-1),AN1570=0),K1570,0)</f>
        <v>0</v>
      </c>
      <c r="BQ1570" s="991">
        <f>IF(AND(Input_Product=Elig!$C1570,Elig_MatchAll_Ct&lt;22,$BC1570=(Elig_MatchAll_Ct-1),AP1570=0),L1570,0)</f>
        <v>0</v>
      </c>
      <c r="BR1570" s="991">
        <f>IF(AND(Input_Product=Elig!$C1570,Elig_MatchAll_Ct&lt;22,$BC1570=(Elig_MatchAll_Ct-1),AO1570=0),M1570,0)</f>
        <v>0</v>
      </c>
      <c r="BS1570" s="991">
        <f>IF(AND(Input_Product=Elig!$C1570,Elig_MatchAll_Ct&lt;22,$BC1570=(Elig_MatchAll_Ct-1),AQ1570=0),N1570,0)</f>
        <v>0</v>
      </c>
      <c r="BT1570" s="991">
        <f>IF(AND(Input_Product=Elig!$C1570,Elig_MatchAll_Ct&lt;22,$BC1570=(Elig_MatchAll_Ct-1),AR1570=0),O1570,0)</f>
        <v>0</v>
      </c>
      <c r="BU1570" s="991">
        <f>IF(AND(Input_Product=Elig!$C1570,Elig_MatchAll_Ct&lt;22,$BC1570=(Elig_MatchAll_Ct-1),AS1570=0),P1570,0)</f>
        <v>0</v>
      </c>
      <c r="BV1570" s="992">
        <f>IF(AND(Input_Product=Elig!$C1570,Elig_MatchAll_Ct&lt;22,$BC1570=(Elig_MatchAll_Ct-1),AT1570=0),Q1570,0)</f>
        <v>0</v>
      </c>
      <c r="BW1570" s="993">
        <f>IF(AND(Input_Product=Elig!$C1570,Elig_MatchAll_Ct&lt;22,$BC1570=(Elig_MatchAll_Ct-1),AU1570=0),R1570,0)</f>
        <v>0</v>
      </c>
      <c r="BX1570" s="994">
        <f>IF(AND(Input_Product=Elig!$C1570,Elig_MatchAll_Ct&lt;22,$BC1570=(Elig_MatchAll_Ct-1),AU1570=0),S1570,0)</f>
        <v>0</v>
      </c>
      <c r="BY1570" s="993">
        <f>IF(AND(Input_Product=Elig!$C1570,Elig_MatchAll_Ct&lt;22,$BC1570=(Elig_MatchAll_Ct-1),AV1570=0),T1570,0)</f>
        <v>0</v>
      </c>
      <c r="BZ1570" s="994">
        <f>IF(AND(Input_Product=Elig!$C1570,Elig_MatchAll_Ct&lt;22,$BC1570=(Elig_MatchAll_Ct-1),AV1570=0),U1570,0)</f>
        <v>0</v>
      </c>
      <c r="CA1570" s="993">
        <f>IF(AND(Input_Product=Elig!$C1570,Elig_MatchAll_Ct&lt;22,$BC1570=(Elig_MatchAll_Ct-1),AW1570=0),V1570,0)</f>
        <v>0</v>
      </c>
      <c r="CB1570" s="994">
        <f>IF(AND(Input_Product=Elig!$C1570,Elig_MatchAll_Ct&lt;22,$BC1570=(Elig_MatchAll_Ct-1),AW1570=0),W1570,0)</f>
        <v>0</v>
      </c>
      <c r="CC1570" s="993">
        <f>IF(AND(Input_Product=Elig!$C1570,Elig_MatchAll_Ct&lt;22,$BC1570=(Elig_MatchAll_Ct-1),AX1570=0),X1570,0)</f>
        <v>0</v>
      </c>
      <c r="CD1570" s="994">
        <f>IF(AND(Input_Product=Elig!$C1570,Elig_MatchAll_Ct&lt;22,$BC1570=(Elig_MatchAll_Ct-1),AX1570=0),Y1570,0)</f>
        <v>0</v>
      </c>
      <c r="CE1570" s="993">
        <f>IF(AND(Input_LTV&lt;=AE1570,Input_Product=Elig!$C1570,Elig_MatchAll_Ct&lt;22,$BC1570=(Elig_MatchAll_Ct-1),AY1570=0),Z1570,0)</f>
        <v>0</v>
      </c>
      <c r="CF1570" s="994">
        <f>IF(AND(Input_LTV&lt;=AE1570,Input_Product=Elig!$C1570,Elig_MatchAll_Ct&lt;22,$BC1570=(Elig_MatchAll_Ct-1),AY1570=0),AA1570,0)</f>
        <v>0</v>
      </c>
      <c r="CG1570" s="993">
        <f>IF(AND(Input_Product=Elig!$C1570,Elig_MatchAll_Ct&lt;22,$BC1570=(Elig_MatchAll_Ct-1),AZ1570=0),AB1570,0)</f>
        <v>0</v>
      </c>
      <c r="CH1570" s="994">
        <f>IF(AND(Input_Product=Elig!$C1570,Elig_MatchAll_Ct&lt;22,$BC1570=(Elig_MatchAll_Ct-1),AZ1570=0),AC1570,0)</f>
        <v>0</v>
      </c>
      <c r="CI1570" s="993">
        <f>IF(AND(Input_Product=Elig!$C1570,Elig_MatchAll_Ct&lt;22,$BC1570=(Elig_MatchAll_Ct-1),BA1570=0),AD1570,0)</f>
        <v>0</v>
      </c>
      <c r="CJ1570" s="994">
        <f>IF(AND(Input_Product=Elig!$C1570,Elig_MatchAll_Ct&lt;22,$BC1570=(Elig_MatchAll_Ct-1),BA1570=0),AE1570,0)</f>
        <v>0</v>
      </c>
    </row>
    <row r="1571" spans="2:88" ht="10.15" customHeight="1" x14ac:dyDescent="0.25">
      <c r="B1571" s="1924" t="s">
        <v>2913</v>
      </c>
      <c r="C1571" s="1587" t="s">
        <v>3055</v>
      </c>
      <c r="D1571" s="1587" t="s">
        <v>2764</v>
      </c>
      <c r="E1571" s="1587" t="s">
        <v>167</v>
      </c>
      <c r="F1571" s="1587" t="s">
        <v>330</v>
      </c>
      <c r="G1571" s="1587" t="s">
        <v>181</v>
      </c>
      <c r="H1571" s="1587" t="s">
        <v>136</v>
      </c>
      <c r="I1571" s="1588" t="s">
        <v>35</v>
      </c>
      <c r="J1571" s="1588" t="s">
        <v>1311</v>
      </c>
      <c r="K1571" s="1588" t="s">
        <v>3023</v>
      </c>
      <c r="L1571" s="1587" t="s">
        <v>430</v>
      </c>
      <c r="M1571" s="1587" t="s">
        <v>4205</v>
      </c>
      <c r="N1571" s="1587" t="s">
        <v>2685</v>
      </c>
      <c r="O1571" s="1587" t="s">
        <v>45</v>
      </c>
      <c r="P1571" s="1587" t="s">
        <v>291</v>
      </c>
      <c r="Q1571" s="1587" t="s">
        <v>294</v>
      </c>
      <c r="R1571" s="1587">
        <v>1000000.01</v>
      </c>
      <c r="S1571" s="1587">
        <v>1500000</v>
      </c>
      <c r="T1571" s="1587">
        <v>0</v>
      </c>
      <c r="U1571" s="1587">
        <v>0</v>
      </c>
      <c r="V1571" s="1587">
        <v>0</v>
      </c>
      <c r="W1571" s="1587">
        <v>0</v>
      </c>
      <c r="X1571" s="1587">
        <v>1</v>
      </c>
      <c r="Y1571" s="1587">
        <v>999</v>
      </c>
      <c r="Z1571" s="1589">
        <v>660</v>
      </c>
      <c r="AA1571" s="1589">
        <v>660</v>
      </c>
      <c r="AB1571" s="1589">
        <v>6</v>
      </c>
      <c r="AC1571" s="1589">
        <v>999999</v>
      </c>
      <c r="AD1571" s="1587">
        <v>0</v>
      </c>
      <c r="AE1571" s="1590">
        <v>60</v>
      </c>
      <c r="AF1571" s="170">
        <v>0</v>
      </c>
      <c r="AG1571" s="171">
        <v>1</v>
      </c>
      <c r="AH1571" s="171">
        <v>1</v>
      </c>
      <c r="AI1571" s="171">
        <v>0</v>
      </c>
      <c r="AJ1571" s="171">
        <v>0</v>
      </c>
      <c r="AK1571" s="171">
        <v>1</v>
      </c>
      <c r="AL1571" s="171">
        <v>0</v>
      </c>
      <c r="AM1571" s="171">
        <v>1</v>
      </c>
      <c r="AN1571" s="171">
        <v>1</v>
      </c>
      <c r="AO1571" s="171">
        <v>1</v>
      </c>
      <c r="AP1571" s="171">
        <v>1</v>
      </c>
      <c r="AQ1571" s="171">
        <v>1</v>
      </c>
      <c r="AR1571" s="171">
        <v>0</v>
      </c>
      <c r="AS1571" s="171">
        <v>1</v>
      </c>
      <c r="AT1571" s="171">
        <v>1</v>
      </c>
      <c r="AU1571" s="171">
        <f t="shared" si="515"/>
        <v>0</v>
      </c>
      <c r="AV1571" s="171">
        <f t="shared" si="516"/>
        <v>0</v>
      </c>
      <c r="AW1571" s="171">
        <f t="shared" si="517"/>
        <v>0</v>
      </c>
      <c r="AX1571" s="171">
        <f t="shared" si="525"/>
        <v>0</v>
      </c>
      <c r="AY1571" s="171">
        <f t="shared" si="518"/>
        <v>0</v>
      </c>
      <c r="AZ1571" s="171">
        <f t="shared" si="519"/>
        <v>1</v>
      </c>
      <c r="BA1571" s="172">
        <f t="shared" si="520"/>
        <v>0</v>
      </c>
      <c r="BB1571" s="175">
        <f t="shared" si="521"/>
        <v>11</v>
      </c>
      <c r="BC1571" s="176">
        <f t="shared" si="522"/>
        <v>11</v>
      </c>
      <c r="BD1571" s="176">
        <f t="shared" si="523"/>
        <v>11</v>
      </c>
      <c r="BE1571" s="240" t="str">
        <f t="shared" si="514"/>
        <v/>
      </c>
      <c r="BF1571" s="990"/>
      <c r="BG1571" s="990"/>
      <c r="BH1571" s="991">
        <f>IF(AND(Input_Product=Elig!$C1571,Elig_MatchAll_Ct&lt;22,$BC1571=(Elig_MatchAll_Ct-1),AF1571=0),C1571,0)</f>
        <v>0</v>
      </c>
      <c r="BI1571" s="991">
        <f>IF(AND(Input_Product=Elig!$C1571,Elig_MatchAll_Ct&lt;22,$BC1571=(Elig_MatchAll_Ct-1),AG1571=0),D1571,0)</f>
        <v>0</v>
      </c>
      <c r="BJ1571" s="991">
        <f>IF(AND(Input_Product=Elig!$C1571,Elig_MatchAll_Ct&lt;22,$BC1571=(Elig_MatchAll_Ct-1),AH1571=0),E1571,0)</f>
        <v>0</v>
      </c>
      <c r="BK1571" s="991">
        <f>IF(AND(Input_Product=Elig!$C1571,Elig_MatchAll_Ct&lt;22,$BC1571=(Elig_MatchAll_Ct-1),AI1571=0),F1571,0)</f>
        <v>0</v>
      </c>
      <c r="BL1571" s="991">
        <f>IF(AND(Input_Product=Elig!$C1571,Elig_MatchAll_Ct&lt;22,$BC1571=(Elig_MatchAll_Ct-1),AJ1571=0),G1571,0)</f>
        <v>0</v>
      </c>
      <c r="BM1571" s="991">
        <f>IF(AND(Input_Product=Elig!$C1571,Elig_MatchAll_Ct&lt;22,$BC1571=(Elig_MatchAll_Ct-1),AK1571=0),H1571,0)</f>
        <v>0</v>
      </c>
      <c r="BN1571" s="991">
        <f>IF(AND(Input_Product=Elig!$C1571,Elig_MatchAll_Ct&lt;22,$BC1571=(Elig_MatchAll_Ct-1),AL1571=0),I1571,0)</f>
        <v>0</v>
      </c>
      <c r="BO1571" s="991">
        <f>IF(AND(Input_Product=Elig!$C1571,Elig_MatchAll_Ct&lt;22,$BC1571=(Elig_MatchAll_Ct-1),AM1571=0),J1571,0)</f>
        <v>0</v>
      </c>
      <c r="BP1571" s="991">
        <f>IF(AND(Input_Product=Elig!$C1571,Elig_MatchAll_Ct&lt;22,$BC1571=(Elig_MatchAll_Ct-1),AN1571=0),K1571,0)</f>
        <v>0</v>
      </c>
      <c r="BQ1571" s="991">
        <f>IF(AND(Input_Product=Elig!$C1571,Elig_MatchAll_Ct&lt;22,$BC1571=(Elig_MatchAll_Ct-1),AP1571=0),L1571,0)</f>
        <v>0</v>
      </c>
      <c r="BR1571" s="991">
        <f>IF(AND(Input_Product=Elig!$C1571,Elig_MatchAll_Ct&lt;22,$BC1571=(Elig_MatchAll_Ct-1),AO1571=0),M1571,0)</f>
        <v>0</v>
      </c>
      <c r="BS1571" s="991">
        <f>IF(AND(Input_Product=Elig!$C1571,Elig_MatchAll_Ct&lt;22,$BC1571=(Elig_MatchAll_Ct-1),AQ1571=0),N1571,0)</f>
        <v>0</v>
      </c>
      <c r="BT1571" s="991">
        <f>IF(AND(Input_Product=Elig!$C1571,Elig_MatchAll_Ct&lt;22,$BC1571=(Elig_MatchAll_Ct-1),AR1571=0),O1571,0)</f>
        <v>0</v>
      </c>
      <c r="BU1571" s="991">
        <f>IF(AND(Input_Product=Elig!$C1571,Elig_MatchAll_Ct&lt;22,$BC1571=(Elig_MatchAll_Ct-1),AS1571=0),P1571,0)</f>
        <v>0</v>
      </c>
      <c r="BV1571" s="992">
        <f>IF(AND(Input_Product=Elig!$C1571,Elig_MatchAll_Ct&lt;22,$BC1571=(Elig_MatchAll_Ct-1),AT1571=0),Q1571,0)</f>
        <v>0</v>
      </c>
      <c r="BW1571" s="993">
        <f>IF(AND(Input_Product=Elig!$C1571,Elig_MatchAll_Ct&lt;22,$BC1571=(Elig_MatchAll_Ct-1),AU1571=0),R1571,0)</f>
        <v>0</v>
      </c>
      <c r="BX1571" s="994">
        <f>IF(AND(Input_Product=Elig!$C1571,Elig_MatchAll_Ct&lt;22,$BC1571=(Elig_MatchAll_Ct-1),AU1571=0),S1571,0)</f>
        <v>0</v>
      </c>
      <c r="BY1571" s="993">
        <f>IF(AND(Input_Product=Elig!$C1571,Elig_MatchAll_Ct&lt;22,$BC1571=(Elig_MatchAll_Ct-1),AV1571=0),T1571,0)</f>
        <v>0</v>
      </c>
      <c r="BZ1571" s="994">
        <f>IF(AND(Input_Product=Elig!$C1571,Elig_MatchAll_Ct&lt;22,$BC1571=(Elig_MatchAll_Ct-1),AV1571=0),U1571,0)</f>
        <v>0</v>
      </c>
      <c r="CA1571" s="993">
        <f>IF(AND(Input_Product=Elig!$C1571,Elig_MatchAll_Ct&lt;22,$BC1571=(Elig_MatchAll_Ct-1),AW1571=0),V1571,0)</f>
        <v>0</v>
      </c>
      <c r="CB1571" s="994">
        <f>IF(AND(Input_Product=Elig!$C1571,Elig_MatchAll_Ct&lt;22,$BC1571=(Elig_MatchAll_Ct-1),AW1571=0),W1571,0)</f>
        <v>0</v>
      </c>
      <c r="CC1571" s="993">
        <f>IF(AND(Input_Product=Elig!$C1571,Elig_MatchAll_Ct&lt;22,$BC1571=(Elig_MatchAll_Ct-1),AX1571=0),X1571,0)</f>
        <v>0</v>
      </c>
      <c r="CD1571" s="994">
        <f>IF(AND(Input_Product=Elig!$C1571,Elig_MatchAll_Ct&lt;22,$BC1571=(Elig_MatchAll_Ct-1),AX1571=0),Y1571,0)</f>
        <v>0</v>
      </c>
      <c r="CE1571" s="993">
        <f>IF(AND(Input_LTV&lt;=AE1571,Input_Product=Elig!$C1571,Elig_MatchAll_Ct&lt;22,$BC1571=(Elig_MatchAll_Ct-1),AY1571=0),Z1571,0)</f>
        <v>0</v>
      </c>
      <c r="CF1571" s="994">
        <f>IF(AND(Input_LTV&lt;=AE1571,Input_Product=Elig!$C1571,Elig_MatchAll_Ct&lt;22,$BC1571=(Elig_MatchAll_Ct-1),AY1571=0),AA1571,0)</f>
        <v>0</v>
      </c>
      <c r="CG1571" s="993">
        <f>IF(AND(Input_Product=Elig!$C1571,Elig_MatchAll_Ct&lt;22,$BC1571=(Elig_MatchAll_Ct-1),AZ1571=0),AB1571,0)</f>
        <v>0</v>
      </c>
      <c r="CH1571" s="994">
        <f>IF(AND(Input_Product=Elig!$C1571,Elig_MatchAll_Ct&lt;22,$BC1571=(Elig_MatchAll_Ct-1),AZ1571=0),AC1571,0)</f>
        <v>0</v>
      </c>
      <c r="CI1571" s="993">
        <f>IF(AND(Input_Product=Elig!$C1571,Elig_MatchAll_Ct&lt;22,$BC1571=(Elig_MatchAll_Ct-1),BA1571=0),AD1571,0)</f>
        <v>0</v>
      </c>
      <c r="CJ1571" s="994">
        <f>IF(AND(Input_Product=Elig!$C1571,Elig_MatchAll_Ct&lt;22,$BC1571=(Elig_MatchAll_Ct-1),BA1571=0),AE1571,0)</f>
        <v>0</v>
      </c>
    </row>
    <row r="1572" spans="2:88" ht="10.15" customHeight="1" x14ac:dyDescent="0.25">
      <c r="B1572" s="1924" t="s">
        <v>2914</v>
      </c>
      <c r="C1572" s="1587" t="s">
        <v>3055</v>
      </c>
      <c r="D1572" s="1587" t="s">
        <v>2764</v>
      </c>
      <c r="E1572" s="1587" t="s">
        <v>167</v>
      </c>
      <c r="F1572" s="1587" t="s">
        <v>330</v>
      </c>
      <c r="G1572" s="1587" t="s">
        <v>181</v>
      </c>
      <c r="H1572" s="1587" t="s">
        <v>136</v>
      </c>
      <c r="I1572" s="1588" t="s">
        <v>35</v>
      </c>
      <c r="J1572" s="1588" t="s">
        <v>1311</v>
      </c>
      <c r="K1572" s="1588" t="s">
        <v>3023</v>
      </c>
      <c r="L1572" s="1587" t="s">
        <v>430</v>
      </c>
      <c r="M1572" s="1587" t="s">
        <v>4205</v>
      </c>
      <c r="N1572" s="1587" t="s">
        <v>2685</v>
      </c>
      <c r="O1572" s="1587" t="s">
        <v>45</v>
      </c>
      <c r="P1572" s="1587" t="s">
        <v>291</v>
      </c>
      <c r="Q1572" s="1587" t="s">
        <v>294</v>
      </c>
      <c r="R1572" s="1587">
        <v>150000</v>
      </c>
      <c r="S1572" s="1587">
        <v>1000000</v>
      </c>
      <c r="T1572" s="1587">
        <v>0</v>
      </c>
      <c r="U1572" s="1587">
        <v>0</v>
      </c>
      <c r="V1572" s="1587">
        <v>0</v>
      </c>
      <c r="W1572" s="1587">
        <v>0</v>
      </c>
      <c r="X1572" s="1587">
        <v>0.01</v>
      </c>
      <c r="Y1572" s="1587">
        <v>0.99</v>
      </c>
      <c r="Z1572" s="1589">
        <v>680</v>
      </c>
      <c r="AA1572" s="1589">
        <v>999</v>
      </c>
      <c r="AB1572" s="1589">
        <v>6</v>
      </c>
      <c r="AC1572" s="1589">
        <v>999999</v>
      </c>
      <c r="AD1572" s="1587">
        <v>0</v>
      </c>
      <c r="AE1572" s="1590">
        <v>60</v>
      </c>
      <c r="AF1572" s="170">
        <v>0</v>
      </c>
      <c r="AG1572" s="171">
        <v>1</v>
      </c>
      <c r="AH1572" s="171">
        <v>1</v>
      </c>
      <c r="AI1572" s="171">
        <v>0</v>
      </c>
      <c r="AJ1572" s="171">
        <v>0</v>
      </c>
      <c r="AK1572" s="171">
        <v>1</v>
      </c>
      <c r="AL1572" s="171">
        <v>0</v>
      </c>
      <c r="AM1572" s="171">
        <v>1</v>
      </c>
      <c r="AN1572" s="171">
        <v>1</v>
      </c>
      <c r="AO1572" s="171">
        <v>1</v>
      </c>
      <c r="AP1572" s="171">
        <v>1</v>
      </c>
      <c r="AQ1572" s="171">
        <v>1</v>
      </c>
      <c r="AR1572" s="171">
        <v>0</v>
      </c>
      <c r="AS1572" s="171">
        <v>1</v>
      </c>
      <c r="AT1572" s="171">
        <v>1</v>
      </c>
      <c r="AU1572" s="171">
        <f t="shared" si="515"/>
        <v>1</v>
      </c>
      <c r="AV1572" s="171">
        <f t="shared" si="516"/>
        <v>0</v>
      </c>
      <c r="AW1572" s="171">
        <f t="shared" si="517"/>
        <v>0</v>
      </c>
      <c r="AX1572" s="171">
        <f t="shared" si="525"/>
        <v>0</v>
      </c>
      <c r="AY1572" s="171">
        <f t="shared" si="518"/>
        <v>1</v>
      </c>
      <c r="AZ1572" s="171">
        <f t="shared" si="519"/>
        <v>1</v>
      </c>
      <c r="BA1572" s="172">
        <f t="shared" si="520"/>
        <v>0</v>
      </c>
      <c r="BB1572" s="175">
        <f t="shared" si="521"/>
        <v>13</v>
      </c>
      <c r="BC1572" s="176">
        <f t="shared" si="522"/>
        <v>13</v>
      </c>
      <c r="BD1572" s="176">
        <f t="shared" si="523"/>
        <v>13</v>
      </c>
      <c r="BE1572" s="240" t="str">
        <f t="shared" si="514"/>
        <v/>
      </c>
      <c r="BF1572" s="990"/>
      <c r="BG1572" s="990"/>
      <c r="BH1572" s="991">
        <f>IF(AND(Input_Product=Elig!$C1572,Elig_MatchAll_Ct&lt;22,$BC1572=(Elig_MatchAll_Ct-1),AF1572=0),C1572,0)</f>
        <v>0</v>
      </c>
      <c r="BI1572" s="991">
        <f>IF(AND(Input_Product=Elig!$C1572,Elig_MatchAll_Ct&lt;22,$BC1572=(Elig_MatchAll_Ct-1),AG1572=0),D1572,0)</f>
        <v>0</v>
      </c>
      <c r="BJ1572" s="991">
        <f>IF(AND(Input_Product=Elig!$C1572,Elig_MatchAll_Ct&lt;22,$BC1572=(Elig_MatchAll_Ct-1),AH1572=0),E1572,0)</f>
        <v>0</v>
      </c>
      <c r="BK1572" s="991">
        <f>IF(AND(Input_Product=Elig!$C1572,Elig_MatchAll_Ct&lt;22,$BC1572=(Elig_MatchAll_Ct-1),AI1572=0),F1572,0)</f>
        <v>0</v>
      </c>
      <c r="BL1572" s="991">
        <f>IF(AND(Input_Product=Elig!$C1572,Elig_MatchAll_Ct&lt;22,$BC1572=(Elig_MatchAll_Ct-1),AJ1572=0),G1572,0)</f>
        <v>0</v>
      </c>
      <c r="BM1572" s="991">
        <f>IF(AND(Input_Product=Elig!$C1572,Elig_MatchAll_Ct&lt;22,$BC1572=(Elig_MatchAll_Ct-1),AK1572=0),H1572,0)</f>
        <v>0</v>
      </c>
      <c r="BN1572" s="991">
        <f>IF(AND(Input_Product=Elig!$C1572,Elig_MatchAll_Ct&lt;22,$BC1572=(Elig_MatchAll_Ct-1),AL1572=0),I1572,0)</f>
        <v>0</v>
      </c>
      <c r="BO1572" s="991">
        <f>IF(AND(Input_Product=Elig!$C1572,Elig_MatchAll_Ct&lt;22,$BC1572=(Elig_MatchAll_Ct-1),AM1572=0),J1572,0)</f>
        <v>0</v>
      </c>
      <c r="BP1572" s="991">
        <f>IF(AND(Input_Product=Elig!$C1572,Elig_MatchAll_Ct&lt;22,$BC1572=(Elig_MatchAll_Ct-1),AN1572=0),K1572,0)</f>
        <v>0</v>
      </c>
      <c r="BQ1572" s="991">
        <f>IF(AND(Input_Product=Elig!$C1572,Elig_MatchAll_Ct&lt;22,$BC1572=(Elig_MatchAll_Ct-1),AP1572=0),L1572,0)</f>
        <v>0</v>
      </c>
      <c r="BR1572" s="991">
        <f>IF(AND(Input_Product=Elig!$C1572,Elig_MatchAll_Ct&lt;22,$BC1572=(Elig_MatchAll_Ct-1),AO1572=0),M1572,0)</f>
        <v>0</v>
      </c>
      <c r="BS1572" s="991">
        <f>IF(AND(Input_Product=Elig!$C1572,Elig_MatchAll_Ct&lt;22,$BC1572=(Elig_MatchAll_Ct-1),AQ1572=0),N1572,0)</f>
        <v>0</v>
      </c>
      <c r="BT1572" s="991">
        <f>IF(AND(Input_Product=Elig!$C1572,Elig_MatchAll_Ct&lt;22,$BC1572=(Elig_MatchAll_Ct-1),AR1572=0),O1572,0)</f>
        <v>0</v>
      </c>
      <c r="BU1572" s="991">
        <f>IF(AND(Input_Product=Elig!$C1572,Elig_MatchAll_Ct&lt;22,$BC1572=(Elig_MatchAll_Ct-1),AS1572=0),P1572,0)</f>
        <v>0</v>
      </c>
      <c r="BV1572" s="992">
        <f>IF(AND(Input_Product=Elig!$C1572,Elig_MatchAll_Ct&lt;22,$BC1572=(Elig_MatchAll_Ct-1),AT1572=0),Q1572,0)</f>
        <v>0</v>
      </c>
      <c r="BW1572" s="993">
        <f>IF(AND(Input_Product=Elig!$C1572,Elig_MatchAll_Ct&lt;22,$BC1572=(Elig_MatchAll_Ct-1),AU1572=0),R1572,0)</f>
        <v>0</v>
      </c>
      <c r="BX1572" s="994">
        <f>IF(AND(Input_Product=Elig!$C1572,Elig_MatchAll_Ct&lt;22,$BC1572=(Elig_MatchAll_Ct-1),AU1572=0),S1572,0)</f>
        <v>0</v>
      </c>
      <c r="BY1572" s="993">
        <f>IF(AND(Input_Product=Elig!$C1572,Elig_MatchAll_Ct&lt;22,$BC1572=(Elig_MatchAll_Ct-1),AV1572=0),T1572,0)</f>
        <v>0</v>
      </c>
      <c r="BZ1572" s="994">
        <f>IF(AND(Input_Product=Elig!$C1572,Elig_MatchAll_Ct&lt;22,$BC1572=(Elig_MatchAll_Ct-1),AV1572=0),U1572,0)</f>
        <v>0</v>
      </c>
      <c r="CA1572" s="993">
        <f>IF(AND(Input_Product=Elig!$C1572,Elig_MatchAll_Ct&lt;22,$BC1572=(Elig_MatchAll_Ct-1),AW1572=0),V1572,0)</f>
        <v>0</v>
      </c>
      <c r="CB1572" s="994">
        <f>IF(AND(Input_Product=Elig!$C1572,Elig_MatchAll_Ct&lt;22,$BC1572=(Elig_MatchAll_Ct-1),AW1572=0),W1572,0)</f>
        <v>0</v>
      </c>
      <c r="CC1572" s="993">
        <f>IF(AND(Input_Product=Elig!$C1572,Elig_MatchAll_Ct&lt;22,$BC1572=(Elig_MatchAll_Ct-1),AX1572=0),X1572,0)</f>
        <v>0</v>
      </c>
      <c r="CD1572" s="994">
        <f>IF(AND(Input_Product=Elig!$C1572,Elig_MatchAll_Ct&lt;22,$BC1572=(Elig_MatchAll_Ct-1),AX1572=0),Y1572,0)</f>
        <v>0</v>
      </c>
      <c r="CE1572" s="993">
        <f>IF(AND(Input_LTV&lt;=AE1572,Input_Product=Elig!$C1572,Elig_MatchAll_Ct&lt;22,$BC1572=(Elig_MatchAll_Ct-1),AY1572=0),Z1572,0)</f>
        <v>0</v>
      </c>
      <c r="CF1572" s="994">
        <f>IF(AND(Input_LTV&lt;=AE1572,Input_Product=Elig!$C1572,Elig_MatchAll_Ct&lt;22,$BC1572=(Elig_MatchAll_Ct-1),AY1572=0),AA1572,0)</f>
        <v>0</v>
      </c>
      <c r="CG1572" s="993">
        <f>IF(AND(Input_Product=Elig!$C1572,Elig_MatchAll_Ct&lt;22,$BC1572=(Elig_MatchAll_Ct-1),AZ1572=0),AB1572,0)</f>
        <v>0</v>
      </c>
      <c r="CH1572" s="994">
        <f>IF(AND(Input_Product=Elig!$C1572,Elig_MatchAll_Ct&lt;22,$BC1572=(Elig_MatchAll_Ct-1),AZ1572=0),AC1572,0)</f>
        <v>0</v>
      </c>
      <c r="CI1572" s="993">
        <f>IF(AND(Input_Product=Elig!$C1572,Elig_MatchAll_Ct&lt;22,$BC1572=(Elig_MatchAll_Ct-1),BA1572=0),AD1572,0)</f>
        <v>0</v>
      </c>
      <c r="CJ1572" s="994">
        <f>IF(AND(Input_Product=Elig!$C1572,Elig_MatchAll_Ct&lt;22,$BC1572=(Elig_MatchAll_Ct-1),BA1572=0),AE1572,0)</f>
        <v>0</v>
      </c>
    </row>
    <row r="1573" spans="2:88" ht="10.15" customHeight="1" x14ac:dyDescent="0.25">
      <c r="B1573" s="1924" t="s">
        <v>3629</v>
      </c>
      <c r="C1573" s="1587" t="s">
        <v>3055</v>
      </c>
      <c r="D1573" s="1587" t="s">
        <v>2764</v>
      </c>
      <c r="E1573" s="1587" t="s">
        <v>167</v>
      </c>
      <c r="F1573" s="1587" t="s">
        <v>330</v>
      </c>
      <c r="G1573" s="1587" t="s">
        <v>181</v>
      </c>
      <c r="H1573" s="1587" t="s">
        <v>136</v>
      </c>
      <c r="I1573" s="1588" t="s">
        <v>35</v>
      </c>
      <c r="J1573" s="1588" t="s">
        <v>1311</v>
      </c>
      <c r="K1573" s="1588" t="s">
        <v>3023</v>
      </c>
      <c r="L1573" s="1587" t="s">
        <v>430</v>
      </c>
      <c r="M1573" s="1587" t="s">
        <v>4205</v>
      </c>
      <c r="N1573" s="1587" t="s">
        <v>2685</v>
      </c>
      <c r="O1573" s="1587" t="s">
        <v>45</v>
      </c>
      <c r="P1573" s="1587" t="s">
        <v>291</v>
      </c>
      <c r="Q1573" s="1587" t="s">
        <v>294</v>
      </c>
      <c r="R1573" s="1587">
        <v>150000</v>
      </c>
      <c r="S1573" s="1587">
        <v>1000000</v>
      </c>
      <c r="T1573" s="1587">
        <v>0</v>
      </c>
      <c r="U1573" s="1587">
        <v>0</v>
      </c>
      <c r="V1573" s="1587">
        <v>0</v>
      </c>
      <c r="W1573" s="1587">
        <v>0</v>
      </c>
      <c r="X1573" s="1587">
        <v>0.01</v>
      </c>
      <c r="Y1573" s="1587">
        <v>0.99</v>
      </c>
      <c r="Z1573" s="1589">
        <v>660</v>
      </c>
      <c r="AA1573" s="1589">
        <v>660</v>
      </c>
      <c r="AB1573" s="1589">
        <v>6</v>
      </c>
      <c r="AC1573" s="1589">
        <v>999999</v>
      </c>
      <c r="AD1573" s="1587">
        <v>0</v>
      </c>
      <c r="AE1573" s="1590">
        <v>60</v>
      </c>
      <c r="AF1573" s="170">
        <v>0</v>
      </c>
      <c r="AG1573" s="171">
        <v>1</v>
      </c>
      <c r="AH1573" s="171">
        <v>1</v>
      </c>
      <c r="AI1573" s="171">
        <v>0</v>
      </c>
      <c r="AJ1573" s="171">
        <v>0</v>
      </c>
      <c r="AK1573" s="171">
        <v>1</v>
      </c>
      <c r="AL1573" s="171">
        <v>0</v>
      </c>
      <c r="AM1573" s="171">
        <v>1</v>
      </c>
      <c r="AN1573" s="171">
        <v>1</v>
      </c>
      <c r="AO1573" s="171">
        <v>1</v>
      </c>
      <c r="AP1573" s="171">
        <v>1</v>
      </c>
      <c r="AQ1573" s="171">
        <v>1</v>
      </c>
      <c r="AR1573" s="171">
        <v>0</v>
      </c>
      <c r="AS1573" s="171">
        <v>1</v>
      </c>
      <c r="AT1573" s="171">
        <v>1</v>
      </c>
      <c r="AU1573" s="171">
        <f t="shared" si="515"/>
        <v>1</v>
      </c>
      <c r="AV1573" s="171">
        <f t="shared" si="516"/>
        <v>0</v>
      </c>
      <c r="AW1573" s="171">
        <f t="shared" si="517"/>
        <v>0</v>
      </c>
      <c r="AX1573" s="171">
        <f t="shared" si="525"/>
        <v>0</v>
      </c>
      <c r="AY1573" s="171">
        <f t="shared" si="518"/>
        <v>0</v>
      </c>
      <c r="AZ1573" s="171">
        <f t="shared" si="519"/>
        <v>1</v>
      </c>
      <c r="BA1573" s="172">
        <f t="shared" si="520"/>
        <v>0</v>
      </c>
      <c r="BB1573" s="175">
        <f t="shared" si="521"/>
        <v>12</v>
      </c>
      <c r="BC1573" s="176">
        <f t="shared" si="522"/>
        <v>12</v>
      </c>
      <c r="BD1573" s="176">
        <f t="shared" si="523"/>
        <v>12</v>
      </c>
      <c r="BE1573" s="240" t="str">
        <f t="shared" ref="BE1573:BE1633" si="526">IF(BD1573=21,C1573,"")</f>
        <v/>
      </c>
      <c r="BF1573" s="990"/>
      <c r="BG1573" s="990"/>
      <c r="BH1573" s="991">
        <f>IF(AND(Input_Product=Elig!$C1573,Elig_MatchAll_Ct&lt;22,$BC1573=(Elig_MatchAll_Ct-1),AF1573=0),C1573,0)</f>
        <v>0</v>
      </c>
      <c r="BI1573" s="991">
        <f>IF(AND(Input_Product=Elig!$C1573,Elig_MatchAll_Ct&lt;22,$BC1573=(Elig_MatchAll_Ct-1),AG1573=0),D1573,0)</f>
        <v>0</v>
      </c>
      <c r="BJ1573" s="991">
        <f>IF(AND(Input_Product=Elig!$C1573,Elig_MatchAll_Ct&lt;22,$BC1573=(Elig_MatchAll_Ct-1),AH1573=0),E1573,0)</f>
        <v>0</v>
      </c>
      <c r="BK1573" s="991">
        <f>IF(AND(Input_Product=Elig!$C1573,Elig_MatchAll_Ct&lt;22,$BC1573=(Elig_MatchAll_Ct-1),AI1573=0),F1573,0)</f>
        <v>0</v>
      </c>
      <c r="BL1573" s="991">
        <f>IF(AND(Input_Product=Elig!$C1573,Elig_MatchAll_Ct&lt;22,$BC1573=(Elig_MatchAll_Ct-1),AJ1573=0),G1573,0)</f>
        <v>0</v>
      </c>
      <c r="BM1573" s="991">
        <f>IF(AND(Input_Product=Elig!$C1573,Elig_MatchAll_Ct&lt;22,$BC1573=(Elig_MatchAll_Ct-1),AK1573=0),H1573,0)</f>
        <v>0</v>
      </c>
      <c r="BN1573" s="991">
        <f>IF(AND(Input_Product=Elig!$C1573,Elig_MatchAll_Ct&lt;22,$BC1573=(Elig_MatchAll_Ct-1),AL1573=0),I1573,0)</f>
        <v>0</v>
      </c>
      <c r="BO1573" s="991">
        <f>IF(AND(Input_Product=Elig!$C1573,Elig_MatchAll_Ct&lt;22,$BC1573=(Elig_MatchAll_Ct-1),AM1573=0),J1573,0)</f>
        <v>0</v>
      </c>
      <c r="BP1573" s="991">
        <f>IF(AND(Input_Product=Elig!$C1573,Elig_MatchAll_Ct&lt;22,$BC1573=(Elig_MatchAll_Ct-1),AN1573=0),K1573,0)</f>
        <v>0</v>
      </c>
      <c r="BQ1573" s="991">
        <f>IF(AND(Input_Product=Elig!$C1573,Elig_MatchAll_Ct&lt;22,$BC1573=(Elig_MatchAll_Ct-1),AP1573=0),L1573,0)</f>
        <v>0</v>
      </c>
      <c r="BR1573" s="991">
        <f>IF(AND(Input_Product=Elig!$C1573,Elig_MatchAll_Ct&lt;22,$BC1573=(Elig_MatchAll_Ct-1),AO1573=0),M1573,0)</f>
        <v>0</v>
      </c>
      <c r="BS1573" s="991">
        <f>IF(AND(Input_Product=Elig!$C1573,Elig_MatchAll_Ct&lt;22,$BC1573=(Elig_MatchAll_Ct-1),AQ1573=0),N1573,0)</f>
        <v>0</v>
      </c>
      <c r="BT1573" s="991">
        <f>IF(AND(Input_Product=Elig!$C1573,Elig_MatchAll_Ct&lt;22,$BC1573=(Elig_MatchAll_Ct-1),AR1573=0),O1573,0)</f>
        <v>0</v>
      </c>
      <c r="BU1573" s="991">
        <f>IF(AND(Input_Product=Elig!$C1573,Elig_MatchAll_Ct&lt;22,$BC1573=(Elig_MatchAll_Ct-1),AS1573=0),P1573,0)</f>
        <v>0</v>
      </c>
      <c r="BV1573" s="992">
        <f>IF(AND(Input_Product=Elig!$C1573,Elig_MatchAll_Ct&lt;22,$BC1573=(Elig_MatchAll_Ct-1),AT1573=0),Q1573,0)</f>
        <v>0</v>
      </c>
      <c r="BW1573" s="993">
        <f>IF(AND(Input_Product=Elig!$C1573,Elig_MatchAll_Ct&lt;22,$BC1573=(Elig_MatchAll_Ct-1),AU1573=0),R1573,0)</f>
        <v>0</v>
      </c>
      <c r="BX1573" s="994">
        <f>IF(AND(Input_Product=Elig!$C1573,Elig_MatchAll_Ct&lt;22,$BC1573=(Elig_MatchAll_Ct-1),AU1573=0),S1573,0)</f>
        <v>0</v>
      </c>
      <c r="BY1573" s="993">
        <f>IF(AND(Input_Product=Elig!$C1573,Elig_MatchAll_Ct&lt;22,$BC1573=(Elig_MatchAll_Ct-1),AV1573=0),T1573,0)</f>
        <v>0</v>
      </c>
      <c r="BZ1573" s="994">
        <f>IF(AND(Input_Product=Elig!$C1573,Elig_MatchAll_Ct&lt;22,$BC1573=(Elig_MatchAll_Ct-1),AV1573=0),U1573,0)</f>
        <v>0</v>
      </c>
      <c r="CA1573" s="993">
        <f>IF(AND(Input_Product=Elig!$C1573,Elig_MatchAll_Ct&lt;22,$BC1573=(Elig_MatchAll_Ct-1),AW1573=0),V1573,0)</f>
        <v>0</v>
      </c>
      <c r="CB1573" s="994">
        <f>IF(AND(Input_Product=Elig!$C1573,Elig_MatchAll_Ct&lt;22,$BC1573=(Elig_MatchAll_Ct-1),AW1573=0),W1573,0)</f>
        <v>0</v>
      </c>
      <c r="CC1573" s="993">
        <f>IF(AND(Input_Product=Elig!$C1573,Elig_MatchAll_Ct&lt;22,$BC1573=(Elig_MatchAll_Ct-1),AX1573=0),X1573,0)</f>
        <v>0</v>
      </c>
      <c r="CD1573" s="994">
        <f>IF(AND(Input_Product=Elig!$C1573,Elig_MatchAll_Ct&lt;22,$BC1573=(Elig_MatchAll_Ct-1),AX1573=0),Y1573,0)</f>
        <v>0</v>
      </c>
      <c r="CE1573" s="993">
        <f>IF(AND(Input_LTV&lt;=AE1573,Input_Product=Elig!$C1573,Elig_MatchAll_Ct&lt;22,$BC1573=(Elig_MatchAll_Ct-1),AY1573=0),Z1573,0)</f>
        <v>0</v>
      </c>
      <c r="CF1573" s="994">
        <f>IF(AND(Input_LTV&lt;=AE1573,Input_Product=Elig!$C1573,Elig_MatchAll_Ct&lt;22,$BC1573=(Elig_MatchAll_Ct-1),AY1573=0),AA1573,0)</f>
        <v>0</v>
      </c>
      <c r="CG1573" s="993">
        <f>IF(AND(Input_Product=Elig!$C1573,Elig_MatchAll_Ct&lt;22,$BC1573=(Elig_MatchAll_Ct-1),AZ1573=0),AB1573,0)</f>
        <v>0</v>
      </c>
      <c r="CH1573" s="994">
        <f>IF(AND(Input_Product=Elig!$C1573,Elig_MatchAll_Ct&lt;22,$BC1573=(Elig_MatchAll_Ct-1),AZ1573=0),AC1573,0)</f>
        <v>0</v>
      </c>
      <c r="CI1573" s="993">
        <f>IF(AND(Input_Product=Elig!$C1573,Elig_MatchAll_Ct&lt;22,$BC1573=(Elig_MatchAll_Ct-1),BA1573=0),AD1573,0)</f>
        <v>0</v>
      </c>
      <c r="CJ1573" s="994">
        <f>IF(AND(Input_Product=Elig!$C1573,Elig_MatchAll_Ct&lt;22,$BC1573=(Elig_MatchAll_Ct-1),BA1573=0),AE1573,0)</f>
        <v>0</v>
      </c>
    </row>
    <row r="1574" spans="2:88" ht="10.15" customHeight="1" x14ac:dyDescent="0.25">
      <c r="B1574" s="1924" t="s">
        <v>2915</v>
      </c>
      <c r="C1574" s="1583" t="s">
        <v>3055</v>
      </c>
      <c r="D1574" s="1583" t="s">
        <v>2764</v>
      </c>
      <c r="E1574" s="1583" t="s">
        <v>167</v>
      </c>
      <c r="F1574" s="1583" t="s">
        <v>330</v>
      </c>
      <c r="G1574" s="1583" t="s">
        <v>181</v>
      </c>
      <c r="H1574" s="1583" t="s">
        <v>136</v>
      </c>
      <c r="I1574" s="1584" t="s">
        <v>16</v>
      </c>
      <c r="J1574" s="1584" t="s">
        <v>1311</v>
      </c>
      <c r="K1574" s="1584" t="s">
        <v>3023</v>
      </c>
      <c r="L1574" s="1583" t="s">
        <v>430</v>
      </c>
      <c r="M1574" s="1583" t="s">
        <v>4205</v>
      </c>
      <c r="N1574" s="1583" t="s">
        <v>2685</v>
      </c>
      <c r="O1574" s="1583" t="s">
        <v>45</v>
      </c>
      <c r="P1574" s="1583" t="s">
        <v>291</v>
      </c>
      <c r="Q1574" s="1583" t="s">
        <v>294</v>
      </c>
      <c r="R1574" s="1583">
        <v>150000</v>
      </c>
      <c r="S1574" s="1583">
        <v>1000000</v>
      </c>
      <c r="T1574" s="1583">
        <v>0</v>
      </c>
      <c r="U1574" s="1583">
        <v>500000</v>
      </c>
      <c r="V1574" s="1583">
        <v>0</v>
      </c>
      <c r="W1574" s="1583">
        <v>0</v>
      </c>
      <c r="X1574" s="1583">
        <v>1</v>
      </c>
      <c r="Y1574" s="1583">
        <v>999</v>
      </c>
      <c r="Z1574" s="1585">
        <v>680</v>
      </c>
      <c r="AA1574" s="1585">
        <v>999</v>
      </c>
      <c r="AB1574" s="1585">
        <v>6</v>
      </c>
      <c r="AC1574" s="1585">
        <v>999999</v>
      </c>
      <c r="AD1574" s="1583">
        <v>0</v>
      </c>
      <c r="AE1574" s="1586">
        <v>65</v>
      </c>
      <c r="AF1574" s="170">
        <v>0</v>
      </c>
      <c r="AG1574" s="171">
        <v>1</v>
      </c>
      <c r="AH1574" s="171">
        <v>1</v>
      </c>
      <c r="AI1574" s="171">
        <v>0</v>
      </c>
      <c r="AJ1574" s="171">
        <v>0</v>
      </c>
      <c r="AK1574" s="171">
        <v>1</v>
      </c>
      <c r="AL1574" s="171">
        <v>1</v>
      </c>
      <c r="AM1574" s="171">
        <v>1</v>
      </c>
      <c r="AN1574" s="171">
        <v>1</v>
      </c>
      <c r="AO1574" s="171">
        <v>1</v>
      </c>
      <c r="AP1574" s="171">
        <v>1</v>
      </c>
      <c r="AQ1574" s="171">
        <v>1</v>
      </c>
      <c r="AR1574" s="171">
        <v>0</v>
      </c>
      <c r="AS1574" s="171">
        <v>1</v>
      </c>
      <c r="AT1574" s="171">
        <v>1</v>
      </c>
      <c r="AU1574" s="171">
        <f t="shared" si="515"/>
        <v>1</v>
      </c>
      <c r="AV1574" s="171">
        <f t="shared" si="516"/>
        <v>1</v>
      </c>
      <c r="AW1574" s="171">
        <f t="shared" si="517"/>
        <v>0</v>
      </c>
      <c r="AX1574" s="171">
        <f t="shared" si="525"/>
        <v>0</v>
      </c>
      <c r="AY1574" s="171">
        <f t="shared" si="518"/>
        <v>1</v>
      </c>
      <c r="AZ1574" s="171">
        <f t="shared" si="519"/>
        <v>1</v>
      </c>
      <c r="BA1574" s="172">
        <f t="shared" si="520"/>
        <v>1</v>
      </c>
      <c r="BB1574" s="175">
        <f t="shared" si="521"/>
        <v>16</v>
      </c>
      <c r="BC1574" s="176">
        <f t="shared" si="522"/>
        <v>15</v>
      </c>
      <c r="BD1574" s="176">
        <f t="shared" si="523"/>
        <v>16</v>
      </c>
      <c r="BE1574" s="240" t="str">
        <f t="shared" si="526"/>
        <v/>
      </c>
      <c r="BF1574" s="990"/>
      <c r="BG1574" s="990"/>
      <c r="BH1574" s="991">
        <f>IF(AND(Input_Product=Elig!$C1574,Elig_MatchAll_Ct&lt;22,$BC1574=(Elig_MatchAll_Ct-1),AF1574=0),C1574,0)</f>
        <v>0</v>
      </c>
      <c r="BI1574" s="991">
        <f>IF(AND(Input_Product=Elig!$C1574,Elig_MatchAll_Ct&lt;22,$BC1574=(Elig_MatchAll_Ct-1),AG1574=0),D1574,0)</f>
        <v>0</v>
      </c>
      <c r="BJ1574" s="991">
        <f>IF(AND(Input_Product=Elig!$C1574,Elig_MatchAll_Ct&lt;22,$BC1574=(Elig_MatchAll_Ct-1),AH1574=0),E1574,0)</f>
        <v>0</v>
      </c>
      <c r="BK1574" s="991">
        <f>IF(AND(Input_Product=Elig!$C1574,Elig_MatchAll_Ct&lt;22,$BC1574=(Elig_MatchAll_Ct-1),AI1574=0),F1574,0)</f>
        <v>0</v>
      </c>
      <c r="BL1574" s="991">
        <f>IF(AND(Input_Product=Elig!$C1574,Elig_MatchAll_Ct&lt;22,$BC1574=(Elig_MatchAll_Ct-1),AJ1574=0),G1574,0)</f>
        <v>0</v>
      </c>
      <c r="BM1574" s="991">
        <f>IF(AND(Input_Product=Elig!$C1574,Elig_MatchAll_Ct&lt;22,$BC1574=(Elig_MatchAll_Ct-1),AK1574=0),H1574,0)</f>
        <v>0</v>
      </c>
      <c r="BN1574" s="991">
        <f>IF(AND(Input_Product=Elig!$C1574,Elig_MatchAll_Ct&lt;22,$BC1574=(Elig_MatchAll_Ct-1),AL1574=0),I1574,0)</f>
        <v>0</v>
      </c>
      <c r="BO1574" s="991">
        <f>IF(AND(Input_Product=Elig!$C1574,Elig_MatchAll_Ct&lt;22,$BC1574=(Elig_MatchAll_Ct-1),AM1574=0),J1574,0)</f>
        <v>0</v>
      </c>
      <c r="BP1574" s="991">
        <f>IF(AND(Input_Product=Elig!$C1574,Elig_MatchAll_Ct&lt;22,$BC1574=(Elig_MatchAll_Ct-1),AN1574=0),K1574,0)</f>
        <v>0</v>
      </c>
      <c r="BQ1574" s="991">
        <f>IF(AND(Input_Product=Elig!$C1574,Elig_MatchAll_Ct&lt;22,$BC1574=(Elig_MatchAll_Ct-1),AP1574=0),L1574,0)</f>
        <v>0</v>
      </c>
      <c r="BR1574" s="991">
        <f>IF(AND(Input_Product=Elig!$C1574,Elig_MatchAll_Ct&lt;22,$BC1574=(Elig_MatchAll_Ct-1),AO1574=0),M1574,0)</f>
        <v>0</v>
      </c>
      <c r="BS1574" s="991">
        <f>IF(AND(Input_Product=Elig!$C1574,Elig_MatchAll_Ct&lt;22,$BC1574=(Elig_MatchAll_Ct-1),AQ1574=0),N1574,0)</f>
        <v>0</v>
      </c>
      <c r="BT1574" s="991">
        <f>IF(AND(Input_Product=Elig!$C1574,Elig_MatchAll_Ct&lt;22,$BC1574=(Elig_MatchAll_Ct-1),AR1574=0),O1574,0)</f>
        <v>0</v>
      </c>
      <c r="BU1574" s="991">
        <f>IF(AND(Input_Product=Elig!$C1574,Elig_MatchAll_Ct&lt;22,$BC1574=(Elig_MatchAll_Ct-1),AS1574=0),P1574,0)</f>
        <v>0</v>
      </c>
      <c r="BV1574" s="992">
        <f>IF(AND(Input_Product=Elig!$C1574,Elig_MatchAll_Ct&lt;22,$BC1574=(Elig_MatchAll_Ct-1),AT1574=0),Q1574,0)</f>
        <v>0</v>
      </c>
      <c r="BW1574" s="993">
        <f>IF(AND(Input_Product=Elig!$C1574,Elig_MatchAll_Ct&lt;22,$BC1574=(Elig_MatchAll_Ct-1),AU1574=0),R1574,0)</f>
        <v>0</v>
      </c>
      <c r="BX1574" s="994">
        <f>IF(AND(Input_Product=Elig!$C1574,Elig_MatchAll_Ct&lt;22,$BC1574=(Elig_MatchAll_Ct-1),AU1574=0),S1574,0)</f>
        <v>0</v>
      </c>
      <c r="BY1574" s="993">
        <f>IF(AND(Input_Product=Elig!$C1574,Elig_MatchAll_Ct&lt;22,$BC1574=(Elig_MatchAll_Ct-1),AV1574=0),T1574,0)</f>
        <v>0</v>
      </c>
      <c r="BZ1574" s="994">
        <f>IF(AND(Input_Product=Elig!$C1574,Elig_MatchAll_Ct&lt;22,$BC1574=(Elig_MatchAll_Ct-1),AV1574=0),U1574,0)</f>
        <v>0</v>
      </c>
      <c r="CA1574" s="993">
        <f>IF(AND(Input_Product=Elig!$C1574,Elig_MatchAll_Ct&lt;22,$BC1574=(Elig_MatchAll_Ct-1),AW1574=0),V1574,0)</f>
        <v>0</v>
      </c>
      <c r="CB1574" s="994">
        <f>IF(AND(Input_Product=Elig!$C1574,Elig_MatchAll_Ct&lt;22,$BC1574=(Elig_MatchAll_Ct-1),AW1574=0),W1574,0)</f>
        <v>0</v>
      </c>
      <c r="CC1574" s="993">
        <f>IF(AND(Input_Product=Elig!$C1574,Elig_MatchAll_Ct&lt;22,$BC1574=(Elig_MatchAll_Ct-1),AX1574=0),X1574,0)</f>
        <v>0</v>
      </c>
      <c r="CD1574" s="994">
        <f>IF(AND(Input_Product=Elig!$C1574,Elig_MatchAll_Ct&lt;22,$BC1574=(Elig_MatchAll_Ct-1),AX1574=0),Y1574,0)</f>
        <v>0</v>
      </c>
      <c r="CE1574" s="993">
        <f>IF(AND(Input_LTV&lt;=AE1574,Input_Product=Elig!$C1574,Elig_MatchAll_Ct&lt;22,$BC1574=(Elig_MatchAll_Ct-1),AY1574=0),Z1574,0)</f>
        <v>0</v>
      </c>
      <c r="CF1574" s="994">
        <f>IF(AND(Input_LTV&lt;=AE1574,Input_Product=Elig!$C1574,Elig_MatchAll_Ct&lt;22,$BC1574=(Elig_MatchAll_Ct-1),AY1574=0),AA1574,0)</f>
        <v>0</v>
      </c>
      <c r="CG1574" s="993">
        <f>IF(AND(Input_Product=Elig!$C1574,Elig_MatchAll_Ct&lt;22,$BC1574=(Elig_MatchAll_Ct-1),AZ1574=0),AB1574,0)</f>
        <v>0</v>
      </c>
      <c r="CH1574" s="994">
        <f>IF(AND(Input_Product=Elig!$C1574,Elig_MatchAll_Ct&lt;22,$BC1574=(Elig_MatchAll_Ct-1),AZ1574=0),AC1574,0)</f>
        <v>0</v>
      </c>
      <c r="CI1574" s="993">
        <f>IF(AND(Input_Product=Elig!$C1574,Elig_MatchAll_Ct&lt;22,$BC1574=(Elig_MatchAll_Ct-1),BA1574=0),AD1574,0)</f>
        <v>0</v>
      </c>
      <c r="CJ1574" s="994">
        <f>IF(AND(Input_Product=Elig!$C1574,Elig_MatchAll_Ct&lt;22,$BC1574=(Elig_MatchAll_Ct-1),BA1574=0),AE1574,0)</f>
        <v>0</v>
      </c>
    </row>
    <row r="1575" spans="2:88" ht="10.15" customHeight="1" x14ac:dyDescent="0.25">
      <c r="B1575" s="1924" t="s">
        <v>3630</v>
      </c>
      <c r="C1575" s="1587" t="s">
        <v>3055</v>
      </c>
      <c r="D1575" s="1587" t="s">
        <v>2764</v>
      </c>
      <c r="E1575" s="1587" t="s">
        <v>167</v>
      </c>
      <c r="F1575" s="1587" t="s">
        <v>330</v>
      </c>
      <c r="G1575" s="1587" t="s">
        <v>181</v>
      </c>
      <c r="H1575" s="1587" t="s">
        <v>136</v>
      </c>
      <c r="I1575" s="1588" t="s">
        <v>16</v>
      </c>
      <c r="J1575" s="1588" t="s">
        <v>1311</v>
      </c>
      <c r="K1575" s="1588" t="s">
        <v>3023</v>
      </c>
      <c r="L1575" s="1587" t="s">
        <v>430</v>
      </c>
      <c r="M1575" s="1587" t="s">
        <v>4205</v>
      </c>
      <c r="N1575" s="1587" t="s">
        <v>2685</v>
      </c>
      <c r="O1575" s="1587" t="s">
        <v>45</v>
      </c>
      <c r="P1575" s="1587" t="s">
        <v>291</v>
      </c>
      <c r="Q1575" s="1587" t="s">
        <v>294</v>
      </c>
      <c r="R1575" s="1587">
        <v>1000000.01</v>
      </c>
      <c r="S1575" s="1587">
        <v>1500000</v>
      </c>
      <c r="T1575" s="1587">
        <v>0</v>
      </c>
      <c r="U1575" s="1587">
        <v>500000</v>
      </c>
      <c r="V1575" s="1587">
        <v>0</v>
      </c>
      <c r="W1575" s="1587">
        <v>0</v>
      </c>
      <c r="X1575" s="1587">
        <v>1</v>
      </c>
      <c r="Y1575" s="1587">
        <v>999</v>
      </c>
      <c r="Z1575" s="1589">
        <v>680</v>
      </c>
      <c r="AA1575" s="1589">
        <v>999</v>
      </c>
      <c r="AB1575" s="1589">
        <v>6</v>
      </c>
      <c r="AC1575" s="1589">
        <v>999999</v>
      </c>
      <c r="AD1575" s="1587">
        <v>0</v>
      </c>
      <c r="AE1575" s="1590">
        <v>60</v>
      </c>
      <c r="AF1575" s="170">
        <v>0</v>
      </c>
      <c r="AG1575" s="171">
        <v>1</v>
      </c>
      <c r="AH1575" s="171">
        <v>1</v>
      </c>
      <c r="AI1575" s="171">
        <v>0</v>
      </c>
      <c r="AJ1575" s="171">
        <v>0</v>
      </c>
      <c r="AK1575" s="171">
        <v>1</v>
      </c>
      <c r="AL1575" s="171">
        <v>1</v>
      </c>
      <c r="AM1575" s="171">
        <v>1</v>
      </c>
      <c r="AN1575" s="171">
        <v>1</v>
      </c>
      <c r="AO1575" s="171">
        <v>1</v>
      </c>
      <c r="AP1575" s="171">
        <v>1</v>
      </c>
      <c r="AQ1575" s="171">
        <v>1</v>
      </c>
      <c r="AR1575" s="171">
        <v>0</v>
      </c>
      <c r="AS1575" s="171">
        <v>1</v>
      </c>
      <c r="AT1575" s="171">
        <v>1</v>
      </c>
      <c r="AU1575" s="171">
        <f t="shared" si="515"/>
        <v>0</v>
      </c>
      <c r="AV1575" s="171">
        <f t="shared" si="516"/>
        <v>1</v>
      </c>
      <c r="AW1575" s="171">
        <f t="shared" si="517"/>
        <v>0</v>
      </c>
      <c r="AX1575" s="171">
        <f t="shared" si="525"/>
        <v>0</v>
      </c>
      <c r="AY1575" s="171">
        <f t="shared" si="518"/>
        <v>1</v>
      </c>
      <c r="AZ1575" s="171">
        <f t="shared" si="519"/>
        <v>1</v>
      </c>
      <c r="BA1575" s="172">
        <f t="shared" si="520"/>
        <v>0</v>
      </c>
      <c r="BB1575" s="175">
        <f t="shared" si="521"/>
        <v>14</v>
      </c>
      <c r="BC1575" s="176">
        <f t="shared" si="522"/>
        <v>14</v>
      </c>
      <c r="BD1575" s="176">
        <f t="shared" si="523"/>
        <v>14</v>
      </c>
      <c r="BE1575" s="240" t="str">
        <f t="shared" si="526"/>
        <v/>
      </c>
      <c r="BF1575" s="990"/>
      <c r="BG1575" s="990"/>
      <c r="BH1575" s="991">
        <f>IF(AND(Input_Product=Elig!$C1575,Elig_MatchAll_Ct&lt;22,$BC1575=(Elig_MatchAll_Ct-1),AF1575=0),C1575,0)</f>
        <v>0</v>
      </c>
      <c r="BI1575" s="991">
        <f>IF(AND(Input_Product=Elig!$C1575,Elig_MatchAll_Ct&lt;22,$BC1575=(Elig_MatchAll_Ct-1),AG1575=0),D1575,0)</f>
        <v>0</v>
      </c>
      <c r="BJ1575" s="991">
        <f>IF(AND(Input_Product=Elig!$C1575,Elig_MatchAll_Ct&lt;22,$BC1575=(Elig_MatchAll_Ct-1),AH1575=0),E1575,0)</f>
        <v>0</v>
      </c>
      <c r="BK1575" s="991">
        <f>IF(AND(Input_Product=Elig!$C1575,Elig_MatchAll_Ct&lt;22,$BC1575=(Elig_MatchAll_Ct-1),AI1575=0),F1575,0)</f>
        <v>0</v>
      </c>
      <c r="BL1575" s="991">
        <f>IF(AND(Input_Product=Elig!$C1575,Elig_MatchAll_Ct&lt;22,$BC1575=(Elig_MatchAll_Ct-1),AJ1575=0),G1575,0)</f>
        <v>0</v>
      </c>
      <c r="BM1575" s="991">
        <f>IF(AND(Input_Product=Elig!$C1575,Elig_MatchAll_Ct&lt;22,$BC1575=(Elig_MatchAll_Ct-1),AK1575=0),H1575,0)</f>
        <v>0</v>
      </c>
      <c r="BN1575" s="991">
        <f>IF(AND(Input_Product=Elig!$C1575,Elig_MatchAll_Ct&lt;22,$BC1575=(Elig_MatchAll_Ct-1),AL1575=0),I1575,0)</f>
        <v>0</v>
      </c>
      <c r="BO1575" s="991">
        <f>IF(AND(Input_Product=Elig!$C1575,Elig_MatchAll_Ct&lt;22,$BC1575=(Elig_MatchAll_Ct-1),AM1575=0),J1575,0)</f>
        <v>0</v>
      </c>
      <c r="BP1575" s="991">
        <f>IF(AND(Input_Product=Elig!$C1575,Elig_MatchAll_Ct&lt;22,$BC1575=(Elig_MatchAll_Ct-1),AN1575=0),K1575,0)</f>
        <v>0</v>
      </c>
      <c r="BQ1575" s="991">
        <f>IF(AND(Input_Product=Elig!$C1575,Elig_MatchAll_Ct&lt;22,$BC1575=(Elig_MatchAll_Ct-1),AP1575=0),L1575,0)</f>
        <v>0</v>
      </c>
      <c r="BR1575" s="991">
        <f>IF(AND(Input_Product=Elig!$C1575,Elig_MatchAll_Ct&lt;22,$BC1575=(Elig_MatchAll_Ct-1),AO1575=0),M1575,0)</f>
        <v>0</v>
      </c>
      <c r="BS1575" s="991">
        <f>IF(AND(Input_Product=Elig!$C1575,Elig_MatchAll_Ct&lt;22,$BC1575=(Elig_MatchAll_Ct-1),AQ1575=0),N1575,0)</f>
        <v>0</v>
      </c>
      <c r="BT1575" s="991">
        <f>IF(AND(Input_Product=Elig!$C1575,Elig_MatchAll_Ct&lt;22,$BC1575=(Elig_MatchAll_Ct-1),AR1575=0),O1575,0)</f>
        <v>0</v>
      </c>
      <c r="BU1575" s="991">
        <f>IF(AND(Input_Product=Elig!$C1575,Elig_MatchAll_Ct&lt;22,$BC1575=(Elig_MatchAll_Ct-1),AS1575=0),P1575,0)</f>
        <v>0</v>
      </c>
      <c r="BV1575" s="992">
        <f>IF(AND(Input_Product=Elig!$C1575,Elig_MatchAll_Ct&lt;22,$BC1575=(Elig_MatchAll_Ct-1),AT1575=0),Q1575,0)</f>
        <v>0</v>
      </c>
      <c r="BW1575" s="993">
        <f>IF(AND(Input_Product=Elig!$C1575,Elig_MatchAll_Ct&lt;22,$BC1575=(Elig_MatchAll_Ct-1),AU1575=0),R1575,0)</f>
        <v>0</v>
      </c>
      <c r="BX1575" s="994">
        <f>IF(AND(Input_Product=Elig!$C1575,Elig_MatchAll_Ct&lt;22,$BC1575=(Elig_MatchAll_Ct-1),AU1575=0),S1575,0)</f>
        <v>0</v>
      </c>
      <c r="BY1575" s="993">
        <f>IF(AND(Input_Product=Elig!$C1575,Elig_MatchAll_Ct&lt;22,$BC1575=(Elig_MatchAll_Ct-1),AV1575=0),T1575,0)</f>
        <v>0</v>
      </c>
      <c r="BZ1575" s="994">
        <f>IF(AND(Input_Product=Elig!$C1575,Elig_MatchAll_Ct&lt;22,$BC1575=(Elig_MatchAll_Ct-1),AV1575=0),U1575,0)</f>
        <v>0</v>
      </c>
      <c r="CA1575" s="993">
        <f>IF(AND(Input_Product=Elig!$C1575,Elig_MatchAll_Ct&lt;22,$BC1575=(Elig_MatchAll_Ct-1),AW1575=0),V1575,0)</f>
        <v>0</v>
      </c>
      <c r="CB1575" s="994">
        <f>IF(AND(Input_Product=Elig!$C1575,Elig_MatchAll_Ct&lt;22,$BC1575=(Elig_MatchAll_Ct-1),AW1575=0),W1575,0)</f>
        <v>0</v>
      </c>
      <c r="CC1575" s="993">
        <f>IF(AND(Input_Product=Elig!$C1575,Elig_MatchAll_Ct&lt;22,$BC1575=(Elig_MatchAll_Ct-1),AX1575=0),X1575,0)</f>
        <v>0</v>
      </c>
      <c r="CD1575" s="994">
        <f>IF(AND(Input_Product=Elig!$C1575,Elig_MatchAll_Ct&lt;22,$BC1575=(Elig_MatchAll_Ct-1),AX1575=0),Y1575,0)</f>
        <v>0</v>
      </c>
      <c r="CE1575" s="993">
        <f>IF(AND(Input_LTV&lt;=AE1575,Input_Product=Elig!$C1575,Elig_MatchAll_Ct&lt;22,$BC1575=(Elig_MatchAll_Ct-1),AY1575=0),Z1575,0)</f>
        <v>0</v>
      </c>
      <c r="CF1575" s="994">
        <f>IF(AND(Input_LTV&lt;=AE1575,Input_Product=Elig!$C1575,Elig_MatchAll_Ct&lt;22,$BC1575=(Elig_MatchAll_Ct-1),AY1575=0),AA1575,0)</f>
        <v>0</v>
      </c>
      <c r="CG1575" s="993">
        <f>IF(AND(Input_Product=Elig!$C1575,Elig_MatchAll_Ct&lt;22,$BC1575=(Elig_MatchAll_Ct-1),AZ1575=0),AB1575,0)</f>
        <v>0</v>
      </c>
      <c r="CH1575" s="994">
        <f>IF(AND(Input_Product=Elig!$C1575,Elig_MatchAll_Ct&lt;22,$BC1575=(Elig_MatchAll_Ct-1),AZ1575=0),AC1575,0)</f>
        <v>0</v>
      </c>
      <c r="CI1575" s="993">
        <f>IF(AND(Input_Product=Elig!$C1575,Elig_MatchAll_Ct&lt;22,$BC1575=(Elig_MatchAll_Ct-1),BA1575=0),AD1575,0)</f>
        <v>0</v>
      </c>
      <c r="CJ1575" s="994">
        <f>IF(AND(Input_Product=Elig!$C1575,Elig_MatchAll_Ct&lt;22,$BC1575=(Elig_MatchAll_Ct-1),BA1575=0),AE1575,0)</f>
        <v>0</v>
      </c>
    </row>
    <row r="1576" spans="2:88" ht="10.15" customHeight="1" x14ac:dyDescent="0.25">
      <c r="B1576" s="1924" t="s">
        <v>2916</v>
      </c>
      <c r="C1576" s="1587" t="s">
        <v>3055</v>
      </c>
      <c r="D1576" s="1587" t="s">
        <v>2764</v>
      </c>
      <c r="E1576" s="1587" t="s">
        <v>167</v>
      </c>
      <c r="F1576" s="1587" t="s">
        <v>330</v>
      </c>
      <c r="G1576" s="1587" t="s">
        <v>181</v>
      </c>
      <c r="H1576" s="1587" t="s">
        <v>136</v>
      </c>
      <c r="I1576" s="1588" t="s">
        <v>16</v>
      </c>
      <c r="J1576" s="1588" t="s">
        <v>1311</v>
      </c>
      <c r="K1576" s="1588" t="s">
        <v>3023</v>
      </c>
      <c r="L1576" s="1587" t="s">
        <v>430</v>
      </c>
      <c r="M1576" s="1587" t="s">
        <v>4205</v>
      </c>
      <c r="N1576" s="1587" t="s">
        <v>2685</v>
      </c>
      <c r="O1576" s="1587" t="s">
        <v>45</v>
      </c>
      <c r="P1576" s="1587" t="s">
        <v>291</v>
      </c>
      <c r="Q1576" s="1587" t="s">
        <v>294</v>
      </c>
      <c r="R1576" s="1587">
        <v>150000</v>
      </c>
      <c r="S1576" s="1587">
        <v>1000000</v>
      </c>
      <c r="T1576" s="1587">
        <v>0</v>
      </c>
      <c r="U1576" s="1587">
        <v>500000</v>
      </c>
      <c r="V1576" s="1587">
        <v>0</v>
      </c>
      <c r="W1576" s="1587">
        <v>0</v>
      </c>
      <c r="X1576" s="1587">
        <v>1</v>
      </c>
      <c r="Y1576" s="1587">
        <v>999</v>
      </c>
      <c r="Z1576" s="1589">
        <v>660</v>
      </c>
      <c r="AA1576" s="1589">
        <v>660</v>
      </c>
      <c r="AB1576" s="1589">
        <v>6</v>
      </c>
      <c r="AC1576" s="1589">
        <v>999999</v>
      </c>
      <c r="AD1576" s="1587">
        <v>0</v>
      </c>
      <c r="AE1576" s="1590">
        <v>65</v>
      </c>
      <c r="AF1576" s="170">
        <v>0</v>
      </c>
      <c r="AG1576" s="171">
        <v>1</v>
      </c>
      <c r="AH1576" s="171">
        <v>1</v>
      </c>
      <c r="AI1576" s="171">
        <v>0</v>
      </c>
      <c r="AJ1576" s="171">
        <v>0</v>
      </c>
      <c r="AK1576" s="171">
        <v>1</v>
      </c>
      <c r="AL1576" s="171">
        <v>1</v>
      </c>
      <c r="AM1576" s="171">
        <v>1</v>
      </c>
      <c r="AN1576" s="171">
        <v>1</v>
      </c>
      <c r="AO1576" s="171">
        <v>1</v>
      </c>
      <c r="AP1576" s="171">
        <v>1</v>
      </c>
      <c r="AQ1576" s="171">
        <v>1</v>
      </c>
      <c r="AR1576" s="171">
        <v>0</v>
      </c>
      <c r="AS1576" s="171">
        <v>1</v>
      </c>
      <c r="AT1576" s="171">
        <v>1</v>
      </c>
      <c r="AU1576" s="171">
        <f t="shared" si="515"/>
        <v>1</v>
      </c>
      <c r="AV1576" s="171">
        <f t="shared" si="516"/>
        <v>1</v>
      </c>
      <c r="AW1576" s="171">
        <f t="shared" si="517"/>
        <v>0</v>
      </c>
      <c r="AX1576" s="171">
        <f t="shared" si="525"/>
        <v>0</v>
      </c>
      <c r="AY1576" s="171">
        <f t="shared" si="518"/>
        <v>0</v>
      </c>
      <c r="AZ1576" s="171">
        <f t="shared" si="519"/>
        <v>1</v>
      </c>
      <c r="BA1576" s="172">
        <f t="shared" si="520"/>
        <v>1</v>
      </c>
      <c r="BB1576" s="175">
        <f t="shared" si="521"/>
        <v>15</v>
      </c>
      <c r="BC1576" s="176">
        <f t="shared" si="522"/>
        <v>14</v>
      </c>
      <c r="BD1576" s="176">
        <f t="shared" si="523"/>
        <v>15</v>
      </c>
      <c r="BE1576" s="240" t="str">
        <f t="shared" si="526"/>
        <v/>
      </c>
      <c r="BF1576" s="990"/>
      <c r="BG1576" s="990"/>
      <c r="BH1576" s="991">
        <f>IF(AND(Input_Product=Elig!$C1576,Elig_MatchAll_Ct&lt;22,$BC1576=(Elig_MatchAll_Ct-1),AF1576=0),C1576,0)</f>
        <v>0</v>
      </c>
      <c r="BI1576" s="991">
        <f>IF(AND(Input_Product=Elig!$C1576,Elig_MatchAll_Ct&lt;22,$BC1576=(Elig_MatchAll_Ct-1),AG1576=0),D1576,0)</f>
        <v>0</v>
      </c>
      <c r="BJ1576" s="991">
        <f>IF(AND(Input_Product=Elig!$C1576,Elig_MatchAll_Ct&lt;22,$BC1576=(Elig_MatchAll_Ct-1),AH1576=0),E1576,0)</f>
        <v>0</v>
      </c>
      <c r="BK1576" s="991">
        <f>IF(AND(Input_Product=Elig!$C1576,Elig_MatchAll_Ct&lt;22,$BC1576=(Elig_MatchAll_Ct-1),AI1576=0),F1576,0)</f>
        <v>0</v>
      </c>
      <c r="BL1576" s="991">
        <f>IF(AND(Input_Product=Elig!$C1576,Elig_MatchAll_Ct&lt;22,$BC1576=(Elig_MatchAll_Ct-1),AJ1576=0),G1576,0)</f>
        <v>0</v>
      </c>
      <c r="BM1576" s="991">
        <f>IF(AND(Input_Product=Elig!$C1576,Elig_MatchAll_Ct&lt;22,$BC1576=(Elig_MatchAll_Ct-1),AK1576=0),H1576,0)</f>
        <v>0</v>
      </c>
      <c r="BN1576" s="991">
        <f>IF(AND(Input_Product=Elig!$C1576,Elig_MatchAll_Ct&lt;22,$BC1576=(Elig_MatchAll_Ct-1),AL1576=0),I1576,0)</f>
        <v>0</v>
      </c>
      <c r="BO1576" s="991">
        <f>IF(AND(Input_Product=Elig!$C1576,Elig_MatchAll_Ct&lt;22,$BC1576=(Elig_MatchAll_Ct-1),AM1576=0),J1576,0)</f>
        <v>0</v>
      </c>
      <c r="BP1576" s="991">
        <f>IF(AND(Input_Product=Elig!$C1576,Elig_MatchAll_Ct&lt;22,$BC1576=(Elig_MatchAll_Ct-1),AN1576=0),K1576,0)</f>
        <v>0</v>
      </c>
      <c r="BQ1576" s="991">
        <f>IF(AND(Input_Product=Elig!$C1576,Elig_MatchAll_Ct&lt;22,$BC1576=(Elig_MatchAll_Ct-1),AP1576=0),L1576,0)</f>
        <v>0</v>
      </c>
      <c r="BR1576" s="991">
        <f>IF(AND(Input_Product=Elig!$C1576,Elig_MatchAll_Ct&lt;22,$BC1576=(Elig_MatchAll_Ct-1),AO1576=0),M1576,0)</f>
        <v>0</v>
      </c>
      <c r="BS1576" s="991">
        <f>IF(AND(Input_Product=Elig!$C1576,Elig_MatchAll_Ct&lt;22,$BC1576=(Elig_MatchAll_Ct-1),AQ1576=0),N1576,0)</f>
        <v>0</v>
      </c>
      <c r="BT1576" s="991">
        <f>IF(AND(Input_Product=Elig!$C1576,Elig_MatchAll_Ct&lt;22,$BC1576=(Elig_MatchAll_Ct-1),AR1576=0),O1576,0)</f>
        <v>0</v>
      </c>
      <c r="BU1576" s="991">
        <f>IF(AND(Input_Product=Elig!$C1576,Elig_MatchAll_Ct&lt;22,$BC1576=(Elig_MatchAll_Ct-1),AS1576=0),P1576,0)</f>
        <v>0</v>
      </c>
      <c r="BV1576" s="992">
        <f>IF(AND(Input_Product=Elig!$C1576,Elig_MatchAll_Ct&lt;22,$BC1576=(Elig_MatchAll_Ct-1),AT1576=0),Q1576,0)</f>
        <v>0</v>
      </c>
      <c r="BW1576" s="993">
        <f>IF(AND(Input_Product=Elig!$C1576,Elig_MatchAll_Ct&lt;22,$BC1576=(Elig_MatchAll_Ct-1),AU1576=0),R1576,0)</f>
        <v>0</v>
      </c>
      <c r="BX1576" s="994">
        <f>IF(AND(Input_Product=Elig!$C1576,Elig_MatchAll_Ct&lt;22,$BC1576=(Elig_MatchAll_Ct-1),AU1576=0),S1576,0)</f>
        <v>0</v>
      </c>
      <c r="BY1576" s="993">
        <f>IF(AND(Input_Product=Elig!$C1576,Elig_MatchAll_Ct&lt;22,$BC1576=(Elig_MatchAll_Ct-1),AV1576=0),T1576,0)</f>
        <v>0</v>
      </c>
      <c r="BZ1576" s="994">
        <f>IF(AND(Input_Product=Elig!$C1576,Elig_MatchAll_Ct&lt;22,$BC1576=(Elig_MatchAll_Ct-1),AV1576=0),U1576,0)</f>
        <v>0</v>
      </c>
      <c r="CA1576" s="993">
        <f>IF(AND(Input_Product=Elig!$C1576,Elig_MatchAll_Ct&lt;22,$BC1576=(Elig_MatchAll_Ct-1),AW1576=0),V1576,0)</f>
        <v>0</v>
      </c>
      <c r="CB1576" s="994">
        <f>IF(AND(Input_Product=Elig!$C1576,Elig_MatchAll_Ct&lt;22,$BC1576=(Elig_MatchAll_Ct-1),AW1576=0),W1576,0)</f>
        <v>0</v>
      </c>
      <c r="CC1576" s="993">
        <f>IF(AND(Input_Product=Elig!$C1576,Elig_MatchAll_Ct&lt;22,$BC1576=(Elig_MatchAll_Ct-1),AX1576=0),X1576,0)</f>
        <v>0</v>
      </c>
      <c r="CD1576" s="994">
        <f>IF(AND(Input_Product=Elig!$C1576,Elig_MatchAll_Ct&lt;22,$BC1576=(Elig_MatchAll_Ct-1),AX1576=0),Y1576,0)</f>
        <v>0</v>
      </c>
      <c r="CE1576" s="993">
        <f>IF(AND(Input_LTV&lt;=AE1576,Input_Product=Elig!$C1576,Elig_MatchAll_Ct&lt;22,$BC1576=(Elig_MatchAll_Ct-1),AY1576=0),Z1576,0)</f>
        <v>0</v>
      </c>
      <c r="CF1576" s="994">
        <f>IF(AND(Input_LTV&lt;=AE1576,Input_Product=Elig!$C1576,Elig_MatchAll_Ct&lt;22,$BC1576=(Elig_MatchAll_Ct-1),AY1576=0),AA1576,0)</f>
        <v>0</v>
      </c>
      <c r="CG1576" s="993">
        <f>IF(AND(Input_Product=Elig!$C1576,Elig_MatchAll_Ct&lt;22,$BC1576=(Elig_MatchAll_Ct-1),AZ1576=0),AB1576,0)</f>
        <v>0</v>
      </c>
      <c r="CH1576" s="994">
        <f>IF(AND(Input_Product=Elig!$C1576,Elig_MatchAll_Ct&lt;22,$BC1576=(Elig_MatchAll_Ct-1),AZ1576=0),AC1576,0)</f>
        <v>0</v>
      </c>
      <c r="CI1576" s="993">
        <f>IF(AND(Input_Product=Elig!$C1576,Elig_MatchAll_Ct&lt;22,$BC1576=(Elig_MatchAll_Ct-1),BA1576=0),AD1576,0)</f>
        <v>0</v>
      </c>
      <c r="CJ1576" s="994">
        <f>IF(AND(Input_Product=Elig!$C1576,Elig_MatchAll_Ct&lt;22,$BC1576=(Elig_MatchAll_Ct-1),BA1576=0),AE1576,0)</f>
        <v>0</v>
      </c>
    </row>
    <row r="1577" spans="2:88" ht="10.15" customHeight="1" x14ac:dyDescent="0.25">
      <c r="B1577" s="1924" t="s">
        <v>2917</v>
      </c>
      <c r="C1577" s="1587" t="s">
        <v>3055</v>
      </c>
      <c r="D1577" s="1587" t="s">
        <v>2764</v>
      </c>
      <c r="E1577" s="1587" t="s">
        <v>167</v>
      </c>
      <c r="F1577" s="1587" t="s">
        <v>330</v>
      </c>
      <c r="G1577" s="1587" t="s">
        <v>181</v>
      </c>
      <c r="H1577" s="1587" t="s">
        <v>136</v>
      </c>
      <c r="I1577" s="1588" t="s">
        <v>16</v>
      </c>
      <c r="J1577" s="1588" t="s">
        <v>1311</v>
      </c>
      <c r="K1577" s="1588" t="s">
        <v>3023</v>
      </c>
      <c r="L1577" s="1587" t="s">
        <v>430</v>
      </c>
      <c r="M1577" s="1587" t="s">
        <v>4205</v>
      </c>
      <c r="N1577" s="1587" t="s">
        <v>2685</v>
      </c>
      <c r="O1577" s="1587" t="s">
        <v>45</v>
      </c>
      <c r="P1577" s="1587" t="s">
        <v>291</v>
      </c>
      <c r="Q1577" s="1587" t="s">
        <v>294</v>
      </c>
      <c r="R1577" s="1587">
        <v>1000000.01</v>
      </c>
      <c r="S1577" s="1587">
        <v>1500000</v>
      </c>
      <c r="T1577" s="1587">
        <v>0</v>
      </c>
      <c r="U1577" s="1587">
        <v>500000</v>
      </c>
      <c r="V1577" s="1587">
        <v>0</v>
      </c>
      <c r="W1577" s="1587">
        <v>0</v>
      </c>
      <c r="X1577" s="1587">
        <v>1</v>
      </c>
      <c r="Y1577" s="1587">
        <v>999</v>
      </c>
      <c r="Z1577" s="1589">
        <v>660</v>
      </c>
      <c r="AA1577" s="1589">
        <v>660</v>
      </c>
      <c r="AB1577" s="1589">
        <v>6</v>
      </c>
      <c r="AC1577" s="1589">
        <v>999999</v>
      </c>
      <c r="AD1577" s="1587">
        <v>0</v>
      </c>
      <c r="AE1577" s="1590">
        <v>60</v>
      </c>
      <c r="AF1577" s="170">
        <v>0</v>
      </c>
      <c r="AG1577" s="171">
        <v>1</v>
      </c>
      <c r="AH1577" s="171">
        <v>1</v>
      </c>
      <c r="AI1577" s="171">
        <v>0</v>
      </c>
      <c r="AJ1577" s="171">
        <v>0</v>
      </c>
      <c r="AK1577" s="171">
        <v>1</v>
      </c>
      <c r="AL1577" s="171">
        <v>1</v>
      </c>
      <c r="AM1577" s="171">
        <v>1</v>
      </c>
      <c r="AN1577" s="171">
        <v>1</v>
      </c>
      <c r="AO1577" s="171">
        <v>1</v>
      </c>
      <c r="AP1577" s="171">
        <v>1</v>
      </c>
      <c r="AQ1577" s="171">
        <v>1</v>
      </c>
      <c r="AR1577" s="171">
        <v>0</v>
      </c>
      <c r="AS1577" s="171">
        <v>1</v>
      </c>
      <c r="AT1577" s="171">
        <v>1</v>
      </c>
      <c r="AU1577" s="171">
        <f t="shared" si="515"/>
        <v>0</v>
      </c>
      <c r="AV1577" s="171">
        <f t="shared" si="516"/>
        <v>1</v>
      </c>
      <c r="AW1577" s="171">
        <f t="shared" si="517"/>
        <v>0</v>
      </c>
      <c r="AX1577" s="171">
        <f t="shared" si="525"/>
        <v>0</v>
      </c>
      <c r="AY1577" s="171">
        <f t="shared" si="518"/>
        <v>0</v>
      </c>
      <c r="AZ1577" s="171">
        <f t="shared" si="519"/>
        <v>1</v>
      </c>
      <c r="BA1577" s="172">
        <f t="shared" si="520"/>
        <v>0</v>
      </c>
      <c r="BB1577" s="175">
        <f t="shared" si="521"/>
        <v>13</v>
      </c>
      <c r="BC1577" s="176">
        <f t="shared" si="522"/>
        <v>13</v>
      </c>
      <c r="BD1577" s="176">
        <f t="shared" si="523"/>
        <v>13</v>
      </c>
      <c r="BE1577" s="240" t="str">
        <f t="shared" si="526"/>
        <v/>
      </c>
      <c r="BF1577" s="990"/>
      <c r="BG1577" s="990"/>
      <c r="BH1577" s="991">
        <f>IF(AND(Input_Product=Elig!$C1577,Elig_MatchAll_Ct&lt;22,$BC1577=(Elig_MatchAll_Ct-1),AF1577=0),C1577,0)</f>
        <v>0</v>
      </c>
      <c r="BI1577" s="991">
        <f>IF(AND(Input_Product=Elig!$C1577,Elig_MatchAll_Ct&lt;22,$BC1577=(Elig_MatchAll_Ct-1),AG1577=0),D1577,0)</f>
        <v>0</v>
      </c>
      <c r="BJ1577" s="991">
        <f>IF(AND(Input_Product=Elig!$C1577,Elig_MatchAll_Ct&lt;22,$BC1577=(Elig_MatchAll_Ct-1),AH1577=0),E1577,0)</f>
        <v>0</v>
      </c>
      <c r="BK1577" s="991">
        <f>IF(AND(Input_Product=Elig!$C1577,Elig_MatchAll_Ct&lt;22,$BC1577=(Elig_MatchAll_Ct-1),AI1577=0),F1577,0)</f>
        <v>0</v>
      </c>
      <c r="BL1577" s="991">
        <f>IF(AND(Input_Product=Elig!$C1577,Elig_MatchAll_Ct&lt;22,$BC1577=(Elig_MatchAll_Ct-1),AJ1577=0),G1577,0)</f>
        <v>0</v>
      </c>
      <c r="BM1577" s="991">
        <f>IF(AND(Input_Product=Elig!$C1577,Elig_MatchAll_Ct&lt;22,$BC1577=(Elig_MatchAll_Ct-1),AK1577=0),H1577,0)</f>
        <v>0</v>
      </c>
      <c r="BN1577" s="991">
        <f>IF(AND(Input_Product=Elig!$C1577,Elig_MatchAll_Ct&lt;22,$BC1577=(Elig_MatchAll_Ct-1),AL1577=0),I1577,0)</f>
        <v>0</v>
      </c>
      <c r="BO1577" s="991">
        <f>IF(AND(Input_Product=Elig!$C1577,Elig_MatchAll_Ct&lt;22,$BC1577=(Elig_MatchAll_Ct-1),AM1577=0),J1577,0)</f>
        <v>0</v>
      </c>
      <c r="BP1577" s="991">
        <f>IF(AND(Input_Product=Elig!$C1577,Elig_MatchAll_Ct&lt;22,$BC1577=(Elig_MatchAll_Ct-1),AN1577=0),K1577,0)</f>
        <v>0</v>
      </c>
      <c r="BQ1577" s="991">
        <f>IF(AND(Input_Product=Elig!$C1577,Elig_MatchAll_Ct&lt;22,$BC1577=(Elig_MatchAll_Ct-1),AP1577=0),L1577,0)</f>
        <v>0</v>
      </c>
      <c r="BR1577" s="991">
        <f>IF(AND(Input_Product=Elig!$C1577,Elig_MatchAll_Ct&lt;22,$BC1577=(Elig_MatchAll_Ct-1),AO1577=0),M1577,0)</f>
        <v>0</v>
      </c>
      <c r="BS1577" s="991">
        <f>IF(AND(Input_Product=Elig!$C1577,Elig_MatchAll_Ct&lt;22,$BC1577=(Elig_MatchAll_Ct-1),AQ1577=0),N1577,0)</f>
        <v>0</v>
      </c>
      <c r="BT1577" s="991">
        <f>IF(AND(Input_Product=Elig!$C1577,Elig_MatchAll_Ct&lt;22,$BC1577=(Elig_MatchAll_Ct-1),AR1577=0),O1577,0)</f>
        <v>0</v>
      </c>
      <c r="BU1577" s="991">
        <f>IF(AND(Input_Product=Elig!$C1577,Elig_MatchAll_Ct&lt;22,$BC1577=(Elig_MatchAll_Ct-1),AS1577=0),P1577,0)</f>
        <v>0</v>
      </c>
      <c r="BV1577" s="992">
        <f>IF(AND(Input_Product=Elig!$C1577,Elig_MatchAll_Ct&lt;22,$BC1577=(Elig_MatchAll_Ct-1),AT1577=0),Q1577,0)</f>
        <v>0</v>
      </c>
      <c r="BW1577" s="993">
        <f>IF(AND(Input_Product=Elig!$C1577,Elig_MatchAll_Ct&lt;22,$BC1577=(Elig_MatchAll_Ct-1),AU1577=0),R1577,0)</f>
        <v>0</v>
      </c>
      <c r="BX1577" s="994">
        <f>IF(AND(Input_Product=Elig!$C1577,Elig_MatchAll_Ct&lt;22,$BC1577=(Elig_MatchAll_Ct-1),AU1577=0),S1577,0)</f>
        <v>0</v>
      </c>
      <c r="BY1577" s="993">
        <f>IF(AND(Input_Product=Elig!$C1577,Elig_MatchAll_Ct&lt;22,$BC1577=(Elig_MatchAll_Ct-1),AV1577=0),T1577,0)</f>
        <v>0</v>
      </c>
      <c r="BZ1577" s="994">
        <f>IF(AND(Input_Product=Elig!$C1577,Elig_MatchAll_Ct&lt;22,$BC1577=(Elig_MatchAll_Ct-1),AV1577=0),U1577,0)</f>
        <v>0</v>
      </c>
      <c r="CA1577" s="993">
        <f>IF(AND(Input_Product=Elig!$C1577,Elig_MatchAll_Ct&lt;22,$BC1577=(Elig_MatchAll_Ct-1),AW1577=0),V1577,0)</f>
        <v>0</v>
      </c>
      <c r="CB1577" s="994">
        <f>IF(AND(Input_Product=Elig!$C1577,Elig_MatchAll_Ct&lt;22,$BC1577=(Elig_MatchAll_Ct-1),AW1577=0),W1577,0)</f>
        <v>0</v>
      </c>
      <c r="CC1577" s="993">
        <f>IF(AND(Input_Product=Elig!$C1577,Elig_MatchAll_Ct&lt;22,$BC1577=(Elig_MatchAll_Ct-1),AX1577=0),X1577,0)</f>
        <v>0</v>
      </c>
      <c r="CD1577" s="994">
        <f>IF(AND(Input_Product=Elig!$C1577,Elig_MatchAll_Ct&lt;22,$BC1577=(Elig_MatchAll_Ct-1),AX1577=0),Y1577,0)</f>
        <v>0</v>
      </c>
      <c r="CE1577" s="993">
        <f>IF(AND(Input_LTV&lt;=AE1577,Input_Product=Elig!$C1577,Elig_MatchAll_Ct&lt;22,$BC1577=(Elig_MatchAll_Ct-1),AY1577=0),Z1577,0)</f>
        <v>0</v>
      </c>
      <c r="CF1577" s="994">
        <f>IF(AND(Input_LTV&lt;=AE1577,Input_Product=Elig!$C1577,Elig_MatchAll_Ct&lt;22,$BC1577=(Elig_MatchAll_Ct-1),AY1577=0),AA1577,0)</f>
        <v>0</v>
      </c>
      <c r="CG1577" s="993">
        <f>IF(AND(Input_Product=Elig!$C1577,Elig_MatchAll_Ct&lt;22,$BC1577=(Elig_MatchAll_Ct-1),AZ1577=0),AB1577,0)</f>
        <v>0</v>
      </c>
      <c r="CH1577" s="994">
        <f>IF(AND(Input_Product=Elig!$C1577,Elig_MatchAll_Ct&lt;22,$BC1577=(Elig_MatchAll_Ct-1),AZ1577=0),AC1577,0)</f>
        <v>0</v>
      </c>
      <c r="CI1577" s="993">
        <f>IF(AND(Input_Product=Elig!$C1577,Elig_MatchAll_Ct&lt;22,$BC1577=(Elig_MatchAll_Ct-1),BA1577=0),AD1577,0)</f>
        <v>0</v>
      </c>
      <c r="CJ1577" s="994">
        <f>IF(AND(Input_Product=Elig!$C1577,Elig_MatchAll_Ct&lt;22,$BC1577=(Elig_MatchAll_Ct-1),BA1577=0),AE1577,0)</f>
        <v>0</v>
      </c>
    </row>
    <row r="1578" spans="2:88" ht="10.15" customHeight="1" x14ac:dyDescent="0.25">
      <c r="B1578" s="1924" t="s">
        <v>2918</v>
      </c>
      <c r="C1578" s="1587" t="s">
        <v>3055</v>
      </c>
      <c r="D1578" s="1587" t="s">
        <v>2764</v>
      </c>
      <c r="E1578" s="1587" t="s">
        <v>167</v>
      </c>
      <c r="F1578" s="1587" t="s">
        <v>330</v>
      </c>
      <c r="G1578" s="1587" t="s">
        <v>181</v>
      </c>
      <c r="H1578" s="1587" t="s">
        <v>136</v>
      </c>
      <c r="I1578" s="1588" t="s">
        <v>16</v>
      </c>
      <c r="J1578" s="1588" t="s">
        <v>1311</v>
      </c>
      <c r="K1578" s="1588" t="s">
        <v>3023</v>
      </c>
      <c r="L1578" s="1587" t="s">
        <v>430</v>
      </c>
      <c r="M1578" s="1587" t="s">
        <v>4205</v>
      </c>
      <c r="N1578" s="1587" t="s">
        <v>2685</v>
      </c>
      <c r="O1578" s="1587" t="s">
        <v>45</v>
      </c>
      <c r="P1578" s="1587" t="s">
        <v>291</v>
      </c>
      <c r="Q1578" s="1587" t="s">
        <v>294</v>
      </c>
      <c r="R1578" s="1587">
        <v>150000</v>
      </c>
      <c r="S1578" s="1587">
        <v>1000000</v>
      </c>
      <c r="T1578" s="1587">
        <v>0</v>
      </c>
      <c r="U1578" s="1587">
        <v>500000</v>
      </c>
      <c r="V1578" s="1587">
        <v>0</v>
      </c>
      <c r="W1578" s="1587">
        <v>0</v>
      </c>
      <c r="X1578" s="1587">
        <v>0.01</v>
      </c>
      <c r="Y1578" s="1587">
        <v>0.99</v>
      </c>
      <c r="Z1578" s="1589">
        <v>680</v>
      </c>
      <c r="AA1578" s="1589">
        <v>999</v>
      </c>
      <c r="AB1578" s="1589">
        <v>6</v>
      </c>
      <c r="AC1578" s="1589">
        <v>999999</v>
      </c>
      <c r="AD1578" s="1587">
        <v>0</v>
      </c>
      <c r="AE1578" s="1590">
        <v>60</v>
      </c>
      <c r="AF1578" s="170">
        <v>0</v>
      </c>
      <c r="AG1578" s="171">
        <v>1</v>
      </c>
      <c r="AH1578" s="171">
        <v>1</v>
      </c>
      <c r="AI1578" s="171">
        <v>0</v>
      </c>
      <c r="AJ1578" s="171">
        <v>0</v>
      </c>
      <c r="AK1578" s="171">
        <v>1</v>
      </c>
      <c r="AL1578" s="171">
        <v>1</v>
      </c>
      <c r="AM1578" s="171">
        <v>1</v>
      </c>
      <c r="AN1578" s="171">
        <v>1</v>
      </c>
      <c r="AO1578" s="171">
        <v>1</v>
      </c>
      <c r="AP1578" s="171">
        <v>1</v>
      </c>
      <c r="AQ1578" s="171">
        <v>1</v>
      </c>
      <c r="AR1578" s="171">
        <v>0</v>
      </c>
      <c r="AS1578" s="171">
        <v>1</v>
      </c>
      <c r="AT1578" s="171">
        <v>1</v>
      </c>
      <c r="AU1578" s="171">
        <f t="shared" si="515"/>
        <v>1</v>
      </c>
      <c r="AV1578" s="171">
        <f t="shared" si="516"/>
        <v>1</v>
      </c>
      <c r="AW1578" s="171">
        <f t="shared" si="517"/>
        <v>0</v>
      </c>
      <c r="AX1578" s="171">
        <f t="shared" si="525"/>
        <v>0</v>
      </c>
      <c r="AY1578" s="171">
        <f t="shared" si="518"/>
        <v>1</v>
      </c>
      <c r="AZ1578" s="171">
        <f t="shared" si="519"/>
        <v>1</v>
      </c>
      <c r="BA1578" s="172">
        <f t="shared" si="520"/>
        <v>0</v>
      </c>
      <c r="BB1578" s="175">
        <f t="shared" si="521"/>
        <v>15</v>
      </c>
      <c r="BC1578" s="176">
        <f t="shared" si="522"/>
        <v>15</v>
      </c>
      <c r="BD1578" s="176">
        <f t="shared" si="523"/>
        <v>15</v>
      </c>
      <c r="BE1578" s="240" t="str">
        <f t="shared" si="526"/>
        <v/>
      </c>
      <c r="BF1578" s="990"/>
      <c r="BG1578" s="990"/>
      <c r="BH1578" s="991">
        <f>IF(AND(Input_Product=Elig!$C1578,Elig_MatchAll_Ct&lt;22,$BC1578=(Elig_MatchAll_Ct-1),AF1578=0),C1578,0)</f>
        <v>0</v>
      </c>
      <c r="BI1578" s="991">
        <f>IF(AND(Input_Product=Elig!$C1578,Elig_MatchAll_Ct&lt;22,$BC1578=(Elig_MatchAll_Ct-1),AG1578=0),D1578,0)</f>
        <v>0</v>
      </c>
      <c r="BJ1578" s="991">
        <f>IF(AND(Input_Product=Elig!$C1578,Elig_MatchAll_Ct&lt;22,$BC1578=(Elig_MatchAll_Ct-1),AH1578=0),E1578,0)</f>
        <v>0</v>
      </c>
      <c r="BK1578" s="991">
        <f>IF(AND(Input_Product=Elig!$C1578,Elig_MatchAll_Ct&lt;22,$BC1578=(Elig_MatchAll_Ct-1),AI1578=0),F1578,0)</f>
        <v>0</v>
      </c>
      <c r="BL1578" s="991">
        <f>IF(AND(Input_Product=Elig!$C1578,Elig_MatchAll_Ct&lt;22,$BC1578=(Elig_MatchAll_Ct-1),AJ1578=0),G1578,0)</f>
        <v>0</v>
      </c>
      <c r="BM1578" s="991">
        <f>IF(AND(Input_Product=Elig!$C1578,Elig_MatchAll_Ct&lt;22,$BC1578=(Elig_MatchAll_Ct-1),AK1578=0),H1578,0)</f>
        <v>0</v>
      </c>
      <c r="BN1578" s="991">
        <f>IF(AND(Input_Product=Elig!$C1578,Elig_MatchAll_Ct&lt;22,$BC1578=(Elig_MatchAll_Ct-1),AL1578=0),I1578,0)</f>
        <v>0</v>
      </c>
      <c r="BO1578" s="991">
        <f>IF(AND(Input_Product=Elig!$C1578,Elig_MatchAll_Ct&lt;22,$BC1578=(Elig_MatchAll_Ct-1),AM1578=0),J1578,0)</f>
        <v>0</v>
      </c>
      <c r="BP1578" s="991">
        <f>IF(AND(Input_Product=Elig!$C1578,Elig_MatchAll_Ct&lt;22,$BC1578=(Elig_MatchAll_Ct-1),AN1578=0),K1578,0)</f>
        <v>0</v>
      </c>
      <c r="BQ1578" s="991">
        <f>IF(AND(Input_Product=Elig!$C1578,Elig_MatchAll_Ct&lt;22,$BC1578=(Elig_MatchAll_Ct-1),AP1578=0),L1578,0)</f>
        <v>0</v>
      </c>
      <c r="BR1578" s="991">
        <f>IF(AND(Input_Product=Elig!$C1578,Elig_MatchAll_Ct&lt;22,$BC1578=(Elig_MatchAll_Ct-1),AO1578=0),M1578,0)</f>
        <v>0</v>
      </c>
      <c r="BS1578" s="991">
        <f>IF(AND(Input_Product=Elig!$C1578,Elig_MatchAll_Ct&lt;22,$BC1578=(Elig_MatchAll_Ct-1),AQ1578=0),N1578,0)</f>
        <v>0</v>
      </c>
      <c r="BT1578" s="991">
        <f>IF(AND(Input_Product=Elig!$C1578,Elig_MatchAll_Ct&lt;22,$BC1578=(Elig_MatchAll_Ct-1),AR1578=0),O1578,0)</f>
        <v>0</v>
      </c>
      <c r="BU1578" s="991">
        <f>IF(AND(Input_Product=Elig!$C1578,Elig_MatchAll_Ct&lt;22,$BC1578=(Elig_MatchAll_Ct-1),AS1578=0),P1578,0)</f>
        <v>0</v>
      </c>
      <c r="BV1578" s="992">
        <f>IF(AND(Input_Product=Elig!$C1578,Elig_MatchAll_Ct&lt;22,$BC1578=(Elig_MatchAll_Ct-1),AT1578=0),Q1578,0)</f>
        <v>0</v>
      </c>
      <c r="BW1578" s="993">
        <f>IF(AND(Input_Product=Elig!$C1578,Elig_MatchAll_Ct&lt;22,$BC1578=(Elig_MatchAll_Ct-1),AU1578=0),R1578,0)</f>
        <v>0</v>
      </c>
      <c r="BX1578" s="994">
        <f>IF(AND(Input_Product=Elig!$C1578,Elig_MatchAll_Ct&lt;22,$BC1578=(Elig_MatchAll_Ct-1),AU1578=0),S1578,0)</f>
        <v>0</v>
      </c>
      <c r="BY1578" s="993">
        <f>IF(AND(Input_Product=Elig!$C1578,Elig_MatchAll_Ct&lt;22,$BC1578=(Elig_MatchAll_Ct-1),AV1578=0),T1578,0)</f>
        <v>0</v>
      </c>
      <c r="BZ1578" s="994">
        <f>IF(AND(Input_Product=Elig!$C1578,Elig_MatchAll_Ct&lt;22,$BC1578=(Elig_MatchAll_Ct-1),AV1578=0),U1578,0)</f>
        <v>0</v>
      </c>
      <c r="CA1578" s="993">
        <f>IF(AND(Input_Product=Elig!$C1578,Elig_MatchAll_Ct&lt;22,$BC1578=(Elig_MatchAll_Ct-1),AW1578=0),V1578,0)</f>
        <v>0</v>
      </c>
      <c r="CB1578" s="994">
        <f>IF(AND(Input_Product=Elig!$C1578,Elig_MatchAll_Ct&lt;22,$BC1578=(Elig_MatchAll_Ct-1),AW1578=0),W1578,0)</f>
        <v>0</v>
      </c>
      <c r="CC1578" s="993">
        <f>IF(AND(Input_Product=Elig!$C1578,Elig_MatchAll_Ct&lt;22,$BC1578=(Elig_MatchAll_Ct-1),AX1578=0),X1578,0)</f>
        <v>0</v>
      </c>
      <c r="CD1578" s="994">
        <f>IF(AND(Input_Product=Elig!$C1578,Elig_MatchAll_Ct&lt;22,$BC1578=(Elig_MatchAll_Ct-1),AX1578=0),Y1578,0)</f>
        <v>0</v>
      </c>
      <c r="CE1578" s="993">
        <f>IF(AND(Input_LTV&lt;=AE1578,Input_Product=Elig!$C1578,Elig_MatchAll_Ct&lt;22,$BC1578=(Elig_MatchAll_Ct-1),AY1578=0),Z1578,0)</f>
        <v>0</v>
      </c>
      <c r="CF1578" s="994">
        <f>IF(AND(Input_LTV&lt;=AE1578,Input_Product=Elig!$C1578,Elig_MatchAll_Ct&lt;22,$BC1578=(Elig_MatchAll_Ct-1),AY1578=0),AA1578,0)</f>
        <v>0</v>
      </c>
      <c r="CG1578" s="993">
        <f>IF(AND(Input_Product=Elig!$C1578,Elig_MatchAll_Ct&lt;22,$BC1578=(Elig_MatchAll_Ct-1),AZ1578=0),AB1578,0)</f>
        <v>0</v>
      </c>
      <c r="CH1578" s="994">
        <f>IF(AND(Input_Product=Elig!$C1578,Elig_MatchAll_Ct&lt;22,$BC1578=(Elig_MatchAll_Ct-1),AZ1578=0),AC1578,0)</f>
        <v>0</v>
      </c>
      <c r="CI1578" s="993">
        <f>IF(AND(Input_Product=Elig!$C1578,Elig_MatchAll_Ct&lt;22,$BC1578=(Elig_MatchAll_Ct-1),BA1578=0),AD1578,0)</f>
        <v>0</v>
      </c>
      <c r="CJ1578" s="994">
        <f>IF(AND(Input_Product=Elig!$C1578,Elig_MatchAll_Ct&lt;22,$BC1578=(Elig_MatchAll_Ct-1),BA1578=0),AE1578,0)</f>
        <v>0</v>
      </c>
    </row>
    <row r="1579" spans="2:88" ht="10.15" customHeight="1" x14ac:dyDescent="0.25">
      <c r="B1579" s="1924" t="s">
        <v>2919</v>
      </c>
      <c r="C1579" s="1587" t="s">
        <v>3055</v>
      </c>
      <c r="D1579" s="1587" t="s">
        <v>2764</v>
      </c>
      <c r="E1579" s="1587" t="s">
        <v>167</v>
      </c>
      <c r="F1579" s="1587" t="s">
        <v>330</v>
      </c>
      <c r="G1579" s="1587" t="s">
        <v>181</v>
      </c>
      <c r="H1579" s="1587" t="s">
        <v>136</v>
      </c>
      <c r="I1579" s="1588" t="s">
        <v>16</v>
      </c>
      <c r="J1579" s="1588" t="s">
        <v>1311</v>
      </c>
      <c r="K1579" s="1588" t="s">
        <v>3023</v>
      </c>
      <c r="L1579" s="1587" t="s">
        <v>430</v>
      </c>
      <c r="M1579" s="1587" t="s">
        <v>4205</v>
      </c>
      <c r="N1579" s="1587" t="s">
        <v>2685</v>
      </c>
      <c r="O1579" s="1587" t="s">
        <v>45</v>
      </c>
      <c r="P1579" s="1587" t="s">
        <v>291</v>
      </c>
      <c r="Q1579" s="1587" t="s">
        <v>294</v>
      </c>
      <c r="R1579" s="1587">
        <v>150000</v>
      </c>
      <c r="S1579" s="1587">
        <v>1000000</v>
      </c>
      <c r="T1579" s="1587">
        <v>0</v>
      </c>
      <c r="U1579" s="1587">
        <v>500000</v>
      </c>
      <c r="V1579" s="1587">
        <v>0</v>
      </c>
      <c r="W1579" s="1587">
        <v>0</v>
      </c>
      <c r="X1579" s="1587">
        <v>0.01</v>
      </c>
      <c r="Y1579" s="1587">
        <v>0.99</v>
      </c>
      <c r="Z1579" s="1589">
        <v>660</v>
      </c>
      <c r="AA1579" s="1589">
        <v>660</v>
      </c>
      <c r="AB1579" s="1589">
        <v>6</v>
      </c>
      <c r="AC1579" s="1589">
        <v>999999</v>
      </c>
      <c r="AD1579" s="1587">
        <v>0</v>
      </c>
      <c r="AE1579" s="1590">
        <v>60</v>
      </c>
      <c r="AF1579" s="170">
        <v>0</v>
      </c>
      <c r="AG1579" s="171">
        <v>1</v>
      </c>
      <c r="AH1579" s="171">
        <v>1</v>
      </c>
      <c r="AI1579" s="171">
        <v>0</v>
      </c>
      <c r="AJ1579" s="171">
        <v>0</v>
      </c>
      <c r="AK1579" s="171">
        <v>1</v>
      </c>
      <c r="AL1579" s="171">
        <v>1</v>
      </c>
      <c r="AM1579" s="171">
        <v>1</v>
      </c>
      <c r="AN1579" s="171">
        <v>1</v>
      </c>
      <c r="AO1579" s="171">
        <v>1</v>
      </c>
      <c r="AP1579" s="171">
        <v>1</v>
      </c>
      <c r="AQ1579" s="171">
        <v>1</v>
      </c>
      <c r="AR1579" s="171">
        <v>0</v>
      </c>
      <c r="AS1579" s="171">
        <v>1</v>
      </c>
      <c r="AT1579" s="171">
        <v>1</v>
      </c>
      <c r="AU1579" s="171">
        <f t="shared" ref="AU1579:AU1633" si="527">IF(AND(Input_LoanAmt&gt;=Elig_LoanAmt_Min,Input_LoanAmt&lt;=Elig_LoanAmt_Max),1,0)</f>
        <v>1</v>
      </c>
      <c r="AV1579" s="171">
        <f t="shared" ref="AV1579:AV1633" si="528">IF(AND(Input_CashoutAmt&gt;=Elig_CashoutAmt_Min,Input_CashoutAmt&lt;=Elig_CashoutAmt_Max),1,0)</f>
        <v>1</v>
      </c>
      <c r="AW1579" s="171">
        <f t="shared" ref="AW1579:AW1633" si="529">IF(AND(Input_DTI&gt;=Elig_DTI_Min,Input_DTI&lt;=Elig_DTI_Max),1,0)</f>
        <v>0</v>
      </c>
      <c r="AX1579" s="171">
        <f t="shared" si="525"/>
        <v>0</v>
      </c>
      <c r="AY1579" s="171">
        <f t="shared" ref="AY1579:AY1633" si="530">IF(AND(Input_CreditScore&gt;=Elig_CreditScore_Min,Input_CreditScore&lt;=Elig_CreditScore_Max),1,0)</f>
        <v>0</v>
      </c>
      <c r="AZ1579" s="171">
        <f t="shared" ref="AZ1579:AZ1633" si="531">IF(AND(Input_ReservesMonths&gt;=Elig_Reserves_Min,Input_ReservesMonths&lt;=Elig_Reserves_Max),1,0)</f>
        <v>1</v>
      </c>
      <c r="BA1579" s="172">
        <f t="shared" ref="BA1579:BA1633" si="532">IF(AND(Input_LTV&gt;=Elig_LTV_Min,Input_LTV&lt;=Elig_LTV_Max),1,0)</f>
        <v>0</v>
      </c>
      <c r="BB1579" s="175">
        <f t="shared" si="521"/>
        <v>14</v>
      </c>
      <c r="BC1579" s="176">
        <f t="shared" si="522"/>
        <v>14</v>
      </c>
      <c r="BD1579" s="176">
        <f t="shared" si="523"/>
        <v>14</v>
      </c>
      <c r="BE1579" s="240" t="str">
        <f t="shared" si="526"/>
        <v/>
      </c>
      <c r="BF1579" s="990"/>
      <c r="BG1579" s="990"/>
      <c r="BH1579" s="991">
        <f>IF(AND(Input_Product=Elig!$C1579,Elig_MatchAll_Ct&lt;22,$BC1579=(Elig_MatchAll_Ct-1),AF1579=0),C1579,0)</f>
        <v>0</v>
      </c>
      <c r="BI1579" s="991">
        <f>IF(AND(Input_Product=Elig!$C1579,Elig_MatchAll_Ct&lt;22,$BC1579=(Elig_MatchAll_Ct-1),AG1579=0),D1579,0)</f>
        <v>0</v>
      </c>
      <c r="BJ1579" s="991">
        <f>IF(AND(Input_Product=Elig!$C1579,Elig_MatchAll_Ct&lt;22,$BC1579=(Elig_MatchAll_Ct-1),AH1579=0),E1579,0)</f>
        <v>0</v>
      </c>
      <c r="BK1579" s="991">
        <f>IF(AND(Input_Product=Elig!$C1579,Elig_MatchAll_Ct&lt;22,$BC1579=(Elig_MatchAll_Ct-1),AI1579=0),F1579,0)</f>
        <v>0</v>
      </c>
      <c r="BL1579" s="991">
        <f>IF(AND(Input_Product=Elig!$C1579,Elig_MatchAll_Ct&lt;22,$BC1579=(Elig_MatchAll_Ct-1),AJ1579=0),G1579,0)</f>
        <v>0</v>
      </c>
      <c r="BM1579" s="991">
        <f>IF(AND(Input_Product=Elig!$C1579,Elig_MatchAll_Ct&lt;22,$BC1579=(Elig_MatchAll_Ct-1),AK1579=0),H1579,0)</f>
        <v>0</v>
      </c>
      <c r="BN1579" s="991">
        <f>IF(AND(Input_Product=Elig!$C1579,Elig_MatchAll_Ct&lt;22,$BC1579=(Elig_MatchAll_Ct-1),AL1579=0),I1579,0)</f>
        <v>0</v>
      </c>
      <c r="BO1579" s="991">
        <f>IF(AND(Input_Product=Elig!$C1579,Elig_MatchAll_Ct&lt;22,$BC1579=(Elig_MatchAll_Ct-1),AM1579=0),J1579,0)</f>
        <v>0</v>
      </c>
      <c r="BP1579" s="991">
        <f>IF(AND(Input_Product=Elig!$C1579,Elig_MatchAll_Ct&lt;22,$BC1579=(Elig_MatchAll_Ct-1),AN1579=0),K1579,0)</f>
        <v>0</v>
      </c>
      <c r="BQ1579" s="991">
        <f>IF(AND(Input_Product=Elig!$C1579,Elig_MatchAll_Ct&lt;22,$BC1579=(Elig_MatchAll_Ct-1),AP1579=0),L1579,0)</f>
        <v>0</v>
      </c>
      <c r="BR1579" s="991">
        <f>IF(AND(Input_Product=Elig!$C1579,Elig_MatchAll_Ct&lt;22,$BC1579=(Elig_MatchAll_Ct-1),AO1579=0),M1579,0)</f>
        <v>0</v>
      </c>
      <c r="BS1579" s="991">
        <f>IF(AND(Input_Product=Elig!$C1579,Elig_MatchAll_Ct&lt;22,$BC1579=(Elig_MatchAll_Ct-1),AQ1579=0),N1579,0)</f>
        <v>0</v>
      </c>
      <c r="BT1579" s="991">
        <f>IF(AND(Input_Product=Elig!$C1579,Elig_MatchAll_Ct&lt;22,$BC1579=(Elig_MatchAll_Ct-1),AR1579=0),O1579,0)</f>
        <v>0</v>
      </c>
      <c r="BU1579" s="991">
        <f>IF(AND(Input_Product=Elig!$C1579,Elig_MatchAll_Ct&lt;22,$BC1579=(Elig_MatchAll_Ct-1),AS1579=0),P1579,0)</f>
        <v>0</v>
      </c>
      <c r="BV1579" s="992">
        <f>IF(AND(Input_Product=Elig!$C1579,Elig_MatchAll_Ct&lt;22,$BC1579=(Elig_MatchAll_Ct-1),AT1579=0),Q1579,0)</f>
        <v>0</v>
      </c>
      <c r="BW1579" s="993">
        <f>IF(AND(Input_Product=Elig!$C1579,Elig_MatchAll_Ct&lt;22,$BC1579=(Elig_MatchAll_Ct-1),AU1579=0),R1579,0)</f>
        <v>0</v>
      </c>
      <c r="BX1579" s="994">
        <f>IF(AND(Input_Product=Elig!$C1579,Elig_MatchAll_Ct&lt;22,$BC1579=(Elig_MatchAll_Ct-1),AU1579=0),S1579,0)</f>
        <v>0</v>
      </c>
      <c r="BY1579" s="993">
        <f>IF(AND(Input_Product=Elig!$C1579,Elig_MatchAll_Ct&lt;22,$BC1579=(Elig_MatchAll_Ct-1),AV1579=0),T1579,0)</f>
        <v>0</v>
      </c>
      <c r="BZ1579" s="994">
        <f>IF(AND(Input_Product=Elig!$C1579,Elig_MatchAll_Ct&lt;22,$BC1579=(Elig_MatchAll_Ct-1),AV1579=0),U1579,0)</f>
        <v>0</v>
      </c>
      <c r="CA1579" s="993">
        <f>IF(AND(Input_Product=Elig!$C1579,Elig_MatchAll_Ct&lt;22,$BC1579=(Elig_MatchAll_Ct-1),AW1579=0),V1579,0)</f>
        <v>0</v>
      </c>
      <c r="CB1579" s="994">
        <f>IF(AND(Input_Product=Elig!$C1579,Elig_MatchAll_Ct&lt;22,$BC1579=(Elig_MatchAll_Ct-1),AW1579=0),W1579,0)</f>
        <v>0</v>
      </c>
      <c r="CC1579" s="993">
        <f>IF(AND(Input_Product=Elig!$C1579,Elig_MatchAll_Ct&lt;22,$BC1579=(Elig_MatchAll_Ct-1),AX1579=0),X1579,0)</f>
        <v>0</v>
      </c>
      <c r="CD1579" s="994">
        <f>IF(AND(Input_Product=Elig!$C1579,Elig_MatchAll_Ct&lt;22,$BC1579=(Elig_MatchAll_Ct-1),AX1579=0),Y1579,0)</f>
        <v>0</v>
      </c>
      <c r="CE1579" s="993">
        <f>IF(AND(Input_LTV&lt;=AE1579,Input_Product=Elig!$C1579,Elig_MatchAll_Ct&lt;22,$BC1579=(Elig_MatchAll_Ct-1),AY1579=0),Z1579,0)</f>
        <v>0</v>
      </c>
      <c r="CF1579" s="994">
        <f>IF(AND(Input_LTV&lt;=AE1579,Input_Product=Elig!$C1579,Elig_MatchAll_Ct&lt;22,$BC1579=(Elig_MatchAll_Ct-1),AY1579=0),AA1579,0)</f>
        <v>0</v>
      </c>
      <c r="CG1579" s="993">
        <f>IF(AND(Input_Product=Elig!$C1579,Elig_MatchAll_Ct&lt;22,$BC1579=(Elig_MatchAll_Ct-1),AZ1579=0),AB1579,0)</f>
        <v>0</v>
      </c>
      <c r="CH1579" s="994">
        <f>IF(AND(Input_Product=Elig!$C1579,Elig_MatchAll_Ct&lt;22,$BC1579=(Elig_MatchAll_Ct-1),AZ1579=0),AC1579,0)</f>
        <v>0</v>
      </c>
      <c r="CI1579" s="993">
        <f>IF(AND(Input_Product=Elig!$C1579,Elig_MatchAll_Ct&lt;22,$BC1579=(Elig_MatchAll_Ct-1),BA1579=0),AD1579,0)</f>
        <v>0</v>
      </c>
      <c r="CJ1579" s="994">
        <f>IF(AND(Input_Product=Elig!$C1579,Elig_MatchAll_Ct&lt;22,$BC1579=(Elig_MatchAll_Ct-1),BA1579=0),AE1579,0)</f>
        <v>0</v>
      </c>
    </row>
    <row r="1580" spans="2:88" ht="10.15" customHeight="1" x14ac:dyDescent="0.25">
      <c r="B1580" s="997" t="s">
        <v>3631</v>
      </c>
      <c r="C1580" s="995" t="str">
        <f t="shared" ref="C1580:C1615" si="533">Input_Name_Product10</f>
        <v>HELOC OO</v>
      </c>
      <c r="D1580" s="996" t="s">
        <v>1984</v>
      </c>
      <c r="E1580" s="996" t="s">
        <v>4</v>
      </c>
      <c r="F1580" s="996" t="s">
        <v>328</v>
      </c>
      <c r="G1580" s="996" t="s">
        <v>303</v>
      </c>
      <c r="H1580" s="996" t="s">
        <v>136</v>
      </c>
      <c r="I1580" s="997" t="s">
        <v>1332</v>
      </c>
      <c r="J1580" s="997" t="s">
        <v>3544</v>
      </c>
      <c r="K1580" s="996" t="s">
        <v>1791</v>
      </c>
      <c r="L1580" s="997" t="s">
        <v>430</v>
      </c>
      <c r="M1580" s="997" t="s">
        <v>2677</v>
      </c>
      <c r="N1580" s="996" t="s">
        <v>82</v>
      </c>
      <c r="O1580" s="997" t="s">
        <v>310</v>
      </c>
      <c r="P1580" s="997" t="s">
        <v>291</v>
      </c>
      <c r="Q1580" s="997" t="s">
        <v>294</v>
      </c>
      <c r="R1580" s="997">
        <v>50000</v>
      </c>
      <c r="S1580" s="997">
        <v>250000</v>
      </c>
      <c r="T1580" s="997">
        <v>0</v>
      </c>
      <c r="U1580" s="997">
        <v>250000</v>
      </c>
      <c r="V1580" s="997">
        <v>0</v>
      </c>
      <c r="W1580" s="997">
        <v>50</v>
      </c>
      <c r="X1580" s="997">
        <v>0</v>
      </c>
      <c r="Y1580" s="997">
        <v>999</v>
      </c>
      <c r="Z1580" s="998">
        <v>740</v>
      </c>
      <c r="AA1580" s="998">
        <v>999</v>
      </c>
      <c r="AB1580" s="998">
        <v>0</v>
      </c>
      <c r="AC1580" s="998">
        <v>999999</v>
      </c>
      <c r="AD1580" s="997">
        <v>0</v>
      </c>
      <c r="AE1580" s="997">
        <v>90</v>
      </c>
      <c r="AF1580" s="170">
        <v>0</v>
      </c>
      <c r="AG1580" s="171">
        <v>0</v>
      </c>
      <c r="AH1580" s="171">
        <v>0</v>
      </c>
      <c r="AI1580" s="171">
        <v>1</v>
      </c>
      <c r="AJ1580" s="171">
        <v>1</v>
      </c>
      <c r="AK1580" s="171">
        <v>1</v>
      </c>
      <c r="AL1580" s="171">
        <v>1</v>
      </c>
      <c r="AM1580" s="171">
        <v>1</v>
      </c>
      <c r="AN1580" s="171">
        <v>1</v>
      </c>
      <c r="AO1580" s="171">
        <v>1</v>
      </c>
      <c r="AP1580" s="171">
        <v>1</v>
      </c>
      <c r="AQ1580" s="171">
        <v>1</v>
      </c>
      <c r="AR1580" s="171">
        <v>1</v>
      </c>
      <c r="AS1580" s="171">
        <v>1</v>
      </c>
      <c r="AT1580" s="171">
        <v>1</v>
      </c>
      <c r="AU1580" s="171">
        <f t="shared" si="527"/>
        <v>1</v>
      </c>
      <c r="AV1580" s="171">
        <f t="shared" si="528"/>
        <v>1</v>
      </c>
      <c r="AW1580" s="171">
        <f t="shared" si="529"/>
        <v>1</v>
      </c>
      <c r="AX1580" s="171">
        <f t="shared" si="525"/>
        <v>1</v>
      </c>
      <c r="AY1580" s="171">
        <f t="shared" si="530"/>
        <v>1</v>
      </c>
      <c r="AZ1580" s="171">
        <f t="shared" si="531"/>
        <v>1</v>
      </c>
      <c r="BA1580" s="172">
        <f t="shared" si="532"/>
        <v>1</v>
      </c>
      <c r="BB1580" s="175">
        <f t="shared" si="521"/>
        <v>19</v>
      </c>
      <c r="BC1580" s="176">
        <f t="shared" si="522"/>
        <v>18</v>
      </c>
      <c r="BD1580" s="176">
        <f t="shared" si="523"/>
        <v>19</v>
      </c>
      <c r="BE1580" s="240" t="str">
        <f t="shared" si="526"/>
        <v/>
      </c>
      <c r="BF1580" s="989"/>
      <c r="BG1580" s="989"/>
      <c r="BH1580" s="991">
        <f>IF(AND(Input_Product=Elig!$C1580,Elig_MatchAll_Ct&lt;22,$BC1580=(Elig_MatchAll_Ct-1),AF1580=0),C1580,0)</f>
        <v>0</v>
      </c>
      <c r="BI1580" s="991">
        <f>IF(AND(Input_Product=Elig!$C1580,Elig_MatchAll_Ct&lt;22,$BC1580=(Elig_MatchAll_Ct-1),AG1580=0),D1580,0)</f>
        <v>0</v>
      </c>
      <c r="BJ1580" s="991">
        <f>IF(AND(Input_Product=Elig!$C1580,Elig_MatchAll_Ct&lt;22,$BC1580=(Elig_MatchAll_Ct-1),AH1580=0),E1580,0)</f>
        <v>0</v>
      </c>
      <c r="BK1580" s="991">
        <f>IF(AND(Input_Product=Elig!$C1580,Elig_MatchAll_Ct&lt;22,$BC1580=(Elig_MatchAll_Ct-1),AI1580=0),F1580,0)</f>
        <v>0</v>
      </c>
      <c r="BL1580" s="991">
        <f>IF(AND(Input_Product=Elig!$C1580,Elig_MatchAll_Ct&lt;22,$BC1580=(Elig_MatchAll_Ct-1),AJ1580=0),G1580,0)</f>
        <v>0</v>
      </c>
      <c r="BM1580" s="991">
        <f>IF(AND(Input_Product=Elig!$C1580,Elig_MatchAll_Ct&lt;22,$BC1580=(Elig_MatchAll_Ct-1),AK1580=0),H1580,0)</f>
        <v>0</v>
      </c>
      <c r="BN1580" s="991">
        <f>IF(AND(Input_Product=Elig!$C1580,Elig_MatchAll_Ct&lt;22,$BC1580=(Elig_MatchAll_Ct-1),AL1580=0),I1580,0)</f>
        <v>0</v>
      </c>
      <c r="BO1580" s="991">
        <f>IF(AND(Input_Product=Elig!$C1580,Elig_MatchAll_Ct&lt;22,$BC1580=(Elig_MatchAll_Ct-1),AM1580=0),J1580,0)</f>
        <v>0</v>
      </c>
      <c r="BP1580" s="991">
        <f>IF(AND(Input_Product=Elig!$C1580,Elig_MatchAll_Ct&lt;22,$BC1580=(Elig_MatchAll_Ct-1),AN1580=0),K1580,0)</f>
        <v>0</v>
      </c>
      <c r="BQ1580" s="991">
        <f>IF(AND(Input_Product=Elig!$C1580,Elig_MatchAll_Ct&lt;22,$BC1580=(Elig_MatchAll_Ct-1),AP1580=0),L1580,0)</f>
        <v>0</v>
      </c>
      <c r="BR1580" s="991">
        <f>IF(AND(Input_Product=Elig!$C1580,Elig_MatchAll_Ct&lt;22,$BC1580=(Elig_MatchAll_Ct-1),AO1580=0),M1580,0)</f>
        <v>0</v>
      </c>
      <c r="BS1580" s="991">
        <f>IF(AND(Input_Product=Elig!$C1580,Elig_MatchAll_Ct&lt;22,$BC1580=(Elig_MatchAll_Ct-1),AQ1580=0),N1580,0)</f>
        <v>0</v>
      </c>
      <c r="BT1580" s="991">
        <f>IF(AND(Input_Product=Elig!$C1580,Elig_MatchAll_Ct&lt;22,$BC1580=(Elig_MatchAll_Ct-1),AR1580=0),O1580,0)</f>
        <v>0</v>
      </c>
      <c r="BU1580" s="991">
        <f>IF(AND(Input_Product=Elig!$C1580,Elig_MatchAll_Ct&lt;22,$BC1580=(Elig_MatchAll_Ct-1),AS1580=0),P1580,0)</f>
        <v>0</v>
      </c>
      <c r="BV1580" s="992">
        <f>IF(AND(Input_Product=Elig!$C1580,Elig_MatchAll_Ct&lt;22,$BC1580=(Elig_MatchAll_Ct-1),AT1580=0),Q1580,0)</f>
        <v>0</v>
      </c>
      <c r="BW1580" s="993">
        <f>IF(AND(Input_Product=Elig!$C1580,Elig_MatchAll_Ct&lt;22,$BC1580=(Elig_MatchAll_Ct-1),AU1580=0),R1580,0)</f>
        <v>0</v>
      </c>
      <c r="BX1580" s="994">
        <f>IF(AND(Input_Product=Elig!$C1580,Elig_MatchAll_Ct&lt;22,$BC1580=(Elig_MatchAll_Ct-1),AU1580=0),S1580,0)</f>
        <v>0</v>
      </c>
      <c r="BY1580" s="993">
        <f>IF(AND(Input_Product=Elig!$C1580,Elig_MatchAll_Ct&lt;22,$BC1580=(Elig_MatchAll_Ct-1),AV1580=0),T1580,0)</f>
        <v>0</v>
      </c>
      <c r="BZ1580" s="994">
        <f>IF(AND(Input_Product=Elig!$C1580,Elig_MatchAll_Ct&lt;22,$BC1580=(Elig_MatchAll_Ct-1),AV1580=0),U1580,0)</f>
        <v>0</v>
      </c>
      <c r="CA1580" s="993">
        <f>IF(AND(Input_Product=Elig!$C1580,Elig_MatchAll_Ct&lt;22,$BC1580=(Elig_MatchAll_Ct-1),AW1580=0),V1580,0)</f>
        <v>0</v>
      </c>
      <c r="CB1580" s="994">
        <f>IF(AND(Input_Product=Elig!$C1580,Elig_MatchAll_Ct&lt;22,$BC1580=(Elig_MatchAll_Ct-1),AW1580=0),W1580,0)</f>
        <v>0</v>
      </c>
      <c r="CC1580" s="993">
        <f>IF(AND(Input_Product=Elig!$C1580,Elig_MatchAll_Ct&lt;22,$BC1580=(Elig_MatchAll_Ct-1),AX1580=0),X1580,0)</f>
        <v>0</v>
      </c>
      <c r="CD1580" s="994">
        <f>IF(AND(Input_Product=Elig!$C1580,Elig_MatchAll_Ct&lt;22,$BC1580=(Elig_MatchAll_Ct-1),AX1580=0),Y1580,0)</f>
        <v>0</v>
      </c>
      <c r="CE1580" s="993">
        <f>IF(AND(Input_LTV&lt;=AE1580,Input_Product=Elig!$C1580,Elig_MatchAll_Ct&lt;22,$BC1580=(Elig_MatchAll_Ct-1),AY1580=0),Z1580,0)</f>
        <v>0</v>
      </c>
      <c r="CF1580" s="994">
        <f>IF(AND(Input_LTV&lt;=AE1580,Input_Product=Elig!$C1580,Elig_MatchAll_Ct&lt;22,$BC1580=(Elig_MatchAll_Ct-1),AY1580=0),AA1580,0)</f>
        <v>0</v>
      </c>
      <c r="CG1580" s="993">
        <f>IF(AND(Input_Product=Elig!$C1580,Elig_MatchAll_Ct&lt;22,$BC1580=(Elig_MatchAll_Ct-1),AZ1580=0),AB1580,0)</f>
        <v>0</v>
      </c>
      <c r="CH1580" s="994">
        <f>IF(AND(Input_Product=Elig!$C1580,Elig_MatchAll_Ct&lt;22,$BC1580=(Elig_MatchAll_Ct-1),AZ1580=0),AC1580,0)</f>
        <v>0</v>
      </c>
      <c r="CI1580" s="993">
        <f>IF(AND(Input_Product=Elig!$C1580,Elig_MatchAll_Ct&lt;22,$BC1580=(Elig_MatchAll_Ct-1),BA1580=0),AD1580,0)</f>
        <v>0</v>
      </c>
      <c r="CJ1580" s="994">
        <f>IF(AND(Input_Product=Elig!$C1580,Elig_MatchAll_Ct&lt;22,$BC1580=(Elig_MatchAll_Ct-1),BA1580=0),AE1580,0)</f>
        <v>0</v>
      </c>
    </row>
    <row r="1581" spans="2:88" ht="10.15" customHeight="1" x14ac:dyDescent="0.25">
      <c r="B1581" s="997" t="s">
        <v>3632</v>
      </c>
      <c r="C1581" s="995" t="str">
        <f t="shared" si="533"/>
        <v>HELOC OO</v>
      </c>
      <c r="D1581" s="997" t="s">
        <v>1984</v>
      </c>
      <c r="E1581" s="997" t="s">
        <v>4</v>
      </c>
      <c r="F1581" s="997" t="s">
        <v>328</v>
      </c>
      <c r="G1581" s="996" t="s">
        <v>303</v>
      </c>
      <c r="H1581" s="996" t="s">
        <v>136</v>
      </c>
      <c r="I1581" s="997" t="s">
        <v>1332</v>
      </c>
      <c r="J1581" s="997" t="s">
        <v>3544</v>
      </c>
      <c r="K1581" s="996" t="s">
        <v>1791</v>
      </c>
      <c r="L1581" s="997" t="s">
        <v>430</v>
      </c>
      <c r="M1581" s="997" t="s">
        <v>2677</v>
      </c>
      <c r="N1581" s="996" t="s">
        <v>82</v>
      </c>
      <c r="O1581" s="997" t="s">
        <v>310</v>
      </c>
      <c r="P1581" s="997" t="s">
        <v>291</v>
      </c>
      <c r="Q1581" s="997" t="s">
        <v>294</v>
      </c>
      <c r="R1581" s="997">
        <v>50000</v>
      </c>
      <c r="S1581" s="997">
        <v>250000</v>
      </c>
      <c r="T1581" s="997">
        <v>0</v>
      </c>
      <c r="U1581" s="997">
        <v>250000</v>
      </c>
      <c r="V1581" s="997">
        <v>0</v>
      </c>
      <c r="W1581" s="997">
        <v>50</v>
      </c>
      <c r="X1581" s="997">
        <v>0</v>
      </c>
      <c r="Y1581" s="997">
        <v>999</v>
      </c>
      <c r="Z1581" s="998">
        <v>700</v>
      </c>
      <c r="AA1581" s="998">
        <v>739</v>
      </c>
      <c r="AB1581" s="998">
        <v>0</v>
      </c>
      <c r="AC1581" s="998">
        <v>999999</v>
      </c>
      <c r="AD1581" s="997">
        <v>0</v>
      </c>
      <c r="AE1581" s="997">
        <v>85</v>
      </c>
      <c r="AF1581" s="170">
        <v>0</v>
      </c>
      <c r="AG1581" s="171">
        <v>0</v>
      </c>
      <c r="AH1581" s="171">
        <v>0</v>
      </c>
      <c r="AI1581" s="171">
        <v>1</v>
      </c>
      <c r="AJ1581" s="171">
        <v>1</v>
      </c>
      <c r="AK1581" s="171">
        <v>1</v>
      </c>
      <c r="AL1581" s="171">
        <v>1</v>
      </c>
      <c r="AM1581" s="171">
        <v>1</v>
      </c>
      <c r="AN1581" s="171">
        <v>1</v>
      </c>
      <c r="AO1581" s="171">
        <v>1</v>
      </c>
      <c r="AP1581" s="171">
        <v>1</v>
      </c>
      <c r="AQ1581" s="171">
        <v>1</v>
      </c>
      <c r="AR1581" s="171">
        <v>1</v>
      </c>
      <c r="AS1581" s="171">
        <v>1</v>
      </c>
      <c r="AT1581" s="171">
        <v>1</v>
      </c>
      <c r="AU1581" s="171">
        <f t="shared" si="527"/>
        <v>1</v>
      </c>
      <c r="AV1581" s="171">
        <f t="shared" si="528"/>
        <v>1</v>
      </c>
      <c r="AW1581" s="171">
        <f t="shared" si="529"/>
        <v>1</v>
      </c>
      <c r="AX1581" s="171">
        <f t="shared" si="525"/>
        <v>1</v>
      </c>
      <c r="AY1581" s="171">
        <f t="shared" si="530"/>
        <v>0</v>
      </c>
      <c r="AZ1581" s="171">
        <f t="shared" si="531"/>
        <v>1</v>
      </c>
      <c r="BA1581" s="172">
        <f t="shared" si="532"/>
        <v>1</v>
      </c>
      <c r="BB1581" s="175">
        <f t="shared" si="521"/>
        <v>18</v>
      </c>
      <c r="BC1581" s="176">
        <f t="shared" si="522"/>
        <v>17</v>
      </c>
      <c r="BD1581" s="176">
        <f t="shared" si="523"/>
        <v>18</v>
      </c>
      <c r="BE1581" s="240" t="str">
        <f t="shared" si="526"/>
        <v/>
      </c>
      <c r="BF1581" s="990"/>
      <c r="BG1581" s="990"/>
      <c r="BH1581" s="991">
        <f>IF(AND(Input_Product=Elig!$C1581,Elig_MatchAll_Ct&lt;22,$BC1581=(Elig_MatchAll_Ct-1),AF1581=0),C1581,0)</f>
        <v>0</v>
      </c>
      <c r="BI1581" s="991">
        <f>IF(AND(Input_Product=Elig!$C1581,Elig_MatchAll_Ct&lt;22,$BC1581=(Elig_MatchAll_Ct-1),AG1581=0),D1581,0)</f>
        <v>0</v>
      </c>
      <c r="BJ1581" s="991">
        <f>IF(AND(Input_Product=Elig!$C1581,Elig_MatchAll_Ct&lt;22,$BC1581=(Elig_MatchAll_Ct-1),AH1581=0),E1581,0)</f>
        <v>0</v>
      </c>
      <c r="BK1581" s="991">
        <f>IF(AND(Input_Product=Elig!$C1581,Elig_MatchAll_Ct&lt;22,$BC1581=(Elig_MatchAll_Ct-1),AI1581=0),F1581,0)</f>
        <v>0</v>
      </c>
      <c r="BL1581" s="991">
        <f>IF(AND(Input_Product=Elig!$C1581,Elig_MatchAll_Ct&lt;22,$BC1581=(Elig_MatchAll_Ct-1),AJ1581=0),G1581,0)</f>
        <v>0</v>
      </c>
      <c r="BM1581" s="991">
        <f>IF(AND(Input_Product=Elig!$C1581,Elig_MatchAll_Ct&lt;22,$BC1581=(Elig_MatchAll_Ct-1),AK1581=0),H1581,0)</f>
        <v>0</v>
      </c>
      <c r="BN1581" s="991">
        <f>IF(AND(Input_Product=Elig!$C1581,Elig_MatchAll_Ct&lt;22,$BC1581=(Elig_MatchAll_Ct-1),AL1581=0),I1581,0)</f>
        <v>0</v>
      </c>
      <c r="BO1581" s="991">
        <f>IF(AND(Input_Product=Elig!$C1581,Elig_MatchAll_Ct&lt;22,$BC1581=(Elig_MatchAll_Ct-1),AM1581=0),J1581,0)</f>
        <v>0</v>
      </c>
      <c r="BP1581" s="991">
        <f>IF(AND(Input_Product=Elig!$C1581,Elig_MatchAll_Ct&lt;22,$BC1581=(Elig_MatchAll_Ct-1),AN1581=0),K1581,0)</f>
        <v>0</v>
      </c>
      <c r="BQ1581" s="991">
        <f>IF(AND(Input_Product=Elig!$C1581,Elig_MatchAll_Ct&lt;22,$BC1581=(Elig_MatchAll_Ct-1),AP1581=0),L1581,0)</f>
        <v>0</v>
      </c>
      <c r="BR1581" s="991">
        <f>IF(AND(Input_Product=Elig!$C1581,Elig_MatchAll_Ct&lt;22,$BC1581=(Elig_MatchAll_Ct-1),AO1581=0),M1581,0)</f>
        <v>0</v>
      </c>
      <c r="BS1581" s="991">
        <f>IF(AND(Input_Product=Elig!$C1581,Elig_MatchAll_Ct&lt;22,$BC1581=(Elig_MatchAll_Ct-1),AQ1581=0),N1581,0)</f>
        <v>0</v>
      </c>
      <c r="BT1581" s="991">
        <f>IF(AND(Input_Product=Elig!$C1581,Elig_MatchAll_Ct&lt;22,$BC1581=(Elig_MatchAll_Ct-1),AR1581=0),O1581,0)</f>
        <v>0</v>
      </c>
      <c r="BU1581" s="991">
        <f>IF(AND(Input_Product=Elig!$C1581,Elig_MatchAll_Ct&lt;22,$BC1581=(Elig_MatchAll_Ct-1),AS1581=0),P1581,0)</f>
        <v>0</v>
      </c>
      <c r="BV1581" s="992">
        <f>IF(AND(Input_Product=Elig!$C1581,Elig_MatchAll_Ct&lt;22,$BC1581=(Elig_MatchAll_Ct-1),AT1581=0),Q1581,0)</f>
        <v>0</v>
      </c>
      <c r="BW1581" s="993">
        <f>IF(AND(Input_Product=Elig!$C1581,Elig_MatchAll_Ct&lt;22,$BC1581=(Elig_MatchAll_Ct-1),AU1581=0),R1581,0)</f>
        <v>0</v>
      </c>
      <c r="BX1581" s="994">
        <f>IF(AND(Input_Product=Elig!$C1581,Elig_MatchAll_Ct&lt;22,$BC1581=(Elig_MatchAll_Ct-1),AU1581=0),S1581,0)</f>
        <v>0</v>
      </c>
      <c r="BY1581" s="993">
        <f>IF(AND(Input_Product=Elig!$C1581,Elig_MatchAll_Ct&lt;22,$BC1581=(Elig_MatchAll_Ct-1),AV1581=0),T1581,0)</f>
        <v>0</v>
      </c>
      <c r="BZ1581" s="994">
        <f>IF(AND(Input_Product=Elig!$C1581,Elig_MatchAll_Ct&lt;22,$BC1581=(Elig_MatchAll_Ct-1),AV1581=0),U1581,0)</f>
        <v>0</v>
      </c>
      <c r="CA1581" s="993">
        <f>IF(AND(Input_Product=Elig!$C1581,Elig_MatchAll_Ct&lt;22,$BC1581=(Elig_MatchAll_Ct-1),AW1581=0),V1581,0)</f>
        <v>0</v>
      </c>
      <c r="CB1581" s="994">
        <f>IF(AND(Input_Product=Elig!$C1581,Elig_MatchAll_Ct&lt;22,$BC1581=(Elig_MatchAll_Ct-1),AW1581=0),W1581,0)</f>
        <v>0</v>
      </c>
      <c r="CC1581" s="993">
        <f>IF(AND(Input_Product=Elig!$C1581,Elig_MatchAll_Ct&lt;22,$BC1581=(Elig_MatchAll_Ct-1),AX1581=0),X1581,0)</f>
        <v>0</v>
      </c>
      <c r="CD1581" s="994">
        <f>IF(AND(Input_Product=Elig!$C1581,Elig_MatchAll_Ct&lt;22,$BC1581=(Elig_MatchAll_Ct-1),AX1581=0),Y1581,0)</f>
        <v>0</v>
      </c>
      <c r="CE1581" s="993">
        <f>IF(AND(Input_LTV&lt;=AE1581,Input_Product=Elig!$C1581,Elig_MatchAll_Ct&lt;22,$BC1581=(Elig_MatchAll_Ct-1),AY1581=0),Z1581,0)</f>
        <v>0</v>
      </c>
      <c r="CF1581" s="994">
        <f>IF(AND(Input_LTV&lt;=AE1581,Input_Product=Elig!$C1581,Elig_MatchAll_Ct&lt;22,$BC1581=(Elig_MatchAll_Ct-1),AY1581=0),AA1581,0)</f>
        <v>0</v>
      </c>
      <c r="CG1581" s="993">
        <f>IF(AND(Input_Product=Elig!$C1581,Elig_MatchAll_Ct&lt;22,$BC1581=(Elig_MatchAll_Ct-1),AZ1581=0),AB1581,0)</f>
        <v>0</v>
      </c>
      <c r="CH1581" s="994">
        <f>IF(AND(Input_Product=Elig!$C1581,Elig_MatchAll_Ct&lt;22,$BC1581=(Elig_MatchAll_Ct-1),AZ1581=0),AC1581,0)</f>
        <v>0</v>
      </c>
      <c r="CI1581" s="993">
        <f>IF(AND(Input_Product=Elig!$C1581,Elig_MatchAll_Ct&lt;22,$BC1581=(Elig_MatchAll_Ct-1),BA1581=0),AD1581,0)</f>
        <v>0</v>
      </c>
      <c r="CJ1581" s="994">
        <f>IF(AND(Input_Product=Elig!$C1581,Elig_MatchAll_Ct&lt;22,$BC1581=(Elig_MatchAll_Ct-1),BA1581=0),AE1581,0)</f>
        <v>0</v>
      </c>
    </row>
    <row r="1582" spans="2:88" ht="10.15" customHeight="1" x14ac:dyDescent="0.25">
      <c r="B1582" s="997" t="s">
        <v>3633</v>
      </c>
      <c r="C1582" s="1026" t="str">
        <f t="shared" si="533"/>
        <v>HELOC OO</v>
      </c>
      <c r="D1582" s="1027" t="s">
        <v>1984</v>
      </c>
      <c r="E1582" s="1027" t="s">
        <v>4</v>
      </c>
      <c r="F1582" s="1027" t="s">
        <v>328</v>
      </c>
      <c r="G1582" s="1028" t="s">
        <v>303</v>
      </c>
      <c r="H1582" s="1028" t="s">
        <v>136</v>
      </c>
      <c r="I1582" s="1027" t="s">
        <v>1332</v>
      </c>
      <c r="J1582" s="1027" t="s">
        <v>3544</v>
      </c>
      <c r="K1582" s="1028" t="s">
        <v>1791</v>
      </c>
      <c r="L1582" s="1027" t="s">
        <v>430</v>
      </c>
      <c r="M1582" s="1027" t="s">
        <v>2677</v>
      </c>
      <c r="N1582" s="1028" t="s">
        <v>82</v>
      </c>
      <c r="O1582" s="1027" t="s">
        <v>310</v>
      </c>
      <c r="P1582" s="1027" t="s">
        <v>291</v>
      </c>
      <c r="Q1582" s="1027" t="s">
        <v>294</v>
      </c>
      <c r="R1582" s="1027">
        <v>50000</v>
      </c>
      <c r="S1582" s="1027">
        <v>250000</v>
      </c>
      <c r="T1582" s="1027">
        <v>0</v>
      </c>
      <c r="U1582" s="1027">
        <v>250000</v>
      </c>
      <c r="V1582" s="1027">
        <v>0</v>
      </c>
      <c r="W1582" s="1027">
        <v>50</v>
      </c>
      <c r="X1582" s="1027">
        <v>0</v>
      </c>
      <c r="Y1582" s="1027">
        <v>999</v>
      </c>
      <c r="Z1582" s="1029">
        <v>680</v>
      </c>
      <c r="AA1582" s="1029">
        <v>699</v>
      </c>
      <c r="AB1582" s="1029">
        <v>0</v>
      </c>
      <c r="AC1582" s="1029">
        <v>999999</v>
      </c>
      <c r="AD1582" s="1027">
        <v>0</v>
      </c>
      <c r="AE1582" s="1030">
        <v>75</v>
      </c>
      <c r="AF1582" s="170">
        <v>0</v>
      </c>
      <c r="AG1582" s="171">
        <v>0</v>
      </c>
      <c r="AH1582" s="171">
        <v>0</v>
      </c>
      <c r="AI1582" s="171">
        <v>1</v>
      </c>
      <c r="AJ1582" s="171">
        <v>1</v>
      </c>
      <c r="AK1582" s="171">
        <v>1</v>
      </c>
      <c r="AL1582" s="171">
        <v>1</v>
      </c>
      <c r="AM1582" s="171">
        <v>1</v>
      </c>
      <c r="AN1582" s="171">
        <v>1</v>
      </c>
      <c r="AO1582" s="171">
        <v>1</v>
      </c>
      <c r="AP1582" s="171">
        <v>1</v>
      </c>
      <c r="AQ1582" s="171">
        <v>1</v>
      </c>
      <c r="AR1582" s="171">
        <v>1</v>
      </c>
      <c r="AS1582" s="171">
        <v>1</v>
      </c>
      <c r="AT1582" s="171">
        <v>1</v>
      </c>
      <c r="AU1582" s="171">
        <f t="shared" si="527"/>
        <v>1</v>
      </c>
      <c r="AV1582" s="171">
        <f t="shared" si="528"/>
        <v>1</v>
      </c>
      <c r="AW1582" s="171">
        <f t="shared" si="529"/>
        <v>1</v>
      </c>
      <c r="AX1582" s="171">
        <f t="shared" si="525"/>
        <v>1</v>
      </c>
      <c r="AY1582" s="171">
        <f t="shared" si="530"/>
        <v>0</v>
      </c>
      <c r="AZ1582" s="171">
        <f t="shared" si="531"/>
        <v>1</v>
      </c>
      <c r="BA1582" s="172">
        <f t="shared" si="532"/>
        <v>1</v>
      </c>
      <c r="BB1582" s="175">
        <f t="shared" si="521"/>
        <v>18</v>
      </c>
      <c r="BC1582" s="176">
        <f t="shared" si="522"/>
        <v>17</v>
      </c>
      <c r="BD1582" s="176">
        <f t="shared" si="523"/>
        <v>18</v>
      </c>
      <c r="BE1582" s="240" t="str">
        <f t="shared" si="526"/>
        <v/>
      </c>
      <c r="BF1582" s="990"/>
      <c r="BG1582" s="990"/>
      <c r="BH1582" s="991">
        <f>IF(AND(Input_Product=Elig!$C1582,Elig_MatchAll_Ct&lt;22,$BC1582=(Elig_MatchAll_Ct-1),AF1582=0),C1582,0)</f>
        <v>0</v>
      </c>
      <c r="BI1582" s="991">
        <f>IF(AND(Input_Product=Elig!$C1582,Elig_MatchAll_Ct&lt;22,$BC1582=(Elig_MatchAll_Ct-1),AG1582=0),D1582,0)</f>
        <v>0</v>
      </c>
      <c r="BJ1582" s="991">
        <f>IF(AND(Input_Product=Elig!$C1582,Elig_MatchAll_Ct&lt;22,$BC1582=(Elig_MatchAll_Ct-1),AH1582=0),E1582,0)</f>
        <v>0</v>
      </c>
      <c r="BK1582" s="991">
        <f>IF(AND(Input_Product=Elig!$C1582,Elig_MatchAll_Ct&lt;22,$BC1582=(Elig_MatchAll_Ct-1),AI1582=0),F1582,0)</f>
        <v>0</v>
      </c>
      <c r="BL1582" s="991">
        <f>IF(AND(Input_Product=Elig!$C1582,Elig_MatchAll_Ct&lt;22,$BC1582=(Elig_MatchAll_Ct-1),AJ1582=0),G1582,0)</f>
        <v>0</v>
      </c>
      <c r="BM1582" s="991">
        <f>IF(AND(Input_Product=Elig!$C1582,Elig_MatchAll_Ct&lt;22,$BC1582=(Elig_MatchAll_Ct-1),AK1582=0),H1582,0)</f>
        <v>0</v>
      </c>
      <c r="BN1582" s="991">
        <f>IF(AND(Input_Product=Elig!$C1582,Elig_MatchAll_Ct&lt;22,$BC1582=(Elig_MatchAll_Ct-1),AL1582=0),I1582,0)</f>
        <v>0</v>
      </c>
      <c r="BO1582" s="991">
        <f>IF(AND(Input_Product=Elig!$C1582,Elig_MatchAll_Ct&lt;22,$BC1582=(Elig_MatchAll_Ct-1),AM1582=0),J1582,0)</f>
        <v>0</v>
      </c>
      <c r="BP1582" s="991">
        <f>IF(AND(Input_Product=Elig!$C1582,Elig_MatchAll_Ct&lt;22,$BC1582=(Elig_MatchAll_Ct-1),AN1582=0),K1582,0)</f>
        <v>0</v>
      </c>
      <c r="BQ1582" s="991">
        <f>IF(AND(Input_Product=Elig!$C1582,Elig_MatchAll_Ct&lt;22,$BC1582=(Elig_MatchAll_Ct-1),AP1582=0),L1582,0)</f>
        <v>0</v>
      </c>
      <c r="BR1582" s="991">
        <f>IF(AND(Input_Product=Elig!$C1582,Elig_MatchAll_Ct&lt;22,$BC1582=(Elig_MatchAll_Ct-1),AO1582=0),M1582,0)</f>
        <v>0</v>
      </c>
      <c r="BS1582" s="991">
        <f>IF(AND(Input_Product=Elig!$C1582,Elig_MatchAll_Ct&lt;22,$BC1582=(Elig_MatchAll_Ct-1),AQ1582=0),N1582,0)</f>
        <v>0</v>
      </c>
      <c r="BT1582" s="991">
        <f>IF(AND(Input_Product=Elig!$C1582,Elig_MatchAll_Ct&lt;22,$BC1582=(Elig_MatchAll_Ct-1),AR1582=0),O1582,0)</f>
        <v>0</v>
      </c>
      <c r="BU1582" s="991">
        <f>IF(AND(Input_Product=Elig!$C1582,Elig_MatchAll_Ct&lt;22,$BC1582=(Elig_MatchAll_Ct-1),AS1582=0),P1582,0)</f>
        <v>0</v>
      </c>
      <c r="BV1582" s="992">
        <f>IF(AND(Input_Product=Elig!$C1582,Elig_MatchAll_Ct&lt;22,$BC1582=(Elig_MatchAll_Ct-1),AT1582=0),Q1582,0)</f>
        <v>0</v>
      </c>
      <c r="BW1582" s="993">
        <f>IF(AND(Input_Product=Elig!$C1582,Elig_MatchAll_Ct&lt;22,$BC1582=(Elig_MatchAll_Ct-1),AU1582=0),R1582,0)</f>
        <v>0</v>
      </c>
      <c r="BX1582" s="994">
        <f>IF(AND(Input_Product=Elig!$C1582,Elig_MatchAll_Ct&lt;22,$BC1582=(Elig_MatchAll_Ct-1),AU1582=0),S1582,0)</f>
        <v>0</v>
      </c>
      <c r="BY1582" s="993">
        <f>IF(AND(Input_Product=Elig!$C1582,Elig_MatchAll_Ct&lt;22,$BC1582=(Elig_MatchAll_Ct-1),AV1582=0),T1582,0)</f>
        <v>0</v>
      </c>
      <c r="BZ1582" s="994">
        <f>IF(AND(Input_Product=Elig!$C1582,Elig_MatchAll_Ct&lt;22,$BC1582=(Elig_MatchAll_Ct-1),AV1582=0),U1582,0)</f>
        <v>0</v>
      </c>
      <c r="CA1582" s="993">
        <f>IF(AND(Input_Product=Elig!$C1582,Elig_MatchAll_Ct&lt;22,$BC1582=(Elig_MatchAll_Ct-1),AW1582=0),V1582,0)</f>
        <v>0</v>
      </c>
      <c r="CB1582" s="994">
        <f>IF(AND(Input_Product=Elig!$C1582,Elig_MatchAll_Ct&lt;22,$BC1582=(Elig_MatchAll_Ct-1),AW1582=0),W1582,0)</f>
        <v>0</v>
      </c>
      <c r="CC1582" s="993">
        <f>IF(AND(Input_Product=Elig!$C1582,Elig_MatchAll_Ct&lt;22,$BC1582=(Elig_MatchAll_Ct-1),AX1582=0),X1582,0)</f>
        <v>0</v>
      </c>
      <c r="CD1582" s="994">
        <f>IF(AND(Input_Product=Elig!$C1582,Elig_MatchAll_Ct&lt;22,$BC1582=(Elig_MatchAll_Ct-1),AX1582=0),Y1582,0)</f>
        <v>0</v>
      </c>
      <c r="CE1582" s="993">
        <f>IF(AND(Input_LTV&lt;=AE1582,Input_Product=Elig!$C1582,Elig_MatchAll_Ct&lt;22,$BC1582=(Elig_MatchAll_Ct-1),AY1582=0),Z1582,0)</f>
        <v>0</v>
      </c>
      <c r="CF1582" s="994">
        <f>IF(AND(Input_LTV&lt;=AE1582,Input_Product=Elig!$C1582,Elig_MatchAll_Ct&lt;22,$BC1582=(Elig_MatchAll_Ct-1),AY1582=0),AA1582,0)</f>
        <v>0</v>
      </c>
      <c r="CG1582" s="993">
        <f>IF(AND(Input_Product=Elig!$C1582,Elig_MatchAll_Ct&lt;22,$BC1582=(Elig_MatchAll_Ct-1),AZ1582=0),AB1582,0)</f>
        <v>0</v>
      </c>
      <c r="CH1582" s="994">
        <f>IF(AND(Input_Product=Elig!$C1582,Elig_MatchAll_Ct&lt;22,$BC1582=(Elig_MatchAll_Ct-1),AZ1582=0),AC1582,0)</f>
        <v>0</v>
      </c>
      <c r="CI1582" s="993">
        <f>IF(AND(Input_Product=Elig!$C1582,Elig_MatchAll_Ct&lt;22,$BC1582=(Elig_MatchAll_Ct-1),BA1582=0),AD1582,0)</f>
        <v>0</v>
      </c>
      <c r="CJ1582" s="994">
        <f>IF(AND(Input_Product=Elig!$C1582,Elig_MatchAll_Ct&lt;22,$BC1582=(Elig_MatchAll_Ct-1),BA1582=0),AE1582,0)</f>
        <v>0</v>
      </c>
    </row>
    <row r="1583" spans="2:88" ht="10.15" customHeight="1" x14ac:dyDescent="0.25">
      <c r="B1583" s="997" t="s">
        <v>3634</v>
      </c>
      <c r="C1583" s="995" t="str">
        <f t="shared" si="533"/>
        <v>HELOC OO</v>
      </c>
      <c r="D1583" s="996" t="s">
        <v>1984</v>
      </c>
      <c r="E1583" s="996" t="s">
        <v>4</v>
      </c>
      <c r="F1583" s="996" t="s">
        <v>328</v>
      </c>
      <c r="G1583" s="996" t="s">
        <v>175</v>
      </c>
      <c r="H1583" s="996" t="s">
        <v>446</v>
      </c>
      <c r="I1583" s="997" t="s">
        <v>1332</v>
      </c>
      <c r="J1583" s="997" t="s">
        <v>3544</v>
      </c>
      <c r="K1583" s="996" t="s">
        <v>1791</v>
      </c>
      <c r="L1583" s="997" t="s">
        <v>430</v>
      </c>
      <c r="M1583" s="997" t="s">
        <v>2677</v>
      </c>
      <c r="N1583" s="996" t="s">
        <v>82</v>
      </c>
      <c r="O1583" s="997" t="s">
        <v>310</v>
      </c>
      <c r="P1583" s="997" t="s">
        <v>291</v>
      </c>
      <c r="Q1583" s="997" t="s">
        <v>294</v>
      </c>
      <c r="R1583" s="997">
        <v>50000</v>
      </c>
      <c r="S1583" s="997">
        <v>250000</v>
      </c>
      <c r="T1583" s="997">
        <v>0</v>
      </c>
      <c r="U1583" s="997">
        <v>250000</v>
      </c>
      <c r="V1583" s="997">
        <v>0</v>
      </c>
      <c r="W1583" s="997">
        <v>50</v>
      </c>
      <c r="X1583" s="997">
        <v>0</v>
      </c>
      <c r="Y1583" s="997">
        <v>999</v>
      </c>
      <c r="Z1583" s="998">
        <v>740</v>
      </c>
      <c r="AA1583" s="998">
        <v>999</v>
      </c>
      <c r="AB1583" s="998">
        <v>0</v>
      </c>
      <c r="AC1583" s="998">
        <v>999999</v>
      </c>
      <c r="AD1583" s="997">
        <v>0</v>
      </c>
      <c r="AE1583" s="997">
        <v>80</v>
      </c>
      <c r="AF1583" s="170">
        <v>0</v>
      </c>
      <c r="AG1583" s="171">
        <v>0</v>
      </c>
      <c r="AH1583" s="171">
        <v>0</v>
      </c>
      <c r="AI1583" s="171">
        <v>1</v>
      </c>
      <c r="AJ1583" s="171">
        <v>0</v>
      </c>
      <c r="AK1583" s="171">
        <v>0</v>
      </c>
      <c r="AL1583" s="171">
        <v>1</v>
      </c>
      <c r="AM1583" s="171">
        <v>1</v>
      </c>
      <c r="AN1583" s="171">
        <v>1</v>
      </c>
      <c r="AO1583" s="171">
        <v>1</v>
      </c>
      <c r="AP1583" s="171">
        <v>1</v>
      </c>
      <c r="AQ1583" s="171">
        <v>1</v>
      </c>
      <c r="AR1583" s="171">
        <v>1</v>
      </c>
      <c r="AS1583" s="171">
        <v>1</v>
      </c>
      <c r="AT1583" s="171">
        <v>1</v>
      </c>
      <c r="AU1583" s="171">
        <f t="shared" si="527"/>
        <v>1</v>
      </c>
      <c r="AV1583" s="171">
        <f t="shared" si="528"/>
        <v>1</v>
      </c>
      <c r="AW1583" s="171">
        <f t="shared" si="529"/>
        <v>1</v>
      </c>
      <c r="AX1583" s="171">
        <f t="shared" si="525"/>
        <v>1</v>
      </c>
      <c r="AY1583" s="171">
        <f t="shared" si="530"/>
        <v>1</v>
      </c>
      <c r="AZ1583" s="171">
        <f t="shared" si="531"/>
        <v>1</v>
      </c>
      <c r="BA1583" s="172">
        <f t="shared" si="532"/>
        <v>1</v>
      </c>
      <c r="BB1583" s="175">
        <f t="shared" si="521"/>
        <v>17</v>
      </c>
      <c r="BC1583" s="176">
        <f t="shared" si="522"/>
        <v>16</v>
      </c>
      <c r="BD1583" s="176">
        <f t="shared" si="523"/>
        <v>17</v>
      </c>
      <c r="BE1583" s="240" t="str">
        <f t="shared" si="526"/>
        <v/>
      </c>
      <c r="BF1583" s="989"/>
      <c r="BG1583" s="989"/>
      <c r="BH1583" s="991">
        <f>IF(AND(Input_Product=Elig!$C1583,Elig_MatchAll_Ct&lt;22,$BC1583=(Elig_MatchAll_Ct-1),AF1583=0),C1583,0)</f>
        <v>0</v>
      </c>
      <c r="BI1583" s="991">
        <f>IF(AND(Input_Product=Elig!$C1583,Elig_MatchAll_Ct&lt;22,$BC1583=(Elig_MatchAll_Ct-1),AG1583=0),D1583,0)</f>
        <v>0</v>
      </c>
      <c r="BJ1583" s="991">
        <f>IF(AND(Input_Product=Elig!$C1583,Elig_MatchAll_Ct&lt;22,$BC1583=(Elig_MatchAll_Ct-1),AH1583=0),E1583,0)</f>
        <v>0</v>
      </c>
      <c r="BK1583" s="991">
        <f>IF(AND(Input_Product=Elig!$C1583,Elig_MatchAll_Ct&lt;22,$BC1583=(Elig_MatchAll_Ct-1),AI1583=0),F1583,0)</f>
        <v>0</v>
      </c>
      <c r="BL1583" s="991">
        <f>IF(AND(Input_Product=Elig!$C1583,Elig_MatchAll_Ct&lt;22,$BC1583=(Elig_MatchAll_Ct-1),AJ1583=0),G1583,0)</f>
        <v>0</v>
      </c>
      <c r="BM1583" s="991">
        <f>IF(AND(Input_Product=Elig!$C1583,Elig_MatchAll_Ct&lt;22,$BC1583=(Elig_MatchAll_Ct-1),AK1583=0),H1583,0)</f>
        <v>0</v>
      </c>
      <c r="BN1583" s="991">
        <f>IF(AND(Input_Product=Elig!$C1583,Elig_MatchAll_Ct&lt;22,$BC1583=(Elig_MatchAll_Ct-1),AL1583=0),I1583,0)</f>
        <v>0</v>
      </c>
      <c r="BO1583" s="991">
        <f>IF(AND(Input_Product=Elig!$C1583,Elig_MatchAll_Ct&lt;22,$BC1583=(Elig_MatchAll_Ct-1),AM1583=0),J1583,0)</f>
        <v>0</v>
      </c>
      <c r="BP1583" s="991">
        <f>IF(AND(Input_Product=Elig!$C1583,Elig_MatchAll_Ct&lt;22,$BC1583=(Elig_MatchAll_Ct-1),AN1583=0),K1583,0)</f>
        <v>0</v>
      </c>
      <c r="BQ1583" s="991">
        <f>IF(AND(Input_Product=Elig!$C1583,Elig_MatchAll_Ct&lt;22,$BC1583=(Elig_MatchAll_Ct-1),AP1583=0),L1583,0)</f>
        <v>0</v>
      </c>
      <c r="BR1583" s="991">
        <f>IF(AND(Input_Product=Elig!$C1583,Elig_MatchAll_Ct&lt;22,$BC1583=(Elig_MatchAll_Ct-1),AO1583=0),M1583,0)</f>
        <v>0</v>
      </c>
      <c r="BS1583" s="991">
        <f>IF(AND(Input_Product=Elig!$C1583,Elig_MatchAll_Ct&lt;22,$BC1583=(Elig_MatchAll_Ct-1),AQ1583=0),N1583,0)</f>
        <v>0</v>
      </c>
      <c r="BT1583" s="991">
        <f>IF(AND(Input_Product=Elig!$C1583,Elig_MatchAll_Ct&lt;22,$BC1583=(Elig_MatchAll_Ct-1),AR1583=0),O1583,0)</f>
        <v>0</v>
      </c>
      <c r="BU1583" s="991">
        <f>IF(AND(Input_Product=Elig!$C1583,Elig_MatchAll_Ct&lt;22,$BC1583=(Elig_MatchAll_Ct-1),AS1583=0),P1583,0)</f>
        <v>0</v>
      </c>
      <c r="BV1583" s="992">
        <f>IF(AND(Input_Product=Elig!$C1583,Elig_MatchAll_Ct&lt;22,$BC1583=(Elig_MatchAll_Ct-1),AT1583=0),Q1583,0)</f>
        <v>0</v>
      </c>
      <c r="BW1583" s="993">
        <f>IF(AND(Input_Product=Elig!$C1583,Elig_MatchAll_Ct&lt;22,$BC1583=(Elig_MatchAll_Ct-1),AU1583=0),R1583,0)</f>
        <v>0</v>
      </c>
      <c r="BX1583" s="994">
        <f>IF(AND(Input_Product=Elig!$C1583,Elig_MatchAll_Ct&lt;22,$BC1583=(Elig_MatchAll_Ct-1),AU1583=0),S1583,0)</f>
        <v>0</v>
      </c>
      <c r="BY1583" s="993">
        <f>IF(AND(Input_Product=Elig!$C1583,Elig_MatchAll_Ct&lt;22,$BC1583=(Elig_MatchAll_Ct-1),AV1583=0),T1583,0)</f>
        <v>0</v>
      </c>
      <c r="BZ1583" s="994">
        <f>IF(AND(Input_Product=Elig!$C1583,Elig_MatchAll_Ct&lt;22,$BC1583=(Elig_MatchAll_Ct-1),AV1583=0),U1583,0)</f>
        <v>0</v>
      </c>
      <c r="CA1583" s="993">
        <f>IF(AND(Input_Product=Elig!$C1583,Elig_MatchAll_Ct&lt;22,$BC1583=(Elig_MatchAll_Ct-1),AW1583=0),V1583,0)</f>
        <v>0</v>
      </c>
      <c r="CB1583" s="994">
        <f>IF(AND(Input_Product=Elig!$C1583,Elig_MatchAll_Ct&lt;22,$BC1583=(Elig_MatchAll_Ct-1),AW1583=0),W1583,0)</f>
        <v>0</v>
      </c>
      <c r="CC1583" s="993">
        <f>IF(AND(Input_Product=Elig!$C1583,Elig_MatchAll_Ct&lt;22,$BC1583=(Elig_MatchAll_Ct-1),AX1583=0),X1583,0)</f>
        <v>0</v>
      </c>
      <c r="CD1583" s="994">
        <f>IF(AND(Input_Product=Elig!$C1583,Elig_MatchAll_Ct&lt;22,$BC1583=(Elig_MatchAll_Ct-1),AX1583=0),Y1583,0)</f>
        <v>0</v>
      </c>
      <c r="CE1583" s="993">
        <f>IF(AND(Input_LTV&lt;=AE1583,Input_Product=Elig!$C1583,Elig_MatchAll_Ct&lt;22,$BC1583=(Elig_MatchAll_Ct-1),AY1583=0),Z1583,0)</f>
        <v>0</v>
      </c>
      <c r="CF1583" s="994">
        <f>IF(AND(Input_LTV&lt;=AE1583,Input_Product=Elig!$C1583,Elig_MatchAll_Ct&lt;22,$BC1583=(Elig_MatchAll_Ct-1),AY1583=0),AA1583,0)</f>
        <v>0</v>
      </c>
      <c r="CG1583" s="993">
        <f>IF(AND(Input_Product=Elig!$C1583,Elig_MatchAll_Ct&lt;22,$BC1583=(Elig_MatchAll_Ct-1),AZ1583=0),AB1583,0)</f>
        <v>0</v>
      </c>
      <c r="CH1583" s="994">
        <f>IF(AND(Input_Product=Elig!$C1583,Elig_MatchAll_Ct&lt;22,$BC1583=(Elig_MatchAll_Ct-1),AZ1583=0),AC1583,0)</f>
        <v>0</v>
      </c>
      <c r="CI1583" s="993">
        <f>IF(AND(Input_Product=Elig!$C1583,Elig_MatchAll_Ct&lt;22,$BC1583=(Elig_MatchAll_Ct-1),BA1583=0),AD1583,0)</f>
        <v>0</v>
      </c>
      <c r="CJ1583" s="994">
        <f>IF(AND(Input_Product=Elig!$C1583,Elig_MatchAll_Ct&lt;22,$BC1583=(Elig_MatchAll_Ct-1),BA1583=0),AE1583,0)</f>
        <v>0</v>
      </c>
    </row>
    <row r="1584" spans="2:88" ht="10.15" customHeight="1" x14ac:dyDescent="0.25">
      <c r="B1584" s="997" t="s">
        <v>3635</v>
      </c>
      <c r="C1584" s="995" t="str">
        <f t="shared" si="533"/>
        <v>HELOC OO</v>
      </c>
      <c r="D1584" s="997" t="s">
        <v>1984</v>
      </c>
      <c r="E1584" s="997" t="s">
        <v>4</v>
      </c>
      <c r="F1584" s="997" t="s">
        <v>328</v>
      </c>
      <c r="G1584" s="996" t="s">
        <v>175</v>
      </c>
      <c r="H1584" s="996" t="s">
        <v>446</v>
      </c>
      <c r="I1584" s="997" t="s">
        <v>1332</v>
      </c>
      <c r="J1584" s="997" t="s">
        <v>3544</v>
      </c>
      <c r="K1584" s="996" t="s">
        <v>1791</v>
      </c>
      <c r="L1584" s="997" t="s">
        <v>430</v>
      </c>
      <c r="M1584" s="997" t="s">
        <v>2677</v>
      </c>
      <c r="N1584" s="996" t="s">
        <v>82</v>
      </c>
      <c r="O1584" s="997" t="s">
        <v>310</v>
      </c>
      <c r="P1584" s="997" t="s">
        <v>291</v>
      </c>
      <c r="Q1584" s="997" t="s">
        <v>294</v>
      </c>
      <c r="R1584" s="997">
        <v>50000</v>
      </c>
      <c r="S1584" s="997">
        <v>250000</v>
      </c>
      <c r="T1584" s="997">
        <v>0</v>
      </c>
      <c r="U1584" s="997">
        <v>250000</v>
      </c>
      <c r="V1584" s="997">
        <v>0</v>
      </c>
      <c r="W1584" s="997">
        <v>50</v>
      </c>
      <c r="X1584" s="997">
        <v>0</v>
      </c>
      <c r="Y1584" s="997">
        <v>999</v>
      </c>
      <c r="Z1584" s="998">
        <v>700</v>
      </c>
      <c r="AA1584" s="998">
        <v>739</v>
      </c>
      <c r="AB1584" s="998">
        <v>0</v>
      </c>
      <c r="AC1584" s="998">
        <v>999999</v>
      </c>
      <c r="AD1584" s="997">
        <v>0</v>
      </c>
      <c r="AE1584" s="997">
        <v>80</v>
      </c>
      <c r="AF1584" s="170">
        <v>0</v>
      </c>
      <c r="AG1584" s="171">
        <v>0</v>
      </c>
      <c r="AH1584" s="171">
        <v>0</v>
      </c>
      <c r="AI1584" s="171">
        <v>1</v>
      </c>
      <c r="AJ1584" s="171">
        <v>0</v>
      </c>
      <c r="AK1584" s="171">
        <v>0</v>
      </c>
      <c r="AL1584" s="171">
        <v>1</v>
      </c>
      <c r="AM1584" s="171">
        <v>1</v>
      </c>
      <c r="AN1584" s="171">
        <v>1</v>
      </c>
      <c r="AO1584" s="171">
        <v>1</v>
      </c>
      <c r="AP1584" s="171">
        <v>1</v>
      </c>
      <c r="AQ1584" s="171">
        <v>1</v>
      </c>
      <c r="AR1584" s="171">
        <v>1</v>
      </c>
      <c r="AS1584" s="171">
        <v>1</v>
      </c>
      <c r="AT1584" s="171">
        <v>1</v>
      </c>
      <c r="AU1584" s="171">
        <f t="shared" si="527"/>
        <v>1</v>
      </c>
      <c r="AV1584" s="171">
        <f t="shared" si="528"/>
        <v>1</v>
      </c>
      <c r="AW1584" s="171">
        <f t="shared" si="529"/>
        <v>1</v>
      </c>
      <c r="AX1584" s="171">
        <f t="shared" si="525"/>
        <v>1</v>
      </c>
      <c r="AY1584" s="171">
        <f t="shared" si="530"/>
        <v>0</v>
      </c>
      <c r="AZ1584" s="171">
        <f t="shared" si="531"/>
        <v>1</v>
      </c>
      <c r="BA1584" s="172">
        <f t="shared" si="532"/>
        <v>1</v>
      </c>
      <c r="BB1584" s="175">
        <f t="shared" si="521"/>
        <v>16</v>
      </c>
      <c r="BC1584" s="176">
        <f t="shared" si="522"/>
        <v>15</v>
      </c>
      <c r="BD1584" s="176">
        <f t="shared" si="523"/>
        <v>16</v>
      </c>
      <c r="BE1584" s="240" t="str">
        <f t="shared" si="526"/>
        <v/>
      </c>
      <c r="BF1584" s="990"/>
      <c r="BG1584" s="990"/>
      <c r="BH1584" s="991">
        <f>IF(AND(Input_Product=Elig!$C1584,Elig_MatchAll_Ct&lt;22,$BC1584=(Elig_MatchAll_Ct-1),AF1584=0),C1584,0)</f>
        <v>0</v>
      </c>
      <c r="BI1584" s="991">
        <f>IF(AND(Input_Product=Elig!$C1584,Elig_MatchAll_Ct&lt;22,$BC1584=(Elig_MatchAll_Ct-1),AG1584=0),D1584,0)</f>
        <v>0</v>
      </c>
      <c r="BJ1584" s="991">
        <f>IF(AND(Input_Product=Elig!$C1584,Elig_MatchAll_Ct&lt;22,$BC1584=(Elig_MatchAll_Ct-1),AH1584=0),E1584,0)</f>
        <v>0</v>
      </c>
      <c r="BK1584" s="991">
        <f>IF(AND(Input_Product=Elig!$C1584,Elig_MatchAll_Ct&lt;22,$BC1584=(Elig_MatchAll_Ct-1),AI1584=0),F1584,0)</f>
        <v>0</v>
      </c>
      <c r="BL1584" s="991">
        <f>IF(AND(Input_Product=Elig!$C1584,Elig_MatchAll_Ct&lt;22,$BC1584=(Elig_MatchAll_Ct-1),AJ1584=0),G1584,0)</f>
        <v>0</v>
      </c>
      <c r="BM1584" s="991">
        <f>IF(AND(Input_Product=Elig!$C1584,Elig_MatchAll_Ct&lt;22,$BC1584=(Elig_MatchAll_Ct-1),AK1584=0),H1584,0)</f>
        <v>0</v>
      </c>
      <c r="BN1584" s="991">
        <f>IF(AND(Input_Product=Elig!$C1584,Elig_MatchAll_Ct&lt;22,$BC1584=(Elig_MatchAll_Ct-1),AL1584=0),I1584,0)</f>
        <v>0</v>
      </c>
      <c r="BO1584" s="991">
        <f>IF(AND(Input_Product=Elig!$C1584,Elig_MatchAll_Ct&lt;22,$BC1584=(Elig_MatchAll_Ct-1),AM1584=0),J1584,0)</f>
        <v>0</v>
      </c>
      <c r="BP1584" s="991">
        <f>IF(AND(Input_Product=Elig!$C1584,Elig_MatchAll_Ct&lt;22,$BC1584=(Elig_MatchAll_Ct-1),AN1584=0),K1584,0)</f>
        <v>0</v>
      </c>
      <c r="BQ1584" s="991">
        <f>IF(AND(Input_Product=Elig!$C1584,Elig_MatchAll_Ct&lt;22,$BC1584=(Elig_MatchAll_Ct-1),AP1584=0),L1584,0)</f>
        <v>0</v>
      </c>
      <c r="BR1584" s="991">
        <f>IF(AND(Input_Product=Elig!$C1584,Elig_MatchAll_Ct&lt;22,$BC1584=(Elig_MatchAll_Ct-1),AO1584=0),M1584,0)</f>
        <v>0</v>
      </c>
      <c r="BS1584" s="991">
        <f>IF(AND(Input_Product=Elig!$C1584,Elig_MatchAll_Ct&lt;22,$BC1584=(Elig_MatchAll_Ct-1),AQ1584=0),N1584,0)</f>
        <v>0</v>
      </c>
      <c r="BT1584" s="991">
        <f>IF(AND(Input_Product=Elig!$C1584,Elig_MatchAll_Ct&lt;22,$BC1584=(Elig_MatchAll_Ct-1),AR1584=0),O1584,0)</f>
        <v>0</v>
      </c>
      <c r="BU1584" s="991">
        <f>IF(AND(Input_Product=Elig!$C1584,Elig_MatchAll_Ct&lt;22,$BC1584=(Elig_MatchAll_Ct-1),AS1584=0),P1584,0)</f>
        <v>0</v>
      </c>
      <c r="BV1584" s="992">
        <f>IF(AND(Input_Product=Elig!$C1584,Elig_MatchAll_Ct&lt;22,$BC1584=(Elig_MatchAll_Ct-1),AT1584=0),Q1584,0)</f>
        <v>0</v>
      </c>
      <c r="BW1584" s="993">
        <f>IF(AND(Input_Product=Elig!$C1584,Elig_MatchAll_Ct&lt;22,$BC1584=(Elig_MatchAll_Ct-1),AU1584=0),R1584,0)</f>
        <v>0</v>
      </c>
      <c r="BX1584" s="994">
        <f>IF(AND(Input_Product=Elig!$C1584,Elig_MatchAll_Ct&lt;22,$BC1584=(Elig_MatchAll_Ct-1),AU1584=0),S1584,0)</f>
        <v>0</v>
      </c>
      <c r="BY1584" s="993">
        <f>IF(AND(Input_Product=Elig!$C1584,Elig_MatchAll_Ct&lt;22,$BC1584=(Elig_MatchAll_Ct-1),AV1584=0),T1584,0)</f>
        <v>0</v>
      </c>
      <c r="BZ1584" s="994">
        <f>IF(AND(Input_Product=Elig!$C1584,Elig_MatchAll_Ct&lt;22,$BC1584=(Elig_MatchAll_Ct-1),AV1584=0),U1584,0)</f>
        <v>0</v>
      </c>
      <c r="CA1584" s="993">
        <f>IF(AND(Input_Product=Elig!$C1584,Elig_MatchAll_Ct&lt;22,$BC1584=(Elig_MatchAll_Ct-1),AW1584=0),V1584,0)</f>
        <v>0</v>
      </c>
      <c r="CB1584" s="994">
        <f>IF(AND(Input_Product=Elig!$C1584,Elig_MatchAll_Ct&lt;22,$BC1584=(Elig_MatchAll_Ct-1),AW1584=0),W1584,0)</f>
        <v>0</v>
      </c>
      <c r="CC1584" s="993">
        <f>IF(AND(Input_Product=Elig!$C1584,Elig_MatchAll_Ct&lt;22,$BC1584=(Elig_MatchAll_Ct-1),AX1584=0),X1584,0)</f>
        <v>0</v>
      </c>
      <c r="CD1584" s="994">
        <f>IF(AND(Input_Product=Elig!$C1584,Elig_MatchAll_Ct&lt;22,$BC1584=(Elig_MatchAll_Ct-1),AX1584=0),Y1584,0)</f>
        <v>0</v>
      </c>
      <c r="CE1584" s="993">
        <f>IF(AND(Input_LTV&lt;=AE1584,Input_Product=Elig!$C1584,Elig_MatchAll_Ct&lt;22,$BC1584=(Elig_MatchAll_Ct-1),AY1584=0),Z1584,0)</f>
        <v>0</v>
      </c>
      <c r="CF1584" s="994">
        <f>IF(AND(Input_LTV&lt;=AE1584,Input_Product=Elig!$C1584,Elig_MatchAll_Ct&lt;22,$BC1584=(Elig_MatchAll_Ct-1),AY1584=0),AA1584,0)</f>
        <v>0</v>
      </c>
      <c r="CG1584" s="993">
        <f>IF(AND(Input_Product=Elig!$C1584,Elig_MatchAll_Ct&lt;22,$BC1584=(Elig_MatchAll_Ct-1),AZ1584=0),AB1584,0)</f>
        <v>0</v>
      </c>
      <c r="CH1584" s="994">
        <f>IF(AND(Input_Product=Elig!$C1584,Elig_MatchAll_Ct&lt;22,$BC1584=(Elig_MatchAll_Ct-1),AZ1584=0),AC1584,0)</f>
        <v>0</v>
      </c>
      <c r="CI1584" s="993">
        <f>IF(AND(Input_Product=Elig!$C1584,Elig_MatchAll_Ct&lt;22,$BC1584=(Elig_MatchAll_Ct-1),BA1584=0),AD1584,0)</f>
        <v>0</v>
      </c>
      <c r="CJ1584" s="994">
        <f>IF(AND(Input_Product=Elig!$C1584,Elig_MatchAll_Ct&lt;22,$BC1584=(Elig_MatchAll_Ct-1),BA1584=0),AE1584,0)</f>
        <v>0</v>
      </c>
    </row>
    <row r="1585" spans="2:88" ht="10.15" customHeight="1" x14ac:dyDescent="0.25">
      <c r="B1585" s="997" t="s">
        <v>3636</v>
      </c>
      <c r="C1585" s="1026" t="str">
        <f t="shared" si="533"/>
        <v>HELOC OO</v>
      </c>
      <c r="D1585" s="1027" t="s">
        <v>1984</v>
      </c>
      <c r="E1585" s="1027" t="s">
        <v>4</v>
      </c>
      <c r="F1585" s="1027" t="s">
        <v>328</v>
      </c>
      <c r="G1585" s="1028" t="s">
        <v>175</v>
      </c>
      <c r="H1585" s="1028" t="s">
        <v>446</v>
      </c>
      <c r="I1585" s="1027" t="s">
        <v>1332</v>
      </c>
      <c r="J1585" s="1027" t="s">
        <v>3544</v>
      </c>
      <c r="K1585" s="1028" t="s">
        <v>1791</v>
      </c>
      <c r="L1585" s="1027" t="s">
        <v>430</v>
      </c>
      <c r="M1585" s="1027" t="s">
        <v>2677</v>
      </c>
      <c r="N1585" s="1028" t="s">
        <v>82</v>
      </c>
      <c r="O1585" s="1027" t="s">
        <v>310</v>
      </c>
      <c r="P1585" s="1027" t="s">
        <v>291</v>
      </c>
      <c r="Q1585" s="1027" t="s">
        <v>294</v>
      </c>
      <c r="R1585" s="1027">
        <v>50000</v>
      </c>
      <c r="S1585" s="1027">
        <v>250000</v>
      </c>
      <c r="T1585" s="1027">
        <v>0</v>
      </c>
      <c r="U1585" s="1027">
        <v>250000</v>
      </c>
      <c r="V1585" s="1027">
        <v>0</v>
      </c>
      <c r="W1585" s="1027">
        <v>50</v>
      </c>
      <c r="X1585" s="1027">
        <v>0</v>
      </c>
      <c r="Y1585" s="1027">
        <v>999</v>
      </c>
      <c r="Z1585" s="1029">
        <v>680</v>
      </c>
      <c r="AA1585" s="1029">
        <v>699</v>
      </c>
      <c r="AB1585" s="1029">
        <v>0</v>
      </c>
      <c r="AC1585" s="1029">
        <v>999999</v>
      </c>
      <c r="AD1585" s="1027">
        <v>0</v>
      </c>
      <c r="AE1585" s="1030">
        <v>0</v>
      </c>
      <c r="AF1585" s="170">
        <v>0</v>
      </c>
      <c r="AG1585" s="171">
        <v>0</v>
      </c>
      <c r="AH1585" s="171">
        <v>0</v>
      </c>
      <c r="AI1585" s="171">
        <v>1</v>
      </c>
      <c r="AJ1585" s="171">
        <v>0</v>
      </c>
      <c r="AK1585" s="171">
        <v>0</v>
      </c>
      <c r="AL1585" s="171">
        <v>1</v>
      </c>
      <c r="AM1585" s="171">
        <v>1</v>
      </c>
      <c r="AN1585" s="171">
        <v>1</v>
      </c>
      <c r="AO1585" s="171">
        <v>1</v>
      </c>
      <c r="AP1585" s="171">
        <v>1</v>
      </c>
      <c r="AQ1585" s="171">
        <v>1</v>
      </c>
      <c r="AR1585" s="171">
        <v>1</v>
      </c>
      <c r="AS1585" s="171">
        <v>1</v>
      </c>
      <c r="AT1585" s="171">
        <v>1</v>
      </c>
      <c r="AU1585" s="171">
        <f t="shared" si="527"/>
        <v>1</v>
      </c>
      <c r="AV1585" s="171">
        <f t="shared" si="528"/>
        <v>1</v>
      </c>
      <c r="AW1585" s="171">
        <f t="shared" si="529"/>
        <v>1</v>
      </c>
      <c r="AX1585" s="171">
        <f t="shared" si="525"/>
        <v>1</v>
      </c>
      <c r="AY1585" s="171">
        <f t="shared" si="530"/>
        <v>0</v>
      </c>
      <c r="AZ1585" s="171">
        <f t="shared" si="531"/>
        <v>1</v>
      </c>
      <c r="BA1585" s="172">
        <f t="shared" si="532"/>
        <v>0</v>
      </c>
      <c r="BB1585" s="175">
        <f t="shared" si="521"/>
        <v>15</v>
      </c>
      <c r="BC1585" s="176">
        <f t="shared" si="522"/>
        <v>15</v>
      </c>
      <c r="BD1585" s="176">
        <f t="shared" si="523"/>
        <v>15</v>
      </c>
      <c r="BE1585" s="240" t="str">
        <f t="shared" si="526"/>
        <v/>
      </c>
      <c r="BF1585" s="990"/>
      <c r="BG1585" s="990"/>
      <c r="BH1585" s="991">
        <f>IF(AND(Input_Product=Elig!$C1585,Elig_MatchAll_Ct&lt;22,$BC1585=(Elig_MatchAll_Ct-1),AF1585=0),C1585,0)</f>
        <v>0</v>
      </c>
      <c r="BI1585" s="991">
        <f>IF(AND(Input_Product=Elig!$C1585,Elig_MatchAll_Ct&lt;22,$BC1585=(Elig_MatchAll_Ct-1),AG1585=0),D1585,0)</f>
        <v>0</v>
      </c>
      <c r="BJ1585" s="991">
        <f>IF(AND(Input_Product=Elig!$C1585,Elig_MatchAll_Ct&lt;22,$BC1585=(Elig_MatchAll_Ct-1),AH1585=0),E1585,0)</f>
        <v>0</v>
      </c>
      <c r="BK1585" s="991">
        <f>IF(AND(Input_Product=Elig!$C1585,Elig_MatchAll_Ct&lt;22,$BC1585=(Elig_MatchAll_Ct-1),AI1585=0),F1585,0)</f>
        <v>0</v>
      </c>
      <c r="BL1585" s="991">
        <f>IF(AND(Input_Product=Elig!$C1585,Elig_MatchAll_Ct&lt;22,$BC1585=(Elig_MatchAll_Ct-1),AJ1585=0),G1585,0)</f>
        <v>0</v>
      </c>
      <c r="BM1585" s="991">
        <f>IF(AND(Input_Product=Elig!$C1585,Elig_MatchAll_Ct&lt;22,$BC1585=(Elig_MatchAll_Ct-1),AK1585=0),H1585,0)</f>
        <v>0</v>
      </c>
      <c r="BN1585" s="991">
        <f>IF(AND(Input_Product=Elig!$C1585,Elig_MatchAll_Ct&lt;22,$BC1585=(Elig_MatchAll_Ct-1),AL1585=0),I1585,0)</f>
        <v>0</v>
      </c>
      <c r="BO1585" s="991">
        <f>IF(AND(Input_Product=Elig!$C1585,Elig_MatchAll_Ct&lt;22,$BC1585=(Elig_MatchAll_Ct-1),AM1585=0),J1585,0)</f>
        <v>0</v>
      </c>
      <c r="BP1585" s="991">
        <f>IF(AND(Input_Product=Elig!$C1585,Elig_MatchAll_Ct&lt;22,$BC1585=(Elig_MatchAll_Ct-1),AN1585=0),K1585,0)</f>
        <v>0</v>
      </c>
      <c r="BQ1585" s="991">
        <f>IF(AND(Input_Product=Elig!$C1585,Elig_MatchAll_Ct&lt;22,$BC1585=(Elig_MatchAll_Ct-1),AP1585=0),L1585,0)</f>
        <v>0</v>
      </c>
      <c r="BR1585" s="991">
        <f>IF(AND(Input_Product=Elig!$C1585,Elig_MatchAll_Ct&lt;22,$BC1585=(Elig_MatchAll_Ct-1),AO1585=0),M1585,0)</f>
        <v>0</v>
      </c>
      <c r="BS1585" s="991">
        <f>IF(AND(Input_Product=Elig!$C1585,Elig_MatchAll_Ct&lt;22,$BC1585=(Elig_MatchAll_Ct-1),AQ1585=0),N1585,0)</f>
        <v>0</v>
      </c>
      <c r="BT1585" s="991">
        <f>IF(AND(Input_Product=Elig!$C1585,Elig_MatchAll_Ct&lt;22,$BC1585=(Elig_MatchAll_Ct-1),AR1585=0),O1585,0)</f>
        <v>0</v>
      </c>
      <c r="BU1585" s="991">
        <f>IF(AND(Input_Product=Elig!$C1585,Elig_MatchAll_Ct&lt;22,$BC1585=(Elig_MatchAll_Ct-1),AS1585=0),P1585,0)</f>
        <v>0</v>
      </c>
      <c r="BV1585" s="992">
        <f>IF(AND(Input_Product=Elig!$C1585,Elig_MatchAll_Ct&lt;22,$BC1585=(Elig_MatchAll_Ct-1),AT1585=0),Q1585,0)</f>
        <v>0</v>
      </c>
      <c r="BW1585" s="993">
        <f>IF(AND(Input_Product=Elig!$C1585,Elig_MatchAll_Ct&lt;22,$BC1585=(Elig_MatchAll_Ct-1),AU1585=0),R1585,0)</f>
        <v>0</v>
      </c>
      <c r="BX1585" s="994">
        <f>IF(AND(Input_Product=Elig!$C1585,Elig_MatchAll_Ct&lt;22,$BC1585=(Elig_MatchAll_Ct-1),AU1585=0),S1585,0)</f>
        <v>0</v>
      </c>
      <c r="BY1585" s="993">
        <f>IF(AND(Input_Product=Elig!$C1585,Elig_MatchAll_Ct&lt;22,$BC1585=(Elig_MatchAll_Ct-1),AV1585=0),T1585,0)</f>
        <v>0</v>
      </c>
      <c r="BZ1585" s="994">
        <f>IF(AND(Input_Product=Elig!$C1585,Elig_MatchAll_Ct&lt;22,$BC1585=(Elig_MatchAll_Ct-1),AV1585=0),U1585,0)</f>
        <v>0</v>
      </c>
      <c r="CA1585" s="993">
        <f>IF(AND(Input_Product=Elig!$C1585,Elig_MatchAll_Ct&lt;22,$BC1585=(Elig_MatchAll_Ct-1),AW1585=0),V1585,0)</f>
        <v>0</v>
      </c>
      <c r="CB1585" s="994">
        <f>IF(AND(Input_Product=Elig!$C1585,Elig_MatchAll_Ct&lt;22,$BC1585=(Elig_MatchAll_Ct-1),AW1585=0),W1585,0)</f>
        <v>0</v>
      </c>
      <c r="CC1585" s="993">
        <f>IF(AND(Input_Product=Elig!$C1585,Elig_MatchAll_Ct&lt;22,$BC1585=(Elig_MatchAll_Ct-1),AX1585=0),X1585,0)</f>
        <v>0</v>
      </c>
      <c r="CD1585" s="994">
        <f>IF(AND(Input_Product=Elig!$C1585,Elig_MatchAll_Ct&lt;22,$BC1585=(Elig_MatchAll_Ct-1),AX1585=0),Y1585,0)</f>
        <v>0</v>
      </c>
      <c r="CE1585" s="993">
        <f>IF(AND(Input_LTV&lt;=AE1585,Input_Product=Elig!$C1585,Elig_MatchAll_Ct&lt;22,$BC1585=(Elig_MatchAll_Ct-1),AY1585=0),Z1585,0)</f>
        <v>0</v>
      </c>
      <c r="CF1585" s="994">
        <f>IF(AND(Input_LTV&lt;=AE1585,Input_Product=Elig!$C1585,Elig_MatchAll_Ct&lt;22,$BC1585=(Elig_MatchAll_Ct-1),AY1585=0),AA1585,0)</f>
        <v>0</v>
      </c>
      <c r="CG1585" s="993">
        <f>IF(AND(Input_Product=Elig!$C1585,Elig_MatchAll_Ct&lt;22,$BC1585=(Elig_MatchAll_Ct-1),AZ1585=0),AB1585,0)</f>
        <v>0</v>
      </c>
      <c r="CH1585" s="994">
        <f>IF(AND(Input_Product=Elig!$C1585,Elig_MatchAll_Ct&lt;22,$BC1585=(Elig_MatchAll_Ct-1),AZ1585=0),AC1585,0)</f>
        <v>0</v>
      </c>
      <c r="CI1585" s="993">
        <f>IF(AND(Input_Product=Elig!$C1585,Elig_MatchAll_Ct&lt;22,$BC1585=(Elig_MatchAll_Ct-1),BA1585=0),AD1585,0)</f>
        <v>0</v>
      </c>
      <c r="CJ1585" s="994">
        <f>IF(AND(Input_Product=Elig!$C1585,Elig_MatchAll_Ct&lt;22,$BC1585=(Elig_MatchAll_Ct-1),BA1585=0),AE1585,0)</f>
        <v>0</v>
      </c>
    </row>
    <row r="1586" spans="2:88" ht="10.15" customHeight="1" x14ac:dyDescent="0.25">
      <c r="B1586" s="997" t="s">
        <v>3637</v>
      </c>
      <c r="C1586" s="999" t="str">
        <f t="shared" si="533"/>
        <v>HELOC OO</v>
      </c>
      <c r="D1586" s="1000" t="s">
        <v>1984</v>
      </c>
      <c r="E1586" s="1000" t="s">
        <v>4</v>
      </c>
      <c r="F1586" s="1000" t="s">
        <v>328</v>
      </c>
      <c r="G1586" s="1000" t="s">
        <v>303</v>
      </c>
      <c r="H1586" s="1000" t="s">
        <v>136</v>
      </c>
      <c r="I1586" s="1001" t="s">
        <v>1332</v>
      </c>
      <c r="J1586" s="1001" t="s">
        <v>3544</v>
      </c>
      <c r="K1586" s="1000" t="s">
        <v>1791</v>
      </c>
      <c r="L1586" s="1001" t="s">
        <v>430</v>
      </c>
      <c r="M1586" s="1001" t="s">
        <v>2677</v>
      </c>
      <c r="N1586" s="1000" t="s">
        <v>82</v>
      </c>
      <c r="O1586" s="1001" t="s">
        <v>310</v>
      </c>
      <c r="P1586" s="1001" t="s">
        <v>291</v>
      </c>
      <c r="Q1586" s="1001" t="s">
        <v>294</v>
      </c>
      <c r="R1586" s="1001">
        <v>250000.01</v>
      </c>
      <c r="S1586" s="1001">
        <v>350000</v>
      </c>
      <c r="T1586" s="1001">
        <v>0</v>
      </c>
      <c r="U1586" s="1001">
        <v>350000</v>
      </c>
      <c r="V1586" s="1001">
        <v>0</v>
      </c>
      <c r="W1586" s="1001">
        <v>50</v>
      </c>
      <c r="X1586" s="1001">
        <v>0</v>
      </c>
      <c r="Y1586" s="1001">
        <v>999</v>
      </c>
      <c r="Z1586" s="1002">
        <v>720</v>
      </c>
      <c r="AA1586" s="1002">
        <v>999</v>
      </c>
      <c r="AB1586" s="1002">
        <v>0</v>
      </c>
      <c r="AC1586" s="1002">
        <v>999999</v>
      </c>
      <c r="AD1586" s="1001">
        <v>0</v>
      </c>
      <c r="AE1586" s="1001">
        <v>85</v>
      </c>
      <c r="AF1586" s="170">
        <v>0</v>
      </c>
      <c r="AG1586" s="171">
        <v>0</v>
      </c>
      <c r="AH1586" s="171">
        <v>0</v>
      </c>
      <c r="AI1586" s="171">
        <v>1</v>
      </c>
      <c r="AJ1586" s="171">
        <v>1</v>
      </c>
      <c r="AK1586" s="171">
        <v>1</v>
      </c>
      <c r="AL1586" s="171">
        <v>1</v>
      </c>
      <c r="AM1586" s="171">
        <v>1</v>
      </c>
      <c r="AN1586" s="171">
        <v>1</v>
      </c>
      <c r="AO1586" s="171">
        <v>1</v>
      </c>
      <c r="AP1586" s="171">
        <v>1</v>
      </c>
      <c r="AQ1586" s="171">
        <v>1</v>
      </c>
      <c r="AR1586" s="171">
        <v>1</v>
      </c>
      <c r="AS1586" s="171">
        <v>1</v>
      </c>
      <c r="AT1586" s="171">
        <v>1</v>
      </c>
      <c r="AU1586" s="171">
        <f t="shared" si="527"/>
        <v>0</v>
      </c>
      <c r="AV1586" s="171">
        <f t="shared" si="528"/>
        <v>1</v>
      </c>
      <c r="AW1586" s="171">
        <f t="shared" si="529"/>
        <v>1</v>
      </c>
      <c r="AX1586" s="171">
        <f t="shared" si="525"/>
        <v>1</v>
      </c>
      <c r="AY1586" s="171">
        <f t="shared" si="530"/>
        <v>1</v>
      </c>
      <c r="AZ1586" s="171">
        <f t="shared" si="531"/>
        <v>1</v>
      </c>
      <c r="BA1586" s="172">
        <f t="shared" si="532"/>
        <v>1</v>
      </c>
      <c r="BB1586" s="175">
        <f t="shared" ref="BB1586:BB1633" si="534">SUM(AF1586:BA1586)</f>
        <v>18</v>
      </c>
      <c r="BC1586" s="176">
        <f t="shared" ref="BC1586:BC1633" si="535">SUM(AF1586:AZ1586)</f>
        <v>17</v>
      </c>
      <c r="BD1586" s="176">
        <f t="shared" ref="BD1586:BD1633" si="536">SUM(AG1586:BA1586)</f>
        <v>18</v>
      </c>
      <c r="BE1586" s="240" t="str">
        <f t="shared" si="526"/>
        <v/>
      </c>
      <c r="BF1586" s="989"/>
      <c r="BG1586" s="989"/>
      <c r="BH1586" s="991">
        <f>IF(AND(Input_Product=Elig!$C1586,Elig_MatchAll_Ct&lt;22,$BC1586=(Elig_MatchAll_Ct-1),AF1586=0),C1586,0)</f>
        <v>0</v>
      </c>
      <c r="BI1586" s="991">
        <f>IF(AND(Input_Product=Elig!$C1586,Elig_MatchAll_Ct&lt;22,$BC1586=(Elig_MatchAll_Ct-1),AG1586=0),D1586,0)</f>
        <v>0</v>
      </c>
      <c r="BJ1586" s="991">
        <f>IF(AND(Input_Product=Elig!$C1586,Elig_MatchAll_Ct&lt;22,$BC1586=(Elig_MatchAll_Ct-1),AH1586=0),E1586,0)</f>
        <v>0</v>
      </c>
      <c r="BK1586" s="991">
        <f>IF(AND(Input_Product=Elig!$C1586,Elig_MatchAll_Ct&lt;22,$BC1586=(Elig_MatchAll_Ct-1),AI1586=0),F1586,0)</f>
        <v>0</v>
      </c>
      <c r="BL1586" s="991">
        <f>IF(AND(Input_Product=Elig!$C1586,Elig_MatchAll_Ct&lt;22,$BC1586=(Elig_MatchAll_Ct-1),AJ1586=0),G1586,0)</f>
        <v>0</v>
      </c>
      <c r="BM1586" s="991">
        <f>IF(AND(Input_Product=Elig!$C1586,Elig_MatchAll_Ct&lt;22,$BC1586=(Elig_MatchAll_Ct-1),AK1586=0),H1586,0)</f>
        <v>0</v>
      </c>
      <c r="BN1586" s="991">
        <f>IF(AND(Input_Product=Elig!$C1586,Elig_MatchAll_Ct&lt;22,$BC1586=(Elig_MatchAll_Ct-1),AL1586=0),I1586,0)</f>
        <v>0</v>
      </c>
      <c r="BO1586" s="991">
        <f>IF(AND(Input_Product=Elig!$C1586,Elig_MatchAll_Ct&lt;22,$BC1586=(Elig_MatchAll_Ct-1),AM1586=0),J1586,0)</f>
        <v>0</v>
      </c>
      <c r="BP1586" s="991">
        <f>IF(AND(Input_Product=Elig!$C1586,Elig_MatchAll_Ct&lt;22,$BC1586=(Elig_MatchAll_Ct-1),AN1586=0),K1586,0)</f>
        <v>0</v>
      </c>
      <c r="BQ1586" s="991">
        <f>IF(AND(Input_Product=Elig!$C1586,Elig_MatchAll_Ct&lt;22,$BC1586=(Elig_MatchAll_Ct-1),AP1586=0),L1586,0)</f>
        <v>0</v>
      </c>
      <c r="BR1586" s="991">
        <f>IF(AND(Input_Product=Elig!$C1586,Elig_MatchAll_Ct&lt;22,$BC1586=(Elig_MatchAll_Ct-1),AO1586=0),M1586,0)</f>
        <v>0</v>
      </c>
      <c r="BS1586" s="991">
        <f>IF(AND(Input_Product=Elig!$C1586,Elig_MatchAll_Ct&lt;22,$BC1586=(Elig_MatchAll_Ct-1),AQ1586=0),N1586,0)</f>
        <v>0</v>
      </c>
      <c r="BT1586" s="991">
        <f>IF(AND(Input_Product=Elig!$C1586,Elig_MatchAll_Ct&lt;22,$BC1586=(Elig_MatchAll_Ct-1),AR1586=0),O1586,0)</f>
        <v>0</v>
      </c>
      <c r="BU1586" s="991">
        <f>IF(AND(Input_Product=Elig!$C1586,Elig_MatchAll_Ct&lt;22,$BC1586=(Elig_MatchAll_Ct-1),AS1586=0),P1586,0)</f>
        <v>0</v>
      </c>
      <c r="BV1586" s="992">
        <f>IF(AND(Input_Product=Elig!$C1586,Elig_MatchAll_Ct&lt;22,$BC1586=(Elig_MatchAll_Ct-1),AT1586=0),Q1586,0)</f>
        <v>0</v>
      </c>
      <c r="BW1586" s="993">
        <f>IF(AND(Input_Product=Elig!$C1586,Elig_MatchAll_Ct&lt;22,$BC1586=(Elig_MatchAll_Ct-1),AU1586=0),R1586,0)</f>
        <v>0</v>
      </c>
      <c r="BX1586" s="994">
        <f>IF(AND(Input_Product=Elig!$C1586,Elig_MatchAll_Ct&lt;22,$BC1586=(Elig_MatchAll_Ct-1),AU1586=0),S1586,0)</f>
        <v>0</v>
      </c>
      <c r="BY1586" s="993">
        <f>IF(AND(Input_Product=Elig!$C1586,Elig_MatchAll_Ct&lt;22,$BC1586=(Elig_MatchAll_Ct-1),AV1586=0),T1586,0)</f>
        <v>0</v>
      </c>
      <c r="BZ1586" s="994">
        <f>IF(AND(Input_Product=Elig!$C1586,Elig_MatchAll_Ct&lt;22,$BC1586=(Elig_MatchAll_Ct-1),AV1586=0),U1586,0)</f>
        <v>0</v>
      </c>
      <c r="CA1586" s="993">
        <f>IF(AND(Input_Product=Elig!$C1586,Elig_MatchAll_Ct&lt;22,$BC1586=(Elig_MatchAll_Ct-1),AW1586=0),V1586,0)</f>
        <v>0</v>
      </c>
      <c r="CB1586" s="994">
        <f>IF(AND(Input_Product=Elig!$C1586,Elig_MatchAll_Ct&lt;22,$BC1586=(Elig_MatchAll_Ct-1),AW1586=0),W1586,0)</f>
        <v>0</v>
      </c>
      <c r="CC1586" s="993">
        <f>IF(AND(Input_Product=Elig!$C1586,Elig_MatchAll_Ct&lt;22,$BC1586=(Elig_MatchAll_Ct-1),AX1586=0),X1586,0)</f>
        <v>0</v>
      </c>
      <c r="CD1586" s="994">
        <f>IF(AND(Input_Product=Elig!$C1586,Elig_MatchAll_Ct&lt;22,$BC1586=(Elig_MatchAll_Ct-1),AX1586=0),Y1586,0)</f>
        <v>0</v>
      </c>
      <c r="CE1586" s="993">
        <f>IF(AND(Input_LTV&lt;=AE1586,Input_Product=Elig!$C1586,Elig_MatchAll_Ct&lt;22,$BC1586=(Elig_MatchAll_Ct-1),AY1586=0),Z1586,0)</f>
        <v>0</v>
      </c>
      <c r="CF1586" s="994">
        <f>IF(AND(Input_LTV&lt;=AE1586,Input_Product=Elig!$C1586,Elig_MatchAll_Ct&lt;22,$BC1586=(Elig_MatchAll_Ct-1),AY1586=0),AA1586,0)</f>
        <v>0</v>
      </c>
      <c r="CG1586" s="993">
        <f>IF(AND(Input_Product=Elig!$C1586,Elig_MatchAll_Ct&lt;22,$BC1586=(Elig_MatchAll_Ct-1),AZ1586=0),AB1586,0)</f>
        <v>0</v>
      </c>
      <c r="CH1586" s="994">
        <f>IF(AND(Input_Product=Elig!$C1586,Elig_MatchAll_Ct&lt;22,$BC1586=(Elig_MatchAll_Ct-1),AZ1586=0),AC1586,0)</f>
        <v>0</v>
      </c>
      <c r="CI1586" s="993">
        <f>IF(AND(Input_Product=Elig!$C1586,Elig_MatchAll_Ct&lt;22,$BC1586=(Elig_MatchAll_Ct-1),BA1586=0),AD1586,0)</f>
        <v>0</v>
      </c>
      <c r="CJ1586" s="994">
        <f>IF(AND(Input_Product=Elig!$C1586,Elig_MatchAll_Ct&lt;22,$BC1586=(Elig_MatchAll_Ct-1),BA1586=0),AE1586,0)</f>
        <v>0</v>
      </c>
    </row>
    <row r="1587" spans="2:88" ht="10.15" customHeight="1" x14ac:dyDescent="0.25">
      <c r="B1587" s="997" t="s">
        <v>3638</v>
      </c>
      <c r="C1587" s="995" t="str">
        <f t="shared" si="533"/>
        <v>HELOC OO</v>
      </c>
      <c r="D1587" s="997" t="s">
        <v>1984</v>
      </c>
      <c r="E1587" s="997" t="s">
        <v>4</v>
      </c>
      <c r="F1587" s="997" t="s">
        <v>328</v>
      </c>
      <c r="G1587" s="996" t="s">
        <v>303</v>
      </c>
      <c r="H1587" s="996" t="s">
        <v>136</v>
      </c>
      <c r="I1587" s="997" t="s">
        <v>1332</v>
      </c>
      <c r="J1587" s="997" t="s">
        <v>3544</v>
      </c>
      <c r="K1587" s="996" t="s">
        <v>1791</v>
      </c>
      <c r="L1587" s="997" t="s">
        <v>430</v>
      </c>
      <c r="M1587" s="997" t="s">
        <v>2677</v>
      </c>
      <c r="N1587" s="996" t="s">
        <v>82</v>
      </c>
      <c r="O1587" s="997" t="s">
        <v>310</v>
      </c>
      <c r="P1587" s="997" t="s">
        <v>291</v>
      </c>
      <c r="Q1587" s="997" t="s">
        <v>294</v>
      </c>
      <c r="R1587" s="997">
        <v>250000.01</v>
      </c>
      <c r="S1587" s="997">
        <v>350000</v>
      </c>
      <c r="T1587" s="997">
        <v>0</v>
      </c>
      <c r="U1587" s="997">
        <v>350000</v>
      </c>
      <c r="V1587" s="997">
        <v>0</v>
      </c>
      <c r="W1587" s="997">
        <v>50</v>
      </c>
      <c r="X1587" s="997">
        <v>0</v>
      </c>
      <c r="Y1587" s="997">
        <v>999</v>
      </c>
      <c r="Z1587" s="998">
        <v>700</v>
      </c>
      <c r="AA1587" s="998">
        <v>719</v>
      </c>
      <c r="AB1587" s="998">
        <v>0</v>
      </c>
      <c r="AC1587" s="998">
        <v>999999</v>
      </c>
      <c r="AD1587" s="997">
        <v>0</v>
      </c>
      <c r="AE1587" s="997">
        <v>85</v>
      </c>
      <c r="AF1587" s="170">
        <v>0</v>
      </c>
      <c r="AG1587" s="171">
        <v>0</v>
      </c>
      <c r="AH1587" s="171">
        <v>0</v>
      </c>
      <c r="AI1587" s="171">
        <v>1</v>
      </c>
      <c r="AJ1587" s="171">
        <v>1</v>
      </c>
      <c r="AK1587" s="171">
        <v>1</v>
      </c>
      <c r="AL1587" s="171">
        <v>1</v>
      </c>
      <c r="AM1587" s="171">
        <v>1</v>
      </c>
      <c r="AN1587" s="171">
        <v>1</v>
      </c>
      <c r="AO1587" s="171">
        <v>1</v>
      </c>
      <c r="AP1587" s="171">
        <v>1</v>
      </c>
      <c r="AQ1587" s="171">
        <v>1</v>
      </c>
      <c r="AR1587" s="171">
        <v>1</v>
      </c>
      <c r="AS1587" s="171">
        <v>1</v>
      </c>
      <c r="AT1587" s="171">
        <v>1</v>
      </c>
      <c r="AU1587" s="171">
        <f t="shared" si="527"/>
        <v>0</v>
      </c>
      <c r="AV1587" s="171">
        <f t="shared" si="528"/>
        <v>1</v>
      </c>
      <c r="AW1587" s="171">
        <f t="shared" si="529"/>
        <v>1</v>
      </c>
      <c r="AX1587" s="171">
        <f t="shared" si="525"/>
        <v>1</v>
      </c>
      <c r="AY1587" s="171">
        <f t="shared" si="530"/>
        <v>0</v>
      </c>
      <c r="AZ1587" s="171">
        <f t="shared" si="531"/>
        <v>1</v>
      </c>
      <c r="BA1587" s="172">
        <f t="shared" si="532"/>
        <v>1</v>
      </c>
      <c r="BB1587" s="175">
        <f t="shared" si="534"/>
        <v>17</v>
      </c>
      <c r="BC1587" s="176">
        <f t="shared" si="535"/>
        <v>16</v>
      </c>
      <c r="BD1587" s="176">
        <f t="shared" si="536"/>
        <v>17</v>
      </c>
      <c r="BE1587" s="240" t="str">
        <f t="shared" si="526"/>
        <v/>
      </c>
      <c r="BF1587" s="990"/>
      <c r="BG1587" s="990"/>
      <c r="BH1587" s="991">
        <f>IF(AND(Input_Product=Elig!$C1587,Elig_MatchAll_Ct&lt;22,$BC1587=(Elig_MatchAll_Ct-1),AF1587=0),C1587,0)</f>
        <v>0</v>
      </c>
      <c r="BI1587" s="991">
        <f>IF(AND(Input_Product=Elig!$C1587,Elig_MatchAll_Ct&lt;22,$BC1587=(Elig_MatchAll_Ct-1),AG1587=0),D1587,0)</f>
        <v>0</v>
      </c>
      <c r="BJ1587" s="991">
        <f>IF(AND(Input_Product=Elig!$C1587,Elig_MatchAll_Ct&lt;22,$BC1587=(Elig_MatchAll_Ct-1),AH1587=0),E1587,0)</f>
        <v>0</v>
      </c>
      <c r="BK1587" s="991">
        <f>IF(AND(Input_Product=Elig!$C1587,Elig_MatchAll_Ct&lt;22,$BC1587=(Elig_MatchAll_Ct-1),AI1587=0),F1587,0)</f>
        <v>0</v>
      </c>
      <c r="BL1587" s="991">
        <f>IF(AND(Input_Product=Elig!$C1587,Elig_MatchAll_Ct&lt;22,$BC1587=(Elig_MatchAll_Ct-1),AJ1587=0),G1587,0)</f>
        <v>0</v>
      </c>
      <c r="BM1587" s="991">
        <f>IF(AND(Input_Product=Elig!$C1587,Elig_MatchAll_Ct&lt;22,$BC1587=(Elig_MatchAll_Ct-1),AK1587=0),H1587,0)</f>
        <v>0</v>
      </c>
      <c r="BN1587" s="991">
        <f>IF(AND(Input_Product=Elig!$C1587,Elig_MatchAll_Ct&lt;22,$BC1587=(Elig_MatchAll_Ct-1),AL1587=0),I1587,0)</f>
        <v>0</v>
      </c>
      <c r="BO1587" s="991">
        <f>IF(AND(Input_Product=Elig!$C1587,Elig_MatchAll_Ct&lt;22,$BC1587=(Elig_MatchAll_Ct-1),AM1587=0),J1587,0)</f>
        <v>0</v>
      </c>
      <c r="BP1587" s="991">
        <f>IF(AND(Input_Product=Elig!$C1587,Elig_MatchAll_Ct&lt;22,$BC1587=(Elig_MatchAll_Ct-1),AN1587=0),K1587,0)</f>
        <v>0</v>
      </c>
      <c r="BQ1587" s="991">
        <f>IF(AND(Input_Product=Elig!$C1587,Elig_MatchAll_Ct&lt;22,$BC1587=(Elig_MatchAll_Ct-1),AP1587=0),L1587,0)</f>
        <v>0</v>
      </c>
      <c r="BR1587" s="991">
        <f>IF(AND(Input_Product=Elig!$C1587,Elig_MatchAll_Ct&lt;22,$BC1587=(Elig_MatchAll_Ct-1),AO1587=0),M1587,0)</f>
        <v>0</v>
      </c>
      <c r="BS1587" s="991">
        <f>IF(AND(Input_Product=Elig!$C1587,Elig_MatchAll_Ct&lt;22,$BC1587=(Elig_MatchAll_Ct-1),AQ1587=0),N1587,0)</f>
        <v>0</v>
      </c>
      <c r="BT1587" s="991">
        <f>IF(AND(Input_Product=Elig!$C1587,Elig_MatchAll_Ct&lt;22,$BC1587=(Elig_MatchAll_Ct-1),AR1587=0),O1587,0)</f>
        <v>0</v>
      </c>
      <c r="BU1587" s="991">
        <f>IF(AND(Input_Product=Elig!$C1587,Elig_MatchAll_Ct&lt;22,$BC1587=(Elig_MatchAll_Ct-1),AS1587=0),P1587,0)</f>
        <v>0</v>
      </c>
      <c r="BV1587" s="992">
        <f>IF(AND(Input_Product=Elig!$C1587,Elig_MatchAll_Ct&lt;22,$BC1587=(Elig_MatchAll_Ct-1),AT1587=0),Q1587,0)</f>
        <v>0</v>
      </c>
      <c r="BW1587" s="993">
        <f>IF(AND(Input_Product=Elig!$C1587,Elig_MatchAll_Ct&lt;22,$BC1587=(Elig_MatchAll_Ct-1),AU1587=0),R1587,0)</f>
        <v>0</v>
      </c>
      <c r="BX1587" s="994">
        <f>IF(AND(Input_Product=Elig!$C1587,Elig_MatchAll_Ct&lt;22,$BC1587=(Elig_MatchAll_Ct-1),AU1587=0),S1587,0)</f>
        <v>0</v>
      </c>
      <c r="BY1587" s="993">
        <f>IF(AND(Input_Product=Elig!$C1587,Elig_MatchAll_Ct&lt;22,$BC1587=(Elig_MatchAll_Ct-1),AV1587=0),T1587,0)</f>
        <v>0</v>
      </c>
      <c r="BZ1587" s="994">
        <f>IF(AND(Input_Product=Elig!$C1587,Elig_MatchAll_Ct&lt;22,$BC1587=(Elig_MatchAll_Ct-1),AV1587=0),U1587,0)</f>
        <v>0</v>
      </c>
      <c r="CA1587" s="993">
        <f>IF(AND(Input_Product=Elig!$C1587,Elig_MatchAll_Ct&lt;22,$BC1587=(Elig_MatchAll_Ct-1),AW1587=0),V1587,0)</f>
        <v>0</v>
      </c>
      <c r="CB1587" s="994">
        <f>IF(AND(Input_Product=Elig!$C1587,Elig_MatchAll_Ct&lt;22,$BC1587=(Elig_MatchAll_Ct-1),AW1587=0),W1587,0)</f>
        <v>0</v>
      </c>
      <c r="CC1587" s="993">
        <f>IF(AND(Input_Product=Elig!$C1587,Elig_MatchAll_Ct&lt;22,$BC1587=(Elig_MatchAll_Ct-1),AX1587=0),X1587,0)</f>
        <v>0</v>
      </c>
      <c r="CD1587" s="994">
        <f>IF(AND(Input_Product=Elig!$C1587,Elig_MatchAll_Ct&lt;22,$BC1587=(Elig_MatchAll_Ct-1),AX1587=0),Y1587,0)</f>
        <v>0</v>
      </c>
      <c r="CE1587" s="993">
        <f>IF(AND(Input_LTV&lt;=AE1587,Input_Product=Elig!$C1587,Elig_MatchAll_Ct&lt;22,$BC1587=(Elig_MatchAll_Ct-1),AY1587=0),Z1587,0)</f>
        <v>0</v>
      </c>
      <c r="CF1587" s="994">
        <f>IF(AND(Input_LTV&lt;=AE1587,Input_Product=Elig!$C1587,Elig_MatchAll_Ct&lt;22,$BC1587=(Elig_MatchAll_Ct-1),AY1587=0),AA1587,0)</f>
        <v>0</v>
      </c>
      <c r="CG1587" s="993">
        <f>IF(AND(Input_Product=Elig!$C1587,Elig_MatchAll_Ct&lt;22,$BC1587=(Elig_MatchAll_Ct-1),AZ1587=0),AB1587,0)</f>
        <v>0</v>
      </c>
      <c r="CH1587" s="994">
        <f>IF(AND(Input_Product=Elig!$C1587,Elig_MatchAll_Ct&lt;22,$BC1587=(Elig_MatchAll_Ct-1),AZ1587=0),AC1587,0)</f>
        <v>0</v>
      </c>
      <c r="CI1587" s="993">
        <f>IF(AND(Input_Product=Elig!$C1587,Elig_MatchAll_Ct&lt;22,$BC1587=(Elig_MatchAll_Ct-1),BA1587=0),AD1587,0)</f>
        <v>0</v>
      </c>
      <c r="CJ1587" s="994">
        <f>IF(AND(Input_Product=Elig!$C1587,Elig_MatchAll_Ct&lt;22,$BC1587=(Elig_MatchAll_Ct-1),BA1587=0),AE1587,0)</f>
        <v>0</v>
      </c>
    </row>
    <row r="1588" spans="2:88" ht="10.15" customHeight="1" x14ac:dyDescent="0.25">
      <c r="B1588" s="997" t="s">
        <v>3639</v>
      </c>
      <c r="C1588" s="1026" t="str">
        <f t="shared" si="533"/>
        <v>HELOC OO</v>
      </c>
      <c r="D1588" s="1027" t="s">
        <v>1984</v>
      </c>
      <c r="E1588" s="1027" t="s">
        <v>4</v>
      </c>
      <c r="F1588" s="1027" t="s">
        <v>328</v>
      </c>
      <c r="G1588" s="1028" t="s">
        <v>303</v>
      </c>
      <c r="H1588" s="1028" t="s">
        <v>136</v>
      </c>
      <c r="I1588" s="1027" t="s">
        <v>1332</v>
      </c>
      <c r="J1588" s="1027" t="s">
        <v>3544</v>
      </c>
      <c r="K1588" s="1028" t="s">
        <v>1791</v>
      </c>
      <c r="L1588" s="1027" t="s">
        <v>430</v>
      </c>
      <c r="M1588" s="1027" t="s">
        <v>2677</v>
      </c>
      <c r="N1588" s="1028" t="s">
        <v>82</v>
      </c>
      <c r="O1588" s="1027" t="s">
        <v>310</v>
      </c>
      <c r="P1588" s="1027" t="s">
        <v>291</v>
      </c>
      <c r="Q1588" s="1027" t="s">
        <v>294</v>
      </c>
      <c r="R1588" s="1027">
        <v>250000.01</v>
      </c>
      <c r="S1588" s="1027">
        <v>350000</v>
      </c>
      <c r="T1588" s="1027">
        <v>0</v>
      </c>
      <c r="U1588" s="1027">
        <v>350000</v>
      </c>
      <c r="V1588" s="1027">
        <v>0</v>
      </c>
      <c r="W1588" s="1027">
        <v>50</v>
      </c>
      <c r="X1588" s="1027">
        <v>0</v>
      </c>
      <c r="Y1588" s="1027">
        <v>999</v>
      </c>
      <c r="Z1588" s="1029">
        <v>680</v>
      </c>
      <c r="AA1588" s="1029">
        <v>699</v>
      </c>
      <c r="AB1588" s="1029">
        <v>0</v>
      </c>
      <c r="AC1588" s="1029">
        <v>999999</v>
      </c>
      <c r="AD1588" s="1027">
        <v>0</v>
      </c>
      <c r="AE1588" s="1030">
        <v>75</v>
      </c>
      <c r="AF1588" s="170">
        <v>0</v>
      </c>
      <c r="AG1588" s="171">
        <v>0</v>
      </c>
      <c r="AH1588" s="171">
        <v>0</v>
      </c>
      <c r="AI1588" s="171">
        <v>1</v>
      </c>
      <c r="AJ1588" s="171">
        <v>1</v>
      </c>
      <c r="AK1588" s="171">
        <v>1</v>
      </c>
      <c r="AL1588" s="171">
        <v>1</v>
      </c>
      <c r="AM1588" s="171">
        <v>1</v>
      </c>
      <c r="AN1588" s="171">
        <v>1</v>
      </c>
      <c r="AO1588" s="171">
        <v>1</v>
      </c>
      <c r="AP1588" s="171">
        <v>1</v>
      </c>
      <c r="AQ1588" s="171">
        <v>1</v>
      </c>
      <c r="AR1588" s="171">
        <v>1</v>
      </c>
      <c r="AS1588" s="171">
        <v>1</v>
      </c>
      <c r="AT1588" s="171">
        <v>1</v>
      </c>
      <c r="AU1588" s="171">
        <f t="shared" si="527"/>
        <v>0</v>
      </c>
      <c r="AV1588" s="171">
        <f t="shared" si="528"/>
        <v>1</v>
      </c>
      <c r="AW1588" s="171">
        <f t="shared" si="529"/>
        <v>1</v>
      </c>
      <c r="AX1588" s="171">
        <f t="shared" si="525"/>
        <v>1</v>
      </c>
      <c r="AY1588" s="171">
        <f t="shared" si="530"/>
        <v>0</v>
      </c>
      <c r="AZ1588" s="171">
        <f t="shared" si="531"/>
        <v>1</v>
      </c>
      <c r="BA1588" s="172">
        <f t="shared" si="532"/>
        <v>1</v>
      </c>
      <c r="BB1588" s="175">
        <f t="shared" si="534"/>
        <v>17</v>
      </c>
      <c r="BC1588" s="176">
        <f t="shared" si="535"/>
        <v>16</v>
      </c>
      <c r="BD1588" s="176">
        <f t="shared" si="536"/>
        <v>17</v>
      </c>
      <c r="BE1588" s="240" t="str">
        <f t="shared" si="526"/>
        <v/>
      </c>
      <c r="BF1588" s="990"/>
      <c r="BG1588" s="990"/>
      <c r="BH1588" s="991">
        <f>IF(AND(Input_Product=Elig!$C1588,Elig_MatchAll_Ct&lt;22,$BC1588=(Elig_MatchAll_Ct-1),AF1588=0),C1588,0)</f>
        <v>0</v>
      </c>
      <c r="BI1588" s="991">
        <f>IF(AND(Input_Product=Elig!$C1588,Elig_MatchAll_Ct&lt;22,$BC1588=(Elig_MatchAll_Ct-1),AG1588=0),D1588,0)</f>
        <v>0</v>
      </c>
      <c r="BJ1588" s="991">
        <f>IF(AND(Input_Product=Elig!$C1588,Elig_MatchAll_Ct&lt;22,$BC1588=(Elig_MatchAll_Ct-1),AH1588=0),E1588,0)</f>
        <v>0</v>
      </c>
      <c r="BK1588" s="991">
        <f>IF(AND(Input_Product=Elig!$C1588,Elig_MatchAll_Ct&lt;22,$BC1588=(Elig_MatchAll_Ct-1),AI1588=0),F1588,0)</f>
        <v>0</v>
      </c>
      <c r="BL1588" s="991">
        <f>IF(AND(Input_Product=Elig!$C1588,Elig_MatchAll_Ct&lt;22,$BC1588=(Elig_MatchAll_Ct-1),AJ1588=0),G1588,0)</f>
        <v>0</v>
      </c>
      <c r="BM1588" s="991">
        <f>IF(AND(Input_Product=Elig!$C1588,Elig_MatchAll_Ct&lt;22,$BC1588=(Elig_MatchAll_Ct-1),AK1588=0),H1588,0)</f>
        <v>0</v>
      </c>
      <c r="BN1588" s="991">
        <f>IF(AND(Input_Product=Elig!$C1588,Elig_MatchAll_Ct&lt;22,$BC1588=(Elig_MatchAll_Ct-1),AL1588=0),I1588,0)</f>
        <v>0</v>
      </c>
      <c r="BO1588" s="991">
        <f>IF(AND(Input_Product=Elig!$C1588,Elig_MatchAll_Ct&lt;22,$BC1588=(Elig_MatchAll_Ct-1),AM1588=0),J1588,0)</f>
        <v>0</v>
      </c>
      <c r="BP1588" s="991">
        <f>IF(AND(Input_Product=Elig!$C1588,Elig_MatchAll_Ct&lt;22,$BC1588=(Elig_MatchAll_Ct-1),AN1588=0),K1588,0)</f>
        <v>0</v>
      </c>
      <c r="BQ1588" s="991">
        <f>IF(AND(Input_Product=Elig!$C1588,Elig_MatchAll_Ct&lt;22,$BC1588=(Elig_MatchAll_Ct-1),AP1588=0),L1588,0)</f>
        <v>0</v>
      </c>
      <c r="BR1588" s="991">
        <f>IF(AND(Input_Product=Elig!$C1588,Elig_MatchAll_Ct&lt;22,$BC1588=(Elig_MatchAll_Ct-1),AO1588=0),M1588,0)</f>
        <v>0</v>
      </c>
      <c r="BS1588" s="991">
        <f>IF(AND(Input_Product=Elig!$C1588,Elig_MatchAll_Ct&lt;22,$BC1588=(Elig_MatchAll_Ct-1),AQ1588=0),N1588,0)</f>
        <v>0</v>
      </c>
      <c r="BT1588" s="991">
        <f>IF(AND(Input_Product=Elig!$C1588,Elig_MatchAll_Ct&lt;22,$BC1588=(Elig_MatchAll_Ct-1),AR1588=0),O1588,0)</f>
        <v>0</v>
      </c>
      <c r="BU1588" s="991">
        <f>IF(AND(Input_Product=Elig!$C1588,Elig_MatchAll_Ct&lt;22,$BC1588=(Elig_MatchAll_Ct-1),AS1588=0),P1588,0)</f>
        <v>0</v>
      </c>
      <c r="BV1588" s="992">
        <f>IF(AND(Input_Product=Elig!$C1588,Elig_MatchAll_Ct&lt;22,$BC1588=(Elig_MatchAll_Ct-1),AT1588=0),Q1588,0)</f>
        <v>0</v>
      </c>
      <c r="BW1588" s="993">
        <f>IF(AND(Input_Product=Elig!$C1588,Elig_MatchAll_Ct&lt;22,$BC1588=(Elig_MatchAll_Ct-1),AU1588=0),R1588,0)</f>
        <v>0</v>
      </c>
      <c r="BX1588" s="994">
        <f>IF(AND(Input_Product=Elig!$C1588,Elig_MatchAll_Ct&lt;22,$BC1588=(Elig_MatchAll_Ct-1),AU1588=0),S1588,0)</f>
        <v>0</v>
      </c>
      <c r="BY1588" s="993">
        <f>IF(AND(Input_Product=Elig!$C1588,Elig_MatchAll_Ct&lt;22,$BC1588=(Elig_MatchAll_Ct-1),AV1588=0),T1588,0)</f>
        <v>0</v>
      </c>
      <c r="BZ1588" s="994">
        <f>IF(AND(Input_Product=Elig!$C1588,Elig_MatchAll_Ct&lt;22,$BC1588=(Elig_MatchAll_Ct-1),AV1588=0),U1588,0)</f>
        <v>0</v>
      </c>
      <c r="CA1588" s="993">
        <f>IF(AND(Input_Product=Elig!$C1588,Elig_MatchAll_Ct&lt;22,$BC1588=(Elig_MatchAll_Ct-1),AW1588=0),V1588,0)</f>
        <v>0</v>
      </c>
      <c r="CB1588" s="994">
        <f>IF(AND(Input_Product=Elig!$C1588,Elig_MatchAll_Ct&lt;22,$BC1588=(Elig_MatchAll_Ct-1),AW1588=0),W1588,0)</f>
        <v>0</v>
      </c>
      <c r="CC1588" s="993">
        <f>IF(AND(Input_Product=Elig!$C1588,Elig_MatchAll_Ct&lt;22,$BC1588=(Elig_MatchAll_Ct-1),AX1588=0),X1588,0)</f>
        <v>0</v>
      </c>
      <c r="CD1588" s="994">
        <f>IF(AND(Input_Product=Elig!$C1588,Elig_MatchAll_Ct&lt;22,$BC1588=(Elig_MatchAll_Ct-1),AX1588=0),Y1588,0)</f>
        <v>0</v>
      </c>
      <c r="CE1588" s="993">
        <f>IF(AND(Input_LTV&lt;=AE1588,Input_Product=Elig!$C1588,Elig_MatchAll_Ct&lt;22,$BC1588=(Elig_MatchAll_Ct-1),AY1588=0),Z1588,0)</f>
        <v>0</v>
      </c>
      <c r="CF1588" s="994">
        <f>IF(AND(Input_LTV&lt;=AE1588,Input_Product=Elig!$C1588,Elig_MatchAll_Ct&lt;22,$BC1588=(Elig_MatchAll_Ct-1),AY1588=0),AA1588,0)</f>
        <v>0</v>
      </c>
      <c r="CG1588" s="993">
        <f>IF(AND(Input_Product=Elig!$C1588,Elig_MatchAll_Ct&lt;22,$BC1588=(Elig_MatchAll_Ct-1),AZ1588=0),AB1588,0)</f>
        <v>0</v>
      </c>
      <c r="CH1588" s="994">
        <f>IF(AND(Input_Product=Elig!$C1588,Elig_MatchAll_Ct&lt;22,$BC1588=(Elig_MatchAll_Ct-1),AZ1588=0),AC1588,0)</f>
        <v>0</v>
      </c>
      <c r="CI1588" s="993">
        <f>IF(AND(Input_Product=Elig!$C1588,Elig_MatchAll_Ct&lt;22,$BC1588=(Elig_MatchAll_Ct-1),BA1588=0),AD1588,0)</f>
        <v>0</v>
      </c>
      <c r="CJ1588" s="994">
        <f>IF(AND(Input_Product=Elig!$C1588,Elig_MatchAll_Ct&lt;22,$BC1588=(Elig_MatchAll_Ct-1),BA1588=0),AE1588,0)</f>
        <v>0</v>
      </c>
    </row>
    <row r="1589" spans="2:88" ht="10.15" customHeight="1" x14ac:dyDescent="0.25">
      <c r="B1589" s="997" t="s">
        <v>3640</v>
      </c>
      <c r="C1589" s="999" t="str">
        <f t="shared" si="533"/>
        <v>HELOC OO</v>
      </c>
      <c r="D1589" s="1000" t="s">
        <v>1984</v>
      </c>
      <c r="E1589" s="1000" t="s">
        <v>4</v>
      </c>
      <c r="F1589" s="1000" t="s">
        <v>328</v>
      </c>
      <c r="G1589" s="1000" t="s">
        <v>175</v>
      </c>
      <c r="H1589" s="1000" t="s">
        <v>446</v>
      </c>
      <c r="I1589" s="1001" t="s">
        <v>1332</v>
      </c>
      <c r="J1589" s="1001" t="s">
        <v>3544</v>
      </c>
      <c r="K1589" s="1000" t="s">
        <v>1791</v>
      </c>
      <c r="L1589" s="1001" t="s">
        <v>430</v>
      </c>
      <c r="M1589" s="1001" t="s">
        <v>2677</v>
      </c>
      <c r="N1589" s="1000" t="s">
        <v>82</v>
      </c>
      <c r="O1589" s="1001" t="s">
        <v>310</v>
      </c>
      <c r="P1589" s="1001" t="s">
        <v>291</v>
      </c>
      <c r="Q1589" s="1001" t="s">
        <v>294</v>
      </c>
      <c r="R1589" s="1001">
        <v>250000.01</v>
      </c>
      <c r="S1589" s="1001">
        <v>350000</v>
      </c>
      <c r="T1589" s="1001">
        <v>0</v>
      </c>
      <c r="U1589" s="1001">
        <v>350000</v>
      </c>
      <c r="V1589" s="1001">
        <v>0</v>
      </c>
      <c r="W1589" s="1001">
        <v>50</v>
      </c>
      <c r="X1589" s="1001">
        <v>0</v>
      </c>
      <c r="Y1589" s="1001">
        <v>999</v>
      </c>
      <c r="Z1589" s="1002">
        <v>720</v>
      </c>
      <c r="AA1589" s="1002">
        <v>999</v>
      </c>
      <c r="AB1589" s="1002">
        <v>0</v>
      </c>
      <c r="AC1589" s="1002">
        <v>999999</v>
      </c>
      <c r="AD1589" s="1001">
        <v>0</v>
      </c>
      <c r="AE1589" s="1001">
        <v>80</v>
      </c>
      <c r="AF1589" s="170">
        <v>0</v>
      </c>
      <c r="AG1589" s="171">
        <v>0</v>
      </c>
      <c r="AH1589" s="171">
        <v>0</v>
      </c>
      <c r="AI1589" s="171">
        <v>1</v>
      </c>
      <c r="AJ1589" s="171">
        <v>0</v>
      </c>
      <c r="AK1589" s="171">
        <v>0</v>
      </c>
      <c r="AL1589" s="171">
        <v>1</v>
      </c>
      <c r="AM1589" s="171">
        <v>1</v>
      </c>
      <c r="AN1589" s="171">
        <v>1</v>
      </c>
      <c r="AO1589" s="171">
        <v>1</v>
      </c>
      <c r="AP1589" s="171">
        <v>1</v>
      </c>
      <c r="AQ1589" s="171">
        <v>1</v>
      </c>
      <c r="AR1589" s="171">
        <v>1</v>
      </c>
      <c r="AS1589" s="171">
        <v>1</v>
      </c>
      <c r="AT1589" s="171">
        <v>1</v>
      </c>
      <c r="AU1589" s="171">
        <f t="shared" si="527"/>
        <v>0</v>
      </c>
      <c r="AV1589" s="171">
        <f t="shared" si="528"/>
        <v>1</v>
      </c>
      <c r="AW1589" s="171">
        <f t="shared" si="529"/>
        <v>1</v>
      </c>
      <c r="AX1589" s="171">
        <f t="shared" si="525"/>
        <v>1</v>
      </c>
      <c r="AY1589" s="171">
        <f t="shared" si="530"/>
        <v>1</v>
      </c>
      <c r="AZ1589" s="171">
        <f t="shared" si="531"/>
        <v>1</v>
      </c>
      <c r="BA1589" s="172">
        <f t="shared" si="532"/>
        <v>1</v>
      </c>
      <c r="BB1589" s="175">
        <f t="shared" si="534"/>
        <v>16</v>
      </c>
      <c r="BC1589" s="176">
        <f t="shared" si="535"/>
        <v>15</v>
      </c>
      <c r="BD1589" s="176">
        <f t="shared" si="536"/>
        <v>16</v>
      </c>
      <c r="BE1589" s="240" t="str">
        <f t="shared" si="526"/>
        <v/>
      </c>
      <c r="BF1589" s="989"/>
      <c r="BG1589" s="989"/>
      <c r="BH1589" s="991">
        <f>IF(AND(Input_Product=Elig!$C1589,Elig_MatchAll_Ct&lt;22,$BC1589=(Elig_MatchAll_Ct-1),AF1589=0),C1589,0)</f>
        <v>0</v>
      </c>
      <c r="BI1589" s="991">
        <f>IF(AND(Input_Product=Elig!$C1589,Elig_MatchAll_Ct&lt;22,$BC1589=(Elig_MatchAll_Ct-1),AG1589=0),D1589,0)</f>
        <v>0</v>
      </c>
      <c r="BJ1589" s="991">
        <f>IF(AND(Input_Product=Elig!$C1589,Elig_MatchAll_Ct&lt;22,$BC1589=(Elig_MatchAll_Ct-1),AH1589=0),E1589,0)</f>
        <v>0</v>
      </c>
      <c r="BK1589" s="991">
        <f>IF(AND(Input_Product=Elig!$C1589,Elig_MatchAll_Ct&lt;22,$BC1589=(Elig_MatchAll_Ct-1),AI1589=0),F1589,0)</f>
        <v>0</v>
      </c>
      <c r="BL1589" s="991">
        <f>IF(AND(Input_Product=Elig!$C1589,Elig_MatchAll_Ct&lt;22,$BC1589=(Elig_MatchAll_Ct-1),AJ1589=0),G1589,0)</f>
        <v>0</v>
      </c>
      <c r="BM1589" s="991">
        <f>IF(AND(Input_Product=Elig!$C1589,Elig_MatchAll_Ct&lt;22,$BC1589=(Elig_MatchAll_Ct-1),AK1589=0),H1589,0)</f>
        <v>0</v>
      </c>
      <c r="BN1589" s="991">
        <f>IF(AND(Input_Product=Elig!$C1589,Elig_MatchAll_Ct&lt;22,$BC1589=(Elig_MatchAll_Ct-1),AL1589=0),I1589,0)</f>
        <v>0</v>
      </c>
      <c r="BO1589" s="991">
        <f>IF(AND(Input_Product=Elig!$C1589,Elig_MatchAll_Ct&lt;22,$BC1589=(Elig_MatchAll_Ct-1),AM1589=0),J1589,0)</f>
        <v>0</v>
      </c>
      <c r="BP1589" s="991">
        <f>IF(AND(Input_Product=Elig!$C1589,Elig_MatchAll_Ct&lt;22,$BC1589=(Elig_MatchAll_Ct-1),AN1589=0),K1589,0)</f>
        <v>0</v>
      </c>
      <c r="BQ1589" s="991">
        <f>IF(AND(Input_Product=Elig!$C1589,Elig_MatchAll_Ct&lt;22,$BC1589=(Elig_MatchAll_Ct-1),AP1589=0),L1589,0)</f>
        <v>0</v>
      </c>
      <c r="BR1589" s="991">
        <f>IF(AND(Input_Product=Elig!$C1589,Elig_MatchAll_Ct&lt;22,$BC1589=(Elig_MatchAll_Ct-1),AO1589=0),M1589,0)</f>
        <v>0</v>
      </c>
      <c r="BS1589" s="991">
        <f>IF(AND(Input_Product=Elig!$C1589,Elig_MatchAll_Ct&lt;22,$BC1589=(Elig_MatchAll_Ct-1),AQ1589=0),N1589,0)</f>
        <v>0</v>
      </c>
      <c r="BT1589" s="991">
        <f>IF(AND(Input_Product=Elig!$C1589,Elig_MatchAll_Ct&lt;22,$BC1589=(Elig_MatchAll_Ct-1),AR1589=0),O1589,0)</f>
        <v>0</v>
      </c>
      <c r="BU1589" s="991">
        <f>IF(AND(Input_Product=Elig!$C1589,Elig_MatchAll_Ct&lt;22,$BC1589=(Elig_MatchAll_Ct-1),AS1589=0),P1589,0)</f>
        <v>0</v>
      </c>
      <c r="BV1589" s="992">
        <f>IF(AND(Input_Product=Elig!$C1589,Elig_MatchAll_Ct&lt;22,$BC1589=(Elig_MatchAll_Ct-1),AT1589=0),Q1589,0)</f>
        <v>0</v>
      </c>
      <c r="BW1589" s="993">
        <f>IF(AND(Input_Product=Elig!$C1589,Elig_MatchAll_Ct&lt;22,$BC1589=(Elig_MatchAll_Ct-1),AU1589=0),R1589,0)</f>
        <v>0</v>
      </c>
      <c r="BX1589" s="994">
        <f>IF(AND(Input_Product=Elig!$C1589,Elig_MatchAll_Ct&lt;22,$BC1589=(Elig_MatchAll_Ct-1),AU1589=0),S1589,0)</f>
        <v>0</v>
      </c>
      <c r="BY1589" s="993">
        <f>IF(AND(Input_Product=Elig!$C1589,Elig_MatchAll_Ct&lt;22,$BC1589=(Elig_MatchAll_Ct-1),AV1589=0),T1589,0)</f>
        <v>0</v>
      </c>
      <c r="BZ1589" s="994">
        <f>IF(AND(Input_Product=Elig!$C1589,Elig_MatchAll_Ct&lt;22,$BC1589=(Elig_MatchAll_Ct-1),AV1589=0),U1589,0)</f>
        <v>0</v>
      </c>
      <c r="CA1589" s="993">
        <f>IF(AND(Input_Product=Elig!$C1589,Elig_MatchAll_Ct&lt;22,$BC1589=(Elig_MatchAll_Ct-1),AW1589=0),V1589,0)</f>
        <v>0</v>
      </c>
      <c r="CB1589" s="994">
        <f>IF(AND(Input_Product=Elig!$C1589,Elig_MatchAll_Ct&lt;22,$BC1589=(Elig_MatchAll_Ct-1),AW1589=0),W1589,0)</f>
        <v>0</v>
      </c>
      <c r="CC1589" s="993">
        <f>IF(AND(Input_Product=Elig!$C1589,Elig_MatchAll_Ct&lt;22,$BC1589=(Elig_MatchAll_Ct-1),AX1589=0),X1589,0)</f>
        <v>0</v>
      </c>
      <c r="CD1589" s="994">
        <f>IF(AND(Input_Product=Elig!$C1589,Elig_MatchAll_Ct&lt;22,$BC1589=(Elig_MatchAll_Ct-1),AX1589=0),Y1589,0)</f>
        <v>0</v>
      </c>
      <c r="CE1589" s="993">
        <f>IF(AND(Input_LTV&lt;=AE1589,Input_Product=Elig!$C1589,Elig_MatchAll_Ct&lt;22,$BC1589=(Elig_MatchAll_Ct-1),AY1589=0),Z1589,0)</f>
        <v>0</v>
      </c>
      <c r="CF1589" s="994">
        <f>IF(AND(Input_LTV&lt;=AE1589,Input_Product=Elig!$C1589,Elig_MatchAll_Ct&lt;22,$BC1589=(Elig_MatchAll_Ct-1),AY1589=0),AA1589,0)</f>
        <v>0</v>
      </c>
      <c r="CG1589" s="993">
        <f>IF(AND(Input_Product=Elig!$C1589,Elig_MatchAll_Ct&lt;22,$BC1589=(Elig_MatchAll_Ct-1),AZ1589=0),AB1589,0)</f>
        <v>0</v>
      </c>
      <c r="CH1589" s="994">
        <f>IF(AND(Input_Product=Elig!$C1589,Elig_MatchAll_Ct&lt;22,$BC1589=(Elig_MatchAll_Ct-1),AZ1589=0),AC1589,0)</f>
        <v>0</v>
      </c>
      <c r="CI1589" s="993">
        <f>IF(AND(Input_Product=Elig!$C1589,Elig_MatchAll_Ct&lt;22,$BC1589=(Elig_MatchAll_Ct-1),BA1589=0),AD1589,0)</f>
        <v>0</v>
      </c>
      <c r="CJ1589" s="994">
        <f>IF(AND(Input_Product=Elig!$C1589,Elig_MatchAll_Ct&lt;22,$BC1589=(Elig_MatchAll_Ct-1),BA1589=0),AE1589,0)</f>
        <v>0</v>
      </c>
    </row>
    <row r="1590" spans="2:88" ht="10.15" customHeight="1" x14ac:dyDescent="0.25">
      <c r="B1590" s="997" t="s">
        <v>3641</v>
      </c>
      <c r="C1590" s="995" t="str">
        <f t="shared" si="533"/>
        <v>HELOC OO</v>
      </c>
      <c r="D1590" s="997" t="s">
        <v>1984</v>
      </c>
      <c r="E1590" s="997" t="s">
        <v>4</v>
      </c>
      <c r="F1590" s="997" t="s">
        <v>328</v>
      </c>
      <c r="G1590" s="996" t="s">
        <v>175</v>
      </c>
      <c r="H1590" s="996" t="s">
        <v>446</v>
      </c>
      <c r="I1590" s="997" t="s">
        <v>1332</v>
      </c>
      <c r="J1590" s="997" t="s">
        <v>3544</v>
      </c>
      <c r="K1590" s="996" t="s">
        <v>1791</v>
      </c>
      <c r="L1590" s="997" t="s">
        <v>430</v>
      </c>
      <c r="M1590" s="997" t="s">
        <v>2677</v>
      </c>
      <c r="N1590" s="996" t="s">
        <v>82</v>
      </c>
      <c r="O1590" s="997" t="s">
        <v>310</v>
      </c>
      <c r="P1590" s="997" t="s">
        <v>291</v>
      </c>
      <c r="Q1590" s="997" t="s">
        <v>294</v>
      </c>
      <c r="R1590" s="997">
        <v>250000.01</v>
      </c>
      <c r="S1590" s="997">
        <v>350000</v>
      </c>
      <c r="T1590" s="997">
        <v>0</v>
      </c>
      <c r="U1590" s="997">
        <v>350000</v>
      </c>
      <c r="V1590" s="997">
        <v>0</v>
      </c>
      <c r="W1590" s="997">
        <v>50</v>
      </c>
      <c r="X1590" s="997">
        <v>0</v>
      </c>
      <c r="Y1590" s="997">
        <v>999</v>
      </c>
      <c r="Z1590" s="998">
        <v>700</v>
      </c>
      <c r="AA1590" s="998">
        <v>719</v>
      </c>
      <c r="AB1590" s="998">
        <v>0</v>
      </c>
      <c r="AC1590" s="998">
        <v>999999</v>
      </c>
      <c r="AD1590" s="997">
        <v>0</v>
      </c>
      <c r="AE1590" s="997">
        <v>80</v>
      </c>
      <c r="AF1590" s="170">
        <v>0</v>
      </c>
      <c r="AG1590" s="171">
        <v>0</v>
      </c>
      <c r="AH1590" s="171">
        <v>0</v>
      </c>
      <c r="AI1590" s="171">
        <v>1</v>
      </c>
      <c r="AJ1590" s="171">
        <v>0</v>
      </c>
      <c r="AK1590" s="171">
        <v>0</v>
      </c>
      <c r="AL1590" s="171">
        <v>1</v>
      </c>
      <c r="AM1590" s="171">
        <v>1</v>
      </c>
      <c r="AN1590" s="171">
        <v>1</v>
      </c>
      <c r="AO1590" s="171">
        <v>1</v>
      </c>
      <c r="AP1590" s="171">
        <v>1</v>
      </c>
      <c r="AQ1590" s="171">
        <v>1</v>
      </c>
      <c r="AR1590" s="171">
        <v>1</v>
      </c>
      <c r="AS1590" s="171">
        <v>1</v>
      </c>
      <c r="AT1590" s="171">
        <v>1</v>
      </c>
      <c r="AU1590" s="171">
        <f t="shared" si="527"/>
        <v>0</v>
      </c>
      <c r="AV1590" s="171">
        <f t="shared" si="528"/>
        <v>1</v>
      </c>
      <c r="AW1590" s="171">
        <f t="shared" si="529"/>
        <v>1</v>
      </c>
      <c r="AX1590" s="171">
        <f t="shared" si="525"/>
        <v>1</v>
      </c>
      <c r="AY1590" s="171">
        <f t="shared" si="530"/>
        <v>0</v>
      </c>
      <c r="AZ1590" s="171">
        <f t="shared" si="531"/>
        <v>1</v>
      </c>
      <c r="BA1590" s="172">
        <f t="shared" si="532"/>
        <v>1</v>
      </c>
      <c r="BB1590" s="175">
        <f t="shared" si="534"/>
        <v>15</v>
      </c>
      <c r="BC1590" s="176">
        <f t="shared" si="535"/>
        <v>14</v>
      </c>
      <c r="BD1590" s="176">
        <f t="shared" si="536"/>
        <v>15</v>
      </c>
      <c r="BE1590" s="240" t="str">
        <f t="shared" si="526"/>
        <v/>
      </c>
      <c r="BF1590" s="990"/>
      <c r="BG1590" s="990"/>
      <c r="BH1590" s="991">
        <f>IF(AND(Input_Product=Elig!$C1590,Elig_MatchAll_Ct&lt;22,$BC1590=(Elig_MatchAll_Ct-1),AF1590=0),C1590,0)</f>
        <v>0</v>
      </c>
      <c r="BI1590" s="991">
        <f>IF(AND(Input_Product=Elig!$C1590,Elig_MatchAll_Ct&lt;22,$BC1590=(Elig_MatchAll_Ct-1),AG1590=0),D1590,0)</f>
        <v>0</v>
      </c>
      <c r="BJ1590" s="991">
        <f>IF(AND(Input_Product=Elig!$C1590,Elig_MatchAll_Ct&lt;22,$BC1590=(Elig_MatchAll_Ct-1),AH1590=0),E1590,0)</f>
        <v>0</v>
      </c>
      <c r="BK1590" s="991">
        <f>IF(AND(Input_Product=Elig!$C1590,Elig_MatchAll_Ct&lt;22,$BC1590=(Elig_MatchAll_Ct-1),AI1590=0),F1590,0)</f>
        <v>0</v>
      </c>
      <c r="BL1590" s="991">
        <f>IF(AND(Input_Product=Elig!$C1590,Elig_MatchAll_Ct&lt;22,$BC1590=(Elig_MatchAll_Ct-1),AJ1590=0),G1590,0)</f>
        <v>0</v>
      </c>
      <c r="BM1590" s="991">
        <f>IF(AND(Input_Product=Elig!$C1590,Elig_MatchAll_Ct&lt;22,$BC1590=(Elig_MatchAll_Ct-1),AK1590=0),H1590,0)</f>
        <v>0</v>
      </c>
      <c r="BN1590" s="991">
        <f>IF(AND(Input_Product=Elig!$C1590,Elig_MatchAll_Ct&lt;22,$BC1590=(Elig_MatchAll_Ct-1),AL1590=0),I1590,0)</f>
        <v>0</v>
      </c>
      <c r="BO1590" s="991">
        <f>IF(AND(Input_Product=Elig!$C1590,Elig_MatchAll_Ct&lt;22,$BC1590=(Elig_MatchAll_Ct-1),AM1590=0),J1590,0)</f>
        <v>0</v>
      </c>
      <c r="BP1590" s="991">
        <f>IF(AND(Input_Product=Elig!$C1590,Elig_MatchAll_Ct&lt;22,$BC1590=(Elig_MatchAll_Ct-1),AN1590=0),K1590,0)</f>
        <v>0</v>
      </c>
      <c r="BQ1590" s="991">
        <f>IF(AND(Input_Product=Elig!$C1590,Elig_MatchAll_Ct&lt;22,$BC1590=(Elig_MatchAll_Ct-1),AP1590=0),L1590,0)</f>
        <v>0</v>
      </c>
      <c r="BR1590" s="991">
        <f>IF(AND(Input_Product=Elig!$C1590,Elig_MatchAll_Ct&lt;22,$BC1590=(Elig_MatchAll_Ct-1),AO1590=0),M1590,0)</f>
        <v>0</v>
      </c>
      <c r="BS1590" s="991">
        <f>IF(AND(Input_Product=Elig!$C1590,Elig_MatchAll_Ct&lt;22,$BC1590=(Elig_MatchAll_Ct-1),AQ1590=0),N1590,0)</f>
        <v>0</v>
      </c>
      <c r="BT1590" s="991">
        <f>IF(AND(Input_Product=Elig!$C1590,Elig_MatchAll_Ct&lt;22,$BC1590=(Elig_MatchAll_Ct-1),AR1590=0),O1590,0)</f>
        <v>0</v>
      </c>
      <c r="BU1590" s="991">
        <f>IF(AND(Input_Product=Elig!$C1590,Elig_MatchAll_Ct&lt;22,$BC1590=(Elig_MatchAll_Ct-1),AS1590=0),P1590,0)</f>
        <v>0</v>
      </c>
      <c r="BV1590" s="992">
        <f>IF(AND(Input_Product=Elig!$C1590,Elig_MatchAll_Ct&lt;22,$BC1590=(Elig_MatchAll_Ct-1),AT1590=0),Q1590,0)</f>
        <v>0</v>
      </c>
      <c r="BW1590" s="993">
        <f>IF(AND(Input_Product=Elig!$C1590,Elig_MatchAll_Ct&lt;22,$BC1590=(Elig_MatchAll_Ct-1),AU1590=0),R1590,0)</f>
        <v>0</v>
      </c>
      <c r="BX1590" s="994">
        <f>IF(AND(Input_Product=Elig!$C1590,Elig_MatchAll_Ct&lt;22,$BC1590=(Elig_MatchAll_Ct-1),AU1590=0),S1590,0)</f>
        <v>0</v>
      </c>
      <c r="BY1590" s="993">
        <f>IF(AND(Input_Product=Elig!$C1590,Elig_MatchAll_Ct&lt;22,$BC1590=(Elig_MatchAll_Ct-1),AV1590=0),T1590,0)</f>
        <v>0</v>
      </c>
      <c r="BZ1590" s="994">
        <f>IF(AND(Input_Product=Elig!$C1590,Elig_MatchAll_Ct&lt;22,$BC1590=(Elig_MatchAll_Ct-1),AV1590=0),U1590,0)</f>
        <v>0</v>
      </c>
      <c r="CA1590" s="993">
        <f>IF(AND(Input_Product=Elig!$C1590,Elig_MatchAll_Ct&lt;22,$BC1590=(Elig_MatchAll_Ct-1),AW1590=0),V1590,0)</f>
        <v>0</v>
      </c>
      <c r="CB1590" s="994">
        <f>IF(AND(Input_Product=Elig!$C1590,Elig_MatchAll_Ct&lt;22,$BC1590=(Elig_MatchAll_Ct-1),AW1590=0),W1590,0)</f>
        <v>0</v>
      </c>
      <c r="CC1590" s="993">
        <f>IF(AND(Input_Product=Elig!$C1590,Elig_MatchAll_Ct&lt;22,$BC1590=(Elig_MatchAll_Ct-1),AX1590=0),X1590,0)</f>
        <v>0</v>
      </c>
      <c r="CD1590" s="994">
        <f>IF(AND(Input_Product=Elig!$C1590,Elig_MatchAll_Ct&lt;22,$BC1590=(Elig_MatchAll_Ct-1),AX1590=0),Y1590,0)</f>
        <v>0</v>
      </c>
      <c r="CE1590" s="993">
        <f>IF(AND(Input_LTV&lt;=AE1590,Input_Product=Elig!$C1590,Elig_MatchAll_Ct&lt;22,$BC1590=(Elig_MatchAll_Ct-1),AY1590=0),Z1590,0)</f>
        <v>0</v>
      </c>
      <c r="CF1590" s="994">
        <f>IF(AND(Input_LTV&lt;=AE1590,Input_Product=Elig!$C1590,Elig_MatchAll_Ct&lt;22,$BC1590=(Elig_MatchAll_Ct-1),AY1590=0),AA1590,0)</f>
        <v>0</v>
      </c>
      <c r="CG1590" s="993">
        <f>IF(AND(Input_Product=Elig!$C1590,Elig_MatchAll_Ct&lt;22,$BC1590=(Elig_MatchAll_Ct-1),AZ1590=0),AB1590,0)</f>
        <v>0</v>
      </c>
      <c r="CH1590" s="994">
        <f>IF(AND(Input_Product=Elig!$C1590,Elig_MatchAll_Ct&lt;22,$BC1590=(Elig_MatchAll_Ct-1),AZ1590=0),AC1590,0)</f>
        <v>0</v>
      </c>
      <c r="CI1590" s="993">
        <f>IF(AND(Input_Product=Elig!$C1590,Elig_MatchAll_Ct&lt;22,$BC1590=(Elig_MatchAll_Ct-1),BA1590=0),AD1590,0)</f>
        <v>0</v>
      </c>
      <c r="CJ1590" s="994">
        <f>IF(AND(Input_Product=Elig!$C1590,Elig_MatchAll_Ct&lt;22,$BC1590=(Elig_MatchAll_Ct-1),BA1590=0),AE1590,0)</f>
        <v>0</v>
      </c>
    </row>
    <row r="1591" spans="2:88" ht="10.15" customHeight="1" x14ac:dyDescent="0.25">
      <c r="B1591" s="997" t="s">
        <v>3642</v>
      </c>
      <c r="C1591" s="1026" t="str">
        <f t="shared" si="533"/>
        <v>HELOC OO</v>
      </c>
      <c r="D1591" s="1027" t="s">
        <v>1984</v>
      </c>
      <c r="E1591" s="1027" t="s">
        <v>4</v>
      </c>
      <c r="F1591" s="1027" t="s">
        <v>328</v>
      </c>
      <c r="G1591" s="1028" t="s">
        <v>175</v>
      </c>
      <c r="H1591" s="1028" t="s">
        <v>446</v>
      </c>
      <c r="I1591" s="1027" t="s">
        <v>1332</v>
      </c>
      <c r="J1591" s="1027" t="s">
        <v>3544</v>
      </c>
      <c r="K1591" s="1028" t="s">
        <v>1791</v>
      </c>
      <c r="L1591" s="1027" t="s">
        <v>430</v>
      </c>
      <c r="M1591" s="1027" t="s">
        <v>2677</v>
      </c>
      <c r="N1591" s="1028" t="s">
        <v>82</v>
      </c>
      <c r="O1591" s="1027" t="s">
        <v>310</v>
      </c>
      <c r="P1591" s="1027" t="s">
        <v>291</v>
      </c>
      <c r="Q1591" s="1027" t="s">
        <v>294</v>
      </c>
      <c r="R1591" s="1027">
        <v>250000.01</v>
      </c>
      <c r="S1591" s="1027">
        <v>350000</v>
      </c>
      <c r="T1591" s="1027">
        <v>0</v>
      </c>
      <c r="U1591" s="1027">
        <v>350000</v>
      </c>
      <c r="V1591" s="1027">
        <v>0</v>
      </c>
      <c r="W1591" s="1027">
        <v>50</v>
      </c>
      <c r="X1591" s="1027">
        <v>0</v>
      </c>
      <c r="Y1591" s="1027">
        <v>999</v>
      </c>
      <c r="Z1591" s="1029">
        <v>680</v>
      </c>
      <c r="AA1591" s="1029">
        <v>699</v>
      </c>
      <c r="AB1591" s="1029">
        <v>0</v>
      </c>
      <c r="AC1591" s="1029">
        <v>999999</v>
      </c>
      <c r="AD1591" s="1027">
        <v>0</v>
      </c>
      <c r="AE1591" s="1030">
        <v>0</v>
      </c>
      <c r="AF1591" s="170">
        <v>0</v>
      </c>
      <c r="AG1591" s="171">
        <v>0</v>
      </c>
      <c r="AH1591" s="171">
        <v>0</v>
      </c>
      <c r="AI1591" s="171">
        <v>1</v>
      </c>
      <c r="AJ1591" s="171">
        <v>0</v>
      </c>
      <c r="AK1591" s="171">
        <v>0</v>
      </c>
      <c r="AL1591" s="171">
        <v>1</v>
      </c>
      <c r="AM1591" s="171">
        <v>1</v>
      </c>
      <c r="AN1591" s="171">
        <v>1</v>
      </c>
      <c r="AO1591" s="171">
        <v>1</v>
      </c>
      <c r="AP1591" s="171">
        <v>1</v>
      </c>
      <c r="AQ1591" s="171">
        <v>1</v>
      </c>
      <c r="AR1591" s="171">
        <v>1</v>
      </c>
      <c r="AS1591" s="171">
        <v>1</v>
      </c>
      <c r="AT1591" s="171">
        <v>1</v>
      </c>
      <c r="AU1591" s="171">
        <f t="shared" si="527"/>
        <v>0</v>
      </c>
      <c r="AV1591" s="171">
        <f t="shared" si="528"/>
        <v>1</v>
      </c>
      <c r="AW1591" s="171">
        <f t="shared" si="529"/>
        <v>1</v>
      </c>
      <c r="AX1591" s="171">
        <f t="shared" si="525"/>
        <v>1</v>
      </c>
      <c r="AY1591" s="171">
        <f t="shared" si="530"/>
        <v>0</v>
      </c>
      <c r="AZ1591" s="171">
        <f t="shared" si="531"/>
        <v>1</v>
      </c>
      <c r="BA1591" s="172">
        <f t="shared" si="532"/>
        <v>0</v>
      </c>
      <c r="BB1591" s="175">
        <f t="shared" si="534"/>
        <v>14</v>
      </c>
      <c r="BC1591" s="176">
        <f t="shared" si="535"/>
        <v>14</v>
      </c>
      <c r="BD1591" s="176">
        <f t="shared" si="536"/>
        <v>14</v>
      </c>
      <c r="BE1591" s="240" t="str">
        <f t="shared" si="526"/>
        <v/>
      </c>
      <c r="BF1591" s="990"/>
      <c r="BG1591" s="990"/>
      <c r="BH1591" s="991">
        <f>IF(AND(Input_Product=Elig!$C1591,Elig_MatchAll_Ct&lt;22,$BC1591=(Elig_MatchAll_Ct-1),AF1591=0),C1591,0)</f>
        <v>0</v>
      </c>
      <c r="BI1591" s="991">
        <f>IF(AND(Input_Product=Elig!$C1591,Elig_MatchAll_Ct&lt;22,$BC1591=(Elig_MatchAll_Ct-1),AG1591=0),D1591,0)</f>
        <v>0</v>
      </c>
      <c r="BJ1591" s="991">
        <f>IF(AND(Input_Product=Elig!$C1591,Elig_MatchAll_Ct&lt;22,$BC1591=(Elig_MatchAll_Ct-1),AH1591=0),E1591,0)</f>
        <v>0</v>
      </c>
      <c r="BK1591" s="991">
        <f>IF(AND(Input_Product=Elig!$C1591,Elig_MatchAll_Ct&lt;22,$BC1591=(Elig_MatchAll_Ct-1),AI1591=0),F1591,0)</f>
        <v>0</v>
      </c>
      <c r="BL1591" s="991">
        <f>IF(AND(Input_Product=Elig!$C1591,Elig_MatchAll_Ct&lt;22,$BC1591=(Elig_MatchAll_Ct-1),AJ1591=0),G1591,0)</f>
        <v>0</v>
      </c>
      <c r="BM1591" s="991">
        <f>IF(AND(Input_Product=Elig!$C1591,Elig_MatchAll_Ct&lt;22,$BC1591=(Elig_MatchAll_Ct-1),AK1591=0),H1591,0)</f>
        <v>0</v>
      </c>
      <c r="BN1591" s="991">
        <f>IF(AND(Input_Product=Elig!$C1591,Elig_MatchAll_Ct&lt;22,$BC1591=(Elig_MatchAll_Ct-1),AL1591=0),I1591,0)</f>
        <v>0</v>
      </c>
      <c r="BO1591" s="991">
        <f>IF(AND(Input_Product=Elig!$C1591,Elig_MatchAll_Ct&lt;22,$BC1591=(Elig_MatchAll_Ct-1),AM1591=0),J1591,0)</f>
        <v>0</v>
      </c>
      <c r="BP1591" s="991">
        <f>IF(AND(Input_Product=Elig!$C1591,Elig_MatchAll_Ct&lt;22,$BC1591=(Elig_MatchAll_Ct-1),AN1591=0),K1591,0)</f>
        <v>0</v>
      </c>
      <c r="BQ1591" s="991">
        <f>IF(AND(Input_Product=Elig!$C1591,Elig_MatchAll_Ct&lt;22,$BC1591=(Elig_MatchAll_Ct-1),AP1591=0),L1591,0)</f>
        <v>0</v>
      </c>
      <c r="BR1591" s="991">
        <f>IF(AND(Input_Product=Elig!$C1591,Elig_MatchAll_Ct&lt;22,$BC1591=(Elig_MatchAll_Ct-1),AO1591=0),M1591,0)</f>
        <v>0</v>
      </c>
      <c r="BS1591" s="991">
        <f>IF(AND(Input_Product=Elig!$C1591,Elig_MatchAll_Ct&lt;22,$BC1591=(Elig_MatchAll_Ct-1),AQ1591=0),N1591,0)</f>
        <v>0</v>
      </c>
      <c r="BT1591" s="991">
        <f>IF(AND(Input_Product=Elig!$C1591,Elig_MatchAll_Ct&lt;22,$BC1591=(Elig_MatchAll_Ct-1),AR1591=0),O1591,0)</f>
        <v>0</v>
      </c>
      <c r="BU1591" s="991">
        <f>IF(AND(Input_Product=Elig!$C1591,Elig_MatchAll_Ct&lt;22,$BC1591=(Elig_MatchAll_Ct-1),AS1591=0),P1591,0)</f>
        <v>0</v>
      </c>
      <c r="BV1591" s="992">
        <f>IF(AND(Input_Product=Elig!$C1591,Elig_MatchAll_Ct&lt;22,$BC1591=(Elig_MatchAll_Ct-1),AT1591=0),Q1591,0)</f>
        <v>0</v>
      </c>
      <c r="BW1591" s="993">
        <f>IF(AND(Input_Product=Elig!$C1591,Elig_MatchAll_Ct&lt;22,$BC1591=(Elig_MatchAll_Ct-1),AU1591=0),R1591,0)</f>
        <v>0</v>
      </c>
      <c r="BX1591" s="994">
        <f>IF(AND(Input_Product=Elig!$C1591,Elig_MatchAll_Ct&lt;22,$BC1591=(Elig_MatchAll_Ct-1),AU1591=0),S1591,0)</f>
        <v>0</v>
      </c>
      <c r="BY1591" s="993">
        <f>IF(AND(Input_Product=Elig!$C1591,Elig_MatchAll_Ct&lt;22,$BC1591=(Elig_MatchAll_Ct-1),AV1591=0),T1591,0)</f>
        <v>0</v>
      </c>
      <c r="BZ1591" s="994">
        <f>IF(AND(Input_Product=Elig!$C1591,Elig_MatchAll_Ct&lt;22,$BC1591=(Elig_MatchAll_Ct-1),AV1591=0),U1591,0)</f>
        <v>0</v>
      </c>
      <c r="CA1591" s="993">
        <f>IF(AND(Input_Product=Elig!$C1591,Elig_MatchAll_Ct&lt;22,$BC1591=(Elig_MatchAll_Ct-1),AW1591=0),V1591,0)</f>
        <v>0</v>
      </c>
      <c r="CB1591" s="994">
        <f>IF(AND(Input_Product=Elig!$C1591,Elig_MatchAll_Ct&lt;22,$BC1591=(Elig_MatchAll_Ct-1),AW1591=0),W1591,0)</f>
        <v>0</v>
      </c>
      <c r="CC1591" s="993">
        <f>IF(AND(Input_Product=Elig!$C1591,Elig_MatchAll_Ct&lt;22,$BC1591=(Elig_MatchAll_Ct-1),AX1591=0),X1591,0)</f>
        <v>0</v>
      </c>
      <c r="CD1591" s="994">
        <f>IF(AND(Input_Product=Elig!$C1591,Elig_MatchAll_Ct&lt;22,$BC1591=(Elig_MatchAll_Ct-1),AX1591=0),Y1591,0)</f>
        <v>0</v>
      </c>
      <c r="CE1591" s="993">
        <f>IF(AND(Input_LTV&lt;=AE1591,Input_Product=Elig!$C1591,Elig_MatchAll_Ct&lt;22,$BC1591=(Elig_MatchAll_Ct-1),AY1591=0),Z1591,0)</f>
        <v>0</v>
      </c>
      <c r="CF1591" s="994">
        <f>IF(AND(Input_LTV&lt;=AE1591,Input_Product=Elig!$C1591,Elig_MatchAll_Ct&lt;22,$BC1591=(Elig_MatchAll_Ct-1),AY1591=0),AA1591,0)</f>
        <v>0</v>
      </c>
      <c r="CG1591" s="993">
        <f>IF(AND(Input_Product=Elig!$C1591,Elig_MatchAll_Ct&lt;22,$BC1591=(Elig_MatchAll_Ct-1),AZ1591=0),AB1591,0)</f>
        <v>0</v>
      </c>
      <c r="CH1591" s="994">
        <f>IF(AND(Input_Product=Elig!$C1591,Elig_MatchAll_Ct&lt;22,$BC1591=(Elig_MatchAll_Ct-1),AZ1591=0),AC1591,0)</f>
        <v>0</v>
      </c>
      <c r="CI1591" s="993">
        <f>IF(AND(Input_Product=Elig!$C1591,Elig_MatchAll_Ct&lt;22,$BC1591=(Elig_MatchAll_Ct-1),BA1591=0),AD1591,0)</f>
        <v>0</v>
      </c>
      <c r="CJ1591" s="994">
        <f>IF(AND(Input_Product=Elig!$C1591,Elig_MatchAll_Ct&lt;22,$BC1591=(Elig_MatchAll_Ct-1),BA1591=0),AE1591,0)</f>
        <v>0</v>
      </c>
    </row>
    <row r="1592" spans="2:88" ht="10.15" customHeight="1" x14ac:dyDescent="0.25">
      <c r="B1592" s="997" t="s">
        <v>3643</v>
      </c>
      <c r="C1592" s="999" t="str">
        <f t="shared" si="533"/>
        <v>HELOC OO</v>
      </c>
      <c r="D1592" s="1000" t="s">
        <v>1984</v>
      </c>
      <c r="E1592" s="1000" t="s">
        <v>4</v>
      </c>
      <c r="F1592" s="1000" t="s">
        <v>328</v>
      </c>
      <c r="G1592" s="1000" t="s">
        <v>303</v>
      </c>
      <c r="H1592" s="1000" t="s">
        <v>136</v>
      </c>
      <c r="I1592" s="1001" t="s">
        <v>1332</v>
      </c>
      <c r="J1592" s="1001" t="s">
        <v>3544</v>
      </c>
      <c r="K1592" s="1000" t="s">
        <v>1791</v>
      </c>
      <c r="L1592" s="1001" t="s">
        <v>430</v>
      </c>
      <c r="M1592" s="1001" t="s">
        <v>2677</v>
      </c>
      <c r="N1592" s="1000" t="s">
        <v>82</v>
      </c>
      <c r="O1592" s="1001" t="s">
        <v>310</v>
      </c>
      <c r="P1592" s="1001" t="s">
        <v>291</v>
      </c>
      <c r="Q1592" s="1001" t="s">
        <v>294</v>
      </c>
      <c r="R1592" s="1001">
        <v>350000.01</v>
      </c>
      <c r="S1592" s="1001">
        <v>500000</v>
      </c>
      <c r="T1592" s="1001">
        <v>0</v>
      </c>
      <c r="U1592" s="1001">
        <v>500000</v>
      </c>
      <c r="V1592" s="1001">
        <v>0</v>
      </c>
      <c r="W1592" s="1001">
        <v>50</v>
      </c>
      <c r="X1592" s="1001">
        <v>0</v>
      </c>
      <c r="Y1592" s="1001">
        <v>999</v>
      </c>
      <c r="Z1592" s="1002">
        <v>720</v>
      </c>
      <c r="AA1592" s="1002">
        <v>999</v>
      </c>
      <c r="AB1592" s="1002">
        <v>0</v>
      </c>
      <c r="AC1592" s="1002">
        <v>999999</v>
      </c>
      <c r="AD1592" s="1001">
        <v>0</v>
      </c>
      <c r="AE1592" s="1001">
        <v>75</v>
      </c>
      <c r="AF1592" s="170">
        <v>0</v>
      </c>
      <c r="AG1592" s="171">
        <v>0</v>
      </c>
      <c r="AH1592" s="171">
        <v>0</v>
      </c>
      <c r="AI1592" s="171">
        <v>1</v>
      </c>
      <c r="AJ1592" s="171">
        <v>1</v>
      </c>
      <c r="AK1592" s="171">
        <v>1</v>
      </c>
      <c r="AL1592" s="171">
        <v>1</v>
      </c>
      <c r="AM1592" s="171">
        <v>1</v>
      </c>
      <c r="AN1592" s="171">
        <v>1</v>
      </c>
      <c r="AO1592" s="171">
        <v>1</v>
      </c>
      <c r="AP1592" s="171">
        <v>1</v>
      </c>
      <c r="AQ1592" s="171">
        <v>1</v>
      </c>
      <c r="AR1592" s="171">
        <v>1</v>
      </c>
      <c r="AS1592" s="171">
        <v>1</v>
      </c>
      <c r="AT1592" s="171">
        <v>1</v>
      </c>
      <c r="AU1592" s="171">
        <f t="shared" si="527"/>
        <v>0</v>
      </c>
      <c r="AV1592" s="171">
        <f t="shared" si="528"/>
        <v>1</v>
      </c>
      <c r="AW1592" s="171">
        <f t="shared" si="529"/>
        <v>1</v>
      </c>
      <c r="AX1592" s="171">
        <f t="shared" si="525"/>
        <v>1</v>
      </c>
      <c r="AY1592" s="171">
        <f t="shared" si="530"/>
        <v>1</v>
      </c>
      <c r="AZ1592" s="171">
        <f t="shared" si="531"/>
        <v>1</v>
      </c>
      <c r="BA1592" s="172">
        <f t="shared" si="532"/>
        <v>1</v>
      </c>
      <c r="BB1592" s="175">
        <f t="shared" si="534"/>
        <v>18</v>
      </c>
      <c r="BC1592" s="176">
        <f t="shared" si="535"/>
        <v>17</v>
      </c>
      <c r="BD1592" s="176">
        <f t="shared" si="536"/>
        <v>18</v>
      </c>
      <c r="BE1592" s="240" t="str">
        <f t="shared" si="526"/>
        <v/>
      </c>
      <c r="BF1592" s="989"/>
      <c r="BG1592" s="989"/>
      <c r="BH1592" s="991">
        <f>IF(AND(Input_Product=Elig!$C1592,Elig_MatchAll_Ct&lt;22,$BC1592=(Elig_MatchAll_Ct-1),AF1592=0),C1592,0)</f>
        <v>0</v>
      </c>
      <c r="BI1592" s="991">
        <f>IF(AND(Input_Product=Elig!$C1592,Elig_MatchAll_Ct&lt;22,$BC1592=(Elig_MatchAll_Ct-1),AG1592=0),D1592,0)</f>
        <v>0</v>
      </c>
      <c r="BJ1592" s="991">
        <f>IF(AND(Input_Product=Elig!$C1592,Elig_MatchAll_Ct&lt;22,$BC1592=(Elig_MatchAll_Ct-1),AH1592=0),E1592,0)</f>
        <v>0</v>
      </c>
      <c r="BK1592" s="991">
        <f>IF(AND(Input_Product=Elig!$C1592,Elig_MatchAll_Ct&lt;22,$BC1592=(Elig_MatchAll_Ct-1),AI1592=0),F1592,0)</f>
        <v>0</v>
      </c>
      <c r="BL1592" s="991">
        <f>IF(AND(Input_Product=Elig!$C1592,Elig_MatchAll_Ct&lt;22,$BC1592=(Elig_MatchAll_Ct-1),AJ1592=0),G1592,0)</f>
        <v>0</v>
      </c>
      <c r="BM1592" s="991">
        <f>IF(AND(Input_Product=Elig!$C1592,Elig_MatchAll_Ct&lt;22,$BC1592=(Elig_MatchAll_Ct-1),AK1592=0),H1592,0)</f>
        <v>0</v>
      </c>
      <c r="BN1592" s="991">
        <f>IF(AND(Input_Product=Elig!$C1592,Elig_MatchAll_Ct&lt;22,$BC1592=(Elig_MatchAll_Ct-1),AL1592=0),I1592,0)</f>
        <v>0</v>
      </c>
      <c r="BO1592" s="991">
        <f>IF(AND(Input_Product=Elig!$C1592,Elig_MatchAll_Ct&lt;22,$BC1592=(Elig_MatchAll_Ct-1),AM1592=0),J1592,0)</f>
        <v>0</v>
      </c>
      <c r="BP1592" s="991">
        <f>IF(AND(Input_Product=Elig!$C1592,Elig_MatchAll_Ct&lt;22,$BC1592=(Elig_MatchAll_Ct-1),AN1592=0),K1592,0)</f>
        <v>0</v>
      </c>
      <c r="BQ1592" s="991">
        <f>IF(AND(Input_Product=Elig!$C1592,Elig_MatchAll_Ct&lt;22,$BC1592=(Elig_MatchAll_Ct-1),AP1592=0),L1592,0)</f>
        <v>0</v>
      </c>
      <c r="BR1592" s="991">
        <f>IF(AND(Input_Product=Elig!$C1592,Elig_MatchAll_Ct&lt;22,$BC1592=(Elig_MatchAll_Ct-1),AO1592=0),M1592,0)</f>
        <v>0</v>
      </c>
      <c r="BS1592" s="991">
        <f>IF(AND(Input_Product=Elig!$C1592,Elig_MatchAll_Ct&lt;22,$BC1592=(Elig_MatchAll_Ct-1),AQ1592=0),N1592,0)</f>
        <v>0</v>
      </c>
      <c r="BT1592" s="991">
        <f>IF(AND(Input_Product=Elig!$C1592,Elig_MatchAll_Ct&lt;22,$BC1592=(Elig_MatchAll_Ct-1),AR1592=0),O1592,0)</f>
        <v>0</v>
      </c>
      <c r="BU1592" s="991">
        <f>IF(AND(Input_Product=Elig!$C1592,Elig_MatchAll_Ct&lt;22,$BC1592=(Elig_MatchAll_Ct-1),AS1592=0),P1592,0)</f>
        <v>0</v>
      </c>
      <c r="BV1592" s="992">
        <f>IF(AND(Input_Product=Elig!$C1592,Elig_MatchAll_Ct&lt;22,$BC1592=(Elig_MatchAll_Ct-1),AT1592=0),Q1592,0)</f>
        <v>0</v>
      </c>
      <c r="BW1592" s="993">
        <f>IF(AND(Input_Product=Elig!$C1592,Elig_MatchAll_Ct&lt;22,$BC1592=(Elig_MatchAll_Ct-1),AU1592=0),R1592,0)</f>
        <v>0</v>
      </c>
      <c r="BX1592" s="994">
        <f>IF(AND(Input_Product=Elig!$C1592,Elig_MatchAll_Ct&lt;22,$BC1592=(Elig_MatchAll_Ct-1),AU1592=0),S1592,0)</f>
        <v>0</v>
      </c>
      <c r="BY1592" s="993">
        <f>IF(AND(Input_Product=Elig!$C1592,Elig_MatchAll_Ct&lt;22,$BC1592=(Elig_MatchAll_Ct-1),AV1592=0),T1592,0)</f>
        <v>0</v>
      </c>
      <c r="BZ1592" s="994">
        <f>IF(AND(Input_Product=Elig!$C1592,Elig_MatchAll_Ct&lt;22,$BC1592=(Elig_MatchAll_Ct-1),AV1592=0),U1592,0)</f>
        <v>0</v>
      </c>
      <c r="CA1592" s="993">
        <f>IF(AND(Input_Product=Elig!$C1592,Elig_MatchAll_Ct&lt;22,$BC1592=(Elig_MatchAll_Ct-1),AW1592=0),V1592,0)</f>
        <v>0</v>
      </c>
      <c r="CB1592" s="994">
        <f>IF(AND(Input_Product=Elig!$C1592,Elig_MatchAll_Ct&lt;22,$BC1592=(Elig_MatchAll_Ct-1),AW1592=0),W1592,0)</f>
        <v>0</v>
      </c>
      <c r="CC1592" s="993">
        <f>IF(AND(Input_Product=Elig!$C1592,Elig_MatchAll_Ct&lt;22,$BC1592=(Elig_MatchAll_Ct-1),AX1592=0),X1592,0)</f>
        <v>0</v>
      </c>
      <c r="CD1592" s="994">
        <f>IF(AND(Input_Product=Elig!$C1592,Elig_MatchAll_Ct&lt;22,$BC1592=(Elig_MatchAll_Ct-1),AX1592=0),Y1592,0)</f>
        <v>0</v>
      </c>
      <c r="CE1592" s="993">
        <f>IF(AND(Input_LTV&lt;=AE1592,Input_Product=Elig!$C1592,Elig_MatchAll_Ct&lt;22,$BC1592=(Elig_MatchAll_Ct-1),AY1592=0),Z1592,0)</f>
        <v>0</v>
      </c>
      <c r="CF1592" s="994">
        <f>IF(AND(Input_LTV&lt;=AE1592,Input_Product=Elig!$C1592,Elig_MatchAll_Ct&lt;22,$BC1592=(Elig_MatchAll_Ct-1),AY1592=0),AA1592,0)</f>
        <v>0</v>
      </c>
      <c r="CG1592" s="993">
        <f>IF(AND(Input_Product=Elig!$C1592,Elig_MatchAll_Ct&lt;22,$BC1592=(Elig_MatchAll_Ct-1),AZ1592=0),AB1592,0)</f>
        <v>0</v>
      </c>
      <c r="CH1592" s="994">
        <f>IF(AND(Input_Product=Elig!$C1592,Elig_MatchAll_Ct&lt;22,$BC1592=(Elig_MatchAll_Ct-1),AZ1592=0),AC1592,0)</f>
        <v>0</v>
      </c>
      <c r="CI1592" s="993">
        <f>IF(AND(Input_Product=Elig!$C1592,Elig_MatchAll_Ct&lt;22,$BC1592=(Elig_MatchAll_Ct-1),BA1592=0),AD1592,0)</f>
        <v>0</v>
      </c>
      <c r="CJ1592" s="994">
        <f>IF(AND(Input_Product=Elig!$C1592,Elig_MatchAll_Ct&lt;22,$BC1592=(Elig_MatchAll_Ct-1),BA1592=0),AE1592,0)</f>
        <v>0</v>
      </c>
    </row>
    <row r="1593" spans="2:88" ht="10.15" customHeight="1" x14ac:dyDescent="0.25">
      <c r="B1593" s="997" t="s">
        <v>3644</v>
      </c>
      <c r="C1593" s="995" t="str">
        <f t="shared" si="533"/>
        <v>HELOC OO</v>
      </c>
      <c r="D1593" s="997" t="s">
        <v>1984</v>
      </c>
      <c r="E1593" s="997" t="s">
        <v>4</v>
      </c>
      <c r="F1593" s="997" t="s">
        <v>328</v>
      </c>
      <c r="G1593" s="996" t="s">
        <v>303</v>
      </c>
      <c r="H1593" s="996" t="s">
        <v>136</v>
      </c>
      <c r="I1593" s="997" t="s">
        <v>1332</v>
      </c>
      <c r="J1593" s="997" t="s">
        <v>3544</v>
      </c>
      <c r="K1593" s="996" t="s">
        <v>1791</v>
      </c>
      <c r="L1593" s="997" t="s">
        <v>430</v>
      </c>
      <c r="M1593" s="997" t="s">
        <v>2677</v>
      </c>
      <c r="N1593" s="996" t="s">
        <v>82</v>
      </c>
      <c r="O1593" s="997" t="s">
        <v>310</v>
      </c>
      <c r="P1593" s="997" t="s">
        <v>291</v>
      </c>
      <c r="Q1593" s="997" t="s">
        <v>294</v>
      </c>
      <c r="R1593" s="997">
        <v>350000.01</v>
      </c>
      <c r="S1593" s="997">
        <v>500000</v>
      </c>
      <c r="T1593" s="997">
        <v>0</v>
      </c>
      <c r="U1593" s="997">
        <v>500000</v>
      </c>
      <c r="V1593" s="997">
        <v>0</v>
      </c>
      <c r="W1593" s="997">
        <v>50</v>
      </c>
      <c r="X1593" s="997">
        <v>0</v>
      </c>
      <c r="Y1593" s="997">
        <v>999</v>
      </c>
      <c r="Z1593" s="998">
        <v>700</v>
      </c>
      <c r="AA1593" s="998">
        <v>719</v>
      </c>
      <c r="AB1593" s="998">
        <v>0</v>
      </c>
      <c r="AC1593" s="998">
        <v>999999</v>
      </c>
      <c r="AD1593" s="997">
        <v>0</v>
      </c>
      <c r="AE1593" s="997">
        <v>75</v>
      </c>
      <c r="AF1593" s="170">
        <v>0</v>
      </c>
      <c r="AG1593" s="171">
        <v>0</v>
      </c>
      <c r="AH1593" s="171">
        <v>0</v>
      </c>
      <c r="AI1593" s="171">
        <v>1</v>
      </c>
      <c r="AJ1593" s="171">
        <v>1</v>
      </c>
      <c r="AK1593" s="171">
        <v>1</v>
      </c>
      <c r="AL1593" s="171">
        <v>1</v>
      </c>
      <c r="AM1593" s="171">
        <v>1</v>
      </c>
      <c r="AN1593" s="171">
        <v>1</v>
      </c>
      <c r="AO1593" s="171">
        <v>1</v>
      </c>
      <c r="AP1593" s="171">
        <v>1</v>
      </c>
      <c r="AQ1593" s="171">
        <v>1</v>
      </c>
      <c r="AR1593" s="171">
        <v>1</v>
      </c>
      <c r="AS1593" s="171">
        <v>1</v>
      </c>
      <c r="AT1593" s="171">
        <v>1</v>
      </c>
      <c r="AU1593" s="171">
        <f t="shared" si="527"/>
        <v>0</v>
      </c>
      <c r="AV1593" s="171">
        <f t="shared" si="528"/>
        <v>1</v>
      </c>
      <c r="AW1593" s="171">
        <f t="shared" si="529"/>
        <v>1</v>
      </c>
      <c r="AX1593" s="171">
        <f t="shared" si="525"/>
        <v>1</v>
      </c>
      <c r="AY1593" s="171">
        <f t="shared" si="530"/>
        <v>0</v>
      </c>
      <c r="AZ1593" s="171">
        <f t="shared" si="531"/>
        <v>1</v>
      </c>
      <c r="BA1593" s="172">
        <f t="shared" si="532"/>
        <v>1</v>
      </c>
      <c r="BB1593" s="175">
        <f t="shared" si="534"/>
        <v>17</v>
      </c>
      <c r="BC1593" s="176">
        <f t="shared" si="535"/>
        <v>16</v>
      </c>
      <c r="BD1593" s="176">
        <f t="shared" si="536"/>
        <v>17</v>
      </c>
      <c r="BE1593" s="240" t="str">
        <f t="shared" si="526"/>
        <v/>
      </c>
      <c r="BF1593" s="990"/>
      <c r="BG1593" s="990"/>
      <c r="BH1593" s="991">
        <f>IF(AND(Input_Product=Elig!$C1593,Elig_MatchAll_Ct&lt;22,$BC1593=(Elig_MatchAll_Ct-1),AF1593=0),C1593,0)</f>
        <v>0</v>
      </c>
      <c r="BI1593" s="991">
        <f>IF(AND(Input_Product=Elig!$C1593,Elig_MatchAll_Ct&lt;22,$BC1593=(Elig_MatchAll_Ct-1),AG1593=0),D1593,0)</f>
        <v>0</v>
      </c>
      <c r="BJ1593" s="991">
        <f>IF(AND(Input_Product=Elig!$C1593,Elig_MatchAll_Ct&lt;22,$BC1593=(Elig_MatchAll_Ct-1),AH1593=0),E1593,0)</f>
        <v>0</v>
      </c>
      <c r="BK1593" s="991">
        <f>IF(AND(Input_Product=Elig!$C1593,Elig_MatchAll_Ct&lt;22,$BC1593=(Elig_MatchAll_Ct-1),AI1593=0),F1593,0)</f>
        <v>0</v>
      </c>
      <c r="BL1593" s="991">
        <f>IF(AND(Input_Product=Elig!$C1593,Elig_MatchAll_Ct&lt;22,$BC1593=(Elig_MatchAll_Ct-1),AJ1593=0),G1593,0)</f>
        <v>0</v>
      </c>
      <c r="BM1593" s="991">
        <f>IF(AND(Input_Product=Elig!$C1593,Elig_MatchAll_Ct&lt;22,$BC1593=(Elig_MatchAll_Ct-1),AK1593=0),H1593,0)</f>
        <v>0</v>
      </c>
      <c r="BN1593" s="991">
        <f>IF(AND(Input_Product=Elig!$C1593,Elig_MatchAll_Ct&lt;22,$BC1593=(Elig_MatchAll_Ct-1),AL1593=0),I1593,0)</f>
        <v>0</v>
      </c>
      <c r="BO1593" s="991">
        <f>IF(AND(Input_Product=Elig!$C1593,Elig_MatchAll_Ct&lt;22,$BC1593=(Elig_MatchAll_Ct-1),AM1593=0),J1593,0)</f>
        <v>0</v>
      </c>
      <c r="BP1593" s="991">
        <f>IF(AND(Input_Product=Elig!$C1593,Elig_MatchAll_Ct&lt;22,$BC1593=(Elig_MatchAll_Ct-1),AN1593=0),K1593,0)</f>
        <v>0</v>
      </c>
      <c r="BQ1593" s="991">
        <f>IF(AND(Input_Product=Elig!$C1593,Elig_MatchAll_Ct&lt;22,$BC1593=(Elig_MatchAll_Ct-1),AP1593=0),L1593,0)</f>
        <v>0</v>
      </c>
      <c r="BR1593" s="991">
        <f>IF(AND(Input_Product=Elig!$C1593,Elig_MatchAll_Ct&lt;22,$BC1593=(Elig_MatchAll_Ct-1),AO1593=0),M1593,0)</f>
        <v>0</v>
      </c>
      <c r="BS1593" s="991">
        <f>IF(AND(Input_Product=Elig!$C1593,Elig_MatchAll_Ct&lt;22,$BC1593=(Elig_MatchAll_Ct-1),AQ1593=0),N1593,0)</f>
        <v>0</v>
      </c>
      <c r="BT1593" s="991">
        <f>IF(AND(Input_Product=Elig!$C1593,Elig_MatchAll_Ct&lt;22,$BC1593=(Elig_MatchAll_Ct-1),AR1593=0),O1593,0)</f>
        <v>0</v>
      </c>
      <c r="BU1593" s="991">
        <f>IF(AND(Input_Product=Elig!$C1593,Elig_MatchAll_Ct&lt;22,$BC1593=(Elig_MatchAll_Ct-1),AS1593=0),P1593,0)</f>
        <v>0</v>
      </c>
      <c r="BV1593" s="992">
        <f>IF(AND(Input_Product=Elig!$C1593,Elig_MatchAll_Ct&lt;22,$BC1593=(Elig_MatchAll_Ct-1),AT1593=0),Q1593,0)</f>
        <v>0</v>
      </c>
      <c r="BW1593" s="993">
        <f>IF(AND(Input_Product=Elig!$C1593,Elig_MatchAll_Ct&lt;22,$BC1593=(Elig_MatchAll_Ct-1),AU1593=0),R1593,0)</f>
        <v>0</v>
      </c>
      <c r="BX1593" s="994">
        <f>IF(AND(Input_Product=Elig!$C1593,Elig_MatchAll_Ct&lt;22,$BC1593=(Elig_MatchAll_Ct-1),AU1593=0),S1593,0)</f>
        <v>0</v>
      </c>
      <c r="BY1593" s="993">
        <f>IF(AND(Input_Product=Elig!$C1593,Elig_MatchAll_Ct&lt;22,$BC1593=(Elig_MatchAll_Ct-1),AV1593=0),T1593,0)</f>
        <v>0</v>
      </c>
      <c r="BZ1593" s="994">
        <f>IF(AND(Input_Product=Elig!$C1593,Elig_MatchAll_Ct&lt;22,$BC1593=(Elig_MatchAll_Ct-1),AV1593=0),U1593,0)</f>
        <v>0</v>
      </c>
      <c r="CA1593" s="993">
        <f>IF(AND(Input_Product=Elig!$C1593,Elig_MatchAll_Ct&lt;22,$BC1593=(Elig_MatchAll_Ct-1),AW1593=0),V1593,0)</f>
        <v>0</v>
      </c>
      <c r="CB1593" s="994">
        <f>IF(AND(Input_Product=Elig!$C1593,Elig_MatchAll_Ct&lt;22,$BC1593=(Elig_MatchAll_Ct-1),AW1593=0),W1593,0)</f>
        <v>0</v>
      </c>
      <c r="CC1593" s="993">
        <f>IF(AND(Input_Product=Elig!$C1593,Elig_MatchAll_Ct&lt;22,$BC1593=(Elig_MatchAll_Ct-1),AX1593=0),X1593,0)</f>
        <v>0</v>
      </c>
      <c r="CD1593" s="994">
        <f>IF(AND(Input_Product=Elig!$C1593,Elig_MatchAll_Ct&lt;22,$BC1593=(Elig_MatchAll_Ct-1),AX1593=0),Y1593,0)</f>
        <v>0</v>
      </c>
      <c r="CE1593" s="993">
        <f>IF(AND(Input_LTV&lt;=AE1593,Input_Product=Elig!$C1593,Elig_MatchAll_Ct&lt;22,$BC1593=(Elig_MatchAll_Ct-1),AY1593=0),Z1593,0)</f>
        <v>0</v>
      </c>
      <c r="CF1593" s="994">
        <f>IF(AND(Input_LTV&lt;=AE1593,Input_Product=Elig!$C1593,Elig_MatchAll_Ct&lt;22,$BC1593=(Elig_MatchAll_Ct-1),AY1593=0),AA1593,0)</f>
        <v>0</v>
      </c>
      <c r="CG1593" s="993">
        <f>IF(AND(Input_Product=Elig!$C1593,Elig_MatchAll_Ct&lt;22,$BC1593=(Elig_MatchAll_Ct-1),AZ1593=0),AB1593,0)</f>
        <v>0</v>
      </c>
      <c r="CH1593" s="994">
        <f>IF(AND(Input_Product=Elig!$C1593,Elig_MatchAll_Ct&lt;22,$BC1593=(Elig_MatchAll_Ct-1),AZ1593=0),AC1593,0)</f>
        <v>0</v>
      </c>
      <c r="CI1593" s="993">
        <f>IF(AND(Input_Product=Elig!$C1593,Elig_MatchAll_Ct&lt;22,$BC1593=(Elig_MatchAll_Ct-1),BA1593=0),AD1593,0)</f>
        <v>0</v>
      </c>
      <c r="CJ1593" s="994">
        <f>IF(AND(Input_Product=Elig!$C1593,Elig_MatchAll_Ct&lt;22,$BC1593=(Elig_MatchAll_Ct-1),BA1593=0),AE1593,0)</f>
        <v>0</v>
      </c>
    </row>
    <row r="1594" spans="2:88" ht="10.15" customHeight="1" x14ac:dyDescent="0.25">
      <c r="B1594" s="997" t="s">
        <v>3645</v>
      </c>
      <c r="C1594" s="1026" t="str">
        <f t="shared" si="533"/>
        <v>HELOC OO</v>
      </c>
      <c r="D1594" s="1027" t="s">
        <v>1984</v>
      </c>
      <c r="E1594" s="1027" t="s">
        <v>4</v>
      </c>
      <c r="F1594" s="1027" t="s">
        <v>328</v>
      </c>
      <c r="G1594" s="1028" t="s">
        <v>303</v>
      </c>
      <c r="H1594" s="1028" t="s">
        <v>136</v>
      </c>
      <c r="I1594" s="1027" t="s">
        <v>1332</v>
      </c>
      <c r="J1594" s="1027" t="s">
        <v>3544</v>
      </c>
      <c r="K1594" s="1028" t="s">
        <v>1791</v>
      </c>
      <c r="L1594" s="1027" t="s">
        <v>430</v>
      </c>
      <c r="M1594" s="1027" t="s">
        <v>2677</v>
      </c>
      <c r="N1594" s="1028" t="s">
        <v>82</v>
      </c>
      <c r="O1594" s="1027" t="s">
        <v>310</v>
      </c>
      <c r="P1594" s="1027" t="s">
        <v>291</v>
      </c>
      <c r="Q1594" s="1027" t="s">
        <v>294</v>
      </c>
      <c r="R1594" s="1027">
        <v>350000.01</v>
      </c>
      <c r="S1594" s="1027">
        <v>500000</v>
      </c>
      <c r="T1594" s="1027">
        <v>0</v>
      </c>
      <c r="U1594" s="1027">
        <v>500000</v>
      </c>
      <c r="V1594" s="1027">
        <v>0</v>
      </c>
      <c r="W1594" s="1027">
        <v>50</v>
      </c>
      <c r="X1594" s="1027">
        <v>0</v>
      </c>
      <c r="Y1594" s="1027">
        <v>999</v>
      </c>
      <c r="Z1594" s="1029">
        <v>680</v>
      </c>
      <c r="AA1594" s="1029">
        <v>699</v>
      </c>
      <c r="AB1594" s="1029">
        <v>0</v>
      </c>
      <c r="AC1594" s="1029">
        <v>999999</v>
      </c>
      <c r="AD1594" s="1027">
        <v>0</v>
      </c>
      <c r="AE1594" s="1030">
        <v>75</v>
      </c>
      <c r="AF1594" s="170">
        <v>0</v>
      </c>
      <c r="AG1594" s="171">
        <v>0</v>
      </c>
      <c r="AH1594" s="171">
        <v>0</v>
      </c>
      <c r="AI1594" s="171">
        <v>1</v>
      </c>
      <c r="AJ1594" s="171">
        <v>1</v>
      </c>
      <c r="AK1594" s="171">
        <v>1</v>
      </c>
      <c r="AL1594" s="171">
        <v>1</v>
      </c>
      <c r="AM1594" s="171">
        <v>1</v>
      </c>
      <c r="AN1594" s="171">
        <v>1</v>
      </c>
      <c r="AO1594" s="171">
        <v>1</v>
      </c>
      <c r="AP1594" s="171">
        <v>1</v>
      </c>
      <c r="AQ1594" s="171">
        <v>1</v>
      </c>
      <c r="AR1594" s="171">
        <v>1</v>
      </c>
      <c r="AS1594" s="171">
        <v>1</v>
      </c>
      <c r="AT1594" s="171">
        <v>1</v>
      </c>
      <c r="AU1594" s="171">
        <f t="shared" si="527"/>
        <v>0</v>
      </c>
      <c r="AV1594" s="171">
        <f t="shared" si="528"/>
        <v>1</v>
      </c>
      <c r="AW1594" s="171">
        <f t="shared" si="529"/>
        <v>1</v>
      </c>
      <c r="AX1594" s="171">
        <f t="shared" si="525"/>
        <v>1</v>
      </c>
      <c r="AY1594" s="171">
        <f t="shared" si="530"/>
        <v>0</v>
      </c>
      <c r="AZ1594" s="171">
        <f t="shared" si="531"/>
        <v>1</v>
      </c>
      <c r="BA1594" s="172">
        <f t="shared" si="532"/>
        <v>1</v>
      </c>
      <c r="BB1594" s="175">
        <f t="shared" si="534"/>
        <v>17</v>
      </c>
      <c r="BC1594" s="176">
        <f t="shared" si="535"/>
        <v>16</v>
      </c>
      <c r="BD1594" s="176">
        <f t="shared" si="536"/>
        <v>17</v>
      </c>
      <c r="BE1594" s="240" t="str">
        <f t="shared" si="526"/>
        <v/>
      </c>
      <c r="BF1594" s="990"/>
      <c r="BG1594" s="990"/>
      <c r="BH1594" s="991">
        <f>IF(AND(Input_Product=Elig!$C1594,Elig_MatchAll_Ct&lt;22,$BC1594=(Elig_MatchAll_Ct-1),AF1594=0),C1594,0)</f>
        <v>0</v>
      </c>
      <c r="BI1594" s="991">
        <f>IF(AND(Input_Product=Elig!$C1594,Elig_MatchAll_Ct&lt;22,$BC1594=(Elig_MatchAll_Ct-1),AG1594=0),D1594,0)</f>
        <v>0</v>
      </c>
      <c r="BJ1594" s="991">
        <f>IF(AND(Input_Product=Elig!$C1594,Elig_MatchAll_Ct&lt;22,$BC1594=(Elig_MatchAll_Ct-1),AH1594=0),E1594,0)</f>
        <v>0</v>
      </c>
      <c r="BK1594" s="991">
        <f>IF(AND(Input_Product=Elig!$C1594,Elig_MatchAll_Ct&lt;22,$BC1594=(Elig_MatchAll_Ct-1),AI1594=0),F1594,0)</f>
        <v>0</v>
      </c>
      <c r="BL1594" s="991">
        <f>IF(AND(Input_Product=Elig!$C1594,Elig_MatchAll_Ct&lt;22,$BC1594=(Elig_MatchAll_Ct-1),AJ1594=0),G1594,0)</f>
        <v>0</v>
      </c>
      <c r="BM1594" s="991">
        <f>IF(AND(Input_Product=Elig!$C1594,Elig_MatchAll_Ct&lt;22,$BC1594=(Elig_MatchAll_Ct-1),AK1594=0),H1594,0)</f>
        <v>0</v>
      </c>
      <c r="BN1594" s="991">
        <f>IF(AND(Input_Product=Elig!$C1594,Elig_MatchAll_Ct&lt;22,$BC1594=(Elig_MatchAll_Ct-1),AL1594=0),I1594,0)</f>
        <v>0</v>
      </c>
      <c r="BO1594" s="991">
        <f>IF(AND(Input_Product=Elig!$C1594,Elig_MatchAll_Ct&lt;22,$BC1594=(Elig_MatchAll_Ct-1),AM1594=0),J1594,0)</f>
        <v>0</v>
      </c>
      <c r="BP1594" s="991">
        <f>IF(AND(Input_Product=Elig!$C1594,Elig_MatchAll_Ct&lt;22,$BC1594=(Elig_MatchAll_Ct-1),AN1594=0),K1594,0)</f>
        <v>0</v>
      </c>
      <c r="BQ1594" s="991">
        <f>IF(AND(Input_Product=Elig!$C1594,Elig_MatchAll_Ct&lt;22,$BC1594=(Elig_MatchAll_Ct-1),AP1594=0),L1594,0)</f>
        <v>0</v>
      </c>
      <c r="BR1594" s="991">
        <f>IF(AND(Input_Product=Elig!$C1594,Elig_MatchAll_Ct&lt;22,$BC1594=(Elig_MatchAll_Ct-1),AO1594=0),M1594,0)</f>
        <v>0</v>
      </c>
      <c r="BS1594" s="991">
        <f>IF(AND(Input_Product=Elig!$C1594,Elig_MatchAll_Ct&lt;22,$BC1594=(Elig_MatchAll_Ct-1),AQ1594=0),N1594,0)</f>
        <v>0</v>
      </c>
      <c r="BT1594" s="991">
        <f>IF(AND(Input_Product=Elig!$C1594,Elig_MatchAll_Ct&lt;22,$BC1594=(Elig_MatchAll_Ct-1),AR1594=0),O1594,0)</f>
        <v>0</v>
      </c>
      <c r="BU1594" s="991">
        <f>IF(AND(Input_Product=Elig!$C1594,Elig_MatchAll_Ct&lt;22,$BC1594=(Elig_MatchAll_Ct-1),AS1594=0),P1594,0)</f>
        <v>0</v>
      </c>
      <c r="BV1594" s="992">
        <f>IF(AND(Input_Product=Elig!$C1594,Elig_MatchAll_Ct&lt;22,$BC1594=(Elig_MatchAll_Ct-1),AT1594=0),Q1594,0)</f>
        <v>0</v>
      </c>
      <c r="BW1594" s="993">
        <f>IF(AND(Input_Product=Elig!$C1594,Elig_MatchAll_Ct&lt;22,$BC1594=(Elig_MatchAll_Ct-1),AU1594=0),R1594,0)</f>
        <v>0</v>
      </c>
      <c r="BX1594" s="994">
        <f>IF(AND(Input_Product=Elig!$C1594,Elig_MatchAll_Ct&lt;22,$BC1594=(Elig_MatchAll_Ct-1),AU1594=0),S1594,0)</f>
        <v>0</v>
      </c>
      <c r="BY1594" s="993">
        <f>IF(AND(Input_Product=Elig!$C1594,Elig_MatchAll_Ct&lt;22,$BC1594=(Elig_MatchAll_Ct-1),AV1594=0),T1594,0)</f>
        <v>0</v>
      </c>
      <c r="BZ1594" s="994">
        <f>IF(AND(Input_Product=Elig!$C1594,Elig_MatchAll_Ct&lt;22,$BC1594=(Elig_MatchAll_Ct-1),AV1594=0),U1594,0)</f>
        <v>0</v>
      </c>
      <c r="CA1594" s="993">
        <f>IF(AND(Input_Product=Elig!$C1594,Elig_MatchAll_Ct&lt;22,$BC1594=(Elig_MatchAll_Ct-1),AW1594=0),V1594,0)</f>
        <v>0</v>
      </c>
      <c r="CB1594" s="994">
        <f>IF(AND(Input_Product=Elig!$C1594,Elig_MatchAll_Ct&lt;22,$BC1594=(Elig_MatchAll_Ct-1),AW1594=0),W1594,0)</f>
        <v>0</v>
      </c>
      <c r="CC1594" s="993">
        <f>IF(AND(Input_Product=Elig!$C1594,Elig_MatchAll_Ct&lt;22,$BC1594=(Elig_MatchAll_Ct-1),AX1594=0),X1594,0)</f>
        <v>0</v>
      </c>
      <c r="CD1594" s="994">
        <f>IF(AND(Input_Product=Elig!$C1594,Elig_MatchAll_Ct&lt;22,$BC1594=(Elig_MatchAll_Ct-1),AX1594=0),Y1594,0)</f>
        <v>0</v>
      </c>
      <c r="CE1594" s="993">
        <f>IF(AND(Input_LTV&lt;=AE1594,Input_Product=Elig!$C1594,Elig_MatchAll_Ct&lt;22,$BC1594=(Elig_MatchAll_Ct-1),AY1594=0),Z1594,0)</f>
        <v>0</v>
      </c>
      <c r="CF1594" s="994">
        <f>IF(AND(Input_LTV&lt;=AE1594,Input_Product=Elig!$C1594,Elig_MatchAll_Ct&lt;22,$BC1594=(Elig_MatchAll_Ct-1),AY1594=0),AA1594,0)</f>
        <v>0</v>
      </c>
      <c r="CG1594" s="993">
        <f>IF(AND(Input_Product=Elig!$C1594,Elig_MatchAll_Ct&lt;22,$BC1594=(Elig_MatchAll_Ct-1),AZ1594=0),AB1594,0)</f>
        <v>0</v>
      </c>
      <c r="CH1594" s="994">
        <f>IF(AND(Input_Product=Elig!$C1594,Elig_MatchAll_Ct&lt;22,$BC1594=(Elig_MatchAll_Ct-1),AZ1594=0),AC1594,0)</f>
        <v>0</v>
      </c>
      <c r="CI1594" s="993">
        <f>IF(AND(Input_Product=Elig!$C1594,Elig_MatchAll_Ct&lt;22,$BC1594=(Elig_MatchAll_Ct-1),BA1594=0),AD1594,0)</f>
        <v>0</v>
      </c>
      <c r="CJ1594" s="994">
        <f>IF(AND(Input_Product=Elig!$C1594,Elig_MatchAll_Ct&lt;22,$BC1594=(Elig_MatchAll_Ct-1),BA1594=0),AE1594,0)</f>
        <v>0</v>
      </c>
    </row>
    <row r="1595" spans="2:88" ht="10.15" customHeight="1" x14ac:dyDescent="0.25">
      <c r="B1595" s="997" t="s">
        <v>3646</v>
      </c>
      <c r="C1595" s="999" t="str">
        <f t="shared" si="533"/>
        <v>HELOC OO</v>
      </c>
      <c r="D1595" s="1000" t="s">
        <v>1984</v>
      </c>
      <c r="E1595" s="1000" t="s">
        <v>4</v>
      </c>
      <c r="F1595" s="1000" t="s">
        <v>328</v>
      </c>
      <c r="G1595" s="1000" t="s">
        <v>175</v>
      </c>
      <c r="H1595" s="1000" t="s">
        <v>446</v>
      </c>
      <c r="I1595" s="1001" t="s">
        <v>1332</v>
      </c>
      <c r="J1595" s="1001" t="s">
        <v>3544</v>
      </c>
      <c r="K1595" s="1000" t="s">
        <v>1791</v>
      </c>
      <c r="L1595" s="1001" t="s">
        <v>430</v>
      </c>
      <c r="M1595" s="1001" t="s">
        <v>2677</v>
      </c>
      <c r="N1595" s="1000" t="s">
        <v>82</v>
      </c>
      <c r="O1595" s="1001" t="s">
        <v>310</v>
      </c>
      <c r="P1595" s="1001" t="s">
        <v>291</v>
      </c>
      <c r="Q1595" s="1001" t="s">
        <v>294</v>
      </c>
      <c r="R1595" s="1001">
        <v>350000.01</v>
      </c>
      <c r="S1595" s="1001">
        <v>500000</v>
      </c>
      <c r="T1595" s="1001">
        <v>0</v>
      </c>
      <c r="U1595" s="1001">
        <v>500000</v>
      </c>
      <c r="V1595" s="1001">
        <v>0</v>
      </c>
      <c r="W1595" s="1001">
        <v>50</v>
      </c>
      <c r="X1595" s="1001">
        <v>0</v>
      </c>
      <c r="Y1595" s="1001">
        <v>999</v>
      </c>
      <c r="Z1595" s="1002">
        <v>720</v>
      </c>
      <c r="AA1595" s="1002">
        <v>999</v>
      </c>
      <c r="AB1595" s="1002">
        <v>0</v>
      </c>
      <c r="AC1595" s="1002">
        <v>999999</v>
      </c>
      <c r="AD1595" s="1001">
        <v>0</v>
      </c>
      <c r="AE1595" s="1001">
        <v>75</v>
      </c>
      <c r="AF1595" s="170">
        <v>0</v>
      </c>
      <c r="AG1595" s="171">
        <v>0</v>
      </c>
      <c r="AH1595" s="171">
        <v>0</v>
      </c>
      <c r="AI1595" s="171">
        <v>1</v>
      </c>
      <c r="AJ1595" s="171">
        <v>0</v>
      </c>
      <c r="AK1595" s="171">
        <v>0</v>
      </c>
      <c r="AL1595" s="171">
        <v>1</v>
      </c>
      <c r="AM1595" s="171">
        <v>1</v>
      </c>
      <c r="AN1595" s="171">
        <v>1</v>
      </c>
      <c r="AO1595" s="171">
        <v>1</v>
      </c>
      <c r="AP1595" s="171">
        <v>1</v>
      </c>
      <c r="AQ1595" s="171">
        <v>1</v>
      </c>
      <c r="AR1595" s="171">
        <v>1</v>
      </c>
      <c r="AS1595" s="171">
        <v>1</v>
      </c>
      <c r="AT1595" s="171">
        <v>1</v>
      </c>
      <c r="AU1595" s="171">
        <f t="shared" si="527"/>
        <v>0</v>
      </c>
      <c r="AV1595" s="171">
        <f t="shared" si="528"/>
        <v>1</v>
      </c>
      <c r="AW1595" s="171">
        <f t="shared" si="529"/>
        <v>1</v>
      </c>
      <c r="AX1595" s="171">
        <f t="shared" si="525"/>
        <v>1</v>
      </c>
      <c r="AY1595" s="171">
        <f t="shared" si="530"/>
        <v>1</v>
      </c>
      <c r="AZ1595" s="171">
        <f t="shared" si="531"/>
        <v>1</v>
      </c>
      <c r="BA1595" s="172">
        <f t="shared" si="532"/>
        <v>1</v>
      </c>
      <c r="BB1595" s="175">
        <f t="shared" si="534"/>
        <v>16</v>
      </c>
      <c r="BC1595" s="176">
        <f t="shared" si="535"/>
        <v>15</v>
      </c>
      <c r="BD1595" s="176">
        <f t="shared" si="536"/>
        <v>16</v>
      </c>
      <c r="BE1595" s="240" t="str">
        <f t="shared" si="526"/>
        <v/>
      </c>
      <c r="BF1595" s="989"/>
      <c r="BG1595" s="989"/>
      <c r="BH1595" s="991">
        <f>IF(AND(Input_Product=Elig!$C1595,Elig_MatchAll_Ct&lt;22,$BC1595=(Elig_MatchAll_Ct-1),AF1595=0),C1595,0)</f>
        <v>0</v>
      </c>
      <c r="BI1595" s="991">
        <f>IF(AND(Input_Product=Elig!$C1595,Elig_MatchAll_Ct&lt;22,$BC1595=(Elig_MatchAll_Ct-1),AG1595=0),D1595,0)</f>
        <v>0</v>
      </c>
      <c r="BJ1595" s="991">
        <f>IF(AND(Input_Product=Elig!$C1595,Elig_MatchAll_Ct&lt;22,$BC1595=(Elig_MatchAll_Ct-1),AH1595=0),E1595,0)</f>
        <v>0</v>
      </c>
      <c r="BK1595" s="991">
        <f>IF(AND(Input_Product=Elig!$C1595,Elig_MatchAll_Ct&lt;22,$BC1595=(Elig_MatchAll_Ct-1),AI1595=0),F1595,0)</f>
        <v>0</v>
      </c>
      <c r="BL1595" s="991">
        <f>IF(AND(Input_Product=Elig!$C1595,Elig_MatchAll_Ct&lt;22,$BC1595=(Elig_MatchAll_Ct-1),AJ1595=0),G1595,0)</f>
        <v>0</v>
      </c>
      <c r="BM1595" s="991">
        <f>IF(AND(Input_Product=Elig!$C1595,Elig_MatchAll_Ct&lt;22,$BC1595=(Elig_MatchAll_Ct-1),AK1595=0),H1595,0)</f>
        <v>0</v>
      </c>
      <c r="BN1595" s="991">
        <f>IF(AND(Input_Product=Elig!$C1595,Elig_MatchAll_Ct&lt;22,$BC1595=(Elig_MatchAll_Ct-1),AL1595=0),I1595,0)</f>
        <v>0</v>
      </c>
      <c r="BO1595" s="991">
        <f>IF(AND(Input_Product=Elig!$C1595,Elig_MatchAll_Ct&lt;22,$BC1595=(Elig_MatchAll_Ct-1),AM1595=0),J1595,0)</f>
        <v>0</v>
      </c>
      <c r="BP1595" s="991">
        <f>IF(AND(Input_Product=Elig!$C1595,Elig_MatchAll_Ct&lt;22,$BC1595=(Elig_MatchAll_Ct-1),AN1595=0),K1595,0)</f>
        <v>0</v>
      </c>
      <c r="BQ1595" s="991">
        <f>IF(AND(Input_Product=Elig!$C1595,Elig_MatchAll_Ct&lt;22,$BC1595=(Elig_MatchAll_Ct-1),AP1595=0),L1595,0)</f>
        <v>0</v>
      </c>
      <c r="BR1595" s="991">
        <f>IF(AND(Input_Product=Elig!$C1595,Elig_MatchAll_Ct&lt;22,$BC1595=(Elig_MatchAll_Ct-1),AO1595=0),M1595,0)</f>
        <v>0</v>
      </c>
      <c r="BS1595" s="991">
        <f>IF(AND(Input_Product=Elig!$C1595,Elig_MatchAll_Ct&lt;22,$BC1595=(Elig_MatchAll_Ct-1),AQ1595=0),N1595,0)</f>
        <v>0</v>
      </c>
      <c r="BT1595" s="991">
        <f>IF(AND(Input_Product=Elig!$C1595,Elig_MatchAll_Ct&lt;22,$BC1595=(Elig_MatchAll_Ct-1),AR1595=0),O1595,0)</f>
        <v>0</v>
      </c>
      <c r="BU1595" s="991">
        <f>IF(AND(Input_Product=Elig!$C1595,Elig_MatchAll_Ct&lt;22,$BC1595=(Elig_MatchAll_Ct-1),AS1595=0),P1595,0)</f>
        <v>0</v>
      </c>
      <c r="BV1595" s="992">
        <f>IF(AND(Input_Product=Elig!$C1595,Elig_MatchAll_Ct&lt;22,$BC1595=(Elig_MatchAll_Ct-1),AT1595=0),Q1595,0)</f>
        <v>0</v>
      </c>
      <c r="BW1595" s="993">
        <f>IF(AND(Input_Product=Elig!$C1595,Elig_MatchAll_Ct&lt;22,$BC1595=(Elig_MatchAll_Ct-1),AU1595=0),R1595,0)</f>
        <v>0</v>
      </c>
      <c r="BX1595" s="994">
        <f>IF(AND(Input_Product=Elig!$C1595,Elig_MatchAll_Ct&lt;22,$BC1595=(Elig_MatchAll_Ct-1),AU1595=0),S1595,0)</f>
        <v>0</v>
      </c>
      <c r="BY1595" s="993">
        <f>IF(AND(Input_Product=Elig!$C1595,Elig_MatchAll_Ct&lt;22,$BC1595=(Elig_MatchAll_Ct-1),AV1595=0),T1595,0)</f>
        <v>0</v>
      </c>
      <c r="BZ1595" s="994">
        <f>IF(AND(Input_Product=Elig!$C1595,Elig_MatchAll_Ct&lt;22,$BC1595=(Elig_MatchAll_Ct-1),AV1595=0),U1595,0)</f>
        <v>0</v>
      </c>
      <c r="CA1595" s="993">
        <f>IF(AND(Input_Product=Elig!$C1595,Elig_MatchAll_Ct&lt;22,$BC1595=(Elig_MatchAll_Ct-1),AW1595=0),V1595,0)</f>
        <v>0</v>
      </c>
      <c r="CB1595" s="994">
        <f>IF(AND(Input_Product=Elig!$C1595,Elig_MatchAll_Ct&lt;22,$BC1595=(Elig_MatchAll_Ct-1),AW1595=0),W1595,0)</f>
        <v>0</v>
      </c>
      <c r="CC1595" s="993">
        <f>IF(AND(Input_Product=Elig!$C1595,Elig_MatchAll_Ct&lt;22,$BC1595=(Elig_MatchAll_Ct-1),AX1595=0),X1595,0)</f>
        <v>0</v>
      </c>
      <c r="CD1595" s="994">
        <f>IF(AND(Input_Product=Elig!$C1595,Elig_MatchAll_Ct&lt;22,$BC1595=(Elig_MatchAll_Ct-1),AX1595=0),Y1595,0)</f>
        <v>0</v>
      </c>
      <c r="CE1595" s="993">
        <f>IF(AND(Input_LTV&lt;=AE1595,Input_Product=Elig!$C1595,Elig_MatchAll_Ct&lt;22,$BC1595=(Elig_MatchAll_Ct-1),AY1595=0),Z1595,0)</f>
        <v>0</v>
      </c>
      <c r="CF1595" s="994">
        <f>IF(AND(Input_LTV&lt;=AE1595,Input_Product=Elig!$C1595,Elig_MatchAll_Ct&lt;22,$BC1595=(Elig_MatchAll_Ct-1),AY1595=0),AA1595,0)</f>
        <v>0</v>
      </c>
      <c r="CG1595" s="993">
        <f>IF(AND(Input_Product=Elig!$C1595,Elig_MatchAll_Ct&lt;22,$BC1595=(Elig_MatchAll_Ct-1),AZ1595=0),AB1595,0)</f>
        <v>0</v>
      </c>
      <c r="CH1595" s="994">
        <f>IF(AND(Input_Product=Elig!$C1595,Elig_MatchAll_Ct&lt;22,$BC1595=(Elig_MatchAll_Ct-1),AZ1595=0),AC1595,0)</f>
        <v>0</v>
      </c>
      <c r="CI1595" s="993">
        <f>IF(AND(Input_Product=Elig!$C1595,Elig_MatchAll_Ct&lt;22,$BC1595=(Elig_MatchAll_Ct-1),BA1595=0),AD1595,0)</f>
        <v>0</v>
      </c>
      <c r="CJ1595" s="994">
        <f>IF(AND(Input_Product=Elig!$C1595,Elig_MatchAll_Ct&lt;22,$BC1595=(Elig_MatchAll_Ct-1),BA1595=0),AE1595,0)</f>
        <v>0</v>
      </c>
    </row>
    <row r="1596" spans="2:88" ht="10.15" customHeight="1" x14ac:dyDescent="0.25">
      <c r="B1596" s="997" t="s">
        <v>3647</v>
      </c>
      <c r="C1596" s="995" t="str">
        <f t="shared" si="533"/>
        <v>HELOC OO</v>
      </c>
      <c r="D1596" s="997" t="s">
        <v>1984</v>
      </c>
      <c r="E1596" s="997" t="s">
        <v>4</v>
      </c>
      <c r="F1596" s="997" t="s">
        <v>328</v>
      </c>
      <c r="G1596" s="996" t="s">
        <v>175</v>
      </c>
      <c r="H1596" s="996" t="s">
        <v>446</v>
      </c>
      <c r="I1596" s="997" t="s">
        <v>1332</v>
      </c>
      <c r="J1596" s="997" t="s">
        <v>3544</v>
      </c>
      <c r="K1596" s="996" t="s">
        <v>1791</v>
      </c>
      <c r="L1596" s="997" t="s">
        <v>430</v>
      </c>
      <c r="M1596" s="997" t="s">
        <v>2677</v>
      </c>
      <c r="N1596" s="996" t="s">
        <v>82</v>
      </c>
      <c r="O1596" s="997" t="s">
        <v>310</v>
      </c>
      <c r="P1596" s="997" t="s">
        <v>291</v>
      </c>
      <c r="Q1596" s="997" t="s">
        <v>294</v>
      </c>
      <c r="R1596" s="997">
        <v>350000.01</v>
      </c>
      <c r="S1596" s="997">
        <v>500000</v>
      </c>
      <c r="T1596" s="997">
        <v>0</v>
      </c>
      <c r="U1596" s="997">
        <v>500000</v>
      </c>
      <c r="V1596" s="997">
        <v>0</v>
      </c>
      <c r="W1596" s="997">
        <v>50</v>
      </c>
      <c r="X1596" s="997">
        <v>0</v>
      </c>
      <c r="Y1596" s="997">
        <v>999</v>
      </c>
      <c r="Z1596" s="998">
        <v>700</v>
      </c>
      <c r="AA1596" s="998">
        <v>719</v>
      </c>
      <c r="AB1596" s="998">
        <v>0</v>
      </c>
      <c r="AC1596" s="998">
        <v>999999</v>
      </c>
      <c r="AD1596" s="997">
        <v>0</v>
      </c>
      <c r="AE1596" s="997">
        <v>75</v>
      </c>
      <c r="AF1596" s="170">
        <v>0</v>
      </c>
      <c r="AG1596" s="171">
        <v>0</v>
      </c>
      <c r="AH1596" s="171">
        <v>0</v>
      </c>
      <c r="AI1596" s="171">
        <v>1</v>
      </c>
      <c r="AJ1596" s="171">
        <v>0</v>
      </c>
      <c r="AK1596" s="171">
        <v>0</v>
      </c>
      <c r="AL1596" s="171">
        <v>1</v>
      </c>
      <c r="AM1596" s="171">
        <v>1</v>
      </c>
      <c r="AN1596" s="171">
        <v>1</v>
      </c>
      <c r="AO1596" s="171">
        <v>1</v>
      </c>
      <c r="AP1596" s="171">
        <v>1</v>
      </c>
      <c r="AQ1596" s="171">
        <v>1</v>
      </c>
      <c r="AR1596" s="171">
        <v>1</v>
      </c>
      <c r="AS1596" s="171">
        <v>1</v>
      </c>
      <c r="AT1596" s="171">
        <v>1</v>
      </c>
      <c r="AU1596" s="171">
        <f t="shared" si="527"/>
        <v>0</v>
      </c>
      <c r="AV1596" s="171">
        <f t="shared" si="528"/>
        <v>1</v>
      </c>
      <c r="AW1596" s="171">
        <f t="shared" si="529"/>
        <v>1</v>
      </c>
      <c r="AX1596" s="171">
        <f t="shared" si="525"/>
        <v>1</v>
      </c>
      <c r="AY1596" s="171">
        <f t="shared" si="530"/>
        <v>0</v>
      </c>
      <c r="AZ1596" s="171">
        <f t="shared" si="531"/>
        <v>1</v>
      </c>
      <c r="BA1596" s="172">
        <f t="shared" si="532"/>
        <v>1</v>
      </c>
      <c r="BB1596" s="175">
        <f t="shared" si="534"/>
        <v>15</v>
      </c>
      <c r="BC1596" s="176">
        <f t="shared" si="535"/>
        <v>14</v>
      </c>
      <c r="BD1596" s="176">
        <f t="shared" si="536"/>
        <v>15</v>
      </c>
      <c r="BE1596" s="240" t="str">
        <f t="shared" si="526"/>
        <v/>
      </c>
      <c r="BF1596" s="990"/>
      <c r="BG1596" s="990"/>
      <c r="BH1596" s="991">
        <f>IF(AND(Input_Product=Elig!$C1596,Elig_MatchAll_Ct&lt;22,$BC1596=(Elig_MatchAll_Ct-1),AF1596=0),C1596,0)</f>
        <v>0</v>
      </c>
      <c r="BI1596" s="991">
        <f>IF(AND(Input_Product=Elig!$C1596,Elig_MatchAll_Ct&lt;22,$BC1596=(Elig_MatchAll_Ct-1),AG1596=0),D1596,0)</f>
        <v>0</v>
      </c>
      <c r="BJ1596" s="991">
        <f>IF(AND(Input_Product=Elig!$C1596,Elig_MatchAll_Ct&lt;22,$BC1596=(Elig_MatchAll_Ct-1),AH1596=0),E1596,0)</f>
        <v>0</v>
      </c>
      <c r="BK1596" s="991">
        <f>IF(AND(Input_Product=Elig!$C1596,Elig_MatchAll_Ct&lt;22,$BC1596=(Elig_MatchAll_Ct-1),AI1596=0),F1596,0)</f>
        <v>0</v>
      </c>
      <c r="BL1596" s="991">
        <f>IF(AND(Input_Product=Elig!$C1596,Elig_MatchAll_Ct&lt;22,$BC1596=(Elig_MatchAll_Ct-1),AJ1596=0),G1596,0)</f>
        <v>0</v>
      </c>
      <c r="BM1596" s="991">
        <f>IF(AND(Input_Product=Elig!$C1596,Elig_MatchAll_Ct&lt;22,$BC1596=(Elig_MatchAll_Ct-1),AK1596=0),H1596,0)</f>
        <v>0</v>
      </c>
      <c r="BN1596" s="991">
        <f>IF(AND(Input_Product=Elig!$C1596,Elig_MatchAll_Ct&lt;22,$BC1596=(Elig_MatchAll_Ct-1),AL1596=0),I1596,0)</f>
        <v>0</v>
      </c>
      <c r="BO1596" s="991">
        <f>IF(AND(Input_Product=Elig!$C1596,Elig_MatchAll_Ct&lt;22,$BC1596=(Elig_MatchAll_Ct-1),AM1596=0),J1596,0)</f>
        <v>0</v>
      </c>
      <c r="BP1596" s="991">
        <f>IF(AND(Input_Product=Elig!$C1596,Elig_MatchAll_Ct&lt;22,$BC1596=(Elig_MatchAll_Ct-1),AN1596=0),K1596,0)</f>
        <v>0</v>
      </c>
      <c r="BQ1596" s="991">
        <f>IF(AND(Input_Product=Elig!$C1596,Elig_MatchAll_Ct&lt;22,$BC1596=(Elig_MatchAll_Ct-1),AP1596=0),L1596,0)</f>
        <v>0</v>
      </c>
      <c r="BR1596" s="991">
        <f>IF(AND(Input_Product=Elig!$C1596,Elig_MatchAll_Ct&lt;22,$BC1596=(Elig_MatchAll_Ct-1),AO1596=0),M1596,0)</f>
        <v>0</v>
      </c>
      <c r="BS1596" s="991">
        <f>IF(AND(Input_Product=Elig!$C1596,Elig_MatchAll_Ct&lt;22,$BC1596=(Elig_MatchAll_Ct-1),AQ1596=0),N1596,0)</f>
        <v>0</v>
      </c>
      <c r="BT1596" s="991">
        <f>IF(AND(Input_Product=Elig!$C1596,Elig_MatchAll_Ct&lt;22,$BC1596=(Elig_MatchAll_Ct-1),AR1596=0),O1596,0)</f>
        <v>0</v>
      </c>
      <c r="BU1596" s="991">
        <f>IF(AND(Input_Product=Elig!$C1596,Elig_MatchAll_Ct&lt;22,$BC1596=(Elig_MatchAll_Ct-1),AS1596=0),P1596,0)</f>
        <v>0</v>
      </c>
      <c r="BV1596" s="992">
        <f>IF(AND(Input_Product=Elig!$C1596,Elig_MatchAll_Ct&lt;22,$BC1596=(Elig_MatchAll_Ct-1),AT1596=0),Q1596,0)</f>
        <v>0</v>
      </c>
      <c r="BW1596" s="993">
        <f>IF(AND(Input_Product=Elig!$C1596,Elig_MatchAll_Ct&lt;22,$BC1596=(Elig_MatchAll_Ct-1),AU1596=0),R1596,0)</f>
        <v>0</v>
      </c>
      <c r="BX1596" s="994">
        <f>IF(AND(Input_Product=Elig!$C1596,Elig_MatchAll_Ct&lt;22,$BC1596=(Elig_MatchAll_Ct-1),AU1596=0),S1596,0)</f>
        <v>0</v>
      </c>
      <c r="BY1596" s="993">
        <f>IF(AND(Input_Product=Elig!$C1596,Elig_MatchAll_Ct&lt;22,$BC1596=(Elig_MatchAll_Ct-1),AV1596=0),T1596,0)</f>
        <v>0</v>
      </c>
      <c r="BZ1596" s="994">
        <f>IF(AND(Input_Product=Elig!$C1596,Elig_MatchAll_Ct&lt;22,$BC1596=(Elig_MatchAll_Ct-1),AV1596=0),U1596,0)</f>
        <v>0</v>
      </c>
      <c r="CA1596" s="993">
        <f>IF(AND(Input_Product=Elig!$C1596,Elig_MatchAll_Ct&lt;22,$BC1596=(Elig_MatchAll_Ct-1),AW1596=0),V1596,0)</f>
        <v>0</v>
      </c>
      <c r="CB1596" s="994">
        <f>IF(AND(Input_Product=Elig!$C1596,Elig_MatchAll_Ct&lt;22,$BC1596=(Elig_MatchAll_Ct-1),AW1596=0),W1596,0)</f>
        <v>0</v>
      </c>
      <c r="CC1596" s="993">
        <f>IF(AND(Input_Product=Elig!$C1596,Elig_MatchAll_Ct&lt;22,$BC1596=(Elig_MatchAll_Ct-1),AX1596=0),X1596,0)</f>
        <v>0</v>
      </c>
      <c r="CD1596" s="994">
        <f>IF(AND(Input_Product=Elig!$C1596,Elig_MatchAll_Ct&lt;22,$BC1596=(Elig_MatchAll_Ct-1),AX1596=0),Y1596,0)</f>
        <v>0</v>
      </c>
      <c r="CE1596" s="993">
        <f>IF(AND(Input_LTV&lt;=AE1596,Input_Product=Elig!$C1596,Elig_MatchAll_Ct&lt;22,$BC1596=(Elig_MatchAll_Ct-1),AY1596=0),Z1596,0)</f>
        <v>0</v>
      </c>
      <c r="CF1596" s="994">
        <f>IF(AND(Input_LTV&lt;=AE1596,Input_Product=Elig!$C1596,Elig_MatchAll_Ct&lt;22,$BC1596=(Elig_MatchAll_Ct-1),AY1596=0),AA1596,0)</f>
        <v>0</v>
      </c>
      <c r="CG1596" s="993">
        <f>IF(AND(Input_Product=Elig!$C1596,Elig_MatchAll_Ct&lt;22,$BC1596=(Elig_MatchAll_Ct-1),AZ1596=0),AB1596,0)</f>
        <v>0</v>
      </c>
      <c r="CH1596" s="994">
        <f>IF(AND(Input_Product=Elig!$C1596,Elig_MatchAll_Ct&lt;22,$BC1596=(Elig_MatchAll_Ct-1),AZ1596=0),AC1596,0)</f>
        <v>0</v>
      </c>
      <c r="CI1596" s="993">
        <f>IF(AND(Input_Product=Elig!$C1596,Elig_MatchAll_Ct&lt;22,$BC1596=(Elig_MatchAll_Ct-1),BA1596=0),AD1596,0)</f>
        <v>0</v>
      </c>
      <c r="CJ1596" s="994">
        <f>IF(AND(Input_Product=Elig!$C1596,Elig_MatchAll_Ct&lt;22,$BC1596=(Elig_MatchAll_Ct-1),BA1596=0),AE1596,0)</f>
        <v>0</v>
      </c>
    </row>
    <row r="1597" spans="2:88" ht="10.15" customHeight="1" x14ac:dyDescent="0.25">
      <c r="B1597" s="997" t="s">
        <v>3648</v>
      </c>
      <c r="C1597" s="1026" t="str">
        <f t="shared" si="533"/>
        <v>HELOC OO</v>
      </c>
      <c r="D1597" s="1027" t="s">
        <v>1984</v>
      </c>
      <c r="E1597" s="1027" t="s">
        <v>4</v>
      </c>
      <c r="F1597" s="1027" t="s">
        <v>328</v>
      </c>
      <c r="G1597" s="1028" t="s">
        <v>175</v>
      </c>
      <c r="H1597" s="1028" t="s">
        <v>446</v>
      </c>
      <c r="I1597" s="1027" t="s">
        <v>1332</v>
      </c>
      <c r="J1597" s="1027" t="s">
        <v>3544</v>
      </c>
      <c r="K1597" s="1028" t="s">
        <v>1791</v>
      </c>
      <c r="L1597" s="1027" t="s">
        <v>430</v>
      </c>
      <c r="M1597" s="1027" t="s">
        <v>2677</v>
      </c>
      <c r="N1597" s="1028" t="s">
        <v>82</v>
      </c>
      <c r="O1597" s="1027" t="s">
        <v>310</v>
      </c>
      <c r="P1597" s="1027" t="s">
        <v>291</v>
      </c>
      <c r="Q1597" s="1027" t="s">
        <v>294</v>
      </c>
      <c r="R1597" s="1027">
        <v>350000.01</v>
      </c>
      <c r="S1597" s="1027">
        <v>500000</v>
      </c>
      <c r="T1597" s="1027">
        <v>0</v>
      </c>
      <c r="U1597" s="1027">
        <v>500000</v>
      </c>
      <c r="V1597" s="1027">
        <v>0</v>
      </c>
      <c r="W1597" s="1027">
        <v>50</v>
      </c>
      <c r="X1597" s="1027">
        <v>0</v>
      </c>
      <c r="Y1597" s="1027">
        <v>999</v>
      </c>
      <c r="Z1597" s="1029">
        <v>680</v>
      </c>
      <c r="AA1597" s="1029">
        <v>699</v>
      </c>
      <c r="AB1597" s="1029">
        <v>0</v>
      </c>
      <c r="AC1597" s="1029">
        <v>999999</v>
      </c>
      <c r="AD1597" s="1027">
        <v>0</v>
      </c>
      <c r="AE1597" s="1030">
        <v>0</v>
      </c>
      <c r="AF1597" s="170">
        <v>0</v>
      </c>
      <c r="AG1597" s="171">
        <v>0</v>
      </c>
      <c r="AH1597" s="171">
        <v>0</v>
      </c>
      <c r="AI1597" s="171">
        <v>1</v>
      </c>
      <c r="AJ1597" s="171">
        <v>0</v>
      </c>
      <c r="AK1597" s="171">
        <v>0</v>
      </c>
      <c r="AL1597" s="171">
        <v>1</v>
      </c>
      <c r="AM1597" s="171">
        <v>1</v>
      </c>
      <c r="AN1597" s="171">
        <v>1</v>
      </c>
      <c r="AO1597" s="171">
        <v>1</v>
      </c>
      <c r="AP1597" s="171">
        <v>1</v>
      </c>
      <c r="AQ1597" s="171">
        <v>1</v>
      </c>
      <c r="AR1597" s="171">
        <v>1</v>
      </c>
      <c r="AS1597" s="171">
        <v>1</v>
      </c>
      <c r="AT1597" s="171">
        <v>1</v>
      </c>
      <c r="AU1597" s="171">
        <f t="shared" si="527"/>
        <v>0</v>
      </c>
      <c r="AV1597" s="171">
        <f t="shared" si="528"/>
        <v>1</v>
      </c>
      <c r="AW1597" s="171">
        <f t="shared" si="529"/>
        <v>1</v>
      </c>
      <c r="AX1597" s="171">
        <f t="shared" si="525"/>
        <v>1</v>
      </c>
      <c r="AY1597" s="171">
        <f t="shared" si="530"/>
        <v>0</v>
      </c>
      <c r="AZ1597" s="171">
        <f t="shared" si="531"/>
        <v>1</v>
      </c>
      <c r="BA1597" s="172">
        <f t="shared" si="532"/>
        <v>0</v>
      </c>
      <c r="BB1597" s="175">
        <f t="shared" si="534"/>
        <v>14</v>
      </c>
      <c r="BC1597" s="176">
        <f t="shared" si="535"/>
        <v>14</v>
      </c>
      <c r="BD1597" s="176">
        <f t="shared" si="536"/>
        <v>14</v>
      </c>
      <c r="BE1597" s="240" t="str">
        <f t="shared" si="526"/>
        <v/>
      </c>
      <c r="BF1597" s="990"/>
      <c r="BG1597" s="990"/>
      <c r="BH1597" s="991">
        <f>IF(AND(Input_Product=Elig!$C1597,Elig_MatchAll_Ct&lt;22,$BC1597=(Elig_MatchAll_Ct-1),AF1597=0),C1597,0)</f>
        <v>0</v>
      </c>
      <c r="BI1597" s="991">
        <f>IF(AND(Input_Product=Elig!$C1597,Elig_MatchAll_Ct&lt;22,$BC1597=(Elig_MatchAll_Ct-1),AG1597=0),D1597,0)</f>
        <v>0</v>
      </c>
      <c r="BJ1597" s="991">
        <f>IF(AND(Input_Product=Elig!$C1597,Elig_MatchAll_Ct&lt;22,$BC1597=(Elig_MatchAll_Ct-1),AH1597=0),E1597,0)</f>
        <v>0</v>
      </c>
      <c r="BK1597" s="991">
        <f>IF(AND(Input_Product=Elig!$C1597,Elig_MatchAll_Ct&lt;22,$BC1597=(Elig_MatchAll_Ct-1),AI1597=0),F1597,0)</f>
        <v>0</v>
      </c>
      <c r="BL1597" s="991">
        <f>IF(AND(Input_Product=Elig!$C1597,Elig_MatchAll_Ct&lt;22,$BC1597=(Elig_MatchAll_Ct-1),AJ1597=0),G1597,0)</f>
        <v>0</v>
      </c>
      <c r="BM1597" s="991">
        <f>IF(AND(Input_Product=Elig!$C1597,Elig_MatchAll_Ct&lt;22,$BC1597=(Elig_MatchAll_Ct-1),AK1597=0),H1597,0)</f>
        <v>0</v>
      </c>
      <c r="BN1597" s="991">
        <f>IF(AND(Input_Product=Elig!$C1597,Elig_MatchAll_Ct&lt;22,$BC1597=(Elig_MatchAll_Ct-1),AL1597=0),I1597,0)</f>
        <v>0</v>
      </c>
      <c r="BO1597" s="991">
        <f>IF(AND(Input_Product=Elig!$C1597,Elig_MatchAll_Ct&lt;22,$BC1597=(Elig_MatchAll_Ct-1),AM1597=0),J1597,0)</f>
        <v>0</v>
      </c>
      <c r="BP1597" s="991">
        <f>IF(AND(Input_Product=Elig!$C1597,Elig_MatchAll_Ct&lt;22,$BC1597=(Elig_MatchAll_Ct-1),AN1597=0),K1597,0)</f>
        <v>0</v>
      </c>
      <c r="BQ1597" s="991">
        <f>IF(AND(Input_Product=Elig!$C1597,Elig_MatchAll_Ct&lt;22,$BC1597=(Elig_MatchAll_Ct-1),AP1597=0),L1597,0)</f>
        <v>0</v>
      </c>
      <c r="BR1597" s="991">
        <f>IF(AND(Input_Product=Elig!$C1597,Elig_MatchAll_Ct&lt;22,$BC1597=(Elig_MatchAll_Ct-1),AO1597=0),M1597,0)</f>
        <v>0</v>
      </c>
      <c r="BS1597" s="991">
        <f>IF(AND(Input_Product=Elig!$C1597,Elig_MatchAll_Ct&lt;22,$BC1597=(Elig_MatchAll_Ct-1),AQ1597=0),N1597,0)</f>
        <v>0</v>
      </c>
      <c r="BT1597" s="991">
        <f>IF(AND(Input_Product=Elig!$C1597,Elig_MatchAll_Ct&lt;22,$BC1597=(Elig_MatchAll_Ct-1),AR1597=0),O1597,0)</f>
        <v>0</v>
      </c>
      <c r="BU1597" s="991">
        <f>IF(AND(Input_Product=Elig!$C1597,Elig_MatchAll_Ct&lt;22,$BC1597=(Elig_MatchAll_Ct-1),AS1597=0),P1597,0)</f>
        <v>0</v>
      </c>
      <c r="BV1597" s="992">
        <f>IF(AND(Input_Product=Elig!$C1597,Elig_MatchAll_Ct&lt;22,$BC1597=(Elig_MatchAll_Ct-1),AT1597=0),Q1597,0)</f>
        <v>0</v>
      </c>
      <c r="BW1597" s="993">
        <f>IF(AND(Input_Product=Elig!$C1597,Elig_MatchAll_Ct&lt;22,$BC1597=(Elig_MatchAll_Ct-1),AU1597=0),R1597,0)</f>
        <v>0</v>
      </c>
      <c r="BX1597" s="994">
        <f>IF(AND(Input_Product=Elig!$C1597,Elig_MatchAll_Ct&lt;22,$BC1597=(Elig_MatchAll_Ct-1),AU1597=0),S1597,0)</f>
        <v>0</v>
      </c>
      <c r="BY1597" s="993">
        <f>IF(AND(Input_Product=Elig!$C1597,Elig_MatchAll_Ct&lt;22,$BC1597=(Elig_MatchAll_Ct-1),AV1597=0),T1597,0)</f>
        <v>0</v>
      </c>
      <c r="BZ1597" s="994">
        <f>IF(AND(Input_Product=Elig!$C1597,Elig_MatchAll_Ct&lt;22,$BC1597=(Elig_MatchAll_Ct-1),AV1597=0),U1597,0)</f>
        <v>0</v>
      </c>
      <c r="CA1597" s="993">
        <f>IF(AND(Input_Product=Elig!$C1597,Elig_MatchAll_Ct&lt;22,$BC1597=(Elig_MatchAll_Ct-1),AW1597=0),V1597,0)</f>
        <v>0</v>
      </c>
      <c r="CB1597" s="994">
        <f>IF(AND(Input_Product=Elig!$C1597,Elig_MatchAll_Ct&lt;22,$BC1597=(Elig_MatchAll_Ct-1),AW1597=0),W1597,0)</f>
        <v>0</v>
      </c>
      <c r="CC1597" s="993">
        <f>IF(AND(Input_Product=Elig!$C1597,Elig_MatchAll_Ct&lt;22,$BC1597=(Elig_MatchAll_Ct-1),AX1597=0),X1597,0)</f>
        <v>0</v>
      </c>
      <c r="CD1597" s="994">
        <f>IF(AND(Input_Product=Elig!$C1597,Elig_MatchAll_Ct&lt;22,$BC1597=(Elig_MatchAll_Ct-1),AX1597=0),Y1597,0)</f>
        <v>0</v>
      </c>
      <c r="CE1597" s="993">
        <f>IF(AND(Input_LTV&lt;=AE1597,Input_Product=Elig!$C1597,Elig_MatchAll_Ct&lt;22,$BC1597=(Elig_MatchAll_Ct-1),AY1597=0),Z1597,0)</f>
        <v>0</v>
      </c>
      <c r="CF1597" s="994">
        <f>IF(AND(Input_LTV&lt;=AE1597,Input_Product=Elig!$C1597,Elig_MatchAll_Ct&lt;22,$BC1597=(Elig_MatchAll_Ct-1),AY1597=0),AA1597,0)</f>
        <v>0</v>
      </c>
      <c r="CG1597" s="993">
        <f>IF(AND(Input_Product=Elig!$C1597,Elig_MatchAll_Ct&lt;22,$BC1597=(Elig_MatchAll_Ct-1),AZ1597=0),AB1597,0)</f>
        <v>0</v>
      </c>
      <c r="CH1597" s="994">
        <f>IF(AND(Input_Product=Elig!$C1597,Elig_MatchAll_Ct&lt;22,$BC1597=(Elig_MatchAll_Ct-1),AZ1597=0),AC1597,0)</f>
        <v>0</v>
      </c>
      <c r="CI1597" s="993">
        <f>IF(AND(Input_Product=Elig!$C1597,Elig_MatchAll_Ct&lt;22,$BC1597=(Elig_MatchAll_Ct-1),BA1597=0),AD1597,0)</f>
        <v>0</v>
      </c>
      <c r="CJ1597" s="994">
        <f>IF(AND(Input_Product=Elig!$C1597,Elig_MatchAll_Ct&lt;22,$BC1597=(Elig_MatchAll_Ct-1),BA1597=0),AE1597,0)</f>
        <v>0</v>
      </c>
    </row>
    <row r="1598" spans="2:88" ht="10.15" customHeight="1" x14ac:dyDescent="0.25">
      <c r="B1598" s="997" t="s">
        <v>3649</v>
      </c>
      <c r="C1598" s="995" t="str">
        <f t="shared" si="533"/>
        <v>HELOC OO</v>
      </c>
      <c r="D1598" s="996" t="s">
        <v>1984</v>
      </c>
      <c r="E1598" s="996" t="s">
        <v>4</v>
      </c>
      <c r="F1598" s="996" t="s">
        <v>329</v>
      </c>
      <c r="G1598" s="996" t="s">
        <v>303</v>
      </c>
      <c r="H1598" s="996" t="s">
        <v>136</v>
      </c>
      <c r="I1598" s="997" t="s">
        <v>1332</v>
      </c>
      <c r="J1598" s="997" t="s">
        <v>3544</v>
      </c>
      <c r="K1598" s="996" t="s">
        <v>1791</v>
      </c>
      <c r="L1598" s="997" t="s">
        <v>430</v>
      </c>
      <c r="M1598" s="997" t="s">
        <v>2677</v>
      </c>
      <c r="N1598" s="996" t="s">
        <v>82</v>
      </c>
      <c r="O1598" s="997" t="s">
        <v>310</v>
      </c>
      <c r="P1598" s="997" t="s">
        <v>291</v>
      </c>
      <c r="Q1598" s="997" t="s">
        <v>294</v>
      </c>
      <c r="R1598" s="997">
        <v>50000</v>
      </c>
      <c r="S1598" s="997">
        <v>250000</v>
      </c>
      <c r="T1598" s="997">
        <v>0</v>
      </c>
      <c r="U1598" s="997">
        <v>250000</v>
      </c>
      <c r="V1598" s="997">
        <v>0</v>
      </c>
      <c r="W1598" s="997">
        <v>50</v>
      </c>
      <c r="X1598" s="997">
        <v>0</v>
      </c>
      <c r="Y1598" s="997">
        <v>999</v>
      </c>
      <c r="Z1598" s="998">
        <v>740</v>
      </c>
      <c r="AA1598" s="998">
        <v>999</v>
      </c>
      <c r="AB1598" s="998">
        <v>0</v>
      </c>
      <c r="AC1598" s="998">
        <v>999999</v>
      </c>
      <c r="AD1598" s="997">
        <v>0</v>
      </c>
      <c r="AE1598" s="997">
        <v>75</v>
      </c>
      <c r="AF1598" s="170">
        <v>0</v>
      </c>
      <c r="AG1598" s="171">
        <v>0</v>
      </c>
      <c r="AH1598" s="171">
        <v>0</v>
      </c>
      <c r="AI1598" s="171">
        <v>0</v>
      </c>
      <c r="AJ1598" s="171">
        <v>1</v>
      </c>
      <c r="AK1598" s="171">
        <v>1</v>
      </c>
      <c r="AL1598" s="171">
        <v>1</v>
      </c>
      <c r="AM1598" s="171">
        <v>1</v>
      </c>
      <c r="AN1598" s="171">
        <v>1</v>
      </c>
      <c r="AO1598" s="171">
        <v>1</v>
      </c>
      <c r="AP1598" s="171">
        <v>1</v>
      </c>
      <c r="AQ1598" s="171">
        <v>1</v>
      </c>
      <c r="AR1598" s="171">
        <v>1</v>
      </c>
      <c r="AS1598" s="171">
        <v>1</v>
      </c>
      <c r="AT1598" s="171">
        <v>1</v>
      </c>
      <c r="AU1598" s="171">
        <f t="shared" si="527"/>
        <v>1</v>
      </c>
      <c r="AV1598" s="171">
        <f t="shared" si="528"/>
        <v>1</v>
      </c>
      <c r="AW1598" s="171">
        <f t="shared" si="529"/>
        <v>1</v>
      </c>
      <c r="AX1598" s="171">
        <f t="shared" si="525"/>
        <v>1</v>
      </c>
      <c r="AY1598" s="171">
        <f t="shared" si="530"/>
        <v>1</v>
      </c>
      <c r="AZ1598" s="171">
        <f t="shared" si="531"/>
        <v>1</v>
      </c>
      <c r="BA1598" s="172">
        <f t="shared" si="532"/>
        <v>1</v>
      </c>
      <c r="BB1598" s="175">
        <f t="shared" si="534"/>
        <v>18</v>
      </c>
      <c r="BC1598" s="176">
        <f t="shared" si="535"/>
        <v>17</v>
      </c>
      <c r="BD1598" s="176">
        <f t="shared" si="536"/>
        <v>18</v>
      </c>
      <c r="BE1598" s="240" t="str">
        <f t="shared" si="526"/>
        <v/>
      </c>
      <c r="BF1598" s="989"/>
      <c r="BG1598" s="989"/>
      <c r="BH1598" s="991">
        <f>IF(AND(Input_Product=Elig!$C1598,Elig_MatchAll_Ct&lt;22,$BC1598=(Elig_MatchAll_Ct-1),AF1598=0),C1598,0)</f>
        <v>0</v>
      </c>
      <c r="BI1598" s="991">
        <f>IF(AND(Input_Product=Elig!$C1598,Elig_MatchAll_Ct&lt;22,$BC1598=(Elig_MatchAll_Ct-1),AG1598=0),D1598,0)</f>
        <v>0</v>
      </c>
      <c r="BJ1598" s="991">
        <f>IF(AND(Input_Product=Elig!$C1598,Elig_MatchAll_Ct&lt;22,$BC1598=(Elig_MatchAll_Ct-1),AH1598=0),E1598,0)</f>
        <v>0</v>
      </c>
      <c r="BK1598" s="991">
        <f>IF(AND(Input_Product=Elig!$C1598,Elig_MatchAll_Ct&lt;22,$BC1598=(Elig_MatchAll_Ct-1),AI1598=0),F1598,0)</f>
        <v>0</v>
      </c>
      <c r="BL1598" s="991">
        <f>IF(AND(Input_Product=Elig!$C1598,Elig_MatchAll_Ct&lt;22,$BC1598=(Elig_MatchAll_Ct-1),AJ1598=0),G1598,0)</f>
        <v>0</v>
      </c>
      <c r="BM1598" s="991">
        <f>IF(AND(Input_Product=Elig!$C1598,Elig_MatchAll_Ct&lt;22,$BC1598=(Elig_MatchAll_Ct-1),AK1598=0),H1598,0)</f>
        <v>0</v>
      </c>
      <c r="BN1598" s="991">
        <f>IF(AND(Input_Product=Elig!$C1598,Elig_MatchAll_Ct&lt;22,$BC1598=(Elig_MatchAll_Ct-1),AL1598=0),I1598,0)</f>
        <v>0</v>
      </c>
      <c r="BO1598" s="991">
        <f>IF(AND(Input_Product=Elig!$C1598,Elig_MatchAll_Ct&lt;22,$BC1598=(Elig_MatchAll_Ct-1),AM1598=0),J1598,0)</f>
        <v>0</v>
      </c>
      <c r="BP1598" s="991">
        <f>IF(AND(Input_Product=Elig!$C1598,Elig_MatchAll_Ct&lt;22,$BC1598=(Elig_MatchAll_Ct-1),AN1598=0),K1598,0)</f>
        <v>0</v>
      </c>
      <c r="BQ1598" s="991">
        <f>IF(AND(Input_Product=Elig!$C1598,Elig_MatchAll_Ct&lt;22,$BC1598=(Elig_MatchAll_Ct-1),AP1598=0),L1598,0)</f>
        <v>0</v>
      </c>
      <c r="BR1598" s="991">
        <f>IF(AND(Input_Product=Elig!$C1598,Elig_MatchAll_Ct&lt;22,$BC1598=(Elig_MatchAll_Ct-1),AO1598=0),M1598,0)</f>
        <v>0</v>
      </c>
      <c r="BS1598" s="991">
        <f>IF(AND(Input_Product=Elig!$C1598,Elig_MatchAll_Ct&lt;22,$BC1598=(Elig_MatchAll_Ct-1),AQ1598=0),N1598,0)</f>
        <v>0</v>
      </c>
      <c r="BT1598" s="991">
        <f>IF(AND(Input_Product=Elig!$C1598,Elig_MatchAll_Ct&lt;22,$BC1598=(Elig_MatchAll_Ct-1),AR1598=0),O1598,0)</f>
        <v>0</v>
      </c>
      <c r="BU1598" s="991">
        <f>IF(AND(Input_Product=Elig!$C1598,Elig_MatchAll_Ct&lt;22,$BC1598=(Elig_MatchAll_Ct-1),AS1598=0),P1598,0)</f>
        <v>0</v>
      </c>
      <c r="BV1598" s="992">
        <f>IF(AND(Input_Product=Elig!$C1598,Elig_MatchAll_Ct&lt;22,$BC1598=(Elig_MatchAll_Ct-1),AT1598=0),Q1598,0)</f>
        <v>0</v>
      </c>
      <c r="BW1598" s="993">
        <f>IF(AND(Input_Product=Elig!$C1598,Elig_MatchAll_Ct&lt;22,$BC1598=(Elig_MatchAll_Ct-1),AU1598=0),R1598,0)</f>
        <v>0</v>
      </c>
      <c r="BX1598" s="994">
        <f>IF(AND(Input_Product=Elig!$C1598,Elig_MatchAll_Ct&lt;22,$BC1598=(Elig_MatchAll_Ct-1),AU1598=0),S1598,0)</f>
        <v>0</v>
      </c>
      <c r="BY1598" s="993">
        <f>IF(AND(Input_Product=Elig!$C1598,Elig_MatchAll_Ct&lt;22,$BC1598=(Elig_MatchAll_Ct-1),AV1598=0),T1598,0)</f>
        <v>0</v>
      </c>
      <c r="BZ1598" s="994">
        <f>IF(AND(Input_Product=Elig!$C1598,Elig_MatchAll_Ct&lt;22,$BC1598=(Elig_MatchAll_Ct-1),AV1598=0),U1598,0)</f>
        <v>0</v>
      </c>
      <c r="CA1598" s="993">
        <f>IF(AND(Input_Product=Elig!$C1598,Elig_MatchAll_Ct&lt;22,$BC1598=(Elig_MatchAll_Ct-1),AW1598=0),V1598,0)</f>
        <v>0</v>
      </c>
      <c r="CB1598" s="994">
        <f>IF(AND(Input_Product=Elig!$C1598,Elig_MatchAll_Ct&lt;22,$BC1598=(Elig_MatchAll_Ct-1),AW1598=0),W1598,0)</f>
        <v>0</v>
      </c>
      <c r="CC1598" s="993">
        <f>IF(AND(Input_Product=Elig!$C1598,Elig_MatchAll_Ct&lt;22,$BC1598=(Elig_MatchAll_Ct-1),AX1598=0),X1598,0)</f>
        <v>0</v>
      </c>
      <c r="CD1598" s="994">
        <f>IF(AND(Input_Product=Elig!$C1598,Elig_MatchAll_Ct&lt;22,$BC1598=(Elig_MatchAll_Ct-1),AX1598=0),Y1598,0)</f>
        <v>0</v>
      </c>
      <c r="CE1598" s="993">
        <f>IF(AND(Input_LTV&lt;=AE1598,Input_Product=Elig!$C1598,Elig_MatchAll_Ct&lt;22,$BC1598=(Elig_MatchAll_Ct-1),AY1598=0),Z1598,0)</f>
        <v>0</v>
      </c>
      <c r="CF1598" s="994">
        <f>IF(AND(Input_LTV&lt;=AE1598,Input_Product=Elig!$C1598,Elig_MatchAll_Ct&lt;22,$BC1598=(Elig_MatchAll_Ct-1),AY1598=0),AA1598,0)</f>
        <v>0</v>
      </c>
      <c r="CG1598" s="993">
        <f>IF(AND(Input_Product=Elig!$C1598,Elig_MatchAll_Ct&lt;22,$BC1598=(Elig_MatchAll_Ct-1),AZ1598=0),AB1598,0)</f>
        <v>0</v>
      </c>
      <c r="CH1598" s="994">
        <f>IF(AND(Input_Product=Elig!$C1598,Elig_MatchAll_Ct&lt;22,$BC1598=(Elig_MatchAll_Ct-1),AZ1598=0),AC1598,0)</f>
        <v>0</v>
      </c>
      <c r="CI1598" s="993">
        <f>IF(AND(Input_Product=Elig!$C1598,Elig_MatchAll_Ct&lt;22,$BC1598=(Elig_MatchAll_Ct-1),BA1598=0),AD1598,0)</f>
        <v>0</v>
      </c>
      <c r="CJ1598" s="994">
        <f>IF(AND(Input_Product=Elig!$C1598,Elig_MatchAll_Ct&lt;22,$BC1598=(Elig_MatchAll_Ct-1),BA1598=0),AE1598,0)</f>
        <v>0</v>
      </c>
    </row>
    <row r="1599" spans="2:88" ht="10.15" customHeight="1" x14ac:dyDescent="0.25">
      <c r="B1599" s="997" t="s">
        <v>3650</v>
      </c>
      <c r="C1599" s="995" t="str">
        <f t="shared" si="533"/>
        <v>HELOC OO</v>
      </c>
      <c r="D1599" s="997" t="s">
        <v>1984</v>
      </c>
      <c r="E1599" s="997" t="s">
        <v>4</v>
      </c>
      <c r="F1599" s="997" t="s">
        <v>329</v>
      </c>
      <c r="G1599" s="996" t="s">
        <v>303</v>
      </c>
      <c r="H1599" s="996" t="s">
        <v>136</v>
      </c>
      <c r="I1599" s="997" t="s">
        <v>1332</v>
      </c>
      <c r="J1599" s="997" t="s">
        <v>3544</v>
      </c>
      <c r="K1599" s="996" t="s">
        <v>1791</v>
      </c>
      <c r="L1599" s="997" t="s">
        <v>430</v>
      </c>
      <c r="M1599" s="997" t="s">
        <v>2677</v>
      </c>
      <c r="N1599" s="996" t="s">
        <v>82</v>
      </c>
      <c r="O1599" s="997" t="s">
        <v>310</v>
      </c>
      <c r="P1599" s="997" t="s">
        <v>291</v>
      </c>
      <c r="Q1599" s="997" t="s">
        <v>294</v>
      </c>
      <c r="R1599" s="997">
        <v>50000</v>
      </c>
      <c r="S1599" s="997">
        <v>250000</v>
      </c>
      <c r="T1599" s="997">
        <v>0</v>
      </c>
      <c r="U1599" s="997">
        <v>250000</v>
      </c>
      <c r="V1599" s="997">
        <v>0</v>
      </c>
      <c r="W1599" s="997">
        <v>50</v>
      </c>
      <c r="X1599" s="997">
        <v>0</v>
      </c>
      <c r="Y1599" s="997">
        <v>999</v>
      </c>
      <c r="Z1599" s="998">
        <v>700</v>
      </c>
      <c r="AA1599" s="998">
        <v>719</v>
      </c>
      <c r="AB1599" s="998">
        <v>0</v>
      </c>
      <c r="AC1599" s="998">
        <v>999999</v>
      </c>
      <c r="AD1599" s="997">
        <v>0</v>
      </c>
      <c r="AE1599" s="997">
        <v>75</v>
      </c>
      <c r="AF1599" s="170">
        <v>0</v>
      </c>
      <c r="AG1599" s="171">
        <v>0</v>
      </c>
      <c r="AH1599" s="171">
        <v>0</v>
      </c>
      <c r="AI1599" s="171">
        <v>0</v>
      </c>
      <c r="AJ1599" s="171">
        <v>1</v>
      </c>
      <c r="AK1599" s="171">
        <v>1</v>
      </c>
      <c r="AL1599" s="171">
        <v>1</v>
      </c>
      <c r="AM1599" s="171">
        <v>1</v>
      </c>
      <c r="AN1599" s="171">
        <v>1</v>
      </c>
      <c r="AO1599" s="171">
        <v>1</v>
      </c>
      <c r="AP1599" s="171">
        <v>1</v>
      </c>
      <c r="AQ1599" s="171">
        <v>1</v>
      </c>
      <c r="AR1599" s="171">
        <v>1</v>
      </c>
      <c r="AS1599" s="171">
        <v>1</v>
      </c>
      <c r="AT1599" s="171">
        <v>1</v>
      </c>
      <c r="AU1599" s="171">
        <f t="shared" si="527"/>
        <v>1</v>
      </c>
      <c r="AV1599" s="171">
        <f t="shared" si="528"/>
        <v>1</v>
      </c>
      <c r="AW1599" s="171">
        <f t="shared" si="529"/>
        <v>1</v>
      </c>
      <c r="AX1599" s="171">
        <f t="shared" si="525"/>
        <v>1</v>
      </c>
      <c r="AY1599" s="171">
        <f t="shared" si="530"/>
        <v>0</v>
      </c>
      <c r="AZ1599" s="171">
        <f t="shared" si="531"/>
        <v>1</v>
      </c>
      <c r="BA1599" s="172">
        <f t="shared" si="532"/>
        <v>1</v>
      </c>
      <c r="BB1599" s="175">
        <f t="shared" si="534"/>
        <v>17</v>
      </c>
      <c r="BC1599" s="176">
        <f t="shared" si="535"/>
        <v>16</v>
      </c>
      <c r="BD1599" s="176">
        <f t="shared" si="536"/>
        <v>17</v>
      </c>
      <c r="BE1599" s="240" t="str">
        <f t="shared" si="526"/>
        <v/>
      </c>
      <c r="BF1599" s="990"/>
      <c r="BG1599" s="990"/>
      <c r="BH1599" s="991">
        <f>IF(AND(Input_Product=Elig!$C1599,Elig_MatchAll_Ct&lt;22,$BC1599=(Elig_MatchAll_Ct-1),AF1599=0),C1599,0)</f>
        <v>0</v>
      </c>
      <c r="BI1599" s="991">
        <f>IF(AND(Input_Product=Elig!$C1599,Elig_MatchAll_Ct&lt;22,$BC1599=(Elig_MatchAll_Ct-1),AG1599=0),D1599,0)</f>
        <v>0</v>
      </c>
      <c r="BJ1599" s="991">
        <f>IF(AND(Input_Product=Elig!$C1599,Elig_MatchAll_Ct&lt;22,$BC1599=(Elig_MatchAll_Ct-1),AH1599=0),E1599,0)</f>
        <v>0</v>
      </c>
      <c r="BK1599" s="991">
        <f>IF(AND(Input_Product=Elig!$C1599,Elig_MatchAll_Ct&lt;22,$BC1599=(Elig_MatchAll_Ct-1),AI1599=0),F1599,0)</f>
        <v>0</v>
      </c>
      <c r="BL1599" s="991">
        <f>IF(AND(Input_Product=Elig!$C1599,Elig_MatchAll_Ct&lt;22,$BC1599=(Elig_MatchAll_Ct-1),AJ1599=0),G1599,0)</f>
        <v>0</v>
      </c>
      <c r="BM1599" s="991">
        <f>IF(AND(Input_Product=Elig!$C1599,Elig_MatchAll_Ct&lt;22,$BC1599=(Elig_MatchAll_Ct-1),AK1599=0),H1599,0)</f>
        <v>0</v>
      </c>
      <c r="BN1599" s="991">
        <f>IF(AND(Input_Product=Elig!$C1599,Elig_MatchAll_Ct&lt;22,$BC1599=(Elig_MatchAll_Ct-1),AL1599=0),I1599,0)</f>
        <v>0</v>
      </c>
      <c r="BO1599" s="991">
        <f>IF(AND(Input_Product=Elig!$C1599,Elig_MatchAll_Ct&lt;22,$BC1599=(Elig_MatchAll_Ct-1),AM1599=0),J1599,0)</f>
        <v>0</v>
      </c>
      <c r="BP1599" s="991">
        <f>IF(AND(Input_Product=Elig!$C1599,Elig_MatchAll_Ct&lt;22,$BC1599=(Elig_MatchAll_Ct-1),AN1599=0),K1599,0)</f>
        <v>0</v>
      </c>
      <c r="BQ1599" s="991">
        <f>IF(AND(Input_Product=Elig!$C1599,Elig_MatchAll_Ct&lt;22,$BC1599=(Elig_MatchAll_Ct-1),AP1599=0),L1599,0)</f>
        <v>0</v>
      </c>
      <c r="BR1599" s="991">
        <f>IF(AND(Input_Product=Elig!$C1599,Elig_MatchAll_Ct&lt;22,$BC1599=(Elig_MatchAll_Ct-1),AO1599=0),M1599,0)</f>
        <v>0</v>
      </c>
      <c r="BS1599" s="991">
        <f>IF(AND(Input_Product=Elig!$C1599,Elig_MatchAll_Ct&lt;22,$BC1599=(Elig_MatchAll_Ct-1),AQ1599=0),N1599,0)</f>
        <v>0</v>
      </c>
      <c r="BT1599" s="991">
        <f>IF(AND(Input_Product=Elig!$C1599,Elig_MatchAll_Ct&lt;22,$BC1599=(Elig_MatchAll_Ct-1),AR1599=0),O1599,0)</f>
        <v>0</v>
      </c>
      <c r="BU1599" s="991">
        <f>IF(AND(Input_Product=Elig!$C1599,Elig_MatchAll_Ct&lt;22,$BC1599=(Elig_MatchAll_Ct-1),AS1599=0),P1599,0)</f>
        <v>0</v>
      </c>
      <c r="BV1599" s="992">
        <f>IF(AND(Input_Product=Elig!$C1599,Elig_MatchAll_Ct&lt;22,$BC1599=(Elig_MatchAll_Ct-1),AT1599=0),Q1599,0)</f>
        <v>0</v>
      </c>
      <c r="BW1599" s="993">
        <f>IF(AND(Input_Product=Elig!$C1599,Elig_MatchAll_Ct&lt;22,$BC1599=(Elig_MatchAll_Ct-1),AU1599=0),R1599,0)</f>
        <v>0</v>
      </c>
      <c r="BX1599" s="994">
        <f>IF(AND(Input_Product=Elig!$C1599,Elig_MatchAll_Ct&lt;22,$BC1599=(Elig_MatchAll_Ct-1),AU1599=0),S1599,0)</f>
        <v>0</v>
      </c>
      <c r="BY1599" s="993">
        <f>IF(AND(Input_Product=Elig!$C1599,Elig_MatchAll_Ct&lt;22,$BC1599=(Elig_MatchAll_Ct-1),AV1599=0),T1599,0)</f>
        <v>0</v>
      </c>
      <c r="BZ1599" s="994">
        <f>IF(AND(Input_Product=Elig!$C1599,Elig_MatchAll_Ct&lt;22,$BC1599=(Elig_MatchAll_Ct-1),AV1599=0),U1599,0)</f>
        <v>0</v>
      </c>
      <c r="CA1599" s="993">
        <f>IF(AND(Input_Product=Elig!$C1599,Elig_MatchAll_Ct&lt;22,$BC1599=(Elig_MatchAll_Ct-1),AW1599=0),V1599,0)</f>
        <v>0</v>
      </c>
      <c r="CB1599" s="994">
        <f>IF(AND(Input_Product=Elig!$C1599,Elig_MatchAll_Ct&lt;22,$BC1599=(Elig_MatchAll_Ct-1),AW1599=0),W1599,0)</f>
        <v>0</v>
      </c>
      <c r="CC1599" s="993">
        <f>IF(AND(Input_Product=Elig!$C1599,Elig_MatchAll_Ct&lt;22,$BC1599=(Elig_MatchAll_Ct-1),AX1599=0),X1599,0)</f>
        <v>0</v>
      </c>
      <c r="CD1599" s="994">
        <f>IF(AND(Input_Product=Elig!$C1599,Elig_MatchAll_Ct&lt;22,$BC1599=(Elig_MatchAll_Ct-1),AX1599=0),Y1599,0)</f>
        <v>0</v>
      </c>
      <c r="CE1599" s="993">
        <f>IF(AND(Input_LTV&lt;=AE1599,Input_Product=Elig!$C1599,Elig_MatchAll_Ct&lt;22,$BC1599=(Elig_MatchAll_Ct-1),AY1599=0),Z1599,0)</f>
        <v>0</v>
      </c>
      <c r="CF1599" s="994">
        <f>IF(AND(Input_LTV&lt;=AE1599,Input_Product=Elig!$C1599,Elig_MatchAll_Ct&lt;22,$BC1599=(Elig_MatchAll_Ct-1),AY1599=0),AA1599,0)</f>
        <v>0</v>
      </c>
      <c r="CG1599" s="993">
        <f>IF(AND(Input_Product=Elig!$C1599,Elig_MatchAll_Ct&lt;22,$BC1599=(Elig_MatchAll_Ct-1),AZ1599=0),AB1599,0)</f>
        <v>0</v>
      </c>
      <c r="CH1599" s="994">
        <f>IF(AND(Input_Product=Elig!$C1599,Elig_MatchAll_Ct&lt;22,$BC1599=(Elig_MatchAll_Ct-1),AZ1599=0),AC1599,0)</f>
        <v>0</v>
      </c>
      <c r="CI1599" s="993">
        <f>IF(AND(Input_Product=Elig!$C1599,Elig_MatchAll_Ct&lt;22,$BC1599=(Elig_MatchAll_Ct-1),BA1599=0),AD1599,0)</f>
        <v>0</v>
      </c>
      <c r="CJ1599" s="994">
        <f>IF(AND(Input_Product=Elig!$C1599,Elig_MatchAll_Ct&lt;22,$BC1599=(Elig_MatchAll_Ct-1),BA1599=0),AE1599,0)</f>
        <v>0</v>
      </c>
    </row>
    <row r="1600" spans="2:88" ht="10.15" customHeight="1" x14ac:dyDescent="0.25">
      <c r="B1600" s="997" t="s">
        <v>3651</v>
      </c>
      <c r="C1600" s="1026" t="str">
        <f t="shared" si="533"/>
        <v>HELOC OO</v>
      </c>
      <c r="D1600" s="1027" t="s">
        <v>1984</v>
      </c>
      <c r="E1600" s="1027" t="s">
        <v>4</v>
      </c>
      <c r="F1600" s="1027" t="s">
        <v>329</v>
      </c>
      <c r="G1600" s="1028" t="s">
        <v>303</v>
      </c>
      <c r="H1600" s="1028" t="s">
        <v>136</v>
      </c>
      <c r="I1600" s="1027" t="s">
        <v>1332</v>
      </c>
      <c r="J1600" s="1027" t="s">
        <v>3544</v>
      </c>
      <c r="K1600" s="1028" t="s">
        <v>1791</v>
      </c>
      <c r="L1600" s="1027" t="s">
        <v>430</v>
      </c>
      <c r="M1600" s="1027" t="s">
        <v>2677</v>
      </c>
      <c r="N1600" s="1028" t="s">
        <v>82</v>
      </c>
      <c r="O1600" s="1027" t="s">
        <v>310</v>
      </c>
      <c r="P1600" s="1027" t="s">
        <v>291</v>
      </c>
      <c r="Q1600" s="1027" t="s">
        <v>294</v>
      </c>
      <c r="R1600" s="1027">
        <v>50000</v>
      </c>
      <c r="S1600" s="1027">
        <v>250000</v>
      </c>
      <c r="T1600" s="1027">
        <v>0</v>
      </c>
      <c r="U1600" s="1027">
        <v>250000</v>
      </c>
      <c r="V1600" s="1027">
        <v>0</v>
      </c>
      <c r="W1600" s="1027">
        <v>50</v>
      </c>
      <c r="X1600" s="1027">
        <v>0</v>
      </c>
      <c r="Y1600" s="1027">
        <v>999</v>
      </c>
      <c r="Z1600" s="1029">
        <v>680</v>
      </c>
      <c r="AA1600" s="1029">
        <v>699</v>
      </c>
      <c r="AB1600" s="1029">
        <v>0</v>
      </c>
      <c r="AC1600" s="1029">
        <v>999999</v>
      </c>
      <c r="AD1600" s="1027">
        <v>0</v>
      </c>
      <c r="AE1600" s="1030">
        <v>75</v>
      </c>
      <c r="AF1600" s="170">
        <v>0</v>
      </c>
      <c r="AG1600" s="171">
        <v>0</v>
      </c>
      <c r="AH1600" s="171">
        <v>0</v>
      </c>
      <c r="AI1600" s="171">
        <v>0</v>
      </c>
      <c r="AJ1600" s="171">
        <v>1</v>
      </c>
      <c r="AK1600" s="171">
        <v>1</v>
      </c>
      <c r="AL1600" s="171">
        <v>1</v>
      </c>
      <c r="AM1600" s="171">
        <v>1</v>
      </c>
      <c r="AN1600" s="171">
        <v>1</v>
      </c>
      <c r="AO1600" s="171">
        <v>1</v>
      </c>
      <c r="AP1600" s="171">
        <v>1</v>
      </c>
      <c r="AQ1600" s="171">
        <v>1</v>
      </c>
      <c r="AR1600" s="171">
        <v>1</v>
      </c>
      <c r="AS1600" s="171">
        <v>1</v>
      </c>
      <c r="AT1600" s="171">
        <v>1</v>
      </c>
      <c r="AU1600" s="171">
        <f t="shared" si="527"/>
        <v>1</v>
      </c>
      <c r="AV1600" s="171">
        <f t="shared" si="528"/>
        <v>1</v>
      </c>
      <c r="AW1600" s="171">
        <f t="shared" si="529"/>
        <v>1</v>
      </c>
      <c r="AX1600" s="171">
        <f t="shared" si="525"/>
        <v>1</v>
      </c>
      <c r="AY1600" s="171">
        <f t="shared" si="530"/>
        <v>0</v>
      </c>
      <c r="AZ1600" s="171">
        <f t="shared" si="531"/>
        <v>1</v>
      </c>
      <c r="BA1600" s="172">
        <f t="shared" si="532"/>
        <v>1</v>
      </c>
      <c r="BB1600" s="175">
        <f t="shared" si="534"/>
        <v>17</v>
      </c>
      <c r="BC1600" s="176">
        <f t="shared" si="535"/>
        <v>16</v>
      </c>
      <c r="BD1600" s="176">
        <f t="shared" si="536"/>
        <v>17</v>
      </c>
      <c r="BE1600" s="240" t="str">
        <f t="shared" si="526"/>
        <v/>
      </c>
      <c r="BF1600" s="990"/>
      <c r="BG1600" s="990"/>
      <c r="BH1600" s="991">
        <f>IF(AND(Input_Product=Elig!$C1600,Elig_MatchAll_Ct&lt;22,$BC1600=(Elig_MatchAll_Ct-1),AF1600=0),C1600,0)</f>
        <v>0</v>
      </c>
      <c r="BI1600" s="991">
        <f>IF(AND(Input_Product=Elig!$C1600,Elig_MatchAll_Ct&lt;22,$BC1600=(Elig_MatchAll_Ct-1),AG1600=0),D1600,0)</f>
        <v>0</v>
      </c>
      <c r="BJ1600" s="991">
        <f>IF(AND(Input_Product=Elig!$C1600,Elig_MatchAll_Ct&lt;22,$BC1600=(Elig_MatchAll_Ct-1),AH1600=0),E1600,0)</f>
        <v>0</v>
      </c>
      <c r="BK1600" s="991">
        <f>IF(AND(Input_Product=Elig!$C1600,Elig_MatchAll_Ct&lt;22,$BC1600=(Elig_MatchAll_Ct-1),AI1600=0),F1600,0)</f>
        <v>0</v>
      </c>
      <c r="BL1600" s="991">
        <f>IF(AND(Input_Product=Elig!$C1600,Elig_MatchAll_Ct&lt;22,$BC1600=(Elig_MatchAll_Ct-1),AJ1600=0),G1600,0)</f>
        <v>0</v>
      </c>
      <c r="BM1600" s="991">
        <f>IF(AND(Input_Product=Elig!$C1600,Elig_MatchAll_Ct&lt;22,$BC1600=(Elig_MatchAll_Ct-1),AK1600=0),H1600,0)</f>
        <v>0</v>
      </c>
      <c r="BN1600" s="991">
        <f>IF(AND(Input_Product=Elig!$C1600,Elig_MatchAll_Ct&lt;22,$BC1600=(Elig_MatchAll_Ct-1),AL1600=0),I1600,0)</f>
        <v>0</v>
      </c>
      <c r="BO1600" s="991">
        <f>IF(AND(Input_Product=Elig!$C1600,Elig_MatchAll_Ct&lt;22,$BC1600=(Elig_MatchAll_Ct-1),AM1600=0),J1600,0)</f>
        <v>0</v>
      </c>
      <c r="BP1600" s="991">
        <f>IF(AND(Input_Product=Elig!$C1600,Elig_MatchAll_Ct&lt;22,$BC1600=(Elig_MatchAll_Ct-1),AN1600=0),K1600,0)</f>
        <v>0</v>
      </c>
      <c r="BQ1600" s="991">
        <f>IF(AND(Input_Product=Elig!$C1600,Elig_MatchAll_Ct&lt;22,$BC1600=(Elig_MatchAll_Ct-1),AP1600=0),L1600,0)</f>
        <v>0</v>
      </c>
      <c r="BR1600" s="991">
        <f>IF(AND(Input_Product=Elig!$C1600,Elig_MatchAll_Ct&lt;22,$BC1600=(Elig_MatchAll_Ct-1),AO1600=0),M1600,0)</f>
        <v>0</v>
      </c>
      <c r="BS1600" s="991">
        <f>IF(AND(Input_Product=Elig!$C1600,Elig_MatchAll_Ct&lt;22,$BC1600=(Elig_MatchAll_Ct-1),AQ1600=0),N1600,0)</f>
        <v>0</v>
      </c>
      <c r="BT1600" s="991">
        <f>IF(AND(Input_Product=Elig!$C1600,Elig_MatchAll_Ct&lt;22,$BC1600=(Elig_MatchAll_Ct-1),AR1600=0),O1600,0)</f>
        <v>0</v>
      </c>
      <c r="BU1600" s="991">
        <f>IF(AND(Input_Product=Elig!$C1600,Elig_MatchAll_Ct&lt;22,$BC1600=(Elig_MatchAll_Ct-1),AS1600=0),P1600,0)</f>
        <v>0</v>
      </c>
      <c r="BV1600" s="992">
        <f>IF(AND(Input_Product=Elig!$C1600,Elig_MatchAll_Ct&lt;22,$BC1600=(Elig_MatchAll_Ct-1),AT1600=0),Q1600,0)</f>
        <v>0</v>
      </c>
      <c r="BW1600" s="993">
        <f>IF(AND(Input_Product=Elig!$C1600,Elig_MatchAll_Ct&lt;22,$BC1600=(Elig_MatchAll_Ct-1),AU1600=0),R1600,0)</f>
        <v>0</v>
      </c>
      <c r="BX1600" s="994">
        <f>IF(AND(Input_Product=Elig!$C1600,Elig_MatchAll_Ct&lt;22,$BC1600=(Elig_MatchAll_Ct-1),AU1600=0),S1600,0)</f>
        <v>0</v>
      </c>
      <c r="BY1600" s="993">
        <f>IF(AND(Input_Product=Elig!$C1600,Elig_MatchAll_Ct&lt;22,$BC1600=(Elig_MatchAll_Ct-1),AV1600=0),T1600,0)</f>
        <v>0</v>
      </c>
      <c r="BZ1600" s="994">
        <f>IF(AND(Input_Product=Elig!$C1600,Elig_MatchAll_Ct&lt;22,$BC1600=(Elig_MatchAll_Ct-1),AV1600=0),U1600,0)</f>
        <v>0</v>
      </c>
      <c r="CA1600" s="993">
        <f>IF(AND(Input_Product=Elig!$C1600,Elig_MatchAll_Ct&lt;22,$BC1600=(Elig_MatchAll_Ct-1),AW1600=0),V1600,0)</f>
        <v>0</v>
      </c>
      <c r="CB1600" s="994">
        <f>IF(AND(Input_Product=Elig!$C1600,Elig_MatchAll_Ct&lt;22,$BC1600=(Elig_MatchAll_Ct-1),AW1600=0),W1600,0)</f>
        <v>0</v>
      </c>
      <c r="CC1600" s="993">
        <f>IF(AND(Input_Product=Elig!$C1600,Elig_MatchAll_Ct&lt;22,$BC1600=(Elig_MatchAll_Ct-1),AX1600=0),X1600,0)</f>
        <v>0</v>
      </c>
      <c r="CD1600" s="994">
        <f>IF(AND(Input_Product=Elig!$C1600,Elig_MatchAll_Ct&lt;22,$BC1600=(Elig_MatchAll_Ct-1),AX1600=0),Y1600,0)</f>
        <v>0</v>
      </c>
      <c r="CE1600" s="993">
        <f>IF(AND(Input_LTV&lt;=AE1600,Input_Product=Elig!$C1600,Elig_MatchAll_Ct&lt;22,$BC1600=(Elig_MatchAll_Ct-1),AY1600=0),Z1600,0)</f>
        <v>0</v>
      </c>
      <c r="CF1600" s="994">
        <f>IF(AND(Input_LTV&lt;=AE1600,Input_Product=Elig!$C1600,Elig_MatchAll_Ct&lt;22,$BC1600=(Elig_MatchAll_Ct-1),AY1600=0),AA1600,0)</f>
        <v>0</v>
      </c>
      <c r="CG1600" s="993">
        <f>IF(AND(Input_Product=Elig!$C1600,Elig_MatchAll_Ct&lt;22,$BC1600=(Elig_MatchAll_Ct-1),AZ1600=0),AB1600,0)</f>
        <v>0</v>
      </c>
      <c r="CH1600" s="994">
        <f>IF(AND(Input_Product=Elig!$C1600,Elig_MatchAll_Ct&lt;22,$BC1600=(Elig_MatchAll_Ct-1),AZ1600=0),AC1600,0)</f>
        <v>0</v>
      </c>
      <c r="CI1600" s="993">
        <f>IF(AND(Input_Product=Elig!$C1600,Elig_MatchAll_Ct&lt;22,$BC1600=(Elig_MatchAll_Ct-1),BA1600=0),AD1600,0)</f>
        <v>0</v>
      </c>
      <c r="CJ1600" s="994">
        <f>IF(AND(Input_Product=Elig!$C1600,Elig_MatchAll_Ct&lt;22,$BC1600=(Elig_MatchAll_Ct-1),BA1600=0),AE1600,0)</f>
        <v>0</v>
      </c>
    </row>
    <row r="1601" spans="2:88" ht="10.15" customHeight="1" x14ac:dyDescent="0.25">
      <c r="B1601" s="997" t="s">
        <v>3652</v>
      </c>
      <c r="C1601" s="999" t="str">
        <f t="shared" si="533"/>
        <v>HELOC OO</v>
      </c>
      <c r="D1601" s="1000" t="s">
        <v>1984</v>
      </c>
      <c r="E1601" s="1000" t="s">
        <v>4</v>
      </c>
      <c r="F1601" s="1000" t="s">
        <v>329</v>
      </c>
      <c r="G1601" s="1000" t="s">
        <v>175</v>
      </c>
      <c r="H1601" s="1000" t="s">
        <v>446</v>
      </c>
      <c r="I1601" s="1001" t="s">
        <v>1332</v>
      </c>
      <c r="J1601" s="1001" t="s">
        <v>3544</v>
      </c>
      <c r="K1601" s="1000" t="s">
        <v>1791</v>
      </c>
      <c r="L1601" s="1001" t="s">
        <v>430</v>
      </c>
      <c r="M1601" s="1001" t="s">
        <v>2677</v>
      </c>
      <c r="N1601" s="1000" t="s">
        <v>82</v>
      </c>
      <c r="O1601" s="1001" t="s">
        <v>310</v>
      </c>
      <c r="P1601" s="1001" t="s">
        <v>291</v>
      </c>
      <c r="Q1601" s="1001" t="s">
        <v>294</v>
      </c>
      <c r="R1601" s="1001">
        <v>50000</v>
      </c>
      <c r="S1601" s="1001">
        <v>250000</v>
      </c>
      <c r="T1601" s="1001">
        <v>0</v>
      </c>
      <c r="U1601" s="1001">
        <v>250000</v>
      </c>
      <c r="V1601" s="1001">
        <v>0</v>
      </c>
      <c r="W1601" s="1001">
        <v>50</v>
      </c>
      <c r="X1601" s="1001">
        <v>0</v>
      </c>
      <c r="Y1601" s="1001">
        <v>999</v>
      </c>
      <c r="Z1601" s="998">
        <v>740</v>
      </c>
      <c r="AA1601" s="998">
        <v>999</v>
      </c>
      <c r="AB1601" s="1002">
        <v>0</v>
      </c>
      <c r="AC1601" s="1002">
        <v>999999</v>
      </c>
      <c r="AD1601" s="1001">
        <v>0</v>
      </c>
      <c r="AE1601" s="1001">
        <v>75</v>
      </c>
      <c r="AF1601" s="170">
        <v>0</v>
      </c>
      <c r="AG1601" s="171">
        <v>0</v>
      </c>
      <c r="AH1601" s="171">
        <v>0</v>
      </c>
      <c r="AI1601" s="171">
        <v>0</v>
      </c>
      <c r="AJ1601" s="171">
        <v>0</v>
      </c>
      <c r="AK1601" s="171">
        <v>0</v>
      </c>
      <c r="AL1601" s="171">
        <v>1</v>
      </c>
      <c r="AM1601" s="171">
        <v>1</v>
      </c>
      <c r="AN1601" s="171">
        <v>1</v>
      </c>
      <c r="AO1601" s="171">
        <v>1</v>
      </c>
      <c r="AP1601" s="171">
        <v>1</v>
      </c>
      <c r="AQ1601" s="171">
        <v>1</v>
      </c>
      <c r="AR1601" s="171">
        <v>1</v>
      </c>
      <c r="AS1601" s="171">
        <v>1</v>
      </c>
      <c r="AT1601" s="171">
        <v>1</v>
      </c>
      <c r="AU1601" s="171">
        <f t="shared" si="527"/>
        <v>1</v>
      </c>
      <c r="AV1601" s="171">
        <f t="shared" si="528"/>
        <v>1</v>
      </c>
      <c r="AW1601" s="171">
        <f t="shared" si="529"/>
        <v>1</v>
      </c>
      <c r="AX1601" s="171">
        <f t="shared" si="525"/>
        <v>1</v>
      </c>
      <c r="AY1601" s="171">
        <f t="shared" si="530"/>
        <v>1</v>
      </c>
      <c r="AZ1601" s="171">
        <f t="shared" si="531"/>
        <v>1</v>
      </c>
      <c r="BA1601" s="172">
        <f t="shared" si="532"/>
        <v>1</v>
      </c>
      <c r="BB1601" s="175">
        <f t="shared" si="534"/>
        <v>16</v>
      </c>
      <c r="BC1601" s="176">
        <f t="shared" si="535"/>
        <v>15</v>
      </c>
      <c r="BD1601" s="176">
        <f t="shared" si="536"/>
        <v>16</v>
      </c>
      <c r="BE1601" s="240" t="str">
        <f t="shared" si="526"/>
        <v/>
      </c>
      <c r="BF1601" s="989"/>
      <c r="BG1601" s="989"/>
      <c r="BH1601" s="991">
        <f>IF(AND(Input_Product=Elig!$C1601,Elig_MatchAll_Ct&lt;22,$BC1601=(Elig_MatchAll_Ct-1),AF1601=0),C1601,0)</f>
        <v>0</v>
      </c>
      <c r="BI1601" s="991">
        <f>IF(AND(Input_Product=Elig!$C1601,Elig_MatchAll_Ct&lt;22,$BC1601=(Elig_MatchAll_Ct-1),AG1601=0),D1601,0)</f>
        <v>0</v>
      </c>
      <c r="BJ1601" s="991">
        <f>IF(AND(Input_Product=Elig!$C1601,Elig_MatchAll_Ct&lt;22,$BC1601=(Elig_MatchAll_Ct-1),AH1601=0),E1601,0)</f>
        <v>0</v>
      </c>
      <c r="BK1601" s="991">
        <f>IF(AND(Input_Product=Elig!$C1601,Elig_MatchAll_Ct&lt;22,$BC1601=(Elig_MatchAll_Ct-1),AI1601=0),F1601,0)</f>
        <v>0</v>
      </c>
      <c r="BL1601" s="991">
        <f>IF(AND(Input_Product=Elig!$C1601,Elig_MatchAll_Ct&lt;22,$BC1601=(Elig_MatchAll_Ct-1),AJ1601=0),G1601,0)</f>
        <v>0</v>
      </c>
      <c r="BM1601" s="991">
        <f>IF(AND(Input_Product=Elig!$C1601,Elig_MatchAll_Ct&lt;22,$BC1601=(Elig_MatchAll_Ct-1),AK1601=0),H1601,0)</f>
        <v>0</v>
      </c>
      <c r="BN1601" s="991">
        <f>IF(AND(Input_Product=Elig!$C1601,Elig_MatchAll_Ct&lt;22,$BC1601=(Elig_MatchAll_Ct-1),AL1601=0),I1601,0)</f>
        <v>0</v>
      </c>
      <c r="BO1601" s="991">
        <f>IF(AND(Input_Product=Elig!$C1601,Elig_MatchAll_Ct&lt;22,$BC1601=(Elig_MatchAll_Ct-1),AM1601=0),J1601,0)</f>
        <v>0</v>
      </c>
      <c r="BP1601" s="991">
        <f>IF(AND(Input_Product=Elig!$C1601,Elig_MatchAll_Ct&lt;22,$BC1601=(Elig_MatchAll_Ct-1),AN1601=0),K1601,0)</f>
        <v>0</v>
      </c>
      <c r="BQ1601" s="991">
        <f>IF(AND(Input_Product=Elig!$C1601,Elig_MatchAll_Ct&lt;22,$BC1601=(Elig_MatchAll_Ct-1),AP1601=0),L1601,0)</f>
        <v>0</v>
      </c>
      <c r="BR1601" s="991">
        <f>IF(AND(Input_Product=Elig!$C1601,Elig_MatchAll_Ct&lt;22,$BC1601=(Elig_MatchAll_Ct-1),AO1601=0),M1601,0)</f>
        <v>0</v>
      </c>
      <c r="BS1601" s="991">
        <f>IF(AND(Input_Product=Elig!$C1601,Elig_MatchAll_Ct&lt;22,$BC1601=(Elig_MatchAll_Ct-1),AQ1601=0),N1601,0)</f>
        <v>0</v>
      </c>
      <c r="BT1601" s="991">
        <f>IF(AND(Input_Product=Elig!$C1601,Elig_MatchAll_Ct&lt;22,$BC1601=(Elig_MatchAll_Ct-1),AR1601=0),O1601,0)</f>
        <v>0</v>
      </c>
      <c r="BU1601" s="991">
        <f>IF(AND(Input_Product=Elig!$C1601,Elig_MatchAll_Ct&lt;22,$BC1601=(Elig_MatchAll_Ct-1),AS1601=0),P1601,0)</f>
        <v>0</v>
      </c>
      <c r="BV1601" s="992">
        <f>IF(AND(Input_Product=Elig!$C1601,Elig_MatchAll_Ct&lt;22,$BC1601=(Elig_MatchAll_Ct-1),AT1601=0),Q1601,0)</f>
        <v>0</v>
      </c>
      <c r="BW1601" s="993">
        <f>IF(AND(Input_Product=Elig!$C1601,Elig_MatchAll_Ct&lt;22,$BC1601=(Elig_MatchAll_Ct-1),AU1601=0),R1601,0)</f>
        <v>0</v>
      </c>
      <c r="BX1601" s="994">
        <f>IF(AND(Input_Product=Elig!$C1601,Elig_MatchAll_Ct&lt;22,$BC1601=(Elig_MatchAll_Ct-1),AU1601=0),S1601,0)</f>
        <v>0</v>
      </c>
      <c r="BY1601" s="993">
        <f>IF(AND(Input_Product=Elig!$C1601,Elig_MatchAll_Ct&lt;22,$BC1601=(Elig_MatchAll_Ct-1),AV1601=0),T1601,0)</f>
        <v>0</v>
      </c>
      <c r="BZ1601" s="994">
        <f>IF(AND(Input_Product=Elig!$C1601,Elig_MatchAll_Ct&lt;22,$BC1601=(Elig_MatchAll_Ct-1),AV1601=0),U1601,0)</f>
        <v>0</v>
      </c>
      <c r="CA1601" s="993">
        <f>IF(AND(Input_Product=Elig!$C1601,Elig_MatchAll_Ct&lt;22,$BC1601=(Elig_MatchAll_Ct-1),AW1601=0),V1601,0)</f>
        <v>0</v>
      </c>
      <c r="CB1601" s="994">
        <f>IF(AND(Input_Product=Elig!$C1601,Elig_MatchAll_Ct&lt;22,$BC1601=(Elig_MatchAll_Ct-1),AW1601=0),W1601,0)</f>
        <v>0</v>
      </c>
      <c r="CC1601" s="993">
        <f>IF(AND(Input_Product=Elig!$C1601,Elig_MatchAll_Ct&lt;22,$BC1601=(Elig_MatchAll_Ct-1),AX1601=0),X1601,0)</f>
        <v>0</v>
      </c>
      <c r="CD1601" s="994">
        <f>IF(AND(Input_Product=Elig!$C1601,Elig_MatchAll_Ct&lt;22,$BC1601=(Elig_MatchAll_Ct-1),AX1601=0),Y1601,0)</f>
        <v>0</v>
      </c>
      <c r="CE1601" s="993">
        <f>IF(AND(Input_LTV&lt;=AE1601,Input_Product=Elig!$C1601,Elig_MatchAll_Ct&lt;22,$BC1601=(Elig_MatchAll_Ct-1),AY1601=0),Z1601,0)</f>
        <v>0</v>
      </c>
      <c r="CF1601" s="994">
        <f>IF(AND(Input_LTV&lt;=AE1601,Input_Product=Elig!$C1601,Elig_MatchAll_Ct&lt;22,$BC1601=(Elig_MatchAll_Ct-1),AY1601=0),AA1601,0)</f>
        <v>0</v>
      </c>
      <c r="CG1601" s="993">
        <f>IF(AND(Input_Product=Elig!$C1601,Elig_MatchAll_Ct&lt;22,$BC1601=(Elig_MatchAll_Ct-1),AZ1601=0),AB1601,0)</f>
        <v>0</v>
      </c>
      <c r="CH1601" s="994">
        <f>IF(AND(Input_Product=Elig!$C1601,Elig_MatchAll_Ct&lt;22,$BC1601=(Elig_MatchAll_Ct-1),AZ1601=0),AC1601,0)</f>
        <v>0</v>
      </c>
      <c r="CI1601" s="993">
        <f>IF(AND(Input_Product=Elig!$C1601,Elig_MatchAll_Ct&lt;22,$BC1601=(Elig_MatchAll_Ct-1),BA1601=0),AD1601,0)</f>
        <v>0</v>
      </c>
      <c r="CJ1601" s="994">
        <f>IF(AND(Input_Product=Elig!$C1601,Elig_MatchAll_Ct&lt;22,$BC1601=(Elig_MatchAll_Ct-1),BA1601=0),AE1601,0)</f>
        <v>0</v>
      </c>
    </row>
    <row r="1602" spans="2:88" ht="10.15" customHeight="1" x14ac:dyDescent="0.25">
      <c r="B1602" s="997" t="s">
        <v>3653</v>
      </c>
      <c r="C1602" s="995" t="str">
        <f t="shared" si="533"/>
        <v>HELOC OO</v>
      </c>
      <c r="D1602" s="997" t="s">
        <v>1984</v>
      </c>
      <c r="E1602" s="997" t="s">
        <v>4</v>
      </c>
      <c r="F1602" s="997" t="s">
        <v>329</v>
      </c>
      <c r="G1602" s="996" t="s">
        <v>175</v>
      </c>
      <c r="H1602" s="996" t="s">
        <v>446</v>
      </c>
      <c r="I1602" s="997" t="s">
        <v>1332</v>
      </c>
      <c r="J1602" s="997" t="s">
        <v>3544</v>
      </c>
      <c r="K1602" s="996" t="s">
        <v>1791</v>
      </c>
      <c r="L1602" s="997" t="s">
        <v>430</v>
      </c>
      <c r="M1602" s="997" t="s">
        <v>2677</v>
      </c>
      <c r="N1602" s="996" t="s">
        <v>82</v>
      </c>
      <c r="O1602" s="997" t="s">
        <v>310</v>
      </c>
      <c r="P1602" s="997" t="s">
        <v>291</v>
      </c>
      <c r="Q1602" s="997" t="s">
        <v>294</v>
      </c>
      <c r="R1602" s="997">
        <v>50000</v>
      </c>
      <c r="S1602" s="997">
        <v>250000</v>
      </c>
      <c r="T1602" s="997">
        <v>0</v>
      </c>
      <c r="U1602" s="997">
        <v>250000</v>
      </c>
      <c r="V1602" s="997">
        <v>0</v>
      </c>
      <c r="W1602" s="997">
        <v>50</v>
      </c>
      <c r="X1602" s="997">
        <v>0</v>
      </c>
      <c r="Y1602" s="997">
        <v>999</v>
      </c>
      <c r="Z1602" s="998">
        <v>700</v>
      </c>
      <c r="AA1602" s="998">
        <v>719</v>
      </c>
      <c r="AB1602" s="998">
        <v>0</v>
      </c>
      <c r="AC1602" s="998">
        <v>999999</v>
      </c>
      <c r="AD1602" s="997">
        <v>0</v>
      </c>
      <c r="AE1602" s="997">
        <v>75</v>
      </c>
      <c r="AF1602" s="170">
        <v>0</v>
      </c>
      <c r="AG1602" s="171">
        <v>0</v>
      </c>
      <c r="AH1602" s="171">
        <v>0</v>
      </c>
      <c r="AI1602" s="171">
        <v>0</v>
      </c>
      <c r="AJ1602" s="171">
        <v>0</v>
      </c>
      <c r="AK1602" s="171">
        <v>0</v>
      </c>
      <c r="AL1602" s="171">
        <v>1</v>
      </c>
      <c r="AM1602" s="171">
        <v>1</v>
      </c>
      <c r="AN1602" s="171">
        <v>1</v>
      </c>
      <c r="AO1602" s="171">
        <v>1</v>
      </c>
      <c r="AP1602" s="171">
        <v>1</v>
      </c>
      <c r="AQ1602" s="171">
        <v>1</v>
      </c>
      <c r="AR1602" s="171">
        <v>1</v>
      </c>
      <c r="AS1602" s="171">
        <v>1</v>
      </c>
      <c r="AT1602" s="171">
        <v>1</v>
      </c>
      <c r="AU1602" s="171">
        <f t="shared" si="527"/>
        <v>1</v>
      </c>
      <c r="AV1602" s="171">
        <f t="shared" si="528"/>
        <v>1</v>
      </c>
      <c r="AW1602" s="171">
        <f t="shared" si="529"/>
        <v>1</v>
      </c>
      <c r="AX1602" s="171">
        <f t="shared" si="525"/>
        <v>1</v>
      </c>
      <c r="AY1602" s="171">
        <f t="shared" si="530"/>
        <v>0</v>
      </c>
      <c r="AZ1602" s="171">
        <f t="shared" si="531"/>
        <v>1</v>
      </c>
      <c r="BA1602" s="172">
        <f t="shared" si="532"/>
        <v>1</v>
      </c>
      <c r="BB1602" s="175">
        <f t="shared" si="534"/>
        <v>15</v>
      </c>
      <c r="BC1602" s="176">
        <f t="shared" si="535"/>
        <v>14</v>
      </c>
      <c r="BD1602" s="176">
        <f t="shared" si="536"/>
        <v>15</v>
      </c>
      <c r="BE1602" s="240" t="str">
        <f t="shared" si="526"/>
        <v/>
      </c>
      <c r="BF1602" s="990"/>
      <c r="BG1602" s="990"/>
      <c r="BH1602" s="991">
        <f>IF(AND(Input_Product=Elig!$C1602,Elig_MatchAll_Ct&lt;22,$BC1602=(Elig_MatchAll_Ct-1),AF1602=0),C1602,0)</f>
        <v>0</v>
      </c>
      <c r="BI1602" s="991">
        <f>IF(AND(Input_Product=Elig!$C1602,Elig_MatchAll_Ct&lt;22,$BC1602=(Elig_MatchAll_Ct-1),AG1602=0),D1602,0)</f>
        <v>0</v>
      </c>
      <c r="BJ1602" s="991">
        <f>IF(AND(Input_Product=Elig!$C1602,Elig_MatchAll_Ct&lt;22,$BC1602=(Elig_MatchAll_Ct-1),AH1602=0),E1602,0)</f>
        <v>0</v>
      </c>
      <c r="BK1602" s="991">
        <f>IF(AND(Input_Product=Elig!$C1602,Elig_MatchAll_Ct&lt;22,$BC1602=(Elig_MatchAll_Ct-1),AI1602=0),F1602,0)</f>
        <v>0</v>
      </c>
      <c r="BL1602" s="991">
        <f>IF(AND(Input_Product=Elig!$C1602,Elig_MatchAll_Ct&lt;22,$BC1602=(Elig_MatchAll_Ct-1),AJ1602=0),G1602,0)</f>
        <v>0</v>
      </c>
      <c r="BM1602" s="991">
        <f>IF(AND(Input_Product=Elig!$C1602,Elig_MatchAll_Ct&lt;22,$BC1602=(Elig_MatchAll_Ct-1),AK1602=0),H1602,0)</f>
        <v>0</v>
      </c>
      <c r="BN1602" s="991">
        <f>IF(AND(Input_Product=Elig!$C1602,Elig_MatchAll_Ct&lt;22,$BC1602=(Elig_MatchAll_Ct-1),AL1602=0),I1602,0)</f>
        <v>0</v>
      </c>
      <c r="BO1602" s="991">
        <f>IF(AND(Input_Product=Elig!$C1602,Elig_MatchAll_Ct&lt;22,$BC1602=(Elig_MatchAll_Ct-1),AM1602=0),J1602,0)</f>
        <v>0</v>
      </c>
      <c r="BP1602" s="991">
        <f>IF(AND(Input_Product=Elig!$C1602,Elig_MatchAll_Ct&lt;22,$BC1602=(Elig_MatchAll_Ct-1),AN1602=0),K1602,0)</f>
        <v>0</v>
      </c>
      <c r="BQ1602" s="991">
        <f>IF(AND(Input_Product=Elig!$C1602,Elig_MatchAll_Ct&lt;22,$BC1602=(Elig_MatchAll_Ct-1),AP1602=0),L1602,0)</f>
        <v>0</v>
      </c>
      <c r="BR1602" s="991">
        <f>IF(AND(Input_Product=Elig!$C1602,Elig_MatchAll_Ct&lt;22,$BC1602=(Elig_MatchAll_Ct-1),AO1602=0),M1602,0)</f>
        <v>0</v>
      </c>
      <c r="BS1602" s="991">
        <f>IF(AND(Input_Product=Elig!$C1602,Elig_MatchAll_Ct&lt;22,$BC1602=(Elig_MatchAll_Ct-1),AQ1602=0),N1602,0)</f>
        <v>0</v>
      </c>
      <c r="BT1602" s="991">
        <f>IF(AND(Input_Product=Elig!$C1602,Elig_MatchAll_Ct&lt;22,$BC1602=(Elig_MatchAll_Ct-1),AR1602=0),O1602,0)</f>
        <v>0</v>
      </c>
      <c r="BU1602" s="991">
        <f>IF(AND(Input_Product=Elig!$C1602,Elig_MatchAll_Ct&lt;22,$BC1602=(Elig_MatchAll_Ct-1),AS1602=0),P1602,0)</f>
        <v>0</v>
      </c>
      <c r="BV1602" s="992">
        <f>IF(AND(Input_Product=Elig!$C1602,Elig_MatchAll_Ct&lt;22,$BC1602=(Elig_MatchAll_Ct-1),AT1602=0),Q1602,0)</f>
        <v>0</v>
      </c>
      <c r="BW1602" s="993">
        <f>IF(AND(Input_Product=Elig!$C1602,Elig_MatchAll_Ct&lt;22,$BC1602=(Elig_MatchAll_Ct-1),AU1602=0),R1602,0)</f>
        <v>0</v>
      </c>
      <c r="BX1602" s="994">
        <f>IF(AND(Input_Product=Elig!$C1602,Elig_MatchAll_Ct&lt;22,$BC1602=(Elig_MatchAll_Ct-1),AU1602=0),S1602,0)</f>
        <v>0</v>
      </c>
      <c r="BY1602" s="993">
        <f>IF(AND(Input_Product=Elig!$C1602,Elig_MatchAll_Ct&lt;22,$BC1602=(Elig_MatchAll_Ct-1),AV1602=0),T1602,0)</f>
        <v>0</v>
      </c>
      <c r="BZ1602" s="994">
        <f>IF(AND(Input_Product=Elig!$C1602,Elig_MatchAll_Ct&lt;22,$BC1602=(Elig_MatchAll_Ct-1),AV1602=0),U1602,0)</f>
        <v>0</v>
      </c>
      <c r="CA1602" s="993">
        <f>IF(AND(Input_Product=Elig!$C1602,Elig_MatchAll_Ct&lt;22,$BC1602=(Elig_MatchAll_Ct-1),AW1602=0),V1602,0)</f>
        <v>0</v>
      </c>
      <c r="CB1602" s="994">
        <f>IF(AND(Input_Product=Elig!$C1602,Elig_MatchAll_Ct&lt;22,$BC1602=(Elig_MatchAll_Ct-1),AW1602=0),W1602,0)</f>
        <v>0</v>
      </c>
      <c r="CC1602" s="993">
        <f>IF(AND(Input_Product=Elig!$C1602,Elig_MatchAll_Ct&lt;22,$BC1602=(Elig_MatchAll_Ct-1),AX1602=0),X1602,0)</f>
        <v>0</v>
      </c>
      <c r="CD1602" s="994">
        <f>IF(AND(Input_Product=Elig!$C1602,Elig_MatchAll_Ct&lt;22,$BC1602=(Elig_MatchAll_Ct-1),AX1602=0),Y1602,0)</f>
        <v>0</v>
      </c>
      <c r="CE1602" s="993">
        <f>IF(AND(Input_LTV&lt;=AE1602,Input_Product=Elig!$C1602,Elig_MatchAll_Ct&lt;22,$BC1602=(Elig_MatchAll_Ct-1),AY1602=0),Z1602,0)</f>
        <v>0</v>
      </c>
      <c r="CF1602" s="994">
        <f>IF(AND(Input_LTV&lt;=AE1602,Input_Product=Elig!$C1602,Elig_MatchAll_Ct&lt;22,$BC1602=(Elig_MatchAll_Ct-1),AY1602=0),AA1602,0)</f>
        <v>0</v>
      </c>
      <c r="CG1602" s="993">
        <f>IF(AND(Input_Product=Elig!$C1602,Elig_MatchAll_Ct&lt;22,$BC1602=(Elig_MatchAll_Ct-1),AZ1602=0),AB1602,0)</f>
        <v>0</v>
      </c>
      <c r="CH1602" s="994">
        <f>IF(AND(Input_Product=Elig!$C1602,Elig_MatchAll_Ct&lt;22,$BC1602=(Elig_MatchAll_Ct-1),AZ1602=0),AC1602,0)</f>
        <v>0</v>
      </c>
      <c r="CI1602" s="993">
        <f>IF(AND(Input_Product=Elig!$C1602,Elig_MatchAll_Ct&lt;22,$BC1602=(Elig_MatchAll_Ct-1),BA1602=0),AD1602,0)</f>
        <v>0</v>
      </c>
      <c r="CJ1602" s="994">
        <f>IF(AND(Input_Product=Elig!$C1602,Elig_MatchAll_Ct&lt;22,$BC1602=(Elig_MatchAll_Ct-1),BA1602=0),AE1602,0)</f>
        <v>0</v>
      </c>
    </row>
    <row r="1603" spans="2:88" ht="10.15" customHeight="1" x14ac:dyDescent="0.25">
      <c r="B1603" s="997" t="s">
        <v>3654</v>
      </c>
      <c r="C1603" s="1026" t="str">
        <f t="shared" si="533"/>
        <v>HELOC OO</v>
      </c>
      <c r="D1603" s="1027" t="s">
        <v>1984</v>
      </c>
      <c r="E1603" s="1027" t="s">
        <v>4</v>
      </c>
      <c r="F1603" s="1027" t="s">
        <v>329</v>
      </c>
      <c r="G1603" s="1028" t="s">
        <v>175</v>
      </c>
      <c r="H1603" s="1028" t="s">
        <v>446</v>
      </c>
      <c r="I1603" s="1027" t="s">
        <v>1332</v>
      </c>
      <c r="J1603" s="1027" t="s">
        <v>3544</v>
      </c>
      <c r="K1603" s="1028" t="s">
        <v>1791</v>
      </c>
      <c r="L1603" s="1027" t="s">
        <v>430</v>
      </c>
      <c r="M1603" s="1027" t="s">
        <v>2677</v>
      </c>
      <c r="N1603" s="1028" t="s">
        <v>82</v>
      </c>
      <c r="O1603" s="1027" t="s">
        <v>310</v>
      </c>
      <c r="P1603" s="1027" t="s">
        <v>291</v>
      </c>
      <c r="Q1603" s="1027" t="s">
        <v>294</v>
      </c>
      <c r="R1603" s="1027">
        <v>50000</v>
      </c>
      <c r="S1603" s="1027">
        <v>250000</v>
      </c>
      <c r="T1603" s="1027">
        <v>0</v>
      </c>
      <c r="U1603" s="1027">
        <v>250000</v>
      </c>
      <c r="V1603" s="1027">
        <v>0</v>
      </c>
      <c r="W1603" s="1027">
        <v>50</v>
      </c>
      <c r="X1603" s="1027">
        <v>0</v>
      </c>
      <c r="Y1603" s="1027">
        <v>999</v>
      </c>
      <c r="Z1603" s="1029">
        <v>680</v>
      </c>
      <c r="AA1603" s="1029">
        <v>699</v>
      </c>
      <c r="AB1603" s="1029">
        <v>0</v>
      </c>
      <c r="AC1603" s="1029">
        <v>999999</v>
      </c>
      <c r="AD1603" s="1027">
        <v>0</v>
      </c>
      <c r="AE1603" s="1030">
        <v>0</v>
      </c>
      <c r="AF1603" s="170">
        <v>0</v>
      </c>
      <c r="AG1603" s="171">
        <v>0</v>
      </c>
      <c r="AH1603" s="171">
        <v>0</v>
      </c>
      <c r="AI1603" s="171">
        <v>0</v>
      </c>
      <c r="AJ1603" s="171">
        <v>0</v>
      </c>
      <c r="AK1603" s="171">
        <v>0</v>
      </c>
      <c r="AL1603" s="171">
        <v>1</v>
      </c>
      <c r="AM1603" s="171">
        <v>1</v>
      </c>
      <c r="AN1603" s="171">
        <v>1</v>
      </c>
      <c r="AO1603" s="171">
        <v>1</v>
      </c>
      <c r="AP1603" s="171">
        <v>1</v>
      </c>
      <c r="AQ1603" s="171">
        <v>1</v>
      </c>
      <c r="AR1603" s="171">
        <v>1</v>
      </c>
      <c r="AS1603" s="171">
        <v>1</v>
      </c>
      <c r="AT1603" s="171">
        <v>1</v>
      </c>
      <c r="AU1603" s="171">
        <f t="shared" si="527"/>
        <v>1</v>
      </c>
      <c r="AV1603" s="171">
        <f t="shared" si="528"/>
        <v>1</v>
      </c>
      <c r="AW1603" s="171">
        <f t="shared" si="529"/>
        <v>1</v>
      </c>
      <c r="AX1603" s="171">
        <f t="shared" ref="AX1603:AX1633" si="537">IF(AND(Input_DSCR&gt;=Elig_DSCR_Min,Input_DSCR&lt;=Elig_DSCR_Max),1,0)</f>
        <v>1</v>
      </c>
      <c r="AY1603" s="171">
        <f t="shared" si="530"/>
        <v>0</v>
      </c>
      <c r="AZ1603" s="171">
        <f t="shared" si="531"/>
        <v>1</v>
      </c>
      <c r="BA1603" s="172">
        <f t="shared" si="532"/>
        <v>0</v>
      </c>
      <c r="BB1603" s="175">
        <f t="shared" si="534"/>
        <v>14</v>
      </c>
      <c r="BC1603" s="176">
        <f t="shared" si="535"/>
        <v>14</v>
      </c>
      <c r="BD1603" s="176">
        <f t="shared" si="536"/>
        <v>14</v>
      </c>
      <c r="BE1603" s="240" t="str">
        <f t="shared" si="526"/>
        <v/>
      </c>
      <c r="BF1603" s="990"/>
      <c r="BG1603" s="990"/>
      <c r="BH1603" s="991">
        <f>IF(AND(Input_Product=Elig!$C1603,Elig_MatchAll_Ct&lt;22,$BC1603=(Elig_MatchAll_Ct-1),AF1603=0),C1603,0)</f>
        <v>0</v>
      </c>
      <c r="BI1603" s="991">
        <f>IF(AND(Input_Product=Elig!$C1603,Elig_MatchAll_Ct&lt;22,$BC1603=(Elig_MatchAll_Ct-1),AG1603=0),D1603,0)</f>
        <v>0</v>
      </c>
      <c r="BJ1603" s="991">
        <f>IF(AND(Input_Product=Elig!$C1603,Elig_MatchAll_Ct&lt;22,$BC1603=(Elig_MatchAll_Ct-1),AH1603=0),E1603,0)</f>
        <v>0</v>
      </c>
      <c r="BK1603" s="991">
        <f>IF(AND(Input_Product=Elig!$C1603,Elig_MatchAll_Ct&lt;22,$BC1603=(Elig_MatchAll_Ct-1),AI1603=0),F1603,0)</f>
        <v>0</v>
      </c>
      <c r="BL1603" s="991">
        <f>IF(AND(Input_Product=Elig!$C1603,Elig_MatchAll_Ct&lt;22,$BC1603=(Elig_MatchAll_Ct-1),AJ1603=0),G1603,0)</f>
        <v>0</v>
      </c>
      <c r="BM1603" s="991">
        <f>IF(AND(Input_Product=Elig!$C1603,Elig_MatchAll_Ct&lt;22,$BC1603=(Elig_MatchAll_Ct-1),AK1603=0),H1603,0)</f>
        <v>0</v>
      </c>
      <c r="BN1603" s="991">
        <f>IF(AND(Input_Product=Elig!$C1603,Elig_MatchAll_Ct&lt;22,$BC1603=(Elig_MatchAll_Ct-1),AL1603=0),I1603,0)</f>
        <v>0</v>
      </c>
      <c r="BO1603" s="991">
        <f>IF(AND(Input_Product=Elig!$C1603,Elig_MatchAll_Ct&lt;22,$BC1603=(Elig_MatchAll_Ct-1),AM1603=0),J1603,0)</f>
        <v>0</v>
      </c>
      <c r="BP1603" s="991">
        <f>IF(AND(Input_Product=Elig!$C1603,Elig_MatchAll_Ct&lt;22,$BC1603=(Elig_MatchAll_Ct-1),AN1603=0),K1603,0)</f>
        <v>0</v>
      </c>
      <c r="BQ1603" s="991">
        <f>IF(AND(Input_Product=Elig!$C1603,Elig_MatchAll_Ct&lt;22,$BC1603=(Elig_MatchAll_Ct-1),AP1603=0),L1603,0)</f>
        <v>0</v>
      </c>
      <c r="BR1603" s="991">
        <f>IF(AND(Input_Product=Elig!$C1603,Elig_MatchAll_Ct&lt;22,$BC1603=(Elig_MatchAll_Ct-1),AO1603=0),M1603,0)</f>
        <v>0</v>
      </c>
      <c r="BS1603" s="991">
        <f>IF(AND(Input_Product=Elig!$C1603,Elig_MatchAll_Ct&lt;22,$BC1603=(Elig_MatchAll_Ct-1),AQ1603=0),N1603,0)</f>
        <v>0</v>
      </c>
      <c r="BT1603" s="991">
        <f>IF(AND(Input_Product=Elig!$C1603,Elig_MatchAll_Ct&lt;22,$BC1603=(Elig_MatchAll_Ct-1),AR1603=0),O1603,0)</f>
        <v>0</v>
      </c>
      <c r="BU1603" s="991">
        <f>IF(AND(Input_Product=Elig!$C1603,Elig_MatchAll_Ct&lt;22,$BC1603=(Elig_MatchAll_Ct-1),AS1603=0),P1603,0)</f>
        <v>0</v>
      </c>
      <c r="BV1603" s="992">
        <f>IF(AND(Input_Product=Elig!$C1603,Elig_MatchAll_Ct&lt;22,$BC1603=(Elig_MatchAll_Ct-1),AT1603=0),Q1603,0)</f>
        <v>0</v>
      </c>
      <c r="BW1603" s="993">
        <f>IF(AND(Input_Product=Elig!$C1603,Elig_MatchAll_Ct&lt;22,$BC1603=(Elig_MatchAll_Ct-1),AU1603=0),R1603,0)</f>
        <v>0</v>
      </c>
      <c r="BX1603" s="994">
        <f>IF(AND(Input_Product=Elig!$C1603,Elig_MatchAll_Ct&lt;22,$BC1603=(Elig_MatchAll_Ct-1),AU1603=0),S1603,0)</f>
        <v>0</v>
      </c>
      <c r="BY1603" s="993">
        <f>IF(AND(Input_Product=Elig!$C1603,Elig_MatchAll_Ct&lt;22,$BC1603=(Elig_MatchAll_Ct-1),AV1603=0),T1603,0)</f>
        <v>0</v>
      </c>
      <c r="BZ1603" s="994">
        <f>IF(AND(Input_Product=Elig!$C1603,Elig_MatchAll_Ct&lt;22,$BC1603=(Elig_MatchAll_Ct-1),AV1603=0),U1603,0)</f>
        <v>0</v>
      </c>
      <c r="CA1603" s="993">
        <f>IF(AND(Input_Product=Elig!$C1603,Elig_MatchAll_Ct&lt;22,$BC1603=(Elig_MatchAll_Ct-1),AW1603=0),V1603,0)</f>
        <v>0</v>
      </c>
      <c r="CB1603" s="994">
        <f>IF(AND(Input_Product=Elig!$C1603,Elig_MatchAll_Ct&lt;22,$BC1603=(Elig_MatchAll_Ct-1),AW1603=0),W1603,0)</f>
        <v>0</v>
      </c>
      <c r="CC1603" s="993">
        <f>IF(AND(Input_Product=Elig!$C1603,Elig_MatchAll_Ct&lt;22,$BC1603=(Elig_MatchAll_Ct-1),AX1603=0),X1603,0)</f>
        <v>0</v>
      </c>
      <c r="CD1603" s="994">
        <f>IF(AND(Input_Product=Elig!$C1603,Elig_MatchAll_Ct&lt;22,$BC1603=(Elig_MatchAll_Ct-1),AX1603=0),Y1603,0)</f>
        <v>0</v>
      </c>
      <c r="CE1603" s="993">
        <f>IF(AND(Input_LTV&lt;=AE1603,Input_Product=Elig!$C1603,Elig_MatchAll_Ct&lt;22,$BC1603=(Elig_MatchAll_Ct-1),AY1603=0),Z1603,0)</f>
        <v>0</v>
      </c>
      <c r="CF1603" s="994">
        <f>IF(AND(Input_LTV&lt;=AE1603,Input_Product=Elig!$C1603,Elig_MatchAll_Ct&lt;22,$BC1603=(Elig_MatchAll_Ct-1),AY1603=0),AA1603,0)</f>
        <v>0</v>
      </c>
      <c r="CG1603" s="993">
        <f>IF(AND(Input_Product=Elig!$C1603,Elig_MatchAll_Ct&lt;22,$BC1603=(Elig_MatchAll_Ct-1),AZ1603=0),AB1603,0)</f>
        <v>0</v>
      </c>
      <c r="CH1603" s="994">
        <f>IF(AND(Input_Product=Elig!$C1603,Elig_MatchAll_Ct&lt;22,$BC1603=(Elig_MatchAll_Ct-1),AZ1603=0),AC1603,0)</f>
        <v>0</v>
      </c>
      <c r="CI1603" s="993">
        <f>IF(AND(Input_Product=Elig!$C1603,Elig_MatchAll_Ct&lt;22,$BC1603=(Elig_MatchAll_Ct-1),BA1603=0),AD1603,0)</f>
        <v>0</v>
      </c>
      <c r="CJ1603" s="994">
        <f>IF(AND(Input_Product=Elig!$C1603,Elig_MatchAll_Ct&lt;22,$BC1603=(Elig_MatchAll_Ct-1),BA1603=0),AE1603,0)</f>
        <v>0</v>
      </c>
    </row>
    <row r="1604" spans="2:88" ht="10.15" customHeight="1" x14ac:dyDescent="0.25">
      <c r="B1604" s="997" t="s">
        <v>3655</v>
      </c>
      <c r="C1604" s="999" t="str">
        <f t="shared" si="533"/>
        <v>HELOC OO</v>
      </c>
      <c r="D1604" s="1000" t="s">
        <v>1984</v>
      </c>
      <c r="E1604" s="1000" t="s">
        <v>4</v>
      </c>
      <c r="F1604" s="1000" t="s">
        <v>329</v>
      </c>
      <c r="G1604" s="1000" t="s">
        <v>303</v>
      </c>
      <c r="H1604" s="1000" t="s">
        <v>136</v>
      </c>
      <c r="I1604" s="1001" t="s">
        <v>1332</v>
      </c>
      <c r="J1604" s="1001" t="s">
        <v>3544</v>
      </c>
      <c r="K1604" s="1000" t="s">
        <v>1791</v>
      </c>
      <c r="L1604" s="1001" t="s">
        <v>430</v>
      </c>
      <c r="M1604" s="1001" t="s">
        <v>2677</v>
      </c>
      <c r="N1604" s="1000" t="s">
        <v>82</v>
      </c>
      <c r="O1604" s="1001" t="s">
        <v>310</v>
      </c>
      <c r="P1604" s="1001" t="s">
        <v>291</v>
      </c>
      <c r="Q1604" s="1001" t="s">
        <v>294</v>
      </c>
      <c r="R1604" s="1001">
        <v>250000.01</v>
      </c>
      <c r="S1604" s="1001">
        <v>350000</v>
      </c>
      <c r="T1604" s="1001">
        <v>0</v>
      </c>
      <c r="U1604" s="1001">
        <v>350000</v>
      </c>
      <c r="V1604" s="1001">
        <v>0</v>
      </c>
      <c r="W1604" s="1001">
        <v>50</v>
      </c>
      <c r="X1604" s="1001">
        <v>0</v>
      </c>
      <c r="Y1604" s="1001">
        <v>999</v>
      </c>
      <c r="Z1604" s="1002">
        <v>720</v>
      </c>
      <c r="AA1604" s="1002">
        <v>999</v>
      </c>
      <c r="AB1604" s="1002">
        <v>0</v>
      </c>
      <c r="AC1604" s="1002">
        <v>999999</v>
      </c>
      <c r="AD1604" s="1001">
        <v>0</v>
      </c>
      <c r="AE1604" s="1001">
        <v>75</v>
      </c>
      <c r="AF1604" s="170">
        <v>0</v>
      </c>
      <c r="AG1604" s="171">
        <v>0</v>
      </c>
      <c r="AH1604" s="171">
        <v>0</v>
      </c>
      <c r="AI1604" s="171">
        <v>0</v>
      </c>
      <c r="AJ1604" s="171">
        <v>1</v>
      </c>
      <c r="AK1604" s="171">
        <v>1</v>
      </c>
      <c r="AL1604" s="171">
        <v>1</v>
      </c>
      <c r="AM1604" s="171">
        <v>1</v>
      </c>
      <c r="AN1604" s="171">
        <v>1</v>
      </c>
      <c r="AO1604" s="171">
        <v>1</v>
      </c>
      <c r="AP1604" s="171">
        <v>1</v>
      </c>
      <c r="AQ1604" s="171">
        <v>1</v>
      </c>
      <c r="AR1604" s="171">
        <v>1</v>
      </c>
      <c r="AS1604" s="171">
        <v>1</v>
      </c>
      <c r="AT1604" s="171">
        <v>1</v>
      </c>
      <c r="AU1604" s="171">
        <f t="shared" si="527"/>
        <v>0</v>
      </c>
      <c r="AV1604" s="171">
        <f t="shared" si="528"/>
        <v>1</v>
      </c>
      <c r="AW1604" s="171">
        <f t="shared" si="529"/>
        <v>1</v>
      </c>
      <c r="AX1604" s="171">
        <f t="shared" si="537"/>
        <v>1</v>
      </c>
      <c r="AY1604" s="171">
        <f t="shared" si="530"/>
        <v>1</v>
      </c>
      <c r="AZ1604" s="171">
        <f t="shared" si="531"/>
        <v>1</v>
      </c>
      <c r="BA1604" s="172">
        <f t="shared" si="532"/>
        <v>1</v>
      </c>
      <c r="BB1604" s="175">
        <f t="shared" si="534"/>
        <v>17</v>
      </c>
      <c r="BC1604" s="176">
        <f t="shared" si="535"/>
        <v>16</v>
      </c>
      <c r="BD1604" s="176">
        <f t="shared" si="536"/>
        <v>17</v>
      </c>
      <c r="BE1604" s="240" t="str">
        <f t="shared" si="526"/>
        <v/>
      </c>
      <c r="BF1604" s="989"/>
      <c r="BG1604" s="989"/>
      <c r="BH1604" s="991">
        <f>IF(AND(Input_Product=Elig!$C1604,Elig_MatchAll_Ct&lt;22,$BC1604=(Elig_MatchAll_Ct-1),AF1604=0),C1604,0)</f>
        <v>0</v>
      </c>
      <c r="BI1604" s="991">
        <f>IF(AND(Input_Product=Elig!$C1604,Elig_MatchAll_Ct&lt;22,$BC1604=(Elig_MatchAll_Ct-1),AG1604=0),D1604,0)</f>
        <v>0</v>
      </c>
      <c r="BJ1604" s="991">
        <f>IF(AND(Input_Product=Elig!$C1604,Elig_MatchAll_Ct&lt;22,$BC1604=(Elig_MatchAll_Ct-1),AH1604=0),E1604,0)</f>
        <v>0</v>
      </c>
      <c r="BK1604" s="991">
        <f>IF(AND(Input_Product=Elig!$C1604,Elig_MatchAll_Ct&lt;22,$BC1604=(Elig_MatchAll_Ct-1),AI1604=0),F1604,0)</f>
        <v>0</v>
      </c>
      <c r="BL1604" s="991">
        <f>IF(AND(Input_Product=Elig!$C1604,Elig_MatchAll_Ct&lt;22,$BC1604=(Elig_MatchAll_Ct-1),AJ1604=0),G1604,0)</f>
        <v>0</v>
      </c>
      <c r="BM1604" s="991">
        <f>IF(AND(Input_Product=Elig!$C1604,Elig_MatchAll_Ct&lt;22,$BC1604=(Elig_MatchAll_Ct-1),AK1604=0),H1604,0)</f>
        <v>0</v>
      </c>
      <c r="BN1604" s="991">
        <f>IF(AND(Input_Product=Elig!$C1604,Elig_MatchAll_Ct&lt;22,$BC1604=(Elig_MatchAll_Ct-1),AL1604=0),I1604,0)</f>
        <v>0</v>
      </c>
      <c r="BO1604" s="991">
        <f>IF(AND(Input_Product=Elig!$C1604,Elig_MatchAll_Ct&lt;22,$BC1604=(Elig_MatchAll_Ct-1),AM1604=0),J1604,0)</f>
        <v>0</v>
      </c>
      <c r="BP1604" s="991">
        <f>IF(AND(Input_Product=Elig!$C1604,Elig_MatchAll_Ct&lt;22,$BC1604=(Elig_MatchAll_Ct-1),AN1604=0),K1604,0)</f>
        <v>0</v>
      </c>
      <c r="BQ1604" s="991">
        <f>IF(AND(Input_Product=Elig!$C1604,Elig_MatchAll_Ct&lt;22,$BC1604=(Elig_MatchAll_Ct-1),AP1604=0),L1604,0)</f>
        <v>0</v>
      </c>
      <c r="BR1604" s="991">
        <f>IF(AND(Input_Product=Elig!$C1604,Elig_MatchAll_Ct&lt;22,$BC1604=(Elig_MatchAll_Ct-1),AO1604=0),M1604,0)</f>
        <v>0</v>
      </c>
      <c r="BS1604" s="991">
        <f>IF(AND(Input_Product=Elig!$C1604,Elig_MatchAll_Ct&lt;22,$BC1604=(Elig_MatchAll_Ct-1),AQ1604=0),N1604,0)</f>
        <v>0</v>
      </c>
      <c r="BT1604" s="991">
        <f>IF(AND(Input_Product=Elig!$C1604,Elig_MatchAll_Ct&lt;22,$BC1604=(Elig_MatchAll_Ct-1),AR1604=0),O1604,0)</f>
        <v>0</v>
      </c>
      <c r="BU1604" s="991">
        <f>IF(AND(Input_Product=Elig!$C1604,Elig_MatchAll_Ct&lt;22,$BC1604=(Elig_MatchAll_Ct-1),AS1604=0),P1604,0)</f>
        <v>0</v>
      </c>
      <c r="BV1604" s="992">
        <f>IF(AND(Input_Product=Elig!$C1604,Elig_MatchAll_Ct&lt;22,$BC1604=(Elig_MatchAll_Ct-1),AT1604=0),Q1604,0)</f>
        <v>0</v>
      </c>
      <c r="BW1604" s="993">
        <f>IF(AND(Input_Product=Elig!$C1604,Elig_MatchAll_Ct&lt;22,$BC1604=(Elig_MatchAll_Ct-1),AU1604=0),R1604,0)</f>
        <v>0</v>
      </c>
      <c r="BX1604" s="994">
        <f>IF(AND(Input_Product=Elig!$C1604,Elig_MatchAll_Ct&lt;22,$BC1604=(Elig_MatchAll_Ct-1),AU1604=0),S1604,0)</f>
        <v>0</v>
      </c>
      <c r="BY1604" s="993">
        <f>IF(AND(Input_Product=Elig!$C1604,Elig_MatchAll_Ct&lt;22,$BC1604=(Elig_MatchAll_Ct-1),AV1604=0),T1604,0)</f>
        <v>0</v>
      </c>
      <c r="BZ1604" s="994">
        <f>IF(AND(Input_Product=Elig!$C1604,Elig_MatchAll_Ct&lt;22,$BC1604=(Elig_MatchAll_Ct-1),AV1604=0),U1604,0)</f>
        <v>0</v>
      </c>
      <c r="CA1604" s="993">
        <f>IF(AND(Input_Product=Elig!$C1604,Elig_MatchAll_Ct&lt;22,$BC1604=(Elig_MatchAll_Ct-1),AW1604=0),V1604,0)</f>
        <v>0</v>
      </c>
      <c r="CB1604" s="994">
        <f>IF(AND(Input_Product=Elig!$C1604,Elig_MatchAll_Ct&lt;22,$BC1604=(Elig_MatchAll_Ct-1),AW1604=0),W1604,0)</f>
        <v>0</v>
      </c>
      <c r="CC1604" s="993">
        <f>IF(AND(Input_Product=Elig!$C1604,Elig_MatchAll_Ct&lt;22,$BC1604=(Elig_MatchAll_Ct-1),AX1604=0),X1604,0)</f>
        <v>0</v>
      </c>
      <c r="CD1604" s="994">
        <f>IF(AND(Input_Product=Elig!$C1604,Elig_MatchAll_Ct&lt;22,$BC1604=(Elig_MatchAll_Ct-1),AX1604=0),Y1604,0)</f>
        <v>0</v>
      </c>
      <c r="CE1604" s="993">
        <f>IF(AND(Input_LTV&lt;=AE1604,Input_Product=Elig!$C1604,Elig_MatchAll_Ct&lt;22,$BC1604=(Elig_MatchAll_Ct-1),AY1604=0),Z1604,0)</f>
        <v>0</v>
      </c>
      <c r="CF1604" s="994">
        <f>IF(AND(Input_LTV&lt;=AE1604,Input_Product=Elig!$C1604,Elig_MatchAll_Ct&lt;22,$BC1604=(Elig_MatchAll_Ct-1),AY1604=0),AA1604,0)</f>
        <v>0</v>
      </c>
      <c r="CG1604" s="993">
        <f>IF(AND(Input_Product=Elig!$C1604,Elig_MatchAll_Ct&lt;22,$BC1604=(Elig_MatchAll_Ct-1),AZ1604=0),AB1604,0)</f>
        <v>0</v>
      </c>
      <c r="CH1604" s="994">
        <f>IF(AND(Input_Product=Elig!$C1604,Elig_MatchAll_Ct&lt;22,$BC1604=(Elig_MatchAll_Ct-1),AZ1604=0),AC1604,0)</f>
        <v>0</v>
      </c>
      <c r="CI1604" s="993">
        <f>IF(AND(Input_Product=Elig!$C1604,Elig_MatchAll_Ct&lt;22,$BC1604=(Elig_MatchAll_Ct-1),BA1604=0),AD1604,0)</f>
        <v>0</v>
      </c>
      <c r="CJ1604" s="994">
        <f>IF(AND(Input_Product=Elig!$C1604,Elig_MatchAll_Ct&lt;22,$BC1604=(Elig_MatchAll_Ct-1),BA1604=0),AE1604,0)</f>
        <v>0</v>
      </c>
    </row>
    <row r="1605" spans="2:88" ht="10.15" customHeight="1" x14ac:dyDescent="0.25">
      <c r="B1605" s="997" t="s">
        <v>3656</v>
      </c>
      <c r="C1605" s="995" t="str">
        <f t="shared" si="533"/>
        <v>HELOC OO</v>
      </c>
      <c r="D1605" s="997" t="s">
        <v>1984</v>
      </c>
      <c r="E1605" s="997" t="s">
        <v>4</v>
      </c>
      <c r="F1605" s="997" t="s">
        <v>329</v>
      </c>
      <c r="G1605" s="996" t="s">
        <v>303</v>
      </c>
      <c r="H1605" s="996" t="s">
        <v>136</v>
      </c>
      <c r="I1605" s="997" t="s">
        <v>1332</v>
      </c>
      <c r="J1605" s="997" t="s">
        <v>3544</v>
      </c>
      <c r="K1605" s="996" t="s">
        <v>1791</v>
      </c>
      <c r="L1605" s="997" t="s">
        <v>430</v>
      </c>
      <c r="M1605" s="997" t="s">
        <v>2677</v>
      </c>
      <c r="N1605" s="996" t="s">
        <v>82</v>
      </c>
      <c r="O1605" s="997" t="s">
        <v>310</v>
      </c>
      <c r="P1605" s="997" t="s">
        <v>291</v>
      </c>
      <c r="Q1605" s="997" t="s">
        <v>294</v>
      </c>
      <c r="R1605" s="997">
        <v>250000.01</v>
      </c>
      <c r="S1605" s="997">
        <v>350000</v>
      </c>
      <c r="T1605" s="997">
        <v>0</v>
      </c>
      <c r="U1605" s="997">
        <v>350000</v>
      </c>
      <c r="V1605" s="997">
        <v>0</v>
      </c>
      <c r="W1605" s="997">
        <v>50</v>
      </c>
      <c r="X1605" s="997">
        <v>0</v>
      </c>
      <c r="Y1605" s="997">
        <v>999</v>
      </c>
      <c r="Z1605" s="998">
        <v>700</v>
      </c>
      <c r="AA1605" s="998">
        <v>719</v>
      </c>
      <c r="AB1605" s="998">
        <v>0</v>
      </c>
      <c r="AC1605" s="998">
        <v>999999</v>
      </c>
      <c r="AD1605" s="997">
        <v>0</v>
      </c>
      <c r="AE1605" s="997">
        <v>75</v>
      </c>
      <c r="AF1605" s="170">
        <v>0</v>
      </c>
      <c r="AG1605" s="171">
        <v>0</v>
      </c>
      <c r="AH1605" s="171">
        <v>0</v>
      </c>
      <c r="AI1605" s="171">
        <v>0</v>
      </c>
      <c r="AJ1605" s="171">
        <v>1</v>
      </c>
      <c r="AK1605" s="171">
        <v>1</v>
      </c>
      <c r="AL1605" s="171">
        <v>1</v>
      </c>
      <c r="AM1605" s="171">
        <v>1</v>
      </c>
      <c r="AN1605" s="171">
        <v>1</v>
      </c>
      <c r="AO1605" s="171">
        <v>1</v>
      </c>
      <c r="AP1605" s="171">
        <v>1</v>
      </c>
      <c r="AQ1605" s="171">
        <v>1</v>
      </c>
      <c r="AR1605" s="171">
        <v>1</v>
      </c>
      <c r="AS1605" s="171">
        <v>1</v>
      </c>
      <c r="AT1605" s="171">
        <v>1</v>
      </c>
      <c r="AU1605" s="171">
        <f t="shared" si="527"/>
        <v>0</v>
      </c>
      <c r="AV1605" s="171">
        <f t="shared" si="528"/>
        <v>1</v>
      </c>
      <c r="AW1605" s="171">
        <f t="shared" si="529"/>
        <v>1</v>
      </c>
      <c r="AX1605" s="171">
        <f t="shared" si="537"/>
        <v>1</v>
      </c>
      <c r="AY1605" s="171">
        <f t="shared" si="530"/>
        <v>0</v>
      </c>
      <c r="AZ1605" s="171">
        <f t="shared" si="531"/>
        <v>1</v>
      </c>
      <c r="BA1605" s="172">
        <f t="shared" si="532"/>
        <v>1</v>
      </c>
      <c r="BB1605" s="175">
        <f t="shared" si="534"/>
        <v>16</v>
      </c>
      <c r="BC1605" s="176">
        <f t="shared" si="535"/>
        <v>15</v>
      </c>
      <c r="BD1605" s="176">
        <f t="shared" si="536"/>
        <v>16</v>
      </c>
      <c r="BE1605" s="240" t="str">
        <f t="shared" si="526"/>
        <v/>
      </c>
      <c r="BF1605" s="990"/>
      <c r="BG1605" s="990"/>
      <c r="BH1605" s="991">
        <f>IF(AND(Input_Product=Elig!$C1605,Elig_MatchAll_Ct&lt;22,$BC1605=(Elig_MatchAll_Ct-1),AF1605=0),C1605,0)</f>
        <v>0</v>
      </c>
      <c r="BI1605" s="991">
        <f>IF(AND(Input_Product=Elig!$C1605,Elig_MatchAll_Ct&lt;22,$BC1605=(Elig_MatchAll_Ct-1),AG1605=0),D1605,0)</f>
        <v>0</v>
      </c>
      <c r="BJ1605" s="991">
        <f>IF(AND(Input_Product=Elig!$C1605,Elig_MatchAll_Ct&lt;22,$BC1605=(Elig_MatchAll_Ct-1),AH1605=0),E1605,0)</f>
        <v>0</v>
      </c>
      <c r="BK1605" s="991">
        <f>IF(AND(Input_Product=Elig!$C1605,Elig_MatchAll_Ct&lt;22,$BC1605=(Elig_MatchAll_Ct-1),AI1605=0),F1605,0)</f>
        <v>0</v>
      </c>
      <c r="BL1605" s="991">
        <f>IF(AND(Input_Product=Elig!$C1605,Elig_MatchAll_Ct&lt;22,$BC1605=(Elig_MatchAll_Ct-1),AJ1605=0),G1605,0)</f>
        <v>0</v>
      </c>
      <c r="BM1605" s="991">
        <f>IF(AND(Input_Product=Elig!$C1605,Elig_MatchAll_Ct&lt;22,$BC1605=(Elig_MatchAll_Ct-1),AK1605=0),H1605,0)</f>
        <v>0</v>
      </c>
      <c r="BN1605" s="991">
        <f>IF(AND(Input_Product=Elig!$C1605,Elig_MatchAll_Ct&lt;22,$BC1605=(Elig_MatchAll_Ct-1),AL1605=0),I1605,0)</f>
        <v>0</v>
      </c>
      <c r="BO1605" s="991">
        <f>IF(AND(Input_Product=Elig!$C1605,Elig_MatchAll_Ct&lt;22,$BC1605=(Elig_MatchAll_Ct-1),AM1605=0),J1605,0)</f>
        <v>0</v>
      </c>
      <c r="BP1605" s="991">
        <f>IF(AND(Input_Product=Elig!$C1605,Elig_MatchAll_Ct&lt;22,$BC1605=(Elig_MatchAll_Ct-1),AN1605=0),K1605,0)</f>
        <v>0</v>
      </c>
      <c r="BQ1605" s="991">
        <f>IF(AND(Input_Product=Elig!$C1605,Elig_MatchAll_Ct&lt;22,$BC1605=(Elig_MatchAll_Ct-1),AP1605=0),L1605,0)</f>
        <v>0</v>
      </c>
      <c r="BR1605" s="991">
        <f>IF(AND(Input_Product=Elig!$C1605,Elig_MatchAll_Ct&lt;22,$BC1605=(Elig_MatchAll_Ct-1),AO1605=0),M1605,0)</f>
        <v>0</v>
      </c>
      <c r="BS1605" s="991">
        <f>IF(AND(Input_Product=Elig!$C1605,Elig_MatchAll_Ct&lt;22,$BC1605=(Elig_MatchAll_Ct-1),AQ1605=0),N1605,0)</f>
        <v>0</v>
      </c>
      <c r="BT1605" s="991">
        <f>IF(AND(Input_Product=Elig!$C1605,Elig_MatchAll_Ct&lt;22,$BC1605=(Elig_MatchAll_Ct-1),AR1605=0),O1605,0)</f>
        <v>0</v>
      </c>
      <c r="BU1605" s="991">
        <f>IF(AND(Input_Product=Elig!$C1605,Elig_MatchAll_Ct&lt;22,$BC1605=(Elig_MatchAll_Ct-1),AS1605=0),P1605,0)</f>
        <v>0</v>
      </c>
      <c r="BV1605" s="992">
        <f>IF(AND(Input_Product=Elig!$C1605,Elig_MatchAll_Ct&lt;22,$BC1605=(Elig_MatchAll_Ct-1),AT1605=0),Q1605,0)</f>
        <v>0</v>
      </c>
      <c r="BW1605" s="993">
        <f>IF(AND(Input_Product=Elig!$C1605,Elig_MatchAll_Ct&lt;22,$BC1605=(Elig_MatchAll_Ct-1),AU1605=0),R1605,0)</f>
        <v>0</v>
      </c>
      <c r="BX1605" s="994">
        <f>IF(AND(Input_Product=Elig!$C1605,Elig_MatchAll_Ct&lt;22,$BC1605=(Elig_MatchAll_Ct-1),AU1605=0),S1605,0)</f>
        <v>0</v>
      </c>
      <c r="BY1605" s="993">
        <f>IF(AND(Input_Product=Elig!$C1605,Elig_MatchAll_Ct&lt;22,$BC1605=(Elig_MatchAll_Ct-1),AV1605=0),T1605,0)</f>
        <v>0</v>
      </c>
      <c r="BZ1605" s="994">
        <f>IF(AND(Input_Product=Elig!$C1605,Elig_MatchAll_Ct&lt;22,$BC1605=(Elig_MatchAll_Ct-1),AV1605=0),U1605,0)</f>
        <v>0</v>
      </c>
      <c r="CA1605" s="993">
        <f>IF(AND(Input_Product=Elig!$C1605,Elig_MatchAll_Ct&lt;22,$BC1605=(Elig_MatchAll_Ct-1),AW1605=0),V1605,0)</f>
        <v>0</v>
      </c>
      <c r="CB1605" s="994">
        <f>IF(AND(Input_Product=Elig!$C1605,Elig_MatchAll_Ct&lt;22,$BC1605=(Elig_MatchAll_Ct-1),AW1605=0),W1605,0)</f>
        <v>0</v>
      </c>
      <c r="CC1605" s="993">
        <f>IF(AND(Input_Product=Elig!$C1605,Elig_MatchAll_Ct&lt;22,$BC1605=(Elig_MatchAll_Ct-1),AX1605=0),X1605,0)</f>
        <v>0</v>
      </c>
      <c r="CD1605" s="994">
        <f>IF(AND(Input_Product=Elig!$C1605,Elig_MatchAll_Ct&lt;22,$BC1605=(Elig_MatchAll_Ct-1),AX1605=0),Y1605,0)</f>
        <v>0</v>
      </c>
      <c r="CE1605" s="993">
        <f>IF(AND(Input_LTV&lt;=AE1605,Input_Product=Elig!$C1605,Elig_MatchAll_Ct&lt;22,$BC1605=(Elig_MatchAll_Ct-1),AY1605=0),Z1605,0)</f>
        <v>0</v>
      </c>
      <c r="CF1605" s="994">
        <f>IF(AND(Input_LTV&lt;=AE1605,Input_Product=Elig!$C1605,Elig_MatchAll_Ct&lt;22,$BC1605=(Elig_MatchAll_Ct-1),AY1605=0),AA1605,0)</f>
        <v>0</v>
      </c>
      <c r="CG1605" s="993">
        <f>IF(AND(Input_Product=Elig!$C1605,Elig_MatchAll_Ct&lt;22,$BC1605=(Elig_MatchAll_Ct-1),AZ1605=0),AB1605,0)</f>
        <v>0</v>
      </c>
      <c r="CH1605" s="994">
        <f>IF(AND(Input_Product=Elig!$C1605,Elig_MatchAll_Ct&lt;22,$BC1605=(Elig_MatchAll_Ct-1),AZ1605=0),AC1605,0)</f>
        <v>0</v>
      </c>
      <c r="CI1605" s="993">
        <f>IF(AND(Input_Product=Elig!$C1605,Elig_MatchAll_Ct&lt;22,$BC1605=(Elig_MatchAll_Ct-1),BA1605=0),AD1605,0)</f>
        <v>0</v>
      </c>
      <c r="CJ1605" s="994">
        <f>IF(AND(Input_Product=Elig!$C1605,Elig_MatchAll_Ct&lt;22,$BC1605=(Elig_MatchAll_Ct-1),BA1605=0),AE1605,0)</f>
        <v>0</v>
      </c>
    </row>
    <row r="1606" spans="2:88" ht="10.15" customHeight="1" x14ac:dyDescent="0.25">
      <c r="B1606" s="997" t="s">
        <v>3657</v>
      </c>
      <c r="C1606" s="1026" t="str">
        <f t="shared" si="533"/>
        <v>HELOC OO</v>
      </c>
      <c r="D1606" s="1027" t="s">
        <v>1984</v>
      </c>
      <c r="E1606" s="1027" t="s">
        <v>4</v>
      </c>
      <c r="F1606" s="1027" t="s">
        <v>329</v>
      </c>
      <c r="G1606" s="1028" t="s">
        <v>303</v>
      </c>
      <c r="H1606" s="1028" t="s">
        <v>136</v>
      </c>
      <c r="I1606" s="1027" t="s">
        <v>1332</v>
      </c>
      <c r="J1606" s="1027" t="s">
        <v>3544</v>
      </c>
      <c r="K1606" s="1028" t="s">
        <v>1791</v>
      </c>
      <c r="L1606" s="1027" t="s">
        <v>430</v>
      </c>
      <c r="M1606" s="1027" t="s">
        <v>2677</v>
      </c>
      <c r="N1606" s="1028" t="s">
        <v>82</v>
      </c>
      <c r="O1606" s="1027" t="s">
        <v>310</v>
      </c>
      <c r="P1606" s="1027" t="s">
        <v>291</v>
      </c>
      <c r="Q1606" s="1027" t="s">
        <v>294</v>
      </c>
      <c r="R1606" s="1027">
        <v>250000.01</v>
      </c>
      <c r="S1606" s="1027">
        <v>350000</v>
      </c>
      <c r="T1606" s="1027">
        <v>0</v>
      </c>
      <c r="U1606" s="1027">
        <v>350000</v>
      </c>
      <c r="V1606" s="1027">
        <v>0</v>
      </c>
      <c r="W1606" s="1027">
        <v>50</v>
      </c>
      <c r="X1606" s="1027">
        <v>0</v>
      </c>
      <c r="Y1606" s="1027">
        <v>999</v>
      </c>
      <c r="Z1606" s="1029">
        <v>680</v>
      </c>
      <c r="AA1606" s="1029">
        <v>699</v>
      </c>
      <c r="AB1606" s="1029">
        <v>0</v>
      </c>
      <c r="AC1606" s="1029">
        <v>999999</v>
      </c>
      <c r="AD1606" s="1027">
        <v>0</v>
      </c>
      <c r="AE1606" s="1030">
        <v>75</v>
      </c>
      <c r="AF1606" s="170">
        <v>0</v>
      </c>
      <c r="AG1606" s="171">
        <v>0</v>
      </c>
      <c r="AH1606" s="171">
        <v>0</v>
      </c>
      <c r="AI1606" s="171">
        <v>0</v>
      </c>
      <c r="AJ1606" s="171">
        <v>1</v>
      </c>
      <c r="AK1606" s="171">
        <v>1</v>
      </c>
      <c r="AL1606" s="171">
        <v>1</v>
      </c>
      <c r="AM1606" s="171">
        <v>1</v>
      </c>
      <c r="AN1606" s="171">
        <v>1</v>
      </c>
      <c r="AO1606" s="171">
        <v>1</v>
      </c>
      <c r="AP1606" s="171">
        <v>1</v>
      </c>
      <c r="AQ1606" s="171">
        <v>1</v>
      </c>
      <c r="AR1606" s="171">
        <v>1</v>
      </c>
      <c r="AS1606" s="171">
        <v>1</v>
      </c>
      <c r="AT1606" s="171">
        <v>1</v>
      </c>
      <c r="AU1606" s="171">
        <f t="shared" si="527"/>
        <v>0</v>
      </c>
      <c r="AV1606" s="171">
        <f t="shared" si="528"/>
        <v>1</v>
      </c>
      <c r="AW1606" s="171">
        <f t="shared" si="529"/>
        <v>1</v>
      </c>
      <c r="AX1606" s="171">
        <f t="shared" si="537"/>
        <v>1</v>
      </c>
      <c r="AY1606" s="171">
        <f t="shared" si="530"/>
        <v>0</v>
      </c>
      <c r="AZ1606" s="171">
        <f t="shared" si="531"/>
        <v>1</v>
      </c>
      <c r="BA1606" s="172">
        <f t="shared" si="532"/>
        <v>1</v>
      </c>
      <c r="BB1606" s="175">
        <f t="shared" si="534"/>
        <v>16</v>
      </c>
      <c r="BC1606" s="176">
        <f t="shared" si="535"/>
        <v>15</v>
      </c>
      <c r="BD1606" s="176">
        <f t="shared" si="536"/>
        <v>16</v>
      </c>
      <c r="BE1606" s="240" t="str">
        <f t="shared" si="526"/>
        <v/>
      </c>
      <c r="BF1606" s="990"/>
      <c r="BG1606" s="990"/>
      <c r="BH1606" s="991">
        <f>IF(AND(Input_Product=Elig!$C1606,Elig_MatchAll_Ct&lt;22,$BC1606=(Elig_MatchAll_Ct-1),AF1606=0),C1606,0)</f>
        <v>0</v>
      </c>
      <c r="BI1606" s="991">
        <f>IF(AND(Input_Product=Elig!$C1606,Elig_MatchAll_Ct&lt;22,$BC1606=(Elig_MatchAll_Ct-1),AG1606=0),D1606,0)</f>
        <v>0</v>
      </c>
      <c r="BJ1606" s="991">
        <f>IF(AND(Input_Product=Elig!$C1606,Elig_MatchAll_Ct&lt;22,$BC1606=(Elig_MatchAll_Ct-1),AH1606=0),E1606,0)</f>
        <v>0</v>
      </c>
      <c r="BK1606" s="991">
        <f>IF(AND(Input_Product=Elig!$C1606,Elig_MatchAll_Ct&lt;22,$BC1606=(Elig_MatchAll_Ct-1),AI1606=0),F1606,0)</f>
        <v>0</v>
      </c>
      <c r="BL1606" s="991">
        <f>IF(AND(Input_Product=Elig!$C1606,Elig_MatchAll_Ct&lt;22,$BC1606=(Elig_MatchAll_Ct-1),AJ1606=0),G1606,0)</f>
        <v>0</v>
      </c>
      <c r="BM1606" s="991">
        <f>IF(AND(Input_Product=Elig!$C1606,Elig_MatchAll_Ct&lt;22,$BC1606=(Elig_MatchAll_Ct-1),AK1606=0),H1606,0)</f>
        <v>0</v>
      </c>
      <c r="BN1606" s="991">
        <f>IF(AND(Input_Product=Elig!$C1606,Elig_MatchAll_Ct&lt;22,$BC1606=(Elig_MatchAll_Ct-1),AL1606=0),I1606,0)</f>
        <v>0</v>
      </c>
      <c r="BO1606" s="991">
        <f>IF(AND(Input_Product=Elig!$C1606,Elig_MatchAll_Ct&lt;22,$BC1606=(Elig_MatchAll_Ct-1),AM1606=0),J1606,0)</f>
        <v>0</v>
      </c>
      <c r="BP1606" s="991">
        <f>IF(AND(Input_Product=Elig!$C1606,Elig_MatchAll_Ct&lt;22,$BC1606=(Elig_MatchAll_Ct-1),AN1606=0),K1606,0)</f>
        <v>0</v>
      </c>
      <c r="BQ1606" s="991">
        <f>IF(AND(Input_Product=Elig!$C1606,Elig_MatchAll_Ct&lt;22,$BC1606=(Elig_MatchAll_Ct-1),AP1606=0),L1606,0)</f>
        <v>0</v>
      </c>
      <c r="BR1606" s="991">
        <f>IF(AND(Input_Product=Elig!$C1606,Elig_MatchAll_Ct&lt;22,$BC1606=(Elig_MatchAll_Ct-1),AO1606=0),M1606,0)</f>
        <v>0</v>
      </c>
      <c r="BS1606" s="991">
        <f>IF(AND(Input_Product=Elig!$C1606,Elig_MatchAll_Ct&lt;22,$BC1606=(Elig_MatchAll_Ct-1),AQ1606=0),N1606,0)</f>
        <v>0</v>
      </c>
      <c r="BT1606" s="991">
        <f>IF(AND(Input_Product=Elig!$C1606,Elig_MatchAll_Ct&lt;22,$BC1606=(Elig_MatchAll_Ct-1),AR1606=0),O1606,0)</f>
        <v>0</v>
      </c>
      <c r="BU1606" s="991">
        <f>IF(AND(Input_Product=Elig!$C1606,Elig_MatchAll_Ct&lt;22,$BC1606=(Elig_MatchAll_Ct-1),AS1606=0),P1606,0)</f>
        <v>0</v>
      </c>
      <c r="BV1606" s="992">
        <f>IF(AND(Input_Product=Elig!$C1606,Elig_MatchAll_Ct&lt;22,$BC1606=(Elig_MatchAll_Ct-1),AT1606=0),Q1606,0)</f>
        <v>0</v>
      </c>
      <c r="BW1606" s="993">
        <f>IF(AND(Input_Product=Elig!$C1606,Elig_MatchAll_Ct&lt;22,$BC1606=(Elig_MatchAll_Ct-1),AU1606=0),R1606,0)</f>
        <v>0</v>
      </c>
      <c r="BX1606" s="994">
        <f>IF(AND(Input_Product=Elig!$C1606,Elig_MatchAll_Ct&lt;22,$BC1606=(Elig_MatchAll_Ct-1),AU1606=0),S1606,0)</f>
        <v>0</v>
      </c>
      <c r="BY1606" s="993">
        <f>IF(AND(Input_Product=Elig!$C1606,Elig_MatchAll_Ct&lt;22,$BC1606=(Elig_MatchAll_Ct-1),AV1606=0),T1606,0)</f>
        <v>0</v>
      </c>
      <c r="BZ1606" s="994">
        <f>IF(AND(Input_Product=Elig!$C1606,Elig_MatchAll_Ct&lt;22,$BC1606=(Elig_MatchAll_Ct-1),AV1606=0),U1606,0)</f>
        <v>0</v>
      </c>
      <c r="CA1606" s="993">
        <f>IF(AND(Input_Product=Elig!$C1606,Elig_MatchAll_Ct&lt;22,$BC1606=(Elig_MatchAll_Ct-1),AW1606=0),V1606,0)</f>
        <v>0</v>
      </c>
      <c r="CB1606" s="994">
        <f>IF(AND(Input_Product=Elig!$C1606,Elig_MatchAll_Ct&lt;22,$BC1606=(Elig_MatchAll_Ct-1),AW1606=0),W1606,0)</f>
        <v>0</v>
      </c>
      <c r="CC1606" s="993">
        <f>IF(AND(Input_Product=Elig!$C1606,Elig_MatchAll_Ct&lt;22,$BC1606=(Elig_MatchAll_Ct-1),AX1606=0),X1606,0)</f>
        <v>0</v>
      </c>
      <c r="CD1606" s="994">
        <f>IF(AND(Input_Product=Elig!$C1606,Elig_MatchAll_Ct&lt;22,$BC1606=(Elig_MatchAll_Ct-1),AX1606=0),Y1606,0)</f>
        <v>0</v>
      </c>
      <c r="CE1606" s="993">
        <f>IF(AND(Input_LTV&lt;=AE1606,Input_Product=Elig!$C1606,Elig_MatchAll_Ct&lt;22,$BC1606=(Elig_MatchAll_Ct-1),AY1606=0),Z1606,0)</f>
        <v>0</v>
      </c>
      <c r="CF1606" s="994">
        <f>IF(AND(Input_LTV&lt;=AE1606,Input_Product=Elig!$C1606,Elig_MatchAll_Ct&lt;22,$BC1606=(Elig_MatchAll_Ct-1),AY1606=0),AA1606,0)</f>
        <v>0</v>
      </c>
      <c r="CG1606" s="993">
        <f>IF(AND(Input_Product=Elig!$C1606,Elig_MatchAll_Ct&lt;22,$BC1606=(Elig_MatchAll_Ct-1),AZ1606=0),AB1606,0)</f>
        <v>0</v>
      </c>
      <c r="CH1606" s="994">
        <f>IF(AND(Input_Product=Elig!$C1606,Elig_MatchAll_Ct&lt;22,$BC1606=(Elig_MatchAll_Ct-1),AZ1606=0),AC1606,0)</f>
        <v>0</v>
      </c>
      <c r="CI1606" s="993">
        <f>IF(AND(Input_Product=Elig!$C1606,Elig_MatchAll_Ct&lt;22,$BC1606=(Elig_MatchAll_Ct-1),BA1606=0),AD1606,0)</f>
        <v>0</v>
      </c>
      <c r="CJ1606" s="994">
        <f>IF(AND(Input_Product=Elig!$C1606,Elig_MatchAll_Ct&lt;22,$BC1606=(Elig_MatchAll_Ct-1),BA1606=0),AE1606,0)</f>
        <v>0</v>
      </c>
    </row>
    <row r="1607" spans="2:88" ht="10.15" customHeight="1" x14ac:dyDescent="0.25">
      <c r="B1607" s="997" t="s">
        <v>3658</v>
      </c>
      <c r="C1607" s="999" t="str">
        <f t="shared" si="533"/>
        <v>HELOC OO</v>
      </c>
      <c r="D1607" s="1000" t="s">
        <v>1984</v>
      </c>
      <c r="E1607" s="1000" t="s">
        <v>4</v>
      </c>
      <c r="F1607" s="1000" t="s">
        <v>329</v>
      </c>
      <c r="G1607" s="1000" t="s">
        <v>175</v>
      </c>
      <c r="H1607" s="1000" t="s">
        <v>446</v>
      </c>
      <c r="I1607" s="1001" t="s">
        <v>1332</v>
      </c>
      <c r="J1607" s="1001" t="s">
        <v>3544</v>
      </c>
      <c r="K1607" s="1000" t="s">
        <v>1791</v>
      </c>
      <c r="L1607" s="1001" t="s">
        <v>430</v>
      </c>
      <c r="M1607" s="1001" t="s">
        <v>2677</v>
      </c>
      <c r="N1607" s="1000" t="s">
        <v>82</v>
      </c>
      <c r="O1607" s="1001" t="s">
        <v>310</v>
      </c>
      <c r="P1607" s="1001" t="s">
        <v>291</v>
      </c>
      <c r="Q1607" s="1001" t="s">
        <v>294</v>
      </c>
      <c r="R1607" s="1001">
        <v>250000.01</v>
      </c>
      <c r="S1607" s="1001">
        <v>350000</v>
      </c>
      <c r="T1607" s="1001">
        <v>0</v>
      </c>
      <c r="U1607" s="1001">
        <v>350000</v>
      </c>
      <c r="V1607" s="1001">
        <v>0</v>
      </c>
      <c r="W1607" s="1001">
        <v>50</v>
      </c>
      <c r="X1607" s="1001">
        <v>0</v>
      </c>
      <c r="Y1607" s="1001">
        <v>999</v>
      </c>
      <c r="Z1607" s="1002">
        <v>720</v>
      </c>
      <c r="AA1607" s="1002">
        <v>999</v>
      </c>
      <c r="AB1607" s="1002">
        <v>0</v>
      </c>
      <c r="AC1607" s="1002">
        <v>999999</v>
      </c>
      <c r="AD1607" s="1001">
        <v>0</v>
      </c>
      <c r="AE1607" s="1001">
        <v>75</v>
      </c>
      <c r="AF1607" s="170">
        <v>0</v>
      </c>
      <c r="AG1607" s="171">
        <v>0</v>
      </c>
      <c r="AH1607" s="171">
        <v>0</v>
      </c>
      <c r="AI1607" s="171">
        <v>0</v>
      </c>
      <c r="AJ1607" s="171">
        <v>0</v>
      </c>
      <c r="AK1607" s="171">
        <v>0</v>
      </c>
      <c r="AL1607" s="171">
        <v>1</v>
      </c>
      <c r="AM1607" s="171">
        <v>1</v>
      </c>
      <c r="AN1607" s="171">
        <v>1</v>
      </c>
      <c r="AO1607" s="171">
        <v>1</v>
      </c>
      <c r="AP1607" s="171">
        <v>1</v>
      </c>
      <c r="AQ1607" s="171">
        <v>1</v>
      </c>
      <c r="AR1607" s="171">
        <v>1</v>
      </c>
      <c r="AS1607" s="171">
        <v>1</v>
      </c>
      <c r="AT1607" s="171">
        <v>1</v>
      </c>
      <c r="AU1607" s="171">
        <f t="shared" si="527"/>
        <v>0</v>
      </c>
      <c r="AV1607" s="171">
        <f t="shared" si="528"/>
        <v>1</v>
      </c>
      <c r="AW1607" s="171">
        <f t="shared" si="529"/>
        <v>1</v>
      </c>
      <c r="AX1607" s="171">
        <f t="shared" si="537"/>
        <v>1</v>
      </c>
      <c r="AY1607" s="171">
        <f t="shared" si="530"/>
        <v>1</v>
      </c>
      <c r="AZ1607" s="171">
        <f t="shared" si="531"/>
        <v>1</v>
      </c>
      <c r="BA1607" s="172">
        <f t="shared" si="532"/>
        <v>1</v>
      </c>
      <c r="BB1607" s="175">
        <f t="shared" si="534"/>
        <v>15</v>
      </c>
      <c r="BC1607" s="176">
        <f t="shared" si="535"/>
        <v>14</v>
      </c>
      <c r="BD1607" s="176">
        <f t="shared" si="536"/>
        <v>15</v>
      </c>
      <c r="BE1607" s="240" t="str">
        <f t="shared" si="526"/>
        <v/>
      </c>
      <c r="BF1607" s="989"/>
      <c r="BG1607" s="989"/>
      <c r="BH1607" s="991">
        <f>IF(AND(Input_Product=Elig!$C1607,Elig_MatchAll_Ct&lt;22,$BC1607=(Elig_MatchAll_Ct-1),AF1607=0),C1607,0)</f>
        <v>0</v>
      </c>
      <c r="BI1607" s="991">
        <f>IF(AND(Input_Product=Elig!$C1607,Elig_MatchAll_Ct&lt;22,$BC1607=(Elig_MatchAll_Ct-1),AG1607=0),D1607,0)</f>
        <v>0</v>
      </c>
      <c r="BJ1607" s="991">
        <f>IF(AND(Input_Product=Elig!$C1607,Elig_MatchAll_Ct&lt;22,$BC1607=(Elig_MatchAll_Ct-1),AH1607=0),E1607,0)</f>
        <v>0</v>
      </c>
      <c r="BK1607" s="991">
        <f>IF(AND(Input_Product=Elig!$C1607,Elig_MatchAll_Ct&lt;22,$BC1607=(Elig_MatchAll_Ct-1),AI1607=0),F1607,0)</f>
        <v>0</v>
      </c>
      <c r="BL1607" s="991">
        <f>IF(AND(Input_Product=Elig!$C1607,Elig_MatchAll_Ct&lt;22,$BC1607=(Elig_MatchAll_Ct-1),AJ1607=0),G1607,0)</f>
        <v>0</v>
      </c>
      <c r="BM1607" s="991">
        <f>IF(AND(Input_Product=Elig!$C1607,Elig_MatchAll_Ct&lt;22,$BC1607=(Elig_MatchAll_Ct-1),AK1607=0),H1607,0)</f>
        <v>0</v>
      </c>
      <c r="BN1607" s="991">
        <f>IF(AND(Input_Product=Elig!$C1607,Elig_MatchAll_Ct&lt;22,$BC1607=(Elig_MatchAll_Ct-1),AL1607=0),I1607,0)</f>
        <v>0</v>
      </c>
      <c r="BO1607" s="991">
        <f>IF(AND(Input_Product=Elig!$C1607,Elig_MatchAll_Ct&lt;22,$BC1607=(Elig_MatchAll_Ct-1),AM1607=0),J1607,0)</f>
        <v>0</v>
      </c>
      <c r="BP1607" s="991">
        <f>IF(AND(Input_Product=Elig!$C1607,Elig_MatchAll_Ct&lt;22,$BC1607=(Elig_MatchAll_Ct-1),AN1607=0),K1607,0)</f>
        <v>0</v>
      </c>
      <c r="BQ1607" s="991">
        <f>IF(AND(Input_Product=Elig!$C1607,Elig_MatchAll_Ct&lt;22,$BC1607=(Elig_MatchAll_Ct-1),AP1607=0),L1607,0)</f>
        <v>0</v>
      </c>
      <c r="BR1607" s="991">
        <f>IF(AND(Input_Product=Elig!$C1607,Elig_MatchAll_Ct&lt;22,$BC1607=(Elig_MatchAll_Ct-1),AO1607=0),M1607,0)</f>
        <v>0</v>
      </c>
      <c r="BS1607" s="991">
        <f>IF(AND(Input_Product=Elig!$C1607,Elig_MatchAll_Ct&lt;22,$BC1607=(Elig_MatchAll_Ct-1),AQ1607=0),N1607,0)</f>
        <v>0</v>
      </c>
      <c r="BT1607" s="991">
        <f>IF(AND(Input_Product=Elig!$C1607,Elig_MatchAll_Ct&lt;22,$BC1607=(Elig_MatchAll_Ct-1),AR1607=0),O1607,0)</f>
        <v>0</v>
      </c>
      <c r="BU1607" s="991">
        <f>IF(AND(Input_Product=Elig!$C1607,Elig_MatchAll_Ct&lt;22,$BC1607=(Elig_MatchAll_Ct-1),AS1607=0),P1607,0)</f>
        <v>0</v>
      </c>
      <c r="BV1607" s="992">
        <f>IF(AND(Input_Product=Elig!$C1607,Elig_MatchAll_Ct&lt;22,$BC1607=(Elig_MatchAll_Ct-1),AT1607=0),Q1607,0)</f>
        <v>0</v>
      </c>
      <c r="BW1607" s="993">
        <f>IF(AND(Input_Product=Elig!$C1607,Elig_MatchAll_Ct&lt;22,$BC1607=(Elig_MatchAll_Ct-1),AU1607=0),R1607,0)</f>
        <v>0</v>
      </c>
      <c r="BX1607" s="994">
        <f>IF(AND(Input_Product=Elig!$C1607,Elig_MatchAll_Ct&lt;22,$BC1607=(Elig_MatchAll_Ct-1),AU1607=0),S1607,0)</f>
        <v>0</v>
      </c>
      <c r="BY1607" s="993">
        <f>IF(AND(Input_Product=Elig!$C1607,Elig_MatchAll_Ct&lt;22,$BC1607=(Elig_MatchAll_Ct-1),AV1607=0),T1607,0)</f>
        <v>0</v>
      </c>
      <c r="BZ1607" s="994">
        <f>IF(AND(Input_Product=Elig!$C1607,Elig_MatchAll_Ct&lt;22,$BC1607=(Elig_MatchAll_Ct-1),AV1607=0),U1607,0)</f>
        <v>0</v>
      </c>
      <c r="CA1607" s="993">
        <f>IF(AND(Input_Product=Elig!$C1607,Elig_MatchAll_Ct&lt;22,$BC1607=(Elig_MatchAll_Ct-1),AW1607=0),V1607,0)</f>
        <v>0</v>
      </c>
      <c r="CB1607" s="994">
        <f>IF(AND(Input_Product=Elig!$C1607,Elig_MatchAll_Ct&lt;22,$BC1607=(Elig_MatchAll_Ct-1),AW1607=0),W1607,0)</f>
        <v>0</v>
      </c>
      <c r="CC1607" s="993">
        <f>IF(AND(Input_Product=Elig!$C1607,Elig_MatchAll_Ct&lt;22,$BC1607=(Elig_MatchAll_Ct-1),AX1607=0),X1607,0)</f>
        <v>0</v>
      </c>
      <c r="CD1607" s="994">
        <f>IF(AND(Input_Product=Elig!$C1607,Elig_MatchAll_Ct&lt;22,$BC1607=(Elig_MatchAll_Ct-1),AX1607=0),Y1607,0)</f>
        <v>0</v>
      </c>
      <c r="CE1607" s="993">
        <f>IF(AND(Input_LTV&lt;=AE1607,Input_Product=Elig!$C1607,Elig_MatchAll_Ct&lt;22,$BC1607=(Elig_MatchAll_Ct-1),AY1607=0),Z1607,0)</f>
        <v>0</v>
      </c>
      <c r="CF1607" s="994">
        <f>IF(AND(Input_LTV&lt;=AE1607,Input_Product=Elig!$C1607,Elig_MatchAll_Ct&lt;22,$BC1607=(Elig_MatchAll_Ct-1),AY1607=0),AA1607,0)</f>
        <v>0</v>
      </c>
      <c r="CG1607" s="993">
        <f>IF(AND(Input_Product=Elig!$C1607,Elig_MatchAll_Ct&lt;22,$BC1607=(Elig_MatchAll_Ct-1),AZ1607=0),AB1607,0)</f>
        <v>0</v>
      </c>
      <c r="CH1607" s="994">
        <f>IF(AND(Input_Product=Elig!$C1607,Elig_MatchAll_Ct&lt;22,$BC1607=(Elig_MatchAll_Ct-1),AZ1607=0),AC1607,0)</f>
        <v>0</v>
      </c>
      <c r="CI1607" s="993">
        <f>IF(AND(Input_Product=Elig!$C1607,Elig_MatchAll_Ct&lt;22,$BC1607=(Elig_MatchAll_Ct-1),BA1607=0),AD1607,0)</f>
        <v>0</v>
      </c>
      <c r="CJ1607" s="994">
        <f>IF(AND(Input_Product=Elig!$C1607,Elig_MatchAll_Ct&lt;22,$BC1607=(Elig_MatchAll_Ct-1),BA1607=0),AE1607,0)</f>
        <v>0</v>
      </c>
    </row>
    <row r="1608" spans="2:88" ht="10.15" customHeight="1" x14ac:dyDescent="0.25">
      <c r="B1608" s="997" t="s">
        <v>3659</v>
      </c>
      <c r="C1608" s="995" t="str">
        <f t="shared" si="533"/>
        <v>HELOC OO</v>
      </c>
      <c r="D1608" s="997" t="s">
        <v>1984</v>
      </c>
      <c r="E1608" s="997" t="s">
        <v>4</v>
      </c>
      <c r="F1608" s="997" t="s">
        <v>329</v>
      </c>
      <c r="G1608" s="996" t="s">
        <v>175</v>
      </c>
      <c r="H1608" s="996" t="s">
        <v>446</v>
      </c>
      <c r="I1608" s="997" t="s">
        <v>1332</v>
      </c>
      <c r="J1608" s="997" t="s">
        <v>3544</v>
      </c>
      <c r="K1608" s="996" t="s">
        <v>1791</v>
      </c>
      <c r="L1608" s="997" t="s">
        <v>430</v>
      </c>
      <c r="M1608" s="997" t="s">
        <v>2677</v>
      </c>
      <c r="N1608" s="996" t="s">
        <v>82</v>
      </c>
      <c r="O1608" s="997" t="s">
        <v>310</v>
      </c>
      <c r="P1608" s="997" t="s">
        <v>291</v>
      </c>
      <c r="Q1608" s="997" t="s">
        <v>294</v>
      </c>
      <c r="R1608" s="997">
        <v>250000.01</v>
      </c>
      <c r="S1608" s="997">
        <v>350000</v>
      </c>
      <c r="T1608" s="997">
        <v>0</v>
      </c>
      <c r="U1608" s="997">
        <v>350000</v>
      </c>
      <c r="V1608" s="997">
        <v>0</v>
      </c>
      <c r="W1608" s="997">
        <v>50</v>
      </c>
      <c r="X1608" s="997">
        <v>0</v>
      </c>
      <c r="Y1608" s="997">
        <v>999</v>
      </c>
      <c r="Z1608" s="998">
        <v>700</v>
      </c>
      <c r="AA1608" s="998">
        <v>719</v>
      </c>
      <c r="AB1608" s="998">
        <v>0</v>
      </c>
      <c r="AC1608" s="998">
        <v>999999</v>
      </c>
      <c r="AD1608" s="997">
        <v>0</v>
      </c>
      <c r="AE1608" s="997">
        <v>75</v>
      </c>
      <c r="AF1608" s="170">
        <v>0</v>
      </c>
      <c r="AG1608" s="171">
        <v>0</v>
      </c>
      <c r="AH1608" s="171">
        <v>0</v>
      </c>
      <c r="AI1608" s="171">
        <v>0</v>
      </c>
      <c r="AJ1608" s="171">
        <v>0</v>
      </c>
      <c r="AK1608" s="171">
        <v>0</v>
      </c>
      <c r="AL1608" s="171">
        <v>1</v>
      </c>
      <c r="AM1608" s="171">
        <v>1</v>
      </c>
      <c r="AN1608" s="171">
        <v>1</v>
      </c>
      <c r="AO1608" s="171">
        <v>1</v>
      </c>
      <c r="AP1608" s="171">
        <v>1</v>
      </c>
      <c r="AQ1608" s="171">
        <v>1</v>
      </c>
      <c r="AR1608" s="171">
        <v>1</v>
      </c>
      <c r="AS1608" s="171">
        <v>1</v>
      </c>
      <c r="AT1608" s="171">
        <v>1</v>
      </c>
      <c r="AU1608" s="171">
        <f t="shared" si="527"/>
        <v>0</v>
      </c>
      <c r="AV1608" s="171">
        <f t="shared" si="528"/>
        <v>1</v>
      </c>
      <c r="AW1608" s="171">
        <f t="shared" si="529"/>
        <v>1</v>
      </c>
      <c r="AX1608" s="171">
        <f t="shared" si="537"/>
        <v>1</v>
      </c>
      <c r="AY1608" s="171">
        <f t="shared" si="530"/>
        <v>0</v>
      </c>
      <c r="AZ1608" s="171">
        <f t="shared" si="531"/>
        <v>1</v>
      </c>
      <c r="BA1608" s="172">
        <f t="shared" si="532"/>
        <v>1</v>
      </c>
      <c r="BB1608" s="175">
        <f t="shared" si="534"/>
        <v>14</v>
      </c>
      <c r="BC1608" s="176">
        <f t="shared" si="535"/>
        <v>13</v>
      </c>
      <c r="BD1608" s="176">
        <f t="shared" si="536"/>
        <v>14</v>
      </c>
      <c r="BE1608" s="240" t="str">
        <f t="shared" si="526"/>
        <v/>
      </c>
      <c r="BF1608" s="990"/>
      <c r="BG1608" s="990"/>
      <c r="BH1608" s="991">
        <f>IF(AND(Input_Product=Elig!$C1608,Elig_MatchAll_Ct&lt;22,$BC1608=(Elig_MatchAll_Ct-1),AF1608=0),C1608,0)</f>
        <v>0</v>
      </c>
      <c r="BI1608" s="991">
        <f>IF(AND(Input_Product=Elig!$C1608,Elig_MatchAll_Ct&lt;22,$BC1608=(Elig_MatchAll_Ct-1),AG1608=0),D1608,0)</f>
        <v>0</v>
      </c>
      <c r="BJ1608" s="991">
        <f>IF(AND(Input_Product=Elig!$C1608,Elig_MatchAll_Ct&lt;22,$BC1608=(Elig_MatchAll_Ct-1),AH1608=0),E1608,0)</f>
        <v>0</v>
      </c>
      <c r="BK1608" s="991">
        <f>IF(AND(Input_Product=Elig!$C1608,Elig_MatchAll_Ct&lt;22,$BC1608=(Elig_MatchAll_Ct-1),AI1608=0),F1608,0)</f>
        <v>0</v>
      </c>
      <c r="BL1608" s="991">
        <f>IF(AND(Input_Product=Elig!$C1608,Elig_MatchAll_Ct&lt;22,$BC1608=(Elig_MatchAll_Ct-1),AJ1608=0),G1608,0)</f>
        <v>0</v>
      </c>
      <c r="BM1608" s="991">
        <f>IF(AND(Input_Product=Elig!$C1608,Elig_MatchAll_Ct&lt;22,$BC1608=(Elig_MatchAll_Ct-1),AK1608=0),H1608,0)</f>
        <v>0</v>
      </c>
      <c r="BN1608" s="991">
        <f>IF(AND(Input_Product=Elig!$C1608,Elig_MatchAll_Ct&lt;22,$BC1608=(Elig_MatchAll_Ct-1),AL1608=0),I1608,0)</f>
        <v>0</v>
      </c>
      <c r="BO1608" s="991">
        <f>IF(AND(Input_Product=Elig!$C1608,Elig_MatchAll_Ct&lt;22,$BC1608=(Elig_MatchAll_Ct-1),AM1608=0),J1608,0)</f>
        <v>0</v>
      </c>
      <c r="BP1608" s="991">
        <f>IF(AND(Input_Product=Elig!$C1608,Elig_MatchAll_Ct&lt;22,$BC1608=(Elig_MatchAll_Ct-1),AN1608=0),K1608,0)</f>
        <v>0</v>
      </c>
      <c r="BQ1608" s="991">
        <f>IF(AND(Input_Product=Elig!$C1608,Elig_MatchAll_Ct&lt;22,$BC1608=(Elig_MatchAll_Ct-1),AP1608=0),L1608,0)</f>
        <v>0</v>
      </c>
      <c r="BR1608" s="991">
        <f>IF(AND(Input_Product=Elig!$C1608,Elig_MatchAll_Ct&lt;22,$BC1608=(Elig_MatchAll_Ct-1),AO1608=0),M1608,0)</f>
        <v>0</v>
      </c>
      <c r="BS1608" s="991">
        <f>IF(AND(Input_Product=Elig!$C1608,Elig_MatchAll_Ct&lt;22,$BC1608=(Elig_MatchAll_Ct-1),AQ1608=0),N1608,0)</f>
        <v>0</v>
      </c>
      <c r="BT1608" s="991">
        <f>IF(AND(Input_Product=Elig!$C1608,Elig_MatchAll_Ct&lt;22,$BC1608=(Elig_MatchAll_Ct-1),AR1608=0),O1608,0)</f>
        <v>0</v>
      </c>
      <c r="BU1608" s="991">
        <f>IF(AND(Input_Product=Elig!$C1608,Elig_MatchAll_Ct&lt;22,$BC1608=(Elig_MatchAll_Ct-1),AS1608=0),P1608,0)</f>
        <v>0</v>
      </c>
      <c r="BV1608" s="992">
        <f>IF(AND(Input_Product=Elig!$C1608,Elig_MatchAll_Ct&lt;22,$BC1608=(Elig_MatchAll_Ct-1),AT1608=0),Q1608,0)</f>
        <v>0</v>
      </c>
      <c r="BW1608" s="993">
        <f>IF(AND(Input_Product=Elig!$C1608,Elig_MatchAll_Ct&lt;22,$BC1608=(Elig_MatchAll_Ct-1),AU1608=0),R1608,0)</f>
        <v>0</v>
      </c>
      <c r="BX1608" s="994">
        <f>IF(AND(Input_Product=Elig!$C1608,Elig_MatchAll_Ct&lt;22,$BC1608=(Elig_MatchAll_Ct-1),AU1608=0),S1608,0)</f>
        <v>0</v>
      </c>
      <c r="BY1608" s="993">
        <f>IF(AND(Input_Product=Elig!$C1608,Elig_MatchAll_Ct&lt;22,$BC1608=(Elig_MatchAll_Ct-1),AV1608=0),T1608,0)</f>
        <v>0</v>
      </c>
      <c r="BZ1608" s="994">
        <f>IF(AND(Input_Product=Elig!$C1608,Elig_MatchAll_Ct&lt;22,$BC1608=(Elig_MatchAll_Ct-1),AV1608=0),U1608,0)</f>
        <v>0</v>
      </c>
      <c r="CA1608" s="993">
        <f>IF(AND(Input_Product=Elig!$C1608,Elig_MatchAll_Ct&lt;22,$BC1608=(Elig_MatchAll_Ct-1),AW1608=0),V1608,0)</f>
        <v>0</v>
      </c>
      <c r="CB1608" s="994">
        <f>IF(AND(Input_Product=Elig!$C1608,Elig_MatchAll_Ct&lt;22,$BC1608=(Elig_MatchAll_Ct-1),AW1608=0),W1608,0)</f>
        <v>0</v>
      </c>
      <c r="CC1608" s="993">
        <f>IF(AND(Input_Product=Elig!$C1608,Elig_MatchAll_Ct&lt;22,$BC1608=(Elig_MatchAll_Ct-1),AX1608=0),X1608,0)</f>
        <v>0</v>
      </c>
      <c r="CD1608" s="994">
        <f>IF(AND(Input_Product=Elig!$C1608,Elig_MatchAll_Ct&lt;22,$BC1608=(Elig_MatchAll_Ct-1),AX1608=0),Y1608,0)</f>
        <v>0</v>
      </c>
      <c r="CE1608" s="993">
        <f>IF(AND(Input_LTV&lt;=AE1608,Input_Product=Elig!$C1608,Elig_MatchAll_Ct&lt;22,$BC1608=(Elig_MatchAll_Ct-1),AY1608=0),Z1608,0)</f>
        <v>0</v>
      </c>
      <c r="CF1608" s="994">
        <f>IF(AND(Input_LTV&lt;=AE1608,Input_Product=Elig!$C1608,Elig_MatchAll_Ct&lt;22,$BC1608=(Elig_MatchAll_Ct-1),AY1608=0),AA1608,0)</f>
        <v>0</v>
      </c>
      <c r="CG1608" s="993">
        <f>IF(AND(Input_Product=Elig!$C1608,Elig_MatchAll_Ct&lt;22,$BC1608=(Elig_MatchAll_Ct-1),AZ1608=0),AB1608,0)</f>
        <v>0</v>
      </c>
      <c r="CH1608" s="994">
        <f>IF(AND(Input_Product=Elig!$C1608,Elig_MatchAll_Ct&lt;22,$BC1608=(Elig_MatchAll_Ct-1),AZ1608=0),AC1608,0)</f>
        <v>0</v>
      </c>
      <c r="CI1608" s="993">
        <f>IF(AND(Input_Product=Elig!$C1608,Elig_MatchAll_Ct&lt;22,$BC1608=(Elig_MatchAll_Ct-1),BA1608=0),AD1608,0)</f>
        <v>0</v>
      </c>
      <c r="CJ1608" s="994">
        <f>IF(AND(Input_Product=Elig!$C1608,Elig_MatchAll_Ct&lt;22,$BC1608=(Elig_MatchAll_Ct-1),BA1608=0),AE1608,0)</f>
        <v>0</v>
      </c>
    </row>
    <row r="1609" spans="2:88" ht="10.15" customHeight="1" x14ac:dyDescent="0.25">
      <c r="B1609" s="997" t="s">
        <v>3660</v>
      </c>
      <c r="C1609" s="1026" t="str">
        <f t="shared" si="533"/>
        <v>HELOC OO</v>
      </c>
      <c r="D1609" s="1027" t="s">
        <v>1984</v>
      </c>
      <c r="E1609" s="1027" t="s">
        <v>4</v>
      </c>
      <c r="F1609" s="1027" t="s">
        <v>329</v>
      </c>
      <c r="G1609" s="1028" t="s">
        <v>175</v>
      </c>
      <c r="H1609" s="1028" t="s">
        <v>446</v>
      </c>
      <c r="I1609" s="1027" t="s">
        <v>1332</v>
      </c>
      <c r="J1609" s="1027" t="s">
        <v>3544</v>
      </c>
      <c r="K1609" s="1028" t="s">
        <v>1791</v>
      </c>
      <c r="L1609" s="1027" t="s">
        <v>430</v>
      </c>
      <c r="M1609" s="1027" t="s">
        <v>2677</v>
      </c>
      <c r="N1609" s="1028" t="s">
        <v>82</v>
      </c>
      <c r="O1609" s="1027" t="s">
        <v>310</v>
      </c>
      <c r="P1609" s="1027" t="s">
        <v>291</v>
      </c>
      <c r="Q1609" s="1027" t="s">
        <v>294</v>
      </c>
      <c r="R1609" s="1027">
        <v>250000.01</v>
      </c>
      <c r="S1609" s="1027">
        <v>350000</v>
      </c>
      <c r="T1609" s="1027">
        <v>0</v>
      </c>
      <c r="U1609" s="1027">
        <v>350000</v>
      </c>
      <c r="V1609" s="1027">
        <v>0</v>
      </c>
      <c r="W1609" s="1027">
        <v>50</v>
      </c>
      <c r="X1609" s="1027">
        <v>0</v>
      </c>
      <c r="Y1609" s="1027">
        <v>999</v>
      </c>
      <c r="Z1609" s="1029">
        <v>680</v>
      </c>
      <c r="AA1609" s="1029">
        <v>699</v>
      </c>
      <c r="AB1609" s="1029">
        <v>0</v>
      </c>
      <c r="AC1609" s="1029">
        <v>999999</v>
      </c>
      <c r="AD1609" s="1027">
        <v>0</v>
      </c>
      <c r="AE1609" s="1030">
        <v>0</v>
      </c>
      <c r="AF1609" s="170">
        <v>0</v>
      </c>
      <c r="AG1609" s="171">
        <v>0</v>
      </c>
      <c r="AH1609" s="171">
        <v>0</v>
      </c>
      <c r="AI1609" s="171">
        <v>0</v>
      </c>
      <c r="AJ1609" s="171">
        <v>0</v>
      </c>
      <c r="AK1609" s="171">
        <v>0</v>
      </c>
      <c r="AL1609" s="171">
        <v>1</v>
      </c>
      <c r="AM1609" s="171">
        <v>1</v>
      </c>
      <c r="AN1609" s="171">
        <v>1</v>
      </c>
      <c r="AO1609" s="171">
        <v>1</v>
      </c>
      <c r="AP1609" s="171">
        <v>1</v>
      </c>
      <c r="AQ1609" s="171">
        <v>1</v>
      </c>
      <c r="AR1609" s="171">
        <v>1</v>
      </c>
      <c r="AS1609" s="171">
        <v>1</v>
      </c>
      <c r="AT1609" s="171">
        <v>1</v>
      </c>
      <c r="AU1609" s="171">
        <f t="shared" si="527"/>
        <v>0</v>
      </c>
      <c r="AV1609" s="171">
        <f t="shared" si="528"/>
        <v>1</v>
      </c>
      <c r="AW1609" s="171">
        <f t="shared" si="529"/>
        <v>1</v>
      </c>
      <c r="AX1609" s="171">
        <f t="shared" si="537"/>
        <v>1</v>
      </c>
      <c r="AY1609" s="171">
        <f t="shared" si="530"/>
        <v>0</v>
      </c>
      <c r="AZ1609" s="171">
        <f t="shared" si="531"/>
        <v>1</v>
      </c>
      <c r="BA1609" s="172">
        <f t="shared" si="532"/>
        <v>0</v>
      </c>
      <c r="BB1609" s="175">
        <f t="shared" si="534"/>
        <v>13</v>
      </c>
      <c r="BC1609" s="176">
        <f t="shared" si="535"/>
        <v>13</v>
      </c>
      <c r="BD1609" s="176">
        <f t="shared" si="536"/>
        <v>13</v>
      </c>
      <c r="BE1609" s="240" t="str">
        <f t="shared" si="526"/>
        <v/>
      </c>
      <c r="BF1609" s="990"/>
      <c r="BG1609" s="990"/>
      <c r="BH1609" s="991">
        <f>IF(AND(Input_Product=Elig!$C1609,Elig_MatchAll_Ct&lt;22,$BC1609=(Elig_MatchAll_Ct-1),AF1609=0),C1609,0)</f>
        <v>0</v>
      </c>
      <c r="BI1609" s="991">
        <f>IF(AND(Input_Product=Elig!$C1609,Elig_MatchAll_Ct&lt;22,$BC1609=(Elig_MatchAll_Ct-1),AG1609=0),D1609,0)</f>
        <v>0</v>
      </c>
      <c r="BJ1609" s="991">
        <f>IF(AND(Input_Product=Elig!$C1609,Elig_MatchAll_Ct&lt;22,$BC1609=(Elig_MatchAll_Ct-1),AH1609=0),E1609,0)</f>
        <v>0</v>
      </c>
      <c r="BK1609" s="991">
        <f>IF(AND(Input_Product=Elig!$C1609,Elig_MatchAll_Ct&lt;22,$BC1609=(Elig_MatchAll_Ct-1),AI1609=0),F1609,0)</f>
        <v>0</v>
      </c>
      <c r="BL1609" s="991">
        <f>IF(AND(Input_Product=Elig!$C1609,Elig_MatchAll_Ct&lt;22,$BC1609=(Elig_MatchAll_Ct-1),AJ1609=0),G1609,0)</f>
        <v>0</v>
      </c>
      <c r="BM1609" s="991">
        <f>IF(AND(Input_Product=Elig!$C1609,Elig_MatchAll_Ct&lt;22,$BC1609=(Elig_MatchAll_Ct-1),AK1609=0),H1609,0)</f>
        <v>0</v>
      </c>
      <c r="BN1609" s="991">
        <f>IF(AND(Input_Product=Elig!$C1609,Elig_MatchAll_Ct&lt;22,$BC1609=(Elig_MatchAll_Ct-1),AL1609=0),I1609,0)</f>
        <v>0</v>
      </c>
      <c r="BO1609" s="991">
        <f>IF(AND(Input_Product=Elig!$C1609,Elig_MatchAll_Ct&lt;22,$BC1609=(Elig_MatchAll_Ct-1),AM1609=0),J1609,0)</f>
        <v>0</v>
      </c>
      <c r="BP1609" s="991">
        <f>IF(AND(Input_Product=Elig!$C1609,Elig_MatchAll_Ct&lt;22,$BC1609=(Elig_MatchAll_Ct-1),AN1609=0),K1609,0)</f>
        <v>0</v>
      </c>
      <c r="BQ1609" s="991">
        <f>IF(AND(Input_Product=Elig!$C1609,Elig_MatchAll_Ct&lt;22,$BC1609=(Elig_MatchAll_Ct-1),AP1609=0),L1609,0)</f>
        <v>0</v>
      </c>
      <c r="BR1609" s="991">
        <f>IF(AND(Input_Product=Elig!$C1609,Elig_MatchAll_Ct&lt;22,$BC1609=(Elig_MatchAll_Ct-1),AO1609=0),M1609,0)</f>
        <v>0</v>
      </c>
      <c r="BS1609" s="991">
        <f>IF(AND(Input_Product=Elig!$C1609,Elig_MatchAll_Ct&lt;22,$BC1609=(Elig_MatchAll_Ct-1),AQ1609=0),N1609,0)</f>
        <v>0</v>
      </c>
      <c r="BT1609" s="991">
        <f>IF(AND(Input_Product=Elig!$C1609,Elig_MatchAll_Ct&lt;22,$BC1609=(Elig_MatchAll_Ct-1),AR1609=0),O1609,0)</f>
        <v>0</v>
      </c>
      <c r="BU1609" s="991">
        <f>IF(AND(Input_Product=Elig!$C1609,Elig_MatchAll_Ct&lt;22,$BC1609=(Elig_MatchAll_Ct-1),AS1609=0),P1609,0)</f>
        <v>0</v>
      </c>
      <c r="BV1609" s="992">
        <f>IF(AND(Input_Product=Elig!$C1609,Elig_MatchAll_Ct&lt;22,$BC1609=(Elig_MatchAll_Ct-1),AT1609=0),Q1609,0)</f>
        <v>0</v>
      </c>
      <c r="BW1609" s="993">
        <f>IF(AND(Input_Product=Elig!$C1609,Elig_MatchAll_Ct&lt;22,$BC1609=(Elig_MatchAll_Ct-1),AU1609=0),R1609,0)</f>
        <v>0</v>
      </c>
      <c r="BX1609" s="994">
        <f>IF(AND(Input_Product=Elig!$C1609,Elig_MatchAll_Ct&lt;22,$BC1609=(Elig_MatchAll_Ct-1),AU1609=0),S1609,0)</f>
        <v>0</v>
      </c>
      <c r="BY1609" s="993">
        <f>IF(AND(Input_Product=Elig!$C1609,Elig_MatchAll_Ct&lt;22,$BC1609=(Elig_MatchAll_Ct-1),AV1609=0),T1609,0)</f>
        <v>0</v>
      </c>
      <c r="BZ1609" s="994">
        <f>IF(AND(Input_Product=Elig!$C1609,Elig_MatchAll_Ct&lt;22,$BC1609=(Elig_MatchAll_Ct-1),AV1609=0),U1609,0)</f>
        <v>0</v>
      </c>
      <c r="CA1609" s="993">
        <f>IF(AND(Input_Product=Elig!$C1609,Elig_MatchAll_Ct&lt;22,$BC1609=(Elig_MatchAll_Ct-1),AW1609=0),V1609,0)</f>
        <v>0</v>
      </c>
      <c r="CB1609" s="994">
        <f>IF(AND(Input_Product=Elig!$C1609,Elig_MatchAll_Ct&lt;22,$BC1609=(Elig_MatchAll_Ct-1),AW1609=0),W1609,0)</f>
        <v>0</v>
      </c>
      <c r="CC1609" s="993">
        <f>IF(AND(Input_Product=Elig!$C1609,Elig_MatchAll_Ct&lt;22,$BC1609=(Elig_MatchAll_Ct-1),AX1609=0),X1609,0)</f>
        <v>0</v>
      </c>
      <c r="CD1609" s="994">
        <f>IF(AND(Input_Product=Elig!$C1609,Elig_MatchAll_Ct&lt;22,$BC1609=(Elig_MatchAll_Ct-1),AX1609=0),Y1609,0)</f>
        <v>0</v>
      </c>
      <c r="CE1609" s="993">
        <f>IF(AND(Input_LTV&lt;=AE1609,Input_Product=Elig!$C1609,Elig_MatchAll_Ct&lt;22,$BC1609=(Elig_MatchAll_Ct-1),AY1609=0),Z1609,0)</f>
        <v>0</v>
      </c>
      <c r="CF1609" s="994">
        <f>IF(AND(Input_LTV&lt;=AE1609,Input_Product=Elig!$C1609,Elig_MatchAll_Ct&lt;22,$BC1609=(Elig_MatchAll_Ct-1),AY1609=0),AA1609,0)</f>
        <v>0</v>
      </c>
      <c r="CG1609" s="993">
        <f>IF(AND(Input_Product=Elig!$C1609,Elig_MatchAll_Ct&lt;22,$BC1609=(Elig_MatchAll_Ct-1),AZ1609=0),AB1609,0)</f>
        <v>0</v>
      </c>
      <c r="CH1609" s="994">
        <f>IF(AND(Input_Product=Elig!$C1609,Elig_MatchAll_Ct&lt;22,$BC1609=(Elig_MatchAll_Ct-1),AZ1609=0),AC1609,0)</f>
        <v>0</v>
      </c>
      <c r="CI1609" s="993">
        <f>IF(AND(Input_Product=Elig!$C1609,Elig_MatchAll_Ct&lt;22,$BC1609=(Elig_MatchAll_Ct-1),BA1609=0),AD1609,0)</f>
        <v>0</v>
      </c>
      <c r="CJ1609" s="994">
        <f>IF(AND(Input_Product=Elig!$C1609,Elig_MatchAll_Ct&lt;22,$BC1609=(Elig_MatchAll_Ct-1),BA1609=0),AE1609,0)</f>
        <v>0</v>
      </c>
    </row>
    <row r="1610" spans="2:88" ht="10.15" customHeight="1" x14ac:dyDescent="0.25">
      <c r="B1610" s="997" t="s">
        <v>3661</v>
      </c>
      <c r="C1610" s="999" t="str">
        <f t="shared" si="533"/>
        <v>HELOC OO</v>
      </c>
      <c r="D1610" s="1000" t="s">
        <v>1984</v>
      </c>
      <c r="E1610" s="1000" t="s">
        <v>4</v>
      </c>
      <c r="F1610" s="1000" t="s">
        <v>329</v>
      </c>
      <c r="G1610" s="1000" t="s">
        <v>303</v>
      </c>
      <c r="H1610" s="1000" t="s">
        <v>136</v>
      </c>
      <c r="I1610" s="1001" t="s">
        <v>1332</v>
      </c>
      <c r="J1610" s="1001" t="s">
        <v>3544</v>
      </c>
      <c r="K1610" s="1000" t="s">
        <v>1791</v>
      </c>
      <c r="L1610" s="1001" t="s">
        <v>430</v>
      </c>
      <c r="M1610" s="1001" t="s">
        <v>2677</v>
      </c>
      <c r="N1610" s="1000" t="s">
        <v>82</v>
      </c>
      <c r="O1610" s="1001" t="s">
        <v>310</v>
      </c>
      <c r="P1610" s="1001" t="s">
        <v>291</v>
      </c>
      <c r="Q1610" s="1001" t="s">
        <v>294</v>
      </c>
      <c r="R1610" s="1001">
        <v>350000.01</v>
      </c>
      <c r="S1610" s="1001">
        <v>500000</v>
      </c>
      <c r="T1610" s="1001">
        <v>0</v>
      </c>
      <c r="U1610" s="1001">
        <v>500000</v>
      </c>
      <c r="V1610" s="1001">
        <v>0</v>
      </c>
      <c r="W1610" s="1001">
        <v>50</v>
      </c>
      <c r="X1610" s="1001">
        <v>0</v>
      </c>
      <c r="Y1610" s="1001">
        <v>999</v>
      </c>
      <c r="Z1610" s="1002">
        <v>720</v>
      </c>
      <c r="AA1610" s="1002">
        <v>999</v>
      </c>
      <c r="AB1610" s="1002">
        <v>0</v>
      </c>
      <c r="AC1610" s="1002">
        <v>999999</v>
      </c>
      <c r="AD1610" s="1001">
        <v>0</v>
      </c>
      <c r="AE1610" s="1001">
        <v>75</v>
      </c>
      <c r="AF1610" s="170">
        <v>0</v>
      </c>
      <c r="AG1610" s="171">
        <v>0</v>
      </c>
      <c r="AH1610" s="171">
        <v>0</v>
      </c>
      <c r="AI1610" s="171">
        <v>0</v>
      </c>
      <c r="AJ1610" s="171">
        <v>1</v>
      </c>
      <c r="AK1610" s="171">
        <v>1</v>
      </c>
      <c r="AL1610" s="171">
        <v>1</v>
      </c>
      <c r="AM1610" s="171">
        <v>1</v>
      </c>
      <c r="AN1610" s="171">
        <v>1</v>
      </c>
      <c r="AO1610" s="171">
        <v>1</v>
      </c>
      <c r="AP1610" s="171">
        <v>1</v>
      </c>
      <c r="AQ1610" s="171">
        <v>1</v>
      </c>
      <c r="AR1610" s="171">
        <v>1</v>
      </c>
      <c r="AS1610" s="171">
        <v>1</v>
      </c>
      <c r="AT1610" s="171">
        <v>1</v>
      </c>
      <c r="AU1610" s="171">
        <f t="shared" si="527"/>
        <v>0</v>
      </c>
      <c r="AV1610" s="171">
        <f t="shared" si="528"/>
        <v>1</v>
      </c>
      <c r="AW1610" s="171">
        <f t="shared" si="529"/>
        <v>1</v>
      </c>
      <c r="AX1610" s="171">
        <f t="shared" si="537"/>
        <v>1</v>
      </c>
      <c r="AY1610" s="171">
        <f t="shared" si="530"/>
        <v>1</v>
      </c>
      <c r="AZ1610" s="171">
        <f t="shared" si="531"/>
        <v>1</v>
      </c>
      <c r="BA1610" s="172">
        <f t="shared" si="532"/>
        <v>1</v>
      </c>
      <c r="BB1610" s="175">
        <f t="shared" si="534"/>
        <v>17</v>
      </c>
      <c r="BC1610" s="176">
        <f t="shared" si="535"/>
        <v>16</v>
      </c>
      <c r="BD1610" s="176">
        <f t="shared" si="536"/>
        <v>17</v>
      </c>
      <c r="BE1610" s="240" t="str">
        <f t="shared" si="526"/>
        <v/>
      </c>
      <c r="BF1610" s="989"/>
      <c r="BG1610" s="989"/>
      <c r="BH1610" s="991">
        <f>IF(AND(Input_Product=Elig!$C1610,Elig_MatchAll_Ct&lt;22,$BC1610=(Elig_MatchAll_Ct-1),AF1610=0),C1610,0)</f>
        <v>0</v>
      </c>
      <c r="BI1610" s="991">
        <f>IF(AND(Input_Product=Elig!$C1610,Elig_MatchAll_Ct&lt;22,$BC1610=(Elig_MatchAll_Ct-1),AG1610=0),D1610,0)</f>
        <v>0</v>
      </c>
      <c r="BJ1610" s="991">
        <f>IF(AND(Input_Product=Elig!$C1610,Elig_MatchAll_Ct&lt;22,$BC1610=(Elig_MatchAll_Ct-1),AH1610=0),E1610,0)</f>
        <v>0</v>
      </c>
      <c r="BK1610" s="991">
        <f>IF(AND(Input_Product=Elig!$C1610,Elig_MatchAll_Ct&lt;22,$BC1610=(Elig_MatchAll_Ct-1),AI1610=0),F1610,0)</f>
        <v>0</v>
      </c>
      <c r="BL1610" s="991">
        <f>IF(AND(Input_Product=Elig!$C1610,Elig_MatchAll_Ct&lt;22,$BC1610=(Elig_MatchAll_Ct-1),AJ1610=0),G1610,0)</f>
        <v>0</v>
      </c>
      <c r="BM1610" s="991">
        <f>IF(AND(Input_Product=Elig!$C1610,Elig_MatchAll_Ct&lt;22,$BC1610=(Elig_MatchAll_Ct-1),AK1610=0),H1610,0)</f>
        <v>0</v>
      </c>
      <c r="BN1610" s="991">
        <f>IF(AND(Input_Product=Elig!$C1610,Elig_MatchAll_Ct&lt;22,$BC1610=(Elig_MatchAll_Ct-1),AL1610=0),I1610,0)</f>
        <v>0</v>
      </c>
      <c r="BO1610" s="991">
        <f>IF(AND(Input_Product=Elig!$C1610,Elig_MatchAll_Ct&lt;22,$BC1610=(Elig_MatchAll_Ct-1),AM1610=0),J1610,0)</f>
        <v>0</v>
      </c>
      <c r="BP1610" s="991">
        <f>IF(AND(Input_Product=Elig!$C1610,Elig_MatchAll_Ct&lt;22,$BC1610=(Elig_MatchAll_Ct-1),AN1610=0),K1610,0)</f>
        <v>0</v>
      </c>
      <c r="BQ1610" s="991">
        <f>IF(AND(Input_Product=Elig!$C1610,Elig_MatchAll_Ct&lt;22,$BC1610=(Elig_MatchAll_Ct-1),AP1610=0),L1610,0)</f>
        <v>0</v>
      </c>
      <c r="BR1610" s="991">
        <f>IF(AND(Input_Product=Elig!$C1610,Elig_MatchAll_Ct&lt;22,$BC1610=(Elig_MatchAll_Ct-1),AO1610=0),M1610,0)</f>
        <v>0</v>
      </c>
      <c r="BS1610" s="991">
        <f>IF(AND(Input_Product=Elig!$C1610,Elig_MatchAll_Ct&lt;22,$BC1610=(Elig_MatchAll_Ct-1),AQ1610=0),N1610,0)</f>
        <v>0</v>
      </c>
      <c r="BT1610" s="991">
        <f>IF(AND(Input_Product=Elig!$C1610,Elig_MatchAll_Ct&lt;22,$BC1610=(Elig_MatchAll_Ct-1),AR1610=0),O1610,0)</f>
        <v>0</v>
      </c>
      <c r="BU1610" s="991">
        <f>IF(AND(Input_Product=Elig!$C1610,Elig_MatchAll_Ct&lt;22,$BC1610=(Elig_MatchAll_Ct-1),AS1610=0),P1610,0)</f>
        <v>0</v>
      </c>
      <c r="BV1610" s="992">
        <f>IF(AND(Input_Product=Elig!$C1610,Elig_MatchAll_Ct&lt;22,$BC1610=(Elig_MatchAll_Ct-1),AT1610=0),Q1610,0)</f>
        <v>0</v>
      </c>
      <c r="BW1610" s="993">
        <f>IF(AND(Input_Product=Elig!$C1610,Elig_MatchAll_Ct&lt;22,$BC1610=(Elig_MatchAll_Ct-1),AU1610=0),R1610,0)</f>
        <v>0</v>
      </c>
      <c r="BX1610" s="994">
        <f>IF(AND(Input_Product=Elig!$C1610,Elig_MatchAll_Ct&lt;22,$BC1610=(Elig_MatchAll_Ct-1),AU1610=0),S1610,0)</f>
        <v>0</v>
      </c>
      <c r="BY1610" s="993">
        <f>IF(AND(Input_Product=Elig!$C1610,Elig_MatchAll_Ct&lt;22,$BC1610=(Elig_MatchAll_Ct-1),AV1610=0),T1610,0)</f>
        <v>0</v>
      </c>
      <c r="BZ1610" s="994">
        <f>IF(AND(Input_Product=Elig!$C1610,Elig_MatchAll_Ct&lt;22,$BC1610=(Elig_MatchAll_Ct-1),AV1610=0),U1610,0)</f>
        <v>0</v>
      </c>
      <c r="CA1610" s="993">
        <f>IF(AND(Input_Product=Elig!$C1610,Elig_MatchAll_Ct&lt;22,$BC1610=(Elig_MatchAll_Ct-1),AW1610=0),V1610,0)</f>
        <v>0</v>
      </c>
      <c r="CB1610" s="994">
        <f>IF(AND(Input_Product=Elig!$C1610,Elig_MatchAll_Ct&lt;22,$BC1610=(Elig_MatchAll_Ct-1),AW1610=0),W1610,0)</f>
        <v>0</v>
      </c>
      <c r="CC1610" s="993">
        <f>IF(AND(Input_Product=Elig!$C1610,Elig_MatchAll_Ct&lt;22,$BC1610=(Elig_MatchAll_Ct-1),AX1610=0),X1610,0)</f>
        <v>0</v>
      </c>
      <c r="CD1610" s="994">
        <f>IF(AND(Input_Product=Elig!$C1610,Elig_MatchAll_Ct&lt;22,$BC1610=(Elig_MatchAll_Ct-1),AX1610=0),Y1610,0)</f>
        <v>0</v>
      </c>
      <c r="CE1610" s="993">
        <f>IF(AND(Input_LTV&lt;=AE1610,Input_Product=Elig!$C1610,Elig_MatchAll_Ct&lt;22,$BC1610=(Elig_MatchAll_Ct-1),AY1610=0),Z1610,0)</f>
        <v>0</v>
      </c>
      <c r="CF1610" s="994">
        <f>IF(AND(Input_LTV&lt;=AE1610,Input_Product=Elig!$C1610,Elig_MatchAll_Ct&lt;22,$BC1610=(Elig_MatchAll_Ct-1),AY1610=0),AA1610,0)</f>
        <v>0</v>
      </c>
      <c r="CG1610" s="993">
        <f>IF(AND(Input_Product=Elig!$C1610,Elig_MatchAll_Ct&lt;22,$BC1610=(Elig_MatchAll_Ct-1),AZ1610=0),AB1610,0)</f>
        <v>0</v>
      </c>
      <c r="CH1610" s="994">
        <f>IF(AND(Input_Product=Elig!$C1610,Elig_MatchAll_Ct&lt;22,$BC1610=(Elig_MatchAll_Ct-1),AZ1610=0),AC1610,0)</f>
        <v>0</v>
      </c>
      <c r="CI1610" s="993">
        <f>IF(AND(Input_Product=Elig!$C1610,Elig_MatchAll_Ct&lt;22,$BC1610=(Elig_MatchAll_Ct-1),BA1610=0),AD1610,0)</f>
        <v>0</v>
      </c>
      <c r="CJ1610" s="994">
        <f>IF(AND(Input_Product=Elig!$C1610,Elig_MatchAll_Ct&lt;22,$BC1610=(Elig_MatchAll_Ct-1),BA1610=0),AE1610,0)</f>
        <v>0</v>
      </c>
    </row>
    <row r="1611" spans="2:88" ht="10.15" customHeight="1" x14ac:dyDescent="0.25">
      <c r="B1611" s="997" t="s">
        <v>3662</v>
      </c>
      <c r="C1611" s="995" t="str">
        <f t="shared" si="533"/>
        <v>HELOC OO</v>
      </c>
      <c r="D1611" s="997" t="s">
        <v>1984</v>
      </c>
      <c r="E1611" s="997" t="s">
        <v>4</v>
      </c>
      <c r="F1611" s="997" t="s">
        <v>329</v>
      </c>
      <c r="G1611" s="996" t="s">
        <v>303</v>
      </c>
      <c r="H1611" s="996" t="s">
        <v>136</v>
      </c>
      <c r="I1611" s="997" t="s">
        <v>1332</v>
      </c>
      <c r="J1611" s="997" t="s">
        <v>3544</v>
      </c>
      <c r="K1611" s="996" t="s">
        <v>1791</v>
      </c>
      <c r="L1611" s="997" t="s">
        <v>430</v>
      </c>
      <c r="M1611" s="997" t="s">
        <v>2677</v>
      </c>
      <c r="N1611" s="996" t="s">
        <v>82</v>
      </c>
      <c r="O1611" s="997" t="s">
        <v>310</v>
      </c>
      <c r="P1611" s="997" t="s">
        <v>291</v>
      </c>
      <c r="Q1611" s="997" t="s">
        <v>294</v>
      </c>
      <c r="R1611" s="997">
        <v>350000.01</v>
      </c>
      <c r="S1611" s="997">
        <v>500000</v>
      </c>
      <c r="T1611" s="997">
        <v>0</v>
      </c>
      <c r="U1611" s="997">
        <v>500000</v>
      </c>
      <c r="V1611" s="997">
        <v>0</v>
      </c>
      <c r="W1611" s="997">
        <v>50</v>
      </c>
      <c r="X1611" s="997">
        <v>0</v>
      </c>
      <c r="Y1611" s="997">
        <v>999</v>
      </c>
      <c r="Z1611" s="998">
        <v>700</v>
      </c>
      <c r="AA1611" s="998">
        <v>719</v>
      </c>
      <c r="AB1611" s="998">
        <v>0</v>
      </c>
      <c r="AC1611" s="998">
        <v>999999</v>
      </c>
      <c r="AD1611" s="997">
        <v>0</v>
      </c>
      <c r="AE1611" s="997">
        <v>75</v>
      </c>
      <c r="AF1611" s="170">
        <v>0</v>
      </c>
      <c r="AG1611" s="171">
        <v>0</v>
      </c>
      <c r="AH1611" s="171">
        <v>0</v>
      </c>
      <c r="AI1611" s="171">
        <v>0</v>
      </c>
      <c r="AJ1611" s="171">
        <v>1</v>
      </c>
      <c r="AK1611" s="171">
        <v>1</v>
      </c>
      <c r="AL1611" s="171">
        <v>1</v>
      </c>
      <c r="AM1611" s="171">
        <v>1</v>
      </c>
      <c r="AN1611" s="171">
        <v>1</v>
      </c>
      <c r="AO1611" s="171">
        <v>1</v>
      </c>
      <c r="AP1611" s="171">
        <v>1</v>
      </c>
      <c r="AQ1611" s="171">
        <v>1</v>
      </c>
      <c r="AR1611" s="171">
        <v>1</v>
      </c>
      <c r="AS1611" s="171">
        <v>1</v>
      </c>
      <c r="AT1611" s="171">
        <v>1</v>
      </c>
      <c r="AU1611" s="171">
        <f t="shared" si="527"/>
        <v>0</v>
      </c>
      <c r="AV1611" s="171">
        <f t="shared" si="528"/>
        <v>1</v>
      </c>
      <c r="AW1611" s="171">
        <f t="shared" si="529"/>
        <v>1</v>
      </c>
      <c r="AX1611" s="171">
        <f t="shared" si="537"/>
        <v>1</v>
      </c>
      <c r="AY1611" s="171">
        <f t="shared" si="530"/>
        <v>0</v>
      </c>
      <c r="AZ1611" s="171">
        <f t="shared" si="531"/>
        <v>1</v>
      </c>
      <c r="BA1611" s="172">
        <f t="shared" si="532"/>
        <v>1</v>
      </c>
      <c r="BB1611" s="175">
        <f t="shared" si="534"/>
        <v>16</v>
      </c>
      <c r="BC1611" s="176">
        <f t="shared" si="535"/>
        <v>15</v>
      </c>
      <c r="BD1611" s="176">
        <f t="shared" si="536"/>
        <v>16</v>
      </c>
      <c r="BE1611" s="240" t="str">
        <f t="shared" si="526"/>
        <v/>
      </c>
      <c r="BF1611" s="990"/>
      <c r="BG1611" s="990"/>
      <c r="BH1611" s="991">
        <f>IF(AND(Input_Product=Elig!$C1611,Elig_MatchAll_Ct&lt;22,$BC1611=(Elig_MatchAll_Ct-1),AF1611=0),C1611,0)</f>
        <v>0</v>
      </c>
      <c r="BI1611" s="991">
        <f>IF(AND(Input_Product=Elig!$C1611,Elig_MatchAll_Ct&lt;22,$BC1611=(Elig_MatchAll_Ct-1),AG1611=0),D1611,0)</f>
        <v>0</v>
      </c>
      <c r="BJ1611" s="991">
        <f>IF(AND(Input_Product=Elig!$C1611,Elig_MatchAll_Ct&lt;22,$BC1611=(Elig_MatchAll_Ct-1),AH1611=0),E1611,0)</f>
        <v>0</v>
      </c>
      <c r="BK1611" s="991">
        <f>IF(AND(Input_Product=Elig!$C1611,Elig_MatchAll_Ct&lt;22,$BC1611=(Elig_MatchAll_Ct-1),AI1611=0),F1611,0)</f>
        <v>0</v>
      </c>
      <c r="BL1611" s="991">
        <f>IF(AND(Input_Product=Elig!$C1611,Elig_MatchAll_Ct&lt;22,$BC1611=(Elig_MatchAll_Ct-1),AJ1611=0),G1611,0)</f>
        <v>0</v>
      </c>
      <c r="BM1611" s="991">
        <f>IF(AND(Input_Product=Elig!$C1611,Elig_MatchAll_Ct&lt;22,$BC1611=(Elig_MatchAll_Ct-1),AK1611=0),H1611,0)</f>
        <v>0</v>
      </c>
      <c r="BN1611" s="991">
        <f>IF(AND(Input_Product=Elig!$C1611,Elig_MatchAll_Ct&lt;22,$BC1611=(Elig_MatchAll_Ct-1),AL1611=0),I1611,0)</f>
        <v>0</v>
      </c>
      <c r="BO1611" s="991">
        <f>IF(AND(Input_Product=Elig!$C1611,Elig_MatchAll_Ct&lt;22,$BC1611=(Elig_MatchAll_Ct-1),AM1611=0),J1611,0)</f>
        <v>0</v>
      </c>
      <c r="BP1611" s="991">
        <f>IF(AND(Input_Product=Elig!$C1611,Elig_MatchAll_Ct&lt;22,$BC1611=(Elig_MatchAll_Ct-1),AN1611=0),K1611,0)</f>
        <v>0</v>
      </c>
      <c r="BQ1611" s="991">
        <f>IF(AND(Input_Product=Elig!$C1611,Elig_MatchAll_Ct&lt;22,$BC1611=(Elig_MatchAll_Ct-1),AP1611=0),L1611,0)</f>
        <v>0</v>
      </c>
      <c r="BR1611" s="991">
        <f>IF(AND(Input_Product=Elig!$C1611,Elig_MatchAll_Ct&lt;22,$BC1611=(Elig_MatchAll_Ct-1),AO1611=0),M1611,0)</f>
        <v>0</v>
      </c>
      <c r="BS1611" s="991">
        <f>IF(AND(Input_Product=Elig!$C1611,Elig_MatchAll_Ct&lt;22,$BC1611=(Elig_MatchAll_Ct-1),AQ1611=0),N1611,0)</f>
        <v>0</v>
      </c>
      <c r="BT1611" s="991">
        <f>IF(AND(Input_Product=Elig!$C1611,Elig_MatchAll_Ct&lt;22,$BC1611=(Elig_MatchAll_Ct-1),AR1611=0),O1611,0)</f>
        <v>0</v>
      </c>
      <c r="BU1611" s="991">
        <f>IF(AND(Input_Product=Elig!$C1611,Elig_MatchAll_Ct&lt;22,$BC1611=(Elig_MatchAll_Ct-1),AS1611=0),P1611,0)</f>
        <v>0</v>
      </c>
      <c r="BV1611" s="992">
        <f>IF(AND(Input_Product=Elig!$C1611,Elig_MatchAll_Ct&lt;22,$BC1611=(Elig_MatchAll_Ct-1),AT1611=0),Q1611,0)</f>
        <v>0</v>
      </c>
      <c r="BW1611" s="993">
        <f>IF(AND(Input_Product=Elig!$C1611,Elig_MatchAll_Ct&lt;22,$BC1611=(Elig_MatchAll_Ct-1),AU1611=0),R1611,0)</f>
        <v>0</v>
      </c>
      <c r="BX1611" s="994">
        <f>IF(AND(Input_Product=Elig!$C1611,Elig_MatchAll_Ct&lt;22,$BC1611=(Elig_MatchAll_Ct-1),AU1611=0),S1611,0)</f>
        <v>0</v>
      </c>
      <c r="BY1611" s="993">
        <f>IF(AND(Input_Product=Elig!$C1611,Elig_MatchAll_Ct&lt;22,$BC1611=(Elig_MatchAll_Ct-1),AV1611=0),T1611,0)</f>
        <v>0</v>
      </c>
      <c r="BZ1611" s="994">
        <f>IF(AND(Input_Product=Elig!$C1611,Elig_MatchAll_Ct&lt;22,$BC1611=(Elig_MatchAll_Ct-1),AV1611=0),U1611,0)</f>
        <v>0</v>
      </c>
      <c r="CA1611" s="993">
        <f>IF(AND(Input_Product=Elig!$C1611,Elig_MatchAll_Ct&lt;22,$BC1611=(Elig_MatchAll_Ct-1),AW1611=0),V1611,0)</f>
        <v>0</v>
      </c>
      <c r="CB1611" s="994">
        <f>IF(AND(Input_Product=Elig!$C1611,Elig_MatchAll_Ct&lt;22,$BC1611=(Elig_MatchAll_Ct-1),AW1611=0),W1611,0)</f>
        <v>0</v>
      </c>
      <c r="CC1611" s="993">
        <f>IF(AND(Input_Product=Elig!$C1611,Elig_MatchAll_Ct&lt;22,$BC1611=(Elig_MatchAll_Ct-1),AX1611=0),X1611,0)</f>
        <v>0</v>
      </c>
      <c r="CD1611" s="994">
        <f>IF(AND(Input_Product=Elig!$C1611,Elig_MatchAll_Ct&lt;22,$BC1611=(Elig_MatchAll_Ct-1),AX1611=0),Y1611,0)</f>
        <v>0</v>
      </c>
      <c r="CE1611" s="993">
        <f>IF(AND(Input_LTV&lt;=AE1611,Input_Product=Elig!$C1611,Elig_MatchAll_Ct&lt;22,$BC1611=(Elig_MatchAll_Ct-1),AY1611=0),Z1611,0)</f>
        <v>0</v>
      </c>
      <c r="CF1611" s="994">
        <f>IF(AND(Input_LTV&lt;=AE1611,Input_Product=Elig!$C1611,Elig_MatchAll_Ct&lt;22,$BC1611=(Elig_MatchAll_Ct-1),AY1611=0),AA1611,0)</f>
        <v>0</v>
      </c>
      <c r="CG1611" s="993">
        <f>IF(AND(Input_Product=Elig!$C1611,Elig_MatchAll_Ct&lt;22,$BC1611=(Elig_MatchAll_Ct-1),AZ1611=0),AB1611,0)</f>
        <v>0</v>
      </c>
      <c r="CH1611" s="994">
        <f>IF(AND(Input_Product=Elig!$C1611,Elig_MatchAll_Ct&lt;22,$BC1611=(Elig_MatchAll_Ct-1),AZ1611=0),AC1611,0)</f>
        <v>0</v>
      </c>
      <c r="CI1611" s="993">
        <f>IF(AND(Input_Product=Elig!$C1611,Elig_MatchAll_Ct&lt;22,$BC1611=(Elig_MatchAll_Ct-1),BA1611=0),AD1611,0)</f>
        <v>0</v>
      </c>
      <c r="CJ1611" s="994">
        <f>IF(AND(Input_Product=Elig!$C1611,Elig_MatchAll_Ct&lt;22,$BC1611=(Elig_MatchAll_Ct-1),BA1611=0),AE1611,0)</f>
        <v>0</v>
      </c>
    </row>
    <row r="1612" spans="2:88" ht="10.15" customHeight="1" x14ac:dyDescent="0.25">
      <c r="B1612" s="997" t="s">
        <v>3663</v>
      </c>
      <c r="C1612" s="1026" t="str">
        <f t="shared" si="533"/>
        <v>HELOC OO</v>
      </c>
      <c r="D1612" s="1027" t="s">
        <v>1984</v>
      </c>
      <c r="E1612" s="1027" t="s">
        <v>4</v>
      </c>
      <c r="F1612" s="1027" t="s">
        <v>329</v>
      </c>
      <c r="G1612" s="1028" t="s">
        <v>303</v>
      </c>
      <c r="H1612" s="1028" t="s">
        <v>136</v>
      </c>
      <c r="I1612" s="1027" t="s">
        <v>1332</v>
      </c>
      <c r="J1612" s="1027" t="s">
        <v>3544</v>
      </c>
      <c r="K1612" s="1028" t="s">
        <v>1791</v>
      </c>
      <c r="L1612" s="1027" t="s">
        <v>430</v>
      </c>
      <c r="M1612" s="1027" t="s">
        <v>2677</v>
      </c>
      <c r="N1612" s="1028" t="s">
        <v>82</v>
      </c>
      <c r="O1612" s="1027" t="s">
        <v>310</v>
      </c>
      <c r="P1612" s="1027" t="s">
        <v>291</v>
      </c>
      <c r="Q1612" s="1027" t="s">
        <v>294</v>
      </c>
      <c r="R1612" s="1027">
        <v>350000.01</v>
      </c>
      <c r="S1612" s="1027">
        <v>500000</v>
      </c>
      <c r="T1612" s="1027">
        <v>0</v>
      </c>
      <c r="U1612" s="1027">
        <v>500000</v>
      </c>
      <c r="V1612" s="1027">
        <v>0</v>
      </c>
      <c r="W1612" s="1027">
        <v>50</v>
      </c>
      <c r="X1612" s="1027">
        <v>0</v>
      </c>
      <c r="Y1612" s="1027">
        <v>999</v>
      </c>
      <c r="Z1612" s="1029">
        <v>680</v>
      </c>
      <c r="AA1612" s="1029">
        <v>699</v>
      </c>
      <c r="AB1612" s="1029">
        <v>0</v>
      </c>
      <c r="AC1612" s="1029">
        <v>999999</v>
      </c>
      <c r="AD1612" s="1027">
        <v>0</v>
      </c>
      <c r="AE1612" s="1030">
        <v>75</v>
      </c>
      <c r="AF1612" s="170">
        <v>0</v>
      </c>
      <c r="AG1612" s="171">
        <v>0</v>
      </c>
      <c r="AH1612" s="171">
        <v>0</v>
      </c>
      <c r="AI1612" s="171">
        <v>0</v>
      </c>
      <c r="AJ1612" s="171">
        <v>1</v>
      </c>
      <c r="AK1612" s="171">
        <v>1</v>
      </c>
      <c r="AL1612" s="171">
        <v>1</v>
      </c>
      <c r="AM1612" s="171">
        <v>1</v>
      </c>
      <c r="AN1612" s="171">
        <v>1</v>
      </c>
      <c r="AO1612" s="171">
        <v>1</v>
      </c>
      <c r="AP1612" s="171">
        <v>1</v>
      </c>
      <c r="AQ1612" s="171">
        <v>1</v>
      </c>
      <c r="AR1612" s="171">
        <v>1</v>
      </c>
      <c r="AS1612" s="171">
        <v>1</v>
      </c>
      <c r="AT1612" s="171">
        <v>1</v>
      </c>
      <c r="AU1612" s="171">
        <f t="shared" si="527"/>
        <v>0</v>
      </c>
      <c r="AV1612" s="171">
        <f t="shared" si="528"/>
        <v>1</v>
      </c>
      <c r="AW1612" s="171">
        <f t="shared" si="529"/>
        <v>1</v>
      </c>
      <c r="AX1612" s="171">
        <f t="shared" si="537"/>
        <v>1</v>
      </c>
      <c r="AY1612" s="171">
        <f t="shared" si="530"/>
        <v>0</v>
      </c>
      <c r="AZ1612" s="171">
        <f t="shared" si="531"/>
        <v>1</v>
      </c>
      <c r="BA1612" s="172">
        <f t="shared" si="532"/>
        <v>1</v>
      </c>
      <c r="BB1612" s="175">
        <f t="shared" si="534"/>
        <v>16</v>
      </c>
      <c r="BC1612" s="176">
        <f t="shared" si="535"/>
        <v>15</v>
      </c>
      <c r="BD1612" s="176">
        <f t="shared" si="536"/>
        <v>16</v>
      </c>
      <c r="BE1612" s="240" t="str">
        <f t="shared" si="526"/>
        <v/>
      </c>
      <c r="BF1612" s="990"/>
      <c r="BG1612" s="990"/>
      <c r="BH1612" s="991">
        <f>IF(AND(Input_Product=Elig!$C1612,Elig_MatchAll_Ct&lt;22,$BC1612=(Elig_MatchAll_Ct-1),AF1612=0),C1612,0)</f>
        <v>0</v>
      </c>
      <c r="BI1612" s="991">
        <f>IF(AND(Input_Product=Elig!$C1612,Elig_MatchAll_Ct&lt;22,$BC1612=(Elig_MatchAll_Ct-1),AG1612=0),D1612,0)</f>
        <v>0</v>
      </c>
      <c r="BJ1612" s="991">
        <f>IF(AND(Input_Product=Elig!$C1612,Elig_MatchAll_Ct&lt;22,$BC1612=(Elig_MatchAll_Ct-1),AH1612=0),E1612,0)</f>
        <v>0</v>
      </c>
      <c r="BK1612" s="991">
        <f>IF(AND(Input_Product=Elig!$C1612,Elig_MatchAll_Ct&lt;22,$BC1612=(Elig_MatchAll_Ct-1),AI1612=0),F1612,0)</f>
        <v>0</v>
      </c>
      <c r="BL1612" s="991">
        <f>IF(AND(Input_Product=Elig!$C1612,Elig_MatchAll_Ct&lt;22,$BC1612=(Elig_MatchAll_Ct-1),AJ1612=0),G1612,0)</f>
        <v>0</v>
      </c>
      <c r="BM1612" s="991">
        <f>IF(AND(Input_Product=Elig!$C1612,Elig_MatchAll_Ct&lt;22,$BC1612=(Elig_MatchAll_Ct-1),AK1612=0),H1612,0)</f>
        <v>0</v>
      </c>
      <c r="BN1612" s="991">
        <f>IF(AND(Input_Product=Elig!$C1612,Elig_MatchAll_Ct&lt;22,$BC1612=(Elig_MatchAll_Ct-1),AL1612=0),I1612,0)</f>
        <v>0</v>
      </c>
      <c r="BO1612" s="991">
        <f>IF(AND(Input_Product=Elig!$C1612,Elig_MatchAll_Ct&lt;22,$BC1612=(Elig_MatchAll_Ct-1),AM1612=0),J1612,0)</f>
        <v>0</v>
      </c>
      <c r="BP1612" s="991">
        <f>IF(AND(Input_Product=Elig!$C1612,Elig_MatchAll_Ct&lt;22,$BC1612=(Elig_MatchAll_Ct-1),AN1612=0),K1612,0)</f>
        <v>0</v>
      </c>
      <c r="BQ1612" s="991">
        <f>IF(AND(Input_Product=Elig!$C1612,Elig_MatchAll_Ct&lt;22,$BC1612=(Elig_MatchAll_Ct-1),AP1612=0),L1612,0)</f>
        <v>0</v>
      </c>
      <c r="BR1612" s="991">
        <f>IF(AND(Input_Product=Elig!$C1612,Elig_MatchAll_Ct&lt;22,$BC1612=(Elig_MatchAll_Ct-1),AO1612=0),M1612,0)</f>
        <v>0</v>
      </c>
      <c r="BS1612" s="991">
        <f>IF(AND(Input_Product=Elig!$C1612,Elig_MatchAll_Ct&lt;22,$BC1612=(Elig_MatchAll_Ct-1),AQ1612=0),N1612,0)</f>
        <v>0</v>
      </c>
      <c r="BT1612" s="991">
        <f>IF(AND(Input_Product=Elig!$C1612,Elig_MatchAll_Ct&lt;22,$BC1612=(Elig_MatchAll_Ct-1),AR1612=0),O1612,0)</f>
        <v>0</v>
      </c>
      <c r="BU1612" s="991">
        <f>IF(AND(Input_Product=Elig!$C1612,Elig_MatchAll_Ct&lt;22,$BC1612=(Elig_MatchAll_Ct-1),AS1612=0),P1612,0)</f>
        <v>0</v>
      </c>
      <c r="BV1612" s="992">
        <f>IF(AND(Input_Product=Elig!$C1612,Elig_MatchAll_Ct&lt;22,$BC1612=(Elig_MatchAll_Ct-1),AT1612=0),Q1612,0)</f>
        <v>0</v>
      </c>
      <c r="BW1612" s="993">
        <f>IF(AND(Input_Product=Elig!$C1612,Elig_MatchAll_Ct&lt;22,$BC1612=(Elig_MatchAll_Ct-1),AU1612=0),R1612,0)</f>
        <v>0</v>
      </c>
      <c r="BX1612" s="994">
        <f>IF(AND(Input_Product=Elig!$C1612,Elig_MatchAll_Ct&lt;22,$BC1612=(Elig_MatchAll_Ct-1),AU1612=0),S1612,0)</f>
        <v>0</v>
      </c>
      <c r="BY1612" s="993">
        <f>IF(AND(Input_Product=Elig!$C1612,Elig_MatchAll_Ct&lt;22,$BC1612=(Elig_MatchAll_Ct-1),AV1612=0),T1612,0)</f>
        <v>0</v>
      </c>
      <c r="BZ1612" s="994">
        <f>IF(AND(Input_Product=Elig!$C1612,Elig_MatchAll_Ct&lt;22,$BC1612=(Elig_MatchAll_Ct-1),AV1612=0),U1612,0)</f>
        <v>0</v>
      </c>
      <c r="CA1612" s="993">
        <f>IF(AND(Input_Product=Elig!$C1612,Elig_MatchAll_Ct&lt;22,$BC1612=(Elig_MatchAll_Ct-1),AW1612=0),V1612,0)</f>
        <v>0</v>
      </c>
      <c r="CB1612" s="994">
        <f>IF(AND(Input_Product=Elig!$C1612,Elig_MatchAll_Ct&lt;22,$BC1612=(Elig_MatchAll_Ct-1),AW1612=0),W1612,0)</f>
        <v>0</v>
      </c>
      <c r="CC1612" s="993">
        <f>IF(AND(Input_Product=Elig!$C1612,Elig_MatchAll_Ct&lt;22,$BC1612=(Elig_MatchAll_Ct-1),AX1612=0),X1612,0)</f>
        <v>0</v>
      </c>
      <c r="CD1612" s="994">
        <f>IF(AND(Input_Product=Elig!$C1612,Elig_MatchAll_Ct&lt;22,$BC1612=(Elig_MatchAll_Ct-1),AX1612=0),Y1612,0)</f>
        <v>0</v>
      </c>
      <c r="CE1612" s="993">
        <f>IF(AND(Input_LTV&lt;=AE1612,Input_Product=Elig!$C1612,Elig_MatchAll_Ct&lt;22,$BC1612=(Elig_MatchAll_Ct-1),AY1612=0),Z1612,0)</f>
        <v>0</v>
      </c>
      <c r="CF1612" s="994">
        <f>IF(AND(Input_LTV&lt;=AE1612,Input_Product=Elig!$C1612,Elig_MatchAll_Ct&lt;22,$BC1612=(Elig_MatchAll_Ct-1),AY1612=0),AA1612,0)</f>
        <v>0</v>
      </c>
      <c r="CG1612" s="993">
        <f>IF(AND(Input_Product=Elig!$C1612,Elig_MatchAll_Ct&lt;22,$BC1612=(Elig_MatchAll_Ct-1),AZ1612=0),AB1612,0)</f>
        <v>0</v>
      </c>
      <c r="CH1612" s="994">
        <f>IF(AND(Input_Product=Elig!$C1612,Elig_MatchAll_Ct&lt;22,$BC1612=(Elig_MatchAll_Ct-1),AZ1612=0),AC1612,0)</f>
        <v>0</v>
      </c>
      <c r="CI1612" s="993">
        <f>IF(AND(Input_Product=Elig!$C1612,Elig_MatchAll_Ct&lt;22,$BC1612=(Elig_MatchAll_Ct-1),BA1612=0),AD1612,0)</f>
        <v>0</v>
      </c>
      <c r="CJ1612" s="994">
        <f>IF(AND(Input_Product=Elig!$C1612,Elig_MatchAll_Ct&lt;22,$BC1612=(Elig_MatchAll_Ct-1),BA1612=0),AE1612,0)</f>
        <v>0</v>
      </c>
    </row>
    <row r="1613" spans="2:88" ht="10.15" customHeight="1" x14ac:dyDescent="0.25">
      <c r="B1613" s="997" t="s">
        <v>3664</v>
      </c>
      <c r="C1613" s="999" t="str">
        <f t="shared" si="533"/>
        <v>HELOC OO</v>
      </c>
      <c r="D1613" s="1000" t="s">
        <v>1984</v>
      </c>
      <c r="E1613" s="1000" t="s">
        <v>4</v>
      </c>
      <c r="F1613" s="1000" t="s">
        <v>329</v>
      </c>
      <c r="G1613" s="1000" t="s">
        <v>175</v>
      </c>
      <c r="H1613" s="1000" t="s">
        <v>446</v>
      </c>
      <c r="I1613" s="1001" t="s">
        <v>1332</v>
      </c>
      <c r="J1613" s="1001" t="s">
        <v>3544</v>
      </c>
      <c r="K1613" s="1000" t="s">
        <v>1791</v>
      </c>
      <c r="L1613" s="1001" t="s">
        <v>430</v>
      </c>
      <c r="M1613" s="1001" t="s">
        <v>2677</v>
      </c>
      <c r="N1613" s="1000" t="s">
        <v>82</v>
      </c>
      <c r="O1613" s="1001" t="s">
        <v>310</v>
      </c>
      <c r="P1613" s="1001" t="s">
        <v>291</v>
      </c>
      <c r="Q1613" s="1001" t="s">
        <v>294</v>
      </c>
      <c r="R1613" s="1001">
        <v>350000.01</v>
      </c>
      <c r="S1613" s="1001">
        <v>500000</v>
      </c>
      <c r="T1613" s="1001">
        <v>0</v>
      </c>
      <c r="U1613" s="1001">
        <v>500000</v>
      </c>
      <c r="V1613" s="1001">
        <v>0</v>
      </c>
      <c r="W1613" s="1001">
        <v>50</v>
      </c>
      <c r="X1613" s="1001">
        <v>0</v>
      </c>
      <c r="Y1613" s="1001">
        <v>999</v>
      </c>
      <c r="Z1613" s="1002">
        <v>720</v>
      </c>
      <c r="AA1613" s="1002">
        <v>999</v>
      </c>
      <c r="AB1613" s="1002">
        <v>0</v>
      </c>
      <c r="AC1613" s="1002">
        <v>999999</v>
      </c>
      <c r="AD1613" s="1001">
        <v>0</v>
      </c>
      <c r="AE1613" s="1001">
        <v>75</v>
      </c>
      <c r="AF1613" s="170">
        <v>0</v>
      </c>
      <c r="AG1613" s="171">
        <v>0</v>
      </c>
      <c r="AH1613" s="171">
        <v>0</v>
      </c>
      <c r="AI1613" s="171">
        <v>0</v>
      </c>
      <c r="AJ1613" s="171">
        <v>0</v>
      </c>
      <c r="AK1613" s="171">
        <v>0</v>
      </c>
      <c r="AL1613" s="171">
        <v>1</v>
      </c>
      <c r="AM1613" s="171">
        <v>1</v>
      </c>
      <c r="AN1613" s="171">
        <v>1</v>
      </c>
      <c r="AO1613" s="171">
        <v>1</v>
      </c>
      <c r="AP1613" s="171">
        <v>1</v>
      </c>
      <c r="AQ1613" s="171">
        <v>1</v>
      </c>
      <c r="AR1613" s="171">
        <v>1</v>
      </c>
      <c r="AS1613" s="171">
        <v>1</v>
      </c>
      <c r="AT1613" s="171">
        <v>1</v>
      </c>
      <c r="AU1613" s="171">
        <f t="shared" si="527"/>
        <v>0</v>
      </c>
      <c r="AV1613" s="171">
        <f t="shared" si="528"/>
        <v>1</v>
      </c>
      <c r="AW1613" s="171">
        <f t="shared" si="529"/>
        <v>1</v>
      </c>
      <c r="AX1613" s="171">
        <f t="shared" si="537"/>
        <v>1</v>
      </c>
      <c r="AY1613" s="171">
        <f t="shared" si="530"/>
        <v>1</v>
      </c>
      <c r="AZ1613" s="171">
        <f t="shared" si="531"/>
        <v>1</v>
      </c>
      <c r="BA1613" s="172">
        <f t="shared" si="532"/>
        <v>1</v>
      </c>
      <c r="BB1613" s="175">
        <f t="shared" si="534"/>
        <v>15</v>
      </c>
      <c r="BC1613" s="176">
        <f t="shared" si="535"/>
        <v>14</v>
      </c>
      <c r="BD1613" s="176">
        <f t="shared" si="536"/>
        <v>15</v>
      </c>
      <c r="BE1613" s="240" t="str">
        <f t="shared" si="526"/>
        <v/>
      </c>
      <c r="BF1613" s="989"/>
      <c r="BG1613" s="989"/>
      <c r="BH1613" s="991">
        <f>IF(AND(Input_Product=Elig!$C1613,Elig_MatchAll_Ct&lt;22,$BC1613=(Elig_MatchAll_Ct-1),AF1613=0),C1613,0)</f>
        <v>0</v>
      </c>
      <c r="BI1613" s="991">
        <f>IF(AND(Input_Product=Elig!$C1613,Elig_MatchAll_Ct&lt;22,$BC1613=(Elig_MatchAll_Ct-1),AG1613=0),D1613,0)</f>
        <v>0</v>
      </c>
      <c r="BJ1613" s="991">
        <f>IF(AND(Input_Product=Elig!$C1613,Elig_MatchAll_Ct&lt;22,$BC1613=(Elig_MatchAll_Ct-1),AH1613=0),E1613,0)</f>
        <v>0</v>
      </c>
      <c r="BK1613" s="991">
        <f>IF(AND(Input_Product=Elig!$C1613,Elig_MatchAll_Ct&lt;22,$BC1613=(Elig_MatchAll_Ct-1),AI1613=0),F1613,0)</f>
        <v>0</v>
      </c>
      <c r="BL1613" s="991">
        <f>IF(AND(Input_Product=Elig!$C1613,Elig_MatchAll_Ct&lt;22,$BC1613=(Elig_MatchAll_Ct-1),AJ1613=0),G1613,0)</f>
        <v>0</v>
      </c>
      <c r="BM1613" s="991">
        <f>IF(AND(Input_Product=Elig!$C1613,Elig_MatchAll_Ct&lt;22,$BC1613=(Elig_MatchAll_Ct-1),AK1613=0),H1613,0)</f>
        <v>0</v>
      </c>
      <c r="BN1613" s="991">
        <f>IF(AND(Input_Product=Elig!$C1613,Elig_MatchAll_Ct&lt;22,$BC1613=(Elig_MatchAll_Ct-1),AL1613=0),I1613,0)</f>
        <v>0</v>
      </c>
      <c r="BO1613" s="991">
        <f>IF(AND(Input_Product=Elig!$C1613,Elig_MatchAll_Ct&lt;22,$BC1613=(Elig_MatchAll_Ct-1),AM1613=0),J1613,0)</f>
        <v>0</v>
      </c>
      <c r="BP1613" s="991">
        <f>IF(AND(Input_Product=Elig!$C1613,Elig_MatchAll_Ct&lt;22,$BC1613=(Elig_MatchAll_Ct-1),AN1613=0),K1613,0)</f>
        <v>0</v>
      </c>
      <c r="BQ1613" s="991">
        <f>IF(AND(Input_Product=Elig!$C1613,Elig_MatchAll_Ct&lt;22,$BC1613=(Elig_MatchAll_Ct-1),AP1613=0),L1613,0)</f>
        <v>0</v>
      </c>
      <c r="BR1613" s="991">
        <f>IF(AND(Input_Product=Elig!$C1613,Elig_MatchAll_Ct&lt;22,$BC1613=(Elig_MatchAll_Ct-1),AO1613=0),M1613,0)</f>
        <v>0</v>
      </c>
      <c r="BS1613" s="991">
        <f>IF(AND(Input_Product=Elig!$C1613,Elig_MatchAll_Ct&lt;22,$BC1613=(Elig_MatchAll_Ct-1),AQ1613=0),N1613,0)</f>
        <v>0</v>
      </c>
      <c r="BT1613" s="991">
        <f>IF(AND(Input_Product=Elig!$C1613,Elig_MatchAll_Ct&lt;22,$BC1613=(Elig_MatchAll_Ct-1),AR1613=0),O1613,0)</f>
        <v>0</v>
      </c>
      <c r="BU1613" s="991">
        <f>IF(AND(Input_Product=Elig!$C1613,Elig_MatchAll_Ct&lt;22,$BC1613=(Elig_MatchAll_Ct-1),AS1613=0),P1613,0)</f>
        <v>0</v>
      </c>
      <c r="BV1613" s="992">
        <f>IF(AND(Input_Product=Elig!$C1613,Elig_MatchAll_Ct&lt;22,$BC1613=(Elig_MatchAll_Ct-1),AT1613=0),Q1613,0)</f>
        <v>0</v>
      </c>
      <c r="BW1613" s="993">
        <f>IF(AND(Input_Product=Elig!$C1613,Elig_MatchAll_Ct&lt;22,$BC1613=(Elig_MatchAll_Ct-1),AU1613=0),R1613,0)</f>
        <v>0</v>
      </c>
      <c r="BX1613" s="994">
        <f>IF(AND(Input_Product=Elig!$C1613,Elig_MatchAll_Ct&lt;22,$BC1613=(Elig_MatchAll_Ct-1),AU1613=0),S1613,0)</f>
        <v>0</v>
      </c>
      <c r="BY1613" s="993">
        <f>IF(AND(Input_Product=Elig!$C1613,Elig_MatchAll_Ct&lt;22,$BC1613=(Elig_MatchAll_Ct-1),AV1613=0),T1613,0)</f>
        <v>0</v>
      </c>
      <c r="BZ1613" s="994">
        <f>IF(AND(Input_Product=Elig!$C1613,Elig_MatchAll_Ct&lt;22,$BC1613=(Elig_MatchAll_Ct-1),AV1613=0),U1613,0)</f>
        <v>0</v>
      </c>
      <c r="CA1613" s="993">
        <f>IF(AND(Input_Product=Elig!$C1613,Elig_MatchAll_Ct&lt;22,$BC1613=(Elig_MatchAll_Ct-1),AW1613=0),V1613,0)</f>
        <v>0</v>
      </c>
      <c r="CB1613" s="994">
        <f>IF(AND(Input_Product=Elig!$C1613,Elig_MatchAll_Ct&lt;22,$BC1613=(Elig_MatchAll_Ct-1),AW1613=0),W1613,0)</f>
        <v>0</v>
      </c>
      <c r="CC1613" s="993">
        <f>IF(AND(Input_Product=Elig!$C1613,Elig_MatchAll_Ct&lt;22,$BC1613=(Elig_MatchAll_Ct-1),AX1613=0),X1613,0)</f>
        <v>0</v>
      </c>
      <c r="CD1613" s="994">
        <f>IF(AND(Input_Product=Elig!$C1613,Elig_MatchAll_Ct&lt;22,$BC1613=(Elig_MatchAll_Ct-1),AX1613=0),Y1613,0)</f>
        <v>0</v>
      </c>
      <c r="CE1613" s="993">
        <f>IF(AND(Input_LTV&lt;=AE1613,Input_Product=Elig!$C1613,Elig_MatchAll_Ct&lt;22,$BC1613=(Elig_MatchAll_Ct-1),AY1613=0),Z1613,0)</f>
        <v>0</v>
      </c>
      <c r="CF1613" s="994">
        <f>IF(AND(Input_LTV&lt;=AE1613,Input_Product=Elig!$C1613,Elig_MatchAll_Ct&lt;22,$BC1613=(Elig_MatchAll_Ct-1),AY1613=0),AA1613,0)</f>
        <v>0</v>
      </c>
      <c r="CG1613" s="993">
        <f>IF(AND(Input_Product=Elig!$C1613,Elig_MatchAll_Ct&lt;22,$BC1613=(Elig_MatchAll_Ct-1),AZ1613=0),AB1613,0)</f>
        <v>0</v>
      </c>
      <c r="CH1613" s="994">
        <f>IF(AND(Input_Product=Elig!$C1613,Elig_MatchAll_Ct&lt;22,$BC1613=(Elig_MatchAll_Ct-1),AZ1613=0),AC1613,0)</f>
        <v>0</v>
      </c>
      <c r="CI1613" s="993">
        <f>IF(AND(Input_Product=Elig!$C1613,Elig_MatchAll_Ct&lt;22,$BC1613=(Elig_MatchAll_Ct-1),BA1613=0),AD1613,0)</f>
        <v>0</v>
      </c>
      <c r="CJ1613" s="994">
        <f>IF(AND(Input_Product=Elig!$C1613,Elig_MatchAll_Ct&lt;22,$BC1613=(Elig_MatchAll_Ct-1),BA1613=0),AE1613,0)</f>
        <v>0</v>
      </c>
    </row>
    <row r="1614" spans="2:88" ht="10.15" customHeight="1" x14ac:dyDescent="0.25">
      <c r="B1614" s="997" t="s">
        <v>3665</v>
      </c>
      <c r="C1614" s="995" t="str">
        <f t="shared" si="533"/>
        <v>HELOC OO</v>
      </c>
      <c r="D1614" s="997" t="s">
        <v>1984</v>
      </c>
      <c r="E1614" s="997" t="s">
        <v>4</v>
      </c>
      <c r="F1614" s="997" t="s">
        <v>329</v>
      </c>
      <c r="G1614" s="996" t="s">
        <v>175</v>
      </c>
      <c r="H1614" s="996" t="s">
        <v>446</v>
      </c>
      <c r="I1614" s="997" t="s">
        <v>1332</v>
      </c>
      <c r="J1614" s="997" t="s">
        <v>3544</v>
      </c>
      <c r="K1614" s="996" t="s">
        <v>1791</v>
      </c>
      <c r="L1614" s="997" t="s">
        <v>430</v>
      </c>
      <c r="M1614" s="997" t="s">
        <v>2677</v>
      </c>
      <c r="N1614" s="996" t="s">
        <v>82</v>
      </c>
      <c r="O1614" s="997" t="s">
        <v>310</v>
      </c>
      <c r="P1614" s="997" t="s">
        <v>291</v>
      </c>
      <c r="Q1614" s="997" t="s">
        <v>294</v>
      </c>
      <c r="R1614" s="997">
        <v>350000.01</v>
      </c>
      <c r="S1614" s="997">
        <v>500000</v>
      </c>
      <c r="T1614" s="997">
        <v>0</v>
      </c>
      <c r="U1614" s="997">
        <v>500000</v>
      </c>
      <c r="V1614" s="997">
        <v>0</v>
      </c>
      <c r="W1614" s="997">
        <v>50</v>
      </c>
      <c r="X1614" s="997">
        <v>0</v>
      </c>
      <c r="Y1614" s="997">
        <v>999</v>
      </c>
      <c r="Z1614" s="998">
        <v>700</v>
      </c>
      <c r="AA1614" s="998">
        <v>719</v>
      </c>
      <c r="AB1614" s="998">
        <v>0</v>
      </c>
      <c r="AC1614" s="998">
        <v>999999</v>
      </c>
      <c r="AD1614" s="997">
        <v>0</v>
      </c>
      <c r="AE1614" s="997">
        <v>75</v>
      </c>
      <c r="AF1614" s="170">
        <v>0</v>
      </c>
      <c r="AG1614" s="171">
        <v>0</v>
      </c>
      <c r="AH1614" s="171">
        <v>0</v>
      </c>
      <c r="AI1614" s="171">
        <v>0</v>
      </c>
      <c r="AJ1614" s="171">
        <v>0</v>
      </c>
      <c r="AK1614" s="171">
        <v>0</v>
      </c>
      <c r="AL1614" s="171">
        <v>1</v>
      </c>
      <c r="AM1614" s="171">
        <v>1</v>
      </c>
      <c r="AN1614" s="171">
        <v>1</v>
      </c>
      <c r="AO1614" s="171">
        <v>1</v>
      </c>
      <c r="AP1614" s="171">
        <v>1</v>
      </c>
      <c r="AQ1614" s="171">
        <v>1</v>
      </c>
      <c r="AR1614" s="171">
        <v>1</v>
      </c>
      <c r="AS1614" s="171">
        <v>1</v>
      </c>
      <c r="AT1614" s="171">
        <v>1</v>
      </c>
      <c r="AU1614" s="171">
        <f t="shared" si="527"/>
        <v>0</v>
      </c>
      <c r="AV1614" s="171">
        <f t="shared" si="528"/>
        <v>1</v>
      </c>
      <c r="AW1614" s="171">
        <f t="shared" si="529"/>
        <v>1</v>
      </c>
      <c r="AX1614" s="171">
        <f t="shared" si="537"/>
        <v>1</v>
      </c>
      <c r="AY1614" s="171">
        <f t="shared" si="530"/>
        <v>0</v>
      </c>
      <c r="AZ1614" s="171">
        <f t="shared" si="531"/>
        <v>1</v>
      </c>
      <c r="BA1614" s="172">
        <f t="shared" si="532"/>
        <v>1</v>
      </c>
      <c r="BB1614" s="175">
        <f t="shared" si="534"/>
        <v>14</v>
      </c>
      <c r="BC1614" s="176">
        <f t="shared" si="535"/>
        <v>13</v>
      </c>
      <c r="BD1614" s="176">
        <f t="shared" si="536"/>
        <v>14</v>
      </c>
      <c r="BE1614" s="240" t="str">
        <f t="shared" si="526"/>
        <v/>
      </c>
      <c r="BF1614" s="990"/>
      <c r="BG1614" s="990"/>
      <c r="BH1614" s="991">
        <f>IF(AND(Input_Product=Elig!$C1614,Elig_MatchAll_Ct&lt;22,$BC1614=(Elig_MatchAll_Ct-1),AF1614=0),C1614,0)</f>
        <v>0</v>
      </c>
      <c r="BI1614" s="991">
        <f>IF(AND(Input_Product=Elig!$C1614,Elig_MatchAll_Ct&lt;22,$BC1614=(Elig_MatchAll_Ct-1),AG1614=0),D1614,0)</f>
        <v>0</v>
      </c>
      <c r="BJ1614" s="991">
        <f>IF(AND(Input_Product=Elig!$C1614,Elig_MatchAll_Ct&lt;22,$BC1614=(Elig_MatchAll_Ct-1),AH1614=0),E1614,0)</f>
        <v>0</v>
      </c>
      <c r="BK1614" s="991">
        <f>IF(AND(Input_Product=Elig!$C1614,Elig_MatchAll_Ct&lt;22,$BC1614=(Elig_MatchAll_Ct-1),AI1614=0),F1614,0)</f>
        <v>0</v>
      </c>
      <c r="BL1614" s="991">
        <f>IF(AND(Input_Product=Elig!$C1614,Elig_MatchAll_Ct&lt;22,$BC1614=(Elig_MatchAll_Ct-1),AJ1614=0),G1614,0)</f>
        <v>0</v>
      </c>
      <c r="BM1614" s="991">
        <f>IF(AND(Input_Product=Elig!$C1614,Elig_MatchAll_Ct&lt;22,$BC1614=(Elig_MatchAll_Ct-1),AK1614=0),H1614,0)</f>
        <v>0</v>
      </c>
      <c r="BN1614" s="991">
        <f>IF(AND(Input_Product=Elig!$C1614,Elig_MatchAll_Ct&lt;22,$BC1614=(Elig_MatchAll_Ct-1),AL1614=0),I1614,0)</f>
        <v>0</v>
      </c>
      <c r="BO1614" s="991">
        <f>IF(AND(Input_Product=Elig!$C1614,Elig_MatchAll_Ct&lt;22,$BC1614=(Elig_MatchAll_Ct-1),AM1614=0),J1614,0)</f>
        <v>0</v>
      </c>
      <c r="BP1614" s="991">
        <f>IF(AND(Input_Product=Elig!$C1614,Elig_MatchAll_Ct&lt;22,$BC1614=(Elig_MatchAll_Ct-1),AN1614=0),K1614,0)</f>
        <v>0</v>
      </c>
      <c r="BQ1614" s="991">
        <f>IF(AND(Input_Product=Elig!$C1614,Elig_MatchAll_Ct&lt;22,$BC1614=(Elig_MatchAll_Ct-1),AP1614=0),L1614,0)</f>
        <v>0</v>
      </c>
      <c r="BR1614" s="991">
        <f>IF(AND(Input_Product=Elig!$C1614,Elig_MatchAll_Ct&lt;22,$BC1614=(Elig_MatchAll_Ct-1),AO1614=0),M1614,0)</f>
        <v>0</v>
      </c>
      <c r="BS1614" s="991">
        <f>IF(AND(Input_Product=Elig!$C1614,Elig_MatchAll_Ct&lt;22,$BC1614=(Elig_MatchAll_Ct-1),AQ1614=0),N1614,0)</f>
        <v>0</v>
      </c>
      <c r="BT1614" s="991">
        <f>IF(AND(Input_Product=Elig!$C1614,Elig_MatchAll_Ct&lt;22,$BC1614=(Elig_MatchAll_Ct-1),AR1614=0),O1614,0)</f>
        <v>0</v>
      </c>
      <c r="BU1614" s="991">
        <f>IF(AND(Input_Product=Elig!$C1614,Elig_MatchAll_Ct&lt;22,$BC1614=(Elig_MatchAll_Ct-1),AS1614=0),P1614,0)</f>
        <v>0</v>
      </c>
      <c r="BV1614" s="992">
        <f>IF(AND(Input_Product=Elig!$C1614,Elig_MatchAll_Ct&lt;22,$BC1614=(Elig_MatchAll_Ct-1),AT1614=0),Q1614,0)</f>
        <v>0</v>
      </c>
      <c r="BW1614" s="993">
        <f>IF(AND(Input_Product=Elig!$C1614,Elig_MatchAll_Ct&lt;22,$BC1614=(Elig_MatchAll_Ct-1),AU1614=0),R1614,0)</f>
        <v>0</v>
      </c>
      <c r="BX1614" s="994">
        <f>IF(AND(Input_Product=Elig!$C1614,Elig_MatchAll_Ct&lt;22,$BC1614=(Elig_MatchAll_Ct-1),AU1614=0),S1614,0)</f>
        <v>0</v>
      </c>
      <c r="BY1614" s="993">
        <f>IF(AND(Input_Product=Elig!$C1614,Elig_MatchAll_Ct&lt;22,$BC1614=(Elig_MatchAll_Ct-1),AV1614=0),T1614,0)</f>
        <v>0</v>
      </c>
      <c r="BZ1614" s="994">
        <f>IF(AND(Input_Product=Elig!$C1614,Elig_MatchAll_Ct&lt;22,$BC1614=(Elig_MatchAll_Ct-1),AV1614=0),U1614,0)</f>
        <v>0</v>
      </c>
      <c r="CA1614" s="993">
        <f>IF(AND(Input_Product=Elig!$C1614,Elig_MatchAll_Ct&lt;22,$BC1614=(Elig_MatchAll_Ct-1),AW1614=0),V1614,0)</f>
        <v>0</v>
      </c>
      <c r="CB1614" s="994">
        <f>IF(AND(Input_Product=Elig!$C1614,Elig_MatchAll_Ct&lt;22,$BC1614=(Elig_MatchAll_Ct-1),AW1614=0),W1614,0)</f>
        <v>0</v>
      </c>
      <c r="CC1614" s="993">
        <f>IF(AND(Input_Product=Elig!$C1614,Elig_MatchAll_Ct&lt;22,$BC1614=(Elig_MatchAll_Ct-1),AX1614=0),X1614,0)</f>
        <v>0</v>
      </c>
      <c r="CD1614" s="994">
        <f>IF(AND(Input_Product=Elig!$C1614,Elig_MatchAll_Ct&lt;22,$BC1614=(Elig_MatchAll_Ct-1),AX1614=0),Y1614,0)</f>
        <v>0</v>
      </c>
      <c r="CE1614" s="993">
        <f>IF(AND(Input_LTV&lt;=AE1614,Input_Product=Elig!$C1614,Elig_MatchAll_Ct&lt;22,$BC1614=(Elig_MatchAll_Ct-1),AY1614=0),Z1614,0)</f>
        <v>0</v>
      </c>
      <c r="CF1614" s="994">
        <f>IF(AND(Input_LTV&lt;=AE1614,Input_Product=Elig!$C1614,Elig_MatchAll_Ct&lt;22,$BC1614=(Elig_MatchAll_Ct-1),AY1614=0),AA1614,0)</f>
        <v>0</v>
      </c>
      <c r="CG1614" s="993">
        <f>IF(AND(Input_Product=Elig!$C1614,Elig_MatchAll_Ct&lt;22,$BC1614=(Elig_MatchAll_Ct-1),AZ1614=0),AB1614,0)</f>
        <v>0</v>
      </c>
      <c r="CH1614" s="994">
        <f>IF(AND(Input_Product=Elig!$C1614,Elig_MatchAll_Ct&lt;22,$BC1614=(Elig_MatchAll_Ct-1),AZ1614=0),AC1614,0)</f>
        <v>0</v>
      </c>
      <c r="CI1614" s="993">
        <f>IF(AND(Input_Product=Elig!$C1614,Elig_MatchAll_Ct&lt;22,$BC1614=(Elig_MatchAll_Ct-1),BA1614=0),AD1614,0)</f>
        <v>0</v>
      </c>
      <c r="CJ1614" s="994">
        <f>IF(AND(Input_Product=Elig!$C1614,Elig_MatchAll_Ct&lt;22,$BC1614=(Elig_MatchAll_Ct-1),BA1614=0),AE1614,0)</f>
        <v>0</v>
      </c>
    </row>
    <row r="1615" spans="2:88" ht="10.15" customHeight="1" x14ac:dyDescent="0.25">
      <c r="B1615" s="997" t="s">
        <v>3666</v>
      </c>
      <c r="C1615" s="1026" t="str">
        <f t="shared" si="533"/>
        <v>HELOC OO</v>
      </c>
      <c r="D1615" s="1027" t="s">
        <v>1984</v>
      </c>
      <c r="E1615" s="1027" t="s">
        <v>4</v>
      </c>
      <c r="F1615" s="1027" t="s">
        <v>329</v>
      </c>
      <c r="G1615" s="1028" t="s">
        <v>175</v>
      </c>
      <c r="H1615" s="1028" t="s">
        <v>446</v>
      </c>
      <c r="I1615" s="1027" t="s">
        <v>1332</v>
      </c>
      <c r="J1615" s="1027" t="s">
        <v>3544</v>
      </c>
      <c r="K1615" s="1028" t="s">
        <v>1791</v>
      </c>
      <c r="L1615" s="1027" t="s">
        <v>430</v>
      </c>
      <c r="M1615" s="1027" t="s">
        <v>2677</v>
      </c>
      <c r="N1615" s="1028" t="s">
        <v>82</v>
      </c>
      <c r="O1615" s="1027" t="s">
        <v>310</v>
      </c>
      <c r="P1615" s="1027" t="s">
        <v>291</v>
      </c>
      <c r="Q1615" s="1027" t="s">
        <v>294</v>
      </c>
      <c r="R1615" s="1027">
        <v>350000.01</v>
      </c>
      <c r="S1615" s="1027">
        <v>500000</v>
      </c>
      <c r="T1615" s="1027">
        <v>0</v>
      </c>
      <c r="U1615" s="1027">
        <v>500000</v>
      </c>
      <c r="V1615" s="1027">
        <v>0</v>
      </c>
      <c r="W1615" s="1027">
        <v>50</v>
      </c>
      <c r="X1615" s="1027">
        <v>0</v>
      </c>
      <c r="Y1615" s="1027">
        <v>999</v>
      </c>
      <c r="Z1615" s="1029">
        <v>680</v>
      </c>
      <c r="AA1615" s="1029">
        <v>699</v>
      </c>
      <c r="AB1615" s="1029">
        <v>0</v>
      </c>
      <c r="AC1615" s="1029">
        <v>999999</v>
      </c>
      <c r="AD1615" s="1027">
        <v>0</v>
      </c>
      <c r="AE1615" s="1030">
        <v>0</v>
      </c>
      <c r="AF1615" s="170">
        <v>0</v>
      </c>
      <c r="AG1615" s="171">
        <v>0</v>
      </c>
      <c r="AH1615" s="171">
        <v>0</v>
      </c>
      <c r="AI1615" s="171">
        <v>0</v>
      </c>
      <c r="AJ1615" s="171">
        <v>0</v>
      </c>
      <c r="AK1615" s="171">
        <v>0</v>
      </c>
      <c r="AL1615" s="171">
        <v>1</v>
      </c>
      <c r="AM1615" s="171">
        <v>1</v>
      </c>
      <c r="AN1615" s="171">
        <v>1</v>
      </c>
      <c r="AO1615" s="171">
        <v>1</v>
      </c>
      <c r="AP1615" s="171">
        <v>1</v>
      </c>
      <c r="AQ1615" s="171">
        <v>1</v>
      </c>
      <c r="AR1615" s="171">
        <v>1</v>
      </c>
      <c r="AS1615" s="171">
        <v>1</v>
      </c>
      <c r="AT1615" s="171">
        <v>1</v>
      </c>
      <c r="AU1615" s="171">
        <f t="shared" si="527"/>
        <v>0</v>
      </c>
      <c r="AV1615" s="171">
        <f t="shared" si="528"/>
        <v>1</v>
      </c>
      <c r="AW1615" s="171">
        <f t="shared" si="529"/>
        <v>1</v>
      </c>
      <c r="AX1615" s="171">
        <f t="shared" si="537"/>
        <v>1</v>
      </c>
      <c r="AY1615" s="171">
        <f t="shared" si="530"/>
        <v>0</v>
      </c>
      <c r="AZ1615" s="171">
        <f t="shared" si="531"/>
        <v>1</v>
      </c>
      <c r="BA1615" s="172">
        <f t="shared" si="532"/>
        <v>0</v>
      </c>
      <c r="BB1615" s="175">
        <f t="shared" si="534"/>
        <v>13</v>
      </c>
      <c r="BC1615" s="176">
        <f t="shared" si="535"/>
        <v>13</v>
      </c>
      <c r="BD1615" s="176">
        <f t="shared" si="536"/>
        <v>13</v>
      </c>
      <c r="BE1615" s="240" t="str">
        <f t="shared" si="526"/>
        <v/>
      </c>
      <c r="BF1615" s="990"/>
      <c r="BG1615" s="990"/>
      <c r="BH1615" s="991">
        <f>IF(AND(Input_Product=Elig!$C1615,Elig_MatchAll_Ct&lt;22,$BC1615=(Elig_MatchAll_Ct-1),AF1615=0),C1615,0)</f>
        <v>0</v>
      </c>
      <c r="BI1615" s="991">
        <f>IF(AND(Input_Product=Elig!$C1615,Elig_MatchAll_Ct&lt;22,$BC1615=(Elig_MatchAll_Ct-1),AG1615=0),D1615,0)</f>
        <v>0</v>
      </c>
      <c r="BJ1615" s="991">
        <f>IF(AND(Input_Product=Elig!$C1615,Elig_MatchAll_Ct&lt;22,$BC1615=(Elig_MatchAll_Ct-1),AH1615=0),E1615,0)</f>
        <v>0</v>
      </c>
      <c r="BK1615" s="991">
        <f>IF(AND(Input_Product=Elig!$C1615,Elig_MatchAll_Ct&lt;22,$BC1615=(Elig_MatchAll_Ct-1),AI1615=0),F1615,0)</f>
        <v>0</v>
      </c>
      <c r="BL1615" s="991">
        <f>IF(AND(Input_Product=Elig!$C1615,Elig_MatchAll_Ct&lt;22,$BC1615=(Elig_MatchAll_Ct-1),AJ1615=0),G1615,0)</f>
        <v>0</v>
      </c>
      <c r="BM1615" s="991">
        <f>IF(AND(Input_Product=Elig!$C1615,Elig_MatchAll_Ct&lt;22,$BC1615=(Elig_MatchAll_Ct-1),AK1615=0),H1615,0)</f>
        <v>0</v>
      </c>
      <c r="BN1615" s="991">
        <f>IF(AND(Input_Product=Elig!$C1615,Elig_MatchAll_Ct&lt;22,$BC1615=(Elig_MatchAll_Ct-1),AL1615=0),I1615,0)</f>
        <v>0</v>
      </c>
      <c r="BO1615" s="991">
        <f>IF(AND(Input_Product=Elig!$C1615,Elig_MatchAll_Ct&lt;22,$BC1615=(Elig_MatchAll_Ct-1),AM1615=0),J1615,0)</f>
        <v>0</v>
      </c>
      <c r="BP1615" s="991">
        <f>IF(AND(Input_Product=Elig!$C1615,Elig_MatchAll_Ct&lt;22,$BC1615=(Elig_MatchAll_Ct-1),AN1615=0),K1615,0)</f>
        <v>0</v>
      </c>
      <c r="BQ1615" s="991">
        <f>IF(AND(Input_Product=Elig!$C1615,Elig_MatchAll_Ct&lt;22,$BC1615=(Elig_MatchAll_Ct-1),AP1615=0),L1615,0)</f>
        <v>0</v>
      </c>
      <c r="BR1615" s="991">
        <f>IF(AND(Input_Product=Elig!$C1615,Elig_MatchAll_Ct&lt;22,$BC1615=(Elig_MatchAll_Ct-1),AO1615=0),M1615,0)</f>
        <v>0</v>
      </c>
      <c r="BS1615" s="991">
        <f>IF(AND(Input_Product=Elig!$C1615,Elig_MatchAll_Ct&lt;22,$BC1615=(Elig_MatchAll_Ct-1),AQ1615=0),N1615,0)</f>
        <v>0</v>
      </c>
      <c r="BT1615" s="991">
        <f>IF(AND(Input_Product=Elig!$C1615,Elig_MatchAll_Ct&lt;22,$BC1615=(Elig_MatchAll_Ct-1),AR1615=0),O1615,0)</f>
        <v>0</v>
      </c>
      <c r="BU1615" s="991">
        <f>IF(AND(Input_Product=Elig!$C1615,Elig_MatchAll_Ct&lt;22,$BC1615=(Elig_MatchAll_Ct-1),AS1615=0),P1615,0)</f>
        <v>0</v>
      </c>
      <c r="BV1615" s="992">
        <f>IF(AND(Input_Product=Elig!$C1615,Elig_MatchAll_Ct&lt;22,$BC1615=(Elig_MatchAll_Ct-1),AT1615=0),Q1615,0)</f>
        <v>0</v>
      </c>
      <c r="BW1615" s="993">
        <f>IF(AND(Input_Product=Elig!$C1615,Elig_MatchAll_Ct&lt;22,$BC1615=(Elig_MatchAll_Ct-1),AU1615=0),R1615,0)</f>
        <v>0</v>
      </c>
      <c r="BX1615" s="994">
        <f>IF(AND(Input_Product=Elig!$C1615,Elig_MatchAll_Ct&lt;22,$BC1615=(Elig_MatchAll_Ct-1),AU1615=0),S1615,0)</f>
        <v>0</v>
      </c>
      <c r="BY1615" s="993">
        <f>IF(AND(Input_Product=Elig!$C1615,Elig_MatchAll_Ct&lt;22,$BC1615=(Elig_MatchAll_Ct-1),AV1615=0),T1615,0)</f>
        <v>0</v>
      </c>
      <c r="BZ1615" s="994">
        <f>IF(AND(Input_Product=Elig!$C1615,Elig_MatchAll_Ct&lt;22,$BC1615=(Elig_MatchAll_Ct-1),AV1615=0),U1615,0)</f>
        <v>0</v>
      </c>
      <c r="CA1615" s="993">
        <f>IF(AND(Input_Product=Elig!$C1615,Elig_MatchAll_Ct&lt;22,$BC1615=(Elig_MatchAll_Ct-1),AW1615=0),V1615,0)</f>
        <v>0</v>
      </c>
      <c r="CB1615" s="994">
        <f>IF(AND(Input_Product=Elig!$C1615,Elig_MatchAll_Ct&lt;22,$BC1615=(Elig_MatchAll_Ct-1),AW1615=0),W1615,0)</f>
        <v>0</v>
      </c>
      <c r="CC1615" s="993">
        <f>IF(AND(Input_Product=Elig!$C1615,Elig_MatchAll_Ct&lt;22,$BC1615=(Elig_MatchAll_Ct-1),AX1615=0),X1615,0)</f>
        <v>0</v>
      </c>
      <c r="CD1615" s="994">
        <f>IF(AND(Input_Product=Elig!$C1615,Elig_MatchAll_Ct&lt;22,$BC1615=(Elig_MatchAll_Ct-1),AX1615=0),Y1615,0)</f>
        <v>0</v>
      </c>
      <c r="CE1615" s="993">
        <f>IF(AND(Input_LTV&lt;=AE1615,Input_Product=Elig!$C1615,Elig_MatchAll_Ct&lt;22,$BC1615=(Elig_MatchAll_Ct-1),AY1615=0),Z1615,0)</f>
        <v>0</v>
      </c>
      <c r="CF1615" s="994">
        <f>IF(AND(Input_LTV&lt;=AE1615,Input_Product=Elig!$C1615,Elig_MatchAll_Ct&lt;22,$BC1615=(Elig_MatchAll_Ct-1),AY1615=0),AA1615,0)</f>
        <v>0</v>
      </c>
      <c r="CG1615" s="993">
        <f>IF(AND(Input_Product=Elig!$C1615,Elig_MatchAll_Ct&lt;22,$BC1615=(Elig_MatchAll_Ct-1),AZ1615=0),AB1615,0)</f>
        <v>0</v>
      </c>
      <c r="CH1615" s="994">
        <f>IF(AND(Input_Product=Elig!$C1615,Elig_MatchAll_Ct&lt;22,$BC1615=(Elig_MatchAll_Ct-1),AZ1615=0),AC1615,0)</f>
        <v>0</v>
      </c>
      <c r="CI1615" s="993">
        <f>IF(AND(Input_Product=Elig!$C1615,Elig_MatchAll_Ct&lt;22,$BC1615=(Elig_MatchAll_Ct-1),BA1615=0),AD1615,0)</f>
        <v>0</v>
      </c>
      <c r="CJ1615" s="994">
        <f>IF(AND(Input_Product=Elig!$C1615,Elig_MatchAll_Ct&lt;22,$BC1615=(Elig_MatchAll_Ct-1),BA1615=0),AE1615,0)</f>
        <v>0</v>
      </c>
    </row>
    <row r="1616" spans="2:88" ht="10.15" customHeight="1" x14ac:dyDescent="0.25">
      <c r="B1616" s="1063" t="s">
        <v>3667</v>
      </c>
      <c r="C1616" s="1061" t="str" cm="1">
        <f t="array" ref="C1616">Input_Name_Product11</f>
        <v>HELOC NOO</v>
      </c>
      <c r="D1616" s="1062" t="s">
        <v>1984</v>
      </c>
      <c r="E1616" s="1062" t="s">
        <v>4</v>
      </c>
      <c r="F1616" s="1062" t="s">
        <v>330</v>
      </c>
      <c r="G1616" s="1062" t="s">
        <v>303</v>
      </c>
      <c r="H1616" s="1062" t="s">
        <v>136</v>
      </c>
      <c r="I1616" s="1063" t="s">
        <v>1332</v>
      </c>
      <c r="J1616" s="1063" t="s">
        <v>3544</v>
      </c>
      <c r="K1616" s="1062" t="s">
        <v>1791</v>
      </c>
      <c r="L1616" s="1063" t="s">
        <v>430</v>
      </c>
      <c r="M1616" s="1063" t="s">
        <v>2677</v>
      </c>
      <c r="N1616" s="1062" t="s">
        <v>82</v>
      </c>
      <c r="O1616" s="1063" t="s">
        <v>310</v>
      </c>
      <c r="P1616" s="1063" t="s">
        <v>291</v>
      </c>
      <c r="Q1616" s="1063" t="s">
        <v>294</v>
      </c>
      <c r="R1616" s="1063">
        <v>50000</v>
      </c>
      <c r="S1616" s="1063">
        <v>250000</v>
      </c>
      <c r="T1616" s="1063">
        <v>0</v>
      </c>
      <c r="U1616" s="1063">
        <v>250000</v>
      </c>
      <c r="V1616" s="1063">
        <v>0</v>
      </c>
      <c r="W1616" s="1063">
        <v>50</v>
      </c>
      <c r="X1616" s="1063">
        <v>0</v>
      </c>
      <c r="Y1616" s="1063">
        <v>999</v>
      </c>
      <c r="Z1616" s="1064">
        <v>740</v>
      </c>
      <c r="AA1616" s="1064">
        <v>999</v>
      </c>
      <c r="AB1616" s="1064">
        <v>0</v>
      </c>
      <c r="AC1616" s="1064">
        <v>999999</v>
      </c>
      <c r="AD1616" s="1063">
        <v>0</v>
      </c>
      <c r="AE1616" s="1063">
        <v>70</v>
      </c>
      <c r="AF1616" s="170">
        <v>0</v>
      </c>
      <c r="AG1616" s="171">
        <v>0</v>
      </c>
      <c r="AH1616" s="171">
        <v>0</v>
      </c>
      <c r="AI1616" s="171">
        <v>0</v>
      </c>
      <c r="AJ1616" s="171">
        <v>1</v>
      </c>
      <c r="AK1616" s="171">
        <v>1</v>
      </c>
      <c r="AL1616" s="171">
        <v>1</v>
      </c>
      <c r="AM1616" s="171">
        <v>1</v>
      </c>
      <c r="AN1616" s="171">
        <v>1</v>
      </c>
      <c r="AO1616" s="171">
        <v>1</v>
      </c>
      <c r="AP1616" s="171">
        <v>1</v>
      </c>
      <c r="AQ1616" s="171">
        <v>1</v>
      </c>
      <c r="AR1616" s="171">
        <v>1</v>
      </c>
      <c r="AS1616" s="171">
        <v>1</v>
      </c>
      <c r="AT1616" s="171">
        <v>1</v>
      </c>
      <c r="AU1616" s="171">
        <f t="shared" si="527"/>
        <v>1</v>
      </c>
      <c r="AV1616" s="171">
        <f t="shared" si="528"/>
        <v>1</v>
      </c>
      <c r="AW1616" s="171">
        <f t="shared" si="529"/>
        <v>1</v>
      </c>
      <c r="AX1616" s="171">
        <f t="shared" si="537"/>
        <v>1</v>
      </c>
      <c r="AY1616" s="171">
        <f t="shared" si="530"/>
        <v>1</v>
      </c>
      <c r="AZ1616" s="171">
        <f t="shared" si="531"/>
        <v>1</v>
      </c>
      <c r="BA1616" s="172">
        <f t="shared" si="532"/>
        <v>1</v>
      </c>
      <c r="BB1616" s="175">
        <f t="shared" si="534"/>
        <v>18</v>
      </c>
      <c r="BC1616" s="176">
        <f t="shared" si="535"/>
        <v>17</v>
      </c>
      <c r="BD1616" s="176">
        <f t="shared" si="536"/>
        <v>18</v>
      </c>
      <c r="BE1616" s="240" t="str">
        <f t="shared" si="526"/>
        <v/>
      </c>
      <c r="BF1616" s="989"/>
      <c r="BG1616" s="989"/>
      <c r="BH1616" s="991">
        <f>IF(AND(Input_Product=Elig!$C1616,Elig_MatchAll_Ct&lt;22,$BC1616=(Elig_MatchAll_Ct-1),AF1616=0),C1616,0)</f>
        <v>0</v>
      </c>
      <c r="BI1616" s="991">
        <f>IF(AND(Input_Product=Elig!$C1616,Elig_MatchAll_Ct&lt;22,$BC1616=(Elig_MatchAll_Ct-1),AG1616=0),D1616,0)</f>
        <v>0</v>
      </c>
      <c r="BJ1616" s="991">
        <f>IF(AND(Input_Product=Elig!$C1616,Elig_MatchAll_Ct&lt;22,$BC1616=(Elig_MatchAll_Ct-1),AH1616=0),E1616,0)</f>
        <v>0</v>
      </c>
      <c r="BK1616" s="991">
        <f>IF(AND(Input_Product=Elig!$C1616,Elig_MatchAll_Ct&lt;22,$BC1616=(Elig_MatchAll_Ct-1),AI1616=0),F1616,0)</f>
        <v>0</v>
      </c>
      <c r="BL1616" s="991">
        <f>IF(AND(Input_Product=Elig!$C1616,Elig_MatchAll_Ct&lt;22,$BC1616=(Elig_MatchAll_Ct-1),AJ1616=0),G1616,0)</f>
        <v>0</v>
      </c>
      <c r="BM1616" s="991">
        <f>IF(AND(Input_Product=Elig!$C1616,Elig_MatchAll_Ct&lt;22,$BC1616=(Elig_MatchAll_Ct-1),AK1616=0),H1616,0)</f>
        <v>0</v>
      </c>
      <c r="BN1616" s="991">
        <f>IF(AND(Input_Product=Elig!$C1616,Elig_MatchAll_Ct&lt;22,$BC1616=(Elig_MatchAll_Ct-1),AL1616=0),I1616,0)</f>
        <v>0</v>
      </c>
      <c r="BO1616" s="991">
        <f>IF(AND(Input_Product=Elig!$C1616,Elig_MatchAll_Ct&lt;22,$BC1616=(Elig_MatchAll_Ct-1),AM1616=0),J1616,0)</f>
        <v>0</v>
      </c>
      <c r="BP1616" s="991">
        <f>IF(AND(Input_Product=Elig!$C1616,Elig_MatchAll_Ct&lt;22,$BC1616=(Elig_MatchAll_Ct-1),AN1616=0),K1616,0)</f>
        <v>0</v>
      </c>
      <c r="BQ1616" s="991">
        <f>IF(AND(Input_Product=Elig!$C1616,Elig_MatchAll_Ct&lt;22,$BC1616=(Elig_MatchAll_Ct-1),AP1616=0),L1616,0)</f>
        <v>0</v>
      </c>
      <c r="BR1616" s="991">
        <f>IF(AND(Input_Product=Elig!$C1616,Elig_MatchAll_Ct&lt;22,$BC1616=(Elig_MatchAll_Ct-1),AO1616=0),M1616,0)</f>
        <v>0</v>
      </c>
      <c r="BS1616" s="991">
        <f>IF(AND(Input_Product=Elig!$C1616,Elig_MatchAll_Ct&lt;22,$BC1616=(Elig_MatchAll_Ct-1),AQ1616=0),N1616,0)</f>
        <v>0</v>
      </c>
      <c r="BT1616" s="991">
        <f>IF(AND(Input_Product=Elig!$C1616,Elig_MatchAll_Ct&lt;22,$BC1616=(Elig_MatchAll_Ct-1),AR1616=0),O1616,0)</f>
        <v>0</v>
      </c>
      <c r="BU1616" s="991">
        <f>IF(AND(Input_Product=Elig!$C1616,Elig_MatchAll_Ct&lt;22,$BC1616=(Elig_MatchAll_Ct-1),AS1616=0),P1616,0)</f>
        <v>0</v>
      </c>
      <c r="BV1616" s="992">
        <f>IF(AND(Input_Product=Elig!$C1616,Elig_MatchAll_Ct&lt;22,$BC1616=(Elig_MatchAll_Ct-1),AT1616=0),Q1616,0)</f>
        <v>0</v>
      </c>
      <c r="BW1616" s="993">
        <f>IF(AND(Input_Product=Elig!$C1616,Elig_MatchAll_Ct&lt;22,$BC1616=(Elig_MatchAll_Ct-1),AU1616=0),R1616,0)</f>
        <v>0</v>
      </c>
      <c r="BX1616" s="994">
        <f>IF(AND(Input_Product=Elig!$C1616,Elig_MatchAll_Ct&lt;22,$BC1616=(Elig_MatchAll_Ct-1),AU1616=0),S1616,0)</f>
        <v>0</v>
      </c>
      <c r="BY1616" s="993">
        <f>IF(AND(Input_Product=Elig!$C1616,Elig_MatchAll_Ct&lt;22,$BC1616=(Elig_MatchAll_Ct-1),AV1616=0),T1616,0)</f>
        <v>0</v>
      </c>
      <c r="BZ1616" s="994">
        <f>IF(AND(Input_Product=Elig!$C1616,Elig_MatchAll_Ct&lt;22,$BC1616=(Elig_MatchAll_Ct-1),AV1616=0),U1616,0)</f>
        <v>0</v>
      </c>
      <c r="CA1616" s="993">
        <f>IF(AND(Input_Product=Elig!$C1616,Elig_MatchAll_Ct&lt;22,$BC1616=(Elig_MatchAll_Ct-1),AW1616=0),V1616,0)</f>
        <v>0</v>
      </c>
      <c r="CB1616" s="994">
        <f>IF(AND(Input_Product=Elig!$C1616,Elig_MatchAll_Ct&lt;22,$BC1616=(Elig_MatchAll_Ct-1),AW1616=0),W1616,0)</f>
        <v>0</v>
      </c>
      <c r="CC1616" s="993">
        <f>IF(AND(Input_Product=Elig!$C1616,Elig_MatchAll_Ct&lt;22,$BC1616=(Elig_MatchAll_Ct-1),AX1616=0),X1616,0)</f>
        <v>0</v>
      </c>
      <c r="CD1616" s="994">
        <f>IF(AND(Input_Product=Elig!$C1616,Elig_MatchAll_Ct&lt;22,$BC1616=(Elig_MatchAll_Ct-1),AX1616=0),Y1616,0)</f>
        <v>0</v>
      </c>
      <c r="CE1616" s="993">
        <f>IF(AND(Input_LTV&lt;=AE1616,Input_Product=Elig!$C1616,Elig_MatchAll_Ct&lt;22,$BC1616=(Elig_MatchAll_Ct-1),AY1616=0),Z1616,0)</f>
        <v>0</v>
      </c>
      <c r="CF1616" s="994">
        <f>IF(AND(Input_LTV&lt;=AE1616,Input_Product=Elig!$C1616,Elig_MatchAll_Ct&lt;22,$BC1616=(Elig_MatchAll_Ct-1),AY1616=0),AA1616,0)</f>
        <v>0</v>
      </c>
      <c r="CG1616" s="993">
        <f>IF(AND(Input_Product=Elig!$C1616,Elig_MatchAll_Ct&lt;22,$BC1616=(Elig_MatchAll_Ct-1),AZ1616=0),AB1616,0)</f>
        <v>0</v>
      </c>
      <c r="CH1616" s="994">
        <f>IF(AND(Input_Product=Elig!$C1616,Elig_MatchAll_Ct&lt;22,$BC1616=(Elig_MatchAll_Ct-1),AZ1616=0),AC1616,0)</f>
        <v>0</v>
      </c>
      <c r="CI1616" s="993">
        <f>IF(AND(Input_Product=Elig!$C1616,Elig_MatchAll_Ct&lt;22,$BC1616=(Elig_MatchAll_Ct-1),BA1616=0),AD1616,0)</f>
        <v>0</v>
      </c>
      <c r="CJ1616" s="994">
        <f>IF(AND(Input_Product=Elig!$C1616,Elig_MatchAll_Ct&lt;22,$BC1616=(Elig_MatchAll_Ct-1),BA1616=0),AE1616,0)</f>
        <v>0</v>
      </c>
    </row>
    <row r="1617" spans="2:88" ht="10.15" customHeight="1" x14ac:dyDescent="0.25">
      <c r="B1617" s="1063" t="s">
        <v>3668</v>
      </c>
      <c r="C1617" s="1061" t="str" cm="1">
        <f t="array" ref="C1617">Input_Name_Product11</f>
        <v>HELOC NOO</v>
      </c>
      <c r="D1617" s="1063" t="s">
        <v>1984</v>
      </c>
      <c r="E1617" s="1063" t="s">
        <v>4</v>
      </c>
      <c r="F1617" s="1063" t="s">
        <v>330</v>
      </c>
      <c r="G1617" s="1062" t="s">
        <v>303</v>
      </c>
      <c r="H1617" s="1062" t="s">
        <v>136</v>
      </c>
      <c r="I1617" s="1063" t="s">
        <v>1332</v>
      </c>
      <c r="J1617" s="1063" t="s">
        <v>3544</v>
      </c>
      <c r="K1617" s="1062" t="s">
        <v>1791</v>
      </c>
      <c r="L1617" s="1063" t="s">
        <v>430</v>
      </c>
      <c r="M1617" s="1063" t="s">
        <v>2677</v>
      </c>
      <c r="N1617" s="1062" t="s">
        <v>82</v>
      </c>
      <c r="O1617" s="1063" t="s">
        <v>310</v>
      </c>
      <c r="P1617" s="1063" t="s">
        <v>291</v>
      </c>
      <c r="Q1617" s="1063" t="s">
        <v>294</v>
      </c>
      <c r="R1617" s="1063">
        <v>50000</v>
      </c>
      <c r="S1617" s="1063">
        <v>250000</v>
      </c>
      <c r="T1617" s="1063">
        <v>0</v>
      </c>
      <c r="U1617" s="1063">
        <v>250000</v>
      </c>
      <c r="V1617" s="1063">
        <v>0</v>
      </c>
      <c r="W1617" s="1063">
        <v>50</v>
      </c>
      <c r="X1617" s="1063">
        <v>0</v>
      </c>
      <c r="Y1617" s="1063">
        <v>999</v>
      </c>
      <c r="Z1617" s="1064">
        <v>700</v>
      </c>
      <c r="AA1617" s="1064">
        <v>739</v>
      </c>
      <c r="AB1617" s="1064">
        <v>0</v>
      </c>
      <c r="AC1617" s="1064">
        <v>999999</v>
      </c>
      <c r="AD1617" s="1063">
        <v>0</v>
      </c>
      <c r="AE1617" s="1063">
        <v>65</v>
      </c>
      <c r="AF1617" s="170">
        <v>0</v>
      </c>
      <c r="AG1617" s="171">
        <v>0</v>
      </c>
      <c r="AH1617" s="171">
        <v>0</v>
      </c>
      <c r="AI1617" s="171">
        <v>0</v>
      </c>
      <c r="AJ1617" s="171">
        <v>1</v>
      </c>
      <c r="AK1617" s="171">
        <v>1</v>
      </c>
      <c r="AL1617" s="171">
        <v>1</v>
      </c>
      <c r="AM1617" s="171">
        <v>1</v>
      </c>
      <c r="AN1617" s="171">
        <v>1</v>
      </c>
      <c r="AO1617" s="171">
        <v>1</v>
      </c>
      <c r="AP1617" s="171">
        <v>1</v>
      </c>
      <c r="AQ1617" s="171">
        <v>1</v>
      </c>
      <c r="AR1617" s="171">
        <v>1</v>
      </c>
      <c r="AS1617" s="171">
        <v>1</v>
      </c>
      <c r="AT1617" s="171">
        <v>1</v>
      </c>
      <c r="AU1617" s="171">
        <f t="shared" si="527"/>
        <v>1</v>
      </c>
      <c r="AV1617" s="171">
        <f t="shared" si="528"/>
        <v>1</v>
      </c>
      <c r="AW1617" s="171">
        <f t="shared" si="529"/>
        <v>1</v>
      </c>
      <c r="AX1617" s="171">
        <f t="shared" si="537"/>
        <v>1</v>
      </c>
      <c r="AY1617" s="171">
        <f t="shared" si="530"/>
        <v>0</v>
      </c>
      <c r="AZ1617" s="171">
        <f t="shared" si="531"/>
        <v>1</v>
      </c>
      <c r="BA1617" s="172">
        <f t="shared" si="532"/>
        <v>1</v>
      </c>
      <c r="BB1617" s="175">
        <f t="shared" si="534"/>
        <v>17</v>
      </c>
      <c r="BC1617" s="176">
        <f t="shared" si="535"/>
        <v>16</v>
      </c>
      <c r="BD1617" s="176">
        <f t="shared" si="536"/>
        <v>17</v>
      </c>
      <c r="BE1617" s="240" t="str">
        <f t="shared" si="526"/>
        <v/>
      </c>
      <c r="BF1617" s="990"/>
      <c r="BG1617" s="990"/>
      <c r="BH1617" s="991">
        <f>IF(AND(Input_Product=Elig!$C1617,Elig_MatchAll_Ct&lt;22,$BC1617=(Elig_MatchAll_Ct-1),AF1617=0),C1617,0)</f>
        <v>0</v>
      </c>
      <c r="BI1617" s="991">
        <f>IF(AND(Input_Product=Elig!$C1617,Elig_MatchAll_Ct&lt;22,$BC1617=(Elig_MatchAll_Ct-1),AG1617=0),D1617,0)</f>
        <v>0</v>
      </c>
      <c r="BJ1617" s="991">
        <f>IF(AND(Input_Product=Elig!$C1617,Elig_MatchAll_Ct&lt;22,$BC1617=(Elig_MatchAll_Ct-1),AH1617=0),E1617,0)</f>
        <v>0</v>
      </c>
      <c r="BK1617" s="991">
        <f>IF(AND(Input_Product=Elig!$C1617,Elig_MatchAll_Ct&lt;22,$BC1617=(Elig_MatchAll_Ct-1),AI1617=0),F1617,0)</f>
        <v>0</v>
      </c>
      <c r="BL1617" s="991">
        <f>IF(AND(Input_Product=Elig!$C1617,Elig_MatchAll_Ct&lt;22,$BC1617=(Elig_MatchAll_Ct-1),AJ1617=0),G1617,0)</f>
        <v>0</v>
      </c>
      <c r="BM1617" s="991">
        <f>IF(AND(Input_Product=Elig!$C1617,Elig_MatchAll_Ct&lt;22,$BC1617=(Elig_MatchAll_Ct-1),AK1617=0),H1617,0)</f>
        <v>0</v>
      </c>
      <c r="BN1617" s="991">
        <f>IF(AND(Input_Product=Elig!$C1617,Elig_MatchAll_Ct&lt;22,$BC1617=(Elig_MatchAll_Ct-1),AL1617=0),I1617,0)</f>
        <v>0</v>
      </c>
      <c r="BO1617" s="991">
        <f>IF(AND(Input_Product=Elig!$C1617,Elig_MatchAll_Ct&lt;22,$BC1617=(Elig_MatchAll_Ct-1),AM1617=0),J1617,0)</f>
        <v>0</v>
      </c>
      <c r="BP1617" s="991">
        <f>IF(AND(Input_Product=Elig!$C1617,Elig_MatchAll_Ct&lt;22,$BC1617=(Elig_MatchAll_Ct-1),AN1617=0),K1617,0)</f>
        <v>0</v>
      </c>
      <c r="BQ1617" s="991">
        <f>IF(AND(Input_Product=Elig!$C1617,Elig_MatchAll_Ct&lt;22,$BC1617=(Elig_MatchAll_Ct-1),AP1617=0),L1617,0)</f>
        <v>0</v>
      </c>
      <c r="BR1617" s="991">
        <f>IF(AND(Input_Product=Elig!$C1617,Elig_MatchAll_Ct&lt;22,$BC1617=(Elig_MatchAll_Ct-1),AO1617=0),M1617,0)</f>
        <v>0</v>
      </c>
      <c r="BS1617" s="991">
        <f>IF(AND(Input_Product=Elig!$C1617,Elig_MatchAll_Ct&lt;22,$BC1617=(Elig_MatchAll_Ct-1),AQ1617=0),N1617,0)</f>
        <v>0</v>
      </c>
      <c r="BT1617" s="991">
        <f>IF(AND(Input_Product=Elig!$C1617,Elig_MatchAll_Ct&lt;22,$BC1617=(Elig_MatchAll_Ct-1),AR1617=0),O1617,0)</f>
        <v>0</v>
      </c>
      <c r="BU1617" s="991">
        <f>IF(AND(Input_Product=Elig!$C1617,Elig_MatchAll_Ct&lt;22,$BC1617=(Elig_MatchAll_Ct-1),AS1617=0),P1617,0)</f>
        <v>0</v>
      </c>
      <c r="BV1617" s="992">
        <f>IF(AND(Input_Product=Elig!$C1617,Elig_MatchAll_Ct&lt;22,$BC1617=(Elig_MatchAll_Ct-1),AT1617=0),Q1617,0)</f>
        <v>0</v>
      </c>
      <c r="BW1617" s="993">
        <f>IF(AND(Input_Product=Elig!$C1617,Elig_MatchAll_Ct&lt;22,$BC1617=(Elig_MatchAll_Ct-1),AU1617=0),R1617,0)</f>
        <v>0</v>
      </c>
      <c r="BX1617" s="994">
        <f>IF(AND(Input_Product=Elig!$C1617,Elig_MatchAll_Ct&lt;22,$BC1617=(Elig_MatchAll_Ct-1),AU1617=0),S1617,0)</f>
        <v>0</v>
      </c>
      <c r="BY1617" s="993">
        <f>IF(AND(Input_Product=Elig!$C1617,Elig_MatchAll_Ct&lt;22,$BC1617=(Elig_MatchAll_Ct-1),AV1617=0),T1617,0)</f>
        <v>0</v>
      </c>
      <c r="BZ1617" s="994">
        <f>IF(AND(Input_Product=Elig!$C1617,Elig_MatchAll_Ct&lt;22,$BC1617=(Elig_MatchAll_Ct-1),AV1617=0),U1617,0)</f>
        <v>0</v>
      </c>
      <c r="CA1617" s="993">
        <f>IF(AND(Input_Product=Elig!$C1617,Elig_MatchAll_Ct&lt;22,$BC1617=(Elig_MatchAll_Ct-1),AW1617=0),V1617,0)</f>
        <v>0</v>
      </c>
      <c r="CB1617" s="994">
        <f>IF(AND(Input_Product=Elig!$C1617,Elig_MatchAll_Ct&lt;22,$BC1617=(Elig_MatchAll_Ct-1),AW1617=0),W1617,0)</f>
        <v>0</v>
      </c>
      <c r="CC1617" s="993">
        <f>IF(AND(Input_Product=Elig!$C1617,Elig_MatchAll_Ct&lt;22,$BC1617=(Elig_MatchAll_Ct-1),AX1617=0),X1617,0)</f>
        <v>0</v>
      </c>
      <c r="CD1617" s="994">
        <f>IF(AND(Input_Product=Elig!$C1617,Elig_MatchAll_Ct&lt;22,$BC1617=(Elig_MatchAll_Ct-1),AX1617=0),Y1617,0)</f>
        <v>0</v>
      </c>
      <c r="CE1617" s="993">
        <f>IF(AND(Input_LTV&lt;=AE1617,Input_Product=Elig!$C1617,Elig_MatchAll_Ct&lt;22,$BC1617=(Elig_MatchAll_Ct-1),AY1617=0),Z1617,0)</f>
        <v>0</v>
      </c>
      <c r="CF1617" s="994">
        <f>IF(AND(Input_LTV&lt;=AE1617,Input_Product=Elig!$C1617,Elig_MatchAll_Ct&lt;22,$BC1617=(Elig_MatchAll_Ct-1),AY1617=0),AA1617,0)</f>
        <v>0</v>
      </c>
      <c r="CG1617" s="993">
        <f>IF(AND(Input_Product=Elig!$C1617,Elig_MatchAll_Ct&lt;22,$BC1617=(Elig_MatchAll_Ct-1),AZ1617=0),AB1617,0)</f>
        <v>0</v>
      </c>
      <c r="CH1617" s="994">
        <f>IF(AND(Input_Product=Elig!$C1617,Elig_MatchAll_Ct&lt;22,$BC1617=(Elig_MatchAll_Ct-1),AZ1617=0),AC1617,0)</f>
        <v>0</v>
      </c>
      <c r="CI1617" s="993">
        <f>IF(AND(Input_Product=Elig!$C1617,Elig_MatchAll_Ct&lt;22,$BC1617=(Elig_MatchAll_Ct-1),BA1617=0),AD1617,0)</f>
        <v>0</v>
      </c>
      <c r="CJ1617" s="994">
        <f>IF(AND(Input_Product=Elig!$C1617,Elig_MatchAll_Ct&lt;22,$BC1617=(Elig_MatchAll_Ct-1),BA1617=0),AE1617,0)</f>
        <v>0</v>
      </c>
    </row>
    <row r="1618" spans="2:88" ht="10.15" customHeight="1" x14ac:dyDescent="0.25">
      <c r="B1618" s="1063" t="s">
        <v>3669</v>
      </c>
      <c r="C1618" s="1065" t="str" cm="1">
        <f t="array" ref="C1618">Input_Name_Product11</f>
        <v>HELOC NOO</v>
      </c>
      <c r="D1618" s="1066" t="s">
        <v>1984</v>
      </c>
      <c r="E1618" s="1066" t="s">
        <v>4</v>
      </c>
      <c r="F1618" s="1066" t="s">
        <v>330</v>
      </c>
      <c r="G1618" s="1067" t="s">
        <v>303</v>
      </c>
      <c r="H1618" s="1067" t="s">
        <v>136</v>
      </c>
      <c r="I1618" s="1066" t="s">
        <v>1332</v>
      </c>
      <c r="J1618" s="1066" t="s">
        <v>3544</v>
      </c>
      <c r="K1618" s="1067" t="s">
        <v>1791</v>
      </c>
      <c r="L1618" s="1066" t="s">
        <v>430</v>
      </c>
      <c r="M1618" s="1066" t="s">
        <v>2677</v>
      </c>
      <c r="N1618" s="1067" t="s">
        <v>82</v>
      </c>
      <c r="O1618" s="1066" t="s">
        <v>310</v>
      </c>
      <c r="P1618" s="1066" t="s">
        <v>291</v>
      </c>
      <c r="Q1618" s="1066" t="s">
        <v>294</v>
      </c>
      <c r="R1618" s="1066">
        <v>50000</v>
      </c>
      <c r="S1618" s="1066">
        <v>250000</v>
      </c>
      <c r="T1618" s="1066">
        <v>0</v>
      </c>
      <c r="U1618" s="1066">
        <v>250000</v>
      </c>
      <c r="V1618" s="1066">
        <v>0</v>
      </c>
      <c r="W1618" s="1066">
        <v>50</v>
      </c>
      <c r="X1618" s="1066">
        <v>0</v>
      </c>
      <c r="Y1618" s="1066">
        <v>999</v>
      </c>
      <c r="Z1618" s="1068">
        <v>680</v>
      </c>
      <c r="AA1618" s="1068">
        <v>699</v>
      </c>
      <c r="AB1618" s="1068">
        <v>0</v>
      </c>
      <c r="AC1618" s="1068">
        <v>999999</v>
      </c>
      <c r="AD1618" s="1066">
        <v>0</v>
      </c>
      <c r="AE1618" s="2049">
        <v>0</v>
      </c>
      <c r="AF1618" s="170">
        <v>0</v>
      </c>
      <c r="AG1618" s="171">
        <v>0</v>
      </c>
      <c r="AH1618" s="171">
        <v>0</v>
      </c>
      <c r="AI1618" s="171">
        <v>0</v>
      </c>
      <c r="AJ1618" s="171">
        <v>1</v>
      </c>
      <c r="AK1618" s="171">
        <v>1</v>
      </c>
      <c r="AL1618" s="171">
        <v>1</v>
      </c>
      <c r="AM1618" s="171">
        <v>1</v>
      </c>
      <c r="AN1618" s="171">
        <v>1</v>
      </c>
      <c r="AO1618" s="171">
        <v>1</v>
      </c>
      <c r="AP1618" s="171">
        <v>1</v>
      </c>
      <c r="AQ1618" s="171">
        <v>1</v>
      </c>
      <c r="AR1618" s="171">
        <v>1</v>
      </c>
      <c r="AS1618" s="171">
        <v>1</v>
      </c>
      <c r="AT1618" s="171">
        <v>1</v>
      </c>
      <c r="AU1618" s="171">
        <f t="shared" si="527"/>
        <v>1</v>
      </c>
      <c r="AV1618" s="171">
        <f t="shared" si="528"/>
        <v>1</v>
      </c>
      <c r="AW1618" s="171">
        <f t="shared" si="529"/>
        <v>1</v>
      </c>
      <c r="AX1618" s="171">
        <f t="shared" si="537"/>
        <v>1</v>
      </c>
      <c r="AY1618" s="171">
        <f t="shared" si="530"/>
        <v>0</v>
      </c>
      <c r="AZ1618" s="171">
        <f t="shared" si="531"/>
        <v>1</v>
      </c>
      <c r="BA1618" s="172">
        <f t="shared" si="532"/>
        <v>0</v>
      </c>
      <c r="BB1618" s="175">
        <f t="shared" si="534"/>
        <v>16</v>
      </c>
      <c r="BC1618" s="176">
        <f t="shared" si="535"/>
        <v>16</v>
      </c>
      <c r="BD1618" s="176">
        <f t="shared" si="536"/>
        <v>16</v>
      </c>
      <c r="BE1618" s="240" t="str">
        <f t="shared" si="526"/>
        <v/>
      </c>
      <c r="BF1618" s="990"/>
      <c r="BG1618" s="990"/>
      <c r="BH1618" s="991">
        <f>IF(AND(Input_Product=Elig!$C1618,Elig_MatchAll_Ct&lt;22,$BC1618=(Elig_MatchAll_Ct-1),AF1618=0),C1618,0)</f>
        <v>0</v>
      </c>
      <c r="BI1618" s="991">
        <f>IF(AND(Input_Product=Elig!$C1618,Elig_MatchAll_Ct&lt;22,$BC1618=(Elig_MatchAll_Ct-1),AG1618=0),D1618,0)</f>
        <v>0</v>
      </c>
      <c r="BJ1618" s="991">
        <f>IF(AND(Input_Product=Elig!$C1618,Elig_MatchAll_Ct&lt;22,$BC1618=(Elig_MatchAll_Ct-1),AH1618=0),E1618,0)</f>
        <v>0</v>
      </c>
      <c r="BK1618" s="991">
        <f>IF(AND(Input_Product=Elig!$C1618,Elig_MatchAll_Ct&lt;22,$BC1618=(Elig_MatchAll_Ct-1),AI1618=0),F1618,0)</f>
        <v>0</v>
      </c>
      <c r="BL1618" s="991">
        <f>IF(AND(Input_Product=Elig!$C1618,Elig_MatchAll_Ct&lt;22,$BC1618=(Elig_MatchAll_Ct-1),AJ1618=0),G1618,0)</f>
        <v>0</v>
      </c>
      <c r="BM1618" s="991">
        <f>IF(AND(Input_Product=Elig!$C1618,Elig_MatchAll_Ct&lt;22,$BC1618=(Elig_MatchAll_Ct-1),AK1618=0),H1618,0)</f>
        <v>0</v>
      </c>
      <c r="BN1618" s="991">
        <f>IF(AND(Input_Product=Elig!$C1618,Elig_MatchAll_Ct&lt;22,$BC1618=(Elig_MatchAll_Ct-1),AL1618=0),I1618,0)</f>
        <v>0</v>
      </c>
      <c r="BO1618" s="991">
        <f>IF(AND(Input_Product=Elig!$C1618,Elig_MatchAll_Ct&lt;22,$BC1618=(Elig_MatchAll_Ct-1),AM1618=0),J1618,0)</f>
        <v>0</v>
      </c>
      <c r="BP1618" s="991">
        <f>IF(AND(Input_Product=Elig!$C1618,Elig_MatchAll_Ct&lt;22,$BC1618=(Elig_MatchAll_Ct-1),AN1618=0),K1618,0)</f>
        <v>0</v>
      </c>
      <c r="BQ1618" s="991">
        <f>IF(AND(Input_Product=Elig!$C1618,Elig_MatchAll_Ct&lt;22,$BC1618=(Elig_MatchAll_Ct-1),AP1618=0),L1618,0)</f>
        <v>0</v>
      </c>
      <c r="BR1618" s="991">
        <f>IF(AND(Input_Product=Elig!$C1618,Elig_MatchAll_Ct&lt;22,$BC1618=(Elig_MatchAll_Ct-1),AO1618=0),M1618,0)</f>
        <v>0</v>
      </c>
      <c r="BS1618" s="991">
        <f>IF(AND(Input_Product=Elig!$C1618,Elig_MatchAll_Ct&lt;22,$BC1618=(Elig_MatchAll_Ct-1),AQ1618=0),N1618,0)</f>
        <v>0</v>
      </c>
      <c r="BT1618" s="991">
        <f>IF(AND(Input_Product=Elig!$C1618,Elig_MatchAll_Ct&lt;22,$BC1618=(Elig_MatchAll_Ct-1),AR1618=0),O1618,0)</f>
        <v>0</v>
      </c>
      <c r="BU1618" s="991">
        <f>IF(AND(Input_Product=Elig!$C1618,Elig_MatchAll_Ct&lt;22,$BC1618=(Elig_MatchAll_Ct-1),AS1618=0),P1618,0)</f>
        <v>0</v>
      </c>
      <c r="BV1618" s="992">
        <f>IF(AND(Input_Product=Elig!$C1618,Elig_MatchAll_Ct&lt;22,$BC1618=(Elig_MatchAll_Ct-1),AT1618=0),Q1618,0)</f>
        <v>0</v>
      </c>
      <c r="BW1618" s="993">
        <f>IF(AND(Input_Product=Elig!$C1618,Elig_MatchAll_Ct&lt;22,$BC1618=(Elig_MatchAll_Ct-1),AU1618=0),R1618,0)</f>
        <v>0</v>
      </c>
      <c r="BX1618" s="994">
        <f>IF(AND(Input_Product=Elig!$C1618,Elig_MatchAll_Ct&lt;22,$BC1618=(Elig_MatchAll_Ct-1),AU1618=0),S1618,0)</f>
        <v>0</v>
      </c>
      <c r="BY1618" s="993">
        <f>IF(AND(Input_Product=Elig!$C1618,Elig_MatchAll_Ct&lt;22,$BC1618=(Elig_MatchAll_Ct-1),AV1618=0),T1618,0)</f>
        <v>0</v>
      </c>
      <c r="BZ1618" s="994">
        <f>IF(AND(Input_Product=Elig!$C1618,Elig_MatchAll_Ct&lt;22,$BC1618=(Elig_MatchAll_Ct-1),AV1618=0),U1618,0)</f>
        <v>0</v>
      </c>
      <c r="CA1618" s="993">
        <f>IF(AND(Input_Product=Elig!$C1618,Elig_MatchAll_Ct&lt;22,$BC1618=(Elig_MatchAll_Ct-1),AW1618=0),V1618,0)</f>
        <v>0</v>
      </c>
      <c r="CB1618" s="994">
        <f>IF(AND(Input_Product=Elig!$C1618,Elig_MatchAll_Ct&lt;22,$BC1618=(Elig_MatchAll_Ct-1),AW1618=0),W1618,0)</f>
        <v>0</v>
      </c>
      <c r="CC1618" s="993">
        <f>IF(AND(Input_Product=Elig!$C1618,Elig_MatchAll_Ct&lt;22,$BC1618=(Elig_MatchAll_Ct-1),AX1618=0),X1618,0)</f>
        <v>0</v>
      </c>
      <c r="CD1618" s="994">
        <f>IF(AND(Input_Product=Elig!$C1618,Elig_MatchAll_Ct&lt;22,$BC1618=(Elig_MatchAll_Ct-1),AX1618=0),Y1618,0)</f>
        <v>0</v>
      </c>
      <c r="CE1618" s="993">
        <f>IF(AND(Input_LTV&lt;=AE1618,Input_Product=Elig!$C1618,Elig_MatchAll_Ct&lt;22,$BC1618=(Elig_MatchAll_Ct-1),AY1618=0),Z1618,0)</f>
        <v>0</v>
      </c>
      <c r="CF1618" s="994">
        <f>IF(AND(Input_LTV&lt;=AE1618,Input_Product=Elig!$C1618,Elig_MatchAll_Ct&lt;22,$BC1618=(Elig_MatchAll_Ct-1),AY1618=0),AA1618,0)</f>
        <v>0</v>
      </c>
      <c r="CG1618" s="993">
        <f>IF(AND(Input_Product=Elig!$C1618,Elig_MatchAll_Ct&lt;22,$BC1618=(Elig_MatchAll_Ct-1),AZ1618=0),AB1618,0)</f>
        <v>0</v>
      </c>
      <c r="CH1618" s="994">
        <f>IF(AND(Input_Product=Elig!$C1618,Elig_MatchAll_Ct&lt;22,$BC1618=(Elig_MatchAll_Ct-1),AZ1618=0),AC1618,0)</f>
        <v>0</v>
      </c>
      <c r="CI1618" s="993">
        <f>IF(AND(Input_Product=Elig!$C1618,Elig_MatchAll_Ct&lt;22,$BC1618=(Elig_MatchAll_Ct-1),BA1618=0),AD1618,0)</f>
        <v>0</v>
      </c>
      <c r="CJ1618" s="994">
        <f>IF(AND(Input_Product=Elig!$C1618,Elig_MatchAll_Ct&lt;22,$BC1618=(Elig_MatchAll_Ct-1),BA1618=0),AE1618,0)</f>
        <v>0</v>
      </c>
    </row>
    <row r="1619" spans="2:88" ht="10.15" customHeight="1" x14ac:dyDescent="0.25">
      <c r="B1619" s="1063" t="s">
        <v>3670</v>
      </c>
      <c r="C1619" s="1061" t="str" cm="1">
        <f t="array" ref="C1619">Input_Name_Product11</f>
        <v>HELOC NOO</v>
      </c>
      <c r="D1619" s="1062" t="s">
        <v>1984</v>
      </c>
      <c r="E1619" s="1062" t="s">
        <v>4</v>
      </c>
      <c r="F1619" s="1062" t="s">
        <v>330</v>
      </c>
      <c r="G1619" s="1062" t="s">
        <v>175</v>
      </c>
      <c r="H1619" s="1062" t="s">
        <v>446</v>
      </c>
      <c r="I1619" s="1063" t="s">
        <v>1332</v>
      </c>
      <c r="J1619" s="1063" t="s">
        <v>3544</v>
      </c>
      <c r="K1619" s="1062" t="s">
        <v>1791</v>
      </c>
      <c r="L1619" s="1063" t="s">
        <v>430</v>
      </c>
      <c r="M1619" s="1063" t="s">
        <v>2677</v>
      </c>
      <c r="N1619" s="1062" t="s">
        <v>82</v>
      </c>
      <c r="O1619" s="1063" t="s">
        <v>310</v>
      </c>
      <c r="P1619" s="1063" t="s">
        <v>291</v>
      </c>
      <c r="Q1619" s="1063" t="s">
        <v>294</v>
      </c>
      <c r="R1619" s="1063">
        <v>50000</v>
      </c>
      <c r="S1619" s="1063">
        <v>250000</v>
      </c>
      <c r="T1619" s="1063">
        <v>0</v>
      </c>
      <c r="U1619" s="1063">
        <v>250000</v>
      </c>
      <c r="V1619" s="1063">
        <v>0</v>
      </c>
      <c r="W1619" s="1063">
        <v>50</v>
      </c>
      <c r="X1619" s="1063">
        <v>0</v>
      </c>
      <c r="Y1619" s="1063">
        <v>999</v>
      </c>
      <c r="Z1619" s="1064">
        <v>740</v>
      </c>
      <c r="AA1619" s="1064">
        <v>999</v>
      </c>
      <c r="AB1619" s="1064">
        <v>0</v>
      </c>
      <c r="AC1619" s="1064">
        <v>999999</v>
      </c>
      <c r="AD1619" s="1063">
        <v>0</v>
      </c>
      <c r="AE1619" s="1063">
        <v>65</v>
      </c>
      <c r="AF1619" s="170">
        <v>0</v>
      </c>
      <c r="AG1619" s="171">
        <v>0</v>
      </c>
      <c r="AH1619" s="171">
        <v>0</v>
      </c>
      <c r="AI1619" s="171">
        <v>0</v>
      </c>
      <c r="AJ1619" s="171">
        <v>0</v>
      </c>
      <c r="AK1619" s="171">
        <v>0</v>
      </c>
      <c r="AL1619" s="171">
        <v>1</v>
      </c>
      <c r="AM1619" s="171">
        <v>1</v>
      </c>
      <c r="AN1619" s="171">
        <v>1</v>
      </c>
      <c r="AO1619" s="171">
        <v>1</v>
      </c>
      <c r="AP1619" s="171">
        <v>1</v>
      </c>
      <c r="AQ1619" s="171">
        <v>1</v>
      </c>
      <c r="AR1619" s="171">
        <v>1</v>
      </c>
      <c r="AS1619" s="171">
        <v>1</v>
      </c>
      <c r="AT1619" s="171">
        <v>1</v>
      </c>
      <c r="AU1619" s="171">
        <f t="shared" si="527"/>
        <v>1</v>
      </c>
      <c r="AV1619" s="171">
        <f t="shared" si="528"/>
        <v>1</v>
      </c>
      <c r="AW1619" s="171">
        <f t="shared" si="529"/>
        <v>1</v>
      </c>
      <c r="AX1619" s="171">
        <f t="shared" si="537"/>
        <v>1</v>
      </c>
      <c r="AY1619" s="171">
        <f t="shared" si="530"/>
        <v>1</v>
      </c>
      <c r="AZ1619" s="171">
        <f t="shared" si="531"/>
        <v>1</v>
      </c>
      <c r="BA1619" s="172">
        <f t="shared" si="532"/>
        <v>1</v>
      </c>
      <c r="BB1619" s="175">
        <f t="shared" si="534"/>
        <v>16</v>
      </c>
      <c r="BC1619" s="176">
        <f t="shared" si="535"/>
        <v>15</v>
      </c>
      <c r="BD1619" s="176">
        <f t="shared" si="536"/>
        <v>16</v>
      </c>
      <c r="BE1619" s="240" t="str">
        <f t="shared" si="526"/>
        <v/>
      </c>
      <c r="BF1619" s="989"/>
      <c r="BG1619" s="989"/>
      <c r="BH1619" s="991">
        <f>IF(AND(Input_Product=Elig!$C1619,Elig_MatchAll_Ct&lt;22,$BC1619=(Elig_MatchAll_Ct-1),AF1619=0),C1619,0)</f>
        <v>0</v>
      </c>
      <c r="BI1619" s="991">
        <f>IF(AND(Input_Product=Elig!$C1619,Elig_MatchAll_Ct&lt;22,$BC1619=(Elig_MatchAll_Ct-1),AG1619=0),D1619,0)</f>
        <v>0</v>
      </c>
      <c r="BJ1619" s="991">
        <f>IF(AND(Input_Product=Elig!$C1619,Elig_MatchAll_Ct&lt;22,$BC1619=(Elig_MatchAll_Ct-1),AH1619=0),E1619,0)</f>
        <v>0</v>
      </c>
      <c r="BK1619" s="991">
        <f>IF(AND(Input_Product=Elig!$C1619,Elig_MatchAll_Ct&lt;22,$BC1619=(Elig_MatchAll_Ct-1),AI1619=0),F1619,0)</f>
        <v>0</v>
      </c>
      <c r="BL1619" s="991">
        <f>IF(AND(Input_Product=Elig!$C1619,Elig_MatchAll_Ct&lt;22,$BC1619=(Elig_MatchAll_Ct-1),AJ1619=0),G1619,0)</f>
        <v>0</v>
      </c>
      <c r="BM1619" s="991">
        <f>IF(AND(Input_Product=Elig!$C1619,Elig_MatchAll_Ct&lt;22,$BC1619=(Elig_MatchAll_Ct-1),AK1619=0),H1619,0)</f>
        <v>0</v>
      </c>
      <c r="BN1619" s="991">
        <f>IF(AND(Input_Product=Elig!$C1619,Elig_MatchAll_Ct&lt;22,$BC1619=(Elig_MatchAll_Ct-1),AL1619=0),I1619,0)</f>
        <v>0</v>
      </c>
      <c r="BO1619" s="991">
        <f>IF(AND(Input_Product=Elig!$C1619,Elig_MatchAll_Ct&lt;22,$BC1619=(Elig_MatchAll_Ct-1),AM1619=0),J1619,0)</f>
        <v>0</v>
      </c>
      <c r="BP1619" s="991">
        <f>IF(AND(Input_Product=Elig!$C1619,Elig_MatchAll_Ct&lt;22,$BC1619=(Elig_MatchAll_Ct-1),AN1619=0),K1619,0)</f>
        <v>0</v>
      </c>
      <c r="BQ1619" s="991">
        <f>IF(AND(Input_Product=Elig!$C1619,Elig_MatchAll_Ct&lt;22,$BC1619=(Elig_MatchAll_Ct-1),AP1619=0),L1619,0)</f>
        <v>0</v>
      </c>
      <c r="BR1619" s="991">
        <f>IF(AND(Input_Product=Elig!$C1619,Elig_MatchAll_Ct&lt;22,$BC1619=(Elig_MatchAll_Ct-1),AO1619=0),M1619,0)</f>
        <v>0</v>
      </c>
      <c r="BS1619" s="991">
        <f>IF(AND(Input_Product=Elig!$C1619,Elig_MatchAll_Ct&lt;22,$BC1619=(Elig_MatchAll_Ct-1),AQ1619=0),N1619,0)</f>
        <v>0</v>
      </c>
      <c r="BT1619" s="991">
        <f>IF(AND(Input_Product=Elig!$C1619,Elig_MatchAll_Ct&lt;22,$BC1619=(Elig_MatchAll_Ct-1),AR1619=0),O1619,0)</f>
        <v>0</v>
      </c>
      <c r="BU1619" s="991">
        <f>IF(AND(Input_Product=Elig!$C1619,Elig_MatchAll_Ct&lt;22,$BC1619=(Elig_MatchAll_Ct-1),AS1619=0),P1619,0)</f>
        <v>0</v>
      </c>
      <c r="BV1619" s="992">
        <f>IF(AND(Input_Product=Elig!$C1619,Elig_MatchAll_Ct&lt;22,$BC1619=(Elig_MatchAll_Ct-1),AT1619=0),Q1619,0)</f>
        <v>0</v>
      </c>
      <c r="BW1619" s="993">
        <f>IF(AND(Input_Product=Elig!$C1619,Elig_MatchAll_Ct&lt;22,$BC1619=(Elig_MatchAll_Ct-1),AU1619=0),R1619,0)</f>
        <v>0</v>
      </c>
      <c r="BX1619" s="994">
        <f>IF(AND(Input_Product=Elig!$C1619,Elig_MatchAll_Ct&lt;22,$BC1619=(Elig_MatchAll_Ct-1),AU1619=0),S1619,0)</f>
        <v>0</v>
      </c>
      <c r="BY1619" s="993">
        <f>IF(AND(Input_Product=Elig!$C1619,Elig_MatchAll_Ct&lt;22,$BC1619=(Elig_MatchAll_Ct-1),AV1619=0),T1619,0)</f>
        <v>0</v>
      </c>
      <c r="BZ1619" s="994">
        <f>IF(AND(Input_Product=Elig!$C1619,Elig_MatchAll_Ct&lt;22,$BC1619=(Elig_MatchAll_Ct-1),AV1619=0),U1619,0)</f>
        <v>0</v>
      </c>
      <c r="CA1619" s="993">
        <f>IF(AND(Input_Product=Elig!$C1619,Elig_MatchAll_Ct&lt;22,$BC1619=(Elig_MatchAll_Ct-1),AW1619=0),V1619,0)</f>
        <v>0</v>
      </c>
      <c r="CB1619" s="994">
        <f>IF(AND(Input_Product=Elig!$C1619,Elig_MatchAll_Ct&lt;22,$BC1619=(Elig_MatchAll_Ct-1),AW1619=0),W1619,0)</f>
        <v>0</v>
      </c>
      <c r="CC1619" s="993">
        <f>IF(AND(Input_Product=Elig!$C1619,Elig_MatchAll_Ct&lt;22,$BC1619=(Elig_MatchAll_Ct-1),AX1619=0),X1619,0)</f>
        <v>0</v>
      </c>
      <c r="CD1619" s="994">
        <f>IF(AND(Input_Product=Elig!$C1619,Elig_MatchAll_Ct&lt;22,$BC1619=(Elig_MatchAll_Ct-1),AX1619=0),Y1619,0)</f>
        <v>0</v>
      </c>
      <c r="CE1619" s="993">
        <f>IF(AND(Input_LTV&lt;=AE1619,Input_Product=Elig!$C1619,Elig_MatchAll_Ct&lt;22,$BC1619=(Elig_MatchAll_Ct-1),AY1619=0),Z1619,0)</f>
        <v>0</v>
      </c>
      <c r="CF1619" s="994">
        <f>IF(AND(Input_LTV&lt;=AE1619,Input_Product=Elig!$C1619,Elig_MatchAll_Ct&lt;22,$BC1619=(Elig_MatchAll_Ct-1),AY1619=0),AA1619,0)</f>
        <v>0</v>
      </c>
      <c r="CG1619" s="993">
        <f>IF(AND(Input_Product=Elig!$C1619,Elig_MatchAll_Ct&lt;22,$BC1619=(Elig_MatchAll_Ct-1),AZ1619=0),AB1619,0)</f>
        <v>0</v>
      </c>
      <c r="CH1619" s="994">
        <f>IF(AND(Input_Product=Elig!$C1619,Elig_MatchAll_Ct&lt;22,$BC1619=(Elig_MatchAll_Ct-1),AZ1619=0),AC1619,0)</f>
        <v>0</v>
      </c>
      <c r="CI1619" s="993">
        <f>IF(AND(Input_Product=Elig!$C1619,Elig_MatchAll_Ct&lt;22,$BC1619=(Elig_MatchAll_Ct-1),BA1619=0),AD1619,0)</f>
        <v>0</v>
      </c>
      <c r="CJ1619" s="994">
        <f>IF(AND(Input_Product=Elig!$C1619,Elig_MatchAll_Ct&lt;22,$BC1619=(Elig_MatchAll_Ct-1),BA1619=0),AE1619,0)</f>
        <v>0</v>
      </c>
    </row>
    <row r="1620" spans="2:88" ht="10.15" customHeight="1" x14ac:dyDescent="0.25">
      <c r="B1620" s="1063" t="s">
        <v>3671</v>
      </c>
      <c r="C1620" s="1061" t="str" cm="1">
        <f t="array" ref="C1620">Input_Name_Product11</f>
        <v>HELOC NOO</v>
      </c>
      <c r="D1620" s="1063" t="s">
        <v>1984</v>
      </c>
      <c r="E1620" s="1063" t="s">
        <v>4</v>
      </c>
      <c r="F1620" s="1063" t="s">
        <v>330</v>
      </c>
      <c r="G1620" s="1062" t="s">
        <v>175</v>
      </c>
      <c r="H1620" s="1062" t="s">
        <v>446</v>
      </c>
      <c r="I1620" s="1063" t="s">
        <v>1332</v>
      </c>
      <c r="J1620" s="1063" t="s">
        <v>3544</v>
      </c>
      <c r="K1620" s="1062" t="s">
        <v>1791</v>
      </c>
      <c r="L1620" s="1063" t="s">
        <v>430</v>
      </c>
      <c r="M1620" s="1063" t="s">
        <v>2677</v>
      </c>
      <c r="N1620" s="1062" t="s">
        <v>82</v>
      </c>
      <c r="O1620" s="1063" t="s">
        <v>310</v>
      </c>
      <c r="P1620" s="1063" t="s">
        <v>291</v>
      </c>
      <c r="Q1620" s="1063" t="s">
        <v>294</v>
      </c>
      <c r="R1620" s="1063">
        <v>50000</v>
      </c>
      <c r="S1620" s="1063">
        <v>250000</v>
      </c>
      <c r="T1620" s="1063">
        <v>0</v>
      </c>
      <c r="U1620" s="1063">
        <v>250000</v>
      </c>
      <c r="V1620" s="1063">
        <v>0</v>
      </c>
      <c r="W1620" s="1063">
        <v>50</v>
      </c>
      <c r="X1620" s="1063">
        <v>0</v>
      </c>
      <c r="Y1620" s="1063">
        <v>999</v>
      </c>
      <c r="Z1620" s="1064">
        <v>700</v>
      </c>
      <c r="AA1620" s="1064">
        <v>739</v>
      </c>
      <c r="AB1620" s="1064">
        <v>0</v>
      </c>
      <c r="AC1620" s="1064">
        <v>999999</v>
      </c>
      <c r="AD1620" s="1063">
        <v>0</v>
      </c>
      <c r="AE1620" s="1063">
        <v>60</v>
      </c>
      <c r="AF1620" s="170">
        <v>0</v>
      </c>
      <c r="AG1620" s="171">
        <v>0</v>
      </c>
      <c r="AH1620" s="171">
        <v>0</v>
      </c>
      <c r="AI1620" s="171">
        <v>0</v>
      </c>
      <c r="AJ1620" s="171">
        <v>0</v>
      </c>
      <c r="AK1620" s="171">
        <v>0</v>
      </c>
      <c r="AL1620" s="171">
        <v>1</v>
      </c>
      <c r="AM1620" s="171">
        <v>1</v>
      </c>
      <c r="AN1620" s="171">
        <v>1</v>
      </c>
      <c r="AO1620" s="171">
        <v>1</v>
      </c>
      <c r="AP1620" s="171">
        <v>1</v>
      </c>
      <c r="AQ1620" s="171">
        <v>1</v>
      </c>
      <c r="AR1620" s="171">
        <v>1</v>
      </c>
      <c r="AS1620" s="171">
        <v>1</v>
      </c>
      <c r="AT1620" s="171">
        <v>1</v>
      </c>
      <c r="AU1620" s="171">
        <f t="shared" si="527"/>
        <v>1</v>
      </c>
      <c r="AV1620" s="171">
        <f t="shared" si="528"/>
        <v>1</v>
      </c>
      <c r="AW1620" s="171">
        <f t="shared" si="529"/>
        <v>1</v>
      </c>
      <c r="AX1620" s="171">
        <f t="shared" si="537"/>
        <v>1</v>
      </c>
      <c r="AY1620" s="171">
        <f t="shared" si="530"/>
        <v>0</v>
      </c>
      <c r="AZ1620" s="171">
        <f t="shared" si="531"/>
        <v>1</v>
      </c>
      <c r="BA1620" s="172">
        <f t="shared" si="532"/>
        <v>0</v>
      </c>
      <c r="BB1620" s="175">
        <f t="shared" si="534"/>
        <v>14</v>
      </c>
      <c r="BC1620" s="176">
        <f t="shared" si="535"/>
        <v>14</v>
      </c>
      <c r="BD1620" s="176">
        <f t="shared" si="536"/>
        <v>14</v>
      </c>
      <c r="BE1620" s="240" t="str">
        <f t="shared" si="526"/>
        <v/>
      </c>
      <c r="BF1620" s="990"/>
      <c r="BG1620" s="990"/>
      <c r="BH1620" s="991">
        <f>IF(AND(Input_Product=Elig!$C1620,Elig_MatchAll_Ct&lt;22,$BC1620=(Elig_MatchAll_Ct-1),AF1620=0),C1620,0)</f>
        <v>0</v>
      </c>
      <c r="BI1620" s="991">
        <f>IF(AND(Input_Product=Elig!$C1620,Elig_MatchAll_Ct&lt;22,$BC1620=(Elig_MatchAll_Ct-1),AG1620=0),D1620,0)</f>
        <v>0</v>
      </c>
      <c r="BJ1620" s="991">
        <f>IF(AND(Input_Product=Elig!$C1620,Elig_MatchAll_Ct&lt;22,$BC1620=(Elig_MatchAll_Ct-1),AH1620=0),E1620,0)</f>
        <v>0</v>
      </c>
      <c r="BK1620" s="991">
        <f>IF(AND(Input_Product=Elig!$C1620,Elig_MatchAll_Ct&lt;22,$BC1620=(Elig_MatchAll_Ct-1),AI1620=0),F1620,0)</f>
        <v>0</v>
      </c>
      <c r="BL1620" s="991">
        <f>IF(AND(Input_Product=Elig!$C1620,Elig_MatchAll_Ct&lt;22,$BC1620=(Elig_MatchAll_Ct-1),AJ1620=0),G1620,0)</f>
        <v>0</v>
      </c>
      <c r="BM1620" s="991">
        <f>IF(AND(Input_Product=Elig!$C1620,Elig_MatchAll_Ct&lt;22,$BC1620=(Elig_MatchAll_Ct-1),AK1620=0),H1620,0)</f>
        <v>0</v>
      </c>
      <c r="BN1620" s="991">
        <f>IF(AND(Input_Product=Elig!$C1620,Elig_MatchAll_Ct&lt;22,$BC1620=(Elig_MatchAll_Ct-1),AL1620=0),I1620,0)</f>
        <v>0</v>
      </c>
      <c r="BO1620" s="991">
        <f>IF(AND(Input_Product=Elig!$C1620,Elig_MatchAll_Ct&lt;22,$BC1620=(Elig_MatchAll_Ct-1),AM1620=0),J1620,0)</f>
        <v>0</v>
      </c>
      <c r="BP1620" s="991">
        <f>IF(AND(Input_Product=Elig!$C1620,Elig_MatchAll_Ct&lt;22,$BC1620=(Elig_MatchAll_Ct-1),AN1620=0),K1620,0)</f>
        <v>0</v>
      </c>
      <c r="BQ1620" s="991">
        <f>IF(AND(Input_Product=Elig!$C1620,Elig_MatchAll_Ct&lt;22,$BC1620=(Elig_MatchAll_Ct-1),AP1620=0),L1620,0)</f>
        <v>0</v>
      </c>
      <c r="BR1620" s="991">
        <f>IF(AND(Input_Product=Elig!$C1620,Elig_MatchAll_Ct&lt;22,$BC1620=(Elig_MatchAll_Ct-1),AO1620=0),M1620,0)</f>
        <v>0</v>
      </c>
      <c r="BS1620" s="991">
        <f>IF(AND(Input_Product=Elig!$C1620,Elig_MatchAll_Ct&lt;22,$BC1620=(Elig_MatchAll_Ct-1),AQ1620=0),N1620,0)</f>
        <v>0</v>
      </c>
      <c r="BT1620" s="991">
        <f>IF(AND(Input_Product=Elig!$C1620,Elig_MatchAll_Ct&lt;22,$BC1620=(Elig_MatchAll_Ct-1),AR1620=0),O1620,0)</f>
        <v>0</v>
      </c>
      <c r="BU1620" s="991">
        <f>IF(AND(Input_Product=Elig!$C1620,Elig_MatchAll_Ct&lt;22,$BC1620=(Elig_MatchAll_Ct-1),AS1620=0),P1620,0)</f>
        <v>0</v>
      </c>
      <c r="BV1620" s="992">
        <f>IF(AND(Input_Product=Elig!$C1620,Elig_MatchAll_Ct&lt;22,$BC1620=(Elig_MatchAll_Ct-1),AT1620=0),Q1620,0)</f>
        <v>0</v>
      </c>
      <c r="BW1620" s="993">
        <f>IF(AND(Input_Product=Elig!$C1620,Elig_MatchAll_Ct&lt;22,$BC1620=(Elig_MatchAll_Ct-1),AU1620=0),R1620,0)</f>
        <v>0</v>
      </c>
      <c r="BX1620" s="994">
        <f>IF(AND(Input_Product=Elig!$C1620,Elig_MatchAll_Ct&lt;22,$BC1620=(Elig_MatchAll_Ct-1),AU1620=0),S1620,0)</f>
        <v>0</v>
      </c>
      <c r="BY1620" s="993">
        <f>IF(AND(Input_Product=Elig!$C1620,Elig_MatchAll_Ct&lt;22,$BC1620=(Elig_MatchAll_Ct-1),AV1620=0),T1620,0)</f>
        <v>0</v>
      </c>
      <c r="BZ1620" s="994">
        <f>IF(AND(Input_Product=Elig!$C1620,Elig_MatchAll_Ct&lt;22,$BC1620=(Elig_MatchAll_Ct-1),AV1620=0),U1620,0)</f>
        <v>0</v>
      </c>
      <c r="CA1620" s="993">
        <f>IF(AND(Input_Product=Elig!$C1620,Elig_MatchAll_Ct&lt;22,$BC1620=(Elig_MatchAll_Ct-1),AW1620=0),V1620,0)</f>
        <v>0</v>
      </c>
      <c r="CB1620" s="994">
        <f>IF(AND(Input_Product=Elig!$C1620,Elig_MatchAll_Ct&lt;22,$BC1620=(Elig_MatchAll_Ct-1),AW1620=0),W1620,0)</f>
        <v>0</v>
      </c>
      <c r="CC1620" s="993">
        <f>IF(AND(Input_Product=Elig!$C1620,Elig_MatchAll_Ct&lt;22,$BC1620=(Elig_MatchAll_Ct-1),AX1620=0),X1620,0)</f>
        <v>0</v>
      </c>
      <c r="CD1620" s="994">
        <f>IF(AND(Input_Product=Elig!$C1620,Elig_MatchAll_Ct&lt;22,$BC1620=(Elig_MatchAll_Ct-1),AX1620=0),Y1620,0)</f>
        <v>0</v>
      </c>
      <c r="CE1620" s="993">
        <f>IF(AND(Input_LTV&lt;=AE1620,Input_Product=Elig!$C1620,Elig_MatchAll_Ct&lt;22,$BC1620=(Elig_MatchAll_Ct-1),AY1620=0),Z1620,0)</f>
        <v>0</v>
      </c>
      <c r="CF1620" s="994">
        <f>IF(AND(Input_LTV&lt;=AE1620,Input_Product=Elig!$C1620,Elig_MatchAll_Ct&lt;22,$BC1620=(Elig_MatchAll_Ct-1),AY1620=0),AA1620,0)</f>
        <v>0</v>
      </c>
      <c r="CG1620" s="993">
        <f>IF(AND(Input_Product=Elig!$C1620,Elig_MatchAll_Ct&lt;22,$BC1620=(Elig_MatchAll_Ct-1),AZ1620=0),AB1620,0)</f>
        <v>0</v>
      </c>
      <c r="CH1620" s="994">
        <f>IF(AND(Input_Product=Elig!$C1620,Elig_MatchAll_Ct&lt;22,$BC1620=(Elig_MatchAll_Ct-1),AZ1620=0),AC1620,0)</f>
        <v>0</v>
      </c>
      <c r="CI1620" s="993">
        <f>IF(AND(Input_Product=Elig!$C1620,Elig_MatchAll_Ct&lt;22,$BC1620=(Elig_MatchAll_Ct-1),BA1620=0),AD1620,0)</f>
        <v>0</v>
      </c>
      <c r="CJ1620" s="994">
        <f>IF(AND(Input_Product=Elig!$C1620,Elig_MatchAll_Ct&lt;22,$BC1620=(Elig_MatchAll_Ct-1),BA1620=0),AE1620,0)</f>
        <v>0</v>
      </c>
    </row>
    <row r="1621" spans="2:88" ht="10.15" customHeight="1" x14ac:dyDescent="0.25">
      <c r="B1621" s="1063" t="s">
        <v>3672</v>
      </c>
      <c r="C1621" s="1065" t="str" cm="1">
        <f t="array" ref="C1621">Input_Name_Product11</f>
        <v>HELOC NOO</v>
      </c>
      <c r="D1621" s="1066" t="s">
        <v>1984</v>
      </c>
      <c r="E1621" s="1066" t="s">
        <v>4</v>
      </c>
      <c r="F1621" s="1066" t="s">
        <v>330</v>
      </c>
      <c r="G1621" s="1067" t="s">
        <v>175</v>
      </c>
      <c r="H1621" s="1067" t="s">
        <v>446</v>
      </c>
      <c r="I1621" s="1066" t="s">
        <v>1332</v>
      </c>
      <c r="J1621" s="1066" t="s">
        <v>3544</v>
      </c>
      <c r="K1621" s="1067" t="s">
        <v>1791</v>
      </c>
      <c r="L1621" s="1066" t="s">
        <v>430</v>
      </c>
      <c r="M1621" s="1066" t="s">
        <v>2677</v>
      </c>
      <c r="N1621" s="1067" t="s">
        <v>82</v>
      </c>
      <c r="O1621" s="1066" t="s">
        <v>310</v>
      </c>
      <c r="P1621" s="1066" t="s">
        <v>291</v>
      </c>
      <c r="Q1621" s="1066" t="s">
        <v>294</v>
      </c>
      <c r="R1621" s="1066">
        <v>50000</v>
      </c>
      <c r="S1621" s="1066">
        <v>250000</v>
      </c>
      <c r="T1621" s="1066">
        <v>0</v>
      </c>
      <c r="U1621" s="1066">
        <v>250000</v>
      </c>
      <c r="V1621" s="1066">
        <v>0</v>
      </c>
      <c r="W1621" s="1066">
        <v>50</v>
      </c>
      <c r="X1621" s="1066">
        <v>0</v>
      </c>
      <c r="Y1621" s="1066">
        <v>999</v>
      </c>
      <c r="Z1621" s="1068">
        <v>680</v>
      </c>
      <c r="AA1621" s="1068">
        <v>699</v>
      </c>
      <c r="AB1621" s="1068">
        <v>0</v>
      </c>
      <c r="AC1621" s="1068">
        <v>999999</v>
      </c>
      <c r="AD1621" s="1066">
        <v>0</v>
      </c>
      <c r="AE1621" s="2049">
        <v>0</v>
      </c>
      <c r="AF1621" s="170">
        <v>0</v>
      </c>
      <c r="AG1621" s="171">
        <v>0</v>
      </c>
      <c r="AH1621" s="171">
        <v>0</v>
      </c>
      <c r="AI1621" s="171">
        <v>0</v>
      </c>
      <c r="AJ1621" s="171">
        <v>0</v>
      </c>
      <c r="AK1621" s="171">
        <v>0</v>
      </c>
      <c r="AL1621" s="171">
        <v>1</v>
      </c>
      <c r="AM1621" s="171">
        <v>1</v>
      </c>
      <c r="AN1621" s="171">
        <v>1</v>
      </c>
      <c r="AO1621" s="171">
        <v>1</v>
      </c>
      <c r="AP1621" s="171">
        <v>1</v>
      </c>
      <c r="AQ1621" s="171">
        <v>1</v>
      </c>
      <c r="AR1621" s="171">
        <v>1</v>
      </c>
      <c r="AS1621" s="171">
        <v>1</v>
      </c>
      <c r="AT1621" s="171">
        <v>1</v>
      </c>
      <c r="AU1621" s="171">
        <f t="shared" si="527"/>
        <v>1</v>
      </c>
      <c r="AV1621" s="171">
        <f t="shared" si="528"/>
        <v>1</v>
      </c>
      <c r="AW1621" s="171">
        <f t="shared" si="529"/>
        <v>1</v>
      </c>
      <c r="AX1621" s="171">
        <f t="shared" si="537"/>
        <v>1</v>
      </c>
      <c r="AY1621" s="171">
        <f t="shared" si="530"/>
        <v>0</v>
      </c>
      <c r="AZ1621" s="171">
        <f t="shared" si="531"/>
        <v>1</v>
      </c>
      <c r="BA1621" s="172">
        <f t="shared" si="532"/>
        <v>0</v>
      </c>
      <c r="BB1621" s="175">
        <f t="shared" si="534"/>
        <v>14</v>
      </c>
      <c r="BC1621" s="176">
        <f t="shared" si="535"/>
        <v>14</v>
      </c>
      <c r="BD1621" s="176">
        <f t="shared" si="536"/>
        <v>14</v>
      </c>
      <c r="BE1621" s="240" t="str">
        <f t="shared" si="526"/>
        <v/>
      </c>
      <c r="BF1621" s="990"/>
      <c r="BG1621" s="990"/>
      <c r="BH1621" s="991">
        <f>IF(AND(Input_Product=Elig!$C1621,Elig_MatchAll_Ct&lt;22,$BC1621=(Elig_MatchAll_Ct-1),AF1621=0),C1621,0)</f>
        <v>0</v>
      </c>
      <c r="BI1621" s="991">
        <f>IF(AND(Input_Product=Elig!$C1621,Elig_MatchAll_Ct&lt;22,$BC1621=(Elig_MatchAll_Ct-1),AG1621=0),D1621,0)</f>
        <v>0</v>
      </c>
      <c r="BJ1621" s="991">
        <f>IF(AND(Input_Product=Elig!$C1621,Elig_MatchAll_Ct&lt;22,$BC1621=(Elig_MatchAll_Ct-1),AH1621=0),E1621,0)</f>
        <v>0</v>
      </c>
      <c r="BK1621" s="991">
        <f>IF(AND(Input_Product=Elig!$C1621,Elig_MatchAll_Ct&lt;22,$BC1621=(Elig_MatchAll_Ct-1),AI1621=0),F1621,0)</f>
        <v>0</v>
      </c>
      <c r="BL1621" s="991">
        <f>IF(AND(Input_Product=Elig!$C1621,Elig_MatchAll_Ct&lt;22,$BC1621=(Elig_MatchAll_Ct-1),AJ1621=0),G1621,0)</f>
        <v>0</v>
      </c>
      <c r="BM1621" s="991">
        <f>IF(AND(Input_Product=Elig!$C1621,Elig_MatchAll_Ct&lt;22,$BC1621=(Elig_MatchAll_Ct-1),AK1621=0),H1621,0)</f>
        <v>0</v>
      </c>
      <c r="BN1621" s="991">
        <f>IF(AND(Input_Product=Elig!$C1621,Elig_MatchAll_Ct&lt;22,$BC1621=(Elig_MatchAll_Ct-1),AL1621=0),I1621,0)</f>
        <v>0</v>
      </c>
      <c r="BO1621" s="991">
        <f>IF(AND(Input_Product=Elig!$C1621,Elig_MatchAll_Ct&lt;22,$BC1621=(Elig_MatchAll_Ct-1),AM1621=0),J1621,0)</f>
        <v>0</v>
      </c>
      <c r="BP1621" s="991">
        <f>IF(AND(Input_Product=Elig!$C1621,Elig_MatchAll_Ct&lt;22,$BC1621=(Elig_MatchAll_Ct-1),AN1621=0),K1621,0)</f>
        <v>0</v>
      </c>
      <c r="BQ1621" s="991">
        <f>IF(AND(Input_Product=Elig!$C1621,Elig_MatchAll_Ct&lt;22,$BC1621=(Elig_MatchAll_Ct-1),AP1621=0),L1621,0)</f>
        <v>0</v>
      </c>
      <c r="BR1621" s="991">
        <f>IF(AND(Input_Product=Elig!$C1621,Elig_MatchAll_Ct&lt;22,$BC1621=(Elig_MatchAll_Ct-1),AO1621=0),M1621,0)</f>
        <v>0</v>
      </c>
      <c r="BS1621" s="991">
        <f>IF(AND(Input_Product=Elig!$C1621,Elig_MatchAll_Ct&lt;22,$BC1621=(Elig_MatchAll_Ct-1),AQ1621=0),N1621,0)</f>
        <v>0</v>
      </c>
      <c r="BT1621" s="991">
        <f>IF(AND(Input_Product=Elig!$C1621,Elig_MatchAll_Ct&lt;22,$BC1621=(Elig_MatchAll_Ct-1),AR1621=0),O1621,0)</f>
        <v>0</v>
      </c>
      <c r="BU1621" s="991">
        <f>IF(AND(Input_Product=Elig!$C1621,Elig_MatchAll_Ct&lt;22,$BC1621=(Elig_MatchAll_Ct-1),AS1621=0),P1621,0)</f>
        <v>0</v>
      </c>
      <c r="BV1621" s="992">
        <f>IF(AND(Input_Product=Elig!$C1621,Elig_MatchAll_Ct&lt;22,$BC1621=(Elig_MatchAll_Ct-1),AT1621=0),Q1621,0)</f>
        <v>0</v>
      </c>
      <c r="BW1621" s="993">
        <f>IF(AND(Input_Product=Elig!$C1621,Elig_MatchAll_Ct&lt;22,$BC1621=(Elig_MatchAll_Ct-1),AU1621=0),R1621,0)</f>
        <v>0</v>
      </c>
      <c r="BX1621" s="994">
        <f>IF(AND(Input_Product=Elig!$C1621,Elig_MatchAll_Ct&lt;22,$BC1621=(Elig_MatchAll_Ct-1),AU1621=0),S1621,0)</f>
        <v>0</v>
      </c>
      <c r="BY1621" s="993">
        <f>IF(AND(Input_Product=Elig!$C1621,Elig_MatchAll_Ct&lt;22,$BC1621=(Elig_MatchAll_Ct-1),AV1621=0),T1621,0)</f>
        <v>0</v>
      </c>
      <c r="BZ1621" s="994">
        <f>IF(AND(Input_Product=Elig!$C1621,Elig_MatchAll_Ct&lt;22,$BC1621=(Elig_MatchAll_Ct-1),AV1621=0),U1621,0)</f>
        <v>0</v>
      </c>
      <c r="CA1621" s="993">
        <f>IF(AND(Input_Product=Elig!$C1621,Elig_MatchAll_Ct&lt;22,$BC1621=(Elig_MatchAll_Ct-1),AW1621=0),V1621,0)</f>
        <v>0</v>
      </c>
      <c r="CB1621" s="994">
        <f>IF(AND(Input_Product=Elig!$C1621,Elig_MatchAll_Ct&lt;22,$BC1621=(Elig_MatchAll_Ct-1),AW1621=0),W1621,0)</f>
        <v>0</v>
      </c>
      <c r="CC1621" s="993">
        <f>IF(AND(Input_Product=Elig!$C1621,Elig_MatchAll_Ct&lt;22,$BC1621=(Elig_MatchAll_Ct-1),AX1621=0),X1621,0)</f>
        <v>0</v>
      </c>
      <c r="CD1621" s="994">
        <f>IF(AND(Input_Product=Elig!$C1621,Elig_MatchAll_Ct&lt;22,$BC1621=(Elig_MatchAll_Ct-1),AX1621=0),Y1621,0)</f>
        <v>0</v>
      </c>
      <c r="CE1621" s="993">
        <f>IF(AND(Input_LTV&lt;=AE1621,Input_Product=Elig!$C1621,Elig_MatchAll_Ct&lt;22,$BC1621=(Elig_MatchAll_Ct-1),AY1621=0),Z1621,0)</f>
        <v>0</v>
      </c>
      <c r="CF1621" s="994">
        <f>IF(AND(Input_LTV&lt;=AE1621,Input_Product=Elig!$C1621,Elig_MatchAll_Ct&lt;22,$BC1621=(Elig_MatchAll_Ct-1),AY1621=0),AA1621,0)</f>
        <v>0</v>
      </c>
      <c r="CG1621" s="993">
        <f>IF(AND(Input_Product=Elig!$C1621,Elig_MatchAll_Ct&lt;22,$BC1621=(Elig_MatchAll_Ct-1),AZ1621=0),AB1621,0)</f>
        <v>0</v>
      </c>
      <c r="CH1621" s="994">
        <f>IF(AND(Input_Product=Elig!$C1621,Elig_MatchAll_Ct&lt;22,$BC1621=(Elig_MatchAll_Ct-1),AZ1621=0),AC1621,0)</f>
        <v>0</v>
      </c>
      <c r="CI1621" s="993">
        <f>IF(AND(Input_Product=Elig!$C1621,Elig_MatchAll_Ct&lt;22,$BC1621=(Elig_MatchAll_Ct-1),BA1621=0),AD1621,0)</f>
        <v>0</v>
      </c>
      <c r="CJ1621" s="994">
        <f>IF(AND(Input_Product=Elig!$C1621,Elig_MatchAll_Ct&lt;22,$BC1621=(Elig_MatchAll_Ct-1),BA1621=0),AE1621,0)</f>
        <v>0</v>
      </c>
    </row>
    <row r="1622" spans="2:88" ht="10.15" customHeight="1" x14ac:dyDescent="0.25">
      <c r="B1622" s="1063" t="s">
        <v>3673</v>
      </c>
      <c r="C1622" s="1069" t="str" cm="1">
        <f t="array" ref="C1622">Input_Name_Product11</f>
        <v>HELOC NOO</v>
      </c>
      <c r="D1622" s="1070" t="s">
        <v>1984</v>
      </c>
      <c r="E1622" s="1070" t="s">
        <v>4</v>
      </c>
      <c r="F1622" s="1070" t="s">
        <v>330</v>
      </c>
      <c r="G1622" s="1070" t="s">
        <v>303</v>
      </c>
      <c r="H1622" s="1070" t="s">
        <v>136</v>
      </c>
      <c r="I1622" s="1071" t="s">
        <v>1332</v>
      </c>
      <c r="J1622" s="1071" t="s">
        <v>3544</v>
      </c>
      <c r="K1622" s="1070" t="s">
        <v>1791</v>
      </c>
      <c r="L1622" s="1071" t="s">
        <v>430</v>
      </c>
      <c r="M1622" s="1071" t="s">
        <v>2677</v>
      </c>
      <c r="N1622" s="1070" t="s">
        <v>82</v>
      </c>
      <c r="O1622" s="1071" t="s">
        <v>310</v>
      </c>
      <c r="P1622" s="1071" t="s">
        <v>291</v>
      </c>
      <c r="Q1622" s="1071" t="s">
        <v>294</v>
      </c>
      <c r="R1622" s="1071">
        <v>250000.01</v>
      </c>
      <c r="S1622" s="1071">
        <v>350000</v>
      </c>
      <c r="T1622" s="1071">
        <v>0</v>
      </c>
      <c r="U1622" s="1071">
        <v>350000</v>
      </c>
      <c r="V1622" s="1071">
        <v>0</v>
      </c>
      <c r="W1622" s="1071">
        <v>50</v>
      </c>
      <c r="X1622" s="1071">
        <v>0</v>
      </c>
      <c r="Y1622" s="1071">
        <v>999</v>
      </c>
      <c r="Z1622" s="1072">
        <v>720</v>
      </c>
      <c r="AA1622" s="1072">
        <v>999</v>
      </c>
      <c r="AB1622" s="1072">
        <v>0</v>
      </c>
      <c r="AC1622" s="1072">
        <v>999999</v>
      </c>
      <c r="AD1622" s="1071">
        <v>0</v>
      </c>
      <c r="AE1622" s="1071">
        <v>65</v>
      </c>
      <c r="AF1622" s="170">
        <v>0</v>
      </c>
      <c r="AG1622" s="171">
        <v>0</v>
      </c>
      <c r="AH1622" s="171">
        <v>0</v>
      </c>
      <c r="AI1622" s="171">
        <v>0</v>
      </c>
      <c r="AJ1622" s="171">
        <v>1</v>
      </c>
      <c r="AK1622" s="171">
        <v>1</v>
      </c>
      <c r="AL1622" s="171">
        <v>1</v>
      </c>
      <c r="AM1622" s="171">
        <v>1</v>
      </c>
      <c r="AN1622" s="171">
        <v>1</v>
      </c>
      <c r="AO1622" s="171">
        <v>1</v>
      </c>
      <c r="AP1622" s="171">
        <v>1</v>
      </c>
      <c r="AQ1622" s="171">
        <v>1</v>
      </c>
      <c r="AR1622" s="171">
        <v>1</v>
      </c>
      <c r="AS1622" s="171">
        <v>1</v>
      </c>
      <c r="AT1622" s="171">
        <v>1</v>
      </c>
      <c r="AU1622" s="171">
        <f t="shared" si="527"/>
        <v>0</v>
      </c>
      <c r="AV1622" s="171">
        <f t="shared" si="528"/>
        <v>1</v>
      </c>
      <c r="AW1622" s="171">
        <f t="shared" si="529"/>
        <v>1</v>
      </c>
      <c r="AX1622" s="171">
        <f t="shared" si="537"/>
        <v>1</v>
      </c>
      <c r="AY1622" s="171">
        <f t="shared" si="530"/>
        <v>1</v>
      </c>
      <c r="AZ1622" s="171">
        <f t="shared" si="531"/>
        <v>1</v>
      </c>
      <c r="BA1622" s="172">
        <f t="shared" si="532"/>
        <v>1</v>
      </c>
      <c r="BB1622" s="175">
        <f t="shared" si="534"/>
        <v>17</v>
      </c>
      <c r="BC1622" s="176">
        <f t="shared" si="535"/>
        <v>16</v>
      </c>
      <c r="BD1622" s="176">
        <f t="shared" si="536"/>
        <v>17</v>
      </c>
      <c r="BE1622" s="240" t="str">
        <f t="shared" si="526"/>
        <v/>
      </c>
      <c r="BF1622" s="989"/>
      <c r="BG1622" s="989"/>
      <c r="BH1622" s="991">
        <f>IF(AND(Input_Product=Elig!$C1622,Elig_MatchAll_Ct&lt;22,$BC1622=(Elig_MatchAll_Ct-1),AF1622=0),C1622,0)</f>
        <v>0</v>
      </c>
      <c r="BI1622" s="991">
        <f>IF(AND(Input_Product=Elig!$C1622,Elig_MatchAll_Ct&lt;22,$BC1622=(Elig_MatchAll_Ct-1),AG1622=0),D1622,0)</f>
        <v>0</v>
      </c>
      <c r="BJ1622" s="991">
        <f>IF(AND(Input_Product=Elig!$C1622,Elig_MatchAll_Ct&lt;22,$BC1622=(Elig_MatchAll_Ct-1),AH1622=0),E1622,0)</f>
        <v>0</v>
      </c>
      <c r="BK1622" s="991">
        <f>IF(AND(Input_Product=Elig!$C1622,Elig_MatchAll_Ct&lt;22,$BC1622=(Elig_MatchAll_Ct-1),AI1622=0),F1622,0)</f>
        <v>0</v>
      </c>
      <c r="BL1622" s="991">
        <f>IF(AND(Input_Product=Elig!$C1622,Elig_MatchAll_Ct&lt;22,$BC1622=(Elig_MatchAll_Ct-1),AJ1622=0),G1622,0)</f>
        <v>0</v>
      </c>
      <c r="BM1622" s="991">
        <f>IF(AND(Input_Product=Elig!$C1622,Elig_MatchAll_Ct&lt;22,$BC1622=(Elig_MatchAll_Ct-1),AK1622=0),H1622,0)</f>
        <v>0</v>
      </c>
      <c r="BN1622" s="991">
        <f>IF(AND(Input_Product=Elig!$C1622,Elig_MatchAll_Ct&lt;22,$BC1622=(Elig_MatchAll_Ct-1),AL1622=0),I1622,0)</f>
        <v>0</v>
      </c>
      <c r="BO1622" s="991">
        <f>IF(AND(Input_Product=Elig!$C1622,Elig_MatchAll_Ct&lt;22,$BC1622=(Elig_MatchAll_Ct-1),AM1622=0),J1622,0)</f>
        <v>0</v>
      </c>
      <c r="BP1622" s="991">
        <f>IF(AND(Input_Product=Elig!$C1622,Elig_MatchAll_Ct&lt;22,$BC1622=(Elig_MatchAll_Ct-1),AN1622=0),K1622,0)</f>
        <v>0</v>
      </c>
      <c r="BQ1622" s="991">
        <f>IF(AND(Input_Product=Elig!$C1622,Elig_MatchAll_Ct&lt;22,$BC1622=(Elig_MatchAll_Ct-1),AP1622=0),L1622,0)</f>
        <v>0</v>
      </c>
      <c r="BR1622" s="991">
        <f>IF(AND(Input_Product=Elig!$C1622,Elig_MatchAll_Ct&lt;22,$BC1622=(Elig_MatchAll_Ct-1),AO1622=0),M1622,0)</f>
        <v>0</v>
      </c>
      <c r="BS1622" s="991">
        <f>IF(AND(Input_Product=Elig!$C1622,Elig_MatchAll_Ct&lt;22,$BC1622=(Elig_MatchAll_Ct-1),AQ1622=0),N1622,0)</f>
        <v>0</v>
      </c>
      <c r="BT1622" s="991">
        <f>IF(AND(Input_Product=Elig!$C1622,Elig_MatchAll_Ct&lt;22,$BC1622=(Elig_MatchAll_Ct-1),AR1622=0),O1622,0)</f>
        <v>0</v>
      </c>
      <c r="BU1622" s="991">
        <f>IF(AND(Input_Product=Elig!$C1622,Elig_MatchAll_Ct&lt;22,$BC1622=(Elig_MatchAll_Ct-1),AS1622=0),P1622,0)</f>
        <v>0</v>
      </c>
      <c r="BV1622" s="992">
        <f>IF(AND(Input_Product=Elig!$C1622,Elig_MatchAll_Ct&lt;22,$BC1622=(Elig_MatchAll_Ct-1),AT1622=0),Q1622,0)</f>
        <v>0</v>
      </c>
      <c r="BW1622" s="993">
        <f>IF(AND(Input_Product=Elig!$C1622,Elig_MatchAll_Ct&lt;22,$BC1622=(Elig_MatchAll_Ct-1),AU1622=0),R1622,0)</f>
        <v>0</v>
      </c>
      <c r="BX1622" s="994">
        <f>IF(AND(Input_Product=Elig!$C1622,Elig_MatchAll_Ct&lt;22,$BC1622=(Elig_MatchAll_Ct-1),AU1622=0),S1622,0)</f>
        <v>0</v>
      </c>
      <c r="BY1622" s="993">
        <f>IF(AND(Input_Product=Elig!$C1622,Elig_MatchAll_Ct&lt;22,$BC1622=(Elig_MatchAll_Ct-1),AV1622=0),T1622,0)</f>
        <v>0</v>
      </c>
      <c r="BZ1622" s="994">
        <f>IF(AND(Input_Product=Elig!$C1622,Elig_MatchAll_Ct&lt;22,$BC1622=(Elig_MatchAll_Ct-1),AV1622=0),U1622,0)</f>
        <v>0</v>
      </c>
      <c r="CA1622" s="993">
        <f>IF(AND(Input_Product=Elig!$C1622,Elig_MatchAll_Ct&lt;22,$BC1622=(Elig_MatchAll_Ct-1),AW1622=0),V1622,0)</f>
        <v>0</v>
      </c>
      <c r="CB1622" s="994">
        <f>IF(AND(Input_Product=Elig!$C1622,Elig_MatchAll_Ct&lt;22,$BC1622=(Elig_MatchAll_Ct-1),AW1622=0),W1622,0)</f>
        <v>0</v>
      </c>
      <c r="CC1622" s="993">
        <f>IF(AND(Input_Product=Elig!$C1622,Elig_MatchAll_Ct&lt;22,$BC1622=(Elig_MatchAll_Ct-1),AX1622=0),X1622,0)</f>
        <v>0</v>
      </c>
      <c r="CD1622" s="994">
        <f>IF(AND(Input_Product=Elig!$C1622,Elig_MatchAll_Ct&lt;22,$BC1622=(Elig_MatchAll_Ct-1),AX1622=0),Y1622,0)</f>
        <v>0</v>
      </c>
      <c r="CE1622" s="993">
        <f>IF(AND(Input_LTV&lt;=AE1622,Input_Product=Elig!$C1622,Elig_MatchAll_Ct&lt;22,$BC1622=(Elig_MatchAll_Ct-1),AY1622=0),Z1622,0)</f>
        <v>0</v>
      </c>
      <c r="CF1622" s="994">
        <f>IF(AND(Input_LTV&lt;=AE1622,Input_Product=Elig!$C1622,Elig_MatchAll_Ct&lt;22,$BC1622=(Elig_MatchAll_Ct-1),AY1622=0),AA1622,0)</f>
        <v>0</v>
      </c>
      <c r="CG1622" s="993">
        <f>IF(AND(Input_Product=Elig!$C1622,Elig_MatchAll_Ct&lt;22,$BC1622=(Elig_MatchAll_Ct-1),AZ1622=0),AB1622,0)</f>
        <v>0</v>
      </c>
      <c r="CH1622" s="994">
        <f>IF(AND(Input_Product=Elig!$C1622,Elig_MatchAll_Ct&lt;22,$BC1622=(Elig_MatchAll_Ct-1),AZ1622=0),AC1622,0)</f>
        <v>0</v>
      </c>
      <c r="CI1622" s="993">
        <f>IF(AND(Input_Product=Elig!$C1622,Elig_MatchAll_Ct&lt;22,$BC1622=(Elig_MatchAll_Ct-1),BA1622=0),AD1622,0)</f>
        <v>0</v>
      </c>
      <c r="CJ1622" s="994">
        <f>IF(AND(Input_Product=Elig!$C1622,Elig_MatchAll_Ct&lt;22,$BC1622=(Elig_MatchAll_Ct-1),BA1622=0),AE1622,0)</f>
        <v>0</v>
      </c>
    </row>
    <row r="1623" spans="2:88" ht="10.15" customHeight="1" x14ac:dyDescent="0.25">
      <c r="B1623" s="1063" t="s">
        <v>3674</v>
      </c>
      <c r="C1623" s="1061" t="str" cm="1">
        <f t="array" ref="C1623">Input_Name_Product11</f>
        <v>HELOC NOO</v>
      </c>
      <c r="D1623" s="1063" t="s">
        <v>1984</v>
      </c>
      <c r="E1623" s="1063" t="s">
        <v>4</v>
      </c>
      <c r="F1623" s="1063" t="s">
        <v>330</v>
      </c>
      <c r="G1623" s="1062" t="s">
        <v>303</v>
      </c>
      <c r="H1623" s="1062" t="s">
        <v>136</v>
      </c>
      <c r="I1623" s="1063" t="s">
        <v>1332</v>
      </c>
      <c r="J1623" s="1063" t="s">
        <v>3544</v>
      </c>
      <c r="K1623" s="1062" t="s">
        <v>1791</v>
      </c>
      <c r="L1623" s="1063" t="s">
        <v>430</v>
      </c>
      <c r="M1623" s="1063" t="s">
        <v>2677</v>
      </c>
      <c r="N1623" s="1062" t="s">
        <v>82</v>
      </c>
      <c r="O1623" s="1063" t="s">
        <v>310</v>
      </c>
      <c r="P1623" s="1063" t="s">
        <v>291</v>
      </c>
      <c r="Q1623" s="1063" t="s">
        <v>294</v>
      </c>
      <c r="R1623" s="1063">
        <v>250000.01</v>
      </c>
      <c r="S1623" s="1063">
        <v>350000</v>
      </c>
      <c r="T1623" s="1063">
        <v>0</v>
      </c>
      <c r="U1623" s="1063">
        <v>350000</v>
      </c>
      <c r="V1623" s="1063">
        <v>0</v>
      </c>
      <c r="W1623" s="1063">
        <v>50</v>
      </c>
      <c r="X1623" s="1063">
        <v>0</v>
      </c>
      <c r="Y1623" s="1063">
        <v>999</v>
      </c>
      <c r="Z1623" s="1064">
        <v>700</v>
      </c>
      <c r="AA1623" s="1064">
        <v>719</v>
      </c>
      <c r="AB1623" s="1064">
        <v>0</v>
      </c>
      <c r="AC1623" s="1064">
        <v>999999</v>
      </c>
      <c r="AD1623" s="1063">
        <v>0</v>
      </c>
      <c r="AE1623" s="1063">
        <v>65</v>
      </c>
      <c r="AF1623" s="170">
        <v>0</v>
      </c>
      <c r="AG1623" s="171">
        <v>0</v>
      </c>
      <c r="AH1623" s="171">
        <v>0</v>
      </c>
      <c r="AI1623" s="171">
        <v>0</v>
      </c>
      <c r="AJ1623" s="171">
        <v>1</v>
      </c>
      <c r="AK1623" s="171">
        <v>1</v>
      </c>
      <c r="AL1623" s="171">
        <v>1</v>
      </c>
      <c r="AM1623" s="171">
        <v>1</v>
      </c>
      <c r="AN1623" s="171">
        <v>1</v>
      </c>
      <c r="AO1623" s="171">
        <v>1</v>
      </c>
      <c r="AP1623" s="171">
        <v>1</v>
      </c>
      <c r="AQ1623" s="171">
        <v>1</v>
      </c>
      <c r="AR1623" s="171">
        <v>1</v>
      </c>
      <c r="AS1623" s="171">
        <v>1</v>
      </c>
      <c r="AT1623" s="171">
        <v>1</v>
      </c>
      <c r="AU1623" s="171">
        <f t="shared" si="527"/>
        <v>0</v>
      </c>
      <c r="AV1623" s="171">
        <f t="shared" si="528"/>
        <v>1</v>
      </c>
      <c r="AW1623" s="171">
        <f t="shared" si="529"/>
        <v>1</v>
      </c>
      <c r="AX1623" s="171">
        <f t="shared" si="537"/>
        <v>1</v>
      </c>
      <c r="AY1623" s="171">
        <f t="shared" si="530"/>
        <v>0</v>
      </c>
      <c r="AZ1623" s="171">
        <f t="shared" si="531"/>
        <v>1</v>
      </c>
      <c r="BA1623" s="172">
        <f t="shared" si="532"/>
        <v>1</v>
      </c>
      <c r="BB1623" s="175">
        <f t="shared" si="534"/>
        <v>16</v>
      </c>
      <c r="BC1623" s="176">
        <f t="shared" si="535"/>
        <v>15</v>
      </c>
      <c r="BD1623" s="176">
        <f t="shared" si="536"/>
        <v>16</v>
      </c>
      <c r="BE1623" s="240" t="str">
        <f t="shared" si="526"/>
        <v/>
      </c>
      <c r="BF1623" s="990"/>
      <c r="BG1623" s="990"/>
      <c r="BH1623" s="991">
        <f>IF(AND(Input_Product=Elig!$C1623,Elig_MatchAll_Ct&lt;22,$BC1623=(Elig_MatchAll_Ct-1),AF1623=0),C1623,0)</f>
        <v>0</v>
      </c>
      <c r="BI1623" s="991">
        <f>IF(AND(Input_Product=Elig!$C1623,Elig_MatchAll_Ct&lt;22,$BC1623=(Elig_MatchAll_Ct-1),AG1623=0),D1623,0)</f>
        <v>0</v>
      </c>
      <c r="BJ1623" s="991">
        <f>IF(AND(Input_Product=Elig!$C1623,Elig_MatchAll_Ct&lt;22,$BC1623=(Elig_MatchAll_Ct-1),AH1623=0),E1623,0)</f>
        <v>0</v>
      </c>
      <c r="BK1623" s="991">
        <f>IF(AND(Input_Product=Elig!$C1623,Elig_MatchAll_Ct&lt;22,$BC1623=(Elig_MatchAll_Ct-1),AI1623=0),F1623,0)</f>
        <v>0</v>
      </c>
      <c r="BL1623" s="991">
        <f>IF(AND(Input_Product=Elig!$C1623,Elig_MatchAll_Ct&lt;22,$BC1623=(Elig_MatchAll_Ct-1),AJ1623=0),G1623,0)</f>
        <v>0</v>
      </c>
      <c r="BM1623" s="991">
        <f>IF(AND(Input_Product=Elig!$C1623,Elig_MatchAll_Ct&lt;22,$BC1623=(Elig_MatchAll_Ct-1),AK1623=0),H1623,0)</f>
        <v>0</v>
      </c>
      <c r="BN1623" s="991">
        <f>IF(AND(Input_Product=Elig!$C1623,Elig_MatchAll_Ct&lt;22,$BC1623=(Elig_MatchAll_Ct-1),AL1623=0),I1623,0)</f>
        <v>0</v>
      </c>
      <c r="BO1623" s="991">
        <f>IF(AND(Input_Product=Elig!$C1623,Elig_MatchAll_Ct&lt;22,$BC1623=(Elig_MatchAll_Ct-1),AM1623=0),J1623,0)</f>
        <v>0</v>
      </c>
      <c r="BP1623" s="991">
        <f>IF(AND(Input_Product=Elig!$C1623,Elig_MatchAll_Ct&lt;22,$BC1623=(Elig_MatchAll_Ct-1),AN1623=0),K1623,0)</f>
        <v>0</v>
      </c>
      <c r="BQ1623" s="991">
        <f>IF(AND(Input_Product=Elig!$C1623,Elig_MatchAll_Ct&lt;22,$BC1623=(Elig_MatchAll_Ct-1),AP1623=0),L1623,0)</f>
        <v>0</v>
      </c>
      <c r="BR1623" s="991">
        <f>IF(AND(Input_Product=Elig!$C1623,Elig_MatchAll_Ct&lt;22,$BC1623=(Elig_MatchAll_Ct-1),AO1623=0),M1623,0)</f>
        <v>0</v>
      </c>
      <c r="BS1623" s="991">
        <f>IF(AND(Input_Product=Elig!$C1623,Elig_MatchAll_Ct&lt;22,$BC1623=(Elig_MatchAll_Ct-1),AQ1623=0),N1623,0)</f>
        <v>0</v>
      </c>
      <c r="BT1623" s="991">
        <f>IF(AND(Input_Product=Elig!$C1623,Elig_MatchAll_Ct&lt;22,$BC1623=(Elig_MatchAll_Ct-1),AR1623=0),O1623,0)</f>
        <v>0</v>
      </c>
      <c r="BU1623" s="991">
        <f>IF(AND(Input_Product=Elig!$C1623,Elig_MatchAll_Ct&lt;22,$BC1623=(Elig_MatchAll_Ct-1),AS1623=0),P1623,0)</f>
        <v>0</v>
      </c>
      <c r="BV1623" s="992">
        <f>IF(AND(Input_Product=Elig!$C1623,Elig_MatchAll_Ct&lt;22,$BC1623=(Elig_MatchAll_Ct-1),AT1623=0),Q1623,0)</f>
        <v>0</v>
      </c>
      <c r="BW1623" s="993">
        <f>IF(AND(Input_Product=Elig!$C1623,Elig_MatchAll_Ct&lt;22,$BC1623=(Elig_MatchAll_Ct-1),AU1623=0),R1623,0)</f>
        <v>0</v>
      </c>
      <c r="BX1623" s="994">
        <f>IF(AND(Input_Product=Elig!$C1623,Elig_MatchAll_Ct&lt;22,$BC1623=(Elig_MatchAll_Ct-1),AU1623=0),S1623,0)</f>
        <v>0</v>
      </c>
      <c r="BY1623" s="993">
        <f>IF(AND(Input_Product=Elig!$C1623,Elig_MatchAll_Ct&lt;22,$BC1623=(Elig_MatchAll_Ct-1),AV1623=0),T1623,0)</f>
        <v>0</v>
      </c>
      <c r="BZ1623" s="994">
        <f>IF(AND(Input_Product=Elig!$C1623,Elig_MatchAll_Ct&lt;22,$BC1623=(Elig_MatchAll_Ct-1),AV1623=0),U1623,0)</f>
        <v>0</v>
      </c>
      <c r="CA1623" s="993">
        <f>IF(AND(Input_Product=Elig!$C1623,Elig_MatchAll_Ct&lt;22,$BC1623=(Elig_MatchAll_Ct-1),AW1623=0),V1623,0)</f>
        <v>0</v>
      </c>
      <c r="CB1623" s="994">
        <f>IF(AND(Input_Product=Elig!$C1623,Elig_MatchAll_Ct&lt;22,$BC1623=(Elig_MatchAll_Ct-1),AW1623=0),W1623,0)</f>
        <v>0</v>
      </c>
      <c r="CC1623" s="993">
        <f>IF(AND(Input_Product=Elig!$C1623,Elig_MatchAll_Ct&lt;22,$BC1623=(Elig_MatchAll_Ct-1),AX1623=0),X1623,0)</f>
        <v>0</v>
      </c>
      <c r="CD1623" s="994">
        <f>IF(AND(Input_Product=Elig!$C1623,Elig_MatchAll_Ct&lt;22,$BC1623=(Elig_MatchAll_Ct-1),AX1623=0),Y1623,0)</f>
        <v>0</v>
      </c>
      <c r="CE1623" s="993">
        <f>IF(AND(Input_LTV&lt;=AE1623,Input_Product=Elig!$C1623,Elig_MatchAll_Ct&lt;22,$BC1623=(Elig_MatchAll_Ct-1),AY1623=0),Z1623,0)</f>
        <v>0</v>
      </c>
      <c r="CF1623" s="994">
        <f>IF(AND(Input_LTV&lt;=AE1623,Input_Product=Elig!$C1623,Elig_MatchAll_Ct&lt;22,$BC1623=(Elig_MatchAll_Ct-1),AY1623=0),AA1623,0)</f>
        <v>0</v>
      </c>
      <c r="CG1623" s="993">
        <f>IF(AND(Input_Product=Elig!$C1623,Elig_MatchAll_Ct&lt;22,$BC1623=(Elig_MatchAll_Ct-1),AZ1623=0),AB1623,0)</f>
        <v>0</v>
      </c>
      <c r="CH1623" s="994">
        <f>IF(AND(Input_Product=Elig!$C1623,Elig_MatchAll_Ct&lt;22,$BC1623=(Elig_MatchAll_Ct-1),AZ1623=0),AC1623,0)</f>
        <v>0</v>
      </c>
      <c r="CI1623" s="993">
        <f>IF(AND(Input_Product=Elig!$C1623,Elig_MatchAll_Ct&lt;22,$BC1623=(Elig_MatchAll_Ct-1),BA1623=0),AD1623,0)</f>
        <v>0</v>
      </c>
      <c r="CJ1623" s="994">
        <f>IF(AND(Input_Product=Elig!$C1623,Elig_MatchAll_Ct&lt;22,$BC1623=(Elig_MatchAll_Ct-1),BA1623=0),AE1623,0)</f>
        <v>0</v>
      </c>
    </row>
    <row r="1624" spans="2:88" ht="10.15" customHeight="1" x14ac:dyDescent="0.25">
      <c r="B1624" s="1063" t="s">
        <v>3675</v>
      </c>
      <c r="C1624" s="1065" t="str" cm="1">
        <f t="array" ref="C1624">Input_Name_Product11</f>
        <v>HELOC NOO</v>
      </c>
      <c r="D1624" s="1066" t="s">
        <v>1984</v>
      </c>
      <c r="E1624" s="1066" t="s">
        <v>4</v>
      </c>
      <c r="F1624" s="1066" t="s">
        <v>330</v>
      </c>
      <c r="G1624" s="1067" t="s">
        <v>303</v>
      </c>
      <c r="H1624" s="1067" t="s">
        <v>136</v>
      </c>
      <c r="I1624" s="1066" t="s">
        <v>1332</v>
      </c>
      <c r="J1624" s="1066" t="s">
        <v>3544</v>
      </c>
      <c r="K1624" s="1067" t="s">
        <v>1791</v>
      </c>
      <c r="L1624" s="1066" t="s">
        <v>430</v>
      </c>
      <c r="M1624" s="1066" t="s">
        <v>2677</v>
      </c>
      <c r="N1624" s="1067" t="s">
        <v>82</v>
      </c>
      <c r="O1624" s="1066" t="s">
        <v>310</v>
      </c>
      <c r="P1624" s="1066" t="s">
        <v>291</v>
      </c>
      <c r="Q1624" s="1066" t="s">
        <v>294</v>
      </c>
      <c r="R1624" s="1066">
        <v>250000.01</v>
      </c>
      <c r="S1624" s="1066">
        <v>350000</v>
      </c>
      <c r="T1624" s="1066">
        <v>0</v>
      </c>
      <c r="U1624" s="1066">
        <v>350000</v>
      </c>
      <c r="V1624" s="1066">
        <v>0</v>
      </c>
      <c r="W1624" s="1066">
        <v>50</v>
      </c>
      <c r="X1624" s="1066">
        <v>0</v>
      </c>
      <c r="Y1624" s="1066">
        <v>999</v>
      </c>
      <c r="Z1624" s="1068">
        <v>680</v>
      </c>
      <c r="AA1624" s="1068">
        <v>699</v>
      </c>
      <c r="AB1624" s="1068">
        <v>0</v>
      </c>
      <c r="AC1624" s="1068">
        <v>999999</v>
      </c>
      <c r="AD1624" s="1066">
        <v>0</v>
      </c>
      <c r="AE1624" s="2049">
        <v>0</v>
      </c>
      <c r="AF1624" s="170">
        <v>0</v>
      </c>
      <c r="AG1624" s="171">
        <v>0</v>
      </c>
      <c r="AH1624" s="171">
        <v>0</v>
      </c>
      <c r="AI1624" s="171">
        <v>0</v>
      </c>
      <c r="AJ1624" s="171">
        <v>1</v>
      </c>
      <c r="AK1624" s="171">
        <v>1</v>
      </c>
      <c r="AL1624" s="171">
        <v>1</v>
      </c>
      <c r="AM1624" s="171">
        <v>1</v>
      </c>
      <c r="AN1624" s="171">
        <v>1</v>
      </c>
      <c r="AO1624" s="171">
        <v>1</v>
      </c>
      <c r="AP1624" s="171">
        <v>1</v>
      </c>
      <c r="AQ1624" s="171">
        <v>1</v>
      </c>
      <c r="AR1624" s="171">
        <v>1</v>
      </c>
      <c r="AS1624" s="171">
        <v>1</v>
      </c>
      <c r="AT1624" s="171">
        <v>1</v>
      </c>
      <c r="AU1624" s="171">
        <f t="shared" si="527"/>
        <v>0</v>
      </c>
      <c r="AV1624" s="171">
        <f t="shared" si="528"/>
        <v>1</v>
      </c>
      <c r="AW1624" s="171">
        <f t="shared" si="529"/>
        <v>1</v>
      </c>
      <c r="AX1624" s="171">
        <f t="shared" si="537"/>
        <v>1</v>
      </c>
      <c r="AY1624" s="171">
        <f t="shared" si="530"/>
        <v>0</v>
      </c>
      <c r="AZ1624" s="171">
        <f t="shared" si="531"/>
        <v>1</v>
      </c>
      <c r="BA1624" s="172">
        <f t="shared" si="532"/>
        <v>0</v>
      </c>
      <c r="BB1624" s="175">
        <f t="shared" si="534"/>
        <v>15</v>
      </c>
      <c r="BC1624" s="176">
        <f t="shared" si="535"/>
        <v>15</v>
      </c>
      <c r="BD1624" s="176">
        <f t="shared" si="536"/>
        <v>15</v>
      </c>
      <c r="BE1624" s="240" t="str">
        <f t="shared" si="526"/>
        <v/>
      </c>
      <c r="BF1624" s="990"/>
      <c r="BG1624" s="990"/>
      <c r="BH1624" s="991">
        <f>IF(AND(Input_Product=Elig!$C1624,Elig_MatchAll_Ct&lt;22,$BC1624=(Elig_MatchAll_Ct-1),AF1624=0),C1624,0)</f>
        <v>0</v>
      </c>
      <c r="BI1624" s="991">
        <f>IF(AND(Input_Product=Elig!$C1624,Elig_MatchAll_Ct&lt;22,$BC1624=(Elig_MatchAll_Ct-1),AG1624=0),D1624,0)</f>
        <v>0</v>
      </c>
      <c r="BJ1624" s="991">
        <f>IF(AND(Input_Product=Elig!$C1624,Elig_MatchAll_Ct&lt;22,$BC1624=(Elig_MatchAll_Ct-1),AH1624=0),E1624,0)</f>
        <v>0</v>
      </c>
      <c r="BK1624" s="991">
        <f>IF(AND(Input_Product=Elig!$C1624,Elig_MatchAll_Ct&lt;22,$BC1624=(Elig_MatchAll_Ct-1),AI1624=0),F1624,0)</f>
        <v>0</v>
      </c>
      <c r="BL1624" s="991">
        <f>IF(AND(Input_Product=Elig!$C1624,Elig_MatchAll_Ct&lt;22,$BC1624=(Elig_MatchAll_Ct-1),AJ1624=0),G1624,0)</f>
        <v>0</v>
      </c>
      <c r="BM1624" s="991">
        <f>IF(AND(Input_Product=Elig!$C1624,Elig_MatchAll_Ct&lt;22,$BC1624=(Elig_MatchAll_Ct-1),AK1624=0),H1624,0)</f>
        <v>0</v>
      </c>
      <c r="BN1624" s="991">
        <f>IF(AND(Input_Product=Elig!$C1624,Elig_MatchAll_Ct&lt;22,$BC1624=(Elig_MatchAll_Ct-1),AL1624=0),I1624,0)</f>
        <v>0</v>
      </c>
      <c r="BO1624" s="991">
        <f>IF(AND(Input_Product=Elig!$C1624,Elig_MatchAll_Ct&lt;22,$BC1624=(Elig_MatchAll_Ct-1),AM1624=0),J1624,0)</f>
        <v>0</v>
      </c>
      <c r="BP1624" s="991">
        <f>IF(AND(Input_Product=Elig!$C1624,Elig_MatchAll_Ct&lt;22,$BC1624=(Elig_MatchAll_Ct-1),AN1624=0),K1624,0)</f>
        <v>0</v>
      </c>
      <c r="BQ1624" s="991">
        <f>IF(AND(Input_Product=Elig!$C1624,Elig_MatchAll_Ct&lt;22,$BC1624=(Elig_MatchAll_Ct-1),AP1624=0),L1624,0)</f>
        <v>0</v>
      </c>
      <c r="BR1624" s="991">
        <f>IF(AND(Input_Product=Elig!$C1624,Elig_MatchAll_Ct&lt;22,$BC1624=(Elig_MatchAll_Ct-1),AO1624=0),M1624,0)</f>
        <v>0</v>
      </c>
      <c r="BS1624" s="991">
        <f>IF(AND(Input_Product=Elig!$C1624,Elig_MatchAll_Ct&lt;22,$BC1624=(Elig_MatchAll_Ct-1),AQ1624=0),N1624,0)</f>
        <v>0</v>
      </c>
      <c r="BT1624" s="991">
        <f>IF(AND(Input_Product=Elig!$C1624,Elig_MatchAll_Ct&lt;22,$BC1624=(Elig_MatchAll_Ct-1),AR1624=0),O1624,0)</f>
        <v>0</v>
      </c>
      <c r="BU1624" s="991">
        <f>IF(AND(Input_Product=Elig!$C1624,Elig_MatchAll_Ct&lt;22,$BC1624=(Elig_MatchAll_Ct-1),AS1624=0),P1624,0)</f>
        <v>0</v>
      </c>
      <c r="BV1624" s="992">
        <f>IF(AND(Input_Product=Elig!$C1624,Elig_MatchAll_Ct&lt;22,$BC1624=(Elig_MatchAll_Ct-1),AT1624=0),Q1624,0)</f>
        <v>0</v>
      </c>
      <c r="BW1624" s="993">
        <f>IF(AND(Input_Product=Elig!$C1624,Elig_MatchAll_Ct&lt;22,$BC1624=(Elig_MatchAll_Ct-1),AU1624=0),R1624,0)</f>
        <v>0</v>
      </c>
      <c r="BX1624" s="994">
        <f>IF(AND(Input_Product=Elig!$C1624,Elig_MatchAll_Ct&lt;22,$BC1624=(Elig_MatchAll_Ct-1),AU1624=0),S1624,0)</f>
        <v>0</v>
      </c>
      <c r="BY1624" s="993">
        <f>IF(AND(Input_Product=Elig!$C1624,Elig_MatchAll_Ct&lt;22,$BC1624=(Elig_MatchAll_Ct-1),AV1624=0),T1624,0)</f>
        <v>0</v>
      </c>
      <c r="BZ1624" s="994">
        <f>IF(AND(Input_Product=Elig!$C1624,Elig_MatchAll_Ct&lt;22,$BC1624=(Elig_MatchAll_Ct-1),AV1624=0),U1624,0)</f>
        <v>0</v>
      </c>
      <c r="CA1624" s="993">
        <f>IF(AND(Input_Product=Elig!$C1624,Elig_MatchAll_Ct&lt;22,$BC1624=(Elig_MatchAll_Ct-1),AW1624=0),V1624,0)</f>
        <v>0</v>
      </c>
      <c r="CB1624" s="994">
        <f>IF(AND(Input_Product=Elig!$C1624,Elig_MatchAll_Ct&lt;22,$BC1624=(Elig_MatchAll_Ct-1),AW1624=0),W1624,0)</f>
        <v>0</v>
      </c>
      <c r="CC1624" s="993">
        <f>IF(AND(Input_Product=Elig!$C1624,Elig_MatchAll_Ct&lt;22,$BC1624=(Elig_MatchAll_Ct-1),AX1624=0),X1624,0)</f>
        <v>0</v>
      </c>
      <c r="CD1624" s="994">
        <f>IF(AND(Input_Product=Elig!$C1624,Elig_MatchAll_Ct&lt;22,$BC1624=(Elig_MatchAll_Ct-1),AX1624=0),Y1624,0)</f>
        <v>0</v>
      </c>
      <c r="CE1624" s="993">
        <f>IF(AND(Input_LTV&lt;=AE1624,Input_Product=Elig!$C1624,Elig_MatchAll_Ct&lt;22,$BC1624=(Elig_MatchAll_Ct-1),AY1624=0),Z1624,0)</f>
        <v>0</v>
      </c>
      <c r="CF1624" s="994">
        <f>IF(AND(Input_LTV&lt;=AE1624,Input_Product=Elig!$C1624,Elig_MatchAll_Ct&lt;22,$BC1624=(Elig_MatchAll_Ct-1),AY1624=0),AA1624,0)</f>
        <v>0</v>
      </c>
      <c r="CG1624" s="993">
        <f>IF(AND(Input_Product=Elig!$C1624,Elig_MatchAll_Ct&lt;22,$BC1624=(Elig_MatchAll_Ct-1),AZ1624=0),AB1624,0)</f>
        <v>0</v>
      </c>
      <c r="CH1624" s="994">
        <f>IF(AND(Input_Product=Elig!$C1624,Elig_MatchAll_Ct&lt;22,$BC1624=(Elig_MatchAll_Ct-1),AZ1624=0),AC1624,0)</f>
        <v>0</v>
      </c>
      <c r="CI1624" s="993">
        <f>IF(AND(Input_Product=Elig!$C1624,Elig_MatchAll_Ct&lt;22,$BC1624=(Elig_MatchAll_Ct-1),BA1624=0),AD1624,0)</f>
        <v>0</v>
      </c>
      <c r="CJ1624" s="994">
        <f>IF(AND(Input_Product=Elig!$C1624,Elig_MatchAll_Ct&lt;22,$BC1624=(Elig_MatchAll_Ct-1),BA1624=0),AE1624,0)</f>
        <v>0</v>
      </c>
    </row>
    <row r="1625" spans="2:88" ht="10.15" customHeight="1" x14ac:dyDescent="0.25">
      <c r="B1625" s="1063" t="s">
        <v>3676</v>
      </c>
      <c r="C1625" s="1069" t="str" cm="1">
        <f t="array" ref="C1625">Input_Name_Product11</f>
        <v>HELOC NOO</v>
      </c>
      <c r="D1625" s="1070" t="s">
        <v>1984</v>
      </c>
      <c r="E1625" s="1070" t="s">
        <v>4</v>
      </c>
      <c r="F1625" s="1070" t="s">
        <v>330</v>
      </c>
      <c r="G1625" s="1070" t="s">
        <v>175</v>
      </c>
      <c r="H1625" s="1070" t="s">
        <v>446</v>
      </c>
      <c r="I1625" s="1071" t="s">
        <v>1332</v>
      </c>
      <c r="J1625" s="1071" t="s">
        <v>3544</v>
      </c>
      <c r="K1625" s="1070" t="s">
        <v>1791</v>
      </c>
      <c r="L1625" s="1071" t="s">
        <v>430</v>
      </c>
      <c r="M1625" s="1071" t="s">
        <v>2677</v>
      </c>
      <c r="N1625" s="1070" t="s">
        <v>82</v>
      </c>
      <c r="O1625" s="1071" t="s">
        <v>310</v>
      </c>
      <c r="P1625" s="1071" t="s">
        <v>291</v>
      </c>
      <c r="Q1625" s="1071" t="s">
        <v>294</v>
      </c>
      <c r="R1625" s="1071">
        <v>250000.01</v>
      </c>
      <c r="S1625" s="1071">
        <v>350000</v>
      </c>
      <c r="T1625" s="1071">
        <v>0</v>
      </c>
      <c r="U1625" s="1071">
        <v>350000</v>
      </c>
      <c r="V1625" s="1071">
        <v>0</v>
      </c>
      <c r="W1625" s="1071">
        <v>50</v>
      </c>
      <c r="X1625" s="1071">
        <v>0</v>
      </c>
      <c r="Y1625" s="1071">
        <v>999</v>
      </c>
      <c r="Z1625" s="1072">
        <v>720</v>
      </c>
      <c r="AA1625" s="1072">
        <v>999</v>
      </c>
      <c r="AB1625" s="1072">
        <v>0</v>
      </c>
      <c r="AC1625" s="1072">
        <v>999999</v>
      </c>
      <c r="AD1625" s="1071">
        <v>0</v>
      </c>
      <c r="AE1625" s="1071">
        <v>65</v>
      </c>
      <c r="AF1625" s="170">
        <v>0</v>
      </c>
      <c r="AG1625" s="171">
        <v>0</v>
      </c>
      <c r="AH1625" s="171">
        <v>0</v>
      </c>
      <c r="AI1625" s="171">
        <v>0</v>
      </c>
      <c r="AJ1625" s="171">
        <v>0</v>
      </c>
      <c r="AK1625" s="171">
        <v>0</v>
      </c>
      <c r="AL1625" s="171">
        <v>1</v>
      </c>
      <c r="AM1625" s="171">
        <v>1</v>
      </c>
      <c r="AN1625" s="171">
        <v>1</v>
      </c>
      <c r="AO1625" s="171">
        <v>1</v>
      </c>
      <c r="AP1625" s="171">
        <v>1</v>
      </c>
      <c r="AQ1625" s="171">
        <v>1</v>
      </c>
      <c r="AR1625" s="171">
        <v>1</v>
      </c>
      <c r="AS1625" s="171">
        <v>1</v>
      </c>
      <c r="AT1625" s="171">
        <v>1</v>
      </c>
      <c r="AU1625" s="171">
        <f t="shared" si="527"/>
        <v>0</v>
      </c>
      <c r="AV1625" s="171">
        <f t="shared" si="528"/>
        <v>1</v>
      </c>
      <c r="AW1625" s="171">
        <f t="shared" si="529"/>
        <v>1</v>
      </c>
      <c r="AX1625" s="171">
        <f t="shared" si="537"/>
        <v>1</v>
      </c>
      <c r="AY1625" s="171">
        <f t="shared" si="530"/>
        <v>1</v>
      </c>
      <c r="AZ1625" s="171">
        <f t="shared" si="531"/>
        <v>1</v>
      </c>
      <c r="BA1625" s="172">
        <f t="shared" si="532"/>
        <v>1</v>
      </c>
      <c r="BB1625" s="175">
        <f t="shared" si="534"/>
        <v>15</v>
      </c>
      <c r="BC1625" s="176">
        <f t="shared" si="535"/>
        <v>14</v>
      </c>
      <c r="BD1625" s="176">
        <f t="shared" si="536"/>
        <v>15</v>
      </c>
      <c r="BE1625" s="240" t="str">
        <f t="shared" si="526"/>
        <v/>
      </c>
      <c r="BF1625" s="989"/>
      <c r="BG1625" s="989"/>
      <c r="BH1625" s="991">
        <f>IF(AND(Input_Product=Elig!$C1625,Elig_MatchAll_Ct&lt;22,$BC1625=(Elig_MatchAll_Ct-1),AF1625=0),C1625,0)</f>
        <v>0</v>
      </c>
      <c r="BI1625" s="991">
        <f>IF(AND(Input_Product=Elig!$C1625,Elig_MatchAll_Ct&lt;22,$BC1625=(Elig_MatchAll_Ct-1),AG1625=0),D1625,0)</f>
        <v>0</v>
      </c>
      <c r="BJ1625" s="991">
        <f>IF(AND(Input_Product=Elig!$C1625,Elig_MatchAll_Ct&lt;22,$BC1625=(Elig_MatchAll_Ct-1),AH1625=0),E1625,0)</f>
        <v>0</v>
      </c>
      <c r="BK1625" s="991">
        <f>IF(AND(Input_Product=Elig!$C1625,Elig_MatchAll_Ct&lt;22,$BC1625=(Elig_MatchAll_Ct-1),AI1625=0),F1625,0)</f>
        <v>0</v>
      </c>
      <c r="BL1625" s="991">
        <f>IF(AND(Input_Product=Elig!$C1625,Elig_MatchAll_Ct&lt;22,$BC1625=(Elig_MatchAll_Ct-1),AJ1625=0),G1625,0)</f>
        <v>0</v>
      </c>
      <c r="BM1625" s="991">
        <f>IF(AND(Input_Product=Elig!$C1625,Elig_MatchAll_Ct&lt;22,$BC1625=(Elig_MatchAll_Ct-1),AK1625=0),H1625,0)</f>
        <v>0</v>
      </c>
      <c r="BN1625" s="991">
        <f>IF(AND(Input_Product=Elig!$C1625,Elig_MatchAll_Ct&lt;22,$BC1625=(Elig_MatchAll_Ct-1),AL1625=0),I1625,0)</f>
        <v>0</v>
      </c>
      <c r="BO1625" s="991">
        <f>IF(AND(Input_Product=Elig!$C1625,Elig_MatchAll_Ct&lt;22,$BC1625=(Elig_MatchAll_Ct-1),AM1625=0),J1625,0)</f>
        <v>0</v>
      </c>
      <c r="BP1625" s="991">
        <f>IF(AND(Input_Product=Elig!$C1625,Elig_MatchAll_Ct&lt;22,$BC1625=(Elig_MatchAll_Ct-1),AN1625=0),K1625,0)</f>
        <v>0</v>
      </c>
      <c r="BQ1625" s="991">
        <f>IF(AND(Input_Product=Elig!$C1625,Elig_MatchAll_Ct&lt;22,$BC1625=(Elig_MatchAll_Ct-1),AP1625=0),L1625,0)</f>
        <v>0</v>
      </c>
      <c r="BR1625" s="991">
        <f>IF(AND(Input_Product=Elig!$C1625,Elig_MatchAll_Ct&lt;22,$BC1625=(Elig_MatchAll_Ct-1),AO1625=0),M1625,0)</f>
        <v>0</v>
      </c>
      <c r="BS1625" s="991">
        <f>IF(AND(Input_Product=Elig!$C1625,Elig_MatchAll_Ct&lt;22,$BC1625=(Elig_MatchAll_Ct-1),AQ1625=0),N1625,0)</f>
        <v>0</v>
      </c>
      <c r="BT1625" s="991">
        <f>IF(AND(Input_Product=Elig!$C1625,Elig_MatchAll_Ct&lt;22,$BC1625=(Elig_MatchAll_Ct-1),AR1625=0),O1625,0)</f>
        <v>0</v>
      </c>
      <c r="BU1625" s="991">
        <f>IF(AND(Input_Product=Elig!$C1625,Elig_MatchAll_Ct&lt;22,$BC1625=(Elig_MatchAll_Ct-1),AS1625=0),P1625,0)</f>
        <v>0</v>
      </c>
      <c r="BV1625" s="992">
        <f>IF(AND(Input_Product=Elig!$C1625,Elig_MatchAll_Ct&lt;22,$BC1625=(Elig_MatchAll_Ct-1),AT1625=0),Q1625,0)</f>
        <v>0</v>
      </c>
      <c r="BW1625" s="993">
        <f>IF(AND(Input_Product=Elig!$C1625,Elig_MatchAll_Ct&lt;22,$BC1625=(Elig_MatchAll_Ct-1),AU1625=0),R1625,0)</f>
        <v>0</v>
      </c>
      <c r="BX1625" s="994">
        <f>IF(AND(Input_Product=Elig!$C1625,Elig_MatchAll_Ct&lt;22,$BC1625=(Elig_MatchAll_Ct-1),AU1625=0),S1625,0)</f>
        <v>0</v>
      </c>
      <c r="BY1625" s="993">
        <f>IF(AND(Input_Product=Elig!$C1625,Elig_MatchAll_Ct&lt;22,$BC1625=(Elig_MatchAll_Ct-1),AV1625=0),T1625,0)</f>
        <v>0</v>
      </c>
      <c r="BZ1625" s="994">
        <f>IF(AND(Input_Product=Elig!$C1625,Elig_MatchAll_Ct&lt;22,$BC1625=(Elig_MatchAll_Ct-1),AV1625=0),U1625,0)</f>
        <v>0</v>
      </c>
      <c r="CA1625" s="993">
        <f>IF(AND(Input_Product=Elig!$C1625,Elig_MatchAll_Ct&lt;22,$BC1625=(Elig_MatchAll_Ct-1),AW1625=0),V1625,0)</f>
        <v>0</v>
      </c>
      <c r="CB1625" s="994">
        <f>IF(AND(Input_Product=Elig!$C1625,Elig_MatchAll_Ct&lt;22,$BC1625=(Elig_MatchAll_Ct-1),AW1625=0),W1625,0)</f>
        <v>0</v>
      </c>
      <c r="CC1625" s="993">
        <f>IF(AND(Input_Product=Elig!$C1625,Elig_MatchAll_Ct&lt;22,$BC1625=(Elig_MatchAll_Ct-1),AX1625=0),X1625,0)</f>
        <v>0</v>
      </c>
      <c r="CD1625" s="994">
        <f>IF(AND(Input_Product=Elig!$C1625,Elig_MatchAll_Ct&lt;22,$BC1625=(Elig_MatchAll_Ct-1),AX1625=0),Y1625,0)</f>
        <v>0</v>
      </c>
      <c r="CE1625" s="993">
        <f>IF(AND(Input_LTV&lt;=AE1625,Input_Product=Elig!$C1625,Elig_MatchAll_Ct&lt;22,$BC1625=(Elig_MatchAll_Ct-1),AY1625=0),Z1625,0)</f>
        <v>0</v>
      </c>
      <c r="CF1625" s="994">
        <f>IF(AND(Input_LTV&lt;=AE1625,Input_Product=Elig!$C1625,Elig_MatchAll_Ct&lt;22,$BC1625=(Elig_MatchAll_Ct-1),AY1625=0),AA1625,0)</f>
        <v>0</v>
      </c>
      <c r="CG1625" s="993">
        <f>IF(AND(Input_Product=Elig!$C1625,Elig_MatchAll_Ct&lt;22,$BC1625=(Elig_MatchAll_Ct-1),AZ1625=0),AB1625,0)</f>
        <v>0</v>
      </c>
      <c r="CH1625" s="994">
        <f>IF(AND(Input_Product=Elig!$C1625,Elig_MatchAll_Ct&lt;22,$BC1625=(Elig_MatchAll_Ct-1),AZ1625=0),AC1625,0)</f>
        <v>0</v>
      </c>
      <c r="CI1625" s="993">
        <f>IF(AND(Input_Product=Elig!$C1625,Elig_MatchAll_Ct&lt;22,$BC1625=(Elig_MatchAll_Ct-1),BA1625=0),AD1625,0)</f>
        <v>0</v>
      </c>
      <c r="CJ1625" s="994">
        <f>IF(AND(Input_Product=Elig!$C1625,Elig_MatchAll_Ct&lt;22,$BC1625=(Elig_MatchAll_Ct-1),BA1625=0),AE1625,0)</f>
        <v>0</v>
      </c>
    </row>
    <row r="1626" spans="2:88" ht="10.15" customHeight="1" x14ac:dyDescent="0.25">
      <c r="B1626" s="1063" t="s">
        <v>3677</v>
      </c>
      <c r="C1626" s="1061" t="str" cm="1">
        <f t="array" ref="C1626">Input_Name_Product11</f>
        <v>HELOC NOO</v>
      </c>
      <c r="D1626" s="1063" t="s">
        <v>1984</v>
      </c>
      <c r="E1626" s="1063" t="s">
        <v>4</v>
      </c>
      <c r="F1626" s="1063" t="s">
        <v>330</v>
      </c>
      <c r="G1626" s="1062" t="s">
        <v>175</v>
      </c>
      <c r="H1626" s="1062" t="s">
        <v>446</v>
      </c>
      <c r="I1626" s="1063" t="s">
        <v>1332</v>
      </c>
      <c r="J1626" s="1063" t="s">
        <v>3544</v>
      </c>
      <c r="K1626" s="1062" t="s">
        <v>1791</v>
      </c>
      <c r="L1626" s="1063" t="s">
        <v>430</v>
      </c>
      <c r="M1626" s="1063" t="s">
        <v>2677</v>
      </c>
      <c r="N1626" s="1062" t="s">
        <v>82</v>
      </c>
      <c r="O1626" s="1063" t="s">
        <v>310</v>
      </c>
      <c r="P1626" s="1063" t="s">
        <v>291</v>
      </c>
      <c r="Q1626" s="1063" t="s">
        <v>294</v>
      </c>
      <c r="R1626" s="1063">
        <v>250000.01</v>
      </c>
      <c r="S1626" s="1063">
        <v>350000</v>
      </c>
      <c r="T1626" s="1063">
        <v>0</v>
      </c>
      <c r="U1626" s="1063">
        <v>350000</v>
      </c>
      <c r="V1626" s="1063">
        <v>0</v>
      </c>
      <c r="W1626" s="1063">
        <v>50</v>
      </c>
      <c r="X1626" s="1063">
        <v>0</v>
      </c>
      <c r="Y1626" s="1063">
        <v>999</v>
      </c>
      <c r="Z1626" s="1064">
        <v>700</v>
      </c>
      <c r="AA1626" s="1064">
        <v>719</v>
      </c>
      <c r="AB1626" s="1064">
        <v>0</v>
      </c>
      <c r="AC1626" s="1064">
        <v>999999</v>
      </c>
      <c r="AD1626" s="1063">
        <v>0</v>
      </c>
      <c r="AE1626" s="1063">
        <v>60</v>
      </c>
      <c r="AF1626" s="170">
        <v>0</v>
      </c>
      <c r="AG1626" s="171">
        <v>0</v>
      </c>
      <c r="AH1626" s="171">
        <v>0</v>
      </c>
      <c r="AI1626" s="171">
        <v>0</v>
      </c>
      <c r="AJ1626" s="171">
        <v>0</v>
      </c>
      <c r="AK1626" s="171">
        <v>0</v>
      </c>
      <c r="AL1626" s="171">
        <v>1</v>
      </c>
      <c r="AM1626" s="171">
        <v>1</v>
      </c>
      <c r="AN1626" s="171">
        <v>1</v>
      </c>
      <c r="AO1626" s="171">
        <v>1</v>
      </c>
      <c r="AP1626" s="171">
        <v>1</v>
      </c>
      <c r="AQ1626" s="171">
        <v>1</v>
      </c>
      <c r="AR1626" s="171">
        <v>1</v>
      </c>
      <c r="AS1626" s="171">
        <v>1</v>
      </c>
      <c r="AT1626" s="171">
        <v>1</v>
      </c>
      <c r="AU1626" s="171">
        <f t="shared" si="527"/>
        <v>0</v>
      </c>
      <c r="AV1626" s="171">
        <f t="shared" si="528"/>
        <v>1</v>
      </c>
      <c r="AW1626" s="171">
        <f t="shared" si="529"/>
        <v>1</v>
      </c>
      <c r="AX1626" s="171">
        <f t="shared" si="537"/>
        <v>1</v>
      </c>
      <c r="AY1626" s="171">
        <f t="shared" si="530"/>
        <v>0</v>
      </c>
      <c r="AZ1626" s="171">
        <f t="shared" si="531"/>
        <v>1</v>
      </c>
      <c r="BA1626" s="172">
        <f t="shared" si="532"/>
        <v>0</v>
      </c>
      <c r="BB1626" s="175">
        <f t="shared" si="534"/>
        <v>13</v>
      </c>
      <c r="BC1626" s="176">
        <f t="shared" si="535"/>
        <v>13</v>
      </c>
      <c r="BD1626" s="176">
        <f t="shared" si="536"/>
        <v>13</v>
      </c>
      <c r="BE1626" s="240" t="str">
        <f t="shared" si="526"/>
        <v/>
      </c>
      <c r="BF1626" s="990"/>
      <c r="BG1626" s="990"/>
      <c r="BH1626" s="991">
        <f>IF(AND(Input_Product=Elig!$C1626,Elig_MatchAll_Ct&lt;22,$BC1626=(Elig_MatchAll_Ct-1),AF1626=0),C1626,0)</f>
        <v>0</v>
      </c>
      <c r="BI1626" s="991">
        <f>IF(AND(Input_Product=Elig!$C1626,Elig_MatchAll_Ct&lt;22,$BC1626=(Elig_MatchAll_Ct-1),AG1626=0),D1626,0)</f>
        <v>0</v>
      </c>
      <c r="BJ1626" s="991">
        <f>IF(AND(Input_Product=Elig!$C1626,Elig_MatchAll_Ct&lt;22,$BC1626=(Elig_MatchAll_Ct-1),AH1626=0),E1626,0)</f>
        <v>0</v>
      </c>
      <c r="BK1626" s="991">
        <f>IF(AND(Input_Product=Elig!$C1626,Elig_MatchAll_Ct&lt;22,$BC1626=(Elig_MatchAll_Ct-1),AI1626=0),F1626,0)</f>
        <v>0</v>
      </c>
      <c r="BL1626" s="991">
        <f>IF(AND(Input_Product=Elig!$C1626,Elig_MatchAll_Ct&lt;22,$BC1626=(Elig_MatchAll_Ct-1),AJ1626=0),G1626,0)</f>
        <v>0</v>
      </c>
      <c r="BM1626" s="991">
        <f>IF(AND(Input_Product=Elig!$C1626,Elig_MatchAll_Ct&lt;22,$BC1626=(Elig_MatchAll_Ct-1),AK1626=0),H1626,0)</f>
        <v>0</v>
      </c>
      <c r="BN1626" s="991">
        <f>IF(AND(Input_Product=Elig!$C1626,Elig_MatchAll_Ct&lt;22,$BC1626=(Elig_MatchAll_Ct-1),AL1626=0),I1626,0)</f>
        <v>0</v>
      </c>
      <c r="BO1626" s="991">
        <f>IF(AND(Input_Product=Elig!$C1626,Elig_MatchAll_Ct&lt;22,$BC1626=(Elig_MatchAll_Ct-1),AM1626=0),J1626,0)</f>
        <v>0</v>
      </c>
      <c r="BP1626" s="991">
        <f>IF(AND(Input_Product=Elig!$C1626,Elig_MatchAll_Ct&lt;22,$BC1626=(Elig_MatchAll_Ct-1),AN1626=0),K1626,0)</f>
        <v>0</v>
      </c>
      <c r="BQ1626" s="991">
        <f>IF(AND(Input_Product=Elig!$C1626,Elig_MatchAll_Ct&lt;22,$BC1626=(Elig_MatchAll_Ct-1),AP1626=0),L1626,0)</f>
        <v>0</v>
      </c>
      <c r="BR1626" s="991">
        <f>IF(AND(Input_Product=Elig!$C1626,Elig_MatchAll_Ct&lt;22,$BC1626=(Elig_MatchAll_Ct-1),AO1626=0),M1626,0)</f>
        <v>0</v>
      </c>
      <c r="BS1626" s="991">
        <f>IF(AND(Input_Product=Elig!$C1626,Elig_MatchAll_Ct&lt;22,$BC1626=(Elig_MatchAll_Ct-1),AQ1626=0),N1626,0)</f>
        <v>0</v>
      </c>
      <c r="BT1626" s="991">
        <f>IF(AND(Input_Product=Elig!$C1626,Elig_MatchAll_Ct&lt;22,$BC1626=(Elig_MatchAll_Ct-1),AR1626=0),O1626,0)</f>
        <v>0</v>
      </c>
      <c r="BU1626" s="991">
        <f>IF(AND(Input_Product=Elig!$C1626,Elig_MatchAll_Ct&lt;22,$BC1626=(Elig_MatchAll_Ct-1),AS1626=0),P1626,0)</f>
        <v>0</v>
      </c>
      <c r="BV1626" s="992">
        <f>IF(AND(Input_Product=Elig!$C1626,Elig_MatchAll_Ct&lt;22,$BC1626=(Elig_MatchAll_Ct-1),AT1626=0),Q1626,0)</f>
        <v>0</v>
      </c>
      <c r="BW1626" s="993">
        <f>IF(AND(Input_Product=Elig!$C1626,Elig_MatchAll_Ct&lt;22,$BC1626=(Elig_MatchAll_Ct-1),AU1626=0),R1626,0)</f>
        <v>0</v>
      </c>
      <c r="BX1626" s="994">
        <f>IF(AND(Input_Product=Elig!$C1626,Elig_MatchAll_Ct&lt;22,$BC1626=(Elig_MatchAll_Ct-1),AU1626=0),S1626,0)</f>
        <v>0</v>
      </c>
      <c r="BY1626" s="993">
        <f>IF(AND(Input_Product=Elig!$C1626,Elig_MatchAll_Ct&lt;22,$BC1626=(Elig_MatchAll_Ct-1),AV1626=0),T1626,0)</f>
        <v>0</v>
      </c>
      <c r="BZ1626" s="994">
        <f>IF(AND(Input_Product=Elig!$C1626,Elig_MatchAll_Ct&lt;22,$BC1626=(Elig_MatchAll_Ct-1),AV1626=0),U1626,0)</f>
        <v>0</v>
      </c>
      <c r="CA1626" s="993">
        <f>IF(AND(Input_Product=Elig!$C1626,Elig_MatchAll_Ct&lt;22,$BC1626=(Elig_MatchAll_Ct-1),AW1626=0),V1626,0)</f>
        <v>0</v>
      </c>
      <c r="CB1626" s="994">
        <f>IF(AND(Input_Product=Elig!$C1626,Elig_MatchAll_Ct&lt;22,$BC1626=(Elig_MatchAll_Ct-1),AW1626=0),W1626,0)</f>
        <v>0</v>
      </c>
      <c r="CC1626" s="993">
        <f>IF(AND(Input_Product=Elig!$C1626,Elig_MatchAll_Ct&lt;22,$BC1626=(Elig_MatchAll_Ct-1),AX1626=0),X1626,0)</f>
        <v>0</v>
      </c>
      <c r="CD1626" s="994">
        <f>IF(AND(Input_Product=Elig!$C1626,Elig_MatchAll_Ct&lt;22,$BC1626=(Elig_MatchAll_Ct-1),AX1626=0),Y1626,0)</f>
        <v>0</v>
      </c>
      <c r="CE1626" s="993">
        <f>IF(AND(Input_LTV&lt;=AE1626,Input_Product=Elig!$C1626,Elig_MatchAll_Ct&lt;22,$BC1626=(Elig_MatchAll_Ct-1),AY1626=0),Z1626,0)</f>
        <v>0</v>
      </c>
      <c r="CF1626" s="994">
        <f>IF(AND(Input_LTV&lt;=AE1626,Input_Product=Elig!$C1626,Elig_MatchAll_Ct&lt;22,$BC1626=(Elig_MatchAll_Ct-1),AY1626=0),AA1626,0)</f>
        <v>0</v>
      </c>
      <c r="CG1626" s="993">
        <f>IF(AND(Input_Product=Elig!$C1626,Elig_MatchAll_Ct&lt;22,$BC1626=(Elig_MatchAll_Ct-1),AZ1626=0),AB1626,0)</f>
        <v>0</v>
      </c>
      <c r="CH1626" s="994">
        <f>IF(AND(Input_Product=Elig!$C1626,Elig_MatchAll_Ct&lt;22,$BC1626=(Elig_MatchAll_Ct-1),AZ1626=0),AC1626,0)</f>
        <v>0</v>
      </c>
      <c r="CI1626" s="993">
        <f>IF(AND(Input_Product=Elig!$C1626,Elig_MatchAll_Ct&lt;22,$BC1626=(Elig_MatchAll_Ct-1),BA1626=0),AD1626,0)</f>
        <v>0</v>
      </c>
      <c r="CJ1626" s="994">
        <f>IF(AND(Input_Product=Elig!$C1626,Elig_MatchAll_Ct&lt;22,$BC1626=(Elig_MatchAll_Ct-1),BA1626=0),AE1626,0)</f>
        <v>0</v>
      </c>
    </row>
    <row r="1627" spans="2:88" ht="10.15" customHeight="1" x14ac:dyDescent="0.25">
      <c r="B1627" s="1063" t="s">
        <v>3678</v>
      </c>
      <c r="C1627" s="1065" t="str" cm="1">
        <f t="array" ref="C1627">Input_Name_Product11</f>
        <v>HELOC NOO</v>
      </c>
      <c r="D1627" s="1066" t="s">
        <v>1984</v>
      </c>
      <c r="E1627" s="1066" t="s">
        <v>4</v>
      </c>
      <c r="F1627" s="1066" t="s">
        <v>330</v>
      </c>
      <c r="G1627" s="1067" t="s">
        <v>175</v>
      </c>
      <c r="H1627" s="1067" t="s">
        <v>446</v>
      </c>
      <c r="I1627" s="1066" t="s">
        <v>1332</v>
      </c>
      <c r="J1627" s="1066" t="s">
        <v>3544</v>
      </c>
      <c r="K1627" s="1067" t="s">
        <v>1791</v>
      </c>
      <c r="L1627" s="1066" t="s">
        <v>430</v>
      </c>
      <c r="M1627" s="1066" t="s">
        <v>2677</v>
      </c>
      <c r="N1627" s="1067" t="s">
        <v>82</v>
      </c>
      <c r="O1627" s="1066" t="s">
        <v>310</v>
      </c>
      <c r="P1627" s="1066" t="s">
        <v>291</v>
      </c>
      <c r="Q1627" s="1066" t="s">
        <v>294</v>
      </c>
      <c r="R1627" s="1066">
        <v>250000.01</v>
      </c>
      <c r="S1627" s="1066">
        <v>350000</v>
      </c>
      <c r="T1627" s="1066">
        <v>0</v>
      </c>
      <c r="U1627" s="1066">
        <v>350000</v>
      </c>
      <c r="V1627" s="1066">
        <v>0</v>
      </c>
      <c r="W1627" s="1066">
        <v>50</v>
      </c>
      <c r="X1627" s="1066">
        <v>0</v>
      </c>
      <c r="Y1627" s="1066">
        <v>999</v>
      </c>
      <c r="Z1627" s="1068">
        <v>680</v>
      </c>
      <c r="AA1627" s="1068">
        <v>699</v>
      </c>
      <c r="AB1627" s="1068">
        <v>0</v>
      </c>
      <c r="AC1627" s="1068">
        <v>999999</v>
      </c>
      <c r="AD1627" s="1066">
        <v>0</v>
      </c>
      <c r="AE1627" s="2049">
        <v>0</v>
      </c>
      <c r="AF1627" s="170">
        <v>0</v>
      </c>
      <c r="AG1627" s="171">
        <v>0</v>
      </c>
      <c r="AH1627" s="171">
        <v>0</v>
      </c>
      <c r="AI1627" s="171">
        <v>0</v>
      </c>
      <c r="AJ1627" s="171">
        <v>0</v>
      </c>
      <c r="AK1627" s="171">
        <v>0</v>
      </c>
      <c r="AL1627" s="171">
        <v>1</v>
      </c>
      <c r="AM1627" s="171">
        <v>1</v>
      </c>
      <c r="AN1627" s="171">
        <v>1</v>
      </c>
      <c r="AO1627" s="171">
        <v>1</v>
      </c>
      <c r="AP1627" s="171">
        <v>1</v>
      </c>
      <c r="AQ1627" s="171">
        <v>1</v>
      </c>
      <c r="AR1627" s="171">
        <v>1</v>
      </c>
      <c r="AS1627" s="171">
        <v>1</v>
      </c>
      <c r="AT1627" s="171">
        <v>1</v>
      </c>
      <c r="AU1627" s="171">
        <f t="shared" si="527"/>
        <v>0</v>
      </c>
      <c r="AV1627" s="171">
        <f t="shared" si="528"/>
        <v>1</v>
      </c>
      <c r="AW1627" s="171">
        <f t="shared" si="529"/>
        <v>1</v>
      </c>
      <c r="AX1627" s="171">
        <f t="shared" si="537"/>
        <v>1</v>
      </c>
      <c r="AY1627" s="171">
        <f t="shared" si="530"/>
        <v>0</v>
      </c>
      <c r="AZ1627" s="171">
        <f t="shared" si="531"/>
        <v>1</v>
      </c>
      <c r="BA1627" s="172">
        <f t="shared" si="532"/>
        <v>0</v>
      </c>
      <c r="BB1627" s="175">
        <f t="shared" si="534"/>
        <v>13</v>
      </c>
      <c r="BC1627" s="176">
        <f t="shared" si="535"/>
        <v>13</v>
      </c>
      <c r="BD1627" s="176">
        <f t="shared" si="536"/>
        <v>13</v>
      </c>
      <c r="BE1627" s="240" t="str">
        <f t="shared" si="526"/>
        <v/>
      </c>
      <c r="BF1627" s="990"/>
      <c r="BG1627" s="990"/>
      <c r="BH1627" s="991">
        <f>IF(AND(Input_Product=Elig!$C1627,Elig_MatchAll_Ct&lt;22,$BC1627=(Elig_MatchAll_Ct-1),AF1627=0),C1627,0)</f>
        <v>0</v>
      </c>
      <c r="BI1627" s="991">
        <f>IF(AND(Input_Product=Elig!$C1627,Elig_MatchAll_Ct&lt;22,$BC1627=(Elig_MatchAll_Ct-1),AG1627=0),D1627,0)</f>
        <v>0</v>
      </c>
      <c r="BJ1627" s="991">
        <f>IF(AND(Input_Product=Elig!$C1627,Elig_MatchAll_Ct&lt;22,$BC1627=(Elig_MatchAll_Ct-1),AH1627=0),E1627,0)</f>
        <v>0</v>
      </c>
      <c r="BK1627" s="991">
        <f>IF(AND(Input_Product=Elig!$C1627,Elig_MatchAll_Ct&lt;22,$BC1627=(Elig_MatchAll_Ct-1),AI1627=0),F1627,0)</f>
        <v>0</v>
      </c>
      <c r="BL1627" s="991">
        <f>IF(AND(Input_Product=Elig!$C1627,Elig_MatchAll_Ct&lt;22,$BC1627=(Elig_MatchAll_Ct-1),AJ1627=0),G1627,0)</f>
        <v>0</v>
      </c>
      <c r="BM1627" s="991">
        <f>IF(AND(Input_Product=Elig!$C1627,Elig_MatchAll_Ct&lt;22,$BC1627=(Elig_MatchAll_Ct-1),AK1627=0),H1627,0)</f>
        <v>0</v>
      </c>
      <c r="BN1627" s="991">
        <f>IF(AND(Input_Product=Elig!$C1627,Elig_MatchAll_Ct&lt;22,$BC1627=(Elig_MatchAll_Ct-1),AL1627=0),I1627,0)</f>
        <v>0</v>
      </c>
      <c r="BO1627" s="991">
        <f>IF(AND(Input_Product=Elig!$C1627,Elig_MatchAll_Ct&lt;22,$BC1627=(Elig_MatchAll_Ct-1),AM1627=0),J1627,0)</f>
        <v>0</v>
      </c>
      <c r="BP1627" s="991">
        <f>IF(AND(Input_Product=Elig!$C1627,Elig_MatchAll_Ct&lt;22,$BC1627=(Elig_MatchAll_Ct-1),AN1627=0),K1627,0)</f>
        <v>0</v>
      </c>
      <c r="BQ1627" s="991">
        <f>IF(AND(Input_Product=Elig!$C1627,Elig_MatchAll_Ct&lt;22,$BC1627=(Elig_MatchAll_Ct-1),AP1627=0),L1627,0)</f>
        <v>0</v>
      </c>
      <c r="BR1627" s="991">
        <f>IF(AND(Input_Product=Elig!$C1627,Elig_MatchAll_Ct&lt;22,$BC1627=(Elig_MatchAll_Ct-1),AO1627=0),M1627,0)</f>
        <v>0</v>
      </c>
      <c r="BS1627" s="991">
        <f>IF(AND(Input_Product=Elig!$C1627,Elig_MatchAll_Ct&lt;22,$BC1627=(Elig_MatchAll_Ct-1),AQ1627=0),N1627,0)</f>
        <v>0</v>
      </c>
      <c r="BT1627" s="991">
        <f>IF(AND(Input_Product=Elig!$C1627,Elig_MatchAll_Ct&lt;22,$BC1627=(Elig_MatchAll_Ct-1),AR1627=0),O1627,0)</f>
        <v>0</v>
      </c>
      <c r="BU1627" s="991">
        <f>IF(AND(Input_Product=Elig!$C1627,Elig_MatchAll_Ct&lt;22,$BC1627=(Elig_MatchAll_Ct-1),AS1627=0),P1627,0)</f>
        <v>0</v>
      </c>
      <c r="BV1627" s="992">
        <f>IF(AND(Input_Product=Elig!$C1627,Elig_MatchAll_Ct&lt;22,$BC1627=(Elig_MatchAll_Ct-1),AT1627=0),Q1627,0)</f>
        <v>0</v>
      </c>
      <c r="BW1627" s="993">
        <f>IF(AND(Input_Product=Elig!$C1627,Elig_MatchAll_Ct&lt;22,$BC1627=(Elig_MatchAll_Ct-1),AU1627=0),R1627,0)</f>
        <v>0</v>
      </c>
      <c r="BX1627" s="994">
        <f>IF(AND(Input_Product=Elig!$C1627,Elig_MatchAll_Ct&lt;22,$BC1627=(Elig_MatchAll_Ct-1),AU1627=0),S1627,0)</f>
        <v>0</v>
      </c>
      <c r="BY1627" s="993">
        <f>IF(AND(Input_Product=Elig!$C1627,Elig_MatchAll_Ct&lt;22,$BC1627=(Elig_MatchAll_Ct-1),AV1627=0),T1627,0)</f>
        <v>0</v>
      </c>
      <c r="BZ1627" s="994">
        <f>IF(AND(Input_Product=Elig!$C1627,Elig_MatchAll_Ct&lt;22,$BC1627=(Elig_MatchAll_Ct-1),AV1627=0),U1627,0)</f>
        <v>0</v>
      </c>
      <c r="CA1627" s="993">
        <f>IF(AND(Input_Product=Elig!$C1627,Elig_MatchAll_Ct&lt;22,$BC1627=(Elig_MatchAll_Ct-1),AW1627=0),V1627,0)</f>
        <v>0</v>
      </c>
      <c r="CB1627" s="994">
        <f>IF(AND(Input_Product=Elig!$C1627,Elig_MatchAll_Ct&lt;22,$BC1627=(Elig_MatchAll_Ct-1),AW1627=0),W1627,0)</f>
        <v>0</v>
      </c>
      <c r="CC1627" s="993">
        <f>IF(AND(Input_Product=Elig!$C1627,Elig_MatchAll_Ct&lt;22,$BC1627=(Elig_MatchAll_Ct-1),AX1627=0),X1627,0)</f>
        <v>0</v>
      </c>
      <c r="CD1627" s="994">
        <f>IF(AND(Input_Product=Elig!$C1627,Elig_MatchAll_Ct&lt;22,$BC1627=(Elig_MatchAll_Ct-1),AX1627=0),Y1627,0)</f>
        <v>0</v>
      </c>
      <c r="CE1627" s="993">
        <f>IF(AND(Input_LTV&lt;=AE1627,Input_Product=Elig!$C1627,Elig_MatchAll_Ct&lt;22,$BC1627=(Elig_MatchAll_Ct-1),AY1627=0),Z1627,0)</f>
        <v>0</v>
      </c>
      <c r="CF1627" s="994">
        <f>IF(AND(Input_LTV&lt;=AE1627,Input_Product=Elig!$C1627,Elig_MatchAll_Ct&lt;22,$BC1627=(Elig_MatchAll_Ct-1),AY1627=0),AA1627,0)</f>
        <v>0</v>
      </c>
      <c r="CG1627" s="993">
        <f>IF(AND(Input_Product=Elig!$C1627,Elig_MatchAll_Ct&lt;22,$BC1627=(Elig_MatchAll_Ct-1),AZ1627=0),AB1627,0)</f>
        <v>0</v>
      </c>
      <c r="CH1627" s="994">
        <f>IF(AND(Input_Product=Elig!$C1627,Elig_MatchAll_Ct&lt;22,$BC1627=(Elig_MatchAll_Ct-1),AZ1627=0),AC1627,0)</f>
        <v>0</v>
      </c>
      <c r="CI1627" s="993">
        <f>IF(AND(Input_Product=Elig!$C1627,Elig_MatchAll_Ct&lt;22,$BC1627=(Elig_MatchAll_Ct-1),BA1627=0),AD1627,0)</f>
        <v>0</v>
      </c>
      <c r="CJ1627" s="994">
        <f>IF(AND(Input_Product=Elig!$C1627,Elig_MatchAll_Ct&lt;22,$BC1627=(Elig_MatchAll_Ct-1),BA1627=0),AE1627,0)</f>
        <v>0</v>
      </c>
    </row>
    <row r="1628" spans="2:88" ht="10.15" customHeight="1" x14ac:dyDescent="0.25">
      <c r="B1628" s="1063" t="s">
        <v>3679</v>
      </c>
      <c r="C1628" s="1069" t="str" cm="1">
        <f t="array" ref="C1628">Input_Name_Product11</f>
        <v>HELOC NOO</v>
      </c>
      <c r="D1628" s="1070" t="s">
        <v>1984</v>
      </c>
      <c r="E1628" s="1070" t="s">
        <v>4</v>
      </c>
      <c r="F1628" s="1070" t="s">
        <v>330</v>
      </c>
      <c r="G1628" s="1070" t="s">
        <v>303</v>
      </c>
      <c r="H1628" s="1070" t="s">
        <v>136</v>
      </c>
      <c r="I1628" s="1071" t="s">
        <v>1332</v>
      </c>
      <c r="J1628" s="1071" t="s">
        <v>3544</v>
      </c>
      <c r="K1628" s="1070" t="s">
        <v>1791</v>
      </c>
      <c r="L1628" s="1071" t="s">
        <v>430</v>
      </c>
      <c r="M1628" s="1071" t="s">
        <v>2677</v>
      </c>
      <c r="N1628" s="1070" t="s">
        <v>82</v>
      </c>
      <c r="O1628" s="1071" t="s">
        <v>310</v>
      </c>
      <c r="P1628" s="1071" t="s">
        <v>291</v>
      </c>
      <c r="Q1628" s="1071" t="s">
        <v>294</v>
      </c>
      <c r="R1628" s="1071">
        <v>350000.01</v>
      </c>
      <c r="S1628" s="1071">
        <v>500000</v>
      </c>
      <c r="T1628" s="1071">
        <v>0</v>
      </c>
      <c r="U1628" s="1071">
        <v>500000</v>
      </c>
      <c r="V1628" s="1071">
        <v>0</v>
      </c>
      <c r="W1628" s="1071">
        <v>50</v>
      </c>
      <c r="X1628" s="1071">
        <v>0</v>
      </c>
      <c r="Y1628" s="1071">
        <v>999</v>
      </c>
      <c r="Z1628" s="1072">
        <v>720</v>
      </c>
      <c r="AA1628" s="1072">
        <v>999</v>
      </c>
      <c r="AB1628" s="1072">
        <v>0</v>
      </c>
      <c r="AC1628" s="1072">
        <v>999999</v>
      </c>
      <c r="AD1628" s="1071">
        <v>0</v>
      </c>
      <c r="AE1628" s="1071">
        <v>0</v>
      </c>
      <c r="AF1628" s="170">
        <v>0</v>
      </c>
      <c r="AG1628" s="171">
        <v>0</v>
      </c>
      <c r="AH1628" s="171">
        <v>0</v>
      </c>
      <c r="AI1628" s="171">
        <v>0</v>
      </c>
      <c r="AJ1628" s="171">
        <v>1</v>
      </c>
      <c r="AK1628" s="171">
        <v>1</v>
      </c>
      <c r="AL1628" s="171">
        <v>1</v>
      </c>
      <c r="AM1628" s="171">
        <v>1</v>
      </c>
      <c r="AN1628" s="171">
        <v>1</v>
      </c>
      <c r="AO1628" s="171">
        <v>1</v>
      </c>
      <c r="AP1628" s="171">
        <v>1</v>
      </c>
      <c r="AQ1628" s="171">
        <v>1</v>
      </c>
      <c r="AR1628" s="171">
        <v>1</v>
      </c>
      <c r="AS1628" s="171">
        <v>1</v>
      </c>
      <c r="AT1628" s="171">
        <v>1</v>
      </c>
      <c r="AU1628" s="171">
        <f t="shared" si="527"/>
        <v>0</v>
      </c>
      <c r="AV1628" s="171">
        <f t="shared" si="528"/>
        <v>1</v>
      </c>
      <c r="AW1628" s="171">
        <f t="shared" si="529"/>
        <v>1</v>
      </c>
      <c r="AX1628" s="171">
        <f t="shared" si="537"/>
        <v>1</v>
      </c>
      <c r="AY1628" s="171">
        <f t="shared" si="530"/>
        <v>1</v>
      </c>
      <c r="AZ1628" s="171">
        <f t="shared" si="531"/>
        <v>1</v>
      </c>
      <c r="BA1628" s="172">
        <f t="shared" si="532"/>
        <v>0</v>
      </c>
      <c r="BB1628" s="175">
        <f t="shared" si="534"/>
        <v>16</v>
      </c>
      <c r="BC1628" s="176">
        <f t="shared" si="535"/>
        <v>16</v>
      </c>
      <c r="BD1628" s="176">
        <f t="shared" si="536"/>
        <v>16</v>
      </c>
      <c r="BE1628" s="240" t="str">
        <f t="shared" si="526"/>
        <v/>
      </c>
      <c r="BF1628" s="989"/>
      <c r="BG1628" s="989"/>
      <c r="BH1628" s="991">
        <f>IF(AND(Input_Product=Elig!$C1628,Elig_MatchAll_Ct&lt;22,$BC1628=(Elig_MatchAll_Ct-1),AF1628=0),C1628,0)</f>
        <v>0</v>
      </c>
      <c r="BI1628" s="991">
        <f>IF(AND(Input_Product=Elig!$C1628,Elig_MatchAll_Ct&lt;22,$BC1628=(Elig_MatchAll_Ct-1),AG1628=0),D1628,0)</f>
        <v>0</v>
      </c>
      <c r="BJ1628" s="991">
        <f>IF(AND(Input_Product=Elig!$C1628,Elig_MatchAll_Ct&lt;22,$BC1628=(Elig_MatchAll_Ct-1),AH1628=0),E1628,0)</f>
        <v>0</v>
      </c>
      <c r="BK1628" s="991">
        <f>IF(AND(Input_Product=Elig!$C1628,Elig_MatchAll_Ct&lt;22,$BC1628=(Elig_MatchAll_Ct-1),AI1628=0),F1628,0)</f>
        <v>0</v>
      </c>
      <c r="BL1628" s="991">
        <f>IF(AND(Input_Product=Elig!$C1628,Elig_MatchAll_Ct&lt;22,$BC1628=(Elig_MatchAll_Ct-1),AJ1628=0),G1628,0)</f>
        <v>0</v>
      </c>
      <c r="BM1628" s="991">
        <f>IF(AND(Input_Product=Elig!$C1628,Elig_MatchAll_Ct&lt;22,$BC1628=(Elig_MatchAll_Ct-1),AK1628=0),H1628,0)</f>
        <v>0</v>
      </c>
      <c r="BN1628" s="991">
        <f>IF(AND(Input_Product=Elig!$C1628,Elig_MatchAll_Ct&lt;22,$BC1628=(Elig_MatchAll_Ct-1),AL1628=0),I1628,0)</f>
        <v>0</v>
      </c>
      <c r="BO1628" s="991">
        <f>IF(AND(Input_Product=Elig!$C1628,Elig_MatchAll_Ct&lt;22,$BC1628=(Elig_MatchAll_Ct-1),AM1628=0),J1628,0)</f>
        <v>0</v>
      </c>
      <c r="BP1628" s="991">
        <f>IF(AND(Input_Product=Elig!$C1628,Elig_MatchAll_Ct&lt;22,$BC1628=(Elig_MatchAll_Ct-1),AN1628=0),K1628,0)</f>
        <v>0</v>
      </c>
      <c r="BQ1628" s="991">
        <f>IF(AND(Input_Product=Elig!$C1628,Elig_MatchAll_Ct&lt;22,$BC1628=(Elig_MatchAll_Ct-1),AP1628=0),L1628,0)</f>
        <v>0</v>
      </c>
      <c r="BR1628" s="991">
        <f>IF(AND(Input_Product=Elig!$C1628,Elig_MatchAll_Ct&lt;22,$BC1628=(Elig_MatchAll_Ct-1),AO1628=0),M1628,0)</f>
        <v>0</v>
      </c>
      <c r="BS1628" s="991">
        <f>IF(AND(Input_Product=Elig!$C1628,Elig_MatchAll_Ct&lt;22,$BC1628=(Elig_MatchAll_Ct-1),AQ1628=0),N1628,0)</f>
        <v>0</v>
      </c>
      <c r="BT1628" s="991">
        <f>IF(AND(Input_Product=Elig!$C1628,Elig_MatchAll_Ct&lt;22,$BC1628=(Elig_MatchAll_Ct-1),AR1628=0),O1628,0)</f>
        <v>0</v>
      </c>
      <c r="BU1628" s="991">
        <f>IF(AND(Input_Product=Elig!$C1628,Elig_MatchAll_Ct&lt;22,$BC1628=(Elig_MatchAll_Ct-1),AS1628=0),P1628,0)</f>
        <v>0</v>
      </c>
      <c r="BV1628" s="992">
        <f>IF(AND(Input_Product=Elig!$C1628,Elig_MatchAll_Ct&lt;22,$BC1628=(Elig_MatchAll_Ct-1),AT1628=0),Q1628,0)</f>
        <v>0</v>
      </c>
      <c r="BW1628" s="993">
        <f>IF(AND(Input_Product=Elig!$C1628,Elig_MatchAll_Ct&lt;22,$BC1628=(Elig_MatchAll_Ct-1),AU1628=0),R1628,0)</f>
        <v>0</v>
      </c>
      <c r="BX1628" s="994">
        <f>IF(AND(Input_Product=Elig!$C1628,Elig_MatchAll_Ct&lt;22,$BC1628=(Elig_MatchAll_Ct-1),AU1628=0),S1628,0)</f>
        <v>0</v>
      </c>
      <c r="BY1628" s="993">
        <f>IF(AND(Input_Product=Elig!$C1628,Elig_MatchAll_Ct&lt;22,$BC1628=(Elig_MatchAll_Ct-1),AV1628=0),T1628,0)</f>
        <v>0</v>
      </c>
      <c r="BZ1628" s="994">
        <f>IF(AND(Input_Product=Elig!$C1628,Elig_MatchAll_Ct&lt;22,$BC1628=(Elig_MatchAll_Ct-1),AV1628=0),U1628,0)</f>
        <v>0</v>
      </c>
      <c r="CA1628" s="993">
        <f>IF(AND(Input_Product=Elig!$C1628,Elig_MatchAll_Ct&lt;22,$BC1628=(Elig_MatchAll_Ct-1),AW1628=0),V1628,0)</f>
        <v>0</v>
      </c>
      <c r="CB1628" s="994">
        <f>IF(AND(Input_Product=Elig!$C1628,Elig_MatchAll_Ct&lt;22,$BC1628=(Elig_MatchAll_Ct-1),AW1628=0),W1628,0)</f>
        <v>0</v>
      </c>
      <c r="CC1628" s="993">
        <f>IF(AND(Input_Product=Elig!$C1628,Elig_MatchAll_Ct&lt;22,$BC1628=(Elig_MatchAll_Ct-1),AX1628=0),X1628,0)</f>
        <v>0</v>
      </c>
      <c r="CD1628" s="994">
        <f>IF(AND(Input_Product=Elig!$C1628,Elig_MatchAll_Ct&lt;22,$BC1628=(Elig_MatchAll_Ct-1),AX1628=0),Y1628,0)</f>
        <v>0</v>
      </c>
      <c r="CE1628" s="993">
        <f>IF(AND(Input_LTV&lt;=AE1628,Input_Product=Elig!$C1628,Elig_MatchAll_Ct&lt;22,$BC1628=(Elig_MatchAll_Ct-1),AY1628=0),Z1628,0)</f>
        <v>0</v>
      </c>
      <c r="CF1628" s="994">
        <f>IF(AND(Input_LTV&lt;=AE1628,Input_Product=Elig!$C1628,Elig_MatchAll_Ct&lt;22,$BC1628=(Elig_MatchAll_Ct-1),AY1628=0),AA1628,0)</f>
        <v>0</v>
      </c>
      <c r="CG1628" s="993">
        <f>IF(AND(Input_Product=Elig!$C1628,Elig_MatchAll_Ct&lt;22,$BC1628=(Elig_MatchAll_Ct-1),AZ1628=0),AB1628,0)</f>
        <v>0</v>
      </c>
      <c r="CH1628" s="994">
        <f>IF(AND(Input_Product=Elig!$C1628,Elig_MatchAll_Ct&lt;22,$BC1628=(Elig_MatchAll_Ct-1),AZ1628=0),AC1628,0)</f>
        <v>0</v>
      </c>
      <c r="CI1628" s="993">
        <f>IF(AND(Input_Product=Elig!$C1628,Elig_MatchAll_Ct&lt;22,$BC1628=(Elig_MatchAll_Ct-1),BA1628=0),AD1628,0)</f>
        <v>0</v>
      </c>
      <c r="CJ1628" s="994">
        <f>IF(AND(Input_Product=Elig!$C1628,Elig_MatchAll_Ct&lt;22,$BC1628=(Elig_MatchAll_Ct-1),BA1628=0),AE1628,0)</f>
        <v>0</v>
      </c>
    </row>
    <row r="1629" spans="2:88" ht="10.15" customHeight="1" x14ac:dyDescent="0.25">
      <c r="B1629" s="1063" t="s">
        <v>3680</v>
      </c>
      <c r="C1629" s="1061" t="str" cm="1">
        <f t="array" ref="C1629">Input_Name_Product11</f>
        <v>HELOC NOO</v>
      </c>
      <c r="D1629" s="1063" t="s">
        <v>1984</v>
      </c>
      <c r="E1629" s="1063" t="s">
        <v>4</v>
      </c>
      <c r="F1629" s="1063" t="s">
        <v>330</v>
      </c>
      <c r="G1629" s="1062" t="s">
        <v>303</v>
      </c>
      <c r="H1629" s="1062" t="s">
        <v>136</v>
      </c>
      <c r="I1629" s="1063" t="s">
        <v>1332</v>
      </c>
      <c r="J1629" s="1063" t="s">
        <v>3544</v>
      </c>
      <c r="K1629" s="1062" t="s">
        <v>1791</v>
      </c>
      <c r="L1629" s="1063" t="s">
        <v>430</v>
      </c>
      <c r="M1629" s="1063" t="s">
        <v>2677</v>
      </c>
      <c r="N1629" s="1062" t="s">
        <v>82</v>
      </c>
      <c r="O1629" s="1063" t="s">
        <v>310</v>
      </c>
      <c r="P1629" s="1063" t="s">
        <v>291</v>
      </c>
      <c r="Q1629" s="1063" t="s">
        <v>294</v>
      </c>
      <c r="R1629" s="1063">
        <v>350000.01</v>
      </c>
      <c r="S1629" s="1063">
        <v>500000</v>
      </c>
      <c r="T1629" s="1063">
        <v>0</v>
      </c>
      <c r="U1629" s="1063">
        <v>500000</v>
      </c>
      <c r="V1629" s="1063">
        <v>0</v>
      </c>
      <c r="W1629" s="1063">
        <v>50</v>
      </c>
      <c r="X1629" s="1063">
        <v>0</v>
      </c>
      <c r="Y1629" s="1063">
        <v>999</v>
      </c>
      <c r="Z1629" s="1064">
        <v>700</v>
      </c>
      <c r="AA1629" s="1064">
        <v>719</v>
      </c>
      <c r="AB1629" s="1064">
        <v>0</v>
      </c>
      <c r="AC1629" s="1064">
        <v>999999</v>
      </c>
      <c r="AD1629" s="1063">
        <v>0</v>
      </c>
      <c r="AE1629" s="1063">
        <v>0</v>
      </c>
      <c r="AF1629" s="170">
        <v>0</v>
      </c>
      <c r="AG1629" s="171">
        <v>0</v>
      </c>
      <c r="AH1629" s="171">
        <v>0</v>
      </c>
      <c r="AI1629" s="171">
        <v>0</v>
      </c>
      <c r="AJ1629" s="171">
        <v>1</v>
      </c>
      <c r="AK1629" s="171">
        <v>1</v>
      </c>
      <c r="AL1629" s="171">
        <v>1</v>
      </c>
      <c r="AM1629" s="171">
        <v>1</v>
      </c>
      <c r="AN1629" s="171">
        <v>1</v>
      </c>
      <c r="AO1629" s="171">
        <v>1</v>
      </c>
      <c r="AP1629" s="171">
        <v>1</v>
      </c>
      <c r="AQ1629" s="171">
        <v>1</v>
      </c>
      <c r="AR1629" s="171">
        <v>1</v>
      </c>
      <c r="AS1629" s="171">
        <v>1</v>
      </c>
      <c r="AT1629" s="171">
        <v>1</v>
      </c>
      <c r="AU1629" s="171">
        <f t="shared" si="527"/>
        <v>0</v>
      </c>
      <c r="AV1629" s="171">
        <f t="shared" si="528"/>
        <v>1</v>
      </c>
      <c r="AW1629" s="171">
        <f t="shared" si="529"/>
        <v>1</v>
      </c>
      <c r="AX1629" s="171">
        <f t="shared" si="537"/>
        <v>1</v>
      </c>
      <c r="AY1629" s="171">
        <f t="shared" si="530"/>
        <v>0</v>
      </c>
      <c r="AZ1629" s="171">
        <f t="shared" si="531"/>
        <v>1</v>
      </c>
      <c r="BA1629" s="172">
        <f t="shared" si="532"/>
        <v>0</v>
      </c>
      <c r="BB1629" s="175">
        <f t="shared" si="534"/>
        <v>15</v>
      </c>
      <c r="BC1629" s="176">
        <f t="shared" si="535"/>
        <v>15</v>
      </c>
      <c r="BD1629" s="176">
        <f t="shared" si="536"/>
        <v>15</v>
      </c>
      <c r="BE1629" s="240" t="str">
        <f t="shared" si="526"/>
        <v/>
      </c>
      <c r="BF1629" s="990"/>
      <c r="BG1629" s="990"/>
      <c r="BH1629" s="991">
        <f>IF(AND(Input_Product=Elig!$C1629,Elig_MatchAll_Ct&lt;22,$BC1629=(Elig_MatchAll_Ct-1),AF1629=0),C1629,0)</f>
        <v>0</v>
      </c>
      <c r="BI1629" s="991">
        <f>IF(AND(Input_Product=Elig!$C1629,Elig_MatchAll_Ct&lt;22,$BC1629=(Elig_MatchAll_Ct-1),AG1629=0),D1629,0)</f>
        <v>0</v>
      </c>
      <c r="BJ1629" s="991">
        <f>IF(AND(Input_Product=Elig!$C1629,Elig_MatchAll_Ct&lt;22,$BC1629=(Elig_MatchAll_Ct-1),AH1629=0),E1629,0)</f>
        <v>0</v>
      </c>
      <c r="BK1629" s="991">
        <f>IF(AND(Input_Product=Elig!$C1629,Elig_MatchAll_Ct&lt;22,$BC1629=(Elig_MatchAll_Ct-1),AI1629=0),F1629,0)</f>
        <v>0</v>
      </c>
      <c r="BL1629" s="991">
        <f>IF(AND(Input_Product=Elig!$C1629,Elig_MatchAll_Ct&lt;22,$BC1629=(Elig_MatchAll_Ct-1),AJ1629=0),G1629,0)</f>
        <v>0</v>
      </c>
      <c r="BM1629" s="991">
        <f>IF(AND(Input_Product=Elig!$C1629,Elig_MatchAll_Ct&lt;22,$BC1629=(Elig_MatchAll_Ct-1),AK1629=0),H1629,0)</f>
        <v>0</v>
      </c>
      <c r="BN1629" s="991">
        <f>IF(AND(Input_Product=Elig!$C1629,Elig_MatchAll_Ct&lt;22,$BC1629=(Elig_MatchAll_Ct-1),AL1629=0),I1629,0)</f>
        <v>0</v>
      </c>
      <c r="BO1629" s="991">
        <f>IF(AND(Input_Product=Elig!$C1629,Elig_MatchAll_Ct&lt;22,$BC1629=(Elig_MatchAll_Ct-1),AM1629=0),J1629,0)</f>
        <v>0</v>
      </c>
      <c r="BP1629" s="991">
        <f>IF(AND(Input_Product=Elig!$C1629,Elig_MatchAll_Ct&lt;22,$BC1629=(Elig_MatchAll_Ct-1),AN1629=0),K1629,0)</f>
        <v>0</v>
      </c>
      <c r="BQ1629" s="991">
        <f>IF(AND(Input_Product=Elig!$C1629,Elig_MatchAll_Ct&lt;22,$BC1629=(Elig_MatchAll_Ct-1),AP1629=0),L1629,0)</f>
        <v>0</v>
      </c>
      <c r="BR1629" s="991">
        <f>IF(AND(Input_Product=Elig!$C1629,Elig_MatchAll_Ct&lt;22,$BC1629=(Elig_MatchAll_Ct-1),AO1629=0),M1629,0)</f>
        <v>0</v>
      </c>
      <c r="BS1629" s="991">
        <f>IF(AND(Input_Product=Elig!$C1629,Elig_MatchAll_Ct&lt;22,$BC1629=(Elig_MatchAll_Ct-1),AQ1629=0),N1629,0)</f>
        <v>0</v>
      </c>
      <c r="BT1629" s="991">
        <f>IF(AND(Input_Product=Elig!$C1629,Elig_MatchAll_Ct&lt;22,$BC1629=(Elig_MatchAll_Ct-1),AR1629=0),O1629,0)</f>
        <v>0</v>
      </c>
      <c r="BU1629" s="991">
        <f>IF(AND(Input_Product=Elig!$C1629,Elig_MatchAll_Ct&lt;22,$BC1629=(Elig_MatchAll_Ct-1),AS1629=0),P1629,0)</f>
        <v>0</v>
      </c>
      <c r="BV1629" s="992">
        <f>IF(AND(Input_Product=Elig!$C1629,Elig_MatchAll_Ct&lt;22,$BC1629=(Elig_MatchAll_Ct-1),AT1629=0),Q1629,0)</f>
        <v>0</v>
      </c>
      <c r="BW1629" s="993">
        <f>IF(AND(Input_Product=Elig!$C1629,Elig_MatchAll_Ct&lt;22,$BC1629=(Elig_MatchAll_Ct-1),AU1629=0),R1629,0)</f>
        <v>0</v>
      </c>
      <c r="BX1629" s="994">
        <f>IF(AND(Input_Product=Elig!$C1629,Elig_MatchAll_Ct&lt;22,$BC1629=(Elig_MatchAll_Ct-1),AU1629=0),S1629,0)</f>
        <v>0</v>
      </c>
      <c r="BY1629" s="993">
        <f>IF(AND(Input_Product=Elig!$C1629,Elig_MatchAll_Ct&lt;22,$BC1629=(Elig_MatchAll_Ct-1),AV1629=0),T1629,0)</f>
        <v>0</v>
      </c>
      <c r="BZ1629" s="994">
        <f>IF(AND(Input_Product=Elig!$C1629,Elig_MatchAll_Ct&lt;22,$BC1629=(Elig_MatchAll_Ct-1),AV1629=0),U1629,0)</f>
        <v>0</v>
      </c>
      <c r="CA1629" s="993">
        <f>IF(AND(Input_Product=Elig!$C1629,Elig_MatchAll_Ct&lt;22,$BC1629=(Elig_MatchAll_Ct-1),AW1629=0),V1629,0)</f>
        <v>0</v>
      </c>
      <c r="CB1629" s="994">
        <f>IF(AND(Input_Product=Elig!$C1629,Elig_MatchAll_Ct&lt;22,$BC1629=(Elig_MatchAll_Ct-1),AW1629=0),W1629,0)</f>
        <v>0</v>
      </c>
      <c r="CC1629" s="993">
        <f>IF(AND(Input_Product=Elig!$C1629,Elig_MatchAll_Ct&lt;22,$BC1629=(Elig_MatchAll_Ct-1),AX1629=0),X1629,0)</f>
        <v>0</v>
      </c>
      <c r="CD1629" s="994">
        <f>IF(AND(Input_Product=Elig!$C1629,Elig_MatchAll_Ct&lt;22,$BC1629=(Elig_MatchAll_Ct-1),AX1629=0),Y1629,0)</f>
        <v>0</v>
      </c>
      <c r="CE1629" s="993">
        <f>IF(AND(Input_LTV&lt;=AE1629,Input_Product=Elig!$C1629,Elig_MatchAll_Ct&lt;22,$BC1629=(Elig_MatchAll_Ct-1),AY1629=0),Z1629,0)</f>
        <v>0</v>
      </c>
      <c r="CF1629" s="994">
        <f>IF(AND(Input_LTV&lt;=AE1629,Input_Product=Elig!$C1629,Elig_MatchAll_Ct&lt;22,$BC1629=(Elig_MatchAll_Ct-1),AY1629=0),AA1629,0)</f>
        <v>0</v>
      </c>
      <c r="CG1629" s="993">
        <f>IF(AND(Input_Product=Elig!$C1629,Elig_MatchAll_Ct&lt;22,$BC1629=(Elig_MatchAll_Ct-1),AZ1629=0),AB1629,0)</f>
        <v>0</v>
      </c>
      <c r="CH1629" s="994">
        <f>IF(AND(Input_Product=Elig!$C1629,Elig_MatchAll_Ct&lt;22,$BC1629=(Elig_MatchAll_Ct-1),AZ1629=0),AC1629,0)</f>
        <v>0</v>
      </c>
      <c r="CI1629" s="993">
        <f>IF(AND(Input_Product=Elig!$C1629,Elig_MatchAll_Ct&lt;22,$BC1629=(Elig_MatchAll_Ct-1),BA1629=0),AD1629,0)</f>
        <v>0</v>
      </c>
      <c r="CJ1629" s="994">
        <f>IF(AND(Input_Product=Elig!$C1629,Elig_MatchAll_Ct&lt;22,$BC1629=(Elig_MatchAll_Ct-1),BA1629=0),AE1629,0)</f>
        <v>0</v>
      </c>
    </row>
    <row r="1630" spans="2:88" ht="10.15" customHeight="1" x14ac:dyDescent="0.25">
      <c r="B1630" s="1063" t="s">
        <v>3681</v>
      </c>
      <c r="C1630" s="1065" t="str" cm="1">
        <f t="array" ref="C1630">Input_Name_Product11</f>
        <v>HELOC NOO</v>
      </c>
      <c r="D1630" s="1066" t="s">
        <v>1984</v>
      </c>
      <c r="E1630" s="1066" t="s">
        <v>4</v>
      </c>
      <c r="F1630" s="1066" t="s">
        <v>330</v>
      </c>
      <c r="G1630" s="1067" t="s">
        <v>303</v>
      </c>
      <c r="H1630" s="1067" t="s">
        <v>136</v>
      </c>
      <c r="I1630" s="1066" t="s">
        <v>1332</v>
      </c>
      <c r="J1630" s="1066" t="s">
        <v>3544</v>
      </c>
      <c r="K1630" s="1067" t="s">
        <v>1791</v>
      </c>
      <c r="L1630" s="1066" t="s">
        <v>430</v>
      </c>
      <c r="M1630" s="1066" t="s">
        <v>2677</v>
      </c>
      <c r="N1630" s="1067" t="s">
        <v>82</v>
      </c>
      <c r="O1630" s="1066" t="s">
        <v>310</v>
      </c>
      <c r="P1630" s="1066" t="s">
        <v>291</v>
      </c>
      <c r="Q1630" s="1066" t="s">
        <v>294</v>
      </c>
      <c r="R1630" s="1066">
        <v>350000.01</v>
      </c>
      <c r="S1630" s="1066">
        <v>500000</v>
      </c>
      <c r="T1630" s="1066">
        <v>0</v>
      </c>
      <c r="U1630" s="1066">
        <v>500000</v>
      </c>
      <c r="V1630" s="1066">
        <v>0</v>
      </c>
      <c r="W1630" s="1066">
        <v>50</v>
      </c>
      <c r="X1630" s="1066">
        <v>0</v>
      </c>
      <c r="Y1630" s="1066">
        <v>999</v>
      </c>
      <c r="Z1630" s="1068">
        <v>680</v>
      </c>
      <c r="AA1630" s="1068">
        <v>699</v>
      </c>
      <c r="AB1630" s="1068">
        <v>0</v>
      </c>
      <c r="AC1630" s="1068">
        <v>999999</v>
      </c>
      <c r="AD1630" s="1066">
        <v>0</v>
      </c>
      <c r="AE1630" s="2049">
        <v>0</v>
      </c>
      <c r="AF1630" s="170">
        <v>0</v>
      </c>
      <c r="AG1630" s="171">
        <v>0</v>
      </c>
      <c r="AH1630" s="171">
        <v>0</v>
      </c>
      <c r="AI1630" s="171">
        <v>0</v>
      </c>
      <c r="AJ1630" s="171">
        <v>1</v>
      </c>
      <c r="AK1630" s="171">
        <v>1</v>
      </c>
      <c r="AL1630" s="171">
        <v>1</v>
      </c>
      <c r="AM1630" s="171">
        <v>1</v>
      </c>
      <c r="AN1630" s="171">
        <v>1</v>
      </c>
      <c r="AO1630" s="171">
        <v>1</v>
      </c>
      <c r="AP1630" s="171">
        <v>1</v>
      </c>
      <c r="AQ1630" s="171">
        <v>1</v>
      </c>
      <c r="AR1630" s="171">
        <v>1</v>
      </c>
      <c r="AS1630" s="171">
        <v>1</v>
      </c>
      <c r="AT1630" s="171">
        <v>1</v>
      </c>
      <c r="AU1630" s="171">
        <f t="shared" si="527"/>
        <v>0</v>
      </c>
      <c r="AV1630" s="171">
        <f t="shared" si="528"/>
        <v>1</v>
      </c>
      <c r="AW1630" s="171">
        <f t="shared" si="529"/>
        <v>1</v>
      </c>
      <c r="AX1630" s="171">
        <f t="shared" si="537"/>
        <v>1</v>
      </c>
      <c r="AY1630" s="171">
        <f t="shared" si="530"/>
        <v>0</v>
      </c>
      <c r="AZ1630" s="171">
        <f t="shared" si="531"/>
        <v>1</v>
      </c>
      <c r="BA1630" s="172">
        <f t="shared" si="532"/>
        <v>0</v>
      </c>
      <c r="BB1630" s="175">
        <f t="shared" si="534"/>
        <v>15</v>
      </c>
      <c r="BC1630" s="176">
        <f t="shared" si="535"/>
        <v>15</v>
      </c>
      <c r="BD1630" s="176">
        <f t="shared" si="536"/>
        <v>15</v>
      </c>
      <c r="BE1630" s="240" t="str">
        <f t="shared" si="526"/>
        <v/>
      </c>
      <c r="BF1630" s="990"/>
      <c r="BG1630" s="990"/>
      <c r="BH1630" s="991">
        <f>IF(AND(Input_Product=Elig!$C1630,Elig_MatchAll_Ct&lt;22,$BC1630=(Elig_MatchAll_Ct-1),AF1630=0),C1630,0)</f>
        <v>0</v>
      </c>
      <c r="BI1630" s="991">
        <f>IF(AND(Input_Product=Elig!$C1630,Elig_MatchAll_Ct&lt;22,$BC1630=(Elig_MatchAll_Ct-1),AG1630=0),D1630,0)</f>
        <v>0</v>
      </c>
      <c r="BJ1630" s="991">
        <f>IF(AND(Input_Product=Elig!$C1630,Elig_MatchAll_Ct&lt;22,$BC1630=(Elig_MatchAll_Ct-1),AH1630=0),E1630,0)</f>
        <v>0</v>
      </c>
      <c r="BK1630" s="991">
        <f>IF(AND(Input_Product=Elig!$C1630,Elig_MatchAll_Ct&lt;22,$BC1630=(Elig_MatchAll_Ct-1),AI1630=0),F1630,0)</f>
        <v>0</v>
      </c>
      <c r="BL1630" s="991">
        <f>IF(AND(Input_Product=Elig!$C1630,Elig_MatchAll_Ct&lt;22,$BC1630=(Elig_MatchAll_Ct-1),AJ1630=0),G1630,0)</f>
        <v>0</v>
      </c>
      <c r="BM1630" s="991">
        <f>IF(AND(Input_Product=Elig!$C1630,Elig_MatchAll_Ct&lt;22,$BC1630=(Elig_MatchAll_Ct-1),AK1630=0),H1630,0)</f>
        <v>0</v>
      </c>
      <c r="BN1630" s="991">
        <f>IF(AND(Input_Product=Elig!$C1630,Elig_MatchAll_Ct&lt;22,$BC1630=(Elig_MatchAll_Ct-1),AL1630=0),I1630,0)</f>
        <v>0</v>
      </c>
      <c r="BO1630" s="991">
        <f>IF(AND(Input_Product=Elig!$C1630,Elig_MatchAll_Ct&lt;22,$BC1630=(Elig_MatchAll_Ct-1),AM1630=0),J1630,0)</f>
        <v>0</v>
      </c>
      <c r="BP1630" s="991">
        <f>IF(AND(Input_Product=Elig!$C1630,Elig_MatchAll_Ct&lt;22,$BC1630=(Elig_MatchAll_Ct-1),AN1630=0),K1630,0)</f>
        <v>0</v>
      </c>
      <c r="BQ1630" s="991">
        <f>IF(AND(Input_Product=Elig!$C1630,Elig_MatchAll_Ct&lt;22,$BC1630=(Elig_MatchAll_Ct-1),AP1630=0),L1630,0)</f>
        <v>0</v>
      </c>
      <c r="BR1630" s="991">
        <f>IF(AND(Input_Product=Elig!$C1630,Elig_MatchAll_Ct&lt;22,$BC1630=(Elig_MatchAll_Ct-1),AO1630=0),M1630,0)</f>
        <v>0</v>
      </c>
      <c r="BS1630" s="991">
        <f>IF(AND(Input_Product=Elig!$C1630,Elig_MatchAll_Ct&lt;22,$BC1630=(Elig_MatchAll_Ct-1),AQ1630=0),N1630,0)</f>
        <v>0</v>
      </c>
      <c r="BT1630" s="991">
        <f>IF(AND(Input_Product=Elig!$C1630,Elig_MatchAll_Ct&lt;22,$BC1630=(Elig_MatchAll_Ct-1),AR1630=0),O1630,0)</f>
        <v>0</v>
      </c>
      <c r="BU1630" s="991">
        <f>IF(AND(Input_Product=Elig!$C1630,Elig_MatchAll_Ct&lt;22,$BC1630=(Elig_MatchAll_Ct-1),AS1630=0),P1630,0)</f>
        <v>0</v>
      </c>
      <c r="BV1630" s="992">
        <f>IF(AND(Input_Product=Elig!$C1630,Elig_MatchAll_Ct&lt;22,$BC1630=(Elig_MatchAll_Ct-1),AT1630=0),Q1630,0)</f>
        <v>0</v>
      </c>
      <c r="BW1630" s="993">
        <f>IF(AND(Input_Product=Elig!$C1630,Elig_MatchAll_Ct&lt;22,$BC1630=(Elig_MatchAll_Ct-1),AU1630=0),R1630,0)</f>
        <v>0</v>
      </c>
      <c r="BX1630" s="994">
        <f>IF(AND(Input_Product=Elig!$C1630,Elig_MatchAll_Ct&lt;22,$BC1630=(Elig_MatchAll_Ct-1),AU1630=0),S1630,0)</f>
        <v>0</v>
      </c>
      <c r="BY1630" s="993">
        <f>IF(AND(Input_Product=Elig!$C1630,Elig_MatchAll_Ct&lt;22,$BC1630=(Elig_MatchAll_Ct-1),AV1630=0),T1630,0)</f>
        <v>0</v>
      </c>
      <c r="BZ1630" s="994">
        <f>IF(AND(Input_Product=Elig!$C1630,Elig_MatchAll_Ct&lt;22,$BC1630=(Elig_MatchAll_Ct-1),AV1630=0),U1630,0)</f>
        <v>0</v>
      </c>
      <c r="CA1630" s="993">
        <f>IF(AND(Input_Product=Elig!$C1630,Elig_MatchAll_Ct&lt;22,$BC1630=(Elig_MatchAll_Ct-1),AW1630=0),V1630,0)</f>
        <v>0</v>
      </c>
      <c r="CB1630" s="994">
        <f>IF(AND(Input_Product=Elig!$C1630,Elig_MatchAll_Ct&lt;22,$BC1630=(Elig_MatchAll_Ct-1),AW1630=0),W1630,0)</f>
        <v>0</v>
      </c>
      <c r="CC1630" s="993">
        <f>IF(AND(Input_Product=Elig!$C1630,Elig_MatchAll_Ct&lt;22,$BC1630=(Elig_MatchAll_Ct-1),AX1630=0),X1630,0)</f>
        <v>0</v>
      </c>
      <c r="CD1630" s="994">
        <f>IF(AND(Input_Product=Elig!$C1630,Elig_MatchAll_Ct&lt;22,$BC1630=(Elig_MatchAll_Ct-1),AX1630=0),Y1630,0)</f>
        <v>0</v>
      </c>
      <c r="CE1630" s="993">
        <f>IF(AND(Input_LTV&lt;=AE1630,Input_Product=Elig!$C1630,Elig_MatchAll_Ct&lt;22,$BC1630=(Elig_MatchAll_Ct-1),AY1630=0),Z1630,0)</f>
        <v>0</v>
      </c>
      <c r="CF1630" s="994">
        <f>IF(AND(Input_LTV&lt;=AE1630,Input_Product=Elig!$C1630,Elig_MatchAll_Ct&lt;22,$BC1630=(Elig_MatchAll_Ct-1),AY1630=0),AA1630,0)</f>
        <v>0</v>
      </c>
      <c r="CG1630" s="993">
        <f>IF(AND(Input_Product=Elig!$C1630,Elig_MatchAll_Ct&lt;22,$BC1630=(Elig_MatchAll_Ct-1),AZ1630=0),AB1630,0)</f>
        <v>0</v>
      </c>
      <c r="CH1630" s="994">
        <f>IF(AND(Input_Product=Elig!$C1630,Elig_MatchAll_Ct&lt;22,$BC1630=(Elig_MatchAll_Ct-1),AZ1630=0),AC1630,0)</f>
        <v>0</v>
      </c>
      <c r="CI1630" s="993">
        <f>IF(AND(Input_Product=Elig!$C1630,Elig_MatchAll_Ct&lt;22,$BC1630=(Elig_MatchAll_Ct-1),BA1630=0),AD1630,0)</f>
        <v>0</v>
      </c>
      <c r="CJ1630" s="994">
        <f>IF(AND(Input_Product=Elig!$C1630,Elig_MatchAll_Ct&lt;22,$BC1630=(Elig_MatchAll_Ct-1),BA1630=0),AE1630,0)</f>
        <v>0</v>
      </c>
    </row>
    <row r="1631" spans="2:88" ht="10.15" customHeight="1" x14ac:dyDescent="0.25">
      <c r="B1631" s="1063" t="s">
        <v>3682</v>
      </c>
      <c r="C1631" s="1069" t="str" cm="1">
        <f t="array" ref="C1631">Input_Name_Product11</f>
        <v>HELOC NOO</v>
      </c>
      <c r="D1631" s="1070" t="s">
        <v>1984</v>
      </c>
      <c r="E1631" s="1070" t="s">
        <v>4</v>
      </c>
      <c r="F1631" s="1070" t="s">
        <v>330</v>
      </c>
      <c r="G1631" s="1070" t="s">
        <v>175</v>
      </c>
      <c r="H1631" s="1070" t="s">
        <v>446</v>
      </c>
      <c r="I1631" s="1071" t="s">
        <v>1332</v>
      </c>
      <c r="J1631" s="1071" t="s">
        <v>3544</v>
      </c>
      <c r="K1631" s="1070" t="s">
        <v>1791</v>
      </c>
      <c r="L1631" s="1071" t="s">
        <v>430</v>
      </c>
      <c r="M1631" s="1071" t="s">
        <v>2677</v>
      </c>
      <c r="N1631" s="1070" t="s">
        <v>82</v>
      </c>
      <c r="O1631" s="1071" t="s">
        <v>310</v>
      </c>
      <c r="P1631" s="1071" t="s">
        <v>291</v>
      </c>
      <c r="Q1631" s="1071" t="s">
        <v>294</v>
      </c>
      <c r="R1631" s="1071">
        <v>350000.01</v>
      </c>
      <c r="S1631" s="1071">
        <v>500000</v>
      </c>
      <c r="T1631" s="1071">
        <v>0</v>
      </c>
      <c r="U1631" s="1071">
        <v>500000</v>
      </c>
      <c r="V1631" s="1071">
        <v>0</v>
      </c>
      <c r="W1631" s="1071">
        <v>50</v>
      </c>
      <c r="X1631" s="1071">
        <v>0</v>
      </c>
      <c r="Y1631" s="1071">
        <v>999</v>
      </c>
      <c r="Z1631" s="1072">
        <v>720</v>
      </c>
      <c r="AA1631" s="1072">
        <v>999</v>
      </c>
      <c r="AB1631" s="1072">
        <v>0</v>
      </c>
      <c r="AC1631" s="1072">
        <v>999999</v>
      </c>
      <c r="AD1631" s="1071">
        <v>0</v>
      </c>
      <c r="AE1631" s="1071">
        <v>0</v>
      </c>
      <c r="AF1631" s="170">
        <v>0</v>
      </c>
      <c r="AG1631" s="171">
        <v>0</v>
      </c>
      <c r="AH1631" s="171">
        <v>0</v>
      </c>
      <c r="AI1631" s="171">
        <v>0</v>
      </c>
      <c r="AJ1631" s="171">
        <v>0</v>
      </c>
      <c r="AK1631" s="171">
        <v>0</v>
      </c>
      <c r="AL1631" s="171">
        <v>1</v>
      </c>
      <c r="AM1631" s="171">
        <v>1</v>
      </c>
      <c r="AN1631" s="171">
        <v>1</v>
      </c>
      <c r="AO1631" s="171">
        <v>1</v>
      </c>
      <c r="AP1631" s="171">
        <v>1</v>
      </c>
      <c r="AQ1631" s="171">
        <v>1</v>
      </c>
      <c r="AR1631" s="171">
        <v>1</v>
      </c>
      <c r="AS1631" s="171">
        <v>1</v>
      </c>
      <c r="AT1631" s="171">
        <v>1</v>
      </c>
      <c r="AU1631" s="171">
        <f t="shared" si="527"/>
        <v>0</v>
      </c>
      <c r="AV1631" s="171">
        <f t="shared" si="528"/>
        <v>1</v>
      </c>
      <c r="AW1631" s="171">
        <f t="shared" si="529"/>
        <v>1</v>
      </c>
      <c r="AX1631" s="171">
        <f t="shared" si="537"/>
        <v>1</v>
      </c>
      <c r="AY1631" s="171">
        <f t="shared" si="530"/>
        <v>1</v>
      </c>
      <c r="AZ1631" s="171">
        <f t="shared" si="531"/>
        <v>1</v>
      </c>
      <c r="BA1631" s="172">
        <f t="shared" si="532"/>
        <v>0</v>
      </c>
      <c r="BB1631" s="175">
        <f t="shared" si="534"/>
        <v>14</v>
      </c>
      <c r="BC1631" s="176">
        <f t="shared" si="535"/>
        <v>14</v>
      </c>
      <c r="BD1631" s="176">
        <f t="shared" si="536"/>
        <v>14</v>
      </c>
      <c r="BE1631" s="240" t="str">
        <f t="shared" si="526"/>
        <v/>
      </c>
      <c r="BF1631" s="989"/>
      <c r="BG1631" s="989"/>
      <c r="BH1631" s="991">
        <f>IF(AND(Input_Product=Elig!$C1631,Elig_MatchAll_Ct&lt;22,$BC1631=(Elig_MatchAll_Ct-1),AF1631=0),C1631,0)</f>
        <v>0</v>
      </c>
      <c r="BI1631" s="991">
        <f>IF(AND(Input_Product=Elig!$C1631,Elig_MatchAll_Ct&lt;22,$BC1631=(Elig_MatchAll_Ct-1),AG1631=0),D1631,0)</f>
        <v>0</v>
      </c>
      <c r="BJ1631" s="991">
        <f>IF(AND(Input_Product=Elig!$C1631,Elig_MatchAll_Ct&lt;22,$BC1631=(Elig_MatchAll_Ct-1),AH1631=0),E1631,0)</f>
        <v>0</v>
      </c>
      <c r="BK1631" s="991">
        <f>IF(AND(Input_Product=Elig!$C1631,Elig_MatchAll_Ct&lt;22,$BC1631=(Elig_MatchAll_Ct-1),AI1631=0),F1631,0)</f>
        <v>0</v>
      </c>
      <c r="BL1631" s="991">
        <f>IF(AND(Input_Product=Elig!$C1631,Elig_MatchAll_Ct&lt;22,$BC1631=(Elig_MatchAll_Ct-1),AJ1631=0),G1631,0)</f>
        <v>0</v>
      </c>
      <c r="BM1631" s="991">
        <f>IF(AND(Input_Product=Elig!$C1631,Elig_MatchAll_Ct&lt;22,$BC1631=(Elig_MatchAll_Ct-1),AK1631=0),H1631,0)</f>
        <v>0</v>
      </c>
      <c r="BN1631" s="991">
        <f>IF(AND(Input_Product=Elig!$C1631,Elig_MatchAll_Ct&lt;22,$BC1631=(Elig_MatchAll_Ct-1),AL1631=0),I1631,0)</f>
        <v>0</v>
      </c>
      <c r="BO1631" s="991">
        <f>IF(AND(Input_Product=Elig!$C1631,Elig_MatchAll_Ct&lt;22,$BC1631=(Elig_MatchAll_Ct-1),AM1631=0),J1631,0)</f>
        <v>0</v>
      </c>
      <c r="BP1631" s="991">
        <f>IF(AND(Input_Product=Elig!$C1631,Elig_MatchAll_Ct&lt;22,$BC1631=(Elig_MatchAll_Ct-1),AN1631=0),K1631,0)</f>
        <v>0</v>
      </c>
      <c r="BQ1631" s="991">
        <f>IF(AND(Input_Product=Elig!$C1631,Elig_MatchAll_Ct&lt;22,$BC1631=(Elig_MatchAll_Ct-1),AP1631=0),L1631,0)</f>
        <v>0</v>
      </c>
      <c r="BR1631" s="991">
        <f>IF(AND(Input_Product=Elig!$C1631,Elig_MatchAll_Ct&lt;22,$BC1631=(Elig_MatchAll_Ct-1),AO1631=0),M1631,0)</f>
        <v>0</v>
      </c>
      <c r="BS1631" s="991">
        <f>IF(AND(Input_Product=Elig!$C1631,Elig_MatchAll_Ct&lt;22,$BC1631=(Elig_MatchAll_Ct-1),AQ1631=0),N1631,0)</f>
        <v>0</v>
      </c>
      <c r="BT1631" s="991">
        <f>IF(AND(Input_Product=Elig!$C1631,Elig_MatchAll_Ct&lt;22,$BC1631=(Elig_MatchAll_Ct-1),AR1631=0),O1631,0)</f>
        <v>0</v>
      </c>
      <c r="BU1631" s="991">
        <f>IF(AND(Input_Product=Elig!$C1631,Elig_MatchAll_Ct&lt;22,$BC1631=(Elig_MatchAll_Ct-1),AS1631=0),P1631,0)</f>
        <v>0</v>
      </c>
      <c r="BV1631" s="992">
        <f>IF(AND(Input_Product=Elig!$C1631,Elig_MatchAll_Ct&lt;22,$BC1631=(Elig_MatchAll_Ct-1),AT1631=0),Q1631,0)</f>
        <v>0</v>
      </c>
      <c r="BW1631" s="993">
        <f>IF(AND(Input_Product=Elig!$C1631,Elig_MatchAll_Ct&lt;22,$BC1631=(Elig_MatchAll_Ct-1),AU1631=0),R1631,0)</f>
        <v>0</v>
      </c>
      <c r="BX1631" s="994">
        <f>IF(AND(Input_Product=Elig!$C1631,Elig_MatchAll_Ct&lt;22,$BC1631=(Elig_MatchAll_Ct-1),AU1631=0),S1631,0)</f>
        <v>0</v>
      </c>
      <c r="BY1631" s="993">
        <f>IF(AND(Input_Product=Elig!$C1631,Elig_MatchAll_Ct&lt;22,$BC1631=(Elig_MatchAll_Ct-1),AV1631=0),T1631,0)</f>
        <v>0</v>
      </c>
      <c r="BZ1631" s="994">
        <f>IF(AND(Input_Product=Elig!$C1631,Elig_MatchAll_Ct&lt;22,$BC1631=(Elig_MatchAll_Ct-1),AV1631=0),U1631,0)</f>
        <v>0</v>
      </c>
      <c r="CA1631" s="993">
        <f>IF(AND(Input_Product=Elig!$C1631,Elig_MatchAll_Ct&lt;22,$BC1631=(Elig_MatchAll_Ct-1),AW1631=0),V1631,0)</f>
        <v>0</v>
      </c>
      <c r="CB1631" s="994">
        <f>IF(AND(Input_Product=Elig!$C1631,Elig_MatchAll_Ct&lt;22,$BC1631=(Elig_MatchAll_Ct-1),AW1631=0),W1631,0)</f>
        <v>0</v>
      </c>
      <c r="CC1631" s="993">
        <f>IF(AND(Input_Product=Elig!$C1631,Elig_MatchAll_Ct&lt;22,$BC1631=(Elig_MatchAll_Ct-1),AX1631=0),X1631,0)</f>
        <v>0</v>
      </c>
      <c r="CD1631" s="994">
        <f>IF(AND(Input_Product=Elig!$C1631,Elig_MatchAll_Ct&lt;22,$BC1631=(Elig_MatchAll_Ct-1),AX1631=0),Y1631,0)</f>
        <v>0</v>
      </c>
      <c r="CE1631" s="993">
        <f>IF(AND(Input_LTV&lt;=AE1631,Input_Product=Elig!$C1631,Elig_MatchAll_Ct&lt;22,$BC1631=(Elig_MatchAll_Ct-1),AY1631=0),Z1631,0)</f>
        <v>0</v>
      </c>
      <c r="CF1631" s="994">
        <f>IF(AND(Input_LTV&lt;=AE1631,Input_Product=Elig!$C1631,Elig_MatchAll_Ct&lt;22,$BC1631=(Elig_MatchAll_Ct-1),AY1631=0),AA1631,0)</f>
        <v>0</v>
      </c>
      <c r="CG1631" s="993">
        <f>IF(AND(Input_Product=Elig!$C1631,Elig_MatchAll_Ct&lt;22,$BC1631=(Elig_MatchAll_Ct-1),AZ1631=0),AB1631,0)</f>
        <v>0</v>
      </c>
      <c r="CH1631" s="994">
        <f>IF(AND(Input_Product=Elig!$C1631,Elig_MatchAll_Ct&lt;22,$BC1631=(Elig_MatchAll_Ct-1),AZ1631=0),AC1631,0)</f>
        <v>0</v>
      </c>
      <c r="CI1631" s="993">
        <f>IF(AND(Input_Product=Elig!$C1631,Elig_MatchAll_Ct&lt;22,$BC1631=(Elig_MatchAll_Ct-1),BA1631=0),AD1631,0)</f>
        <v>0</v>
      </c>
      <c r="CJ1631" s="994">
        <f>IF(AND(Input_Product=Elig!$C1631,Elig_MatchAll_Ct&lt;22,$BC1631=(Elig_MatchAll_Ct-1),BA1631=0),AE1631,0)</f>
        <v>0</v>
      </c>
    </row>
    <row r="1632" spans="2:88" ht="10.15" customHeight="1" x14ac:dyDescent="0.25">
      <c r="B1632" s="1063" t="s">
        <v>3683</v>
      </c>
      <c r="C1632" s="1061" t="str" cm="1">
        <f t="array" ref="C1632">Input_Name_Product11</f>
        <v>HELOC NOO</v>
      </c>
      <c r="D1632" s="1063" t="s">
        <v>1984</v>
      </c>
      <c r="E1632" s="1063" t="s">
        <v>4</v>
      </c>
      <c r="F1632" s="1063" t="s">
        <v>330</v>
      </c>
      <c r="G1632" s="1062" t="s">
        <v>175</v>
      </c>
      <c r="H1632" s="1062" t="s">
        <v>446</v>
      </c>
      <c r="I1632" s="1063" t="s">
        <v>1332</v>
      </c>
      <c r="J1632" s="1063" t="s">
        <v>3544</v>
      </c>
      <c r="K1632" s="1062" t="s">
        <v>1791</v>
      </c>
      <c r="L1632" s="1063" t="s">
        <v>430</v>
      </c>
      <c r="M1632" s="1063" t="s">
        <v>2677</v>
      </c>
      <c r="N1632" s="1062" t="s">
        <v>82</v>
      </c>
      <c r="O1632" s="1063" t="s">
        <v>310</v>
      </c>
      <c r="P1632" s="1063" t="s">
        <v>291</v>
      </c>
      <c r="Q1632" s="1063" t="s">
        <v>294</v>
      </c>
      <c r="R1632" s="1063">
        <v>350000.01</v>
      </c>
      <c r="S1632" s="1063">
        <v>500000</v>
      </c>
      <c r="T1632" s="1063">
        <v>0</v>
      </c>
      <c r="U1632" s="1063">
        <v>500000</v>
      </c>
      <c r="V1632" s="1063">
        <v>0</v>
      </c>
      <c r="W1632" s="1063">
        <v>50</v>
      </c>
      <c r="X1632" s="1063">
        <v>0</v>
      </c>
      <c r="Y1632" s="1063">
        <v>999</v>
      </c>
      <c r="Z1632" s="1064">
        <v>700</v>
      </c>
      <c r="AA1632" s="1064">
        <v>719</v>
      </c>
      <c r="AB1632" s="1064">
        <v>0</v>
      </c>
      <c r="AC1632" s="1064">
        <v>999999</v>
      </c>
      <c r="AD1632" s="1063">
        <v>0</v>
      </c>
      <c r="AE1632" s="1063">
        <v>0</v>
      </c>
      <c r="AF1632" s="170">
        <v>0</v>
      </c>
      <c r="AG1632" s="171">
        <v>0</v>
      </c>
      <c r="AH1632" s="171">
        <v>0</v>
      </c>
      <c r="AI1632" s="171">
        <v>0</v>
      </c>
      <c r="AJ1632" s="171">
        <v>0</v>
      </c>
      <c r="AK1632" s="171">
        <v>0</v>
      </c>
      <c r="AL1632" s="171">
        <v>1</v>
      </c>
      <c r="AM1632" s="171">
        <v>1</v>
      </c>
      <c r="AN1632" s="171">
        <v>1</v>
      </c>
      <c r="AO1632" s="171">
        <v>1</v>
      </c>
      <c r="AP1632" s="171">
        <v>1</v>
      </c>
      <c r="AQ1632" s="171">
        <v>1</v>
      </c>
      <c r="AR1632" s="171">
        <v>1</v>
      </c>
      <c r="AS1632" s="171">
        <v>1</v>
      </c>
      <c r="AT1632" s="171">
        <v>1</v>
      </c>
      <c r="AU1632" s="171">
        <f t="shared" si="527"/>
        <v>0</v>
      </c>
      <c r="AV1632" s="171">
        <f t="shared" si="528"/>
        <v>1</v>
      </c>
      <c r="AW1632" s="171">
        <f t="shared" si="529"/>
        <v>1</v>
      </c>
      <c r="AX1632" s="171">
        <f t="shared" si="537"/>
        <v>1</v>
      </c>
      <c r="AY1632" s="171">
        <f t="shared" si="530"/>
        <v>0</v>
      </c>
      <c r="AZ1632" s="171">
        <f t="shared" si="531"/>
        <v>1</v>
      </c>
      <c r="BA1632" s="172">
        <f t="shared" si="532"/>
        <v>0</v>
      </c>
      <c r="BB1632" s="175">
        <f t="shared" si="534"/>
        <v>13</v>
      </c>
      <c r="BC1632" s="176">
        <f t="shared" si="535"/>
        <v>13</v>
      </c>
      <c r="BD1632" s="176">
        <f t="shared" si="536"/>
        <v>13</v>
      </c>
      <c r="BE1632" s="240" t="str">
        <f t="shared" si="526"/>
        <v/>
      </c>
      <c r="BF1632" s="990"/>
      <c r="BG1632" s="990"/>
      <c r="BH1632" s="991">
        <f>IF(AND(Input_Product=Elig!$C1632,Elig_MatchAll_Ct&lt;22,$BC1632=(Elig_MatchAll_Ct-1),AF1632=0),C1632,0)</f>
        <v>0</v>
      </c>
      <c r="BI1632" s="991">
        <f>IF(AND(Input_Product=Elig!$C1632,Elig_MatchAll_Ct&lt;22,$BC1632=(Elig_MatchAll_Ct-1),AG1632=0),D1632,0)</f>
        <v>0</v>
      </c>
      <c r="BJ1632" s="991">
        <f>IF(AND(Input_Product=Elig!$C1632,Elig_MatchAll_Ct&lt;22,$BC1632=(Elig_MatchAll_Ct-1),AH1632=0),E1632,0)</f>
        <v>0</v>
      </c>
      <c r="BK1632" s="991">
        <f>IF(AND(Input_Product=Elig!$C1632,Elig_MatchAll_Ct&lt;22,$BC1632=(Elig_MatchAll_Ct-1),AI1632=0),F1632,0)</f>
        <v>0</v>
      </c>
      <c r="BL1632" s="991">
        <f>IF(AND(Input_Product=Elig!$C1632,Elig_MatchAll_Ct&lt;22,$BC1632=(Elig_MatchAll_Ct-1),AJ1632=0),G1632,0)</f>
        <v>0</v>
      </c>
      <c r="BM1632" s="991">
        <f>IF(AND(Input_Product=Elig!$C1632,Elig_MatchAll_Ct&lt;22,$BC1632=(Elig_MatchAll_Ct-1),AK1632=0),H1632,0)</f>
        <v>0</v>
      </c>
      <c r="BN1632" s="991">
        <f>IF(AND(Input_Product=Elig!$C1632,Elig_MatchAll_Ct&lt;22,$BC1632=(Elig_MatchAll_Ct-1),AL1632=0),I1632,0)</f>
        <v>0</v>
      </c>
      <c r="BO1632" s="991">
        <f>IF(AND(Input_Product=Elig!$C1632,Elig_MatchAll_Ct&lt;22,$BC1632=(Elig_MatchAll_Ct-1),AM1632=0),J1632,0)</f>
        <v>0</v>
      </c>
      <c r="BP1632" s="991">
        <f>IF(AND(Input_Product=Elig!$C1632,Elig_MatchAll_Ct&lt;22,$BC1632=(Elig_MatchAll_Ct-1),AN1632=0),K1632,0)</f>
        <v>0</v>
      </c>
      <c r="BQ1632" s="991">
        <f>IF(AND(Input_Product=Elig!$C1632,Elig_MatchAll_Ct&lt;22,$BC1632=(Elig_MatchAll_Ct-1),AP1632=0),L1632,0)</f>
        <v>0</v>
      </c>
      <c r="BR1632" s="991">
        <f>IF(AND(Input_Product=Elig!$C1632,Elig_MatchAll_Ct&lt;22,$BC1632=(Elig_MatchAll_Ct-1),AO1632=0),M1632,0)</f>
        <v>0</v>
      </c>
      <c r="BS1632" s="991">
        <f>IF(AND(Input_Product=Elig!$C1632,Elig_MatchAll_Ct&lt;22,$BC1632=(Elig_MatchAll_Ct-1),AQ1632=0),N1632,0)</f>
        <v>0</v>
      </c>
      <c r="BT1632" s="991">
        <f>IF(AND(Input_Product=Elig!$C1632,Elig_MatchAll_Ct&lt;22,$BC1632=(Elig_MatchAll_Ct-1),AR1632=0),O1632,0)</f>
        <v>0</v>
      </c>
      <c r="BU1632" s="991">
        <f>IF(AND(Input_Product=Elig!$C1632,Elig_MatchAll_Ct&lt;22,$BC1632=(Elig_MatchAll_Ct-1),AS1632=0),P1632,0)</f>
        <v>0</v>
      </c>
      <c r="BV1632" s="992">
        <f>IF(AND(Input_Product=Elig!$C1632,Elig_MatchAll_Ct&lt;22,$BC1632=(Elig_MatchAll_Ct-1),AT1632=0),Q1632,0)</f>
        <v>0</v>
      </c>
      <c r="BW1632" s="993">
        <f>IF(AND(Input_Product=Elig!$C1632,Elig_MatchAll_Ct&lt;22,$BC1632=(Elig_MatchAll_Ct-1),AU1632=0),R1632,0)</f>
        <v>0</v>
      </c>
      <c r="BX1632" s="994">
        <f>IF(AND(Input_Product=Elig!$C1632,Elig_MatchAll_Ct&lt;22,$BC1632=(Elig_MatchAll_Ct-1),AU1632=0),S1632,0)</f>
        <v>0</v>
      </c>
      <c r="BY1632" s="993">
        <f>IF(AND(Input_Product=Elig!$C1632,Elig_MatchAll_Ct&lt;22,$BC1632=(Elig_MatchAll_Ct-1),AV1632=0),T1632,0)</f>
        <v>0</v>
      </c>
      <c r="BZ1632" s="994">
        <f>IF(AND(Input_Product=Elig!$C1632,Elig_MatchAll_Ct&lt;22,$BC1632=(Elig_MatchAll_Ct-1),AV1632=0),U1632,0)</f>
        <v>0</v>
      </c>
      <c r="CA1632" s="993">
        <f>IF(AND(Input_Product=Elig!$C1632,Elig_MatchAll_Ct&lt;22,$BC1632=(Elig_MatchAll_Ct-1),AW1632=0),V1632,0)</f>
        <v>0</v>
      </c>
      <c r="CB1632" s="994">
        <f>IF(AND(Input_Product=Elig!$C1632,Elig_MatchAll_Ct&lt;22,$BC1632=(Elig_MatchAll_Ct-1),AW1632=0),W1632,0)</f>
        <v>0</v>
      </c>
      <c r="CC1632" s="993">
        <f>IF(AND(Input_Product=Elig!$C1632,Elig_MatchAll_Ct&lt;22,$BC1632=(Elig_MatchAll_Ct-1),AX1632=0),X1632,0)</f>
        <v>0</v>
      </c>
      <c r="CD1632" s="994">
        <f>IF(AND(Input_Product=Elig!$C1632,Elig_MatchAll_Ct&lt;22,$BC1632=(Elig_MatchAll_Ct-1),AX1632=0),Y1632,0)</f>
        <v>0</v>
      </c>
      <c r="CE1632" s="993">
        <f>IF(AND(Input_LTV&lt;=AE1632,Input_Product=Elig!$C1632,Elig_MatchAll_Ct&lt;22,$BC1632=(Elig_MatchAll_Ct-1),AY1632=0),Z1632,0)</f>
        <v>0</v>
      </c>
      <c r="CF1632" s="994">
        <f>IF(AND(Input_LTV&lt;=AE1632,Input_Product=Elig!$C1632,Elig_MatchAll_Ct&lt;22,$BC1632=(Elig_MatchAll_Ct-1),AY1632=0),AA1632,0)</f>
        <v>0</v>
      </c>
      <c r="CG1632" s="993">
        <f>IF(AND(Input_Product=Elig!$C1632,Elig_MatchAll_Ct&lt;22,$BC1632=(Elig_MatchAll_Ct-1),AZ1632=0),AB1632,0)</f>
        <v>0</v>
      </c>
      <c r="CH1632" s="994">
        <f>IF(AND(Input_Product=Elig!$C1632,Elig_MatchAll_Ct&lt;22,$BC1632=(Elig_MatchAll_Ct-1),AZ1632=0),AC1632,0)</f>
        <v>0</v>
      </c>
      <c r="CI1632" s="993">
        <f>IF(AND(Input_Product=Elig!$C1632,Elig_MatchAll_Ct&lt;22,$BC1632=(Elig_MatchAll_Ct-1),BA1632=0),AD1632,0)</f>
        <v>0</v>
      </c>
      <c r="CJ1632" s="994">
        <f>IF(AND(Input_Product=Elig!$C1632,Elig_MatchAll_Ct&lt;22,$BC1632=(Elig_MatchAll_Ct-1),BA1632=0),AE1632,0)</f>
        <v>0</v>
      </c>
    </row>
    <row r="1633" spans="2:88" ht="10.15" customHeight="1" x14ac:dyDescent="0.25">
      <c r="B1633" s="1063" t="s">
        <v>3684</v>
      </c>
      <c r="C1633" s="1065" t="str" cm="1">
        <f t="array" ref="C1633">Input_Name_Product11</f>
        <v>HELOC NOO</v>
      </c>
      <c r="D1633" s="1066" t="s">
        <v>1984</v>
      </c>
      <c r="E1633" s="1066" t="s">
        <v>4</v>
      </c>
      <c r="F1633" s="1066" t="s">
        <v>330</v>
      </c>
      <c r="G1633" s="1067" t="s">
        <v>175</v>
      </c>
      <c r="H1633" s="1067" t="s">
        <v>446</v>
      </c>
      <c r="I1633" s="1066" t="s">
        <v>1332</v>
      </c>
      <c r="J1633" s="1066" t="s">
        <v>3544</v>
      </c>
      <c r="K1633" s="1067" t="s">
        <v>1791</v>
      </c>
      <c r="L1633" s="1066" t="s">
        <v>430</v>
      </c>
      <c r="M1633" s="1066" t="s">
        <v>2677</v>
      </c>
      <c r="N1633" s="1067" t="s">
        <v>82</v>
      </c>
      <c r="O1633" s="1066" t="s">
        <v>310</v>
      </c>
      <c r="P1633" s="1066" t="s">
        <v>291</v>
      </c>
      <c r="Q1633" s="1066" t="s">
        <v>294</v>
      </c>
      <c r="R1633" s="1066">
        <v>350000.01</v>
      </c>
      <c r="S1633" s="1066">
        <v>500000</v>
      </c>
      <c r="T1633" s="1066">
        <v>0</v>
      </c>
      <c r="U1633" s="1066">
        <v>500000</v>
      </c>
      <c r="V1633" s="1066">
        <v>0</v>
      </c>
      <c r="W1633" s="1066">
        <v>50</v>
      </c>
      <c r="X1633" s="1066">
        <v>0</v>
      </c>
      <c r="Y1633" s="1066">
        <v>999</v>
      </c>
      <c r="Z1633" s="1068">
        <v>680</v>
      </c>
      <c r="AA1633" s="1068">
        <v>699</v>
      </c>
      <c r="AB1633" s="1068">
        <v>0</v>
      </c>
      <c r="AC1633" s="1068">
        <v>999999</v>
      </c>
      <c r="AD1633" s="1066">
        <v>0</v>
      </c>
      <c r="AE1633" s="2049">
        <v>0</v>
      </c>
      <c r="AF1633" s="170">
        <v>0</v>
      </c>
      <c r="AG1633" s="171">
        <v>0</v>
      </c>
      <c r="AH1633" s="171">
        <v>0</v>
      </c>
      <c r="AI1633" s="171">
        <v>0</v>
      </c>
      <c r="AJ1633" s="171">
        <v>0</v>
      </c>
      <c r="AK1633" s="171">
        <v>0</v>
      </c>
      <c r="AL1633" s="171">
        <v>1</v>
      </c>
      <c r="AM1633" s="171">
        <v>1</v>
      </c>
      <c r="AN1633" s="171">
        <v>1</v>
      </c>
      <c r="AO1633" s="171">
        <v>1</v>
      </c>
      <c r="AP1633" s="171">
        <v>1</v>
      </c>
      <c r="AQ1633" s="171">
        <v>1</v>
      </c>
      <c r="AR1633" s="171">
        <v>1</v>
      </c>
      <c r="AS1633" s="171">
        <v>1</v>
      </c>
      <c r="AT1633" s="171">
        <v>1</v>
      </c>
      <c r="AU1633" s="171">
        <f t="shared" si="527"/>
        <v>0</v>
      </c>
      <c r="AV1633" s="171">
        <f t="shared" si="528"/>
        <v>1</v>
      </c>
      <c r="AW1633" s="171">
        <f t="shared" si="529"/>
        <v>1</v>
      </c>
      <c r="AX1633" s="171">
        <f t="shared" si="537"/>
        <v>1</v>
      </c>
      <c r="AY1633" s="171">
        <f t="shared" si="530"/>
        <v>0</v>
      </c>
      <c r="AZ1633" s="171">
        <f t="shared" si="531"/>
        <v>1</v>
      </c>
      <c r="BA1633" s="172">
        <f t="shared" si="532"/>
        <v>0</v>
      </c>
      <c r="BB1633" s="175">
        <f t="shared" si="534"/>
        <v>13</v>
      </c>
      <c r="BC1633" s="176">
        <f t="shared" si="535"/>
        <v>13</v>
      </c>
      <c r="BD1633" s="176">
        <f t="shared" si="536"/>
        <v>13</v>
      </c>
      <c r="BE1633" s="240" t="str">
        <f t="shared" si="526"/>
        <v/>
      </c>
      <c r="BF1633" s="990"/>
      <c r="BG1633" s="990"/>
      <c r="BH1633" s="991">
        <f>IF(AND(Input_Product=Elig!$C1633,Elig_MatchAll_Ct&lt;22,$BC1633=(Elig_MatchAll_Ct-1),AF1633=0),C1633,0)</f>
        <v>0</v>
      </c>
      <c r="BI1633" s="991">
        <f>IF(AND(Input_Product=Elig!$C1633,Elig_MatchAll_Ct&lt;22,$BC1633=(Elig_MatchAll_Ct-1),AG1633=0),D1633,0)</f>
        <v>0</v>
      </c>
      <c r="BJ1633" s="991">
        <f>IF(AND(Input_Product=Elig!$C1633,Elig_MatchAll_Ct&lt;22,$BC1633=(Elig_MatchAll_Ct-1),AH1633=0),E1633,0)</f>
        <v>0</v>
      </c>
      <c r="BK1633" s="991">
        <f>IF(AND(Input_Product=Elig!$C1633,Elig_MatchAll_Ct&lt;22,$BC1633=(Elig_MatchAll_Ct-1),AI1633=0),F1633,0)</f>
        <v>0</v>
      </c>
      <c r="BL1633" s="991">
        <f>IF(AND(Input_Product=Elig!$C1633,Elig_MatchAll_Ct&lt;22,$BC1633=(Elig_MatchAll_Ct-1),AJ1633=0),G1633,0)</f>
        <v>0</v>
      </c>
      <c r="BM1633" s="991">
        <f>IF(AND(Input_Product=Elig!$C1633,Elig_MatchAll_Ct&lt;22,$BC1633=(Elig_MatchAll_Ct-1),AK1633=0),H1633,0)</f>
        <v>0</v>
      </c>
      <c r="BN1633" s="991">
        <f>IF(AND(Input_Product=Elig!$C1633,Elig_MatchAll_Ct&lt;22,$BC1633=(Elig_MatchAll_Ct-1),AL1633=0),I1633,0)</f>
        <v>0</v>
      </c>
      <c r="BO1633" s="991">
        <f>IF(AND(Input_Product=Elig!$C1633,Elig_MatchAll_Ct&lt;22,$BC1633=(Elig_MatchAll_Ct-1),AM1633=0),J1633,0)</f>
        <v>0</v>
      </c>
      <c r="BP1633" s="991">
        <f>IF(AND(Input_Product=Elig!$C1633,Elig_MatchAll_Ct&lt;22,$BC1633=(Elig_MatchAll_Ct-1),AN1633=0),K1633,0)</f>
        <v>0</v>
      </c>
      <c r="BQ1633" s="991">
        <f>IF(AND(Input_Product=Elig!$C1633,Elig_MatchAll_Ct&lt;22,$BC1633=(Elig_MatchAll_Ct-1),AP1633=0),L1633,0)</f>
        <v>0</v>
      </c>
      <c r="BR1633" s="991">
        <f>IF(AND(Input_Product=Elig!$C1633,Elig_MatchAll_Ct&lt;22,$BC1633=(Elig_MatchAll_Ct-1),AO1633=0),M1633,0)</f>
        <v>0</v>
      </c>
      <c r="BS1633" s="991">
        <f>IF(AND(Input_Product=Elig!$C1633,Elig_MatchAll_Ct&lt;22,$BC1633=(Elig_MatchAll_Ct-1),AQ1633=0),N1633,0)</f>
        <v>0</v>
      </c>
      <c r="BT1633" s="991">
        <f>IF(AND(Input_Product=Elig!$C1633,Elig_MatchAll_Ct&lt;22,$BC1633=(Elig_MatchAll_Ct-1),AR1633=0),O1633,0)</f>
        <v>0</v>
      </c>
      <c r="BU1633" s="991">
        <f>IF(AND(Input_Product=Elig!$C1633,Elig_MatchAll_Ct&lt;22,$BC1633=(Elig_MatchAll_Ct-1),AS1633=0),P1633,0)</f>
        <v>0</v>
      </c>
      <c r="BV1633" s="992">
        <f>IF(AND(Input_Product=Elig!$C1633,Elig_MatchAll_Ct&lt;22,$BC1633=(Elig_MatchAll_Ct-1),AT1633=0),Q1633,0)</f>
        <v>0</v>
      </c>
      <c r="BW1633" s="993">
        <f>IF(AND(Input_Product=Elig!$C1633,Elig_MatchAll_Ct&lt;22,$BC1633=(Elig_MatchAll_Ct-1),AU1633=0),R1633,0)</f>
        <v>0</v>
      </c>
      <c r="BX1633" s="994">
        <f>IF(AND(Input_Product=Elig!$C1633,Elig_MatchAll_Ct&lt;22,$BC1633=(Elig_MatchAll_Ct-1),AU1633=0),S1633,0)</f>
        <v>0</v>
      </c>
      <c r="BY1633" s="993">
        <f>IF(AND(Input_Product=Elig!$C1633,Elig_MatchAll_Ct&lt;22,$BC1633=(Elig_MatchAll_Ct-1),AV1633=0),T1633,0)</f>
        <v>0</v>
      </c>
      <c r="BZ1633" s="994">
        <f>IF(AND(Input_Product=Elig!$C1633,Elig_MatchAll_Ct&lt;22,$BC1633=(Elig_MatchAll_Ct-1),AV1633=0),U1633,0)</f>
        <v>0</v>
      </c>
      <c r="CA1633" s="993">
        <f>IF(AND(Input_Product=Elig!$C1633,Elig_MatchAll_Ct&lt;22,$BC1633=(Elig_MatchAll_Ct-1),AW1633=0),V1633,0)</f>
        <v>0</v>
      </c>
      <c r="CB1633" s="994">
        <f>IF(AND(Input_Product=Elig!$C1633,Elig_MatchAll_Ct&lt;22,$BC1633=(Elig_MatchAll_Ct-1),AW1633=0),W1633,0)</f>
        <v>0</v>
      </c>
      <c r="CC1633" s="993">
        <f>IF(AND(Input_Product=Elig!$C1633,Elig_MatchAll_Ct&lt;22,$BC1633=(Elig_MatchAll_Ct-1),AX1633=0),X1633,0)</f>
        <v>0</v>
      </c>
      <c r="CD1633" s="994">
        <f>IF(AND(Input_Product=Elig!$C1633,Elig_MatchAll_Ct&lt;22,$BC1633=(Elig_MatchAll_Ct-1),AX1633=0),Y1633,0)</f>
        <v>0</v>
      </c>
      <c r="CE1633" s="993">
        <f>IF(AND(Input_LTV&lt;=AE1633,Input_Product=Elig!$C1633,Elig_MatchAll_Ct&lt;22,$BC1633=(Elig_MatchAll_Ct-1),AY1633=0),Z1633,0)</f>
        <v>0</v>
      </c>
      <c r="CF1633" s="994">
        <f>IF(AND(Input_LTV&lt;=AE1633,Input_Product=Elig!$C1633,Elig_MatchAll_Ct&lt;22,$BC1633=(Elig_MatchAll_Ct-1),AY1633=0),AA1633,0)</f>
        <v>0</v>
      </c>
      <c r="CG1633" s="993">
        <f>IF(AND(Input_Product=Elig!$C1633,Elig_MatchAll_Ct&lt;22,$BC1633=(Elig_MatchAll_Ct-1),AZ1633=0),AB1633,0)</f>
        <v>0</v>
      </c>
      <c r="CH1633" s="994">
        <f>IF(AND(Input_Product=Elig!$C1633,Elig_MatchAll_Ct&lt;22,$BC1633=(Elig_MatchAll_Ct-1),AZ1633=0),AC1633,0)</f>
        <v>0</v>
      </c>
      <c r="CI1633" s="993">
        <f>IF(AND(Input_Product=Elig!$C1633,Elig_MatchAll_Ct&lt;22,$BC1633=(Elig_MatchAll_Ct-1),BA1633=0),AD1633,0)</f>
        <v>0</v>
      </c>
      <c r="CJ1633" s="994">
        <f>IF(AND(Input_Product=Elig!$C1633,Elig_MatchAll_Ct&lt;22,$BC1633=(Elig_MatchAll_Ct-1),BA1633=0),AE1633,0)</f>
        <v>0</v>
      </c>
    </row>
    <row r="1634" spans="2:88" ht="10.15" customHeight="1" x14ac:dyDescent="0.25"/>
    <row r="1635" spans="2:88" ht="10.15" customHeight="1" x14ac:dyDescent="0.25"/>
    <row r="1636" spans="2:88" ht="10.15" customHeight="1" x14ac:dyDescent="0.25"/>
    <row r="1637" spans="2:88" ht="9" customHeight="1" x14ac:dyDescent="0.25"/>
    <row r="1638" spans="2:88" ht="9" customHeight="1" x14ac:dyDescent="0.25"/>
    <row r="1639" spans="2:88" ht="9" customHeight="1" x14ac:dyDescent="0.25"/>
    <row r="1640" spans="2:88" ht="9" customHeight="1" x14ac:dyDescent="0.25"/>
    <row r="1641" spans="2:88" ht="9" customHeight="1" x14ac:dyDescent="0.25"/>
    <row r="1642" spans="2:88" ht="9" customHeight="1" x14ac:dyDescent="0.25"/>
    <row r="1643" spans="2:88" ht="9" customHeight="1" x14ac:dyDescent="0.25"/>
    <row r="1644" spans="2:88" ht="9" customHeight="1" x14ac:dyDescent="0.25"/>
    <row r="1645" spans="2:88" ht="9" customHeight="1" x14ac:dyDescent="0.25"/>
    <row r="1646" spans="2:88" ht="9" customHeight="1" x14ac:dyDescent="0.25"/>
    <row r="1647" spans="2:88" ht="9" customHeight="1" x14ac:dyDescent="0.25"/>
    <row r="1648" spans="2:88" ht="9" customHeight="1" x14ac:dyDescent="0.25"/>
    <row r="1649" ht="9" customHeight="1" x14ac:dyDescent="0.25"/>
    <row r="1650" ht="9" customHeight="1" x14ac:dyDescent="0.25"/>
    <row r="1651" ht="9" customHeight="1" x14ac:dyDescent="0.25"/>
    <row r="1652" ht="9" customHeight="1" x14ac:dyDescent="0.25"/>
    <row r="1653" ht="9" customHeight="1" x14ac:dyDescent="0.25"/>
    <row r="1654" ht="9" customHeight="1" x14ac:dyDescent="0.25"/>
    <row r="1655" ht="9" customHeight="1" x14ac:dyDescent="0.25"/>
    <row r="1656" ht="9" customHeight="1" x14ac:dyDescent="0.25"/>
    <row r="1657" ht="9" customHeight="1" x14ac:dyDescent="0.25"/>
    <row r="1658" ht="9" customHeight="1" x14ac:dyDescent="0.25"/>
    <row r="1659" ht="9" customHeight="1" x14ac:dyDescent="0.25"/>
    <row r="1660" ht="9" customHeight="1" x14ac:dyDescent="0.25"/>
    <row r="1661" ht="9" customHeight="1" x14ac:dyDescent="0.25"/>
    <row r="1662" ht="9" customHeight="1" x14ac:dyDescent="0.25"/>
    <row r="1663" ht="9" customHeight="1" x14ac:dyDescent="0.25"/>
    <row r="1664" ht="9" customHeight="1" x14ac:dyDescent="0.25"/>
    <row r="1665" ht="9" customHeight="1" x14ac:dyDescent="0.25"/>
    <row r="1666" ht="9" customHeight="1" x14ac:dyDescent="0.25"/>
    <row r="1667" ht="9" customHeight="1" x14ac:dyDescent="0.25"/>
    <row r="1668" ht="9" customHeight="1" x14ac:dyDescent="0.25"/>
    <row r="1669" ht="9" customHeight="1" x14ac:dyDescent="0.25"/>
    <row r="1670" ht="9" customHeight="1" x14ac:dyDescent="0.25"/>
    <row r="1671" ht="9" customHeight="1" x14ac:dyDescent="0.25"/>
    <row r="1672" ht="9" customHeight="1" x14ac:dyDescent="0.25"/>
    <row r="1673" ht="9" customHeight="1" x14ac:dyDescent="0.25"/>
    <row r="1674" ht="9" customHeight="1" x14ac:dyDescent="0.25"/>
    <row r="1675" ht="9" customHeight="1" x14ac:dyDescent="0.25"/>
    <row r="1676" ht="9" customHeight="1" x14ac:dyDescent="0.25"/>
    <row r="1677" ht="9" customHeight="1" x14ac:dyDescent="0.25"/>
    <row r="1678" ht="9" customHeight="1" x14ac:dyDescent="0.25"/>
    <row r="1679" ht="9" customHeight="1" x14ac:dyDescent="0.25"/>
    <row r="1680" ht="9" customHeight="1" x14ac:dyDescent="0.25"/>
    <row r="1681" ht="9" customHeight="1" x14ac:dyDescent="0.25"/>
    <row r="1682" ht="9" customHeight="1" x14ac:dyDescent="0.25"/>
    <row r="1683" ht="9" customHeight="1" x14ac:dyDescent="0.25"/>
    <row r="1684" ht="9" customHeight="1" x14ac:dyDescent="0.25"/>
    <row r="1685" ht="9" customHeight="1" x14ac:dyDescent="0.25"/>
    <row r="1686" ht="9" customHeight="1" x14ac:dyDescent="0.25"/>
    <row r="1687" ht="9" customHeight="1" x14ac:dyDescent="0.25"/>
    <row r="1688" ht="9" customHeight="1" x14ac:dyDescent="0.25"/>
    <row r="1689" ht="9" customHeight="1" x14ac:dyDescent="0.25"/>
    <row r="1690" ht="9" customHeight="1" x14ac:dyDescent="0.25"/>
    <row r="1691" ht="9" customHeight="1" x14ac:dyDescent="0.25"/>
    <row r="1692" ht="9" customHeight="1" x14ac:dyDescent="0.25"/>
    <row r="1693" ht="9" customHeight="1" x14ac:dyDescent="0.25"/>
    <row r="1694" ht="9" customHeight="1" x14ac:dyDescent="0.25"/>
    <row r="1695" ht="9" customHeight="1" x14ac:dyDescent="0.25"/>
    <row r="1696" ht="9" customHeight="1" x14ac:dyDescent="0.25"/>
    <row r="1697" ht="9" customHeight="1" x14ac:dyDescent="0.25"/>
    <row r="1698" ht="9" customHeight="1" x14ac:dyDescent="0.25"/>
    <row r="1699" ht="9" customHeight="1" x14ac:dyDescent="0.25"/>
    <row r="1700" ht="9" customHeight="1" x14ac:dyDescent="0.25"/>
    <row r="1701" ht="9" customHeight="1" x14ac:dyDescent="0.25"/>
    <row r="1702" ht="9" customHeight="1" x14ac:dyDescent="0.25"/>
    <row r="1703" ht="9" customHeight="1" x14ac:dyDescent="0.25"/>
    <row r="1704" ht="9" customHeight="1" x14ac:dyDescent="0.25"/>
    <row r="1705" ht="9" customHeight="1" x14ac:dyDescent="0.25"/>
    <row r="1706" ht="9" customHeight="1" x14ac:dyDescent="0.25"/>
    <row r="1707" ht="9" customHeight="1" x14ac:dyDescent="0.25"/>
    <row r="1708" ht="9" customHeight="1" x14ac:dyDescent="0.25"/>
    <row r="1709" ht="9" customHeight="1" x14ac:dyDescent="0.25"/>
    <row r="1710" ht="9" customHeight="1" x14ac:dyDescent="0.25"/>
    <row r="1711" ht="9" customHeight="1" x14ac:dyDescent="0.25"/>
    <row r="1712" ht="9" customHeight="1" x14ac:dyDescent="0.25"/>
    <row r="1713" ht="9" customHeight="1" x14ac:dyDescent="0.25"/>
    <row r="1714" ht="9" customHeight="1" x14ac:dyDescent="0.25"/>
    <row r="1715" ht="9" customHeight="1" x14ac:dyDescent="0.25"/>
    <row r="1716" ht="9" customHeight="1" x14ac:dyDescent="0.25"/>
    <row r="1717" ht="9" customHeight="1" x14ac:dyDescent="0.25"/>
    <row r="1718" ht="9" customHeight="1" x14ac:dyDescent="0.25"/>
    <row r="1719" ht="9" customHeight="1" x14ac:dyDescent="0.25"/>
    <row r="1720" ht="9" customHeight="1" x14ac:dyDescent="0.25"/>
    <row r="1721" ht="9" customHeight="1" x14ac:dyDescent="0.25"/>
    <row r="1722" ht="9" customHeight="1" x14ac:dyDescent="0.25"/>
    <row r="1723" ht="9" customHeight="1" x14ac:dyDescent="0.25"/>
    <row r="1724" ht="9" customHeight="1" x14ac:dyDescent="0.25"/>
    <row r="1725" ht="9" customHeight="1" x14ac:dyDescent="0.25"/>
    <row r="1726" ht="9" customHeight="1" x14ac:dyDescent="0.25"/>
    <row r="1727" ht="9" customHeight="1" x14ac:dyDescent="0.25"/>
    <row r="1728" ht="9" customHeight="1" x14ac:dyDescent="0.25"/>
    <row r="1729" ht="9" customHeight="1" x14ac:dyDescent="0.25"/>
    <row r="1730" ht="9" customHeight="1" x14ac:dyDescent="0.25"/>
    <row r="1731" ht="9" customHeight="1" x14ac:dyDescent="0.25"/>
    <row r="1732" ht="9" customHeight="1" x14ac:dyDescent="0.25"/>
    <row r="1733" ht="9" customHeight="1" x14ac:dyDescent="0.25"/>
    <row r="1734" ht="9" customHeight="1" x14ac:dyDescent="0.25"/>
    <row r="1735" ht="9" customHeight="1" x14ac:dyDescent="0.25"/>
    <row r="1736" ht="9" customHeight="1" x14ac:dyDescent="0.25"/>
    <row r="1737" ht="9" customHeight="1" x14ac:dyDescent="0.25"/>
    <row r="1738" ht="9" customHeight="1" x14ac:dyDescent="0.25"/>
    <row r="1739" ht="9" customHeight="1" x14ac:dyDescent="0.25"/>
    <row r="1740" ht="9" customHeight="1" x14ac:dyDescent="0.25"/>
    <row r="1741" ht="9" customHeight="1" x14ac:dyDescent="0.25"/>
    <row r="1742" ht="9" customHeight="1" x14ac:dyDescent="0.25"/>
    <row r="1743" ht="9" customHeight="1" x14ac:dyDescent="0.25"/>
    <row r="1744" ht="9" customHeight="1" x14ac:dyDescent="0.25"/>
    <row r="1745" ht="9" customHeight="1" x14ac:dyDescent="0.25"/>
    <row r="1746" ht="9" customHeight="1" x14ac:dyDescent="0.25"/>
    <row r="1747" ht="9" customHeight="1" x14ac:dyDescent="0.25"/>
    <row r="1748" ht="9" customHeight="1" x14ac:dyDescent="0.25"/>
    <row r="1749" ht="9" customHeight="1" x14ac:dyDescent="0.25"/>
    <row r="1750" ht="9" customHeight="1" x14ac:dyDescent="0.25"/>
    <row r="1751" ht="9" customHeight="1" x14ac:dyDescent="0.25"/>
    <row r="1752" ht="9" customHeight="1" x14ac:dyDescent="0.25"/>
    <row r="1753" ht="9" customHeight="1" x14ac:dyDescent="0.25"/>
    <row r="1754" ht="9" customHeight="1" x14ac:dyDescent="0.25"/>
    <row r="1755" ht="9" customHeight="1" x14ac:dyDescent="0.25"/>
    <row r="1756" ht="9" customHeight="1" x14ac:dyDescent="0.25"/>
    <row r="1757" ht="9" customHeight="1" x14ac:dyDescent="0.25"/>
    <row r="1758" ht="9" customHeight="1" x14ac:dyDescent="0.25"/>
    <row r="1759" ht="9" customHeight="1" x14ac:dyDescent="0.25"/>
    <row r="1760" ht="9" customHeight="1" x14ac:dyDescent="0.25"/>
    <row r="1761" ht="9" customHeight="1" x14ac:dyDescent="0.25"/>
    <row r="1762" ht="9" customHeight="1" x14ac:dyDescent="0.25"/>
    <row r="1763" ht="9" customHeight="1" x14ac:dyDescent="0.25"/>
    <row r="1764" ht="9" customHeight="1" x14ac:dyDescent="0.25"/>
    <row r="1765" ht="9" customHeight="1" x14ac:dyDescent="0.25"/>
    <row r="1766" ht="9" customHeight="1" x14ac:dyDescent="0.25"/>
    <row r="1767" ht="9" customHeight="1" x14ac:dyDescent="0.25"/>
    <row r="1768" ht="9" customHeight="1" x14ac:dyDescent="0.25"/>
    <row r="1769" ht="9" customHeight="1" x14ac:dyDescent="0.25"/>
    <row r="1770" ht="9" customHeight="1" x14ac:dyDescent="0.25"/>
    <row r="1771" ht="9" customHeight="1" x14ac:dyDescent="0.25"/>
    <row r="1772" ht="9" customHeight="1" x14ac:dyDescent="0.25"/>
    <row r="1773" ht="9" customHeight="1" x14ac:dyDescent="0.25"/>
    <row r="1774" ht="9" customHeight="1" x14ac:dyDescent="0.25"/>
    <row r="1775" ht="9" customHeight="1" x14ac:dyDescent="0.25"/>
    <row r="1776" ht="9" customHeight="1" x14ac:dyDescent="0.25"/>
    <row r="1777" ht="9" customHeight="1" x14ac:dyDescent="0.25"/>
    <row r="1778" ht="9" customHeight="1" x14ac:dyDescent="0.25"/>
    <row r="1779" ht="9" customHeight="1" x14ac:dyDescent="0.25"/>
    <row r="1780" ht="9" customHeight="1" x14ac:dyDescent="0.25"/>
    <row r="1781" ht="9" customHeight="1" x14ac:dyDescent="0.25"/>
    <row r="1782" ht="9" customHeight="1" x14ac:dyDescent="0.25"/>
    <row r="1783" ht="9" customHeight="1" x14ac:dyDescent="0.25"/>
    <row r="1784" ht="9" customHeight="1" x14ac:dyDescent="0.25"/>
    <row r="1785" ht="9" customHeight="1" x14ac:dyDescent="0.25"/>
    <row r="1786" ht="9" customHeight="1" x14ac:dyDescent="0.25"/>
    <row r="1787" ht="9" customHeight="1" x14ac:dyDescent="0.25"/>
    <row r="1788" ht="9" customHeight="1" x14ac:dyDescent="0.25"/>
    <row r="1789" ht="9" customHeight="1" x14ac:dyDescent="0.25"/>
    <row r="1790" ht="9" customHeight="1" x14ac:dyDescent="0.25"/>
    <row r="1791" ht="9" customHeight="1" x14ac:dyDescent="0.25"/>
    <row r="1792" ht="9" customHeight="1" x14ac:dyDescent="0.25"/>
    <row r="1793" ht="9" customHeight="1" x14ac:dyDescent="0.25"/>
    <row r="1794" ht="9" customHeight="1" x14ac:dyDescent="0.25"/>
    <row r="1795" ht="9" customHeight="1" x14ac:dyDescent="0.25"/>
    <row r="1796" ht="9" customHeight="1" x14ac:dyDescent="0.25"/>
    <row r="1797" ht="9" customHeight="1" x14ac:dyDescent="0.25"/>
    <row r="1798" ht="9" customHeight="1" x14ac:dyDescent="0.25"/>
    <row r="1799" ht="9" customHeight="1" x14ac:dyDescent="0.25"/>
    <row r="1800" ht="9" customHeight="1" x14ac:dyDescent="0.25"/>
    <row r="1801" ht="9" customHeight="1" x14ac:dyDescent="0.25"/>
    <row r="1802" ht="9" customHeight="1" x14ac:dyDescent="0.25"/>
    <row r="1803" ht="9" customHeight="1" x14ac:dyDescent="0.25"/>
    <row r="1804" ht="9" customHeight="1" x14ac:dyDescent="0.25"/>
    <row r="1805" ht="9" customHeight="1" x14ac:dyDescent="0.25"/>
    <row r="1806" ht="9" customHeight="1" x14ac:dyDescent="0.25"/>
    <row r="1807" ht="9" customHeight="1" x14ac:dyDescent="0.25"/>
    <row r="1808" ht="9" customHeight="1" x14ac:dyDescent="0.25"/>
    <row r="1809" ht="9" customHeight="1" x14ac:dyDescent="0.25"/>
    <row r="1810" ht="9" customHeight="1" x14ac:dyDescent="0.25"/>
    <row r="1811" ht="9" customHeight="1" x14ac:dyDescent="0.25"/>
    <row r="1812" ht="9" customHeight="1" x14ac:dyDescent="0.25"/>
    <row r="1813" ht="9" customHeight="1" x14ac:dyDescent="0.25"/>
    <row r="1814" ht="9" customHeight="1" x14ac:dyDescent="0.25"/>
    <row r="1815" ht="9" customHeight="1" x14ac:dyDescent="0.25"/>
    <row r="1816" ht="9" customHeight="1" x14ac:dyDescent="0.25"/>
    <row r="1817" ht="9" customHeight="1" x14ac:dyDescent="0.25"/>
    <row r="1818" ht="9" customHeight="1" x14ac:dyDescent="0.25"/>
    <row r="1819" ht="9" customHeight="1" x14ac:dyDescent="0.25"/>
    <row r="1820" ht="9" customHeight="1" x14ac:dyDescent="0.25"/>
    <row r="1821" ht="9" customHeight="1" x14ac:dyDescent="0.25"/>
    <row r="1822" ht="9" customHeight="1" x14ac:dyDescent="0.25"/>
    <row r="1823" ht="9" customHeight="1" x14ac:dyDescent="0.25"/>
    <row r="1824" ht="9" customHeight="1" x14ac:dyDescent="0.25"/>
    <row r="1825" ht="9" customHeight="1" x14ac:dyDescent="0.25"/>
    <row r="1826" ht="9" customHeight="1" x14ac:dyDescent="0.25"/>
    <row r="1827" ht="9" customHeight="1" x14ac:dyDescent="0.25"/>
    <row r="1828" ht="9" customHeight="1" x14ac:dyDescent="0.25"/>
    <row r="1829" ht="9" customHeight="1" x14ac:dyDescent="0.25"/>
    <row r="1830" ht="9" customHeight="1" x14ac:dyDescent="0.25"/>
    <row r="1831" ht="9" customHeight="1" x14ac:dyDescent="0.25"/>
    <row r="1832" ht="9" customHeight="1" x14ac:dyDescent="0.25"/>
    <row r="1833" ht="9" customHeight="1" x14ac:dyDescent="0.25"/>
    <row r="1834" ht="9" customHeight="1" x14ac:dyDescent="0.25"/>
    <row r="1835" ht="9" customHeight="1" x14ac:dyDescent="0.25"/>
    <row r="1836" ht="9" customHeight="1" x14ac:dyDescent="0.25"/>
    <row r="1837" ht="9" customHeight="1" x14ac:dyDescent="0.25"/>
    <row r="1838" ht="9" customHeight="1" x14ac:dyDescent="0.25"/>
    <row r="1839" ht="9" customHeight="1" x14ac:dyDescent="0.25"/>
    <row r="1840" ht="9" customHeight="1" x14ac:dyDescent="0.25"/>
    <row r="1841" ht="9" customHeight="1" x14ac:dyDescent="0.25"/>
    <row r="1842" ht="9" customHeight="1" x14ac:dyDescent="0.25"/>
    <row r="1843" ht="9" customHeight="1" x14ac:dyDescent="0.25"/>
    <row r="1844" ht="9" customHeight="1" x14ac:dyDescent="0.25"/>
    <row r="1845" ht="9" customHeight="1" x14ac:dyDescent="0.25"/>
    <row r="1846" ht="9" customHeight="1" x14ac:dyDescent="0.25"/>
    <row r="1847" ht="9" customHeight="1" x14ac:dyDescent="0.25"/>
    <row r="1848" ht="9" customHeight="1" x14ac:dyDescent="0.25"/>
    <row r="1849" ht="9" customHeight="1" x14ac:dyDescent="0.25"/>
    <row r="1850" ht="9" customHeight="1" x14ac:dyDescent="0.25"/>
    <row r="1851" ht="9" customHeight="1" x14ac:dyDescent="0.25"/>
    <row r="1852" ht="9" customHeight="1" x14ac:dyDescent="0.25"/>
    <row r="1853" ht="9" customHeight="1" x14ac:dyDescent="0.25"/>
    <row r="1854" ht="9" customHeight="1" x14ac:dyDescent="0.25"/>
    <row r="1855" ht="9" customHeight="1" x14ac:dyDescent="0.25"/>
    <row r="1856" ht="9" customHeight="1" x14ac:dyDescent="0.25"/>
  </sheetData>
  <sheetProtection algorithmName="SHA-512" hashValue="KhDemydOekkf1VLZvzN2KNCqRl+mMl8yG3UtITgJ/2z5xKBpDi+kHo/JWFReRPS95ERxRwqIWBVkWV7yATCQgQ==" saltValue="01hK7MZsjxXsnl7eeEFLnA==" spinCount="100000" sheet="1" objects="1" scenarios="1"/>
  <autoFilter ref="B6:CJ1633" xr:uid="{DF3CC31F-0139-4966-9628-00693876B07A}">
    <filterColumn colId="73" showButton="0"/>
    <filterColumn colId="75" showButton="0"/>
    <filterColumn colId="77" showButton="0"/>
    <filterColumn colId="79" showButton="0"/>
    <filterColumn colId="81" showButton="0"/>
    <filterColumn colId="83" showButton="0"/>
    <filterColumn colId="85" showButton="0"/>
  </autoFilter>
  <mergeCells count="13">
    <mergeCell ref="B1:BC1"/>
    <mergeCell ref="AF3:BA3"/>
    <mergeCell ref="CG6:CH6"/>
    <mergeCell ref="CI6:CJ6"/>
    <mergeCell ref="BW6:BX6"/>
    <mergeCell ref="BY6:BZ6"/>
    <mergeCell ref="CA6:CB6"/>
    <mergeCell ref="CC6:CD6"/>
    <mergeCell ref="CE6:CF6"/>
    <mergeCell ref="C4:AE4"/>
    <mergeCell ref="C5:I5"/>
    <mergeCell ref="R5:AE5"/>
    <mergeCell ref="AF5:BA5"/>
  </mergeCells>
  <phoneticPr fontId="10" type="noConversion"/>
  <pageMargins left="0.7" right="0.7" top="0.75" bottom="0.75" header="0.3" footer="0.3"/>
  <pageSetup orientation="portrait" r:id="rId1"/>
  <ignoredErrors>
    <ignoredError sqref="G900:G98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0D9E-4366-4A27-B546-8D1749D65CF1}">
  <dimension ref="B1:Y608"/>
  <sheetViews>
    <sheetView showGridLines="0" workbookViewId="0">
      <pane ySplit="12" topLeftCell="A19" activePane="bottomLeft" state="frozen"/>
      <selection pane="bottomLeft" activeCell="K6" sqref="B6:K15"/>
    </sheetView>
  </sheetViews>
  <sheetFormatPr defaultColWidth="8.85546875" defaultRowHeight="11.25" x14ac:dyDescent="0.2"/>
  <cols>
    <col min="1" max="1" width="2" style="1" customWidth="1"/>
    <col min="2" max="2" width="15.28515625" style="514" bestFit="1" customWidth="1"/>
    <col min="3" max="3" width="16.7109375" style="514" customWidth="1"/>
    <col min="4" max="4" width="9.28515625" style="514" customWidth="1"/>
    <col min="5" max="5" width="10.5703125" style="514" customWidth="1"/>
    <col min="6" max="6" width="15.28515625" style="514" customWidth="1"/>
    <col min="7" max="7" width="8.5703125" style="514" customWidth="1"/>
    <col min="8" max="8" width="9.28515625" style="514" customWidth="1"/>
    <col min="9" max="9" width="20.7109375" style="514" customWidth="1"/>
    <col min="10" max="10" width="21.7109375" style="514" bestFit="1" customWidth="1"/>
    <col min="11" max="11" width="12.28515625" style="514" customWidth="1"/>
    <col min="12" max="12" width="2.28515625" style="514" customWidth="1"/>
    <col min="13" max="13" width="9.7109375" style="1608" customWidth="1"/>
    <col min="14" max="14" width="9.28515625" style="1608" customWidth="1"/>
    <col min="15" max="15" width="18.28515625" style="1610" customWidth="1"/>
    <col min="16" max="16" width="9" style="1614" customWidth="1"/>
    <col min="17" max="17" width="6.140625" style="1610" customWidth="1"/>
    <col min="18" max="18" width="6.28515625" style="1610" customWidth="1"/>
    <col min="19" max="19" width="15.140625" style="1610" customWidth="1"/>
    <col min="20" max="20" width="13.7109375" style="514" customWidth="1"/>
    <col min="21" max="21" width="3.5703125" style="514" bestFit="1" customWidth="1"/>
    <col min="22" max="22" width="6.5703125" style="226" bestFit="1" customWidth="1"/>
    <col min="23" max="23" width="12.85546875" style="226" customWidth="1"/>
    <col min="24" max="25" width="9.140625" style="226" bestFit="1" customWidth="1"/>
    <col min="26" max="16384" width="8.85546875" style="1"/>
  </cols>
  <sheetData>
    <row r="1" spans="2:20" x14ac:dyDescent="0.2">
      <c r="H1" s="1687" t="s">
        <v>3026</v>
      </c>
      <c r="I1" s="1687" t="s">
        <v>3025</v>
      </c>
      <c r="J1" s="1687" t="s">
        <v>307</v>
      </c>
      <c r="N1" s="1610"/>
      <c r="P1" s="1610"/>
    </row>
    <row r="2" spans="2:20" x14ac:dyDescent="0.2">
      <c r="K2" s="1612" t="s">
        <v>1333</v>
      </c>
      <c r="N2" s="1610"/>
      <c r="P2" s="1610"/>
    </row>
    <row r="3" spans="2:20" ht="3.6" customHeight="1" x14ac:dyDescent="0.2"/>
    <row r="4" spans="2:20" x14ac:dyDescent="0.2">
      <c r="B4" s="2804" t="s">
        <v>302</v>
      </c>
      <c r="C4" s="2804"/>
      <c r="D4" s="2804"/>
      <c r="E4" s="2804"/>
      <c r="F4" s="2804"/>
      <c r="G4" s="2804"/>
      <c r="H4" s="2804"/>
      <c r="I4" s="2804"/>
      <c r="J4" s="2804"/>
      <c r="K4" s="2804"/>
      <c r="L4" s="2804"/>
      <c r="M4" s="2804"/>
      <c r="N4" s="2804"/>
      <c r="O4" s="2804"/>
      <c r="P4" s="2804"/>
      <c r="Q4" s="2804"/>
      <c r="R4" s="2804"/>
      <c r="S4" s="2804"/>
      <c r="T4" s="2804"/>
    </row>
    <row r="5" spans="2:20" x14ac:dyDescent="0.2">
      <c r="B5" s="2804"/>
      <c r="C5" s="2804"/>
      <c r="D5" s="2804"/>
      <c r="E5" s="2804"/>
      <c r="F5" s="2804"/>
      <c r="G5" s="2804"/>
      <c r="H5" s="2804"/>
      <c r="I5" s="2804"/>
      <c r="J5" s="2804"/>
      <c r="K5" s="2804"/>
      <c r="L5" s="2804"/>
      <c r="M5" s="2804"/>
      <c r="N5" s="2804"/>
      <c r="O5" s="2804"/>
      <c r="P5" s="2804"/>
      <c r="Q5" s="2804"/>
      <c r="R5" s="2804"/>
      <c r="S5" s="2804"/>
      <c r="T5" s="2804"/>
    </row>
    <row r="6" spans="2:20" ht="33.75" x14ac:dyDescent="0.2">
      <c r="B6" s="1615"/>
      <c r="C6" s="1616"/>
      <c r="D6" s="1616"/>
      <c r="E6" s="1616"/>
      <c r="F6" s="1616"/>
      <c r="G6" s="1616"/>
      <c r="H6" s="1616"/>
      <c r="I6" s="1616"/>
      <c r="J6" s="1616"/>
      <c r="K6" s="1616"/>
      <c r="L6" s="1617"/>
      <c r="M6" s="1618" t="s">
        <v>265</v>
      </c>
      <c r="N6" s="1619" t="s">
        <v>290</v>
      </c>
      <c r="O6" s="1620" t="s">
        <v>271</v>
      </c>
      <c r="P6" s="1621" t="s">
        <v>3038</v>
      </c>
      <c r="Q6" s="1620" t="s">
        <v>282</v>
      </c>
      <c r="R6" s="1620" t="s">
        <v>267</v>
      </c>
      <c r="S6" s="1621" t="s">
        <v>279</v>
      </c>
      <c r="T6" s="1620" t="s">
        <v>148</v>
      </c>
    </row>
    <row r="7" spans="2:20" x14ac:dyDescent="0.2">
      <c r="B7" s="1622"/>
      <c r="C7" s="1623"/>
      <c r="D7" s="1623"/>
      <c r="E7" s="1623"/>
      <c r="F7" s="1623"/>
      <c r="G7" s="1623"/>
      <c r="H7" s="1623" t="s">
        <v>1196</v>
      </c>
      <c r="I7" s="1623"/>
      <c r="K7" s="1623"/>
      <c r="L7" s="1624"/>
      <c r="M7" s="1625">
        <f>IFERROR(INDEX(Elig_All,MATCH(Elig_FindMatrixMatch_LTVMax,Elig_ID,0),18),0)</f>
        <v>350000</v>
      </c>
      <c r="N7" s="1626">
        <f>IFERROR(INDEX(Elig_All,MATCH(Elig_FindMatrixMatch_LTVMax,Elig_ID,0),20),0)</f>
        <v>350000</v>
      </c>
      <c r="O7" s="1626">
        <f>IFERROR(INDEX(Elig_All,MATCH(Elig_FindMatrixMatch_LTVMax,Elig_ID,0),30),0)</f>
        <v>90</v>
      </c>
      <c r="P7" s="1627">
        <f>IFERROR(INDEX(Elig_All,MATCH(Elig_FindMatrixMatch_LTVMax,Elig_ID,0),25),999)</f>
        <v>720</v>
      </c>
      <c r="Q7" s="1628">
        <f>IFERROR(INDEX(Elig_All,MATCH(Elig_FindMatrixMatch_LTVMax,Elig_ID,0),27),999)</f>
        <v>0</v>
      </c>
      <c r="R7" s="1629">
        <f>IFERROR(INDEX(Elig_All,MATCH(Elig_FindMatrixMatch_LTVMax,Elig_ID,0),22),0)</f>
        <v>50</v>
      </c>
      <c r="S7" s="1626">
        <f>IFERROR(INDEX(Elig_All,MATCH(Elig_FindMatrixMatch_LTVMax,Elig_ID,0),23),999)</f>
        <v>0</v>
      </c>
      <c r="T7" s="1630" t="s">
        <v>414</v>
      </c>
    </row>
    <row r="8" spans="2:20" x14ac:dyDescent="0.2">
      <c r="B8" s="1622"/>
      <c r="C8" s="1623"/>
      <c r="D8" s="1623"/>
      <c r="E8" s="1623"/>
      <c r="F8" s="1623"/>
      <c r="G8" s="1623"/>
      <c r="H8" s="1623" t="s">
        <v>1197</v>
      </c>
      <c r="I8" s="1623"/>
      <c r="K8" s="1623"/>
      <c r="L8" s="1624"/>
      <c r="M8" s="1625">
        <f>MIN(Elig_OverlayRange_LoanAmt)</f>
        <v>0</v>
      </c>
      <c r="N8" s="1626">
        <f>MIN(Elig_OverlayRange_CashoutAmt)</f>
        <v>250000</v>
      </c>
      <c r="O8" s="1626">
        <f>IF(MIN(Elig_OverlayRange_LTV)+Elig_Total_LTV_OverlayReduction&lt;0,-0.001,MIN(Elig_OverlayRange_LTV)+Elig_Total_LTV_OverlayReduction)</f>
        <v>90</v>
      </c>
      <c r="P8" s="1627">
        <f>MAX(Elig_OverlayRange_CredScore)</f>
        <v>0</v>
      </c>
      <c r="Q8" s="1628">
        <f>MAX(Elig_OverlayRange_Reserves)</f>
        <v>0</v>
      </c>
      <c r="R8" s="1629">
        <f>MIN(Elig_OverlayRange_DTI)</f>
        <v>0</v>
      </c>
      <c r="S8" s="1626">
        <f>MAX(Elig_OverlayRange_DSCR)</f>
        <v>0</v>
      </c>
      <c r="T8" s="1630" t="s">
        <v>476</v>
      </c>
    </row>
    <row r="9" spans="2:20" x14ac:dyDescent="0.2">
      <c r="B9" s="1622"/>
      <c r="C9" s="1623"/>
      <c r="D9" s="1623"/>
      <c r="E9" s="1623"/>
      <c r="F9" s="1623"/>
      <c r="G9" s="1623"/>
      <c r="H9" s="1623" t="s">
        <v>1198</v>
      </c>
      <c r="I9" s="1623"/>
      <c r="K9" s="1623"/>
      <c r="L9" s="1624"/>
      <c r="M9" s="1631" t="str">
        <f>IFERROR(INDEX(Elig_OverlayRange_Reason,MATCH(Elig_OverlayLimit_LoanAmt_Max,Elig_OverlayRange_LoanAmt,0),1),"")</f>
        <v/>
      </c>
      <c r="N9" s="1632" t="str">
        <f>IFERROR(INDEX(Elig_OverlayRange_Reason,MATCH(Elig_OverlayLimit_CashoutAmt_Max,Elig_OverlayRange_CashoutAmt,0),1),"")</f>
        <v>Cashout Amt</v>
      </c>
      <c r="O9" s="1632" t="str">
        <f>IF(Elig_BaseLimit_LTV_Max&gt;Elig_OverlayLimit_LTV_Max,TRIM(IFERROR(INDEX(Elig_OverlayRange_Reason,MATCH(Elig_OverlayLimit_LTV_Max,Elig_OverlayRange_LTV,0),1),"")&amp;" "&amp;IFERROR(INDEX(Elig_OverlayLTVMatrix_ReductionReason,MATCH(-50,Elig_OverlayLTVMatrix_Reduction,-1)),"")),"")</f>
        <v/>
      </c>
      <c r="P9" s="1632" t="str">
        <f>IFERROR(INDEX(Elig_OverlayRange_Reason,MATCH(Elig_OverlayLimit_CredScore_Min,Elig_OverlayRange_CredScore,0),1),"")</f>
        <v/>
      </c>
      <c r="Q9" s="1632">
        <f>IFERROR(INDEX(Elig_OverlayRange_Reason,MATCH(Elig_OverlayLimit_Reserves_Min,Elig_OverlayRange_Reserves,0),1),"")</f>
        <v>0</v>
      </c>
      <c r="R9" s="1633" t="str">
        <f>IFERROR(INDEX(Elig_OverlayRange_Reason,MATCH(Elig_OverlayLimit_DTI_Max,Elig_OverlayRange_DTI,0),1),"")</f>
        <v/>
      </c>
      <c r="S9" s="1634" cm="1">
        <f t="array" ref="S9">IFERROR(INDEX(Elig_OverlayRange_Reason,MATCH(Elig_OverlayLimit_DSCR_Min,Elig_OverlayRange_DSCR,0),1),"")</f>
        <v>0</v>
      </c>
      <c r="T9" s="1635" t="s">
        <v>478</v>
      </c>
    </row>
    <row r="10" spans="2:20" x14ac:dyDescent="0.2">
      <c r="B10" s="1622"/>
      <c r="C10" s="1623"/>
      <c r="D10" s="1623"/>
      <c r="E10" s="1623"/>
      <c r="F10" s="1623"/>
      <c r="G10" s="1623"/>
      <c r="H10" s="1623" t="s">
        <v>1199</v>
      </c>
      <c r="I10" s="1623"/>
      <c r="K10" s="1623"/>
      <c r="L10" s="1624"/>
      <c r="M10" s="1636" t="str">
        <f>IF(IFERROR(Result_TotalLLPA,"LLPAError")="LLPAError","",IF(IFERROR(Elig!AU4,"AmtError")="AmtError","Invalid Loan Amt",IF(AND(Elig_MatchAll_Ct=22,Elig_OverlayLimit_LoanAmt_Max=0,Input_LoanAmt&lt;Elig_OverlayLimit_LoanAmt_Max),"",IF(AND(Input_LoanAmt&lt;=_xlfn.MINIFS(M7:M8,M7:M8,"&gt;0"),M7&lt;&gt;0),"","Max Loan Amt "&amp;_xlfn.MINIFS(M7:M8,M7:M8,"&gt;0")))&amp;IF(Input_LoanAmt&gt;Elig_OverlayLimit_LoanAmt_Max," "&amp;Elig_OverlayReason_LoanAmt_Max,"")))</f>
        <v xml:space="preserve"> </v>
      </c>
      <c r="N10" s="1613" t="str">
        <f>IF(AND(Elig_MatchAll_Ct=22,Input_CashoutAmt&gt;Elig_FinalLimit_CashoutAmt_Max,Elig_OverlayLimit_CashoutAmt_Max&lt;&gt;0,Elig_BaseLimit_CashoutAmt_Max&gt;Elig_OverlayLimit_CashoutAmt_Max),"Max COAmt "&amp;Elig_OverlayLimit_CashoutAmt_Max&amp;" "&amp;Elig_OverlayReason_CashoutAmt_Max,"")</f>
        <v/>
      </c>
      <c r="O10" s="1609" t="str">
        <f>IF(AND(Elig_MatchAll_Ct=22,Input_LTV&gt;Elig_FinalLimit_LTV_Max,Elig_OverlayLimit_LTV_Max&lt;&gt;0,Elig_BaseLimit_LTV_Max&gt;Elig_OverlayLimit_LTV_Max),IF(Elig_OverlayLimit_LTV_Max=0.01,"N/A "&amp;Elig_OverlayReason_LTV_Max,("Max CLTV "&amp;MROUND(ABS(Elig_OverlayLimit_LTV_Max),0.01)&amp;" "&amp;Elig_OverlayReason_LTV_Max)),"")</f>
        <v/>
      </c>
      <c r="P10" s="1613" t="str">
        <f>IF(AND(Elig_MatchAll_Ct=22,Input_CreditScore&lt;Elig_FinalLimit_CredScore_Min,Elig_OverlayLimit_CredScore_Min&lt;&gt;0,Elig_BaseLimit_CredScore_Min&lt;Elig_OverlayLimit_CredScore_Min),"Min CS "&amp;Elig_OverlayLimit_CredScore_Min&amp;" "&amp;Elig_OverlayReason_CredScore_Min,"")</f>
        <v/>
      </c>
      <c r="Q10" s="1613" t="str">
        <f>IF(AND(Elig_MatchAll_Ct=22,Input_ReservesMonths&lt;Elig_FinalLimit_Reserves_Min,Elig_OverlayLimit_Reserves_Min&lt;&gt;0,Elig_BaseLimit_Reserves_Min&lt;Elig_OverlayLimit_Reserves_Min),"Min Reserves "&amp;Elig_OverlayLimit_Reserves_Min&amp;" "&amp;Elig_OverlayReason_Reserves_Min,"")</f>
        <v/>
      </c>
      <c r="R10" s="1637" t="str">
        <f>IF(AND(Elig_MatchAll_Ct=22,Input_DTI&gt;Elig_FinalLimit_DTI_Max,Elig_OverlayLimit_DTI_Max&lt;&gt;0,Elig_BaseLimit_DTI_Max&gt;Elig_OverlayLimit_DTI_Max),"Max DTI "&amp;Elig_OverlayLimit_DTI_Max&amp;" "&amp;Elig_OverlayReason_DTI_Max,"")</f>
        <v/>
      </c>
      <c r="S10" s="1638" t="str">
        <f>IF(AND(Elig_MatchAll_Ct=22,Input_CreditScore&lt;Elig_FinalLimit_DSCR_Min,Elig_OverlayLimit_DSCR_Min&lt;&gt;0,Elig_BaseLimit_DSCR_Min&lt;Elig_OverlayLimit_DSCR_Min),"Min CS "&amp;Elig_OverlayLimit_DSCR_Min&amp;" "&amp;Elig_OverlayReason_DSCR_Min,"")</f>
        <v/>
      </c>
      <c r="T10" s="1639" t="s">
        <v>479</v>
      </c>
    </row>
    <row r="11" spans="2:20" x14ac:dyDescent="0.2">
      <c r="B11" s="1622"/>
      <c r="C11" s="1623"/>
      <c r="D11" s="1623"/>
      <c r="E11" s="1623"/>
      <c r="F11" s="1623"/>
      <c r="G11" s="1623"/>
      <c r="H11" s="1623" t="s">
        <v>1200</v>
      </c>
      <c r="I11" s="1623"/>
      <c r="K11" s="1623"/>
      <c r="L11" s="1624"/>
      <c r="M11" s="1640">
        <f>IF(M8=0,Elig_BaseLimit_LoanAmt_Max,MIN(M7:M8))</f>
        <v>350000</v>
      </c>
      <c r="N11" s="1611">
        <f>IF(N8=0,Elig_BaseLimit_CashoutAmt_Max,MIN(N7:N8))</f>
        <v>250000</v>
      </c>
      <c r="O11" s="1611">
        <f>IF(O8=0,Elig_BaseLimit_LTV_Max,MIN(O7:O8))</f>
        <v>90</v>
      </c>
      <c r="P11" s="1641">
        <f>IF(P8=0,Elig_BaseLimit_CredScore_Min,MAX(P7:P8))</f>
        <v>720</v>
      </c>
      <c r="Q11" s="1611">
        <f>IF(Q8=0,Elig_BaseLimit_Reserves_Min,MAX(Q7:Q8))</f>
        <v>0</v>
      </c>
      <c r="R11" s="1642">
        <f>IF(R8=0,Elig_BaseLimit_DTI_Max,MIN(R7:R8))</f>
        <v>50</v>
      </c>
      <c r="S11" s="1611">
        <f>IF(S8=0,Elig_BaseLimit_DSCR_Min,MAX(S7:S8))</f>
        <v>0</v>
      </c>
      <c r="T11" s="1643" t="s">
        <v>415</v>
      </c>
    </row>
    <row r="12" spans="2:20" x14ac:dyDescent="0.2">
      <c r="B12" s="1644"/>
      <c r="C12" s="1645"/>
      <c r="D12" s="1645"/>
      <c r="E12" s="1645"/>
      <c r="F12" s="1645"/>
      <c r="G12" s="1645"/>
      <c r="H12" s="1645"/>
      <c r="I12" s="1645"/>
      <c r="J12" s="1645"/>
      <c r="K12" s="1645"/>
      <c r="L12" s="1646"/>
      <c r="M12" s="1640" t="str">
        <f>IF(AND(Input_LoanAmt&gt;Elig_FinalLimit_LoanAmt_Max,Elig_FinalLimit_LoanAmt_Max&lt;Elig_BaseLimit_LoanAmt_Max),Elig_OverlayReason_LoanAmt_Max &amp;" (Amt)","")</f>
        <v/>
      </c>
      <c r="N12" s="1611" t="str">
        <f>IF(AND(Input_CashoutAmt&gt;Elig_FinalLimit_CashoutAmt_Max,Elig_FinalLimit_CashoutAmt_Max&lt;Elig_BaseLimit_CashoutAmt_Max),Elig_OverlayReason_CashoutAmt_Max&amp;" (CashOutAmt)","")</f>
        <v/>
      </c>
      <c r="O12" s="1611" t="str">
        <f>IF(AND(Input_CreditScore&gt;Elig_FinalLimit_CredScore_Min,Elig_FinalLimit_LTV_Max&lt;Elig_BaseLimit_LTV_Max),Elig_OverlayReason_LTV_Max&amp;" "&amp;" (CLTV "&amp;Elig_OverlayLimit_LTV_Max&amp;")","")</f>
        <v/>
      </c>
      <c r="P12" s="1611" t="str">
        <f>IF(AND(Input_CreditScore&lt;Elig_FinalLimit_CredScore_Min,Elig_FinalLimit_CredScore_Min&gt;Elig_BaseLimit_CredScore_Min),Elig_OverlayReason_CredScore_Min&amp;" (CS)","")</f>
        <v/>
      </c>
      <c r="Q12" s="1611" t="str">
        <f>IF(OR(Elig_OverlayLimit_Reserves_Min&gt;Elig_BaseLimit_Reserves_Min,(AND(Input_ReservesMonths&lt;Elig_FinalLimit_Reserves_Min,Elig_FinalLimit_Reserves_Min&gt;Elig_BaseLimit_Reserves_Min))),Elig_OverlayReason_Reserves_Min&amp;" (Reserves)","")</f>
        <v/>
      </c>
      <c r="R12" s="1611" t="str">
        <f>IF(AND(Input_DTI&gt;Elig_FinalLimit_DTI_Max,Elig_FinalLimit_DTI_Max&lt;Elig_BaseLimit_DTI_Max),Elig_OverlayReason_DTI_Max&amp;" (LTV)","")</f>
        <v/>
      </c>
      <c r="S12" s="1611" t="str">
        <f>IF(AND(Input_DSCR&lt;Elig_FinalLimit_DSCR_Min,Elig_FinalLimit_DSCR_Min&gt;Elig_BaseLimit_DSCR_Min),Elig_OverlayReason_DSCR_Min&amp;" (DSCR)","")</f>
        <v/>
      </c>
      <c r="T12" s="1647" t="str">
        <f>TRIM(Elig_OverlayMessage_LoanAmt_Max&amp;" "&amp;Elig_OverlayMessage_CashoutAmt_Max&amp;" "&amp;Elig_OverlayMessage_LTV_Max&amp;" "&amp;Elig_OverlayMessage_CredScore_Min&amp;" "&amp;Elig_OverlayMessage_Reserves_Min&amp;" "&amp;Elig_OverlayMessage_DTI_Max&amp;" "&amp;Elig_OverlayMessage_DSCR_Min)</f>
        <v/>
      </c>
    </row>
    <row r="13" spans="2:20" ht="5.45" customHeight="1" x14ac:dyDescent="0.2">
      <c r="H13" s="1623"/>
      <c r="I13" s="1623"/>
      <c r="J13" s="1623"/>
      <c r="K13" s="1623"/>
      <c r="L13" s="1623"/>
      <c r="M13" s="514"/>
      <c r="N13" s="514"/>
      <c r="O13" s="514"/>
      <c r="P13" s="514"/>
      <c r="Q13" s="514"/>
      <c r="R13" s="514"/>
      <c r="S13" s="514"/>
    </row>
    <row r="14" spans="2:20" x14ac:dyDescent="0.2">
      <c r="B14" s="2801" t="s">
        <v>287</v>
      </c>
      <c r="C14" s="2801"/>
      <c r="D14" s="2801"/>
      <c r="E14" s="2801"/>
      <c r="F14" s="2801"/>
      <c r="G14" s="2801"/>
      <c r="H14" s="2801"/>
      <c r="I14" s="2801"/>
      <c r="J14" s="2801"/>
      <c r="K14" s="2801"/>
      <c r="L14" s="1623"/>
      <c r="M14" s="1623"/>
      <c r="N14" s="1623"/>
      <c r="O14" s="1623"/>
      <c r="P14" s="1623"/>
      <c r="Q14" s="1623"/>
      <c r="R14" s="1623"/>
      <c r="S14" s="1623"/>
    </row>
    <row r="15" spans="2:20" x14ac:dyDescent="0.2">
      <c r="B15" s="1648" t="s">
        <v>259</v>
      </c>
      <c r="C15" s="1649" t="s">
        <v>44</v>
      </c>
      <c r="D15" s="1650" t="s">
        <v>1204</v>
      </c>
      <c r="E15" s="1649" t="s">
        <v>1203</v>
      </c>
      <c r="F15" s="1650" t="s">
        <v>279</v>
      </c>
      <c r="G15" s="1650" t="s">
        <v>280</v>
      </c>
      <c r="H15" s="1650" t="s">
        <v>24</v>
      </c>
      <c r="I15" s="1650" t="s">
        <v>4049</v>
      </c>
      <c r="J15" s="1650" t="s">
        <v>4050</v>
      </c>
      <c r="K15" s="1651" t="s">
        <v>277</v>
      </c>
      <c r="M15" s="1653" t="s">
        <v>1570</v>
      </c>
      <c r="O15" s="1963">
        <f>SUM(Elig_OverlayLTVMatrix_Reduction)</f>
        <v>0</v>
      </c>
      <c r="Q15" s="1654"/>
      <c r="R15" s="1654"/>
      <c r="S15" s="1654"/>
      <c r="T15" s="1655" t="s">
        <v>417</v>
      </c>
    </row>
    <row r="16" spans="2:20" x14ac:dyDescent="0.2">
      <c r="B16" s="1964" t="str">
        <f t="shared" ref="B16:B24" si="0">Input_Name_Product1</f>
        <v>NonQM OO</v>
      </c>
      <c r="C16" s="1941" t="s">
        <v>238</v>
      </c>
      <c r="D16" s="1657"/>
      <c r="E16" s="1657"/>
      <c r="F16" s="1657"/>
      <c r="G16" s="1657"/>
      <c r="H16" s="1933">
        <v>-5</v>
      </c>
      <c r="I16" s="1932"/>
      <c r="J16" s="1932"/>
      <c r="K16" s="1657"/>
      <c r="M16" s="739"/>
      <c r="N16" s="739"/>
      <c r="O16" s="1961" t="str">
        <f>IF(AND(Input_Product=EligOverlay!B16,Input_CreditHistory=EligOverlay!C16),H16,"")</f>
        <v/>
      </c>
      <c r="P16" s="739"/>
      <c r="Q16" s="739"/>
      <c r="R16" s="739"/>
      <c r="S16" s="739"/>
      <c r="T16" s="598" t="s">
        <v>238</v>
      </c>
    </row>
    <row r="17" spans="2:20" x14ac:dyDescent="0.2">
      <c r="B17" s="1964" t="str">
        <f t="shared" si="0"/>
        <v>NonQM OO</v>
      </c>
      <c r="C17" s="1941" t="s">
        <v>152</v>
      </c>
      <c r="D17" s="1657"/>
      <c r="E17" s="1657"/>
      <c r="F17" s="1657"/>
      <c r="G17" s="1657"/>
      <c r="H17" s="1933">
        <v>-20</v>
      </c>
      <c r="I17" s="1932"/>
      <c r="J17" s="1932"/>
      <c r="K17" s="1657"/>
      <c r="M17" s="739"/>
      <c r="N17" s="739"/>
      <c r="O17" s="1961" t="str">
        <f>IF(AND(Input_Product=EligOverlay!B17,Input_CreditHistory=EligOverlay!C17),H17,"")</f>
        <v/>
      </c>
      <c r="P17" s="739"/>
      <c r="Q17" s="739"/>
      <c r="R17" s="739"/>
      <c r="S17" s="739"/>
      <c r="T17" s="598" t="s">
        <v>152</v>
      </c>
    </row>
    <row r="18" spans="2:20" x14ac:dyDescent="0.2">
      <c r="B18" s="1964" t="str">
        <f t="shared" si="0"/>
        <v>NonQM OO</v>
      </c>
      <c r="C18" s="1941" t="s">
        <v>3914</v>
      </c>
      <c r="D18" s="1657"/>
      <c r="E18" s="1657"/>
      <c r="F18" s="1657"/>
      <c r="G18" s="1657"/>
      <c r="H18" s="1933">
        <v>-20</v>
      </c>
      <c r="I18" s="1932"/>
      <c r="J18" s="1932"/>
      <c r="K18" s="1657"/>
      <c r="M18" s="739"/>
      <c r="N18" s="739"/>
      <c r="O18" s="1961" t="str">
        <f>IF(AND(Input_Product=EligOverlay!B18,Input_CreditHistory=EligOverlay!C18),H18,"")</f>
        <v/>
      </c>
      <c r="P18" s="739"/>
      <c r="Q18" s="739"/>
      <c r="R18" s="739"/>
      <c r="S18" s="739"/>
      <c r="T18" s="598" t="s">
        <v>3914</v>
      </c>
    </row>
    <row r="19" spans="2:20" x14ac:dyDescent="0.2">
      <c r="B19" s="1964" t="str">
        <f t="shared" si="0"/>
        <v>NonQM OO</v>
      </c>
      <c r="C19" s="1656" t="s">
        <v>4163</v>
      </c>
      <c r="D19" s="2457" t="s">
        <v>4159</v>
      </c>
      <c r="E19" s="1657"/>
      <c r="F19" s="1657"/>
      <c r="G19" s="1657"/>
      <c r="H19" s="1933">
        <v>-15</v>
      </c>
      <c r="I19" s="1932"/>
      <c r="J19" s="1932"/>
      <c r="K19" s="1657"/>
      <c r="M19" s="739"/>
      <c r="N19" s="739"/>
      <c r="O19" s="2456" t="str">
        <f>IF(AND(Input_Product=EligOverlay!B19,Input_HousingHistory=EligOverlay!C19,Input_Purpose&lt;&gt;"Cash-Out"),H19,"")</f>
        <v/>
      </c>
      <c r="P19" s="739"/>
      <c r="Q19" s="739"/>
      <c r="R19" s="739"/>
      <c r="S19" s="739"/>
      <c r="T19" s="598" t="s">
        <v>4163</v>
      </c>
    </row>
    <row r="20" spans="2:20" x14ac:dyDescent="0.2">
      <c r="B20" s="1964" t="str">
        <f t="shared" si="0"/>
        <v>NonQM OO</v>
      </c>
      <c r="C20" s="1656" t="s">
        <v>4163</v>
      </c>
      <c r="D20" s="2457" t="s">
        <v>16</v>
      </c>
      <c r="E20" s="1657"/>
      <c r="F20" s="1657"/>
      <c r="G20" s="1657"/>
      <c r="H20" s="1933">
        <v>-15</v>
      </c>
      <c r="I20" s="1932"/>
      <c r="J20" s="1932"/>
      <c r="K20" s="1657"/>
      <c r="M20" s="739"/>
      <c r="N20" s="739"/>
      <c r="O20" s="2456" t="str">
        <f>IF(AND(Input_Product=EligOverlay!B20,Input_HousingHistory=EligOverlay!C20,Input_Purpose="Cash-Out"),"","")</f>
        <v/>
      </c>
      <c r="P20" s="739"/>
      <c r="Q20" s="739"/>
      <c r="R20" s="739"/>
      <c r="S20" s="739"/>
      <c r="T20" s="598" t="s">
        <v>4163</v>
      </c>
    </row>
    <row r="21" spans="2:20" x14ac:dyDescent="0.2">
      <c r="B21" s="1964" t="str">
        <f t="shared" si="0"/>
        <v>NonQM OO</v>
      </c>
      <c r="C21" s="1656" t="s">
        <v>4166</v>
      </c>
      <c r="D21" s="2457" t="s">
        <v>4159</v>
      </c>
      <c r="E21" s="1657"/>
      <c r="F21" s="1657"/>
      <c r="G21" s="1657"/>
      <c r="H21" s="1933">
        <v>-5</v>
      </c>
      <c r="I21" s="1932"/>
      <c r="J21" s="1932"/>
      <c r="K21" s="1657"/>
      <c r="M21" s="739"/>
      <c r="N21" s="739"/>
      <c r="O21" s="2456" t="str">
        <f>IF(AND(Input_Product=EligOverlay!B21,Input_HousingHistory=EligOverlay!C21,Input_Purpose&lt;&gt;"Cash-Out"),H21,"")</f>
        <v/>
      </c>
      <c r="P21" s="739"/>
      <c r="Q21" s="739"/>
      <c r="R21" s="739"/>
      <c r="S21" s="739"/>
      <c r="T21" s="598" t="s">
        <v>4166</v>
      </c>
    </row>
    <row r="22" spans="2:20" x14ac:dyDescent="0.2">
      <c r="B22" s="1964" t="str">
        <f t="shared" si="0"/>
        <v>NonQM OO</v>
      </c>
      <c r="C22" s="1656" t="s">
        <v>4166</v>
      </c>
      <c r="D22" s="2457" t="s">
        <v>16</v>
      </c>
      <c r="E22" s="1657"/>
      <c r="F22" s="1657"/>
      <c r="G22" s="1657"/>
      <c r="H22" s="1933">
        <v>-5</v>
      </c>
      <c r="I22" s="1932"/>
      <c r="J22" s="1932"/>
      <c r="K22" s="1657"/>
      <c r="M22" s="739"/>
      <c r="N22" s="739"/>
      <c r="O22" s="2456" t="str">
        <f>IF(AND(Input_Product=EligOverlay!B22,Input_HousingHistory=EligOverlay!C22,Input_Purpose="Cash-Out"),"","")</f>
        <v/>
      </c>
      <c r="P22" s="739"/>
      <c r="Q22" s="739"/>
      <c r="R22" s="739"/>
      <c r="S22" s="739"/>
      <c r="T22" s="598" t="s">
        <v>4166</v>
      </c>
    </row>
    <row r="23" spans="2:20" x14ac:dyDescent="0.2">
      <c r="B23" s="1964" t="str">
        <f t="shared" si="0"/>
        <v>NonQM OO</v>
      </c>
      <c r="C23" s="1656" t="s">
        <v>4161</v>
      </c>
      <c r="D23" s="1657"/>
      <c r="E23" s="1657"/>
      <c r="F23" s="1657"/>
      <c r="G23" s="1657"/>
      <c r="H23" s="1933">
        <v>-5</v>
      </c>
      <c r="I23" s="1932"/>
      <c r="J23" s="1932"/>
      <c r="K23" s="1657"/>
      <c r="M23" s="739"/>
      <c r="N23" s="739"/>
      <c r="O23" s="1961" t="str">
        <f>IF(AND(Input_Product=EligOverlay!B23,Input_HousingHistory=EligOverlay!C23),H23,"")</f>
        <v/>
      </c>
      <c r="P23" s="739"/>
      <c r="Q23" s="739"/>
      <c r="R23" s="739"/>
      <c r="S23" s="739"/>
      <c r="T23" s="598" t="s">
        <v>4161</v>
      </c>
    </row>
    <row r="24" spans="2:20" x14ac:dyDescent="0.2">
      <c r="B24" s="1964" t="str">
        <f t="shared" si="0"/>
        <v>NonQM OO</v>
      </c>
      <c r="C24" s="1656" t="s">
        <v>4165</v>
      </c>
      <c r="D24" s="1657"/>
      <c r="E24" s="1657"/>
      <c r="F24" s="1657"/>
      <c r="G24" s="1657"/>
      <c r="H24" s="1933">
        <v>-5</v>
      </c>
      <c r="I24" s="1932"/>
      <c r="J24" s="1932"/>
      <c r="K24" s="1657"/>
      <c r="M24" s="739"/>
      <c r="N24" s="739"/>
      <c r="O24" s="1961" t="str">
        <f>IF(AND(Input_Product=EligOverlay!B24,Input_HousingHistory=EligOverlay!C24),H24,"")</f>
        <v/>
      </c>
      <c r="P24" s="739"/>
      <c r="Q24" s="739"/>
      <c r="R24" s="739"/>
      <c r="S24" s="739"/>
      <c r="T24" s="598" t="s">
        <v>4165</v>
      </c>
    </row>
    <row r="25" spans="2:20" x14ac:dyDescent="0.2">
      <c r="B25" s="1965" t="str">
        <f t="shared" ref="B25:B30" si="1">Input_Name_Product2</f>
        <v>NonQM NOO</v>
      </c>
      <c r="C25" s="1941" t="s">
        <v>238</v>
      </c>
      <c r="D25" s="1657"/>
      <c r="E25" s="1657"/>
      <c r="F25" s="1657"/>
      <c r="G25" s="1657"/>
      <c r="H25" s="1933">
        <v>-5</v>
      </c>
      <c r="I25" s="1932"/>
      <c r="J25" s="1932"/>
      <c r="K25" s="1657"/>
      <c r="M25" s="1932"/>
      <c r="N25" s="1932"/>
      <c r="O25" s="1961" t="str">
        <f>IF(AND(Input_Product=EligOverlay!B25,Input_CreditHistory=EligOverlay!C25),H25,"")</f>
        <v/>
      </c>
      <c r="P25" s="1958"/>
      <c r="Q25" s="1932"/>
      <c r="R25" s="1932"/>
      <c r="S25" s="1932"/>
      <c r="T25" s="598" t="s">
        <v>238</v>
      </c>
    </row>
    <row r="26" spans="2:20" x14ac:dyDescent="0.2">
      <c r="B26" s="1965" t="str">
        <f t="shared" si="1"/>
        <v>NonQM NOO</v>
      </c>
      <c r="C26" s="1656" t="s">
        <v>4163</v>
      </c>
      <c r="D26" s="1657"/>
      <c r="E26" s="1657"/>
      <c r="F26" s="1657"/>
      <c r="G26" s="1657"/>
      <c r="H26" s="1933">
        <v>-15</v>
      </c>
      <c r="I26" s="1932"/>
      <c r="J26" s="1932"/>
      <c r="K26" s="1657"/>
      <c r="M26" s="739"/>
      <c r="N26" s="739"/>
      <c r="O26" s="1961" t="str">
        <f>IF(AND(Input_Product=EligOverlay!B26,Input_HousingHistory=EligOverlay!C26),H26,"")</f>
        <v/>
      </c>
      <c r="P26" s="739"/>
      <c r="Q26" s="739"/>
      <c r="R26" s="739"/>
      <c r="S26" s="739"/>
      <c r="T26" s="598" t="s">
        <v>4163</v>
      </c>
    </row>
    <row r="27" spans="2:20" x14ac:dyDescent="0.2">
      <c r="B27" s="1965" t="str">
        <f t="shared" si="1"/>
        <v>NonQM NOO</v>
      </c>
      <c r="C27" s="1656" t="s">
        <v>4161</v>
      </c>
      <c r="D27" s="1657"/>
      <c r="E27" s="1657"/>
      <c r="F27" s="1657"/>
      <c r="G27" s="1657"/>
      <c r="H27" s="1933">
        <v>-5</v>
      </c>
      <c r="I27" s="1932"/>
      <c r="J27" s="1932"/>
      <c r="K27" s="1657"/>
      <c r="M27" s="739"/>
      <c r="N27" s="739"/>
      <c r="O27" s="1961" t="str">
        <f>IF(AND(Input_Product=EligOverlay!B27,Input_HousingHistory=EligOverlay!C27),H27,"")</f>
        <v/>
      </c>
      <c r="P27" s="739"/>
      <c r="Q27" s="739"/>
      <c r="R27" s="739"/>
      <c r="S27" s="739"/>
      <c r="T27" s="598" t="s">
        <v>4161</v>
      </c>
    </row>
    <row r="28" spans="2:20" x14ac:dyDescent="0.2">
      <c r="B28" s="1965" t="str">
        <f t="shared" si="1"/>
        <v>NonQM NOO</v>
      </c>
      <c r="C28" s="1656" t="s">
        <v>4166</v>
      </c>
      <c r="D28" s="1657"/>
      <c r="E28" s="1657"/>
      <c r="F28" s="1657"/>
      <c r="G28" s="1657"/>
      <c r="H28" s="1933">
        <v>-5</v>
      </c>
      <c r="I28" s="1932"/>
      <c r="J28" s="1932"/>
      <c r="K28" s="1657"/>
      <c r="M28" s="739"/>
      <c r="N28" s="739"/>
      <c r="O28" s="1961" t="str">
        <f>IF(AND(Input_Product=EligOverlay!B28,Input_HousingHistory=EligOverlay!C28),H28,"")</f>
        <v/>
      </c>
      <c r="P28" s="739"/>
      <c r="Q28" s="739"/>
      <c r="R28" s="739"/>
      <c r="S28" s="739"/>
      <c r="T28" s="598" t="s">
        <v>4166</v>
      </c>
    </row>
    <row r="29" spans="2:20" x14ac:dyDescent="0.2">
      <c r="B29" s="1965" t="str">
        <f t="shared" si="1"/>
        <v>NonQM NOO</v>
      </c>
      <c r="C29" s="1656" t="s">
        <v>4165</v>
      </c>
      <c r="D29" s="1657"/>
      <c r="E29" s="1657"/>
      <c r="F29" s="1657"/>
      <c r="G29" s="1657"/>
      <c r="H29" s="1933">
        <v>-5</v>
      </c>
      <c r="I29" s="1932"/>
      <c r="J29" s="1932"/>
      <c r="K29" s="1657"/>
      <c r="M29" s="739"/>
      <c r="N29" s="739"/>
      <c r="O29" s="1961" t="str">
        <f>IF(AND(Input_Product=EligOverlay!B29,Input_HousingHistory=EligOverlay!C29),H29,"")</f>
        <v/>
      </c>
      <c r="P29" s="739"/>
      <c r="Q29" s="739"/>
      <c r="R29" s="739"/>
      <c r="S29" s="739"/>
      <c r="T29" s="598" t="s">
        <v>4165</v>
      </c>
    </row>
    <row r="30" spans="2:20" x14ac:dyDescent="0.2">
      <c r="B30" s="1965" t="str">
        <f t="shared" si="1"/>
        <v>NonQM NOO</v>
      </c>
      <c r="C30" s="1656" t="s">
        <v>45</v>
      </c>
      <c r="D30" s="1657"/>
      <c r="E30" s="1657"/>
      <c r="F30" s="1657"/>
      <c r="G30" s="1657"/>
      <c r="H30" s="1658">
        <v>-5</v>
      </c>
      <c r="I30" s="1932"/>
      <c r="J30" s="1932"/>
      <c r="K30" s="1657"/>
      <c r="M30" s="739"/>
      <c r="N30" s="739"/>
      <c r="O30" s="1961" t="str">
        <f>IF(AND(Input_Product=EligOverlay!B30,Input_Citizenship=EligOverlay!C30),H30,"")</f>
        <v/>
      </c>
      <c r="P30" s="739"/>
      <c r="Q30" s="739"/>
      <c r="R30" s="739"/>
      <c r="S30" s="739"/>
      <c r="T30" s="598" t="s">
        <v>45</v>
      </c>
    </row>
    <row r="31" spans="2:20" x14ac:dyDescent="0.2">
      <c r="B31" s="1967" t="str">
        <f>Input_Name_Product10</f>
        <v>HELOC OO</v>
      </c>
      <c r="C31" s="1656" t="s">
        <v>1635</v>
      </c>
      <c r="D31" s="1657"/>
      <c r="E31" s="1657"/>
      <c r="F31" s="1657"/>
      <c r="G31" s="1657"/>
      <c r="H31" s="1658">
        <v>-10</v>
      </c>
      <c r="I31" s="1932"/>
      <c r="J31" s="1932"/>
      <c r="K31" s="1657"/>
      <c r="M31" s="739"/>
      <c r="N31" s="739"/>
      <c r="O31" s="2125" t="str">
        <f>IF(AND(Input_Product=EligOverlay!B31,Input_PropertyType=EligOverlay!C31),H31,"")</f>
        <v/>
      </c>
      <c r="P31" s="739"/>
      <c r="Q31" s="739"/>
      <c r="R31" s="739"/>
      <c r="S31" s="739"/>
      <c r="T31" s="1656" t="s">
        <v>1635</v>
      </c>
    </row>
    <row r="32" spans="2:20" x14ac:dyDescent="0.2">
      <c r="B32" s="1969" t="str">
        <f>Input_Name_Product11</f>
        <v>HELOC NOO</v>
      </c>
      <c r="C32" s="1656" t="s">
        <v>1635</v>
      </c>
      <c r="D32" s="1657"/>
      <c r="E32" s="1657"/>
      <c r="F32" s="1657"/>
      <c r="G32" s="1657"/>
      <c r="H32" s="1658">
        <v>-10</v>
      </c>
      <c r="I32" s="1932"/>
      <c r="J32" s="1932"/>
      <c r="K32" s="1657"/>
      <c r="M32" s="739"/>
      <c r="N32" s="739"/>
      <c r="O32" s="2125" t="str">
        <f>IF(AND(Input_Product=EligOverlay!B32,Input_PropertyType=EligOverlay!C32),H32,"")</f>
        <v/>
      </c>
      <c r="P32" s="739"/>
      <c r="Q32" s="739"/>
      <c r="R32" s="739"/>
      <c r="S32" s="739"/>
      <c r="T32" s="1656" t="s">
        <v>1635</v>
      </c>
    </row>
    <row r="33" spans="2:20" x14ac:dyDescent="0.2">
      <c r="B33" s="1965" t="str">
        <f>Input_Name_Product2</f>
        <v>NonQM NOO</v>
      </c>
      <c r="C33" s="1657"/>
      <c r="D33" s="1657"/>
      <c r="E33" s="1657"/>
      <c r="F33" s="1937">
        <v>0.75</v>
      </c>
      <c r="G33" s="1937">
        <v>0.99990000000000001</v>
      </c>
      <c r="H33" s="1658">
        <v>-5</v>
      </c>
      <c r="I33" s="1932"/>
      <c r="J33" s="1932"/>
      <c r="K33" s="1657"/>
      <c r="M33" s="739"/>
      <c r="N33" s="739"/>
      <c r="O33" s="1961" t="str">
        <f>IF(AND(Input_Product=EligOverlay!B33,Input_DSCR&gt;=EligOverlay!F33,Input_DSCR&lt;=EligOverlay!G33),H33,"")</f>
        <v/>
      </c>
      <c r="P33" s="739"/>
      <c r="Q33" s="739"/>
      <c r="R33" s="739"/>
      <c r="S33" s="739"/>
      <c r="T33" s="598" t="s">
        <v>62</v>
      </c>
    </row>
    <row r="34" spans="2:20" x14ac:dyDescent="0.2">
      <c r="B34" s="1965" t="str">
        <f>Input_Name_Product2</f>
        <v>NonQM NOO</v>
      </c>
      <c r="C34" s="1657"/>
      <c r="D34" s="1657"/>
      <c r="E34" s="1657"/>
      <c r="F34" s="1937">
        <v>1E-4</v>
      </c>
      <c r="G34" s="1937">
        <v>0.74990000000000001</v>
      </c>
      <c r="H34" s="1658">
        <v>-5</v>
      </c>
      <c r="I34" s="1932"/>
      <c r="J34" s="1932"/>
      <c r="K34" s="1657"/>
      <c r="M34" s="739"/>
      <c r="N34" s="739"/>
      <c r="O34" s="1961" t="str">
        <f>IF(AND(Input_Product=EligOverlay!B34,Input_DSCR&gt;=EligOverlay!F34,Input_DSCR&lt;=EligOverlay!G34),H34,"")</f>
        <v/>
      </c>
      <c r="P34" s="739"/>
      <c r="Q34" s="739"/>
      <c r="R34" s="739"/>
      <c r="S34" s="739"/>
      <c r="T34" s="598" t="s">
        <v>62</v>
      </c>
    </row>
    <row r="35" spans="2:20" x14ac:dyDescent="0.2">
      <c r="B35" s="1964" t="str">
        <f>Input_Name_Product1</f>
        <v>NonQM OO</v>
      </c>
      <c r="C35" s="1657"/>
      <c r="D35" s="1657"/>
      <c r="E35" s="1657"/>
      <c r="F35" s="1937"/>
      <c r="G35" s="1937"/>
      <c r="H35" s="1658">
        <v>-5</v>
      </c>
      <c r="I35" s="1932">
        <v>0</v>
      </c>
      <c r="J35" s="1932">
        <v>1000000</v>
      </c>
      <c r="K35" s="1942">
        <v>6</v>
      </c>
      <c r="M35" s="739"/>
      <c r="N35" s="739"/>
      <c r="O35" s="1961" t="str">
        <f>IF(AND(Input_Product=EligOverlay!B35,Input_ReservesMonths&lt;EligOverlay!K35,Input_LoanAmt&gt;=EligOverlay!I35,Input_LoanAmt&lt;=EligOverlay!J35),H35,"")</f>
        <v/>
      </c>
      <c r="P35" s="739"/>
      <c r="Q35" s="739"/>
      <c r="R35" s="739"/>
      <c r="S35" s="739"/>
      <c r="T35" s="598" t="s">
        <v>1611</v>
      </c>
    </row>
    <row r="36" spans="2:20" x14ac:dyDescent="0.2">
      <c r="B36" s="1964" t="str">
        <f>Input_Name_Product1</f>
        <v>NonQM OO</v>
      </c>
      <c r="C36" s="1657"/>
      <c r="D36" s="1657"/>
      <c r="E36" s="1657"/>
      <c r="F36" s="1937"/>
      <c r="G36" s="1937"/>
      <c r="H36" s="1658">
        <v>-5</v>
      </c>
      <c r="I36" s="1932">
        <v>1000000.01</v>
      </c>
      <c r="J36" s="1932">
        <v>2000000</v>
      </c>
      <c r="K36" s="1942">
        <v>9</v>
      </c>
      <c r="M36" s="739"/>
      <c r="N36" s="739"/>
      <c r="O36" s="1961" t="str">
        <f>IF(AND(Input_Product=EligOverlay!B36,Input_ReservesMonths&lt;EligOverlay!K36,Input_LoanAmt&gt;=EligOverlay!I36,Input_LoanAmt&lt;=EligOverlay!J36),H36,"")</f>
        <v/>
      </c>
      <c r="P36" s="739"/>
      <c r="Q36" s="739"/>
      <c r="R36" s="739"/>
      <c r="S36" s="739"/>
      <c r="T36" s="598" t="s">
        <v>1611</v>
      </c>
    </row>
    <row r="37" spans="2:20" x14ac:dyDescent="0.2">
      <c r="B37" s="1964" t="str">
        <f>Input_Name_Product1</f>
        <v>NonQM OO</v>
      </c>
      <c r="C37" s="1657"/>
      <c r="D37" s="1657"/>
      <c r="E37" s="1657"/>
      <c r="F37" s="1937"/>
      <c r="G37" s="1937"/>
      <c r="H37" s="1658">
        <v>-5</v>
      </c>
      <c r="I37" s="1932">
        <v>2000000.01</v>
      </c>
      <c r="J37" s="1932">
        <v>4000000</v>
      </c>
      <c r="K37" s="1942">
        <v>12</v>
      </c>
      <c r="M37" s="739"/>
      <c r="N37" s="739"/>
      <c r="O37" s="1961" t="str">
        <f>IF(AND(Input_Product=EligOverlay!B37,Input_ReservesMonths&lt;EligOverlay!K37,Input_LoanAmt&gt;=EligOverlay!I37,Input_LoanAmt&lt;=EligOverlay!J37),H37,"")</f>
        <v/>
      </c>
      <c r="P37" s="739"/>
      <c r="Q37" s="739"/>
      <c r="R37" s="739"/>
      <c r="S37" s="739"/>
      <c r="T37" s="598" t="s">
        <v>1611</v>
      </c>
    </row>
    <row r="38" spans="2:20" x14ac:dyDescent="0.2">
      <c r="B38" s="1965" t="str">
        <f>Input_Name_Product2</f>
        <v>NonQM NOO</v>
      </c>
      <c r="C38" s="1657"/>
      <c r="D38" s="1657"/>
      <c r="E38" s="1657"/>
      <c r="F38" s="1937"/>
      <c r="G38" s="1937"/>
      <c r="H38" s="1658">
        <v>-5</v>
      </c>
      <c r="I38" s="1932">
        <v>0</v>
      </c>
      <c r="J38" s="1932">
        <v>1000000</v>
      </c>
      <c r="K38" s="1942">
        <v>6</v>
      </c>
      <c r="M38" s="739"/>
      <c r="N38" s="739"/>
      <c r="O38" s="1961" t="str">
        <f>IF(AND(Input_Product=EligOverlay!B38,Input_ReservesMonths&lt;EligOverlay!K38,Input_LoanAmt&gt;=EligOverlay!I38,Input_LoanAmt&lt;=EligOverlay!J38),H38,"")</f>
        <v/>
      </c>
      <c r="P38" s="739"/>
      <c r="Q38" s="739"/>
      <c r="R38" s="739"/>
      <c r="S38" s="739"/>
      <c r="T38" s="598" t="s">
        <v>1611</v>
      </c>
    </row>
    <row r="39" spans="2:20" x14ac:dyDescent="0.2">
      <c r="B39" s="1965" t="str">
        <f>Input_Name_Product2</f>
        <v>NonQM NOO</v>
      </c>
      <c r="C39" s="1657"/>
      <c r="D39" s="1657"/>
      <c r="E39" s="1657"/>
      <c r="F39" s="1937"/>
      <c r="G39" s="1937"/>
      <c r="H39" s="1658">
        <v>-5</v>
      </c>
      <c r="I39" s="1932">
        <v>1000000.01</v>
      </c>
      <c r="J39" s="1932">
        <v>2000000</v>
      </c>
      <c r="K39" s="1942">
        <v>9</v>
      </c>
      <c r="M39" s="739"/>
      <c r="N39" s="739"/>
      <c r="O39" s="1961" t="str">
        <f>IF(AND(Input_Product=EligOverlay!B39,Input_ReservesMonths&lt;EligOverlay!K39,Input_LoanAmt&gt;=EligOverlay!I39,Input_LoanAmt&lt;=EligOverlay!J39),H39,"")</f>
        <v/>
      </c>
      <c r="P39" s="739"/>
      <c r="Q39" s="739"/>
      <c r="R39" s="739"/>
      <c r="S39" s="739"/>
      <c r="T39" s="598" t="s">
        <v>1611</v>
      </c>
    </row>
    <row r="40" spans="2:20" x14ac:dyDescent="0.2">
      <c r="B40" s="1965" t="str">
        <f>Input_Name_Product2</f>
        <v>NonQM NOO</v>
      </c>
      <c r="C40" s="1657"/>
      <c r="D40" s="1657"/>
      <c r="E40" s="1657"/>
      <c r="F40" s="1937"/>
      <c r="G40" s="1937"/>
      <c r="H40" s="1658">
        <v>-5</v>
      </c>
      <c r="I40" s="1932">
        <v>2000000.01</v>
      </c>
      <c r="J40" s="1932">
        <v>4000000</v>
      </c>
      <c r="K40" s="1942">
        <v>12</v>
      </c>
      <c r="M40" s="739"/>
      <c r="N40" s="739"/>
      <c r="O40" s="1961" t="str">
        <f>IF(AND(Input_Product=EligOverlay!B40,Input_ReservesMonths&lt;EligOverlay!K40,Input_LoanAmt&gt;=EligOverlay!I40,Input_LoanAmt&lt;=EligOverlay!J40),H40,"")</f>
        <v/>
      </c>
      <c r="P40" s="739"/>
      <c r="Q40" s="739"/>
      <c r="R40" s="739"/>
      <c r="S40" s="739"/>
      <c r="T40" s="598" t="s">
        <v>1611</v>
      </c>
    </row>
    <row r="41" spans="2:20" x14ac:dyDescent="0.2">
      <c r="B41" s="1970"/>
      <c r="M41" s="1623"/>
      <c r="N41" s="1623"/>
      <c r="O41" s="1623"/>
      <c r="P41" s="1623"/>
      <c r="Q41" s="1623"/>
      <c r="R41" s="1623"/>
      <c r="S41" s="1623"/>
      <c r="T41" s="1971"/>
    </row>
    <row r="42" spans="2:20" x14ac:dyDescent="0.2">
      <c r="B42" s="2802" t="s">
        <v>286</v>
      </c>
      <c r="C42" s="2803"/>
      <c r="D42" s="2803"/>
      <c r="E42" s="2803"/>
      <c r="F42" s="2803"/>
      <c r="G42" s="2803"/>
      <c r="H42" s="2803"/>
      <c r="I42" s="2803"/>
      <c r="J42" s="2803"/>
      <c r="K42" s="2803"/>
      <c r="M42" s="2015"/>
      <c r="N42" s="1688" t="s">
        <v>418</v>
      </c>
      <c r="O42" s="1689">
        <f>INDEX(Elig_All,MATCH(Elig_FindMatrixMatch_LTVMax,Elig_ID,0),30)</f>
        <v>90</v>
      </c>
      <c r="P42" s="1690"/>
      <c r="Q42" s="1689">
        <f>INDEX(Elig_All,MATCH(Elig_FindMatrixMatch_LTVMax,Elig_ID,0),27)</f>
        <v>0</v>
      </c>
      <c r="R42" s="1691"/>
      <c r="S42" s="1689">
        <f>INDEX(Elig_All,MATCH(Elig_FindMatrixMatch_LTVMax,Elig_ID,0),23)</f>
        <v>0</v>
      </c>
      <c r="T42" s="1973"/>
    </row>
    <row r="43" spans="2:20" x14ac:dyDescent="0.2">
      <c r="B43" s="1974" t="s">
        <v>259</v>
      </c>
      <c r="C43" s="1649" t="s">
        <v>33</v>
      </c>
      <c r="D43" s="1650" t="s">
        <v>290</v>
      </c>
      <c r="E43" s="1661" t="s">
        <v>348</v>
      </c>
      <c r="F43" s="1661" t="s">
        <v>43</v>
      </c>
      <c r="G43" s="1650" t="s">
        <v>270</v>
      </c>
      <c r="H43" s="1650" t="s">
        <v>271</v>
      </c>
      <c r="I43" s="1661"/>
      <c r="J43" s="1661"/>
      <c r="K43" s="1662"/>
      <c r="M43" s="1663"/>
      <c r="N43" s="1664"/>
      <c r="O43" s="1692"/>
      <c r="P43" s="1665"/>
      <c r="Q43" s="1666"/>
      <c r="R43" s="1666"/>
      <c r="S43" s="1664"/>
      <c r="T43" s="1975" t="s">
        <v>416</v>
      </c>
    </row>
    <row r="44" spans="2:20" x14ac:dyDescent="0.2">
      <c r="B44" s="1964" t="str">
        <f>Input_Name_Product1</f>
        <v>NonQM OO</v>
      </c>
      <c r="C44" s="1936" t="s">
        <v>16</v>
      </c>
      <c r="D44" s="1943">
        <f>Input_LoanAmt</f>
        <v>250000</v>
      </c>
      <c r="E44" s="1932"/>
      <c r="F44" s="1932"/>
      <c r="G44" s="1658">
        <v>0.01</v>
      </c>
      <c r="H44" s="1933">
        <v>65</v>
      </c>
      <c r="I44" s="1932"/>
      <c r="J44" s="1932"/>
      <c r="K44" s="1932"/>
      <c r="M44" s="1932"/>
      <c r="N44" s="1955" t="str">
        <f>IF(AND(Input_Product=EligOverlay!B44,Input_Purpose=EligOverlay!C44,Input_LTV&gt;=EligOverlay!G44,Input_LTV&lt;=EligOverlay!H44),D44,"")</f>
        <v/>
      </c>
      <c r="O44" s="1960"/>
      <c r="P44" s="1958"/>
      <c r="Q44" s="1932"/>
      <c r="R44" s="1932"/>
      <c r="S44" s="1932"/>
      <c r="T44" s="598" t="s">
        <v>297</v>
      </c>
    </row>
    <row r="45" spans="2:20" x14ac:dyDescent="0.2">
      <c r="B45" s="1964" t="str">
        <f>Input_Name_Product1</f>
        <v>NonQM OO</v>
      </c>
      <c r="C45" s="1936" t="s">
        <v>16</v>
      </c>
      <c r="D45" s="1933">
        <f>IF(Input_LoanAmt&gt;1000000,1000000,Input_LoanAmt)</f>
        <v>250000</v>
      </c>
      <c r="E45" s="1932"/>
      <c r="F45" s="1932"/>
      <c r="G45" s="1933">
        <v>65.010000000000005</v>
      </c>
      <c r="H45" s="1658">
        <v>999</v>
      </c>
      <c r="I45" s="1932"/>
      <c r="J45" s="1932"/>
      <c r="K45" s="1932"/>
      <c r="M45" s="1932"/>
      <c r="N45" s="1955" t="str">
        <f>IF(AND(Input_Product=EligOverlay!B45,Input_Purpose=EligOverlay!C45,Input_LTV&gt;=EligOverlay!G45,Input_LTV&lt;=EligOverlay!H45),D45,"")</f>
        <v/>
      </c>
      <c r="O45" s="1960"/>
      <c r="P45" s="1958"/>
      <c r="Q45" s="1932"/>
      <c r="R45" s="1932"/>
      <c r="S45" s="1932"/>
      <c r="T45" s="598" t="s">
        <v>297</v>
      </c>
    </row>
    <row r="46" spans="2:20" x14ac:dyDescent="0.2">
      <c r="B46" s="1964" t="str">
        <f>Input_Name_Product1</f>
        <v>NonQM OO</v>
      </c>
      <c r="C46" s="1936" t="s">
        <v>16</v>
      </c>
      <c r="D46" s="1933">
        <v>0</v>
      </c>
      <c r="E46" s="1932"/>
      <c r="F46" s="2463" t="s">
        <v>3914</v>
      </c>
      <c r="G46" s="1933">
        <v>0.01</v>
      </c>
      <c r="H46" s="1658">
        <v>999</v>
      </c>
      <c r="I46" s="1932"/>
      <c r="J46" s="1932"/>
      <c r="K46" s="1932"/>
      <c r="M46" s="1932"/>
      <c r="N46" s="1955" t="str">
        <f>IF(AND(Input_Product=EligOverlay!B46,Input_Purpose=EligOverlay!C46,Input_LTV&gt;=EligOverlay!G46,Input_LTV&lt;=EligOverlay!H46,Input_CreditHistory=EligOverlay!F46),D46,"")</f>
        <v/>
      </c>
      <c r="O46" s="1960"/>
      <c r="P46" s="1958"/>
      <c r="Q46" s="1932"/>
      <c r="R46" s="1932"/>
      <c r="S46" s="1932"/>
      <c r="T46" s="598" t="s">
        <v>4155</v>
      </c>
    </row>
    <row r="47" spans="2:20" x14ac:dyDescent="0.2">
      <c r="B47" s="1965" t="str">
        <f>Input_Name_Product2</f>
        <v>NonQM NOO</v>
      </c>
      <c r="C47" s="1936" t="s">
        <v>16</v>
      </c>
      <c r="D47" s="1943">
        <f>Input_LoanAmt</f>
        <v>250000</v>
      </c>
      <c r="E47" s="1932"/>
      <c r="F47" s="1932"/>
      <c r="G47" s="1658">
        <v>0.01</v>
      </c>
      <c r="H47" s="1933">
        <v>65</v>
      </c>
      <c r="I47" s="1932"/>
      <c r="J47" s="1932"/>
      <c r="K47" s="1932"/>
      <c r="M47" s="1932"/>
      <c r="N47" s="1955" t="str">
        <f>IF(AND(Input_Product=EligOverlay!B47,Input_Purpose=EligOverlay!C47,Input_LTV&gt;=EligOverlay!G47,Input_LTV&lt;=EligOverlay!H47),D47,"")</f>
        <v/>
      </c>
      <c r="O47" s="1960"/>
      <c r="P47" s="1958"/>
      <c r="Q47" s="1932"/>
      <c r="R47" s="1932"/>
      <c r="S47" s="1932"/>
      <c r="T47" s="598" t="s">
        <v>297</v>
      </c>
    </row>
    <row r="48" spans="2:20" x14ac:dyDescent="0.2">
      <c r="B48" s="1965" t="str">
        <f>Input_Name_Product2</f>
        <v>NonQM NOO</v>
      </c>
      <c r="C48" s="1936" t="s">
        <v>16</v>
      </c>
      <c r="D48" s="1933">
        <f>IF(Input_LoanAmt&gt;1000000,1000000,Input_LoanAmt)</f>
        <v>250000</v>
      </c>
      <c r="E48" s="1932"/>
      <c r="F48" s="1932"/>
      <c r="G48" s="1933">
        <v>65.010000000000005</v>
      </c>
      <c r="H48" s="1658">
        <v>999</v>
      </c>
      <c r="I48" s="1932"/>
      <c r="J48" s="1932"/>
      <c r="K48" s="1932"/>
      <c r="M48" s="1932"/>
      <c r="N48" s="1955" t="str">
        <f>IF(AND(Input_Product=EligOverlay!B48,Input_Purpose=EligOverlay!C48,Input_LTV&gt;=EligOverlay!G48,Input_LTV&lt;=EligOverlay!H48),D48,"")</f>
        <v/>
      </c>
      <c r="O48" s="1960"/>
      <c r="P48" s="1958"/>
      <c r="Q48" s="1932"/>
      <c r="R48" s="1932"/>
      <c r="S48" s="1932"/>
      <c r="T48" s="598" t="s">
        <v>297</v>
      </c>
    </row>
    <row r="49" spans="2:20" x14ac:dyDescent="0.2">
      <c r="B49" s="1966" t="str">
        <f>Input_Name_Product4</f>
        <v>Second OO</v>
      </c>
      <c r="C49" s="1936" t="s">
        <v>16</v>
      </c>
      <c r="D49" s="1943">
        <f>Input_LoanAmt</f>
        <v>250000</v>
      </c>
      <c r="E49" s="1932"/>
      <c r="F49" s="1932"/>
      <c r="G49" s="1658">
        <v>0.01</v>
      </c>
      <c r="H49" s="1658">
        <v>90</v>
      </c>
      <c r="I49" s="1932"/>
      <c r="J49" s="1932"/>
      <c r="K49" s="1932"/>
      <c r="M49" s="1932"/>
      <c r="N49" s="1955">
        <f>IF(AND(Input_Product=B49,Input_Purpose=C49,Input_LTV&gt;=G49,Input_LTV&lt;=H49),D49,"")</f>
        <v>250000</v>
      </c>
      <c r="O49" s="1960"/>
      <c r="P49" s="1958"/>
      <c r="Q49" s="1932"/>
      <c r="R49" s="1932"/>
      <c r="S49" s="1932"/>
      <c r="T49" s="598" t="s">
        <v>297</v>
      </c>
    </row>
    <row r="50" spans="2:20" x14ac:dyDescent="0.2">
      <c r="B50" s="1976" t="str">
        <f>Input_Name_Product5</f>
        <v>Second NOO</v>
      </c>
      <c r="C50" s="1936" t="s">
        <v>16</v>
      </c>
      <c r="D50" s="1943">
        <f>Input_LoanAmt</f>
        <v>250000</v>
      </c>
      <c r="E50" s="1932"/>
      <c r="F50" s="1932"/>
      <c r="G50" s="1658">
        <v>0.01</v>
      </c>
      <c r="H50" s="1658">
        <v>90</v>
      </c>
      <c r="I50" s="1932"/>
      <c r="J50" s="1932"/>
      <c r="K50" s="1932"/>
      <c r="M50" s="1932"/>
      <c r="N50" s="1955" t="str">
        <f>IF(AND(Input_Product=B50,Input_Purpose=C50,Input_LTV&gt;=G50,Input_LTV&lt;=H50),D50,"")</f>
        <v/>
      </c>
      <c r="O50" s="1960"/>
      <c r="P50" s="1958"/>
      <c r="Q50" s="1932"/>
      <c r="R50" s="1932"/>
      <c r="S50" s="1932"/>
      <c r="T50" s="598" t="s">
        <v>297</v>
      </c>
    </row>
    <row r="51" spans="2:20" x14ac:dyDescent="0.2">
      <c r="B51" s="1967" t="str">
        <f>Input_Name_Product10</f>
        <v>HELOC OO</v>
      </c>
      <c r="C51" s="1936" t="s">
        <v>16</v>
      </c>
      <c r="D51" s="1943">
        <f>Input_LoanAmt</f>
        <v>250000</v>
      </c>
      <c r="E51" s="1932"/>
      <c r="F51" s="1932"/>
      <c r="G51" s="1658">
        <v>0.01</v>
      </c>
      <c r="H51" s="1658">
        <v>60</v>
      </c>
      <c r="I51" s="1932"/>
      <c r="J51" s="1932"/>
      <c r="K51" s="1932"/>
      <c r="M51" s="1932"/>
      <c r="N51" s="1955" t="str">
        <f>IF(AND(Input_Product=EligOverlay!B51,Input_Purpose=EligOverlay!C51,Input_LTV&gt;=EligOverlay!G51,Input_LTV&lt;=EligOverlay!H51),D51,"")</f>
        <v/>
      </c>
      <c r="O51" s="1960"/>
      <c r="P51" s="1958"/>
      <c r="Q51" s="1932"/>
      <c r="R51" s="1932"/>
      <c r="S51" s="1932"/>
      <c r="T51" s="598" t="s">
        <v>297</v>
      </c>
    </row>
    <row r="52" spans="2:20" x14ac:dyDescent="0.2">
      <c r="B52" s="1967" t="str">
        <f>Input_Name_Product10</f>
        <v>HELOC OO</v>
      </c>
      <c r="C52" s="1936" t="s">
        <v>16</v>
      </c>
      <c r="D52" s="1658">
        <v>500000</v>
      </c>
      <c r="E52" s="1932"/>
      <c r="F52" s="1932"/>
      <c r="G52" s="1658">
        <v>60.01</v>
      </c>
      <c r="H52" s="1658">
        <v>999</v>
      </c>
      <c r="I52" s="1932"/>
      <c r="J52" s="1932"/>
      <c r="K52" s="1932"/>
      <c r="M52" s="1932"/>
      <c r="N52" s="1955" t="str">
        <f>IF(AND(Input_Product=EligOverlay!B52,Input_Purpose=EligOverlay!C52,Input_LTV&gt;=EligOverlay!G52,Input_LTV&lt;=EligOverlay!H52),D52,"")</f>
        <v/>
      </c>
      <c r="O52" s="1960"/>
      <c r="P52" s="1958"/>
      <c r="Q52" s="1932"/>
      <c r="R52" s="1932"/>
      <c r="S52" s="1932"/>
      <c r="T52" s="598" t="s">
        <v>297</v>
      </c>
    </row>
    <row r="53" spans="2:20" x14ac:dyDescent="0.2">
      <c r="B53" s="1969" t="str">
        <f>Input_Name_Product11</f>
        <v>HELOC NOO</v>
      </c>
      <c r="C53" s="1936" t="s">
        <v>16</v>
      </c>
      <c r="D53" s="1943">
        <f>Input_LoanAmt</f>
        <v>250000</v>
      </c>
      <c r="E53" s="1932"/>
      <c r="F53" s="1932"/>
      <c r="G53" s="1658">
        <v>0.01</v>
      </c>
      <c r="H53" s="1658">
        <v>60</v>
      </c>
      <c r="I53" s="1932"/>
      <c r="J53" s="1932"/>
      <c r="K53" s="1932"/>
      <c r="M53" s="1932"/>
      <c r="N53" s="1955" t="str">
        <f>IF(AND(Input_Product=EligOverlay!B53,Input_Purpose=EligOverlay!C53,Input_LTV&gt;=EligOverlay!G53,Input_LTV&lt;=EligOverlay!H53),D53,"")</f>
        <v/>
      </c>
      <c r="O53" s="1960"/>
      <c r="P53" s="1958"/>
      <c r="Q53" s="1932"/>
      <c r="R53" s="1932"/>
      <c r="S53" s="1932"/>
      <c r="T53" s="598" t="s">
        <v>297</v>
      </c>
    </row>
    <row r="54" spans="2:20" x14ac:dyDescent="0.2">
      <c r="B54" s="1969" t="str">
        <f>Input_Name_Product11</f>
        <v>HELOC NOO</v>
      </c>
      <c r="C54" s="1936" t="s">
        <v>16</v>
      </c>
      <c r="D54" s="1658">
        <v>500000</v>
      </c>
      <c r="E54" s="1932"/>
      <c r="F54" s="1932"/>
      <c r="G54" s="1658">
        <v>60.01</v>
      </c>
      <c r="H54" s="1658">
        <v>999</v>
      </c>
      <c r="I54" s="1932"/>
      <c r="J54" s="1932"/>
      <c r="K54" s="1932"/>
      <c r="M54" s="1932"/>
      <c r="N54" s="1955" t="str">
        <f>IF(AND(Input_Product=EligOverlay!B54,Input_Purpose=EligOverlay!C54,Input_LTV&gt;=EligOverlay!G54,Input_LTV&lt;=EligOverlay!H54),D54,"")</f>
        <v/>
      </c>
      <c r="O54" s="1960"/>
      <c r="P54" s="1958"/>
      <c r="Q54" s="1932"/>
      <c r="R54" s="1932"/>
      <c r="S54" s="1932"/>
      <c r="T54" s="598" t="s">
        <v>297</v>
      </c>
    </row>
    <row r="55" spans="2:20" x14ac:dyDescent="0.2">
      <c r="B55" s="1977" t="str">
        <f>Input_Name_Product13</f>
        <v xml:space="preserve">  </v>
      </c>
      <c r="C55" s="1936" t="s">
        <v>16</v>
      </c>
      <c r="D55" s="1658">
        <v>3000000</v>
      </c>
      <c r="E55" s="1932"/>
      <c r="F55" s="1932"/>
      <c r="G55" s="1658">
        <v>0.01</v>
      </c>
      <c r="H55" s="1658">
        <v>65</v>
      </c>
      <c r="I55" s="1932"/>
      <c r="J55" s="1932"/>
      <c r="K55" s="1932"/>
      <c r="M55" s="1932"/>
      <c r="N55" s="1955" t="str">
        <f>IF(AND(Input_Product=EligOverlay!B55,Input_Purpose=EligOverlay!C55,Input_LTV&gt;=EligOverlay!G55,Input_LTV&lt;=EligOverlay!H55),D55,"")</f>
        <v/>
      </c>
      <c r="O55" s="1960"/>
      <c r="P55" s="1958"/>
      <c r="Q55" s="1932"/>
      <c r="R55" s="1932"/>
      <c r="S55" s="1932"/>
      <c r="T55" s="598" t="s">
        <v>297</v>
      </c>
    </row>
    <row r="56" spans="2:20" x14ac:dyDescent="0.2">
      <c r="B56" s="1977" t="str">
        <f>Input_Name_Product13</f>
        <v xml:space="preserve">  </v>
      </c>
      <c r="C56" s="1936" t="s">
        <v>16</v>
      </c>
      <c r="D56" s="1658">
        <v>1000000</v>
      </c>
      <c r="E56" s="1932"/>
      <c r="F56" s="1932"/>
      <c r="G56" s="1658">
        <v>65.010000000000005</v>
      </c>
      <c r="H56" s="1658">
        <v>999</v>
      </c>
      <c r="I56" s="1932"/>
      <c r="J56" s="1932"/>
      <c r="K56" s="1932"/>
      <c r="M56" s="1932"/>
      <c r="N56" s="1955" t="str">
        <f>IF(AND(Input_Product=EligOverlay!B56,Input_Purpose=EligOverlay!C56,Input_LTV&gt;=EligOverlay!G56,Input_LTV&lt;=EligOverlay!H56),D56,"")</f>
        <v/>
      </c>
      <c r="O56" s="1960"/>
      <c r="P56" s="1958"/>
      <c r="Q56" s="1932"/>
      <c r="R56" s="1932"/>
      <c r="S56" s="1932"/>
      <c r="T56" s="598" t="s">
        <v>297</v>
      </c>
    </row>
    <row r="57" spans="2:20" x14ac:dyDescent="0.2">
      <c r="B57" s="1978" t="str">
        <f>Input_Name_Product14</f>
        <v xml:space="preserve"> </v>
      </c>
      <c r="C57" s="1936" t="s">
        <v>16</v>
      </c>
      <c r="D57" s="1658">
        <v>3000000</v>
      </c>
      <c r="E57" s="1932"/>
      <c r="F57" s="1932"/>
      <c r="G57" s="1658">
        <v>0.01</v>
      </c>
      <c r="H57" s="1658">
        <v>65</v>
      </c>
      <c r="I57" s="1932"/>
      <c r="J57" s="1932"/>
      <c r="K57" s="1932"/>
      <c r="M57" s="1932"/>
      <c r="N57" s="1955" t="str">
        <f>IF(AND(Input_Product=EligOverlay!B57,Input_Purpose=EligOverlay!C57,Input_LTV&gt;=EligOverlay!G57,Input_LTV&lt;=EligOverlay!H57),D57,"")</f>
        <v/>
      </c>
      <c r="O57" s="1960"/>
      <c r="P57" s="1958"/>
      <c r="Q57" s="1932"/>
      <c r="R57" s="1932"/>
      <c r="S57" s="1932"/>
      <c r="T57" s="598" t="s">
        <v>297</v>
      </c>
    </row>
    <row r="58" spans="2:20" x14ac:dyDescent="0.2">
      <c r="B58" s="1978" t="str">
        <f>Input_Name_Product14</f>
        <v xml:space="preserve"> </v>
      </c>
      <c r="C58" s="1936" t="s">
        <v>16</v>
      </c>
      <c r="D58" s="1658">
        <v>1000000</v>
      </c>
      <c r="E58" s="1932"/>
      <c r="F58" s="1932"/>
      <c r="G58" s="1658">
        <v>65.010000000000005</v>
      </c>
      <c r="H58" s="1658">
        <v>999</v>
      </c>
      <c r="I58" s="1932"/>
      <c r="J58" s="1932"/>
      <c r="K58" s="1932"/>
      <c r="M58" s="1932"/>
      <c r="N58" s="1955" t="str">
        <f>IF(AND(Input_Product=EligOverlay!B58,Input_Purpose=EligOverlay!C58,Input_LTV&gt;=EligOverlay!G58,Input_LTV&lt;=EligOverlay!H58),D58,"")</f>
        <v/>
      </c>
      <c r="O58" s="1960"/>
      <c r="P58" s="1958"/>
      <c r="Q58" s="1932"/>
      <c r="R58" s="1932"/>
      <c r="S58" s="1932"/>
      <c r="T58" s="598" t="s">
        <v>297</v>
      </c>
    </row>
    <row r="59" spans="2:20" x14ac:dyDescent="0.2">
      <c r="B59" s="1979" t="str">
        <f>Input_Name_Product15</f>
        <v xml:space="preserve"> </v>
      </c>
      <c r="C59" s="1936" t="s">
        <v>16</v>
      </c>
      <c r="D59" s="1658">
        <v>3000000</v>
      </c>
      <c r="E59" s="1932"/>
      <c r="F59" s="1932"/>
      <c r="G59" s="1658">
        <v>0.01</v>
      </c>
      <c r="H59" s="1658">
        <v>65</v>
      </c>
      <c r="I59" s="1932"/>
      <c r="J59" s="1932"/>
      <c r="K59" s="1932"/>
      <c r="M59" s="1932"/>
      <c r="N59" s="1955" t="str">
        <f>IF(AND(Input_Product=EligOverlay!B59,Input_Purpose=EligOverlay!C59,Input_LTV&gt;=EligOverlay!G59,Input_LTV&lt;=EligOverlay!H59),D59,"")</f>
        <v/>
      </c>
      <c r="O59" s="1960"/>
      <c r="P59" s="1958"/>
      <c r="Q59" s="1932"/>
      <c r="R59" s="1932"/>
      <c r="S59" s="1932"/>
      <c r="T59" s="598" t="s">
        <v>297</v>
      </c>
    </row>
    <row r="60" spans="2:20" x14ac:dyDescent="0.2">
      <c r="B60" s="1979" t="str">
        <f>Input_Name_Product15</f>
        <v xml:space="preserve"> </v>
      </c>
      <c r="C60" s="1936" t="s">
        <v>16</v>
      </c>
      <c r="D60" s="1658">
        <v>1000000</v>
      </c>
      <c r="E60" s="1932"/>
      <c r="F60" s="1932"/>
      <c r="G60" s="1658">
        <v>65.010000000000005</v>
      </c>
      <c r="H60" s="1658">
        <v>999</v>
      </c>
      <c r="I60" s="1932"/>
      <c r="J60" s="1932"/>
      <c r="K60" s="1932"/>
      <c r="M60" s="1932"/>
      <c r="N60" s="1955" t="str">
        <f>IF(AND(Input_Product=EligOverlay!B60,Input_Purpose=EligOverlay!C60,Input_LTV&gt;=EligOverlay!G60,Input_LTV&lt;=EligOverlay!H60),D60,"")</f>
        <v/>
      </c>
      <c r="O60" s="1960"/>
      <c r="P60" s="1958"/>
      <c r="Q60" s="1932"/>
      <c r="R60" s="1932"/>
      <c r="S60" s="1932"/>
      <c r="T60" s="598" t="s">
        <v>297</v>
      </c>
    </row>
    <row r="61" spans="2:20" x14ac:dyDescent="0.2">
      <c r="B61" s="1977" t="str">
        <f>Input_Name_Product13</f>
        <v xml:space="preserve">  </v>
      </c>
      <c r="C61" s="1936" t="s">
        <v>35</v>
      </c>
      <c r="D61" s="1932"/>
      <c r="E61" s="1658" t="s">
        <v>2611</v>
      </c>
      <c r="F61" s="1932"/>
      <c r="G61" s="1658">
        <v>0.01</v>
      </c>
      <c r="H61" s="1658">
        <v>65</v>
      </c>
      <c r="I61" s="1932"/>
      <c r="J61" s="1932"/>
      <c r="K61" s="1932"/>
      <c r="M61" s="1932"/>
      <c r="N61" s="1932"/>
      <c r="O61" s="1955" t="str">
        <f>IF(AND(Input_Product=EligOverlay!B61,Input_Purpose=EligOverlay!C61,Input_PropertyType=EligOverlay!E61),H61,"")</f>
        <v/>
      </c>
      <c r="P61" s="1958"/>
      <c r="Q61" s="1932"/>
      <c r="R61" s="1932"/>
      <c r="S61" s="1932"/>
      <c r="T61" s="598" t="s">
        <v>2611</v>
      </c>
    </row>
    <row r="62" spans="2:20" x14ac:dyDescent="0.2">
      <c r="B62" s="1978" t="str">
        <f>Input_Name_Product14</f>
        <v xml:space="preserve"> </v>
      </c>
      <c r="C62" s="1936" t="s">
        <v>35</v>
      </c>
      <c r="D62" s="1932"/>
      <c r="E62" s="1658" t="s">
        <v>2611</v>
      </c>
      <c r="F62" s="1932"/>
      <c r="G62" s="1658">
        <v>0.01</v>
      </c>
      <c r="H62" s="1658">
        <v>65</v>
      </c>
      <c r="I62" s="1932"/>
      <c r="J62" s="1932"/>
      <c r="K62" s="1932"/>
      <c r="M62" s="1932"/>
      <c r="N62" s="1932"/>
      <c r="O62" s="1955" t="str">
        <f>IF(AND(Input_Product=EligOverlay!B62,Input_Purpose=EligOverlay!C62,Input_PropertyType=EligOverlay!E62),H62,"")</f>
        <v/>
      </c>
      <c r="P62" s="1958"/>
      <c r="Q62" s="1932"/>
      <c r="R62" s="1932"/>
      <c r="S62" s="1932"/>
      <c r="T62" s="598" t="s">
        <v>2611</v>
      </c>
    </row>
    <row r="63" spans="2:20" x14ac:dyDescent="0.2">
      <c r="B63" s="1979" t="str">
        <f>Input_Name_Product15</f>
        <v xml:space="preserve"> </v>
      </c>
      <c r="C63" s="1936" t="s">
        <v>35</v>
      </c>
      <c r="D63" s="1932"/>
      <c r="E63" s="1658" t="s">
        <v>2611</v>
      </c>
      <c r="F63" s="1932"/>
      <c r="G63" s="1658">
        <v>0.01</v>
      </c>
      <c r="H63" s="1658">
        <v>65</v>
      </c>
      <c r="I63" s="1932"/>
      <c r="J63" s="1932"/>
      <c r="K63" s="1932"/>
      <c r="M63" s="1932"/>
      <c r="N63" s="1932"/>
      <c r="O63" s="1955" t="str">
        <f>IF(AND(Input_Product=EligOverlay!B63,Input_Purpose=EligOverlay!C63,Input_PropertyType=EligOverlay!E63),H63,"")</f>
        <v/>
      </c>
      <c r="P63" s="1958"/>
      <c r="Q63" s="1932"/>
      <c r="R63" s="1932"/>
      <c r="S63" s="1932"/>
      <c r="T63" s="598" t="s">
        <v>2611</v>
      </c>
    </row>
    <row r="64" spans="2:20" x14ac:dyDescent="0.2">
      <c r="B64" s="1980" t="str">
        <f>Input_Name_Product16&amp;" OO"</f>
        <v xml:space="preserve">  OO</v>
      </c>
      <c r="C64" s="1936" t="s">
        <v>16</v>
      </c>
      <c r="D64" s="1658">
        <v>3000000</v>
      </c>
      <c r="E64" s="1932"/>
      <c r="F64" s="1932"/>
      <c r="G64" s="1658">
        <v>0.01</v>
      </c>
      <c r="H64" s="1658">
        <v>999</v>
      </c>
      <c r="I64" s="1932"/>
      <c r="J64" s="1932"/>
      <c r="K64" s="1932"/>
      <c r="M64" s="1932"/>
      <c r="N64" s="1955" t="str">
        <f>IF(AND(Input_Product=EligOverlay!B64,Input_Purpose=EligOverlay!C64,Input_LTV&gt;=EligOverlay!G64,Input_LTV&lt;=EligOverlay!H64),D64,"")</f>
        <v/>
      </c>
      <c r="O64" s="1960"/>
      <c r="P64" s="1958"/>
      <c r="Q64" s="1932"/>
      <c r="R64" s="1932"/>
      <c r="S64" s="1932"/>
      <c r="T64" s="598" t="s">
        <v>297</v>
      </c>
    </row>
    <row r="65" spans="2:23" x14ac:dyDescent="0.2">
      <c r="B65" s="1981" t="str">
        <f>Input_Name_Product17&amp;" OO"</f>
        <v xml:space="preserve">  OO</v>
      </c>
      <c r="C65" s="1936" t="s">
        <v>16</v>
      </c>
      <c r="D65" s="1658">
        <v>3000000</v>
      </c>
      <c r="E65" s="1932"/>
      <c r="F65" s="1932"/>
      <c r="G65" s="1658">
        <v>0.01</v>
      </c>
      <c r="H65" s="1658">
        <v>999</v>
      </c>
      <c r="I65" s="1932"/>
      <c r="J65" s="1932"/>
      <c r="K65" s="1932"/>
      <c r="M65" s="1932"/>
      <c r="N65" s="1955" t="str">
        <f>IF(AND(Input_Product=EligOverlay!B65,Input_Purpose=EligOverlay!C65,Input_LTV&gt;=EligOverlay!G65,Input_LTV&lt;=EligOverlay!H65),D65,"")</f>
        <v/>
      </c>
      <c r="O65" s="1960"/>
      <c r="P65" s="1958"/>
      <c r="Q65" s="1932"/>
      <c r="R65" s="1932"/>
      <c r="S65" s="1932"/>
      <c r="T65" s="598" t="s">
        <v>297</v>
      </c>
    </row>
    <row r="66" spans="2:23" x14ac:dyDescent="0.2">
      <c r="B66" s="1980" t="str">
        <f>Input_Name_Product16&amp;" NOO"</f>
        <v xml:space="preserve">  NOO</v>
      </c>
      <c r="C66" s="1936" t="s">
        <v>16</v>
      </c>
      <c r="D66" s="1658">
        <v>3000000</v>
      </c>
      <c r="E66" s="1932"/>
      <c r="F66" s="1932"/>
      <c r="G66" s="1658">
        <v>0.01</v>
      </c>
      <c r="H66" s="1658">
        <v>999</v>
      </c>
      <c r="I66" s="1932"/>
      <c r="J66" s="1932"/>
      <c r="K66" s="1932"/>
      <c r="M66" s="1932"/>
      <c r="N66" s="1955" t="str">
        <f>IF(AND(Input_Product=EligOverlay!B66,Input_Purpose=EligOverlay!C66,Input_LTV&gt;=EligOverlay!G66,Input_LTV&lt;=EligOverlay!H66),D66,"")</f>
        <v/>
      </c>
      <c r="O66" s="1960"/>
      <c r="P66" s="1958"/>
      <c r="Q66" s="1932"/>
      <c r="R66" s="1932"/>
      <c r="S66" s="1932"/>
      <c r="T66" s="598" t="s">
        <v>297</v>
      </c>
    </row>
    <row r="67" spans="2:23" x14ac:dyDescent="0.2">
      <c r="B67" s="1981" t="str">
        <f>Input_Name_Product17&amp;" NOO"</f>
        <v xml:space="preserve">  NOO</v>
      </c>
      <c r="C67" s="1936" t="s">
        <v>16</v>
      </c>
      <c r="D67" s="1658">
        <v>3000000</v>
      </c>
      <c r="E67" s="1932"/>
      <c r="F67" s="1932"/>
      <c r="G67" s="1658">
        <v>0.01</v>
      </c>
      <c r="H67" s="1658">
        <v>999</v>
      </c>
      <c r="I67" s="1932"/>
      <c r="J67" s="1932"/>
      <c r="K67" s="1932"/>
      <c r="M67" s="1932"/>
      <c r="N67" s="1955" t="str">
        <f>IF(AND(Input_Product=EligOverlay!B67,Input_Purpose=EligOverlay!C67,Input_LTV&gt;=EligOverlay!G67,Input_LTV&lt;=EligOverlay!H67),D67,"")</f>
        <v/>
      </c>
      <c r="O67" s="1960"/>
      <c r="P67" s="1958"/>
      <c r="Q67" s="1932"/>
      <c r="R67" s="1932"/>
      <c r="S67" s="1932"/>
      <c r="T67" s="598" t="s">
        <v>297</v>
      </c>
    </row>
    <row r="68" spans="2:23" x14ac:dyDescent="0.2">
      <c r="B68" s="1982" t="str">
        <f>Input_Name_Product18&amp;" NOO"</f>
        <v xml:space="preserve">  NOO</v>
      </c>
      <c r="C68" s="1936" t="s">
        <v>16</v>
      </c>
      <c r="D68" s="1658">
        <v>1000000</v>
      </c>
      <c r="E68" s="1932"/>
      <c r="F68" s="1932"/>
      <c r="G68" s="1658">
        <v>0.01</v>
      </c>
      <c r="H68" s="1658">
        <v>65</v>
      </c>
      <c r="I68" s="1932"/>
      <c r="J68" s="1932"/>
      <c r="K68" s="1932"/>
      <c r="M68" s="1932"/>
      <c r="N68" s="1955" t="str">
        <f>IF(AND(Input_Product=EligOverlay!B68,Input_Purpose=EligOverlay!C68,Input_LTV&gt;=EligOverlay!G68,Input_LTV&lt;=EligOverlay!H68),D68,"")</f>
        <v/>
      </c>
      <c r="O68" s="1960"/>
      <c r="P68" s="1958"/>
      <c r="Q68" s="1932"/>
      <c r="R68" s="1932"/>
      <c r="S68" s="1932"/>
      <c r="T68" s="598" t="s">
        <v>297</v>
      </c>
    </row>
    <row r="69" spans="2:23" x14ac:dyDescent="0.2">
      <c r="B69" s="1982" t="str">
        <f>Input_Name_Product18&amp;" NOO"</f>
        <v xml:space="preserve">  NOO</v>
      </c>
      <c r="C69" s="1936" t="s">
        <v>16</v>
      </c>
      <c r="D69" s="1658">
        <v>500000</v>
      </c>
      <c r="E69" s="1932"/>
      <c r="F69" s="1932"/>
      <c r="G69" s="1658">
        <v>65.010000000000005</v>
      </c>
      <c r="H69" s="1658">
        <v>999</v>
      </c>
      <c r="I69" s="1932"/>
      <c r="J69" s="1932"/>
      <c r="K69" s="1932"/>
      <c r="M69" s="1932"/>
      <c r="N69" s="1955" t="str">
        <f>IF(AND(Input_Product=EligOverlay!B69,Input_Purpose=EligOverlay!C69,Input_LTV&gt;=EligOverlay!G69,Input_LTV&lt;=EligOverlay!H69),D69,"")</f>
        <v/>
      </c>
      <c r="O69" s="1960"/>
      <c r="P69" s="1958"/>
      <c r="Q69" s="1932"/>
      <c r="R69" s="1932"/>
      <c r="S69" s="1932"/>
      <c r="T69" s="598" t="s">
        <v>297</v>
      </c>
    </row>
    <row r="70" spans="2:23" x14ac:dyDescent="0.2">
      <c r="B70" s="1983" t="str">
        <f>Input_Name_Product19&amp;" NOO"</f>
        <v xml:space="preserve">  NOO</v>
      </c>
      <c r="C70" s="1936" t="s">
        <v>16</v>
      </c>
      <c r="D70" s="1658">
        <v>1000000</v>
      </c>
      <c r="E70" s="1932"/>
      <c r="F70" s="1932"/>
      <c r="G70" s="1658">
        <v>0.01</v>
      </c>
      <c r="H70" s="1658">
        <v>999</v>
      </c>
      <c r="I70" s="1932"/>
      <c r="J70" s="1932"/>
      <c r="K70" s="1932"/>
      <c r="M70" s="1932"/>
      <c r="N70" s="1955" t="str">
        <f>IF(AND(Input_Product=EligOverlay!B70,Input_Purpose=EligOverlay!C70,Input_LTV&gt;=EligOverlay!G70,Input_LTV&lt;=EligOverlay!H70),D70,"")</f>
        <v/>
      </c>
      <c r="O70" s="1960"/>
      <c r="P70" s="1958"/>
      <c r="Q70" s="1932"/>
      <c r="R70" s="1932"/>
      <c r="S70" s="1932"/>
      <c r="T70" s="598" t="s">
        <v>297</v>
      </c>
    </row>
    <row r="71" spans="2:23" x14ac:dyDescent="0.2">
      <c r="B71" s="1982" t="str">
        <f>Input_Name_Product20</f>
        <v xml:space="preserve"> </v>
      </c>
      <c r="C71" s="1936" t="s">
        <v>16</v>
      </c>
      <c r="D71" s="1658">
        <v>500000</v>
      </c>
      <c r="E71" s="1932"/>
      <c r="F71" s="1932"/>
      <c r="G71" s="1658">
        <v>0.01</v>
      </c>
      <c r="H71" s="1658">
        <v>50</v>
      </c>
      <c r="I71" s="1932"/>
      <c r="J71" s="1932"/>
      <c r="K71" s="1932"/>
      <c r="M71" s="1932"/>
      <c r="N71" s="1955" t="str">
        <f>IF(AND(Input_ProductClass=EligOverlay!B71,Input_Purpose=EligOverlay!C71,Input_LTV&gt;=EligOverlay!G71,Input_LTV&lt;=EligOverlay!H71),D71,"")</f>
        <v/>
      </c>
      <c r="O71" s="1960"/>
      <c r="P71" s="1958"/>
      <c r="Q71" s="1932"/>
      <c r="R71" s="1932"/>
      <c r="S71" s="1932"/>
      <c r="T71" s="598" t="s">
        <v>297</v>
      </c>
    </row>
    <row r="72" spans="2:23" x14ac:dyDescent="0.2">
      <c r="B72" s="1982" t="str">
        <f>Input_Name_Product20</f>
        <v xml:space="preserve"> </v>
      </c>
      <c r="C72" s="1936" t="s">
        <v>16</v>
      </c>
      <c r="D72" s="1658">
        <v>300000</v>
      </c>
      <c r="E72" s="1932"/>
      <c r="F72" s="1932"/>
      <c r="G72" s="1658">
        <v>50.01</v>
      </c>
      <c r="H72" s="1658">
        <v>999</v>
      </c>
      <c r="I72" s="1932"/>
      <c r="J72" s="1932"/>
      <c r="K72" s="1932"/>
      <c r="M72" s="1932"/>
      <c r="N72" s="1955" t="str">
        <f>IF(AND(Input_ProductClass=EligOverlay!B72,Input_Purpose=EligOverlay!C72,Input_LTV&gt;=EligOverlay!G72,Input_LTV&lt;=EligOverlay!H72),D72,"")</f>
        <v/>
      </c>
      <c r="O72" s="1960"/>
      <c r="P72" s="1958"/>
      <c r="Q72" s="1932"/>
      <c r="R72" s="1932"/>
      <c r="S72" s="1932"/>
      <c r="T72" s="598" t="s">
        <v>297</v>
      </c>
    </row>
    <row r="73" spans="2:23" x14ac:dyDescent="0.2">
      <c r="B73" s="1984" t="str">
        <f>Input_Name_Product3</f>
        <v>Multi NOO</v>
      </c>
      <c r="C73" s="1936" t="s">
        <v>16</v>
      </c>
      <c r="D73" s="1944">
        <v>1000000</v>
      </c>
      <c r="E73" s="1932"/>
      <c r="F73" s="1932"/>
      <c r="G73" s="1658">
        <v>0.01</v>
      </c>
      <c r="H73" s="1658">
        <v>50</v>
      </c>
      <c r="I73" s="1932"/>
      <c r="J73" s="1932"/>
      <c r="K73" s="1932"/>
      <c r="M73" s="1932"/>
      <c r="N73" s="1955" t="str">
        <f>IF(AND(Input_ProductClass=EligOverlay!B73,Input_Purpose=EligOverlay!C73,Input_LTV&gt;=EligOverlay!G73,Input_LTV&lt;=EligOverlay!H73),D73,"")</f>
        <v/>
      </c>
      <c r="O73" s="1960"/>
      <c r="P73" s="1958"/>
      <c r="Q73" s="1932"/>
      <c r="R73" s="1932"/>
      <c r="S73" s="1932"/>
      <c r="T73" s="598" t="s">
        <v>297</v>
      </c>
    </row>
    <row r="74" spans="2:23" x14ac:dyDescent="0.2">
      <c r="B74" s="1984" t="str">
        <f>Input_Name_Product3</f>
        <v>Multi NOO</v>
      </c>
      <c r="C74" s="1936" t="s">
        <v>16</v>
      </c>
      <c r="D74" s="1944">
        <v>1000000</v>
      </c>
      <c r="E74" s="1932"/>
      <c r="F74" s="1932"/>
      <c r="G74" s="1658">
        <v>50.01</v>
      </c>
      <c r="H74" s="1658">
        <v>999</v>
      </c>
      <c r="I74" s="1932"/>
      <c r="J74" s="1932"/>
      <c r="K74" s="1932"/>
      <c r="M74" s="1932"/>
      <c r="N74" s="1955" t="str">
        <f>IF(AND(Input_ProductClass=EligOverlay!B74,Input_Purpose=EligOverlay!C74,Input_LTV&gt;=EligOverlay!G74,Input_LTV&lt;=EligOverlay!H74),D74,"")</f>
        <v/>
      </c>
      <c r="O74" s="1960"/>
      <c r="P74" s="1958"/>
      <c r="Q74" s="1932"/>
      <c r="R74" s="1932"/>
      <c r="S74" s="1932"/>
      <c r="T74" s="598" t="s">
        <v>297</v>
      </c>
    </row>
    <row r="76" spans="2:23" x14ac:dyDescent="0.2">
      <c r="B76" s="1974" t="s">
        <v>259</v>
      </c>
      <c r="C76" s="1649" t="s">
        <v>429</v>
      </c>
      <c r="D76" s="1649" t="s">
        <v>8</v>
      </c>
      <c r="E76" s="1661"/>
      <c r="F76" s="1661"/>
      <c r="G76" s="1661"/>
      <c r="H76" s="1661"/>
      <c r="I76" s="1661"/>
      <c r="J76" s="1650" t="s">
        <v>2683</v>
      </c>
      <c r="K76" s="1662"/>
      <c r="M76" s="1962"/>
      <c r="N76" s="1962"/>
      <c r="O76" s="1962"/>
      <c r="P76" s="1962"/>
      <c r="Q76" s="1962"/>
      <c r="R76" s="1962"/>
      <c r="S76" s="1962"/>
      <c r="T76" s="1985"/>
    </row>
    <row r="77" spans="2:23" x14ac:dyDescent="0.2">
      <c r="B77" s="1966" t="str">
        <f>Input_Name_Product4</f>
        <v>Second OO</v>
      </c>
      <c r="C77" s="1936" t="s">
        <v>424</v>
      </c>
      <c r="D77" s="1944">
        <v>400000</v>
      </c>
      <c r="E77" s="1932"/>
      <c r="F77" s="1932"/>
      <c r="G77" s="1932"/>
      <c r="H77" s="1932"/>
      <c r="I77" s="1932"/>
      <c r="J77" s="1658">
        <v>400000</v>
      </c>
      <c r="K77" s="1932"/>
      <c r="M77" s="1955" t="str">
        <f>IF(AND(Input_Product=EligOverlay!B77,Input_ValuationType=EligOverlay!C77,Input_LoanAmt&gt;EligOverlay!D77),EligOverlay!J77,"")</f>
        <v/>
      </c>
      <c r="N77" s="1932"/>
      <c r="O77" s="1958"/>
      <c r="P77" s="1958"/>
      <c r="Q77" s="1932"/>
      <c r="R77" s="1932"/>
      <c r="S77" s="1932"/>
      <c r="T77" s="598" t="s">
        <v>2684</v>
      </c>
      <c r="W77" s="226" t="s">
        <v>1627</v>
      </c>
    </row>
    <row r="78" spans="2:23" x14ac:dyDescent="0.2">
      <c r="B78" s="1976" t="str">
        <f>Input_Name_Product5</f>
        <v>Second NOO</v>
      </c>
      <c r="C78" s="1936" t="s">
        <v>424</v>
      </c>
      <c r="D78" s="1944">
        <v>400000</v>
      </c>
      <c r="E78" s="1932"/>
      <c r="F78" s="1932"/>
      <c r="G78" s="1932"/>
      <c r="H78" s="1932"/>
      <c r="I78" s="1932"/>
      <c r="J78" s="1658">
        <v>400000</v>
      </c>
      <c r="K78" s="1932"/>
      <c r="M78" s="1955" t="str">
        <f>IF(AND(Input_Product=EligOverlay!B78,Input_ValuationType=EligOverlay!C78,Input_LoanAmt&gt;EligOverlay!D78),EligOverlay!J78,"")</f>
        <v/>
      </c>
      <c r="N78" s="1932"/>
      <c r="O78" s="1958"/>
      <c r="P78" s="1958"/>
      <c r="Q78" s="1932"/>
      <c r="R78" s="1932"/>
      <c r="S78" s="1932"/>
      <c r="T78" s="598" t="s">
        <v>2684</v>
      </c>
      <c r="W78" s="226" t="s">
        <v>1627</v>
      </c>
    </row>
    <row r="79" spans="2:23" x14ac:dyDescent="0.2">
      <c r="B79" s="1967" t="str">
        <f>Input_Name_Product10</f>
        <v>HELOC OO</v>
      </c>
      <c r="C79" s="1936" t="s">
        <v>424</v>
      </c>
      <c r="D79" s="1944">
        <v>400000</v>
      </c>
      <c r="E79" s="1932"/>
      <c r="F79" s="1932"/>
      <c r="G79" s="1932"/>
      <c r="H79" s="1932"/>
      <c r="I79" s="1932"/>
      <c r="J79" s="1658">
        <v>400000</v>
      </c>
      <c r="K79" s="1932"/>
      <c r="M79" s="1955" t="str">
        <f>IF(AND(Input_Product=EligOverlay!B79,Input_ValuationType=EligOverlay!C79,Input_LoanAmt&gt;EligOverlay!D79),EligOverlay!J79,"")</f>
        <v/>
      </c>
      <c r="N79" s="1932"/>
      <c r="O79" s="1958"/>
      <c r="P79" s="1958"/>
      <c r="Q79" s="1932"/>
      <c r="R79" s="1932"/>
      <c r="S79" s="1932"/>
      <c r="T79" s="598" t="s">
        <v>2684</v>
      </c>
      <c r="W79" s="226" t="s">
        <v>1627</v>
      </c>
    </row>
    <row r="80" spans="2:23" x14ac:dyDescent="0.2">
      <c r="B80" s="1969" t="str">
        <f>Input_Name_Product11</f>
        <v>HELOC NOO</v>
      </c>
      <c r="C80" s="1936" t="s">
        <v>424</v>
      </c>
      <c r="D80" s="1944">
        <v>400000</v>
      </c>
      <c r="E80" s="1932"/>
      <c r="F80" s="1932"/>
      <c r="G80" s="1932"/>
      <c r="H80" s="1932"/>
      <c r="I80" s="1932"/>
      <c r="J80" s="1658">
        <v>400000</v>
      </c>
      <c r="K80" s="1932"/>
      <c r="M80" s="1955" t="str">
        <f>IF(AND(Input_Product=EligOverlay!B80,Input_ValuationType=EligOverlay!C80,Input_LoanAmt&gt;EligOverlay!D80),EligOverlay!J80,"")</f>
        <v/>
      </c>
      <c r="N80" s="1932"/>
      <c r="O80" s="1958"/>
      <c r="P80" s="1958"/>
      <c r="Q80" s="1932"/>
      <c r="R80" s="1932"/>
      <c r="S80" s="1932"/>
      <c r="T80" s="598" t="s">
        <v>2684</v>
      </c>
      <c r="W80" s="226" t="s">
        <v>1627</v>
      </c>
    </row>
    <row r="81" spans="2:23" x14ac:dyDescent="0.2">
      <c r="W81" s="226" t="s">
        <v>1627</v>
      </c>
    </row>
    <row r="82" spans="2:23" x14ac:dyDescent="0.2">
      <c r="B82" s="1974" t="s">
        <v>259</v>
      </c>
      <c r="C82" s="1649" t="s">
        <v>33</v>
      </c>
      <c r="D82" s="1649" t="s">
        <v>225</v>
      </c>
      <c r="E82" s="1661"/>
      <c r="F82" s="1661"/>
      <c r="G82" s="1661"/>
      <c r="H82" s="1650" t="s">
        <v>271</v>
      </c>
      <c r="I82" s="1661"/>
      <c r="J82" s="1661"/>
      <c r="K82" s="1662"/>
      <c r="M82" s="514"/>
      <c r="N82" s="514"/>
      <c r="O82" s="514"/>
      <c r="P82" s="514"/>
      <c r="Q82" s="514"/>
      <c r="R82" s="514"/>
      <c r="S82" s="514"/>
      <c r="T82" s="1971"/>
    </row>
    <row r="83" spans="2:23" x14ac:dyDescent="0.2">
      <c r="B83" s="1964" t="str">
        <f>Input_Name_Product1</f>
        <v>NonQM OO</v>
      </c>
      <c r="C83" s="1936" t="s">
        <v>16</v>
      </c>
      <c r="D83" s="1656" t="s">
        <v>4163</v>
      </c>
      <c r="E83" s="1932"/>
      <c r="F83" s="1932"/>
      <c r="G83" s="1932"/>
      <c r="H83" s="1658">
        <v>0.01</v>
      </c>
      <c r="I83" s="1932"/>
      <c r="J83" s="1932"/>
      <c r="K83" s="1932"/>
      <c r="M83" s="1932"/>
      <c r="N83" s="1932"/>
      <c r="O83" s="1955" t="str">
        <f>IF(AND(Input_Product=EligOverlay!B83,Input_Purpose=EligOverlay!C83,Input_HousingHistory=EligOverlay!D83),H83,"")</f>
        <v/>
      </c>
      <c r="P83" s="1958"/>
      <c r="Q83" s="1932"/>
      <c r="R83" s="1932"/>
      <c r="S83" s="1932"/>
      <c r="T83" s="598" t="s">
        <v>4158</v>
      </c>
    </row>
    <row r="84" spans="2:23" x14ac:dyDescent="0.2">
      <c r="B84" s="1964" t="str">
        <f>Input_Name_Product1</f>
        <v>NonQM OO</v>
      </c>
      <c r="C84" s="1936" t="s">
        <v>16</v>
      </c>
      <c r="D84" s="1656" t="s">
        <v>4166</v>
      </c>
      <c r="E84" s="1932"/>
      <c r="F84" s="1932"/>
      <c r="G84" s="1932"/>
      <c r="H84" s="1658">
        <v>0.01</v>
      </c>
      <c r="I84" s="1932"/>
      <c r="J84" s="1932"/>
      <c r="K84" s="1932"/>
      <c r="M84" s="1932"/>
      <c r="N84" s="1932"/>
      <c r="O84" s="1955" t="str">
        <f>IF(AND(Input_Product=EligOverlay!B84,Input_Purpose=EligOverlay!C84,Input_HousingHistory=EligOverlay!D84),H84,"")</f>
        <v/>
      </c>
      <c r="P84" s="1958"/>
      <c r="Q84" s="1932"/>
      <c r="R84" s="1932"/>
      <c r="S84" s="1932"/>
      <c r="T84" s="598" t="s">
        <v>4158</v>
      </c>
    </row>
    <row r="85" spans="2:23" x14ac:dyDescent="0.2">
      <c r="B85" s="1965" t="str">
        <f>Input_Name_Product2</f>
        <v>NonQM NOO</v>
      </c>
      <c r="C85" s="1936" t="s">
        <v>16</v>
      </c>
      <c r="D85" s="1656" t="s">
        <v>4163</v>
      </c>
      <c r="E85" s="1934"/>
      <c r="F85" s="1934"/>
      <c r="G85" s="1934"/>
      <c r="H85" s="1658">
        <v>0.01</v>
      </c>
      <c r="I85" s="1932"/>
      <c r="J85" s="1934"/>
      <c r="K85" s="1934"/>
      <c r="M85" s="1932"/>
      <c r="N85" s="1932"/>
      <c r="O85" s="1955" t="str">
        <f>IF(AND(Input_Product=EligOverlay!B85,Input_Purpose=EligOverlay!C85,Input_HousingHistory=EligOverlay!D85),H85,"")</f>
        <v/>
      </c>
      <c r="P85" s="1958"/>
      <c r="Q85" s="1932"/>
      <c r="R85" s="1932"/>
      <c r="S85" s="1932"/>
      <c r="T85" s="598" t="s">
        <v>4158</v>
      </c>
    </row>
    <row r="86" spans="2:23" x14ac:dyDescent="0.2">
      <c r="B86" s="1965" t="str">
        <f>Input_Name_Product2</f>
        <v>NonQM NOO</v>
      </c>
      <c r="C86" s="1936" t="s">
        <v>16</v>
      </c>
      <c r="D86" s="1656" t="s">
        <v>4166</v>
      </c>
      <c r="E86" s="1934"/>
      <c r="F86" s="1934"/>
      <c r="G86" s="1934"/>
      <c r="H86" s="1658">
        <v>0.01</v>
      </c>
      <c r="I86" s="1932"/>
      <c r="J86" s="1934"/>
      <c r="K86" s="1934"/>
      <c r="M86" s="1932"/>
      <c r="N86" s="1932"/>
      <c r="O86" s="1955" t="str">
        <f>IF(AND(Input_Product=EligOverlay!B86,Input_Purpose=EligOverlay!C86,Input_HousingHistory=EligOverlay!D86),H86,"")</f>
        <v/>
      </c>
      <c r="P86" s="1958"/>
      <c r="Q86" s="1932"/>
      <c r="R86" s="1932"/>
      <c r="S86" s="1932"/>
      <c r="T86" s="598" t="s">
        <v>4158</v>
      </c>
    </row>
    <row r="87" spans="2:23" x14ac:dyDescent="0.2">
      <c r="B87" s="1972"/>
      <c r="C87" s="1623"/>
      <c r="D87" s="1623"/>
      <c r="E87" s="1623"/>
      <c r="F87" s="1623"/>
      <c r="G87" s="1623"/>
      <c r="H87" s="1623"/>
      <c r="I87" s="1623"/>
      <c r="J87" s="1623"/>
      <c r="K87" s="1623"/>
      <c r="M87" s="514"/>
      <c r="N87" s="514"/>
      <c r="O87" s="514"/>
      <c r="P87" s="514"/>
      <c r="Q87" s="514"/>
      <c r="R87" s="514"/>
      <c r="S87" s="514"/>
      <c r="T87" s="1971"/>
    </row>
    <row r="88" spans="2:23" x14ac:dyDescent="0.2">
      <c r="B88" s="1974" t="s">
        <v>259</v>
      </c>
      <c r="C88" s="1649" t="s">
        <v>33</v>
      </c>
      <c r="D88" s="1649" t="s">
        <v>40</v>
      </c>
      <c r="E88" s="1649" t="s">
        <v>39</v>
      </c>
      <c r="F88" s="1649" t="s">
        <v>1568</v>
      </c>
      <c r="G88" s="1661"/>
      <c r="H88" s="1650" t="s">
        <v>271</v>
      </c>
      <c r="I88" s="1661"/>
      <c r="J88" s="1661"/>
      <c r="K88" s="1662"/>
      <c r="M88" s="514"/>
      <c r="N88" s="514"/>
      <c r="O88" s="514"/>
      <c r="P88" s="514"/>
      <c r="Q88" s="514"/>
      <c r="R88" s="514"/>
      <c r="S88" s="514"/>
      <c r="T88" s="1971"/>
    </row>
    <row r="89" spans="2:23" x14ac:dyDescent="0.2">
      <c r="B89" s="1964" t="str">
        <f>Input_Name_Product1</f>
        <v>NonQM OO</v>
      </c>
      <c r="C89" s="1936" t="s">
        <v>16</v>
      </c>
      <c r="D89" s="1936" t="s">
        <v>405</v>
      </c>
      <c r="E89" s="1936" t="s">
        <v>37</v>
      </c>
      <c r="F89" s="2133" t="s">
        <v>3880</v>
      </c>
      <c r="G89" s="1932"/>
      <c r="H89" s="1658">
        <v>0.01</v>
      </c>
      <c r="I89" s="1932"/>
      <c r="J89" s="1932"/>
      <c r="K89" s="1932"/>
      <c r="M89" s="1932"/>
      <c r="N89" s="1932"/>
      <c r="O89" s="1955" t="str">
        <f>IF(AND(Input_Product=EligOverlay!B89,Input_State=EligOverlay!D89,Input_Occupancy=EligOverlay!E89,Input_Ratesheet_Source=EligOverlay!F89,Input_Purpose=EligOverlay!C89),H89,"")</f>
        <v/>
      </c>
      <c r="P89" s="1958"/>
      <c r="Q89" s="1932"/>
      <c r="R89" s="1932"/>
      <c r="S89" s="1932"/>
      <c r="T89" s="598" t="s">
        <v>1567</v>
      </c>
    </row>
    <row r="90" spans="2:23" x14ac:dyDescent="0.2">
      <c r="B90" s="1965" t="str">
        <f>Input_Name_Product2</f>
        <v>NonQM NOO</v>
      </c>
      <c r="C90" s="1936" t="s">
        <v>16</v>
      </c>
      <c r="D90" s="1936" t="s">
        <v>405</v>
      </c>
      <c r="E90" s="1936" t="s">
        <v>37</v>
      </c>
      <c r="F90" s="2133" t="s">
        <v>3880</v>
      </c>
      <c r="G90" s="1934"/>
      <c r="H90" s="1658">
        <v>0.01</v>
      </c>
      <c r="I90" s="1932"/>
      <c r="J90" s="1934"/>
      <c r="K90" s="1934"/>
      <c r="M90" s="1932"/>
      <c r="N90" s="1932"/>
      <c r="O90" s="1955" t="str">
        <f>IF(AND(Input_Product=EligOverlay!B90,Input_State=EligOverlay!D90,Input_Occupancy=EligOverlay!E90,Input_Ratesheet_Source=EligOverlay!F90,Input_Purpose=EligOverlay!C90),H90,"")</f>
        <v/>
      </c>
      <c r="P90" s="1958"/>
      <c r="Q90" s="1932"/>
      <c r="R90" s="1932"/>
      <c r="S90" s="1932"/>
      <c r="T90" s="598" t="s">
        <v>1567</v>
      </c>
    </row>
    <row r="91" spans="2:23" x14ac:dyDescent="0.2">
      <c r="B91" s="1984" t="str">
        <f>Input_Name_Product3</f>
        <v>Multi NOO</v>
      </c>
      <c r="C91" s="1936" t="s">
        <v>16</v>
      </c>
      <c r="D91" s="1936" t="s">
        <v>405</v>
      </c>
      <c r="E91" s="1936" t="s">
        <v>37</v>
      </c>
      <c r="F91" s="2133" t="s">
        <v>3880</v>
      </c>
      <c r="G91" s="1934"/>
      <c r="H91" s="1658">
        <v>0.01</v>
      </c>
      <c r="I91" s="1932"/>
      <c r="J91" s="1934"/>
      <c r="K91" s="1934"/>
      <c r="M91" s="1932"/>
      <c r="N91" s="1932"/>
      <c r="O91" s="1955" t="str">
        <f>IF(AND(Input_Product=EligOverlay!B91,Input_State=EligOverlay!D91,Input_Occupancy=EligOverlay!E91,Input_Ratesheet_Source=EligOverlay!F91,Input_Purpose=EligOverlay!C91),H91,"")</f>
        <v/>
      </c>
      <c r="P91" s="1958"/>
      <c r="Q91" s="1932"/>
      <c r="R91" s="1932"/>
      <c r="S91" s="1932"/>
      <c r="T91" s="598" t="s">
        <v>1567</v>
      </c>
    </row>
    <row r="92" spans="2:23" x14ac:dyDescent="0.2">
      <c r="B92" s="1966" t="str">
        <f>Input_Name_Product4</f>
        <v>Second OO</v>
      </c>
      <c r="C92" s="1936" t="s">
        <v>16</v>
      </c>
      <c r="D92" s="1936" t="s">
        <v>405</v>
      </c>
      <c r="E92" s="1936" t="s">
        <v>37</v>
      </c>
      <c r="F92" s="2133" t="s">
        <v>3880</v>
      </c>
      <c r="G92" s="1934"/>
      <c r="H92" s="1658">
        <v>0.01</v>
      </c>
      <c r="I92" s="1932"/>
      <c r="J92" s="1934"/>
      <c r="K92" s="1934"/>
      <c r="M92" s="1932"/>
      <c r="N92" s="1932"/>
      <c r="O92" s="1955" t="str">
        <f>IF(AND(Input_Product=EligOverlay!B92,Input_State=EligOverlay!D92,Input_Occupancy=EligOverlay!E92,Input_Ratesheet_Source=EligOverlay!F92,Input_Purpose=EligOverlay!C92),H92,"")</f>
        <v/>
      </c>
      <c r="P92" s="1958"/>
      <c r="Q92" s="1932"/>
      <c r="R92" s="1932"/>
      <c r="S92" s="1932"/>
      <c r="T92" s="598" t="s">
        <v>1567</v>
      </c>
    </row>
    <row r="93" spans="2:23" x14ac:dyDescent="0.2">
      <c r="B93" s="1976" t="str">
        <f>Input_Name_Product5</f>
        <v>Second NOO</v>
      </c>
      <c r="C93" s="1936" t="s">
        <v>16</v>
      </c>
      <c r="D93" s="1936" t="s">
        <v>405</v>
      </c>
      <c r="E93" s="1936" t="s">
        <v>37</v>
      </c>
      <c r="F93" s="2133" t="s">
        <v>3880</v>
      </c>
      <c r="G93" s="1934"/>
      <c r="H93" s="1658">
        <v>0.01</v>
      </c>
      <c r="I93" s="1932"/>
      <c r="J93" s="1934"/>
      <c r="K93" s="1934"/>
      <c r="M93" s="1932"/>
      <c r="N93" s="1932"/>
      <c r="O93" s="1955" t="str">
        <f>IF(AND(Input_Product=EligOverlay!B93,Input_State=EligOverlay!D93,Input_Occupancy=EligOverlay!E93,Input_Ratesheet_Source=EligOverlay!F93,Input_Purpose=EligOverlay!C93),H93,"")</f>
        <v/>
      </c>
      <c r="P93" s="1958"/>
      <c r="Q93" s="1932"/>
      <c r="R93" s="1932"/>
      <c r="S93" s="1932"/>
      <c r="T93" s="598" t="s">
        <v>1567</v>
      </c>
    </row>
    <row r="94" spans="2:23" x14ac:dyDescent="0.2">
      <c r="B94" s="1977" t="str">
        <f>Input_Name_Product13</f>
        <v xml:space="preserve">  </v>
      </c>
      <c r="C94" s="1936" t="s">
        <v>16</v>
      </c>
      <c r="D94" s="1936" t="s">
        <v>405</v>
      </c>
      <c r="E94" s="1936" t="s">
        <v>37</v>
      </c>
      <c r="F94" s="2133" t="s">
        <v>3880</v>
      </c>
      <c r="G94" s="1934"/>
      <c r="H94" s="1658">
        <v>0.01</v>
      </c>
      <c r="I94" s="1932"/>
      <c r="J94" s="1934"/>
      <c r="K94" s="1934"/>
      <c r="M94" s="1932"/>
      <c r="N94" s="1932"/>
      <c r="O94" s="1955" t="str">
        <f>IF(AND(Input_Product=EligOverlay!B94,Input_State=EligOverlay!D94,Input_Occupancy=EligOverlay!E94,Input_Ratesheet_Source=EligOverlay!F94,Input_Purpose=EligOverlay!C94),H94,"")</f>
        <v/>
      </c>
      <c r="P94" s="1958"/>
      <c r="Q94" s="1932"/>
      <c r="R94" s="1932"/>
      <c r="S94" s="1932"/>
      <c r="T94" s="598" t="s">
        <v>1567</v>
      </c>
    </row>
    <row r="95" spans="2:23" x14ac:dyDescent="0.2">
      <c r="B95" s="1978" t="str">
        <f>Input_Name_Product14</f>
        <v xml:space="preserve"> </v>
      </c>
      <c r="C95" s="1936" t="s">
        <v>16</v>
      </c>
      <c r="D95" s="1936" t="s">
        <v>405</v>
      </c>
      <c r="E95" s="1936" t="s">
        <v>37</v>
      </c>
      <c r="F95" s="2133" t="s">
        <v>3880</v>
      </c>
      <c r="G95" s="1934"/>
      <c r="H95" s="1658">
        <v>0.01</v>
      </c>
      <c r="I95" s="1932"/>
      <c r="J95" s="1934"/>
      <c r="K95" s="1934"/>
      <c r="M95" s="1932"/>
      <c r="N95" s="1932"/>
      <c r="O95" s="1955" t="str">
        <f>IF(AND(Input_Product=EligOverlay!B95,Input_State=EligOverlay!D95,Input_Occupancy=EligOverlay!E95,Input_Ratesheet_Source=EligOverlay!F95,Input_Purpose=EligOverlay!C95),H95,"")</f>
        <v/>
      </c>
      <c r="P95" s="1958"/>
      <c r="Q95" s="1932"/>
      <c r="R95" s="1932"/>
      <c r="S95" s="1932"/>
      <c r="T95" s="598" t="s">
        <v>1567</v>
      </c>
    </row>
    <row r="96" spans="2:23" x14ac:dyDescent="0.2">
      <c r="B96" s="1979" t="str">
        <f>Input_Name_Product15</f>
        <v xml:space="preserve"> </v>
      </c>
      <c r="C96" s="1936" t="s">
        <v>16</v>
      </c>
      <c r="D96" s="1936" t="s">
        <v>405</v>
      </c>
      <c r="E96" s="1936" t="s">
        <v>37</v>
      </c>
      <c r="F96" s="2133" t="s">
        <v>3880</v>
      </c>
      <c r="G96" s="1934"/>
      <c r="H96" s="1658">
        <v>0.01</v>
      </c>
      <c r="I96" s="1932"/>
      <c r="J96" s="1934"/>
      <c r="K96" s="1934"/>
      <c r="M96" s="1932"/>
      <c r="N96" s="1932"/>
      <c r="O96" s="1955" t="str">
        <f>IF(AND(Input_Product=EligOverlay!B96,Input_State=EligOverlay!D96,Input_Occupancy=EligOverlay!E96,Input_Ratesheet_Source=EligOverlay!F96,Input_Purpose=EligOverlay!C96),H96,"")</f>
        <v/>
      </c>
      <c r="P96" s="1958"/>
      <c r="Q96" s="1932"/>
      <c r="R96" s="1932"/>
      <c r="S96" s="1932"/>
      <c r="T96" s="598" t="s">
        <v>1567</v>
      </c>
    </row>
    <row r="97" spans="2:20" x14ac:dyDescent="0.2">
      <c r="B97" s="1986" t="str">
        <f>Input_Name_Product10</f>
        <v>HELOC OO</v>
      </c>
      <c r="C97" s="1936" t="s">
        <v>16</v>
      </c>
      <c r="D97" s="1936" t="s">
        <v>405</v>
      </c>
      <c r="E97" s="1936" t="s">
        <v>37</v>
      </c>
      <c r="F97" s="2133" t="s">
        <v>3880</v>
      </c>
      <c r="G97" s="1934"/>
      <c r="H97" s="1658">
        <v>0.01</v>
      </c>
      <c r="I97" s="1932"/>
      <c r="J97" s="1934"/>
      <c r="K97" s="1934"/>
      <c r="M97" s="1932"/>
      <c r="N97" s="1932"/>
      <c r="O97" s="1955" t="str">
        <f>IF(AND(Input_Product=EligOverlay!B97,Input_State=EligOverlay!D97,Input_Occupancy=EligOverlay!E97,Input_Ratesheet_Source=EligOverlay!F97,Input_Purpose=EligOverlay!C97),H97,"")</f>
        <v/>
      </c>
      <c r="P97" s="1958"/>
      <c r="Q97" s="1932"/>
      <c r="R97" s="1932"/>
      <c r="S97" s="1932"/>
      <c r="T97" s="598" t="s">
        <v>1567</v>
      </c>
    </row>
    <row r="98" spans="2:20" x14ac:dyDescent="0.2">
      <c r="B98" s="1967" t="str">
        <f>Input_Name_Product11</f>
        <v>HELOC NOO</v>
      </c>
      <c r="C98" s="1936" t="s">
        <v>16</v>
      </c>
      <c r="D98" s="1936" t="s">
        <v>405</v>
      </c>
      <c r="E98" s="1936" t="s">
        <v>37</v>
      </c>
      <c r="F98" s="2133" t="s">
        <v>3880</v>
      </c>
      <c r="G98" s="1934"/>
      <c r="H98" s="1658">
        <v>0.01</v>
      </c>
      <c r="I98" s="1932"/>
      <c r="J98" s="1934"/>
      <c r="K98" s="1934"/>
      <c r="M98" s="1932"/>
      <c r="N98" s="1932"/>
      <c r="O98" s="1955" t="str">
        <f>IF(AND(Input_Product=EligOverlay!B98,Input_State=EligOverlay!D98,Input_Occupancy=EligOverlay!E98,Input_Ratesheet_Source=EligOverlay!F98,Input_Purpose=EligOverlay!C98),H98,"")</f>
        <v/>
      </c>
      <c r="P98" s="1958"/>
      <c r="Q98" s="1932"/>
      <c r="R98" s="1932"/>
      <c r="S98" s="1932"/>
      <c r="T98" s="598" t="s">
        <v>1567</v>
      </c>
    </row>
    <row r="99" spans="2:20" x14ac:dyDescent="0.2">
      <c r="B99" s="1980" t="str">
        <f>Input_Name_Product16&amp;" OO"</f>
        <v xml:space="preserve">  OO</v>
      </c>
      <c r="C99" s="1936" t="s">
        <v>16</v>
      </c>
      <c r="D99" s="1936" t="s">
        <v>405</v>
      </c>
      <c r="E99" s="1936" t="s">
        <v>37</v>
      </c>
      <c r="F99" s="2133" t="s">
        <v>3880</v>
      </c>
      <c r="G99" s="1934"/>
      <c r="H99" s="1658">
        <v>0.01</v>
      </c>
      <c r="I99" s="1932"/>
      <c r="J99" s="1934"/>
      <c r="K99" s="1934"/>
      <c r="M99" s="1932"/>
      <c r="N99" s="1932"/>
      <c r="O99" s="1955" t="str">
        <f>IF(AND(Input_Product=EligOverlay!B99,Input_State=EligOverlay!D99,Input_Occupancy=EligOverlay!E99,Input_Ratesheet_Source=EligOverlay!F99,Input_Purpose=EligOverlay!C99),H99,"")</f>
        <v/>
      </c>
      <c r="P99" s="1958"/>
      <c r="Q99" s="1932"/>
      <c r="R99" s="1932"/>
      <c r="S99" s="1932"/>
      <c r="T99" s="598" t="s">
        <v>1567</v>
      </c>
    </row>
    <row r="100" spans="2:20" x14ac:dyDescent="0.2">
      <c r="B100" s="1981" t="str">
        <f>Input_Name_Product17&amp;" OO"</f>
        <v xml:space="preserve">  OO</v>
      </c>
      <c r="C100" s="1936" t="s">
        <v>16</v>
      </c>
      <c r="D100" s="1936" t="s">
        <v>405</v>
      </c>
      <c r="E100" s="1936" t="s">
        <v>37</v>
      </c>
      <c r="F100" s="2133" t="s">
        <v>3880</v>
      </c>
      <c r="G100" s="1934"/>
      <c r="H100" s="1658">
        <v>0.01</v>
      </c>
      <c r="I100" s="1932"/>
      <c r="J100" s="1934"/>
      <c r="K100" s="1934"/>
      <c r="M100" s="1932"/>
      <c r="N100" s="1932"/>
      <c r="O100" s="1955" t="str">
        <f>IF(AND(Input_Product=EligOverlay!B100,Input_State=EligOverlay!D100,Input_Occupancy=EligOverlay!E100,Input_Ratesheet_Source=EligOverlay!F100,Input_Purpose=EligOverlay!C100),H100,"")</f>
        <v/>
      </c>
      <c r="P100" s="1958"/>
      <c r="Q100" s="1932"/>
      <c r="R100" s="1932"/>
      <c r="S100" s="1932"/>
      <c r="T100" s="598" t="s">
        <v>1567</v>
      </c>
    </row>
    <row r="101" spans="2:20" x14ac:dyDescent="0.2">
      <c r="B101" s="1980" t="str">
        <f>Input_Name_Product16&amp;" NOO"</f>
        <v xml:space="preserve">  NOO</v>
      </c>
      <c r="C101" s="1936" t="s">
        <v>16</v>
      </c>
      <c r="D101" s="1936" t="s">
        <v>405</v>
      </c>
      <c r="E101" s="1936" t="s">
        <v>37</v>
      </c>
      <c r="F101" s="2133" t="s">
        <v>3880</v>
      </c>
      <c r="G101" s="1934"/>
      <c r="H101" s="1658">
        <v>0.01</v>
      </c>
      <c r="I101" s="1932"/>
      <c r="J101" s="1934"/>
      <c r="K101" s="1934"/>
      <c r="M101" s="1932"/>
      <c r="N101" s="1932"/>
      <c r="O101" s="1955" t="str">
        <f>IF(AND(Input_Product=EligOverlay!B101,Input_State=EligOverlay!D101,Input_Occupancy=EligOverlay!E101,Input_Ratesheet_Source=EligOverlay!F101,Input_Purpose=EligOverlay!C101),H101,"")</f>
        <v/>
      </c>
      <c r="P101" s="1958"/>
      <c r="Q101" s="1932"/>
      <c r="R101" s="1932"/>
      <c r="S101" s="1932"/>
      <c r="T101" s="598" t="s">
        <v>1567</v>
      </c>
    </row>
    <row r="102" spans="2:20" x14ac:dyDescent="0.2">
      <c r="B102" s="1981" t="str">
        <f>Input_Name_Product17&amp;" NOO"</f>
        <v xml:space="preserve">  NOO</v>
      </c>
      <c r="C102" s="1936" t="s">
        <v>16</v>
      </c>
      <c r="D102" s="1936" t="s">
        <v>405</v>
      </c>
      <c r="E102" s="1936" t="s">
        <v>37</v>
      </c>
      <c r="F102" s="2133" t="s">
        <v>3880</v>
      </c>
      <c r="G102" s="1934"/>
      <c r="H102" s="1658">
        <v>0.01</v>
      </c>
      <c r="I102" s="1932"/>
      <c r="J102" s="1934"/>
      <c r="K102" s="1934"/>
      <c r="M102" s="1932"/>
      <c r="N102" s="1932"/>
      <c r="O102" s="1955" t="str">
        <f>IF(AND(Input_Product=EligOverlay!B102,Input_State=EligOverlay!D102,Input_Occupancy=EligOverlay!E102,Input_Ratesheet_Source=EligOverlay!F102,Input_Purpose=EligOverlay!C102),H102,"")</f>
        <v/>
      </c>
      <c r="P102" s="1958"/>
      <c r="Q102" s="1932"/>
      <c r="R102" s="1932"/>
      <c r="S102" s="1932"/>
      <c r="T102" s="598" t="s">
        <v>1567</v>
      </c>
    </row>
    <row r="103" spans="2:20" x14ac:dyDescent="0.2">
      <c r="B103" s="1987" t="str">
        <f>Input_Name_Product18&amp;" NOO"</f>
        <v xml:space="preserve">  NOO</v>
      </c>
      <c r="C103" s="1936" t="s">
        <v>16</v>
      </c>
      <c r="D103" s="1936" t="s">
        <v>405</v>
      </c>
      <c r="E103" s="1936" t="s">
        <v>37</v>
      </c>
      <c r="F103" s="2133" t="s">
        <v>3880</v>
      </c>
      <c r="G103" s="1934"/>
      <c r="H103" s="1658">
        <v>0.01</v>
      </c>
      <c r="I103" s="1932"/>
      <c r="J103" s="1934"/>
      <c r="K103" s="1934"/>
      <c r="M103" s="1932"/>
      <c r="N103" s="1932"/>
      <c r="O103" s="1955" t="str">
        <f>IF(AND(Input_Product=EligOverlay!B103,Input_State=EligOverlay!D103,Input_Occupancy=EligOverlay!E103,Input_Ratesheet_Source=EligOverlay!F103,Input_Purpose=EligOverlay!C103),H103,"")</f>
        <v/>
      </c>
      <c r="P103" s="1958"/>
      <c r="Q103" s="1932"/>
      <c r="R103" s="1932"/>
      <c r="S103" s="1932"/>
      <c r="T103" s="598" t="s">
        <v>1567</v>
      </c>
    </row>
    <row r="104" spans="2:20" x14ac:dyDescent="0.2">
      <c r="B104" s="1983" t="str">
        <f>Input_Name_Product19&amp;" NOO"</f>
        <v xml:space="preserve">  NOO</v>
      </c>
      <c r="C104" s="1936" t="s">
        <v>16</v>
      </c>
      <c r="D104" s="1936" t="s">
        <v>405</v>
      </c>
      <c r="E104" s="1936" t="s">
        <v>37</v>
      </c>
      <c r="F104" s="2133" t="s">
        <v>3880</v>
      </c>
      <c r="G104" s="1934"/>
      <c r="H104" s="1658">
        <v>0.01</v>
      </c>
      <c r="I104" s="1932"/>
      <c r="J104" s="1934"/>
      <c r="K104" s="1934"/>
      <c r="M104" s="1932"/>
      <c r="N104" s="1932"/>
      <c r="O104" s="1955" t="str">
        <f>IF(AND(Input_Product=EligOverlay!B104,Input_State=EligOverlay!D104,Input_Occupancy=EligOverlay!E104,Input_Ratesheet_Source=EligOverlay!F104,Input_Purpose=EligOverlay!C104),H104,"")</f>
        <v/>
      </c>
      <c r="P104" s="1958"/>
      <c r="Q104" s="1932"/>
      <c r="R104" s="1932"/>
      <c r="S104" s="1932"/>
      <c r="T104" s="598" t="s">
        <v>1567</v>
      </c>
    </row>
    <row r="105" spans="2:20" x14ac:dyDescent="0.2">
      <c r="B105" s="1982" t="str">
        <f>Input_Name_Product20&amp;" NOO"</f>
        <v xml:space="preserve">  NOO</v>
      </c>
      <c r="C105" s="1936" t="s">
        <v>16</v>
      </c>
      <c r="D105" s="1936" t="s">
        <v>405</v>
      </c>
      <c r="E105" s="1936" t="s">
        <v>37</v>
      </c>
      <c r="F105" s="2133" t="s">
        <v>3880</v>
      </c>
      <c r="G105" s="1934"/>
      <c r="H105" s="1658">
        <v>0.01</v>
      </c>
      <c r="I105" s="1932"/>
      <c r="J105" s="1934"/>
      <c r="K105" s="1934"/>
      <c r="M105" s="1932"/>
      <c r="N105" s="1932"/>
      <c r="O105" s="1955" t="str">
        <f>IF(AND(Input_Product=EligOverlay!B105,Input_State=EligOverlay!D105,Input_Occupancy=EligOverlay!E105,Input_Ratesheet_Source=EligOverlay!F105,Input_Purpose=EligOverlay!C105),H105,"")</f>
        <v/>
      </c>
      <c r="P105" s="1958"/>
      <c r="Q105" s="1932"/>
      <c r="R105" s="1932"/>
      <c r="S105" s="1932"/>
      <c r="T105" s="598" t="s">
        <v>1567</v>
      </c>
    </row>
    <row r="107" spans="2:20" x14ac:dyDescent="0.2">
      <c r="B107" s="1974" t="s">
        <v>259</v>
      </c>
      <c r="C107" s="1649" t="s">
        <v>33</v>
      </c>
      <c r="D107" s="1649" t="s">
        <v>40</v>
      </c>
      <c r="E107" s="1649" t="s">
        <v>39</v>
      </c>
      <c r="F107" s="1661"/>
      <c r="G107" s="1661"/>
      <c r="H107" s="1650" t="s">
        <v>271</v>
      </c>
      <c r="I107" s="1661"/>
      <c r="J107" s="1661"/>
      <c r="K107" s="1662"/>
      <c r="M107" s="514"/>
      <c r="N107" s="514"/>
      <c r="O107" s="514"/>
      <c r="P107" s="514"/>
      <c r="Q107" s="514"/>
      <c r="R107" s="514"/>
      <c r="S107" s="514"/>
      <c r="T107" s="1971"/>
    </row>
    <row r="108" spans="2:20" x14ac:dyDescent="0.2">
      <c r="B108" s="1964" t="str">
        <f>Input_Name_Product1</f>
        <v>NonQM OO</v>
      </c>
      <c r="C108" s="1936" t="s">
        <v>16</v>
      </c>
      <c r="D108" s="1936" t="s">
        <v>405</v>
      </c>
      <c r="E108" s="1936" t="s">
        <v>37</v>
      </c>
      <c r="F108" s="1932"/>
      <c r="G108" s="1932"/>
      <c r="H108" s="1658">
        <v>80</v>
      </c>
      <c r="I108" s="1932"/>
      <c r="J108" s="1932"/>
      <c r="K108" s="1932"/>
      <c r="M108" s="1932"/>
      <c r="N108" s="1932"/>
      <c r="O108" s="1955" t="str">
        <f>IF(AND(Input_Product=EligOverlay!B108,Input_State=EligOverlay!D108,Input_Occupancy=EligOverlay!E108,Input_Purpose=EligOverlay!C108),H108,"")</f>
        <v/>
      </c>
      <c r="P108" s="1958"/>
      <c r="Q108" s="1932"/>
      <c r="R108" s="1932"/>
      <c r="S108" s="1932"/>
      <c r="T108" s="598" t="s">
        <v>1619</v>
      </c>
    </row>
    <row r="109" spans="2:20" x14ac:dyDescent="0.2">
      <c r="B109" s="1965" t="str">
        <f>Input_Name_Product2</f>
        <v>NonQM NOO</v>
      </c>
      <c r="C109" s="1936" t="s">
        <v>16</v>
      </c>
      <c r="D109" s="1936" t="s">
        <v>405</v>
      </c>
      <c r="E109" s="1936" t="s">
        <v>37</v>
      </c>
      <c r="F109" s="1934"/>
      <c r="G109" s="1934"/>
      <c r="H109" s="1658">
        <v>80</v>
      </c>
      <c r="I109" s="1932"/>
      <c r="J109" s="1934"/>
      <c r="K109" s="1934"/>
      <c r="M109" s="1932"/>
      <c r="N109" s="1932"/>
      <c r="O109" s="1955" t="str">
        <f>IF(AND(Input_Product=EligOverlay!B109,Input_State=EligOverlay!D109,Input_Occupancy=EligOverlay!E109,Input_Purpose=EligOverlay!C109),H109,"")</f>
        <v/>
      </c>
      <c r="P109" s="1958"/>
      <c r="Q109" s="1932"/>
      <c r="R109" s="1932"/>
      <c r="S109" s="1932"/>
      <c r="T109" s="598" t="s">
        <v>1619</v>
      </c>
    </row>
    <row r="110" spans="2:20" x14ac:dyDescent="0.2">
      <c r="B110" s="1984" t="str">
        <f>Input_Name_Product3</f>
        <v>Multi NOO</v>
      </c>
      <c r="C110" s="1936" t="s">
        <v>16</v>
      </c>
      <c r="D110" s="1936" t="s">
        <v>405</v>
      </c>
      <c r="E110" s="1936" t="s">
        <v>37</v>
      </c>
      <c r="F110" s="1934"/>
      <c r="G110" s="1934"/>
      <c r="H110" s="1658">
        <v>80</v>
      </c>
      <c r="I110" s="1932"/>
      <c r="J110" s="1934"/>
      <c r="K110" s="1934"/>
      <c r="M110" s="1932"/>
      <c r="N110" s="1932"/>
      <c r="O110" s="1955" t="str">
        <f>IF(AND(Input_Product=EligOverlay!B110,Input_State=EligOverlay!D110,Input_Occupancy=EligOverlay!E110,Input_Purpose=EligOverlay!C110),H110,"")</f>
        <v/>
      </c>
      <c r="P110" s="1958"/>
      <c r="Q110" s="1932"/>
      <c r="R110" s="1932"/>
      <c r="S110" s="1932"/>
      <c r="T110" s="598" t="s">
        <v>1619</v>
      </c>
    </row>
    <row r="111" spans="2:20" x14ac:dyDescent="0.2">
      <c r="B111" s="1966" t="str">
        <f>Input_Name_Product4</f>
        <v>Second OO</v>
      </c>
      <c r="C111" s="1936" t="s">
        <v>16</v>
      </c>
      <c r="D111" s="1936" t="s">
        <v>405</v>
      </c>
      <c r="E111" s="1936" t="s">
        <v>37</v>
      </c>
      <c r="F111" s="1934"/>
      <c r="G111" s="1934"/>
      <c r="H111" s="1658">
        <v>80</v>
      </c>
      <c r="I111" s="1932"/>
      <c r="J111" s="1934"/>
      <c r="K111" s="1934"/>
      <c r="M111" s="1932"/>
      <c r="N111" s="1932"/>
      <c r="O111" s="1955" t="str">
        <f>IF(AND(Input_Product=EligOverlay!B111,Input_State=EligOverlay!D111,Input_Occupancy=EligOverlay!E111,Input_Purpose=EligOverlay!C111),H111,"")</f>
        <v/>
      </c>
      <c r="P111" s="1958"/>
      <c r="Q111" s="1932"/>
      <c r="R111" s="1932"/>
      <c r="S111" s="1932"/>
      <c r="T111" s="598" t="s">
        <v>1619</v>
      </c>
    </row>
    <row r="112" spans="2:20" x14ac:dyDescent="0.2">
      <c r="B112" s="1976" t="str">
        <f>Input_Name_Product5</f>
        <v>Second NOO</v>
      </c>
      <c r="C112" s="1936" t="s">
        <v>16</v>
      </c>
      <c r="D112" s="1936" t="s">
        <v>405</v>
      </c>
      <c r="E112" s="1936" t="s">
        <v>37</v>
      </c>
      <c r="F112" s="1934"/>
      <c r="G112" s="1934"/>
      <c r="H112" s="1658">
        <v>80</v>
      </c>
      <c r="I112" s="1932"/>
      <c r="J112" s="1934"/>
      <c r="K112" s="1934"/>
      <c r="M112" s="1932"/>
      <c r="N112" s="1932"/>
      <c r="O112" s="1955" t="str">
        <f>IF(AND(Input_Product=EligOverlay!B112,Input_State=EligOverlay!D112,Input_Occupancy=EligOverlay!E112,Input_Purpose=EligOverlay!C112),H112,"")</f>
        <v/>
      </c>
      <c r="P112" s="1958"/>
      <c r="Q112" s="1932"/>
      <c r="R112" s="1932"/>
      <c r="S112" s="1932"/>
      <c r="T112" s="598" t="s">
        <v>1619</v>
      </c>
    </row>
    <row r="113" spans="2:20" x14ac:dyDescent="0.2">
      <c r="B113" s="1977" t="str">
        <f>Input_Name_Product13</f>
        <v xml:space="preserve">  </v>
      </c>
      <c r="C113" s="1936" t="s">
        <v>16</v>
      </c>
      <c r="D113" s="1936" t="s">
        <v>405</v>
      </c>
      <c r="E113" s="1936" t="s">
        <v>37</v>
      </c>
      <c r="F113" s="1934"/>
      <c r="G113" s="1934"/>
      <c r="H113" s="1658">
        <v>80</v>
      </c>
      <c r="I113" s="1932"/>
      <c r="J113" s="1934"/>
      <c r="K113" s="1934"/>
      <c r="M113" s="1932"/>
      <c r="N113" s="1932"/>
      <c r="O113" s="1955" t="str">
        <f>IF(AND(Input_Product=EligOverlay!B113,Input_State=EligOverlay!D113,Input_Occupancy=EligOverlay!E113,Input_Purpose=EligOverlay!C113),H113,"")</f>
        <v/>
      </c>
      <c r="P113" s="1958"/>
      <c r="Q113" s="1932"/>
      <c r="R113" s="1932"/>
      <c r="S113" s="1932"/>
      <c r="T113" s="598" t="s">
        <v>1619</v>
      </c>
    </row>
    <row r="114" spans="2:20" x14ac:dyDescent="0.2">
      <c r="B114" s="1978" t="str">
        <f>Input_Name_Product14</f>
        <v xml:space="preserve"> </v>
      </c>
      <c r="C114" s="1936" t="s">
        <v>16</v>
      </c>
      <c r="D114" s="1936" t="s">
        <v>405</v>
      </c>
      <c r="E114" s="1936" t="s">
        <v>37</v>
      </c>
      <c r="F114" s="1934"/>
      <c r="G114" s="1934"/>
      <c r="H114" s="1658">
        <v>80</v>
      </c>
      <c r="I114" s="1932"/>
      <c r="J114" s="1934"/>
      <c r="K114" s="1934"/>
      <c r="M114" s="1932"/>
      <c r="N114" s="1932"/>
      <c r="O114" s="1955" t="str">
        <f>IF(AND(Input_Product=EligOverlay!B114,Input_State=EligOverlay!D114,Input_Occupancy=EligOverlay!E114,Input_Purpose=EligOverlay!C114),H114,"")</f>
        <v/>
      </c>
      <c r="P114" s="1958"/>
      <c r="Q114" s="1932"/>
      <c r="R114" s="1932"/>
      <c r="S114" s="1932"/>
      <c r="T114" s="598" t="s">
        <v>1619</v>
      </c>
    </row>
    <row r="115" spans="2:20" x14ac:dyDescent="0.2">
      <c r="B115" s="1979" t="str">
        <f>Input_Name_Product15</f>
        <v xml:space="preserve"> </v>
      </c>
      <c r="C115" s="1936" t="s">
        <v>16</v>
      </c>
      <c r="D115" s="1936" t="s">
        <v>405</v>
      </c>
      <c r="E115" s="1936" t="s">
        <v>37</v>
      </c>
      <c r="F115" s="1934"/>
      <c r="G115" s="1934"/>
      <c r="H115" s="1658">
        <v>80</v>
      </c>
      <c r="I115" s="1932"/>
      <c r="J115" s="1934"/>
      <c r="K115" s="1934"/>
      <c r="M115" s="1932"/>
      <c r="N115" s="1932"/>
      <c r="O115" s="1955" t="str">
        <f>IF(AND(Input_Product=EligOverlay!B115,Input_State=EligOverlay!D115,Input_Occupancy=EligOverlay!E115,Input_Purpose=EligOverlay!C115),H115,"")</f>
        <v/>
      </c>
      <c r="P115" s="1958"/>
      <c r="Q115" s="1932"/>
      <c r="R115" s="1932"/>
      <c r="S115" s="1932"/>
      <c r="T115" s="598" t="s">
        <v>1619</v>
      </c>
    </row>
    <row r="116" spans="2:20" x14ac:dyDescent="0.2">
      <c r="B116" s="1986" t="str">
        <f>Input_Name_Product10</f>
        <v>HELOC OO</v>
      </c>
      <c r="C116" s="1936" t="s">
        <v>16</v>
      </c>
      <c r="D116" s="1936" t="s">
        <v>405</v>
      </c>
      <c r="E116" s="1936" t="s">
        <v>37</v>
      </c>
      <c r="F116" s="1934"/>
      <c r="G116" s="1934"/>
      <c r="H116" s="1658">
        <v>80</v>
      </c>
      <c r="I116" s="1932"/>
      <c r="J116" s="1934"/>
      <c r="K116" s="1934"/>
      <c r="M116" s="1932"/>
      <c r="N116" s="1932"/>
      <c r="O116" s="1955" t="str">
        <f>IF(AND(Input_Product=EligOverlay!B116,Input_State=EligOverlay!D116,Input_Occupancy=EligOverlay!E116,Input_Purpose=EligOverlay!C116),H116,"")</f>
        <v/>
      </c>
      <c r="P116" s="1958"/>
      <c r="Q116" s="1932"/>
      <c r="R116" s="1932"/>
      <c r="S116" s="1932"/>
      <c r="T116" s="598" t="s">
        <v>1619</v>
      </c>
    </row>
    <row r="117" spans="2:20" x14ac:dyDescent="0.2">
      <c r="B117" s="1967" t="str">
        <f>Input_Name_Product11</f>
        <v>HELOC NOO</v>
      </c>
      <c r="C117" s="1936" t="s">
        <v>16</v>
      </c>
      <c r="D117" s="1936" t="s">
        <v>405</v>
      </c>
      <c r="E117" s="1936" t="s">
        <v>37</v>
      </c>
      <c r="F117" s="1934"/>
      <c r="G117" s="1934"/>
      <c r="H117" s="1658">
        <v>80</v>
      </c>
      <c r="I117" s="1932"/>
      <c r="J117" s="1934"/>
      <c r="K117" s="1934"/>
      <c r="M117" s="1932"/>
      <c r="N117" s="1932"/>
      <c r="O117" s="1955" t="str">
        <f>IF(AND(Input_Product=EligOverlay!B117,Input_State=EligOverlay!D117,Input_Occupancy=EligOverlay!E117,Input_Purpose=EligOverlay!C117),H117,"")</f>
        <v/>
      </c>
      <c r="P117" s="1958"/>
      <c r="Q117" s="1932"/>
      <c r="R117" s="1932"/>
      <c r="S117" s="1932"/>
      <c r="T117" s="598" t="s">
        <v>1619</v>
      </c>
    </row>
    <row r="118" spans="2:20" x14ac:dyDescent="0.2">
      <c r="B118" s="1980" t="str">
        <f>Input_Name_Product16&amp;" OO"</f>
        <v xml:space="preserve">  OO</v>
      </c>
      <c r="C118" s="1936" t="s">
        <v>16</v>
      </c>
      <c r="D118" s="1936" t="s">
        <v>405</v>
      </c>
      <c r="E118" s="1936" t="s">
        <v>37</v>
      </c>
      <c r="F118" s="1934"/>
      <c r="G118" s="1934"/>
      <c r="H118" s="1658">
        <v>80</v>
      </c>
      <c r="I118" s="1932"/>
      <c r="J118" s="1934"/>
      <c r="K118" s="1934"/>
      <c r="M118" s="1932"/>
      <c r="N118" s="1932"/>
      <c r="O118" s="1955" t="str">
        <f>IF(AND(Input_Product=EligOverlay!B118,Input_State=EligOverlay!D118,Input_Occupancy=EligOverlay!E118,Input_Purpose=EligOverlay!C118),H118,"")</f>
        <v/>
      </c>
      <c r="P118" s="1958"/>
      <c r="Q118" s="1932"/>
      <c r="R118" s="1932"/>
      <c r="S118" s="1932"/>
      <c r="T118" s="598" t="s">
        <v>1619</v>
      </c>
    </row>
    <row r="119" spans="2:20" x14ac:dyDescent="0.2">
      <c r="B119" s="1981" t="str">
        <f>Input_Name_Product17&amp;" OO"</f>
        <v xml:space="preserve">  OO</v>
      </c>
      <c r="C119" s="1936" t="s">
        <v>16</v>
      </c>
      <c r="D119" s="1936" t="s">
        <v>405</v>
      </c>
      <c r="E119" s="1936" t="s">
        <v>37</v>
      </c>
      <c r="F119" s="1934"/>
      <c r="G119" s="1934"/>
      <c r="H119" s="1658">
        <v>80</v>
      </c>
      <c r="I119" s="1932"/>
      <c r="J119" s="1934"/>
      <c r="K119" s="1934"/>
      <c r="M119" s="1932"/>
      <c r="N119" s="1932"/>
      <c r="O119" s="1955" t="str">
        <f>IF(AND(Input_Product=EligOverlay!B119,Input_State=EligOverlay!D119,Input_Occupancy=EligOverlay!E119,Input_Purpose=EligOverlay!C119),H119,"")</f>
        <v/>
      </c>
      <c r="P119" s="1958"/>
      <c r="Q119" s="1932"/>
      <c r="R119" s="1932"/>
      <c r="S119" s="1932"/>
      <c r="T119" s="598" t="s">
        <v>1619</v>
      </c>
    </row>
    <row r="120" spans="2:20" x14ac:dyDescent="0.2">
      <c r="B120" s="1980" t="str">
        <f>Input_Name_Product16&amp;" NOO"</f>
        <v xml:space="preserve">  NOO</v>
      </c>
      <c r="C120" s="1936" t="s">
        <v>16</v>
      </c>
      <c r="D120" s="1936" t="s">
        <v>405</v>
      </c>
      <c r="E120" s="1936" t="s">
        <v>37</v>
      </c>
      <c r="F120" s="1934"/>
      <c r="G120" s="1934"/>
      <c r="H120" s="1658">
        <v>80</v>
      </c>
      <c r="I120" s="1932"/>
      <c r="J120" s="1934"/>
      <c r="K120" s="1934"/>
      <c r="M120" s="1932"/>
      <c r="N120" s="1932"/>
      <c r="O120" s="1955" t="str">
        <f>IF(AND(Input_Product=EligOverlay!B120,Input_State=EligOverlay!D120,Input_Occupancy=EligOverlay!E120,Input_Purpose=EligOverlay!C120),H120,"")</f>
        <v/>
      </c>
      <c r="P120" s="1958"/>
      <c r="Q120" s="1932"/>
      <c r="R120" s="1932"/>
      <c r="S120" s="1932"/>
      <c r="T120" s="598" t="s">
        <v>1619</v>
      </c>
    </row>
    <row r="121" spans="2:20" x14ac:dyDescent="0.2">
      <c r="B121" s="1981" t="str">
        <f>Input_Name_Product17&amp;" NOO"</f>
        <v xml:space="preserve">  NOO</v>
      </c>
      <c r="C121" s="1936" t="s">
        <v>16</v>
      </c>
      <c r="D121" s="1936" t="s">
        <v>405</v>
      </c>
      <c r="E121" s="1936" t="s">
        <v>37</v>
      </c>
      <c r="F121" s="1934"/>
      <c r="G121" s="1934"/>
      <c r="H121" s="1658">
        <v>80</v>
      </c>
      <c r="I121" s="1932"/>
      <c r="J121" s="1934"/>
      <c r="K121" s="1934"/>
      <c r="M121" s="1932"/>
      <c r="N121" s="1932"/>
      <c r="O121" s="1955" t="str">
        <f>IF(AND(Input_Product=EligOverlay!B121,Input_State=EligOverlay!D121,Input_Occupancy=EligOverlay!E121,Input_Purpose=EligOverlay!C121),H121,"")</f>
        <v/>
      </c>
      <c r="P121" s="1958"/>
      <c r="Q121" s="1932"/>
      <c r="R121" s="1932"/>
      <c r="S121" s="1932"/>
      <c r="T121" s="598" t="s">
        <v>1619</v>
      </c>
    </row>
    <row r="122" spans="2:20" x14ac:dyDescent="0.2">
      <c r="B122" s="1987" t="str">
        <f>Input_Name_Product18&amp;" NOO"</f>
        <v xml:space="preserve">  NOO</v>
      </c>
      <c r="C122" s="1936" t="s">
        <v>16</v>
      </c>
      <c r="D122" s="1936" t="s">
        <v>405</v>
      </c>
      <c r="E122" s="1936" t="s">
        <v>37</v>
      </c>
      <c r="F122" s="1934"/>
      <c r="G122" s="1934"/>
      <c r="H122" s="1658">
        <v>80</v>
      </c>
      <c r="I122" s="1932"/>
      <c r="J122" s="1934"/>
      <c r="K122" s="1934"/>
      <c r="M122" s="1932"/>
      <c r="N122" s="1932"/>
      <c r="O122" s="1955" t="str">
        <f>IF(AND(Input_Product=EligOverlay!B122,Input_State=EligOverlay!D122,Input_Occupancy=EligOverlay!E122,Input_Purpose=EligOverlay!C122),H122,"")</f>
        <v/>
      </c>
      <c r="P122" s="1958"/>
      <c r="Q122" s="1932"/>
      <c r="R122" s="1932"/>
      <c r="S122" s="1932"/>
      <c r="T122" s="598" t="s">
        <v>1619</v>
      </c>
    </row>
    <row r="123" spans="2:20" x14ac:dyDescent="0.2">
      <c r="B123" s="1983" t="str">
        <f>Input_Name_Product19&amp;" NOO"</f>
        <v xml:space="preserve">  NOO</v>
      </c>
      <c r="C123" s="1936" t="s">
        <v>16</v>
      </c>
      <c r="D123" s="1936" t="s">
        <v>405</v>
      </c>
      <c r="E123" s="1936" t="s">
        <v>37</v>
      </c>
      <c r="F123" s="1934"/>
      <c r="G123" s="1934"/>
      <c r="H123" s="1658">
        <v>80</v>
      </c>
      <c r="I123" s="1932"/>
      <c r="J123" s="1934"/>
      <c r="K123" s="1934"/>
      <c r="M123" s="1932"/>
      <c r="N123" s="1932"/>
      <c r="O123" s="1955" t="str">
        <f>IF(AND(Input_Product=EligOverlay!B123,Input_State=EligOverlay!D123,Input_Occupancy=EligOverlay!E123,Input_Purpose=EligOverlay!C123),H123,"")</f>
        <v/>
      </c>
      <c r="P123" s="1958"/>
      <c r="Q123" s="1932"/>
      <c r="R123" s="1932"/>
      <c r="S123" s="1932"/>
      <c r="T123" s="598" t="s">
        <v>1619</v>
      </c>
    </row>
    <row r="124" spans="2:20" x14ac:dyDescent="0.2">
      <c r="B124" s="1982" t="str">
        <f>Input_Name_Product20&amp;" NOO"</f>
        <v xml:space="preserve">  NOO</v>
      </c>
      <c r="C124" s="1936" t="s">
        <v>16</v>
      </c>
      <c r="D124" s="1936" t="s">
        <v>405</v>
      </c>
      <c r="E124" s="1936" t="s">
        <v>37</v>
      </c>
      <c r="F124" s="1934"/>
      <c r="G124" s="1934"/>
      <c r="H124" s="1658">
        <v>80</v>
      </c>
      <c r="I124" s="1932"/>
      <c r="J124" s="1934"/>
      <c r="K124" s="1934"/>
      <c r="M124" s="1932"/>
      <c r="N124" s="1932"/>
      <c r="O124" s="1955" t="str">
        <f>IF(AND(Input_Product=EligOverlay!B124,Input_State=EligOverlay!D124,Input_Occupancy=EligOverlay!E124,Input_Purpose=EligOverlay!C124),H124,"")</f>
        <v/>
      </c>
      <c r="P124" s="1958"/>
      <c r="Q124" s="1932"/>
      <c r="R124" s="1932"/>
      <c r="S124" s="1932"/>
      <c r="T124" s="598" t="s">
        <v>1619</v>
      </c>
    </row>
    <row r="126" spans="2:20" x14ac:dyDescent="0.2">
      <c r="B126" s="1974" t="s">
        <v>259</v>
      </c>
      <c r="C126" s="1650" t="s">
        <v>1612</v>
      </c>
      <c r="D126" s="1649" t="s">
        <v>40</v>
      </c>
      <c r="E126" s="1661"/>
      <c r="F126" s="1649" t="s">
        <v>1568</v>
      </c>
      <c r="G126" s="1661"/>
      <c r="H126" s="1650" t="s">
        <v>271</v>
      </c>
      <c r="I126" s="1661"/>
      <c r="J126" s="1661"/>
      <c r="K126" s="1662"/>
      <c r="M126" s="514"/>
      <c r="N126" s="514"/>
      <c r="O126" s="514"/>
      <c r="P126" s="514"/>
      <c r="Q126" s="514"/>
      <c r="R126" s="514"/>
      <c r="S126" s="514"/>
      <c r="T126" s="1971"/>
    </row>
    <row r="127" spans="2:20" x14ac:dyDescent="0.2">
      <c r="B127" s="1964" t="str">
        <f>Input_Name_Product1</f>
        <v>NonQM OO</v>
      </c>
      <c r="C127" s="1945">
        <v>12</v>
      </c>
      <c r="D127" s="1936" t="s">
        <v>372</v>
      </c>
      <c r="E127" s="1932"/>
      <c r="F127" s="2133" t="s">
        <v>3880</v>
      </c>
      <c r="G127" s="1932"/>
      <c r="H127" s="1658">
        <v>0.01</v>
      </c>
      <c r="I127" s="1932"/>
      <c r="J127" s="1932"/>
      <c r="K127" s="1932"/>
      <c r="M127" s="1932"/>
      <c r="N127" s="1932"/>
      <c r="O127" s="1955" t="str">
        <f>IF(AND(Input_Product=EligOverlay!B127,Input_NoteRate&gt;EligOverlay!C127,Input_State=EligOverlay!D127,Input_Ratesheet_Source=EligOverlay!F127),H127,"")</f>
        <v/>
      </c>
      <c r="P127" s="1958"/>
      <c r="Q127" s="1932"/>
      <c r="R127" s="1932"/>
      <c r="S127" s="1932"/>
      <c r="T127" s="1988" t="s">
        <v>1613</v>
      </c>
    </row>
    <row r="128" spans="2:20" x14ac:dyDescent="0.2">
      <c r="B128" s="1965" t="str">
        <f>Input_Name_Product2</f>
        <v>NonQM NOO</v>
      </c>
      <c r="C128" s="1945">
        <v>12</v>
      </c>
      <c r="D128" s="1936" t="s">
        <v>372</v>
      </c>
      <c r="E128" s="1934"/>
      <c r="F128" s="2133" t="s">
        <v>3880</v>
      </c>
      <c r="G128" s="1934"/>
      <c r="H128" s="1658">
        <v>0.01</v>
      </c>
      <c r="I128" s="1932"/>
      <c r="J128" s="1934"/>
      <c r="K128" s="1934"/>
      <c r="M128" s="1932"/>
      <c r="N128" s="1932"/>
      <c r="O128" s="1955" t="str">
        <f>IF(AND(Input_Product=EligOverlay!B128,Input_NoteRate&gt;EligOverlay!C128,Input_State=EligOverlay!D128,Input_Ratesheet_Source=EligOverlay!F128),H128,"")</f>
        <v/>
      </c>
      <c r="P128" s="1958"/>
      <c r="Q128" s="1932"/>
      <c r="R128" s="1932"/>
      <c r="S128" s="1932"/>
      <c r="T128" s="598" t="s">
        <v>1613</v>
      </c>
    </row>
    <row r="129" spans="2:20" x14ac:dyDescent="0.2">
      <c r="B129" s="1984" t="str">
        <f>Input_Name_Product3</f>
        <v>Multi NOO</v>
      </c>
      <c r="C129" s="1945">
        <v>12</v>
      </c>
      <c r="D129" s="1936" t="s">
        <v>372</v>
      </c>
      <c r="E129" s="1934"/>
      <c r="F129" s="2133" t="s">
        <v>3880</v>
      </c>
      <c r="G129" s="1934"/>
      <c r="H129" s="1658">
        <v>0.01</v>
      </c>
      <c r="I129" s="1932"/>
      <c r="J129" s="1934"/>
      <c r="K129" s="1934"/>
      <c r="M129" s="1932"/>
      <c r="N129" s="1932"/>
      <c r="O129" s="1955" t="str">
        <f>IF(AND(Input_Product=EligOverlay!B129,Input_NoteRate&gt;EligOverlay!C129,Input_State=EligOverlay!D129,Input_Ratesheet_Source=EligOverlay!F129),H129,"")</f>
        <v/>
      </c>
      <c r="P129" s="1958"/>
      <c r="Q129" s="1932"/>
      <c r="R129" s="1932"/>
      <c r="S129" s="1932"/>
      <c r="T129" s="598" t="s">
        <v>1613</v>
      </c>
    </row>
    <row r="130" spans="2:20" x14ac:dyDescent="0.2">
      <c r="B130" s="1966" t="str">
        <f>Input_Name_Product4</f>
        <v>Second OO</v>
      </c>
      <c r="C130" s="1945">
        <v>12</v>
      </c>
      <c r="D130" s="1936" t="s">
        <v>372</v>
      </c>
      <c r="E130" s="1934"/>
      <c r="F130" s="2133" t="s">
        <v>3880</v>
      </c>
      <c r="G130" s="1934"/>
      <c r="H130" s="1658">
        <v>0.01</v>
      </c>
      <c r="I130" s="1932"/>
      <c r="J130" s="1934"/>
      <c r="K130" s="1934"/>
      <c r="M130" s="1932"/>
      <c r="N130" s="1932"/>
      <c r="O130" s="1955" t="str">
        <f>IF(AND(Input_Product=EligOverlay!B130,Input_NoteRate&gt;EligOverlay!C130,Input_State=EligOverlay!D130,Input_Ratesheet_Source=EligOverlay!F130),H130,"")</f>
        <v/>
      </c>
      <c r="P130" s="1958"/>
      <c r="Q130" s="1932"/>
      <c r="R130" s="1932"/>
      <c r="S130" s="1932"/>
      <c r="T130" s="598" t="s">
        <v>1613</v>
      </c>
    </row>
    <row r="131" spans="2:20" x14ac:dyDescent="0.2">
      <c r="B131" s="1976" t="str">
        <f>Input_Name_Product5</f>
        <v>Second NOO</v>
      </c>
      <c r="C131" s="1945">
        <v>12</v>
      </c>
      <c r="D131" s="1936" t="s">
        <v>372</v>
      </c>
      <c r="E131" s="1934"/>
      <c r="F131" s="2133" t="s">
        <v>3880</v>
      </c>
      <c r="G131" s="1934"/>
      <c r="H131" s="1658">
        <v>0.01</v>
      </c>
      <c r="I131" s="1932"/>
      <c r="J131" s="1934"/>
      <c r="K131" s="1934"/>
      <c r="M131" s="1932"/>
      <c r="N131" s="1932"/>
      <c r="O131" s="1955" t="str">
        <f>IF(AND(Input_Product=EligOverlay!B131,Input_NoteRate&gt;EligOverlay!C131,Input_State=EligOverlay!D131,Input_Ratesheet_Source=EligOverlay!F131),H131,"")</f>
        <v/>
      </c>
      <c r="P131" s="1958"/>
      <c r="Q131" s="1932"/>
      <c r="R131" s="1932"/>
      <c r="S131" s="1932"/>
      <c r="T131" s="598" t="s">
        <v>1613</v>
      </c>
    </row>
    <row r="132" spans="2:20" x14ac:dyDescent="0.2">
      <c r="B132" s="1977" t="str">
        <f>Input_Name_Product13</f>
        <v xml:space="preserve">  </v>
      </c>
      <c r="C132" s="1945">
        <v>12</v>
      </c>
      <c r="D132" s="1936" t="s">
        <v>372</v>
      </c>
      <c r="E132" s="1934"/>
      <c r="F132" s="2133" t="s">
        <v>3880</v>
      </c>
      <c r="G132" s="1934"/>
      <c r="H132" s="1658">
        <v>0.01</v>
      </c>
      <c r="I132" s="1932"/>
      <c r="J132" s="1934"/>
      <c r="K132" s="1934"/>
      <c r="M132" s="1932"/>
      <c r="N132" s="1932"/>
      <c r="O132" s="1955" t="str">
        <f>IF(AND(Input_Product=EligOverlay!B132,Input_NoteRate&gt;EligOverlay!C132,Input_State=EligOverlay!D132,Input_Ratesheet_Source=EligOverlay!F132),H132,"")</f>
        <v/>
      </c>
      <c r="P132" s="1958"/>
      <c r="Q132" s="1932"/>
      <c r="R132" s="1932"/>
      <c r="S132" s="1932"/>
      <c r="T132" s="598" t="s">
        <v>1613</v>
      </c>
    </row>
    <row r="133" spans="2:20" x14ac:dyDescent="0.2">
      <c r="B133" s="1978" t="str">
        <f>Input_Name_Product14</f>
        <v xml:space="preserve"> </v>
      </c>
      <c r="C133" s="1945">
        <v>12</v>
      </c>
      <c r="D133" s="1936" t="s">
        <v>372</v>
      </c>
      <c r="E133" s="1934"/>
      <c r="F133" s="2133" t="s">
        <v>3880</v>
      </c>
      <c r="G133" s="1934"/>
      <c r="H133" s="1658">
        <v>0.01</v>
      </c>
      <c r="I133" s="1932"/>
      <c r="J133" s="1934"/>
      <c r="K133" s="1934"/>
      <c r="M133" s="1932"/>
      <c r="N133" s="1932"/>
      <c r="O133" s="1955" t="str">
        <f>IF(AND(Input_Product=EligOverlay!B133,Input_NoteRate&gt;EligOverlay!C133,Input_State=EligOverlay!D133,Input_Ratesheet_Source=EligOverlay!F133),H133,"")</f>
        <v/>
      </c>
      <c r="P133" s="1958"/>
      <c r="Q133" s="1932"/>
      <c r="R133" s="1932"/>
      <c r="S133" s="1932"/>
      <c r="T133" s="598" t="s">
        <v>1613</v>
      </c>
    </row>
    <row r="134" spans="2:20" x14ac:dyDescent="0.2">
      <c r="B134" s="1979" t="str">
        <f>Input_Name_Product15</f>
        <v xml:space="preserve"> </v>
      </c>
      <c r="C134" s="1945">
        <v>12</v>
      </c>
      <c r="D134" s="1936" t="s">
        <v>372</v>
      </c>
      <c r="E134" s="1934"/>
      <c r="F134" s="2133" t="s">
        <v>3880</v>
      </c>
      <c r="G134" s="1934"/>
      <c r="H134" s="1658">
        <v>0.01</v>
      </c>
      <c r="I134" s="1932"/>
      <c r="J134" s="1934"/>
      <c r="K134" s="1934"/>
      <c r="M134" s="1932"/>
      <c r="N134" s="1932"/>
      <c r="O134" s="1955" t="str">
        <f>IF(AND(Input_Product=EligOverlay!B134,Input_NoteRate&gt;EligOverlay!C134,Input_State=EligOverlay!D134,Input_Ratesheet_Source=EligOverlay!F134),H134,"")</f>
        <v/>
      </c>
      <c r="P134" s="1958"/>
      <c r="Q134" s="1932"/>
      <c r="R134" s="1932"/>
      <c r="S134" s="1932"/>
      <c r="T134" s="598" t="s">
        <v>1613</v>
      </c>
    </row>
    <row r="135" spans="2:20" x14ac:dyDescent="0.2">
      <c r="B135" s="1986" t="str">
        <f>Input_Name_Product10</f>
        <v>HELOC OO</v>
      </c>
      <c r="C135" s="1945">
        <v>12</v>
      </c>
      <c r="D135" s="1936" t="s">
        <v>372</v>
      </c>
      <c r="E135" s="1934"/>
      <c r="F135" s="2133" t="s">
        <v>3880</v>
      </c>
      <c r="G135" s="1934"/>
      <c r="H135" s="1658">
        <v>0.01</v>
      </c>
      <c r="I135" s="1932"/>
      <c r="J135" s="1934"/>
      <c r="K135" s="1934"/>
      <c r="M135" s="1932"/>
      <c r="N135" s="1932"/>
      <c r="O135" s="1955" t="str">
        <f>IF(AND(Input_Product=EligOverlay!B135,Input_NoteRate&gt;EligOverlay!C135,Input_State=EligOverlay!D135,Input_Ratesheet_Source=EligOverlay!F135),H135,"")</f>
        <v/>
      </c>
      <c r="P135" s="1958"/>
      <c r="Q135" s="1932"/>
      <c r="R135" s="1932"/>
      <c r="S135" s="1932"/>
      <c r="T135" s="598" t="s">
        <v>1613</v>
      </c>
    </row>
    <row r="136" spans="2:20" x14ac:dyDescent="0.2">
      <c r="B136" s="1967" t="str">
        <f>Input_Name_Product11</f>
        <v>HELOC NOO</v>
      </c>
      <c r="C136" s="1945">
        <v>12</v>
      </c>
      <c r="D136" s="1936" t="s">
        <v>372</v>
      </c>
      <c r="E136" s="1934"/>
      <c r="F136" s="2133" t="s">
        <v>3880</v>
      </c>
      <c r="G136" s="1934"/>
      <c r="H136" s="1658">
        <v>0.01</v>
      </c>
      <c r="I136" s="1932"/>
      <c r="J136" s="1934"/>
      <c r="K136" s="1934"/>
      <c r="M136" s="1932"/>
      <c r="N136" s="1932"/>
      <c r="O136" s="1955" t="str">
        <f>IF(AND(Input_Product=EligOverlay!B136,Input_NoteRate&gt;EligOverlay!C136,Input_State=EligOverlay!D136,Input_Ratesheet_Source=EligOverlay!F136),H136,"")</f>
        <v/>
      </c>
      <c r="P136" s="1958"/>
      <c r="Q136" s="1932"/>
      <c r="R136" s="1932"/>
      <c r="S136" s="1932"/>
      <c r="T136" s="598" t="s">
        <v>1613</v>
      </c>
    </row>
    <row r="137" spans="2:20" x14ac:dyDescent="0.2">
      <c r="B137" s="1980" t="str">
        <f>Input_Name_Product16&amp;" OO"</f>
        <v xml:space="preserve">  OO</v>
      </c>
      <c r="C137" s="1945">
        <v>12</v>
      </c>
      <c r="D137" s="1936" t="s">
        <v>372</v>
      </c>
      <c r="E137" s="1934"/>
      <c r="F137" s="2133" t="s">
        <v>3880</v>
      </c>
      <c r="G137" s="1934"/>
      <c r="H137" s="1658">
        <v>0.01</v>
      </c>
      <c r="I137" s="1932"/>
      <c r="J137" s="1934"/>
      <c r="K137" s="1934"/>
      <c r="M137" s="1932"/>
      <c r="N137" s="1932"/>
      <c r="O137" s="1955" t="str">
        <f>IF(AND(Input_Product=EligOverlay!B137,Input_NoteRate&gt;EligOverlay!C137,Input_State=EligOverlay!D137,Input_Ratesheet_Source=EligOverlay!F137),H137,"")</f>
        <v/>
      </c>
      <c r="P137" s="1958"/>
      <c r="Q137" s="1932"/>
      <c r="R137" s="1932"/>
      <c r="S137" s="1932"/>
      <c r="T137" s="598" t="s">
        <v>1613</v>
      </c>
    </row>
    <row r="138" spans="2:20" x14ac:dyDescent="0.2">
      <c r="B138" s="1981" t="str">
        <f>Input_Name_Product17&amp;" OO"</f>
        <v xml:space="preserve">  OO</v>
      </c>
      <c r="C138" s="1945">
        <v>12</v>
      </c>
      <c r="D138" s="1936" t="s">
        <v>372</v>
      </c>
      <c r="E138" s="1934"/>
      <c r="F138" s="2133" t="s">
        <v>3880</v>
      </c>
      <c r="G138" s="1934"/>
      <c r="H138" s="1658">
        <v>0.01</v>
      </c>
      <c r="I138" s="1932"/>
      <c r="J138" s="1934"/>
      <c r="K138" s="1934"/>
      <c r="M138" s="1932"/>
      <c r="N138" s="1932"/>
      <c r="O138" s="1955" t="str">
        <f>IF(AND(Input_Product=EligOverlay!B138,Input_NoteRate&gt;EligOverlay!C138,Input_State=EligOverlay!D138,Input_Ratesheet_Source=EligOverlay!F138),H138,"")</f>
        <v/>
      </c>
      <c r="P138" s="1958"/>
      <c r="Q138" s="1932"/>
      <c r="R138" s="1932"/>
      <c r="S138" s="1932"/>
      <c r="T138" s="598" t="s">
        <v>1613</v>
      </c>
    </row>
    <row r="139" spans="2:20" x14ac:dyDescent="0.2">
      <c r="B139" s="1980" t="str">
        <f>Input_Name_Product16&amp;" NOO"</f>
        <v xml:space="preserve">  NOO</v>
      </c>
      <c r="C139" s="1945">
        <v>12</v>
      </c>
      <c r="D139" s="1936" t="s">
        <v>372</v>
      </c>
      <c r="E139" s="1934"/>
      <c r="F139" s="2133" t="s">
        <v>3880</v>
      </c>
      <c r="G139" s="1934"/>
      <c r="H139" s="1658">
        <v>0.01</v>
      </c>
      <c r="I139" s="1932"/>
      <c r="J139" s="1934"/>
      <c r="K139" s="1934"/>
      <c r="M139" s="1932"/>
      <c r="N139" s="1932"/>
      <c r="O139" s="1955" t="str">
        <f>IF(AND(Input_Product=EligOverlay!B139,Input_NoteRate&gt;EligOverlay!C139,Input_State=EligOverlay!D139,Input_Ratesheet_Source=EligOverlay!F139),H139,"")</f>
        <v/>
      </c>
      <c r="P139" s="1958"/>
      <c r="Q139" s="1932"/>
      <c r="R139" s="1932"/>
      <c r="S139" s="1932"/>
      <c r="T139" s="598" t="s">
        <v>1613</v>
      </c>
    </row>
    <row r="140" spans="2:20" x14ac:dyDescent="0.2">
      <c r="B140" s="1981" t="str">
        <f>Input_Name_Product17&amp;" NOO"</f>
        <v xml:space="preserve">  NOO</v>
      </c>
      <c r="C140" s="1945">
        <v>12</v>
      </c>
      <c r="D140" s="1936" t="s">
        <v>372</v>
      </c>
      <c r="E140" s="1934"/>
      <c r="F140" s="2133" t="s">
        <v>3880</v>
      </c>
      <c r="G140" s="1934"/>
      <c r="H140" s="1658">
        <v>0.01</v>
      </c>
      <c r="I140" s="1932"/>
      <c r="J140" s="1934"/>
      <c r="K140" s="1934"/>
      <c r="M140" s="1932"/>
      <c r="N140" s="1932"/>
      <c r="O140" s="1955" t="str">
        <f>IF(AND(Input_Product=EligOverlay!B140,Input_NoteRate&gt;EligOverlay!C140,Input_State=EligOverlay!D140,Input_Ratesheet_Source=EligOverlay!F140),H140,"")</f>
        <v/>
      </c>
      <c r="P140" s="1958"/>
      <c r="Q140" s="1932"/>
      <c r="R140" s="1932"/>
      <c r="S140" s="1932"/>
      <c r="T140" s="598" t="s">
        <v>1613</v>
      </c>
    </row>
    <row r="141" spans="2:20" x14ac:dyDescent="0.2">
      <c r="B141" s="1987" t="str">
        <f>Input_Name_Product18&amp;" NOO"</f>
        <v xml:space="preserve">  NOO</v>
      </c>
      <c r="C141" s="1945">
        <v>12</v>
      </c>
      <c r="D141" s="1936" t="s">
        <v>372</v>
      </c>
      <c r="E141" s="1934"/>
      <c r="F141" s="2133" t="s">
        <v>3880</v>
      </c>
      <c r="G141" s="1934"/>
      <c r="H141" s="1658">
        <v>0.01</v>
      </c>
      <c r="I141" s="1932"/>
      <c r="J141" s="1934"/>
      <c r="K141" s="1934"/>
      <c r="M141" s="1932"/>
      <c r="N141" s="1932"/>
      <c r="O141" s="1955" t="str">
        <f>IF(AND(Input_Product=EligOverlay!B141,Input_NoteRate&gt;EligOverlay!C141,Input_State=EligOverlay!D141,Input_Ratesheet_Source=EligOverlay!F141),H141,"")</f>
        <v/>
      </c>
      <c r="P141" s="1958"/>
      <c r="Q141" s="1932"/>
      <c r="R141" s="1932"/>
      <c r="S141" s="1932"/>
      <c r="T141" s="598" t="s">
        <v>1613</v>
      </c>
    </row>
    <row r="142" spans="2:20" x14ac:dyDescent="0.2">
      <c r="B142" s="1983" t="str">
        <f>Input_Name_Product19&amp;" NOO"</f>
        <v xml:space="preserve">  NOO</v>
      </c>
      <c r="C142" s="1945">
        <v>12</v>
      </c>
      <c r="D142" s="1936" t="s">
        <v>372</v>
      </c>
      <c r="E142" s="1934"/>
      <c r="F142" s="2133" t="s">
        <v>3880</v>
      </c>
      <c r="G142" s="1934"/>
      <c r="H142" s="1658">
        <v>0.01</v>
      </c>
      <c r="I142" s="1932"/>
      <c r="J142" s="1934"/>
      <c r="K142" s="1934"/>
      <c r="M142" s="1932"/>
      <c r="N142" s="1932"/>
      <c r="O142" s="1955" t="str">
        <f>IF(AND(Input_Product=EligOverlay!B142,Input_NoteRate&gt;EligOverlay!C142,Input_State=EligOverlay!D142,Input_Ratesheet_Source=EligOverlay!F142),H142,"")</f>
        <v/>
      </c>
      <c r="P142" s="1958"/>
      <c r="Q142" s="1932"/>
      <c r="R142" s="1932"/>
      <c r="S142" s="1932"/>
      <c r="T142" s="598" t="s">
        <v>1613</v>
      </c>
    </row>
    <row r="143" spans="2:20" x14ac:dyDescent="0.2">
      <c r="B143" s="1982" t="str">
        <f>Input_Name_Product20&amp;" NOO"</f>
        <v xml:space="preserve">  NOO</v>
      </c>
      <c r="C143" s="1945">
        <v>12</v>
      </c>
      <c r="D143" s="1936" t="s">
        <v>372</v>
      </c>
      <c r="E143" s="1934"/>
      <c r="F143" s="2133" t="s">
        <v>3880</v>
      </c>
      <c r="G143" s="1934"/>
      <c r="H143" s="1658">
        <v>0.01</v>
      </c>
      <c r="I143" s="1932"/>
      <c r="J143" s="1934"/>
      <c r="K143" s="1934"/>
      <c r="M143" s="1932"/>
      <c r="N143" s="1932"/>
      <c r="O143" s="1955" t="str">
        <f>IF(AND(Input_Product=EligOverlay!B143,Input_NoteRate&gt;EligOverlay!C143,Input_State=EligOverlay!D143,Input_Ratesheet_Source=EligOverlay!F143),H143,"")</f>
        <v/>
      </c>
      <c r="P143" s="1958"/>
      <c r="Q143" s="1932"/>
      <c r="R143" s="1932"/>
      <c r="S143" s="1932"/>
      <c r="T143" s="598" t="s">
        <v>1613</v>
      </c>
    </row>
    <row r="145" spans="2:23" x14ac:dyDescent="0.2">
      <c r="B145" s="1972"/>
      <c r="C145" s="1623"/>
      <c r="D145" s="1623"/>
      <c r="E145" s="1623"/>
      <c r="F145" s="1989" t="s">
        <v>43</v>
      </c>
      <c r="G145" s="1623"/>
      <c r="H145" s="1623"/>
      <c r="I145" s="1623"/>
      <c r="J145" s="1623"/>
      <c r="K145" s="1623"/>
      <c r="M145" s="514"/>
      <c r="N145" s="514"/>
      <c r="O145" s="514"/>
      <c r="P145" s="514"/>
      <c r="Q145" s="514"/>
      <c r="R145" s="514"/>
      <c r="S145" s="514"/>
      <c r="T145" s="1971"/>
    </row>
    <row r="146" spans="2:23" x14ac:dyDescent="0.2">
      <c r="B146" s="1977" t="str">
        <f>Input_Name_Product13</f>
        <v xml:space="preserve">  </v>
      </c>
      <c r="C146" s="1934"/>
      <c r="D146" s="1934"/>
      <c r="E146" s="1934"/>
      <c r="F146" s="2121" t="s">
        <v>18</v>
      </c>
      <c r="G146" s="1934"/>
      <c r="H146" s="1658">
        <v>80</v>
      </c>
      <c r="I146" s="1932"/>
      <c r="J146" s="1934"/>
      <c r="K146" s="1934"/>
      <c r="M146" s="1932"/>
      <c r="N146" s="1932"/>
      <c r="O146" s="1955" t="str">
        <f>IF(AND(Input_Product=EligOverlay!B146,Input_CreditHistory=EligOverlay!F146),H146,"")</f>
        <v/>
      </c>
      <c r="P146" s="1958"/>
      <c r="Q146" s="1932"/>
      <c r="R146" s="1932"/>
      <c r="S146" s="1932"/>
      <c r="T146" s="598" t="s">
        <v>18</v>
      </c>
    </row>
    <row r="147" spans="2:23" x14ac:dyDescent="0.2">
      <c r="B147" s="1978" t="str">
        <f>Input_Name_Product14</f>
        <v xml:space="preserve"> </v>
      </c>
      <c r="C147" s="1934"/>
      <c r="D147" s="1934"/>
      <c r="E147" s="1934"/>
      <c r="F147" s="2121" t="s">
        <v>18</v>
      </c>
      <c r="G147" s="1934"/>
      <c r="H147" s="1658">
        <v>80</v>
      </c>
      <c r="I147" s="1932"/>
      <c r="J147" s="1934"/>
      <c r="K147" s="1934"/>
      <c r="M147" s="1932"/>
      <c r="N147" s="1932"/>
      <c r="O147" s="1955" t="str">
        <f>IF(AND(Input_Product=EligOverlay!B147,Input_CreditHistory=EligOverlay!F147),H147,"")</f>
        <v/>
      </c>
      <c r="P147" s="1958"/>
      <c r="Q147" s="1932"/>
      <c r="R147" s="1932"/>
      <c r="S147" s="1932"/>
      <c r="T147" s="598" t="s">
        <v>18</v>
      </c>
    </row>
    <row r="148" spans="2:23" x14ac:dyDescent="0.2">
      <c r="B148" s="1979" t="str">
        <f>Input_Name_Product15</f>
        <v xml:space="preserve"> </v>
      </c>
      <c r="C148" s="1934"/>
      <c r="D148" s="1934"/>
      <c r="E148" s="1934"/>
      <c r="F148" s="2121" t="s">
        <v>18</v>
      </c>
      <c r="G148" s="1934"/>
      <c r="H148" s="1658">
        <v>75</v>
      </c>
      <c r="I148" s="1932"/>
      <c r="J148" s="1934"/>
      <c r="K148" s="1934"/>
      <c r="M148" s="1932"/>
      <c r="N148" s="1932"/>
      <c r="O148" s="1955" t="str">
        <f>IF(AND(Input_Product=EligOverlay!B148,Input_CreditHistory=EligOverlay!F148),H148,"")</f>
        <v/>
      </c>
      <c r="P148" s="1958"/>
      <c r="Q148" s="1932"/>
      <c r="R148" s="1932"/>
      <c r="S148" s="1932"/>
      <c r="T148" s="598" t="s">
        <v>18</v>
      </c>
    </row>
    <row r="149" spans="2:23" x14ac:dyDescent="0.2">
      <c r="B149" s="1972"/>
      <c r="C149" s="1623"/>
      <c r="D149" s="1623"/>
      <c r="E149" s="1623"/>
      <c r="F149" s="1623"/>
      <c r="G149" s="1623"/>
      <c r="H149" s="1623"/>
      <c r="I149" s="1623"/>
      <c r="J149" s="1623"/>
      <c r="K149" s="1623"/>
      <c r="M149" s="514"/>
      <c r="N149" s="514"/>
      <c r="O149" s="514"/>
      <c r="P149" s="514"/>
      <c r="Q149" s="514"/>
      <c r="R149" s="514"/>
      <c r="S149" s="514"/>
      <c r="T149" s="1971"/>
    </row>
    <row r="150" spans="2:23" x14ac:dyDescent="0.2">
      <c r="B150" s="1970"/>
      <c r="C150" s="1990" t="s">
        <v>39</v>
      </c>
      <c r="D150" s="1991" t="s">
        <v>3027</v>
      </c>
      <c r="E150" s="1991"/>
      <c r="F150" s="1991"/>
      <c r="G150" s="1991" t="s">
        <v>265</v>
      </c>
      <c r="H150" s="1991" t="s">
        <v>3028</v>
      </c>
      <c r="I150" s="1991" t="s">
        <v>3029</v>
      </c>
      <c r="J150" s="1991" t="s">
        <v>3030</v>
      </c>
      <c r="K150" s="1991" t="s">
        <v>3035</v>
      </c>
      <c r="M150" s="514"/>
      <c r="N150" s="514"/>
      <c r="O150" s="514"/>
      <c r="P150" s="514"/>
      <c r="Q150" s="514"/>
      <c r="R150" s="514"/>
      <c r="S150" s="514"/>
      <c r="T150" s="1971"/>
    </row>
    <row r="151" spans="2:23" x14ac:dyDescent="0.2">
      <c r="B151" s="1980" t="str">
        <f>Input_Name_Product16</f>
        <v xml:space="preserve"> </v>
      </c>
      <c r="C151" s="1946" t="s">
        <v>17</v>
      </c>
      <c r="D151" s="1947">
        <v>660</v>
      </c>
      <c r="E151" s="1948"/>
      <c r="F151" s="1948"/>
      <c r="G151" s="1670">
        <v>2500000</v>
      </c>
      <c r="H151" s="1949">
        <v>85</v>
      </c>
      <c r="I151" s="1949">
        <v>80</v>
      </c>
      <c r="J151" s="1949">
        <v>75</v>
      </c>
      <c r="K151" s="2118">
        <f>IF(Input_Purpose="Purchase",EligOverlay!H151,IF(Input_Purpose="Rate-Term",EligOverlay!I151,IF(Input_Purpose="Cash-Out",EligOverlay!J151,0)))</f>
        <v>75</v>
      </c>
      <c r="M151" s="1957" t="str">
        <f>IF(AND(Input_ProductClass=EligOverlay!B151,Input_Occupancy=EligOverlay!C151,Input_LoanAmt&gt;G151),EligOverlay!G151,"")</f>
        <v/>
      </c>
      <c r="N151" s="1932"/>
      <c r="O151" s="1957" t="str">
        <f>IF(AND(Input_ProductClass=EligOverlay!B151,Input_Occupancy=EligOverlay!C151,Input_LTV&gt;EligOverlay!K151),EligOverlay!K151,"")</f>
        <v/>
      </c>
      <c r="P151" s="1957" t="str">
        <f>IF(AND(Input_ProductClass=EligOverlay!B151,Input_Occupancy=EligOverlay!C151,Input_CreditScore&lt;EligOverlay!D151),EligOverlay!D151,"")</f>
        <v/>
      </c>
      <c r="Q151" s="1932"/>
      <c r="R151" s="1932"/>
      <c r="S151" s="1932"/>
      <c r="T151" s="598" t="s">
        <v>3043</v>
      </c>
      <c r="W151" s="226" t="s">
        <v>1627</v>
      </c>
    </row>
    <row r="152" spans="2:23" x14ac:dyDescent="0.2">
      <c r="B152" s="1980" t="str">
        <f>Input_Name_Product16</f>
        <v xml:space="preserve"> </v>
      </c>
      <c r="C152" s="1946" t="s">
        <v>38</v>
      </c>
      <c r="D152" s="1947">
        <v>660</v>
      </c>
      <c r="E152" s="1948"/>
      <c r="F152" s="1948"/>
      <c r="G152" s="1670">
        <v>2500000</v>
      </c>
      <c r="H152" s="1949">
        <v>85</v>
      </c>
      <c r="I152" s="1949">
        <v>80</v>
      </c>
      <c r="J152" s="1949">
        <v>75</v>
      </c>
      <c r="K152" s="2118">
        <f>IF(Input_Purpose="Purchase",EligOverlay!H152,IF(Input_Purpose="Rate-Term",EligOverlay!I152,IF(Input_Purpose="Cash-Out",EligOverlay!J152,0)))</f>
        <v>75</v>
      </c>
      <c r="M152" s="1957" t="str">
        <f>IF(AND(Input_ProductClass=EligOverlay!B152,Input_Occupancy=EligOverlay!C152,Input_LoanAmt&gt;G152),EligOverlay!G152,"")</f>
        <v/>
      </c>
      <c r="N152" s="1932"/>
      <c r="O152" s="1957" t="str">
        <f>IF(AND(Input_ProductClass=EligOverlay!B152,Input_Occupancy=EligOverlay!C152,Input_LTV&gt;EligOverlay!K152),EligOverlay!K152,"")</f>
        <v/>
      </c>
      <c r="P152" s="1957" t="str">
        <f>IF(AND(Input_ProductClass=EligOverlay!B152,Input_Occupancy=EligOverlay!C152,Input_CreditScore&lt;EligOverlay!D152),EligOverlay!D152,"")</f>
        <v/>
      </c>
      <c r="Q152" s="1932"/>
      <c r="R152" s="1932"/>
      <c r="S152" s="1932"/>
      <c r="T152" s="598" t="s">
        <v>3043</v>
      </c>
      <c r="W152" s="226" t="s">
        <v>1627</v>
      </c>
    </row>
    <row r="153" spans="2:23" x14ac:dyDescent="0.2">
      <c r="B153" s="1981" t="str">
        <f>Input_Name_Product17</f>
        <v xml:space="preserve"> </v>
      </c>
      <c r="C153" s="1946" t="s">
        <v>17</v>
      </c>
      <c r="D153" s="1947">
        <v>620</v>
      </c>
      <c r="E153" s="1948"/>
      <c r="F153" s="1948"/>
      <c r="G153" s="1670">
        <v>2500000</v>
      </c>
      <c r="H153" s="1949">
        <v>85</v>
      </c>
      <c r="I153" s="1949">
        <v>80</v>
      </c>
      <c r="J153" s="1949">
        <v>75</v>
      </c>
      <c r="K153" s="2118">
        <f>IF(Input_Purpose="Purchase",EligOverlay!H153,IF(Input_Purpose="Rate-Term",EligOverlay!I153,IF(Input_Purpose="Cash-Out",EligOverlay!J153,0)))</f>
        <v>75</v>
      </c>
      <c r="M153" s="1957" t="str">
        <f>IF(AND(Input_ProductClass=EligOverlay!B153,Input_Occupancy=EligOverlay!C153,Input_LoanAmt&gt;G153),EligOverlay!G153,"")</f>
        <v/>
      </c>
      <c r="N153" s="1932"/>
      <c r="O153" s="1957" t="str">
        <f>IF(AND(Input_ProductClass=EligOverlay!B153,Input_Occupancy=EligOverlay!C153,Input_LTV&gt;EligOverlay!K153),EligOverlay!K153,"")</f>
        <v/>
      </c>
      <c r="P153" s="1957" t="str">
        <f>IF(AND(Input_ProductClass=EligOverlay!B153,Input_Occupancy=EligOverlay!C153,Input_CreditScore&lt;EligOverlay!D153),EligOverlay!D153,"")</f>
        <v/>
      </c>
      <c r="Q153" s="1932"/>
      <c r="R153" s="1932"/>
      <c r="S153" s="1932"/>
      <c r="T153" s="598" t="s">
        <v>3043</v>
      </c>
      <c r="W153" s="226" t="s">
        <v>1627</v>
      </c>
    </row>
    <row r="154" spans="2:23" x14ac:dyDescent="0.2">
      <c r="B154" s="1981" t="str">
        <f>Input_Name_Product17</f>
        <v xml:space="preserve"> </v>
      </c>
      <c r="C154" s="1946" t="s">
        <v>38</v>
      </c>
      <c r="D154" s="1947">
        <v>620</v>
      </c>
      <c r="E154" s="1948"/>
      <c r="F154" s="1948"/>
      <c r="G154" s="1670">
        <v>2500000</v>
      </c>
      <c r="H154" s="1949">
        <v>85</v>
      </c>
      <c r="I154" s="1949">
        <v>80</v>
      </c>
      <c r="J154" s="1949">
        <v>75</v>
      </c>
      <c r="K154" s="2118">
        <f>IF(Input_Purpose="Purchase",EligOverlay!H154,IF(Input_Purpose="Rate-Term",EligOverlay!I154,IF(Input_Purpose="Cash-Out",EligOverlay!J154,0)))</f>
        <v>75</v>
      </c>
      <c r="M154" s="1957" t="str">
        <f>IF(AND(Input_ProductClass=EligOverlay!B154,Input_Occupancy=EligOverlay!C154,Input_LoanAmt&gt;G154),EligOverlay!G154,"")</f>
        <v/>
      </c>
      <c r="N154" s="1932"/>
      <c r="O154" s="1957" t="str">
        <f>IF(AND(Input_ProductClass=EligOverlay!B154,Input_Occupancy=EligOverlay!C154,Input_LTV&gt;EligOverlay!K154),EligOverlay!K154,"")</f>
        <v/>
      </c>
      <c r="P154" s="1957" t="str">
        <f>IF(AND(Input_ProductClass=EligOverlay!B154,Input_Occupancy=EligOverlay!C154,Input_CreditScore&lt;EligOverlay!D154),EligOverlay!D154,"")</f>
        <v/>
      </c>
      <c r="Q154" s="1932"/>
      <c r="R154" s="1932"/>
      <c r="S154" s="1932"/>
      <c r="T154" s="598" t="s">
        <v>3043</v>
      </c>
      <c r="W154" s="226" t="s">
        <v>1627</v>
      </c>
    </row>
    <row r="155" spans="2:23" x14ac:dyDescent="0.2">
      <c r="B155" s="1972"/>
      <c r="C155" s="1623"/>
      <c r="D155" s="1623"/>
      <c r="E155" s="1623"/>
      <c r="F155" s="1623"/>
      <c r="G155" s="1623"/>
      <c r="H155" s="1623"/>
      <c r="I155" s="1623"/>
      <c r="J155" s="1623"/>
      <c r="K155" s="1623"/>
      <c r="M155" s="514"/>
      <c r="N155" s="514"/>
      <c r="O155" s="514"/>
      <c r="P155" s="514"/>
      <c r="Q155" s="514"/>
      <c r="R155" s="514"/>
      <c r="S155" s="514"/>
      <c r="T155" s="1971"/>
    </row>
    <row r="156" spans="2:23" x14ac:dyDescent="0.2">
      <c r="B156" s="1970"/>
      <c r="C156" s="1990" t="s">
        <v>168</v>
      </c>
      <c r="D156" s="1991" t="s">
        <v>3027</v>
      </c>
      <c r="E156" s="1992"/>
      <c r="F156" s="1992"/>
      <c r="G156" s="1992"/>
      <c r="H156" s="1991" t="s">
        <v>3028</v>
      </c>
      <c r="I156" s="1991" t="s">
        <v>3029</v>
      </c>
      <c r="J156" s="1991" t="s">
        <v>3030</v>
      </c>
      <c r="K156" s="1991" t="s">
        <v>24</v>
      </c>
      <c r="M156" s="514"/>
      <c r="N156" s="514"/>
      <c r="O156" s="514"/>
      <c r="P156" s="514"/>
      <c r="Q156" s="514"/>
      <c r="R156" s="514"/>
      <c r="S156" s="514"/>
      <c r="T156" s="1971"/>
    </row>
    <row r="157" spans="2:23" x14ac:dyDescent="0.2">
      <c r="B157" s="1980" t="str">
        <f>Input_Name_Product16</f>
        <v xml:space="preserve"> </v>
      </c>
      <c r="C157" s="1946" t="s">
        <v>4</v>
      </c>
      <c r="D157" s="1947">
        <v>660</v>
      </c>
      <c r="E157" s="1948"/>
      <c r="F157" s="1948"/>
      <c r="G157" s="1948"/>
      <c r="H157" s="1948"/>
      <c r="I157" s="1948"/>
      <c r="J157" s="1948"/>
      <c r="K157" s="1949">
        <v>90</v>
      </c>
      <c r="M157" s="1932"/>
      <c r="N157" s="1932"/>
      <c r="O157" s="1957" t="str">
        <f>IF(AND(Input_ProductClass=EligOverlay!B157,Input_AmortType=EligOverlay!C157,Input_LTV&gt;EligOverlay!K157),EligOverlay!K157,"")</f>
        <v/>
      </c>
      <c r="P157" s="1957" t="str">
        <f>IF(AND(Input_ProductClass=EligOverlay!B157,Input_AmortType=EligOverlay!C157,Input_CreditScore&lt;EligOverlay!D157),EligOverlay!D157,"")</f>
        <v/>
      </c>
      <c r="Q157" s="739"/>
      <c r="R157" s="739"/>
      <c r="S157" s="739"/>
      <c r="T157" s="598" t="s">
        <v>3031</v>
      </c>
    </row>
    <row r="158" spans="2:23" x14ac:dyDescent="0.2">
      <c r="B158" s="1981" t="str">
        <f>Input_Name_Product17</f>
        <v xml:space="preserve"> </v>
      </c>
      <c r="C158" s="1946" t="s">
        <v>4</v>
      </c>
      <c r="D158" s="1947">
        <v>660</v>
      </c>
      <c r="E158" s="1948"/>
      <c r="F158" s="1948"/>
      <c r="G158" s="1948"/>
      <c r="H158" s="1948"/>
      <c r="I158" s="1948"/>
      <c r="J158" s="1948"/>
      <c r="K158" s="1949">
        <v>85</v>
      </c>
      <c r="M158" s="1932"/>
      <c r="N158" s="1932"/>
      <c r="O158" s="1957" t="str">
        <f>IF(AND(Input_ProductClass=EligOverlay!B158,Input_AmortType=EligOverlay!C158,Input_LTV&gt;EligOverlay!K158),EligOverlay!K158,"")</f>
        <v/>
      </c>
      <c r="P158" s="1957" t="str">
        <f>IF(AND(Input_ProductClass=EligOverlay!B158,Input_AmortType=EligOverlay!C158,Input_CreditScore&lt;EligOverlay!D158),EligOverlay!D158,"")</f>
        <v/>
      </c>
      <c r="Q158" s="739"/>
      <c r="R158" s="739"/>
      <c r="S158" s="739"/>
      <c r="T158" s="598" t="s">
        <v>3031</v>
      </c>
    </row>
    <row r="159" spans="2:23" x14ac:dyDescent="0.2">
      <c r="B159" s="1987" t="str">
        <f>Input_Name_Product18</f>
        <v xml:space="preserve"> </v>
      </c>
      <c r="C159" s="1946" t="s">
        <v>4</v>
      </c>
      <c r="D159" s="1947">
        <v>680</v>
      </c>
      <c r="E159" s="1948"/>
      <c r="F159" s="1948"/>
      <c r="G159" s="1948"/>
      <c r="H159" s="1949">
        <v>75</v>
      </c>
      <c r="I159" s="1949">
        <v>75</v>
      </c>
      <c r="J159" s="1949">
        <v>70</v>
      </c>
      <c r="K159" s="2117">
        <f>IF(Input_Purpose="Purchase",EligOverlay!H159,IF(Input_Purpose="Rate-Term",EligOverlay!I159,IF(Input_Purpose="Cash-Out",EligOverlay!J159,0)))</f>
        <v>70</v>
      </c>
      <c r="M159" s="1932"/>
      <c r="N159" s="1932"/>
      <c r="O159" s="1957" t="str">
        <f>IF(AND(Input_ProductClass=EligOverlay!B159,Input_AmortType=EligOverlay!C159,Input_LTV&gt;EligOverlay!K159),EligOverlay!K159,"")</f>
        <v/>
      </c>
      <c r="P159" s="1957" t="str">
        <f>IF(AND(Input_ProductClass=EligOverlay!B159,Input_AmortType=EligOverlay!C159,Input_CreditScore&lt;EligOverlay!D159),EligOverlay!D159,"")</f>
        <v/>
      </c>
      <c r="Q159" s="739"/>
      <c r="R159" s="739"/>
      <c r="S159" s="739"/>
      <c r="T159" s="598" t="s">
        <v>3031</v>
      </c>
    </row>
    <row r="160" spans="2:23" x14ac:dyDescent="0.2">
      <c r="B160" s="1970"/>
      <c r="M160" s="514"/>
      <c r="N160" s="514"/>
      <c r="O160" s="514"/>
      <c r="P160" s="514"/>
      <c r="Q160" s="514"/>
      <c r="R160" s="514"/>
      <c r="S160" s="514"/>
      <c r="T160" s="1971"/>
    </row>
    <row r="161" spans="2:23" x14ac:dyDescent="0.2">
      <c r="B161" s="1970"/>
      <c r="C161" s="1990" t="s">
        <v>277</v>
      </c>
      <c r="D161" s="1992"/>
      <c r="E161" s="1992"/>
      <c r="F161" s="1992"/>
      <c r="G161" s="1991" t="s">
        <v>275</v>
      </c>
      <c r="H161" s="1992"/>
      <c r="I161" s="1992"/>
      <c r="J161" s="1992"/>
      <c r="K161" s="1991" t="s">
        <v>24</v>
      </c>
      <c r="M161" s="514"/>
      <c r="N161" s="514"/>
      <c r="O161" s="514"/>
      <c r="P161" s="514"/>
      <c r="Q161" s="514"/>
      <c r="R161" s="514"/>
      <c r="S161" s="514"/>
      <c r="T161" s="1971"/>
    </row>
    <row r="162" spans="2:23" x14ac:dyDescent="0.2">
      <c r="B162" s="1980" t="str">
        <f>Input_Name_Product16</f>
        <v xml:space="preserve"> </v>
      </c>
      <c r="C162" s="1945">
        <v>6</v>
      </c>
      <c r="D162" s="1948"/>
      <c r="E162" s="1948"/>
      <c r="F162" s="1948"/>
      <c r="G162" s="1948"/>
      <c r="H162" s="1948"/>
      <c r="I162" s="1948"/>
      <c r="J162" s="1948" t="s">
        <v>3034</v>
      </c>
      <c r="K162" s="1949">
        <v>85</v>
      </c>
      <c r="M162" s="1932"/>
      <c r="N162" s="1932"/>
      <c r="O162" s="1958"/>
      <c r="P162" s="1932"/>
      <c r="Q162" s="1959" t="str">
        <f>IF(AND(Input_ProductClass=EligOverlay!B162,Input_LTV&lt;=EligOverlay!K162,Input_ReservesMonths&lt;EligOverlay!C162),EligOverlay!C162,"")</f>
        <v/>
      </c>
      <c r="R162" s="1932"/>
      <c r="S162" s="1932"/>
      <c r="T162" s="598" t="s">
        <v>3032</v>
      </c>
    </row>
    <row r="163" spans="2:23" x14ac:dyDescent="0.2">
      <c r="B163" s="1980" t="str">
        <f>Input_Name_Product16</f>
        <v xml:space="preserve"> </v>
      </c>
      <c r="C163" s="1945">
        <v>12</v>
      </c>
      <c r="D163" s="1948"/>
      <c r="E163" s="1948"/>
      <c r="F163" s="1948"/>
      <c r="G163" s="1948"/>
      <c r="H163" s="1948"/>
      <c r="I163" s="1948"/>
      <c r="J163" s="1948" t="s">
        <v>3033</v>
      </c>
      <c r="K163" s="1949">
        <v>85</v>
      </c>
      <c r="M163" s="1932"/>
      <c r="N163" s="1932"/>
      <c r="O163" s="1958"/>
      <c r="P163" s="1932"/>
      <c r="Q163" s="1957" t="str">
        <f>IF(AND(Input_ProductClass=EligOverlay!B163,Input_LTV&gt;EligOverlay!K163,Input_ReservesMonths&lt;EligOverlay!C163),EligOverlay!C163,"")</f>
        <v/>
      </c>
      <c r="R163" s="1932"/>
      <c r="S163" s="1932"/>
      <c r="T163" s="598" t="s">
        <v>3032</v>
      </c>
    </row>
    <row r="164" spans="2:23" x14ac:dyDescent="0.2">
      <c r="B164" s="1980" t="str">
        <f>Input_Name_Product16</f>
        <v xml:space="preserve"> </v>
      </c>
      <c r="C164" s="1945">
        <v>9</v>
      </c>
      <c r="D164" s="1948"/>
      <c r="E164" s="1948"/>
      <c r="F164" s="1948" t="s">
        <v>1712</v>
      </c>
      <c r="G164" s="1670">
        <v>1500000</v>
      </c>
      <c r="H164" s="1948"/>
      <c r="I164" s="1948"/>
      <c r="J164" s="1948"/>
      <c r="K164" s="1948"/>
      <c r="M164" s="1932"/>
      <c r="N164" s="1932"/>
      <c r="O164" s="1958"/>
      <c r="P164" s="1932"/>
      <c r="Q164" s="1957" t="str">
        <f>IF(AND(Input_ProductClass=EligOverlay!B164,Input_LoanAmt&gt;EligOverlay!G164,Input_ReservesMonths&lt;EligOverlay!C164),EligOverlay!C164,"")</f>
        <v/>
      </c>
      <c r="R164" s="1932"/>
      <c r="S164" s="1932"/>
      <c r="T164" s="598" t="s">
        <v>3047</v>
      </c>
    </row>
    <row r="165" spans="2:23" x14ac:dyDescent="0.2">
      <c r="B165" s="1980" t="str">
        <f>Input_Name_Product16</f>
        <v xml:space="preserve"> </v>
      </c>
      <c r="C165" s="1945">
        <v>12</v>
      </c>
      <c r="D165" s="1948"/>
      <c r="E165" s="1948"/>
      <c r="F165" s="1948" t="s">
        <v>1712</v>
      </c>
      <c r="G165" s="1670">
        <v>2500000</v>
      </c>
      <c r="H165" s="1948"/>
      <c r="I165" s="1948"/>
      <c r="J165" s="1948"/>
      <c r="K165" s="1948"/>
      <c r="M165" s="1932"/>
      <c r="N165" s="1932"/>
      <c r="O165" s="1958"/>
      <c r="P165" s="1932"/>
      <c r="Q165" s="1957" t="str">
        <f>IF(AND(Input_ProductClass=EligOverlay!B165,Input_LoanAmt&gt;EligOverlay!G165,Input_ReservesMonths&lt;EligOverlay!C165),EligOverlay!C165,"")</f>
        <v/>
      </c>
      <c r="R165" s="1932"/>
      <c r="S165" s="1932"/>
      <c r="T165" s="598" t="s">
        <v>3047</v>
      </c>
    </row>
    <row r="166" spans="2:23" x14ac:dyDescent="0.2">
      <c r="B166" s="1981" t="str">
        <f>Input_Name_Product17</f>
        <v xml:space="preserve"> </v>
      </c>
      <c r="C166" s="1945">
        <v>3</v>
      </c>
      <c r="D166" s="1948"/>
      <c r="E166" s="1948"/>
      <c r="F166" s="1948"/>
      <c r="G166" s="1948"/>
      <c r="H166" s="1948"/>
      <c r="I166" s="1948"/>
      <c r="J166" s="1948" t="s">
        <v>1713</v>
      </c>
      <c r="K166" s="1949">
        <v>80</v>
      </c>
      <c r="M166" s="1932"/>
      <c r="N166" s="1932"/>
      <c r="O166" s="1958"/>
      <c r="P166" s="1932"/>
      <c r="Q166" s="1959" t="str">
        <f>IF(AND(Input_ProductClass=EligOverlay!B166,Input_LTV&lt;EligOverlay!K166,Input_ReservesMonths&lt;EligOverlay!C166),EligOverlay!C166,"")</f>
        <v/>
      </c>
      <c r="R166" s="1932"/>
      <c r="S166" s="1932"/>
      <c r="T166" s="598" t="s">
        <v>3032</v>
      </c>
    </row>
    <row r="167" spans="2:23" x14ac:dyDescent="0.2">
      <c r="B167" s="1981" t="str">
        <f>Input_Name_Product17</f>
        <v xml:space="preserve"> </v>
      </c>
      <c r="C167" s="1945">
        <v>6</v>
      </c>
      <c r="D167" s="1948"/>
      <c r="E167" s="1948"/>
      <c r="F167" s="1948"/>
      <c r="G167" s="1948"/>
      <c r="H167" s="1948"/>
      <c r="I167" s="1948"/>
      <c r="J167" s="1948" t="s">
        <v>1712</v>
      </c>
      <c r="K167" s="1949">
        <v>80</v>
      </c>
      <c r="M167" s="1932"/>
      <c r="N167" s="1932"/>
      <c r="O167" s="1958"/>
      <c r="P167" s="1932"/>
      <c r="Q167" s="1957" t="str">
        <f>IF(AND(Input_ProductClass=EligOverlay!B167,Input_LTV&gt;=EligOverlay!K167,Input_ReservesMonths&lt;EligOverlay!C167),EligOverlay!C167,"")</f>
        <v/>
      </c>
      <c r="R167" s="1932"/>
      <c r="S167" s="1932"/>
      <c r="T167" s="598" t="s">
        <v>3032</v>
      </c>
    </row>
    <row r="168" spans="2:23" x14ac:dyDescent="0.2">
      <c r="B168" s="1987" t="str">
        <f>Input_Name_Product18</f>
        <v xml:space="preserve"> </v>
      </c>
      <c r="C168" s="1945">
        <v>6</v>
      </c>
      <c r="D168" s="1948"/>
      <c r="E168" s="1948"/>
      <c r="F168" s="1948" t="s">
        <v>1712</v>
      </c>
      <c r="G168" s="1670">
        <v>1500000</v>
      </c>
      <c r="H168" s="1948"/>
      <c r="I168" s="1948"/>
      <c r="J168" s="1948"/>
      <c r="K168" s="1948"/>
      <c r="M168" s="1932"/>
      <c r="N168" s="1932"/>
      <c r="O168" s="1958"/>
      <c r="P168" s="1932"/>
      <c r="Q168" s="1957" t="str">
        <f>IF(AND(Input_ProductClass=EligOverlay!B168,Input_LoanAmt&gt;EligOverlay!G168,Input_ReservesMonths&lt;EligOverlay!C168),EligOverlay!C168,"")</f>
        <v/>
      </c>
      <c r="R168" s="1932"/>
      <c r="S168" s="1932"/>
      <c r="T168" s="598" t="s">
        <v>3047</v>
      </c>
    </row>
    <row r="169" spans="2:23" x14ac:dyDescent="0.2">
      <c r="B169" s="1987" t="str">
        <f>Input_Name_Product18</f>
        <v xml:space="preserve"> </v>
      </c>
      <c r="C169" s="1945">
        <v>12</v>
      </c>
      <c r="D169" s="1948"/>
      <c r="E169" s="1948"/>
      <c r="F169" s="1948" t="s">
        <v>1712</v>
      </c>
      <c r="G169" s="1670">
        <v>2500000</v>
      </c>
      <c r="H169" s="1948"/>
      <c r="I169" s="1948"/>
      <c r="J169" s="1948"/>
      <c r="K169" s="1948"/>
      <c r="M169" s="1932"/>
      <c r="N169" s="1932"/>
      <c r="O169" s="1958"/>
      <c r="P169" s="1932"/>
      <c r="Q169" s="1957" t="str">
        <f>IF(AND(Input_ProductClass=EligOverlay!B169,Input_LoanAmt&gt;EligOverlay!G169,Input_ReservesMonths&lt;EligOverlay!C169),EligOverlay!C169,"")</f>
        <v/>
      </c>
      <c r="R169" s="1932"/>
      <c r="S169" s="1932"/>
      <c r="T169" s="598" t="s">
        <v>3047</v>
      </c>
    </row>
    <row r="170" spans="2:23" x14ac:dyDescent="0.2">
      <c r="B170" s="1983" t="str">
        <f>Input_Name_Product19</f>
        <v xml:space="preserve"> </v>
      </c>
      <c r="C170" s="1945">
        <v>9</v>
      </c>
      <c r="D170" s="1948"/>
      <c r="E170" s="1948"/>
      <c r="F170" s="1948" t="s">
        <v>1712</v>
      </c>
      <c r="G170" s="1670">
        <v>1500000</v>
      </c>
      <c r="H170" s="1948"/>
      <c r="I170" s="1948"/>
      <c r="J170" s="1948"/>
      <c r="K170" s="1948"/>
      <c r="M170" s="1932"/>
      <c r="N170" s="1932"/>
      <c r="O170" s="1958"/>
      <c r="P170" s="1932"/>
      <c r="Q170" s="1957" t="str">
        <f>IF(AND(Input_ProductClass=EligOverlay!B170,Input_LoanAmt&gt;EligOverlay!G170,Input_ReservesMonths&lt;EligOverlay!C170),EligOverlay!C170,"")</f>
        <v/>
      </c>
      <c r="R170" s="1932"/>
      <c r="S170" s="1932"/>
      <c r="T170" s="598" t="s">
        <v>3047</v>
      </c>
    </row>
    <row r="171" spans="2:23" x14ac:dyDescent="0.2">
      <c r="B171" s="1983" t="str">
        <f>Input_Name_Product19</f>
        <v xml:space="preserve"> </v>
      </c>
      <c r="C171" s="1945">
        <v>12</v>
      </c>
      <c r="D171" s="1948"/>
      <c r="E171" s="1948"/>
      <c r="F171" s="1948" t="s">
        <v>1712</v>
      </c>
      <c r="G171" s="1670">
        <v>2500000</v>
      </c>
      <c r="H171" s="1948"/>
      <c r="I171" s="1948"/>
      <c r="J171" s="1948"/>
      <c r="K171" s="1948"/>
      <c r="M171" s="1932"/>
      <c r="N171" s="1932"/>
      <c r="O171" s="1958"/>
      <c r="P171" s="1932"/>
      <c r="Q171" s="1957" t="str">
        <f>IF(AND(Input_ProductClass=EligOverlay!B171,Input_LoanAmt&gt;EligOverlay!G171,Input_ReservesMonths&lt;EligOverlay!C171),EligOverlay!C171,"")</f>
        <v/>
      </c>
      <c r="R171" s="1932"/>
      <c r="S171" s="1932"/>
      <c r="T171" s="598" t="s">
        <v>3047</v>
      </c>
    </row>
    <row r="172" spans="2:23" x14ac:dyDescent="0.2">
      <c r="B172" s="1970"/>
      <c r="M172" s="514"/>
      <c r="N172" s="514"/>
      <c r="O172" s="514"/>
      <c r="P172" s="514"/>
      <c r="Q172" s="514"/>
      <c r="R172" s="514"/>
      <c r="S172" s="514"/>
      <c r="T172" s="1971"/>
    </row>
    <row r="173" spans="2:23" x14ac:dyDescent="0.2">
      <c r="B173" s="1970"/>
      <c r="C173" s="1993" t="s">
        <v>284</v>
      </c>
      <c r="D173" s="1990" t="s">
        <v>39</v>
      </c>
      <c r="E173" s="1991" t="s">
        <v>3036</v>
      </c>
      <c r="F173" s="1991" t="s">
        <v>3027</v>
      </c>
      <c r="G173" s="1991" t="s">
        <v>14</v>
      </c>
      <c r="H173" s="1991" t="s">
        <v>277</v>
      </c>
      <c r="I173" s="1989" t="s">
        <v>43</v>
      </c>
      <c r="J173" s="1991" t="s">
        <v>44</v>
      </c>
      <c r="K173" s="1991" t="s">
        <v>24</v>
      </c>
      <c r="M173" s="514"/>
      <c r="N173" s="514"/>
      <c r="O173" s="514"/>
      <c r="P173" s="514"/>
      <c r="Q173" s="514"/>
      <c r="R173" s="514"/>
      <c r="S173" s="514"/>
      <c r="T173" s="1971"/>
      <c r="V173" s="514"/>
    </row>
    <row r="174" spans="2:23" x14ac:dyDescent="0.2">
      <c r="B174" s="1980" t="str">
        <f>Input_Name_Product16</f>
        <v xml:space="preserve"> </v>
      </c>
      <c r="C174" s="1945" t="s">
        <v>107</v>
      </c>
      <c r="D174" s="1946" t="s">
        <v>37</v>
      </c>
      <c r="E174" s="1947" t="s">
        <v>3037</v>
      </c>
      <c r="F174" s="1947">
        <v>680</v>
      </c>
      <c r="G174" s="1947">
        <v>45</v>
      </c>
      <c r="H174" s="1947">
        <v>6</v>
      </c>
      <c r="I174" s="1948"/>
      <c r="J174" s="1948"/>
      <c r="K174" s="1948"/>
      <c r="M174" s="2126" t="str">
        <f>IF(AND(Input_ProductClass=EligOverlay!B174,Input_FirstTimeHomeBuyer=EligOverlay!C174,OR(Input_Occupancy&lt;&gt;EligOverlay!D174,IFERROR(FIND(E174,Input_CreditHistory)&lt;1,TRUE))),0,"")</f>
        <v/>
      </c>
      <c r="N174" s="1932"/>
      <c r="O174" s="1932"/>
      <c r="P174" s="1957" t="str">
        <f>IF(AND(Input_ProductClass=EligOverlay!B174,Input_FirstTimeHomeBuyer=EligOverlay!C174,OR(Input_CreditScore&lt;EligOverlay!F174)),EligOverlay!F174,"")</f>
        <v/>
      </c>
      <c r="Q174" s="1957" t="str">
        <f>IF(AND(Input_ProductClass=EligOverlay!B174,Input_FirstTimeHomeBuyer=EligOverlay!C174,OR(Input_ReservesMonths&lt;EligOverlay!H174)),EligOverlay!H174,"")</f>
        <v/>
      </c>
      <c r="R174" s="1957" t="str">
        <f>IF(AND(Input_ProductClass=EligOverlay!B174,Input_FirstTimeHomeBuyer=EligOverlay!C174,OR(Input_DTI&gt;EligOverlay!G174)),EligOverlay!G174,"")</f>
        <v/>
      </c>
      <c r="S174" s="1932"/>
      <c r="T174" s="598" t="str">
        <f>"FTHB "&amp;IF(M174=0,"Occ/Hist","")</f>
        <v xml:space="preserve">FTHB </v>
      </c>
      <c r="W174" s="226" t="s">
        <v>1627</v>
      </c>
    </row>
    <row r="175" spans="2:23" x14ac:dyDescent="0.2">
      <c r="B175" s="1981" t="str">
        <f>Input_Name_Product17</f>
        <v xml:space="preserve"> </v>
      </c>
      <c r="C175" s="1945" t="s">
        <v>107</v>
      </c>
      <c r="D175" s="1946" t="s">
        <v>37</v>
      </c>
      <c r="E175" s="1947" t="s">
        <v>3037</v>
      </c>
      <c r="F175" s="1947">
        <v>680</v>
      </c>
      <c r="G175" s="1947">
        <v>45</v>
      </c>
      <c r="H175" s="1947">
        <v>6</v>
      </c>
      <c r="I175" s="1948"/>
      <c r="J175" s="1948"/>
      <c r="K175" s="1948"/>
      <c r="M175" s="2126" t="str">
        <f>IF(AND(Input_ProductClass=EligOverlay!B175,Input_FirstTimeHomeBuyer=EligOverlay!C175,OR(Input_Occupancy&lt;&gt;EligOverlay!D175,IFERROR(FIND(E175,Input_CreditHistory)&lt;1,TRUE))),0,"")</f>
        <v/>
      </c>
      <c r="N175" s="1932"/>
      <c r="O175" s="1932"/>
      <c r="P175" s="1957" t="str">
        <f>IF(AND(Input_ProductClass=EligOverlay!B175,Input_FirstTimeHomeBuyer=EligOverlay!C175,OR(Input_CreditScore&lt;EligOverlay!F175)),EligOverlay!F175,"")</f>
        <v/>
      </c>
      <c r="Q175" s="1957" t="str">
        <f>IF(AND(Input_ProductClass=EligOverlay!B175,Input_FirstTimeHomeBuyer=EligOverlay!C175,OR(Input_ReservesMonths&lt;EligOverlay!H175)),EligOverlay!H175,"")</f>
        <v/>
      </c>
      <c r="R175" s="1957" t="str">
        <f>IF(AND(Input_ProductClass=EligOverlay!B175,Input_FirstTimeHomeBuyer=EligOverlay!C175,OR(Input_DTI&gt;EligOverlay!G175)),EligOverlay!G175,"")</f>
        <v/>
      </c>
      <c r="S175" s="1932"/>
      <c r="T175" s="598" t="str">
        <f>"FTHB "&amp;IF(M175=0,"Occ/Hist","")</f>
        <v xml:space="preserve">FTHB </v>
      </c>
      <c r="W175" s="226" t="s">
        <v>1627</v>
      </c>
    </row>
    <row r="176" spans="2:23" x14ac:dyDescent="0.2">
      <c r="B176" s="1987" t="str">
        <f>Input_Name_Product18</f>
        <v xml:space="preserve"> </v>
      </c>
      <c r="C176" s="1945" t="s">
        <v>107</v>
      </c>
      <c r="D176" s="1948"/>
      <c r="E176" s="1948"/>
      <c r="F176" s="1947">
        <v>680</v>
      </c>
      <c r="G176" s="1948"/>
      <c r="H176" s="1948"/>
      <c r="I176" s="2120" t="s">
        <v>3048</v>
      </c>
      <c r="J176" s="2464" t="s">
        <v>4205</v>
      </c>
      <c r="K176" s="2123" t="s">
        <v>274</v>
      </c>
      <c r="M176" s="2126" t="str">
        <f>IF(AND(Input_ProductClass=EligOverlay!B176,Input_FirstTimeHomeBuyer=EligOverlay!C176,OR(IFERROR(FIND(Input_CreditHistory,I176)&lt;1,TRUE),IFERROR(FIND(Input_HousingHistory,J176)&lt;1,TRUE),IFERROR(FIND(Input_Purpose,K176)&lt;1,TRUE))),0,"")</f>
        <v/>
      </c>
      <c r="N176" s="1932"/>
      <c r="O176" s="1932"/>
      <c r="P176" s="1957" t="str">
        <f>IF(AND(Input_ProductClass=EligOverlay!B176,Input_FirstTimeHomeBuyer=EligOverlay!C176,Input_CreditScore&lt;EligOverlay!F176),EligOverlay!F176,"")</f>
        <v/>
      </c>
      <c r="Q176" s="1932"/>
      <c r="R176" s="1932"/>
      <c r="S176" s="1932"/>
      <c r="T176" s="598" t="str">
        <f>"FTInv - No FTHB"</f>
        <v>FTInv - No FTHB</v>
      </c>
      <c r="W176" s="226" t="s">
        <v>1627</v>
      </c>
    </row>
    <row r="177" spans="2:23" x14ac:dyDescent="0.2">
      <c r="B177" s="1983" t="str">
        <f>Input_Name_Product19</f>
        <v xml:space="preserve"> </v>
      </c>
      <c r="C177" s="1945" t="s">
        <v>107</v>
      </c>
      <c r="D177" s="1948"/>
      <c r="E177" s="1948"/>
      <c r="F177" s="1948"/>
      <c r="G177" s="1948"/>
      <c r="H177" s="1948"/>
      <c r="I177" s="1948"/>
      <c r="J177" s="1948"/>
      <c r="K177" s="1948"/>
      <c r="M177" s="2126" t="str">
        <f>IF(AND(Input_ProductClass=EligOverlay!B177,Input_FirstTimeHomeBuyer=EligOverlay!C177),0,"")</f>
        <v/>
      </c>
      <c r="N177" s="1932"/>
      <c r="O177" s="1932"/>
      <c r="P177" s="1957"/>
      <c r="Q177" s="1932"/>
      <c r="R177" s="1932"/>
      <c r="S177" s="1932"/>
      <c r="T177" s="598" t="str">
        <f>"FTInv - No FTHB"</f>
        <v>FTInv - No FTHB</v>
      </c>
      <c r="W177" s="226" t="s">
        <v>1627</v>
      </c>
    </row>
    <row r="178" spans="2:23" x14ac:dyDescent="0.2">
      <c r="B178" s="1982" t="str">
        <f>Input_Name_Product20</f>
        <v xml:space="preserve"> </v>
      </c>
      <c r="C178" s="1945" t="s">
        <v>107</v>
      </c>
      <c r="D178" s="1948"/>
      <c r="E178" s="1948"/>
      <c r="F178" s="1947">
        <v>680</v>
      </c>
      <c r="G178" s="1948"/>
      <c r="H178" s="1948"/>
      <c r="I178" s="2120" t="s">
        <v>3048</v>
      </c>
      <c r="J178" s="2122" t="s">
        <v>4205</v>
      </c>
      <c r="K178" s="2123" t="s">
        <v>274</v>
      </c>
      <c r="M178" s="2126" t="str">
        <f>IF(AND(Input_ProductClass=EligOverlay!B178,Input_FirstTimeHomeBuyer=EligOverlay!C178,OR(IFERROR(FIND(Input_CreditHistory,I178)&lt;1,TRUE),IFERROR(FIND(Input_HousingHistory,J178)&lt;1,TRUE),IFERROR(FIND(Input_Purpose,K178)&lt;1,TRUE))),0,"")</f>
        <v/>
      </c>
      <c r="N178" s="1932"/>
      <c r="O178" s="1932"/>
      <c r="P178" s="1957" t="str">
        <f>IF(AND(Input_ProductClass=EligOverlay!B178,Input_FirstTimeHomeBuyer=EligOverlay!C178,Input_CreditScore&lt;EligOverlay!F178),EligOverlay!F178,"")</f>
        <v/>
      </c>
      <c r="Q178" s="1932"/>
      <c r="R178" s="1932"/>
      <c r="S178" s="1932"/>
      <c r="T178" s="598" t="str">
        <f>"FTInv - No FTHB"</f>
        <v>FTInv - No FTHB</v>
      </c>
      <c r="W178" s="226" t="s">
        <v>1627</v>
      </c>
    </row>
    <row r="179" spans="2:23" x14ac:dyDescent="0.2">
      <c r="B179" s="1979" t="str">
        <f>Input_Name_Product15</f>
        <v xml:space="preserve"> </v>
      </c>
      <c r="C179" s="1945" t="s">
        <v>107</v>
      </c>
      <c r="D179" s="1948"/>
      <c r="E179" s="1949">
        <v>1</v>
      </c>
      <c r="F179" s="1947">
        <v>700</v>
      </c>
      <c r="G179" s="1948"/>
      <c r="H179" s="1947">
        <v>12</v>
      </c>
      <c r="I179" s="1948"/>
      <c r="J179" s="1948"/>
      <c r="K179" s="2119">
        <v>75</v>
      </c>
      <c r="M179" s="1932"/>
      <c r="N179" s="1932"/>
      <c r="O179" s="1957" t="str">
        <f>IF(AND(Input_Product=EligOverlay!B179,Input_FirstTimeHomeBuyer=EligOverlay!C179,OR(Input_LTV&gt;K179)),EligOverlay!K179,"")</f>
        <v/>
      </c>
      <c r="P179" s="1957" t="str">
        <f>IF(AND(Input_Product=EligOverlay!B179,Input_FirstTimeHomeBuyer=EligOverlay!C179,OR(Input_CreditScore&lt;EligOverlay!F179)),EligOverlay!F179,"")</f>
        <v/>
      </c>
      <c r="Q179" s="1957" t="str">
        <f>IF(AND(Input_Product=EligOverlay!B179,Input_FirstTimeHomeBuyer=EligOverlay!C179,OR(Input_ReservesMonths&lt;EligOverlay!H179)),EligOverlay!H179,"")</f>
        <v/>
      </c>
      <c r="R179" s="1932"/>
      <c r="S179" s="1957" t="str">
        <f>IF(AND(Input_Product=EligOverlay!B179,Input_FirstTimeHomeBuyer=EligOverlay!C179,OR(EligOverlay!F25&lt;EligOverlay!E179)),EligOverlay!E179,"")</f>
        <v/>
      </c>
      <c r="T179" s="598" t="s">
        <v>3875</v>
      </c>
    </row>
    <row r="180" spans="2:23" x14ac:dyDescent="0.2">
      <c r="B180" s="1970"/>
      <c r="D180" s="1989" t="s">
        <v>70</v>
      </c>
      <c r="E180" s="1989" t="s">
        <v>43</v>
      </c>
      <c r="F180" s="1989" t="s">
        <v>44</v>
      </c>
      <c r="G180" s="1994"/>
      <c r="H180" s="1994"/>
      <c r="I180" s="1994"/>
      <c r="J180" s="1996" t="s">
        <v>3042</v>
      </c>
      <c r="K180" s="1996" t="s">
        <v>3041</v>
      </c>
      <c r="M180" s="514"/>
      <c r="N180" s="514"/>
      <c r="O180" s="514" t="str">
        <f>Input_ProductClass</f>
        <v>Life Force 2nds</v>
      </c>
      <c r="P180" s="514" t="str">
        <f>Input_Product</f>
        <v>Second OO</v>
      </c>
      <c r="Q180" s="514"/>
      <c r="R180" s="514"/>
      <c r="S180" s="514"/>
      <c r="T180" s="1971"/>
    </row>
    <row r="181" spans="2:23" x14ac:dyDescent="0.2">
      <c r="B181" s="1980" t="str">
        <f>Input_Name_Product16</f>
        <v xml:space="preserve"> </v>
      </c>
      <c r="C181" s="1950" t="s">
        <v>3039</v>
      </c>
      <c r="D181" s="597" t="s">
        <v>469</v>
      </c>
      <c r="E181" s="2120" t="s">
        <v>283</v>
      </c>
      <c r="F181" s="1948" t="s">
        <v>76</v>
      </c>
      <c r="G181" s="1948" t="s">
        <v>76</v>
      </c>
      <c r="H181" s="1948"/>
      <c r="I181" s="1948"/>
      <c r="J181" s="1951" t="b">
        <f>IFERROR(FIND(Input_CreditHistory,E181)&gt;=1,FALSE)</f>
        <v>0</v>
      </c>
      <c r="K181" s="1948"/>
      <c r="M181" s="1932"/>
      <c r="N181" s="1932"/>
      <c r="O181" s="2126" t="str">
        <f>IF(AND(Input_ProductClass=EligOverlay!B181,Input_DocType=EligOverlay!D181,J181&lt;&gt;TRUE),0.01,"")</f>
        <v/>
      </c>
      <c r="P181" s="1932"/>
      <c r="Q181" s="1932"/>
      <c r="R181" s="1932"/>
      <c r="S181" s="1932"/>
      <c r="T181" s="598" t="s">
        <v>43</v>
      </c>
    </row>
    <row r="182" spans="2:23" x14ac:dyDescent="0.2">
      <c r="B182" s="1980" t="str">
        <f>Input_Name_Product16</f>
        <v xml:space="preserve"> </v>
      </c>
      <c r="C182" s="1950" t="s">
        <v>3040</v>
      </c>
      <c r="D182" s="597" t="s">
        <v>469</v>
      </c>
      <c r="E182" s="1948"/>
      <c r="F182" s="2120" t="s">
        <v>2677</v>
      </c>
      <c r="G182" s="1948" t="s">
        <v>76</v>
      </c>
      <c r="H182" s="1948"/>
      <c r="I182" s="1948"/>
      <c r="J182" s="1948"/>
      <c r="K182" s="1951" t="b">
        <f>IFERROR(FIND(Input_HousingHistory,F182)&gt;=1,FALSE)</f>
        <v>1</v>
      </c>
      <c r="M182" s="1932"/>
      <c r="N182" s="1932"/>
      <c r="O182" s="2126" t="str">
        <f>IF(AND(Input_ProductClass=EligOverlay!B182,Input_DocType=EligOverlay!D182,K182&lt;&gt;TRUE),0.01,"")</f>
        <v/>
      </c>
      <c r="P182" s="1932"/>
      <c r="Q182" s="1932"/>
      <c r="R182" s="1932"/>
      <c r="S182" s="1932"/>
      <c r="T182" s="598" t="s">
        <v>44</v>
      </c>
    </row>
    <row r="183" spans="2:23" x14ac:dyDescent="0.2">
      <c r="B183" s="1970"/>
      <c r="M183" s="514"/>
      <c r="N183" s="514"/>
      <c r="O183" s="514"/>
      <c r="P183" s="514"/>
      <c r="Q183" s="514"/>
      <c r="R183" s="514"/>
      <c r="S183" s="514"/>
      <c r="T183" s="1971"/>
    </row>
    <row r="184" spans="2:23" x14ac:dyDescent="0.2">
      <c r="B184" s="1970"/>
      <c r="D184" s="1989" t="s">
        <v>3818</v>
      </c>
      <c r="E184" s="1989" t="s">
        <v>43</v>
      </c>
      <c r="F184" s="1991" t="s">
        <v>264</v>
      </c>
      <c r="G184" s="1991" t="s">
        <v>265</v>
      </c>
      <c r="H184" s="1991" t="s">
        <v>3028</v>
      </c>
      <c r="I184" s="1991" t="s">
        <v>3029</v>
      </c>
      <c r="J184" s="1991" t="s">
        <v>3030</v>
      </c>
      <c r="K184" s="1991" t="s">
        <v>24</v>
      </c>
      <c r="M184" s="514"/>
      <c r="N184" s="514"/>
      <c r="O184" s="514"/>
      <c r="P184" s="514"/>
      <c r="Q184" s="514"/>
      <c r="R184" s="514"/>
      <c r="S184" s="514"/>
      <c r="T184" s="1971"/>
    </row>
    <row r="185" spans="2:23" x14ac:dyDescent="0.2">
      <c r="B185" s="1987" t="str">
        <f t="shared" ref="B185:B191" si="2">Input_Name_Product18</f>
        <v xml:space="preserve"> </v>
      </c>
      <c r="C185" s="1948"/>
      <c r="D185" s="1948"/>
      <c r="E185" s="2121" t="s">
        <v>18</v>
      </c>
      <c r="F185" s="1948" t="s">
        <v>76</v>
      </c>
      <c r="G185" s="1670">
        <v>3000000</v>
      </c>
      <c r="H185" s="1949">
        <v>80</v>
      </c>
      <c r="I185" s="1949">
        <v>75</v>
      </c>
      <c r="J185" s="1949">
        <v>75</v>
      </c>
      <c r="K185" s="2117">
        <f>IF(Input_Purpose="Purchase",EligOverlay!H185,IF(Input_Purpose="Rate-Term",EligOverlay!I185,IF(Input_Purpose="Cash-Out",EligOverlay!J185,0)))</f>
        <v>75</v>
      </c>
      <c r="M185" s="1957" t="str">
        <f>IF(AND(Input_ProductClass=EligOverlay!B185,Input_CreditHistory=EligOverlay!E185,Input_LoanAmt&gt;G185),EligOverlay!G185,"")</f>
        <v/>
      </c>
      <c r="N185" s="739"/>
      <c r="O185" s="1957" t="str">
        <f>IF(AND(Input_ProductClass=EligOverlay!B185,Input_CreditHistory=EligOverlay!E185,Input_LTV&gt;EligOverlay!K185),EligOverlay!K185,"")</f>
        <v/>
      </c>
      <c r="P185" s="739"/>
      <c r="Q185" s="739"/>
      <c r="R185" s="739"/>
      <c r="S185" s="739"/>
      <c r="T185" s="598" t="s">
        <v>43</v>
      </c>
      <c r="W185" s="226" t="s">
        <v>1627</v>
      </c>
    </row>
    <row r="186" spans="2:23" x14ac:dyDescent="0.2">
      <c r="B186" s="1987" t="str">
        <f t="shared" si="2"/>
        <v xml:space="preserve"> </v>
      </c>
      <c r="C186" s="1948"/>
      <c r="D186" s="1948"/>
      <c r="E186" s="2121" t="s">
        <v>238</v>
      </c>
      <c r="F186" s="1948" t="s">
        <v>76</v>
      </c>
      <c r="G186" s="1670">
        <v>1500000</v>
      </c>
      <c r="H186" s="1949">
        <v>70</v>
      </c>
      <c r="I186" s="1949">
        <v>65</v>
      </c>
      <c r="J186" s="1949">
        <v>65</v>
      </c>
      <c r="K186" s="2117">
        <f>IF(Input_Purpose="Purchase",EligOverlay!H186,IF(Input_Purpose="Rate-Term",EligOverlay!I186,IF(Input_Purpose="Cash-Out",EligOverlay!J186,0)))</f>
        <v>65</v>
      </c>
      <c r="M186" s="1957" t="str">
        <f>IF(AND(Input_ProductClass=EligOverlay!B186,Input_CreditHistory=EligOverlay!E186,Input_LoanAmt&gt;G186),EligOverlay!G186,"")</f>
        <v/>
      </c>
      <c r="N186" s="739"/>
      <c r="O186" s="1957" t="str">
        <f>IF(AND(Input_ProductClass=EligOverlay!B186,Input_CreditHistory=EligOverlay!E186,Input_LTV&gt;EligOverlay!K186),EligOverlay!K186,"")</f>
        <v/>
      </c>
      <c r="P186" s="739"/>
      <c r="Q186" s="739"/>
      <c r="R186" s="739"/>
      <c r="S186" s="739"/>
      <c r="T186" s="598" t="s">
        <v>43</v>
      </c>
      <c r="W186" s="226" t="s">
        <v>1627</v>
      </c>
    </row>
    <row r="187" spans="2:23" x14ac:dyDescent="0.2">
      <c r="B187" s="1987" t="str">
        <f t="shared" si="2"/>
        <v xml:space="preserve"> </v>
      </c>
      <c r="C187" s="1948"/>
      <c r="D187" s="1948"/>
      <c r="E187" s="1948"/>
      <c r="F187" s="2120" t="s">
        <v>4162</v>
      </c>
      <c r="G187" s="1670">
        <v>3000000</v>
      </c>
      <c r="H187" s="1949">
        <v>80</v>
      </c>
      <c r="I187" s="1949">
        <v>75</v>
      </c>
      <c r="J187" s="1949">
        <v>75</v>
      </c>
      <c r="K187" s="2117">
        <f>IF(Input_Purpose="Purchase",EligOverlay!H187,IF(Input_Purpose="Rate-Term",EligOverlay!I187,IF(Input_Purpose="Cash-Out",EligOverlay!J187,0)))</f>
        <v>75</v>
      </c>
      <c r="M187" s="1957" t="str">
        <f>IF(AND(Input_ProductClass=EligOverlay!B187,Input_HousingHistory=EligOverlay!F187,Input_LoanAmt&gt;G187),EligOverlay!G187,"")</f>
        <v/>
      </c>
      <c r="N187" s="1932"/>
      <c r="O187" s="1957" t="str">
        <f>IF(AND(Input_ProductClass=EligOverlay!B187,Input_HousingHistory=EligOverlay!F187,Input_LTV&gt;EligOverlay!K187),EligOverlay!K187,"")</f>
        <v/>
      </c>
      <c r="P187" s="739"/>
      <c r="Q187" s="739"/>
      <c r="R187" s="739"/>
      <c r="S187" s="739"/>
      <c r="T187" s="598" t="s">
        <v>44</v>
      </c>
      <c r="W187" s="226" t="s">
        <v>1627</v>
      </c>
    </row>
    <row r="188" spans="2:23" x14ac:dyDescent="0.2">
      <c r="B188" s="1987" t="str">
        <f t="shared" si="2"/>
        <v xml:space="preserve"> </v>
      </c>
      <c r="C188" s="1948"/>
      <c r="D188" s="1948"/>
      <c r="E188" s="1948"/>
      <c r="F188" s="2120" t="s">
        <v>4161</v>
      </c>
      <c r="G188" s="1670">
        <v>1500000</v>
      </c>
      <c r="H188" s="1949">
        <v>75</v>
      </c>
      <c r="I188" s="1949">
        <v>70</v>
      </c>
      <c r="J188" s="1949">
        <v>70</v>
      </c>
      <c r="K188" s="2117">
        <f>IF(Input_Purpose="Purchase",EligOverlay!H188,IF(Input_Purpose="Rate-Term",EligOverlay!I188,IF(Input_Purpose="Cash-Out",EligOverlay!J188,0)))</f>
        <v>70</v>
      </c>
      <c r="M188" s="1957" t="str">
        <f>IF(AND(Input_ProductClass=EligOverlay!B188,Input_HousingHistory=EligOverlay!F188,Input_LoanAmt&gt;G188),EligOverlay!G188,"")</f>
        <v/>
      </c>
      <c r="N188" s="1932"/>
      <c r="O188" s="1957" t="str">
        <f>IF(AND(Input_ProductClass=EligOverlay!B188,Input_HousingHistory=EligOverlay!F188,Input_LTV&gt;EligOverlay!K188),EligOverlay!K188,"")</f>
        <v/>
      </c>
      <c r="P188" s="739"/>
      <c r="Q188" s="739"/>
      <c r="R188" s="739"/>
      <c r="S188" s="739"/>
      <c r="T188" s="598" t="s">
        <v>44</v>
      </c>
      <c r="W188" s="226" t="s">
        <v>1627</v>
      </c>
    </row>
    <row r="189" spans="2:23" x14ac:dyDescent="0.2">
      <c r="B189" s="1987" t="str">
        <f t="shared" si="2"/>
        <v xml:space="preserve"> </v>
      </c>
      <c r="C189" s="1948"/>
      <c r="D189" s="1948"/>
      <c r="E189" s="1948"/>
      <c r="F189" s="2120" t="s">
        <v>4164</v>
      </c>
      <c r="G189" s="1670">
        <v>3000000</v>
      </c>
      <c r="H189" s="1949">
        <v>80</v>
      </c>
      <c r="I189" s="1949">
        <v>75</v>
      </c>
      <c r="J189" s="1949">
        <v>75</v>
      </c>
      <c r="K189" s="2117">
        <f>IF(Input_Purpose="Purchase",EligOverlay!H189,IF(Input_Purpose="Rate-Term",EligOverlay!I189,IF(Input_Purpose="Cash-Out",EligOverlay!J189,0)))</f>
        <v>75</v>
      </c>
      <c r="M189" s="1957" t="str">
        <f>IF(AND(Input_ProductClass=EligOverlay!B189,Input_HousingHistory=EligOverlay!F189,Input_LoanAmt&gt;G189),EligOverlay!G189,"")</f>
        <v/>
      </c>
      <c r="N189" s="1932"/>
      <c r="O189" s="1957" t="str">
        <f>IF(AND(Input_ProductClass=EligOverlay!B189,Input_HousingHistory=EligOverlay!F189,Input_LTV&gt;EligOverlay!K189),EligOverlay!K189,"")</f>
        <v/>
      </c>
      <c r="P189" s="739"/>
      <c r="Q189" s="739"/>
      <c r="R189" s="739"/>
      <c r="S189" s="739"/>
      <c r="T189" s="598" t="s">
        <v>44</v>
      </c>
      <c r="W189" s="226" t="s">
        <v>1627</v>
      </c>
    </row>
    <row r="190" spans="2:23" x14ac:dyDescent="0.2">
      <c r="B190" s="1987" t="str">
        <f t="shared" si="2"/>
        <v xml:space="preserve"> </v>
      </c>
      <c r="C190" s="1948"/>
      <c r="D190" s="1948"/>
      <c r="E190" s="1948"/>
      <c r="F190" s="2120" t="s">
        <v>4165</v>
      </c>
      <c r="G190" s="1670">
        <v>1500000</v>
      </c>
      <c r="H190" s="1949">
        <v>75</v>
      </c>
      <c r="I190" s="1949">
        <v>70</v>
      </c>
      <c r="J190" s="1949">
        <v>70</v>
      </c>
      <c r="K190" s="2117">
        <f>IF(Input_Purpose="Purchase",EligOverlay!H190,IF(Input_Purpose="Rate-Term",EligOverlay!I190,IF(Input_Purpose="Cash-Out",EligOverlay!J190,0)))</f>
        <v>70</v>
      </c>
      <c r="M190" s="1957" t="str">
        <f>IF(AND(Input_ProductClass=EligOverlay!B190,Input_HousingHistory=EligOverlay!F190,Input_LoanAmt&gt;G190),EligOverlay!G190,"")</f>
        <v/>
      </c>
      <c r="N190" s="1932"/>
      <c r="O190" s="1957" t="str">
        <f>IF(AND(Input_ProductClass=EligOverlay!B190,Input_HousingHistory=EligOverlay!F190,Input_LTV&gt;EligOverlay!K190),EligOverlay!K190,"")</f>
        <v/>
      </c>
      <c r="P190" s="739"/>
      <c r="Q190" s="739"/>
      <c r="R190" s="739"/>
      <c r="S190" s="739"/>
      <c r="T190" s="598" t="s">
        <v>44</v>
      </c>
      <c r="W190" s="226" t="s">
        <v>1627</v>
      </c>
    </row>
    <row r="191" spans="2:23" x14ac:dyDescent="0.2">
      <c r="B191" s="1987" t="str">
        <f t="shared" si="2"/>
        <v xml:space="preserve"> </v>
      </c>
      <c r="C191" s="1948"/>
      <c r="D191" s="2013">
        <v>1.25</v>
      </c>
      <c r="E191" s="1948"/>
      <c r="F191" s="1670">
        <v>150000</v>
      </c>
      <c r="G191" s="1948"/>
      <c r="H191" s="1949">
        <v>70</v>
      </c>
      <c r="I191" s="1949">
        <v>65</v>
      </c>
      <c r="J191" s="1949">
        <v>65</v>
      </c>
      <c r="K191" s="2117">
        <f>IF(Input_Purpose="Purchase",EligOverlay!H191,IF(Input_Purpose="Rate-Term",EligOverlay!I191,IF(Input_Purpose="Cash-Out",EligOverlay!J191,0)))</f>
        <v>65</v>
      </c>
      <c r="M191" s="1932"/>
      <c r="N191" s="1932"/>
      <c r="O191" s="1957" t="str">
        <f>IF(AND(Input_ProductClass=EligOverlay!B191,Input_DSCR&lt;EligOverlay!D191,Input_LoanAmt&lt;EligOverlay!F191),0.01,IF(AND(Input_ProductClass=EligOverlay!B191,Input_LTV&gt;EligOverlay!K191,Input_LoanAmt&lt;EligOverlay!F191),EligOverlay!K191,""))</f>
        <v/>
      </c>
      <c r="P191" s="739"/>
      <c r="Q191" s="739"/>
      <c r="R191" s="739"/>
      <c r="S191" s="739"/>
      <c r="T191" s="598" t="s">
        <v>3819</v>
      </c>
    </row>
    <row r="192" spans="2:23" x14ac:dyDescent="0.2">
      <c r="B192" s="1970"/>
      <c r="M192" s="514"/>
      <c r="N192" s="514"/>
      <c r="O192" s="514"/>
      <c r="P192" s="514"/>
      <c r="Q192" s="514"/>
      <c r="R192" s="514"/>
      <c r="S192" s="514"/>
      <c r="T192" s="1971"/>
    </row>
    <row r="193" spans="2:23" x14ac:dyDescent="0.2">
      <c r="B193" s="1970"/>
      <c r="F193" s="1989" t="s">
        <v>44</v>
      </c>
      <c r="G193" s="1991" t="s">
        <v>265</v>
      </c>
      <c r="H193" s="1991" t="s">
        <v>3028</v>
      </c>
      <c r="I193" s="1991" t="s">
        <v>3029</v>
      </c>
      <c r="J193" s="1991" t="s">
        <v>3030</v>
      </c>
      <c r="K193" s="1991" t="s">
        <v>3035</v>
      </c>
      <c r="M193" s="514"/>
      <c r="N193" s="514"/>
      <c r="O193" s="514"/>
      <c r="P193" s="514"/>
      <c r="Q193" s="514"/>
      <c r="R193" s="514"/>
      <c r="S193" s="514"/>
      <c r="T193" s="1971"/>
    </row>
    <row r="194" spans="2:23" x14ac:dyDescent="0.2">
      <c r="B194" s="1981" t="str">
        <f t="shared" ref="B194:B199" si="3">Input_Name_Product17</f>
        <v xml:space="preserve"> </v>
      </c>
      <c r="C194" s="1948"/>
      <c r="D194" s="1948"/>
      <c r="E194" s="1948"/>
      <c r="F194" s="2120" t="s">
        <v>4162</v>
      </c>
      <c r="G194" s="1670">
        <v>3000000</v>
      </c>
      <c r="H194" s="1949">
        <v>85</v>
      </c>
      <c r="I194" s="1949">
        <v>80</v>
      </c>
      <c r="J194" s="1949">
        <v>80</v>
      </c>
      <c r="K194" s="2118">
        <f>IF(Input_Purpose="Purchase",EligOverlay!H194,IF(Input_Purpose="Rate-Term",EligOverlay!I194,IF(Input_Purpose="Cash-Out",EligOverlay!J194,0)))</f>
        <v>80</v>
      </c>
      <c r="M194" s="1957" t="str">
        <f>IF(AND(Input_ProductClass=EligOverlay!B194,Input_HousingHistory=EligOverlay!F194,Input_LoanAmt&gt;G194),EligOverlay!G194,"")</f>
        <v/>
      </c>
      <c r="N194" s="1932"/>
      <c r="O194" s="1957" t="str">
        <f>IF(AND(Input_ProductClass=EligOverlay!B194,Input_HousingHistory=EligOverlay!F194,Input_LTV&gt;EligOverlay!K194),EligOverlay!K194,"")</f>
        <v/>
      </c>
      <c r="P194" s="1932"/>
      <c r="Q194" s="1932"/>
      <c r="R194" s="1932"/>
      <c r="S194" s="1932"/>
      <c r="T194" s="598" t="s">
        <v>44</v>
      </c>
      <c r="W194" s="226" t="s">
        <v>1627</v>
      </c>
    </row>
    <row r="195" spans="2:23" x14ac:dyDescent="0.2">
      <c r="B195" s="1981" t="str">
        <f t="shared" si="3"/>
        <v xml:space="preserve"> </v>
      </c>
      <c r="C195" s="1948"/>
      <c r="D195" s="1948"/>
      <c r="E195" s="1948"/>
      <c r="F195" s="2120" t="s">
        <v>4161</v>
      </c>
      <c r="G195" s="1670">
        <v>1500000</v>
      </c>
      <c r="H195" s="1949">
        <v>80</v>
      </c>
      <c r="I195" s="1949">
        <v>75</v>
      </c>
      <c r="J195" s="1949">
        <v>75</v>
      </c>
      <c r="K195" s="2118">
        <f>IF(Input_Purpose="Purchase",EligOverlay!H195,IF(Input_Purpose="Rate-Term",EligOverlay!I195,IF(Input_Purpose="Cash-Out",EligOverlay!J195,0)))</f>
        <v>75</v>
      </c>
      <c r="M195" s="1957" t="str">
        <f>IF(AND(Input_ProductClass=EligOverlay!B195,Input_HousingHistory=EligOverlay!F195,Input_LoanAmt&gt;G195),EligOverlay!G195,"")</f>
        <v/>
      </c>
      <c r="N195" s="1932"/>
      <c r="O195" s="1957" t="str">
        <f>IF(AND(Input_ProductClass=EligOverlay!B195,Input_HousingHistory=EligOverlay!F195,Input_LTV&gt;EligOverlay!K195),EligOverlay!K195,"")</f>
        <v/>
      </c>
      <c r="P195" s="1932"/>
      <c r="Q195" s="1932"/>
      <c r="R195" s="1932"/>
      <c r="S195" s="1932"/>
      <c r="T195" s="598" t="s">
        <v>44</v>
      </c>
      <c r="W195" s="226" t="s">
        <v>1627</v>
      </c>
    </row>
    <row r="196" spans="2:23" x14ac:dyDescent="0.2">
      <c r="B196" s="1981" t="str">
        <f t="shared" si="3"/>
        <v xml:space="preserve"> </v>
      </c>
      <c r="C196" s="1948"/>
      <c r="D196" s="1948"/>
      <c r="E196" s="1948"/>
      <c r="F196" s="2120" t="s">
        <v>4163</v>
      </c>
      <c r="G196" s="1670">
        <v>1000000</v>
      </c>
      <c r="H196" s="1949">
        <v>70</v>
      </c>
      <c r="I196" s="2455">
        <v>0.01</v>
      </c>
      <c r="J196" s="1949">
        <v>0</v>
      </c>
      <c r="K196" s="2118">
        <f>IF(Input_Purpose="Purchase",EligOverlay!H196,IF(Input_Purpose="Rate-Term",EligOverlay!I196,IF(Input_Purpose="Cash-Out",EligOverlay!J196,0)))</f>
        <v>0</v>
      </c>
      <c r="M196" s="1957" t="str">
        <f>IF(AND(Input_ProductClass=EligOverlay!B196,Input_HousingHistory=EligOverlay!F196,Input_LoanAmt&gt;G196),EligOverlay!G196,"")</f>
        <v/>
      </c>
      <c r="N196" s="1932"/>
      <c r="O196" s="1957" t="str">
        <f>IF(AND(Input_ProductClass=EligOverlay!B196,Input_HousingHistory=EligOverlay!F196,Input_LTV&gt;EligOverlay!K196),EligOverlay!K196,"")</f>
        <v/>
      </c>
      <c r="P196" s="1932"/>
      <c r="Q196" s="1932"/>
      <c r="R196" s="1932"/>
      <c r="S196" s="1932"/>
      <c r="T196" s="598" t="s">
        <v>44</v>
      </c>
      <c r="W196" s="226" t="s">
        <v>1627</v>
      </c>
    </row>
    <row r="197" spans="2:23" x14ac:dyDescent="0.2">
      <c r="B197" s="1981" t="str">
        <f t="shared" si="3"/>
        <v xml:space="preserve"> </v>
      </c>
      <c r="C197" s="1948"/>
      <c r="D197" s="1948"/>
      <c r="E197" s="1948"/>
      <c r="F197" s="2120" t="s">
        <v>4164</v>
      </c>
      <c r="G197" s="1670">
        <v>3000000</v>
      </c>
      <c r="H197" s="1949">
        <v>85</v>
      </c>
      <c r="I197" s="1949">
        <v>80</v>
      </c>
      <c r="J197" s="1949">
        <v>80</v>
      </c>
      <c r="K197" s="2118">
        <f>IF(Input_Purpose="Purchase",EligOverlay!H197,IF(Input_Purpose="Rate-Term",EligOverlay!I197,IF(Input_Purpose="Cash-Out",EligOverlay!J197,0)))</f>
        <v>80</v>
      </c>
      <c r="M197" s="1957" t="str">
        <f>IF(AND(Input_ProductClass=EligOverlay!B197,Input_HousingHistory=EligOverlay!F197,Input_LoanAmt&gt;G197),EligOverlay!G197,"")</f>
        <v/>
      </c>
      <c r="N197" s="1932"/>
      <c r="O197" s="1957" t="str">
        <f>IF(AND(Input_ProductClass=EligOverlay!B197,Input_HousingHistory=EligOverlay!F197,Input_LTV&gt;EligOverlay!K197),EligOverlay!K197,"")</f>
        <v/>
      </c>
      <c r="P197" s="1932"/>
      <c r="Q197" s="1932"/>
      <c r="R197" s="1932"/>
      <c r="S197" s="1932"/>
      <c r="T197" s="598" t="s">
        <v>44</v>
      </c>
      <c r="W197" s="226" t="s">
        <v>1627</v>
      </c>
    </row>
    <row r="198" spans="2:23" x14ac:dyDescent="0.2">
      <c r="B198" s="1981" t="str">
        <f t="shared" si="3"/>
        <v xml:space="preserve"> </v>
      </c>
      <c r="C198" s="1948"/>
      <c r="D198" s="1948"/>
      <c r="E198" s="1948"/>
      <c r="F198" s="2120" t="s">
        <v>4165</v>
      </c>
      <c r="G198" s="1670">
        <v>1500000</v>
      </c>
      <c r="H198" s="1949">
        <v>80</v>
      </c>
      <c r="I198" s="1949">
        <v>75</v>
      </c>
      <c r="J198" s="1949">
        <v>75</v>
      </c>
      <c r="K198" s="2118">
        <f>IF(Input_Purpose="Purchase",EligOverlay!H198,IF(Input_Purpose="Rate-Term",EligOverlay!I198,IF(Input_Purpose="Cash-Out",EligOverlay!J198,0)))</f>
        <v>75</v>
      </c>
      <c r="M198" s="1957" t="str">
        <f>IF(AND(Input_ProductClass=EligOverlay!B198,Input_HousingHistory=EligOverlay!F198,Input_LoanAmt&gt;G198),EligOverlay!G198,"")</f>
        <v/>
      </c>
      <c r="N198" s="1932"/>
      <c r="O198" s="1957" t="str">
        <f>IF(AND(Input_ProductClass=EligOverlay!B198,Input_HousingHistory=EligOverlay!F198,Input_LTV&gt;EligOverlay!K198),EligOverlay!K198,"")</f>
        <v/>
      </c>
      <c r="P198" s="1932"/>
      <c r="Q198" s="1932"/>
      <c r="R198" s="1932"/>
      <c r="S198" s="1932"/>
      <c r="T198" s="598" t="s">
        <v>44</v>
      </c>
      <c r="W198" s="226" t="s">
        <v>1627</v>
      </c>
    </row>
    <row r="199" spans="2:23" x14ac:dyDescent="0.2">
      <c r="B199" s="1981" t="str">
        <f t="shared" si="3"/>
        <v xml:space="preserve"> </v>
      </c>
      <c r="C199" s="1948"/>
      <c r="D199" s="1948"/>
      <c r="E199" s="1948"/>
      <c r="F199" s="2120" t="s">
        <v>4166</v>
      </c>
      <c r="G199" s="1670">
        <v>1000000</v>
      </c>
      <c r="H199" s="1949">
        <v>70</v>
      </c>
      <c r="I199" s="2455">
        <v>0.01</v>
      </c>
      <c r="J199" s="1949">
        <v>0</v>
      </c>
      <c r="K199" s="2118">
        <f>IF(Input_Purpose="Purchase",EligOverlay!H199,IF(Input_Purpose="Rate-Term",EligOverlay!I199,IF(Input_Purpose="Cash-Out",EligOverlay!J199,0)))</f>
        <v>0</v>
      </c>
      <c r="M199" s="1957" t="str">
        <f>IF(AND(Input_ProductClass=EligOverlay!B199,Input_HousingHistory=EligOverlay!F199,Input_LoanAmt&gt;G199),EligOverlay!G199,"")</f>
        <v/>
      </c>
      <c r="N199" s="1932"/>
      <c r="O199" s="1957" t="str">
        <f>IF(AND(Input_ProductClass=EligOverlay!B199,Input_HousingHistory=EligOverlay!F199,Input_LTV&gt;EligOverlay!K199),EligOverlay!K199,"")</f>
        <v/>
      </c>
      <c r="P199" s="1932"/>
      <c r="Q199" s="1932"/>
      <c r="R199" s="1932"/>
      <c r="S199" s="1932"/>
      <c r="T199" s="598" t="s">
        <v>44</v>
      </c>
      <c r="W199" s="226" t="s">
        <v>1627</v>
      </c>
    </row>
    <row r="200" spans="2:23" x14ac:dyDescent="0.2">
      <c r="B200" s="1997"/>
      <c r="C200" s="1994"/>
      <c r="D200" s="1994"/>
      <c r="E200" s="1994"/>
      <c r="F200" s="1994"/>
      <c r="G200" s="1994"/>
      <c r="H200" s="1994"/>
      <c r="I200" s="1994"/>
      <c r="J200" s="1994"/>
      <c r="K200" s="1994"/>
      <c r="M200" s="514"/>
      <c r="N200" s="514"/>
      <c r="O200" s="514"/>
      <c r="P200" s="514"/>
      <c r="Q200" s="514"/>
      <c r="R200" s="514"/>
      <c r="S200" s="514"/>
      <c r="T200" s="1971"/>
    </row>
    <row r="201" spans="2:23" x14ac:dyDescent="0.2">
      <c r="B201" s="1970"/>
      <c r="C201" s="1994"/>
      <c r="D201" s="1990" t="s">
        <v>39</v>
      </c>
      <c r="E201" s="1995"/>
      <c r="F201" s="1991" t="s">
        <v>3027</v>
      </c>
      <c r="G201" s="1991" t="s">
        <v>14</v>
      </c>
      <c r="H201" s="1991" t="s">
        <v>277</v>
      </c>
      <c r="K201" s="1991" t="s">
        <v>3035</v>
      </c>
      <c r="M201" s="514"/>
      <c r="N201" s="514"/>
      <c r="O201" s="514"/>
      <c r="P201" s="514"/>
      <c r="Q201" s="514"/>
      <c r="R201" s="514"/>
      <c r="S201" s="514"/>
      <c r="T201" s="1971"/>
    </row>
    <row r="202" spans="2:23" x14ac:dyDescent="0.2">
      <c r="B202" s="1980" t="str">
        <f>Input_Name_Product16</f>
        <v xml:space="preserve"> </v>
      </c>
      <c r="C202" s="2124" t="s">
        <v>1640</v>
      </c>
      <c r="D202" s="1946" t="s">
        <v>37</v>
      </c>
      <c r="E202" s="1952" t="s">
        <v>76</v>
      </c>
      <c r="F202" s="1952"/>
      <c r="G202" s="1947">
        <v>50</v>
      </c>
      <c r="H202" s="1947">
        <v>12</v>
      </c>
      <c r="I202" s="739"/>
      <c r="J202" s="739"/>
      <c r="K202" s="1658">
        <v>80</v>
      </c>
      <c r="M202" s="2127" t="str">
        <f>IF(AND(Input_ProductClass=EligOverlay!B202,Input_DTI&gt;EligOverlay!G202,Input_DocType&lt;&gt;EligOverlay!C202),#N/A,"")</f>
        <v/>
      </c>
      <c r="N202" s="1932"/>
      <c r="O202" s="1957" t="str">
        <f>IF(AND(Input_ProductClass=EligOverlay!B202,Input_DTI&gt;EligOverlay!G202,Input_LTV&gt;EligOverlay!K202),EligOverlay!K202,"")</f>
        <v/>
      </c>
      <c r="P202" s="1932"/>
      <c r="Q202" s="1957" t="str">
        <f>IF(AND(Input_ProductClass=EligOverlay!B202,Input_DTI&gt;EligOverlay!G202,Input_ReservesMonths&lt;EligOverlay!H202),EligOverlay!H202,"")</f>
        <v/>
      </c>
      <c r="R202" s="2126" t="str">
        <f>IF(AND(Input_ProductClass=EligOverlay!B202,Input_DTI&gt;EligOverlay!G202,OR(Input_Occupancy&lt;&gt;EligOverlay!D202,Input_DocType&lt;&gt;EligOverlay!C202,Input_ReservesMonths&lt;EligOverlay!H202,Input_LTV&gt;EligOverlay!K202)),0,"")</f>
        <v/>
      </c>
      <c r="S202" s="1932"/>
      <c r="T202" s="598" t="s">
        <v>3044</v>
      </c>
      <c r="W202" s="226" t="s">
        <v>1627</v>
      </c>
    </row>
    <row r="203" spans="2:23" x14ac:dyDescent="0.2">
      <c r="B203" s="1980" t="str">
        <f>Input_Name_Product16</f>
        <v xml:space="preserve"> </v>
      </c>
      <c r="C203" s="649" t="s">
        <v>247</v>
      </c>
      <c r="D203" s="1948"/>
      <c r="E203" s="1952" t="s">
        <v>76</v>
      </c>
      <c r="F203" s="1947">
        <v>660</v>
      </c>
      <c r="G203" s="1948"/>
      <c r="H203" s="1948"/>
      <c r="I203" s="1948"/>
      <c r="J203" s="1948"/>
      <c r="K203" s="1948"/>
      <c r="M203" s="1932"/>
      <c r="N203" s="1932"/>
      <c r="O203" s="1932"/>
      <c r="P203" s="1957" t="str">
        <f>IF(AND(Input_ProductClass=EligOverlay!B203,Input_DocType=EligOverlay!C203,Input_CreditScore&lt;EligOverlay!F203),EligOverlay!F203,"")</f>
        <v/>
      </c>
      <c r="Q203" s="1932"/>
      <c r="R203" s="1932"/>
      <c r="S203" s="1932"/>
      <c r="T203" s="598" t="s">
        <v>3045</v>
      </c>
    </row>
    <row r="204" spans="2:23" x14ac:dyDescent="0.2">
      <c r="B204" s="1998"/>
      <c r="C204" s="1995"/>
      <c r="D204" s="1995"/>
      <c r="E204" s="1995"/>
      <c r="F204" s="1995"/>
      <c r="G204" s="1995"/>
      <c r="H204" s="1995"/>
      <c r="M204" s="1667"/>
      <c r="N204" s="514"/>
      <c r="O204" s="514"/>
      <c r="P204" s="514"/>
      <c r="Q204" s="514"/>
      <c r="R204" s="514"/>
      <c r="S204" s="514"/>
      <c r="T204" s="1971"/>
    </row>
    <row r="205" spans="2:23" x14ac:dyDescent="0.2">
      <c r="B205" s="1970"/>
      <c r="C205" s="1994"/>
      <c r="D205" s="1991" t="s">
        <v>264</v>
      </c>
      <c r="E205" s="1991" t="s">
        <v>265</v>
      </c>
      <c r="F205" s="1991" t="s">
        <v>3027</v>
      </c>
      <c r="H205" s="1991" t="s">
        <v>3028</v>
      </c>
      <c r="I205" s="1991" t="s">
        <v>3029</v>
      </c>
      <c r="J205" s="1991" t="s">
        <v>3030</v>
      </c>
      <c r="K205" s="1991" t="s">
        <v>3035</v>
      </c>
      <c r="M205" s="1667"/>
      <c r="N205" s="514"/>
      <c r="O205" s="514"/>
      <c r="P205" s="514"/>
      <c r="Q205" s="514"/>
      <c r="R205" s="514"/>
      <c r="S205" s="514"/>
      <c r="T205" s="1971"/>
    </row>
    <row r="206" spans="2:23" x14ac:dyDescent="0.2">
      <c r="B206" s="1980" t="str">
        <f>Input_Name_Product16</f>
        <v xml:space="preserve"> </v>
      </c>
      <c r="C206" s="649" t="s">
        <v>188</v>
      </c>
      <c r="D206" s="1948"/>
      <c r="E206" s="1670">
        <v>2500000</v>
      </c>
      <c r="F206" s="1947">
        <v>680</v>
      </c>
      <c r="G206" s="739"/>
      <c r="H206" s="1949">
        <v>80</v>
      </c>
      <c r="I206" s="1949">
        <v>75</v>
      </c>
      <c r="J206" s="1949">
        <v>70</v>
      </c>
      <c r="K206" s="2118">
        <f>IF(Input_Purpose="Purchase",EligOverlay!H206,IF(Input_Purpose="Rate-Term",EligOverlay!I206,IF(Input_Purpose="Cash-Out",EligOverlay!J206,0)))</f>
        <v>70</v>
      </c>
      <c r="M206" s="1957" t="str">
        <f>IF(AND(Input_ProductClass=EligOverlay!B206,Input_DocType=EligOverlay!C206,OR(Input_LoanAmt&gt;EligOverlay!E206)),EligOverlay!E206,"")</f>
        <v/>
      </c>
      <c r="N206" s="1932"/>
      <c r="O206" s="1957" t="str">
        <f>IF(AND(Input_ProductClass=EligOverlay!B206,Input_DocType=EligOverlay!C206,OR(Input_LTV&gt;EligOverlay!K206)),EligOverlay!K206,"")</f>
        <v/>
      </c>
      <c r="P206" s="1957" t="str">
        <f>IF(AND(Input_ProductClass=EligOverlay!B206,Input_DocType=EligOverlay!C206,OR(Input_CreditScore&lt;EligOverlay!F206)),EligOverlay!F206,"")</f>
        <v/>
      </c>
      <c r="Q206" s="1932"/>
      <c r="R206" s="1932"/>
      <c r="S206" s="1932"/>
      <c r="T206" s="598" t="s">
        <v>3046</v>
      </c>
      <c r="W206" s="226" t="s">
        <v>1627</v>
      </c>
    </row>
    <row r="207" spans="2:23" x14ac:dyDescent="0.2">
      <c r="B207" s="1980" t="str">
        <f>Input_Name_Product16</f>
        <v xml:space="preserve"> </v>
      </c>
      <c r="C207" s="649" t="s">
        <v>469</v>
      </c>
      <c r="D207" s="1948"/>
      <c r="E207" s="1670">
        <v>2500000</v>
      </c>
      <c r="F207" s="1947">
        <v>680</v>
      </c>
      <c r="G207" s="739"/>
      <c r="H207" s="1949">
        <v>80</v>
      </c>
      <c r="I207" s="1949">
        <v>75</v>
      </c>
      <c r="J207" s="1949">
        <v>70</v>
      </c>
      <c r="K207" s="2118">
        <f>IF(Input_Purpose="Purchase",EligOverlay!H207,IF(Input_Purpose="Rate-Term",EligOverlay!I207,IF(Input_Purpose="Cash-Out",EligOverlay!J207,0)))</f>
        <v>70</v>
      </c>
      <c r="M207" s="1957" t="str">
        <f>IF(AND(Input_ProductClass=EligOverlay!B207,Input_DocType=EligOverlay!C207,OR(Input_LoanAmt&gt;EligOverlay!E207)),EligOverlay!E207,"")</f>
        <v/>
      </c>
      <c r="N207" s="1932"/>
      <c r="O207" s="1957" t="str">
        <f>IF(AND(Input_ProductClass=EligOverlay!B207,Input_DocType=EligOverlay!C207,OR(Input_LTV&gt;EligOverlay!K207)),EligOverlay!K207,"")</f>
        <v/>
      </c>
      <c r="P207" s="1957" t="str">
        <f>IF(AND(Input_ProductClass=EligOverlay!B207,Input_DocType=EligOverlay!C207,OR(Input_CreditScore&lt;EligOverlay!F207)),EligOverlay!F207,"")</f>
        <v/>
      </c>
      <c r="Q207" s="1932"/>
      <c r="R207" s="1932"/>
      <c r="S207" s="1932"/>
      <c r="T207" s="598" t="s">
        <v>471</v>
      </c>
      <c r="W207" s="226" t="s">
        <v>1627</v>
      </c>
    </row>
    <row r="208" spans="2:23" x14ac:dyDescent="0.2">
      <c r="B208" s="1983" t="str">
        <f>Input_Name_Product19</f>
        <v xml:space="preserve"> </v>
      </c>
      <c r="C208" s="649"/>
      <c r="D208" s="1670">
        <v>0</v>
      </c>
      <c r="E208" s="1670">
        <v>1500000</v>
      </c>
      <c r="F208" s="1947">
        <v>700</v>
      </c>
      <c r="G208" s="739"/>
      <c r="H208" s="1949">
        <v>75</v>
      </c>
      <c r="I208" s="1949">
        <v>70</v>
      </c>
      <c r="J208" s="1949">
        <v>65</v>
      </c>
      <c r="K208" s="2118">
        <f>IF(Input_Purpose="Purchase",EligOverlay!H208,IF(Input_Purpose="Rate-Term",EligOverlay!I208,IF(Input_Purpose="Cash-Out",EligOverlay!J208,0)))</f>
        <v>65</v>
      </c>
      <c r="M208" s="739"/>
      <c r="N208" s="1932"/>
      <c r="O208" s="1957" t="str">
        <f>IF(AND(Input_ProductClass=EligOverlay!B208,Input_LoanAmt&gt;=EligOverlay!D208, Input_LoanAmt&lt;=EligOverlay!E208,OR(Input_LTV&gt;EligOverlay!K208)),EligOverlay!K208,"")</f>
        <v/>
      </c>
      <c r="P208" s="1957" t="str">
        <f>IF(AND(Input_ProductClass=EligOverlay!B208,OR(Input_CreditScore&lt;EligOverlay!F208)),EligOverlay!F208,"")</f>
        <v/>
      </c>
      <c r="Q208" s="1932"/>
      <c r="R208" s="1932"/>
      <c r="S208" s="1932"/>
      <c r="T208" s="598" t="s">
        <v>3545</v>
      </c>
    </row>
    <row r="209" spans="2:23" x14ac:dyDescent="0.2">
      <c r="B209" s="1983" t="str">
        <f>Input_Name_Product19</f>
        <v xml:space="preserve"> </v>
      </c>
      <c r="C209" s="649"/>
      <c r="D209" s="1670">
        <v>1500000.01</v>
      </c>
      <c r="E209" s="1670">
        <v>2000000</v>
      </c>
      <c r="F209" s="1947">
        <v>700</v>
      </c>
      <c r="G209" s="739"/>
      <c r="H209" s="1949">
        <v>70</v>
      </c>
      <c r="I209" s="1949">
        <v>65</v>
      </c>
      <c r="J209" s="1949">
        <v>65</v>
      </c>
      <c r="K209" s="2118">
        <f>IF(Input_Purpose="Purchase",EligOverlay!H209,IF(Input_Purpose="Rate-Term",EligOverlay!I209,IF(Input_Purpose="Cash-Out",EligOverlay!J209,0)))</f>
        <v>65</v>
      </c>
      <c r="M209" s="739"/>
      <c r="N209" s="1932"/>
      <c r="O209" s="1957" t="str">
        <f>IF(AND(Input_ProductClass=EligOverlay!B209,Input_LoanAmt&gt;=EligOverlay!D209, Input_LoanAmt&lt;=EligOverlay!E209,OR(Input_LTV&gt;EligOverlay!K209)),EligOverlay!K209,"")</f>
        <v/>
      </c>
      <c r="P209" s="1957" t="str">
        <f>IF(AND(Input_ProductClass=EligOverlay!B209,OR(Input_CreditScore&lt;EligOverlay!F209)),EligOverlay!F209,"")</f>
        <v/>
      </c>
      <c r="Q209" s="1932"/>
      <c r="R209" s="1932"/>
      <c r="S209" s="1932"/>
      <c r="T209" s="598" t="s">
        <v>3545</v>
      </c>
    </row>
    <row r="210" spans="2:23" x14ac:dyDescent="0.2">
      <c r="B210" s="1972"/>
      <c r="C210" s="1623"/>
      <c r="D210" s="1623"/>
      <c r="E210" s="1623"/>
      <c r="F210" s="1623"/>
      <c r="G210" s="1623"/>
      <c r="H210" s="1623"/>
      <c r="I210" s="1623"/>
      <c r="J210" s="1623"/>
      <c r="K210" s="1623"/>
      <c r="M210" s="514"/>
      <c r="N210" s="514"/>
      <c r="O210" s="514"/>
      <c r="P210" s="514"/>
      <c r="Q210" s="514"/>
      <c r="R210" s="514"/>
      <c r="S210" s="514"/>
      <c r="T210" s="1971"/>
    </row>
    <row r="211" spans="2:23" x14ac:dyDescent="0.2">
      <c r="B211" s="1974" t="s">
        <v>259</v>
      </c>
      <c r="C211" s="1649" t="s">
        <v>284</v>
      </c>
      <c r="D211" s="1668"/>
      <c r="E211" s="1668"/>
      <c r="F211" s="1668"/>
      <c r="G211" s="2137" t="s">
        <v>265</v>
      </c>
      <c r="H211" s="1687" t="s">
        <v>271</v>
      </c>
      <c r="I211" s="1650" t="s">
        <v>281</v>
      </c>
      <c r="J211" s="1650" t="s">
        <v>4160</v>
      </c>
      <c r="K211" s="2136" t="s">
        <v>4154</v>
      </c>
      <c r="M211" s="514"/>
      <c r="N211" s="514"/>
      <c r="O211" s="514"/>
      <c r="P211" s="514"/>
      <c r="Q211" s="514"/>
      <c r="R211" s="514"/>
      <c r="S211" s="514"/>
      <c r="T211" s="1971"/>
    </row>
    <row r="212" spans="2:23" x14ac:dyDescent="0.2">
      <c r="B212" s="1964" t="str">
        <f>Input_Name_Product1</f>
        <v>NonQM OO</v>
      </c>
      <c r="C212" s="1656" t="s">
        <v>107</v>
      </c>
      <c r="D212" s="1942"/>
      <c r="E212" s="1942"/>
      <c r="F212" s="1942"/>
      <c r="G212" s="1942"/>
      <c r="H212" s="1942"/>
      <c r="I212" s="2134">
        <v>640</v>
      </c>
      <c r="J212" s="1942"/>
      <c r="K212" s="1942"/>
      <c r="M212" s="1932"/>
      <c r="N212" s="1932"/>
      <c r="O212" s="1932"/>
      <c r="P212" s="1674" t="str">
        <f>IF(AND(Input_Product=EligOverlay!B212,Input_FirstTimeHomeBuyer=EligOverlay!C212,,Input_CreditScore&lt;EligOverlay!I212),I212,"")</f>
        <v/>
      </c>
      <c r="Q212" s="1932"/>
      <c r="R212" s="1932"/>
      <c r="S212" s="1932"/>
      <c r="T212" s="598" t="s">
        <v>474</v>
      </c>
    </row>
    <row r="213" spans="2:23" x14ac:dyDescent="0.2">
      <c r="B213" s="1964" t="str">
        <f>Input_Name_Product1</f>
        <v>NonQM OO</v>
      </c>
      <c r="C213" s="1656" t="s">
        <v>107</v>
      </c>
      <c r="D213" s="1942"/>
      <c r="E213" s="1942"/>
      <c r="F213" s="1942"/>
      <c r="G213" s="2128">
        <v>1500000</v>
      </c>
      <c r="H213" s="2135">
        <v>80</v>
      </c>
      <c r="I213" s="2454">
        <v>680</v>
      </c>
      <c r="J213" s="2454">
        <v>999</v>
      </c>
      <c r="K213" s="2135">
        <v>50</v>
      </c>
      <c r="M213" s="1955" t="str">
        <f>IF(AND(Input_Product=EligOverlay!B213,Input_FirstTimeHomeBuyer=EligOverlay!C213,Input_CreditScore&gt;=EligOverlay!I213,Input_CreditScore&lt;=EligOverlay!J213),G213,"")</f>
        <v/>
      </c>
      <c r="N213" s="1932"/>
      <c r="O213" s="1955" t="str">
        <f>IF(AND(Input_Product=EligOverlay!B213,Input_FirstTimeHomeBuyer=EligOverlay!C213,Input_CreditScore&gt;=EligOverlay!I213,Input_CreditScore&lt;=EligOverlay!J213),H213,"")</f>
        <v/>
      </c>
      <c r="P213" s="1932"/>
      <c r="Q213" s="1932"/>
      <c r="R213" s="1955" t="str">
        <f>IF(AND(Input_Product=EligOverlay!B213,Input_FirstTimeHomeBuyer=EligOverlay!C213,Input_CreditScore&gt;=EligOverlay!I213,Input_CreditScore&lt;=EligOverlay!J213),K213,"")</f>
        <v/>
      </c>
      <c r="S213" s="1932"/>
      <c r="T213" s="598" t="s">
        <v>474</v>
      </c>
    </row>
    <row r="214" spans="2:23" x14ac:dyDescent="0.2">
      <c r="B214" s="1964" t="str">
        <f>Input_Name_Product1</f>
        <v>NonQM OO</v>
      </c>
      <c r="C214" s="1656" t="s">
        <v>107</v>
      </c>
      <c r="D214" s="1942"/>
      <c r="E214" s="1942"/>
      <c r="F214" s="1942"/>
      <c r="G214" s="2128">
        <v>1000000</v>
      </c>
      <c r="H214" s="2135">
        <v>75</v>
      </c>
      <c r="I214" s="2454">
        <v>660</v>
      </c>
      <c r="J214" s="2454">
        <v>679</v>
      </c>
      <c r="K214" s="2135">
        <v>50</v>
      </c>
      <c r="M214" s="1955" t="str">
        <f>IF(AND(Input_Product=EligOverlay!B214,Input_FirstTimeHomeBuyer=EligOverlay!C214,Input_CreditScore&gt;=EligOverlay!I214,Input_CreditScore&lt;=EligOverlay!J214),G214,"")</f>
        <v/>
      </c>
      <c r="N214" s="1932"/>
      <c r="O214" s="1955" t="str">
        <f>IF(AND(Input_Product=EligOverlay!B214,Input_FirstTimeHomeBuyer=EligOverlay!C214,Input_CreditScore&gt;=EligOverlay!I214,Input_CreditScore&lt;=EligOverlay!J214),H214,"")</f>
        <v/>
      </c>
      <c r="P214" s="1932"/>
      <c r="Q214" s="1932"/>
      <c r="R214" s="1955" t="str">
        <f>IF(AND(Input_Product=EligOverlay!B214,Input_FirstTimeHomeBuyer=EligOverlay!C214,Input_CreditScore&gt;=EligOverlay!I214,Input_CreditScore&lt;=EligOverlay!J214),K214,"")</f>
        <v/>
      </c>
      <c r="S214" s="1932"/>
      <c r="T214" s="598" t="s">
        <v>474</v>
      </c>
    </row>
    <row r="215" spans="2:23" x14ac:dyDescent="0.2">
      <c r="B215" s="1964" t="str">
        <f>Input_Name_Product1</f>
        <v>NonQM OO</v>
      </c>
      <c r="C215" s="1656" t="s">
        <v>107</v>
      </c>
      <c r="D215" s="1942"/>
      <c r="E215" s="1942"/>
      <c r="F215" s="1942"/>
      <c r="G215" s="2128">
        <v>1000000</v>
      </c>
      <c r="H215" s="2135">
        <v>70</v>
      </c>
      <c r="I215" s="2454">
        <v>640</v>
      </c>
      <c r="J215" s="2454">
        <v>659</v>
      </c>
      <c r="K215" s="2135">
        <v>50</v>
      </c>
      <c r="M215" s="1955" t="str">
        <f>IF(AND(Input_Product=EligOverlay!B215,Input_FirstTimeHomeBuyer=EligOverlay!C215,Input_CreditScore&gt;=EligOverlay!I215,Input_CreditScore&lt;=EligOverlay!J215),G215,"")</f>
        <v/>
      </c>
      <c r="N215" s="1932"/>
      <c r="O215" s="1955" t="str">
        <f>IF(AND(Input_Product=EligOverlay!B215,Input_FirstTimeHomeBuyer=EligOverlay!C215,Input_CreditScore&gt;=EligOverlay!I215,Input_CreditScore&lt;=EligOverlay!J215),H215,"")</f>
        <v/>
      </c>
      <c r="P215" s="1932"/>
      <c r="Q215" s="1932"/>
      <c r="R215" s="1955" t="str">
        <f>IF(AND(Input_Product=EligOverlay!B215,Input_FirstTimeHomeBuyer=EligOverlay!C215,Input_CreditScore&gt;=EligOverlay!I215,Input_CreditScore&lt;=EligOverlay!J215),K215,"")</f>
        <v/>
      </c>
      <c r="S215" s="1932"/>
      <c r="T215" s="598" t="s">
        <v>474</v>
      </c>
    </row>
    <row r="216" spans="2:23" x14ac:dyDescent="0.2">
      <c r="B216" s="1965" t="str">
        <f>Input_Name_Product2</f>
        <v>NonQM NOO</v>
      </c>
      <c r="C216" s="1656" t="s">
        <v>107</v>
      </c>
      <c r="D216" s="1942"/>
      <c r="E216" s="1942"/>
      <c r="F216" s="1942"/>
      <c r="G216" s="2128">
        <v>1500000</v>
      </c>
      <c r="H216" s="1942"/>
      <c r="I216" s="2134">
        <v>660</v>
      </c>
      <c r="J216" s="1942"/>
      <c r="K216" s="1942"/>
      <c r="M216" s="1955" t="str">
        <f>IF(AND(Input_Product=EligOverlay!B216,Input_FirstTimeHomeBuyer=EligOverlay!C216,Input_LoanAmt&gt;EligOverlay!G216,Input_CreditScore&lt;=EligOverlay!I216),G216,"")</f>
        <v/>
      </c>
      <c r="N216" s="1932"/>
      <c r="O216" s="1932"/>
      <c r="P216" s="1955" t="str">
        <f>IF(AND(Input_Product=EligOverlay!B216,Input_FirstTimeHomeBuyer=EligOverlay!C216,Input_LoanAmt&lt;=EligOverlay!G216,Input_CreditScore&lt;EligOverlay!I216),I216,"")</f>
        <v/>
      </c>
      <c r="Q216" s="1932"/>
      <c r="R216" s="1932"/>
      <c r="S216" s="1932"/>
      <c r="T216" s="598" t="s">
        <v>474</v>
      </c>
      <c r="W216" s="226" t="s">
        <v>1627</v>
      </c>
    </row>
    <row r="217" spans="2:23" x14ac:dyDescent="0.2">
      <c r="B217" s="1970"/>
      <c r="M217" s="514"/>
      <c r="N217" s="514"/>
      <c r="O217" s="514"/>
      <c r="P217" s="514"/>
      <c r="Q217" s="514"/>
      <c r="R217" s="514"/>
      <c r="S217" s="514"/>
      <c r="T217" s="1971"/>
    </row>
    <row r="218" spans="2:23" x14ac:dyDescent="0.2">
      <c r="B218" s="1974" t="s">
        <v>259</v>
      </c>
      <c r="C218" s="1649" t="s">
        <v>284</v>
      </c>
      <c r="D218" s="1649" t="s">
        <v>80</v>
      </c>
      <c r="E218" s="1668" t="s">
        <v>1566</v>
      </c>
      <c r="F218" s="1668"/>
      <c r="G218" s="1668"/>
      <c r="H218" s="1672"/>
      <c r="I218" s="1668"/>
      <c r="J218" s="1669" t="s">
        <v>282</v>
      </c>
      <c r="K218" s="1669" t="s">
        <v>308</v>
      </c>
      <c r="M218" s="514"/>
      <c r="N218" s="514"/>
      <c r="O218" s="514"/>
      <c r="P218" s="514"/>
      <c r="Q218" s="514"/>
      <c r="R218" s="514"/>
      <c r="S218" s="514"/>
      <c r="T218" s="1971"/>
    </row>
    <row r="219" spans="2:23" x14ac:dyDescent="0.2">
      <c r="B219" s="1964" t="str">
        <f>Input_Name_Product1</f>
        <v>NonQM OO</v>
      </c>
      <c r="C219" s="1656" t="s">
        <v>107</v>
      </c>
      <c r="D219" s="1656" t="s">
        <v>79</v>
      </c>
      <c r="E219" s="1657"/>
      <c r="F219" s="1657"/>
      <c r="G219" s="1657"/>
      <c r="H219" s="1657"/>
      <c r="I219" s="1657"/>
      <c r="J219" s="1657"/>
      <c r="K219" s="1953">
        <v>3</v>
      </c>
      <c r="M219" s="1932"/>
      <c r="N219" s="1932"/>
      <c r="O219" s="1932"/>
      <c r="P219" s="1932"/>
      <c r="Q219" s="1674" t="str">
        <f>IF(AND(Input_Product=EligOverlay!B219,Input_FirstTimeHomeBuyer=EligOverlay!C219,Input_BankStmt=EligOverlay!D219),K219+IF(Elig_BaseLimit_Reserves_Min=999,0,Elig_BaseLimit_Reserves_Min),"")</f>
        <v/>
      </c>
      <c r="R219" s="1932"/>
      <c r="S219" s="1932"/>
      <c r="T219" s="1988" t="s">
        <v>1202</v>
      </c>
    </row>
    <row r="220" spans="2:23" x14ac:dyDescent="0.2">
      <c r="B220" s="1977" t="str">
        <f>Input_Name_Product13</f>
        <v xml:space="preserve">  </v>
      </c>
      <c r="C220" s="1954"/>
      <c r="D220" s="1954"/>
      <c r="E220" s="1954" t="s">
        <v>35</v>
      </c>
      <c r="F220" s="1942"/>
      <c r="G220" s="1942"/>
      <c r="H220" s="1658">
        <v>65</v>
      </c>
      <c r="I220" s="1932"/>
      <c r="J220" s="1942">
        <v>0</v>
      </c>
      <c r="K220" s="1953"/>
      <c r="M220" s="1932"/>
      <c r="N220" s="1932"/>
      <c r="O220" s="1932"/>
      <c r="P220" s="1932"/>
      <c r="Q220" s="1956"/>
      <c r="R220" s="1932"/>
      <c r="S220" s="1932"/>
      <c r="T220" s="1988" t="s">
        <v>277</v>
      </c>
      <c r="U220" s="514" t="s">
        <v>2637</v>
      </c>
    </row>
    <row r="221" spans="2:23" x14ac:dyDescent="0.2">
      <c r="B221" s="1978" t="str">
        <f>Input_Name_Product14</f>
        <v xml:space="preserve"> </v>
      </c>
      <c r="C221" s="1954"/>
      <c r="D221" s="1954"/>
      <c r="E221" s="1954" t="s">
        <v>35</v>
      </c>
      <c r="F221" s="1942"/>
      <c r="G221" s="1942"/>
      <c r="H221" s="1658">
        <v>65</v>
      </c>
      <c r="I221" s="1932"/>
      <c r="J221" s="1942">
        <v>0</v>
      </c>
      <c r="K221" s="1953"/>
      <c r="M221" s="1932"/>
      <c r="N221" s="1932"/>
      <c r="O221" s="1932"/>
      <c r="P221" s="1932"/>
      <c r="Q221" s="1956"/>
      <c r="R221" s="1932"/>
      <c r="S221" s="1932"/>
      <c r="T221" s="1988" t="s">
        <v>277</v>
      </c>
      <c r="U221" s="514" t="s">
        <v>2637</v>
      </c>
    </row>
    <row r="222" spans="2:23" x14ac:dyDescent="0.2">
      <c r="B222" s="1970"/>
      <c r="M222" s="514"/>
      <c r="N222" s="514"/>
      <c r="O222" s="514"/>
      <c r="P222" s="514"/>
      <c r="Q222" s="514"/>
      <c r="R222" s="514"/>
      <c r="S222" s="514"/>
      <c r="T222" s="1971"/>
    </row>
    <row r="223" spans="2:23" x14ac:dyDescent="0.2">
      <c r="B223" s="1974" t="s">
        <v>259</v>
      </c>
      <c r="C223" s="1649" t="s">
        <v>39</v>
      </c>
      <c r="D223" s="1673" t="s">
        <v>413</v>
      </c>
      <c r="E223" s="1650" t="s">
        <v>266</v>
      </c>
      <c r="F223" s="1650" t="s">
        <v>267</v>
      </c>
      <c r="G223" s="1650" t="s">
        <v>265</v>
      </c>
      <c r="H223" s="1650" t="s">
        <v>271</v>
      </c>
      <c r="I223" s="1650"/>
      <c r="J223" s="1650" t="s">
        <v>281</v>
      </c>
      <c r="K223" s="1669" t="s">
        <v>308</v>
      </c>
      <c r="M223" s="514"/>
      <c r="N223" s="514"/>
      <c r="O223" s="514"/>
      <c r="P223" s="514"/>
      <c r="Q223" s="514"/>
      <c r="R223" s="514"/>
      <c r="S223" s="514"/>
      <c r="T223" s="1971"/>
    </row>
    <row r="224" spans="2:23" x14ac:dyDescent="0.2">
      <c r="B224" s="1964" t="str">
        <f>Input_Name_Product1</f>
        <v>NonQM OO</v>
      </c>
      <c r="C224" s="1656" t="s">
        <v>37</v>
      </c>
      <c r="D224" s="1656" t="s">
        <v>247</v>
      </c>
      <c r="E224" s="1658">
        <v>50.01</v>
      </c>
      <c r="F224" s="1658">
        <v>55</v>
      </c>
      <c r="G224" s="1658">
        <v>1500000</v>
      </c>
      <c r="H224" s="1658">
        <v>80</v>
      </c>
      <c r="I224" s="1932"/>
      <c r="J224" s="1671">
        <v>680</v>
      </c>
      <c r="K224" s="1953">
        <v>3</v>
      </c>
      <c r="M224" s="1955" t="str">
        <f>IF(AND(Input_Product=EligOverlay!B224,Input_Occupancy=EligOverlay!C224,Input_DTI&gt;=EligOverlay!E224,Input_DTI&lt;=EligOverlay!F224),G224,"")</f>
        <v/>
      </c>
      <c r="N224" s="1932"/>
      <c r="O224" s="1955" t="str">
        <f>IF(AND(Input_Product=EligOverlay!B224,Input_DocType=EligOverlay!D224,Input_Occupancy=EligOverlay!C224,Input_DTI&gt;=EligOverlay!E224,Input_DTI&lt;=EligOverlay!F224),"",IF(AND(Input_Product=EligOverlay!B224,Input_Occupancy=EligOverlay!C224,Input_DTI&gt;=EligOverlay!E224,Input_DTI&lt;=EligOverlay!F224),H224,""))</f>
        <v/>
      </c>
      <c r="P224" s="1674" t="str">
        <f>IF(AND(Input_Product=EligOverlay!B224,Input_Occupancy=EligOverlay!C224,Input_DTI&gt;=EligOverlay!E224,Input_DTI&lt;=EligOverlay!F224),J224,"")</f>
        <v/>
      </c>
      <c r="Q224" s="1674" t="str">
        <f>IF(AND(Input_Product=EligOverlay!B224,Input_Occupancy=EligOverlay!C224,Input_DTI&gt;=EligOverlay!E224,Input_DTI&lt;=EligOverlay!F224),K224+IF(Elig_BaseLimit_Reserves_Min=999,0,Elig_BaseLimit_Reserves_Min),"")</f>
        <v/>
      </c>
      <c r="R224" s="1932"/>
      <c r="S224" s="1932"/>
      <c r="T224" s="598" t="s">
        <v>14</v>
      </c>
      <c r="W224" s="226" t="s">
        <v>1627</v>
      </c>
    </row>
    <row r="225" spans="2:23" x14ac:dyDescent="0.2">
      <c r="B225" s="1964" t="str">
        <f>Input_Name_Product1</f>
        <v>NonQM OO</v>
      </c>
      <c r="C225" s="1656" t="s">
        <v>17</v>
      </c>
      <c r="D225" s="1656" t="s">
        <v>247</v>
      </c>
      <c r="E225" s="1658">
        <v>50.01</v>
      </c>
      <c r="F225" s="1658">
        <v>55</v>
      </c>
      <c r="G225" s="1658">
        <v>1500000</v>
      </c>
      <c r="H225" s="1658">
        <v>70</v>
      </c>
      <c r="I225" s="1932"/>
      <c r="J225" s="1671">
        <v>680</v>
      </c>
      <c r="K225" s="1953">
        <v>3</v>
      </c>
      <c r="M225" s="1955" t="str">
        <f>IF(AND(Input_Product=EligOverlay!B225,Input_Occupancy=EligOverlay!C225,Input_DTI&gt;=EligOverlay!E225,Input_DTI&lt;=EligOverlay!F225),G225,"")</f>
        <v/>
      </c>
      <c r="N225" s="1932"/>
      <c r="O225" s="1955" t="str">
        <f>IF(AND(Input_Product=EligOverlay!B225,Input_DocType=EligOverlay!D225,Input_Occupancy=EligOverlay!C225,Input_DTI&gt;=EligOverlay!E225,Input_DTI&lt;=EligOverlay!F225),"",IF(AND(Input_Product=EligOverlay!B225,Input_Occupancy=EligOverlay!C225,Input_DTI&gt;=EligOverlay!E225,Input_DTI&lt;=EligOverlay!F225),H225,""))</f>
        <v/>
      </c>
      <c r="P225" s="1674" t="str">
        <f>IF(AND(Input_Product=EligOverlay!B225,Input_Occupancy=EligOverlay!C225,Input_DTI&gt;=EligOverlay!E225,Input_DTI&lt;=EligOverlay!F225),J225,"")</f>
        <v/>
      </c>
      <c r="Q225" s="1674" t="str">
        <f>IF(AND(Input_Product=EligOverlay!B225,Input_Occupancy=EligOverlay!C225,Input_DTI&gt;=EligOverlay!E225,Input_DTI&lt;=EligOverlay!F225),K225+IF(Elig_BaseLimit_Reserves_Min=999,0,Elig_BaseLimit_Reserves_Min),"")</f>
        <v/>
      </c>
      <c r="R225" s="1932"/>
      <c r="S225" s="1932"/>
      <c r="T225" s="598" t="s">
        <v>14</v>
      </c>
      <c r="W225" s="226" t="s">
        <v>1627</v>
      </c>
    </row>
    <row r="226" spans="2:23" x14ac:dyDescent="0.2">
      <c r="B226" s="1965" t="str">
        <f>Input_Name_Product2</f>
        <v>NonQM NOO</v>
      </c>
      <c r="C226" s="1656" t="s">
        <v>38</v>
      </c>
      <c r="D226" s="1656" t="s">
        <v>247</v>
      </c>
      <c r="E226" s="1658">
        <v>50.01</v>
      </c>
      <c r="F226" s="1658">
        <v>55</v>
      </c>
      <c r="G226" s="1658">
        <v>1500000</v>
      </c>
      <c r="H226" s="1658">
        <v>75</v>
      </c>
      <c r="I226" s="1932"/>
      <c r="J226" s="1671">
        <v>680</v>
      </c>
      <c r="K226" s="1953">
        <v>3</v>
      </c>
      <c r="M226" s="1955" t="str">
        <f>IF(AND(Input_Product=EligOverlay!B226,Input_Occupancy=EligOverlay!C226,Input_DTI&gt;=EligOverlay!E226,Input_DTI&lt;=EligOverlay!F226),G226,"")</f>
        <v/>
      </c>
      <c r="N226" s="1932"/>
      <c r="O226" s="1955" t="str">
        <f>IF(AND(Input_Product=EligOverlay!B226,Input_DocType=EligOverlay!D226,Input_Occupancy=EligOverlay!C226,Input_DTI&gt;=EligOverlay!E226,Input_DTI&lt;=EligOverlay!F226),"",IF(AND(Input_Product=EligOverlay!B226,Input_Occupancy=EligOverlay!C226,Input_DTI&gt;=EligOverlay!E226,Input_DTI&lt;=EligOverlay!F226),H226,""))</f>
        <v/>
      </c>
      <c r="P226" s="1674" t="str">
        <f>IF(AND(Input_Product=EligOverlay!B226,Input_Occupancy=EligOverlay!C226,Input_DTI&gt;=EligOverlay!E226,Input_DTI&lt;=EligOverlay!F226),J226,"")</f>
        <v/>
      </c>
      <c r="Q226" s="1674" t="str">
        <f>IF(AND(Input_Product=EligOverlay!B226,Input_Occupancy=EligOverlay!C226,Input_DTI&gt;=EligOverlay!E226,Input_DTI&lt;=EligOverlay!F226),K226+IF(Elig_BaseLimit_Reserves_Min=999,0,Elig_BaseLimit_Reserves_Min),"")</f>
        <v/>
      </c>
      <c r="R226" s="1932"/>
      <c r="S226" s="1932"/>
      <c r="T226" s="598" t="s">
        <v>14</v>
      </c>
      <c r="W226" s="226" t="s">
        <v>1627</v>
      </c>
    </row>
    <row r="227" spans="2:23" x14ac:dyDescent="0.2">
      <c r="B227" s="1977" t="str">
        <f>Input_Name_Product13</f>
        <v xml:space="preserve">  </v>
      </c>
      <c r="C227" s="1657"/>
      <c r="D227" s="1657"/>
      <c r="E227" s="1657"/>
      <c r="F227" s="1658">
        <v>45</v>
      </c>
      <c r="G227" s="1657"/>
      <c r="H227" s="1658">
        <v>80</v>
      </c>
      <c r="I227" s="1932"/>
      <c r="J227" s="1657"/>
      <c r="K227" s="1657"/>
      <c r="M227" s="1932"/>
      <c r="N227" s="1932"/>
      <c r="O227" s="1955" t="str">
        <f>IF(AND(Input_Product=EligOverlay!B227,Input_DTI&gt;EligOverlay!F227),H227,"")</f>
        <v/>
      </c>
      <c r="P227" s="1932"/>
      <c r="Q227" s="1932"/>
      <c r="R227" s="1932"/>
      <c r="S227" s="1932"/>
      <c r="T227" s="598" t="s">
        <v>14</v>
      </c>
    </row>
    <row r="228" spans="2:23" x14ac:dyDescent="0.2">
      <c r="B228" s="1978" t="str">
        <f>Input_Name_Product14</f>
        <v xml:space="preserve"> </v>
      </c>
      <c r="C228" s="1657"/>
      <c r="D228" s="1657"/>
      <c r="E228" s="1657"/>
      <c r="F228" s="1658">
        <v>45</v>
      </c>
      <c r="G228" s="1657"/>
      <c r="H228" s="1658">
        <v>80</v>
      </c>
      <c r="I228" s="1932"/>
      <c r="J228" s="1657"/>
      <c r="K228" s="1657"/>
      <c r="M228" s="1932"/>
      <c r="N228" s="1932"/>
      <c r="O228" s="1955" t="str">
        <f>IF(AND(Input_Product=EligOverlay!B228,Input_DTI&gt;EligOverlay!F228),H228,"")</f>
        <v/>
      </c>
      <c r="P228" s="1932"/>
      <c r="Q228" s="1932"/>
      <c r="R228" s="1932"/>
      <c r="S228" s="1932"/>
      <c r="T228" s="598" t="s">
        <v>14</v>
      </c>
    </row>
    <row r="229" spans="2:23" x14ac:dyDescent="0.2">
      <c r="B229" s="1970"/>
      <c r="M229" s="514"/>
      <c r="N229" s="1675"/>
      <c r="O229" s="1675"/>
      <c r="P229" s="514"/>
      <c r="Q229" s="514"/>
      <c r="R229" s="514"/>
      <c r="S229" s="514"/>
      <c r="T229" s="1971"/>
    </row>
    <row r="230" spans="2:23" x14ac:dyDescent="0.2">
      <c r="B230" s="1974" t="s">
        <v>259</v>
      </c>
      <c r="C230" s="1649" t="s">
        <v>168</v>
      </c>
      <c r="D230" s="1650" t="s">
        <v>264</v>
      </c>
      <c r="E230" s="1650" t="s">
        <v>265</v>
      </c>
      <c r="F230" s="1668"/>
      <c r="G230" s="1650" t="s">
        <v>279</v>
      </c>
      <c r="H230" s="1650" t="s">
        <v>271</v>
      </c>
      <c r="I230" s="1650"/>
      <c r="J230" s="1650" t="s">
        <v>281</v>
      </c>
      <c r="K230" s="1662"/>
      <c r="M230" s="514"/>
      <c r="N230" s="1676"/>
      <c r="O230" s="1676"/>
      <c r="P230" s="514"/>
      <c r="Q230" s="514"/>
      <c r="R230" s="514"/>
      <c r="S230" s="514"/>
      <c r="T230" s="1971"/>
    </row>
    <row r="231" spans="2:23" x14ac:dyDescent="0.2">
      <c r="B231" s="1964" t="str">
        <f>Input_Name_Product1</f>
        <v>NonQM OO</v>
      </c>
      <c r="C231" s="1656" t="s">
        <v>4</v>
      </c>
      <c r="D231" s="1657"/>
      <c r="E231" s="1657"/>
      <c r="F231" s="1657"/>
      <c r="G231" s="1657"/>
      <c r="H231" s="1933">
        <v>90</v>
      </c>
      <c r="I231" s="1932"/>
      <c r="J231" s="1934"/>
      <c r="K231" s="1934"/>
      <c r="M231" s="1932"/>
      <c r="N231" s="1932"/>
      <c r="O231" s="1955" t="str">
        <f>IF(AND(Input_Product=EligOverlay!B231,Input_AmortType=C231),H231,"")</f>
        <v/>
      </c>
      <c r="P231" s="1932"/>
      <c r="Q231" s="1932"/>
      <c r="R231" s="1932"/>
      <c r="S231" s="1932"/>
      <c r="T231" s="598" t="s">
        <v>454</v>
      </c>
    </row>
    <row r="232" spans="2:23" x14ac:dyDescent="0.2">
      <c r="B232" s="1965" t="str">
        <f>Input_Name_Product2</f>
        <v>NonQM NOO</v>
      </c>
      <c r="C232" s="1656" t="s">
        <v>4</v>
      </c>
      <c r="D232" s="1657"/>
      <c r="E232" s="1657"/>
      <c r="F232" s="1657"/>
      <c r="G232" s="1657"/>
      <c r="H232" s="1658">
        <v>80</v>
      </c>
      <c r="I232" s="1932"/>
      <c r="J232" s="1934"/>
      <c r="K232" s="1934"/>
      <c r="M232" s="1932"/>
      <c r="N232" s="1932"/>
      <c r="O232" s="1955" t="str">
        <f>IF(AND(Input_Product=EligOverlay!B232,Input_AmortType=C232),H232,"")</f>
        <v/>
      </c>
      <c r="P232" s="1932"/>
      <c r="Q232" s="1932"/>
      <c r="R232" s="1932"/>
      <c r="S232" s="1932"/>
      <c r="T232" s="598" t="s">
        <v>454</v>
      </c>
    </row>
    <row r="233" spans="2:23" x14ac:dyDescent="0.2">
      <c r="B233" s="1977" t="str">
        <f>Input_Name_Product13</f>
        <v xml:space="preserve">  </v>
      </c>
      <c r="C233" s="1656" t="s">
        <v>4</v>
      </c>
      <c r="D233" s="1658">
        <v>0</v>
      </c>
      <c r="E233" s="1658">
        <v>2000000</v>
      </c>
      <c r="F233" s="1657"/>
      <c r="G233" s="1657"/>
      <c r="H233" s="1658">
        <v>80</v>
      </c>
      <c r="I233" s="1932"/>
      <c r="J233" s="1671">
        <v>660</v>
      </c>
      <c r="K233" s="1934"/>
      <c r="M233" s="1932"/>
      <c r="N233" s="1932"/>
      <c r="O233" s="1955" t="str">
        <f>IF(AND(Input_Product=EligOverlay!B233,Input_AmortType=C233,Input_LoanAmt&gt;EligOverlay!D233-0.01,Input_LoanAmt&lt;=EligOverlay!E233),H233,"")</f>
        <v/>
      </c>
      <c r="P233" s="1955" t="str">
        <f>IF(AND(Input_Product=EligOverlay!B233,Input_AmortType=C233,Input_LoanAmt&gt;EligOverlay!D233-0.01,Input_LoanAmt&lt;=EligOverlay!E233),J233,"")</f>
        <v/>
      </c>
      <c r="Q233" s="1932"/>
      <c r="R233" s="1932"/>
      <c r="S233" s="1932"/>
      <c r="T233" s="598" t="s">
        <v>454</v>
      </c>
    </row>
    <row r="234" spans="2:23" x14ac:dyDescent="0.2">
      <c r="B234" s="1977" t="str">
        <f>Input_Name_Product13</f>
        <v xml:space="preserve">  </v>
      </c>
      <c r="C234" s="1656" t="s">
        <v>4</v>
      </c>
      <c r="D234" s="1658">
        <v>2000000.01</v>
      </c>
      <c r="E234" s="1658">
        <v>2500000</v>
      </c>
      <c r="F234" s="1657"/>
      <c r="G234" s="1657"/>
      <c r="H234" s="1658">
        <v>75</v>
      </c>
      <c r="I234" s="1932"/>
      <c r="J234" s="1671">
        <v>680</v>
      </c>
      <c r="K234" s="1934"/>
      <c r="M234" s="1932"/>
      <c r="N234" s="1932"/>
      <c r="O234" s="1955" t="str">
        <f>IF(AND(Input_Product=EligOverlay!B234,Input_AmortType=C234,Input_LoanAmt&gt;EligOverlay!D234-0.01,Input_LoanAmt&lt;=EligOverlay!E234),H234,"")</f>
        <v/>
      </c>
      <c r="P234" s="1955" t="str">
        <f>IF(AND(Input_Product=EligOverlay!B234,Input_AmortType=C234,Input_LoanAmt&gt;EligOverlay!D234-0.01,Input_LoanAmt&lt;=EligOverlay!E234),J234,"")</f>
        <v/>
      </c>
      <c r="Q234" s="1932"/>
      <c r="R234" s="1932"/>
      <c r="S234" s="1932"/>
      <c r="T234" s="598" t="s">
        <v>454</v>
      </c>
    </row>
    <row r="235" spans="2:23" x14ac:dyDescent="0.2">
      <c r="B235" s="1977" t="str">
        <f>Input_Name_Product13</f>
        <v xml:space="preserve">  </v>
      </c>
      <c r="C235" s="1656" t="s">
        <v>4</v>
      </c>
      <c r="D235" s="1658">
        <v>2500000.0099999998</v>
      </c>
      <c r="E235" s="1658">
        <v>10000000</v>
      </c>
      <c r="F235" s="1657"/>
      <c r="G235" s="1657"/>
      <c r="H235" s="1658">
        <v>70</v>
      </c>
      <c r="I235" s="1932"/>
      <c r="J235" s="1671">
        <v>680</v>
      </c>
      <c r="K235" s="1934"/>
      <c r="M235" s="1932"/>
      <c r="N235" s="1932"/>
      <c r="O235" s="1955" t="str">
        <f>IF(AND(Input_Product=EligOverlay!B235,Input_AmortType=C235,Input_LoanAmt&gt;EligOverlay!D235-0.01,Input_LoanAmt&lt;=EligOverlay!E235),H235,"")</f>
        <v/>
      </c>
      <c r="P235" s="1955" t="str">
        <f>IF(AND(Input_Product=EligOverlay!B235,Input_AmortType=C235,Input_LoanAmt&gt;EligOverlay!D235-0.01,Input_LoanAmt&lt;=EligOverlay!E235),J235,"")</f>
        <v/>
      </c>
      <c r="Q235" s="1932"/>
      <c r="R235" s="1932"/>
      <c r="S235" s="1932"/>
      <c r="T235" s="598" t="s">
        <v>454</v>
      </c>
    </row>
    <row r="236" spans="2:23" x14ac:dyDescent="0.2">
      <c r="B236" s="1978" t="str">
        <f>Input_Name_Product14</f>
        <v xml:space="preserve"> </v>
      </c>
      <c r="C236" s="1656" t="s">
        <v>4</v>
      </c>
      <c r="D236" s="1658">
        <v>0</v>
      </c>
      <c r="E236" s="1658">
        <v>2000000</v>
      </c>
      <c r="F236" s="1657"/>
      <c r="G236" s="1657"/>
      <c r="H236" s="1658">
        <v>80</v>
      </c>
      <c r="I236" s="1932"/>
      <c r="J236" s="1671">
        <v>660</v>
      </c>
      <c r="K236" s="1934"/>
      <c r="M236" s="1932"/>
      <c r="N236" s="1932"/>
      <c r="O236" s="1955" t="str">
        <f>IF(AND(Input_Product=EligOverlay!B236,Input_AmortType=C236,Input_LoanAmt&gt;EligOverlay!D236-0.01,Input_LoanAmt&lt;=EligOverlay!E236),H236,"")</f>
        <v/>
      </c>
      <c r="P236" s="1955" t="str">
        <f>IF(AND(Input_Product=EligOverlay!B236,Input_AmortType=C236,Input_LoanAmt&gt;EligOverlay!D236-0.01,Input_LoanAmt&lt;=EligOverlay!E236),J236,"")</f>
        <v/>
      </c>
      <c r="Q236" s="1932"/>
      <c r="R236" s="1932"/>
      <c r="S236" s="1932"/>
      <c r="T236" s="598" t="s">
        <v>454</v>
      </c>
    </row>
    <row r="237" spans="2:23" x14ac:dyDescent="0.2">
      <c r="B237" s="1978" t="str">
        <f>Input_Name_Product14</f>
        <v xml:space="preserve"> </v>
      </c>
      <c r="C237" s="1656" t="s">
        <v>4</v>
      </c>
      <c r="D237" s="1658">
        <v>2000000.01</v>
      </c>
      <c r="E237" s="1658">
        <v>2500000</v>
      </c>
      <c r="F237" s="1657"/>
      <c r="G237" s="1657"/>
      <c r="H237" s="1658">
        <v>75</v>
      </c>
      <c r="I237" s="1932"/>
      <c r="J237" s="1671">
        <v>660</v>
      </c>
      <c r="K237" s="1934"/>
      <c r="M237" s="1932"/>
      <c r="N237" s="1932"/>
      <c r="O237" s="1955" t="str">
        <f>IF(AND(Input_Product=EligOverlay!B237,Input_AmortType=C237,Input_LoanAmt&gt;EligOverlay!D237-0.01,Input_LoanAmt&lt;=EligOverlay!E237),H237,"")</f>
        <v/>
      </c>
      <c r="P237" s="1955" t="str">
        <f>IF(AND(Input_Product=EligOverlay!B237,Input_AmortType=C237,Input_LoanAmt&gt;EligOverlay!D237-0.01,Input_LoanAmt&lt;=EligOverlay!E237),J237,"")</f>
        <v/>
      </c>
      <c r="Q237" s="1932"/>
      <c r="R237" s="1932"/>
      <c r="S237" s="1932"/>
      <c r="T237" s="598" t="s">
        <v>454</v>
      </c>
    </row>
    <row r="238" spans="2:23" x14ac:dyDescent="0.2">
      <c r="B238" s="1978" t="str">
        <f>Input_Name_Product14</f>
        <v xml:space="preserve"> </v>
      </c>
      <c r="C238" s="1656" t="s">
        <v>4</v>
      </c>
      <c r="D238" s="1658">
        <v>2500000.0099999998</v>
      </c>
      <c r="E238" s="1658">
        <v>10000000</v>
      </c>
      <c r="F238" s="1657"/>
      <c r="G238" s="1657"/>
      <c r="H238" s="1658">
        <v>70</v>
      </c>
      <c r="I238" s="1932"/>
      <c r="J238" s="1671">
        <v>660</v>
      </c>
      <c r="K238" s="1934"/>
      <c r="M238" s="1932"/>
      <c r="N238" s="1932"/>
      <c r="O238" s="1955" t="str">
        <f>IF(AND(Input_Product=EligOverlay!B238,Input_AmortType=C238,Input_LoanAmt&gt;EligOverlay!D238-0.01,Input_LoanAmt&lt;=EligOverlay!E238),H238,"")</f>
        <v/>
      </c>
      <c r="P238" s="1955" t="str">
        <f>IF(AND(Input_Product=EligOverlay!B238,Input_AmortType=C238,Input_LoanAmt&gt;EligOverlay!D238-0.01,Input_LoanAmt&lt;=EligOverlay!E238),J238,"")</f>
        <v/>
      </c>
      <c r="Q238" s="1932"/>
      <c r="R238" s="1932"/>
      <c r="S238" s="1932"/>
      <c r="T238" s="598" t="s">
        <v>454</v>
      </c>
    </row>
    <row r="239" spans="2:23" x14ac:dyDescent="0.2">
      <c r="B239" s="1979" t="str">
        <f>Input_Name_Product15</f>
        <v xml:space="preserve"> </v>
      </c>
      <c r="C239" s="1656" t="s">
        <v>4</v>
      </c>
      <c r="D239" s="1658">
        <v>0</v>
      </c>
      <c r="E239" s="1658">
        <v>2000000</v>
      </c>
      <c r="F239" s="1657"/>
      <c r="G239" s="1658">
        <v>1</v>
      </c>
      <c r="H239" s="1658">
        <v>80</v>
      </c>
      <c r="I239" s="1932"/>
      <c r="J239" s="1671">
        <v>700</v>
      </c>
      <c r="K239" s="1934"/>
      <c r="M239" s="1932"/>
      <c r="N239" s="1932"/>
      <c r="O239" s="1955" t="str">
        <f>IF(AND(Input_Product=EligOverlay!B239,Input_AmortType=C239,Input_LoanAmt&gt;EligOverlay!D239-0.01,Input_LoanAmt&lt;=EligOverlay!E239),H239,"")</f>
        <v/>
      </c>
      <c r="P239" s="1955" t="str">
        <f>IF(AND(Input_Product=EligOverlay!B239,Input_AmortType=C239,Input_LoanAmt&gt;EligOverlay!D239-0.01,Input_LoanAmt&lt;=EligOverlay!E239),J239,"")</f>
        <v/>
      </c>
      <c r="Q239" s="1932"/>
      <c r="R239" s="1932"/>
      <c r="S239" s="1955" t="str">
        <f>IF(AND(Input_Product=EligOverlay!B239,Input_AmortType=C239,Input_LoanAmt&gt;EligOverlay!D239-0.01,Input_LoanAmt&lt;=EligOverlay!E239),G239,"")</f>
        <v/>
      </c>
      <c r="T239" s="598" t="s">
        <v>2638</v>
      </c>
    </row>
    <row r="240" spans="2:23" x14ac:dyDescent="0.2">
      <c r="B240" s="1979" t="str">
        <f>Input_Name_Product15</f>
        <v xml:space="preserve"> </v>
      </c>
      <c r="C240" s="1656" t="s">
        <v>4</v>
      </c>
      <c r="D240" s="1658">
        <v>2000000.01</v>
      </c>
      <c r="E240" s="1658">
        <v>2500000</v>
      </c>
      <c r="F240" s="1657"/>
      <c r="G240" s="1658">
        <v>1</v>
      </c>
      <c r="H240" s="1658">
        <v>75</v>
      </c>
      <c r="I240" s="1932"/>
      <c r="J240" s="1671">
        <v>700</v>
      </c>
      <c r="K240" s="1934"/>
      <c r="M240" s="1932"/>
      <c r="N240" s="1932"/>
      <c r="O240" s="1955" t="str">
        <f>IF(AND(Input_Product=EligOverlay!B240,Input_AmortType=C240,Input_LoanAmt&gt;EligOverlay!D240-0.01,Input_LoanAmt&lt;=EligOverlay!E240),H240,"")</f>
        <v/>
      </c>
      <c r="P240" s="1955" t="str">
        <f>IF(AND(Input_Product=EligOverlay!B240,Input_AmortType=C240,Input_LoanAmt&gt;EligOverlay!D240-0.01,Input_LoanAmt&lt;=EligOverlay!E240),J240,"")</f>
        <v/>
      </c>
      <c r="Q240" s="1932"/>
      <c r="R240" s="1932"/>
      <c r="S240" s="1955" t="str">
        <f>IF(AND(Input_Product=EligOverlay!B240,Input_AmortType=C240,Input_LoanAmt&gt;EligOverlay!D240-0.01,Input_LoanAmt&lt;=EligOverlay!E240),G240,"")</f>
        <v/>
      </c>
      <c r="T240" s="598" t="s">
        <v>2638</v>
      </c>
    </row>
    <row r="241" spans="2:23" x14ac:dyDescent="0.2">
      <c r="B241" s="1979" t="str">
        <f>Input_Name_Product15</f>
        <v xml:space="preserve"> </v>
      </c>
      <c r="C241" s="1656" t="s">
        <v>4</v>
      </c>
      <c r="D241" s="1658">
        <v>2500000.0099999998</v>
      </c>
      <c r="E241" s="1658">
        <v>10000000</v>
      </c>
      <c r="F241" s="1657"/>
      <c r="G241" s="1658">
        <v>1</v>
      </c>
      <c r="H241" s="1658">
        <v>70</v>
      </c>
      <c r="I241" s="1932"/>
      <c r="J241" s="1671">
        <v>700</v>
      </c>
      <c r="K241" s="1934"/>
      <c r="M241" s="1932"/>
      <c r="N241" s="1932"/>
      <c r="O241" s="1955" t="str">
        <f>IF(AND(Input_Product=EligOverlay!B241,Input_AmortType=C241,Input_LoanAmt&gt;EligOverlay!D241-0.01,Input_LoanAmt&lt;=EligOverlay!E241),H241,"")</f>
        <v/>
      </c>
      <c r="P241" s="1955" t="str">
        <f>IF(AND(Input_Product=EligOverlay!B241,Input_AmortType=C241,Input_LoanAmt&gt;EligOverlay!D241-0.01,Input_LoanAmt&lt;=EligOverlay!E241),J241,"")</f>
        <v/>
      </c>
      <c r="Q241" s="1932"/>
      <c r="R241" s="1932"/>
      <c r="S241" s="1955" t="str">
        <f>IF(AND(Input_Product=EligOverlay!B241,Input_AmortType=C241,Input_LoanAmt&gt;EligOverlay!D241-0.01,Input_LoanAmt&lt;=EligOverlay!E241),G241,"")</f>
        <v/>
      </c>
      <c r="T241" s="598" t="s">
        <v>2638</v>
      </c>
    </row>
    <row r="242" spans="2:23" x14ac:dyDescent="0.2">
      <c r="B242" s="1970"/>
      <c r="M242" s="514"/>
      <c r="N242" s="514"/>
      <c r="O242" s="514"/>
      <c r="P242" s="514"/>
      <c r="Q242" s="514"/>
      <c r="R242" s="514"/>
      <c r="S242" s="514"/>
      <c r="T242" s="1971"/>
    </row>
    <row r="243" spans="2:23" x14ac:dyDescent="0.2">
      <c r="B243" s="1974" t="s">
        <v>259</v>
      </c>
      <c r="C243" s="1649" t="s">
        <v>39</v>
      </c>
      <c r="D243" s="1649" t="s">
        <v>36</v>
      </c>
      <c r="E243" s="1668"/>
      <c r="F243" s="1668"/>
      <c r="G243" s="1672"/>
      <c r="H243" s="1650" t="s">
        <v>271</v>
      </c>
      <c r="I243" s="1686"/>
      <c r="J243" s="1672"/>
      <c r="K243" s="1662"/>
      <c r="M243" s="514"/>
      <c r="N243" s="514"/>
      <c r="O243" s="514"/>
      <c r="P243" s="514"/>
      <c r="Q243" s="514"/>
      <c r="R243" s="514"/>
      <c r="S243" s="514"/>
      <c r="T243" s="1971"/>
    </row>
    <row r="244" spans="2:23" x14ac:dyDescent="0.2">
      <c r="B244" s="1964" t="str">
        <f>Input_Name_Product1</f>
        <v>NonQM OO</v>
      </c>
      <c r="C244" s="1656" t="s">
        <v>17</v>
      </c>
      <c r="D244" s="1656" t="s">
        <v>133</v>
      </c>
      <c r="E244" s="1657"/>
      <c r="F244" s="1657"/>
      <c r="G244" s="1657"/>
      <c r="H244" s="1658">
        <v>0.01</v>
      </c>
      <c r="I244" s="1932"/>
      <c r="J244" s="1932"/>
      <c r="K244" s="1932"/>
      <c r="M244" s="1932"/>
      <c r="N244" s="1932"/>
      <c r="O244" s="1955" t="str">
        <f>IF(AND(Input_Product=EligOverlay!B244,Input_Occupancy=EligOverlay!C244,Input_PropertyType=EligOverlay!D244),H244,"")</f>
        <v/>
      </c>
      <c r="P244" s="1958"/>
      <c r="Q244" s="1932"/>
      <c r="R244" s="1932"/>
      <c r="S244" s="1932"/>
      <c r="T244" s="598" t="s">
        <v>1616</v>
      </c>
      <c r="U244" s="514" t="s">
        <v>76</v>
      </c>
    </row>
    <row r="245" spans="2:23" x14ac:dyDescent="0.2">
      <c r="B245" s="1964" t="str">
        <f>Input_Name_Product1</f>
        <v>NonQM OO</v>
      </c>
      <c r="C245" s="1656" t="s">
        <v>17</v>
      </c>
      <c r="D245" s="1656" t="s">
        <v>134</v>
      </c>
      <c r="E245" s="1657"/>
      <c r="F245" s="1657"/>
      <c r="G245" s="1657"/>
      <c r="H245" s="1658">
        <v>0.01</v>
      </c>
      <c r="I245" s="1932"/>
      <c r="J245" s="1934"/>
      <c r="K245" s="1934"/>
      <c r="M245" s="1932"/>
      <c r="N245" s="1932"/>
      <c r="O245" s="1955" t="str">
        <f>IF(AND(Input_Product=EligOverlay!B245,Input_Occupancy=EligOverlay!C245,Input_PropertyType=EligOverlay!D245),H245,"")</f>
        <v/>
      </c>
      <c r="P245" s="1958"/>
      <c r="Q245" s="1932"/>
      <c r="R245" s="1932"/>
      <c r="S245" s="1932"/>
      <c r="T245" s="598" t="s">
        <v>1617</v>
      </c>
      <c r="U245" s="514" t="s">
        <v>76</v>
      </c>
    </row>
    <row r="246" spans="2:23" x14ac:dyDescent="0.2">
      <c r="B246" s="1964" t="str">
        <f>Input_Name_Product1</f>
        <v>NonQM OO</v>
      </c>
      <c r="C246" s="1656" t="s">
        <v>17</v>
      </c>
      <c r="D246" s="1656" t="s">
        <v>135</v>
      </c>
      <c r="E246" s="1657"/>
      <c r="F246" s="1657"/>
      <c r="G246" s="1657"/>
      <c r="H246" s="1658">
        <v>0.01</v>
      </c>
      <c r="I246" s="1932"/>
      <c r="J246" s="1934"/>
      <c r="K246" s="1934"/>
      <c r="M246" s="1932"/>
      <c r="N246" s="1932"/>
      <c r="O246" s="1955" t="str">
        <f>IF(AND(Input_Product=EligOverlay!B246,Input_Occupancy=EligOverlay!C246,Input_PropertyType=EligOverlay!D246),H246,"")</f>
        <v/>
      </c>
      <c r="P246" s="1958"/>
      <c r="Q246" s="1932"/>
      <c r="R246" s="1932"/>
      <c r="S246" s="1932"/>
      <c r="T246" s="598" t="s">
        <v>1618</v>
      </c>
      <c r="U246" s="514" t="s">
        <v>76</v>
      </c>
    </row>
    <row r="247" spans="2:23" x14ac:dyDescent="0.2">
      <c r="B247" s="1966" t="str">
        <f>Input_Name_Product4</f>
        <v>Second OO</v>
      </c>
      <c r="C247" s="1656" t="s">
        <v>17</v>
      </c>
      <c r="D247" s="1656" t="s">
        <v>133</v>
      </c>
      <c r="E247" s="1657"/>
      <c r="F247" s="1657"/>
      <c r="G247" s="1657"/>
      <c r="H247" s="1658">
        <v>0.01</v>
      </c>
      <c r="I247" s="1932"/>
      <c r="J247" s="1934"/>
      <c r="K247" s="1934"/>
      <c r="M247" s="1932"/>
      <c r="N247" s="1932"/>
      <c r="O247" s="1955" t="str">
        <f>IF(AND(Input_Product=EligOverlay!B247,Input_Occupancy=EligOverlay!C247,Input_PropertyType=EligOverlay!D247),H247,"")</f>
        <v/>
      </c>
      <c r="P247" s="1958"/>
      <c r="Q247" s="1932"/>
      <c r="R247" s="1932"/>
      <c r="S247" s="1932"/>
      <c r="T247" s="598" t="s">
        <v>1616</v>
      </c>
      <c r="U247" s="514" t="s">
        <v>76</v>
      </c>
      <c r="V247" s="2014"/>
    </row>
    <row r="248" spans="2:23" x14ac:dyDescent="0.2">
      <c r="B248" s="1966" t="str">
        <f>Input_Name_Product4</f>
        <v>Second OO</v>
      </c>
      <c r="C248" s="1656" t="s">
        <v>17</v>
      </c>
      <c r="D248" s="1656" t="s">
        <v>134</v>
      </c>
      <c r="E248" s="1657"/>
      <c r="F248" s="1657"/>
      <c r="G248" s="1657"/>
      <c r="H248" s="1658">
        <v>0.01</v>
      </c>
      <c r="I248" s="1932"/>
      <c r="J248" s="1934"/>
      <c r="K248" s="1934"/>
      <c r="M248" s="1932"/>
      <c r="N248" s="1932"/>
      <c r="O248" s="1955" t="str">
        <f>IF(AND(Input_Product=EligOverlay!B248,Input_Occupancy=EligOverlay!C248,Input_PropertyType=EligOverlay!D248),H248,"")</f>
        <v/>
      </c>
      <c r="P248" s="1958"/>
      <c r="Q248" s="1932"/>
      <c r="R248" s="1932"/>
      <c r="S248" s="1932"/>
      <c r="T248" s="598" t="s">
        <v>1617</v>
      </c>
      <c r="U248" s="514" t="s">
        <v>76</v>
      </c>
    </row>
    <row r="249" spans="2:23" x14ac:dyDescent="0.2">
      <c r="B249" s="1966" t="str">
        <f>Input_Name_Product4</f>
        <v>Second OO</v>
      </c>
      <c r="C249" s="1656" t="s">
        <v>17</v>
      </c>
      <c r="D249" s="1656" t="s">
        <v>135</v>
      </c>
      <c r="E249" s="1657"/>
      <c r="F249" s="1657"/>
      <c r="G249" s="1657"/>
      <c r="H249" s="1658">
        <v>0.01</v>
      </c>
      <c r="I249" s="1932"/>
      <c r="J249" s="1934"/>
      <c r="K249" s="1934"/>
      <c r="M249" s="1932"/>
      <c r="N249" s="1932"/>
      <c r="O249" s="1955" t="str">
        <f>IF(AND(Input_Product=EligOverlay!B249,Input_Occupancy=EligOverlay!C249,Input_PropertyType=EligOverlay!D249),H249,"")</f>
        <v/>
      </c>
      <c r="P249" s="1958"/>
      <c r="Q249" s="1932"/>
      <c r="R249" s="1932"/>
      <c r="S249" s="1932"/>
      <c r="T249" s="598" t="s">
        <v>1618</v>
      </c>
      <c r="U249" s="514" t="s">
        <v>76</v>
      </c>
    </row>
    <row r="250" spans="2:23" x14ac:dyDescent="0.2">
      <c r="B250" s="1970"/>
      <c r="M250" s="514"/>
      <c r="N250" s="514"/>
      <c r="O250" s="514"/>
      <c r="P250" s="514"/>
      <c r="Q250" s="514"/>
      <c r="R250" s="514"/>
      <c r="S250" s="514"/>
      <c r="T250" s="1971"/>
      <c r="U250" s="514" t="s">
        <v>76</v>
      </c>
    </row>
    <row r="251" spans="2:23" x14ac:dyDescent="0.2">
      <c r="B251" s="1974" t="s">
        <v>259</v>
      </c>
      <c r="C251" s="1649" t="s">
        <v>46</v>
      </c>
      <c r="D251" s="1649" t="s">
        <v>36</v>
      </c>
      <c r="E251" s="1668"/>
      <c r="F251" s="1668"/>
      <c r="G251" s="1672"/>
      <c r="H251" s="1650" t="s">
        <v>271</v>
      </c>
      <c r="I251" s="1686"/>
      <c r="J251" s="1672"/>
      <c r="K251" s="1669" t="s">
        <v>282</v>
      </c>
      <c r="M251" s="514"/>
      <c r="N251" s="514"/>
      <c r="O251" s="514"/>
      <c r="P251" s="514"/>
      <c r="Q251" s="514"/>
      <c r="R251" s="514"/>
      <c r="S251" s="514"/>
      <c r="T251" s="1971"/>
      <c r="U251" s="514" t="s">
        <v>76</v>
      </c>
    </row>
    <row r="252" spans="2:23" x14ac:dyDescent="0.2">
      <c r="B252" s="1999" t="str">
        <f>Input_Name_Product1</f>
        <v>NonQM OO</v>
      </c>
      <c r="C252" s="1656" t="s">
        <v>45</v>
      </c>
      <c r="D252" s="1656" t="s">
        <v>132</v>
      </c>
      <c r="E252" s="1657"/>
      <c r="F252" s="1657"/>
      <c r="G252" s="1657"/>
      <c r="H252" s="1658">
        <v>0.01</v>
      </c>
      <c r="I252" s="1932"/>
      <c r="J252" s="1935"/>
      <c r="K252" s="1657"/>
      <c r="M252" s="1932" t="str">
        <f>IF(AND(Input_Product=EligOverlay!B252,Input_Citizenship=EligOverlay!C252,Input_PropertyType=EligOverlay!D252),H252,"")</f>
        <v/>
      </c>
      <c r="N252" s="1932"/>
      <c r="O252" s="1955" t="str">
        <f>IF(AND(Input_Product=EligOverlay!B252,Input_Citizenship=EligOverlay!C252,Input_PropertyType=EligOverlay!D252),H252,"")</f>
        <v/>
      </c>
      <c r="P252" s="1958"/>
      <c r="Q252" s="1932"/>
      <c r="R252" s="1932"/>
      <c r="S252" s="1932"/>
      <c r="T252" s="598" t="s">
        <v>1646</v>
      </c>
      <c r="U252" s="514" t="s">
        <v>76</v>
      </c>
      <c r="W252" s="226" t="s">
        <v>1627</v>
      </c>
    </row>
    <row r="253" spans="2:23" x14ac:dyDescent="0.2">
      <c r="B253" s="1999" t="str">
        <f>Input_Name_Product1</f>
        <v>NonQM OO</v>
      </c>
      <c r="C253" s="1656" t="s">
        <v>45</v>
      </c>
      <c r="D253" s="1656" t="s">
        <v>1630</v>
      </c>
      <c r="E253" s="1657"/>
      <c r="F253" s="1657"/>
      <c r="G253" s="1657"/>
      <c r="H253" s="1658">
        <v>0.01</v>
      </c>
      <c r="I253" s="1932"/>
      <c r="J253" s="1935"/>
      <c r="K253" s="1934"/>
      <c r="M253" s="1932"/>
      <c r="N253" s="1932"/>
      <c r="O253" s="1955" t="str">
        <f>IF(AND(Input_Product=EligOverlay!B253,Input_Citizenship=EligOverlay!C253,Input_PropertyType=EligOverlay!D253),H253,"")</f>
        <v/>
      </c>
      <c r="P253" s="1958"/>
      <c r="Q253" s="1932"/>
      <c r="R253" s="1932"/>
      <c r="S253" s="1932"/>
      <c r="T253" s="598" t="s">
        <v>1647</v>
      </c>
      <c r="U253" s="514" t="s">
        <v>76</v>
      </c>
    </row>
    <row r="254" spans="2:23" x14ac:dyDescent="0.2">
      <c r="B254" s="1965" t="str">
        <f>Input_Name_Product2</f>
        <v>NonQM NOO</v>
      </c>
      <c r="C254" s="1656" t="s">
        <v>45</v>
      </c>
      <c r="D254" s="1656" t="s">
        <v>132</v>
      </c>
      <c r="E254" s="1657"/>
      <c r="F254" s="1657"/>
      <c r="G254" s="1657"/>
      <c r="H254" s="1658">
        <v>0.01</v>
      </c>
      <c r="I254" s="1932"/>
      <c r="J254" s="1935"/>
      <c r="K254" s="1657"/>
      <c r="M254" s="1932" t="str">
        <f>IF(AND(Input_Product=EligOverlay!B254,Input_Citizenship=EligOverlay!C254,Input_PropertyType=EligOverlay!D254),H254,"")</f>
        <v/>
      </c>
      <c r="N254" s="1932"/>
      <c r="O254" s="1955" t="str">
        <f>IF(AND(Input_Product=EligOverlay!B254,Input_Citizenship=EligOverlay!C254,Input_PropertyType=EligOverlay!D254),H254,"")</f>
        <v/>
      </c>
      <c r="P254" s="1958"/>
      <c r="Q254" s="1932"/>
      <c r="R254" s="1932"/>
      <c r="S254" s="1932"/>
      <c r="T254" s="598" t="s">
        <v>1646</v>
      </c>
    </row>
    <row r="255" spans="2:23" x14ac:dyDescent="0.2">
      <c r="B255" s="1965" t="str">
        <f>Input_Name_Product2</f>
        <v>NonQM NOO</v>
      </c>
      <c r="C255" s="1656" t="s">
        <v>45</v>
      </c>
      <c r="D255" s="1656" t="s">
        <v>1630</v>
      </c>
      <c r="E255" s="1657"/>
      <c r="F255" s="1657"/>
      <c r="G255" s="1657"/>
      <c r="H255" s="1658">
        <v>0.01</v>
      </c>
      <c r="I255" s="1932"/>
      <c r="J255" s="1935"/>
      <c r="K255" s="1934"/>
      <c r="M255" s="1932"/>
      <c r="N255" s="1932"/>
      <c r="O255" s="1955" t="str">
        <f>IF(AND(Input_Product=EligOverlay!B255,Input_Citizenship=EligOverlay!C255,Input_PropertyType=EligOverlay!D255),H255,"")</f>
        <v/>
      </c>
      <c r="P255" s="1958"/>
      <c r="Q255" s="1932"/>
      <c r="R255" s="1932"/>
      <c r="S255" s="1932"/>
      <c r="T255" s="598" t="s">
        <v>1647</v>
      </c>
    </row>
    <row r="256" spans="2:23" x14ac:dyDescent="0.2">
      <c r="B256" s="1979" t="str">
        <f>Input_Name_Product15</f>
        <v xml:space="preserve"> </v>
      </c>
      <c r="C256" s="1656" t="s">
        <v>45</v>
      </c>
      <c r="D256" s="1656"/>
      <c r="E256" s="1657"/>
      <c r="F256" s="1657"/>
      <c r="G256" s="1657"/>
      <c r="H256" s="1658">
        <v>70</v>
      </c>
      <c r="I256" s="1932"/>
      <c r="J256" s="1935"/>
      <c r="K256" s="1658">
        <v>12</v>
      </c>
      <c r="M256" s="1932"/>
      <c r="N256" s="1932"/>
      <c r="O256" s="1955" t="str">
        <f>IF(AND(Input_Product=EligOverlay!B256,Input_Citizenship=EligOverlay!C256),H256,"")</f>
        <v/>
      </c>
      <c r="P256" s="1958"/>
      <c r="Q256" s="1955" t="str">
        <f>IF(AND(Input_Product=EligOverlay!B256,Input_Citizenship=EligOverlay!C256),K256,"")</f>
        <v/>
      </c>
      <c r="R256" s="1932"/>
      <c r="S256" s="1932"/>
      <c r="T256" s="598" t="s">
        <v>2612</v>
      </c>
      <c r="U256" s="514" t="s">
        <v>76</v>
      </c>
    </row>
    <row r="257" spans="2:21" x14ac:dyDescent="0.2">
      <c r="B257" s="1970"/>
      <c r="M257" s="514"/>
      <c r="N257" s="514"/>
      <c r="O257" s="514"/>
      <c r="P257" s="514"/>
      <c r="Q257" s="514"/>
      <c r="R257" s="514"/>
      <c r="S257" s="514"/>
      <c r="T257" s="1971"/>
      <c r="U257" s="514" t="s">
        <v>76</v>
      </c>
    </row>
    <row r="258" spans="2:21" x14ac:dyDescent="0.2">
      <c r="B258" s="1974" t="s">
        <v>259</v>
      </c>
      <c r="C258" s="1649" t="s">
        <v>39</v>
      </c>
      <c r="D258" s="1651"/>
      <c r="E258" s="1668" t="s">
        <v>2678</v>
      </c>
      <c r="F258" s="1668"/>
      <c r="G258" s="1672"/>
      <c r="H258" s="1650" t="s">
        <v>271</v>
      </c>
      <c r="I258" s="1686"/>
      <c r="J258" s="1672"/>
      <c r="K258" s="1662"/>
      <c r="M258" s="514"/>
      <c r="N258" s="514"/>
      <c r="O258" s="514"/>
      <c r="P258" s="514"/>
      <c r="Q258" s="514"/>
      <c r="R258" s="514"/>
      <c r="S258" s="514"/>
      <c r="T258" s="1971"/>
      <c r="U258" s="514" t="s">
        <v>76</v>
      </c>
    </row>
    <row r="259" spans="2:21" x14ac:dyDescent="0.2">
      <c r="B259" s="1999" t="str">
        <f>Input_Name_Product1</f>
        <v>NonQM OO</v>
      </c>
      <c r="C259" s="1656" t="s">
        <v>17</v>
      </c>
      <c r="D259" s="1657"/>
      <c r="E259" s="1657"/>
      <c r="F259" s="1657"/>
      <c r="G259" s="1657"/>
      <c r="H259" s="1658">
        <v>85</v>
      </c>
      <c r="I259" s="1932"/>
      <c r="J259" s="1934"/>
      <c r="K259" s="1934"/>
      <c r="M259" s="1932"/>
      <c r="N259" s="1932"/>
      <c r="O259" s="1955" t="str">
        <f>IF(AND(Input_Product=EligOverlay!B259,Input_Occupancy=EligOverlay!C259),H259,"")</f>
        <v/>
      </c>
      <c r="P259" s="1958"/>
      <c r="Q259" s="1932"/>
      <c r="R259" s="1932"/>
      <c r="S259" s="1932"/>
      <c r="T259" s="598" t="s">
        <v>475</v>
      </c>
    </row>
    <row r="260" spans="2:21" x14ac:dyDescent="0.2">
      <c r="B260" s="1965" t="str">
        <f>Input_Name_Product2</f>
        <v>NonQM NOO</v>
      </c>
      <c r="C260" s="1656" t="s">
        <v>38</v>
      </c>
      <c r="D260" s="1657" t="s">
        <v>1635</v>
      </c>
      <c r="E260" s="1657"/>
      <c r="F260" s="1657"/>
      <c r="G260" s="1657"/>
      <c r="H260" s="1658">
        <v>0.01</v>
      </c>
      <c r="I260" s="1932"/>
      <c r="J260" s="1934"/>
      <c r="K260" s="1934"/>
      <c r="M260" s="1932"/>
      <c r="N260" s="1932"/>
      <c r="O260" s="1955" t="str">
        <f>IF(AND(Input_Product=EligOverlay!B260,Input_Occupancy=EligOverlay!C260,Input_PropertyType="SFR-Rural"),H260,"")</f>
        <v/>
      </c>
      <c r="P260" s="1958"/>
      <c r="Q260" s="1932"/>
      <c r="R260" s="1932"/>
      <c r="S260" s="1932"/>
      <c r="T260" s="598" t="s">
        <v>2634</v>
      </c>
    </row>
    <row r="261" spans="2:21" x14ac:dyDescent="0.2">
      <c r="B261" s="1969" t="str">
        <f>Input_Name_Product11</f>
        <v>HELOC NOO</v>
      </c>
      <c r="C261" s="1656" t="s">
        <v>38</v>
      </c>
      <c r="D261" s="1657" t="s">
        <v>1635</v>
      </c>
      <c r="E261" s="1657"/>
      <c r="F261" s="1657"/>
      <c r="G261" s="1657"/>
      <c r="H261" s="1658">
        <v>0.01</v>
      </c>
      <c r="I261" s="1932"/>
      <c r="J261" s="1934"/>
      <c r="K261" s="1934"/>
      <c r="M261" s="1932"/>
      <c r="N261" s="1932"/>
      <c r="O261" s="1955" t="str">
        <f>IF(AND(Input_Product=EligOverlay!B261,Input_Occupancy=EligOverlay!C261,Input_PropertyType="SFR-Rural"),H261,"")</f>
        <v/>
      </c>
      <c r="P261" s="1958"/>
      <c r="Q261" s="1932"/>
      <c r="R261" s="1932"/>
      <c r="S261" s="1932"/>
      <c r="T261" s="598" t="s">
        <v>2634</v>
      </c>
    </row>
    <row r="262" spans="2:21" x14ac:dyDescent="0.2">
      <c r="B262" s="1966" t="str">
        <f>Input_Name_Product4</f>
        <v>Second OO</v>
      </c>
      <c r="C262" s="1656" t="s">
        <v>17</v>
      </c>
      <c r="D262" s="1657" t="s">
        <v>1635</v>
      </c>
      <c r="E262" s="1657"/>
      <c r="F262" s="1657"/>
      <c r="G262" s="1657"/>
      <c r="H262" s="1658">
        <v>0.01</v>
      </c>
      <c r="I262" s="1932"/>
      <c r="J262" s="1934"/>
      <c r="K262" s="1934"/>
      <c r="M262" s="1932"/>
      <c r="N262" s="1932"/>
      <c r="O262" s="1955" t="str">
        <f>IF(AND(Input_Product=EligOverlay!B262,Input_Occupancy=EligOverlay!C262,Input_PropertyType="SFR-Rural"),H262,"")</f>
        <v/>
      </c>
      <c r="P262" s="1958"/>
      <c r="Q262" s="1932"/>
      <c r="R262" s="1932"/>
      <c r="S262" s="1932"/>
      <c r="T262" s="598" t="s">
        <v>2635</v>
      </c>
    </row>
    <row r="263" spans="2:21" x14ac:dyDescent="0.2">
      <c r="B263" s="1976" t="str">
        <f>Input_Name_Product5</f>
        <v>Second NOO</v>
      </c>
      <c r="C263" s="1656" t="s">
        <v>38</v>
      </c>
      <c r="D263" s="1657" t="s">
        <v>1635</v>
      </c>
      <c r="E263" s="1657"/>
      <c r="F263" s="1657"/>
      <c r="G263" s="1657"/>
      <c r="H263" s="1658">
        <v>0.01</v>
      </c>
      <c r="I263" s="1932"/>
      <c r="J263" s="1934"/>
      <c r="K263" s="1934"/>
      <c r="M263" s="1932"/>
      <c r="N263" s="1932"/>
      <c r="O263" s="1955" t="str">
        <f>IF(AND(Input_Product=EligOverlay!B263,Input_Occupancy=EligOverlay!C263,Input_PropertyType="SFR-Rural"),H263,"")</f>
        <v/>
      </c>
      <c r="P263" s="1958"/>
      <c r="Q263" s="1932"/>
      <c r="R263" s="1932"/>
      <c r="S263" s="1932"/>
      <c r="T263" s="598" t="s">
        <v>2634</v>
      </c>
    </row>
    <row r="264" spans="2:21" x14ac:dyDescent="0.2">
      <c r="B264" s="1966" t="str">
        <f>Input_Name_Product4</f>
        <v>Second OO</v>
      </c>
      <c r="C264" s="1657"/>
      <c r="D264" s="1657" t="s">
        <v>1635</v>
      </c>
      <c r="E264" s="1657"/>
      <c r="F264" s="1657"/>
      <c r="G264" s="1657"/>
      <c r="H264" s="1658">
        <v>80</v>
      </c>
      <c r="I264" s="1932"/>
      <c r="J264" s="1934"/>
      <c r="K264" s="1934"/>
      <c r="M264" s="1932"/>
      <c r="N264" s="1932"/>
      <c r="O264" s="1933" t="str">
        <f>IF(AND(Input_Product=EligOverlay!B264,Input_PropertyType="SFR-Rural"),H264,"")</f>
        <v/>
      </c>
      <c r="P264" s="1958"/>
      <c r="Q264" s="1932"/>
      <c r="R264" s="1932"/>
      <c r="S264" s="1932"/>
      <c r="T264" s="598" t="s">
        <v>2679</v>
      </c>
    </row>
    <row r="265" spans="2:21" x14ac:dyDescent="0.2">
      <c r="B265" s="1970"/>
      <c r="M265" s="514"/>
      <c r="N265" s="514"/>
      <c r="O265" s="514"/>
      <c r="P265" s="514"/>
      <c r="Q265" s="514"/>
      <c r="R265" s="514"/>
      <c r="S265" s="514"/>
      <c r="T265" s="1971"/>
    </row>
    <row r="266" spans="2:21" x14ac:dyDescent="0.2">
      <c r="B266" s="1974" t="s">
        <v>259</v>
      </c>
      <c r="C266" s="1649" t="s">
        <v>39</v>
      </c>
      <c r="D266" s="1651"/>
      <c r="E266" s="1668"/>
      <c r="F266" s="1668" t="s">
        <v>65</v>
      </c>
      <c r="G266" s="1650" t="s">
        <v>70</v>
      </c>
      <c r="H266" s="1650" t="s">
        <v>280</v>
      </c>
      <c r="I266" s="1650" t="s">
        <v>271</v>
      </c>
      <c r="J266" s="1650" t="s">
        <v>281</v>
      </c>
      <c r="K266" s="1662"/>
      <c r="M266" s="514"/>
      <c r="N266" s="514"/>
      <c r="O266" s="514"/>
      <c r="P266" s="514"/>
      <c r="Q266" s="514"/>
      <c r="R266" s="514"/>
      <c r="S266" s="514"/>
      <c r="T266" s="1971"/>
    </row>
    <row r="267" spans="2:21" x14ac:dyDescent="0.2">
      <c r="B267" s="1965" t="str">
        <f>Input_Name_Product2</f>
        <v>NonQM NOO</v>
      </c>
      <c r="C267" s="1656" t="s">
        <v>38</v>
      </c>
      <c r="D267" s="1657"/>
      <c r="E267" s="1657"/>
      <c r="F267" s="1657"/>
      <c r="G267" s="1936" t="s">
        <v>190</v>
      </c>
      <c r="H267" s="1658">
        <v>1</v>
      </c>
      <c r="I267" s="1932"/>
      <c r="J267" s="2134">
        <v>680</v>
      </c>
      <c r="K267" s="1934"/>
      <c r="M267" s="1932"/>
      <c r="N267" s="1932"/>
      <c r="O267" s="1932"/>
      <c r="P267" s="1674" t="str">
        <f>IF(AND(Input_DocType=EligOverlay!G267,Input_Product=EligOverlay!B267,Input_Occupancy=EligOverlay!C267,Input_DSCR&lt;EligOverlay!H267,Input_CreditScore&lt;EligOverlay!J267),J267,"")</f>
        <v/>
      </c>
      <c r="Q267" s="1932"/>
      <c r="R267" s="1932"/>
      <c r="S267" s="1932"/>
      <c r="T267" s="1988" t="s">
        <v>1238</v>
      </c>
    </row>
    <row r="268" spans="2:21" x14ac:dyDescent="0.2">
      <c r="B268" s="1976" t="str">
        <f>Input_Name_Product5</f>
        <v>Second NOO</v>
      </c>
      <c r="C268" s="1657"/>
      <c r="D268" s="1657"/>
      <c r="E268" s="1657"/>
      <c r="F268" s="1657" t="s">
        <v>82</v>
      </c>
      <c r="G268" s="1936" t="s">
        <v>190</v>
      </c>
      <c r="H268" s="1934"/>
      <c r="I268" s="1658">
        <v>0.01</v>
      </c>
      <c r="J268" s="1934"/>
      <c r="K268" s="1934"/>
      <c r="M268" s="1932"/>
      <c r="N268" s="1932"/>
      <c r="O268" s="1955" t="str">
        <f>IF(AND(Input_Product=EligOverlay!B268,Input_DocType=EligOverlay!G268,Input_PrepayPenalty=EligOverlay!F268),I268,"")</f>
        <v/>
      </c>
      <c r="P268" s="1932"/>
      <c r="Q268" s="1932"/>
      <c r="R268" s="1932"/>
      <c r="S268" s="1932"/>
      <c r="T268" s="1988" t="s">
        <v>4157</v>
      </c>
    </row>
    <row r="269" spans="2:21" x14ac:dyDescent="0.2">
      <c r="B269" s="1970"/>
      <c r="M269" s="514"/>
      <c r="N269" s="514"/>
      <c r="O269" s="514"/>
      <c r="P269" s="514"/>
      <c r="Q269" s="514"/>
      <c r="R269" s="514"/>
      <c r="S269" s="514"/>
      <c r="T269" s="1971"/>
    </row>
    <row r="270" spans="2:21" x14ac:dyDescent="0.2">
      <c r="B270" s="1970"/>
      <c r="M270" s="514"/>
      <c r="N270" s="514"/>
      <c r="O270" s="514"/>
      <c r="P270" s="514"/>
      <c r="Q270" s="514"/>
      <c r="R270" s="514"/>
      <c r="S270" s="514"/>
      <c r="T270" s="1971"/>
    </row>
    <row r="271" spans="2:21" x14ac:dyDescent="0.2">
      <c r="B271" s="1974" t="s">
        <v>259</v>
      </c>
      <c r="C271" s="1650" t="s">
        <v>280</v>
      </c>
      <c r="D271" s="1650" t="s">
        <v>280</v>
      </c>
      <c r="E271" s="1668" t="s">
        <v>2689</v>
      </c>
      <c r="F271" s="1668" t="s">
        <v>348</v>
      </c>
      <c r="G271" s="1649" t="s">
        <v>33</v>
      </c>
      <c r="H271" s="1650" t="s">
        <v>271</v>
      </c>
      <c r="I271" s="1650"/>
      <c r="J271" s="1650" t="s">
        <v>281</v>
      </c>
      <c r="K271" s="1650" t="s">
        <v>265</v>
      </c>
      <c r="M271" s="514"/>
      <c r="N271" s="514"/>
      <c r="O271" s="514"/>
      <c r="P271" s="514"/>
      <c r="Q271" s="514"/>
      <c r="R271" s="514"/>
      <c r="S271" s="514"/>
      <c r="T271" s="1971"/>
    </row>
    <row r="272" spans="2:21" x14ac:dyDescent="0.2">
      <c r="B272" s="1979" t="str">
        <f>Input_Name_Product15</f>
        <v xml:space="preserve"> </v>
      </c>
      <c r="C272" s="1937">
        <v>0.8</v>
      </c>
      <c r="D272" s="1658">
        <v>0.99999990000000005</v>
      </c>
      <c r="E272" s="1657"/>
      <c r="F272" s="1657"/>
      <c r="G272" s="739"/>
      <c r="H272" s="1934">
        <v>75</v>
      </c>
      <c r="I272" s="1934"/>
      <c r="J272" s="1671">
        <v>720</v>
      </c>
      <c r="K272" s="1658">
        <v>1500000</v>
      </c>
      <c r="M272" s="1955" t="str">
        <f>IF(AND(Input_Product=EligOverlay!B272,Input_DSCR&gt;=EligOverlay!C272,Input_DSCR&lt;=EligOverlay!D272),K272,"")</f>
        <v/>
      </c>
      <c r="N272" s="1932"/>
      <c r="O272" s="1955" t="str">
        <f>IF(AND(Input_Product=EligOverlay!B272,Input_DSCR&gt;=EligOverlay!C272,Input_DSCR&lt;=EligOverlay!D272),H272,"")</f>
        <v/>
      </c>
      <c r="P272" s="1955" t="str">
        <f>IF(AND(Input_Product=EligOverlay!B272,Input_DSCR&gt;=EligOverlay!C272,Input_DSCR&lt;=EligOverlay!D272),J272,"")</f>
        <v/>
      </c>
      <c r="Q272" s="1932"/>
      <c r="R272" s="1932"/>
      <c r="S272" s="1932"/>
      <c r="T272" s="1988" t="s">
        <v>2613</v>
      </c>
    </row>
    <row r="273" spans="2:23" x14ac:dyDescent="0.2">
      <c r="B273" s="1979" t="str">
        <f>Input_Name_Product15</f>
        <v xml:space="preserve"> </v>
      </c>
      <c r="C273" s="1937">
        <v>0.8</v>
      </c>
      <c r="D273" s="1658">
        <v>0.99999990000000005</v>
      </c>
      <c r="E273" s="739"/>
      <c r="F273" s="739"/>
      <c r="G273" s="1936" t="s">
        <v>16</v>
      </c>
      <c r="H273" s="1934">
        <v>70</v>
      </c>
      <c r="I273" s="1934"/>
      <c r="J273" s="1671">
        <v>720</v>
      </c>
      <c r="K273" s="1658">
        <v>1500000</v>
      </c>
      <c r="M273" s="1955" t="str">
        <f>IF(AND(Input_Product=EligOverlay!B273,Input_DSCR&gt;=EligOverlay!C273,Input_DSCR&lt;=EligOverlay!D273,Input_Purpose=EligOverlay!G273),K273,"")</f>
        <v/>
      </c>
      <c r="N273" s="1932"/>
      <c r="O273" s="1955" t="str">
        <f>IF(AND(Input_Product=EligOverlay!B273,Input_DSCR&gt;=EligOverlay!C273,Input_DSCR&lt;=EligOverlay!D273,Input_Purpose=EligOverlay!G273),H273,"")</f>
        <v/>
      </c>
      <c r="P273" s="1955" t="str">
        <f>IF(AND(Input_Product=EligOverlay!B273,Input_DSCR&gt;=EligOverlay!C273,Input_DSCR&lt;=EligOverlay!D273,Input_Purpose=EligOverlay!G273),J273,"")</f>
        <v/>
      </c>
      <c r="Q273" s="1932"/>
      <c r="R273" s="1932"/>
      <c r="S273" s="1932"/>
      <c r="T273" s="1988" t="s">
        <v>2614</v>
      </c>
    </row>
    <row r="274" spans="2:23" x14ac:dyDescent="0.2">
      <c r="B274" s="1979" t="str">
        <f>Input_Name_Product15</f>
        <v xml:space="preserve"> </v>
      </c>
      <c r="C274" s="1937">
        <v>0.8</v>
      </c>
      <c r="D274" s="1658">
        <v>0.99999990000000005</v>
      </c>
      <c r="E274" s="739"/>
      <c r="F274" s="1936" t="s">
        <v>1630</v>
      </c>
      <c r="G274" s="739"/>
      <c r="H274" s="1658">
        <v>0.01</v>
      </c>
      <c r="I274" s="1932"/>
      <c r="J274" s="739"/>
      <c r="K274" s="739"/>
      <c r="M274" s="1932"/>
      <c r="N274" s="1932"/>
      <c r="O274" s="1955" t="str">
        <f>IF(AND(Input_Product=EligOverlay!B274,Input_DSCR&gt;=EligOverlay!C274,Input_DSCR&lt;=EligOverlay!D274,Input_PropertyType=EligOverlay!F274),H274,"")</f>
        <v/>
      </c>
      <c r="P274" s="1932"/>
      <c r="Q274" s="1932"/>
      <c r="R274" s="1932"/>
      <c r="S274" s="1932"/>
      <c r="T274" s="1988" t="s">
        <v>2688</v>
      </c>
    </row>
    <row r="275" spans="2:23" x14ac:dyDescent="0.2">
      <c r="B275" s="1979" t="str">
        <f>Input_Name_Product15</f>
        <v xml:space="preserve"> </v>
      </c>
      <c r="C275" s="1937">
        <v>0.8</v>
      </c>
      <c r="D275" s="1658">
        <v>0.99999990000000005</v>
      </c>
      <c r="E275" s="1936" t="s">
        <v>4</v>
      </c>
      <c r="F275" s="739"/>
      <c r="G275" s="739"/>
      <c r="H275" s="1658">
        <v>0.01</v>
      </c>
      <c r="I275" s="1932"/>
      <c r="J275" s="739"/>
      <c r="K275" s="739"/>
      <c r="M275" s="1932"/>
      <c r="N275" s="1932"/>
      <c r="O275" s="1955" t="str">
        <f>IF(AND(Input_Product=EligOverlay!B275,Input_DSCR&gt;=EligOverlay!C275,Input_DSCR&lt;=EligOverlay!D275,Input_AmortType=EligOverlay!E275),H275,"")</f>
        <v/>
      </c>
      <c r="P275" s="1932"/>
      <c r="Q275" s="1932"/>
      <c r="R275" s="1932"/>
      <c r="S275" s="1932"/>
      <c r="T275" s="1988" t="s">
        <v>2690</v>
      </c>
      <c r="W275" s="226" t="s">
        <v>1627</v>
      </c>
    </row>
    <row r="276" spans="2:23" x14ac:dyDescent="0.2">
      <c r="B276" s="1970"/>
      <c r="M276" s="514"/>
      <c r="N276" s="514"/>
      <c r="O276" s="514"/>
      <c r="P276" s="514"/>
      <c r="Q276" s="514"/>
      <c r="R276" s="514"/>
      <c r="S276" s="514"/>
      <c r="T276" s="1971"/>
      <c r="W276" s="226" t="s">
        <v>1627</v>
      </c>
    </row>
    <row r="277" spans="2:23" x14ac:dyDescent="0.2">
      <c r="B277" s="2000" t="s">
        <v>259</v>
      </c>
      <c r="C277" s="1649" t="s">
        <v>36</v>
      </c>
      <c r="D277" s="1668"/>
      <c r="E277" s="1668"/>
      <c r="F277" s="1668"/>
      <c r="G277" s="1672"/>
      <c r="H277" s="1687" t="s">
        <v>3026</v>
      </c>
      <c r="I277" s="1687" t="s">
        <v>3025</v>
      </c>
      <c r="J277" s="1687" t="s">
        <v>307</v>
      </c>
      <c r="K277" s="1652" t="s">
        <v>1632</v>
      </c>
      <c r="M277" s="514"/>
      <c r="N277" s="514"/>
      <c r="O277" s="514"/>
      <c r="P277" s="514"/>
      <c r="Q277" s="514"/>
      <c r="R277" s="514"/>
      <c r="S277" s="514"/>
      <c r="T277" s="1971"/>
    </row>
    <row r="278" spans="2:23" x14ac:dyDescent="0.2">
      <c r="B278" s="1964" t="str">
        <f t="shared" ref="B278:B303" si="4">Input_Name_Product1</f>
        <v>NonQM OO</v>
      </c>
      <c r="C278" s="1656" t="s">
        <v>83</v>
      </c>
      <c r="D278" s="1657"/>
      <c r="E278" s="1657"/>
      <c r="F278" s="1657"/>
      <c r="G278" s="1657"/>
      <c r="H278" s="1933">
        <v>90</v>
      </c>
      <c r="I278" s="1933">
        <v>90</v>
      </c>
      <c r="J278" s="1933">
        <v>80</v>
      </c>
      <c r="K278" s="1938"/>
      <c r="M278" s="1932"/>
      <c r="N278" s="1932"/>
      <c r="O278" s="1932"/>
      <c r="P278" s="1958"/>
      <c r="Q278" s="1932"/>
      <c r="R278" s="1932"/>
      <c r="S278" s="1932"/>
      <c r="T278" s="1968"/>
    </row>
    <row r="279" spans="2:23" x14ac:dyDescent="0.2">
      <c r="B279" s="1964" t="str">
        <f t="shared" si="4"/>
        <v>NonQM OO</v>
      </c>
      <c r="C279" s="1656" t="s">
        <v>1635</v>
      </c>
      <c r="D279" s="1657"/>
      <c r="E279" s="1657"/>
      <c r="F279" s="1657"/>
      <c r="G279" s="1657"/>
      <c r="H279" s="1933">
        <v>80</v>
      </c>
      <c r="I279" s="1933">
        <v>80</v>
      </c>
      <c r="J279" s="1658">
        <v>70</v>
      </c>
      <c r="K279" s="1938"/>
      <c r="M279" s="1932"/>
      <c r="N279" s="1932"/>
      <c r="O279" s="1957" t="str">
        <f>IF(AND(Input_Product=EligOverlay!B279,Input_PropertyType=EligOverlay!C279),IF(Input_Purpose="Purchase",EligOverlay!H279,IF(Input_Purpose="Rate-Term",EligOverlay!I279,IF(Input_Purpose="Cash-Out",EligOverlay!J279,""))),"")</f>
        <v/>
      </c>
      <c r="P279" s="1958"/>
      <c r="Q279" s="1932"/>
      <c r="R279" s="1932"/>
      <c r="S279" s="1932"/>
      <c r="T279" s="2001" t="str">
        <f>C279</f>
        <v>SFR-Rural</v>
      </c>
    </row>
    <row r="280" spans="2:23" x14ac:dyDescent="0.2">
      <c r="B280" s="1964" t="str">
        <f t="shared" si="4"/>
        <v>NonQM OO</v>
      </c>
      <c r="C280" s="1656" t="s">
        <v>155</v>
      </c>
      <c r="D280" s="1657"/>
      <c r="E280" s="1657"/>
      <c r="F280" s="1657"/>
      <c r="G280" s="1657"/>
      <c r="H280" s="1933">
        <v>90</v>
      </c>
      <c r="I280" s="1933">
        <v>90</v>
      </c>
      <c r="J280" s="1933">
        <v>80</v>
      </c>
      <c r="K280" s="1938"/>
      <c r="M280" s="1932"/>
      <c r="N280" s="1932"/>
      <c r="O280" s="1932"/>
      <c r="P280" s="1958"/>
      <c r="Q280" s="1932"/>
      <c r="R280" s="1932"/>
      <c r="S280" s="1932"/>
      <c r="T280" s="1968"/>
    </row>
    <row r="281" spans="2:23" x14ac:dyDescent="0.2">
      <c r="B281" s="1964" t="str">
        <f t="shared" si="4"/>
        <v>NonQM OO</v>
      </c>
      <c r="C281" s="1656" t="s">
        <v>128</v>
      </c>
      <c r="D281" s="1657"/>
      <c r="E281" s="1657"/>
      <c r="F281" s="1657"/>
      <c r="G281" s="1657"/>
      <c r="H281" s="1933">
        <v>90</v>
      </c>
      <c r="I281" s="1933">
        <v>90</v>
      </c>
      <c r="J281" s="1933">
        <v>80</v>
      </c>
      <c r="K281" s="1938"/>
      <c r="M281" s="1932"/>
      <c r="N281" s="1932"/>
      <c r="O281" s="1932"/>
      <c r="P281" s="1958"/>
      <c r="Q281" s="1932"/>
      <c r="R281" s="1932"/>
      <c r="S281" s="1932"/>
      <c r="T281" s="1968"/>
    </row>
    <row r="282" spans="2:23" x14ac:dyDescent="0.2">
      <c r="B282" s="1964" t="str">
        <f t="shared" si="4"/>
        <v>NonQM OO</v>
      </c>
      <c r="C282" s="1656" t="s">
        <v>223</v>
      </c>
      <c r="D282" s="1657"/>
      <c r="E282" s="1657"/>
      <c r="F282" s="1657"/>
      <c r="G282" s="1657"/>
      <c r="H282" s="1933">
        <v>90</v>
      </c>
      <c r="I282" s="1933">
        <v>90</v>
      </c>
      <c r="J282" s="1933">
        <v>80</v>
      </c>
      <c r="K282" s="1938"/>
      <c r="M282" s="1932"/>
      <c r="N282" s="1932"/>
      <c r="O282" s="1957" t="str">
        <f>IF(AND(Input_Product=EligOverlay!B282,Input_PropertyType=EligOverlay!C282),IF(Input_Purpose="Purchase",EligOverlay!H282,IF(Input_Purpose="Rate-Term",EligOverlay!I282,IF(Input_Purpose="Cash-Out",EligOverlay!J282,""))),"")</f>
        <v/>
      </c>
      <c r="P282" s="1958"/>
      <c r="Q282" s="1932"/>
      <c r="R282" s="1932"/>
      <c r="S282" s="1932"/>
      <c r="T282" s="2001" t="str">
        <f t="shared" ref="T282:T311" si="5">C282</f>
        <v>Condo-Site</v>
      </c>
    </row>
    <row r="283" spans="2:23" x14ac:dyDescent="0.2">
      <c r="B283" s="1964" t="str">
        <f t="shared" si="4"/>
        <v>NonQM OO</v>
      </c>
      <c r="C283" s="1656" t="s">
        <v>133</v>
      </c>
      <c r="D283" s="1657"/>
      <c r="E283" s="1657"/>
      <c r="F283" s="1657"/>
      <c r="G283" s="1657"/>
      <c r="H283" s="1933">
        <v>85</v>
      </c>
      <c r="I283" s="1933">
        <v>85</v>
      </c>
      <c r="J283" s="1933">
        <v>80</v>
      </c>
      <c r="K283" s="1938"/>
      <c r="M283" s="1932"/>
      <c r="N283" s="1932"/>
      <c r="O283" s="1957" t="str">
        <f>IF(AND(Input_Product=EligOverlay!B283,Input_PropertyType=EligOverlay!C283),IF(Input_Purpose="Purchase",EligOverlay!H283,IF(Input_Purpose="Rate-Term",EligOverlay!I283,IF(Input_Purpose="Cash-Out",EligOverlay!J283,""))),"")</f>
        <v/>
      </c>
      <c r="P283" s="1958"/>
      <c r="Q283" s="1932"/>
      <c r="R283" s="1932"/>
      <c r="S283" s="1932"/>
      <c r="T283" s="2001" t="str">
        <f t="shared" si="5"/>
        <v>2-Unit</v>
      </c>
    </row>
    <row r="284" spans="2:23" x14ac:dyDescent="0.2">
      <c r="B284" s="1964" t="str">
        <f t="shared" si="4"/>
        <v>NonQM OO</v>
      </c>
      <c r="C284" s="1656" t="s">
        <v>134</v>
      </c>
      <c r="D284" s="1657"/>
      <c r="E284" s="1657"/>
      <c r="F284" s="1657"/>
      <c r="G284" s="1657"/>
      <c r="H284" s="1933">
        <v>85</v>
      </c>
      <c r="I284" s="1933">
        <v>85</v>
      </c>
      <c r="J284" s="1933">
        <v>80</v>
      </c>
      <c r="K284" s="1938"/>
      <c r="M284" s="1932"/>
      <c r="N284" s="1932"/>
      <c r="O284" s="1957" t="str">
        <f>IF(AND(Input_Product=EligOverlay!B284,Input_PropertyType=EligOverlay!C284),IF(Input_Purpose="Purchase",EligOverlay!H284,IF(Input_Purpose="Rate-Term",EligOverlay!I284,IF(Input_Purpose="Cash-Out",EligOverlay!J284,""))),"")</f>
        <v/>
      </c>
      <c r="P284" s="1958"/>
      <c r="Q284" s="1932"/>
      <c r="R284" s="1932"/>
      <c r="S284" s="1932"/>
      <c r="T284" s="2001" t="str">
        <f t="shared" si="5"/>
        <v>3-Unit</v>
      </c>
    </row>
    <row r="285" spans="2:23" x14ac:dyDescent="0.2">
      <c r="B285" s="1964" t="str">
        <f t="shared" si="4"/>
        <v>NonQM OO</v>
      </c>
      <c r="C285" s="1656" t="s">
        <v>135</v>
      </c>
      <c r="D285" s="1657"/>
      <c r="E285" s="1657"/>
      <c r="F285" s="1657"/>
      <c r="G285" s="1657"/>
      <c r="H285" s="1933">
        <v>85</v>
      </c>
      <c r="I285" s="1933">
        <v>85</v>
      </c>
      <c r="J285" s="1933">
        <v>80</v>
      </c>
      <c r="K285" s="1938"/>
      <c r="M285" s="1932"/>
      <c r="N285" s="1932"/>
      <c r="O285" s="1957" t="str">
        <f>IF(AND(Input_Product=EligOverlay!B285,Input_PropertyType=EligOverlay!C285),IF(Input_Purpose="Purchase",EligOverlay!H285,IF(Input_Purpose="Rate-Term",EligOverlay!I285,IF(Input_Purpose="Cash-Out",EligOverlay!J285,""))),"")</f>
        <v/>
      </c>
      <c r="P285" s="1958"/>
      <c r="Q285" s="1932"/>
      <c r="R285" s="1932"/>
      <c r="S285" s="1932"/>
      <c r="T285" s="2001" t="str">
        <f t="shared" si="5"/>
        <v>4-Unit</v>
      </c>
    </row>
    <row r="286" spans="2:23" x14ac:dyDescent="0.2">
      <c r="B286" s="1964" t="str">
        <f t="shared" si="4"/>
        <v>NonQM OO</v>
      </c>
      <c r="C286" s="1656" t="s">
        <v>131</v>
      </c>
      <c r="D286" s="1657"/>
      <c r="E286" s="1657"/>
      <c r="F286" s="1657"/>
      <c r="G286" s="1657"/>
      <c r="H286" s="1933">
        <v>90</v>
      </c>
      <c r="I286" s="1933">
        <v>90</v>
      </c>
      <c r="J286" s="1933">
        <v>80</v>
      </c>
      <c r="K286" s="1938"/>
      <c r="M286" s="1932"/>
      <c r="N286" s="1932"/>
      <c r="O286" s="1957" t="str">
        <f>IF(AND(Input_Product=EligOverlay!B286,Input_PropertyType=EligOverlay!C286),IF(Input_Purpose="Purchase",EligOverlay!H286,IF(Input_Purpose="Rate-Term",EligOverlay!I286,IF(Input_Purpose="Cash-Out",EligOverlay!J286,""))),"")</f>
        <v/>
      </c>
      <c r="P286" s="1958"/>
      <c r="Q286" s="1932"/>
      <c r="R286" s="1932"/>
      <c r="S286" s="1932"/>
      <c r="T286" s="2001" t="str">
        <f t="shared" si="5"/>
        <v>Condo-Warrantable</v>
      </c>
    </row>
    <row r="287" spans="2:23" x14ac:dyDescent="0.2">
      <c r="B287" s="1964" t="str">
        <f t="shared" si="4"/>
        <v>NonQM OO</v>
      </c>
      <c r="C287" s="1656" t="s">
        <v>132</v>
      </c>
      <c r="D287" s="1657"/>
      <c r="E287" s="1657"/>
      <c r="F287" s="1657"/>
      <c r="G287" s="1657"/>
      <c r="H287" s="1933">
        <v>85</v>
      </c>
      <c r="I287" s="1933">
        <v>85</v>
      </c>
      <c r="J287" s="1933">
        <v>80</v>
      </c>
      <c r="K287" s="1938"/>
      <c r="M287" s="1932"/>
      <c r="N287" s="1932"/>
      <c r="O287" s="1957" t="str">
        <f>IF(AND(Input_Product=EligOverlay!B287,Input_PropertyType=EligOverlay!C287),IF(Input_Purpose="Purchase",EligOverlay!H287,IF(Input_Purpose="Rate-Term",EligOverlay!I287,IF(Input_Purpose="Cash-Out",EligOverlay!J287,""))),"")</f>
        <v/>
      </c>
      <c r="P287" s="1958"/>
      <c r="Q287" s="1932"/>
      <c r="R287" s="1932"/>
      <c r="S287" s="1932"/>
      <c r="T287" s="2001" t="str">
        <f t="shared" si="5"/>
        <v>Condo-NonWarrantable</v>
      </c>
    </row>
    <row r="288" spans="2:23" x14ac:dyDescent="0.2">
      <c r="B288" s="1964" t="str">
        <f t="shared" si="4"/>
        <v>NonQM OO</v>
      </c>
      <c r="C288" s="1656" t="s">
        <v>1630</v>
      </c>
      <c r="D288" s="1657"/>
      <c r="E288" s="1657"/>
      <c r="F288" s="1657"/>
      <c r="G288" s="1657"/>
      <c r="H288" s="1933">
        <v>85</v>
      </c>
      <c r="I288" s="1933">
        <v>85</v>
      </c>
      <c r="J288" s="1933">
        <v>75</v>
      </c>
      <c r="K288" s="2128">
        <v>2500000</v>
      </c>
      <c r="M288" s="1955" t="str">
        <f>IF(AND(Input_Product=EligOverlay!B288,Input_PropertyType=EligOverlay!C288,Input_LoanAmt&gt;EligOverlay!K288),K288,"")</f>
        <v/>
      </c>
      <c r="N288" s="1932"/>
      <c r="O288" s="1957" t="str">
        <f>IF(AND(Input_Product=EligOverlay!B288,Input_PropertyType=EligOverlay!C288),IF(Input_Purpose="Purchase",EligOverlay!H288,IF(Input_Purpose="Rate-Term",EligOverlay!I288,IF(Input_Purpose="Cash-Out",EligOverlay!J288,""))),"")</f>
        <v/>
      </c>
      <c r="P288" s="1958"/>
      <c r="Q288" s="1932"/>
      <c r="R288" s="1932"/>
      <c r="S288" s="1932"/>
      <c r="T288" s="2001" t="str">
        <f t="shared" si="5"/>
        <v>Condotel</v>
      </c>
    </row>
    <row r="289" spans="2:23" x14ac:dyDescent="0.2">
      <c r="B289" s="1964" t="str">
        <f t="shared" si="4"/>
        <v>NonQM OO</v>
      </c>
      <c r="C289" s="1656" t="s">
        <v>153</v>
      </c>
      <c r="D289" s="1657"/>
      <c r="E289" s="1657"/>
      <c r="F289" s="1657"/>
      <c r="G289" s="1657"/>
      <c r="H289" s="1933">
        <v>90</v>
      </c>
      <c r="I289" s="1933">
        <v>90</v>
      </c>
      <c r="J289" s="1933">
        <v>80</v>
      </c>
      <c r="K289" s="1938"/>
      <c r="M289" s="1932"/>
      <c r="N289" s="1932"/>
      <c r="O289" s="1957" t="str">
        <f>IF(AND(Input_Product=EligOverlay!B289,Input_PropertyType=EligOverlay!C289),IF(Input_Purpose="Purchase",EligOverlay!H289,IF(Input_Purpose="Rate-Term",EligOverlay!I289,IF(Input_Purpose="Cash-Out",EligOverlay!J289,""))),"")</f>
        <v/>
      </c>
      <c r="P289" s="1958"/>
      <c r="Q289" s="1932"/>
      <c r="R289" s="1932"/>
      <c r="S289" s="1932"/>
      <c r="T289" s="2001" t="str">
        <f t="shared" si="5"/>
        <v>Townhouse</v>
      </c>
    </row>
    <row r="290" spans="2:23" x14ac:dyDescent="0.2">
      <c r="B290" s="1964" t="str">
        <f t="shared" si="4"/>
        <v>NonQM OO</v>
      </c>
      <c r="C290" s="1656" t="s">
        <v>154</v>
      </c>
      <c r="D290" s="1657"/>
      <c r="E290" s="1657"/>
      <c r="F290" s="1657"/>
      <c r="G290" s="1657"/>
      <c r="H290" s="1933">
        <v>90</v>
      </c>
      <c r="I290" s="1933">
        <v>90</v>
      </c>
      <c r="J290" s="1933">
        <v>80</v>
      </c>
      <c r="K290" s="1938"/>
      <c r="M290" s="1932"/>
      <c r="N290" s="1932"/>
      <c r="O290" s="1957" t="str">
        <f>IF(AND(Input_Product=EligOverlay!B290,Input_PropertyType=EligOverlay!C290),IF(Input_Purpose="Purchase",EligOverlay!H290,IF(Input_Purpose="Rate-Term",EligOverlay!I290,IF(Input_Purpose="Cash-Out",EligOverlay!J290,""))),"")</f>
        <v/>
      </c>
      <c r="P290" s="1958"/>
      <c r="Q290" s="1932"/>
      <c r="R290" s="1932"/>
      <c r="S290" s="1932"/>
      <c r="T290" s="2001" t="str">
        <f t="shared" si="5"/>
        <v>Rowhouse</v>
      </c>
    </row>
    <row r="291" spans="2:23" x14ac:dyDescent="0.2">
      <c r="B291" s="1964" t="str">
        <f t="shared" si="4"/>
        <v>NonQM OO</v>
      </c>
      <c r="C291" s="1656" t="s">
        <v>19</v>
      </c>
      <c r="D291" s="1657"/>
      <c r="E291" s="1657"/>
      <c r="F291" s="1657"/>
      <c r="G291" s="1657"/>
      <c r="H291" s="1933">
        <v>90</v>
      </c>
      <c r="I291" s="1933">
        <v>90</v>
      </c>
      <c r="J291" s="1933">
        <v>80</v>
      </c>
      <c r="K291" s="1938"/>
      <c r="M291" s="1932"/>
      <c r="N291" s="1932"/>
      <c r="O291" s="1957" t="str">
        <f>IF(AND(Input_Product=EligOverlay!B291,Input_PropertyType=EligOverlay!C291),IF(Input_Purpose="Purchase",EligOverlay!H291,IF(Input_Purpose="Rate-Term",EligOverlay!I291,IF(Input_Purpose="Cash-Out",EligOverlay!J291,""))),"")</f>
        <v/>
      </c>
      <c r="P291" s="1958"/>
      <c r="Q291" s="1932"/>
      <c r="R291" s="1932"/>
      <c r="S291" s="1932"/>
      <c r="T291" s="2001" t="str">
        <f t="shared" si="5"/>
        <v>Modular</v>
      </c>
      <c r="W291" s="226" t="s">
        <v>1627</v>
      </c>
    </row>
    <row r="292" spans="2:23" x14ac:dyDescent="0.2">
      <c r="B292" s="1964" t="str">
        <f t="shared" si="4"/>
        <v>NonQM OO</v>
      </c>
      <c r="C292" s="1656" t="s">
        <v>130</v>
      </c>
      <c r="D292" s="1657"/>
      <c r="E292" s="1657"/>
      <c r="F292" s="1657"/>
      <c r="G292" s="1657"/>
      <c r="H292" s="1658">
        <v>0.01</v>
      </c>
      <c r="I292" s="1658">
        <v>0.01</v>
      </c>
      <c r="J292" s="1658">
        <v>0.01</v>
      </c>
      <c r="K292" s="1938"/>
      <c r="M292" s="1932"/>
      <c r="N292" s="1932"/>
      <c r="O292" s="1957" t="str">
        <f>IF(AND(Input_Product=EligOverlay!B292,Input_PropertyType=EligOverlay!C292),IF(Input_Purpose="Purchase",EligOverlay!H292,IF(Input_Purpose="Rate-Term",EligOverlay!I292,IF(Input_Purpose="Cash-Out",EligOverlay!J292,""))),"")</f>
        <v/>
      </c>
      <c r="P292" s="1958"/>
      <c r="Q292" s="1932"/>
      <c r="R292" s="1932"/>
      <c r="S292" s="1932"/>
      <c r="T292" s="2001" t="str">
        <f t="shared" si="5"/>
        <v>Log Home</v>
      </c>
    </row>
    <row r="293" spans="2:23" x14ac:dyDescent="0.2">
      <c r="B293" s="1964" t="str">
        <f t="shared" si="4"/>
        <v>NonQM OO</v>
      </c>
      <c r="C293" s="1656" t="s">
        <v>233</v>
      </c>
      <c r="D293" s="1657"/>
      <c r="E293" s="1657"/>
      <c r="F293" s="1657"/>
      <c r="G293" s="1657"/>
      <c r="H293" s="1658">
        <v>0.01</v>
      </c>
      <c r="I293" s="1658">
        <v>0.01</v>
      </c>
      <c r="J293" s="1658">
        <v>0.01</v>
      </c>
      <c r="K293" s="1938"/>
      <c r="M293" s="1932"/>
      <c r="N293" s="1932"/>
      <c r="O293" s="1957" t="str">
        <f>IF(AND(Input_Product=EligOverlay!B293,Input_PropertyType=EligOverlay!C293),IF(Input_Purpose="Purchase",EligOverlay!H293,IF(Input_Purpose="Rate-Term",EligOverlay!I293,IF(Input_Purpose="Cash-Out",EligOverlay!J293,""))),"")</f>
        <v/>
      </c>
      <c r="P293" s="1958"/>
      <c r="Q293" s="1932"/>
      <c r="R293" s="1932"/>
      <c r="S293" s="1932"/>
      <c r="T293" s="2001" t="str">
        <f t="shared" si="5"/>
        <v>5-Unit</v>
      </c>
    </row>
    <row r="294" spans="2:23" x14ac:dyDescent="0.2">
      <c r="B294" s="1964" t="str">
        <f t="shared" si="4"/>
        <v>NonQM OO</v>
      </c>
      <c r="C294" s="1656" t="s">
        <v>234</v>
      </c>
      <c r="D294" s="1657"/>
      <c r="E294" s="1657"/>
      <c r="F294" s="1657"/>
      <c r="G294" s="1657"/>
      <c r="H294" s="1658">
        <v>0.01</v>
      </c>
      <c r="I294" s="1658">
        <v>0.01</v>
      </c>
      <c r="J294" s="1658">
        <v>0.01</v>
      </c>
      <c r="K294" s="1938"/>
      <c r="M294" s="1932"/>
      <c r="N294" s="1932"/>
      <c r="O294" s="1957" t="str">
        <f>IF(AND(Input_Product=EligOverlay!B294,Input_PropertyType=EligOverlay!C294),IF(Input_Purpose="Purchase",EligOverlay!H294,IF(Input_Purpose="Rate-Term",EligOverlay!I294,IF(Input_Purpose="Cash-Out",EligOverlay!J294,""))),"")</f>
        <v/>
      </c>
      <c r="P294" s="1958"/>
      <c r="Q294" s="1932"/>
      <c r="R294" s="1932"/>
      <c r="S294" s="1932"/>
      <c r="T294" s="2001" t="str">
        <f t="shared" si="5"/>
        <v>6-Unit</v>
      </c>
    </row>
    <row r="295" spans="2:23" x14ac:dyDescent="0.2">
      <c r="B295" s="1964" t="str">
        <f t="shared" si="4"/>
        <v>NonQM OO</v>
      </c>
      <c r="C295" s="1656" t="s">
        <v>235</v>
      </c>
      <c r="D295" s="1657"/>
      <c r="E295" s="1657"/>
      <c r="F295" s="1657"/>
      <c r="G295" s="1657"/>
      <c r="H295" s="1658">
        <v>0.01</v>
      </c>
      <c r="I295" s="1658">
        <v>0.01</v>
      </c>
      <c r="J295" s="1658">
        <v>0.01</v>
      </c>
      <c r="K295" s="1938"/>
      <c r="M295" s="1932"/>
      <c r="N295" s="1932"/>
      <c r="O295" s="1957" t="str">
        <f>IF(AND(Input_Product=EligOverlay!B295,Input_PropertyType=EligOverlay!C295),IF(Input_Purpose="Purchase",EligOverlay!H295,IF(Input_Purpose="Rate-Term",EligOverlay!I295,IF(Input_Purpose="Cash-Out",EligOverlay!J295,""))),"")</f>
        <v/>
      </c>
      <c r="P295" s="1958"/>
      <c r="Q295" s="1932"/>
      <c r="R295" s="1932"/>
      <c r="S295" s="1932"/>
      <c r="T295" s="2001" t="str">
        <f t="shared" si="5"/>
        <v>7-Unit</v>
      </c>
    </row>
    <row r="296" spans="2:23" x14ac:dyDescent="0.2">
      <c r="B296" s="1964" t="str">
        <f t="shared" si="4"/>
        <v>NonQM OO</v>
      </c>
      <c r="C296" s="1656" t="s">
        <v>236</v>
      </c>
      <c r="D296" s="1657"/>
      <c r="E296" s="1657"/>
      <c r="F296" s="1657"/>
      <c r="G296" s="1657"/>
      <c r="H296" s="1658">
        <v>0.01</v>
      </c>
      <c r="I296" s="1658">
        <v>0.01</v>
      </c>
      <c r="J296" s="1658">
        <v>0.01</v>
      </c>
      <c r="K296" s="1938"/>
      <c r="M296" s="1932"/>
      <c r="N296" s="1932"/>
      <c r="O296" s="1957" t="str">
        <f>IF(AND(Input_Product=EligOverlay!B296,Input_PropertyType=EligOverlay!C296),IF(Input_Purpose="Purchase",EligOverlay!H296,IF(Input_Purpose="Rate-Term",EligOverlay!I296,IF(Input_Purpose="Cash-Out",EligOverlay!J296,""))),"")</f>
        <v/>
      </c>
      <c r="P296" s="1958"/>
      <c r="Q296" s="1932"/>
      <c r="R296" s="1932"/>
      <c r="S296" s="1932"/>
      <c r="T296" s="2001" t="str">
        <f t="shared" si="5"/>
        <v>8-Unit</v>
      </c>
    </row>
    <row r="297" spans="2:23" x14ac:dyDescent="0.2">
      <c r="B297" s="1964" t="str">
        <f t="shared" si="4"/>
        <v>NonQM OO</v>
      </c>
      <c r="C297" s="1656" t="s">
        <v>240</v>
      </c>
      <c r="D297" s="1657"/>
      <c r="E297" s="1657"/>
      <c r="F297" s="1657"/>
      <c r="G297" s="1657"/>
      <c r="H297" s="1658">
        <v>0.01</v>
      </c>
      <c r="I297" s="1658">
        <v>0.01</v>
      </c>
      <c r="J297" s="1658">
        <v>0.01</v>
      </c>
      <c r="K297" s="1938"/>
      <c r="M297" s="1932"/>
      <c r="N297" s="1932"/>
      <c r="O297" s="1957" t="str">
        <f>IF(AND(Input_Product=EligOverlay!B297,Input_PropertyType=EligOverlay!C297),IF(Input_Purpose="Purchase",EligOverlay!H297,IF(Input_Purpose="Rate-Term",EligOverlay!I297,IF(Input_Purpose="Cash-Out",EligOverlay!J297,""))),"")</f>
        <v/>
      </c>
      <c r="P297" s="1958"/>
      <c r="Q297" s="1932"/>
      <c r="R297" s="1932"/>
      <c r="S297" s="1932"/>
      <c r="T297" s="2001" t="str">
        <f t="shared" si="5"/>
        <v>2-Unit Mixed Use</v>
      </c>
    </row>
    <row r="298" spans="2:23" x14ac:dyDescent="0.2">
      <c r="B298" s="1964" t="str">
        <f t="shared" si="4"/>
        <v>NonQM OO</v>
      </c>
      <c r="C298" s="1656" t="s">
        <v>241</v>
      </c>
      <c r="D298" s="1657"/>
      <c r="E298" s="1657"/>
      <c r="F298" s="1657"/>
      <c r="G298" s="1657"/>
      <c r="H298" s="1658">
        <v>0.01</v>
      </c>
      <c r="I298" s="1658">
        <v>0.01</v>
      </c>
      <c r="J298" s="1658">
        <v>0.01</v>
      </c>
      <c r="K298" s="1938"/>
      <c r="M298" s="1932"/>
      <c r="N298" s="1932"/>
      <c r="O298" s="1957" t="str">
        <f>IF(AND(Input_Product=EligOverlay!B298,Input_PropertyType=EligOverlay!C298),IF(Input_Purpose="Purchase",EligOverlay!H298,IF(Input_Purpose="Rate-Term",EligOverlay!I298,IF(Input_Purpose="Cash-Out",EligOverlay!J298,""))),"")</f>
        <v/>
      </c>
      <c r="P298" s="1958"/>
      <c r="Q298" s="1932"/>
      <c r="R298" s="1932"/>
      <c r="S298" s="1932"/>
      <c r="T298" s="2001" t="str">
        <f t="shared" si="5"/>
        <v>3-Unit Mixed Use</v>
      </c>
    </row>
    <row r="299" spans="2:23" x14ac:dyDescent="0.2">
      <c r="B299" s="1964" t="str">
        <f t="shared" si="4"/>
        <v>NonQM OO</v>
      </c>
      <c r="C299" s="1656" t="s">
        <v>242</v>
      </c>
      <c r="D299" s="1657"/>
      <c r="E299" s="1657"/>
      <c r="F299" s="1657"/>
      <c r="G299" s="1657"/>
      <c r="H299" s="1658">
        <v>0.01</v>
      </c>
      <c r="I299" s="1658">
        <v>0.01</v>
      </c>
      <c r="J299" s="1658">
        <v>0.01</v>
      </c>
      <c r="K299" s="1938"/>
      <c r="M299" s="1932"/>
      <c r="N299" s="1932"/>
      <c r="O299" s="1957" t="str">
        <f>IF(AND(Input_Product=EligOverlay!B299,Input_PropertyType=EligOverlay!C299),IF(Input_Purpose="Purchase",EligOverlay!H299,IF(Input_Purpose="Rate-Term",EligOverlay!I299,IF(Input_Purpose="Cash-Out",EligOverlay!J299,""))),"")</f>
        <v/>
      </c>
      <c r="P299" s="1958"/>
      <c r="Q299" s="1932"/>
      <c r="R299" s="1932"/>
      <c r="S299" s="1932"/>
      <c r="T299" s="2001" t="str">
        <f t="shared" si="5"/>
        <v>4-Unit Mixed Use</v>
      </c>
    </row>
    <row r="300" spans="2:23" x14ac:dyDescent="0.2">
      <c r="B300" s="1964" t="str">
        <f t="shared" si="4"/>
        <v>NonQM OO</v>
      </c>
      <c r="C300" s="1939" t="s">
        <v>243</v>
      </c>
      <c r="D300" s="1657"/>
      <c r="E300" s="1657"/>
      <c r="F300" s="1657"/>
      <c r="G300" s="1657"/>
      <c r="H300" s="1658">
        <v>0.01</v>
      </c>
      <c r="I300" s="1658">
        <v>0.01</v>
      </c>
      <c r="J300" s="1658">
        <v>0.01</v>
      </c>
      <c r="K300" s="1938"/>
      <c r="M300" s="1932"/>
      <c r="N300" s="1932"/>
      <c r="O300" s="1957" t="str">
        <f>IF(AND(Input_Product=EligOverlay!B300,Input_PropertyType=EligOverlay!C300),IF(Input_Purpose="Purchase",EligOverlay!H300,IF(Input_Purpose="Rate-Term",EligOverlay!I300,IF(Input_Purpose="Cash-Out",EligOverlay!J300,""))),"")</f>
        <v/>
      </c>
      <c r="P300" s="1958"/>
      <c r="Q300" s="1932"/>
      <c r="R300" s="1932"/>
      <c r="S300" s="1932"/>
      <c r="T300" s="2001" t="str">
        <f t="shared" si="5"/>
        <v>5-Unit Mixed Use</v>
      </c>
    </row>
    <row r="301" spans="2:23" x14ac:dyDescent="0.2">
      <c r="B301" s="1964" t="str">
        <f t="shared" si="4"/>
        <v>NonQM OO</v>
      </c>
      <c r="C301" s="1939" t="s">
        <v>244</v>
      </c>
      <c r="D301" s="1657"/>
      <c r="E301" s="1657"/>
      <c r="F301" s="1657"/>
      <c r="G301" s="1657"/>
      <c r="H301" s="1658">
        <v>0.01</v>
      </c>
      <c r="I301" s="1658">
        <v>0.01</v>
      </c>
      <c r="J301" s="1658">
        <v>0.01</v>
      </c>
      <c r="K301" s="1938"/>
      <c r="M301" s="1932"/>
      <c r="N301" s="1932"/>
      <c r="O301" s="1957" t="str">
        <f>IF(AND(Input_Product=EligOverlay!B301,Input_PropertyType=EligOverlay!C301),IF(Input_Purpose="Purchase",EligOverlay!H301,IF(Input_Purpose="Rate-Term",EligOverlay!I301,IF(Input_Purpose="Cash-Out",EligOverlay!J301,""))),"")</f>
        <v/>
      </c>
      <c r="P301" s="1958"/>
      <c r="Q301" s="1932"/>
      <c r="R301" s="1932"/>
      <c r="S301" s="1932"/>
      <c r="T301" s="2001" t="str">
        <f t="shared" si="5"/>
        <v>6-Unit Mixed Use</v>
      </c>
    </row>
    <row r="302" spans="2:23" x14ac:dyDescent="0.2">
      <c r="B302" s="1964" t="str">
        <f t="shared" si="4"/>
        <v>NonQM OO</v>
      </c>
      <c r="C302" s="1940" t="s">
        <v>245</v>
      </c>
      <c r="D302" s="1657"/>
      <c r="E302" s="1657"/>
      <c r="F302" s="1657"/>
      <c r="G302" s="1657"/>
      <c r="H302" s="1658">
        <v>0.01</v>
      </c>
      <c r="I302" s="1658">
        <v>0.01</v>
      </c>
      <c r="J302" s="1658">
        <v>0.01</v>
      </c>
      <c r="K302" s="1938"/>
      <c r="M302" s="1932"/>
      <c r="N302" s="1932"/>
      <c r="O302" s="1957" t="str">
        <f>IF(AND(Input_Product=EligOverlay!B302,Input_PropertyType=EligOverlay!C302),IF(Input_Purpose="Purchase",EligOverlay!H302,IF(Input_Purpose="Rate-Term",EligOverlay!I302,IF(Input_Purpose="Cash-Out",EligOverlay!J302,""))),"")</f>
        <v/>
      </c>
      <c r="P302" s="1958"/>
      <c r="Q302" s="1932"/>
      <c r="R302" s="1932"/>
      <c r="S302" s="1932"/>
      <c r="T302" s="2001" t="str">
        <f t="shared" si="5"/>
        <v>7-Unit Mixed Use</v>
      </c>
    </row>
    <row r="303" spans="2:23" x14ac:dyDescent="0.2">
      <c r="B303" s="1964" t="str">
        <f t="shared" si="4"/>
        <v>NonQM OO</v>
      </c>
      <c r="C303" s="1656" t="s">
        <v>246</v>
      </c>
      <c r="D303" s="1657"/>
      <c r="E303" s="1657"/>
      <c r="F303" s="1657"/>
      <c r="G303" s="1657"/>
      <c r="H303" s="1658">
        <v>0.01</v>
      </c>
      <c r="I303" s="1658">
        <v>0.01</v>
      </c>
      <c r="J303" s="1658">
        <v>0.01</v>
      </c>
      <c r="K303" s="1938"/>
      <c r="M303" s="1932"/>
      <c r="N303" s="1932"/>
      <c r="O303" s="1957" t="str">
        <f>IF(AND(Input_Product=EligOverlay!B303,Input_PropertyType=EligOverlay!C303),IF(Input_Purpose="Purchase",EligOverlay!H303,IF(Input_Purpose="Rate-Term",EligOverlay!I303,IF(Input_Purpose="Cash-Out",EligOverlay!J303,""))),"")</f>
        <v/>
      </c>
      <c r="P303" s="1958"/>
      <c r="Q303" s="1932"/>
      <c r="R303" s="1932"/>
      <c r="S303" s="1932"/>
      <c r="T303" s="2001" t="str">
        <f t="shared" si="5"/>
        <v>8-Unit Mixed Use</v>
      </c>
    </row>
    <row r="304" spans="2:23" x14ac:dyDescent="0.2">
      <c r="B304" s="1966" t="str">
        <f>Input_Name_Product4</f>
        <v>Second OO</v>
      </c>
      <c r="C304" s="1656" t="s">
        <v>131</v>
      </c>
      <c r="D304" s="1657"/>
      <c r="E304" s="1657"/>
      <c r="F304" s="1657"/>
      <c r="G304" s="1657"/>
      <c r="H304" s="1658">
        <v>75</v>
      </c>
      <c r="I304" s="1658">
        <v>75</v>
      </c>
      <c r="J304" s="1658">
        <v>75</v>
      </c>
      <c r="K304" s="1938"/>
      <c r="M304" s="1932"/>
      <c r="N304" s="1932"/>
      <c r="O304" s="1957" t="str">
        <f>IF(AND(Input_Product=EligOverlay!B304,Input_PropertyType=EligOverlay!C304),IF(Input_Purpose="Purchase",EligOverlay!H304,IF(Input_Purpose="Rate-Term",EligOverlay!I304,IF(Input_Purpose="Cash-Out",EligOverlay!J304,""))),"")</f>
        <v/>
      </c>
      <c r="P304" s="1958"/>
      <c r="Q304" s="1932"/>
      <c r="R304" s="1932"/>
      <c r="S304" s="1932"/>
      <c r="T304" s="2001" t="str">
        <f t="shared" si="5"/>
        <v>Condo-Warrantable</v>
      </c>
    </row>
    <row r="305" spans="2:20" x14ac:dyDescent="0.2">
      <c r="B305" s="1966" t="str">
        <f>Input_Name_Product4</f>
        <v>Second OO</v>
      </c>
      <c r="C305" s="1656" t="s">
        <v>133</v>
      </c>
      <c r="D305" s="1657"/>
      <c r="E305" s="1657"/>
      <c r="F305" s="1657"/>
      <c r="G305" s="1657"/>
      <c r="H305" s="1658">
        <v>75</v>
      </c>
      <c r="I305" s="1658">
        <v>75</v>
      </c>
      <c r="J305" s="1658">
        <v>75</v>
      </c>
      <c r="K305" s="1938"/>
      <c r="M305" s="1932"/>
      <c r="N305" s="1932"/>
      <c r="O305" s="1957" t="str">
        <f>IF(AND(Input_Product=EligOverlay!B305,Input_PropertyType=EligOverlay!C305),IF(Input_Purpose="Purchase",EligOverlay!H305,IF(Input_Purpose="Rate-Term",EligOverlay!I305,IF(Input_Purpose="Cash-Out",EligOverlay!J305,""))),"")</f>
        <v/>
      </c>
      <c r="P305" s="1958"/>
      <c r="Q305" s="1932"/>
      <c r="R305" s="1932"/>
      <c r="S305" s="1932"/>
      <c r="T305" s="2001" t="str">
        <f t="shared" si="5"/>
        <v>2-Unit</v>
      </c>
    </row>
    <row r="306" spans="2:20" x14ac:dyDescent="0.2">
      <c r="B306" s="1966" t="str">
        <f>Input_Name_Product4</f>
        <v>Second OO</v>
      </c>
      <c r="C306" s="1656" t="s">
        <v>134</v>
      </c>
      <c r="D306" s="1657"/>
      <c r="E306" s="1657"/>
      <c r="F306" s="1657"/>
      <c r="G306" s="1657"/>
      <c r="H306" s="1658">
        <v>75</v>
      </c>
      <c r="I306" s="1658">
        <v>75</v>
      </c>
      <c r="J306" s="1658">
        <v>75</v>
      </c>
      <c r="K306" s="1938"/>
      <c r="M306" s="1932"/>
      <c r="N306" s="1932"/>
      <c r="O306" s="1957" t="str">
        <f>IF(AND(Input_Product=EligOverlay!B306,Input_PropertyType=EligOverlay!C306),IF(Input_Purpose="Purchase",EligOverlay!H306,IF(Input_Purpose="Rate-Term",EligOverlay!I306,IF(Input_Purpose="Cash-Out",EligOverlay!J306,""))),"")</f>
        <v/>
      </c>
      <c r="P306" s="1958"/>
      <c r="Q306" s="1932"/>
      <c r="R306" s="1932"/>
      <c r="S306" s="1932"/>
      <c r="T306" s="2001" t="str">
        <f t="shared" si="5"/>
        <v>3-Unit</v>
      </c>
    </row>
    <row r="307" spans="2:20" x14ac:dyDescent="0.2">
      <c r="B307" s="1966" t="str">
        <f>Input_Name_Product4</f>
        <v>Second OO</v>
      </c>
      <c r="C307" s="1656" t="s">
        <v>135</v>
      </c>
      <c r="D307" s="1657"/>
      <c r="E307" s="1657"/>
      <c r="F307" s="1657"/>
      <c r="G307" s="1657"/>
      <c r="H307" s="1658">
        <v>75</v>
      </c>
      <c r="I307" s="1658">
        <v>75</v>
      </c>
      <c r="J307" s="1658">
        <v>75</v>
      </c>
      <c r="K307" s="1938"/>
      <c r="M307" s="1932"/>
      <c r="N307" s="1932"/>
      <c r="O307" s="1957" t="str">
        <f>IF(AND(Input_Product=EligOverlay!B307,Input_PropertyType=EligOverlay!C307),IF(Input_Purpose="Purchase",EligOverlay!H307,IF(Input_Purpose="Rate-Term",EligOverlay!I307,IF(Input_Purpose="Cash-Out",EligOverlay!J307,""))),"")</f>
        <v/>
      </c>
      <c r="P307" s="1958"/>
      <c r="Q307" s="1932"/>
      <c r="R307" s="1932"/>
      <c r="S307" s="1932"/>
      <c r="T307" s="2001" t="str">
        <f t="shared" si="5"/>
        <v>4-Unit</v>
      </c>
    </row>
    <row r="308" spans="2:20" x14ac:dyDescent="0.2">
      <c r="B308" s="2002" t="str">
        <f>Input_Name_Product5</f>
        <v>Second NOO</v>
      </c>
      <c r="C308" s="1656" t="s">
        <v>131</v>
      </c>
      <c r="D308" s="1657"/>
      <c r="E308" s="1657"/>
      <c r="F308" s="1657"/>
      <c r="G308" s="1657"/>
      <c r="H308" s="1658">
        <v>70</v>
      </c>
      <c r="I308" s="1658">
        <v>70</v>
      </c>
      <c r="J308" s="1658">
        <v>70</v>
      </c>
      <c r="K308" s="1938"/>
      <c r="M308" s="1932"/>
      <c r="N308" s="1932"/>
      <c r="O308" s="1957" t="str">
        <f>IF(AND(Input_Product=EligOverlay!B308,Input_PropertyType=EligOverlay!C308),IF(Input_Purpose="Purchase",EligOverlay!H308,IF(Input_Purpose="Rate-Term",EligOverlay!I308,IF(Input_Purpose="Cash-Out",EligOverlay!J308,""))),"")</f>
        <v/>
      </c>
      <c r="P308" s="1958"/>
      <c r="Q308" s="1932"/>
      <c r="R308" s="1932"/>
      <c r="S308" s="1932"/>
      <c r="T308" s="2001" t="str">
        <f t="shared" si="5"/>
        <v>Condo-Warrantable</v>
      </c>
    </row>
    <row r="309" spans="2:20" x14ac:dyDescent="0.2">
      <c r="B309" s="2002" t="str">
        <f>Input_Name_Product5</f>
        <v>Second NOO</v>
      </c>
      <c r="C309" s="1656" t="s">
        <v>133</v>
      </c>
      <c r="D309" s="1657"/>
      <c r="E309" s="1657"/>
      <c r="F309" s="1657"/>
      <c r="G309" s="1657"/>
      <c r="H309" s="1658">
        <v>70</v>
      </c>
      <c r="I309" s="1658">
        <v>70</v>
      </c>
      <c r="J309" s="1658">
        <v>70</v>
      </c>
      <c r="K309" s="1938"/>
      <c r="M309" s="1932"/>
      <c r="N309" s="1932"/>
      <c r="O309" s="1957" t="str">
        <f>IF(AND(Input_Product=EligOverlay!B309,Input_PropertyType=EligOverlay!C309),IF(Input_Purpose="Purchase",EligOverlay!H309,IF(Input_Purpose="Rate-Term",EligOverlay!I309,IF(Input_Purpose="Cash-Out",EligOverlay!J309,""))),"")</f>
        <v/>
      </c>
      <c r="P309" s="1958"/>
      <c r="Q309" s="1932"/>
      <c r="R309" s="1932"/>
      <c r="S309" s="1932"/>
      <c r="T309" s="2001" t="str">
        <f t="shared" si="5"/>
        <v>2-Unit</v>
      </c>
    </row>
    <row r="310" spans="2:20" x14ac:dyDescent="0.2">
      <c r="B310" s="2002" t="str">
        <f>Input_Name_Product5</f>
        <v>Second NOO</v>
      </c>
      <c r="C310" s="1656" t="s">
        <v>134</v>
      </c>
      <c r="D310" s="1657"/>
      <c r="E310" s="1657"/>
      <c r="F310" s="1657"/>
      <c r="G310" s="1657"/>
      <c r="H310" s="1658">
        <v>70</v>
      </c>
      <c r="I310" s="1658">
        <v>70</v>
      </c>
      <c r="J310" s="1658">
        <v>70</v>
      </c>
      <c r="K310" s="1938"/>
      <c r="M310" s="1932"/>
      <c r="N310" s="1932"/>
      <c r="O310" s="1957" t="str">
        <f>IF(AND(Input_Product=EligOverlay!B310,Input_PropertyType=EligOverlay!C310),IF(Input_Purpose="Purchase",EligOverlay!H310,IF(Input_Purpose="Rate-Term",EligOverlay!I310,IF(Input_Purpose="Cash-Out",EligOverlay!J310,""))),"")</f>
        <v/>
      </c>
      <c r="P310" s="1958"/>
      <c r="Q310" s="1932"/>
      <c r="R310" s="1932"/>
      <c r="S310" s="1932"/>
      <c r="T310" s="2001" t="str">
        <f t="shared" si="5"/>
        <v>3-Unit</v>
      </c>
    </row>
    <row r="311" spans="2:20" x14ac:dyDescent="0.2">
      <c r="B311" s="2002" t="str">
        <f>Input_Name_Product5</f>
        <v>Second NOO</v>
      </c>
      <c r="C311" s="1656" t="s">
        <v>135</v>
      </c>
      <c r="D311" s="1657"/>
      <c r="E311" s="1657"/>
      <c r="F311" s="1657"/>
      <c r="G311" s="1657"/>
      <c r="H311" s="1658">
        <v>70</v>
      </c>
      <c r="I311" s="1658">
        <v>70</v>
      </c>
      <c r="J311" s="1658">
        <v>70</v>
      </c>
      <c r="K311" s="1938"/>
      <c r="M311" s="1932"/>
      <c r="N311" s="1932"/>
      <c r="O311" s="1957" t="str">
        <f>IF(AND(Input_Product=EligOverlay!B311,Input_PropertyType=EligOverlay!C311),IF(Input_Purpose="Purchase",EligOverlay!H311,IF(Input_Purpose="Rate-Term",EligOverlay!I311,IF(Input_Purpose="Cash-Out",EligOverlay!J311,""))),"")</f>
        <v/>
      </c>
      <c r="P311" s="1958"/>
      <c r="Q311" s="1932"/>
      <c r="R311" s="1932"/>
      <c r="S311" s="1932"/>
      <c r="T311" s="2001" t="str">
        <f t="shared" si="5"/>
        <v>4-Unit</v>
      </c>
    </row>
    <row r="312" spans="2:20" x14ac:dyDescent="0.2">
      <c r="B312" s="1967" t="str">
        <f>Input_Name_Product10</f>
        <v>HELOC OO</v>
      </c>
      <c r="C312" s="1656" t="s">
        <v>131</v>
      </c>
      <c r="D312" s="1657"/>
      <c r="E312" s="1657"/>
      <c r="F312" s="1657"/>
      <c r="G312" s="1657"/>
      <c r="H312" s="1658">
        <v>75</v>
      </c>
      <c r="I312" s="1658">
        <v>75</v>
      </c>
      <c r="J312" s="1658">
        <v>75</v>
      </c>
      <c r="K312" s="1938"/>
      <c r="M312" s="1932"/>
      <c r="N312" s="1932"/>
      <c r="O312" s="1957" t="str">
        <f>IF(AND(Input_Product=EligOverlay!B312,Input_PropertyType=EligOverlay!C312),IF(Input_Purpose="Purchase",EligOverlay!H312,IF(Input_Purpose="Rate-Term",EligOverlay!I312,IF(Input_Purpose="Cash-Out",EligOverlay!J312,""))),"")</f>
        <v/>
      </c>
      <c r="P312" s="1958"/>
      <c r="Q312" s="1932"/>
      <c r="R312" s="1932"/>
      <c r="S312" s="1932"/>
      <c r="T312" s="2001" t="str">
        <f>C312</f>
        <v>Condo-Warrantable</v>
      </c>
    </row>
    <row r="313" spans="2:20" x14ac:dyDescent="0.2">
      <c r="B313" s="1967" t="str">
        <f>Input_Name_Product10</f>
        <v>HELOC OO</v>
      </c>
      <c r="C313" s="1656" t="s">
        <v>1635</v>
      </c>
      <c r="D313" s="1657"/>
      <c r="E313" s="1657"/>
      <c r="F313" s="1657"/>
      <c r="G313" s="1657"/>
      <c r="H313" s="1658">
        <v>80</v>
      </c>
      <c r="I313" s="1658">
        <v>80</v>
      </c>
      <c r="J313" s="1658">
        <v>80</v>
      </c>
      <c r="K313" s="1938"/>
      <c r="M313" s="1932"/>
      <c r="N313" s="1932"/>
      <c r="O313" s="1957" t="str">
        <f>IF(AND(Input_Product=EligOverlay!B313,Input_PropertyType=EligOverlay!C313),IF(Input_Purpose="Purchase",EligOverlay!H313,IF(Input_Purpose="Rate-Term",EligOverlay!I313,IF(Input_Purpose="Cash-Out",EligOverlay!J313,""))),"")</f>
        <v/>
      </c>
      <c r="P313" s="1958"/>
      <c r="Q313" s="1932"/>
      <c r="R313" s="1932"/>
      <c r="S313" s="1932"/>
      <c r="T313" s="2001" t="str">
        <f>C313</f>
        <v>SFR-Rural</v>
      </c>
    </row>
    <row r="314" spans="2:20" x14ac:dyDescent="0.2">
      <c r="B314" s="1969" t="str">
        <f>Input_Name_Product11</f>
        <v>HELOC NOO</v>
      </c>
      <c r="C314" s="1656" t="s">
        <v>131</v>
      </c>
      <c r="D314" s="1657"/>
      <c r="E314" s="1657"/>
      <c r="F314" s="1657"/>
      <c r="G314" s="1657"/>
      <c r="H314" s="1658">
        <v>75</v>
      </c>
      <c r="I314" s="1658">
        <v>75</v>
      </c>
      <c r="J314" s="1658">
        <v>75</v>
      </c>
      <c r="K314" s="1938"/>
      <c r="M314" s="1932"/>
      <c r="N314" s="1932"/>
      <c r="O314" s="1957" t="str">
        <f>IF(AND(Input_Product=EligOverlay!B314,Input_PropertyType=EligOverlay!C314),IF(Input_Purpose="Purchase",EligOverlay!H314,IF(Input_Purpose="Rate-Term",EligOverlay!I314,IF(Input_Purpose="Cash-Out",EligOverlay!J314,""))),"")</f>
        <v/>
      </c>
      <c r="P314" s="1958"/>
      <c r="Q314" s="1932"/>
      <c r="R314" s="1932"/>
      <c r="S314" s="1932"/>
      <c r="T314" s="2001" t="str">
        <f>C314</f>
        <v>Condo-Warrantable</v>
      </c>
    </row>
    <row r="315" spans="2:20" x14ac:dyDescent="0.2">
      <c r="B315" s="1969" t="str">
        <f>Input_Name_Product11</f>
        <v>HELOC NOO</v>
      </c>
      <c r="C315" s="1656" t="s">
        <v>1635</v>
      </c>
      <c r="D315" s="1657"/>
      <c r="E315" s="1657"/>
      <c r="F315" s="1657"/>
      <c r="G315" s="1657"/>
      <c r="H315" s="1658">
        <v>0.01</v>
      </c>
      <c r="I315" s="1658">
        <v>0.01</v>
      </c>
      <c r="J315" s="1658">
        <v>0.01</v>
      </c>
      <c r="K315" s="1938"/>
      <c r="M315" s="1932"/>
      <c r="N315" s="1932"/>
      <c r="O315" s="1957" t="str">
        <f>IF(AND(Input_Product=EligOverlay!B315,Input_PropertyType=EligOverlay!C315),IF(Input_Purpose="Purchase",EligOverlay!H315,IF(Input_Purpose="Rate-Term",EligOverlay!I315,IF(Input_Purpose="Cash-Out",EligOverlay!J315,""))),"")</f>
        <v/>
      </c>
      <c r="P315" s="1958"/>
      <c r="Q315" s="1932"/>
      <c r="R315" s="1932"/>
      <c r="S315" s="1932"/>
      <c r="T315" s="2001" t="str">
        <f t="shared" ref="T315" si="6">C315</f>
        <v>SFR-Rural</v>
      </c>
    </row>
    <row r="316" spans="2:20" x14ac:dyDescent="0.2">
      <c r="B316" s="1965" t="str">
        <f t="shared" ref="B316:B341" si="7">Input_Name_Product2</f>
        <v>NonQM NOO</v>
      </c>
      <c r="C316" s="1656" t="s">
        <v>83</v>
      </c>
      <c r="D316" s="1657"/>
      <c r="E316" s="1657"/>
      <c r="F316" s="1657"/>
      <c r="G316" s="1657"/>
      <c r="H316" s="1933">
        <v>85</v>
      </c>
      <c r="I316" s="1933">
        <v>85</v>
      </c>
      <c r="J316" s="1933">
        <v>80</v>
      </c>
      <c r="K316" s="1938"/>
      <c r="M316" s="1932"/>
      <c r="N316" s="1932"/>
      <c r="O316" s="1932"/>
      <c r="P316" s="1958"/>
      <c r="Q316" s="1932"/>
      <c r="R316" s="1932"/>
      <c r="S316" s="1932"/>
      <c r="T316" s="1968"/>
    </row>
    <row r="317" spans="2:20" x14ac:dyDescent="0.2">
      <c r="B317" s="1965" t="str">
        <f t="shared" si="7"/>
        <v>NonQM NOO</v>
      </c>
      <c r="C317" s="1656" t="s">
        <v>1635</v>
      </c>
      <c r="D317" s="1657"/>
      <c r="E317" s="1657"/>
      <c r="F317" s="1657"/>
      <c r="G317" s="1657"/>
      <c r="H317" s="1658">
        <v>0.01</v>
      </c>
      <c r="I317" s="1658">
        <v>0.01</v>
      </c>
      <c r="J317" s="1658">
        <v>0.01</v>
      </c>
      <c r="K317" s="1938"/>
      <c r="M317" s="1932"/>
      <c r="N317" s="1932"/>
      <c r="O317" s="1957" t="str">
        <f>IF(AND(Input_Product=EligOverlay!B317,Input_PropertyType=EligOverlay!C317),IF(Input_Purpose="Purchase",EligOverlay!H317,IF(Input_Purpose="Rate-Term",EligOverlay!I317,IF(Input_Purpose="Cash-Out",EligOverlay!J317,""))),"")</f>
        <v/>
      </c>
      <c r="P317" s="1958"/>
      <c r="Q317" s="1932"/>
      <c r="R317" s="1932"/>
      <c r="S317" s="1932"/>
      <c r="T317" s="2001" t="s">
        <v>1635</v>
      </c>
    </row>
    <row r="318" spans="2:20" x14ac:dyDescent="0.2">
      <c r="B318" s="1965" t="str">
        <f t="shared" si="7"/>
        <v>NonQM NOO</v>
      </c>
      <c r="C318" s="1656" t="s">
        <v>155</v>
      </c>
      <c r="D318" s="1657"/>
      <c r="E318" s="1657"/>
      <c r="F318" s="1657"/>
      <c r="G318" s="1657"/>
      <c r="H318" s="1933">
        <v>85</v>
      </c>
      <c r="I318" s="1933">
        <v>85</v>
      </c>
      <c r="J318" s="1933">
        <v>80</v>
      </c>
      <c r="K318" s="1938"/>
      <c r="M318" s="1932"/>
      <c r="N318" s="1932"/>
      <c r="O318" s="1932"/>
      <c r="P318" s="1958"/>
      <c r="Q318" s="1932"/>
      <c r="R318" s="1932"/>
      <c r="S318" s="1932"/>
      <c r="T318" s="2001" t="s">
        <v>155</v>
      </c>
    </row>
    <row r="319" spans="2:20" x14ac:dyDescent="0.2">
      <c r="B319" s="1965" t="str">
        <f t="shared" si="7"/>
        <v>NonQM NOO</v>
      </c>
      <c r="C319" s="1656" t="s">
        <v>128</v>
      </c>
      <c r="D319" s="1657"/>
      <c r="E319" s="1657"/>
      <c r="F319" s="1657"/>
      <c r="G319" s="1657"/>
      <c r="H319" s="1933">
        <v>85</v>
      </c>
      <c r="I319" s="1933">
        <v>85</v>
      </c>
      <c r="J319" s="1933">
        <v>80</v>
      </c>
      <c r="K319" s="1938"/>
      <c r="M319" s="1932"/>
      <c r="N319" s="1932"/>
      <c r="O319" s="1932"/>
      <c r="P319" s="1958"/>
      <c r="Q319" s="1932"/>
      <c r="R319" s="1932"/>
      <c r="S319" s="1932"/>
      <c r="T319" s="2001" t="s">
        <v>128</v>
      </c>
    </row>
    <row r="320" spans="2:20" x14ac:dyDescent="0.2">
      <c r="B320" s="1965" t="str">
        <f t="shared" si="7"/>
        <v>NonQM NOO</v>
      </c>
      <c r="C320" s="1656" t="s">
        <v>223</v>
      </c>
      <c r="D320" s="1657"/>
      <c r="E320" s="1657"/>
      <c r="F320" s="1657"/>
      <c r="G320" s="1657"/>
      <c r="H320" s="1933">
        <v>85</v>
      </c>
      <c r="I320" s="1933">
        <v>85</v>
      </c>
      <c r="J320" s="1933">
        <v>80</v>
      </c>
      <c r="K320" s="1938"/>
      <c r="M320" s="1932"/>
      <c r="N320" s="1932"/>
      <c r="O320" s="1957" t="str">
        <f>IF(AND(Input_Product=EligOverlay!B320,Input_PropertyType=EligOverlay!C320),IF(Input_Purpose="Purchase",EligOverlay!H320,IF(Input_Purpose="Rate-Term",EligOverlay!I320,IF(Input_Purpose="Cash-Out",EligOverlay!J320,""))),"")</f>
        <v/>
      </c>
      <c r="P320" s="1958"/>
      <c r="Q320" s="1932"/>
      <c r="R320" s="1932"/>
      <c r="S320" s="1932"/>
      <c r="T320" s="2001" t="str">
        <f t="shared" ref="T320:T341" si="8">C320</f>
        <v>Condo-Site</v>
      </c>
    </row>
    <row r="321" spans="2:23" x14ac:dyDescent="0.2">
      <c r="B321" s="1965" t="str">
        <f t="shared" si="7"/>
        <v>NonQM NOO</v>
      </c>
      <c r="C321" s="1656" t="s">
        <v>133</v>
      </c>
      <c r="D321" s="1657"/>
      <c r="E321" s="1657"/>
      <c r="F321" s="1657"/>
      <c r="G321" s="1657"/>
      <c r="H321" s="1933">
        <v>80</v>
      </c>
      <c r="I321" s="1933">
        <v>80</v>
      </c>
      <c r="J321" s="1933">
        <v>75</v>
      </c>
      <c r="K321" s="1938"/>
      <c r="M321" s="1932"/>
      <c r="N321" s="1932"/>
      <c r="O321" s="1957" t="str">
        <f>IF(AND(Input_Product=EligOverlay!B321,Input_PropertyType=EligOverlay!C321),IF(Input_Purpose="Purchase",EligOverlay!H321,IF(Input_Purpose="Rate-Term",EligOverlay!I321,IF(Input_Purpose="Cash-Out",EligOverlay!J321,""))),"")</f>
        <v/>
      </c>
      <c r="P321" s="1958"/>
      <c r="Q321" s="1932"/>
      <c r="R321" s="1932"/>
      <c r="S321" s="1932"/>
      <c r="T321" s="2001" t="str">
        <f t="shared" si="8"/>
        <v>2-Unit</v>
      </c>
    </row>
    <row r="322" spans="2:23" x14ac:dyDescent="0.2">
      <c r="B322" s="1965" t="str">
        <f t="shared" si="7"/>
        <v>NonQM NOO</v>
      </c>
      <c r="C322" s="1656" t="s">
        <v>134</v>
      </c>
      <c r="D322" s="1657"/>
      <c r="E322" s="1657"/>
      <c r="F322" s="1657"/>
      <c r="G322" s="1657"/>
      <c r="H322" s="1933">
        <v>80</v>
      </c>
      <c r="I322" s="1933">
        <v>80</v>
      </c>
      <c r="J322" s="1933">
        <v>75</v>
      </c>
      <c r="K322" s="1938"/>
      <c r="M322" s="1932"/>
      <c r="N322" s="1932"/>
      <c r="O322" s="1957" t="str">
        <f>IF(AND(Input_Product=EligOverlay!B322,Input_PropertyType=EligOverlay!C322),IF(Input_Purpose="Purchase",EligOverlay!H322,IF(Input_Purpose="Rate-Term",EligOverlay!I322,IF(Input_Purpose="Cash-Out",EligOverlay!J322,""))),"")</f>
        <v/>
      </c>
      <c r="P322" s="1958"/>
      <c r="Q322" s="1932"/>
      <c r="R322" s="1932"/>
      <c r="S322" s="1932"/>
      <c r="T322" s="2001" t="str">
        <f t="shared" si="8"/>
        <v>3-Unit</v>
      </c>
    </row>
    <row r="323" spans="2:23" x14ac:dyDescent="0.2">
      <c r="B323" s="1965" t="str">
        <f t="shared" si="7"/>
        <v>NonQM NOO</v>
      </c>
      <c r="C323" s="1656" t="s">
        <v>135</v>
      </c>
      <c r="D323" s="1657"/>
      <c r="E323" s="1657"/>
      <c r="F323" s="1657"/>
      <c r="G323" s="1657"/>
      <c r="H323" s="1933">
        <v>80</v>
      </c>
      <c r="I323" s="1933">
        <v>80</v>
      </c>
      <c r="J323" s="1933">
        <v>75</v>
      </c>
      <c r="K323" s="1938"/>
      <c r="M323" s="1932"/>
      <c r="N323" s="1932"/>
      <c r="O323" s="1957" t="str">
        <f>IF(AND(Input_Product=EligOverlay!B323,Input_PropertyType=EligOverlay!C323),IF(Input_Purpose="Purchase",EligOverlay!H323,IF(Input_Purpose="Rate-Term",EligOverlay!I323,IF(Input_Purpose="Cash-Out",EligOverlay!J323,""))),"")</f>
        <v/>
      </c>
      <c r="P323" s="1958"/>
      <c r="Q323" s="1932"/>
      <c r="R323" s="1932"/>
      <c r="S323" s="1932"/>
      <c r="T323" s="2001" t="str">
        <f t="shared" si="8"/>
        <v>4-Unit</v>
      </c>
    </row>
    <row r="324" spans="2:23" x14ac:dyDescent="0.2">
      <c r="B324" s="1965" t="str">
        <f t="shared" si="7"/>
        <v>NonQM NOO</v>
      </c>
      <c r="C324" s="1656" t="s">
        <v>131</v>
      </c>
      <c r="D324" s="1657"/>
      <c r="E324" s="1657"/>
      <c r="F324" s="1657"/>
      <c r="G324" s="1657"/>
      <c r="H324" s="1933">
        <v>85</v>
      </c>
      <c r="I324" s="1933">
        <v>85</v>
      </c>
      <c r="J324" s="1933">
        <v>80</v>
      </c>
      <c r="K324" s="1938"/>
      <c r="M324" s="1932"/>
      <c r="N324" s="1932"/>
      <c r="O324" s="1957" t="str">
        <f>IF(AND(Input_Product=EligOverlay!B324,Input_PropertyType=EligOverlay!C324),IF(Input_Purpose="Purchase",EligOverlay!H324,IF(Input_Purpose="Rate-Term",EligOverlay!I324,IF(Input_Purpose="Cash-Out",EligOverlay!J324,""))),"")</f>
        <v/>
      </c>
      <c r="P324" s="1958"/>
      <c r="Q324" s="1932"/>
      <c r="R324" s="1932"/>
      <c r="S324" s="1932"/>
      <c r="T324" s="2001" t="str">
        <f t="shared" si="8"/>
        <v>Condo-Warrantable</v>
      </c>
    </row>
    <row r="325" spans="2:23" x14ac:dyDescent="0.2">
      <c r="B325" s="1965" t="str">
        <f t="shared" si="7"/>
        <v>NonQM NOO</v>
      </c>
      <c r="C325" s="1656" t="s">
        <v>132</v>
      </c>
      <c r="D325" s="1657"/>
      <c r="E325" s="1657"/>
      <c r="F325" s="1657"/>
      <c r="G325" s="1657"/>
      <c r="H325" s="1933">
        <v>80</v>
      </c>
      <c r="I325" s="1933">
        <v>80</v>
      </c>
      <c r="J325" s="1933">
        <v>75</v>
      </c>
      <c r="K325" s="1938"/>
      <c r="M325" s="1932"/>
      <c r="N325" s="1932"/>
      <c r="O325" s="1957" t="str">
        <f>IF(AND(Input_Product=EligOverlay!B325,Input_PropertyType=EligOverlay!C325),IF(Input_Purpose="Purchase",EligOverlay!H325,IF(Input_Purpose="Rate-Term",EligOverlay!I325,IF(Input_Purpose="Cash-Out",EligOverlay!J325,""))),"")</f>
        <v/>
      </c>
      <c r="P325" s="1958"/>
      <c r="Q325" s="1932"/>
      <c r="R325" s="1932"/>
      <c r="S325" s="1932"/>
      <c r="T325" s="2001" t="str">
        <f t="shared" si="8"/>
        <v>Condo-NonWarrantable</v>
      </c>
    </row>
    <row r="326" spans="2:23" x14ac:dyDescent="0.2">
      <c r="B326" s="1965" t="str">
        <f t="shared" si="7"/>
        <v>NonQM NOO</v>
      </c>
      <c r="C326" s="1656" t="s">
        <v>1630</v>
      </c>
      <c r="D326" s="1657"/>
      <c r="E326" s="1657"/>
      <c r="F326" s="1657"/>
      <c r="G326" s="1657"/>
      <c r="H326" s="1658">
        <v>75</v>
      </c>
      <c r="I326" s="1658">
        <v>75</v>
      </c>
      <c r="J326" s="1933">
        <v>70</v>
      </c>
      <c r="K326" s="2128">
        <v>2000000</v>
      </c>
      <c r="M326" s="1955" t="str">
        <f>IF(AND(Input_Product=EligOverlay!B326,Input_PropertyType=EligOverlay!C326,Input_LoanAmt&gt;EligOverlay!K326),K326,"")</f>
        <v/>
      </c>
      <c r="N326" s="1932"/>
      <c r="O326" s="1957" t="str">
        <f>IF(AND(Input_Product=EligOverlay!B326,Input_PropertyType=EligOverlay!C326),IF(Input_Purpose="Purchase",EligOverlay!H326,IF(Input_Purpose="Rate-Term",EligOverlay!I326,IF(Input_Purpose="Cash-Out",EligOverlay!J326,""))),"")</f>
        <v/>
      </c>
      <c r="P326" s="1958"/>
      <c r="Q326" s="1932"/>
      <c r="R326" s="1932"/>
      <c r="S326" s="1932"/>
      <c r="T326" s="2001" t="str">
        <f t="shared" si="8"/>
        <v>Condotel</v>
      </c>
    </row>
    <row r="327" spans="2:23" x14ac:dyDescent="0.2">
      <c r="B327" s="1965" t="str">
        <f t="shared" si="7"/>
        <v>NonQM NOO</v>
      </c>
      <c r="C327" s="1656" t="s">
        <v>153</v>
      </c>
      <c r="D327" s="1657"/>
      <c r="E327" s="1657"/>
      <c r="F327" s="1657"/>
      <c r="G327" s="1657"/>
      <c r="H327" s="1933">
        <v>85</v>
      </c>
      <c r="I327" s="1933">
        <v>85</v>
      </c>
      <c r="J327" s="1933">
        <v>80</v>
      </c>
      <c r="K327" s="1938"/>
      <c r="M327" s="1932"/>
      <c r="N327" s="1932"/>
      <c r="O327" s="1957" t="str">
        <f>IF(AND(Input_Product=EligOverlay!B327,Input_PropertyType=EligOverlay!C327),IF(Input_Purpose="Purchase",EligOverlay!H327,IF(Input_Purpose="Rate-Term",EligOverlay!I327,IF(Input_Purpose="Cash-Out",EligOverlay!J327,""))),"")</f>
        <v/>
      </c>
      <c r="P327" s="1958"/>
      <c r="Q327" s="1932"/>
      <c r="R327" s="1932"/>
      <c r="S327" s="1932"/>
      <c r="T327" s="2001" t="str">
        <f t="shared" si="8"/>
        <v>Townhouse</v>
      </c>
    </row>
    <row r="328" spans="2:23" x14ac:dyDescent="0.2">
      <c r="B328" s="1965" t="str">
        <f t="shared" si="7"/>
        <v>NonQM NOO</v>
      </c>
      <c r="C328" s="1656" t="s">
        <v>154</v>
      </c>
      <c r="D328" s="1657"/>
      <c r="E328" s="1657"/>
      <c r="F328" s="1657"/>
      <c r="G328" s="1657"/>
      <c r="H328" s="1933">
        <v>85</v>
      </c>
      <c r="I328" s="1933">
        <v>85</v>
      </c>
      <c r="J328" s="1933">
        <v>80</v>
      </c>
      <c r="K328" s="1938"/>
      <c r="M328" s="1932"/>
      <c r="N328" s="1932"/>
      <c r="O328" s="1957" t="str">
        <f>IF(AND(Input_Product=EligOverlay!B328,Input_PropertyType=EligOverlay!C328),IF(Input_Purpose="Purchase",EligOverlay!H328,IF(Input_Purpose="Rate-Term",EligOverlay!I328,IF(Input_Purpose="Cash-Out",EligOverlay!J328,""))),"")</f>
        <v/>
      </c>
      <c r="P328" s="1958"/>
      <c r="Q328" s="1932"/>
      <c r="R328" s="1932"/>
      <c r="S328" s="1932"/>
      <c r="T328" s="2001" t="str">
        <f t="shared" si="8"/>
        <v>Rowhouse</v>
      </c>
    </row>
    <row r="329" spans="2:23" x14ac:dyDescent="0.2">
      <c r="B329" s="1965" t="str">
        <f t="shared" si="7"/>
        <v>NonQM NOO</v>
      </c>
      <c r="C329" s="1656" t="s">
        <v>19</v>
      </c>
      <c r="D329" s="1657"/>
      <c r="E329" s="1657"/>
      <c r="F329" s="1657"/>
      <c r="G329" s="1657"/>
      <c r="H329" s="1933">
        <v>80</v>
      </c>
      <c r="I329" s="1933">
        <v>80</v>
      </c>
      <c r="J329" s="1933">
        <v>75</v>
      </c>
      <c r="K329" s="1938"/>
      <c r="M329" s="1932"/>
      <c r="N329" s="1932"/>
      <c r="O329" s="1957" t="str">
        <f>IF(AND(Input_Product=EligOverlay!B329,Input_PropertyType=EligOverlay!C329),IF(Input_Purpose="Purchase",EligOverlay!H329,IF(Input_Purpose="Rate-Term",EligOverlay!I329,IF(Input_Purpose="Cash-Out",EligOverlay!J329,""))),"")</f>
        <v/>
      </c>
      <c r="P329" s="1958"/>
      <c r="Q329" s="1932"/>
      <c r="R329" s="1932"/>
      <c r="S329" s="1932"/>
      <c r="T329" s="2001" t="str">
        <f t="shared" si="8"/>
        <v>Modular</v>
      </c>
      <c r="W329" s="226" t="s">
        <v>1627</v>
      </c>
    </row>
    <row r="330" spans="2:23" x14ac:dyDescent="0.2">
      <c r="B330" s="1965" t="str">
        <f t="shared" si="7"/>
        <v>NonQM NOO</v>
      </c>
      <c r="C330" s="1656" t="s">
        <v>130</v>
      </c>
      <c r="D330" s="1657"/>
      <c r="E330" s="1657"/>
      <c r="F330" s="1657"/>
      <c r="G330" s="1657"/>
      <c r="H330" s="1658">
        <v>0.01</v>
      </c>
      <c r="I330" s="1658">
        <v>0.01</v>
      </c>
      <c r="J330" s="1658">
        <v>0.01</v>
      </c>
      <c r="K330" s="1938"/>
      <c r="M330" s="1932"/>
      <c r="N330" s="1932"/>
      <c r="O330" s="1957" t="str">
        <f>IF(AND(Input_Product=EligOverlay!B330,Input_PropertyType=EligOverlay!C330),IF(Input_Purpose="Purchase",EligOverlay!H330,IF(Input_Purpose="Rate-Term",EligOverlay!I330,IF(Input_Purpose="Cash-Out",EligOverlay!J330,""))),"")</f>
        <v/>
      </c>
      <c r="P330" s="1958"/>
      <c r="Q330" s="1932"/>
      <c r="R330" s="1932"/>
      <c r="S330" s="1932"/>
      <c r="T330" s="2001" t="str">
        <f t="shared" si="8"/>
        <v>Log Home</v>
      </c>
    </row>
    <row r="331" spans="2:23" x14ac:dyDescent="0.2">
      <c r="B331" s="1965" t="str">
        <f t="shared" si="7"/>
        <v>NonQM NOO</v>
      </c>
      <c r="C331" s="1656" t="s">
        <v>233</v>
      </c>
      <c r="D331" s="1657"/>
      <c r="E331" s="1657"/>
      <c r="F331" s="1657"/>
      <c r="G331" s="1657"/>
      <c r="H331" s="1658">
        <v>0.01</v>
      </c>
      <c r="I331" s="1658">
        <v>0.01</v>
      </c>
      <c r="J331" s="1658">
        <v>0.01</v>
      </c>
      <c r="K331" s="1938"/>
      <c r="M331" s="1932"/>
      <c r="N331" s="1932"/>
      <c r="O331" s="1957" t="str">
        <f>IF(AND(Input_Product=EligOverlay!B331,Input_PropertyType=EligOverlay!C331),IF(Input_Purpose="Purchase",EligOverlay!H331,IF(Input_Purpose="Rate-Term",EligOverlay!I331,IF(Input_Purpose="Cash-Out",EligOverlay!J331,""))),"")</f>
        <v/>
      </c>
      <c r="P331" s="1958"/>
      <c r="Q331" s="1932"/>
      <c r="R331" s="1932"/>
      <c r="S331" s="1932"/>
      <c r="T331" s="2001" t="str">
        <f t="shared" si="8"/>
        <v>5-Unit</v>
      </c>
    </row>
    <row r="332" spans="2:23" x14ac:dyDescent="0.2">
      <c r="B332" s="1965" t="str">
        <f t="shared" si="7"/>
        <v>NonQM NOO</v>
      </c>
      <c r="C332" s="1656" t="s">
        <v>234</v>
      </c>
      <c r="D332" s="1657"/>
      <c r="E332" s="1657"/>
      <c r="F332" s="1657"/>
      <c r="G332" s="1657"/>
      <c r="H332" s="1658">
        <v>0.01</v>
      </c>
      <c r="I332" s="1658">
        <v>0.01</v>
      </c>
      <c r="J332" s="1658">
        <v>0.01</v>
      </c>
      <c r="K332" s="1938"/>
      <c r="M332" s="1932"/>
      <c r="N332" s="1932"/>
      <c r="O332" s="1957" t="str">
        <f>IF(AND(Input_Product=EligOverlay!B332,Input_PropertyType=EligOverlay!C332),IF(Input_Purpose="Purchase",EligOverlay!H332,IF(Input_Purpose="Rate-Term",EligOverlay!I332,IF(Input_Purpose="Cash-Out",EligOverlay!J332,""))),"")</f>
        <v/>
      </c>
      <c r="P332" s="1958"/>
      <c r="Q332" s="1932"/>
      <c r="R332" s="1932"/>
      <c r="S332" s="1932"/>
      <c r="T332" s="2001" t="str">
        <f t="shared" si="8"/>
        <v>6-Unit</v>
      </c>
    </row>
    <row r="333" spans="2:23" x14ac:dyDescent="0.2">
      <c r="B333" s="1965" t="str">
        <f t="shared" si="7"/>
        <v>NonQM NOO</v>
      </c>
      <c r="C333" s="1656" t="s">
        <v>235</v>
      </c>
      <c r="D333" s="1657"/>
      <c r="E333" s="1657"/>
      <c r="F333" s="1657"/>
      <c r="G333" s="1657"/>
      <c r="H333" s="1658">
        <v>0.01</v>
      </c>
      <c r="I333" s="1658">
        <v>0.01</v>
      </c>
      <c r="J333" s="1658">
        <v>0.01</v>
      </c>
      <c r="K333" s="1938"/>
      <c r="M333" s="1932"/>
      <c r="N333" s="1932"/>
      <c r="O333" s="1957" t="str">
        <f>IF(AND(Input_Product=EligOverlay!B333,Input_PropertyType=EligOverlay!C333),IF(Input_Purpose="Purchase",EligOverlay!H333,IF(Input_Purpose="Rate-Term",EligOverlay!I333,IF(Input_Purpose="Cash-Out",EligOverlay!J333,""))),"")</f>
        <v/>
      </c>
      <c r="P333" s="1958"/>
      <c r="Q333" s="1932"/>
      <c r="R333" s="1932"/>
      <c r="S333" s="1932"/>
      <c r="T333" s="2001" t="str">
        <f t="shared" si="8"/>
        <v>7-Unit</v>
      </c>
    </row>
    <row r="334" spans="2:23" x14ac:dyDescent="0.2">
      <c r="B334" s="1965" t="str">
        <f t="shared" si="7"/>
        <v>NonQM NOO</v>
      </c>
      <c r="C334" s="1656" t="s">
        <v>236</v>
      </c>
      <c r="D334" s="1657"/>
      <c r="E334" s="1657"/>
      <c r="F334" s="1657"/>
      <c r="G334" s="1657"/>
      <c r="H334" s="1658">
        <v>0.01</v>
      </c>
      <c r="I334" s="1658">
        <v>0.01</v>
      </c>
      <c r="J334" s="1658">
        <v>0.01</v>
      </c>
      <c r="K334" s="1938"/>
      <c r="M334" s="1932"/>
      <c r="N334" s="1932"/>
      <c r="O334" s="1957" t="str">
        <f>IF(AND(Input_Product=EligOverlay!B334,Input_PropertyType=EligOverlay!C334),IF(Input_Purpose="Purchase",EligOverlay!H334,IF(Input_Purpose="Rate-Term",EligOverlay!I334,IF(Input_Purpose="Cash-Out",EligOverlay!J334,""))),"")</f>
        <v/>
      </c>
      <c r="P334" s="1958"/>
      <c r="Q334" s="1932"/>
      <c r="R334" s="1932"/>
      <c r="S334" s="1932"/>
      <c r="T334" s="2001" t="str">
        <f t="shared" si="8"/>
        <v>8-Unit</v>
      </c>
    </row>
    <row r="335" spans="2:23" x14ac:dyDescent="0.2">
      <c r="B335" s="1965" t="str">
        <f t="shared" si="7"/>
        <v>NonQM NOO</v>
      </c>
      <c r="C335" s="1656" t="s">
        <v>240</v>
      </c>
      <c r="D335" s="1657"/>
      <c r="E335" s="1657"/>
      <c r="F335" s="1657"/>
      <c r="G335" s="1657"/>
      <c r="H335" s="1658">
        <v>0.01</v>
      </c>
      <c r="I335" s="1658">
        <v>0.01</v>
      </c>
      <c r="J335" s="1658">
        <v>0.01</v>
      </c>
      <c r="K335" s="1938"/>
      <c r="M335" s="1932"/>
      <c r="N335" s="1932"/>
      <c r="O335" s="1957" t="str">
        <f>IF(AND(Input_Product=EligOverlay!B335,Input_PropertyType=EligOverlay!C335),IF(Input_Purpose="Purchase",EligOverlay!H335,IF(Input_Purpose="Rate-Term",EligOverlay!I335,IF(Input_Purpose="Cash-Out",EligOverlay!J335,""))),"")</f>
        <v/>
      </c>
      <c r="P335" s="1958"/>
      <c r="Q335" s="1932"/>
      <c r="R335" s="1932"/>
      <c r="S335" s="1932"/>
      <c r="T335" s="2001" t="str">
        <f t="shared" si="8"/>
        <v>2-Unit Mixed Use</v>
      </c>
    </row>
    <row r="336" spans="2:23" x14ac:dyDescent="0.2">
      <c r="B336" s="1965" t="str">
        <f t="shared" si="7"/>
        <v>NonQM NOO</v>
      </c>
      <c r="C336" s="1656" t="s">
        <v>241</v>
      </c>
      <c r="D336" s="1657"/>
      <c r="E336" s="1657"/>
      <c r="F336" s="1657"/>
      <c r="G336" s="1657"/>
      <c r="H336" s="1658">
        <v>0.01</v>
      </c>
      <c r="I336" s="1658">
        <v>0.01</v>
      </c>
      <c r="J336" s="1658">
        <v>0.01</v>
      </c>
      <c r="K336" s="1938"/>
      <c r="M336" s="1932"/>
      <c r="N336" s="1932"/>
      <c r="O336" s="1957" t="str">
        <f>IF(AND(Input_Product=EligOverlay!B336,Input_PropertyType=EligOverlay!C336),IF(Input_Purpose="Purchase",EligOverlay!H336,IF(Input_Purpose="Rate-Term",EligOverlay!I336,IF(Input_Purpose="Cash-Out",EligOverlay!J336,""))),"")</f>
        <v/>
      </c>
      <c r="P336" s="1958"/>
      <c r="Q336" s="1932"/>
      <c r="R336" s="1932"/>
      <c r="S336" s="1932"/>
      <c r="T336" s="2001" t="str">
        <f t="shared" si="8"/>
        <v>3-Unit Mixed Use</v>
      </c>
    </row>
    <row r="337" spans="2:20" x14ac:dyDescent="0.2">
      <c r="B337" s="1965" t="str">
        <f t="shared" si="7"/>
        <v>NonQM NOO</v>
      </c>
      <c r="C337" s="1656" t="s">
        <v>242</v>
      </c>
      <c r="D337" s="1657"/>
      <c r="E337" s="1657"/>
      <c r="F337" s="1657"/>
      <c r="G337" s="1657"/>
      <c r="H337" s="1658">
        <v>0.01</v>
      </c>
      <c r="I337" s="1658">
        <v>0.01</v>
      </c>
      <c r="J337" s="1658">
        <v>0.01</v>
      </c>
      <c r="K337" s="1938"/>
      <c r="M337" s="1932"/>
      <c r="N337" s="1932"/>
      <c r="O337" s="1957" t="str">
        <f>IF(AND(Input_Product=EligOverlay!B337,Input_PropertyType=EligOverlay!C337),IF(Input_Purpose="Purchase",EligOverlay!H337,IF(Input_Purpose="Rate-Term",EligOverlay!I337,IF(Input_Purpose="Cash-Out",EligOverlay!J337,""))),"")</f>
        <v/>
      </c>
      <c r="P337" s="1958"/>
      <c r="Q337" s="1932"/>
      <c r="R337" s="1932"/>
      <c r="S337" s="1932"/>
      <c r="T337" s="2001" t="str">
        <f t="shared" si="8"/>
        <v>4-Unit Mixed Use</v>
      </c>
    </row>
    <row r="338" spans="2:20" x14ac:dyDescent="0.2">
      <c r="B338" s="1965" t="str">
        <f t="shared" si="7"/>
        <v>NonQM NOO</v>
      </c>
      <c r="C338" s="1939" t="s">
        <v>243</v>
      </c>
      <c r="D338" s="1657"/>
      <c r="E338" s="1657"/>
      <c r="F338" s="1657"/>
      <c r="G338" s="1657"/>
      <c r="H338" s="1658">
        <v>0.01</v>
      </c>
      <c r="I338" s="1658">
        <v>0.01</v>
      </c>
      <c r="J338" s="1658">
        <v>0.01</v>
      </c>
      <c r="K338" s="1938"/>
      <c r="M338" s="1932"/>
      <c r="N338" s="1932"/>
      <c r="O338" s="1957" t="str">
        <f>IF(AND(Input_Product=EligOverlay!B338,Input_PropertyType=EligOverlay!C338),IF(Input_Purpose="Purchase",EligOverlay!H338,IF(Input_Purpose="Rate-Term",EligOverlay!I338,IF(Input_Purpose="Cash-Out",EligOverlay!J338,""))),"")</f>
        <v/>
      </c>
      <c r="P338" s="1958"/>
      <c r="Q338" s="1932"/>
      <c r="R338" s="1932"/>
      <c r="S338" s="1932"/>
      <c r="T338" s="2001" t="str">
        <f t="shared" si="8"/>
        <v>5-Unit Mixed Use</v>
      </c>
    </row>
    <row r="339" spans="2:20" x14ac:dyDescent="0.2">
      <c r="B339" s="1965" t="str">
        <f t="shared" si="7"/>
        <v>NonQM NOO</v>
      </c>
      <c r="C339" s="1939" t="s">
        <v>244</v>
      </c>
      <c r="D339" s="1657"/>
      <c r="E339" s="1657"/>
      <c r="F339" s="1657"/>
      <c r="G339" s="1657"/>
      <c r="H339" s="1658">
        <v>0.01</v>
      </c>
      <c r="I339" s="1658">
        <v>0.01</v>
      </c>
      <c r="J339" s="1658">
        <v>0.01</v>
      </c>
      <c r="K339" s="1938"/>
      <c r="M339" s="1932"/>
      <c r="N339" s="1932"/>
      <c r="O339" s="1957" t="str">
        <f>IF(AND(Input_Product=EligOverlay!B339,Input_PropertyType=EligOverlay!C339),IF(Input_Purpose="Purchase",EligOverlay!H339,IF(Input_Purpose="Rate-Term",EligOverlay!I339,IF(Input_Purpose="Cash-Out",EligOverlay!J339,""))),"")</f>
        <v/>
      </c>
      <c r="P339" s="1958"/>
      <c r="Q339" s="1932"/>
      <c r="R339" s="1932"/>
      <c r="S339" s="1932"/>
      <c r="T339" s="2001" t="str">
        <f t="shared" si="8"/>
        <v>6-Unit Mixed Use</v>
      </c>
    </row>
    <row r="340" spans="2:20" x14ac:dyDescent="0.2">
      <c r="B340" s="1965" t="str">
        <f t="shared" si="7"/>
        <v>NonQM NOO</v>
      </c>
      <c r="C340" s="1940" t="s">
        <v>245</v>
      </c>
      <c r="D340" s="1657"/>
      <c r="E340" s="1657"/>
      <c r="F340" s="1657"/>
      <c r="G340" s="1657"/>
      <c r="H340" s="1658">
        <v>0.01</v>
      </c>
      <c r="I340" s="1658">
        <v>0.01</v>
      </c>
      <c r="J340" s="1658">
        <v>0.01</v>
      </c>
      <c r="K340" s="1938"/>
      <c r="M340" s="1932"/>
      <c r="N340" s="1932"/>
      <c r="O340" s="1957" t="str">
        <f>IF(AND(Input_Product=EligOverlay!B340,Input_PropertyType=EligOverlay!C340),IF(Input_Purpose="Purchase",EligOverlay!H340,IF(Input_Purpose="Rate-Term",EligOverlay!I340,IF(Input_Purpose="Cash-Out",EligOverlay!J340,""))),"")</f>
        <v/>
      </c>
      <c r="P340" s="1958"/>
      <c r="Q340" s="1932"/>
      <c r="R340" s="1932"/>
      <c r="S340" s="1932"/>
      <c r="T340" s="2001" t="str">
        <f t="shared" si="8"/>
        <v>7-Unit Mixed Use</v>
      </c>
    </row>
    <row r="341" spans="2:20" x14ac:dyDescent="0.2">
      <c r="B341" s="1965" t="str">
        <f t="shared" si="7"/>
        <v>NonQM NOO</v>
      </c>
      <c r="C341" s="1656" t="s">
        <v>246</v>
      </c>
      <c r="D341" s="1657"/>
      <c r="E341" s="1657"/>
      <c r="F341" s="1657"/>
      <c r="G341" s="1657"/>
      <c r="H341" s="1658">
        <v>0.01</v>
      </c>
      <c r="I341" s="1658">
        <v>0.01</v>
      </c>
      <c r="J341" s="1658">
        <v>0.01</v>
      </c>
      <c r="K341" s="1938"/>
      <c r="M341" s="1932"/>
      <c r="N341" s="1932"/>
      <c r="O341" s="1957" t="str">
        <f>IF(AND(Input_Product=EligOverlay!B341,Input_PropertyType=EligOverlay!C341),IF(Input_Purpose="Purchase",EligOverlay!H341,IF(Input_Purpose="Rate-Term",EligOverlay!I341,IF(Input_Purpose="Cash-Out",EligOverlay!J341,""))),"")</f>
        <v/>
      </c>
      <c r="P341" s="1958"/>
      <c r="Q341" s="1932"/>
      <c r="R341" s="1932"/>
      <c r="S341" s="1932"/>
      <c r="T341" s="2001" t="str">
        <f t="shared" si="8"/>
        <v>8-Unit Mixed Use</v>
      </c>
    </row>
    <row r="342" spans="2:20" x14ac:dyDescent="0.2">
      <c r="B342" s="1977" t="str">
        <f t="shared" ref="B342:B367" si="9">Input_Name_Product13</f>
        <v xml:space="preserve">  </v>
      </c>
      <c r="C342" s="1656" t="s">
        <v>83</v>
      </c>
      <c r="D342" s="1657"/>
      <c r="E342" s="1657"/>
      <c r="F342" s="1657"/>
      <c r="G342" s="1657"/>
      <c r="H342" s="1658">
        <v>85</v>
      </c>
      <c r="I342" s="1658">
        <v>85</v>
      </c>
      <c r="J342" s="1658">
        <v>80</v>
      </c>
      <c r="K342" s="1938"/>
      <c r="M342" s="1932"/>
      <c r="N342" s="1932"/>
      <c r="O342" s="1932"/>
      <c r="P342" s="1958"/>
      <c r="Q342" s="1932"/>
      <c r="R342" s="1932"/>
      <c r="S342" s="1932"/>
      <c r="T342" s="1968"/>
    </row>
    <row r="343" spans="2:20" x14ac:dyDescent="0.2">
      <c r="B343" s="1977" t="str">
        <f t="shared" si="9"/>
        <v xml:space="preserve">  </v>
      </c>
      <c r="C343" s="1656" t="s">
        <v>1635</v>
      </c>
      <c r="D343" s="1657"/>
      <c r="E343" s="1657"/>
      <c r="F343" s="1657"/>
      <c r="G343" s="1657"/>
      <c r="H343" s="1658">
        <v>85</v>
      </c>
      <c r="I343" s="1658">
        <v>85</v>
      </c>
      <c r="J343" s="1658">
        <v>80</v>
      </c>
      <c r="K343" s="1938"/>
      <c r="M343" s="1932"/>
      <c r="N343" s="1932"/>
      <c r="O343" s="1957" t="str">
        <f>IF(AND(Input_Product=EligOverlay!B343,Input_PropertyType=EligOverlay!C343),IF(Input_Purpose="Purchase",EligOverlay!H343,IF(Input_Purpose="Rate-Term",EligOverlay!I343,IF(Input_Purpose="Cash-Out",EligOverlay!J343,""))),"")</f>
        <v/>
      </c>
      <c r="P343" s="1958"/>
      <c r="Q343" s="1932"/>
      <c r="R343" s="1932"/>
      <c r="S343" s="1932"/>
      <c r="T343" s="2001" t="str">
        <f>C343</f>
        <v>SFR-Rural</v>
      </c>
    </row>
    <row r="344" spans="2:20" x14ac:dyDescent="0.2">
      <c r="B344" s="1977" t="str">
        <f t="shared" si="9"/>
        <v xml:space="preserve">  </v>
      </c>
      <c r="C344" s="1656" t="s">
        <v>155</v>
      </c>
      <c r="D344" s="1657"/>
      <c r="E344" s="1657"/>
      <c r="F344" s="1657"/>
      <c r="G344" s="1657"/>
      <c r="H344" s="1658">
        <v>85</v>
      </c>
      <c r="I344" s="1658">
        <v>85</v>
      </c>
      <c r="J344" s="1658">
        <v>80</v>
      </c>
      <c r="K344" s="1938"/>
      <c r="M344" s="1932"/>
      <c r="N344" s="1932"/>
      <c r="O344" s="1932"/>
      <c r="P344" s="1958"/>
      <c r="Q344" s="1932"/>
      <c r="R344" s="1932"/>
      <c r="S344" s="1932"/>
      <c r="T344" s="1968"/>
    </row>
    <row r="345" spans="2:20" x14ac:dyDescent="0.2">
      <c r="B345" s="1977" t="str">
        <f t="shared" si="9"/>
        <v xml:space="preserve">  </v>
      </c>
      <c r="C345" s="1656" t="s">
        <v>128</v>
      </c>
      <c r="D345" s="1657"/>
      <c r="E345" s="1657"/>
      <c r="F345" s="1657"/>
      <c r="G345" s="1657"/>
      <c r="H345" s="1658">
        <v>85</v>
      </c>
      <c r="I345" s="1658">
        <v>85</v>
      </c>
      <c r="J345" s="1658">
        <v>80</v>
      </c>
      <c r="K345" s="1938"/>
      <c r="M345" s="1932"/>
      <c r="N345" s="1932"/>
      <c r="O345" s="1932"/>
      <c r="P345" s="1958"/>
      <c r="Q345" s="1932"/>
      <c r="R345" s="1932"/>
      <c r="S345" s="1932"/>
      <c r="T345" s="1968"/>
    </row>
    <row r="346" spans="2:20" x14ac:dyDescent="0.2">
      <c r="B346" s="1977" t="str">
        <f t="shared" si="9"/>
        <v xml:space="preserve">  </v>
      </c>
      <c r="C346" s="1656" t="s">
        <v>223</v>
      </c>
      <c r="D346" s="1657"/>
      <c r="E346" s="1657"/>
      <c r="F346" s="1657"/>
      <c r="G346" s="1657"/>
      <c r="H346" s="1658">
        <v>85</v>
      </c>
      <c r="I346" s="1658">
        <v>85</v>
      </c>
      <c r="J346" s="1658">
        <v>80</v>
      </c>
      <c r="K346" s="1938"/>
      <c r="M346" s="1932"/>
      <c r="N346" s="1932"/>
      <c r="O346" s="1957" t="str">
        <f>IF(AND(Input_Product=EligOverlay!B346,Input_PropertyType=EligOverlay!C346),IF(Input_Purpose="Purchase",EligOverlay!H346,IF(Input_Purpose="Rate-Term",EligOverlay!I346,IF(Input_Purpose="Cash-Out",EligOverlay!J346,""))),"")</f>
        <v/>
      </c>
      <c r="P346" s="1958"/>
      <c r="Q346" s="1932"/>
      <c r="R346" s="1932"/>
      <c r="S346" s="1932"/>
      <c r="T346" s="2001" t="str">
        <f t="shared" ref="T346:T351" si="10">C346</f>
        <v>Condo-Site</v>
      </c>
    </row>
    <row r="347" spans="2:20" x14ac:dyDescent="0.2">
      <c r="B347" s="1977" t="str">
        <f t="shared" si="9"/>
        <v xml:space="preserve">  </v>
      </c>
      <c r="C347" s="1656" t="s">
        <v>133</v>
      </c>
      <c r="D347" s="1657"/>
      <c r="E347" s="1657"/>
      <c r="F347" s="1657"/>
      <c r="G347" s="1657"/>
      <c r="H347" s="1658">
        <v>80</v>
      </c>
      <c r="I347" s="1658">
        <v>80</v>
      </c>
      <c r="J347" s="1658">
        <v>80</v>
      </c>
      <c r="K347" s="1938"/>
      <c r="M347" s="1932"/>
      <c r="N347" s="1932"/>
      <c r="O347" s="1957" t="str">
        <f>IF(AND(Input_Product=EligOverlay!B347,Input_PropertyType=EligOverlay!C347),IF(Input_Purpose="Purchase",EligOverlay!H347,IF(Input_Purpose="Rate-Term",EligOverlay!I347,IF(Input_Purpose="Cash-Out",EligOverlay!J347,""))),"")</f>
        <v/>
      </c>
      <c r="P347" s="1958"/>
      <c r="Q347" s="1932"/>
      <c r="R347" s="1932"/>
      <c r="S347" s="1932"/>
      <c r="T347" s="2001" t="str">
        <f t="shared" si="10"/>
        <v>2-Unit</v>
      </c>
    </row>
    <row r="348" spans="2:20" x14ac:dyDescent="0.2">
      <c r="B348" s="1977" t="str">
        <f t="shared" si="9"/>
        <v xml:space="preserve">  </v>
      </c>
      <c r="C348" s="1656" t="s">
        <v>134</v>
      </c>
      <c r="D348" s="1657"/>
      <c r="E348" s="1657"/>
      <c r="F348" s="1657"/>
      <c r="G348" s="1657"/>
      <c r="H348" s="1658">
        <v>80</v>
      </c>
      <c r="I348" s="1658">
        <v>80</v>
      </c>
      <c r="J348" s="1658">
        <v>80</v>
      </c>
      <c r="K348" s="1938"/>
      <c r="M348" s="1932"/>
      <c r="N348" s="1932"/>
      <c r="O348" s="1957" t="str">
        <f>IF(AND(Input_Product=EligOverlay!B348,Input_PropertyType=EligOverlay!C348),IF(Input_Purpose="Purchase",EligOverlay!H348,IF(Input_Purpose="Rate-Term",EligOverlay!I348,IF(Input_Purpose="Cash-Out",EligOverlay!J348,""))),"")</f>
        <v/>
      </c>
      <c r="P348" s="1958"/>
      <c r="Q348" s="1932"/>
      <c r="R348" s="1932"/>
      <c r="S348" s="1932"/>
      <c r="T348" s="2001" t="str">
        <f t="shared" si="10"/>
        <v>3-Unit</v>
      </c>
    </row>
    <row r="349" spans="2:20" x14ac:dyDescent="0.2">
      <c r="B349" s="1977" t="str">
        <f t="shared" si="9"/>
        <v xml:space="preserve">  </v>
      </c>
      <c r="C349" s="1656" t="s">
        <v>135</v>
      </c>
      <c r="D349" s="1657"/>
      <c r="E349" s="1657"/>
      <c r="F349" s="1657"/>
      <c r="G349" s="1657"/>
      <c r="H349" s="1658">
        <v>80</v>
      </c>
      <c r="I349" s="1658">
        <v>80</v>
      </c>
      <c r="J349" s="1658">
        <v>80</v>
      </c>
      <c r="K349" s="1938"/>
      <c r="M349" s="1932"/>
      <c r="N349" s="1932"/>
      <c r="O349" s="1957" t="str">
        <f>IF(AND(Input_Product=EligOverlay!B349,Input_PropertyType=EligOverlay!C349),IF(Input_Purpose="Purchase",EligOverlay!H349,IF(Input_Purpose="Rate-Term",EligOverlay!I349,IF(Input_Purpose="Cash-Out",EligOverlay!J349,""))),"")</f>
        <v/>
      </c>
      <c r="P349" s="1958"/>
      <c r="Q349" s="1932"/>
      <c r="R349" s="1932"/>
      <c r="S349" s="1932"/>
      <c r="T349" s="2001" t="str">
        <f t="shared" si="10"/>
        <v>4-Unit</v>
      </c>
    </row>
    <row r="350" spans="2:20" x14ac:dyDescent="0.2">
      <c r="B350" s="1977" t="str">
        <f t="shared" si="9"/>
        <v xml:space="preserve">  </v>
      </c>
      <c r="C350" s="1656" t="s">
        <v>131</v>
      </c>
      <c r="D350" s="1657"/>
      <c r="E350" s="1657"/>
      <c r="F350" s="1657"/>
      <c r="G350" s="1657"/>
      <c r="H350" s="1658">
        <v>85</v>
      </c>
      <c r="I350" s="1658">
        <v>85</v>
      </c>
      <c r="J350" s="1658">
        <v>80</v>
      </c>
      <c r="K350" s="1938"/>
      <c r="M350" s="1932"/>
      <c r="N350" s="1932"/>
      <c r="O350" s="1957" t="str">
        <f>IF(AND(Input_Product=EligOverlay!B350,Input_PropertyType=EligOverlay!C350),IF(Input_Purpose="Purchase",EligOverlay!H350,IF(Input_Purpose="Rate-Term",EligOverlay!I350,IF(Input_Purpose="Cash-Out",EligOverlay!J350,""))),"")</f>
        <v/>
      </c>
      <c r="P350" s="1958"/>
      <c r="Q350" s="1932"/>
      <c r="R350" s="1932"/>
      <c r="S350" s="1932"/>
      <c r="T350" s="2001" t="str">
        <f t="shared" si="10"/>
        <v>Condo-Warrantable</v>
      </c>
    </row>
    <row r="351" spans="2:20" x14ac:dyDescent="0.2">
      <c r="B351" s="1977" t="str">
        <f t="shared" si="9"/>
        <v xml:space="preserve">  </v>
      </c>
      <c r="C351" s="1656" t="s">
        <v>132</v>
      </c>
      <c r="D351" s="1657"/>
      <c r="E351" s="1657"/>
      <c r="F351" s="1657"/>
      <c r="G351" s="1657"/>
      <c r="H351" s="1658">
        <v>80</v>
      </c>
      <c r="I351" s="1658">
        <v>80</v>
      </c>
      <c r="J351" s="1658">
        <v>80</v>
      </c>
      <c r="K351" s="1938"/>
      <c r="M351" s="1932"/>
      <c r="N351" s="1932"/>
      <c r="O351" s="1957" t="str">
        <f>IF(AND(Input_Product=EligOverlay!B351,Input_PropertyType=EligOverlay!C351),IF(Input_Purpose="Purchase",EligOverlay!H351,IF(Input_Purpose="Rate-Term",EligOverlay!I351,IF(Input_Purpose="Cash-Out",EligOverlay!J351,""))),"")</f>
        <v/>
      </c>
      <c r="P351" s="1958"/>
      <c r="Q351" s="1932"/>
      <c r="R351" s="1932"/>
      <c r="S351" s="1932"/>
      <c r="T351" s="2001" t="str">
        <f t="shared" si="10"/>
        <v>Condo-NonWarrantable</v>
      </c>
    </row>
    <row r="352" spans="2:20" x14ac:dyDescent="0.2">
      <c r="B352" s="1977" t="str">
        <f t="shared" si="9"/>
        <v xml:space="preserve">  </v>
      </c>
      <c r="C352" s="1656" t="s">
        <v>1630</v>
      </c>
      <c r="D352" s="1657"/>
      <c r="E352" s="1657"/>
      <c r="F352" s="1657"/>
      <c r="G352" s="1657"/>
      <c r="H352" s="1658">
        <v>75</v>
      </c>
      <c r="I352" s="1658">
        <v>75</v>
      </c>
      <c r="J352" s="1658">
        <v>65</v>
      </c>
      <c r="K352" s="1670">
        <v>1000000</v>
      </c>
      <c r="M352" s="1955" t="str">
        <f>IF(AND(Input_Product=EligOverlay!B352,Input_PropertyType=EligOverlay!C352,Input_LoanAmt&gt;EligOverlay!K352),K352,"")</f>
        <v/>
      </c>
      <c r="N352" s="1932"/>
      <c r="O352" s="1957" t="str">
        <f>IF(AND(Input_Product=EligOverlay!B352,Input_PropertyType=EligOverlay!C352),IF(Input_Purpose="Purchase",EligOverlay!H352,IF(Input_Purpose="Rate-Term",EligOverlay!I352,IF(Input_Purpose="Cash-Out",EligOverlay!J352,""))),"")</f>
        <v/>
      </c>
      <c r="P352" s="1958"/>
      <c r="Q352" s="1932"/>
      <c r="R352" s="1932"/>
      <c r="S352" s="1932"/>
      <c r="T352" s="2001" t="s">
        <v>2625</v>
      </c>
    </row>
    <row r="353" spans="2:23" x14ac:dyDescent="0.2">
      <c r="B353" s="1977" t="str">
        <f t="shared" si="9"/>
        <v xml:space="preserve">  </v>
      </c>
      <c r="C353" s="1656" t="s">
        <v>153</v>
      </c>
      <c r="D353" s="1657"/>
      <c r="E353" s="1657"/>
      <c r="F353" s="1657"/>
      <c r="G353" s="1657"/>
      <c r="H353" s="1658">
        <v>85</v>
      </c>
      <c r="I353" s="1658">
        <v>85</v>
      </c>
      <c r="J353" s="1658">
        <v>80</v>
      </c>
      <c r="K353" s="1938"/>
      <c r="M353" s="1932"/>
      <c r="N353" s="1932"/>
      <c r="O353" s="1957" t="str">
        <f>IF(AND(Input_Product=EligOverlay!B353,Input_PropertyType=EligOverlay!C353),IF(Input_Purpose="Purchase",EligOverlay!H353,IF(Input_Purpose="Rate-Term",EligOverlay!I353,IF(Input_Purpose="Cash-Out",EligOverlay!J353,""))),"")</f>
        <v/>
      </c>
      <c r="P353" s="1958"/>
      <c r="Q353" s="1932"/>
      <c r="R353" s="1932"/>
      <c r="S353" s="1932"/>
      <c r="T353" s="2001" t="str">
        <f t="shared" ref="T353:T367" si="11">C353</f>
        <v>Townhouse</v>
      </c>
    </row>
    <row r="354" spans="2:23" x14ac:dyDescent="0.2">
      <c r="B354" s="1977" t="str">
        <f t="shared" si="9"/>
        <v xml:space="preserve">  </v>
      </c>
      <c r="C354" s="1656" t="s">
        <v>154</v>
      </c>
      <c r="D354" s="1657"/>
      <c r="E354" s="1657"/>
      <c r="F354" s="1657"/>
      <c r="G354" s="1657"/>
      <c r="H354" s="1658">
        <v>85</v>
      </c>
      <c r="I354" s="1658">
        <v>85</v>
      </c>
      <c r="J354" s="1658">
        <v>80</v>
      </c>
      <c r="K354" s="1938"/>
      <c r="M354" s="1932"/>
      <c r="N354" s="1932"/>
      <c r="O354" s="1957" t="str">
        <f>IF(AND(Input_Product=EligOverlay!B354,Input_PropertyType=EligOverlay!C354),IF(Input_Purpose="Purchase",EligOverlay!H354,IF(Input_Purpose="Rate-Term",EligOverlay!I354,IF(Input_Purpose="Cash-Out",EligOverlay!J354,""))),"")</f>
        <v/>
      </c>
      <c r="P354" s="1958"/>
      <c r="Q354" s="1932"/>
      <c r="R354" s="1932"/>
      <c r="S354" s="1932"/>
      <c r="T354" s="2001" t="str">
        <f t="shared" si="11"/>
        <v>Rowhouse</v>
      </c>
    </row>
    <row r="355" spans="2:23" x14ac:dyDescent="0.2">
      <c r="B355" s="1977" t="str">
        <f t="shared" si="9"/>
        <v xml:space="preserve">  </v>
      </c>
      <c r="C355" s="1656" t="s">
        <v>19</v>
      </c>
      <c r="D355" s="1657"/>
      <c r="E355" s="1657"/>
      <c r="F355" s="1657"/>
      <c r="G355" s="1657"/>
      <c r="H355" s="1658">
        <v>85</v>
      </c>
      <c r="I355" s="1658">
        <v>85</v>
      </c>
      <c r="J355" s="1658">
        <v>80</v>
      </c>
      <c r="K355" s="1938"/>
      <c r="M355" s="1932"/>
      <c r="N355" s="1932"/>
      <c r="O355" s="1957" t="str">
        <f>IF(AND(Input_Product=EligOverlay!B355,Input_PropertyType=EligOverlay!C355),IF(Input_Purpose="Purchase",EligOverlay!H355,IF(Input_Purpose="Rate-Term",EligOverlay!I355,IF(Input_Purpose="Cash-Out",EligOverlay!J355,""))),"")</f>
        <v/>
      </c>
      <c r="P355" s="1958"/>
      <c r="Q355" s="1932"/>
      <c r="R355" s="1932"/>
      <c r="S355" s="1932"/>
      <c r="T355" s="2001" t="str">
        <f t="shared" si="11"/>
        <v>Modular</v>
      </c>
      <c r="W355" s="226" t="s">
        <v>1627</v>
      </c>
    </row>
    <row r="356" spans="2:23" x14ac:dyDescent="0.2">
      <c r="B356" s="1977" t="str">
        <f t="shared" si="9"/>
        <v xml:space="preserve">  </v>
      </c>
      <c r="C356" s="1656" t="s">
        <v>130</v>
      </c>
      <c r="D356" s="1657"/>
      <c r="E356" s="1657"/>
      <c r="F356" s="1657"/>
      <c r="G356" s="1657"/>
      <c r="H356" s="1658">
        <v>0.01</v>
      </c>
      <c r="I356" s="1658">
        <v>0.01</v>
      </c>
      <c r="J356" s="1658">
        <v>0.01</v>
      </c>
      <c r="K356" s="1938"/>
      <c r="M356" s="1932"/>
      <c r="N356" s="1932"/>
      <c r="O356" s="1957" t="str">
        <f>IF(AND(Input_Product=EligOverlay!B356,Input_PropertyType=EligOverlay!C356),IF(Input_Purpose="Purchase",EligOverlay!H356,IF(Input_Purpose="Rate-Term",EligOverlay!I356,IF(Input_Purpose="Cash-Out",EligOverlay!J356,""))),"")</f>
        <v/>
      </c>
      <c r="P356" s="1958"/>
      <c r="Q356" s="1932"/>
      <c r="R356" s="1932"/>
      <c r="S356" s="1932"/>
      <c r="T356" s="2001" t="str">
        <f t="shared" si="11"/>
        <v>Log Home</v>
      </c>
    </row>
    <row r="357" spans="2:23" x14ac:dyDescent="0.2">
      <c r="B357" s="1977" t="str">
        <f t="shared" si="9"/>
        <v xml:space="preserve">  </v>
      </c>
      <c r="C357" s="1656" t="s">
        <v>233</v>
      </c>
      <c r="D357" s="1657"/>
      <c r="E357" s="1657"/>
      <c r="F357" s="1657"/>
      <c r="G357" s="1657"/>
      <c r="H357" s="1658">
        <v>0.01</v>
      </c>
      <c r="I357" s="1658">
        <v>0.01</v>
      </c>
      <c r="J357" s="1658">
        <v>0.01</v>
      </c>
      <c r="K357" s="1938"/>
      <c r="M357" s="1932"/>
      <c r="N357" s="1932"/>
      <c r="O357" s="1957" t="str">
        <f>IF(AND(Input_Product=EligOverlay!B357,Input_PropertyType=EligOverlay!C357),IF(Input_Purpose="Purchase",EligOverlay!H357,IF(Input_Purpose="Rate-Term",EligOverlay!I357,IF(Input_Purpose="Cash-Out",EligOverlay!J357,""))),"")</f>
        <v/>
      </c>
      <c r="P357" s="1958"/>
      <c r="Q357" s="1932"/>
      <c r="R357" s="1932"/>
      <c r="S357" s="1932"/>
      <c r="T357" s="2001" t="str">
        <f t="shared" si="11"/>
        <v>5-Unit</v>
      </c>
    </row>
    <row r="358" spans="2:23" x14ac:dyDescent="0.2">
      <c r="B358" s="1977" t="str">
        <f t="shared" si="9"/>
        <v xml:space="preserve">  </v>
      </c>
      <c r="C358" s="1656" t="s">
        <v>234</v>
      </c>
      <c r="D358" s="1657"/>
      <c r="E358" s="1657"/>
      <c r="F358" s="1657"/>
      <c r="G358" s="1657"/>
      <c r="H358" s="1658">
        <v>0.01</v>
      </c>
      <c r="I358" s="1658">
        <v>0.01</v>
      </c>
      <c r="J358" s="1658">
        <v>0.01</v>
      </c>
      <c r="K358" s="1938"/>
      <c r="M358" s="1932"/>
      <c r="N358" s="1932"/>
      <c r="O358" s="1957" t="str">
        <f>IF(AND(Input_Product=EligOverlay!B358,Input_PropertyType=EligOverlay!C358),IF(Input_Purpose="Purchase",EligOverlay!H358,IF(Input_Purpose="Rate-Term",EligOverlay!I358,IF(Input_Purpose="Cash-Out",EligOverlay!J358,""))),"")</f>
        <v/>
      </c>
      <c r="P358" s="1958"/>
      <c r="Q358" s="1932"/>
      <c r="R358" s="1932"/>
      <c r="S358" s="1932"/>
      <c r="T358" s="2001" t="str">
        <f t="shared" si="11"/>
        <v>6-Unit</v>
      </c>
    </row>
    <row r="359" spans="2:23" x14ac:dyDescent="0.2">
      <c r="B359" s="1977" t="str">
        <f t="shared" si="9"/>
        <v xml:space="preserve">  </v>
      </c>
      <c r="C359" s="1656" t="s">
        <v>235</v>
      </c>
      <c r="D359" s="1657"/>
      <c r="E359" s="1657"/>
      <c r="F359" s="1657"/>
      <c r="G359" s="1657"/>
      <c r="H359" s="1658">
        <v>0.01</v>
      </c>
      <c r="I359" s="1658">
        <v>0.01</v>
      </c>
      <c r="J359" s="1658">
        <v>0.01</v>
      </c>
      <c r="K359" s="1938"/>
      <c r="M359" s="1932"/>
      <c r="N359" s="1932"/>
      <c r="O359" s="1957" t="str">
        <f>IF(AND(Input_Product=EligOverlay!B359,Input_PropertyType=EligOverlay!C359),IF(Input_Purpose="Purchase",EligOverlay!H359,IF(Input_Purpose="Rate-Term",EligOverlay!I359,IF(Input_Purpose="Cash-Out",EligOverlay!J359,""))),"")</f>
        <v/>
      </c>
      <c r="P359" s="1958"/>
      <c r="Q359" s="1932"/>
      <c r="R359" s="1932"/>
      <c r="S359" s="1932"/>
      <c r="T359" s="2001" t="str">
        <f t="shared" si="11"/>
        <v>7-Unit</v>
      </c>
    </row>
    <row r="360" spans="2:23" x14ac:dyDescent="0.2">
      <c r="B360" s="1977" t="str">
        <f t="shared" si="9"/>
        <v xml:space="preserve">  </v>
      </c>
      <c r="C360" s="1656" t="s">
        <v>236</v>
      </c>
      <c r="D360" s="1657"/>
      <c r="E360" s="1657"/>
      <c r="F360" s="1657"/>
      <c r="G360" s="1657"/>
      <c r="H360" s="1658">
        <v>0.01</v>
      </c>
      <c r="I360" s="1658">
        <v>0.01</v>
      </c>
      <c r="J360" s="1658">
        <v>0.01</v>
      </c>
      <c r="K360" s="1938"/>
      <c r="M360" s="1932"/>
      <c r="N360" s="1932"/>
      <c r="O360" s="1957" t="str">
        <f>IF(AND(Input_Product=EligOverlay!B360,Input_PropertyType=EligOverlay!C360),IF(Input_Purpose="Purchase",EligOverlay!H360,IF(Input_Purpose="Rate-Term",EligOverlay!I360,IF(Input_Purpose="Cash-Out",EligOverlay!J360,""))),"")</f>
        <v/>
      </c>
      <c r="P360" s="1958"/>
      <c r="Q360" s="1932"/>
      <c r="R360" s="1932"/>
      <c r="S360" s="1932"/>
      <c r="T360" s="2001" t="str">
        <f t="shared" si="11"/>
        <v>8-Unit</v>
      </c>
    </row>
    <row r="361" spans="2:23" x14ac:dyDescent="0.2">
      <c r="B361" s="1977" t="str">
        <f t="shared" si="9"/>
        <v xml:space="preserve">  </v>
      </c>
      <c r="C361" s="1656" t="s">
        <v>240</v>
      </c>
      <c r="D361" s="1657"/>
      <c r="E361" s="1657"/>
      <c r="F361" s="1657"/>
      <c r="G361" s="1657"/>
      <c r="H361" s="1658">
        <v>0.01</v>
      </c>
      <c r="I361" s="1658">
        <v>0.01</v>
      </c>
      <c r="J361" s="1658">
        <v>0.01</v>
      </c>
      <c r="K361" s="1938"/>
      <c r="M361" s="1932"/>
      <c r="N361" s="1932"/>
      <c r="O361" s="1957" t="str">
        <f>IF(AND(Input_Product=EligOverlay!B361,Input_PropertyType=EligOverlay!C361),IF(Input_Purpose="Purchase",EligOverlay!H361,IF(Input_Purpose="Rate-Term",EligOverlay!I361,IF(Input_Purpose="Cash-Out",EligOverlay!J361,""))),"")</f>
        <v/>
      </c>
      <c r="P361" s="1958"/>
      <c r="Q361" s="1932"/>
      <c r="R361" s="1932"/>
      <c r="S361" s="1932"/>
      <c r="T361" s="2001" t="str">
        <f t="shared" si="11"/>
        <v>2-Unit Mixed Use</v>
      </c>
    </row>
    <row r="362" spans="2:23" x14ac:dyDescent="0.2">
      <c r="B362" s="1977" t="str">
        <f t="shared" si="9"/>
        <v xml:space="preserve">  </v>
      </c>
      <c r="C362" s="1656" t="s">
        <v>241</v>
      </c>
      <c r="D362" s="1657"/>
      <c r="E362" s="1657"/>
      <c r="F362" s="1657"/>
      <c r="G362" s="1657"/>
      <c r="H362" s="1658">
        <v>0.01</v>
      </c>
      <c r="I362" s="1658">
        <v>0.01</v>
      </c>
      <c r="J362" s="1658">
        <v>0.01</v>
      </c>
      <c r="K362" s="1938"/>
      <c r="M362" s="1932"/>
      <c r="N362" s="1932"/>
      <c r="O362" s="1957" t="str">
        <f>IF(AND(Input_Product=EligOverlay!B362,Input_PropertyType=EligOverlay!C362),IF(Input_Purpose="Purchase",EligOverlay!H362,IF(Input_Purpose="Rate-Term",EligOverlay!I362,IF(Input_Purpose="Cash-Out",EligOverlay!J362,""))),"")</f>
        <v/>
      </c>
      <c r="P362" s="1958"/>
      <c r="Q362" s="1932"/>
      <c r="R362" s="1932"/>
      <c r="S362" s="1932"/>
      <c r="T362" s="2001" t="str">
        <f t="shared" si="11"/>
        <v>3-Unit Mixed Use</v>
      </c>
    </row>
    <row r="363" spans="2:23" x14ac:dyDescent="0.2">
      <c r="B363" s="1977" t="str">
        <f t="shared" si="9"/>
        <v xml:space="preserve">  </v>
      </c>
      <c r="C363" s="1656" t="s">
        <v>242</v>
      </c>
      <c r="D363" s="1657"/>
      <c r="E363" s="1657"/>
      <c r="F363" s="1657"/>
      <c r="G363" s="1657"/>
      <c r="H363" s="1658">
        <v>0.01</v>
      </c>
      <c r="I363" s="1658">
        <v>0.01</v>
      </c>
      <c r="J363" s="1658">
        <v>0.01</v>
      </c>
      <c r="K363" s="1938"/>
      <c r="M363" s="1932"/>
      <c r="N363" s="1932"/>
      <c r="O363" s="1957" t="str">
        <f>IF(AND(Input_Product=EligOverlay!B363,Input_PropertyType=EligOverlay!C363),IF(Input_Purpose="Purchase",EligOverlay!H363,IF(Input_Purpose="Rate-Term",EligOverlay!I363,IF(Input_Purpose="Cash-Out",EligOverlay!J363,""))),"")</f>
        <v/>
      </c>
      <c r="P363" s="1958"/>
      <c r="Q363" s="1932"/>
      <c r="R363" s="1932"/>
      <c r="S363" s="1932"/>
      <c r="T363" s="2001" t="str">
        <f t="shared" si="11"/>
        <v>4-Unit Mixed Use</v>
      </c>
    </row>
    <row r="364" spans="2:23" x14ac:dyDescent="0.2">
      <c r="B364" s="1977" t="str">
        <f t="shared" si="9"/>
        <v xml:space="preserve">  </v>
      </c>
      <c r="C364" s="1939" t="s">
        <v>243</v>
      </c>
      <c r="D364" s="1657"/>
      <c r="E364" s="1657"/>
      <c r="F364" s="1657"/>
      <c r="G364" s="1657"/>
      <c r="H364" s="1658">
        <v>0.01</v>
      </c>
      <c r="I364" s="1658">
        <v>0.01</v>
      </c>
      <c r="J364" s="1658">
        <v>0.01</v>
      </c>
      <c r="K364" s="1938"/>
      <c r="M364" s="1932"/>
      <c r="N364" s="1932"/>
      <c r="O364" s="1957" t="str">
        <f>IF(AND(Input_Product=EligOverlay!B364,Input_PropertyType=EligOverlay!C364),IF(Input_Purpose="Purchase",EligOverlay!H364,IF(Input_Purpose="Rate-Term",EligOverlay!I364,IF(Input_Purpose="Cash-Out",EligOverlay!J364,""))),"")</f>
        <v/>
      </c>
      <c r="P364" s="1958"/>
      <c r="Q364" s="1932"/>
      <c r="R364" s="1932"/>
      <c r="S364" s="1932"/>
      <c r="T364" s="2001" t="str">
        <f t="shared" si="11"/>
        <v>5-Unit Mixed Use</v>
      </c>
    </row>
    <row r="365" spans="2:23" x14ac:dyDescent="0.2">
      <c r="B365" s="1977" t="str">
        <f t="shared" si="9"/>
        <v xml:space="preserve">  </v>
      </c>
      <c r="C365" s="1939" t="s">
        <v>244</v>
      </c>
      <c r="D365" s="1657"/>
      <c r="E365" s="1657"/>
      <c r="F365" s="1657"/>
      <c r="G365" s="1657"/>
      <c r="H365" s="1658">
        <v>0.01</v>
      </c>
      <c r="I365" s="1658">
        <v>0.01</v>
      </c>
      <c r="J365" s="1658">
        <v>0.01</v>
      </c>
      <c r="K365" s="1938"/>
      <c r="M365" s="1932"/>
      <c r="N365" s="1932"/>
      <c r="O365" s="1957" t="str">
        <f>IF(AND(Input_Product=EligOverlay!B365,Input_PropertyType=EligOverlay!C365),IF(Input_Purpose="Purchase",EligOverlay!H365,IF(Input_Purpose="Rate-Term",EligOverlay!I365,IF(Input_Purpose="Cash-Out",EligOverlay!J365,""))),"")</f>
        <v/>
      </c>
      <c r="P365" s="1958"/>
      <c r="Q365" s="1932"/>
      <c r="R365" s="1932"/>
      <c r="S365" s="1932"/>
      <c r="T365" s="2001" t="str">
        <f t="shared" si="11"/>
        <v>6-Unit Mixed Use</v>
      </c>
    </row>
    <row r="366" spans="2:23" x14ac:dyDescent="0.2">
      <c r="B366" s="1977" t="str">
        <f t="shared" si="9"/>
        <v xml:space="preserve">  </v>
      </c>
      <c r="C366" s="1940" t="s">
        <v>245</v>
      </c>
      <c r="D366" s="1657"/>
      <c r="E366" s="1657"/>
      <c r="F366" s="1657"/>
      <c r="G366" s="1657"/>
      <c r="H366" s="1658">
        <v>0.01</v>
      </c>
      <c r="I366" s="1658">
        <v>0.01</v>
      </c>
      <c r="J366" s="1658">
        <v>0.01</v>
      </c>
      <c r="K366" s="1938"/>
      <c r="M366" s="1932"/>
      <c r="N366" s="1932"/>
      <c r="O366" s="1957" t="str">
        <f>IF(AND(Input_Product=EligOverlay!B366,Input_PropertyType=EligOverlay!C366),IF(Input_Purpose="Purchase",EligOverlay!H366,IF(Input_Purpose="Rate-Term",EligOverlay!I366,IF(Input_Purpose="Cash-Out",EligOverlay!J366,""))),"")</f>
        <v/>
      </c>
      <c r="P366" s="1958"/>
      <c r="Q366" s="1932"/>
      <c r="R366" s="1932"/>
      <c r="S366" s="1932"/>
      <c r="T366" s="2001" t="str">
        <f t="shared" si="11"/>
        <v>7-Unit Mixed Use</v>
      </c>
    </row>
    <row r="367" spans="2:23" x14ac:dyDescent="0.2">
      <c r="B367" s="1977" t="str">
        <f t="shared" si="9"/>
        <v xml:space="preserve">  </v>
      </c>
      <c r="C367" s="1656" t="s">
        <v>246</v>
      </c>
      <c r="D367" s="1657"/>
      <c r="E367" s="1657"/>
      <c r="F367" s="1657"/>
      <c r="G367" s="1657"/>
      <c r="H367" s="1658">
        <v>0.01</v>
      </c>
      <c r="I367" s="1658">
        <v>0.01</v>
      </c>
      <c r="J367" s="1658">
        <v>0.01</v>
      </c>
      <c r="K367" s="1938"/>
      <c r="M367" s="1932"/>
      <c r="N367" s="1932"/>
      <c r="O367" s="1957" t="str">
        <f>IF(AND(Input_Product=EligOverlay!B367,Input_PropertyType=EligOverlay!C367),IF(Input_Purpose="Purchase",EligOverlay!H367,IF(Input_Purpose="Rate-Term",EligOverlay!I367,IF(Input_Purpose="Cash-Out",EligOverlay!J367,""))),"")</f>
        <v/>
      </c>
      <c r="P367" s="1958"/>
      <c r="Q367" s="1932"/>
      <c r="R367" s="1932"/>
      <c r="S367" s="1932"/>
      <c r="T367" s="2001" t="str">
        <f t="shared" si="11"/>
        <v>8-Unit Mixed Use</v>
      </c>
    </row>
    <row r="368" spans="2:23" x14ac:dyDescent="0.2">
      <c r="B368" s="1978" t="str">
        <f t="shared" ref="B368:B393" si="12">Input_Name_Product14</f>
        <v xml:space="preserve"> </v>
      </c>
      <c r="C368" s="1656" t="s">
        <v>83</v>
      </c>
      <c r="D368" s="1657"/>
      <c r="E368" s="1657"/>
      <c r="F368" s="1657"/>
      <c r="G368" s="1657"/>
      <c r="H368" s="1658">
        <v>80</v>
      </c>
      <c r="I368" s="1658">
        <v>80</v>
      </c>
      <c r="J368" s="1658">
        <v>80</v>
      </c>
      <c r="K368" s="1938"/>
      <c r="M368" s="1932"/>
      <c r="N368" s="1932"/>
      <c r="O368" s="1932"/>
      <c r="P368" s="1958"/>
      <c r="Q368" s="1932"/>
      <c r="R368" s="1932"/>
      <c r="S368" s="1932"/>
      <c r="T368" s="1968"/>
    </row>
    <row r="369" spans="2:23" x14ac:dyDescent="0.2">
      <c r="B369" s="1978" t="str">
        <f t="shared" si="12"/>
        <v xml:space="preserve"> </v>
      </c>
      <c r="C369" s="1656" t="s">
        <v>1635</v>
      </c>
      <c r="D369" s="1657"/>
      <c r="E369" s="1657"/>
      <c r="F369" s="1657"/>
      <c r="G369" s="1657"/>
      <c r="H369" s="1658">
        <v>80</v>
      </c>
      <c r="I369" s="1658">
        <v>80</v>
      </c>
      <c r="J369" s="1658">
        <v>80</v>
      </c>
      <c r="K369" s="1938"/>
      <c r="M369" s="1932"/>
      <c r="N369" s="1932"/>
      <c r="O369" s="1957" t="str">
        <f>IF(AND(Input_Product=EligOverlay!B369,Input_PropertyType=EligOverlay!C369),IF(Input_Purpose="Purchase",EligOverlay!H369,IF(Input_Purpose="Rate-Term",EligOverlay!I369,IF(Input_Purpose="Cash-Out",EligOverlay!J369,""))),"")</f>
        <v/>
      </c>
      <c r="P369" s="1958"/>
      <c r="Q369" s="1932"/>
      <c r="R369" s="1932"/>
      <c r="S369" s="1932"/>
      <c r="T369" s="2001" t="str">
        <f>C369</f>
        <v>SFR-Rural</v>
      </c>
    </row>
    <row r="370" spans="2:23" x14ac:dyDescent="0.2">
      <c r="B370" s="1978" t="str">
        <f t="shared" si="12"/>
        <v xml:space="preserve"> </v>
      </c>
      <c r="C370" s="1656" t="s">
        <v>155</v>
      </c>
      <c r="D370" s="1657"/>
      <c r="E370" s="1657"/>
      <c r="F370" s="1657"/>
      <c r="G370" s="1657"/>
      <c r="H370" s="1658">
        <v>80</v>
      </c>
      <c r="I370" s="1658">
        <v>80</v>
      </c>
      <c r="J370" s="1658">
        <v>80</v>
      </c>
      <c r="K370" s="1938"/>
      <c r="M370" s="1932"/>
      <c r="N370" s="1932"/>
      <c r="O370" s="1932"/>
      <c r="P370" s="1958"/>
      <c r="Q370" s="1932"/>
      <c r="R370" s="1932"/>
      <c r="S370" s="1932"/>
      <c r="T370" s="1968"/>
    </row>
    <row r="371" spans="2:23" x14ac:dyDescent="0.2">
      <c r="B371" s="1978" t="str">
        <f t="shared" si="12"/>
        <v xml:space="preserve"> </v>
      </c>
      <c r="C371" s="1656" t="s">
        <v>128</v>
      </c>
      <c r="D371" s="1657"/>
      <c r="E371" s="1657"/>
      <c r="F371" s="1657"/>
      <c r="G371" s="1657"/>
      <c r="H371" s="1658">
        <v>80</v>
      </c>
      <c r="I371" s="1658">
        <v>80</v>
      </c>
      <c r="J371" s="1658">
        <v>80</v>
      </c>
      <c r="K371" s="1938"/>
      <c r="M371" s="1932"/>
      <c r="N371" s="1932"/>
      <c r="O371" s="1932"/>
      <c r="P371" s="1958"/>
      <c r="Q371" s="1932"/>
      <c r="R371" s="1932"/>
      <c r="S371" s="1932"/>
      <c r="T371" s="1968"/>
    </row>
    <row r="372" spans="2:23" x14ac:dyDescent="0.2">
      <c r="B372" s="1978" t="str">
        <f t="shared" si="12"/>
        <v xml:space="preserve"> </v>
      </c>
      <c r="C372" s="1656" t="s">
        <v>223</v>
      </c>
      <c r="D372" s="1657"/>
      <c r="E372" s="1657"/>
      <c r="F372" s="1657"/>
      <c r="G372" s="1657"/>
      <c r="H372" s="1658">
        <v>80</v>
      </c>
      <c r="I372" s="1658">
        <v>80</v>
      </c>
      <c r="J372" s="1658">
        <v>80</v>
      </c>
      <c r="K372" s="1938"/>
      <c r="M372" s="1932"/>
      <c r="N372" s="1932"/>
      <c r="O372" s="1957" t="str">
        <f>IF(AND(Input_Product=EligOverlay!B372,Input_PropertyType=EligOverlay!C372),IF(Input_Purpose="Purchase",EligOverlay!H372,IF(Input_Purpose="Rate-Term",EligOverlay!I372,IF(Input_Purpose="Cash-Out",EligOverlay!J372,""))),"")</f>
        <v/>
      </c>
      <c r="P372" s="1958"/>
      <c r="Q372" s="1932"/>
      <c r="R372" s="1932"/>
      <c r="S372" s="1932"/>
      <c r="T372" s="2001" t="str">
        <f t="shared" ref="T372:T377" si="13">C372</f>
        <v>Condo-Site</v>
      </c>
    </row>
    <row r="373" spans="2:23" x14ac:dyDescent="0.2">
      <c r="B373" s="1978" t="str">
        <f t="shared" si="12"/>
        <v xml:space="preserve"> </v>
      </c>
      <c r="C373" s="1656" t="s">
        <v>133</v>
      </c>
      <c r="D373" s="1657"/>
      <c r="E373" s="1657"/>
      <c r="F373" s="1657"/>
      <c r="G373" s="1657"/>
      <c r="H373" s="1658">
        <v>80</v>
      </c>
      <c r="I373" s="1658">
        <v>80</v>
      </c>
      <c r="J373" s="1658">
        <v>80</v>
      </c>
      <c r="K373" s="1938"/>
      <c r="M373" s="1932"/>
      <c r="N373" s="1932"/>
      <c r="O373" s="1957" t="str">
        <f>IF(AND(Input_Product=EligOverlay!B373,Input_PropertyType=EligOverlay!C373),IF(Input_Purpose="Purchase",EligOverlay!H373,IF(Input_Purpose="Rate-Term",EligOverlay!I373,IF(Input_Purpose="Cash-Out",EligOverlay!J373,""))),"")</f>
        <v/>
      </c>
      <c r="P373" s="1958"/>
      <c r="Q373" s="1932"/>
      <c r="R373" s="1932"/>
      <c r="S373" s="1932"/>
      <c r="T373" s="2001" t="str">
        <f t="shared" si="13"/>
        <v>2-Unit</v>
      </c>
    </row>
    <row r="374" spans="2:23" x14ac:dyDescent="0.2">
      <c r="B374" s="1978" t="str">
        <f t="shared" si="12"/>
        <v xml:space="preserve"> </v>
      </c>
      <c r="C374" s="1656" t="s">
        <v>134</v>
      </c>
      <c r="D374" s="1657"/>
      <c r="E374" s="1657"/>
      <c r="F374" s="1657"/>
      <c r="G374" s="1657"/>
      <c r="H374" s="1658">
        <v>80</v>
      </c>
      <c r="I374" s="1658">
        <v>80</v>
      </c>
      <c r="J374" s="1658">
        <v>80</v>
      </c>
      <c r="K374" s="1938"/>
      <c r="M374" s="1932"/>
      <c r="N374" s="1932"/>
      <c r="O374" s="1957" t="str">
        <f>IF(AND(Input_Product=EligOverlay!B374,Input_PropertyType=EligOverlay!C374),IF(Input_Purpose="Purchase",EligOverlay!H374,IF(Input_Purpose="Rate-Term",EligOverlay!I374,IF(Input_Purpose="Cash-Out",EligOverlay!J374,""))),"")</f>
        <v/>
      </c>
      <c r="P374" s="1958"/>
      <c r="Q374" s="1932"/>
      <c r="R374" s="1932"/>
      <c r="S374" s="1932"/>
      <c r="T374" s="2001" t="str">
        <f t="shared" si="13"/>
        <v>3-Unit</v>
      </c>
    </row>
    <row r="375" spans="2:23" x14ac:dyDescent="0.2">
      <c r="B375" s="1978" t="str">
        <f t="shared" si="12"/>
        <v xml:space="preserve"> </v>
      </c>
      <c r="C375" s="1656" t="s">
        <v>135</v>
      </c>
      <c r="D375" s="1657"/>
      <c r="E375" s="1657"/>
      <c r="F375" s="1657"/>
      <c r="G375" s="1657"/>
      <c r="H375" s="1658">
        <v>80</v>
      </c>
      <c r="I375" s="1658">
        <v>80</v>
      </c>
      <c r="J375" s="1658">
        <v>80</v>
      </c>
      <c r="K375" s="1938"/>
      <c r="M375" s="1932"/>
      <c r="N375" s="1932"/>
      <c r="O375" s="1957" t="str">
        <f>IF(AND(Input_Product=EligOverlay!B375,Input_PropertyType=EligOverlay!C375),IF(Input_Purpose="Purchase",EligOverlay!H375,IF(Input_Purpose="Rate-Term",EligOverlay!I375,IF(Input_Purpose="Cash-Out",EligOverlay!J375,""))),"")</f>
        <v/>
      </c>
      <c r="P375" s="1958"/>
      <c r="Q375" s="1932"/>
      <c r="R375" s="1932"/>
      <c r="S375" s="1932"/>
      <c r="T375" s="2001" t="str">
        <f t="shared" si="13"/>
        <v>4-Unit</v>
      </c>
    </row>
    <row r="376" spans="2:23" x14ac:dyDescent="0.2">
      <c r="B376" s="1978" t="str">
        <f t="shared" si="12"/>
        <v xml:space="preserve"> </v>
      </c>
      <c r="C376" s="1656" t="s">
        <v>131</v>
      </c>
      <c r="D376" s="1657"/>
      <c r="E376" s="1657"/>
      <c r="F376" s="1657"/>
      <c r="G376" s="1657"/>
      <c r="H376" s="1658">
        <v>80</v>
      </c>
      <c r="I376" s="1658">
        <v>80</v>
      </c>
      <c r="J376" s="1658">
        <v>80</v>
      </c>
      <c r="K376" s="1938"/>
      <c r="M376" s="1932"/>
      <c r="N376" s="1932"/>
      <c r="O376" s="1957" t="str">
        <f>IF(AND(Input_Product=EligOverlay!B376,Input_PropertyType=EligOverlay!C376),IF(Input_Purpose="Purchase",EligOverlay!H376,IF(Input_Purpose="Rate-Term",EligOverlay!I376,IF(Input_Purpose="Cash-Out",EligOverlay!J376,""))),"")</f>
        <v/>
      </c>
      <c r="P376" s="1958"/>
      <c r="Q376" s="1932"/>
      <c r="R376" s="1932"/>
      <c r="S376" s="1932"/>
      <c r="T376" s="2001" t="str">
        <f t="shared" si="13"/>
        <v>Condo-Warrantable</v>
      </c>
    </row>
    <row r="377" spans="2:23" x14ac:dyDescent="0.2">
      <c r="B377" s="1978" t="str">
        <f t="shared" si="12"/>
        <v xml:space="preserve"> </v>
      </c>
      <c r="C377" s="1656" t="s">
        <v>132</v>
      </c>
      <c r="D377" s="1657"/>
      <c r="E377" s="1657"/>
      <c r="F377" s="1657"/>
      <c r="G377" s="1657"/>
      <c r="H377" s="1658">
        <v>80</v>
      </c>
      <c r="I377" s="1658">
        <v>80</v>
      </c>
      <c r="J377" s="1658">
        <v>80</v>
      </c>
      <c r="K377" s="1938"/>
      <c r="M377" s="1932"/>
      <c r="N377" s="1932"/>
      <c r="O377" s="1957" t="str">
        <f>IF(AND(Input_Product=EligOverlay!B377,Input_PropertyType=EligOverlay!C377),IF(Input_Purpose="Purchase",EligOverlay!H377,IF(Input_Purpose="Rate-Term",EligOverlay!I377,IF(Input_Purpose="Cash-Out",EligOverlay!J377,""))),"")</f>
        <v/>
      </c>
      <c r="P377" s="1958"/>
      <c r="Q377" s="1932"/>
      <c r="R377" s="1932"/>
      <c r="S377" s="1932"/>
      <c r="T377" s="2001" t="str">
        <f t="shared" si="13"/>
        <v>Condo-NonWarrantable</v>
      </c>
    </row>
    <row r="378" spans="2:23" x14ac:dyDescent="0.2">
      <c r="B378" s="1978" t="str">
        <f t="shared" si="12"/>
        <v xml:space="preserve"> </v>
      </c>
      <c r="C378" s="1656" t="s">
        <v>1630</v>
      </c>
      <c r="D378" s="1657"/>
      <c r="E378" s="1657"/>
      <c r="F378" s="1657"/>
      <c r="G378" s="1657"/>
      <c r="H378" s="1658">
        <v>75</v>
      </c>
      <c r="I378" s="1658">
        <v>75</v>
      </c>
      <c r="J378" s="1658">
        <v>65</v>
      </c>
      <c r="K378" s="1670">
        <v>1000000</v>
      </c>
      <c r="M378" s="1955" t="str">
        <f>IF(AND(Input_Product=EligOverlay!B378,Input_PropertyType=EligOverlay!C378,Input_LoanAmt&gt;EligOverlay!K378),K378,"")</f>
        <v/>
      </c>
      <c r="N378" s="1932"/>
      <c r="O378" s="1957" t="str">
        <f>IF(AND(Input_Product=EligOverlay!B378,Input_PropertyType=EligOverlay!C378),IF(Input_Purpose="Purchase",EligOverlay!H378,IF(Input_Purpose="Rate-Term",EligOverlay!I378,IF(Input_Purpose="Cash-Out",EligOverlay!J378,""))),"")</f>
        <v/>
      </c>
      <c r="P378" s="1958"/>
      <c r="Q378" s="1932"/>
      <c r="R378" s="1932"/>
      <c r="S378" s="1932"/>
      <c r="T378" s="2001" t="s">
        <v>2625</v>
      </c>
    </row>
    <row r="379" spans="2:23" x14ac:dyDescent="0.2">
      <c r="B379" s="1978" t="str">
        <f t="shared" si="12"/>
        <v xml:space="preserve"> </v>
      </c>
      <c r="C379" s="1656" t="s">
        <v>153</v>
      </c>
      <c r="D379" s="1657"/>
      <c r="E379" s="1657"/>
      <c r="F379" s="1657"/>
      <c r="G379" s="1657"/>
      <c r="H379" s="1658">
        <v>80</v>
      </c>
      <c r="I379" s="1658">
        <v>80</v>
      </c>
      <c r="J379" s="1658">
        <v>80</v>
      </c>
      <c r="K379" s="1938"/>
      <c r="M379" s="1932"/>
      <c r="N379" s="1932"/>
      <c r="O379" s="1957" t="str">
        <f>IF(AND(Input_Product=EligOverlay!B379,Input_PropertyType=EligOverlay!C379),IF(Input_Purpose="Purchase",EligOverlay!H379,IF(Input_Purpose="Rate-Term",EligOverlay!I379,IF(Input_Purpose="Cash-Out",EligOverlay!J379,""))),"")</f>
        <v/>
      </c>
      <c r="P379" s="1958"/>
      <c r="Q379" s="1932"/>
      <c r="R379" s="1932"/>
      <c r="S379" s="1932"/>
      <c r="T379" s="2001" t="str">
        <f t="shared" ref="T379:T393" si="14">C379</f>
        <v>Townhouse</v>
      </c>
    </row>
    <row r="380" spans="2:23" x14ac:dyDescent="0.2">
      <c r="B380" s="1978" t="str">
        <f t="shared" si="12"/>
        <v xml:space="preserve"> </v>
      </c>
      <c r="C380" s="1656" t="s">
        <v>154</v>
      </c>
      <c r="D380" s="1657"/>
      <c r="E380" s="1657"/>
      <c r="F380" s="1657"/>
      <c r="G380" s="1657"/>
      <c r="H380" s="1658">
        <v>80</v>
      </c>
      <c r="I380" s="1658">
        <v>80</v>
      </c>
      <c r="J380" s="1658">
        <v>80</v>
      </c>
      <c r="K380" s="1938"/>
      <c r="M380" s="1932"/>
      <c r="N380" s="1932"/>
      <c r="O380" s="1957" t="str">
        <f>IF(AND(Input_Product=EligOverlay!B380,Input_PropertyType=EligOverlay!C380),IF(Input_Purpose="Purchase",EligOverlay!H380,IF(Input_Purpose="Rate-Term",EligOverlay!I380,IF(Input_Purpose="Cash-Out",EligOverlay!J380,""))),"")</f>
        <v/>
      </c>
      <c r="P380" s="1958"/>
      <c r="Q380" s="1932"/>
      <c r="R380" s="1932"/>
      <c r="S380" s="1932"/>
      <c r="T380" s="2001" t="str">
        <f t="shared" si="14"/>
        <v>Rowhouse</v>
      </c>
    </row>
    <row r="381" spans="2:23" x14ac:dyDescent="0.2">
      <c r="B381" s="1978" t="str">
        <f t="shared" si="12"/>
        <v xml:space="preserve"> </v>
      </c>
      <c r="C381" s="1656" t="s">
        <v>19</v>
      </c>
      <c r="D381" s="1657"/>
      <c r="E381" s="1657"/>
      <c r="F381" s="1657"/>
      <c r="G381" s="1657"/>
      <c r="H381" s="1658">
        <v>80</v>
      </c>
      <c r="I381" s="1658">
        <v>80</v>
      </c>
      <c r="J381" s="1658">
        <v>80</v>
      </c>
      <c r="K381" s="1938"/>
      <c r="M381" s="1932"/>
      <c r="N381" s="1932"/>
      <c r="O381" s="1957" t="str">
        <f>IF(AND(Input_Product=EligOverlay!B381,Input_PropertyType=EligOverlay!C381),IF(Input_Purpose="Purchase",EligOverlay!H381,IF(Input_Purpose="Rate-Term",EligOverlay!I381,IF(Input_Purpose="Cash-Out",EligOverlay!J381,""))),"")</f>
        <v/>
      </c>
      <c r="P381" s="1958"/>
      <c r="Q381" s="1932"/>
      <c r="R381" s="1932"/>
      <c r="S381" s="1932"/>
      <c r="T381" s="2001" t="str">
        <f t="shared" si="14"/>
        <v>Modular</v>
      </c>
      <c r="W381" s="226" t="s">
        <v>1627</v>
      </c>
    </row>
    <row r="382" spans="2:23" x14ac:dyDescent="0.2">
      <c r="B382" s="1978" t="str">
        <f t="shared" si="12"/>
        <v xml:space="preserve"> </v>
      </c>
      <c r="C382" s="1656" t="s">
        <v>130</v>
      </c>
      <c r="D382" s="1657"/>
      <c r="E382" s="1657"/>
      <c r="F382" s="1657"/>
      <c r="G382" s="1657"/>
      <c r="H382" s="1658">
        <v>0.01</v>
      </c>
      <c r="I382" s="1658">
        <v>0.01</v>
      </c>
      <c r="J382" s="1658">
        <v>0.01</v>
      </c>
      <c r="K382" s="1938"/>
      <c r="M382" s="1932"/>
      <c r="N382" s="1932"/>
      <c r="O382" s="1957" t="str">
        <f>IF(AND(Input_Product=EligOverlay!B382,Input_PropertyType=EligOverlay!C382),IF(Input_Purpose="Purchase",EligOverlay!H382,IF(Input_Purpose="Rate-Term",EligOverlay!I382,IF(Input_Purpose="Cash-Out",EligOverlay!J382,""))),"")</f>
        <v/>
      </c>
      <c r="P382" s="1958"/>
      <c r="Q382" s="1932"/>
      <c r="R382" s="1932"/>
      <c r="S382" s="1932"/>
      <c r="T382" s="2001" t="str">
        <f t="shared" si="14"/>
        <v>Log Home</v>
      </c>
    </row>
    <row r="383" spans="2:23" x14ac:dyDescent="0.2">
      <c r="B383" s="1978" t="str">
        <f t="shared" si="12"/>
        <v xml:space="preserve"> </v>
      </c>
      <c r="C383" s="1656" t="s">
        <v>233</v>
      </c>
      <c r="D383" s="1657"/>
      <c r="E383" s="1657"/>
      <c r="F383" s="1657"/>
      <c r="G383" s="1657"/>
      <c r="H383" s="1658">
        <v>0.01</v>
      </c>
      <c r="I383" s="1658">
        <v>0.01</v>
      </c>
      <c r="J383" s="1658">
        <v>0.01</v>
      </c>
      <c r="K383" s="1938"/>
      <c r="M383" s="1932"/>
      <c r="N383" s="1932"/>
      <c r="O383" s="1957" t="str">
        <f>IF(AND(Input_Product=EligOverlay!B383,Input_PropertyType=EligOverlay!C383),IF(Input_Purpose="Purchase",EligOverlay!H383,IF(Input_Purpose="Rate-Term",EligOverlay!I383,IF(Input_Purpose="Cash-Out",EligOverlay!J383,""))),"")</f>
        <v/>
      </c>
      <c r="P383" s="1958"/>
      <c r="Q383" s="1932"/>
      <c r="R383" s="1932"/>
      <c r="S383" s="1932"/>
      <c r="T383" s="2001" t="str">
        <f t="shared" si="14"/>
        <v>5-Unit</v>
      </c>
    </row>
    <row r="384" spans="2:23" x14ac:dyDescent="0.2">
      <c r="B384" s="1978" t="str">
        <f t="shared" si="12"/>
        <v xml:space="preserve"> </v>
      </c>
      <c r="C384" s="1656" t="s">
        <v>234</v>
      </c>
      <c r="D384" s="1657"/>
      <c r="E384" s="1657"/>
      <c r="F384" s="1657"/>
      <c r="G384" s="1657"/>
      <c r="H384" s="1658">
        <v>0.01</v>
      </c>
      <c r="I384" s="1658">
        <v>0.01</v>
      </c>
      <c r="J384" s="1658">
        <v>0.01</v>
      </c>
      <c r="K384" s="1938"/>
      <c r="M384" s="1932"/>
      <c r="N384" s="1932"/>
      <c r="O384" s="1957" t="str">
        <f>IF(AND(Input_Product=EligOverlay!B384,Input_PropertyType=EligOverlay!C384),IF(Input_Purpose="Purchase",EligOverlay!H384,IF(Input_Purpose="Rate-Term",EligOverlay!I384,IF(Input_Purpose="Cash-Out",EligOverlay!J384,""))),"")</f>
        <v/>
      </c>
      <c r="P384" s="1958"/>
      <c r="Q384" s="1932"/>
      <c r="R384" s="1932"/>
      <c r="S384" s="1932"/>
      <c r="T384" s="2001" t="str">
        <f t="shared" si="14"/>
        <v>6-Unit</v>
      </c>
    </row>
    <row r="385" spans="2:20" x14ac:dyDescent="0.2">
      <c r="B385" s="1978" t="str">
        <f t="shared" si="12"/>
        <v xml:space="preserve"> </v>
      </c>
      <c r="C385" s="1656" t="s">
        <v>235</v>
      </c>
      <c r="D385" s="1657"/>
      <c r="E385" s="1657"/>
      <c r="F385" s="1657"/>
      <c r="G385" s="1657"/>
      <c r="H385" s="1658">
        <v>0.01</v>
      </c>
      <c r="I385" s="1658">
        <v>0.01</v>
      </c>
      <c r="J385" s="1658">
        <v>0.01</v>
      </c>
      <c r="K385" s="1938"/>
      <c r="M385" s="1932"/>
      <c r="N385" s="1932"/>
      <c r="O385" s="1957" t="str">
        <f>IF(AND(Input_Product=EligOverlay!B385,Input_PropertyType=EligOverlay!C385),IF(Input_Purpose="Purchase",EligOverlay!H385,IF(Input_Purpose="Rate-Term",EligOverlay!I385,IF(Input_Purpose="Cash-Out",EligOverlay!J385,""))),"")</f>
        <v/>
      </c>
      <c r="P385" s="1958"/>
      <c r="Q385" s="1932"/>
      <c r="R385" s="1932"/>
      <c r="S385" s="1932"/>
      <c r="T385" s="2001" t="str">
        <f t="shared" si="14"/>
        <v>7-Unit</v>
      </c>
    </row>
    <row r="386" spans="2:20" x14ac:dyDescent="0.2">
      <c r="B386" s="1978" t="str">
        <f t="shared" si="12"/>
        <v xml:space="preserve"> </v>
      </c>
      <c r="C386" s="1656" t="s">
        <v>236</v>
      </c>
      <c r="D386" s="1657"/>
      <c r="E386" s="1657"/>
      <c r="F386" s="1657"/>
      <c r="G386" s="1657"/>
      <c r="H386" s="1658">
        <v>0.01</v>
      </c>
      <c r="I386" s="1658">
        <v>0.01</v>
      </c>
      <c r="J386" s="1658">
        <v>0.01</v>
      </c>
      <c r="K386" s="1938"/>
      <c r="M386" s="1932"/>
      <c r="N386" s="1932"/>
      <c r="O386" s="1957" t="str">
        <f>IF(AND(Input_Product=EligOverlay!B386,Input_PropertyType=EligOverlay!C386),IF(Input_Purpose="Purchase",EligOverlay!H386,IF(Input_Purpose="Rate-Term",EligOverlay!I386,IF(Input_Purpose="Cash-Out",EligOverlay!J386,""))),"")</f>
        <v/>
      </c>
      <c r="P386" s="1958"/>
      <c r="Q386" s="1932"/>
      <c r="R386" s="1932"/>
      <c r="S386" s="1932"/>
      <c r="T386" s="2001" t="str">
        <f t="shared" si="14"/>
        <v>8-Unit</v>
      </c>
    </row>
    <row r="387" spans="2:20" x14ac:dyDescent="0.2">
      <c r="B387" s="1978" t="str">
        <f t="shared" si="12"/>
        <v xml:space="preserve"> </v>
      </c>
      <c r="C387" s="1656" t="s">
        <v>240</v>
      </c>
      <c r="D387" s="1657"/>
      <c r="E387" s="1657"/>
      <c r="F387" s="1657"/>
      <c r="G387" s="1657"/>
      <c r="H387" s="1658">
        <v>0.01</v>
      </c>
      <c r="I387" s="1658">
        <v>0.01</v>
      </c>
      <c r="J387" s="1658">
        <v>0.01</v>
      </c>
      <c r="K387" s="1938"/>
      <c r="M387" s="1932"/>
      <c r="N387" s="1932"/>
      <c r="O387" s="1957" t="str">
        <f>IF(AND(Input_Product=EligOverlay!B387,Input_PropertyType=EligOverlay!C387),IF(Input_Purpose="Purchase",EligOverlay!H387,IF(Input_Purpose="Rate-Term",EligOverlay!I387,IF(Input_Purpose="Cash-Out",EligOverlay!J387,""))),"")</f>
        <v/>
      </c>
      <c r="P387" s="1958"/>
      <c r="Q387" s="1932"/>
      <c r="R387" s="1932"/>
      <c r="S387" s="1932"/>
      <c r="T387" s="2001" t="str">
        <f t="shared" si="14"/>
        <v>2-Unit Mixed Use</v>
      </c>
    </row>
    <row r="388" spans="2:20" x14ac:dyDescent="0.2">
      <c r="B388" s="1978" t="str">
        <f t="shared" si="12"/>
        <v xml:space="preserve"> </v>
      </c>
      <c r="C388" s="1656" t="s">
        <v>241</v>
      </c>
      <c r="D388" s="1657"/>
      <c r="E388" s="1657"/>
      <c r="F388" s="1657"/>
      <c r="G388" s="1657"/>
      <c r="H388" s="1658">
        <v>0.01</v>
      </c>
      <c r="I388" s="1658">
        <v>0.01</v>
      </c>
      <c r="J388" s="1658">
        <v>0.01</v>
      </c>
      <c r="K388" s="1938"/>
      <c r="M388" s="1932"/>
      <c r="N388" s="1932"/>
      <c r="O388" s="1957" t="str">
        <f>IF(AND(Input_Product=EligOverlay!B388,Input_PropertyType=EligOverlay!C388),IF(Input_Purpose="Purchase",EligOverlay!H388,IF(Input_Purpose="Rate-Term",EligOverlay!I388,IF(Input_Purpose="Cash-Out",EligOverlay!J388,""))),"")</f>
        <v/>
      </c>
      <c r="P388" s="1958"/>
      <c r="Q388" s="1932"/>
      <c r="R388" s="1932"/>
      <c r="S388" s="1932"/>
      <c r="T388" s="2001" t="str">
        <f t="shared" si="14"/>
        <v>3-Unit Mixed Use</v>
      </c>
    </row>
    <row r="389" spans="2:20" x14ac:dyDescent="0.2">
      <c r="B389" s="1978" t="str">
        <f t="shared" si="12"/>
        <v xml:space="preserve"> </v>
      </c>
      <c r="C389" s="1656" t="s">
        <v>242</v>
      </c>
      <c r="D389" s="1657"/>
      <c r="E389" s="1657"/>
      <c r="F389" s="1657"/>
      <c r="G389" s="1657"/>
      <c r="H389" s="1658">
        <v>0.01</v>
      </c>
      <c r="I389" s="1658">
        <v>0.01</v>
      </c>
      <c r="J389" s="1658">
        <v>0.01</v>
      </c>
      <c r="K389" s="1938"/>
      <c r="M389" s="1932"/>
      <c r="N389" s="1932"/>
      <c r="O389" s="1957" t="str">
        <f>IF(AND(Input_Product=EligOverlay!B389,Input_PropertyType=EligOverlay!C389),IF(Input_Purpose="Purchase",EligOverlay!H389,IF(Input_Purpose="Rate-Term",EligOverlay!I389,IF(Input_Purpose="Cash-Out",EligOverlay!J389,""))),"")</f>
        <v/>
      </c>
      <c r="P389" s="1958"/>
      <c r="Q389" s="1932"/>
      <c r="R389" s="1932"/>
      <c r="S389" s="1932"/>
      <c r="T389" s="2001" t="str">
        <f t="shared" si="14"/>
        <v>4-Unit Mixed Use</v>
      </c>
    </row>
    <row r="390" spans="2:20" x14ac:dyDescent="0.2">
      <c r="B390" s="1978" t="str">
        <f t="shared" si="12"/>
        <v xml:space="preserve"> </v>
      </c>
      <c r="C390" s="1939" t="s">
        <v>243</v>
      </c>
      <c r="D390" s="1657"/>
      <c r="E390" s="1657"/>
      <c r="F390" s="1657"/>
      <c r="G390" s="1657"/>
      <c r="H390" s="1658">
        <v>0.01</v>
      </c>
      <c r="I390" s="1658">
        <v>0.01</v>
      </c>
      <c r="J390" s="1658">
        <v>0.01</v>
      </c>
      <c r="K390" s="1938"/>
      <c r="M390" s="1932"/>
      <c r="N390" s="1932"/>
      <c r="O390" s="1957" t="str">
        <f>IF(AND(Input_Product=EligOverlay!B390,Input_PropertyType=EligOverlay!C390),IF(Input_Purpose="Purchase",EligOverlay!H390,IF(Input_Purpose="Rate-Term",EligOverlay!I390,IF(Input_Purpose="Cash-Out",EligOverlay!J390,""))),"")</f>
        <v/>
      </c>
      <c r="P390" s="1958"/>
      <c r="Q390" s="1932"/>
      <c r="R390" s="1932"/>
      <c r="S390" s="1932"/>
      <c r="T390" s="2001" t="str">
        <f t="shared" si="14"/>
        <v>5-Unit Mixed Use</v>
      </c>
    </row>
    <row r="391" spans="2:20" x14ac:dyDescent="0.2">
      <c r="B391" s="1978" t="str">
        <f t="shared" si="12"/>
        <v xml:space="preserve"> </v>
      </c>
      <c r="C391" s="1939" t="s">
        <v>244</v>
      </c>
      <c r="D391" s="1657"/>
      <c r="E391" s="1657"/>
      <c r="F391" s="1657"/>
      <c r="G391" s="1657"/>
      <c r="H391" s="1658">
        <v>0.01</v>
      </c>
      <c r="I391" s="1658">
        <v>0.01</v>
      </c>
      <c r="J391" s="1658">
        <v>0.01</v>
      </c>
      <c r="K391" s="1938"/>
      <c r="M391" s="1932"/>
      <c r="N391" s="1932"/>
      <c r="O391" s="1957" t="str">
        <f>IF(AND(Input_Product=EligOverlay!B391,Input_PropertyType=EligOverlay!C391),IF(Input_Purpose="Purchase",EligOverlay!H391,IF(Input_Purpose="Rate-Term",EligOverlay!I391,IF(Input_Purpose="Cash-Out",EligOverlay!J391,""))),"")</f>
        <v/>
      </c>
      <c r="P391" s="1958"/>
      <c r="Q391" s="1932"/>
      <c r="R391" s="1932"/>
      <c r="S391" s="1932"/>
      <c r="T391" s="2001" t="str">
        <f t="shared" si="14"/>
        <v>6-Unit Mixed Use</v>
      </c>
    </row>
    <row r="392" spans="2:20" x14ac:dyDescent="0.2">
      <c r="B392" s="1978" t="str">
        <f t="shared" si="12"/>
        <v xml:space="preserve"> </v>
      </c>
      <c r="C392" s="1940" t="s">
        <v>245</v>
      </c>
      <c r="D392" s="1657"/>
      <c r="E392" s="1657"/>
      <c r="F392" s="1657"/>
      <c r="G392" s="1657"/>
      <c r="H392" s="1658">
        <v>0.01</v>
      </c>
      <c r="I392" s="1658">
        <v>0.01</v>
      </c>
      <c r="J392" s="1658">
        <v>0.01</v>
      </c>
      <c r="K392" s="1938"/>
      <c r="M392" s="1932"/>
      <c r="N392" s="1932"/>
      <c r="O392" s="1957" t="str">
        <f>IF(AND(Input_Product=EligOverlay!B392,Input_PropertyType=EligOverlay!C392),IF(Input_Purpose="Purchase",EligOverlay!H392,IF(Input_Purpose="Rate-Term",EligOverlay!I392,IF(Input_Purpose="Cash-Out",EligOverlay!J392,""))),"")</f>
        <v/>
      </c>
      <c r="P392" s="1958"/>
      <c r="Q392" s="1932"/>
      <c r="R392" s="1932"/>
      <c r="S392" s="1932"/>
      <c r="T392" s="2001" t="str">
        <f t="shared" si="14"/>
        <v>7-Unit Mixed Use</v>
      </c>
    </row>
    <row r="393" spans="2:20" x14ac:dyDescent="0.2">
      <c r="B393" s="1978" t="str">
        <f t="shared" si="12"/>
        <v xml:space="preserve"> </v>
      </c>
      <c r="C393" s="1656" t="s">
        <v>246</v>
      </c>
      <c r="D393" s="1657"/>
      <c r="E393" s="1657"/>
      <c r="F393" s="1657"/>
      <c r="G393" s="1657"/>
      <c r="H393" s="1658">
        <v>0.01</v>
      </c>
      <c r="I393" s="1658">
        <v>0.01</v>
      </c>
      <c r="J393" s="1658">
        <v>0.01</v>
      </c>
      <c r="K393" s="1938"/>
      <c r="M393" s="1932"/>
      <c r="N393" s="1932"/>
      <c r="O393" s="1957" t="str">
        <f>IF(AND(Input_Product=EligOverlay!B393,Input_PropertyType=EligOverlay!C393),IF(Input_Purpose="Purchase",EligOverlay!H393,IF(Input_Purpose="Rate-Term",EligOverlay!I393,IF(Input_Purpose="Cash-Out",EligOverlay!J393,""))),"")</f>
        <v/>
      </c>
      <c r="P393" s="1958"/>
      <c r="Q393" s="1932"/>
      <c r="R393" s="1932"/>
      <c r="S393" s="1932"/>
      <c r="T393" s="2001" t="str">
        <f t="shared" si="14"/>
        <v>8-Unit Mixed Use</v>
      </c>
    </row>
    <row r="394" spans="2:20" x14ac:dyDescent="0.2">
      <c r="B394" s="1979" t="str">
        <f t="shared" ref="B394:B419" si="15">Input_Name_Product15</f>
        <v xml:space="preserve"> </v>
      </c>
      <c r="C394" s="1656" t="s">
        <v>83</v>
      </c>
      <c r="D394" s="1657"/>
      <c r="E394" s="1657"/>
      <c r="F394" s="1657"/>
      <c r="G394" s="1657"/>
      <c r="H394" s="1658">
        <v>80</v>
      </c>
      <c r="I394" s="1658">
        <v>80</v>
      </c>
      <c r="J394" s="1658">
        <v>80</v>
      </c>
      <c r="K394" s="1938"/>
      <c r="M394" s="1932"/>
      <c r="N394" s="1932"/>
      <c r="O394" s="1932"/>
      <c r="P394" s="1958"/>
      <c r="Q394" s="1932"/>
      <c r="R394" s="1932"/>
      <c r="S394" s="1932"/>
      <c r="T394" s="1968"/>
    </row>
    <row r="395" spans="2:20" x14ac:dyDescent="0.2">
      <c r="B395" s="1979" t="str">
        <f t="shared" si="15"/>
        <v xml:space="preserve"> </v>
      </c>
      <c r="C395" s="1656" t="s">
        <v>1635</v>
      </c>
      <c r="D395" s="1657"/>
      <c r="E395" s="1657"/>
      <c r="F395" s="1657"/>
      <c r="G395" s="1657"/>
      <c r="H395" s="1658">
        <v>80</v>
      </c>
      <c r="I395" s="1658">
        <v>80</v>
      </c>
      <c r="J395" s="1658">
        <v>80</v>
      </c>
      <c r="K395" s="1938"/>
      <c r="M395" s="1932"/>
      <c r="N395" s="1932"/>
      <c r="O395" s="1957" t="str">
        <f>IF(AND(Input_Product=EligOverlay!B395,Input_PropertyType=EligOverlay!C395),IF(Input_Purpose="Purchase",EligOverlay!H395,IF(Input_Purpose="Rate-Term",EligOverlay!I395,IF(Input_Purpose="Cash-Out",EligOverlay!J395,""))),"")</f>
        <v/>
      </c>
      <c r="P395" s="1958"/>
      <c r="Q395" s="1932"/>
      <c r="R395" s="1932"/>
      <c r="S395" s="1932"/>
      <c r="T395" s="2001" t="str">
        <f>C395</f>
        <v>SFR-Rural</v>
      </c>
    </row>
    <row r="396" spans="2:20" x14ac:dyDescent="0.2">
      <c r="B396" s="1979" t="str">
        <f t="shared" si="15"/>
        <v xml:space="preserve"> </v>
      </c>
      <c r="C396" s="1656" t="s">
        <v>155</v>
      </c>
      <c r="D396" s="1657"/>
      <c r="E396" s="1657"/>
      <c r="F396" s="1657"/>
      <c r="G396" s="1657"/>
      <c r="H396" s="1658">
        <v>80</v>
      </c>
      <c r="I396" s="1658">
        <v>80</v>
      </c>
      <c r="J396" s="1658">
        <v>80</v>
      </c>
      <c r="K396" s="1938"/>
      <c r="M396" s="1932"/>
      <c r="N396" s="1932"/>
      <c r="O396" s="1932"/>
      <c r="P396" s="1958"/>
      <c r="Q396" s="1932"/>
      <c r="R396" s="1932"/>
      <c r="S396" s="1932"/>
      <c r="T396" s="1968"/>
    </row>
    <row r="397" spans="2:20" x14ac:dyDescent="0.2">
      <c r="B397" s="1979" t="str">
        <f t="shared" si="15"/>
        <v xml:space="preserve"> </v>
      </c>
      <c r="C397" s="1656" t="s">
        <v>128</v>
      </c>
      <c r="D397" s="1657"/>
      <c r="E397" s="1657"/>
      <c r="F397" s="1657"/>
      <c r="G397" s="1657"/>
      <c r="H397" s="1658">
        <v>80</v>
      </c>
      <c r="I397" s="1658">
        <v>80</v>
      </c>
      <c r="J397" s="1658">
        <v>80</v>
      </c>
      <c r="K397" s="1938"/>
      <c r="M397" s="1932"/>
      <c r="N397" s="1932"/>
      <c r="O397" s="1932"/>
      <c r="P397" s="1958"/>
      <c r="Q397" s="1932"/>
      <c r="R397" s="1932"/>
      <c r="S397" s="1932"/>
      <c r="T397" s="1968"/>
    </row>
    <row r="398" spans="2:20" x14ac:dyDescent="0.2">
      <c r="B398" s="1979" t="str">
        <f t="shared" si="15"/>
        <v xml:space="preserve"> </v>
      </c>
      <c r="C398" s="1656" t="s">
        <v>223</v>
      </c>
      <c r="D398" s="1657"/>
      <c r="E398" s="1657"/>
      <c r="F398" s="1657"/>
      <c r="G398" s="1657"/>
      <c r="H398" s="1658">
        <v>80</v>
      </c>
      <c r="I398" s="1658">
        <v>80</v>
      </c>
      <c r="J398" s="1658">
        <v>80</v>
      </c>
      <c r="K398" s="1938"/>
      <c r="M398" s="1932"/>
      <c r="N398" s="1932"/>
      <c r="O398" s="1957" t="str">
        <f>IF(AND(Input_Product=EligOverlay!B398,Input_PropertyType=EligOverlay!C398),IF(Input_Purpose="Purchase",EligOverlay!H398,IF(Input_Purpose="Rate-Term",EligOverlay!I398,IF(Input_Purpose="Cash-Out",EligOverlay!J398,""))),"")</f>
        <v/>
      </c>
      <c r="P398" s="1958"/>
      <c r="Q398" s="1932"/>
      <c r="R398" s="1932"/>
      <c r="S398" s="1932"/>
      <c r="T398" s="2001" t="str">
        <f t="shared" ref="T398:T403" si="16">C398</f>
        <v>Condo-Site</v>
      </c>
    </row>
    <row r="399" spans="2:20" x14ac:dyDescent="0.2">
      <c r="B399" s="1979" t="str">
        <f t="shared" si="15"/>
        <v xml:space="preserve"> </v>
      </c>
      <c r="C399" s="1656" t="s">
        <v>133</v>
      </c>
      <c r="D399" s="1657"/>
      <c r="E399" s="1657"/>
      <c r="F399" s="1657"/>
      <c r="G399" s="1657"/>
      <c r="H399" s="1658">
        <v>80</v>
      </c>
      <c r="I399" s="1658">
        <v>80</v>
      </c>
      <c r="J399" s="1658">
        <v>80</v>
      </c>
      <c r="K399" s="1938"/>
      <c r="M399" s="1932"/>
      <c r="N399" s="1932"/>
      <c r="O399" s="1957" t="str">
        <f>IF(AND(Input_Product=EligOverlay!B399,Input_PropertyType=EligOverlay!C399),IF(Input_Purpose="Purchase",EligOverlay!H399,IF(Input_Purpose="Rate-Term",EligOverlay!I399,IF(Input_Purpose="Cash-Out",EligOverlay!J399,""))),"")</f>
        <v/>
      </c>
      <c r="P399" s="1958"/>
      <c r="Q399" s="1932"/>
      <c r="R399" s="1932"/>
      <c r="S399" s="1932"/>
      <c r="T399" s="2001" t="str">
        <f t="shared" si="16"/>
        <v>2-Unit</v>
      </c>
    </row>
    <row r="400" spans="2:20" x14ac:dyDescent="0.2">
      <c r="B400" s="1979" t="str">
        <f t="shared" si="15"/>
        <v xml:space="preserve"> </v>
      </c>
      <c r="C400" s="1656" t="s">
        <v>134</v>
      </c>
      <c r="D400" s="1657"/>
      <c r="E400" s="1657"/>
      <c r="F400" s="1657"/>
      <c r="G400" s="1657"/>
      <c r="H400" s="1658">
        <v>80</v>
      </c>
      <c r="I400" s="1658">
        <v>80</v>
      </c>
      <c r="J400" s="1658">
        <v>80</v>
      </c>
      <c r="K400" s="1938"/>
      <c r="M400" s="1932"/>
      <c r="N400" s="1932"/>
      <c r="O400" s="1957" t="str">
        <f>IF(AND(Input_Product=EligOverlay!B400,Input_PropertyType=EligOverlay!C400),IF(Input_Purpose="Purchase",EligOverlay!H400,IF(Input_Purpose="Rate-Term",EligOverlay!I400,IF(Input_Purpose="Cash-Out",EligOverlay!J400,""))),"")</f>
        <v/>
      </c>
      <c r="P400" s="1958"/>
      <c r="Q400" s="1932"/>
      <c r="R400" s="1932"/>
      <c r="S400" s="1932"/>
      <c r="T400" s="2001" t="str">
        <f t="shared" si="16"/>
        <v>3-Unit</v>
      </c>
    </row>
    <row r="401" spans="2:23" x14ac:dyDescent="0.2">
      <c r="B401" s="1979" t="str">
        <f t="shared" si="15"/>
        <v xml:space="preserve"> </v>
      </c>
      <c r="C401" s="1656" t="s">
        <v>135</v>
      </c>
      <c r="D401" s="1657"/>
      <c r="E401" s="1657"/>
      <c r="F401" s="1657"/>
      <c r="G401" s="1657"/>
      <c r="H401" s="1658">
        <v>80</v>
      </c>
      <c r="I401" s="1658">
        <v>80</v>
      </c>
      <c r="J401" s="1658">
        <v>80</v>
      </c>
      <c r="K401" s="1938"/>
      <c r="M401" s="1932"/>
      <c r="N401" s="1932"/>
      <c r="O401" s="1957" t="str">
        <f>IF(AND(Input_Product=EligOverlay!B401,Input_PropertyType=EligOverlay!C401),IF(Input_Purpose="Purchase",EligOverlay!H401,IF(Input_Purpose="Rate-Term",EligOverlay!I401,IF(Input_Purpose="Cash-Out",EligOverlay!J401,""))),"")</f>
        <v/>
      </c>
      <c r="P401" s="1958"/>
      <c r="Q401" s="1932"/>
      <c r="R401" s="1932"/>
      <c r="S401" s="1932"/>
      <c r="T401" s="2001" t="str">
        <f t="shared" si="16"/>
        <v>4-Unit</v>
      </c>
    </row>
    <row r="402" spans="2:23" x14ac:dyDescent="0.2">
      <c r="B402" s="1979" t="str">
        <f t="shared" si="15"/>
        <v xml:space="preserve"> </v>
      </c>
      <c r="C402" s="1656" t="s">
        <v>131</v>
      </c>
      <c r="D402" s="1657"/>
      <c r="E402" s="1657"/>
      <c r="F402" s="1657"/>
      <c r="G402" s="1657"/>
      <c r="H402" s="1658">
        <v>80</v>
      </c>
      <c r="I402" s="1658">
        <v>80</v>
      </c>
      <c r="J402" s="1658">
        <v>80</v>
      </c>
      <c r="K402" s="1938"/>
      <c r="M402" s="1932"/>
      <c r="N402" s="1932"/>
      <c r="O402" s="1957" t="str">
        <f>IF(AND(Input_Product=EligOverlay!B402,Input_PropertyType=EligOverlay!C402),IF(Input_Purpose="Purchase",EligOverlay!H402,IF(Input_Purpose="Rate-Term",EligOverlay!I402,IF(Input_Purpose="Cash-Out",EligOverlay!J402,""))),"")</f>
        <v/>
      </c>
      <c r="P402" s="1958"/>
      <c r="Q402" s="1932"/>
      <c r="R402" s="1932"/>
      <c r="S402" s="1932"/>
      <c r="T402" s="2001" t="str">
        <f t="shared" si="16"/>
        <v>Condo-Warrantable</v>
      </c>
    </row>
    <row r="403" spans="2:23" x14ac:dyDescent="0.2">
      <c r="B403" s="1979" t="str">
        <f t="shared" si="15"/>
        <v xml:space="preserve"> </v>
      </c>
      <c r="C403" s="1656" t="s">
        <v>132</v>
      </c>
      <c r="D403" s="1657"/>
      <c r="E403" s="1657"/>
      <c r="F403" s="1657"/>
      <c r="G403" s="1657"/>
      <c r="H403" s="1658">
        <v>75</v>
      </c>
      <c r="I403" s="1658">
        <v>75</v>
      </c>
      <c r="J403" s="1658">
        <v>75</v>
      </c>
      <c r="K403" s="1938"/>
      <c r="M403" s="1932"/>
      <c r="N403" s="1932"/>
      <c r="O403" s="1957" t="str">
        <f>IF(AND(Input_Product=EligOverlay!B403,Input_PropertyType=EligOverlay!C403),IF(Input_Purpose="Purchase",EligOverlay!H403,IF(Input_Purpose="Rate-Term",EligOverlay!I403,IF(Input_Purpose="Cash-Out",EligOverlay!J403,""))),"")</f>
        <v/>
      </c>
      <c r="P403" s="1958"/>
      <c r="Q403" s="1932"/>
      <c r="R403" s="1932"/>
      <c r="S403" s="1932"/>
      <c r="T403" s="2001" t="str">
        <f t="shared" si="16"/>
        <v>Condo-NonWarrantable</v>
      </c>
    </row>
    <row r="404" spans="2:23" x14ac:dyDescent="0.2">
      <c r="B404" s="1979" t="str">
        <f t="shared" si="15"/>
        <v xml:space="preserve"> </v>
      </c>
      <c r="C404" s="1656" t="s">
        <v>1630</v>
      </c>
      <c r="D404" s="1657"/>
      <c r="E404" s="1657"/>
      <c r="F404" s="1657"/>
      <c r="G404" s="1657"/>
      <c r="H404" s="1658">
        <v>75</v>
      </c>
      <c r="I404" s="1658">
        <v>75</v>
      </c>
      <c r="J404" s="1658">
        <v>65</v>
      </c>
      <c r="K404" s="1670">
        <v>1000000</v>
      </c>
      <c r="M404" s="1955" t="str">
        <f>IF(AND(Input_Product=EligOverlay!B404,Input_PropertyType=EligOverlay!C404,Input_LoanAmt&gt;EligOverlay!K404),K404,"")</f>
        <v/>
      </c>
      <c r="N404" s="1932"/>
      <c r="O404" s="1957" t="str">
        <f>IF(AND(Input_Product=EligOverlay!B404,Input_PropertyType=EligOverlay!C404),IF(Input_Purpose="Purchase",EligOverlay!H404,IF(Input_Purpose="Rate-Term",EligOverlay!I404,IF(Input_Purpose="Cash-Out",EligOverlay!J404,""))),"")</f>
        <v/>
      </c>
      <c r="P404" s="1958"/>
      <c r="Q404" s="1932"/>
      <c r="R404" s="1932"/>
      <c r="S404" s="1932"/>
      <c r="T404" s="2001" t="s">
        <v>2625</v>
      </c>
    </row>
    <row r="405" spans="2:23" x14ac:dyDescent="0.2">
      <c r="B405" s="1979" t="str">
        <f t="shared" si="15"/>
        <v xml:space="preserve"> </v>
      </c>
      <c r="C405" s="1656" t="s">
        <v>153</v>
      </c>
      <c r="D405" s="1657"/>
      <c r="E405" s="1657"/>
      <c r="F405" s="1657"/>
      <c r="G405" s="1657"/>
      <c r="H405" s="1658">
        <v>80</v>
      </c>
      <c r="I405" s="1658">
        <v>80</v>
      </c>
      <c r="J405" s="1658">
        <v>80</v>
      </c>
      <c r="K405" s="1938"/>
      <c r="M405" s="1932"/>
      <c r="N405" s="1932"/>
      <c r="O405" s="1957" t="str">
        <f>IF(AND(Input_Product=EligOverlay!B405,Input_PropertyType=EligOverlay!C405),IF(Input_Purpose="Purchase",EligOverlay!H405,IF(Input_Purpose="Rate-Term",EligOverlay!I405,IF(Input_Purpose="Cash-Out",EligOverlay!J405,""))),"")</f>
        <v/>
      </c>
      <c r="P405" s="1958"/>
      <c r="Q405" s="1932"/>
      <c r="R405" s="1932"/>
      <c r="S405" s="1932"/>
      <c r="T405" s="2001" t="str">
        <f t="shared" ref="T405:T419" si="17">C405</f>
        <v>Townhouse</v>
      </c>
    </row>
    <row r="406" spans="2:23" x14ac:dyDescent="0.2">
      <c r="B406" s="1979" t="str">
        <f t="shared" si="15"/>
        <v xml:space="preserve"> </v>
      </c>
      <c r="C406" s="1656" t="s">
        <v>154</v>
      </c>
      <c r="D406" s="1657"/>
      <c r="E406" s="1657"/>
      <c r="F406" s="1657"/>
      <c r="G406" s="1657"/>
      <c r="H406" s="1658">
        <v>80</v>
      </c>
      <c r="I406" s="1658">
        <v>80</v>
      </c>
      <c r="J406" s="1658">
        <v>80</v>
      </c>
      <c r="K406" s="1938"/>
      <c r="M406" s="1932"/>
      <c r="N406" s="1932"/>
      <c r="O406" s="1957" t="str">
        <f>IF(AND(Input_Product=EligOverlay!B406,Input_PropertyType=EligOverlay!C406),IF(Input_Purpose="Purchase",EligOverlay!H406,IF(Input_Purpose="Rate-Term",EligOverlay!I406,IF(Input_Purpose="Cash-Out",EligOverlay!J406,""))),"")</f>
        <v/>
      </c>
      <c r="P406" s="1958"/>
      <c r="Q406" s="1932"/>
      <c r="R406" s="1932"/>
      <c r="S406" s="1932"/>
      <c r="T406" s="2001" t="str">
        <f t="shared" si="17"/>
        <v>Rowhouse</v>
      </c>
    </row>
    <row r="407" spans="2:23" x14ac:dyDescent="0.2">
      <c r="B407" s="1979" t="str">
        <f t="shared" si="15"/>
        <v xml:space="preserve"> </v>
      </c>
      <c r="C407" s="1656" t="s">
        <v>19</v>
      </c>
      <c r="D407" s="1657"/>
      <c r="E407" s="1657"/>
      <c r="F407" s="1657"/>
      <c r="G407" s="1657"/>
      <c r="H407" s="1658">
        <v>80</v>
      </c>
      <c r="I407" s="1658">
        <v>80</v>
      </c>
      <c r="J407" s="1658">
        <v>80</v>
      </c>
      <c r="K407" s="1938"/>
      <c r="M407" s="1932"/>
      <c r="N407" s="1932"/>
      <c r="O407" s="1957" t="str">
        <f>IF(AND(Input_Product=EligOverlay!B407,Input_PropertyType=EligOverlay!C407),IF(Input_Purpose="Purchase",EligOverlay!H407,IF(Input_Purpose="Rate-Term",EligOverlay!I407,IF(Input_Purpose="Cash-Out",EligOverlay!J407,""))),"")</f>
        <v/>
      </c>
      <c r="P407" s="1958"/>
      <c r="Q407" s="1932"/>
      <c r="R407" s="1932"/>
      <c r="S407" s="1932"/>
      <c r="T407" s="2001" t="str">
        <f t="shared" si="17"/>
        <v>Modular</v>
      </c>
      <c r="W407" s="226" t="s">
        <v>1627</v>
      </c>
    </row>
    <row r="408" spans="2:23" x14ac:dyDescent="0.2">
      <c r="B408" s="1979" t="str">
        <f t="shared" si="15"/>
        <v xml:space="preserve"> </v>
      </c>
      <c r="C408" s="1656" t="s">
        <v>130</v>
      </c>
      <c r="D408" s="1657"/>
      <c r="E408" s="1657"/>
      <c r="F408" s="1657"/>
      <c r="G408" s="1657"/>
      <c r="H408" s="1658">
        <v>0.01</v>
      </c>
      <c r="I408" s="1658">
        <v>0.01</v>
      </c>
      <c r="J408" s="1658">
        <v>0.01</v>
      </c>
      <c r="K408" s="1938"/>
      <c r="M408" s="1932"/>
      <c r="N408" s="1932"/>
      <c r="O408" s="1957" t="str">
        <f>IF(AND(Input_Product=EligOverlay!B408,Input_PropertyType=EligOverlay!C408),IF(Input_Purpose="Purchase",EligOverlay!H408,IF(Input_Purpose="Rate-Term",EligOverlay!I408,IF(Input_Purpose="Cash-Out",EligOverlay!J408,""))),"")</f>
        <v/>
      </c>
      <c r="P408" s="1958"/>
      <c r="Q408" s="1932"/>
      <c r="R408" s="1932"/>
      <c r="S408" s="1932"/>
      <c r="T408" s="2001" t="str">
        <f t="shared" si="17"/>
        <v>Log Home</v>
      </c>
    </row>
    <row r="409" spans="2:23" x14ac:dyDescent="0.2">
      <c r="B409" s="1979" t="str">
        <f t="shared" si="15"/>
        <v xml:space="preserve"> </v>
      </c>
      <c r="C409" s="1656" t="s">
        <v>233</v>
      </c>
      <c r="D409" s="1657"/>
      <c r="E409" s="1657"/>
      <c r="F409" s="1657"/>
      <c r="G409" s="1657"/>
      <c r="H409" s="1658">
        <v>0.01</v>
      </c>
      <c r="I409" s="1658">
        <v>0.01</v>
      </c>
      <c r="J409" s="1658">
        <v>0.01</v>
      </c>
      <c r="K409" s="1938"/>
      <c r="M409" s="1932"/>
      <c r="N409" s="1932"/>
      <c r="O409" s="1957" t="str">
        <f>IF(AND(Input_Product=EligOverlay!B409,Input_PropertyType=EligOverlay!C409),IF(Input_Purpose="Purchase",EligOverlay!H409,IF(Input_Purpose="Rate-Term",EligOverlay!I409,IF(Input_Purpose="Cash-Out",EligOverlay!J409,""))),"")</f>
        <v/>
      </c>
      <c r="P409" s="1958"/>
      <c r="Q409" s="1932"/>
      <c r="R409" s="1932"/>
      <c r="S409" s="1932"/>
      <c r="T409" s="2001" t="str">
        <f t="shared" si="17"/>
        <v>5-Unit</v>
      </c>
    </row>
    <row r="410" spans="2:23" x14ac:dyDescent="0.2">
      <c r="B410" s="1979" t="str">
        <f t="shared" si="15"/>
        <v xml:space="preserve"> </v>
      </c>
      <c r="C410" s="1656" t="s">
        <v>234</v>
      </c>
      <c r="D410" s="1657"/>
      <c r="E410" s="1657"/>
      <c r="F410" s="1657"/>
      <c r="G410" s="1657"/>
      <c r="H410" s="1658">
        <v>0.01</v>
      </c>
      <c r="I410" s="1658">
        <v>0.01</v>
      </c>
      <c r="J410" s="1658">
        <v>0.01</v>
      </c>
      <c r="K410" s="1938"/>
      <c r="M410" s="1932"/>
      <c r="N410" s="1932"/>
      <c r="O410" s="1957" t="str">
        <f>IF(AND(Input_Product=EligOverlay!B410,Input_PropertyType=EligOverlay!C410),IF(Input_Purpose="Purchase",EligOverlay!H410,IF(Input_Purpose="Rate-Term",EligOverlay!I410,IF(Input_Purpose="Cash-Out",EligOverlay!J410,""))),"")</f>
        <v/>
      </c>
      <c r="P410" s="1958"/>
      <c r="Q410" s="1932"/>
      <c r="R410" s="1932"/>
      <c r="S410" s="1932"/>
      <c r="T410" s="2001" t="str">
        <f t="shared" si="17"/>
        <v>6-Unit</v>
      </c>
    </row>
    <row r="411" spans="2:23" x14ac:dyDescent="0.2">
      <c r="B411" s="1979" t="str">
        <f t="shared" si="15"/>
        <v xml:space="preserve"> </v>
      </c>
      <c r="C411" s="1656" t="s">
        <v>235</v>
      </c>
      <c r="D411" s="1657"/>
      <c r="E411" s="1657"/>
      <c r="F411" s="1657"/>
      <c r="G411" s="1657"/>
      <c r="H411" s="1658">
        <v>0.01</v>
      </c>
      <c r="I411" s="1658">
        <v>0.01</v>
      </c>
      <c r="J411" s="1658">
        <v>0.01</v>
      </c>
      <c r="K411" s="1938"/>
      <c r="M411" s="1932"/>
      <c r="N411" s="1932"/>
      <c r="O411" s="1957" t="str">
        <f>IF(AND(Input_Product=EligOverlay!B411,Input_PropertyType=EligOverlay!C411),IF(Input_Purpose="Purchase",EligOverlay!H411,IF(Input_Purpose="Rate-Term",EligOverlay!I411,IF(Input_Purpose="Cash-Out",EligOverlay!J411,""))),"")</f>
        <v/>
      </c>
      <c r="P411" s="1958"/>
      <c r="Q411" s="1932"/>
      <c r="R411" s="1932"/>
      <c r="S411" s="1932"/>
      <c r="T411" s="2001" t="str">
        <f t="shared" si="17"/>
        <v>7-Unit</v>
      </c>
    </row>
    <row r="412" spans="2:23" x14ac:dyDescent="0.2">
      <c r="B412" s="1979" t="str">
        <f t="shared" si="15"/>
        <v xml:space="preserve"> </v>
      </c>
      <c r="C412" s="1656" t="s">
        <v>236</v>
      </c>
      <c r="D412" s="1657"/>
      <c r="E412" s="1657"/>
      <c r="F412" s="1657"/>
      <c r="G412" s="1657"/>
      <c r="H412" s="1658">
        <v>0.01</v>
      </c>
      <c r="I412" s="1658">
        <v>0.01</v>
      </c>
      <c r="J412" s="1658">
        <v>0.01</v>
      </c>
      <c r="K412" s="1938"/>
      <c r="M412" s="1932"/>
      <c r="N412" s="1932"/>
      <c r="O412" s="1957" t="str">
        <f>IF(AND(Input_Product=EligOverlay!B412,Input_PropertyType=EligOverlay!C412),IF(Input_Purpose="Purchase",EligOverlay!H412,IF(Input_Purpose="Rate-Term",EligOverlay!I412,IF(Input_Purpose="Cash-Out",EligOverlay!J412,""))),"")</f>
        <v/>
      </c>
      <c r="P412" s="1958"/>
      <c r="Q412" s="1932"/>
      <c r="R412" s="1932"/>
      <c r="S412" s="1932"/>
      <c r="T412" s="2001" t="str">
        <f t="shared" si="17"/>
        <v>8-Unit</v>
      </c>
    </row>
    <row r="413" spans="2:23" x14ac:dyDescent="0.2">
      <c r="B413" s="1979" t="str">
        <f t="shared" si="15"/>
        <v xml:space="preserve"> </v>
      </c>
      <c r="C413" s="1656" t="s">
        <v>240</v>
      </c>
      <c r="D413" s="1657"/>
      <c r="E413" s="1657"/>
      <c r="F413" s="1657"/>
      <c r="G413" s="1657"/>
      <c r="H413" s="1658">
        <v>0.01</v>
      </c>
      <c r="I413" s="1658">
        <v>0.01</v>
      </c>
      <c r="J413" s="1658">
        <v>0.01</v>
      </c>
      <c r="K413" s="1938"/>
      <c r="M413" s="1932"/>
      <c r="N413" s="1932"/>
      <c r="O413" s="1957" t="str">
        <f>IF(AND(Input_Product=EligOverlay!B413,Input_PropertyType=EligOverlay!C413),IF(Input_Purpose="Purchase",EligOverlay!H413,IF(Input_Purpose="Rate-Term",EligOverlay!I413,IF(Input_Purpose="Cash-Out",EligOverlay!J413,""))),"")</f>
        <v/>
      </c>
      <c r="P413" s="1958"/>
      <c r="Q413" s="1932"/>
      <c r="R413" s="1932"/>
      <c r="S413" s="1932"/>
      <c r="T413" s="2001" t="str">
        <f t="shared" si="17"/>
        <v>2-Unit Mixed Use</v>
      </c>
    </row>
    <row r="414" spans="2:23" x14ac:dyDescent="0.2">
      <c r="B414" s="1979" t="str">
        <f t="shared" si="15"/>
        <v xml:space="preserve"> </v>
      </c>
      <c r="C414" s="1656" t="s">
        <v>241</v>
      </c>
      <c r="D414" s="1657"/>
      <c r="E414" s="1657"/>
      <c r="F414" s="1657"/>
      <c r="G414" s="1657"/>
      <c r="H414" s="1658">
        <v>0.01</v>
      </c>
      <c r="I414" s="1658">
        <v>0.01</v>
      </c>
      <c r="J414" s="1658">
        <v>0.01</v>
      </c>
      <c r="K414" s="1938"/>
      <c r="M414" s="1932"/>
      <c r="N414" s="1932"/>
      <c r="O414" s="1957" t="str">
        <f>IF(AND(Input_Product=EligOverlay!B414,Input_PropertyType=EligOverlay!C414),IF(Input_Purpose="Purchase",EligOverlay!H414,IF(Input_Purpose="Rate-Term",EligOverlay!I414,IF(Input_Purpose="Cash-Out",EligOverlay!J414,""))),"")</f>
        <v/>
      </c>
      <c r="P414" s="1958"/>
      <c r="Q414" s="1932"/>
      <c r="R414" s="1932"/>
      <c r="S414" s="1932"/>
      <c r="T414" s="2001" t="str">
        <f t="shared" si="17"/>
        <v>3-Unit Mixed Use</v>
      </c>
    </row>
    <row r="415" spans="2:23" x14ac:dyDescent="0.2">
      <c r="B415" s="1979" t="str">
        <f t="shared" si="15"/>
        <v xml:space="preserve"> </v>
      </c>
      <c r="C415" s="1656" t="s">
        <v>242</v>
      </c>
      <c r="D415" s="1657"/>
      <c r="E415" s="1657"/>
      <c r="F415" s="1657"/>
      <c r="G415" s="1657"/>
      <c r="H415" s="1658">
        <v>0.01</v>
      </c>
      <c r="I415" s="1658">
        <v>0.01</v>
      </c>
      <c r="J415" s="1658">
        <v>0.01</v>
      </c>
      <c r="K415" s="1938"/>
      <c r="M415" s="1932"/>
      <c r="N415" s="1932"/>
      <c r="O415" s="1957" t="str">
        <f>IF(AND(Input_Product=EligOverlay!B415,Input_PropertyType=EligOverlay!C415),IF(Input_Purpose="Purchase",EligOverlay!H415,IF(Input_Purpose="Rate-Term",EligOverlay!I415,IF(Input_Purpose="Cash-Out",EligOverlay!J415,""))),"")</f>
        <v/>
      </c>
      <c r="P415" s="1958"/>
      <c r="Q415" s="1932"/>
      <c r="R415" s="1932"/>
      <c r="S415" s="1932"/>
      <c r="T415" s="2001" t="str">
        <f t="shared" si="17"/>
        <v>4-Unit Mixed Use</v>
      </c>
    </row>
    <row r="416" spans="2:23" x14ac:dyDescent="0.2">
      <c r="B416" s="1979" t="str">
        <f t="shared" si="15"/>
        <v xml:space="preserve"> </v>
      </c>
      <c r="C416" s="1939" t="s">
        <v>243</v>
      </c>
      <c r="D416" s="1657"/>
      <c r="E416" s="1657"/>
      <c r="F416" s="1657"/>
      <c r="G416" s="1657"/>
      <c r="H416" s="1658">
        <v>0.01</v>
      </c>
      <c r="I416" s="1658">
        <v>0.01</v>
      </c>
      <c r="J416" s="1658">
        <v>0.01</v>
      </c>
      <c r="K416" s="1938"/>
      <c r="M416" s="1932"/>
      <c r="N416" s="1932"/>
      <c r="O416" s="1957" t="str">
        <f>IF(AND(Input_Product=EligOverlay!B416,Input_PropertyType=EligOverlay!C416),IF(Input_Purpose="Purchase",EligOverlay!H416,IF(Input_Purpose="Rate-Term",EligOverlay!I416,IF(Input_Purpose="Cash-Out",EligOverlay!J416,""))),"")</f>
        <v/>
      </c>
      <c r="P416" s="1958"/>
      <c r="Q416" s="1932"/>
      <c r="R416" s="1932"/>
      <c r="S416" s="1932"/>
      <c r="T416" s="2001" t="str">
        <f t="shared" si="17"/>
        <v>5-Unit Mixed Use</v>
      </c>
    </row>
    <row r="417" spans="2:20" x14ac:dyDescent="0.2">
      <c r="B417" s="1979" t="str">
        <f t="shared" si="15"/>
        <v xml:space="preserve"> </v>
      </c>
      <c r="C417" s="1939" t="s">
        <v>244</v>
      </c>
      <c r="D417" s="1657"/>
      <c r="E417" s="1657"/>
      <c r="F417" s="1657"/>
      <c r="G417" s="1657"/>
      <c r="H417" s="1658">
        <v>0.01</v>
      </c>
      <c r="I417" s="1658">
        <v>0.01</v>
      </c>
      <c r="J417" s="1658">
        <v>0.01</v>
      </c>
      <c r="K417" s="1938"/>
      <c r="M417" s="1932"/>
      <c r="N417" s="1932"/>
      <c r="O417" s="1957" t="str">
        <f>IF(AND(Input_Product=EligOverlay!B417,Input_PropertyType=EligOverlay!C417),IF(Input_Purpose="Purchase",EligOverlay!H417,IF(Input_Purpose="Rate-Term",EligOverlay!I417,IF(Input_Purpose="Cash-Out",EligOverlay!J417,""))),"")</f>
        <v/>
      </c>
      <c r="P417" s="1958"/>
      <c r="Q417" s="1932"/>
      <c r="R417" s="1932"/>
      <c r="S417" s="1932"/>
      <c r="T417" s="2001" t="str">
        <f t="shared" si="17"/>
        <v>6-Unit Mixed Use</v>
      </c>
    </row>
    <row r="418" spans="2:20" x14ac:dyDescent="0.2">
      <c r="B418" s="1979" t="str">
        <f t="shared" si="15"/>
        <v xml:space="preserve"> </v>
      </c>
      <c r="C418" s="1940" t="s">
        <v>245</v>
      </c>
      <c r="D418" s="1657"/>
      <c r="E418" s="1657"/>
      <c r="F418" s="1657"/>
      <c r="G418" s="1657"/>
      <c r="H418" s="1658">
        <v>0.01</v>
      </c>
      <c r="I418" s="1658">
        <v>0.01</v>
      </c>
      <c r="J418" s="1658">
        <v>0.01</v>
      </c>
      <c r="K418" s="1938"/>
      <c r="M418" s="1932"/>
      <c r="N418" s="1932"/>
      <c r="O418" s="1957" t="str">
        <f>IF(AND(Input_Product=EligOverlay!B418,Input_PropertyType=EligOverlay!C418),IF(Input_Purpose="Purchase",EligOverlay!H418,IF(Input_Purpose="Rate-Term",EligOverlay!I418,IF(Input_Purpose="Cash-Out",EligOverlay!J418,""))),"")</f>
        <v/>
      </c>
      <c r="P418" s="1958"/>
      <c r="Q418" s="1932"/>
      <c r="R418" s="1932"/>
      <c r="S418" s="1932"/>
      <c r="T418" s="2001" t="str">
        <f t="shared" si="17"/>
        <v>7-Unit Mixed Use</v>
      </c>
    </row>
    <row r="419" spans="2:20" x14ac:dyDescent="0.2">
      <c r="B419" s="1979" t="str">
        <f t="shared" si="15"/>
        <v xml:space="preserve"> </v>
      </c>
      <c r="C419" s="1656" t="s">
        <v>246</v>
      </c>
      <c r="D419" s="1657"/>
      <c r="E419" s="1657"/>
      <c r="F419" s="1657"/>
      <c r="G419" s="1657"/>
      <c r="H419" s="1658">
        <v>0.01</v>
      </c>
      <c r="I419" s="1658">
        <v>0.01</v>
      </c>
      <c r="J419" s="1658">
        <v>0.01</v>
      </c>
      <c r="K419" s="1938"/>
      <c r="M419" s="1932"/>
      <c r="N419" s="1932"/>
      <c r="O419" s="1957" t="str">
        <f>IF(AND(Input_Product=EligOverlay!B419,Input_PropertyType=EligOverlay!C419),IF(Input_Purpose="Purchase",EligOverlay!H419,IF(Input_Purpose="Rate-Term",EligOverlay!I419,IF(Input_Purpose="Cash-Out",EligOverlay!J419,""))),"")</f>
        <v/>
      </c>
      <c r="P419" s="1958"/>
      <c r="Q419" s="1932"/>
      <c r="R419" s="1932"/>
      <c r="S419" s="1932"/>
      <c r="T419" s="2001" t="str">
        <f t="shared" si="17"/>
        <v>8-Unit Mixed Use</v>
      </c>
    </row>
    <row r="420" spans="2:20" x14ac:dyDescent="0.2">
      <c r="B420" s="1980" t="str">
        <f t="shared" ref="B420:B445" si="18">Input_Name_Product16&amp;" OO"</f>
        <v xml:space="preserve">  OO</v>
      </c>
      <c r="C420" s="1656" t="s">
        <v>83</v>
      </c>
      <c r="D420" s="1657"/>
      <c r="E420" s="1657"/>
      <c r="F420" s="1657"/>
      <c r="G420" s="1657"/>
      <c r="H420" s="1658">
        <v>90</v>
      </c>
      <c r="I420" s="1658">
        <v>85</v>
      </c>
      <c r="J420" s="1658">
        <v>80</v>
      </c>
      <c r="K420" s="1938"/>
      <c r="M420" s="1932"/>
      <c r="N420" s="1932"/>
      <c r="O420" s="1932"/>
      <c r="P420" s="1958"/>
      <c r="Q420" s="1932"/>
      <c r="R420" s="1932"/>
      <c r="S420" s="1932"/>
      <c r="T420" s="1968"/>
    </row>
    <row r="421" spans="2:20" x14ac:dyDescent="0.2">
      <c r="B421" s="1980" t="str">
        <f t="shared" si="18"/>
        <v xml:space="preserve">  OO</v>
      </c>
      <c r="C421" s="1656" t="s">
        <v>1635</v>
      </c>
      <c r="D421" s="1657"/>
      <c r="E421" s="1657"/>
      <c r="F421" s="1657"/>
      <c r="G421" s="1657"/>
      <c r="H421" s="1658">
        <v>0.01</v>
      </c>
      <c r="I421" s="1658">
        <v>0.01</v>
      </c>
      <c r="J421" s="1658">
        <v>0.01</v>
      </c>
      <c r="K421" s="1938"/>
      <c r="M421" s="1932"/>
      <c r="N421" s="1932"/>
      <c r="O421" s="1957" t="str">
        <f>IF(AND(Input_Product&amp;" OO"=EligOverlay!B421,Input_PropertyType=EligOverlay!C421),IF(Input_Purpose="Purchase",EligOverlay!H421,IF(Input_Purpose="Rate-Term",EligOverlay!I421,IF(Input_Purpose="Cash-Out",EligOverlay!J421,""))),"")</f>
        <v/>
      </c>
      <c r="P421" s="1958"/>
      <c r="Q421" s="1932"/>
      <c r="R421" s="1932"/>
      <c r="S421" s="1932"/>
      <c r="T421" s="2001" t="str">
        <f>C421</f>
        <v>SFR-Rural</v>
      </c>
    </row>
    <row r="422" spans="2:20" x14ac:dyDescent="0.2">
      <c r="B422" s="1980" t="str">
        <f t="shared" si="18"/>
        <v xml:space="preserve">  OO</v>
      </c>
      <c r="C422" s="1656" t="s">
        <v>155</v>
      </c>
      <c r="D422" s="1657"/>
      <c r="E422" s="1657"/>
      <c r="F422" s="1657"/>
      <c r="G422" s="1657"/>
      <c r="H422" s="1658">
        <v>90</v>
      </c>
      <c r="I422" s="1658">
        <v>85</v>
      </c>
      <c r="J422" s="1658">
        <v>80</v>
      </c>
      <c r="K422" s="1938"/>
      <c r="M422" s="1932"/>
      <c r="N422" s="1932"/>
      <c r="O422" s="1932"/>
      <c r="P422" s="1958"/>
      <c r="Q422" s="1932"/>
      <c r="R422" s="1932"/>
      <c r="S422" s="1932"/>
      <c r="T422" s="1968"/>
    </row>
    <row r="423" spans="2:20" x14ac:dyDescent="0.2">
      <c r="B423" s="1980" t="str">
        <f t="shared" si="18"/>
        <v xml:space="preserve">  OO</v>
      </c>
      <c r="C423" s="1656" t="s">
        <v>128</v>
      </c>
      <c r="D423" s="1657"/>
      <c r="E423" s="1657"/>
      <c r="F423" s="1657"/>
      <c r="G423" s="1657"/>
      <c r="H423" s="1658">
        <v>90</v>
      </c>
      <c r="I423" s="1658">
        <v>85</v>
      </c>
      <c r="J423" s="1658">
        <v>80</v>
      </c>
      <c r="K423" s="1938"/>
      <c r="M423" s="1932"/>
      <c r="N423" s="1932"/>
      <c r="O423" s="1932"/>
      <c r="P423" s="1958"/>
      <c r="Q423" s="1932"/>
      <c r="R423" s="1932"/>
      <c r="S423" s="1932"/>
      <c r="T423" s="1968"/>
    </row>
    <row r="424" spans="2:20" x14ac:dyDescent="0.2">
      <c r="B424" s="1980" t="str">
        <f t="shared" si="18"/>
        <v xml:space="preserve">  OO</v>
      </c>
      <c r="C424" s="1656" t="s">
        <v>223</v>
      </c>
      <c r="D424" s="1657"/>
      <c r="E424" s="1657"/>
      <c r="F424" s="1657"/>
      <c r="G424" s="1657"/>
      <c r="H424" s="1658">
        <v>90</v>
      </c>
      <c r="I424" s="1658">
        <v>85</v>
      </c>
      <c r="J424" s="1658">
        <v>80</v>
      </c>
      <c r="K424" s="1938"/>
      <c r="M424" s="1932"/>
      <c r="N424" s="1932"/>
      <c r="O424" s="1957" t="str">
        <f>IF(AND(Input_Product&amp;" OO"=EligOverlay!B424,Input_PropertyType=EligOverlay!C424),IF(Input_Purpose="Purchase",EligOverlay!H424,IF(Input_Purpose="Rate-Term",EligOverlay!I424,IF(Input_Purpose="Cash-Out",EligOverlay!J424,""))),"")</f>
        <v/>
      </c>
      <c r="P424" s="1958"/>
      <c r="Q424" s="1932"/>
      <c r="R424" s="1932"/>
      <c r="S424" s="1932"/>
      <c r="T424" s="2001" t="str">
        <f t="shared" ref="T424:T429" si="19">C424</f>
        <v>Condo-Site</v>
      </c>
    </row>
    <row r="425" spans="2:20" x14ac:dyDescent="0.2">
      <c r="B425" s="1980" t="str">
        <f t="shared" si="18"/>
        <v xml:space="preserve">  OO</v>
      </c>
      <c r="C425" s="1656" t="s">
        <v>133</v>
      </c>
      <c r="D425" s="1657"/>
      <c r="E425" s="1657"/>
      <c r="F425" s="1657"/>
      <c r="G425" s="1657"/>
      <c r="H425" s="1658">
        <v>85</v>
      </c>
      <c r="I425" s="1658">
        <v>85</v>
      </c>
      <c r="J425" s="1658">
        <v>80</v>
      </c>
      <c r="K425" s="1938"/>
      <c r="M425" s="1932"/>
      <c r="N425" s="1932"/>
      <c r="O425" s="1957" t="str">
        <f>IF(AND(Input_Product&amp;" OO"=EligOverlay!B425,Input_PropertyType=EligOverlay!C425),IF(Input_Purpose="Purchase",EligOverlay!H425,IF(Input_Purpose="Rate-Term",EligOverlay!I425,IF(Input_Purpose="Cash-Out",EligOverlay!J425,""))),"")</f>
        <v/>
      </c>
      <c r="P425" s="1958"/>
      <c r="Q425" s="1932"/>
      <c r="R425" s="1932"/>
      <c r="S425" s="1932"/>
      <c r="T425" s="2001" t="str">
        <f t="shared" si="19"/>
        <v>2-Unit</v>
      </c>
    </row>
    <row r="426" spans="2:20" x14ac:dyDescent="0.2">
      <c r="B426" s="1980" t="str">
        <f t="shared" si="18"/>
        <v xml:space="preserve">  OO</v>
      </c>
      <c r="C426" s="1656" t="s">
        <v>134</v>
      </c>
      <c r="D426" s="1657"/>
      <c r="E426" s="1657"/>
      <c r="F426" s="1657"/>
      <c r="G426" s="1657"/>
      <c r="H426" s="1658">
        <v>85</v>
      </c>
      <c r="I426" s="1658">
        <v>85</v>
      </c>
      <c r="J426" s="1658">
        <v>80</v>
      </c>
      <c r="K426" s="1938"/>
      <c r="M426" s="1932"/>
      <c r="N426" s="1932"/>
      <c r="O426" s="1957" t="str">
        <f>IF(AND(Input_Product&amp;" OO"=EligOverlay!B426,Input_PropertyType=EligOverlay!C426),IF(Input_Purpose="Purchase",EligOverlay!H426,IF(Input_Purpose="Rate-Term",EligOverlay!I426,IF(Input_Purpose="Cash-Out",EligOverlay!J426,""))),"")</f>
        <v/>
      </c>
      <c r="P426" s="1958"/>
      <c r="Q426" s="1932"/>
      <c r="R426" s="1932"/>
      <c r="S426" s="1932"/>
      <c r="T426" s="2001" t="str">
        <f t="shared" si="19"/>
        <v>3-Unit</v>
      </c>
    </row>
    <row r="427" spans="2:20" x14ac:dyDescent="0.2">
      <c r="B427" s="1980" t="str">
        <f t="shared" si="18"/>
        <v xml:space="preserve">  OO</v>
      </c>
      <c r="C427" s="1656" t="s">
        <v>135</v>
      </c>
      <c r="D427" s="1657"/>
      <c r="E427" s="1657"/>
      <c r="F427" s="1657"/>
      <c r="G427" s="1657"/>
      <c r="H427" s="1658">
        <v>85</v>
      </c>
      <c r="I427" s="1658">
        <v>85</v>
      </c>
      <c r="J427" s="1658">
        <v>80</v>
      </c>
      <c r="K427" s="1938"/>
      <c r="M427" s="1932"/>
      <c r="N427" s="1932"/>
      <c r="O427" s="1957" t="str">
        <f>IF(AND(Input_Product&amp;" OO"=EligOverlay!B427,Input_PropertyType=EligOverlay!C427),IF(Input_Purpose="Purchase",EligOverlay!H427,IF(Input_Purpose="Rate-Term",EligOverlay!I427,IF(Input_Purpose="Cash-Out",EligOverlay!J427,""))),"")</f>
        <v/>
      </c>
      <c r="P427" s="1958"/>
      <c r="Q427" s="1932"/>
      <c r="R427" s="1932"/>
      <c r="S427" s="1932"/>
      <c r="T427" s="2001" t="str">
        <f t="shared" si="19"/>
        <v>4-Unit</v>
      </c>
    </row>
    <row r="428" spans="2:20" x14ac:dyDescent="0.2">
      <c r="B428" s="1980" t="str">
        <f t="shared" si="18"/>
        <v xml:space="preserve">  OO</v>
      </c>
      <c r="C428" s="1656" t="s">
        <v>131</v>
      </c>
      <c r="D428" s="1657"/>
      <c r="E428" s="1657"/>
      <c r="F428" s="1657"/>
      <c r="G428" s="1657"/>
      <c r="H428" s="1658">
        <v>85</v>
      </c>
      <c r="I428" s="1658">
        <v>85</v>
      </c>
      <c r="J428" s="1658">
        <v>80</v>
      </c>
      <c r="K428" s="1938"/>
      <c r="M428" s="1932"/>
      <c r="N428" s="1932"/>
      <c r="O428" s="1957" t="str">
        <f>IF(AND(Input_Product&amp;" OO"=EligOverlay!B428,Input_PropertyType=EligOverlay!C428),IF(Input_Purpose="Purchase",EligOverlay!H428,IF(Input_Purpose="Rate-Term",EligOverlay!I428,IF(Input_Purpose="Cash-Out",EligOverlay!J428,""))),"")</f>
        <v/>
      </c>
      <c r="P428" s="1958"/>
      <c r="Q428" s="1932"/>
      <c r="R428" s="1932"/>
      <c r="S428" s="1932"/>
      <c r="T428" s="2001" t="str">
        <f t="shared" si="19"/>
        <v>Condo-Warrantable</v>
      </c>
    </row>
    <row r="429" spans="2:20" x14ac:dyDescent="0.2">
      <c r="B429" s="1980" t="str">
        <f t="shared" si="18"/>
        <v xml:space="preserve">  OO</v>
      </c>
      <c r="C429" s="1656" t="s">
        <v>132</v>
      </c>
      <c r="D429" s="1657"/>
      <c r="E429" s="1657"/>
      <c r="F429" s="1657"/>
      <c r="G429" s="1657"/>
      <c r="H429" s="1658">
        <v>85</v>
      </c>
      <c r="I429" s="1658">
        <v>85</v>
      </c>
      <c r="J429" s="1658">
        <v>80</v>
      </c>
      <c r="K429" s="1938"/>
      <c r="M429" s="1932"/>
      <c r="N429" s="1932"/>
      <c r="O429" s="1957" t="str">
        <f>IF(AND(Input_Product&amp;" OO"=EligOverlay!B429,Input_PropertyType=EligOverlay!C429),IF(Input_Purpose="Purchase",EligOverlay!H429,IF(Input_Purpose="Rate-Term",EligOverlay!I429,IF(Input_Purpose="Cash-Out",EligOverlay!J429,""))),"")</f>
        <v/>
      </c>
      <c r="P429" s="1958"/>
      <c r="Q429" s="1932"/>
      <c r="R429" s="1932"/>
      <c r="S429" s="1932"/>
      <c r="T429" s="2001" t="str">
        <f t="shared" si="19"/>
        <v>Condo-NonWarrantable</v>
      </c>
    </row>
    <row r="430" spans="2:20" x14ac:dyDescent="0.2">
      <c r="B430" s="1980" t="str">
        <f t="shared" si="18"/>
        <v xml:space="preserve">  OO</v>
      </c>
      <c r="C430" s="1656" t="s">
        <v>1630</v>
      </c>
      <c r="D430" s="1657"/>
      <c r="E430" s="1657"/>
      <c r="F430" s="1657"/>
      <c r="G430" s="1657"/>
      <c r="H430" s="1658">
        <v>85</v>
      </c>
      <c r="I430" s="1658">
        <v>85</v>
      </c>
      <c r="J430" s="1658">
        <v>80</v>
      </c>
      <c r="K430" s="1670">
        <v>2500000</v>
      </c>
      <c r="M430" s="1957" t="str">
        <f>IF(AND(Input_Product&amp;" OO"=EligOverlay!B430,Input_PropertyType=EligOverlay!C430,Input_LoanAmt&gt;EligOverlay!K430),K430,"")</f>
        <v/>
      </c>
      <c r="N430" s="1932"/>
      <c r="O430" s="1957" t="str">
        <f>IF(AND(Input_Product&amp;" OO"=EligOverlay!B430,Input_PropertyType=EligOverlay!C430),IF(Input_Purpose="Purchase",EligOverlay!H430,IF(Input_Purpose="Rate-Term",EligOverlay!I430,IF(Input_Purpose="Cash-Out",EligOverlay!J430,""))),"")</f>
        <v/>
      </c>
      <c r="P430" s="1958"/>
      <c r="Q430" s="1932"/>
      <c r="R430" s="1932"/>
      <c r="S430" s="1932"/>
      <c r="T430" s="2001" t="s">
        <v>2625</v>
      </c>
    </row>
    <row r="431" spans="2:20" x14ac:dyDescent="0.2">
      <c r="B431" s="1980" t="str">
        <f t="shared" si="18"/>
        <v xml:space="preserve">  OO</v>
      </c>
      <c r="C431" s="1656" t="s">
        <v>153</v>
      </c>
      <c r="D431" s="1657"/>
      <c r="E431" s="1657"/>
      <c r="F431" s="1657"/>
      <c r="G431" s="1657"/>
      <c r="H431" s="1658">
        <v>90</v>
      </c>
      <c r="I431" s="1658">
        <v>85</v>
      </c>
      <c r="J431" s="1658">
        <v>80</v>
      </c>
      <c r="K431" s="1938"/>
      <c r="M431" s="1932"/>
      <c r="N431" s="1932"/>
      <c r="O431" s="1957" t="str">
        <f>IF(AND(Input_Product&amp;" OO"=EligOverlay!B431,Input_PropertyType=EligOverlay!C431),IF(Input_Purpose="Purchase",EligOverlay!H431,IF(Input_Purpose="Rate-Term",EligOverlay!I431,IF(Input_Purpose="Cash-Out",EligOverlay!J431,""))),"")</f>
        <v/>
      </c>
      <c r="P431" s="1958"/>
      <c r="Q431" s="1932"/>
      <c r="R431" s="1932"/>
      <c r="S431" s="1932"/>
      <c r="T431" s="2001" t="str">
        <f t="shared" ref="T431:T445" si="20">C431</f>
        <v>Townhouse</v>
      </c>
    </row>
    <row r="432" spans="2:20" x14ac:dyDescent="0.2">
      <c r="B432" s="1980" t="str">
        <f t="shared" si="18"/>
        <v xml:space="preserve">  OO</v>
      </c>
      <c r="C432" s="1656" t="s">
        <v>154</v>
      </c>
      <c r="D432" s="1657"/>
      <c r="E432" s="1657"/>
      <c r="F432" s="1657"/>
      <c r="G432" s="1657"/>
      <c r="H432" s="1658">
        <v>90</v>
      </c>
      <c r="I432" s="1658">
        <v>85</v>
      </c>
      <c r="J432" s="1658">
        <v>80</v>
      </c>
      <c r="K432" s="1938"/>
      <c r="M432" s="1932"/>
      <c r="N432" s="1932"/>
      <c r="O432" s="1957" t="str">
        <f>IF(AND(Input_Product&amp;" OO"=EligOverlay!B432,Input_PropertyType=EligOverlay!C432),IF(Input_Purpose="Purchase",EligOverlay!H432,IF(Input_Purpose="Rate-Term",EligOverlay!I432,IF(Input_Purpose="Cash-Out",EligOverlay!J432,""))),"")</f>
        <v/>
      </c>
      <c r="P432" s="1958"/>
      <c r="Q432" s="1932"/>
      <c r="R432" s="1932"/>
      <c r="S432" s="1932"/>
      <c r="T432" s="2001" t="str">
        <f t="shared" si="20"/>
        <v>Rowhouse</v>
      </c>
    </row>
    <row r="433" spans="2:23" x14ac:dyDescent="0.2">
      <c r="B433" s="1980" t="str">
        <f t="shared" si="18"/>
        <v xml:space="preserve">  OO</v>
      </c>
      <c r="C433" s="1656" t="s">
        <v>19</v>
      </c>
      <c r="D433" s="1657"/>
      <c r="E433" s="1657"/>
      <c r="F433" s="1657"/>
      <c r="G433" s="1657"/>
      <c r="H433" s="1658">
        <v>90</v>
      </c>
      <c r="I433" s="1658">
        <v>85</v>
      </c>
      <c r="J433" s="1658">
        <v>80</v>
      </c>
      <c r="K433" s="1938"/>
      <c r="M433" s="1932"/>
      <c r="N433" s="1932"/>
      <c r="O433" s="1957" t="str">
        <f>IF(AND(Input_Product&amp;" OO"=EligOverlay!B433,Input_PropertyType=EligOverlay!C433),IF(Input_Purpose="Purchase",EligOverlay!H433,IF(Input_Purpose="Rate-Term",EligOverlay!I433,IF(Input_Purpose="Cash-Out",EligOverlay!J433,""))),"")</f>
        <v/>
      </c>
      <c r="P433" s="1958"/>
      <c r="Q433" s="1932"/>
      <c r="R433" s="1932"/>
      <c r="S433" s="1932"/>
      <c r="T433" s="2001" t="str">
        <f t="shared" si="20"/>
        <v>Modular</v>
      </c>
      <c r="W433" s="226" t="s">
        <v>1627</v>
      </c>
    </row>
    <row r="434" spans="2:23" x14ac:dyDescent="0.2">
      <c r="B434" s="1980" t="str">
        <f t="shared" si="18"/>
        <v xml:space="preserve">  OO</v>
      </c>
      <c r="C434" s="1656" t="s">
        <v>130</v>
      </c>
      <c r="D434" s="1657"/>
      <c r="E434" s="1657"/>
      <c r="F434" s="1657"/>
      <c r="G434" s="1657"/>
      <c r="H434" s="1658">
        <v>0.01</v>
      </c>
      <c r="I434" s="1658">
        <v>0.01</v>
      </c>
      <c r="J434" s="1658">
        <v>0.01</v>
      </c>
      <c r="K434" s="1938"/>
      <c r="M434" s="1932"/>
      <c r="N434" s="1932"/>
      <c r="O434" s="1957" t="str">
        <f>IF(AND(Input_Product&amp;" OO"=EligOverlay!B434,Input_PropertyType=EligOverlay!C434),IF(Input_Purpose="Purchase",EligOverlay!H434,IF(Input_Purpose="Rate-Term",EligOverlay!I434,IF(Input_Purpose="Cash-Out",EligOverlay!J434,""))),"")</f>
        <v/>
      </c>
      <c r="P434" s="1958"/>
      <c r="Q434" s="1932"/>
      <c r="R434" s="1932"/>
      <c r="S434" s="1932"/>
      <c r="T434" s="2001" t="str">
        <f t="shared" si="20"/>
        <v>Log Home</v>
      </c>
    </row>
    <row r="435" spans="2:23" x14ac:dyDescent="0.2">
      <c r="B435" s="1980" t="str">
        <f t="shared" si="18"/>
        <v xml:space="preserve">  OO</v>
      </c>
      <c r="C435" s="1656" t="s">
        <v>233</v>
      </c>
      <c r="D435" s="1657"/>
      <c r="E435" s="1657"/>
      <c r="F435" s="1657"/>
      <c r="G435" s="1657"/>
      <c r="H435" s="1658">
        <v>0.01</v>
      </c>
      <c r="I435" s="1658">
        <v>0.01</v>
      </c>
      <c r="J435" s="1658">
        <v>0.01</v>
      </c>
      <c r="K435" s="1938"/>
      <c r="M435" s="1932"/>
      <c r="N435" s="1932"/>
      <c r="O435" s="1957" t="str">
        <f>IF(AND(Input_Product&amp;" OO"=EligOverlay!B435,Input_PropertyType=EligOverlay!C435),IF(Input_Purpose="Purchase",EligOverlay!H435,IF(Input_Purpose="Rate-Term",EligOverlay!I435,IF(Input_Purpose="Cash-Out",EligOverlay!J435,""))),"")</f>
        <v/>
      </c>
      <c r="P435" s="1958"/>
      <c r="Q435" s="1932"/>
      <c r="R435" s="1932"/>
      <c r="S435" s="1932"/>
      <c r="T435" s="2001" t="str">
        <f t="shared" si="20"/>
        <v>5-Unit</v>
      </c>
    </row>
    <row r="436" spans="2:23" x14ac:dyDescent="0.2">
      <c r="B436" s="1980" t="str">
        <f t="shared" si="18"/>
        <v xml:space="preserve">  OO</v>
      </c>
      <c r="C436" s="1656" t="s">
        <v>234</v>
      </c>
      <c r="D436" s="1657"/>
      <c r="E436" s="1657"/>
      <c r="F436" s="1657"/>
      <c r="G436" s="1657"/>
      <c r="H436" s="1658">
        <v>0.01</v>
      </c>
      <c r="I436" s="1658">
        <v>0.01</v>
      </c>
      <c r="J436" s="1658">
        <v>0.01</v>
      </c>
      <c r="K436" s="1938"/>
      <c r="M436" s="1932"/>
      <c r="N436" s="1932"/>
      <c r="O436" s="1957" t="str">
        <f>IF(AND(Input_Product&amp;" OO"=EligOverlay!B436,Input_PropertyType=EligOverlay!C436),IF(Input_Purpose="Purchase",EligOverlay!H436,IF(Input_Purpose="Rate-Term",EligOverlay!I436,IF(Input_Purpose="Cash-Out",EligOverlay!J436,""))),"")</f>
        <v/>
      </c>
      <c r="P436" s="1958"/>
      <c r="Q436" s="1932"/>
      <c r="R436" s="1932"/>
      <c r="S436" s="1932"/>
      <c r="T436" s="2001" t="str">
        <f t="shared" si="20"/>
        <v>6-Unit</v>
      </c>
    </row>
    <row r="437" spans="2:23" x14ac:dyDescent="0.2">
      <c r="B437" s="1980" t="str">
        <f t="shared" si="18"/>
        <v xml:space="preserve">  OO</v>
      </c>
      <c r="C437" s="1656" t="s">
        <v>235</v>
      </c>
      <c r="D437" s="1657"/>
      <c r="E437" s="1657"/>
      <c r="F437" s="1657"/>
      <c r="G437" s="1657"/>
      <c r="H437" s="1658">
        <v>0.01</v>
      </c>
      <c r="I437" s="1658">
        <v>0.01</v>
      </c>
      <c r="J437" s="1658">
        <v>0.01</v>
      </c>
      <c r="K437" s="1938"/>
      <c r="M437" s="1932"/>
      <c r="N437" s="1932"/>
      <c r="O437" s="1957" t="str">
        <f>IF(AND(Input_Product&amp;" OO"=EligOverlay!B437,Input_PropertyType=EligOverlay!C437),IF(Input_Purpose="Purchase",EligOverlay!H437,IF(Input_Purpose="Rate-Term",EligOverlay!I437,IF(Input_Purpose="Cash-Out",EligOverlay!J437,""))),"")</f>
        <v/>
      </c>
      <c r="P437" s="1958"/>
      <c r="Q437" s="1932"/>
      <c r="R437" s="1932"/>
      <c r="S437" s="1932"/>
      <c r="T437" s="2001" t="str">
        <f t="shared" si="20"/>
        <v>7-Unit</v>
      </c>
    </row>
    <row r="438" spans="2:23" x14ac:dyDescent="0.2">
      <c r="B438" s="1980" t="str">
        <f t="shared" si="18"/>
        <v xml:space="preserve">  OO</v>
      </c>
      <c r="C438" s="1656" t="s">
        <v>236</v>
      </c>
      <c r="D438" s="1657"/>
      <c r="E438" s="1657"/>
      <c r="F438" s="1657"/>
      <c r="G438" s="1657"/>
      <c r="H438" s="1658">
        <v>0.01</v>
      </c>
      <c r="I438" s="1658">
        <v>0.01</v>
      </c>
      <c r="J438" s="1658">
        <v>0.01</v>
      </c>
      <c r="K438" s="1938"/>
      <c r="M438" s="1932"/>
      <c r="N438" s="1932"/>
      <c r="O438" s="1957" t="str">
        <f>IF(AND(Input_Product&amp;" OO"=EligOverlay!B438,Input_PropertyType=EligOverlay!C438),IF(Input_Purpose="Purchase",EligOverlay!H438,IF(Input_Purpose="Rate-Term",EligOverlay!I438,IF(Input_Purpose="Cash-Out",EligOverlay!J438,""))),"")</f>
        <v/>
      </c>
      <c r="P438" s="1958"/>
      <c r="Q438" s="1932"/>
      <c r="R438" s="1932"/>
      <c r="S438" s="1932"/>
      <c r="T438" s="2001" t="str">
        <f t="shared" si="20"/>
        <v>8-Unit</v>
      </c>
    </row>
    <row r="439" spans="2:23" x14ac:dyDescent="0.2">
      <c r="B439" s="1980" t="str">
        <f t="shared" si="18"/>
        <v xml:space="preserve">  OO</v>
      </c>
      <c r="C439" s="1656" t="s">
        <v>240</v>
      </c>
      <c r="D439" s="1657"/>
      <c r="E439" s="1657"/>
      <c r="F439" s="1657"/>
      <c r="G439" s="1657"/>
      <c r="H439" s="1658">
        <v>0.01</v>
      </c>
      <c r="I439" s="1658">
        <v>0.01</v>
      </c>
      <c r="J439" s="1658">
        <v>0.01</v>
      </c>
      <c r="K439" s="1938"/>
      <c r="M439" s="1932"/>
      <c r="N439" s="1932"/>
      <c r="O439" s="1957" t="str">
        <f>IF(AND(Input_Product&amp;" OO"=EligOverlay!B439,Input_PropertyType=EligOverlay!C439),IF(Input_Purpose="Purchase",EligOverlay!H439,IF(Input_Purpose="Rate-Term",EligOverlay!I439,IF(Input_Purpose="Cash-Out",EligOverlay!J439,""))),"")</f>
        <v/>
      </c>
      <c r="P439" s="1958"/>
      <c r="Q439" s="1932"/>
      <c r="R439" s="1932"/>
      <c r="S439" s="1932"/>
      <c r="T439" s="2001" t="str">
        <f t="shared" si="20"/>
        <v>2-Unit Mixed Use</v>
      </c>
    </row>
    <row r="440" spans="2:23" x14ac:dyDescent="0.2">
      <c r="B440" s="1980" t="str">
        <f t="shared" si="18"/>
        <v xml:space="preserve">  OO</v>
      </c>
      <c r="C440" s="1656" t="s">
        <v>241</v>
      </c>
      <c r="D440" s="1657"/>
      <c r="E440" s="1657"/>
      <c r="F440" s="1657"/>
      <c r="G440" s="1657"/>
      <c r="H440" s="1658">
        <v>0.01</v>
      </c>
      <c r="I440" s="1658">
        <v>0.01</v>
      </c>
      <c r="J440" s="1658">
        <v>0.01</v>
      </c>
      <c r="K440" s="1938"/>
      <c r="M440" s="1932"/>
      <c r="N440" s="1932"/>
      <c r="O440" s="1957" t="str">
        <f>IF(AND(Input_Product&amp;" OO"=EligOverlay!B440,Input_PropertyType=EligOverlay!C440),IF(Input_Purpose="Purchase",EligOverlay!H440,IF(Input_Purpose="Rate-Term",EligOverlay!I440,IF(Input_Purpose="Cash-Out",EligOverlay!J440,""))),"")</f>
        <v/>
      </c>
      <c r="P440" s="1958"/>
      <c r="Q440" s="1932"/>
      <c r="R440" s="1932"/>
      <c r="S440" s="1932"/>
      <c r="T440" s="2001" t="str">
        <f t="shared" si="20"/>
        <v>3-Unit Mixed Use</v>
      </c>
    </row>
    <row r="441" spans="2:23" x14ac:dyDescent="0.2">
      <c r="B441" s="1980" t="str">
        <f t="shared" si="18"/>
        <v xml:space="preserve">  OO</v>
      </c>
      <c r="C441" s="1656" t="s">
        <v>242</v>
      </c>
      <c r="D441" s="1657"/>
      <c r="E441" s="1657"/>
      <c r="F441" s="1657"/>
      <c r="G441" s="1657"/>
      <c r="H441" s="1658">
        <v>0.01</v>
      </c>
      <c r="I441" s="1658">
        <v>0.01</v>
      </c>
      <c r="J441" s="1658">
        <v>0.01</v>
      </c>
      <c r="K441" s="1938"/>
      <c r="M441" s="1932"/>
      <c r="N441" s="1932"/>
      <c r="O441" s="1957" t="str">
        <f>IF(AND(Input_Product&amp;" OO"=EligOverlay!B441,Input_PropertyType=EligOverlay!C441),IF(Input_Purpose="Purchase",EligOverlay!H441,IF(Input_Purpose="Rate-Term",EligOverlay!I441,IF(Input_Purpose="Cash-Out",EligOverlay!J441,""))),"")</f>
        <v/>
      </c>
      <c r="P441" s="1958"/>
      <c r="Q441" s="1932"/>
      <c r="R441" s="1932"/>
      <c r="S441" s="1932"/>
      <c r="T441" s="2001" t="str">
        <f t="shared" si="20"/>
        <v>4-Unit Mixed Use</v>
      </c>
    </row>
    <row r="442" spans="2:23" x14ac:dyDescent="0.2">
      <c r="B442" s="1980" t="str">
        <f t="shared" si="18"/>
        <v xml:space="preserve">  OO</v>
      </c>
      <c r="C442" s="1939" t="s">
        <v>243</v>
      </c>
      <c r="D442" s="1657"/>
      <c r="E442" s="1657"/>
      <c r="F442" s="1657"/>
      <c r="G442" s="1657"/>
      <c r="H442" s="1658">
        <v>0.01</v>
      </c>
      <c r="I442" s="1658">
        <v>0.01</v>
      </c>
      <c r="J442" s="1658">
        <v>0.01</v>
      </c>
      <c r="K442" s="1938"/>
      <c r="M442" s="1932"/>
      <c r="N442" s="1932"/>
      <c r="O442" s="1957" t="str">
        <f>IF(AND(Input_Product&amp;" OO"=EligOverlay!B442,Input_PropertyType=EligOverlay!C442),IF(Input_Purpose="Purchase",EligOverlay!H442,IF(Input_Purpose="Rate-Term",EligOverlay!I442,IF(Input_Purpose="Cash-Out",EligOverlay!J442,""))),"")</f>
        <v/>
      </c>
      <c r="P442" s="1958"/>
      <c r="Q442" s="1932"/>
      <c r="R442" s="1932"/>
      <c r="S442" s="1932"/>
      <c r="T442" s="2001" t="str">
        <f t="shared" si="20"/>
        <v>5-Unit Mixed Use</v>
      </c>
    </row>
    <row r="443" spans="2:23" x14ac:dyDescent="0.2">
      <c r="B443" s="1980" t="str">
        <f t="shared" si="18"/>
        <v xml:space="preserve">  OO</v>
      </c>
      <c r="C443" s="1939" t="s">
        <v>244</v>
      </c>
      <c r="D443" s="1657"/>
      <c r="E443" s="1657"/>
      <c r="F443" s="1657"/>
      <c r="G443" s="1657"/>
      <c r="H443" s="1658">
        <v>0.01</v>
      </c>
      <c r="I443" s="1658">
        <v>0.01</v>
      </c>
      <c r="J443" s="1658">
        <v>0.01</v>
      </c>
      <c r="K443" s="1938"/>
      <c r="M443" s="1932"/>
      <c r="N443" s="1932"/>
      <c r="O443" s="1957" t="str">
        <f>IF(AND(Input_Product&amp;" OO"=EligOverlay!B443,Input_PropertyType=EligOverlay!C443),IF(Input_Purpose="Purchase",EligOverlay!H443,IF(Input_Purpose="Rate-Term",EligOverlay!I443,IF(Input_Purpose="Cash-Out",EligOverlay!J443,""))),"")</f>
        <v/>
      </c>
      <c r="P443" s="1958"/>
      <c r="Q443" s="1932"/>
      <c r="R443" s="1932"/>
      <c r="S443" s="1932"/>
      <c r="T443" s="2001" t="str">
        <f t="shared" si="20"/>
        <v>6-Unit Mixed Use</v>
      </c>
    </row>
    <row r="444" spans="2:23" x14ac:dyDescent="0.2">
      <c r="B444" s="1980" t="str">
        <f t="shared" si="18"/>
        <v xml:space="preserve">  OO</v>
      </c>
      <c r="C444" s="1940" t="s">
        <v>245</v>
      </c>
      <c r="D444" s="1657"/>
      <c r="E444" s="1657"/>
      <c r="F444" s="1657"/>
      <c r="G444" s="1657"/>
      <c r="H444" s="1658">
        <v>0.01</v>
      </c>
      <c r="I444" s="1658">
        <v>0.01</v>
      </c>
      <c r="J444" s="1658">
        <v>0.01</v>
      </c>
      <c r="K444" s="1938"/>
      <c r="M444" s="1932"/>
      <c r="N444" s="1932"/>
      <c r="O444" s="1957" t="str">
        <f>IF(AND(Input_Product&amp;" OO"=EligOverlay!B444,Input_PropertyType=EligOverlay!C444),IF(Input_Purpose="Purchase",EligOverlay!H444,IF(Input_Purpose="Rate-Term",EligOverlay!I444,IF(Input_Purpose="Cash-Out",EligOverlay!J444,""))),"")</f>
        <v/>
      </c>
      <c r="P444" s="1958"/>
      <c r="Q444" s="1932"/>
      <c r="R444" s="1932"/>
      <c r="S444" s="1932"/>
      <c r="T444" s="2001" t="str">
        <f t="shared" si="20"/>
        <v>7-Unit Mixed Use</v>
      </c>
    </row>
    <row r="445" spans="2:23" x14ac:dyDescent="0.2">
      <c r="B445" s="1980" t="str">
        <f t="shared" si="18"/>
        <v xml:space="preserve">  OO</v>
      </c>
      <c r="C445" s="1656" t="s">
        <v>246</v>
      </c>
      <c r="D445" s="1657"/>
      <c r="E445" s="1657"/>
      <c r="F445" s="1657"/>
      <c r="G445" s="1657"/>
      <c r="H445" s="1658">
        <v>0.01</v>
      </c>
      <c r="I445" s="1658">
        <v>0.01</v>
      </c>
      <c r="J445" s="1658">
        <v>0.01</v>
      </c>
      <c r="K445" s="1938"/>
      <c r="M445" s="1932"/>
      <c r="N445" s="1932"/>
      <c r="O445" s="1957" t="str">
        <f>IF(AND(Input_Product&amp;" OO"=EligOverlay!B445,Input_PropertyType=EligOverlay!C445),IF(Input_Purpose="Purchase",EligOverlay!H445,IF(Input_Purpose="Rate-Term",EligOverlay!I445,IF(Input_Purpose="Cash-Out",EligOverlay!J445,""))),"")</f>
        <v/>
      </c>
      <c r="P445" s="1958"/>
      <c r="Q445" s="1932"/>
      <c r="R445" s="1932"/>
      <c r="S445" s="1932"/>
      <c r="T445" s="2001" t="str">
        <f t="shared" si="20"/>
        <v>8-Unit Mixed Use</v>
      </c>
    </row>
    <row r="446" spans="2:23" x14ac:dyDescent="0.2">
      <c r="B446" s="1980" t="str">
        <f t="shared" ref="B446:B471" si="21">Input_Name_Product16&amp;" NOO"</f>
        <v xml:space="preserve">  NOO</v>
      </c>
      <c r="C446" s="1656" t="s">
        <v>83</v>
      </c>
      <c r="D446" s="1657"/>
      <c r="E446" s="1657"/>
      <c r="F446" s="1657"/>
      <c r="G446" s="1657"/>
      <c r="H446" s="1658">
        <v>90</v>
      </c>
      <c r="I446" s="1658">
        <v>85</v>
      </c>
      <c r="J446" s="1658">
        <v>80</v>
      </c>
      <c r="K446" s="1938"/>
      <c r="M446" s="1932"/>
      <c r="N446" s="1932"/>
      <c r="O446" s="1932"/>
      <c r="P446" s="1958"/>
      <c r="Q446" s="1932"/>
      <c r="R446" s="1932"/>
      <c r="S446" s="1932"/>
      <c r="T446" s="1968"/>
    </row>
    <row r="447" spans="2:23" x14ac:dyDescent="0.2">
      <c r="B447" s="1980" t="str">
        <f t="shared" si="21"/>
        <v xml:space="preserve">  NOO</v>
      </c>
      <c r="C447" s="1656" t="s">
        <v>1635</v>
      </c>
      <c r="D447" s="1657"/>
      <c r="E447" s="1657"/>
      <c r="F447" s="1657"/>
      <c r="G447" s="1657"/>
      <c r="H447" s="1658">
        <v>0.01</v>
      </c>
      <c r="I447" s="1658">
        <v>0.01</v>
      </c>
      <c r="J447" s="1658">
        <v>0.01</v>
      </c>
      <c r="K447" s="1938"/>
      <c r="M447" s="1932"/>
      <c r="N447" s="1932"/>
      <c r="O447" s="1957" t="str">
        <f>IF(AND(Input_Product&amp;" NOO"=EligOverlay!B447,Input_PropertyType=EligOverlay!C447),IF(Input_Purpose="Purchase",EligOverlay!H447,IF(Input_Purpose="Rate-Term",EligOverlay!I447,IF(Input_Purpose="Cash-Out",EligOverlay!J447,""))),"")</f>
        <v/>
      </c>
      <c r="P447" s="1958"/>
      <c r="Q447" s="1932"/>
      <c r="R447" s="1932"/>
      <c r="S447" s="1932"/>
      <c r="T447" s="2001" t="str">
        <f>C447</f>
        <v>SFR-Rural</v>
      </c>
    </row>
    <row r="448" spans="2:23" x14ac:dyDescent="0.2">
      <c r="B448" s="1980" t="str">
        <f t="shared" si="21"/>
        <v xml:space="preserve">  NOO</v>
      </c>
      <c r="C448" s="1656" t="s">
        <v>155</v>
      </c>
      <c r="D448" s="1657"/>
      <c r="E448" s="1657"/>
      <c r="F448" s="1657"/>
      <c r="G448" s="1657"/>
      <c r="H448" s="1658">
        <v>90</v>
      </c>
      <c r="I448" s="1658">
        <v>85</v>
      </c>
      <c r="J448" s="1658">
        <v>80</v>
      </c>
      <c r="K448" s="1938"/>
      <c r="M448" s="1932"/>
      <c r="N448" s="1932"/>
      <c r="O448" s="1932"/>
      <c r="P448" s="1958"/>
      <c r="Q448" s="1932"/>
      <c r="R448" s="1932"/>
      <c r="S448" s="1932"/>
      <c r="T448" s="1968"/>
    </row>
    <row r="449" spans="2:23" x14ac:dyDescent="0.2">
      <c r="B449" s="1980" t="str">
        <f t="shared" si="21"/>
        <v xml:space="preserve">  NOO</v>
      </c>
      <c r="C449" s="1656" t="s">
        <v>128</v>
      </c>
      <c r="D449" s="1657"/>
      <c r="E449" s="1657"/>
      <c r="F449" s="1657"/>
      <c r="G449" s="1657"/>
      <c r="H449" s="1658">
        <v>90</v>
      </c>
      <c r="I449" s="1658">
        <v>85</v>
      </c>
      <c r="J449" s="1658">
        <v>80</v>
      </c>
      <c r="K449" s="1938"/>
      <c r="M449" s="1932"/>
      <c r="N449" s="1932"/>
      <c r="O449" s="1932"/>
      <c r="P449" s="1958"/>
      <c r="Q449" s="1932"/>
      <c r="R449" s="1932"/>
      <c r="S449" s="1932"/>
      <c r="T449" s="1968"/>
    </row>
    <row r="450" spans="2:23" x14ac:dyDescent="0.2">
      <c r="B450" s="1980" t="str">
        <f t="shared" si="21"/>
        <v xml:space="preserve">  NOO</v>
      </c>
      <c r="C450" s="1656" t="s">
        <v>223</v>
      </c>
      <c r="D450" s="1657"/>
      <c r="E450" s="1657"/>
      <c r="F450" s="1657"/>
      <c r="G450" s="1657"/>
      <c r="H450" s="1658">
        <v>90</v>
      </c>
      <c r="I450" s="1658">
        <v>85</v>
      </c>
      <c r="J450" s="1658">
        <v>80</v>
      </c>
      <c r="K450" s="1938"/>
      <c r="M450" s="1932"/>
      <c r="N450" s="1932"/>
      <c r="O450" s="1957" t="str">
        <f>IF(AND(Input_Product&amp;" NOO"=EligOverlay!B450,Input_PropertyType=EligOverlay!C450),IF(Input_Purpose="Purchase",EligOverlay!H450,IF(Input_Purpose="Rate-Term",EligOverlay!I450,IF(Input_Purpose="Cash-Out",EligOverlay!J450,""))),"")</f>
        <v/>
      </c>
      <c r="P450" s="1958"/>
      <c r="Q450" s="1932"/>
      <c r="R450" s="1932"/>
      <c r="S450" s="1932"/>
      <c r="T450" s="2001" t="str">
        <f t="shared" ref="T450:T455" si="22">C450</f>
        <v>Condo-Site</v>
      </c>
    </row>
    <row r="451" spans="2:23" x14ac:dyDescent="0.2">
      <c r="B451" s="1980" t="str">
        <f t="shared" si="21"/>
        <v xml:space="preserve">  NOO</v>
      </c>
      <c r="C451" s="1656" t="s">
        <v>133</v>
      </c>
      <c r="D451" s="1657"/>
      <c r="E451" s="1657"/>
      <c r="F451" s="1657"/>
      <c r="G451" s="1657"/>
      <c r="H451" s="1658">
        <v>85</v>
      </c>
      <c r="I451" s="1658">
        <v>85</v>
      </c>
      <c r="J451" s="1658">
        <v>80</v>
      </c>
      <c r="K451" s="1938"/>
      <c r="M451" s="1932"/>
      <c r="N451" s="1932"/>
      <c r="O451" s="1957" t="str">
        <f>IF(AND(Input_Product&amp;" NOO"=EligOverlay!B451,Input_PropertyType=EligOverlay!C451),IF(Input_Purpose="Purchase",EligOverlay!H451,IF(Input_Purpose="Rate-Term",EligOverlay!I451,IF(Input_Purpose="Cash-Out",EligOverlay!J451,""))),"")</f>
        <v/>
      </c>
      <c r="P451" s="1958"/>
      <c r="Q451" s="1932"/>
      <c r="R451" s="1932"/>
      <c r="S451" s="1932"/>
      <c r="T451" s="2001" t="str">
        <f t="shared" si="22"/>
        <v>2-Unit</v>
      </c>
    </row>
    <row r="452" spans="2:23" x14ac:dyDescent="0.2">
      <c r="B452" s="1980" t="str">
        <f t="shared" si="21"/>
        <v xml:space="preserve">  NOO</v>
      </c>
      <c r="C452" s="1656" t="s">
        <v>134</v>
      </c>
      <c r="D452" s="1657"/>
      <c r="E452" s="1657"/>
      <c r="F452" s="1657"/>
      <c r="G452" s="1657"/>
      <c r="H452" s="1658">
        <v>85</v>
      </c>
      <c r="I452" s="1658">
        <v>85</v>
      </c>
      <c r="J452" s="1658">
        <v>80</v>
      </c>
      <c r="K452" s="1938"/>
      <c r="M452" s="1932"/>
      <c r="N452" s="1932"/>
      <c r="O452" s="1957" t="str">
        <f>IF(AND(Input_Product&amp;" NOO"=EligOverlay!B452,Input_PropertyType=EligOverlay!C452),IF(Input_Purpose="Purchase",EligOverlay!H452,IF(Input_Purpose="Rate-Term",EligOverlay!I452,IF(Input_Purpose="Cash-Out",EligOverlay!J452,""))),"")</f>
        <v/>
      </c>
      <c r="P452" s="1958"/>
      <c r="Q452" s="1932"/>
      <c r="R452" s="1932"/>
      <c r="S452" s="1932"/>
      <c r="T452" s="2001" t="str">
        <f t="shared" si="22"/>
        <v>3-Unit</v>
      </c>
    </row>
    <row r="453" spans="2:23" x14ac:dyDescent="0.2">
      <c r="B453" s="1980" t="str">
        <f t="shared" si="21"/>
        <v xml:space="preserve">  NOO</v>
      </c>
      <c r="C453" s="1656" t="s">
        <v>135</v>
      </c>
      <c r="D453" s="1657"/>
      <c r="E453" s="1657"/>
      <c r="F453" s="1657"/>
      <c r="G453" s="1657"/>
      <c r="H453" s="1658">
        <v>85</v>
      </c>
      <c r="I453" s="1658">
        <v>85</v>
      </c>
      <c r="J453" s="1658">
        <v>80</v>
      </c>
      <c r="K453" s="1938"/>
      <c r="M453" s="1932"/>
      <c r="N453" s="1932"/>
      <c r="O453" s="1957" t="str">
        <f>IF(AND(Input_Product&amp;" NOO"=EligOverlay!B453,Input_PropertyType=EligOverlay!C453),IF(Input_Purpose="Purchase",EligOverlay!H453,IF(Input_Purpose="Rate-Term",EligOverlay!I453,IF(Input_Purpose="Cash-Out",EligOverlay!J453,""))),"")</f>
        <v/>
      </c>
      <c r="P453" s="1958"/>
      <c r="Q453" s="1932"/>
      <c r="R453" s="1932"/>
      <c r="S453" s="1932"/>
      <c r="T453" s="2001" t="str">
        <f t="shared" si="22"/>
        <v>4-Unit</v>
      </c>
    </row>
    <row r="454" spans="2:23" x14ac:dyDescent="0.2">
      <c r="B454" s="1980" t="str">
        <f t="shared" si="21"/>
        <v xml:space="preserve">  NOO</v>
      </c>
      <c r="C454" s="1656" t="s">
        <v>131</v>
      </c>
      <c r="D454" s="1657"/>
      <c r="E454" s="1657"/>
      <c r="F454" s="1657"/>
      <c r="G454" s="1657"/>
      <c r="H454" s="1658">
        <v>85</v>
      </c>
      <c r="I454" s="1658">
        <v>85</v>
      </c>
      <c r="J454" s="1658">
        <v>80</v>
      </c>
      <c r="K454" s="1938"/>
      <c r="M454" s="1932"/>
      <c r="N454" s="1932"/>
      <c r="O454" s="1957" t="str">
        <f>IF(AND(Input_Product&amp;" NOO"=EligOverlay!B454,Input_PropertyType=EligOverlay!C454),IF(Input_Purpose="Purchase",EligOverlay!H454,IF(Input_Purpose="Rate-Term",EligOverlay!I454,IF(Input_Purpose="Cash-Out",EligOverlay!J454,""))),"")</f>
        <v/>
      </c>
      <c r="P454" s="1958"/>
      <c r="Q454" s="1932"/>
      <c r="R454" s="1932"/>
      <c r="S454" s="1932"/>
      <c r="T454" s="2001" t="str">
        <f t="shared" si="22"/>
        <v>Condo-Warrantable</v>
      </c>
    </row>
    <row r="455" spans="2:23" x14ac:dyDescent="0.2">
      <c r="B455" s="1980" t="str">
        <f t="shared" si="21"/>
        <v xml:space="preserve">  NOO</v>
      </c>
      <c r="C455" s="1656" t="s">
        <v>132</v>
      </c>
      <c r="D455" s="1657"/>
      <c r="E455" s="1657"/>
      <c r="F455" s="1657"/>
      <c r="G455" s="1657"/>
      <c r="H455" s="1658">
        <v>85</v>
      </c>
      <c r="I455" s="1658">
        <v>85</v>
      </c>
      <c r="J455" s="1658">
        <v>80</v>
      </c>
      <c r="K455" s="1938"/>
      <c r="M455" s="1932"/>
      <c r="N455" s="1932"/>
      <c r="O455" s="1957" t="str">
        <f>IF(AND(Input_Product&amp;" NOO"=EligOverlay!B455,Input_PropertyType=EligOverlay!C455),IF(Input_Purpose="Purchase",EligOverlay!H455,IF(Input_Purpose="Rate-Term",EligOverlay!I455,IF(Input_Purpose="Cash-Out",EligOverlay!J455,""))),"")</f>
        <v/>
      </c>
      <c r="P455" s="1958"/>
      <c r="Q455" s="1932"/>
      <c r="R455" s="1932"/>
      <c r="S455" s="1932"/>
      <c r="T455" s="2001" t="str">
        <f t="shared" si="22"/>
        <v>Condo-NonWarrantable</v>
      </c>
    </row>
    <row r="456" spans="2:23" x14ac:dyDescent="0.2">
      <c r="B456" s="1980" t="str">
        <f t="shared" si="21"/>
        <v xml:space="preserve">  NOO</v>
      </c>
      <c r="C456" s="1656" t="s">
        <v>1630</v>
      </c>
      <c r="D456" s="1657"/>
      <c r="E456" s="1657"/>
      <c r="F456" s="1657"/>
      <c r="G456" s="1657"/>
      <c r="H456" s="1658">
        <v>85</v>
      </c>
      <c r="I456" s="1658">
        <v>85</v>
      </c>
      <c r="J456" s="1658">
        <v>80</v>
      </c>
      <c r="K456" s="1670">
        <v>2500000</v>
      </c>
      <c r="M456" s="1957" t="str">
        <f>IF(AND(Input_Product&amp;" NOO"=EligOverlay!B456,Input_PropertyType=EligOverlay!C456,Input_LoanAmt&gt;EligOverlay!K456),K456,"")</f>
        <v/>
      </c>
      <c r="N456" s="1932"/>
      <c r="O456" s="1957" t="str">
        <f>IF(AND(Input_Product&amp;" NOO"=EligOverlay!B456,Input_PropertyType=EligOverlay!C456),IF(Input_Purpose="Purchase",EligOverlay!H456,IF(Input_Purpose="Rate-Term",EligOverlay!I456,IF(Input_Purpose="Cash-Out",EligOverlay!J456,""))),"")</f>
        <v/>
      </c>
      <c r="P456" s="1958"/>
      <c r="Q456" s="1932"/>
      <c r="R456" s="1932"/>
      <c r="S456" s="1932"/>
      <c r="T456" s="2001" t="s">
        <v>2625</v>
      </c>
    </row>
    <row r="457" spans="2:23" x14ac:dyDescent="0.2">
      <c r="B457" s="1980" t="str">
        <f t="shared" si="21"/>
        <v xml:space="preserve">  NOO</v>
      </c>
      <c r="C457" s="1656" t="s">
        <v>153</v>
      </c>
      <c r="D457" s="1657"/>
      <c r="E457" s="1657"/>
      <c r="F457" s="1657"/>
      <c r="G457" s="1657"/>
      <c r="H457" s="1658">
        <v>90</v>
      </c>
      <c r="I457" s="1658">
        <v>85</v>
      </c>
      <c r="J457" s="1658">
        <v>80</v>
      </c>
      <c r="K457" s="1938"/>
      <c r="M457" s="1932"/>
      <c r="N457" s="1932"/>
      <c r="O457" s="1957" t="str">
        <f>IF(AND(Input_Product&amp;" NOO"=EligOverlay!B457,Input_PropertyType=EligOverlay!C457),IF(Input_Purpose="Purchase",EligOverlay!H457,IF(Input_Purpose="Rate-Term",EligOverlay!I457,IF(Input_Purpose="Cash-Out",EligOverlay!J457,""))),"")</f>
        <v/>
      </c>
      <c r="P457" s="1958"/>
      <c r="Q457" s="1932"/>
      <c r="R457" s="1932"/>
      <c r="S457" s="1932"/>
      <c r="T457" s="2001" t="str">
        <f t="shared" ref="T457:T471" si="23">C457</f>
        <v>Townhouse</v>
      </c>
    </row>
    <row r="458" spans="2:23" x14ac:dyDescent="0.2">
      <c r="B458" s="1980" t="str">
        <f t="shared" si="21"/>
        <v xml:space="preserve">  NOO</v>
      </c>
      <c r="C458" s="1656" t="s">
        <v>154</v>
      </c>
      <c r="D458" s="1657"/>
      <c r="E458" s="1657"/>
      <c r="F458" s="1657"/>
      <c r="G458" s="1657"/>
      <c r="H458" s="1658">
        <v>90</v>
      </c>
      <c r="I458" s="1658">
        <v>85</v>
      </c>
      <c r="J458" s="1658">
        <v>80</v>
      </c>
      <c r="K458" s="1938"/>
      <c r="M458" s="1932"/>
      <c r="N458" s="1932"/>
      <c r="O458" s="1957" t="str">
        <f>IF(AND(Input_Product&amp;" NOO"=EligOverlay!B458,Input_PropertyType=EligOverlay!C458),IF(Input_Purpose="Purchase",EligOverlay!H458,IF(Input_Purpose="Rate-Term",EligOverlay!I458,IF(Input_Purpose="Cash-Out",EligOverlay!J458,""))),"")</f>
        <v/>
      </c>
      <c r="P458" s="1958"/>
      <c r="Q458" s="1932"/>
      <c r="R458" s="1932"/>
      <c r="S458" s="1932"/>
      <c r="T458" s="2001" t="str">
        <f t="shared" si="23"/>
        <v>Rowhouse</v>
      </c>
    </row>
    <row r="459" spans="2:23" x14ac:dyDescent="0.2">
      <c r="B459" s="1980" t="str">
        <f t="shared" si="21"/>
        <v xml:space="preserve">  NOO</v>
      </c>
      <c r="C459" s="1656" t="s">
        <v>19</v>
      </c>
      <c r="D459" s="1657"/>
      <c r="E459" s="1657"/>
      <c r="F459" s="1657"/>
      <c r="G459" s="1657"/>
      <c r="H459" s="1658">
        <v>90</v>
      </c>
      <c r="I459" s="1658">
        <v>85</v>
      </c>
      <c r="J459" s="1658">
        <v>80</v>
      </c>
      <c r="K459" s="1938"/>
      <c r="M459" s="1932"/>
      <c r="N459" s="1932"/>
      <c r="O459" s="1957" t="str">
        <f>IF(AND(Input_Product&amp;" NOO"=EligOverlay!B459,Input_PropertyType=EligOverlay!C459),IF(Input_Purpose="Purchase",EligOverlay!H459,IF(Input_Purpose="Rate-Term",EligOverlay!I459,IF(Input_Purpose="Cash-Out",EligOverlay!J459,""))),"")</f>
        <v/>
      </c>
      <c r="P459" s="1958"/>
      <c r="Q459" s="1932"/>
      <c r="R459" s="1932"/>
      <c r="S459" s="1932"/>
      <c r="T459" s="2001" t="str">
        <f t="shared" si="23"/>
        <v>Modular</v>
      </c>
      <c r="W459" s="226" t="s">
        <v>1627</v>
      </c>
    </row>
    <row r="460" spans="2:23" x14ac:dyDescent="0.2">
      <c r="B460" s="1980" t="str">
        <f t="shared" si="21"/>
        <v xml:space="preserve">  NOO</v>
      </c>
      <c r="C460" s="1656" t="s">
        <v>130</v>
      </c>
      <c r="D460" s="1657"/>
      <c r="E460" s="1657"/>
      <c r="F460" s="1657"/>
      <c r="G460" s="1657"/>
      <c r="H460" s="1658">
        <v>0.01</v>
      </c>
      <c r="I460" s="1658">
        <v>0.01</v>
      </c>
      <c r="J460" s="1658">
        <v>0.01</v>
      </c>
      <c r="K460" s="1938"/>
      <c r="M460" s="1932"/>
      <c r="N460" s="1932"/>
      <c r="O460" s="1957" t="str">
        <f>IF(AND(Input_Product&amp;" NOO"=EligOverlay!B460,Input_PropertyType=EligOverlay!C460),IF(Input_Purpose="Purchase",EligOverlay!H460,IF(Input_Purpose="Rate-Term",EligOverlay!I460,IF(Input_Purpose="Cash-Out",EligOverlay!J460,""))),"")</f>
        <v/>
      </c>
      <c r="P460" s="1958"/>
      <c r="Q460" s="1932"/>
      <c r="R460" s="1932"/>
      <c r="S460" s="1932"/>
      <c r="T460" s="2001" t="str">
        <f t="shared" si="23"/>
        <v>Log Home</v>
      </c>
    </row>
    <row r="461" spans="2:23" x14ac:dyDescent="0.2">
      <c r="B461" s="1980" t="str">
        <f t="shared" si="21"/>
        <v xml:space="preserve">  NOO</v>
      </c>
      <c r="C461" s="1656" t="s">
        <v>233</v>
      </c>
      <c r="D461" s="1657"/>
      <c r="E461" s="1657"/>
      <c r="F461" s="1657"/>
      <c r="G461" s="1657"/>
      <c r="H461" s="1658">
        <v>0.01</v>
      </c>
      <c r="I461" s="1658">
        <v>0.01</v>
      </c>
      <c r="J461" s="1658">
        <v>0.01</v>
      </c>
      <c r="K461" s="1938"/>
      <c r="M461" s="1932"/>
      <c r="N461" s="1932"/>
      <c r="O461" s="1957" t="str">
        <f>IF(AND(Input_Product&amp;" NOO"=EligOverlay!B461,Input_PropertyType=EligOverlay!C461),IF(Input_Purpose="Purchase",EligOverlay!H461,IF(Input_Purpose="Rate-Term",EligOverlay!I461,IF(Input_Purpose="Cash-Out",EligOverlay!J461,""))),"")</f>
        <v/>
      </c>
      <c r="P461" s="1958"/>
      <c r="Q461" s="1932"/>
      <c r="R461" s="1932"/>
      <c r="S461" s="1932"/>
      <c r="T461" s="2001" t="str">
        <f t="shared" si="23"/>
        <v>5-Unit</v>
      </c>
    </row>
    <row r="462" spans="2:23" x14ac:dyDescent="0.2">
      <c r="B462" s="1980" t="str">
        <f t="shared" si="21"/>
        <v xml:space="preserve">  NOO</v>
      </c>
      <c r="C462" s="1656" t="s">
        <v>234</v>
      </c>
      <c r="D462" s="1657"/>
      <c r="E462" s="1657"/>
      <c r="F462" s="1657"/>
      <c r="G462" s="1657"/>
      <c r="H462" s="1658">
        <v>0.01</v>
      </c>
      <c r="I462" s="1658">
        <v>0.01</v>
      </c>
      <c r="J462" s="1658">
        <v>0.01</v>
      </c>
      <c r="K462" s="1938"/>
      <c r="M462" s="1932"/>
      <c r="N462" s="1932"/>
      <c r="O462" s="1957" t="str">
        <f>IF(AND(Input_Product&amp;" NOO"=EligOverlay!B462,Input_PropertyType=EligOverlay!C462),IF(Input_Purpose="Purchase",EligOverlay!H462,IF(Input_Purpose="Rate-Term",EligOverlay!I462,IF(Input_Purpose="Cash-Out",EligOverlay!J462,""))),"")</f>
        <v/>
      </c>
      <c r="P462" s="1958"/>
      <c r="Q462" s="1932"/>
      <c r="R462" s="1932"/>
      <c r="S462" s="1932"/>
      <c r="T462" s="2001" t="str">
        <f t="shared" si="23"/>
        <v>6-Unit</v>
      </c>
    </row>
    <row r="463" spans="2:23" x14ac:dyDescent="0.2">
      <c r="B463" s="1980" t="str">
        <f t="shared" si="21"/>
        <v xml:space="preserve">  NOO</v>
      </c>
      <c r="C463" s="1656" t="s">
        <v>235</v>
      </c>
      <c r="D463" s="1657"/>
      <c r="E463" s="1657"/>
      <c r="F463" s="1657"/>
      <c r="G463" s="1657"/>
      <c r="H463" s="1658">
        <v>0.01</v>
      </c>
      <c r="I463" s="1658">
        <v>0.01</v>
      </c>
      <c r="J463" s="1658">
        <v>0.01</v>
      </c>
      <c r="K463" s="1938"/>
      <c r="M463" s="1932"/>
      <c r="N463" s="1932"/>
      <c r="O463" s="1957" t="str">
        <f>IF(AND(Input_Product&amp;" NOO"=EligOverlay!B463,Input_PropertyType=EligOverlay!C463),IF(Input_Purpose="Purchase",EligOverlay!H463,IF(Input_Purpose="Rate-Term",EligOverlay!I463,IF(Input_Purpose="Cash-Out",EligOverlay!J463,""))),"")</f>
        <v/>
      </c>
      <c r="P463" s="1958"/>
      <c r="Q463" s="1932"/>
      <c r="R463" s="1932"/>
      <c r="S463" s="1932"/>
      <c r="T463" s="2001" t="str">
        <f t="shared" si="23"/>
        <v>7-Unit</v>
      </c>
    </row>
    <row r="464" spans="2:23" x14ac:dyDescent="0.2">
      <c r="B464" s="1980" t="str">
        <f t="shared" si="21"/>
        <v xml:space="preserve">  NOO</v>
      </c>
      <c r="C464" s="1656" t="s">
        <v>236</v>
      </c>
      <c r="D464" s="1657"/>
      <c r="E464" s="1657"/>
      <c r="F464" s="1657"/>
      <c r="G464" s="1657"/>
      <c r="H464" s="1658">
        <v>0.01</v>
      </c>
      <c r="I464" s="1658">
        <v>0.01</v>
      </c>
      <c r="J464" s="1658">
        <v>0.01</v>
      </c>
      <c r="K464" s="1938"/>
      <c r="M464" s="1932"/>
      <c r="N464" s="1932"/>
      <c r="O464" s="1957" t="str">
        <f>IF(AND(Input_Product&amp;" NOO"=EligOverlay!B464,Input_PropertyType=EligOverlay!C464),IF(Input_Purpose="Purchase",EligOverlay!H464,IF(Input_Purpose="Rate-Term",EligOverlay!I464,IF(Input_Purpose="Cash-Out",EligOverlay!J464,""))),"")</f>
        <v/>
      </c>
      <c r="P464" s="1958"/>
      <c r="Q464" s="1932"/>
      <c r="R464" s="1932"/>
      <c r="S464" s="1932"/>
      <c r="T464" s="2001" t="str">
        <f t="shared" si="23"/>
        <v>8-Unit</v>
      </c>
    </row>
    <row r="465" spans="2:20" x14ac:dyDescent="0.2">
      <c r="B465" s="1980" t="str">
        <f t="shared" si="21"/>
        <v xml:space="preserve">  NOO</v>
      </c>
      <c r="C465" s="1656" t="s">
        <v>240</v>
      </c>
      <c r="D465" s="1657"/>
      <c r="E465" s="1657"/>
      <c r="F465" s="1657"/>
      <c r="G465" s="1657"/>
      <c r="H465" s="1658">
        <v>0.01</v>
      </c>
      <c r="I465" s="1658">
        <v>0.01</v>
      </c>
      <c r="J465" s="1658">
        <v>0.01</v>
      </c>
      <c r="K465" s="1938"/>
      <c r="M465" s="1932"/>
      <c r="N465" s="1932"/>
      <c r="O465" s="1957" t="str">
        <f>IF(AND(Input_Product&amp;" NOO"=EligOverlay!B465,Input_PropertyType=EligOverlay!C465),IF(Input_Purpose="Purchase",EligOverlay!H465,IF(Input_Purpose="Rate-Term",EligOverlay!I465,IF(Input_Purpose="Cash-Out",EligOverlay!J465,""))),"")</f>
        <v/>
      </c>
      <c r="P465" s="1958"/>
      <c r="Q465" s="1932"/>
      <c r="R465" s="1932"/>
      <c r="S465" s="1932"/>
      <c r="T465" s="2001" t="str">
        <f t="shared" si="23"/>
        <v>2-Unit Mixed Use</v>
      </c>
    </row>
    <row r="466" spans="2:20" x14ac:dyDescent="0.2">
      <c r="B466" s="1980" t="str">
        <f t="shared" si="21"/>
        <v xml:space="preserve">  NOO</v>
      </c>
      <c r="C466" s="1656" t="s">
        <v>241</v>
      </c>
      <c r="D466" s="1657"/>
      <c r="E466" s="1657"/>
      <c r="F466" s="1657"/>
      <c r="G466" s="1657"/>
      <c r="H466" s="1658">
        <v>0.01</v>
      </c>
      <c r="I466" s="1658">
        <v>0.01</v>
      </c>
      <c r="J466" s="1658">
        <v>0.01</v>
      </c>
      <c r="K466" s="1938"/>
      <c r="M466" s="1932"/>
      <c r="N466" s="1932"/>
      <c r="O466" s="1957" t="str">
        <f>IF(AND(Input_Product&amp;" NOO"=EligOverlay!B466,Input_PropertyType=EligOverlay!C466),IF(Input_Purpose="Purchase",EligOverlay!H466,IF(Input_Purpose="Rate-Term",EligOverlay!I466,IF(Input_Purpose="Cash-Out",EligOverlay!J466,""))),"")</f>
        <v/>
      </c>
      <c r="P466" s="1958"/>
      <c r="Q466" s="1932"/>
      <c r="R466" s="1932"/>
      <c r="S466" s="1932"/>
      <c r="T466" s="2001" t="str">
        <f t="shared" si="23"/>
        <v>3-Unit Mixed Use</v>
      </c>
    </row>
    <row r="467" spans="2:20" x14ac:dyDescent="0.2">
      <c r="B467" s="1980" t="str">
        <f t="shared" si="21"/>
        <v xml:space="preserve">  NOO</v>
      </c>
      <c r="C467" s="1656" t="s">
        <v>242</v>
      </c>
      <c r="D467" s="1657"/>
      <c r="E467" s="1657"/>
      <c r="F467" s="1657"/>
      <c r="G467" s="1657"/>
      <c r="H467" s="1658">
        <v>0.01</v>
      </c>
      <c r="I467" s="1658">
        <v>0.01</v>
      </c>
      <c r="J467" s="1658">
        <v>0.01</v>
      </c>
      <c r="K467" s="1938"/>
      <c r="M467" s="1932"/>
      <c r="N467" s="1932"/>
      <c r="O467" s="1957" t="str">
        <f>IF(AND(Input_Product&amp;" NOO"=EligOverlay!B467,Input_PropertyType=EligOverlay!C467),IF(Input_Purpose="Purchase",EligOverlay!H467,IF(Input_Purpose="Rate-Term",EligOverlay!I467,IF(Input_Purpose="Cash-Out",EligOverlay!J467,""))),"")</f>
        <v/>
      </c>
      <c r="P467" s="1958"/>
      <c r="Q467" s="1932"/>
      <c r="R467" s="1932"/>
      <c r="S467" s="1932"/>
      <c r="T467" s="2001" t="str">
        <f t="shared" si="23"/>
        <v>4-Unit Mixed Use</v>
      </c>
    </row>
    <row r="468" spans="2:20" x14ac:dyDescent="0.2">
      <c r="B468" s="1980" t="str">
        <f t="shared" si="21"/>
        <v xml:space="preserve">  NOO</v>
      </c>
      <c r="C468" s="1939" t="s">
        <v>243</v>
      </c>
      <c r="D468" s="1657"/>
      <c r="E468" s="1657"/>
      <c r="F468" s="1657"/>
      <c r="G468" s="1657"/>
      <c r="H468" s="1658">
        <v>0.01</v>
      </c>
      <c r="I468" s="1658">
        <v>0.01</v>
      </c>
      <c r="J468" s="1658">
        <v>0.01</v>
      </c>
      <c r="K468" s="1938"/>
      <c r="M468" s="1932"/>
      <c r="N468" s="1932"/>
      <c r="O468" s="1957" t="str">
        <f>IF(AND(Input_Product&amp;" NOO"=EligOverlay!B468,Input_PropertyType=EligOverlay!C468),IF(Input_Purpose="Purchase",EligOverlay!H468,IF(Input_Purpose="Rate-Term",EligOverlay!I468,IF(Input_Purpose="Cash-Out",EligOverlay!J468,""))),"")</f>
        <v/>
      </c>
      <c r="P468" s="1958"/>
      <c r="Q468" s="1932"/>
      <c r="R468" s="1932"/>
      <c r="S468" s="1932"/>
      <c r="T468" s="2001" t="str">
        <f t="shared" si="23"/>
        <v>5-Unit Mixed Use</v>
      </c>
    </row>
    <row r="469" spans="2:20" x14ac:dyDescent="0.2">
      <c r="B469" s="1980" t="str">
        <f t="shared" si="21"/>
        <v xml:space="preserve">  NOO</v>
      </c>
      <c r="C469" s="1939" t="s">
        <v>244</v>
      </c>
      <c r="D469" s="1657"/>
      <c r="E469" s="1657"/>
      <c r="F469" s="1657"/>
      <c r="G469" s="1657"/>
      <c r="H469" s="1658">
        <v>0.01</v>
      </c>
      <c r="I469" s="1658">
        <v>0.01</v>
      </c>
      <c r="J469" s="1658">
        <v>0.01</v>
      </c>
      <c r="K469" s="1938"/>
      <c r="M469" s="1932"/>
      <c r="N469" s="1932"/>
      <c r="O469" s="1957" t="str">
        <f>IF(AND(Input_Product&amp;" NOO"=EligOverlay!B469,Input_PropertyType=EligOverlay!C469),IF(Input_Purpose="Purchase",EligOverlay!H469,IF(Input_Purpose="Rate-Term",EligOverlay!I469,IF(Input_Purpose="Cash-Out",EligOverlay!J469,""))),"")</f>
        <v/>
      </c>
      <c r="P469" s="1958"/>
      <c r="Q469" s="1932"/>
      <c r="R469" s="1932"/>
      <c r="S469" s="1932"/>
      <c r="T469" s="2001" t="str">
        <f t="shared" si="23"/>
        <v>6-Unit Mixed Use</v>
      </c>
    </row>
    <row r="470" spans="2:20" x14ac:dyDescent="0.2">
      <c r="B470" s="1980" t="str">
        <f t="shared" si="21"/>
        <v xml:space="preserve">  NOO</v>
      </c>
      <c r="C470" s="1940" t="s">
        <v>245</v>
      </c>
      <c r="D470" s="1657"/>
      <c r="E470" s="1657"/>
      <c r="F470" s="1657"/>
      <c r="G470" s="1657"/>
      <c r="H470" s="1658">
        <v>0.01</v>
      </c>
      <c r="I470" s="1658">
        <v>0.01</v>
      </c>
      <c r="J470" s="1658">
        <v>0.01</v>
      </c>
      <c r="K470" s="1938"/>
      <c r="M470" s="1932"/>
      <c r="N470" s="1932"/>
      <c r="O470" s="1957" t="str">
        <f>IF(AND(Input_Product&amp;" NOO"=EligOverlay!B470,Input_PropertyType=EligOverlay!C470),IF(Input_Purpose="Purchase",EligOverlay!H470,IF(Input_Purpose="Rate-Term",EligOverlay!I470,IF(Input_Purpose="Cash-Out",EligOverlay!J470,""))),"")</f>
        <v/>
      </c>
      <c r="P470" s="1958"/>
      <c r="Q470" s="1932"/>
      <c r="R470" s="1932"/>
      <c r="S470" s="1932"/>
      <c r="T470" s="2001" t="str">
        <f t="shared" si="23"/>
        <v>7-Unit Mixed Use</v>
      </c>
    </row>
    <row r="471" spans="2:20" x14ac:dyDescent="0.2">
      <c r="B471" s="1980" t="str">
        <f t="shared" si="21"/>
        <v xml:space="preserve">  NOO</v>
      </c>
      <c r="C471" s="1656" t="s">
        <v>246</v>
      </c>
      <c r="D471" s="1657"/>
      <c r="E471" s="1657"/>
      <c r="F471" s="1657"/>
      <c r="G471" s="1657"/>
      <c r="H471" s="1658">
        <v>0.01</v>
      </c>
      <c r="I471" s="1658">
        <v>0.01</v>
      </c>
      <c r="J471" s="1658">
        <v>0.01</v>
      </c>
      <c r="K471" s="1938"/>
      <c r="M471" s="1932"/>
      <c r="N471" s="1932"/>
      <c r="O471" s="1957" t="str">
        <f>IF(AND(Input_Product&amp;" NOO"=EligOverlay!B471,Input_PropertyType=EligOverlay!C471),IF(Input_Purpose="Purchase",EligOverlay!H471,IF(Input_Purpose="Rate-Term",EligOverlay!I471,IF(Input_Purpose="Cash-Out",EligOverlay!J471,""))),"")</f>
        <v/>
      </c>
      <c r="P471" s="1958"/>
      <c r="Q471" s="1932"/>
      <c r="R471" s="1932"/>
      <c r="S471" s="1932"/>
      <c r="T471" s="2001" t="str">
        <f t="shared" si="23"/>
        <v>8-Unit Mixed Use</v>
      </c>
    </row>
    <row r="472" spans="2:20" x14ac:dyDescent="0.2">
      <c r="B472" s="1981" t="str">
        <f t="shared" ref="B472:B497" si="24">Input_Name_Product17&amp;" OO"</f>
        <v xml:space="preserve">  OO</v>
      </c>
      <c r="C472" s="1656" t="s">
        <v>83</v>
      </c>
      <c r="D472" s="1657"/>
      <c r="E472" s="1657"/>
      <c r="F472" s="1657"/>
      <c r="G472" s="1657"/>
      <c r="H472" s="1658">
        <v>85</v>
      </c>
      <c r="I472" s="1658">
        <v>80</v>
      </c>
      <c r="J472" s="1658">
        <v>80</v>
      </c>
      <c r="K472" s="1938"/>
      <c r="M472" s="1932"/>
      <c r="N472" s="1932"/>
      <c r="O472" s="1932"/>
      <c r="P472" s="1958"/>
      <c r="Q472" s="1932"/>
      <c r="R472" s="1932"/>
      <c r="S472" s="1932"/>
      <c r="T472" s="1968"/>
    </row>
    <row r="473" spans="2:20" x14ac:dyDescent="0.2">
      <c r="B473" s="1981" t="str">
        <f t="shared" si="24"/>
        <v xml:space="preserve">  OO</v>
      </c>
      <c r="C473" s="1656" t="s">
        <v>1635</v>
      </c>
      <c r="D473" s="1657"/>
      <c r="E473" s="1657"/>
      <c r="F473" s="1657"/>
      <c r="G473" s="1657"/>
      <c r="H473" s="1658">
        <v>0.01</v>
      </c>
      <c r="I473" s="1658">
        <v>0.01</v>
      </c>
      <c r="J473" s="1658">
        <v>0.01</v>
      </c>
      <c r="K473" s="1938"/>
      <c r="M473" s="1932"/>
      <c r="N473" s="1932"/>
      <c r="O473" s="1957" t="str">
        <f>IF(AND(Input_Product&amp;" OO"=EligOverlay!B473,Input_PropertyType=EligOverlay!C473),IF(Input_Purpose="Purchase",EligOverlay!H473,IF(Input_Purpose="Rate-Term",EligOverlay!I473,IF(Input_Purpose="Cash-Out",EligOverlay!J473,""))),"")</f>
        <v/>
      </c>
      <c r="P473" s="1958"/>
      <c r="Q473" s="1932"/>
      <c r="R473" s="1932"/>
      <c r="S473" s="1932"/>
      <c r="T473" s="2001" t="str">
        <f>C473</f>
        <v>SFR-Rural</v>
      </c>
    </row>
    <row r="474" spans="2:20" x14ac:dyDescent="0.2">
      <c r="B474" s="1981" t="str">
        <f t="shared" si="24"/>
        <v xml:space="preserve">  OO</v>
      </c>
      <c r="C474" s="1656" t="s">
        <v>155</v>
      </c>
      <c r="D474" s="1657"/>
      <c r="E474" s="1657"/>
      <c r="F474" s="1657"/>
      <c r="G474" s="1657"/>
      <c r="H474" s="1658">
        <v>85</v>
      </c>
      <c r="I474" s="1658">
        <v>80</v>
      </c>
      <c r="J474" s="1658">
        <v>80</v>
      </c>
      <c r="K474" s="1938"/>
      <c r="M474" s="1932"/>
      <c r="N474" s="1932"/>
      <c r="O474" s="1932"/>
      <c r="P474" s="1958"/>
      <c r="Q474" s="1932"/>
      <c r="R474" s="1932"/>
      <c r="S474" s="1932"/>
      <c r="T474" s="1968"/>
    </row>
    <row r="475" spans="2:20" x14ac:dyDescent="0.2">
      <c r="B475" s="1981" t="str">
        <f t="shared" si="24"/>
        <v xml:space="preserve">  OO</v>
      </c>
      <c r="C475" s="1656" t="s">
        <v>128</v>
      </c>
      <c r="D475" s="1657"/>
      <c r="E475" s="1657"/>
      <c r="F475" s="1657"/>
      <c r="G475" s="1657"/>
      <c r="H475" s="1658">
        <v>85</v>
      </c>
      <c r="I475" s="1658">
        <v>80</v>
      </c>
      <c r="J475" s="1658">
        <v>80</v>
      </c>
      <c r="K475" s="1938"/>
      <c r="M475" s="1932"/>
      <c r="N475" s="1932"/>
      <c r="O475" s="1932"/>
      <c r="P475" s="1958"/>
      <c r="Q475" s="1932"/>
      <c r="R475" s="1932"/>
      <c r="S475" s="1932"/>
      <c r="T475" s="1968"/>
    </row>
    <row r="476" spans="2:20" x14ac:dyDescent="0.2">
      <c r="B476" s="1981" t="str">
        <f t="shared" si="24"/>
        <v xml:space="preserve">  OO</v>
      </c>
      <c r="C476" s="1656" t="s">
        <v>223</v>
      </c>
      <c r="D476" s="1657"/>
      <c r="E476" s="1657"/>
      <c r="F476" s="1657"/>
      <c r="G476" s="1657"/>
      <c r="H476" s="1658">
        <v>85</v>
      </c>
      <c r="I476" s="1658">
        <v>80</v>
      </c>
      <c r="J476" s="1658">
        <v>80</v>
      </c>
      <c r="K476" s="1938"/>
      <c r="M476" s="1932"/>
      <c r="N476" s="1932"/>
      <c r="O476" s="1957" t="str">
        <f>IF(AND(Input_Product&amp;" OO"=EligOverlay!B476,Input_PropertyType=EligOverlay!C476),IF(Input_Purpose="Purchase",EligOverlay!H476,IF(Input_Purpose="Rate-Term",EligOverlay!I476,IF(Input_Purpose="Cash-Out",EligOverlay!J476,""))),"")</f>
        <v/>
      </c>
      <c r="P476" s="1958"/>
      <c r="Q476" s="1932"/>
      <c r="R476" s="1932"/>
      <c r="S476" s="1932"/>
      <c r="T476" s="2001" t="str">
        <f t="shared" ref="T476:T481" si="25">C476</f>
        <v>Condo-Site</v>
      </c>
    </row>
    <row r="477" spans="2:20" x14ac:dyDescent="0.2">
      <c r="B477" s="1981" t="str">
        <f t="shared" si="24"/>
        <v xml:space="preserve">  OO</v>
      </c>
      <c r="C477" s="1656" t="s">
        <v>133</v>
      </c>
      <c r="D477" s="1657"/>
      <c r="E477" s="1657"/>
      <c r="F477" s="1657"/>
      <c r="G477" s="1657"/>
      <c r="H477" s="1658">
        <v>80</v>
      </c>
      <c r="I477" s="1658">
        <v>75</v>
      </c>
      <c r="J477" s="1658">
        <v>75</v>
      </c>
      <c r="K477" s="1938"/>
      <c r="M477" s="1932"/>
      <c r="N477" s="1932"/>
      <c r="O477" s="1957" t="str">
        <f>IF(AND(Input_Product&amp;" OO"=EligOverlay!B477,Input_PropertyType=EligOverlay!C477),IF(Input_Purpose="Purchase",EligOverlay!H477,IF(Input_Purpose="Rate-Term",EligOverlay!I477,IF(Input_Purpose="Cash-Out",EligOverlay!J477,""))),"")</f>
        <v/>
      </c>
      <c r="P477" s="1958"/>
      <c r="Q477" s="1932"/>
      <c r="R477" s="1932"/>
      <c r="S477" s="1932"/>
      <c r="T477" s="2001" t="str">
        <f t="shared" si="25"/>
        <v>2-Unit</v>
      </c>
    </row>
    <row r="478" spans="2:20" x14ac:dyDescent="0.2">
      <c r="B478" s="1981" t="str">
        <f t="shared" si="24"/>
        <v xml:space="preserve">  OO</v>
      </c>
      <c r="C478" s="1656" t="s">
        <v>134</v>
      </c>
      <c r="D478" s="1657"/>
      <c r="E478" s="1657"/>
      <c r="F478" s="1657"/>
      <c r="G478" s="1657"/>
      <c r="H478" s="1658">
        <v>80</v>
      </c>
      <c r="I478" s="1658">
        <v>75</v>
      </c>
      <c r="J478" s="1658">
        <v>75</v>
      </c>
      <c r="K478" s="1938"/>
      <c r="M478" s="1932"/>
      <c r="N478" s="1932"/>
      <c r="O478" s="1957" t="str">
        <f>IF(AND(Input_Product&amp;" OO"=EligOverlay!B478,Input_PropertyType=EligOverlay!C478),IF(Input_Purpose="Purchase",EligOverlay!H478,IF(Input_Purpose="Rate-Term",EligOverlay!I478,IF(Input_Purpose="Cash-Out",EligOverlay!J478,""))),"")</f>
        <v/>
      </c>
      <c r="P478" s="1958"/>
      <c r="Q478" s="1932"/>
      <c r="R478" s="1932"/>
      <c r="S478" s="1932"/>
      <c r="T478" s="2001" t="str">
        <f t="shared" si="25"/>
        <v>3-Unit</v>
      </c>
    </row>
    <row r="479" spans="2:20" x14ac:dyDescent="0.2">
      <c r="B479" s="1981" t="str">
        <f t="shared" si="24"/>
        <v xml:space="preserve">  OO</v>
      </c>
      <c r="C479" s="1656" t="s">
        <v>135</v>
      </c>
      <c r="D479" s="1657"/>
      <c r="E479" s="1657"/>
      <c r="F479" s="1657"/>
      <c r="G479" s="1657"/>
      <c r="H479" s="1658">
        <v>80</v>
      </c>
      <c r="I479" s="1658">
        <v>75</v>
      </c>
      <c r="J479" s="1658">
        <v>75</v>
      </c>
      <c r="K479" s="1938"/>
      <c r="M479" s="1932"/>
      <c r="N479" s="1932"/>
      <c r="O479" s="1957" t="str">
        <f>IF(AND(Input_Product&amp;" OO"=EligOverlay!B479,Input_PropertyType=EligOverlay!C479),IF(Input_Purpose="Purchase",EligOverlay!H479,IF(Input_Purpose="Rate-Term",EligOverlay!I479,IF(Input_Purpose="Cash-Out",EligOverlay!J479,""))),"")</f>
        <v/>
      </c>
      <c r="P479" s="1958"/>
      <c r="Q479" s="1932"/>
      <c r="R479" s="1932"/>
      <c r="S479" s="1932"/>
      <c r="T479" s="2001" t="str">
        <f t="shared" si="25"/>
        <v>4-Unit</v>
      </c>
    </row>
    <row r="480" spans="2:20" x14ac:dyDescent="0.2">
      <c r="B480" s="1981" t="str">
        <f t="shared" si="24"/>
        <v xml:space="preserve">  OO</v>
      </c>
      <c r="C480" s="1656" t="s">
        <v>131</v>
      </c>
      <c r="D480" s="1657"/>
      <c r="E480" s="1657"/>
      <c r="F480" s="1657"/>
      <c r="G480" s="1657"/>
      <c r="H480" s="1658">
        <v>80</v>
      </c>
      <c r="I480" s="1658">
        <v>75</v>
      </c>
      <c r="J480" s="1658">
        <v>75</v>
      </c>
      <c r="K480" s="1938"/>
      <c r="M480" s="1932"/>
      <c r="N480" s="1932"/>
      <c r="O480" s="1957" t="str">
        <f>IF(AND(Input_Product&amp;" OO"=EligOverlay!B480,Input_PropertyType=EligOverlay!C480),IF(Input_Purpose="Purchase",EligOverlay!H480,IF(Input_Purpose="Rate-Term",EligOverlay!I480,IF(Input_Purpose="Cash-Out",EligOverlay!J480,""))),"")</f>
        <v/>
      </c>
      <c r="P480" s="1958"/>
      <c r="Q480" s="1932"/>
      <c r="R480" s="1932"/>
      <c r="S480" s="1932"/>
      <c r="T480" s="2001" t="str">
        <f t="shared" si="25"/>
        <v>Condo-Warrantable</v>
      </c>
    </row>
    <row r="481" spans="2:23" x14ac:dyDescent="0.2">
      <c r="B481" s="1981" t="str">
        <f t="shared" si="24"/>
        <v xml:space="preserve">  OO</v>
      </c>
      <c r="C481" s="1656" t="s">
        <v>132</v>
      </c>
      <c r="D481" s="1657"/>
      <c r="E481" s="1657"/>
      <c r="F481" s="1657"/>
      <c r="G481" s="1657"/>
      <c r="H481" s="1658">
        <v>80</v>
      </c>
      <c r="I481" s="1658">
        <v>75</v>
      </c>
      <c r="J481" s="1658">
        <v>75</v>
      </c>
      <c r="K481" s="1938"/>
      <c r="M481" s="1932"/>
      <c r="N481" s="1932"/>
      <c r="O481" s="1957" t="str">
        <f>IF(AND(Input_Product&amp;" OO"=EligOverlay!B481,Input_PropertyType=EligOverlay!C481),IF(Input_Purpose="Purchase",EligOverlay!H481,IF(Input_Purpose="Rate-Term",EligOverlay!I481,IF(Input_Purpose="Cash-Out",EligOverlay!J481,""))),"")</f>
        <v/>
      </c>
      <c r="P481" s="1958"/>
      <c r="Q481" s="1932"/>
      <c r="R481" s="1932"/>
      <c r="S481" s="1932"/>
      <c r="T481" s="2001" t="str">
        <f t="shared" si="25"/>
        <v>Condo-NonWarrantable</v>
      </c>
    </row>
    <row r="482" spans="2:23" x14ac:dyDescent="0.2">
      <c r="B482" s="1981" t="str">
        <f t="shared" si="24"/>
        <v xml:space="preserve">  OO</v>
      </c>
      <c r="C482" s="1656" t="s">
        <v>1630</v>
      </c>
      <c r="D482" s="1657"/>
      <c r="E482" s="1657"/>
      <c r="F482" s="1657"/>
      <c r="G482" s="1657"/>
      <c r="H482" s="1658">
        <v>80</v>
      </c>
      <c r="I482" s="1658">
        <v>75</v>
      </c>
      <c r="J482" s="1658">
        <v>75</v>
      </c>
      <c r="K482" s="1670">
        <v>2500000</v>
      </c>
      <c r="M482" s="1957" t="str">
        <f>IF(AND(Input_Product&amp;" OO"=EligOverlay!B482,Input_PropertyType=EligOverlay!C482,Input_LoanAmt&gt;EligOverlay!K482),K482,"")</f>
        <v/>
      </c>
      <c r="N482" s="1932"/>
      <c r="O482" s="1957" t="str">
        <f>IF(AND(Input_Product&amp;" OO"=EligOverlay!B482,Input_PropertyType=EligOverlay!C482),IF(Input_Purpose="Purchase",EligOverlay!H482,IF(Input_Purpose="Rate-Term",EligOverlay!I482,IF(Input_Purpose="Cash-Out",EligOverlay!J482,""))),"")</f>
        <v/>
      </c>
      <c r="P482" s="1958"/>
      <c r="Q482" s="1932"/>
      <c r="R482" s="1932"/>
      <c r="S482" s="1932"/>
      <c r="T482" s="2001" t="s">
        <v>2625</v>
      </c>
    </row>
    <row r="483" spans="2:23" x14ac:dyDescent="0.2">
      <c r="B483" s="1981" t="str">
        <f t="shared" si="24"/>
        <v xml:space="preserve">  OO</v>
      </c>
      <c r="C483" s="1656" t="s">
        <v>153</v>
      </c>
      <c r="D483" s="1657"/>
      <c r="E483" s="1657"/>
      <c r="F483" s="1657"/>
      <c r="G483" s="1657"/>
      <c r="H483" s="1658">
        <v>85</v>
      </c>
      <c r="I483" s="1658">
        <v>80</v>
      </c>
      <c r="J483" s="1658">
        <v>80</v>
      </c>
      <c r="K483" s="1938"/>
      <c r="M483" s="1932"/>
      <c r="N483" s="1932"/>
      <c r="O483" s="1957" t="str">
        <f>IF(AND(Input_Product&amp;" OO"=EligOverlay!B483,Input_PropertyType=EligOverlay!C483),IF(Input_Purpose="Purchase",EligOverlay!H483,IF(Input_Purpose="Rate-Term",EligOverlay!I483,IF(Input_Purpose="Cash-Out",EligOverlay!J483,""))),"")</f>
        <v/>
      </c>
      <c r="P483" s="1958"/>
      <c r="Q483" s="1932"/>
      <c r="R483" s="1932"/>
      <c r="S483" s="1932"/>
      <c r="T483" s="2001" t="str">
        <f t="shared" ref="T483:T497" si="26">C483</f>
        <v>Townhouse</v>
      </c>
    </row>
    <row r="484" spans="2:23" x14ac:dyDescent="0.2">
      <c r="B484" s="1981" t="str">
        <f t="shared" si="24"/>
        <v xml:space="preserve">  OO</v>
      </c>
      <c r="C484" s="1656" t="s">
        <v>154</v>
      </c>
      <c r="D484" s="1657"/>
      <c r="E484" s="1657"/>
      <c r="F484" s="1657"/>
      <c r="G484" s="1657"/>
      <c r="H484" s="1658">
        <v>85</v>
      </c>
      <c r="I484" s="1658">
        <v>80</v>
      </c>
      <c r="J484" s="1658">
        <v>80</v>
      </c>
      <c r="K484" s="1938"/>
      <c r="M484" s="1932"/>
      <c r="N484" s="1932"/>
      <c r="O484" s="1957" t="str">
        <f>IF(AND(Input_Product&amp;" OO"=EligOverlay!B484,Input_PropertyType=EligOverlay!C484),IF(Input_Purpose="Purchase",EligOverlay!H484,IF(Input_Purpose="Rate-Term",EligOverlay!I484,IF(Input_Purpose="Cash-Out",EligOverlay!J484,""))),"")</f>
        <v/>
      </c>
      <c r="P484" s="1958"/>
      <c r="Q484" s="1932"/>
      <c r="R484" s="1932"/>
      <c r="S484" s="1932"/>
      <c r="T484" s="2001" t="str">
        <f t="shared" si="26"/>
        <v>Rowhouse</v>
      </c>
    </row>
    <row r="485" spans="2:23" x14ac:dyDescent="0.2">
      <c r="B485" s="1981" t="str">
        <f t="shared" si="24"/>
        <v xml:space="preserve">  OO</v>
      </c>
      <c r="C485" s="1656" t="s">
        <v>19</v>
      </c>
      <c r="D485" s="1657"/>
      <c r="E485" s="1657"/>
      <c r="F485" s="1657"/>
      <c r="G485" s="1657"/>
      <c r="H485" s="1658">
        <v>85</v>
      </c>
      <c r="I485" s="1658">
        <v>80</v>
      </c>
      <c r="J485" s="1658">
        <v>80</v>
      </c>
      <c r="K485" s="1938"/>
      <c r="M485" s="1932"/>
      <c r="N485" s="1932"/>
      <c r="O485" s="1957" t="str">
        <f>IF(AND(Input_Product&amp;" OO"=EligOverlay!B485,Input_PropertyType=EligOverlay!C485),IF(Input_Purpose="Purchase",EligOverlay!H485,IF(Input_Purpose="Rate-Term",EligOverlay!I485,IF(Input_Purpose="Cash-Out",EligOverlay!J485,""))),"")</f>
        <v/>
      </c>
      <c r="P485" s="1958"/>
      <c r="Q485" s="1932"/>
      <c r="R485" s="1932"/>
      <c r="S485" s="1932"/>
      <c r="T485" s="2001" t="str">
        <f t="shared" si="26"/>
        <v>Modular</v>
      </c>
      <c r="W485" s="226" t="s">
        <v>1627</v>
      </c>
    </row>
    <row r="486" spans="2:23" x14ac:dyDescent="0.2">
      <c r="B486" s="1981" t="str">
        <f t="shared" si="24"/>
        <v xml:space="preserve">  OO</v>
      </c>
      <c r="C486" s="1656" t="s">
        <v>130</v>
      </c>
      <c r="D486" s="1657"/>
      <c r="E486" s="1657"/>
      <c r="F486" s="1657"/>
      <c r="G486" s="1657"/>
      <c r="H486" s="1658">
        <v>0.01</v>
      </c>
      <c r="I486" s="1658">
        <v>0.01</v>
      </c>
      <c r="J486" s="1658">
        <v>0.01</v>
      </c>
      <c r="K486" s="1938"/>
      <c r="M486" s="1932"/>
      <c r="N486" s="1932"/>
      <c r="O486" s="1957" t="str">
        <f>IF(AND(Input_Product&amp;" OO"=EligOverlay!B486,Input_PropertyType=EligOverlay!C486),IF(Input_Purpose="Purchase",EligOverlay!H486,IF(Input_Purpose="Rate-Term",EligOverlay!I486,IF(Input_Purpose="Cash-Out",EligOverlay!J486,""))),"")</f>
        <v/>
      </c>
      <c r="P486" s="1958"/>
      <c r="Q486" s="1932"/>
      <c r="R486" s="1932"/>
      <c r="S486" s="1932"/>
      <c r="T486" s="2001" t="str">
        <f t="shared" si="26"/>
        <v>Log Home</v>
      </c>
    </row>
    <row r="487" spans="2:23" x14ac:dyDescent="0.2">
      <c r="B487" s="1981" t="str">
        <f t="shared" si="24"/>
        <v xml:space="preserve">  OO</v>
      </c>
      <c r="C487" s="1656" t="s">
        <v>233</v>
      </c>
      <c r="D487" s="1657"/>
      <c r="E487" s="1657"/>
      <c r="F487" s="1657"/>
      <c r="G487" s="1657"/>
      <c r="H487" s="1658">
        <v>0.01</v>
      </c>
      <c r="I487" s="1658">
        <v>0.01</v>
      </c>
      <c r="J487" s="1658">
        <v>0.01</v>
      </c>
      <c r="K487" s="1938"/>
      <c r="M487" s="1932"/>
      <c r="N487" s="1932"/>
      <c r="O487" s="1957" t="str">
        <f>IF(AND(Input_Product&amp;" OO"=EligOverlay!B487,Input_PropertyType=EligOverlay!C487),IF(Input_Purpose="Purchase",EligOverlay!H487,IF(Input_Purpose="Rate-Term",EligOverlay!I487,IF(Input_Purpose="Cash-Out",EligOverlay!J487,""))),"")</f>
        <v/>
      </c>
      <c r="P487" s="1958"/>
      <c r="Q487" s="1932"/>
      <c r="R487" s="1932"/>
      <c r="S487" s="1932"/>
      <c r="T487" s="2001" t="str">
        <f t="shared" si="26"/>
        <v>5-Unit</v>
      </c>
    </row>
    <row r="488" spans="2:23" x14ac:dyDescent="0.2">
      <c r="B488" s="1981" t="str">
        <f t="shared" si="24"/>
        <v xml:space="preserve">  OO</v>
      </c>
      <c r="C488" s="1656" t="s">
        <v>234</v>
      </c>
      <c r="D488" s="1657"/>
      <c r="E488" s="1657"/>
      <c r="F488" s="1657"/>
      <c r="G488" s="1657"/>
      <c r="H488" s="1658">
        <v>0.01</v>
      </c>
      <c r="I488" s="1658">
        <v>0.01</v>
      </c>
      <c r="J488" s="1658">
        <v>0.01</v>
      </c>
      <c r="K488" s="1938"/>
      <c r="M488" s="1932"/>
      <c r="N488" s="1932"/>
      <c r="O488" s="1957" t="str">
        <f>IF(AND(Input_Product&amp;" OO"=EligOverlay!B488,Input_PropertyType=EligOverlay!C488),IF(Input_Purpose="Purchase",EligOverlay!H488,IF(Input_Purpose="Rate-Term",EligOverlay!I488,IF(Input_Purpose="Cash-Out",EligOverlay!J488,""))),"")</f>
        <v/>
      </c>
      <c r="P488" s="1958"/>
      <c r="Q488" s="1932"/>
      <c r="R488" s="1932"/>
      <c r="S488" s="1932"/>
      <c r="T488" s="2001" t="str">
        <f t="shared" si="26"/>
        <v>6-Unit</v>
      </c>
    </row>
    <row r="489" spans="2:23" x14ac:dyDescent="0.2">
      <c r="B489" s="1981" t="str">
        <f t="shared" si="24"/>
        <v xml:space="preserve">  OO</v>
      </c>
      <c r="C489" s="1656" t="s">
        <v>235</v>
      </c>
      <c r="D489" s="1657"/>
      <c r="E489" s="1657"/>
      <c r="F489" s="1657"/>
      <c r="G489" s="1657"/>
      <c r="H489" s="1658">
        <v>0.01</v>
      </c>
      <c r="I489" s="1658">
        <v>0.01</v>
      </c>
      <c r="J489" s="1658">
        <v>0.01</v>
      </c>
      <c r="K489" s="1938"/>
      <c r="M489" s="1932"/>
      <c r="N489" s="1932"/>
      <c r="O489" s="1957" t="str">
        <f>IF(AND(Input_Product&amp;" OO"=EligOverlay!B489,Input_PropertyType=EligOverlay!C489),IF(Input_Purpose="Purchase",EligOverlay!H489,IF(Input_Purpose="Rate-Term",EligOverlay!I489,IF(Input_Purpose="Cash-Out",EligOverlay!J489,""))),"")</f>
        <v/>
      </c>
      <c r="P489" s="1958"/>
      <c r="Q489" s="1932"/>
      <c r="R489" s="1932"/>
      <c r="S489" s="1932"/>
      <c r="T489" s="2001" t="str">
        <f t="shared" si="26"/>
        <v>7-Unit</v>
      </c>
    </row>
    <row r="490" spans="2:23" x14ac:dyDescent="0.2">
      <c r="B490" s="1981" t="str">
        <f t="shared" si="24"/>
        <v xml:space="preserve">  OO</v>
      </c>
      <c r="C490" s="1656" t="s">
        <v>236</v>
      </c>
      <c r="D490" s="1657"/>
      <c r="E490" s="1657"/>
      <c r="F490" s="1657"/>
      <c r="G490" s="1657"/>
      <c r="H490" s="1658">
        <v>0.01</v>
      </c>
      <c r="I490" s="1658">
        <v>0.01</v>
      </c>
      <c r="J490" s="1658">
        <v>0.01</v>
      </c>
      <c r="K490" s="1938"/>
      <c r="M490" s="1932"/>
      <c r="N490" s="1932"/>
      <c r="O490" s="1957" t="str">
        <f>IF(AND(Input_Product&amp;" OO"=EligOverlay!B490,Input_PropertyType=EligOverlay!C490),IF(Input_Purpose="Purchase",EligOverlay!H490,IF(Input_Purpose="Rate-Term",EligOverlay!I490,IF(Input_Purpose="Cash-Out",EligOverlay!J490,""))),"")</f>
        <v/>
      </c>
      <c r="P490" s="1958"/>
      <c r="Q490" s="1932"/>
      <c r="R490" s="1932"/>
      <c r="S490" s="1932"/>
      <c r="T490" s="2001" t="str">
        <f t="shared" si="26"/>
        <v>8-Unit</v>
      </c>
    </row>
    <row r="491" spans="2:23" x14ac:dyDescent="0.2">
      <c r="B491" s="1981" t="str">
        <f t="shared" si="24"/>
        <v xml:space="preserve">  OO</v>
      </c>
      <c r="C491" s="1656" t="s">
        <v>240</v>
      </c>
      <c r="D491" s="1657"/>
      <c r="E491" s="1657"/>
      <c r="F491" s="1657"/>
      <c r="G491" s="1657"/>
      <c r="H491" s="1658">
        <v>0.01</v>
      </c>
      <c r="I491" s="1658">
        <v>0.01</v>
      </c>
      <c r="J491" s="1658">
        <v>0.01</v>
      </c>
      <c r="K491" s="1938"/>
      <c r="M491" s="1932"/>
      <c r="N491" s="1932"/>
      <c r="O491" s="1957" t="str">
        <f>IF(AND(Input_Product&amp;" OO"=EligOverlay!B491,Input_PropertyType=EligOverlay!C491),IF(Input_Purpose="Purchase",EligOverlay!H491,IF(Input_Purpose="Rate-Term",EligOverlay!I491,IF(Input_Purpose="Cash-Out",EligOverlay!J491,""))),"")</f>
        <v/>
      </c>
      <c r="P491" s="1958"/>
      <c r="Q491" s="1932"/>
      <c r="R491" s="1932"/>
      <c r="S491" s="1932"/>
      <c r="T491" s="2001" t="str">
        <f t="shared" si="26"/>
        <v>2-Unit Mixed Use</v>
      </c>
    </row>
    <row r="492" spans="2:23" x14ac:dyDescent="0.2">
      <c r="B492" s="1981" t="str">
        <f t="shared" si="24"/>
        <v xml:space="preserve">  OO</v>
      </c>
      <c r="C492" s="1656" t="s">
        <v>241</v>
      </c>
      <c r="D492" s="1657"/>
      <c r="E492" s="1657"/>
      <c r="F492" s="1657"/>
      <c r="G492" s="1657"/>
      <c r="H492" s="1658">
        <v>0.01</v>
      </c>
      <c r="I492" s="1658">
        <v>0.01</v>
      </c>
      <c r="J492" s="1658">
        <v>0.01</v>
      </c>
      <c r="K492" s="1938"/>
      <c r="M492" s="1932"/>
      <c r="N492" s="1932"/>
      <c r="O492" s="1957" t="str">
        <f>IF(AND(Input_Product&amp;" OO"=EligOverlay!B492,Input_PropertyType=EligOverlay!C492),IF(Input_Purpose="Purchase",EligOverlay!H492,IF(Input_Purpose="Rate-Term",EligOverlay!I492,IF(Input_Purpose="Cash-Out",EligOverlay!J492,""))),"")</f>
        <v/>
      </c>
      <c r="P492" s="1958"/>
      <c r="Q492" s="1932"/>
      <c r="R492" s="1932"/>
      <c r="S492" s="1932"/>
      <c r="T492" s="2001" t="str">
        <f t="shared" si="26"/>
        <v>3-Unit Mixed Use</v>
      </c>
    </row>
    <row r="493" spans="2:23" x14ac:dyDescent="0.2">
      <c r="B493" s="1981" t="str">
        <f t="shared" si="24"/>
        <v xml:space="preserve">  OO</v>
      </c>
      <c r="C493" s="1656" t="s">
        <v>242</v>
      </c>
      <c r="D493" s="1657"/>
      <c r="E493" s="1657"/>
      <c r="F493" s="1657"/>
      <c r="G493" s="1657"/>
      <c r="H493" s="1658">
        <v>0.01</v>
      </c>
      <c r="I493" s="1658">
        <v>0.01</v>
      </c>
      <c r="J493" s="1658">
        <v>0.01</v>
      </c>
      <c r="K493" s="1938"/>
      <c r="M493" s="1932"/>
      <c r="N493" s="1932"/>
      <c r="O493" s="1957" t="str">
        <f>IF(AND(Input_Product&amp;" OO"=EligOverlay!B493,Input_PropertyType=EligOverlay!C493),IF(Input_Purpose="Purchase",EligOverlay!H493,IF(Input_Purpose="Rate-Term",EligOverlay!I493,IF(Input_Purpose="Cash-Out",EligOverlay!J493,""))),"")</f>
        <v/>
      </c>
      <c r="P493" s="1958"/>
      <c r="Q493" s="1932"/>
      <c r="R493" s="1932"/>
      <c r="S493" s="1932"/>
      <c r="T493" s="2001" t="str">
        <f t="shared" si="26"/>
        <v>4-Unit Mixed Use</v>
      </c>
    </row>
    <row r="494" spans="2:23" x14ac:dyDescent="0.2">
      <c r="B494" s="1981" t="str">
        <f t="shared" si="24"/>
        <v xml:space="preserve">  OO</v>
      </c>
      <c r="C494" s="1939" t="s">
        <v>243</v>
      </c>
      <c r="D494" s="1657"/>
      <c r="E494" s="1657"/>
      <c r="F494" s="1657"/>
      <c r="G494" s="1657"/>
      <c r="H494" s="1658">
        <v>0.01</v>
      </c>
      <c r="I494" s="1658">
        <v>0.01</v>
      </c>
      <c r="J494" s="1658">
        <v>0.01</v>
      </c>
      <c r="K494" s="1938"/>
      <c r="M494" s="1932"/>
      <c r="N494" s="1932"/>
      <c r="O494" s="1957" t="str">
        <f>IF(AND(Input_Product&amp;" OO"=EligOverlay!B494,Input_PropertyType=EligOverlay!C494),IF(Input_Purpose="Purchase",EligOverlay!H494,IF(Input_Purpose="Rate-Term",EligOverlay!I494,IF(Input_Purpose="Cash-Out",EligOverlay!J494,""))),"")</f>
        <v/>
      </c>
      <c r="P494" s="1958"/>
      <c r="Q494" s="1932"/>
      <c r="R494" s="1932"/>
      <c r="S494" s="1932"/>
      <c r="T494" s="2001" t="str">
        <f t="shared" si="26"/>
        <v>5-Unit Mixed Use</v>
      </c>
    </row>
    <row r="495" spans="2:23" x14ac:dyDescent="0.2">
      <c r="B495" s="1981" t="str">
        <f t="shared" si="24"/>
        <v xml:space="preserve">  OO</v>
      </c>
      <c r="C495" s="1939" t="s">
        <v>244</v>
      </c>
      <c r="D495" s="1657"/>
      <c r="E495" s="1657"/>
      <c r="F495" s="1657"/>
      <c r="G495" s="1657"/>
      <c r="H495" s="1658">
        <v>0.01</v>
      </c>
      <c r="I495" s="1658">
        <v>0.01</v>
      </c>
      <c r="J495" s="1658">
        <v>0.01</v>
      </c>
      <c r="K495" s="1938"/>
      <c r="M495" s="1932"/>
      <c r="N495" s="1932"/>
      <c r="O495" s="1957" t="str">
        <f>IF(AND(Input_Product&amp;" OO"=EligOverlay!B495,Input_PropertyType=EligOverlay!C495),IF(Input_Purpose="Purchase",EligOverlay!H495,IF(Input_Purpose="Rate-Term",EligOverlay!I495,IF(Input_Purpose="Cash-Out",EligOverlay!J495,""))),"")</f>
        <v/>
      </c>
      <c r="P495" s="1958"/>
      <c r="Q495" s="1932"/>
      <c r="R495" s="1932"/>
      <c r="S495" s="1932"/>
      <c r="T495" s="2001" t="str">
        <f t="shared" si="26"/>
        <v>6-Unit Mixed Use</v>
      </c>
    </row>
    <row r="496" spans="2:23" x14ac:dyDescent="0.2">
      <c r="B496" s="1981" t="str">
        <f t="shared" si="24"/>
        <v xml:space="preserve">  OO</v>
      </c>
      <c r="C496" s="1940" t="s">
        <v>245</v>
      </c>
      <c r="D496" s="1657"/>
      <c r="E496" s="1657"/>
      <c r="F496" s="1657"/>
      <c r="G496" s="1657"/>
      <c r="H496" s="1658">
        <v>0.01</v>
      </c>
      <c r="I496" s="1658">
        <v>0.01</v>
      </c>
      <c r="J496" s="1658">
        <v>0.01</v>
      </c>
      <c r="K496" s="1938"/>
      <c r="M496" s="1932"/>
      <c r="N496" s="1932"/>
      <c r="O496" s="1957" t="str">
        <f>IF(AND(Input_Product&amp;" OO"=EligOverlay!B496,Input_PropertyType=EligOverlay!C496),IF(Input_Purpose="Purchase",EligOverlay!H496,IF(Input_Purpose="Rate-Term",EligOverlay!I496,IF(Input_Purpose="Cash-Out",EligOverlay!J496,""))),"")</f>
        <v/>
      </c>
      <c r="P496" s="1958"/>
      <c r="Q496" s="1932"/>
      <c r="R496" s="1932"/>
      <c r="S496" s="1932"/>
      <c r="T496" s="2001" t="str">
        <f t="shared" si="26"/>
        <v>7-Unit Mixed Use</v>
      </c>
    </row>
    <row r="497" spans="2:23" x14ac:dyDescent="0.2">
      <c r="B497" s="1981" t="str">
        <f t="shared" si="24"/>
        <v xml:space="preserve">  OO</v>
      </c>
      <c r="C497" s="1656" t="s">
        <v>246</v>
      </c>
      <c r="D497" s="1657"/>
      <c r="E497" s="1657"/>
      <c r="F497" s="1657"/>
      <c r="G497" s="1657"/>
      <c r="H497" s="1658">
        <v>0.01</v>
      </c>
      <c r="I497" s="1658">
        <v>0.01</v>
      </c>
      <c r="J497" s="1658">
        <v>0.01</v>
      </c>
      <c r="K497" s="1938"/>
      <c r="M497" s="1932"/>
      <c r="N497" s="1932"/>
      <c r="O497" s="1957" t="str">
        <f>IF(AND(Input_Product&amp;" OO"=EligOverlay!B497,Input_PropertyType=EligOverlay!C497),IF(Input_Purpose="Purchase",EligOverlay!H497,IF(Input_Purpose="Rate-Term",EligOverlay!I497,IF(Input_Purpose="Cash-Out",EligOverlay!J497,""))),"")</f>
        <v/>
      </c>
      <c r="P497" s="1958"/>
      <c r="Q497" s="1932"/>
      <c r="R497" s="1932"/>
      <c r="S497" s="1932"/>
      <c r="T497" s="2001" t="str">
        <f t="shared" si="26"/>
        <v>8-Unit Mixed Use</v>
      </c>
    </row>
    <row r="498" spans="2:23" x14ac:dyDescent="0.2">
      <c r="B498" s="1981" t="str">
        <f t="shared" ref="B498:B523" si="27">Input_Name_Product17&amp;" NOO"</f>
        <v xml:space="preserve">  NOO</v>
      </c>
      <c r="C498" s="1656" t="s">
        <v>83</v>
      </c>
      <c r="D498" s="1657"/>
      <c r="E498" s="1657"/>
      <c r="F498" s="1657"/>
      <c r="G498" s="1657"/>
      <c r="H498" s="1658">
        <v>80</v>
      </c>
      <c r="I498" s="1658">
        <v>75</v>
      </c>
      <c r="J498" s="1658">
        <v>75</v>
      </c>
      <c r="K498" s="1938"/>
      <c r="M498" s="1932"/>
      <c r="N498" s="1932"/>
      <c r="O498" s="1932"/>
      <c r="P498" s="1958"/>
      <c r="Q498" s="1932"/>
      <c r="R498" s="1932"/>
      <c r="S498" s="1932"/>
      <c r="T498" s="1968"/>
    </row>
    <row r="499" spans="2:23" x14ac:dyDescent="0.2">
      <c r="B499" s="1981" t="str">
        <f t="shared" si="27"/>
        <v xml:space="preserve">  NOO</v>
      </c>
      <c r="C499" s="1656" t="s">
        <v>1635</v>
      </c>
      <c r="D499" s="1657"/>
      <c r="E499" s="1657"/>
      <c r="F499" s="1657"/>
      <c r="G499" s="1657"/>
      <c r="H499" s="1658">
        <v>0.01</v>
      </c>
      <c r="I499" s="1658">
        <v>0.01</v>
      </c>
      <c r="J499" s="1658">
        <v>0.01</v>
      </c>
      <c r="K499" s="1938"/>
      <c r="M499" s="1932"/>
      <c r="N499" s="1932"/>
      <c r="O499" s="1957" t="str">
        <f>IF(AND(Input_Product&amp;" NOO"=EligOverlay!B499,Input_PropertyType=EligOverlay!C499),IF(Input_Purpose="Purchase",EligOverlay!H499,IF(Input_Purpose="Rate-Term",EligOverlay!I499,IF(Input_Purpose="Cash-Out",EligOverlay!J499,""))),"")</f>
        <v/>
      </c>
      <c r="P499" s="1958"/>
      <c r="Q499" s="1932"/>
      <c r="R499" s="1932"/>
      <c r="S499" s="1932"/>
      <c r="T499" s="2001" t="str">
        <f>C499</f>
        <v>SFR-Rural</v>
      </c>
    </row>
    <row r="500" spans="2:23" x14ac:dyDescent="0.2">
      <c r="B500" s="1981" t="str">
        <f t="shared" si="27"/>
        <v xml:space="preserve">  NOO</v>
      </c>
      <c r="C500" s="1656" t="s">
        <v>155</v>
      </c>
      <c r="D500" s="1657"/>
      <c r="E500" s="1657"/>
      <c r="F500" s="1657"/>
      <c r="G500" s="1657"/>
      <c r="H500" s="1658">
        <v>80</v>
      </c>
      <c r="I500" s="1658">
        <v>75</v>
      </c>
      <c r="J500" s="1658">
        <v>75</v>
      </c>
      <c r="K500" s="1938"/>
      <c r="M500" s="1932"/>
      <c r="N500" s="1932"/>
      <c r="O500" s="1932"/>
      <c r="P500" s="1958"/>
      <c r="Q500" s="1932"/>
      <c r="R500" s="1932"/>
      <c r="S500" s="1932"/>
      <c r="T500" s="1968"/>
    </row>
    <row r="501" spans="2:23" x14ac:dyDescent="0.2">
      <c r="B501" s="1981" t="str">
        <f t="shared" si="27"/>
        <v xml:space="preserve">  NOO</v>
      </c>
      <c r="C501" s="1656" t="s">
        <v>128</v>
      </c>
      <c r="D501" s="1657"/>
      <c r="E501" s="1657"/>
      <c r="F501" s="1657"/>
      <c r="G501" s="1657"/>
      <c r="H501" s="1658">
        <v>80</v>
      </c>
      <c r="I501" s="1658">
        <v>75</v>
      </c>
      <c r="J501" s="1658">
        <v>75</v>
      </c>
      <c r="K501" s="1938"/>
      <c r="M501" s="1932"/>
      <c r="N501" s="1932"/>
      <c r="O501" s="1932"/>
      <c r="P501" s="1958"/>
      <c r="Q501" s="1932"/>
      <c r="R501" s="1932"/>
      <c r="S501" s="1932"/>
      <c r="T501" s="1968"/>
    </row>
    <row r="502" spans="2:23" x14ac:dyDescent="0.2">
      <c r="B502" s="1981" t="str">
        <f t="shared" si="27"/>
        <v xml:space="preserve">  NOO</v>
      </c>
      <c r="C502" s="1656" t="s">
        <v>223</v>
      </c>
      <c r="D502" s="1657"/>
      <c r="E502" s="1657"/>
      <c r="F502" s="1657"/>
      <c r="G502" s="1657"/>
      <c r="H502" s="1658">
        <v>80</v>
      </c>
      <c r="I502" s="1658">
        <v>75</v>
      </c>
      <c r="J502" s="1658">
        <v>75</v>
      </c>
      <c r="K502" s="1938"/>
      <c r="M502" s="1932"/>
      <c r="N502" s="1932"/>
      <c r="O502" s="1957" t="str">
        <f>IF(AND(Input_Product&amp;" NOO"=EligOverlay!B502,Input_PropertyType=EligOverlay!C502),IF(Input_Purpose="Purchase",EligOverlay!H502,IF(Input_Purpose="Rate-Term",EligOverlay!I502,IF(Input_Purpose="Cash-Out",EligOverlay!J502,""))),"")</f>
        <v/>
      </c>
      <c r="P502" s="1958"/>
      <c r="Q502" s="1932"/>
      <c r="R502" s="1932"/>
      <c r="S502" s="1932"/>
      <c r="T502" s="2001" t="str">
        <f t="shared" ref="T502:T507" si="28">C502</f>
        <v>Condo-Site</v>
      </c>
    </row>
    <row r="503" spans="2:23" x14ac:dyDescent="0.2">
      <c r="B503" s="1981" t="str">
        <f t="shared" si="27"/>
        <v xml:space="preserve">  NOO</v>
      </c>
      <c r="C503" s="1656" t="s">
        <v>133</v>
      </c>
      <c r="D503" s="1657"/>
      <c r="E503" s="1657"/>
      <c r="F503" s="1657"/>
      <c r="G503" s="1657"/>
      <c r="H503" s="1658">
        <v>80</v>
      </c>
      <c r="I503" s="1658">
        <v>75</v>
      </c>
      <c r="J503" s="1658">
        <v>75</v>
      </c>
      <c r="K503" s="1938"/>
      <c r="M503" s="1932"/>
      <c r="N503" s="1932"/>
      <c r="O503" s="1957" t="str">
        <f>IF(AND(Input_Product&amp;" NOO"=EligOverlay!B503,Input_PropertyType=EligOverlay!C503),IF(Input_Purpose="Purchase",EligOverlay!H503,IF(Input_Purpose="Rate-Term",EligOverlay!I503,IF(Input_Purpose="Cash-Out",EligOverlay!J503,""))),"")</f>
        <v/>
      </c>
      <c r="P503" s="1958"/>
      <c r="Q503" s="1932"/>
      <c r="R503" s="1932"/>
      <c r="S503" s="1932"/>
      <c r="T503" s="2001" t="str">
        <f t="shared" si="28"/>
        <v>2-Unit</v>
      </c>
    </row>
    <row r="504" spans="2:23" x14ac:dyDescent="0.2">
      <c r="B504" s="1981" t="str">
        <f t="shared" si="27"/>
        <v xml:space="preserve">  NOO</v>
      </c>
      <c r="C504" s="1656" t="s">
        <v>134</v>
      </c>
      <c r="D504" s="1657"/>
      <c r="E504" s="1657"/>
      <c r="F504" s="1657"/>
      <c r="G504" s="1657"/>
      <c r="H504" s="1658">
        <v>80</v>
      </c>
      <c r="I504" s="1658">
        <v>75</v>
      </c>
      <c r="J504" s="1658">
        <v>75</v>
      </c>
      <c r="K504" s="1938"/>
      <c r="M504" s="1932"/>
      <c r="N504" s="1932"/>
      <c r="O504" s="1957" t="str">
        <f>IF(AND(Input_Product&amp;" NOO"=EligOverlay!B504,Input_PropertyType=EligOverlay!C504),IF(Input_Purpose="Purchase",EligOverlay!H504,IF(Input_Purpose="Rate-Term",EligOverlay!I504,IF(Input_Purpose="Cash-Out",EligOverlay!J504,""))),"")</f>
        <v/>
      </c>
      <c r="P504" s="1958"/>
      <c r="Q504" s="1932"/>
      <c r="R504" s="1932"/>
      <c r="S504" s="1932"/>
      <c r="T504" s="2001" t="str">
        <f t="shared" si="28"/>
        <v>3-Unit</v>
      </c>
    </row>
    <row r="505" spans="2:23" x14ac:dyDescent="0.2">
      <c r="B505" s="1981" t="str">
        <f t="shared" si="27"/>
        <v xml:space="preserve">  NOO</v>
      </c>
      <c r="C505" s="1656" t="s">
        <v>135</v>
      </c>
      <c r="D505" s="1657"/>
      <c r="E505" s="1657"/>
      <c r="F505" s="1657"/>
      <c r="G505" s="1657"/>
      <c r="H505" s="1658">
        <v>80</v>
      </c>
      <c r="I505" s="1658">
        <v>75</v>
      </c>
      <c r="J505" s="1658">
        <v>75</v>
      </c>
      <c r="K505" s="1938"/>
      <c r="M505" s="1932"/>
      <c r="N505" s="1932"/>
      <c r="O505" s="1957" t="str">
        <f>IF(AND(Input_Product&amp;" NOO"=EligOverlay!B505,Input_PropertyType=EligOverlay!C505),IF(Input_Purpose="Purchase",EligOverlay!H505,IF(Input_Purpose="Rate-Term",EligOverlay!I505,IF(Input_Purpose="Cash-Out",EligOverlay!J505,""))),"")</f>
        <v/>
      </c>
      <c r="P505" s="1958"/>
      <c r="Q505" s="1932"/>
      <c r="R505" s="1932"/>
      <c r="S505" s="1932"/>
      <c r="T505" s="2001" t="str">
        <f t="shared" si="28"/>
        <v>4-Unit</v>
      </c>
    </row>
    <row r="506" spans="2:23" x14ac:dyDescent="0.2">
      <c r="B506" s="1981" t="str">
        <f t="shared" si="27"/>
        <v xml:space="preserve">  NOO</v>
      </c>
      <c r="C506" s="1656" t="s">
        <v>131</v>
      </c>
      <c r="D506" s="1657"/>
      <c r="E506" s="1657"/>
      <c r="F506" s="1657"/>
      <c r="G506" s="1657"/>
      <c r="H506" s="1658">
        <v>80</v>
      </c>
      <c r="I506" s="1658">
        <v>75</v>
      </c>
      <c r="J506" s="1658">
        <v>75</v>
      </c>
      <c r="K506" s="1938"/>
      <c r="M506" s="1932"/>
      <c r="N506" s="1932"/>
      <c r="O506" s="1957" t="str">
        <f>IF(AND(Input_Product&amp;" NOO"=EligOverlay!B506,Input_PropertyType=EligOverlay!C506),IF(Input_Purpose="Purchase",EligOverlay!H506,IF(Input_Purpose="Rate-Term",EligOverlay!I506,IF(Input_Purpose="Cash-Out",EligOverlay!J506,""))),"")</f>
        <v/>
      </c>
      <c r="P506" s="1958"/>
      <c r="Q506" s="1932"/>
      <c r="R506" s="1932"/>
      <c r="S506" s="1932"/>
      <c r="T506" s="2001" t="str">
        <f t="shared" si="28"/>
        <v>Condo-Warrantable</v>
      </c>
    </row>
    <row r="507" spans="2:23" x14ac:dyDescent="0.2">
      <c r="B507" s="1981" t="str">
        <f t="shared" si="27"/>
        <v xml:space="preserve">  NOO</v>
      </c>
      <c r="C507" s="1656" t="s">
        <v>132</v>
      </c>
      <c r="D507" s="1657"/>
      <c r="E507" s="1657"/>
      <c r="F507" s="1657"/>
      <c r="G507" s="1657"/>
      <c r="H507" s="1658">
        <v>80</v>
      </c>
      <c r="I507" s="1658">
        <v>75</v>
      </c>
      <c r="J507" s="1658">
        <v>75</v>
      </c>
      <c r="K507" s="1938"/>
      <c r="M507" s="1932"/>
      <c r="N507" s="1932"/>
      <c r="O507" s="1957" t="str">
        <f>IF(AND(Input_Product&amp;" NOO"=EligOverlay!B507,Input_PropertyType=EligOverlay!C507),IF(Input_Purpose="Purchase",EligOverlay!H507,IF(Input_Purpose="Rate-Term",EligOverlay!I507,IF(Input_Purpose="Cash-Out",EligOverlay!J507,""))),"")</f>
        <v/>
      </c>
      <c r="P507" s="1958"/>
      <c r="Q507" s="1932"/>
      <c r="R507" s="1932"/>
      <c r="S507" s="1932"/>
      <c r="T507" s="2001" t="str">
        <f t="shared" si="28"/>
        <v>Condo-NonWarrantable</v>
      </c>
    </row>
    <row r="508" spans="2:23" x14ac:dyDescent="0.2">
      <c r="B508" s="1981" t="str">
        <f t="shared" si="27"/>
        <v xml:space="preserve">  NOO</v>
      </c>
      <c r="C508" s="1656" t="s">
        <v>1630</v>
      </c>
      <c r="D508" s="1657"/>
      <c r="E508" s="1657"/>
      <c r="F508" s="1657"/>
      <c r="G508" s="1657"/>
      <c r="H508" s="1658">
        <v>80</v>
      </c>
      <c r="I508" s="1658">
        <v>75</v>
      </c>
      <c r="J508" s="1658">
        <v>75</v>
      </c>
      <c r="K508" s="1670">
        <v>2500000</v>
      </c>
      <c r="M508" s="1957" t="str">
        <f>IF(AND(Input_Product&amp;" NOO"=EligOverlay!B508,Input_PropertyType=EligOverlay!C508,Input_LoanAmt&gt;EligOverlay!K508),K508,"")</f>
        <v/>
      </c>
      <c r="N508" s="1932"/>
      <c r="O508" s="1957" t="str">
        <f>IF(AND(Input_Product&amp;" NOO"=EligOverlay!B508,Input_PropertyType=EligOverlay!C508),IF(Input_Purpose="Purchase",EligOverlay!H508,IF(Input_Purpose="Rate-Term",EligOverlay!I508,IF(Input_Purpose="Cash-Out",EligOverlay!J508,""))),"")</f>
        <v/>
      </c>
      <c r="P508" s="1958"/>
      <c r="Q508" s="1932"/>
      <c r="R508" s="1932"/>
      <c r="S508" s="1932"/>
      <c r="T508" s="2001" t="s">
        <v>2625</v>
      </c>
    </row>
    <row r="509" spans="2:23" x14ac:dyDescent="0.2">
      <c r="B509" s="1981" t="str">
        <f t="shared" si="27"/>
        <v xml:space="preserve">  NOO</v>
      </c>
      <c r="C509" s="1656" t="s">
        <v>153</v>
      </c>
      <c r="D509" s="1657"/>
      <c r="E509" s="1657"/>
      <c r="F509" s="1657"/>
      <c r="G509" s="1657"/>
      <c r="H509" s="1658">
        <v>80</v>
      </c>
      <c r="I509" s="1658">
        <v>75</v>
      </c>
      <c r="J509" s="1658">
        <v>75</v>
      </c>
      <c r="K509" s="1938"/>
      <c r="M509" s="1932"/>
      <c r="N509" s="1932"/>
      <c r="O509" s="1957" t="str">
        <f>IF(AND(Input_Product&amp;" NOO"=EligOverlay!B509,Input_PropertyType=EligOverlay!C509),IF(Input_Purpose="Purchase",EligOverlay!H509,IF(Input_Purpose="Rate-Term",EligOverlay!I509,IF(Input_Purpose="Cash-Out",EligOverlay!J509,""))),"")</f>
        <v/>
      </c>
      <c r="P509" s="1958"/>
      <c r="Q509" s="1932"/>
      <c r="R509" s="1932"/>
      <c r="S509" s="1932"/>
      <c r="T509" s="2001" t="str">
        <f t="shared" ref="T509:T523" si="29">C509</f>
        <v>Townhouse</v>
      </c>
    </row>
    <row r="510" spans="2:23" x14ac:dyDescent="0.2">
      <c r="B510" s="1981" t="str">
        <f t="shared" si="27"/>
        <v xml:space="preserve">  NOO</v>
      </c>
      <c r="C510" s="1656" t="s">
        <v>154</v>
      </c>
      <c r="D510" s="1657"/>
      <c r="E510" s="1657"/>
      <c r="F510" s="1657"/>
      <c r="G510" s="1657"/>
      <c r="H510" s="1658">
        <v>80</v>
      </c>
      <c r="I510" s="1658">
        <v>75</v>
      </c>
      <c r="J510" s="1658">
        <v>75</v>
      </c>
      <c r="K510" s="1938"/>
      <c r="M510" s="1932"/>
      <c r="N510" s="1932"/>
      <c r="O510" s="1957" t="str">
        <f>IF(AND(Input_Product&amp;" NOO"=EligOverlay!B510,Input_PropertyType=EligOverlay!C510),IF(Input_Purpose="Purchase",EligOverlay!H510,IF(Input_Purpose="Rate-Term",EligOverlay!I510,IF(Input_Purpose="Cash-Out",EligOverlay!J510,""))),"")</f>
        <v/>
      </c>
      <c r="P510" s="1958"/>
      <c r="Q510" s="1932"/>
      <c r="R510" s="1932"/>
      <c r="S510" s="1932"/>
      <c r="T510" s="2001" t="str">
        <f t="shared" si="29"/>
        <v>Rowhouse</v>
      </c>
    </row>
    <row r="511" spans="2:23" x14ac:dyDescent="0.2">
      <c r="B511" s="1981" t="str">
        <f t="shared" si="27"/>
        <v xml:space="preserve">  NOO</v>
      </c>
      <c r="C511" s="1656" t="s">
        <v>19</v>
      </c>
      <c r="D511" s="1657"/>
      <c r="E511" s="1657"/>
      <c r="F511" s="1657"/>
      <c r="G511" s="1657"/>
      <c r="H511" s="1658">
        <v>80</v>
      </c>
      <c r="I511" s="1658">
        <v>75</v>
      </c>
      <c r="J511" s="1658">
        <v>75</v>
      </c>
      <c r="K511" s="1938"/>
      <c r="M511" s="1932"/>
      <c r="N511" s="1932"/>
      <c r="O511" s="1957" t="str">
        <f>IF(AND(Input_Product&amp;" NOO"=EligOverlay!B511,Input_PropertyType=EligOverlay!C511),IF(Input_Purpose="Purchase",EligOverlay!H511,IF(Input_Purpose="Rate-Term",EligOverlay!I511,IF(Input_Purpose="Cash-Out",EligOverlay!J511,""))),"")</f>
        <v/>
      </c>
      <c r="P511" s="1958"/>
      <c r="Q511" s="1932"/>
      <c r="R511" s="1932"/>
      <c r="S511" s="1932"/>
      <c r="T511" s="2001" t="str">
        <f t="shared" si="29"/>
        <v>Modular</v>
      </c>
      <c r="W511" s="226" t="s">
        <v>1627</v>
      </c>
    </row>
    <row r="512" spans="2:23" x14ac:dyDescent="0.2">
      <c r="B512" s="1981" t="str">
        <f t="shared" si="27"/>
        <v xml:space="preserve">  NOO</v>
      </c>
      <c r="C512" s="1656" t="s">
        <v>130</v>
      </c>
      <c r="D512" s="1657"/>
      <c r="E512" s="1657"/>
      <c r="F512" s="1657"/>
      <c r="G512" s="1657"/>
      <c r="H512" s="1658">
        <v>0.01</v>
      </c>
      <c r="I512" s="1658">
        <v>0.01</v>
      </c>
      <c r="J512" s="1658">
        <v>0.01</v>
      </c>
      <c r="K512" s="1938"/>
      <c r="M512" s="1932"/>
      <c r="N512" s="1932"/>
      <c r="O512" s="1957" t="str">
        <f>IF(AND(Input_Product&amp;" NOO"=EligOverlay!B512,Input_PropertyType=EligOverlay!C512),IF(Input_Purpose="Purchase",EligOverlay!H512,IF(Input_Purpose="Rate-Term",EligOverlay!I512,IF(Input_Purpose="Cash-Out",EligOverlay!J512,""))),"")</f>
        <v/>
      </c>
      <c r="P512" s="1958"/>
      <c r="Q512" s="1932"/>
      <c r="R512" s="1932"/>
      <c r="S512" s="1932"/>
      <c r="T512" s="2001" t="str">
        <f t="shared" si="29"/>
        <v>Log Home</v>
      </c>
    </row>
    <row r="513" spans="2:20" x14ac:dyDescent="0.2">
      <c r="B513" s="1981" t="str">
        <f t="shared" si="27"/>
        <v xml:space="preserve">  NOO</v>
      </c>
      <c r="C513" s="1656" t="s">
        <v>233</v>
      </c>
      <c r="D513" s="1657"/>
      <c r="E513" s="1657"/>
      <c r="F513" s="1657"/>
      <c r="G513" s="1657"/>
      <c r="H513" s="1658">
        <v>0.01</v>
      </c>
      <c r="I513" s="1658">
        <v>0.01</v>
      </c>
      <c r="J513" s="1658">
        <v>0.01</v>
      </c>
      <c r="K513" s="1938"/>
      <c r="M513" s="1932"/>
      <c r="N513" s="1932"/>
      <c r="O513" s="1957" t="str">
        <f>IF(AND(Input_Product&amp;" NOO"=EligOverlay!B513,Input_PropertyType=EligOverlay!C513),IF(Input_Purpose="Purchase",EligOverlay!H513,IF(Input_Purpose="Rate-Term",EligOverlay!I513,IF(Input_Purpose="Cash-Out",EligOverlay!J513,""))),"")</f>
        <v/>
      </c>
      <c r="P513" s="1958"/>
      <c r="Q513" s="1932"/>
      <c r="R513" s="1932"/>
      <c r="S513" s="1932"/>
      <c r="T513" s="2001" t="str">
        <f t="shared" si="29"/>
        <v>5-Unit</v>
      </c>
    </row>
    <row r="514" spans="2:20" x14ac:dyDescent="0.2">
      <c r="B514" s="1981" t="str">
        <f t="shared" si="27"/>
        <v xml:space="preserve">  NOO</v>
      </c>
      <c r="C514" s="1656" t="s">
        <v>234</v>
      </c>
      <c r="D514" s="1657"/>
      <c r="E514" s="1657"/>
      <c r="F514" s="1657"/>
      <c r="G514" s="1657"/>
      <c r="H514" s="1658">
        <v>0.01</v>
      </c>
      <c r="I514" s="1658">
        <v>0.01</v>
      </c>
      <c r="J514" s="1658">
        <v>0.01</v>
      </c>
      <c r="K514" s="1938"/>
      <c r="M514" s="1932"/>
      <c r="N514" s="1932"/>
      <c r="O514" s="1957" t="str">
        <f>IF(AND(Input_Product&amp;" NOO"=EligOverlay!B514,Input_PropertyType=EligOverlay!C514),IF(Input_Purpose="Purchase",EligOverlay!H514,IF(Input_Purpose="Rate-Term",EligOverlay!I514,IF(Input_Purpose="Cash-Out",EligOverlay!J514,""))),"")</f>
        <v/>
      </c>
      <c r="P514" s="1958"/>
      <c r="Q514" s="1932"/>
      <c r="R514" s="1932"/>
      <c r="S514" s="1932"/>
      <c r="T514" s="2001" t="str">
        <f t="shared" si="29"/>
        <v>6-Unit</v>
      </c>
    </row>
    <row r="515" spans="2:20" x14ac:dyDescent="0.2">
      <c r="B515" s="1981" t="str">
        <f t="shared" si="27"/>
        <v xml:space="preserve">  NOO</v>
      </c>
      <c r="C515" s="1656" t="s">
        <v>235</v>
      </c>
      <c r="D515" s="1657"/>
      <c r="E515" s="1657"/>
      <c r="F515" s="1657"/>
      <c r="G515" s="1657"/>
      <c r="H515" s="1658">
        <v>0.01</v>
      </c>
      <c r="I515" s="1658">
        <v>0.01</v>
      </c>
      <c r="J515" s="1658">
        <v>0.01</v>
      </c>
      <c r="K515" s="1938"/>
      <c r="M515" s="1932"/>
      <c r="N515" s="1932"/>
      <c r="O515" s="1957" t="str">
        <f>IF(AND(Input_Product&amp;" NOO"=EligOverlay!B515,Input_PropertyType=EligOverlay!C515),IF(Input_Purpose="Purchase",EligOverlay!H515,IF(Input_Purpose="Rate-Term",EligOverlay!I515,IF(Input_Purpose="Cash-Out",EligOverlay!J515,""))),"")</f>
        <v/>
      </c>
      <c r="P515" s="1958"/>
      <c r="Q515" s="1932"/>
      <c r="R515" s="1932"/>
      <c r="S515" s="1932"/>
      <c r="T515" s="2001" t="str">
        <f t="shared" si="29"/>
        <v>7-Unit</v>
      </c>
    </row>
    <row r="516" spans="2:20" x14ac:dyDescent="0.2">
      <c r="B516" s="1981" t="str">
        <f t="shared" si="27"/>
        <v xml:space="preserve">  NOO</v>
      </c>
      <c r="C516" s="1656" t="s">
        <v>236</v>
      </c>
      <c r="D516" s="1657"/>
      <c r="E516" s="1657"/>
      <c r="F516" s="1657"/>
      <c r="G516" s="1657"/>
      <c r="H516" s="1658">
        <v>0.01</v>
      </c>
      <c r="I516" s="1658">
        <v>0.01</v>
      </c>
      <c r="J516" s="1658">
        <v>0.01</v>
      </c>
      <c r="K516" s="1938"/>
      <c r="M516" s="1932"/>
      <c r="N516" s="1932"/>
      <c r="O516" s="1957" t="str">
        <f>IF(AND(Input_Product&amp;" NOO"=EligOverlay!B516,Input_PropertyType=EligOverlay!C516),IF(Input_Purpose="Purchase",EligOverlay!H516,IF(Input_Purpose="Rate-Term",EligOverlay!I516,IF(Input_Purpose="Cash-Out",EligOverlay!J516,""))),"")</f>
        <v/>
      </c>
      <c r="P516" s="1958"/>
      <c r="Q516" s="1932"/>
      <c r="R516" s="1932"/>
      <c r="S516" s="1932"/>
      <c r="T516" s="2001" t="str">
        <f t="shared" si="29"/>
        <v>8-Unit</v>
      </c>
    </row>
    <row r="517" spans="2:20" x14ac:dyDescent="0.2">
      <c r="B517" s="1981" t="str">
        <f t="shared" si="27"/>
        <v xml:space="preserve">  NOO</v>
      </c>
      <c r="C517" s="1656" t="s">
        <v>240</v>
      </c>
      <c r="D517" s="1657"/>
      <c r="E517" s="1657"/>
      <c r="F517" s="1657"/>
      <c r="G517" s="1657"/>
      <c r="H517" s="1658">
        <v>0.01</v>
      </c>
      <c r="I517" s="1658">
        <v>0.01</v>
      </c>
      <c r="J517" s="1658">
        <v>0.01</v>
      </c>
      <c r="K517" s="1938"/>
      <c r="M517" s="1932"/>
      <c r="N517" s="1932"/>
      <c r="O517" s="1957" t="str">
        <f>IF(AND(Input_Product&amp;" NOO"=EligOverlay!B517,Input_PropertyType=EligOverlay!C517),IF(Input_Purpose="Purchase",EligOverlay!H517,IF(Input_Purpose="Rate-Term",EligOverlay!I517,IF(Input_Purpose="Cash-Out",EligOverlay!J517,""))),"")</f>
        <v/>
      </c>
      <c r="P517" s="1958"/>
      <c r="Q517" s="1932"/>
      <c r="R517" s="1932"/>
      <c r="S517" s="1932"/>
      <c r="T517" s="2001" t="str">
        <f t="shared" si="29"/>
        <v>2-Unit Mixed Use</v>
      </c>
    </row>
    <row r="518" spans="2:20" x14ac:dyDescent="0.2">
      <c r="B518" s="1981" t="str">
        <f t="shared" si="27"/>
        <v xml:space="preserve">  NOO</v>
      </c>
      <c r="C518" s="1656" t="s">
        <v>241</v>
      </c>
      <c r="D518" s="1657"/>
      <c r="E518" s="1657"/>
      <c r="F518" s="1657"/>
      <c r="G518" s="1657"/>
      <c r="H518" s="1658">
        <v>0.01</v>
      </c>
      <c r="I518" s="1658">
        <v>0.01</v>
      </c>
      <c r="J518" s="1658">
        <v>0.01</v>
      </c>
      <c r="K518" s="1938"/>
      <c r="M518" s="1932"/>
      <c r="N518" s="1932"/>
      <c r="O518" s="1957" t="str">
        <f>IF(AND(Input_Product&amp;" NOO"=EligOverlay!B518,Input_PropertyType=EligOverlay!C518),IF(Input_Purpose="Purchase",EligOverlay!H518,IF(Input_Purpose="Rate-Term",EligOverlay!I518,IF(Input_Purpose="Cash-Out",EligOverlay!J518,""))),"")</f>
        <v/>
      </c>
      <c r="P518" s="1958"/>
      <c r="Q518" s="1932"/>
      <c r="R518" s="1932"/>
      <c r="S518" s="1932"/>
      <c r="T518" s="2001" t="str">
        <f t="shared" si="29"/>
        <v>3-Unit Mixed Use</v>
      </c>
    </row>
    <row r="519" spans="2:20" x14ac:dyDescent="0.2">
      <c r="B519" s="1981" t="str">
        <f t="shared" si="27"/>
        <v xml:space="preserve">  NOO</v>
      </c>
      <c r="C519" s="1656" t="s">
        <v>242</v>
      </c>
      <c r="D519" s="1657"/>
      <c r="E519" s="1657"/>
      <c r="F519" s="1657"/>
      <c r="G519" s="1657"/>
      <c r="H519" s="1658">
        <v>0.01</v>
      </c>
      <c r="I519" s="1658">
        <v>0.01</v>
      </c>
      <c r="J519" s="1658">
        <v>0.01</v>
      </c>
      <c r="K519" s="1938"/>
      <c r="M519" s="1932"/>
      <c r="N519" s="1932"/>
      <c r="O519" s="1957" t="str">
        <f>IF(AND(Input_Product&amp;" NOO"=EligOverlay!B519,Input_PropertyType=EligOverlay!C519),IF(Input_Purpose="Purchase",EligOverlay!H519,IF(Input_Purpose="Rate-Term",EligOverlay!I519,IF(Input_Purpose="Cash-Out",EligOverlay!J519,""))),"")</f>
        <v/>
      </c>
      <c r="P519" s="1958"/>
      <c r="Q519" s="1932"/>
      <c r="R519" s="1932"/>
      <c r="S519" s="1932"/>
      <c r="T519" s="2001" t="str">
        <f t="shared" si="29"/>
        <v>4-Unit Mixed Use</v>
      </c>
    </row>
    <row r="520" spans="2:20" x14ac:dyDescent="0.2">
      <c r="B520" s="1981" t="str">
        <f t="shared" si="27"/>
        <v xml:space="preserve">  NOO</v>
      </c>
      <c r="C520" s="1939" t="s">
        <v>243</v>
      </c>
      <c r="D520" s="1657"/>
      <c r="E520" s="1657"/>
      <c r="F520" s="1657"/>
      <c r="G520" s="1657"/>
      <c r="H520" s="1658">
        <v>0.01</v>
      </c>
      <c r="I520" s="1658">
        <v>0.01</v>
      </c>
      <c r="J520" s="1658">
        <v>0.01</v>
      </c>
      <c r="K520" s="1938"/>
      <c r="M520" s="1932"/>
      <c r="N520" s="1932"/>
      <c r="O520" s="1957" t="str">
        <f>IF(AND(Input_Product&amp;" NOO"=EligOverlay!B520,Input_PropertyType=EligOverlay!C520),IF(Input_Purpose="Purchase",EligOverlay!H520,IF(Input_Purpose="Rate-Term",EligOverlay!I520,IF(Input_Purpose="Cash-Out",EligOverlay!J520,""))),"")</f>
        <v/>
      </c>
      <c r="P520" s="1958"/>
      <c r="Q520" s="1932"/>
      <c r="R520" s="1932"/>
      <c r="S520" s="1932"/>
      <c r="T520" s="2001" t="str">
        <f t="shared" si="29"/>
        <v>5-Unit Mixed Use</v>
      </c>
    </row>
    <row r="521" spans="2:20" x14ac:dyDescent="0.2">
      <c r="B521" s="1981" t="str">
        <f t="shared" si="27"/>
        <v xml:space="preserve">  NOO</v>
      </c>
      <c r="C521" s="1939" t="s">
        <v>244</v>
      </c>
      <c r="D521" s="1657"/>
      <c r="E521" s="1657"/>
      <c r="F521" s="1657"/>
      <c r="G521" s="1657"/>
      <c r="H521" s="1658">
        <v>0.01</v>
      </c>
      <c r="I521" s="1658">
        <v>0.01</v>
      </c>
      <c r="J521" s="1658">
        <v>0.01</v>
      </c>
      <c r="K521" s="1938"/>
      <c r="M521" s="1932"/>
      <c r="N521" s="1932"/>
      <c r="O521" s="1957" t="str">
        <f>IF(AND(Input_Product&amp;" NOO"=EligOverlay!B521,Input_PropertyType=EligOverlay!C521),IF(Input_Purpose="Purchase",EligOverlay!H521,IF(Input_Purpose="Rate-Term",EligOverlay!I521,IF(Input_Purpose="Cash-Out",EligOverlay!J521,""))),"")</f>
        <v/>
      </c>
      <c r="P521" s="1958"/>
      <c r="Q521" s="1932"/>
      <c r="R521" s="1932"/>
      <c r="S521" s="1932"/>
      <c r="T521" s="2001" t="str">
        <f t="shared" si="29"/>
        <v>6-Unit Mixed Use</v>
      </c>
    </row>
    <row r="522" spans="2:20" x14ac:dyDescent="0.2">
      <c r="B522" s="1981" t="str">
        <f t="shared" si="27"/>
        <v xml:space="preserve">  NOO</v>
      </c>
      <c r="C522" s="1940" t="s">
        <v>245</v>
      </c>
      <c r="D522" s="1657"/>
      <c r="E522" s="1657"/>
      <c r="F522" s="1657"/>
      <c r="G522" s="1657"/>
      <c r="H522" s="1658">
        <v>0.01</v>
      </c>
      <c r="I522" s="1658">
        <v>0.01</v>
      </c>
      <c r="J522" s="1658">
        <v>0.01</v>
      </c>
      <c r="K522" s="1938"/>
      <c r="M522" s="1932"/>
      <c r="N522" s="1932"/>
      <c r="O522" s="1957" t="str">
        <f>IF(AND(Input_Product&amp;" NOO"=EligOverlay!B522,Input_PropertyType=EligOverlay!C522),IF(Input_Purpose="Purchase",EligOverlay!H522,IF(Input_Purpose="Rate-Term",EligOverlay!I522,IF(Input_Purpose="Cash-Out",EligOverlay!J522,""))),"")</f>
        <v/>
      </c>
      <c r="P522" s="1958"/>
      <c r="Q522" s="1932"/>
      <c r="R522" s="1932"/>
      <c r="S522" s="1932"/>
      <c r="T522" s="2001" t="str">
        <f t="shared" si="29"/>
        <v>7-Unit Mixed Use</v>
      </c>
    </row>
    <row r="523" spans="2:20" x14ac:dyDescent="0.2">
      <c r="B523" s="1981" t="str">
        <f t="shared" si="27"/>
        <v xml:space="preserve">  NOO</v>
      </c>
      <c r="C523" s="1656" t="s">
        <v>246</v>
      </c>
      <c r="D523" s="1657"/>
      <c r="E523" s="1657"/>
      <c r="F523" s="1657"/>
      <c r="G523" s="1657"/>
      <c r="H523" s="1658">
        <v>0.01</v>
      </c>
      <c r="I523" s="1658">
        <v>0.01</v>
      </c>
      <c r="J523" s="1658">
        <v>0.01</v>
      </c>
      <c r="K523" s="1938"/>
      <c r="M523" s="1932"/>
      <c r="N523" s="1932"/>
      <c r="O523" s="1957" t="str">
        <f>IF(AND(Input_Product&amp;" NOO"=EligOverlay!B523,Input_PropertyType=EligOverlay!C523),IF(Input_Purpose="Purchase",EligOverlay!H523,IF(Input_Purpose="Rate-Term",EligOverlay!I523,IF(Input_Purpose="Cash-Out",EligOverlay!J523,""))),"")</f>
        <v/>
      </c>
      <c r="P523" s="1958"/>
      <c r="Q523" s="1932"/>
      <c r="R523" s="1932"/>
      <c r="S523" s="1932"/>
      <c r="T523" s="2001" t="str">
        <f t="shared" si="29"/>
        <v>8-Unit Mixed Use</v>
      </c>
    </row>
    <row r="524" spans="2:20" x14ac:dyDescent="0.2">
      <c r="B524" s="1987" t="str">
        <f t="shared" ref="B524:B549" si="30">Input_Name_Product18&amp;" NOO"</f>
        <v xml:space="preserve">  NOO</v>
      </c>
      <c r="C524" s="1656" t="s">
        <v>83</v>
      </c>
      <c r="D524" s="1657"/>
      <c r="E524" s="1657"/>
      <c r="F524" s="1657"/>
      <c r="G524" s="1657"/>
      <c r="H524" s="1658">
        <v>80</v>
      </c>
      <c r="I524" s="1658">
        <v>75</v>
      </c>
      <c r="J524" s="1658">
        <v>75</v>
      </c>
      <c r="K524" s="1938"/>
      <c r="M524" s="1932"/>
      <c r="N524" s="1932"/>
      <c r="O524" s="1932"/>
      <c r="P524" s="1958"/>
      <c r="Q524" s="1932"/>
      <c r="R524" s="1932"/>
      <c r="S524" s="1932"/>
      <c r="T524" s="1968"/>
    </row>
    <row r="525" spans="2:20" x14ac:dyDescent="0.2">
      <c r="B525" s="1987" t="str">
        <f t="shared" si="30"/>
        <v xml:space="preserve">  NOO</v>
      </c>
      <c r="C525" s="1656" t="s">
        <v>1635</v>
      </c>
      <c r="D525" s="1657"/>
      <c r="E525" s="1657"/>
      <c r="F525" s="1657"/>
      <c r="G525" s="1657"/>
      <c r="H525" s="1658">
        <v>0.01</v>
      </c>
      <c r="I525" s="1658">
        <v>0.01</v>
      </c>
      <c r="J525" s="1658">
        <v>0.01</v>
      </c>
      <c r="K525" s="1938"/>
      <c r="M525" s="1932"/>
      <c r="N525" s="1932"/>
      <c r="O525" s="1957" t="str">
        <f>IF(AND(Input_Product&amp;" NOO"=EligOverlay!B525,Input_PropertyType=EligOverlay!C525),IF(Input_Purpose="Purchase",EligOverlay!H525,IF(Input_Purpose="Rate-Term",EligOverlay!I525,IF(Input_Purpose="Cash-Out",EligOverlay!J525,""))),"")</f>
        <v/>
      </c>
      <c r="P525" s="1958"/>
      <c r="Q525" s="1932"/>
      <c r="R525" s="1932"/>
      <c r="S525" s="1932"/>
      <c r="T525" s="2001" t="str">
        <f>C525</f>
        <v>SFR-Rural</v>
      </c>
    </row>
    <row r="526" spans="2:20" x14ac:dyDescent="0.2">
      <c r="B526" s="1987" t="str">
        <f t="shared" si="30"/>
        <v xml:space="preserve">  NOO</v>
      </c>
      <c r="C526" s="1656" t="s">
        <v>155</v>
      </c>
      <c r="D526" s="1657"/>
      <c r="E526" s="1657"/>
      <c r="F526" s="1657"/>
      <c r="G526" s="1657"/>
      <c r="H526" s="1658">
        <v>80</v>
      </c>
      <c r="I526" s="1658">
        <v>75</v>
      </c>
      <c r="J526" s="1658">
        <v>75</v>
      </c>
      <c r="K526" s="1938"/>
      <c r="M526" s="1932"/>
      <c r="N526" s="1932"/>
      <c r="O526" s="1932"/>
      <c r="P526" s="1958"/>
      <c r="Q526" s="1932"/>
      <c r="R526" s="1932"/>
      <c r="S526" s="1932"/>
      <c r="T526" s="1968"/>
    </row>
    <row r="527" spans="2:20" x14ac:dyDescent="0.2">
      <c r="B527" s="1987" t="str">
        <f t="shared" si="30"/>
        <v xml:space="preserve">  NOO</v>
      </c>
      <c r="C527" s="1656" t="s">
        <v>128</v>
      </c>
      <c r="D527" s="1657"/>
      <c r="E527" s="1657"/>
      <c r="F527" s="1657"/>
      <c r="G527" s="1657"/>
      <c r="H527" s="1658">
        <v>80</v>
      </c>
      <c r="I527" s="1658">
        <v>75</v>
      </c>
      <c r="J527" s="1658">
        <v>75</v>
      </c>
      <c r="K527" s="1938"/>
      <c r="M527" s="1932"/>
      <c r="N527" s="1932"/>
      <c r="O527" s="1932"/>
      <c r="P527" s="1958"/>
      <c r="Q527" s="1932"/>
      <c r="R527" s="1932"/>
      <c r="S527" s="1932"/>
      <c r="T527" s="1968"/>
    </row>
    <row r="528" spans="2:20" x14ac:dyDescent="0.2">
      <c r="B528" s="1987" t="str">
        <f t="shared" si="30"/>
        <v xml:space="preserve">  NOO</v>
      </c>
      <c r="C528" s="1656" t="s">
        <v>223</v>
      </c>
      <c r="D528" s="1657"/>
      <c r="E528" s="1657"/>
      <c r="F528" s="1657"/>
      <c r="G528" s="1657"/>
      <c r="H528" s="1658">
        <v>80</v>
      </c>
      <c r="I528" s="1658">
        <v>75</v>
      </c>
      <c r="J528" s="1658">
        <v>75</v>
      </c>
      <c r="K528" s="1938"/>
      <c r="M528" s="1932"/>
      <c r="N528" s="1932"/>
      <c r="O528" s="1957" t="str">
        <f>IF(AND(Input_Product&amp;" NOO"=EligOverlay!B528,Input_PropertyType=EligOverlay!C528),IF(Input_Purpose="Purchase",EligOverlay!H528,IF(Input_Purpose="Rate-Term",EligOverlay!I528,IF(Input_Purpose="Cash-Out",EligOverlay!J528,""))),"")</f>
        <v/>
      </c>
      <c r="P528" s="1958"/>
      <c r="Q528" s="1932"/>
      <c r="R528" s="1932"/>
      <c r="S528" s="1932"/>
      <c r="T528" s="2001" t="str">
        <f t="shared" ref="T528:T533" si="31">C528</f>
        <v>Condo-Site</v>
      </c>
    </row>
    <row r="529" spans="2:23" x14ac:dyDescent="0.2">
      <c r="B529" s="1987" t="str">
        <f t="shared" si="30"/>
        <v xml:space="preserve">  NOO</v>
      </c>
      <c r="C529" s="1656" t="s">
        <v>133</v>
      </c>
      <c r="D529" s="1657"/>
      <c r="E529" s="1657"/>
      <c r="F529" s="1657"/>
      <c r="G529" s="1657"/>
      <c r="H529" s="1658">
        <v>75</v>
      </c>
      <c r="I529" s="1658">
        <v>70</v>
      </c>
      <c r="J529" s="1658">
        <v>70</v>
      </c>
      <c r="K529" s="1938"/>
      <c r="M529" s="1932"/>
      <c r="N529" s="1932"/>
      <c r="O529" s="1957" t="str">
        <f>IF(AND(Input_Product&amp;" NOO"=EligOverlay!B529,Input_PropertyType=EligOverlay!C529),IF(Input_Purpose="Purchase",EligOverlay!H529,IF(Input_Purpose="Rate-Term",EligOverlay!I529,IF(Input_Purpose="Cash-Out",EligOverlay!J529,""))),"")</f>
        <v/>
      </c>
      <c r="P529" s="1958"/>
      <c r="Q529" s="1932"/>
      <c r="R529" s="1932"/>
      <c r="S529" s="1932"/>
      <c r="T529" s="2001" t="str">
        <f t="shared" si="31"/>
        <v>2-Unit</v>
      </c>
    </row>
    <row r="530" spans="2:23" x14ac:dyDescent="0.2">
      <c r="B530" s="1987" t="str">
        <f t="shared" si="30"/>
        <v xml:space="preserve">  NOO</v>
      </c>
      <c r="C530" s="1656" t="s">
        <v>134</v>
      </c>
      <c r="D530" s="1657"/>
      <c r="E530" s="1657"/>
      <c r="F530" s="1657"/>
      <c r="G530" s="1657"/>
      <c r="H530" s="1658">
        <v>75</v>
      </c>
      <c r="I530" s="1658">
        <v>70</v>
      </c>
      <c r="J530" s="1658">
        <v>70</v>
      </c>
      <c r="K530" s="1938"/>
      <c r="M530" s="1932"/>
      <c r="N530" s="1932"/>
      <c r="O530" s="1957" t="str">
        <f>IF(AND(Input_Product&amp;" NOO"=EligOverlay!B530,Input_PropertyType=EligOverlay!C530),IF(Input_Purpose="Purchase",EligOverlay!H530,IF(Input_Purpose="Rate-Term",EligOverlay!I530,IF(Input_Purpose="Cash-Out",EligOverlay!J530,""))),"")</f>
        <v/>
      </c>
      <c r="P530" s="1958"/>
      <c r="Q530" s="1932"/>
      <c r="R530" s="1932"/>
      <c r="S530" s="1932"/>
      <c r="T530" s="2001" t="str">
        <f t="shared" si="31"/>
        <v>3-Unit</v>
      </c>
    </row>
    <row r="531" spans="2:23" x14ac:dyDescent="0.2">
      <c r="B531" s="1987" t="str">
        <f t="shared" si="30"/>
        <v xml:space="preserve">  NOO</v>
      </c>
      <c r="C531" s="1656" t="s">
        <v>135</v>
      </c>
      <c r="D531" s="1657"/>
      <c r="E531" s="1657"/>
      <c r="F531" s="1657"/>
      <c r="G531" s="1657"/>
      <c r="H531" s="1658">
        <v>75</v>
      </c>
      <c r="I531" s="1658">
        <v>70</v>
      </c>
      <c r="J531" s="1658">
        <v>70</v>
      </c>
      <c r="K531" s="1938"/>
      <c r="M531" s="1932"/>
      <c r="N531" s="1932"/>
      <c r="O531" s="1957" t="str">
        <f>IF(AND(Input_Product&amp;" NOO"=EligOverlay!B531,Input_PropertyType=EligOverlay!C531),IF(Input_Purpose="Purchase",EligOverlay!H531,IF(Input_Purpose="Rate-Term",EligOverlay!I531,IF(Input_Purpose="Cash-Out",EligOverlay!J531,""))),"")</f>
        <v/>
      </c>
      <c r="P531" s="1958"/>
      <c r="Q531" s="1932"/>
      <c r="R531" s="1932"/>
      <c r="S531" s="1932"/>
      <c r="T531" s="2001" t="str">
        <f t="shared" si="31"/>
        <v>4-Unit</v>
      </c>
    </row>
    <row r="532" spans="2:23" x14ac:dyDescent="0.2">
      <c r="B532" s="1987" t="str">
        <f t="shared" si="30"/>
        <v xml:space="preserve">  NOO</v>
      </c>
      <c r="C532" s="1656" t="s">
        <v>131</v>
      </c>
      <c r="D532" s="1657"/>
      <c r="E532" s="1657"/>
      <c r="F532" s="1657"/>
      <c r="G532" s="1657"/>
      <c r="H532" s="1658">
        <v>75</v>
      </c>
      <c r="I532" s="1658">
        <v>70</v>
      </c>
      <c r="J532" s="1658">
        <v>70</v>
      </c>
      <c r="K532" s="1938"/>
      <c r="M532" s="1932"/>
      <c r="N532" s="1932"/>
      <c r="O532" s="1957" t="str">
        <f>IF(AND(Input_Product&amp;" NOO"=EligOverlay!B532,Input_PropertyType=EligOverlay!C532),IF(Input_Purpose="Purchase",EligOverlay!H532,IF(Input_Purpose="Rate-Term",EligOverlay!I532,IF(Input_Purpose="Cash-Out",EligOverlay!J532,""))),"")</f>
        <v/>
      </c>
      <c r="P532" s="1958"/>
      <c r="Q532" s="1932"/>
      <c r="R532" s="1932"/>
      <c r="S532" s="1932"/>
      <c r="T532" s="2001" t="str">
        <f t="shared" si="31"/>
        <v>Condo-Warrantable</v>
      </c>
    </row>
    <row r="533" spans="2:23" x14ac:dyDescent="0.2">
      <c r="B533" s="1987" t="str">
        <f t="shared" si="30"/>
        <v xml:space="preserve">  NOO</v>
      </c>
      <c r="C533" s="1656" t="s">
        <v>132</v>
      </c>
      <c r="D533" s="1657"/>
      <c r="E533" s="1657"/>
      <c r="F533" s="1657"/>
      <c r="G533" s="1657"/>
      <c r="H533" s="1658">
        <v>75</v>
      </c>
      <c r="I533" s="1658">
        <v>70</v>
      </c>
      <c r="J533" s="1658">
        <v>70</v>
      </c>
      <c r="K533" s="1938"/>
      <c r="M533" s="1932"/>
      <c r="N533" s="1932"/>
      <c r="O533" s="1957" t="str">
        <f>IF(AND(Input_Product&amp;" NOO"=EligOverlay!B533,Input_PropertyType=EligOverlay!C533),IF(Input_Purpose="Purchase",EligOverlay!H533,IF(Input_Purpose="Rate-Term",EligOverlay!I533,IF(Input_Purpose="Cash-Out",EligOverlay!J533,""))),"")</f>
        <v/>
      </c>
      <c r="P533" s="1958"/>
      <c r="Q533" s="1932"/>
      <c r="R533" s="1932"/>
      <c r="S533" s="1932"/>
      <c r="T533" s="2001" t="str">
        <f t="shared" si="31"/>
        <v>Condo-NonWarrantable</v>
      </c>
    </row>
    <row r="534" spans="2:23" x14ac:dyDescent="0.2">
      <c r="B534" s="1987" t="str">
        <f t="shared" si="30"/>
        <v xml:space="preserve">  NOO</v>
      </c>
      <c r="C534" s="1656" t="s">
        <v>1630</v>
      </c>
      <c r="D534" s="1657"/>
      <c r="E534" s="1657"/>
      <c r="F534" s="1657"/>
      <c r="G534" s="1657"/>
      <c r="H534" s="1658">
        <v>75</v>
      </c>
      <c r="I534" s="1658">
        <v>65</v>
      </c>
      <c r="J534" s="1658">
        <v>65</v>
      </c>
      <c r="K534" s="1670">
        <v>1500000</v>
      </c>
      <c r="M534" s="1957" t="str">
        <f>IF(AND(Input_Product&amp;" NOO"=EligOverlay!B534,Input_PropertyType=EligOverlay!C534,Input_LoanAmt&gt;EligOverlay!K534),K534,"")</f>
        <v/>
      </c>
      <c r="N534" s="1932"/>
      <c r="O534" s="1957" t="str">
        <f>IF(AND(Input_Product&amp;" NOO"=EligOverlay!B534,Input_PropertyType=EligOverlay!C534),IF(Input_Purpose="Purchase",EligOverlay!H534,IF(Input_Purpose="Rate-Term",EligOverlay!I534,IF(Input_Purpose="Cash-Out",EligOverlay!J534,""))),"")</f>
        <v/>
      </c>
      <c r="P534" s="1958"/>
      <c r="Q534" s="1932"/>
      <c r="R534" s="1932"/>
      <c r="S534" s="1932"/>
      <c r="T534" s="2001" t="s">
        <v>2625</v>
      </c>
    </row>
    <row r="535" spans="2:23" x14ac:dyDescent="0.2">
      <c r="B535" s="1987" t="str">
        <f t="shared" si="30"/>
        <v xml:space="preserve">  NOO</v>
      </c>
      <c r="C535" s="1656" t="s">
        <v>153</v>
      </c>
      <c r="D535" s="1657"/>
      <c r="E535" s="1657"/>
      <c r="F535" s="1657"/>
      <c r="G535" s="1657"/>
      <c r="H535" s="1658">
        <v>85</v>
      </c>
      <c r="I535" s="1658">
        <v>80</v>
      </c>
      <c r="J535" s="1658">
        <v>80</v>
      </c>
      <c r="K535" s="1938"/>
      <c r="M535" s="1932"/>
      <c r="N535" s="1932"/>
      <c r="O535" s="1957" t="str">
        <f>IF(AND(Input_Product&amp;" NOO"=EligOverlay!B535,Input_PropertyType=EligOverlay!C535),IF(Input_Purpose="Purchase",EligOverlay!H535,IF(Input_Purpose="Rate-Term",EligOverlay!I535,IF(Input_Purpose="Cash-Out",EligOverlay!J535,""))),"")</f>
        <v/>
      </c>
      <c r="P535" s="1958"/>
      <c r="Q535" s="1932"/>
      <c r="R535" s="1932"/>
      <c r="S535" s="1932"/>
      <c r="T535" s="2001" t="str">
        <f t="shared" ref="T535:T549" si="32">C535</f>
        <v>Townhouse</v>
      </c>
    </row>
    <row r="536" spans="2:23" x14ac:dyDescent="0.2">
      <c r="B536" s="1987" t="str">
        <f t="shared" si="30"/>
        <v xml:space="preserve">  NOO</v>
      </c>
      <c r="C536" s="1656" t="s">
        <v>154</v>
      </c>
      <c r="D536" s="1657"/>
      <c r="E536" s="1657"/>
      <c r="F536" s="1657"/>
      <c r="G536" s="1657"/>
      <c r="H536" s="1658">
        <v>85</v>
      </c>
      <c r="I536" s="1658">
        <v>80</v>
      </c>
      <c r="J536" s="1658">
        <v>80</v>
      </c>
      <c r="K536" s="1938"/>
      <c r="M536" s="1932"/>
      <c r="N536" s="1932"/>
      <c r="O536" s="1957" t="str">
        <f>IF(AND(Input_Product&amp;" NOO"=EligOverlay!B536,Input_PropertyType=EligOverlay!C536),IF(Input_Purpose="Purchase",EligOverlay!H536,IF(Input_Purpose="Rate-Term",EligOverlay!I536,IF(Input_Purpose="Cash-Out",EligOverlay!J536,""))),"")</f>
        <v/>
      </c>
      <c r="P536" s="1958"/>
      <c r="Q536" s="1932"/>
      <c r="R536" s="1932"/>
      <c r="S536" s="1932"/>
      <c r="T536" s="2001" t="str">
        <f t="shared" si="32"/>
        <v>Rowhouse</v>
      </c>
    </row>
    <row r="537" spans="2:23" x14ac:dyDescent="0.2">
      <c r="B537" s="1987" t="str">
        <f t="shared" si="30"/>
        <v xml:space="preserve">  NOO</v>
      </c>
      <c r="C537" s="1656" t="s">
        <v>19</v>
      </c>
      <c r="D537" s="1657"/>
      <c r="E537" s="1657"/>
      <c r="F537" s="1657"/>
      <c r="G537" s="1657"/>
      <c r="H537" s="1658">
        <v>85</v>
      </c>
      <c r="I537" s="1658">
        <v>80</v>
      </c>
      <c r="J537" s="1658">
        <v>80</v>
      </c>
      <c r="K537" s="1938"/>
      <c r="M537" s="1932"/>
      <c r="N537" s="1932"/>
      <c r="O537" s="1957" t="str">
        <f>IF(AND(Input_Product&amp;" NOO"=EligOverlay!B537,Input_PropertyType=EligOverlay!C537),IF(Input_Purpose="Purchase",EligOverlay!H537,IF(Input_Purpose="Rate-Term",EligOverlay!I537,IF(Input_Purpose="Cash-Out",EligOverlay!J537,""))),"")</f>
        <v/>
      </c>
      <c r="P537" s="1958"/>
      <c r="Q537" s="1932"/>
      <c r="R537" s="1932"/>
      <c r="S537" s="1932"/>
      <c r="T537" s="2001" t="str">
        <f t="shared" si="32"/>
        <v>Modular</v>
      </c>
      <c r="W537" s="226" t="s">
        <v>1627</v>
      </c>
    </row>
    <row r="538" spans="2:23" x14ac:dyDescent="0.2">
      <c r="B538" s="1987" t="str">
        <f t="shared" si="30"/>
        <v xml:space="preserve">  NOO</v>
      </c>
      <c r="C538" s="1656" t="s">
        <v>130</v>
      </c>
      <c r="D538" s="1657"/>
      <c r="E538" s="1657"/>
      <c r="F538" s="1657"/>
      <c r="G538" s="1657"/>
      <c r="H538" s="1658">
        <v>0.01</v>
      </c>
      <c r="I538" s="1658">
        <v>0.01</v>
      </c>
      <c r="J538" s="1658">
        <v>0.01</v>
      </c>
      <c r="K538" s="1938"/>
      <c r="M538" s="1932"/>
      <c r="N538" s="1932"/>
      <c r="O538" s="1957" t="str">
        <f>IF(AND(Input_Product&amp;" NOO"=EligOverlay!B538,Input_PropertyType=EligOverlay!C538),IF(Input_Purpose="Purchase",EligOverlay!H538,IF(Input_Purpose="Rate-Term",EligOverlay!I538,IF(Input_Purpose="Cash-Out",EligOverlay!J538,""))),"")</f>
        <v/>
      </c>
      <c r="P538" s="1958"/>
      <c r="Q538" s="1932"/>
      <c r="R538" s="1932"/>
      <c r="S538" s="1932"/>
      <c r="T538" s="2001" t="str">
        <f t="shared" si="32"/>
        <v>Log Home</v>
      </c>
    </row>
    <row r="539" spans="2:23" x14ac:dyDescent="0.2">
      <c r="B539" s="1987" t="str">
        <f t="shared" si="30"/>
        <v xml:space="preserve">  NOO</v>
      </c>
      <c r="C539" s="1656" t="s">
        <v>233</v>
      </c>
      <c r="D539" s="1657"/>
      <c r="E539" s="1657"/>
      <c r="F539" s="1657"/>
      <c r="G539" s="1657"/>
      <c r="H539" s="1658">
        <v>0.01</v>
      </c>
      <c r="I539" s="1658">
        <v>0.01</v>
      </c>
      <c r="J539" s="1658">
        <v>0.01</v>
      </c>
      <c r="K539" s="1938"/>
      <c r="M539" s="1932"/>
      <c r="N539" s="1932"/>
      <c r="O539" s="1957" t="str">
        <f>IF(AND(Input_Product&amp;" NOO"=EligOverlay!B539,Input_PropertyType=EligOverlay!C539),IF(Input_Purpose="Purchase",EligOverlay!H539,IF(Input_Purpose="Rate-Term",EligOverlay!I539,IF(Input_Purpose="Cash-Out",EligOverlay!J539,""))),"")</f>
        <v/>
      </c>
      <c r="P539" s="1958"/>
      <c r="Q539" s="1932"/>
      <c r="R539" s="1932"/>
      <c r="S539" s="1932"/>
      <c r="T539" s="2001" t="str">
        <f t="shared" si="32"/>
        <v>5-Unit</v>
      </c>
    </row>
    <row r="540" spans="2:23" x14ac:dyDescent="0.2">
      <c r="B540" s="1987" t="str">
        <f t="shared" si="30"/>
        <v xml:space="preserve">  NOO</v>
      </c>
      <c r="C540" s="1656" t="s">
        <v>234</v>
      </c>
      <c r="D540" s="1657"/>
      <c r="E540" s="1657"/>
      <c r="F540" s="1657"/>
      <c r="G540" s="1657"/>
      <c r="H540" s="1658">
        <v>0.01</v>
      </c>
      <c r="I540" s="1658">
        <v>0.01</v>
      </c>
      <c r="J540" s="1658">
        <v>0.01</v>
      </c>
      <c r="K540" s="1938"/>
      <c r="M540" s="1932"/>
      <c r="N540" s="1932"/>
      <c r="O540" s="1957" t="str">
        <f>IF(AND(Input_Product&amp;" NOO"=EligOverlay!B540,Input_PropertyType=EligOverlay!C540),IF(Input_Purpose="Purchase",EligOverlay!H540,IF(Input_Purpose="Rate-Term",EligOverlay!I540,IF(Input_Purpose="Cash-Out",EligOverlay!J540,""))),"")</f>
        <v/>
      </c>
      <c r="P540" s="1958"/>
      <c r="Q540" s="1932"/>
      <c r="R540" s="1932"/>
      <c r="S540" s="1932"/>
      <c r="T540" s="2001" t="str">
        <f t="shared" si="32"/>
        <v>6-Unit</v>
      </c>
    </row>
    <row r="541" spans="2:23" x14ac:dyDescent="0.2">
      <c r="B541" s="1987" t="str">
        <f t="shared" si="30"/>
        <v xml:space="preserve">  NOO</v>
      </c>
      <c r="C541" s="1656" t="s">
        <v>235</v>
      </c>
      <c r="D541" s="1657"/>
      <c r="E541" s="1657"/>
      <c r="F541" s="1657"/>
      <c r="G541" s="1657"/>
      <c r="H541" s="1658">
        <v>0.01</v>
      </c>
      <c r="I541" s="1658">
        <v>0.01</v>
      </c>
      <c r="J541" s="1658">
        <v>0.01</v>
      </c>
      <c r="K541" s="1938"/>
      <c r="M541" s="1932"/>
      <c r="N541" s="1932"/>
      <c r="O541" s="1957" t="str">
        <f>IF(AND(Input_Product&amp;" NOO"=EligOverlay!B541,Input_PropertyType=EligOverlay!C541),IF(Input_Purpose="Purchase",EligOverlay!H541,IF(Input_Purpose="Rate-Term",EligOverlay!I541,IF(Input_Purpose="Cash-Out",EligOverlay!J541,""))),"")</f>
        <v/>
      </c>
      <c r="P541" s="1958"/>
      <c r="Q541" s="1932"/>
      <c r="R541" s="1932"/>
      <c r="S541" s="1932"/>
      <c r="T541" s="2001" t="str">
        <f t="shared" si="32"/>
        <v>7-Unit</v>
      </c>
    </row>
    <row r="542" spans="2:23" x14ac:dyDescent="0.2">
      <c r="B542" s="1987" t="str">
        <f t="shared" si="30"/>
        <v xml:space="preserve">  NOO</v>
      </c>
      <c r="C542" s="1656" t="s">
        <v>236</v>
      </c>
      <c r="D542" s="1657"/>
      <c r="E542" s="1657"/>
      <c r="F542" s="1657"/>
      <c r="G542" s="1657"/>
      <c r="H542" s="1658">
        <v>0.01</v>
      </c>
      <c r="I542" s="1658">
        <v>0.01</v>
      </c>
      <c r="J542" s="1658">
        <v>0.01</v>
      </c>
      <c r="K542" s="1938"/>
      <c r="M542" s="1932"/>
      <c r="N542" s="1932"/>
      <c r="O542" s="1957" t="str">
        <f>IF(AND(Input_Product&amp;" NOO"=EligOverlay!B542,Input_PropertyType=EligOverlay!C542),IF(Input_Purpose="Purchase",EligOverlay!H542,IF(Input_Purpose="Rate-Term",EligOverlay!I542,IF(Input_Purpose="Cash-Out",EligOverlay!J542,""))),"")</f>
        <v/>
      </c>
      <c r="P542" s="1958"/>
      <c r="Q542" s="1932"/>
      <c r="R542" s="1932"/>
      <c r="S542" s="1932"/>
      <c r="T542" s="2001" t="str">
        <f t="shared" si="32"/>
        <v>8-Unit</v>
      </c>
    </row>
    <row r="543" spans="2:23" x14ac:dyDescent="0.2">
      <c r="B543" s="1987" t="str">
        <f t="shared" si="30"/>
        <v xml:space="preserve">  NOO</v>
      </c>
      <c r="C543" s="1656" t="s">
        <v>240</v>
      </c>
      <c r="D543" s="1657"/>
      <c r="E543" s="1657"/>
      <c r="F543" s="1657"/>
      <c r="G543" s="1657"/>
      <c r="H543" s="1658">
        <v>0.01</v>
      </c>
      <c r="I543" s="1658">
        <v>0.01</v>
      </c>
      <c r="J543" s="1658">
        <v>0.01</v>
      </c>
      <c r="K543" s="1938"/>
      <c r="M543" s="1932"/>
      <c r="N543" s="1932"/>
      <c r="O543" s="1957" t="str">
        <f>IF(AND(Input_Product&amp;" NOO"=EligOverlay!B543,Input_PropertyType=EligOverlay!C543),IF(Input_Purpose="Purchase",EligOverlay!H543,IF(Input_Purpose="Rate-Term",EligOverlay!I543,IF(Input_Purpose="Cash-Out",EligOverlay!J543,""))),"")</f>
        <v/>
      </c>
      <c r="P543" s="1958"/>
      <c r="Q543" s="1932"/>
      <c r="R543" s="1932"/>
      <c r="S543" s="1932"/>
      <c r="T543" s="2001" t="str">
        <f t="shared" si="32"/>
        <v>2-Unit Mixed Use</v>
      </c>
    </row>
    <row r="544" spans="2:23" x14ac:dyDescent="0.2">
      <c r="B544" s="1987" t="str">
        <f t="shared" si="30"/>
        <v xml:space="preserve">  NOO</v>
      </c>
      <c r="C544" s="1656" t="s">
        <v>241</v>
      </c>
      <c r="D544" s="1657"/>
      <c r="E544" s="1657"/>
      <c r="F544" s="1657"/>
      <c r="G544" s="1657"/>
      <c r="H544" s="1658">
        <v>0.01</v>
      </c>
      <c r="I544" s="1658">
        <v>0.01</v>
      </c>
      <c r="J544" s="1658">
        <v>0.01</v>
      </c>
      <c r="K544" s="1938"/>
      <c r="M544" s="1932"/>
      <c r="N544" s="1932"/>
      <c r="O544" s="1957" t="str">
        <f>IF(AND(Input_Product&amp;" NOO"=EligOverlay!B544,Input_PropertyType=EligOverlay!C544),IF(Input_Purpose="Purchase",EligOverlay!H544,IF(Input_Purpose="Rate-Term",EligOverlay!I544,IF(Input_Purpose="Cash-Out",EligOverlay!J544,""))),"")</f>
        <v/>
      </c>
      <c r="P544" s="1958"/>
      <c r="Q544" s="1932"/>
      <c r="R544" s="1932"/>
      <c r="S544" s="1932"/>
      <c r="T544" s="2001" t="str">
        <f t="shared" si="32"/>
        <v>3-Unit Mixed Use</v>
      </c>
    </row>
    <row r="545" spans="2:20" x14ac:dyDescent="0.2">
      <c r="B545" s="1987" t="str">
        <f t="shared" si="30"/>
        <v xml:space="preserve">  NOO</v>
      </c>
      <c r="C545" s="1656" t="s">
        <v>242</v>
      </c>
      <c r="D545" s="1657"/>
      <c r="E545" s="1657"/>
      <c r="F545" s="1657"/>
      <c r="G545" s="1657"/>
      <c r="H545" s="1658">
        <v>0.01</v>
      </c>
      <c r="I545" s="1658">
        <v>0.01</v>
      </c>
      <c r="J545" s="1658">
        <v>0.01</v>
      </c>
      <c r="K545" s="1938"/>
      <c r="M545" s="1932"/>
      <c r="N545" s="1932"/>
      <c r="O545" s="1957" t="str">
        <f>IF(AND(Input_Product&amp;" NOO"=EligOverlay!B545,Input_PropertyType=EligOverlay!C545),IF(Input_Purpose="Purchase",EligOverlay!H545,IF(Input_Purpose="Rate-Term",EligOverlay!I545,IF(Input_Purpose="Cash-Out",EligOverlay!J545,""))),"")</f>
        <v/>
      </c>
      <c r="P545" s="1958"/>
      <c r="Q545" s="1932"/>
      <c r="R545" s="1932"/>
      <c r="S545" s="1932"/>
      <c r="T545" s="2001" t="str">
        <f t="shared" si="32"/>
        <v>4-Unit Mixed Use</v>
      </c>
    </row>
    <row r="546" spans="2:20" x14ac:dyDescent="0.2">
      <c r="B546" s="1987" t="str">
        <f t="shared" si="30"/>
        <v xml:space="preserve">  NOO</v>
      </c>
      <c r="C546" s="1939" t="s">
        <v>243</v>
      </c>
      <c r="D546" s="1657"/>
      <c r="E546" s="1657"/>
      <c r="F546" s="1657"/>
      <c r="G546" s="1657"/>
      <c r="H546" s="1658">
        <v>0.01</v>
      </c>
      <c r="I546" s="1658">
        <v>0.01</v>
      </c>
      <c r="J546" s="1658">
        <v>0.01</v>
      </c>
      <c r="K546" s="1938"/>
      <c r="M546" s="1932"/>
      <c r="N546" s="1932"/>
      <c r="O546" s="1957" t="str">
        <f>IF(AND(Input_Product&amp;" NOO"=EligOverlay!B546,Input_PropertyType=EligOverlay!C546),IF(Input_Purpose="Purchase",EligOverlay!H546,IF(Input_Purpose="Rate-Term",EligOverlay!I546,IF(Input_Purpose="Cash-Out",EligOverlay!J546,""))),"")</f>
        <v/>
      </c>
      <c r="P546" s="1958"/>
      <c r="Q546" s="1932"/>
      <c r="R546" s="1932"/>
      <c r="S546" s="1932"/>
      <c r="T546" s="2001" t="str">
        <f t="shared" si="32"/>
        <v>5-Unit Mixed Use</v>
      </c>
    </row>
    <row r="547" spans="2:20" x14ac:dyDescent="0.2">
      <c r="B547" s="1987" t="str">
        <f t="shared" si="30"/>
        <v xml:space="preserve">  NOO</v>
      </c>
      <c r="C547" s="1939" t="s">
        <v>244</v>
      </c>
      <c r="D547" s="1657"/>
      <c r="E547" s="1657"/>
      <c r="F547" s="1657"/>
      <c r="G547" s="1657"/>
      <c r="H547" s="1658">
        <v>0.01</v>
      </c>
      <c r="I547" s="1658">
        <v>0.01</v>
      </c>
      <c r="J547" s="1658">
        <v>0.01</v>
      </c>
      <c r="K547" s="1938"/>
      <c r="M547" s="1932"/>
      <c r="N547" s="1932"/>
      <c r="O547" s="1957" t="str">
        <f>IF(AND(Input_Product&amp;" NOO"=EligOverlay!B547,Input_PropertyType=EligOverlay!C547),IF(Input_Purpose="Purchase",EligOverlay!H547,IF(Input_Purpose="Rate-Term",EligOverlay!I547,IF(Input_Purpose="Cash-Out",EligOverlay!J547,""))),"")</f>
        <v/>
      </c>
      <c r="P547" s="1958"/>
      <c r="Q547" s="1932"/>
      <c r="R547" s="1932"/>
      <c r="S547" s="1932"/>
      <c r="T547" s="2001" t="str">
        <f t="shared" si="32"/>
        <v>6-Unit Mixed Use</v>
      </c>
    </row>
    <row r="548" spans="2:20" x14ac:dyDescent="0.2">
      <c r="B548" s="1987" t="str">
        <f t="shared" si="30"/>
        <v xml:space="preserve">  NOO</v>
      </c>
      <c r="C548" s="1940" t="s">
        <v>245</v>
      </c>
      <c r="D548" s="1657"/>
      <c r="E548" s="1657"/>
      <c r="F548" s="1657"/>
      <c r="G548" s="1657"/>
      <c r="H548" s="1658">
        <v>0.01</v>
      </c>
      <c r="I548" s="1658">
        <v>0.01</v>
      </c>
      <c r="J548" s="1658">
        <v>0.01</v>
      </c>
      <c r="K548" s="1938"/>
      <c r="M548" s="1932"/>
      <c r="N548" s="1932"/>
      <c r="O548" s="1957" t="str">
        <f>IF(AND(Input_Product&amp;" NOO"=EligOverlay!B548,Input_PropertyType=EligOverlay!C548),IF(Input_Purpose="Purchase",EligOverlay!H548,IF(Input_Purpose="Rate-Term",EligOverlay!I548,IF(Input_Purpose="Cash-Out",EligOverlay!J548,""))),"")</f>
        <v/>
      </c>
      <c r="P548" s="1958"/>
      <c r="Q548" s="1932"/>
      <c r="R548" s="1932"/>
      <c r="S548" s="1932"/>
      <c r="T548" s="2001" t="str">
        <f t="shared" si="32"/>
        <v>7-Unit Mixed Use</v>
      </c>
    </row>
    <row r="549" spans="2:20" x14ac:dyDescent="0.2">
      <c r="B549" s="1987" t="str">
        <f t="shared" si="30"/>
        <v xml:space="preserve">  NOO</v>
      </c>
      <c r="C549" s="1656" t="s">
        <v>246</v>
      </c>
      <c r="D549" s="1657"/>
      <c r="E549" s="1657"/>
      <c r="F549" s="1657"/>
      <c r="G549" s="1657"/>
      <c r="H549" s="1658">
        <v>0.01</v>
      </c>
      <c r="I549" s="1658">
        <v>0.01</v>
      </c>
      <c r="J549" s="1658">
        <v>0.01</v>
      </c>
      <c r="K549" s="1938"/>
      <c r="M549" s="1932"/>
      <c r="N549" s="1932"/>
      <c r="O549" s="1957" t="str">
        <f>IF(AND(Input_Product&amp;" NOO"=EligOverlay!B549,Input_PropertyType=EligOverlay!C549),IF(Input_Purpose="Purchase",EligOverlay!H549,IF(Input_Purpose="Rate-Term",EligOverlay!I549,IF(Input_Purpose="Cash-Out",EligOverlay!J549,""))),"")</f>
        <v/>
      </c>
      <c r="P549" s="1958"/>
      <c r="Q549" s="1932"/>
      <c r="R549" s="1932"/>
      <c r="S549" s="1932"/>
      <c r="T549" s="2001" t="str">
        <f t="shared" si="32"/>
        <v>8-Unit Mixed Use</v>
      </c>
    </row>
    <row r="550" spans="2:20" x14ac:dyDescent="0.2">
      <c r="B550" s="1983" t="str">
        <f t="shared" ref="B550:B575" si="33">Input_Name_Product19&amp;" NOO"</f>
        <v xml:space="preserve">  NOO</v>
      </c>
      <c r="C550" s="1656" t="s">
        <v>83</v>
      </c>
      <c r="D550" s="1657"/>
      <c r="E550" s="1657"/>
      <c r="F550" s="1657"/>
      <c r="G550" s="1657"/>
      <c r="H550" s="1658">
        <v>0.01</v>
      </c>
      <c r="I550" s="1658">
        <v>0.01</v>
      </c>
      <c r="J550" s="1658">
        <v>0.01</v>
      </c>
      <c r="K550" s="1938"/>
      <c r="M550" s="1932"/>
      <c r="N550" s="1932"/>
      <c r="O550" s="1932"/>
      <c r="P550" s="1958"/>
      <c r="Q550" s="1932"/>
      <c r="R550" s="1932"/>
      <c r="S550" s="1932"/>
      <c r="T550" s="1968"/>
    </row>
    <row r="551" spans="2:20" x14ac:dyDescent="0.2">
      <c r="B551" s="1983" t="str">
        <f t="shared" si="33"/>
        <v xml:space="preserve">  NOO</v>
      </c>
      <c r="C551" s="1656" t="s">
        <v>1635</v>
      </c>
      <c r="D551" s="1657"/>
      <c r="E551" s="1657"/>
      <c r="F551" s="1657"/>
      <c r="G551" s="1657"/>
      <c r="H551" s="1658">
        <v>0.01</v>
      </c>
      <c r="I551" s="1658">
        <v>0.01</v>
      </c>
      <c r="J551" s="1658">
        <v>0.01</v>
      </c>
      <c r="K551" s="1938"/>
      <c r="M551" s="1932"/>
      <c r="N551" s="1932"/>
      <c r="O551" s="1957" t="str">
        <f>IF(AND(Input_Product&amp;" NOO"=EligOverlay!B551,Input_PropertyType=EligOverlay!C551),IF(Input_Purpose="Purchase",EligOverlay!H551,IF(Input_Purpose="Rate-Term",EligOverlay!I551,IF(Input_Purpose="Cash-Out",EligOverlay!J551,""))),"")</f>
        <v/>
      </c>
      <c r="P551" s="1958"/>
      <c r="Q551" s="1932"/>
      <c r="R551" s="1932"/>
      <c r="S551" s="1932"/>
      <c r="T551" s="2001" t="str">
        <f>C551</f>
        <v>SFR-Rural</v>
      </c>
    </row>
    <row r="552" spans="2:20" x14ac:dyDescent="0.2">
      <c r="B552" s="1983" t="str">
        <f t="shared" si="33"/>
        <v xml:space="preserve">  NOO</v>
      </c>
      <c r="C552" s="1656" t="s">
        <v>155</v>
      </c>
      <c r="D552" s="1657"/>
      <c r="E552" s="1657"/>
      <c r="F552" s="1657"/>
      <c r="G552" s="1657"/>
      <c r="H552" s="1658">
        <v>0.01</v>
      </c>
      <c r="I552" s="1658">
        <v>0.01</v>
      </c>
      <c r="J552" s="1658">
        <v>0.01</v>
      </c>
      <c r="K552" s="1938"/>
      <c r="M552" s="1932"/>
      <c r="N552" s="1932"/>
      <c r="O552" s="1932"/>
      <c r="P552" s="1958"/>
      <c r="Q552" s="1932"/>
      <c r="R552" s="1932"/>
      <c r="S552" s="1932"/>
      <c r="T552" s="1968"/>
    </row>
    <row r="553" spans="2:20" x14ac:dyDescent="0.2">
      <c r="B553" s="1983" t="str">
        <f t="shared" si="33"/>
        <v xml:space="preserve">  NOO</v>
      </c>
      <c r="C553" s="1656" t="s">
        <v>128</v>
      </c>
      <c r="D553" s="1657"/>
      <c r="E553" s="1657"/>
      <c r="F553" s="1657"/>
      <c r="G553" s="1657"/>
      <c r="H553" s="1658">
        <v>0.01</v>
      </c>
      <c r="I553" s="1658">
        <v>0.01</v>
      </c>
      <c r="J553" s="1658">
        <v>0.01</v>
      </c>
      <c r="K553" s="1938"/>
      <c r="M553" s="1932"/>
      <c r="N553" s="1932"/>
      <c r="O553" s="1932"/>
      <c r="P553" s="1958"/>
      <c r="Q553" s="1932"/>
      <c r="R553" s="1932"/>
      <c r="S553" s="1932"/>
      <c r="T553" s="1968"/>
    </row>
    <row r="554" spans="2:20" x14ac:dyDescent="0.2">
      <c r="B554" s="1983" t="str">
        <f t="shared" si="33"/>
        <v xml:space="preserve">  NOO</v>
      </c>
      <c r="C554" s="1656" t="s">
        <v>223</v>
      </c>
      <c r="D554" s="1657"/>
      <c r="E554" s="1657"/>
      <c r="F554" s="1657"/>
      <c r="G554" s="1657"/>
      <c r="H554" s="1658">
        <v>0.01</v>
      </c>
      <c r="I554" s="1658">
        <v>0.01</v>
      </c>
      <c r="J554" s="1658">
        <v>0.01</v>
      </c>
      <c r="K554" s="1938"/>
      <c r="M554" s="1932"/>
      <c r="N554" s="1932"/>
      <c r="O554" s="1957" t="str">
        <f>IF(AND(Input_Product&amp;" NOO"=EligOverlay!B554,Input_PropertyType=EligOverlay!C554),IF(Input_Purpose="Purchase",EligOverlay!H554,IF(Input_Purpose="Rate-Term",EligOverlay!I554,IF(Input_Purpose="Cash-Out",EligOverlay!J554,""))),"")</f>
        <v/>
      </c>
      <c r="P554" s="1958"/>
      <c r="Q554" s="1932"/>
      <c r="R554" s="1932"/>
      <c r="S554" s="1932"/>
      <c r="T554" s="2001" t="str">
        <f t="shared" ref="T554:T559" si="34">C554</f>
        <v>Condo-Site</v>
      </c>
    </row>
    <row r="555" spans="2:20" x14ac:dyDescent="0.2">
      <c r="B555" s="1983" t="str">
        <f t="shared" si="33"/>
        <v xml:space="preserve">  NOO</v>
      </c>
      <c r="C555" s="1656" t="s">
        <v>133</v>
      </c>
      <c r="D555" s="1657"/>
      <c r="E555" s="1657"/>
      <c r="F555" s="1657"/>
      <c r="G555" s="1657"/>
      <c r="H555" s="1658">
        <v>0.01</v>
      </c>
      <c r="I555" s="1658">
        <v>0.01</v>
      </c>
      <c r="J555" s="1658">
        <v>0.01</v>
      </c>
      <c r="K555" s="1938"/>
      <c r="M555" s="1932"/>
      <c r="N555" s="1932"/>
      <c r="O555" s="1957" t="str">
        <f>IF(AND(Input_Product&amp;" NOO"=EligOverlay!B555,Input_PropertyType=EligOverlay!C555),IF(Input_Purpose="Purchase",EligOverlay!H555,IF(Input_Purpose="Rate-Term",EligOverlay!I555,IF(Input_Purpose="Cash-Out",EligOverlay!J555,""))),"")</f>
        <v/>
      </c>
      <c r="P555" s="1958"/>
      <c r="Q555" s="1932"/>
      <c r="R555" s="1932"/>
      <c r="S555" s="1932"/>
      <c r="T555" s="2001" t="str">
        <f t="shared" si="34"/>
        <v>2-Unit</v>
      </c>
    </row>
    <row r="556" spans="2:20" x14ac:dyDescent="0.2">
      <c r="B556" s="1983" t="str">
        <f t="shared" si="33"/>
        <v xml:space="preserve">  NOO</v>
      </c>
      <c r="C556" s="1656" t="s">
        <v>134</v>
      </c>
      <c r="D556" s="1657"/>
      <c r="E556" s="1657"/>
      <c r="F556" s="1657"/>
      <c r="G556" s="1657"/>
      <c r="H556" s="1658">
        <v>0.01</v>
      </c>
      <c r="I556" s="1658">
        <v>0.01</v>
      </c>
      <c r="J556" s="1658">
        <v>0.01</v>
      </c>
      <c r="K556" s="1938"/>
      <c r="M556" s="1932"/>
      <c r="N556" s="1932"/>
      <c r="O556" s="1957" t="str">
        <f>IF(AND(Input_Product&amp;" NOO"=EligOverlay!B556,Input_PropertyType=EligOverlay!C556),IF(Input_Purpose="Purchase",EligOverlay!H556,IF(Input_Purpose="Rate-Term",EligOverlay!I556,IF(Input_Purpose="Cash-Out",EligOverlay!J556,""))),"")</f>
        <v/>
      </c>
      <c r="P556" s="1958"/>
      <c r="Q556" s="1932"/>
      <c r="R556" s="1932"/>
      <c r="S556" s="1932"/>
      <c r="T556" s="2001" t="str">
        <f t="shared" si="34"/>
        <v>3-Unit</v>
      </c>
    </row>
    <row r="557" spans="2:20" x14ac:dyDescent="0.2">
      <c r="B557" s="1983" t="str">
        <f t="shared" si="33"/>
        <v xml:space="preserve">  NOO</v>
      </c>
      <c r="C557" s="1656" t="s">
        <v>135</v>
      </c>
      <c r="D557" s="1657"/>
      <c r="E557" s="1657"/>
      <c r="F557" s="1657"/>
      <c r="G557" s="1657"/>
      <c r="H557" s="1658">
        <v>0.01</v>
      </c>
      <c r="I557" s="1658">
        <v>0.01</v>
      </c>
      <c r="J557" s="1658">
        <v>0.01</v>
      </c>
      <c r="K557" s="1938"/>
      <c r="M557" s="1932"/>
      <c r="N557" s="1932"/>
      <c r="O557" s="1957" t="str">
        <f>IF(AND(Input_Product&amp;" NOO"=EligOverlay!B557,Input_PropertyType=EligOverlay!C557),IF(Input_Purpose="Purchase",EligOverlay!H557,IF(Input_Purpose="Rate-Term",EligOverlay!I557,IF(Input_Purpose="Cash-Out",EligOverlay!J557,""))),"")</f>
        <v/>
      </c>
      <c r="P557" s="1958"/>
      <c r="Q557" s="1932"/>
      <c r="R557" s="1932"/>
      <c r="S557" s="1932"/>
      <c r="T557" s="2001" t="str">
        <f t="shared" si="34"/>
        <v>4-Unit</v>
      </c>
    </row>
    <row r="558" spans="2:20" x14ac:dyDescent="0.2">
      <c r="B558" s="1983" t="str">
        <f t="shared" si="33"/>
        <v xml:space="preserve">  NOO</v>
      </c>
      <c r="C558" s="1656" t="s">
        <v>131</v>
      </c>
      <c r="D558" s="1657"/>
      <c r="E558" s="1657"/>
      <c r="F558" s="1657"/>
      <c r="G558" s="1657"/>
      <c r="H558" s="1658">
        <v>0.01</v>
      </c>
      <c r="I558" s="1658">
        <v>0.01</v>
      </c>
      <c r="J558" s="1658">
        <v>0.01</v>
      </c>
      <c r="K558" s="1938"/>
      <c r="M558" s="1932"/>
      <c r="N558" s="1932"/>
      <c r="O558" s="1957" t="str">
        <f>IF(AND(Input_Product&amp;" NOO"=EligOverlay!B558,Input_PropertyType=EligOverlay!C558),IF(Input_Purpose="Purchase",EligOverlay!H558,IF(Input_Purpose="Rate-Term",EligOverlay!I558,IF(Input_Purpose="Cash-Out",EligOverlay!J558,""))),"")</f>
        <v/>
      </c>
      <c r="P558" s="1958"/>
      <c r="Q558" s="1932"/>
      <c r="R558" s="1932"/>
      <c r="S558" s="1932"/>
      <c r="T558" s="2001" t="str">
        <f t="shared" si="34"/>
        <v>Condo-Warrantable</v>
      </c>
    </row>
    <row r="559" spans="2:20" x14ac:dyDescent="0.2">
      <c r="B559" s="1983" t="str">
        <f t="shared" si="33"/>
        <v xml:space="preserve">  NOO</v>
      </c>
      <c r="C559" s="1656" t="s">
        <v>132</v>
      </c>
      <c r="D559" s="1657"/>
      <c r="E559" s="1657"/>
      <c r="F559" s="1657"/>
      <c r="G559" s="1657"/>
      <c r="H559" s="1658">
        <v>0.01</v>
      </c>
      <c r="I559" s="1658">
        <v>0.01</v>
      </c>
      <c r="J559" s="1658">
        <v>0.01</v>
      </c>
      <c r="K559" s="1938"/>
      <c r="M559" s="1932"/>
      <c r="N559" s="1932"/>
      <c r="O559" s="1957" t="str">
        <f>IF(AND(Input_Product&amp;" NOO"=EligOverlay!B559,Input_PropertyType=EligOverlay!C559),IF(Input_Purpose="Purchase",EligOverlay!H559,IF(Input_Purpose="Rate-Term",EligOverlay!I559,IF(Input_Purpose="Cash-Out",EligOverlay!J559,""))),"")</f>
        <v/>
      </c>
      <c r="P559" s="1958"/>
      <c r="Q559" s="1932"/>
      <c r="R559" s="1932"/>
      <c r="S559" s="1932"/>
      <c r="T559" s="2001" t="str">
        <f t="shared" si="34"/>
        <v>Condo-NonWarrantable</v>
      </c>
    </row>
    <row r="560" spans="2:20" x14ac:dyDescent="0.2">
      <c r="B560" s="1983" t="str">
        <f t="shared" si="33"/>
        <v xml:space="preserve">  NOO</v>
      </c>
      <c r="C560" s="1656" t="s">
        <v>1630</v>
      </c>
      <c r="D560" s="1657"/>
      <c r="E560" s="1657"/>
      <c r="F560" s="1657"/>
      <c r="G560" s="1657"/>
      <c r="H560" s="1658">
        <v>0.01</v>
      </c>
      <c r="I560" s="1658">
        <v>0.01</v>
      </c>
      <c r="J560" s="1658">
        <v>0.01</v>
      </c>
      <c r="K560" s="1938"/>
      <c r="M560" s="1932"/>
      <c r="N560" s="1932"/>
      <c r="O560" s="1957" t="str">
        <f>IF(AND(Input_Product&amp;" NOO"=EligOverlay!B560,Input_PropertyType=EligOverlay!C560),IF(Input_Purpose="Purchase",EligOverlay!H560,IF(Input_Purpose="Rate-Term",EligOverlay!I560,IF(Input_Purpose="Cash-Out",EligOverlay!J560,""))),"")</f>
        <v/>
      </c>
      <c r="P560" s="1958"/>
      <c r="Q560" s="1932"/>
      <c r="R560" s="1932"/>
      <c r="S560" s="1932"/>
      <c r="T560" s="2001" t="s">
        <v>2625</v>
      </c>
    </row>
    <row r="561" spans="2:20" x14ac:dyDescent="0.2">
      <c r="B561" s="1983" t="str">
        <f t="shared" si="33"/>
        <v xml:space="preserve">  NOO</v>
      </c>
      <c r="C561" s="1656" t="s">
        <v>153</v>
      </c>
      <c r="D561" s="1657"/>
      <c r="E561" s="1657"/>
      <c r="F561" s="1657"/>
      <c r="G561" s="1657"/>
      <c r="H561" s="1658">
        <v>0.01</v>
      </c>
      <c r="I561" s="1658">
        <v>0.01</v>
      </c>
      <c r="J561" s="1658">
        <v>0.01</v>
      </c>
      <c r="K561" s="1938"/>
      <c r="M561" s="1932"/>
      <c r="N561" s="1932"/>
      <c r="O561" s="1957" t="str">
        <f>IF(AND(Input_Product&amp;" NOO"=EligOverlay!B561,Input_PropertyType=EligOverlay!C561),IF(Input_Purpose="Purchase",EligOverlay!H561,IF(Input_Purpose="Rate-Term",EligOverlay!I561,IF(Input_Purpose="Cash-Out",EligOverlay!J561,""))),"")</f>
        <v/>
      </c>
      <c r="P561" s="1958"/>
      <c r="Q561" s="1932"/>
      <c r="R561" s="1932"/>
      <c r="S561" s="1932"/>
      <c r="T561" s="2001" t="str">
        <f t="shared" ref="T561:T575" si="35">C561</f>
        <v>Townhouse</v>
      </c>
    </row>
    <row r="562" spans="2:20" x14ac:dyDescent="0.2">
      <c r="B562" s="1983" t="str">
        <f t="shared" si="33"/>
        <v xml:space="preserve">  NOO</v>
      </c>
      <c r="C562" s="1656" t="s">
        <v>154</v>
      </c>
      <c r="D562" s="1657"/>
      <c r="E562" s="1657"/>
      <c r="F562" s="1657"/>
      <c r="G562" s="1657"/>
      <c r="H562" s="1658">
        <v>0.01</v>
      </c>
      <c r="I562" s="1658">
        <v>0.01</v>
      </c>
      <c r="J562" s="1658">
        <v>0.01</v>
      </c>
      <c r="K562" s="1938"/>
      <c r="M562" s="1932"/>
      <c r="N562" s="1932"/>
      <c r="O562" s="1957" t="str">
        <f>IF(AND(Input_Product&amp;" NOO"=EligOverlay!B562,Input_PropertyType=EligOverlay!C562),IF(Input_Purpose="Purchase",EligOverlay!H562,IF(Input_Purpose="Rate-Term",EligOverlay!I562,IF(Input_Purpose="Cash-Out",EligOverlay!J562,""))),"")</f>
        <v/>
      </c>
      <c r="P562" s="1958"/>
      <c r="Q562" s="1932"/>
      <c r="R562" s="1932"/>
      <c r="S562" s="1932"/>
      <c r="T562" s="2001" t="str">
        <f t="shared" si="35"/>
        <v>Rowhouse</v>
      </c>
    </row>
    <row r="563" spans="2:20" x14ac:dyDescent="0.2">
      <c r="B563" s="1983" t="str">
        <f t="shared" si="33"/>
        <v xml:space="preserve">  NOO</v>
      </c>
      <c r="C563" s="1656" t="s">
        <v>19</v>
      </c>
      <c r="D563" s="1657"/>
      <c r="E563" s="1657"/>
      <c r="F563" s="1657"/>
      <c r="G563" s="1657"/>
      <c r="H563" s="1658">
        <v>0.01</v>
      </c>
      <c r="I563" s="1658">
        <v>0.01</v>
      </c>
      <c r="J563" s="1658">
        <v>0.01</v>
      </c>
      <c r="K563" s="1938"/>
      <c r="M563" s="1932"/>
      <c r="N563" s="1932"/>
      <c r="O563" s="1957" t="str">
        <f>IF(AND(Input_Product&amp;" NOO"=EligOverlay!B563,Input_PropertyType=EligOverlay!C563),IF(Input_Purpose="Purchase",EligOverlay!H563,IF(Input_Purpose="Rate-Term",EligOverlay!I563,IF(Input_Purpose="Cash-Out",EligOverlay!J563,""))),"")</f>
        <v/>
      </c>
      <c r="P563" s="1958"/>
      <c r="Q563" s="1932"/>
      <c r="R563" s="1932"/>
      <c r="S563" s="1932"/>
      <c r="T563" s="2001" t="str">
        <f t="shared" si="35"/>
        <v>Modular</v>
      </c>
    </row>
    <row r="564" spans="2:20" x14ac:dyDescent="0.2">
      <c r="B564" s="1983" t="str">
        <f t="shared" si="33"/>
        <v xml:space="preserve">  NOO</v>
      </c>
      <c r="C564" s="1656" t="s">
        <v>130</v>
      </c>
      <c r="D564" s="1657"/>
      <c r="E564" s="1657"/>
      <c r="F564" s="1657"/>
      <c r="G564" s="1657"/>
      <c r="H564" s="1658">
        <v>0.01</v>
      </c>
      <c r="I564" s="1658">
        <v>0.01</v>
      </c>
      <c r="J564" s="1658">
        <v>0.01</v>
      </c>
      <c r="K564" s="1938"/>
      <c r="M564" s="1932"/>
      <c r="N564" s="1932"/>
      <c r="O564" s="1957" t="str">
        <f>IF(AND(Input_Product&amp;" NOO"=EligOverlay!B564,Input_PropertyType=EligOverlay!C564),IF(Input_Purpose="Purchase",EligOverlay!H564,IF(Input_Purpose="Rate-Term",EligOverlay!I564,IF(Input_Purpose="Cash-Out",EligOverlay!J564,""))),"")</f>
        <v/>
      </c>
      <c r="P564" s="1958"/>
      <c r="Q564" s="1932"/>
      <c r="R564" s="1932"/>
      <c r="S564" s="1932"/>
      <c r="T564" s="2001" t="str">
        <f t="shared" si="35"/>
        <v>Log Home</v>
      </c>
    </row>
    <row r="565" spans="2:20" x14ac:dyDescent="0.2">
      <c r="B565" s="1983" t="str">
        <f t="shared" si="33"/>
        <v xml:space="preserve">  NOO</v>
      </c>
      <c r="C565" s="1656" t="s">
        <v>233</v>
      </c>
      <c r="D565" s="1657"/>
      <c r="E565" s="1657"/>
      <c r="F565" s="1657"/>
      <c r="G565" s="1657"/>
      <c r="H565" s="1658">
        <v>75</v>
      </c>
      <c r="I565" s="1658">
        <v>70</v>
      </c>
      <c r="J565" s="1658">
        <v>65</v>
      </c>
      <c r="K565" s="1938"/>
      <c r="M565" s="1932"/>
      <c r="N565" s="1932"/>
      <c r="O565" s="1957" t="str">
        <f>IF(AND(Input_Product&amp;" NOO"=EligOverlay!B565,Input_PropertyType=EligOverlay!C565),IF(Input_Purpose="Purchase",EligOverlay!H565,IF(Input_Purpose="Rate-Term",EligOverlay!I565,IF(Input_Purpose="Cash-Out",EligOverlay!J565,""))),"")</f>
        <v/>
      </c>
      <c r="P565" s="1958"/>
      <c r="Q565" s="1932"/>
      <c r="R565" s="1932"/>
      <c r="S565" s="1932"/>
      <c r="T565" s="2001" t="str">
        <f t="shared" si="35"/>
        <v>5-Unit</v>
      </c>
    </row>
    <row r="566" spans="2:20" x14ac:dyDescent="0.2">
      <c r="B566" s="1983" t="str">
        <f t="shared" si="33"/>
        <v xml:space="preserve">  NOO</v>
      </c>
      <c r="C566" s="1656" t="s">
        <v>234</v>
      </c>
      <c r="D566" s="1657"/>
      <c r="E566" s="1657"/>
      <c r="F566" s="1657"/>
      <c r="G566" s="1657"/>
      <c r="H566" s="1658">
        <v>75</v>
      </c>
      <c r="I566" s="1658">
        <v>70</v>
      </c>
      <c r="J566" s="1658">
        <v>65</v>
      </c>
      <c r="K566" s="1938"/>
      <c r="M566" s="1932"/>
      <c r="N566" s="1932"/>
      <c r="O566" s="1957" t="str">
        <f>IF(AND(Input_Product&amp;" NOO"=EligOverlay!B566,Input_PropertyType=EligOverlay!C566),IF(Input_Purpose="Purchase",EligOverlay!H566,IF(Input_Purpose="Rate-Term",EligOverlay!I566,IF(Input_Purpose="Cash-Out",EligOverlay!J566,""))),"")</f>
        <v/>
      </c>
      <c r="P566" s="1958"/>
      <c r="Q566" s="1932"/>
      <c r="R566" s="1932"/>
      <c r="S566" s="1932"/>
      <c r="T566" s="2001" t="str">
        <f t="shared" si="35"/>
        <v>6-Unit</v>
      </c>
    </row>
    <row r="567" spans="2:20" x14ac:dyDescent="0.2">
      <c r="B567" s="1983" t="str">
        <f t="shared" si="33"/>
        <v xml:space="preserve">  NOO</v>
      </c>
      <c r="C567" s="1656" t="s">
        <v>235</v>
      </c>
      <c r="D567" s="1657"/>
      <c r="E567" s="1657"/>
      <c r="F567" s="1657"/>
      <c r="G567" s="1657"/>
      <c r="H567" s="1658">
        <v>75</v>
      </c>
      <c r="I567" s="1658">
        <v>70</v>
      </c>
      <c r="J567" s="1658">
        <v>65</v>
      </c>
      <c r="K567" s="1938"/>
      <c r="M567" s="1932"/>
      <c r="N567" s="1932"/>
      <c r="O567" s="1957" t="str">
        <f>IF(AND(Input_Product&amp;" NOO"=EligOverlay!B567,Input_PropertyType=EligOverlay!C567),IF(Input_Purpose="Purchase",EligOverlay!H567,IF(Input_Purpose="Rate-Term",EligOverlay!I567,IF(Input_Purpose="Cash-Out",EligOverlay!J567,""))),"")</f>
        <v/>
      </c>
      <c r="P567" s="1958"/>
      <c r="Q567" s="1932"/>
      <c r="R567" s="1932"/>
      <c r="S567" s="1932"/>
      <c r="T567" s="2001" t="str">
        <f t="shared" si="35"/>
        <v>7-Unit</v>
      </c>
    </row>
    <row r="568" spans="2:20" x14ac:dyDescent="0.2">
      <c r="B568" s="1983" t="str">
        <f t="shared" si="33"/>
        <v xml:space="preserve">  NOO</v>
      </c>
      <c r="C568" s="1656" t="s">
        <v>236</v>
      </c>
      <c r="D568" s="1657"/>
      <c r="E568" s="1657"/>
      <c r="F568" s="1657"/>
      <c r="G568" s="1657"/>
      <c r="H568" s="1658">
        <v>75</v>
      </c>
      <c r="I568" s="1658">
        <v>70</v>
      </c>
      <c r="J568" s="1658">
        <v>65</v>
      </c>
      <c r="K568" s="1938"/>
      <c r="M568" s="1932"/>
      <c r="N568" s="1932"/>
      <c r="O568" s="1957" t="str">
        <f>IF(AND(Input_Product&amp;" NOO"=EligOverlay!B568,Input_PropertyType=EligOverlay!C568),IF(Input_Purpose="Purchase",EligOverlay!H568,IF(Input_Purpose="Rate-Term",EligOverlay!I568,IF(Input_Purpose="Cash-Out",EligOverlay!J568,""))),"")</f>
        <v/>
      </c>
      <c r="P568" s="1958"/>
      <c r="Q568" s="1932"/>
      <c r="R568" s="1932"/>
      <c r="S568" s="1932"/>
      <c r="T568" s="2001" t="str">
        <f t="shared" si="35"/>
        <v>8-Unit</v>
      </c>
    </row>
    <row r="569" spans="2:20" x14ac:dyDescent="0.2">
      <c r="B569" s="1983" t="str">
        <f t="shared" si="33"/>
        <v xml:space="preserve">  NOO</v>
      </c>
      <c r="C569" s="1656" t="s">
        <v>240</v>
      </c>
      <c r="D569" s="1657"/>
      <c r="E569" s="1657"/>
      <c r="F569" s="1657"/>
      <c r="G569" s="1657"/>
      <c r="H569" s="1658">
        <v>0.01</v>
      </c>
      <c r="I569" s="1658">
        <v>0.01</v>
      </c>
      <c r="J569" s="1658">
        <v>0.01</v>
      </c>
      <c r="K569" s="1938"/>
      <c r="M569" s="1932"/>
      <c r="N569" s="1932"/>
      <c r="O569" s="1957" t="str">
        <f>IF(AND(Input_Product&amp;" NOO"=EligOverlay!B569,Input_PropertyType=EligOverlay!C569),IF(Input_Purpose="Purchase",EligOverlay!H569,IF(Input_Purpose="Rate-Term",EligOverlay!I569,IF(Input_Purpose="Cash-Out",EligOverlay!J569,""))),"")</f>
        <v/>
      </c>
      <c r="P569" s="1958"/>
      <c r="Q569" s="1932"/>
      <c r="R569" s="1932"/>
      <c r="S569" s="1932"/>
      <c r="T569" s="2001" t="str">
        <f t="shared" si="35"/>
        <v>2-Unit Mixed Use</v>
      </c>
    </row>
    <row r="570" spans="2:20" x14ac:dyDescent="0.2">
      <c r="B570" s="1983" t="str">
        <f t="shared" si="33"/>
        <v xml:space="preserve">  NOO</v>
      </c>
      <c r="C570" s="1656" t="s">
        <v>241</v>
      </c>
      <c r="D570" s="1657"/>
      <c r="E570" s="1657"/>
      <c r="F570" s="1657"/>
      <c r="G570" s="1657"/>
      <c r="H570" s="1658">
        <v>0.01</v>
      </c>
      <c r="I570" s="1658">
        <v>0.01</v>
      </c>
      <c r="J570" s="1658">
        <v>0.01</v>
      </c>
      <c r="K570" s="1938"/>
      <c r="M570" s="1932"/>
      <c r="N570" s="1932"/>
      <c r="O570" s="1957" t="str">
        <f>IF(AND(Input_Product&amp;" NOO"=EligOverlay!B570,Input_PropertyType=EligOverlay!C570),IF(Input_Purpose="Purchase",EligOverlay!H570,IF(Input_Purpose="Rate-Term",EligOverlay!I570,IF(Input_Purpose="Cash-Out",EligOverlay!J570,""))),"")</f>
        <v/>
      </c>
      <c r="P570" s="1958"/>
      <c r="Q570" s="1932"/>
      <c r="R570" s="1932"/>
      <c r="S570" s="1932"/>
      <c r="T570" s="2001" t="str">
        <f t="shared" si="35"/>
        <v>3-Unit Mixed Use</v>
      </c>
    </row>
    <row r="571" spans="2:20" x14ac:dyDescent="0.2">
      <c r="B571" s="1983" t="str">
        <f t="shared" si="33"/>
        <v xml:space="preserve">  NOO</v>
      </c>
      <c r="C571" s="1656" t="s">
        <v>242</v>
      </c>
      <c r="D571" s="1657"/>
      <c r="E571" s="1657"/>
      <c r="F571" s="1657"/>
      <c r="G571" s="1657"/>
      <c r="H571" s="1658">
        <v>0.01</v>
      </c>
      <c r="I571" s="1658">
        <v>0.01</v>
      </c>
      <c r="J571" s="1658">
        <v>0.01</v>
      </c>
      <c r="K571" s="1938"/>
      <c r="M571" s="1932"/>
      <c r="N571" s="1932"/>
      <c r="O571" s="1957" t="str">
        <f>IF(AND(Input_Product&amp;" NOO"=EligOverlay!B571,Input_PropertyType=EligOverlay!C571),IF(Input_Purpose="Purchase",EligOverlay!H571,IF(Input_Purpose="Rate-Term",EligOverlay!I571,IF(Input_Purpose="Cash-Out",EligOverlay!J571,""))),"")</f>
        <v/>
      </c>
      <c r="P571" s="1958"/>
      <c r="Q571" s="1932"/>
      <c r="R571" s="1932"/>
      <c r="S571" s="1932"/>
      <c r="T571" s="2001" t="str">
        <f t="shared" si="35"/>
        <v>4-Unit Mixed Use</v>
      </c>
    </row>
    <row r="572" spans="2:20" x14ac:dyDescent="0.2">
      <c r="B572" s="1983" t="str">
        <f t="shared" si="33"/>
        <v xml:space="preserve">  NOO</v>
      </c>
      <c r="C572" s="1939" t="s">
        <v>243</v>
      </c>
      <c r="D572" s="1657"/>
      <c r="E572" s="1657"/>
      <c r="F572" s="1657"/>
      <c r="G572" s="1657"/>
      <c r="H572" s="1658">
        <v>0.01</v>
      </c>
      <c r="I572" s="1658">
        <v>0.01</v>
      </c>
      <c r="J572" s="1658">
        <v>0.01</v>
      </c>
      <c r="K572" s="1938"/>
      <c r="M572" s="1932"/>
      <c r="N572" s="1932"/>
      <c r="O572" s="1957" t="str">
        <f>IF(AND(Input_Product&amp;" NOO"=EligOverlay!B572,Input_PropertyType=EligOverlay!C572),IF(Input_Purpose="Purchase",EligOverlay!H572,IF(Input_Purpose="Rate-Term",EligOverlay!I572,IF(Input_Purpose="Cash-Out",EligOverlay!J572,""))),"")</f>
        <v/>
      </c>
      <c r="P572" s="1958"/>
      <c r="Q572" s="1932"/>
      <c r="R572" s="1932"/>
      <c r="S572" s="1932"/>
      <c r="T572" s="2001" t="str">
        <f t="shared" si="35"/>
        <v>5-Unit Mixed Use</v>
      </c>
    </row>
    <row r="573" spans="2:20" x14ac:dyDescent="0.2">
      <c r="B573" s="1983" t="str">
        <f t="shared" si="33"/>
        <v xml:space="preserve">  NOO</v>
      </c>
      <c r="C573" s="1939" t="s">
        <v>244</v>
      </c>
      <c r="D573" s="1657"/>
      <c r="E573" s="1657"/>
      <c r="F573" s="1657"/>
      <c r="G573" s="1657"/>
      <c r="H573" s="1658">
        <v>0.01</v>
      </c>
      <c r="I573" s="1658">
        <v>0.01</v>
      </c>
      <c r="J573" s="1658">
        <v>0.01</v>
      </c>
      <c r="K573" s="1938"/>
      <c r="M573" s="1932"/>
      <c r="N573" s="1932"/>
      <c r="O573" s="1957" t="str">
        <f>IF(AND(Input_Product&amp;" NOO"=EligOverlay!B573,Input_PropertyType=EligOverlay!C573),IF(Input_Purpose="Purchase",EligOverlay!H573,IF(Input_Purpose="Rate-Term",EligOverlay!I573,IF(Input_Purpose="Cash-Out",EligOverlay!J573,""))),"")</f>
        <v/>
      </c>
      <c r="P573" s="1958"/>
      <c r="Q573" s="1932"/>
      <c r="R573" s="1932"/>
      <c r="S573" s="1932"/>
      <c r="T573" s="2001" t="str">
        <f t="shared" si="35"/>
        <v>6-Unit Mixed Use</v>
      </c>
    </row>
    <row r="574" spans="2:20" x14ac:dyDescent="0.2">
      <c r="B574" s="1983" t="str">
        <f t="shared" si="33"/>
        <v xml:space="preserve">  NOO</v>
      </c>
      <c r="C574" s="1940" t="s">
        <v>245</v>
      </c>
      <c r="D574" s="1657"/>
      <c r="E574" s="1657"/>
      <c r="F574" s="1657"/>
      <c r="G574" s="1657"/>
      <c r="H574" s="1658">
        <v>0.01</v>
      </c>
      <c r="I574" s="1658">
        <v>0.01</v>
      </c>
      <c r="J574" s="1658">
        <v>0.01</v>
      </c>
      <c r="K574" s="1938"/>
      <c r="M574" s="1932"/>
      <c r="N574" s="1932"/>
      <c r="O574" s="1957" t="str">
        <f>IF(AND(Input_Product&amp;" NOO"=EligOverlay!B574,Input_PropertyType=EligOverlay!C574),IF(Input_Purpose="Purchase",EligOverlay!H574,IF(Input_Purpose="Rate-Term",EligOverlay!I574,IF(Input_Purpose="Cash-Out",EligOverlay!J574,""))),"")</f>
        <v/>
      </c>
      <c r="P574" s="1958"/>
      <c r="Q574" s="1932"/>
      <c r="R574" s="1932"/>
      <c r="S574" s="1932"/>
      <c r="T574" s="2001" t="str">
        <f t="shared" si="35"/>
        <v>7-Unit Mixed Use</v>
      </c>
    </row>
    <row r="575" spans="2:20" x14ac:dyDescent="0.2">
      <c r="B575" s="1983" t="str">
        <f t="shared" si="33"/>
        <v xml:space="preserve">  NOO</v>
      </c>
      <c r="C575" s="1656" t="s">
        <v>246</v>
      </c>
      <c r="D575" s="1657"/>
      <c r="E575" s="1657"/>
      <c r="F575" s="1657"/>
      <c r="G575" s="1657"/>
      <c r="H575" s="1658">
        <v>0.01</v>
      </c>
      <c r="I575" s="1658">
        <v>0.01</v>
      </c>
      <c r="J575" s="1658">
        <v>0.01</v>
      </c>
      <c r="K575" s="1938"/>
      <c r="M575" s="1932"/>
      <c r="N575" s="1932"/>
      <c r="O575" s="1957" t="str">
        <f>IF(AND(Input_Product&amp;" NOO"=EligOverlay!B575,Input_PropertyType=EligOverlay!C575),IF(Input_Purpose="Purchase",EligOverlay!H575,IF(Input_Purpose="Rate-Term",EligOverlay!I575,IF(Input_Purpose="Cash-Out",EligOverlay!J575,""))),"")</f>
        <v/>
      </c>
      <c r="P575" s="1958"/>
      <c r="Q575" s="1932"/>
      <c r="R575" s="1932"/>
      <c r="S575" s="1932"/>
      <c r="T575" s="2001" t="str">
        <f t="shared" si="35"/>
        <v>8-Unit Mixed Use</v>
      </c>
    </row>
    <row r="576" spans="2:20" x14ac:dyDescent="0.2">
      <c r="B576" s="1982" t="str">
        <f t="shared" ref="B576:B601" si="36">Input_Name_Product20&amp;" NOO"</f>
        <v xml:space="preserve">  NOO</v>
      </c>
      <c r="C576" s="1656" t="s">
        <v>83</v>
      </c>
      <c r="D576" s="1657"/>
      <c r="E576" s="1657"/>
      <c r="F576" s="1657"/>
      <c r="G576" s="1657"/>
      <c r="H576" s="1658">
        <v>75</v>
      </c>
      <c r="I576" s="1658">
        <v>65</v>
      </c>
      <c r="J576" s="1658">
        <v>65</v>
      </c>
      <c r="K576" s="1938"/>
      <c r="M576" s="1932"/>
      <c r="N576" s="1932"/>
      <c r="O576" s="1932"/>
      <c r="P576" s="1958"/>
      <c r="Q576" s="1932"/>
      <c r="R576" s="1932"/>
      <c r="S576" s="1932"/>
      <c r="T576" s="1968"/>
    </row>
    <row r="577" spans="2:23" x14ac:dyDescent="0.2">
      <c r="B577" s="1982" t="str">
        <f t="shared" si="36"/>
        <v xml:space="preserve">  NOO</v>
      </c>
      <c r="C577" s="1656" t="s">
        <v>1635</v>
      </c>
      <c r="D577" s="1657"/>
      <c r="E577" s="1657"/>
      <c r="F577" s="1657"/>
      <c r="G577" s="1657"/>
      <c r="H577" s="1658">
        <v>0.01</v>
      </c>
      <c r="I577" s="1658">
        <v>0.01</v>
      </c>
      <c r="J577" s="1658">
        <v>0.01</v>
      </c>
      <c r="K577" s="1938"/>
      <c r="M577" s="1932"/>
      <c r="N577" s="1932"/>
      <c r="O577" s="1957" t="str">
        <f>IF(AND(Input_Product&amp;" NOO"=EligOverlay!B577,Input_PropertyType=EligOverlay!C577),IF(Input_Purpose="Purchase",EligOverlay!H577,IF(Input_Purpose="Rate-Term",EligOverlay!I577,IF(Input_Purpose="Cash-Out",EligOverlay!J577,""))),"")</f>
        <v/>
      </c>
      <c r="P577" s="1958"/>
      <c r="Q577" s="1932"/>
      <c r="R577" s="1932"/>
      <c r="S577" s="1932"/>
      <c r="T577" s="2001" t="str">
        <f>C577</f>
        <v>SFR-Rural</v>
      </c>
    </row>
    <row r="578" spans="2:23" x14ac:dyDescent="0.2">
      <c r="B578" s="1982" t="str">
        <f t="shared" si="36"/>
        <v xml:space="preserve">  NOO</v>
      </c>
      <c r="C578" s="1656" t="s">
        <v>155</v>
      </c>
      <c r="D578" s="1657"/>
      <c r="E578" s="1657"/>
      <c r="F578" s="1657"/>
      <c r="G578" s="1657"/>
      <c r="H578" s="1658">
        <v>75</v>
      </c>
      <c r="I578" s="1658">
        <v>65</v>
      </c>
      <c r="J578" s="1658">
        <v>65</v>
      </c>
      <c r="K578" s="1938"/>
      <c r="M578" s="1932"/>
      <c r="N578" s="1932"/>
      <c r="O578" s="1932"/>
      <c r="P578" s="1958"/>
      <c r="Q578" s="1932"/>
      <c r="R578" s="1932"/>
      <c r="S578" s="1932"/>
      <c r="T578" s="1968"/>
    </row>
    <row r="579" spans="2:23" x14ac:dyDescent="0.2">
      <c r="B579" s="1982" t="str">
        <f t="shared" si="36"/>
        <v xml:space="preserve">  NOO</v>
      </c>
      <c r="C579" s="1656" t="s">
        <v>128</v>
      </c>
      <c r="D579" s="1657"/>
      <c r="E579" s="1657"/>
      <c r="F579" s="1657"/>
      <c r="G579" s="1657"/>
      <c r="H579" s="1658">
        <v>75</v>
      </c>
      <c r="I579" s="1658">
        <v>65</v>
      </c>
      <c r="J579" s="1658">
        <v>65</v>
      </c>
      <c r="K579" s="1938"/>
      <c r="M579" s="1932"/>
      <c r="N579" s="1932"/>
      <c r="O579" s="1932"/>
      <c r="P579" s="1958"/>
      <c r="Q579" s="1932"/>
      <c r="R579" s="1932"/>
      <c r="S579" s="1932"/>
      <c r="T579" s="1968"/>
    </row>
    <row r="580" spans="2:23" x14ac:dyDescent="0.2">
      <c r="B580" s="1982" t="str">
        <f t="shared" si="36"/>
        <v xml:space="preserve">  NOO</v>
      </c>
      <c r="C580" s="1656" t="s">
        <v>223</v>
      </c>
      <c r="D580" s="1657"/>
      <c r="E580" s="1657"/>
      <c r="F580" s="1657"/>
      <c r="G580" s="1657"/>
      <c r="H580" s="1658">
        <v>75</v>
      </c>
      <c r="I580" s="1658">
        <v>65</v>
      </c>
      <c r="J580" s="1658">
        <v>65</v>
      </c>
      <c r="K580" s="1938"/>
      <c r="M580" s="1932"/>
      <c r="N580" s="1932"/>
      <c r="O580" s="1957" t="str">
        <f>IF(AND(Input_Product&amp;" NOO"=EligOverlay!B580,Input_PropertyType=EligOverlay!C580),IF(Input_Purpose="Purchase",EligOverlay!H580,IF(Input_Purpose="Rate-Term",EligOverlay!I580,IF(Input_Purpose="Cash-Out",EligOverlay!J580,""))),"")</f>
        <v/>
      </c>
      <c r="P580" s="1958"/>
      <c r="Q580" s="1932"/>
      <c r="R580" s="1932"/>
      <c r="S580" s="1932"/>
      <c r="T580" s="2001" t="str">
        <f t="shared" ref="T580:T585" si="37">C580</f>
        <v>Condo-Site</v>
      </c>
    </row>
    <row r="581" spans="2:23" x14ac:dyDescent="0.2">
      <c r="B581" s="1982" t="str">
        <f t="shared" si="36"/>
        <v xml:space="preserve">  NOO</v>
      </c>
      <c r="C581" s="1656" t="s">
        <v>133</v>
      </c>
      <c r="D581" s="1657"/>
      <c r="E581" s="1657"/>
      <c r="F581" s="1657"/>
      <c r="G581" s="1657"/>
      <c r="H581" s="1658">
        <v>70</v>
      </c>
      <c r="I581" s="1658">
        <v>65</v>
      </c>
      <c r="J581" s="1658">
        <v>65</v>
      </c>
      <c r="K581" s="1938"/>
      <c r="M581" s="1932"/>
      <c r="N581" s="1932"/>
      <c r="O581" s="1957" t="str">
        <f>IF(AND(Input_Product&amp;" NOO"=EligOverlay!B581,Input_PropertyType=EligOverlay!C581),IF(Input_Purpose="Purchase",EligOverlay!H581,IF(Input_Purpose="Rate-Term",EligOverlay!I581,IF(Input_Purpose="Cash-Out",EligOverlay!J581,""))),"")</f>
        <v/>
      </c>
      <c r="P581" s="1958"/>
      <c r="Q581" s="1932"/>
      <c r="R581" s="1932"/>
      <c r="S581" s="1932"/>
      <c r="T581" s="2001" t="str">
        <f t="shared" si="37"/>
        <v>2-Unit</v>
      </c>
    </row>
    <row r="582" spans="2:23" x14ac:dyDescent="0.2">
      <c r="B582" s="1982" t="str">
        <f t="shared" si="36"/>
        <v xml:space="preserve">  NOO</v>
      </c>
      <c r="C582" s="1656" t="s">
        <v>134</v>
      </c>
      <c r="D582" s="1657"/>
      <c r="E582" s="1657"/>
      <c r="F582" s="1657"/>
      <c r="G582" s="1657"/>
      <c r="H582" s="1658">
        <v>70</v>
      </c>
      <c r="I582" s="1658">
        <v>65</v>
      </c>
      <c r="J582" s="1658">
        <v>65</v>
      </c>
      <c r="K582" s="1938"/>
      <c r="M582" s="1932"/>
      <c r="N582" s="1932"/>
      <c r="O582" s="1957" t="str">
        <f>IF(AND(Input_Product&amp;" NOO"=EligOverlay!B582,Input_PropertyType=EligOverlay!C582),IF(Input_Purpose="Purchase",EligOverlay!H582,IF(Input_Purpose="Rate-Term",EligOverlay!I582,IF(Input_Purpose="Cash-Out",EligOverlay!J582,""))),"")</f>
        <v/>
      </c>
      <c r="P582" s="1958"/>
      <c r="Q582" s="1932"/>
      <c r="R582" s="1932"/>
      <c r="S582" s="1932"/>
      <c r="T582" s="2001" t="str">
        <f t="shared" si="37"/>
        <v>3-Unit</v>
      </c>
    </row>
    <row r="583" spans="2:23" x14ac:dyDescent="0.2">
      <c r="B583" s="1982" t="str">
        <f t="shared" si="36"/>
        <v xml:space="preserve">  NOO</v>
      </c>
      <c r="C583" s="1656" t="s">
        <v>135</v>
      </c>
      <c r="D583" s="1657"/>
      <c r="E583" s="1657"/>
      <c r="F583" s="1657"/>
      <c r="G583" s="1657"/>
      <c r="H583" s="1658">
        <v>70</v>
      </c>
      <c r="I583" s="1658">
        <v>65</v>
      </c>
      <c r="J583" s="1658">
        <v>65</v>
      </c>
      <c r="K583" s="1938"/>
      <c r="M583" s="1932"/>
      <c r="N583" s="1932"/>
      <c r="O583" s="1957" t="str">
        <f>IF(AND(Input_Product&amp;" NOO"=EligOverlay!B583,Input_PropertyType=EligOverlay!C583),IF(Input_Purpose="Purchase",EligOverlay!H583,IF(Input_Purpose="Rate-Term",EligOverlay!I583,IF(Input_Purpose="Cash-Out",EligOverlay!J583,""))),"")</f>
        <v/>
      </c>
      <c r="P583" s="1958"/>
      <c r="Q583" s="1932"/>
      <c r="R583" s="1932"/>
      <c r="S583" s="1932"/>
      <c r="T583" s="2001" t="str">
        <f t="shared" si="37"/>
        <v>4-Unit</v>
      </c>
    </row>
    <row r="584" spans="2:23" x14ac:dyDescent="0.2">
      <c r="B584" s="1982" t="str">
        <f t="shared" si="36"/>
        <v xml:space="preserve">  NOO</v>
      </c>
      <c r="C584" s="1656" t="s">
        <v>131</v>
      </c>
      <c r="D584" s="1657"/>
      <c r="E584" s="1657"/>
      <c r="F584" s="1657"/>
      <c r="G584" s="1657"/>
      <c r="H584" s="1658">
        <v>70</v>
      </c>
      <c r="I584" s="1658">
        <v>65</v>
      </c>
      <c r="J584" s="1658">
        <v>65</v>
      </c>
      <c r="K584" s="1938"/>
      <c r="M584" s="1932"/>
      <c r="N584" s="1932"/>
      <c r="O584" s="1957" t="str">
        <f>IF(AND(Input_Product&amp;" NOO"=EligOverlay!B584,Input_PropertyType=EligOverlay!C584),IF(Input_Purpose="Purchase",EligOverlay!H584,IF(Input_Purpose="Rate-Term",EligOverlay!I584,IF(Input_Purpose="Cash-Out",EligOverlay!J584,""))),"")</f>
        <v/>
      </c>
      <c r="P584" s="1958"/>
      <c r="Q584" s="1932"/>
      <c r="R584" s="1932"/>
      <c r="S584" s="1932"/>
      <c r="T584" s="2001" t="str">
        <f t="shared" si="37"/>
        <v>Condo-Warrantable</v>
      </c>
    </row>
    <row r="585" spans="2:23" x14ac:dyDescent="0.2">
      <c r="B585" s="1982" t="str">
        <f t="shared" si="36"/>
        <v xml:space="preserve">  NOO</v>
      </c>
      <c r="C585" s="1656" t="s">
        <v>132</v>
      </c>
      <c r="D585" s="1657"/>
      <c r="E585" s="1657"/>
      <c r="F585" s="1657"/>
      <c r="G585" s="1657"/>
      <c r="H585" s="1658">
        <v>70</v>
      </c>
      <c r="I585" s="1658">
        <v>65</v>
      </c>
      <c r="J585" s="1658">
        <v>65</v>
      </c>
      <c r="K585" s="1938"/>
      <c r="M585" s="1932"/>
      <c r="N585" s="1932"/>
      <c r="O585" s="1957" t="str">
        <f>IF(AND(Input_Product&amp;" NOO"=EligOverlay!B585,Input_PropertyType=EligOverlay!C585),IF(Input_Purpose="Purchase",EligOverlay!H585,IF(Input_Purpose="Rate-Term",EligOverlay!I585,IF(Input_Purpose="Cash-Out",EligOverlay!J585,""))),"")</f>
        <v/>
      </c>
      <c r="P585" s="1958"/>
      <c r="Q585" s="1932"/>
      <c r="R585" s="1932"/>
      <c r="S585" s="1932"/>
      <c r="T585" s="2001" t="str">
        <f t="shared" si="37"/>
        <v>Condo-NonWarrantable</v>
      </c>
    </row>
    <row r="586" spans="2:23" x14ac:dyDescent="0.2">
      <c r="B586" s="1982" t="str">
        <f t="shared" si="36"/>
        <v xml:space="preserve">  NOO</v>
      </c>
      <c r="C586" s="1656" t="s">
        <v>1630</v>
      </c>
      <c r="D586" s="1657"/>
      <c r="E586" s="1657"/>
      <c r="F586" s="1657"/>
      <c r="G586" s="1657"/>
      <c r="H586" s="1658">
        <v>70</v>
      </c>
      <c r="I586" s="1658">
        <v>65</v>
      </c>
      <c r="J586" s="1658">
        <v>65</v>
      </c>
      <c r="K586" s="1670">
        <v>1500000</v>
      </c>
      <c r="M586" s="1957" t="str">
        <f>IF(AND(Input_Product&amp;" NOO"=EligOverlay!B586,Input_PropertyType=EligOverlay!C586,Input_LoanAmt&gt;EligOverlay!K586),K586,"")</f>
        <v/>
      </c>
      <c r="N586" s="1932"/>
      <c r="O586" s="1957" t="str">
        <f>IF(AND(Input_Product&amp;" NOO"=EligOverlay!B586,Input_PropertyType=EligOverlay!C586),IF(Input_Purpose="Purchase",EligOverlay!H586,IF(Input_Purpose="Rate-Term",EligOverlay!I586,IF(Input_Purpose="Cash-Out",EligOverlay!J586,""))),"")</f>
        <v/>
      </c>
      <c r="P586" s="1958"/>
      <c r="Q586" s="1932"/>
      <c r="R586" s="1932"/>
      <c r="S586" s="1932"/>
      <c r="T586" s="2001" t="s">
        <v>2625</v>
      </c>
    </row>
    <row r="587" spans="2:23" x14ac:dyDescent="0.2">
      <c r="B587" s="1982" t="str">
        <f t="shared" si="36"/>
        <v xml:space="preserve">  NOO</v>
      </c>
      <c r="C587" s="1656" t="s">
        <v>153</v>
      </c>
      <c r="D587" s="1657"/>
      <c r="E587" s="1657"/>
      <c r="F587" s="1657"/>
      <c r="G587" s="1657"/>
      <c r="H587" s="1658">
        <v>75</v>
      </c>
      <c r="I587" s="1658">
        <v>65</v>
      </c>
      <c r="J587" s="1658">
        <v>65</v>
      </c>
      <c r="K587" s="1938"/>
      <c r="M587" s="1932"/>
      <c r="N587" s="1932"/>
      <c r="O587" s="1957" t="str">
        <f>IF(AND(Input_Product&amp;" NOO"=EligOverlay!B587,Input_PropertyType=EligOverlay!C587),IF(Input_Purpose="Purchase",EligOverlay!H587,IF(Input_Purpose="Rate-Term",EligOverlay!I587,IF(Input_Purpose="Cash-Out",EligOverlay!J587,""))),"")</f>
        <v/>
      </c>
      <c r="P587" s="1958"/>
      <c r="Q587" s="1932"/>
      <c r="R587" s="1932"/>
      <c r="S587" s="1932"/>
      <c r="T587" s="2001" t="str">
        <f t="shared" ref="T587:T601" si="38">C587</f>
        <v>Townhouse</v>
      </c>
    </row>
    <row r="588" spans="2:23" x14ac:dyDescent="0.2">
      <c r="B588" s="1982" t="str">
        <f t="shared" si="36"/>
        <v xml:space="preserve">  NOO</v>
      </c>
      <c r="C588" s="1656" t="s">
        <v>154</v>
      </c>
      <c r="D588" s="1657"/>
      <c r="E588" s="1657"/>
      <c r="F588" s="1657"/>
      <c r="G588" s="1657"/>
      <c r="H588" s="1658">
        <v>75</v>
      </c>
      <c r="I588" s="1658">
        <v>65</v>
      </c>
      <c r="J588" s="1658">
        <v>65</v>
      </c>
      <c r="K588" s="1938"/>
      <c r="M588" s="1932"/>
      <c r="N588" s="1932"/>
      <c r="O588" s="1957" t="str">
        <f>IF(AND(Input_Product&amp;" NOO"=EligOverlay!B588,Input_PropertyType=EligOverlay!C588),IF(Input_Purpose="Purchase",EligOverlay!H588,IF(Input_Purpose="Rate-Term",EligOverlay!I588,IF(Input_Purpose="Cash-Out",EligOverlay!J588,""))),"")</f>
        <v/>
      </c>
      <c r="P588" s="1958"/>
      <c r="Q588" s="1932"/>
      <c r="R588" s="1932"/>
      <c r="S588" s="1932"/>
      <c r="T588" s="2001" t="str">
        <f t="shared" si="38"/>
        <v>Rowhouse</v>
      </c>
    </row>
    <row r="589" spans="2:23" x14ac:dyDescent="0.2">
      <c r="B589" s="1982" t="str">
        <f t="shared" si="36"/>
        <v xml:space="preserve">  NOO</v>
      </c>
      <c r="C589" s="1656" t="s">
        <v>19</v>
      </c>
      <c r="D589" s="1657"/>
      <c r="E589" s="1657"/>
      <c r="F589" s="1657"/>
      <c r="G589" s="1657"/>
      <c r="H589" s="1658">
        <v>75</v>
      </c>
      <c r="I589" s="1658">
        <v>65</v>
      </c>
      <c r="J589" s="1658">
        <v>65</v>
      </c>
      <c r="K589" s="1938"/>
      <c r="M589" s="1932"/>
      <c r="N589" s="1932"/>
      <c r="O589" s="1957" t="str">
        <f>IF(AND(Input_Product&amp;" NOO"=EligOverlay!B589,Input_PropertyType=EligOverlay!C589),IF(Input_Purpose="Purchase",EligOverlay!H589,IF(Input_Purpose="Rate-Term",EligOverlay!I589,IF(Input_Purpose="Cash-Out",EligOverlay!J589,""))),"")</f>
        <v/>
      </c>
      <c r="P589" s="1958"/>
      <c r="Q589" s="1932"/>
      <c r="R589" s="1932"/>
      <c r="S589" s="1932"/>
      <c r="T589" s="2001" t="str">
        <f t="shared" si="38"/>
        <v>Modular</v>
      </c>
      <c r="W589" s="226" t="s">
        <v>1627</v>
      </c>
    </row>
    <row r="590" spans="2:23" x14ac:dyDescent="0.2">
      <c r="B590" s="1982" t="str">
        <f t="shared" si="36"/>
        <v xml:space="preserve">  NOO</v>
      </c>
      <c r="C590" s="1656" t="s">
        <v>130</v>
      </c>
      <c r="D590" s="1657"/>
      <c r="E590" s="1657"/>
      <c r="F590" s="1657"/>
      <c r="G590" s="1657"/>
      <c r="H590" s="1658">
        <v>0.01</v>
      </c>
      <c r="I590" s="1658">
        <v>0.01</v>
      </c>
      <c r="J590" s="1658">
        <v>0.01</v>
      </c>
      <c r="K590" s="1938"/>
      <c r="M590" s="1932"/>
      <c r="N590" s="1932"/>
      <c r="O590" s="1957" t="str">
        <f>IF(AND(Input_Product&amp;" NOO"=EligOverlay!B590,Input_PropertyType=EligOverlay!C590),IF(Input_Purpose="Purchase",EligOverlay!H590,IF(Input_Purpose="Rate-Term",EligOverlay!I590,IF(Input_Purpose="Cash-Out",EligOverlay!J590,""))),"")</f>
        <v/>
      </c>
      <c r="P590" s="1958"/>
      <c r="Q590" s="1932"/>
      <c r="R590" s="1932"/>
      <c r="S590" s="1932"/>
      <c r="T590" s="2001" t="str">
        <f t="shared" si="38"/>
        <v>Log Home</v>
      </c>
    </row>
    <row r="591" spans="2:23" x14ac:dyDescent="0.2">
      <c r="B591" s="1982" t="str">
        <f t="shared" si="36"/>
        <v xml:space="preserve">  NOO</v>
      </c>
      <c r="C591" s="1656" t="s">
        <v>233</v>
      </c>
      <c r="D591" s="1657"/>
      <c r="E591" s="1657"/>
      <c r="F591" s="1657"/>
      <c r="G591" s="1657"/>
      <c r="H591" s="1658">
        <v>0.01</v>
      </c>
      <c r="I591" s="1658">
        <v>0.01</v>
      </c>
      <c r="J591" s="1658">
        <v>0.01</v>
      </c>
      <c r="K591" s="1938"/>
      <c r="M591" s="1932"/>
      <c r="N591" s="1932"/>
      <c r="O591" s="1957" t="str">
        <f>IF(AND(Input_Product&amp;" NOO"=EligOverlay!B591,Input_PropertyType=EligOverlay!C591),IF(Input_Purpose="Purchase",EligOverlay!H591,IF(Input_Purpose="Rate-Term",EligOverlay!I591,IF(Input_Purpose="Cash-Out",EligOverlay!J591,""))),"")</f>
        <v/>
      </c>
      <c r="P591" s="1958"/>
      <c r="Q591" s="1932"/>
      <c r="R591" s="1932"/>
      <c r="S591" s="1932"/>
      <c r="T591" s="2001" t="str">
        <f t="shared" si="38"/>
        <v>5-Unit</v>
      </c>
    </row>
    <row r="592" spans="2:23" x14ac:dyDescent="0.2">
      <c r="B592" s="1982" t="str">
        <f t="shared" si="36"/>
        <v xml:space="preserve">  NOO</v>
      </c>
      <c r="C592" s="1656" t="s">
        <v>234</v>
      </c>
      <c r="D592" s="1657"/>
      <c r="E592" s="1657"/>
      <c r="F592" s="1657"/>
      <c r="G592" s="1657"/>
      <c r="H592" s="1658">
        <v>0.01</v>
      </c>
      <c r="I592" s="1658">
        <v>0.01</v>
      </c>
      <c r="J592" s="1658">
        <v>0.01</v>
      </c>
      <c r="K592" s="1938"/>
      <c r="M592" s="1932"/>
      <c r="N592" s="1932"/>
      <c r="O592" s="1957" t="str">
        <f>IF(AND(Input_Product&amp;" NOO"=EligOverlay!B592,Input_PropertyType=EligOverlay!C592),IF(Input_Purpose="Purchase",EligOverlay!H592,IF(Input_Purpose="Rate-Term",EligOverlay!I592,IF(Input_Purpose="Cash-Out",EligOverlay!J592,""))),"")</f>
        <v/>
      </c>
      <c r="P592" s="1958"/>
      <c r="Q592" s="1932"/>
      <c r="R592" s="1932"/>
      <c r="S592" s="1932"/>
      <c r="T592" s="2001" t="str">
        <f t="shared" si="38"/>
        <v>6-Unit</v>
      </c>
    </row>
    <row r="593" spans="2:20" x14ac:dyDescent="0.2">
      <c r="B593" s="1982" t="str">
        <f t="shared" si="36"/>
        <v xml:space="preserve">  NOO</v>
      </c>
      <c r="C593" s="1656" t="s">
        <v>235</v>
      </c>
      <c r="D593" s="1657"/>
      <c r="E593" s="1657"/>
      <c r="F593" s="1657"/>
      <c r="G593" s="1657"/>
      <c r="H593" s="1658">
        <v>0.01</v>
      </c>
      <c r="I593" s="1658">
        <v>0.01</v>
      </c>
      <c r="J593" s="1658">
        <v>0.01</v>
      </c>
      <c r="K593" s="1938"/>
      <c r="M593" s="1932"/>
      <c r="N593" s="1932"/>
      <c r="O593" s="1957" t="str">
        <f>IF(AND(Input_Product&amp;" NOO"=EligOverlay!B593,Input_PropertyType=EligOverlay!C593),IF(Input_Purpose="Purchase",EligOverlay!H593,IF(Input_Purpose="Rate-Term",EligOverlay!I593,IF(Input_Purpose="Cash-Out",EligOverlay!J593,""))),"")</f>
        <v/>
      </c>
      <c r="P593" s="1958"/>
      <c r="Q593" s="1932"/>
      <c r="R593" s="1932"/>
      <c r="S593" s="1932"/>
      <c r="T593" s="2001" t="str">
        <f t="shared" si="38"/>
        <v>7-Unit</v>
      </c>
    </row>
    <row r="594" spans="2:20" x14ac:dyDescent="0.2">
      <c r="B594" s="1982" t="str">
        <f t="shared" si="36"/>
        <v xml:space="preserve">  NOO</v>
      </c>
      <c r="C594" s="1656" t="s">
        <v>236</v>
      </c>
      <c r="D594" s="1657"/>
      <c r="E594" s="1657"/>
      <c r="F594" s="1657"/>
      <c r="G594" s="1657"/>
      <c r="H594" s="1658">
        <v>0.01</v>
      </c>
      <c r="I594" s="1658">
        <v>0.01</v>
      </c>
      <c r="J594" s="1658">
        <v>0.01</v>
      </c>
      <c r="K594" s="1938"/>
      <c r="M594" s="1932"/>
      <c r="N594" s="1932"/>
      <c r="O594" s="1957" t="str">
        <f>IF(AND(Input_Product&amp;" NOO"=EligOverlay!B594,Input_PropertyType=EligOverlay!C594),IF(Input_Purpose="Purchase",EligOverlay!H594,IF(Input_Purpose="Rate-Term",EligOverlay!I594,IF(Input_Purpose="Cash-Out",EligOverlay!J594,""))),"")</f>
        <v/>
      </c>
      <c r="P594" s="1958"/>
      <c r="Q594" s="1932"/>
      <c r="R594" s="1932"/>
      <c r="S594" s="1932"/>
      <c r="T594" s="2001" t="str">
        <f t="shared" si="38"/>
        <v>8-Unit</v>
      </c>
    </row>
    <row r="595" spans="2:20" x14ac:dyDescent="0.2">
      <c r="B595" s="1982" t="str">
        <f t="shared" si="36"/>
        <v xml:space="preserve">  NOO</v>
      </c>
      <c r="C595" s="1656" t="s">
        <v>240</v>
      </c>
      <c r="D595" s="1657"/>
      <c r="E595" s="1657"/>
      <c r="F595" s="1657"/>
      <c r="G595" s="1657"/>
      <c r="H595" s="1658">
        <v>0.01</v>
      </c>
      <c r="I595" s="1658">
        <v>0.01</v>
      </c>
      <c r="J595" s="1658">
        <v>0.01</v>
      </c>
      <c r="K595" s="1938"/>
      <c r="M595" s="1932"/>
      <c r="N595" s="1932"/>
      <c r="O595" s="1957" t="str">
        <f>IF(AND(Input_Product&amp;" NOO"=EligOverlay!B595,Input_PropertyType=EligOverlay!C595),IF(Input_Purpose="Purchase",EligOverlay!H595,IF(Input_Purpose="Rate-Term",EligOverlay!I595,IF(Input_Purpose="Cash-Out",EligOverlay!J595,""))),"")</f>
        <v/>
      </c>
      <c r="P595" s="1958"/>
      <c r="Q595" s="1932"/>
      <c r="R595" s="1932"/>
      <c r="S595" s="1932"/>
      <c r="T595" s="2001" t="str">
        <f t="shared" si="38"/>
        <v>2-Unit Mixed Use</v>
      </c>
    </row>
    <row r="596" spans="2:20" x14ac:dyDescent="0.2">
      <c r="B596" s="1982" t="str">
        <f t="shared" si="36"/>
        <v xml:space="preserve">  NOO</v>
      </c>
      <c r="C596" s="1656" t="s">
        <v>241</v>
      </c>
      <c r="D596" s="1657"/>
      <c r="E596" s="1657"/>
      <c r="F596" s="1657"/>
      <c r="G596" s="1657"/>
      <c r="H596" s="1658">
        <v>0.01</v>
      </c>
      <c r="I596" s="1658">
        <v>0.01</v>
      </c>
      <c r="J596" s="1658">
        <v>0.01</v>
      </c>
      <c r="K596" s="1938"/>
      <c r="M596" s="1932"/>
      <c r="N596" s="1932"/>
      <c r="O596" s="1957" t="str">
        <f>IF(AND(Input_Product&amp;" NOO"=EligOverlay!B596,Input_PropertyType=EligOverlay!C596),IF(Input_Purpose="Purchase",EligOverlay!H596,IF(Input_Purpose="Rate-Term",EligOverlay!I596,IF(Input_Purpose="Cash-Out",EligOverlay!J596,""))),"")</f>
        <v/>
      </c>
      <c r="P596" s="1958"/>
      <c r="Q596" s="1932"/>
      <c r="R596" s="1932"/>
      <c r="S596" s="1932"/>
      <c r="T596" s="2001" t="str">
        <f t="shared" si="38"/>
        <v>3-Unit Mixed Use</v>
      </c>
    </row>
    <row r="597" spans="2:20" x14ac:dyDescent="0.2">
      <c r="B597" s="1982" t="str">
        <f t="shared" si="36"/>
        <v xml:space="preserve">  NOO</v>
      </c>
      <c r="C597" s="1656" t="s">
        <v>242</v>
      </c>
      <c r="D597" s="1657"/>
      <c r="E597" s="1657"/>
      <c r="F597" s="1657"/>
      <c r="G597" s="1657"/>
      <c r="H597" s="1658">
        <v>0.01</v>
      </c>
      <c r="I597" s="1658">
        <v>0.01</v>
      </c>
      <c r="J597" s="1658">
        <v>0.01</v>
      </c>
      <c r="K597" s="1938"/>
      <c r="M597" s="1932"/>
      <c r="N597" s="1932"/>
      <c r="O597" s="1957" t="str">
        <f>IF(AND(Input_Product&amp;" NOO"=EligOverlay!B597,Input_PropertyType=EligOverlay!C597),IF(Input_Purpose="Purchase",EligOverlay!H597,IF(Input_Purpose="Rate-Term",EligOverlay!I597,IF(Input_Purpose="Cash-Out",EligOverlay!J597,""))),"")</f>
        <v/>
      </c>
      <c r="P597" s="1958"/>
      <c r="Q597" s="1932"/>
      <c r="R597" s="1932"/>
      <c r="S597" s="1932"/>
      <c r="T597" s="2001" t="str">
        <f t="shared" si="38"/>
        <v>4-Unit Mixed Use</v>
      </c>
    </row>
    <row r="598" spans="2:20" x14ac:dyDescent="0.2">
      <c r="B598" s="1982" t="str">
        <f t="shared" si="36"/>
        <v xml:space="preserve">  NOO</v>
      </c>
      <c r="C598" s="1939" t="s">
        <v>243</v>
      </c>
      <c r="D598" s="1657"/>
      <c r="E598" s="1657"/>
      <c r="F598" s="1657"/>
      <c r="G598" s="1657"/>
      <c r="H598" s="1658">
        <v>0.01</v>
      </c>
      <c r="I598" s="1658">
        <v>0.01</v>
      </c>
      <c r="J598" s="1658">
        <v>0.01</v>
      </c>
      <c r="K598" s="1938"/>
      <c r="M598" s="1932"/>
      <c r="N598" s="1932"/>
      <c r="O598" s="1957" t="str">
        <f>IF(AND(Input_Product&amp;" NOO"=EligOverlay!B598,Input_PropertyType=EligOverlay!C598),IF(Input_Purpose="Purchase",EligOverlay!H598,IF(Input_Purpose="Rate-Term",EligOverlay!I598,IF(Input_Purpose="Cash-Out",EligOverlay!J598,""))),"")</f>
        <v/>
      </c>
      <c r="P598" s="1958"/>
      <c r="Q598" s="1932"/>
      <c r="R598" s="1932"/>
      <c r="S598" s="1932"/>
      <c r="T598" s="2001" t="str">
        <f t="shared" si="38"/>
        <v>5-Unit Mixed Use</v>
      </c>
    </row>
    <row r="599" spans="2:20" x14ac:dyDescent="0.2">
      <c r="B599" s="1982" t="str">
        <f t="shared" si="36"/>
        <v xml:space="preserve">  NOO</v>
      </c>
      <c r="C599" s="1939" t="s">
        <v>244</v>
      </c>
      <c r="D599" s="1657"/>
      <c r="E599" s="1657"/>
      <c r="F599" s="1657"/>
      <c r="G599" s="1657"/>
      <c r="H599" s="1658">
        <v>0.01</v>
      </c>
      <c r="I599" s="1658">
        <v>0.01</v>
      </c>
      <c r="J599" s="1658">
        <v>0.01</v>
      </c>
      <c r="K599" s="1938"/>
      <c r="M599" s="1932"/>
      <c r="N599" s="1932"/>
      <c r="O599" s="1957" t="str">
        <f>IF(AND(Input_Product&amp;" NOO"=EligOverlay!B599,Input_PropertyType=EligOverlay!C599),IF(Input_Purpose="Purchase",EligOverlay!H599,IF(Input_Purpose="Rate-Term",EligOverlay!I599,IF(Input_Purpose="Cash-Out",EligOverlay!J599,""))),"")</f>
        <v/>
      </c>
      <c r="P599" s="1958"/>
      <c r="Q599" s="1932"/>
      <c r="R599" s="1932"/>
      <c r="S599" s="1932"/>
      <c r="T599" s="2001" t="str">
        <f t="shared" si="38"/>
        <v>6-Unit Mixed Use</v>
      </c>
    </row>
    <row r="600" spans="2:20" x14ac:dyDescent="0.2">
      <c r="B600" s="1982" t="str">
        <f t="shared" si="36"/>
        <v xml:space="preserve">  NOO</v>
      </c>
      <c r="C600" s="1940" t="s">
        <v>245</v>
      </c>
      <c r="D600" s="1657"/>
      <c r="E600" s="1657"/>
      <c r="F600" s="1657"/>
      <c r="G600" s="1657"/>
      <c r="H600" s="1658">
        <v>0.01</v>
      </c>
      <c r="I600" s="1658">
        <v>0.01</v>
      </c>
      <c r="J600" s="1658">
        <v>0.01</v>
      </c>
      <c r="K600" s="1938"/>
      <c r="M600" s="1932"/>
      <c r="N600" s="1932"/>
      <c r="O600" s="1957" t="str">
        <f>IF(AND(Input_Product&amp;" NOO"=EligOverlay!B600,Input_PropertyType=EligOverlay!C600),IF(Input_Purpose="Purchase",EligOverlay!H600,IF(Input_Purpose="Rate-Term",EligOverlay!I600,IF(Input_Purpose="Cash-Out",EligOverlay!J600,""))),"")</f>
        <v/>
      </c>
      <c r="P600" s="1958"/>
      <c r="Q600" s="1932"/>
      <c r="R600" s="1932"/>
      <c r="S600" s="1932"/>
      <c r="T600" s="2001" t="str">
        <f t="shared" si="38"/>
        <v>7-Unit Mixed Use</v>
      </c>
    </row>
    <row r="601" spans="2:20" x14ac:dyDescent="0.2">
      <c r="B601" s="2003" t="str">
        <f t="shared" si="36"/>
        <v xml:space="preserve">  NOO</v>
      </c>
      <c r="C601" s="1659" t="s">
        <v>246</v>
      </c>
      <c r="D601" s="1660"/>
      <c r="E601" s="1660"/>
      <c r="F601" s="1660"/>
      <c r="G601" s="1660"/>
      <c r="H601" s="1658">
        <v>0.01</v>
      </c>
      <c r="I601" s="1658">
        <v>0.01</v>
      </c>
      <c r="J601" s="1658">
        <v>0.01</v>
      </c>
      <c r="K601" s="2004"/>
      <c r="L601" s="1676"/>
      <c r="M601" s="2005"/>
      <c r="N601" s="2005"/>
      <c r="O601" s="2006" t="str">
        <f>IF(AND(Input_Product&amp;" NOO"=EligOverlay!B601,Input_PropertyType=EligOverlay!C601),IF(Input_Purpose="Purchase",EligOverlay!H601,IF(Input_Purpose="Rate-Term",EligOverlay!I601,IF(Input_Purpose="Cash-Out",EligOverlay!J601,""))),"")</f>
        <v/>
      </c>
      <c r="P601" s="2007"/>
      <c r="Q601" s="2005"/>
      <c r="R601" s="2005"/>
      <c r="S601" s="2005"/>
      <c r="T601" s="2008" t="str">
        <f t="shared" si="38"/>
        <v>8-Unit Mixed Use</v>
      </c>
    </row>
    <row r="608" spans="2:20" x14ac:dyDescent="0.2">
      <c r="B608" s="1677"/>
      <c r="C608" s="1678"/>
      <c r="D608" s="1678"/>
      <c r="E608" s="1678"/>
      <c r="F608" s="1678"/>
      <c r="G608" s="1678"/>
      <c r="H608" s="1678"/>
      <c r="I608" s="1678"/>
      <c r="J608" s="1678"/>
      <c r="K608" s="1678"/>
      <c r="L608" s="1679"/>
      <c r="M608" s="1680"/>
      <c r="N608" s="1681"/>
      <c r="O608" s="1682"/>
      <c r="P608" s="1683"/>
      <c r="Q608" s="1681"/>
      <c r="R608" s="1684"/>
      <c r="S608" s="1681"/>
      <c r="T608" s="1685"/>
    </row>
  </sheetData>
  <sheetProtection algorithmName="SHA-512" hashValue="U3/v5VEZiOUr0ds6KDMGYDUM609hRxNSter/g2+AcZxLQ5UeGR+uQ1pCc0zMG+dRPmp3jQCLK+ncm/2eAKC9BQ==" saltValue="TQmWB2kYc8hyow2FlPBwnA==" spinCount="100000" sheet="1" objects="1" scenarios="1"/>
  <mergeCells count="3">
    <mergeCell ref="B14:K14"/>
    <mergeCell ref="B42:K42"/>
    <mergeCell ref="B4:T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4610B-8F92-47EB-9E55-013F934CD491}">
  <sheetPr codeName="Sheet10"/>
  <dimension ref="B1:K98"/>
  <sheetViews>
    <sheetView showGridLines="0" workbookViewId="0">
      <pane ySplit="4" topLeftCell="A5" activePane="bottomLeft" state="frozen"/>
      <selection activeCell="F5" sqref="F5"/>
      <selection pane="bottomLeft" activeCell="C18" sqref="C18"/>
    </sheetView>
  </sheetViews>
  <sheetFormatPr defaultColWidth="8.85546875" defaultRowHeight="11.25" x14ac:dyDescent="0.2"/>
  <cols>
    <col min="1" max="1" width="3.28515625" style="1" customWidth="1"/>
    <col min="2" max="2" width="18.28515625" style="1" customWidth="1"/>
    <col min="3" max="3" width="46.7109375" style="1" bestFit="1" customWidth="1"/>
    <col min="4" max="6" width="18.28515625" style="1" customWidth="1"/>
    <col min="7" max="7" width="8.85546875" style="1"/>
    <col min="8" max="8" width="9.7109375" style="1" customWidth="1"/>
    <col min="9" max="11" width="7.7109375" style="1" customWidth="1"/>
    <col min="12" max="16384" width="8.85546875" style="1"/>
  </cols>
  <sheetData>
    <row r="1" spans="2:11" ht="15" x14ac:dyDescent="0.25">
      <c r="B1" s="2805" t="s">
        <v>2627</v>
      </c>
      <c r="C1" s="2805"/>
      <c r="D1" s="2805"/>
      <c r="E1" s="2805"/>
      <c r="F1" s="2805"/>
      <c r="G1" s="2805"/>
      <c r="H1" s="2805"/>
      <c r="I1" s="2805"/>
      <c r="J1" s="2805"/>
      <c r="K1" s="2805"/>
    </row>
    <row r="2" spans="2:11" ht="36" x14ac:dyDescent="0.2">
      <c r="B2" s="1453" t="s">
        <v>2628</v>
      </c>
      <c r="C2" s="1453" t="s">
        <v>2629</v>
      </c>
      <c r="D2" s="1453" t="s">
        <v>2630</v>
      </c>
      <c r="E2" s="1453" t="s">
        <v>2631</v>
      </c>
      <c r="F2" s="1453" t="s">
        <v>2632</v>
      </c>
      <c r="G2" s="1454"/>
      <c r="H2" s="2806" t="s">
        <v>2633</v>
      </c>
      <c r="I2" s="2807"/>
      <c r="J2" s="2807"/>
      <c r="K2" s="2807"/>
    </row>
    <row r="3" spans="2:11" ht="4.9000000000000004" customHeight="1" x14ac:dyDescent="0.2"/>
    <row r="4" spans="2:11" ht="22.5" x14ac:dyDescent="0.2">
      <c r="B4" s="1323" t="s">
        <v>2055</v>
      </c>
      <c r="C4" s="1323" t="s">
        <v>2113</v>
      </c>
      <c r="D4" s="1323" t="s">
        <v>2114</v>
      </c>
      <c r="E4" s="1323" t="s">
        <v>70</v>
      </c>
      <c r="F4" s="1323" t="s">
        <v>2626</v>
      </c>
      <c r="G4" s="1324"/>
    </row>
    <row r="5" spans="2:11" x14ac:dyDescent="0.2">
      <c r="B5" s="1321" t="str" cm="1">
        <f t="array" ref="B5:B98">List_RequiredDocs_Disclosure</f>
        <v>1003 Loan Application (Signed and Dated by LO)</v>
      </c>
      <c r="C5" s="1321" t="str" cm="1">
        <f t="array" ref="C5:C98">List_RequiredDocs_Submission</f>
        <v>ID: Passport or  DL (Cannot be Expired)</v>
      </c>
      <c r="D5" s="1321" t="str" cm="1">
        <f t="array" ref="D5:D98">List_RequiredDocs_Recommended</f>
        <v>YTD P&amp;L (Self Employed)</v>
      </c>
      <c r="E5" s="1321" t="str" cm="1">
        <f t="array" ref="E5:E98">List_RequiredDocs_DocType</f>
        <v>Full documentation of non-employment income (SSI, pension, alimony, child support, trust income, etc.)</v>
      </c>
      <c r="F5" s="1321">
        <f>IF(OR(Lookup_ProductPrefix="PH",Lookup_ProductPrefix="IH"),IF(Input_State="NJ",1595,1195),IF(Lookup_LienPosition=2,IF(OR(Input_State="NJ",Input_State="TX"),1595,1195),IF(Input_State="NJ",2195,1795)))</f>
        <v>1195</v>
      </c>
    </row>
    <row r="6" spans="2:11" x14ac:dyDescent="0.2">
      <c r="B6" s="1321" t="str">
        <v>Broker Fee Sheet</v>
      </c>
      <c r="C6" s="1321" t="str">
        <v>Full Documentation of Non-Employment income (SSI, Pension, Alimony, Child Support, Trust Income, etc.)</v>
      </c>
      <c r="D6" s="1321" t="str">
        <v>4506C Signed by Borrower(s)</v>
      </c>
      <c r="E6" s="1321" t="str">
        <v>2yrs W2s or personal returns, 1mo recent paystubs (Wage earners only)</v>
      </c>
      <c r="F6" s="1324" t="s">
        <v>76</v>
      </c>
    </row>
    <row r="7" spans="2:11" x14ac:dyDescent="0.2">
      <c r="B7" s="1321" t="str">
        <v>Brokers Advantage Submission Form and Checklist (Optional Cover Letter)</v>
      </c>
      <c r="C7" s="1321" t="str">
        <v>Title Commitment</v>
      </c>
      <c r="D7" s="1321" t="str">
        <v>Solar Agreement and Endorsement [if applicable]</v>
      </c>
      <c r="E7" s="1321" t="str">
        <v>2yrs personal and business returns, YTD P&amp;L (Self-employed only)</v>
      </c>
      <c r="F7" s="1324" t="s">
        <v>76</v>
      </c>
    </row>
    <row r="8" spans="2:11" x14ac:dyDescent="0.2">
      <c r="B8" s="1321" t="str">
        <v>Credit Report or Tri-Merge [TPO Connect] (Not Locked or Frozen)</v>
      </c>
      <c r="C8" s="1321" t="str">
        <v>2yrs W2s or Personal Returns, 1mo Recent Paystubs (Wage Earner)</v>
      </c>
      <c r="D8" s="1321" t="str">
        <v>Preliminary Title Report / Title Commitment (24mo chain of title, ALTA supp for property address, plat map / survey)</v>
      </c>
      <c r="E8" s="1321" t="str">
        <v>4506C [Signed by borrower(s)]</v>
      </c>
      <c r="F8" s="1324" t="s">
        <v>76</v>
      </c>
    </row>
    <row r="9" spans="2:11" x14ac:dyDescent="0.2">
      <c r="B9" s="1321" t="str">
        <v/>
      </c>
      <c r="C9" s="1321" t="str">
        <v>2yrs Personal and Business Returns (Self-Employed)</v>
      </c>
      <c r="D9" s="1321" t="str">
        <v>Escrow Instructions (If business entity, provide formation articles/agreement, tax ID #, cert of good standing)</v>
      </c>
      <c r="E9" s="1321" t="str">
        <v/>
      </c>
      <c r="F9" s="1324" t="s">
        <v>76</v>
      </c>
    </row>
    <row r="10" spans="2:11" x14ac:dyDescent="0.2">
      <c r="B10" s="1321" t="str">
        <v/>
      </c>
      <c r="C10" s="1321" t="str">
        <v>Mortgage Statement Coupon</v>
      </c>
      <c r="D10" s="1321" t="str">
        <v>Payoff Demand(s) w/in 30 days</v>
      </c>
      <c r="E10" s="1321" t="str">
        <v/>
      </c>
      <c r="F10" s="1324" t="s">
        <v>76</v>
      </c>
    </row>
    <row r="11" spans="2:11" x14ac:dyDescent="0.2">
      <c r="B11" s="1321" t="str">
        <v/>
      </c>
      <c r="C11" s="1321" t="str">
        <v/>
      </c>
      <c r="D11" s="1321" t="str">
        <v>CPL (With Brokers Advantage Listed as Mortgagee)</v>
      </c>
      <c r="E11" s="1321" t="str">
        <v/>
      </c>
      <c r="F11" s="1324" t="s">
        <v>76</v>
      </c>
    </row>
    <row r="12" spans="2:11" x14ac:dyDescent="0.2">
      <c r="B12" s="1321" t="str">
        <v/>
      </c>
      <c r="C12" s="1321" t="str">
        <v/>
      </c>
      <c r="D12" s="1321" t="str">
        <v>Letters of Explanation (Address Inquiries &lt; 90 days, Derog/Disputed Credit &lt; 2yrs, Name, SSN, Address Variations)</v>
      </c>
      <c r="E12" s="1321" t="str">
        <v/>
      </c>
      <c r="F12" s="1324" t="s">
        <v>76</v>
      </c>
    </row>
    <row r="13" spans="2:11" x14ac:dyDescent="0.2">
      <c r="B13" s="1321" t="str">
        <v/>
      </c>
      <c r="C13" s="1321" t="str">
        <v/>
      </c>
      <c r="D13" s="1321" t="str">
        <v>Letters of Explanation (Address Non-Arm's Length Relationships (Builder, Developer, Seller, LO, RE Agent, etc.))</v>
      </c>
      <c r="E13" s="1321" t="str">
        <v/>
      </c>
      <c r="F13" s="1324" t="s">
        <v>76</v>
      </c>
    </row>
    <row r="14" spans="2:11" x14ac:dyDescent="0.2">
      <c r="B14" s="1321" t="str">
        <v/>
      </c>
      <c r="C14" s="1321" t="str">
        <v/>
      </c>
      <c r="D14" s="1321" t="str">
        <v>Divorce Decree / Separation Agmt [if applicable] (All Pages, incl. Attachments. Signed by All Parties)</v>
      </c>
      <c r="E14" s="1321" t="str">
        <v/>
      </c>
      <c r="F14" s="1324" t="s">
        <v>76</v>
      </c>
    </row>
    <row r="15" spans="2:11" x14ac:dyDescent="0.2">
      <c r="B15" s="1321" t="str">
        <v/>
      </c>
      <c r="C15" s="1321" t="str">
        <v/>
      </c>
      <c r="D15" s="1321" t="str">
        <v>Preliminary Title Report / Title Commitment (24mo chain of title, ALTA supp for property address, plat map / survey)</v>
      </c>
      <c r="E15" s="1321" t="str">
        <v/>
      </c>
      <c r="F15" s="1324" t="s">
        <v>76</v>
      </c>
    </row>
    <row r="16" spans="2:11" x14ac:dyDescent="0.2">
      <c r="B16" s="1321" t="str">
        <v/>
      </c>
      <c r="C16" s="1321" t="str">
        <v/>
      </c>
      <c r="D16" s="1321" t="str">
        <v>Escrow Instructions (If business entity, provide formation articles/agreement, tax ID #, cert of good standing)</v>
      </c>
      <c r="E16" s="1321" t="str">
        <v/>
      </c>
      <c r="F16" s="1324" t="s">
        <v>76</v>
      </c>
    </row>
    <row r="17" spans="2:6" x14ac:dyDescent="0.2">
      <c r="B17" s="1321" t="str">
        <v/>
      </c>
      <c r="C17" s="1321" t="str">
        <v/>
      </c>
      <c r="D17" s="1321" t="str">
        <v>Lender Paid Comp Transactions (Anti-Steering Disclosure to be provided by Broker)</v>
      </c>
      <c r="E17" s="1321" t="str">
        <v/>
      </c>
      <c r="F17" s="1324" t="s">
        <v>76</v>
      </c>
    </row>
    <row r="18" spans="2:6" x14ac:dyDescent="0.2">
      <c r="B18" s="1321" t="str">
        <v/>
      </c>
      <c r="C18" s="1321" t="str">
        <v/>
      </c>
      <c r="D18" s="1321" t="str">
        <v>BK papers [if applicable] (All schedules and evidence discharged)</v>
      </c>
      <c r="E18" s="1321" t="str">
        <v/>
      </c>
      <c r="F18" s="1324" t="s">
        <v>76</v>
      </c>
    </row>
    <row r="19" spans="2:6" x14ac:dyDescent="0.2">
      <c r="B19" s="1321" t="str">
        <v/>
      </c>
      <c r="C19" s="1321" t="str">
        <v/>
      </c>
      <c r="D19" s="1321" t="str">
        <v>12mo Verification of Primary Housing Payment if not reported on credit (If Private Party, provide 12mo Cancelled Checks)</v>
      </c>
      <c r="E19" s="1321" t="str">
        <v/>
      </c>
      <c r="F19" s="1324" t="s">
        <v>76</v>
      </c>
    </row>
    <row r="20" spans="2:6" x14ac:dyDescent="0.2">
      <c r="B20" s="1321" t="str">
        <v/>
      </c>
      <c r="C20" s="1321" t="str">
        <v/>
      </c>
      <c r="D20" s="1321" t="str">
        <v>12mo Cancelled Checks (Include Copy of Note, if available)</v>
      </c>
      <c r="E20" s="1321" t="str">
        <v/>
      </c>
      <c r="F20" s="1324" t="s">
        <v>76</v>
      </c>
    </row>
    <row r="21" spans="2:6" x14ac:dyDescent="0.2">
      <c r="B21" s="1321" t="str">
        <v/>
      </c>
      <c r="C21" s="1321" t="str">
        <v/>
      </c>
      <c r="D21" s="1321" t="str">
        <v>2mo Consecutive Stmts w/in 90 Days (if Business Stmt, Provide Evidence of Ownership and Balance Sheet)</v>
      </c>
      <c r="E21" s="1321" t="str">
        <v/>
      </c>
      <c r="F21" s="1324" t="s">
        <v>76</v>
      </c>
    </row>
    <row r="22" spans="2:6" x14ac:dyDescent="0.2">
      <c r="B22" s="1321" t="str">
        <v/>
      </c>
      <c r="C22" s="1321" t="str">
        <v/>
      </c>
      <c r="D22" s="1321" t="str">
        <v>Balance Sheet (If using Business Assets for Funds for Closing/Reserves/Down Pmt)</v>
      </c>
      <c r="E22" s="1321" t="str">
        <v/>
      </c>
      <c r="F22" s="1324" t="s">
        <v>76</v>
      </c>
    </row>
    <row r="23" spans="2:6" x14ac:dyDescent="0.2">
      <c r="B23" s="1321" t="str">
        <v/>
      </c>
      <c r="C23" s="1321" t="str">
        <v/>
      </c>
      <c r="D23" s="1321" t="str">
        <v>Gift Letter [if applicable] (Evidence Donor Funds Transferred to Borrower or Settlement Agent)</v>
      </c>
      <c r="E23" s="1321" t="str">
        <v/>
      </c>
      <c r="F23" s="1324" t="s">
        <v>76</v>
      </c>
    </row>
    <row r="24" spans="2:6" x14ac:dyDescent="0.2">
      <c r="B24" s="1321" t="str">
        <v/>
      </c>
      <c r="C24" s="1321" t="str">
        <v/>
      </c>
      <c r="D24" s="1321" t="str">
        <v>Fee Sheet / Est. Closing Statement (Impounds Required: HPML Loans and Loans &gt;80 LTV - Unless Prohibited by State Law)</v>
      </c>
      <c r="E24" s="1321" t="str">
        <v/>
      </c>
      <c r="F24" s="1324" t="s">
        <v>76</v>
      </c>
    </row>
    <row r="25" spans="2:6" x14ac:dyDescent="0.2">
      <c r="B25" s="1321" t="str">
        <v/>
      </c>
      <c r="C25" s="1321" t="str">
        <v/>
      </c>
      <c r="D25" s="1321" t="str">
        <v>Hazard Insurance (Replacement Cost Estimator)</v>
      </c>
      <c r="E25" s="1321" t="str">
        <v/>
      </c>
      <c r="F25" s="1324" t="s">
        <v>76</v>
      </c>
    </row>
    <row r="26" spans="2:6" x14ac:dyDescent="0.2">
      <c r="B26" s="1321" t="str">
        <v/>
      </c>
      <c r="C26" s="1321" t="str">
        <v/>
      </c>
      <c r="D26" s="1321" t="str">
        <v>ATR - DU/LP Approve/Ineligible or Refer</v>
      </c>
      <c r="E26" s="1321" t="str">
        <v/>
      </c>
      <c r="F26" s="1324" t="s">
        <v>76</v>
      </c>
    </row>
    <row r="27" spans="2:6" x14ac:dyDescent="0.2">
      <c r="B27" s="1321" t="str">
        <v/>
      </c>
      <c r="C27" s="1321" t="str">
        <v/>
      </c>
      <c r="D27" s="1321" t="str">
        <v>1004D / Final Inspection [if applicable] (Condition rating C5/C6 and Quality rating Q6 unacceptable)</v>
      </c>
      <c r="E27" s="1321" t="str">
        <v/>
      </c>
      <c r="F27" s="1324" t="s">
        <v>76</v>
      </c>
    </row>
    <row r="28" spans="2:6" x14ac:dyDescent="0.2">
      <c r="B28" s="1321" t="str">
        <v/>
      </c>
      <c r="C28" s="1321" t="str">
        <v/>
      </c>
      <c r="D28" s="1321" t="str">
        <v>1004D / Final Inspection [if applicable] (Min 600 sf)</v>
      </c>
      <c r="E28" s="1321" t="str">
        <v/>
      </c>
      <c r="F28" s="1324" t="s">
        <v>76</v>
      </c>
    </row>
    <row r="29" spans="2:6" x14ac:dyDescent="0.2">
      <c r="B29" s="1321" t="str">
        <v/>
      </c>
      <c r="C29" s="1321" t="str">
        <v/>
      </c>
      <c r="D29" s="1321" t="str">
        <v>Master Liability Insurance (w/ Walls-In)</v>
      </c>
      <c r="E29" s="1321" t="str">
        <v/>
      </c>
      <c r="F29" s="1324" t="s">
        <v>76</v>
      </c>
    </row>
    <row r="30" spans="2:6" x14ac:dyDescent="0.2">
      <c r="B30" s="1321" t="str">
        <v/>
      </c>
      <c r="C30" s="1321" t="str">
        <v/>
      </c>
      <c r="D30" s="1321" t="str">
        <v>Fidelity Bond (Projects &gt; 20 units)</v>
      </c>
      <c r="E30" s="1321" t="str">
        <v/>
      </c>
      <c r="F30" s="1324" t="s">
        <v>76</v>
      </c>
    </row>
    <row r="31" spans="2:6" x14ac:dyDescent="0.2">
      <c r="B31" s="1321" t="str">
        <v/>
      </c>
      <c r="C31" s="1321" t="str">
        <v/>
      </c>
      <c r="D31" s="1321" t="str">
        <v>HO-6 (if Master Ins Does Not Have Walls-In (Bare Walls Not Acceptable))</v>
      </c>
      <c r="E31" s="1321" t="str">
        <v/>
      </c>
      <c r="F31" s="1324" t="s">
        <v>76</v>
      </c>
    </row>
    <row r="32" spans="2:6" x14ac:dyDescent="0.2">
      <c r="B32" s="1321" t="str">
        <v/>
      </c>
      <c r="C32" s="1321" t="str">
        <v/>
      </c>
      <c r="D32" s="1321" t="str">
        <v>1031 Exchange Documentation [if applicable] (Executed Agreement and Settlement Stmt from Accommodator)</v>
      </c>
      <c r="E32" s="1321" t="str">
        <v/>
      </c>
      <c r="F32" s="1324" t="s">
        <v>76</v>
      </c>
    </row>
    <row r="33" spans="2:6" x14ac:dyDescent="0.2">
      <c r="B33" s="1321" t="str">
        <v/>
      </c>
      <c r="C33" s="1321" t="str">
        <v/>
      </c>
      <c r="D33" s="1321" t="str">
        <v>Solar Agreement and Endorsement [if applicable]</v>
      </c>
      <c r="E33" s="1321" t="str">
        <v/>
      </c>
      <c r="F33" s="1324" t="s">
        <v>76</v>
      </c>
    </row>
    <row r="34" spans="2:6" x14ac:dyDescent="0.2">
      <c r="B34" s="1321" t="str">
        <v/>
      </c>
      <c r="C34" s="1321" t="str">
        <v/>
      </c>
      <c r="D34" s="1321" t="str">
        <v/>
      </c>
      <c r="E34" s="1321" t="str">
        <v/>
      </c>
      <c r="F34" s="1324" t="s">
        <v>76</v>
      </c>
    </row>
    <row r="35" spans="2:6" x14ac:dyDescent="0.2">
      <c r="B35" s="1321" t="str">
        <v/>
      </c>
      <c r="C35" s="1321" t="str">
        <v/>
      </c>
      <c r="D35" s="1321" t="str">
        <v/>
      </c>
      <c r="E35" s="1321" t="str">
        <v/>
      </c>
      <c r="F35" s="1324" t="s">
        <v>76</v>
      </c>
    </row>
    <row r="36" spans="2:6" x14ac:dyDescent="0.2">
      <c r="B36" s="1321" t="str">
        <v/>
      </c>
      <c r="C36" s="1321" t="str">
        <v/>
      </c>
      <c r="D36" s="1321" t="str">
        <v/>
      </c>
      <c r="E36" s="1321" t="str">
        <v/>
      </c>
      <c r="F36" s="1324" t="s">
        <v>76</v>
      </c>
    </row>
    <row r="37" spans="2:6" x14ac:dyDescent="0.2">
      <c r="B37" s="1321" t="str">
        <v/>
      </c>
      <c r="C37" s="1321" t="str">
        <v/>
      </c>
      <c r="D37" s="1321" t="str">
        <v/>
      </c>
      <c r="E37" s="1321" t="str">
        <v/>
      </c>
      <c r="F37" s="1324" t="s">
        <v>76</v>
      </c>
    </row>
    <row r="38" spans="2:6" x14ac:dyDescent="0.2">
      <c r="B38" s="1321" t="str">
        <v/>
      </c>
      <c r="C38" s="1321" t="str">
        <v/>
      </c>
      <c r="D38" s="1321" t="str">
        <v/>
      </c>
      <c r="E38" s="1321" t="str">
        <v/>
      </c>
      <c r="F38" s="1324" t="s">
        <v>76</v>
      </c>
    </row>
    <row r="39" spans="2:6" x14ac:dyDescent="0.2">
      <c r="B39" s="1321" t="str">
        <v/>
      </c>
      <c r="C39" s="1321" t="str">
        <v/>
      </c>
      <c r="D39" s="1321" t="str">
        <v/>
      </c>
      <c r="E39" s="1321" t="str">
        <v/>
      </c>
      <c r="F39" s="1324" t="s">
        <v>76</v>
      </c>
    </row>
    <row r="40" spans="2:6" x14ac:dyDescent="0.2">
      <c r="B40" s="1321" t="str">
        <v/>
      </c>
      <c r="C40" s="1321" t="str">
        <v/>
      </c>
      <c r="D40" s="1321" t="str">
        <v/>
      </c>
      <c r="E40" s="1321" t="str">
        <v/>
      </c>
      <c r="F40" s="1324" t="s">
        <v>76</v>
      </c>
    </row>
    <row r="41" spans="2:6" x14ac:dyDescent="0.2">
      <c r="B41" s="1321" t="str">
        <v/>
      </c>
      <c r="C41" s="1321" t="str">
        <v/>
      </c>
      <c r="D41" s="1321" t="str">
        <v/>
      </c>
      <c r="E41" s="1321" t="str">
        <v/>
      </c>
      <c r="F41" s="1324" t="s">
        <v>76</v>
      </c>
    </row>
    <row r="42" spans="2:6" x14ac:dyDescent="0.2">
      <c r="B42" s="1321" t="str">
        <v/>
      </c>
      <c r="C42" s="1321" t="str">
        <v/>
      </c>
      <c r="D42" s="1321" t="str">
        <v/>
      </c>
      <c r="E42" s="1321" t="str">
        <v/>
      </c>
      <c r="F42" s="1324" t="s">
        <v>76</v>
      </c>
    </row>
    <row r="43" spans="2:6" x14ac:dyDescent="0.2">
      <c r="B43" s="1321" t="str">
        <v/>
      </c>
      <c r="C43" s="1321" t="str">
        <v/>
      </c>
      <c r="D43" s="1321" t="str">
        <v/>
      </c>
      <c r="E43" s="1321" t="str">
        <v/>
      </c>
      <c r="F43" s="1324" t="s">
        <v>76</v>
      </c>
    </row>
    <row r="44" spans="2:6" x14ac:dyDescent="0.2">
      <c r="B44" s="1321" t="str">
        <v/>
      </c>
      <c r="C44" s="1321" t="str">
        <v/>
      </c>
      <c r="D44" s="1321" t="str">
        <v/>
      </c>
      <c r="E44" s="1321" t="str">
        <v/>
      </c>
      <c r="F44" s="1324" t="s">
        <v>76</v>
      </c>
    </row>
    <row r="45" spans="2:6" x14ac:dyDescent="0.2">
      <c r="B45" s="1321" t="str">
        <v/>
      </c>
      <c r="C45" s="1321" t="str">
        <v/>
      </c>
      <c r="D45" s="1321" t="str">
        <v/>
      </c>
      <c r="E45" s="1321" t="str">
        <v/>
      </c>
      <c r="F45" s="1324" t="s">
        <v>76</v>
      </c>
    </row>
    <row r="46" spans="2:6" x14ac:dyDescent="0.2">
      <c r="B46" s="1321" t="str">
        <v/>
      </c>
      <c r="C46" s="1321" t="str">
        <v/>
      </c>
      <c r="D46" s="1321" t="str">
        <v/>
      </c>
      <c r="E46" s="1321" t="str">
        <v/>
      </c>
      <c r="F46" s="1324" t="s">
        <v>76</v>
      </c>
    </row>
    <row r="47" spans="2:6" x14ac:dyDescent="0.2">
      <c r="B47" s="1321" t="str">
        <v/>
      </c>
      <c r="C47" s="1321" t="str">
        <v/>
      </c>
      <c r="D47" s="1321" t="str">
        <v/>
      </c>
      <c r="E47" s="1321" t="str">
        <v/>
      </c>
      <c r="F47" s="1324" t="s">
        <v>76</v>
      </c>
    </row>
    <row r="48" spans="2:6" x14ac:dyDescent="0.2">
      <c r="B48" s="1321" t="str">
        <v/>
      </c>
      <c r="C48" s="1321" t="str">
        <v/>
      </c>
      <c r="D48" s="1321" t="str">
        <v/>
      </c>
      <c r="E48" s="1321" t="str">
        <v/>
      </c>
      <c r="F48" s="1324" t="s">
        <v>76</v>
      </c>
    </row>
    <row r="49" spans="2:6" x14ac:dyDescent="0.2">
      <c r="B49" s="1321" t="str">
        <v/>
      </c>
      <c r="C49" s="1321" t="str">
        <v/>
      </c>
      <c r="D49" s="1321" t="str">
        <v/>
      </c>
      <c r="E49" s="1321" t="str">
        <v/>
      </c>
      <c r="F49" s="1324" t="s">
        <v>76</v>
      </c>
    </row>
    <row r="50" spans="2:6" x14ac:dyDescent="0.2">
      <c r="B50" s="1321" t="str">
        <v/>
      </c>
      <c r="C50" s="1321" t="str">
        <v/>
      </c>
      <c r="D50" s="1321" t="str">
        <v/>
      </c>
      <c r="E50" s="1321" t="str">
        <v/>
      </c>
      <c r="F50" s="1324" t="s">
        <v>76</v>
      </c>
    </row>
    <row r="51" spans="2:6" x14ac:dyDescent="0.2">
      <c r="B51" s="1321" t="str">
        <v/>
      </c>
      <c r="C51" s="1321" t="str">
        <v/>
      </c>
      <c r="D51" s="1321" t="str">
        <v/>
      </c>
      <c r="E51" s="1321" t="str">
        <v/>
      </c>
      <c r="F51" s="1324" t="s">
        <v>76</v>
      </c>
    </row>
    <row r="52" spans="2:6" x14ac:dyDescent="0.2">
      <c r="B52" s="1321" t="str">
        <v/>
      </c>
      <c r="C52" s="1321" t="str">
        <v/>
      </c>
      <c r="D52" s="1321" t="str">
        <v/>
      </c>
      <c r="E52" s="1321" t="str">
        <v/>
      </c>
      <c r="F52" s="1324" t="s">
        <v>76</v>
      </c>
    </row>
    <row r="53" spans="2:6" x14ac:dyDescent="0.2">
      <c r="B53" s="1321" t="str">
        <v/>
      </c>
      <c r="C53" s="1321" t="str">
        <v/>
      </c>
      <c r="D53" s="1321" t="str">
        <v/>
      </c>
      <c r="E53" s="1321" t="str">
        <v/>
      </c>
      <c r="F53" s="1324" t="s">
        <v>76</v>
      </c>
    </row>
    <row r="54" spans="2:6" x14ac:dyDescent="0.2">
      <c r="B54" s="1321" t="str">
        <v/>
      </c>
      <c r="C54" s="1321" t="str">
        <v/>
      </c>
      <c r="D54" s="1321" t="str">
        <v/>
      </c>
      <c r="E54" s="1321" t="str">
        <v/>
      </c>
      <c r="F54" s="1324" t="s">
        <v>76</v>
      </c>
    </row>
    <row r="55" spans="2:6" x14ac:dyDescent="0.2">
      <c r="B55" s="1321" t="str">
        <v/>
      </c>
      <c r="C55" s="1321" t="str">
        <v/>
      </c>
      <c r="D55" s="1321" t="str">
        <v/>
      </c>
      <c r="E55" s="1321" t="str">
        <v/>
      </c>
      <c r="F55" s="1324" t="s">
        <v>76</v>
      </c>
    </row>
    <row r="56" spans="2:6" x14ac:dyDescent="0.2">
      <c r="B56" s="1321" t="str">
        <v/>
      </c>
      <c r="C56" s="1321" t="str">
        <v/>
      </c>
      <c r="D56" s="1321" t="str">
        <v/>
      </c>
      <c r="E56" s="1321" t="str">
        <v/>
      </c>
      <c r="F56" s="1324" t="s">
        <v>76</v>
      </c>
    </row>
    <row r="57" spans="2:6" x14ac:dyDescent="0.2">
      <c r="B57" s="1321" t="str">
        <v/>
      </c>
      <c r="C57" s="1321" t="str">
        <v/>
      </c>
      <c r="D57" s="1321" t="str">
        <v/>
      </c>
      <c r="E57" s="1321" t="str">
        <v/>
      </c>
      <c r="F57" s="1324" t="s">
        <v>76</v>
      </c>
    </row>
    <row r="58" spans="2:6" x14ac:dyDescent="0.2">
      <c r="B58" s="1321" t="str">
        <v/>
      </c>
      <c r="C58" s="1321" t="str">
        <v/>
      </c>
      <c r="D58" s="1321" t="str">
        <v/>
      </c>
      <c r="E58" s="1321" t="str">
        <v/>
      </c>
      <c r="F58" s="1324" t="s">
        <v>76</v>
      </c>
    </row>
    <row r="59" spans="2:6" x14ac:dyDescent="0.2">
      <c r="B59" s="1321" t="str">
        <v/>
      </c>
      <c r="C59" s="1321" t="str">
        <v/>
      </c>
      <c r="D59" s="1321" t="str">
        <v/>
      </c>
      <c r="E59" s="1321" t="str">
        <v/>
      </c>
      <c r="F59" s="1324" t="s">
        <v>76</v>
      </c>
    </row>
    <row r="60" spans="2:6" x14ac:dyDescent="0.2">
      <c r="B60" s="1321" t="str">
        <v/>
      </c>
      <c r="C60" s="1321" t="str">
        <v/>
      </c>
      <c r="D60" s="1321" t="str">
        <v/>
      </c>
      <c r="E60" s="1321" t="str">
        <v/>
      </c>
      <c r="F60" s="1324" t="s">
        <v>76</v>
      </c>
    </row>
    <row r="61" spans="2:6" x14ac:dyDescent="0.2">
      <c r="B61" s="1321" t="str">
        <v/>
      </c>
      <c r="C61" s="1321" t="str">
        <v/>
      </c>
      <c r="D61" s="1321" t="str">
        <v/>
      </c>
      <c r="E61" s="1321" t="str">
        <v/>
      </c>
      <c r="F61" s="1324" t="s">
        <v>76</v>
      </c>
    </row>
    <row r="62" spans="2:6" x14ac:dyDescent="0.2">
      <c r="B62" s="1321" t="str">
        <v/>
      </c>
      <c r="C62" s="1321" t="str">
        <v/>
      </c>
      <c r="D62" s="1321" t="str">
        <v/>
      </c>
      <c r="E62" s="1321" t="str">
        <v/>
      </c>
      <c r="F62" s="1324" t="s">
        <v>76</v>
      </c>
    </row>
    <row r="63" spans="2:6" x14ac:dyDescent="0.2">
      <c r="B63" s="1321" t="str">
        <v/>
      </c>
      <c r="C63" s="1321" t="str">
        <v/>
      </c>
      <c r="D63" s="1321" t="str">
        <v/>
      </c>
      <c r="E63" s="1321" t="str">
        <v/>
      </c>
      <c r="F63" s="1324" t="s">
        <v>76</v>
      </c>
    </row>
    <row r="64" spans="2:6" x14ac:dyDescent="0.2">
      <c r="B64" s="1321" t="str">
        <v/>
      </c>
      <c r="C64" s="1321" t="str">
        <v/>
      </c>
      <c r="D64" s="1321" t="str">
        <v/>
      </c>
      <c r="E64" s="1321" t="str">
        <v/>
      </c>
      <c r="F64" s="1324" t="s">
        <v>76</v>
      </c>
    </row>
    <row r="65" spans="2:6" x14ac:dyDescent="0.2">
      <c r="B65" s="1321" t="str">
        <v/>
      </c>
      <c r="C65" s="1321" t="str">
        <v/>
      </c>
      <c r="D65" s="1321" t="str">
        <v/>
      </c>
      <c r="E65" s="1321" t="str">
        <v/>
      </c>
      <c r="F65" s="1324" t="s">
        <v>76</v>
      </c>
    </row>
    <row r="66" spans="2:6" x14ac:dyDescent="0.2">
      <c r="B66" s="1321" t="str">
        <v/>
      </c>
      <c r="C66" s="1321" t="str">
        <v/>
      </c>
      <c r="D66" s="1321" t="str">
        <v/>
      </c>
      <c r="E66" s="1321" t="str">
        <v/>
      </c>
      <c r="F66" s="1324" t="s">
        <v>76</v>
      </c>
    </row>
    <row r="67" spans="2:6" x14ac:dyDescent="0.2">
      <c r="B67" s="1321" t="str">
        <v/>
      </c>
      <c r="C67" s="1321" t="str">
        <v/>
      </c>
      <c r="D67" s="1321" t="str">
        <v/>
      </c>
      <c r="E67" s="1321" t="str">
        <v/>
      </c>
      <c r="F67" s="1324" t="s">
        <v>76</v>
      </c>
    </row>
    <row r="68" spans="2:6" x14ac:dyDescent="0.2">
      <c r="B68" s="1321" t="str">
        <v/>
      </c>
      <c r="C68" s="1321" t="str">
        <v/>
      </c>
      <c r="D68" s="1321" t="str">
        <v/>
      </c>
      <c r="E68" s="1321" t="str">
        <v/>
      </c>
      <c r="F68" s="1324" t="s">
        <v>76</v>
      </c>
    </row>
    <row r="69" spans="2:6" x14ac:dyDescent="0.2">
      <c r="B69" s="1321" t="str">
        <v/>
      </c>
      <c r="C69" s="1321" t="str">
        <v/>
      </c>
      <c r="D69" s="1321" t="str">
        <v/>
      </c>
      <c r="E69" s="1321" t="str">
        <v/>
      </c>
      <c r="F69" s="1324" t="s">
        <v>76</v>
      </c>
    </row>
    <row r="70" spans="2:6" x14ac:dyDescent="0.2">
      <c r="B70" s="1321" t="str">
        <v/>
      </c>
      <c r="C70" s="1321" t="str">
        <v/>
      </c>
      <c r="D70" s="1321" t="str">
        <v/>
      </c>
      <c r="E70" s="1321" t="str">
        <v/>
      </c>
      <c r="F70" s="1324" t="s">
        <v>76</v>
      </c>
    </row>
    <row r="71" spans="2:6" x14ac:dyDescent="0.2">
      <c r="B71" s="1321" t="str">
        <v/>
      </c>
      <c r="C71" s="1321" t="str">
        <v/>
      </c>
      <c r="D71" s="1321" t="str">
        <v/>
      </c>
      <c r="E71" s="1321" t="str">
        <v/>
      </c>
      <c r="F71" s="1324" t="s">
        <v>76</v>
      </c>
    </row>
    <row r="72" spans="2:6" x14ac:dyDescent="0.2">
      <c r="B72" s="1321" t="str">
        <v/>
      </c>
      <c r="C72" s="1322" t="str">
        <v/>
      </c>
      <c r="D72" s="1321" t="str">
        <v/>
      </c>
      <c r="E72" s="1321" t="str">
        <v/>
      </c>
      <c r="F72" s="1324" t="s">
        <v>76</v>
      </c>
    </row>
    <row r="73" spans="2:6" x14ac:dyDescent="0.2">
      <c r="B73" s="1321" t="str">
        <v/>
      </c>
      <c r="C73" s="1322" t="str">
        <v/>
      </c>
      <c r="D73" s="1321" t="str">
        <v/>
      </c>
      <c r="E73" s="1321" t="str">
        <v/>
      </c>
      <c r="F73" s="1324" t="s">
        <v>76</v>
      </c>
    </row>
    <row r="74" spans="2:6" x14ac:dyDescent="0.2">
      <c r="B74" s="1321" t="str">
        <v/>
      </c>
      <c r="C74" s="1322" t="str">
        <v/>
      </c>
      <c r="D74" s="1321" t="str">
        <v/>
      </c>
      <c r="E74" s="1321" t="str">
        <v/>
      </c>
      <c r="F74" s="1324" t="s">
        <v>76</v>
      </c>
    </row>
    <row r="75" spans="2:6" x14ac:dyDescent="0.2">
      <c r="B75" s="1321" t="str">
        <v/>
      </c>
      <c r="C75" s="1322" t="str">
        <v/>
      </c>
      <c r="D75" s="1321" t="str">
        <v/>
      </c>
      <c r="E75" s="1321" t="str">
        <v/>
      </c>
      <c r="F75" s="1324" t="s">
        <v>76</v>
      </c>
    </row>
    <row r="76" spans="2:6" x14ac:dyDescent="0.2">
      <c r="B76" s="1321" t="str">
        <v/>
      </c>
      <c r="C76" s="1322" t="str">
        <v/>
      </c>
      <c r="D76" s="1321" t="str">
        <v/>
      </c>
      <c r="E76" s="1321" t="str">
        <v/>
      </c>
      <c r="F76" s="1324" t="s">
        <v>76</v>
      </c>
    </row>
    <row r="77" spans="2:6" x14ac:dyDescent="0.2">
      <c r="B77" s="1321" t="str">
        <v/>
      </c>
      <c r="C77" s="1322" t="str">
        <v/>
      </c>
      <c r="D77" s="1321" t="str">
        <v/>
      </c>
      <c r="E77" s="1321" t="str">
        <v/>
      </c>
      <c r="F77" s="1324" t="s">
        <v>76</v>
      </c>
    </row>
    <row r="78" spans="2:6" x14ac:dyDescent="0.2">
      <c r="B78" s="1321" t="str">
        <v/>
      </c>
      <c r="C78" s="1322" t="str">
        <v/>
      </c>
      <c r="D78" s="1321" t="str">
        <v/>
      </c>
      <c r="E78" s="1321" t="str">
        <v/>
      </c>
      <c r="F78" s="1324" t="s">
        <v>76</v>
      </c>
    </row>
    <row r="79" spans="2:6" x14ac:dyDescent="0.2">
      <c r="B79" s="1321" t="str">
        <v/>
      </c>
      <c r="C79" s="1322" t="str">
        <v/>
      </c>
      <c r="D79" s="1321" t="str">
        <v/>
      </c>
      <c r="E79" s="1321" t="str">
        <v/>
      </c>
      <c r="F79" s="1324" t="s">
        <v>76</v>
      </c>
    </row>
    <row r="80" spans="2:6" x14ac:dyDescent="0.2">
      <c r="B80" s="1321" t="str">
        <v/>
      </c>
      <c r="C80" s="1322" t="str">
        <v/>
      </c>
      <c r="D80" s="1321" t="str">
        <v/>
      </c>
      <c r="E80" s="1321" t="str">
        <v/>
      </c>
      <c r="F80" s="1324" t="s">
        <v>76</v>
      </c>
    </row>
    <row r="81" spans="2:6" x14ac:dyDescent="0.2">
      <c r="B81" s="1321" t="str">
        <v/>
      </c>
      <c r="C81" s="1322" t="str">
        <v/>
      </c>
      <c r="D81" s="1321" t="str">
        <v/>
      </c>
      <c r="E81" s="1321" t="str">
        <v/>
      </c>
      <c r="F81" s="1324" t="s">
        <v>76</v>
      </c>
    </row>
    <row r="82" spans="2:6" x14ac:dyDescent="0.2">
      <c r="B82" s="1321" t="str">
        <v/>
      </c>
      <c r="C82" s="1322" t="str">
        <v/>
      </c>
      <c r="D82" s="1321" t="str">
        <v/>
      </c>
      <c r="E82" s="1321" t="str">
        <v/>
      </c>
      <c r="F82" s="1324" t="s">
        <v>76</v>
      </c>
    </row>
    <row r="83" spans="2:6" x14ac:dyDescent="0.2">
      <c r="B83" s="1321" t="str">
        <v/>
      </c>
      <c r="C83" s="1322" t="str">
        <v/>
      </c>
      <c r="D83" s="1321" t="str">
        <v/>
      </c>
      <c r="E83" s="1321" t="str">
        <v/>
      </c>
      <c r="F83" s="1324" t="s">
        <v>76</v>
      </c>
    </row>
    <row r="84" spans="2:6" x14ac:dyDescent="0.2">
      <c r="B84" s="1321" t="str">
        <v/>
      </c>
      <c r="C84" s="1322" t="str">
        <v/>
      </c>
      <c r="D84" s="1321" t="str">
        <v/>
      </c>
      <c r="E84" s="1321" t="str">
        <v/>
      </c>
      <c r="F84" s="1324" t="s">
        <v>76</v>
      </c>
    </row>
    <row r="85" spans="2:6" x14ac:dyDescent="0.2">
      <c r="B85" s="1321" t="str">
        <v/>
      </c>
      <c r="C85" s="1322" t="str">
        <v/>
      </c>
      <c r="D85" s="1321" t="str">
        <v/>
      </c>
      <c r="E85" s="1321" t="str">
        <v/>
      </c>
      <c r="F85" s="1324" t="s">
        <v>76</v>
      </c>
    </row>
    <row r="86" spans="2:6" x14ac:dyDescent="0.2">
      <c r="B86" s="1321" t="str">
        <v/>
      </c>
      <c r="C86" s="1322" t="str">
        <v/>
      </c>
      <c r="D86" s="1321" t="str">
        <v/>
      </c>
      <c r="E86" s="1321" t="str">
        <v/>
      </c>
      <c r="F86" s="1324" t="s">
        <v>76</v>
      </c>
    </row>
    <row r="87" spans="2:6" x14ac:dyDescent="0.2">
      <c r="B87" s="1321" t="str">
        <v/>
      </c>
      <c r="C87" s="1322" t="str">
        <v/>
      </c>
      <c r="D87" s="1321" t="str">
        <v/>
      </c>
      <c r="E87" s="1321" t="str">
        <v/>
      </c>
      <c r="F87" s="1324" t="s">
        <v>76</v>
      </c>
    </row>
    <row r="88" spans="2:6" x14ac:dyDescent="0.2">
      <c r="B88" s="1321" t="str">
        <v/>
      </c>
      <c r="C88" s="1322" t="str">
        <v/>
      </c>
      <c r="D88" s="1321" t="str">
        <v/>
      </c>
      <c r="E88" s="1321" t="str">
        <v/>
      </c>
      <c r="F88" s="1324" t="s">
        <v>76</v>
      </c>
    </row>
    <row r="89" spans="2:6" x14ac:dyDescent="0.2">
      <c r="B89" s="1321" t="str">
        <v/>
      </c>
      <c r="C89" s="1322" t="str">
        <v/>
      </c>
      <c r="D89" s="1321" t="str">
        <v/>
      </c>
      <c r="E89" s="1321" t="str">
        <v/>
      </c>
      <c r="F89" s="1324" t="s">
        <v>76</v>
      </c>
    </row>
    <row r="90" spans="2:6" x14ac:dyDescent="0.2">
      <c r="B90" s="1321" t="str">
        <v/>
      </c>
      <c r="C90" s="1322" t="str">
        <v/>
      </c>
      <c r="D90" s="1321" t="str">
        <v/>
      </c>
      <c r="E90" s="1321" t="str">
        <v/>
      </c>
      <c r="F90" s="1324" t="s">
        <v>76</v>
      </c>
    </row>
    <row r="91" spans="2:6" x14ac:dyDescent="0.2">
      <c r="B91" s="1321" t="str">
        <v/>
      </c>
      <c r="C91" s="1322" t="str">
        <v/>
      </c>
      <c r="D91" s="1321" t="str">
        <v/>
      </c>
      <c r="E91" s="1321" t="str">
        <v/>
      </c>
      <c r="F91" s="1324" t="s">
        <v>76</v>
      </c>
    </row>
    <row r="92" spans="2:6" x14ac:dyDescent="0.2">
      <c r="B92" s="1321" t="str">
        <v/>
      </c>
      <c r="C92" s="1322" t="str">
        <v/>
      </c>
      <c r="D92" s="1321" t="str">
        <v/>
      </c>
      <c r="E92" s="1321" t="str">
        <v/>
      </c>
      <c r="F92" s="1324" t="s">
        <v>76</v>
      </c>
    </row>
    <row r="93" spans="2:6" x14ac:dyDescent="0.2">
      <c r="B93" s="1321" t="str">
        <v/>
      </c>
      <c r="C93" s="1322" t="str">
        <v/>
      </c>
      <c r="D93" s="1321" t="str">
        <v/>
      </c>
      <c r="E93" s="1321" t="str">
        <v/>
      </c>
      <c r="F93" s="1324" t="s">
        <v>76</v>
      </c>
    </row>
    <row r="94" spans="2:6" x14ac:dyDescent="0.2">
      <c r="B94" s="1321" t="str">
        <v/>
      </c>
      <c r="C94" s="1322" t="str">
        <v/>
      </c>
      <c r="D94" s="1321" t="str">
        <v/>
      </c>
      <c r="E94" s="1321" t="str">
        <v/>
      </c>
      <c r="F94" s="1324" t="s">
        <v>76</v>
      </c>
    </row>
    <row r="95" spans="2:6" x14ac:dyDescent="0.2">
      <c r="B95" s="1321" t="str">
        <v/>
      </c>
      <c r="C95" s="1322" t="str">
        <v/>
      </c>
      <c r="D95" s="1321" t="str">
        <v/>
      </c>
      <c r="E95" s="1321" t="str">
        <v/>
      </c>
      <c r="F95" s="1324" t="s">
        <v>76</v>
      </c>
    </row>
    <row r="96" spans="2:6" x14ac:dyDescent="0.2">
      <c r="B96" s="1321" t="str">
        <v/>
      </c>
      <c r="C96" s="1322" t="str">
        <v/>
      </c>
      <c r="D96" s="1321" t="str">
        <v/>
      </c>
      <c r="E96" s="1321" t="str">
        <v/>
      </c>
      <c r="F96" s="1324" t="s">
        <v>76</v>
      </c>
    </row>
    <row r="97" spans="2:6" x14ac:dyDescent="0.2">
      <c r="B97" s="1321" t="str">
        <v/>
      </c>
      <c r="C97" s="1322" t="str">
        <v/>
      </c>
      <c r="D97" s="1321" t="str">
        <v/>
      </c>
      <c r="E97" s="1321" t="str">
        <v/>
      </c>
      <c r="F97" s="1324" t="s">
        <v>76</v>
      </c>
    </row>
    <row r="98" spans="2:6" x14ac:dyDescent="0.2">
      <c r="B98" s="1" t="str">
        <v/>
      </c>
      <c r="C98" s="1" t="str">
        <v/>
      </c>
      <c r="D98" s="1" t="str">
        <v/>
      </c>
      <c r="E98" s="1" t="str">
        <v/>
      </c>
    </row>
  </sheetData>
  <sheetProtection algorithmName="SHA-512" hashValue="qtzPnrZfgH+1ENs7/q0BrJUyXod20o7/HqdQloRftvtPggKXnPL40qJxd/l+MyyGITdyyUkLlBVnyUlHGj3aGg==" saltValue="JqxMrWm9Ox6zEb0uoSX2ag==" spinCount="100000" sheet="1" objects="1" scenarios="1"/>
  <mergeCells count="2">
    <mergeCell ref="B1:K1"/>
    <mergeCell ref="H2:K2"/>
  </mergeCells>
  <conditionalFormatting sqref="B5:E97">
    <cfRule type="notContainsBlanks" dxfId="2" priority="3">
      <formula>LEN(TRIM(B5))&gt;0</formula>
    </cfRule>
  </conditionalFormatting>
  <conditionalFormatting sqref="F5">
    <cfRule type="notContainsBlanks" dxfId="1" priority="1">
      <formula>LEN(TRIM(F5))&gt;0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E3E20-A6B6-420D-B6EF-230466F93C67}">
  <sheetPr codeName="Sheet11"/>
  <dimension ref="A1:AD449"/>
  <sheetViews>
    <sheetView showGridLines="0" topLeftCell="B1" zoomScale="97" workbookViewId="0">
      <selection activeCell="F5" sqref="F5"/>
    </sheetView>
  </sheetViews>
  <sheetFormatPr defaultColWidth="8.85546875" defaultRowHeight="11.25" x14ac:dyDescent="0.2"/>
  <cols>
    <col min="1" max="1" width="12.140625" style="1" bestFit="1" customWidth="1"/>
    <col min="2" max="2" width="8.28515625" style="10" bestFit="1" customWidth="1"/>
    <col min="3" max="4" width="8.28515625" style="10" customWidth="1"/>
    <col min="5" max="5" width="2.140625" style="10" customWidth="1"/>
    <col min="6" max="6" width="12.7109375" style="10" bestFit="1" customWidth="1"/>
    <col min="7" max="7" width="16.7109375" style="10" bestFit="1" customWidth="1"/>
    <col min="8" max="8" width="14.7109375" style="10" customWidth="1"/>
    <col min="9" max="9" width="9.42578125" style="10" customWidth="1"/>
    <col min="10" max="12" width="5.85546875" style="10" customWidth="1"/>
    <col min="13" max="14" width="10" style="10" customWidth="1"/>
    <col min="15" max="15" width="10.28515625" style="10" customWidth="1"/>
    <col min="16" max="16" width="6.85546875" style="10" customWidth="1"/>
    <col min="17" max="17" width="11.140625" style="10" customWidth="1"/>
    <col min="18" max="18" width="9" style="10" bestFit="1" customWidth="1"/>
    <col min="19" max="19" width="9" style="10" customWidth="1"/>
    <col min="20" max="20" width="7.140625" style="10" customWidth="1"/>
    <col min="21" max="21" width="8.140625" style="10" customWidth="1"/>
    <col min="22" max="22" width="7.140625" style="10" customWidth="1"/>
    <col min="23" max="23" width="15.42578125" style="10" bestFit="1" customWidth="1"/>
    <col min="24" max="24" width="2.140625" style="10" customWidth="1"/>
    <col min="25" max="26" width="5.42578125" style="1" customWidth="1"/>
    <col min="27" max="27" width="8.85546875" style="1"/>
    <col min="28" max="28" width="8.140625" style="1" customWidth="1"/>
    <col min="29" max="29" width="10.7109375" style="1" bestFit="1" customWidth="1"/>
    <col min="30" max="30" width="8.7109375" style="1" customWidth="1"/>
    <col min="31" max="16384" width="8.85546875" style="1"/>
  </cols>
  <sheetData>
    <row r="1" spans="1:30" ht="6" customHeight="1" x14ac:dyDescent="0.2">
      <c r="B1" s="1"/>
      <c r="C1" s="1"/>
      <c r="E1" s="1"/>
      <c r="S1" s="897"/>
    </row>
    <row r="2" spans="1:30" x14ac:dyDescent="0.2">
      <c r="M2" s="350" t="s">
        <v>1712</v>
      </c>
      <c r="N2" s="350" t="s">
        <v>1713</v>
      </c>
      <c r="O2" s="365"/>
      <c r="P2" s="366"/>
      <c r="S2" s="897"/>
    </row>
    <row r="3" spans="1:30" x14ac:dyDescent="0.2">
      <c r="B3" s="494" t="s">
        <v>1699</v>
      </c>
      <c r="C3" s="2811" t="s">
        <v>1692</v>
      </c>
      <c r="D3" s="2812"/>
      <c r="F3" s="347" t="s">
        <v>1732</v>
      </c>
      <c r="G3" s="347" t="s">
        <v>1732</v>
      </c>
      <c r="H3" s="347" t="s">
        <v>1700</v>
      </c>
      <c r="I3" s="347" t="s">
        <v>1700</v>
      </c>
      <c r="J3" s="2813" t="s">
        <v>1693</v>
      </c>
      <c r="K3" s="347" t="s">
        <v>1694</v>
      </c>
      <c r="L3" s="347" t="s">
        <v>1695</v>
      </c>
      <c r="M3" s="347" t="s">
        <v>1696</v>
      </c>
      <c r="N3" s="347" t="s">
        <v>1697</v>
      </c>
      <c r="O3" s="351" t="s">
        <v>39</v>
      </c>
      <c r="P3" s="351" t="s">
        <v>33</v>
      </c>
      <c r="Q3" s="351" t="s">
        <v>1729</v>
      </c>
      <c r="R3" s="351" t="s">
        <v>1730</v>
      </c>
      <c r="S3" s="351" t="s">
        <v>1729</v>
      </c>
      <c r="T3" s="351" t="s">
        <v>1755</v>
      </c>
      <c r="U3" s="351" t="s">
        <v>1755</v>
      </c>
      <c r="V3" s="351" t="s">
        <v>1755</v>
      </c>
      <c r="W3" s="351" t="s">
        <v>1731</v>
      </c>
      <c r="Y3" s="351" t="s">
        <v>1732</v>
      </c>
      <c r="Z3" s="351" t="s">
        <v>1732</v>
      </c>
      <c r="AA3" s="351" t="s">
        <v>1629</v>
      </c>
      <c r="AB3" s="351" t="s">
        <v>1629</v>
      </c>
      <c r="AC3" s="351" t="s">
        <v>1731</v>
      </c>
      <c r="AD3" s="351" t="s">
        <v>1731</v>
      </c>
    </row>
    <row r="4" spans="1:30" x14ac:dyDescent="0.2">
      <c r="A4" s="2808" t="str">
        <f>HC_State_APR_IndexType&amp;" "&amp;Lookup_TermMaturity&amp;" "&amp;Lookup_AmortType</f>
        <v>Treasury 360 FRM</v>
      </c>
      <c r="B4" s="495" cm="1">
        <f t="array" ref="B4">[1]!Input_Index_Treasury_Dt</f>
        <v>45733</v>
      </c>
      <c r="C4" s="497" cm="1">
        <f t="array" ref="C4">[1]!Input_Index_APOR_Dt</f>
        <v>45733</v>
      </c>
      <c r="D4" s="498"/>
      <c r="F4" s="349" t="s">
        <v>317</v>
      </c>
      <c r="G4" s="349" t="s">
        <v>1629</v>
      </c>
      <c r="H4" s="349" t="s">
        <v>1629</v>
      </c>
      <c r="I4" s="349" t="s">
        <v>262</v>
      </c>
      <c r="J4" s="2814"/>
      <c r="K4" s="349"/>
      <c r="L4" s="349"/>
      <c r="M4" s="349"/>
      <c r="N4" s="349"/>
      <c r="O4" s="352"/>
      <c r="P4" s="352"/>
      <c r="Q4" s="352" t="s">
        <v>1732</v>
      </c>
      <c r="R4" s="352"/>
      <c r="S4" s="352" t="s">
        <v>1982</v>
      </c>
      <c r="T4" s="351" t="s">
        <v>1675</v>
      </c>
      <c r="U4" s="351" t="s">
        <v>1754</v>
      </c>
      <c r="V4" s="351" t="s">
        <v>1732</v>
      </c>
      <c r="W4" s="352"/>
      <c r="Y4" s="352" t="s">
        <v>1722</v>
      </c>
      <c r="Z4" s="352" t="s">
        <v>1734</v>
      </c>
      <c r="AA4" s="352" t="s">
        <v>316</v>
      </c>
      <c r="AB4" s="352" t="s">
        <v>1733</v>
      </c>
      <c r="AC4" s="352" t="s">
        <v>1629</v>
      </c>
      <c r="AD4" s="352" t="s">
        <v>1733</v>
      </c>
    </row>
    <row r="5" spans="1:30" x14ac:dyDescent="0.2">
      <c r="A5" s="2809"/>
      <c r="B5" s="496">
        <f>INDEX(List_Term_All,MATCH(Lookup_TermMaturity,List_Term,0),2)</f>
        <v>4.5999999999999996</v>
      </c>
      <c r="C5" s="496">
        <f>IF(Lookup_AmortType="FRM",INDEX(List_Term_All,MATCH(Lookup_TermInitial,List_Term,0),3),INDEX(List_Term_All,MATCH(Lookup_TermInitial,List_Term,0),4))</f>
        <v>6.65</v>
      </c>
      <c r="D5" s="499"/>
      <c r="F5" s="911" t="s">
        <v>1676</v>
      </c>
      <c r="G5" s="912" t="s">
        <v>1714</v>
      </c>
      <c r="J5" s="391" cm="1">
        <f t="array" ref="J5">[1]!LoanTest_HC_Fed_APR_1st_1_APORSpread</f>
        <v>6.5</v>
      </c>
      <c r="K5" s="386"/>
      <c r="L5" s="382"/>
      <c r="M5" s="394" cm="1">
        <f t="array" ref="M5">[1]!LoanTest_HC_Fed_APR_1st_1_LnAmt_Min</f>
        <v>50000</v>
      </c>
      <c r="N5" s="395" cm="1">
        <f t="array" ref="N5">[1]!LoanTest_HC_Fed_APR_1st_1_LnAmt_Max</f>
        <v>9999999</v>
      </c>
      <c r="O5" s="1"/>
      <c r="P5" s="1"/>
      <c r="Q5" s="367">
        <f>IF(AND(Lookup_LienPosition=1,Input_LoanAmt&gt;=HC_Fed_APR_1st_1_LnAmt_Min,Input_LoanAmt&lt;HC_Fed_APR_1st_1_LnAmt_Max,Lookup_APR_Federal&gt;(Input_APOR+HC_Fed_APR_1st_1_APORSpread)),1,0)</f>
        <v>0</v>
      </c>
      <c r="R5" s="368" t="str">
        <f>IF(Q5=1,G5,"")</f>
        <v/>
      </c>
      <c r="S5" s="1048"/>
      <c r="T5" s="1044">
        <f>Input_APOR+HC_Fed_APR_1st_1_APORSpread</f>
        <v>13.15</v>
      </c>
      <c r="U5" s="898"/>
      <c r="V5" s="929">
        <f>IF(AND(Lookup_LienPosition=2,Input_LoanAmt&gt;=HC_Fed_APR_2nd_LnAmt_Min,Input_LoanAmt&lt;HC_Fed_APR_2nd_LnAmt_Max),LoanTest!T7,IF(AND(Input_LoanAmt&gt;=HC_Fed_APR_1st_1_LnAmt_Min,Input_LoanAmt&lt;HC_Fed_APR_1st_1_LnAmt_Max),T5,IF(AND(Input_LoanAmt&gt;=HC_Fed_APR_1st_2_LnAmt_Min,Input_LoanAmt&lt;HC_Fed_APR_1st_2_LnAmt_Max),T6,0)))</f>
        <v>15.15</v>
      </c>
      <c r="W5" s="456" t="str">
        <f>IF(SUM(Test_HighCost_Federal)&gt;0,"High Cost (Federal)","Not High Cost (Federal)")</f>
        <v>Not High Cost (Federal)</v>
      </c>
      <c r="Y5" s="353" t="s">
        <v>318</v>
      </c>
      <c r="Z5" s="353" t="s">
        <v>318</v>
      </c>
      <c r="AA5" s="356" t="s">
        <v>1723</v>
      </c>
      <c r="AB5" s="356" t="s">
        <v>424</v>
      </c>
      <c r="AC5" s="361" t="str">
        <f>IF(AND(Test_QM_Msg2=Y5,Test_HPML_Msg2=Z5),AA5,"")</f>
        <v/>
      </c>
      <c r="AD5" s="361" t="str">
        <f>IF(AND(Test_QM_Msg2=Y5,Test_HPML_Msg2=Z5),AB5,"")</f>
        <v/>
      </c>
    </row>
    <row r="6" spans="1:30" x14ac:dyDescent="0.2">
      <c r="C6" s="509" t="s">
        <v>1727</v>
      </c>
      <c r="D6" s="510" t="s">
        <v>1728</v>
      </c>
      <c r="F6" s="913" t="s">
        <v>1677</v>
      </c>
      <c r="G6" s="914" t="s">
        <v>1714</v>
      </c>
      <c r="J6" s="392" cm="1">
        <f t="array" ref="J6">[1]!LoanTest_HC_Fed_APR_1st_2_APORSpread</f>
        <v>8.5</v>
      </c>
      <c r="K6" s="387"/>
      <c r="L6" s="383"/>
      <c r="M6" s="396" cm="1">
        <f t="array" ref="M6">[1]!LoanTest_HC_Fed_APR_1st_2_LnAmt_Min</f>
        <v>0</v>
      </c>
      <c r="N6" s="397" cm="1">
        <f t="array" ref="N6">[1]!LoanTest_HC_Fed_APR_1st_2_LnAmt_Max</f>
        <v>50000</v>
      </c>
      <c r="O6" s="1"/>
      <c r="P6" s="1"/>
      <c r="Q6" s="369">
        <f>IF(AND(Lookup_LienPosition=1,Input_LoanAmt&gt;=HC_Fed_APR_1st_2_LnAmt_Min,Input_LoanAmt&lt;HC_Fed_APR_1st_2_LnAmt_Max,Lookup_APR_Federal&gt;(Input_APOR+HC_Fed_APR_1st_2_APORSpread)),1,0)</f>
        <v>0</v>
      </c>
      <c r="R6" s="370" t="str">
        <f>IF(Q6=1,G6,"")</f>
        <v/>
      </c>
      <c r="S6" s="1049"/>
      <c r="T6" s="1045">
        <f>Input_APOR+HC_Fed_APR_1st_2_APORSpread</f>
        <v>15.15</v>
      </c>
      <c r="U6" s="305"/>
      <c r="W6" s="457" t="str">
        <f>IF(SUM(Test_HighCost_Federal)&gt;0,"Yes","No")</f>
        <v>No</v>
      </c>
      <c r="Y6" s="354" t="s">
        <v>318</v>
      </c>
      <c r="Z6" s="354" t="s">
        <v>319</v>
      </c>
      <c r="AA6" s="357" t="s">
        <v>1724</v>
      </c>
      <c r="AB6" s="357" t="s">
        <v>424</v>
      </c>
      <c r="AC6" s="362" t="str">
        <f>IF(AND(Test_QM_Msg2=Y6,Test_HPML_Msg2=Z6),AA6,"")</f>
        <v/>
      </c>
      <c r="AD6" s="362" t="str">
        <f>IF(AND(Test_QM_Msg2=Y6,Test_HPML_Msg2=Z6),AB6,"")</f>
        <v/>
      </c>
    </row>
    <row r="7" spans="1:30" x14ac:dyDescent="0.2">
      <c r="A7" s="500" t="s">
        <v>1626</v>
      </c>
      <c r="B7" s="503" t="e">
        <v>#N/A</v>
      </c>
      <c r="C7" s="508" cm="1">
        <f t="array" ref="C7">[1]!Input_Index_APOR_FRM40</f>
        <v>6.65</v>
      </c>
      <c r="D7" s="375" t="e">
        <v>#N/A</v>
      </c>
      <c r="F7" s="915" t="s">
        <v>1678</v>
      </c>
      <c r="G7" s="916" t="s">
        <v>1714</v>
      </c>
      <c r="J7" s="393" cm="1">
        <f t="array" ref="J7">[1]!LoanTest_HC_Fed_APR_2nd_APORSpread</f>
        <v>8.5</v>
      </c>
      <c r="K7" s="388"/>
      <c r="L7" s="384"/>
      <c r="M7" s="398" cm="1">
        <f t="array" ref="M7">[1]!LoanTest_HC_Fed_APR_2nd_LnAmt_Min</f>
        <v>0</v>
      </c>
      <c r="N7" s="399" cm="1">
        <f t="array" ref="N7">[1]!LoanTest_HC_Fed_APR_2nd_LnAmt_Max</f>
        <v>9999999</v>
      </c>
      <c r="O7" s="1"/>
      <c r="P7" s="1"/>
      <c r="Q7" s="371">
        <f>IF(AND(Lookup_LienPosition=2,Input_LoanAmt&gt;=HC_Fed_APR_2nd_LnAmt_Min,Input_LoanAmt&lt;HC_Fed_APR_2nd_LnAmt_Max,Lookup_APR_Federal&gt;(Input_APOR+HC_Fed_APR_2nd_APORSpread)),1,0)</f>
        <v>0</v>
      </c>
      <c r="R7" s="372" t="str">
        <f>IF(Q7=1,G7,"")</f>
        <v/>
      </c>
      <c r="S7" s="1050"/>
      <c r="T7" s="1046">
        <f>Input_APOR+HC_Fed_APR_2nd_APORSpread</f>
        <v>15.15</v>
      </c>
      <c r="V7" s="499"/>
      <c r="W7" s="1036" t="str">
        <f>IF(SUM(Test_HighCost_Federal)&gt;0,"Fail","Pass")</f>
        <v>Pass</v>
      </c>
      <c r="Y7" s="354" t="s">
        <v>319</v>
      </c>
      <c r="Z7" s="354" t="s">
        <v>319</v>
      </c>
      <c r="AA7" s="357" t="s">
        <v>525</v>
      </c>
      <c r="AB7" s="357" t="s">
        <v>424</v>
      </c>
      <c r="AC7" s="362" t="str">
        <f>IF(AND(Test_QM_Msg2=Y7,Test_HPML_Msg2=Z7),AA7,"")</f>
        <v/>
      </c>
      <c r="AD7" s="362" t="str">
        <f>IF(AND(Test_QM_Msg2=Y7,Test_HPML_Msg2=Z7),AB7,"")</f>
        <v/>
      </c>
    </row>
    <row r="8" spans="1:30" x14ac:dyDescent="0.2">
      <c r="A8" s="501" t="s">
        <v>1625</v>
      </c>
      <c r="B8" s="504" cm="1">
        <f t="array" ref="B8">[1]!Input_Index_Treasury30yr</f>
        <v>4.5999999999999996</v>
      </c>
      <c r="C8" s="376" cm="1">
        <f t="array" ref="C8">[1]!Input_Index_APOR_FRM30</f>
        <v>6.65</v>
      </c>
      <c r="D8" s="377" t="e">
        <v>#N/A</v>
      </c>
      <c r="F8" s="911" t="s">
        <v>1679</v>
      </c>
      <c r="G8" s="912" t="s">
        <v>1715</v>
      </c>
      <c r="J8" s="389"/>
      <c r="K8" s="917" cm="1">
        <f t="array" ref="K8">[1]!LoanTest_HC_Fed_PtsFees_1_FeePct</f>
        <v>8</v>
      </c>
      <c r="L8" s="919" cm="1">
        <f t="array" ref="L8">[1]!LoanTest_HC_Fed_PtsFees_1_FeeAmt</f>
        <v>1348</v>
      </c>
      <c r="M8" s="918" cm="1">
        <f t="array" ref="M8">[1]!LoanTest_HC_Fed_PtsFees_1_LnAmt_Min</f>
        <v>0</v>
      </c>
      <c r="N8" s="395" cm="1">
        <f t="array" ref="N8">[1]!LoanTest_HC_Fed_PtsFees_1_LnAmt_Max</f>
        <v>26968</v>
      </c>
      <c r="O8" s="1"/>
      <c r="P8" s="1"/>
      <c r="Q8" s="367">
        <f>IF(AND(Input_LoanAmt&gt;=HC_Fed_PtsFees_1_LnAmt_Min,Input_LoanAmt&lt;HC_Fed_PtsFees_1_LnAmt_Max,(OR(Input_Calc_APRTotalFees&gt;HC_Fed_PtsFees_1_FeeAmt,(Input_Calc_APRTotalFees/Input_LoanAmt)&gt;HC_Fed_PtsFees_1_FeePct/100))),1,0)</f>
        <v>0</v>
      </c>
      <c r="R8" s="368"/>
      <c r="S8" s="1048"/>
      <c r="U8" s="903">
        <f>IF(Input_Calc_APRTotalFees&gt;HC_Fed_PtsFees_1_FeeAmt,HC_Fed_PtsFees_1_FeeAmt,HC_Fed_PtsFees_1_FeePct)</f>
        <v>1348</v>
      </c>
      <c r="V8" s="449">
        <f>IF(Lookup_LienPosition=1,HC_Fed_PtsFees_1_FeePct&amp;" / "&amp;HC_Fed_PtsFees_1_FeeAmt,IF(Lookup_LienPosition=2,HC_Fed_PtsFees_2_FeePct,0))</f>
        <v>5</v>
      </c>
      <c r="W8" s="348"/>
      <c r="Y8" s="355" t="s">
        <v>319</v>
      </c>
      <c r="Z8" s="355" t="s">
        <v>318</v>
      </c>
      <c r="AA8" s="358" t="s">
        <v>1725</v>
      </c>
      <c r="AB8" s="358" t="s">
        <v>1726</v>
      </c>
      <c r="AC8" s="363" t="str">
        <f>IF(AND(Test_QM_Msg2=Y8,Test_HPML_Msg2=Z8),AA8,"")</f>
        <v>NonQM HPML</v>
      </c>
      <c r="AD8" s="363" t="str">
        <f>IF(AND(Test_QM_Msg2=Y8,Test_HPML_Msg2=Z8),AB8,"")</f>
        <v>Appraisal</v>
      </c>
    </row>
    <row r="9" spans="1:30" x14ac:dyDescent="0.2">
      <c r="A9" s="501" t="s">
        <v>1624</v>
      </c>
      <c r="B9" s="504" cm="1">
        <f t="array" ref="B9">[1]!Input_Index_Treasury20yr</f>
        <v>4.6399999999999997</v>
      </c>
      <c r="C9" s="376" cm="1">
        <f t="array" ref="C9">[1]!Input_Index_APOR_FRM20</f>
        <v>6.31</v>
      </c>
      <c r="D9" s="377" t="e">
        <v>#N/A</v>
      </c>
      <c r="F9" s="915" t="s">
        <v>1680</v>
      </c>
      <c r="G9" s="916" t="s">
        <v>1715</v>
      </c>
      <c r="J9" s="385"/>
      <c r="K9" s="393" cm="1">
        <f t="array" ref="K9">[1]!LoanTest_HC_Fed_PtsFees_2_FeePct</f>
        <v>5</v>
      </c>
      <c r="L9" s="390"/>
      <c r="M9" s="398" cm="1">
        <f t="array" ref="M9">[1]!LoanTest_HC_Fed_PtsFees_2_LnAmt_Min</f>
        <v>26968</v>
      </c>
      <c r="N9" s="399" cm="1">
        <f t="array" ref="N9">[1]!LoanTest_HC_Fed_PtsFees_2_LnAmt_Max</f>
        <v>9999999</v>
      </c>
      <c r="O9" s="1"/>
      <c r="P9" s="1"/>
      <c r="Q9" s="371">
        <f>IF(AND(Input_LoanAmt&gt;=HC_Fed_PtsFees_2_LnAmt_Min,Input_LoanAmt&lt;HC_Fed_PtsFees_2_LnAmt_Max,(Input_Calc_APRTotalFees/Input_LoanAmt)&gt;(HC_Fed_PtsFees_2_FeePct/100)),1,0)</f>
        <v>0</v>
      </c>
      <c r="R9" s="372" t="str">
        <f>IF(Q9=1,G9,"")</f>
        <v/>
      </c>
      <c r="S9" s="1050"/>
      <c r="U9" s="904">
        <f>HC_Fed_PtsFees_2_FeePct</f>
        <v>5</v>
      </c>
      <c r="Y9" s="10"/>
      <c r="Z9" s="10"/>
      <c r="AA9" s="10"/>
      <c r="AB9" s="10"/>
      <c r="AC9" s="364" t="str">
        <f>IF(OR(Test_HighCost_Federal_Msg2="Yes",Test_HighCost_State_Msg2="Yes"),"High Cost",AC5&amp;AC6&amp;AC7&amp;AC8)</f>
        <v>NonQM HPML</v>
      </c>
      <c r="AD9" s="364" t="str">
        <f>IF(OR(Test_HighCost_Federal_Msg2="Yes",Test_HighCost_State_Msg2="Yes"),"",IF(AND(Lookup_LienPosition=2,Input_LoanAmt&lt;=Test_Results_AVMLoanAmountLimit_VPM,AD5&amp;AD6&amp;AD7&amp;AD8="AVM"),"AVM","Appraisal"))</f>
        <v>Appraisal</v>
      </c>
    </row>
    <row r="10" spans="1:30" x14ac:dyDescent="0.2">
      <c r="A10" s="501" t="s">
        <v>1623</v>
      </c>
      <c r="B10" s="505" t="e">
        <v>#N/A</v>
      </c>
      <c r="C10" s="376" cm="1">
        <f t="array" ref="C10">[1]!Input_Index_APOR_FRM15</f>
        <v>6.04</v>
      </c>
      <c r="D10" s="377" t="e">
        <v>#N/A</v>
      </c>
      <c r="E10" s="1"/>
      <c r="J10" s="346"/>
      <c r="K10" s="346"/>
      <c r="R10" s="10" t="str">
        <f>IF(Q10=1,G10,"")</f>
        <v/>
      </c>
    </row>
    <row r="11" spans="1:30" x14ac:dyDescent="0.2">
      <c r="A11" s="501" t="s">
        <v>1621</v>
      </c>
      <c r="B11" s="504" cm="1">
        <f t="array" ref="B11">[1]!Input_Index_Treasury10yr</f>
        <v>4.3099999999999996</v>
      </c>
      <c r="C11" s="376" cm="1">
        <f t="array" ref="C11">[1]!Input_Index_APOR_FRM10</f>
        <v>6.07</v>
      </c>
      <c r="D11" s="378" cm="1">
        <f t="array" ref="D11">[1]!Input_Index_APOR_ARM10</f>
        <v>6.56</v>
      </c>
      <c r="E11" s="1"/>
      <c r="F11" s="905" t="s">
        <v>1719</v>
      </c>
      <c r="G11" s="906" t="s">
        <v>1716</v>
      </c>
      <c r="H11" s="450" t="str">
        <f>INDEX(List_State_All,MATCH(Input_State,List_State,0),17)</f>
        <v>Treasury</v>
      </c>
      <c r="I11" s="451">
        <f>IF(HC_State_APR_IndexType="Treasury",INDEX(List_Term_All,MATCH(Lookup_TermMaturity,List_Term,0),2),IF(Lookup_AmortType="FRM",INDEX(List_Term_All,MATCH(Lookup_TermMaturity,List_Term,0),3),INDEX(List_Term_All,MATCH(Lookup_TermInitial,List_Term,0),4)))</f>
        <v>4.5999999999999996</v>
      </c>
      <c r="J11" s="438">
        <f>INDEX(List_State_All,MATCH(Input_State,List_State,0),18)</f>
        <v>8</v>
      </c>
      <c r="K11" s="402"/>
      <c r="L11" s="400"/>
      <c r="M11" s="409">
        <v>0</v>
      </c>
      <c r="N11" s="440">
        <f>IF(INDEX(List_State_All,MATCH(Input_State,List_State,0),21)="Agency",Lookup_Units_AgencyLoanAmount,INDEX(List_State_All,MATCH(Input_State,List_State,0),21))</f>
        <v>806500</v>
      </c>
      <c r="O11" s="441" t="str">
        <f>INDEX(List_State_All,MATCH(Input_State,List_State,0),22)</f>
        <v>Owner Occupied</v>
      </c>
      <c r="P11" s="442" t="str">
        <f>INDEX(List_State_All,MATCH(Input_State,List_State,0),23)</f>
        <v>Purchase, Rate-Term, Cash-Out</v>
      </c>
      <c r="Q11" s="404">
        <f>IF(AND(Lookup_LienPosition=1,Input_LoanAmt&gt;HC_State_APR_1st_LnAmt_Min,Input_LoanAmt&lt;HC_State_APR_1st_LnAmt_Max,(IFERROR(FIND(Input_Occupancy,HC_State_APR_1st_Occ),0))&gt;0,(IFERROR(FIND(Input_Purpose,HC_State_APR_1st_Purpose),0))&gt;0,Lookup_APR_State&gt;(HC_State_APR_Index+HC_State_APR_1st_IndexSpread)),1,0)</f>
        <v>0</v>
      </c>
      <c r="R11" s="368" t="str">
        <f>IF(Q11=1,G11,"")</f>
        <v/>
      </c>
      <c r="S11" s="1048"/>
      <c r="T11" s="1"/>
      <c r="U11" s="900">
        <f>HC_State_APR_Index+HC_State_APR_1st_IndexSpread</f>
        <v>12.6</v>
      </c>
      <c r="V11" s="1901" t="str">
        <f>HC_State_APR_IndexType</f>
        <v>Treasury</v>
      </c>
      <c r="W11" s="1902" t="str">
        <f>IF(AND(Lookup_ProductClass="HELOC",HC_State_HighCost_HELOCExclude="Y"),"Exempt",IF(SUM(Test_HighCost_State)&gt;0,"High Cost (State)","Not High Cost (State)"))</f>
        <v>Not High Cost (State)</v>
      </c>
    </row>
    <row r="12" spans="1:30" x14ac:dyDescent="0.2">
      <c r="A12" s="501" t="s">
        <v>1746</v>
      </c>
      <c r="B12" s="506" t="e">
        <v>#N/A</v>
      </c>
      <c r="C12" s="379" t="e">
        <v>#N/A</v>
      </c>
      <c r="D12" s="378" cm="1">
        <f t="array" ref="D12">[1]!Input_Index_APOR_ARM07</f>
        <v>6.62</v>
      </c>
      <c r="E12" s="1"/>
      <c r="F12" s="907" t="s">
        <v>1720</v>
      </c>
      <c r="G12" s="908" t="s">
        <v>1716</v>
      </c>
      <c r="H12" s="452" t="str">
        <f>HC_State_APR_IndexType&amp;" "&amp;Lookup_TermMaturity&amp;" "&amp;Lookup_AmortType</f>
        <v>Treasury 360 FRM</v>
      </c>
      <c r="I12" s="453"/>
      <c r="J12" s="439">
        <f>INDEX(List_State_All,MATCH(Input_State,List_State,0),19)</f>
        <v>8</v>
      </c>
      <c r="K12" s="403"/>
      <c r="L12" s="401"/>
      <c r="M12" s="410">
        <v>0</v>
      </c>
      <c r="N12" s="443">
        <f>IF(INDEX(List_State_All,MATCH(Input_State,List_State,0),21)="Agency",Lookup_Units_AgencyLoanAmount,INDEX(List_State_All,MATCH(Input_State,List_State,0),21))</f>
        <v>806500</v>
      </c>
      <c r="O12" s="444" t="str">
        <f>INDEX(List_State_All,MATCH(Input_State,List_State,0),22)</f>
        <v>Owner Occupied</v>
      </c>
      <c r="P12" s="445" t="str">
        <f>INDEX(List_State_All,MATCH(Input_State,List_State,0),23)</f>
        <v>Purchase, Rate-Term, Cash-Out</v>
      </c>
      <c r="Q12" s="405">
        <f>IF(AND(Lookup_LienPosition=2,Input_LoanAmt&gt;HC_State_APR_2nd_LnAmt_Min,Input_LoanAmt&lt;HC_State_APR_2nd_LnAmt_Max,(IFERROR(FIND(Input_Occupancy,HC_State_APR_2nd_Occ),0))&gt;0,(IFERROR(FIND(Input_Purpose,HC_State_APR_2nd_Purpose),0))&gt;0,Lookup_APR_State&gt;(HC_State_APR_Index+HC_State_APR_2nd_IndexSpread)),1,0)</f>
        <v>0</v>
      </c>
      <c r="R12" s="370" t="str">
        <f>IF(Q12=1,G12,"")</f>
        <v/>
      </c>
      <c r="S12" s="1049"/>
      <c r="T12" s="1"/>
      <c r="U12" s="901">
        <f>HC_State_APR_Index+HC_State_APR_2nd_IndexSpread</f>
        <v>12.6</v>
      </c>
      <c r="V12" s="1905">
        <f>IF(Lookup_LienPosition=1,LoanTest!U11,IF(Lookup_LienPosition=2,LoanTest!U12,0))</f>
        <v>12.6</v>
      </c>
      <c r="W12" s="457" t="str">
        <f>IF(AND(Lookup_ProductClass="HELOC",HC_State_HighCost_HELOCExclude="Y"),"No",IF(SUM(Test_HighCost_State)&gt;0,"Yes","No"))</f>
        <v>No</v>
      </c>
    </row>
    <row r="13" spans="1:30" x14ac:dyDescent="0.2">
      <c r="A13" s="501" t="s">
        <v>1747</v>
      </c>
      <c r="B13" s="506" t="e">
        <v>#N/A</v>
      </c>
      <c r="C13" s="379" t="e">
        <v>#N/A</v>
      </c>
      <c r="D13" s="378" cm="1">
        <f t="array" ref="D13">[1]!Input_Index_APOR_ARM05</f>
        <v>6.79</v>
      </c>
      <c r="E13" s="1"/>
      <c r="F13" s="909" t="s">
        <v>1691</v>
      </c>
      <c r="G13" s="910" t="s">
        <v>1717</v>
      </c>
      <c r="H13" s="454" t="str">
        <f>INDEX(List_State_All,MATCH(Input_State,List_State,0),1)</f>
        <v>CA</v>
      </c>
      <c r="I13" s="455">
        <f>INDEX(List_State_All,MATCH(Input_State,List_State,0),16)</f>
        <v>1</v>
      </c>
      <c r="J13" s="408"/>
      <c r="K13" s="449">
        <f>INDEX(List_State_All,MATCH(Input_State,List_State,0),20)</f>
        <v>6</v>
      </c>
      <c r="L13" s="406"/>
      <c r="M13" s="411">
        <v>0</v>
      </c>
      <c r="N13" s="446">
        <f>IF(INDEX(List_State_All,MATCH(Input_State,List_State,0),21)="Agency",Lookup_Units_AgencyLoanAmount,INDEX(List_State_All,MATCH(Input_State,List_State,0),21))</f>
        <v>806500</v>
      </c>
      <c r="O13" s="447" t="str">
        <f>INDEX(List_State_All,MATCH(Input_State,List_State,0),22)</f>
        <v>Owner Occupied</v>
      </c>
      <c r="P13" s="448" t="str">
        <f>INDEX(List_State_All,MATCH(Input_State,List_State,0),23)</f>
        <v>Purchase, Rate-Term, Cash-Out</v>
      </c>
      <c r="Q13" s="407">
        <f>IF(AND(Input_LoanAmt&gt;HC_State_PtsFees_LnAmt_Min,Input_LoanAmt&lt;HC_State_PtsFees_LnAmt_Max,(IFERROR(FIND(Input_Occupancy,HC_State_PtsFees_Occ),0))&gt;0,(IFERROR(FIND(Input_Purpose,HC_State_PtsFees_Purpose),0))&gt;0,(Input_Calc_APRTotalFees/Input_LoanAmt)&gt;HC_State_PtsFees_FeePct/100),1,0)</f>
        <v>0</v>
      </c>
      <c r="R13" s="372" t="str">
        <f>IF(Q13=1,G13,"")</f>
        <v/>
      </c>
      <c r="S13" s="1050"/>
      <c r="T13" s="922"/>
      <c r="U13" s="902">
        <f>HC_State_PtsFees_FeePct</f>
        <v>6</v>
      </c>
      <c r="V13" s="1903">
        <f>U13</f>
        <v>6</v>
      </c>
      <c r="W13" s="1904" t="str">
        <f>IF(AND(Lookup_ProductClass="HELOC",HC_State_HighCost_HELOCExclude="Y"),"Exempt",IF(SUM(Test_HighCost_State)&gt;0,"Fail","Pass"))</f>
        <v>Pass</v>
      </c>
    </row>
    <row r="14" spans="1:30" x14ac:dyDescent="0.2">
      <c r="A14" s="501" t="s">
        <v>3541</v>
      </c>
      <c r="B14" s="506" t="e">
        <v>#N/A</v>
      </c>
      <c r="C14" s="379" t="e">
        <v>#N/A</v>
      </c>
      <c r="D14" s="378" cm="1">
        <f t="array" ref="D14">[1]!Input_Index_APOR_ARM03</f>
        <v>7.13</v>
      </c>
      <c r="E14" s="1"/>
      <c r="F14" s="1"/>
      <c r="G14" s="455" t="str">
        <f>INDEX(List_State_All,MATCH(Input_State,List_State,0),25)</f>
        <v>Y</v>
      </c>
      <c r="H14" s="455">
        <f>INDEX(List_State_All,MATCH(Input_State,List_State,0),24)</f>
        <v>0</v>
      </c>
      <c r="I14" s="493">
        <f>IF(HC_State_APR_IndexType="Treasury",INDEX(List_Term_All,MATCH(Lookup_TermAmort,List_Term,0),2),IF(Lookup_AmortType="FRM",INDEX(List_Term_All,MATCH(Lookup_TermAmort,List_Term,0),3),INDEX(List_Term_All,MATCH(Lookup_TermInitial,List_Term,0),4)))</f>
        <v>4.5999999999999996</v>
      </c>
      <c r="J14" s="1"/>
      <c r="K14" s="1"/>
      <c r="L14" s="1"/>
      <c r="M14" s="1"/>
      <c r="N14" s="1"/>
      <c r="O14" s="1"/>
      <c r="P14" s="1"/>
      <c r="Q14" s="1"/>
      <c r="R14" s="1"/>
      <c r="S14" s="1"/>
      <c r="T14" s="1"/>
      <c r="U14" s="1"/>
      <c r="W14" s="1"/>
      <c r="X14" s="1"/>
    </row>
    <row r="15" spans="1:30" x14ac:dyDescent="0.2">
      <c r="A15" s="501" t="s">
        <v>3542</v>
      </c>
      <c r="B15" s="506" t="e">
        <v>#N/A</v>
      </c>
      <c r="C15" s="379" t="e">
        <v>#N/A</v>
      </c>
      <c r="D15" s="378" cm="1">
        <f t="array" ref="D15">[1]!Input_Index_APOR_ARM02</f>
        <v>7.2</v>
      </c>
      <c r="E15" s="1"/>
      <c r="F15" s="1"/>
      <c r="G15" s="1"/>
      <c r="H15" s="1"/>
      <c r="J15" s="1"/>
      <c r="K15" s="1"/>
      <c r="L15" s="1"/>
      <c r="M15" s="1"/>
      <c r="N15" s="1"/>
      <c r="O15" s="1"/>
      <c r="P15" s="1"/>
      <c r="Q15" s="1"/>
      <c r="R15" s="10" t="str">
        <f>IF(Q15=1,G13,"")</f>
        <v/>
      </c>
      <c r="S15" s="1"/>
      <c r="T15" s="1"/>
      <c r="U15" s="1"/>
    </row>
    <row r="16" spans="1:30" x14ac:dyDescent="0.2">
      <c r="A16" s="502" t="s">
        <v>3543</v>
      </c>
      <c r="B16" s="507" t="e">
        <v>#N/A</v>
      </c>
      <c r="C16" s="380" t="e">
        <v>#N/A</v>
      </c>
      <c r="D16" s="381" cm="1">
        <f t="array" ref="D16">[1]!Input_Index_APOR_ARM01</f>
        <v>7.29</v>
      </c>
      <c r="F16" s="430" t="s">
        <v>1681</v>
      </c>
      <c r="G16" s="431" t="s">
        <v>1681</v>
      </c>
      <c r="J16" s="923"/>
      <c r="K16" s="422" cm="1">
        <f t="array" ref="K16">[1]!LoanTest_QM_PtsFees_1_FeePct</f>
        <v>3</v>
      </c>
      <c r="L16" s="418"/>
      <c r="M16" s="423" cm="1">
        <f t="array" ref="M16">[1]!LoanTest_QM_PtsFees_1_LnAmt_Min</f>
        <v>134841</v>
      </c>
      <c r="N16" s="424" cm="1">
        <f t="array" ref="N16">[1]!LoanTest_QM_PtsFees_1_LnAmt_Max</f>
        <v>9999999</v>
      </c>
      <c r="O16" s="1"/>
      <c r="P16" s="1"/>
      <c r="Q16" s="367">
        <f>IF(AND(Input_LoanAmt&gt;=QM_PtsFees_1_LnAmt_Min,Input_LoanAmt&lt;QM_PtsFees_1_LnAmt_Max,(Input_Calc_APRTotalFees/Input_LoanAmt)&gt;QM_PtsFees_1_FeePct/100),1,0)</f>
        <v>0</v>
      </c>
      <c r="R16" s="368" t="str">
        <f t="shared" ref="R16:R26" si="0">IF(Q16=1,G16,"")</f>
        <v/>
      </c>
      <c r="S16" s="1047">
        <f>IF(OR(Lookup_TermAmort&gt;360,Input_AmortType="Interest-Only",Lookup_AmortType_Detail="BLN",Input_DocType="09-DSCR",Input_ProductClass="HELOC"),1,0)</f>
        <v>0</v>
      </c>
      <c r="T16" s="1"/>
      <c r="U16" s="900">
        <f>QM_PtsFees_1_FeePct</f>
        <v>3</v>
      </c>
      <c r="V16" s="449">
        <f>IF(AND(Input_LoanAmt&gt;=QM_PtsFees_1_LnAmt_Min,Input_LoanAmt&lt;QM_PtsFees_1_LnAmt_Max),QM_PtsFees_1_FeePct,IF(AND(Input_LoanAmt&gt;=QM_PtsFees_2_LnAmt_Min,Input_LoanAmt&lt;QM_PtsFees_2_LnAmt_Max),((QM_PtsFees_2_FeeAmt/Input_LoanAmt)*100),IF(AND(Input_LoanAmt&gt;=QM_PtsFees_3_LnAmt_Min,Input_LoanAmt&lt;QM_PtsFees_3_LnAmt_Max),QM_PtsFees_3_FeePct,0)))</f>
        <v>3</v>
      </c>
      <c r="W16" s="899" t="str">
        <f>IF(SUM(Test_QM_Exemption)&gt;0,"Exempt",IF(SUM(Test_QM)&gt;0,"Non QM","QM"))</f>
        <v>Non QM</v>
      </c>
    </row>
    <row r="17" spans="1:23" x14ac:dyDescent="0.2">
      <c r="F17" s="432" t="s">
        <v>1682</v>
      </c>
      <c r="G17" s="433" t="s">
        <v>1682</v>
      </c>
      <c r="J17" s="924"/>
      <c r="K17" s="419"/>
      <c r="L17" s="921" cm="1">
        <f t="array" ref="L17">[1]!LoanTest_QM_PtsFees_2_FeeAmt</f>
        <v>4045</v>
      </c>
      <c r="M17" s="920" cm="1">
        <f t="array" ref="M17">[1]!LoanTest_QM_PtsFees_2_LnAmt_Min</f>
        <v>80905</v>
      </c>
      <c r="N17" s="426" cm="1">
        <f t="array" ref="N17">[1]!LoanTest_QM_PtsFees_2_LnAmt_Max</f>
        <v>134841</v>
      </c>
      <c r="O17" s="1"/>
      <c r="P17" s="1"/>
      <c r="Q17" s="369">
        <f>IF(AND(Input_LoanAmt&gt;=QM_PtsFees_2_LnAmt_Min,Input_LoanAmt&lt;QM_PtsFees_2_LnAmt_Max,Input_Calc_APRTotalFees&gt;QM_PtsFees_2_FeeAmt),1,0)</f>
        <v>0</v>
      </c>
      <c r="R17" s="370" t="str">
        <f t="shared" si="0"/>
        <v/>
      </c>
      <c r="S17" s="1059">
        <v>0</v>
      </c>
      <c r="T17" s="1"/>
      <c r="U17" s="901">
        <f>(QM_PtsFees_2_FeeAmt/Input_LoanAmt)*100</f>
        <v>1.6179999999999999</v>
      </c>
      <c r="W17" s="457" t="str">
        <f>IF(SUM(Test_QM_Exemption)&gt;0,"No",IF(SUM(Test_QM)&gt;0,"No","Yes"))</f>
        <v>No</v>
      </c>
    </row>
    <row r="18" spans="1:23" x14ac:dyDescent="0.2">
      <c r="A18" s="2810" t="s">
        <v>1735</v>
      </c>
      <c r="B18" s="2810"/>
      <c r="C18" s="1"/>
      <c r="F18" s="434" t="s">
        <v>1683</v>
      </c>
      <c r="G18" s="435" t="s">
        <v>1683</v>
      </c>
      <c r="J18" s="925"/>
      <c r="K18" s="422" cm="1">
        <f t="array" ref="K18">[1]!LoanTest_QM_PtsFees_3_FeePct</f>
        <v>5</v>
      </c>
      <c r="L18" s="421"/>
      <c r="M18" s="427" cm="1">
        <f t="array" ref="M18">[1]!LoanTest_QM_PtsFees_3_LnAmt_Min</f>
        <v>26898</v>
      </c>
      <c r="N18" s="428" cm="1">
        <f t="array" ref="N18">[1]!LoanTest_QM_PtsFees_3_LnAmt_Max</f>
        <v>80905</v>
      </c>
      <c r="O18" s="1"/>
      <c r="P18" s="1"/>
      <c r="Q18" s="371">
        <f>IF(AND(Input_LoanAmt&gt;=QM_PtsFees_3_LnAmt_Min,Input_LoanAmt&lt;QM_PtsFees_3_LnAmt_Max,(Input_Calc_APRTotalFees/Input_LoanAmt)&gt;QM_PtsFees_3_FeePct/100),1,0)</f>
        <v>0</v>
      </c>
      <c r="R18" s="372" t="str">
        <f t="shared" si="0"/>
        <v/>
      </c>
      <c r="S18" s="1059">
        <v>0</v>
      </c>
      <c r="T18" s="1"/>
      <c r="U18" s="902">
        <f>QM_PtsFees_3_FeePct</f>
        <v>5</v>
      </c>
      <c r="W18" s="1036" t="str">
        <f>IF(SUM(Test_QM_Exemption)&gt;0,"Exempt",IF(SUM(Test_QM)&gt;0,"Non QM","QM"))</f>
        <v>Non QM</v>
      </c>
    </row>
    <row r="19" spans="1:23" x14ac:dyDescent="0.2">
      <c r="A19" s="977" t="s">
        <v>1759</v>
      </c>
      <c r="B19" s="978">
        <f>(IF(Input_Fees_Points&lt;=0,0,Input_Fees_Points)*Input_LoanAmt)+Input_Fees_UpfrontLender+Input_Fees_UpfrontBroker+Input_Fees_Upfront3rdParty+Input_Fees_UpfrontPrepaidInterest+Input_Fees_UpfrontOther+(Input_Fees_Monthly*Lookup_TermMaturity)</f>
        <v>5128.3333333333339</v>
      </c>
      <c r="C19" s="979">
        <f>IF(Input_Fees_Points&lt;=0,0,Input_Fees_Points)+SUM(C21:C27)</f>
        <v>2.0513333333333335E-2</v>
      </c>
      <c r="F19" s="430" t="s">
        <v>1684</v>
      </c>
      <c r="G19" s="431" t="s">
        <v>1684</v>
      </c>
      <c r="J19" s="926" cm="1">
        <f t="array" ref="J19">[1]!LoanTest_QM_APR_1st_1_APORSpread</f>
        <v>2.25</v>
      </c>
      <c r="K19" s="420"/>
      <c r="L19" s="412"/>
      <c r="M19" s="423" cm="1">
        <f t="array" ref="M19">[1]!LoanTest_QM_APR_1st_1_LnAmt_Min</f>
        <v>134841</v>
      </c>
      <c r="N19" s="424" cm="1">
        <f t="array" ref="N19">[1]!LoanTest_QM_APR_1st_1_LnAmt_Max</f>
        <v>9999999</v>
      </c>
      <c r="O19" s="1"/>
      <c r="P19" s="1"/>
      <c r="Q19" s="367">
        <f>IF(AND(Lookup_LienPosition=1,Input_LoanAmt&gt;=QM_APR_1st_1_LnAmt_Min,Input_LoanAmt&lt;QM_APR_1st_1_LnAmt_Max,Lookup_APR_Federal&gt;(Input_APOR+QM_APR_1st_1_APORSpread)),1,0)</f>
        <v>0</v>
      </c>
      <c r="R19" s="368" t="str">
        <f t="shared" si="0"/>
        <v/>
      </c>
      <c r="S19" s="1059">
        <v>0</v>
      </c>
      <c r="T19" s="1044">
        <f>Input_APOR+QM_APR_1st_1_APORSpread</f>
        <v>8.9</v>
      </c>
      <c r="U19" s="1"/>
      <c r="V19" s="449" cm="1">
        <f t="array" ref="V19">IF(AND(Input_LoanAmt&gt;=QM_APR_1st_1_LnAmt_Min,Input_LoanAmt&lt;QM_APR_1st_1_LnAmt_Max),Input_APOR+QM_APR_1st_1_APORSpread,IF(AND(Input_LoanAmt&gt;=QM_APR_1st_2_LnAmt_Min,Input_LoanAmt&lt;QM_APR_1st_2_LnAmt_Max),Input_APOR+QM_APR_1st_2_APORSpread,IF(AND(Input_LoanAmt&gt;=QM_APR_1st_3_LnAmt_Min,Input_LoanAmt&lt;QM_APR_1st_3_LnAmt_Max),Input_APOR+QM_APR_1st_3_APORSpread,IF(AND(Input_LoanAmt&gt;=QM_APR_1st_4_LnAmt_Min,Input_LoanAmt&lt;QM_APR_1st_4_LnAmt_Max),Input_APOR+QM_APR_1st_4_APORSpread,IF(AND(Input_LoanAmt&gt;=QM_APR_1st_5_LnAmt_Min,Input_LoanAmt&lt;QM_APR_1st_5_LnAmt_Max),Input_APOR+QM_APR_1st_5_APORSpread,0)))))</f>
        <v>8.9</v>
      </c>
    </row>
    <row r="20" spans="1:23" x14ac:dyDescent="0.2">
      <c r="A20" s="974" t="s">
        <v>1738</v>
      </c>
      <c r="B20" s="975">
        <f>Input_Fees_Points*Input_LoanAmt</f>
        <v>-3750</v>
      </c>
      <c r="C20" s="976">
        <f>Input_Fees_Points</f>
        <v>-1.4999999999999999E-2</v>
      </c>
      <c r="F20" s="432" t="s">
        <v>1687</v>
      </c>
      <c r="G20" s="433" t="s">
        <v>1687</v>
      </c>
      <c r="J20" s="927" cm="1">
        <f t="array" ref="J20">[1]!LoanTest_QM_APR_1st_2_APORSpread</f>
        <v>3.5</v>
      </c>
      <c r="K20" s="415"/>
      <c r="L20" s="414"/>
      <c r="M20" s="425" cm="1">
        <f t="array" ref="M20">[1]!LoanTest_QM_APR_1st_2_LnAmt_Min</f>
        <v>80905</v>
      </c>
      <c r="N20" s="426" cm="1">
        <f t="array" ref="N20">[1]!LoanTest_QM_APR_1st_2_LnAmt_Max</f>
        <v>134841</v>
      </c>
      <c r="O20" s="1"/>
      <c r="P20" s="1"/>
      <c r="Q20" s="369">
        <f>IF(AND(Lookup_LienPosition=1,Input_LoanAmt&gt;=QM_APR_1st_2_LnAmt_Min,Input_LoanAmt&lt;QM_APR_1st_2_LnAmt_Max,Lookup_APR_Federal&gt;(Input_APOR+QM_APR_1st_2_APORSpread)),1,0)</f>
        <v>0</v>
      </c>
      <c r="R20" s="370" t="str">
        <f t="shared" si="0"/>
        <v/>
      </c>
      <c r="S20" s="1059">
        <v>0</v>
      </c>
      <c r="T20" s="1045">
        <f>Input_APOR+QM_APR_1st_2_APORSpread</f>
        <v>10.15</v>
      </c>
      <c r="U20" s="1"/>
    </row>
    <row r="21" spans="1:23" x14ac:dyDescent="0.2">
      <c r="A21" s="513" t="s">
        <v>1739</v>
      </c>
      <c r="B21" s="969">
        <f>Input_Fees_UpfrontLender</f>
        <v>1195</v>
      </c>
      <c r="C21" s="972">
        <f>Input_Fees_UpfrontLender/Input_LoanAmt</f>
        <v>4.7800000000000004E-3</v>
      </c>
      <c r="F21" s="432" t="s">
        <v>1688</v>
      </c>
      <c r="G21" s="433" t="s">
        <v>1688</v>
      </c>
      <c r="J21" s="927" cm="1">
        <f t="array" ref="J21">[1]!LoanTest_QM_APR_1st_3_APORSpread</f>
        <v>6.5</v>
      </c>
      <c r="K21" s="415"/>
      <c r="L21" s="414"/>
      <c r="M21" s="425" cm="1">
        <f t="array" ref="M21">[1]!LoanTest_QM_APR_1st_3_LnAmt_Min</f>
        <v>0</v>
      </c>
      <c r="N21" s="426" cm="1">
        <f t="array" ref="N21">[1]!LoanTest_QM_APR_1st_3_LnAmt_Max</f>
        <v>80905</v>
      </c>
      <c r="O21" s="1"/>
      <c r="P21" s="1"/>
      <c r="Q21" s="369">
        <f>IF(AND(Lookup_LienPosition=1,Input_LoanAmt&gt;=QM_APR_1st_3_LnAmt_Min,Input_LoanAmt&lt;QM_APR_1st_3_LnAmt_Max,Lookup_APR_Federal&gt;(Input_APOR+QM_APR_1st_3_APORSpread)),1,0)</f>
        <v>0</v>
      </c>
      <c r="R21" s="370" t="str">
        <f t="shared" si="0"/>
        <v/>
      </c>
      <c r="S21" s="1059">
        <v>0</v>
      </c>
      <c r="T21" s="1045">
        <f>Input_APOR+QM_APR_1st_3_APORSpread</f>
        <v>13.15</v>
      </c>
      <c r="U21" s="1"/>
    </row>
    <row r="22" spans="1:23" x14ac:dyDescent="0.2">
      <c r="A22" s="513" t="s">
        <v>1740</v>
      </c>
      <c r="B22" s="969">
        <f>Input_Fees_UpfrontBroker</f>
        <v>1000</v>
      </c>
      <c r="C22" s="972">
        <f>Input_Fees_UpfrontBroker/Input_LoanAmt</f>
        <v>4.0000000000000001E-3</v>
      </c>
      <c r="F22" s="432" t="s">
        <v>1685</v>
      </c>
      <c r="G22" s="433" t="s">
        <v>1685</v>
      </c>
      <c r="J22" s="927" cm="1">
        <f t="array" ref="J22">[1]!LoanTest_QM_APR_2nd_1_APORSpread</f>
        <v>3.5</v>
      </c>
      <c r="K22" s="415"/>
      <c r="L22" s="414"/>
      <c r="M22" s="425" cm="1">
        <f t="array" ref="M22">[1]!LoanTest_QM_APR_2nd_1_LnAmt_Min</f>
        <v>80905</v>
      </c>
      <c r="N22" s="426" cm="1">
        <f t="array" ref="N22">[1]!LoanTest_QM_APR_2nd_1_LnAmt_Max</f>
        <v>9999999</v>
      </c>
      <c r="O22" s="1"/>
      <c r="P22" s="1"/>
      <c r="Q22" s="369">
        <f>IF(AND(Lookup_LienPosition=2,Input_LoanAmt&gt;=QM_APR_2nd_1_LnAmt_Min,Input_LoanAmt&lt;QM_APR_2nd_1_LnAmt_Max,Lookup_APR_Federal&gt;(Input_APOR+QM_APR_2nd_1_APORSpread)),1,0)</f>
        <v>1</v>
      </c>
      <c r="R22" s="370" t="str">
        <f t="shared" si="0"/>
        <v>QM_APR_2nd_1</v>
      </c>
      <c r="S22" s="1059">
        <v>0</v>
      </c>
      <c r="T22" s="1045">
        <f>Input_APOR+QM_APR_2nd_1_APORSpread</f>
        <v>10.15</v>
      </c>
      <c r="U22" s="1"/>
    </row>
    <row r="23" spans="1:23" x14ac:dyDescent="0.2">
      <c r="A23" s="513" t="s">
        <v>1742</v>
      </c>
      <c r="B23" s="969">
        <f>Input_Fees_Upfront3rdParty</f>
        <v>0</v>
      </c>
      <c r="C23" s="972">
        <f>Input_Fees_Upfront3rdParty/Input_LoanAmt</f>
        <v>0</v>
      </c>
      <c r="F23" s="434" t="s">
        <v>1686</v>
      </c>
      <c r="G23" s="435" t="s">
        <v>1686</v>
      </c>
      <c r="J23" s="928" cm="1">
        <f t="array" ref="J23">[1]!LoanTest_QM_APR_2nd_2_APORSpread</f>
        <v>6.5</v>
      </c>
      <c r="K23" s="416"/>
      <c r="L23" s="413"/>
      <c r="M23" s="427" cm="1">
        <f t="array" ref="M23">[1]!LoanTest_QM_APR_2nd_2_LnAmt_Min</f>
        <v>0</v>
      </c>
      <c r="N23" s="428" cm="1">
        <f t="array" ref="N23">[1]!LoanTest_QM_APR_2nd_2_LnAmt_Max</f>
        <v>80905</v>
      </c>
      <c r="O23" s="1"/>
      <c r="P23" s="1"/>
      <c r="Q23" s="371">
        <f>IF(AND(Lookup_LienPosition=2,Input_LoanAmt&gt;=QM_APR_2nd_2_LnAmt_Min,Input_LoanAmt&lt;QM_APR_2nd_2_LnAmt_Max,Lookup_APR_Federal&gt;(Input_APOR+QM_APR_2nd_2_APORSpread)),1,0)</f>
        <v>0</v>
      </c>
      <c r="R23" s="372" t="str">
        <f t="shared" si="0"/>
        <v/>
      </c>
      <c r="S23" s="1059">
        <v>0</v>
      </c>
      <c r="T23" s="1046">
        <f>Input_APOR+QM_APR_2nd_2_APORSpread</f>
        <v>13.15</v>
      </c>
      <c r="U23" s="1"/>
    </row>
    <row r="24" spans="1:23" x14ac:dyDescent="0.2">
      <c r="A24" s="513" t="s">
        <v>1741</v>
      </c>
      <c r="B24" s="969">
        <f>Input_Fees_UpfrontOther</f>
        <v>850</v>
      </c>
      <c r="C24" s="972">
        <f>Input_Fees_UpfrontOther/Input_LoanAmt</f>
        <v>3.3999999999999998E-3</v>
      </c>
      <c r="F24" s="432" t="s">
        <v>1750</v>
      </c>
      <c r="G24" s="433" t="s">
        <v>1750</v>
      </c>
      <c r="H24" s="1"/>
      <c r="I24" s="1"/>
      <c r="J24" s="1"/>
      <c r="K24" s="1"/>
      <c r="L24" s="1"/>
      <c r="M24" s="1"/>
      <c r="N24" s="1"/>
      <c r="O24" s="1"/>
      <c r="P24" s="1"/>
      <c r="Q24" s="369">
        <f>IF(INDEX(List_AmortType_All,MATCH(Input_AmortType,List_AmortType,0),2)="Y",1,0)</f>
        <v>0</v>
      </c>
      <c r="R24" s="370" t="str">
        <f t="shared" si="0"/>
        <v/>
      </c>
      <c r="S24" s="1059">
        <v>0</v>
      </c>
      <c r="T24" s="1"/>
      <c r="U24" s="1"/>
    </row>
    <row r="25" spans="1:23" x14ac:dyDescent="0.2">
      <c r="A25" s="513" t="s">
        <v>1749</v>
      </c>
      <c r="B25" s="969" cm="1">
        <f t="array" ref="B25">Input_Fees_UpfrontPrepaidInterest</f>
        <v>2083.3333333333335</v>
      </c>
      <c r="C25" s="972" cm="1">
        <f t="array" ref="C25">Input_Fees_UpfrontPrepaidInterest/Input_LoanAmt</f>
        <v>8.3333333333333332E-3</v>
      </c>
      <c r="E25" s="1"/>
      <c r="F25" s="432" t="s">
        <v>1751</v>
      </c>
      <c r="G25" s="433" t="s">
        <v>1751</v>
      </c>
      <c r="H25" s="1"/>
      <c r="I25" s="1"/>
      <c r="J25" s="1"/>
      <c r="K25" s="1"/>
      <c r="L25" s="1"/>
      <c r="M25" s="1"/>
      <c r="N25" s="1"/>
      <c r="O25" s="1"/>
      <c r="P25" s="1"/>
      <c r="Q25" s="369">
        <f>IF(Lookup_AmortType_Detail="BLN",1,0)</f>
        <v>0</v>
      </c>
      <c r="R25" s="370" t="str">
        <f t="shared" si="0"/>
        <v/>
      </c>
      <c r="S25" s="1059">
        <v>0</v>
      </c>
      <c r="T25" s="1"/>
      <c r="U25" s="1"/>
    </row>
    <row r="26" spans="1:23" x14ac:dyDescent="0.2">
      <c r="A26" s="485" t="s">
        <v>1674</v>
      </c>
      <c r="B26" s="970">
        <f>Input_Fees_Monthly</f>
        <v>0</v>
      </c>
      <c r="C26" s="973">
        <f>(Input_Fees_Monthly*Lookup_TermAmort)/Input_LoanAmt</f>
        <v>0</v>
      </c>
      <c r="E26" s="1"/>
      <c r="F26" s="432" t="s">
        <v>1756</v>
      </c>
      <c r="G26" s="433" t="s">
        <v>1756</v>
      </c>
      <c r="H26" s="1"/>
      <c r="I26" s="1"/>
      <c r="J26" s="1"/>
      <c r="K26" s="1"/>
      <c r="L26" s="1"/>
      <c r="M26" s="1"/>
      <c r="N26" s="1"/>
      <c r="O26" s="1"/>
      <c r="P26" s="1"/>
      <c r="Q26" s="369">
        <f>IF(INDEX(List_DocTypeAll,MATCH(Input_DocType,List_DocType,0),9)="09",1,0)</f>
        <v>0</v>
      </c>
      <c r="R26" s="370" t="str">
        <f t="shared" si="0"/>
        <v/>
      </c>
      <c r="S26" s="1059">
        <v>0</v>
      </c>
    </row>
    <row r="27" spans="1:23" x14ac:dyDescent="0.2">
      <c r="A27" s="511" t="s">
        <v>1748</v>
      </c>
      <c r="B27" s="971">
        <v>0</v>
      </c>
      <c r="C27" s="973"/>
      <c r="E27" s="1"/>
      <c r="F27" s="434" t="s">
        <v>1752</v>
      </c>
      <c r="G27" s="435" t="s">
        <v>1752</v>
      </c>
      <c r="H27" s="1"/>
      <c r="I27" s="1"/>
      <c r="J27" s="1"/>
      <c r="K27" s="1"/>
      <c r="L27" s="1"/>
      <c r="M27" s="1"/>
      <c r="N27" s="1"/>
      <c r="O27" s="1"/>
      <c r="P27" s="1"/>
      <c r="Q27" s="371">
        <f>IF(Lookup_TermAmort&gt;360,1,0)</f>
        <v>0</v>
      </c>
      <c r="R27" s="372" t="str">
        <f t="shared" ref="R27" si="1">IF(Q27=1,G27,"")</f>
        <v/>
      </c>
      <c r="S27" s="1060">
        <v>0</v>
      </c>
      <c r="T27" s="1"/>
      <c r="U27" s="1"/>
      <c r="V27" s="1"/>
    </row>
    <row r="28" spans="1:23" x14ac:dyDescent="0.2">
      <c r="F28" s="341"/>
      <c r="G28" s="341"/>
      <c r="J28" s="346"/>
      <c r="K28" s="346"/>
      <c r="S28" s="1"/>
      <c r="T28" s="1"/>
      <c r="U28" s="1"/>
      <c r="V28" s="1"/>
    </row>
    <row r="29" spans="1:23" x14ac:dyDescent="0.2">
      <c r="A29" s="458" t="s">
        <v>1743</v>
      </c>
      <c r="B29" s="512">
        <f>Lookup_TermMaturity</f>
        <v>360</v>
      </c>
      <c r="F29" s="436" t="s">
        <v>1690</v>
      </c>
      <c r="G29" s="437" t="s">
        <v>1718</v>
      </c>
      <c r="J29" s="429" cm="1">
        <f t="array" ref="J29">[1]!LoanTest_HP_Fed_APR_1st_APORSpread</f>
        <v>1.5</v>
      </c>
      <c r="K29" s="417"/>
      <c r="L29" s="342"/>
      <c r="M29" s="342"/>
      <c r="N29" s="344"/>
      <c r="O29" s="1"/>
      <c r="P29" s="1"/>
      <c r="Q29" s="373">
        <f>IF(AND(Lookup_LienPosition=1,Lookup_APR_Federal&gt;(Input_APOR+HP_Fed_APR_1st_APORSpread)),1,0)</f>
        <v>0</v>
      </c>
      <c r="R29" s="368"/>
      <c r="S29" s="1047">
        <f>IF(Input_ProductClass="HELOC",1,0)</f>
        <v>0</v>
      </c>
      <c r="T29" s="1044">
        <f>Input_APOR+HP_Fed_APR_1st_APORSpread</f>
        <v>8.15</v>
      </c>
      <c r="U29" s="1"/>
      <c r="V29" s="449">
        <f>IF(Lookup_LienPosition=1,Input_APOR+HP_Fed_APR_1st_APORSpread,IF(Lookup_LienPosition=2,Input_APOR+HP_Fed_APR_2nd_APORSpread,0))</f>
        <v>10.15</v>
      </c>
      <c r="W29" s="899" t="str">
        <f>IF(SUM(Test_HPML_Exemption)&gt;0,"Exempt",IF(SUM(Test_HPML)&gt;0,"HPML","Non HPML"))</f>
        <v>HPML</v>
      </c>
    </row>
    <row r="30" spans="1:23" x14ac:dyDescent="0.2">
      <c r="A30" s="459" t="s">
        <v>1744</v>
      </c>
      <c r="B30" s="460">
        <f>Lookup_TermAmort</f>
        <v>360</v>
      </c>
      <c r="F30" s="436" t="s">
        <v>1689</v>
      </c>
      <c r="G30" s="437" t="s">
        <v>1718</v>
      </c>
      <c r="J30" s="429" cm="1">
        <f t="array" ref="J30">[1]!LoanTest_HP_Fed_APR_2nd_APORSpread</f>
        <v>3.5</v>
      </c>
      <c r="K30" s="388"/>
      <c r="L30" s="343"/>
      <c r="M30" s="343"/>
      <c r="N30" s="345"/>
      <c r="O30" s="1"/>
      <c r="P30" s="1"/>
      <c r="Q30" s="374">
        <f>IF(AND(Lookup_LienPosition=2,Lookup_APR_Federal&gt;(Input_APOR+HP_Fed_APR_2nd_APORSpread)),1,0)</f>
        <v>1</v>
      </c>
      <c r="R30" s="372"/>
      <c r="S30" s="1060">
        <v>0</v>
      </c>
      <c r="T30" s="1046">
        <f>Input_APOR+HP_Fed_APR_2nd_APORSpread</f>
        <v>10.15</v>
      </c>
      <c r="U30" s="1"/>
      <c r="V30" s="1"/>
      <c r="W30" s="457" t="str">
        <f>IF(SUM(Test_HPML_Exemption)&gt;0,"No",IF(SUM(Test_HPML)&gt;0,"Yes","No"))</f>
        <v>Yes</v>
      </c>
    </row>
    <row r="31" spans="1:23" x14ac:dyDescent="0.2">
      <c r="A31" s="458" t="s">
        <v>1736</v>
      </c>
      <c r="B31" s="475">
        <f>RATE(Lookup_TermAmort,(PMT(Input_NoteRate/1200,Lookup_TermAmort,Input_LoanAmt+Input_Calc_APRTotalFees)),Input_LoanAmt,0)*1200</f>
        <v>10.242899330226988</v>
      </c>
      <c r="S31" s="897"/>
      <c r="W31" s="1036" t="str">
        <f>IF(SUM(Test_HPML_Exemption)&gt;0,"Exempt",IF(SUM(Test_HPML)&gt;0,"Fail","Pass"))</f>
        <v>Fail</v>
      </c>
    </row>
    <row r="32" spans="1:23" x14ac:dyDescent="0.2">
      <c r="A32" s="459" t="s">
        <v>1737</v>
      </c>
      <c r="B32" s="476">
        <f>RATE(Lookup_TermAmort,(PMT(Input_NoteRate/1200,Lookup_TermAmort,Input_LoanAmt+Input_Calc_APRTotalFees)),Input_LoanAmt,0)*1200</f>
        <v>10.242899330226988</v>
      </c>
      <c r="F32" s="488" t="s">
        <v>1745</v>
      </c>
      <c r="G32" s="487"/>
      <c r="J32" s="489"/>
      <c r="K32" s="490"/>
      <c r="L32" s="490"/>
      <c r="M32" s="491" cm="1">
        <f t="array" ref="M32">[1]!LoanTest_Test_Results_AVMLoanAmountLimit_VPM</f>
        <v>400000</v>
      </c>
      <c r="N32" s="492"/>
      <c r="Q32" s="897"/>
      <c r="R32" s="897"/>
      <c r="S32" s="1"/>
      <c r="T32" s="1"/>
      <c r="U32" s="1"/>
      <c r="V32" s="1"/>
      <c r="W32" s="897"/>
    </row>
    <row r="33" spans="2:23" x14ac:dyDescent="0.2">
      <c r="B33" s="1"/>
      <c r="C33" s="1"/>
      <c r="D33" s="1"/>
      <c r="Q33" s="1"/>
      <c r="R33" s="1"/>
      <c r="S33" s="1"/>
      <c r="T33" s="1"/>
      <c r="U33" s="1"/>
      <c r="V33" s="1"/>
      <c r="W33" s="897"/>
    </row>
    <row r="34" spans="2:23" x14ac:dyDescent="0.2">
      <c r="B34" s="1"/>
      <c r="C34" s="1"/>
      <c r="D34" s="1"/>
      <c r="Q34" s="1"/>
      <c r="R34" s="1"/>
      <c r="S34" s="1"/>
      <c r="T34" s="1"/>
      <c r="U34" s="1"/>
      <c r="V34" s="1"/>
      <c r="W34" s="897"/>
    </row>
    <row r="35" spans="2:23" x14ac:dyDescent="0.2">
      <c r="B35" s="1"/>
      <c r="C35" s="1"/>
      <c r="D35" s="1"/>
      <c r="Q35" s="1"/>
      <c r="R35" s="1"/>
      <c r="S35" s="1"/>
      <c r="T35" s="1"/>
      <c r="U35" s="1"/>
      <c r="V35" s="1"/>
      <c r="W35" s="897"/>
    </row>
    <row r="36" spans="2:23" x14ac:dyDescent="0.2">
      <c r="B36" s="1"/>
      <c r="C36" s="1"/>
      <c r="D36" s="1"/>
      <c r="Q36" s="1"/>
      <c r="R36" s="1"/>
      <c r="S36" s="1"/>
      <c r="T36" s="1"/>
      <c r="U36" s="1"/>
      <c r="V36" s="1"/>
      <c r="W36" s="897"/>
    </row>
    <row r="37" spans="2:23" x14ac:dyDescent="0.2">
      <c r="B37" s="1"/>
      <c r="C37" s="1"/>
      <c r="D37" s="1"/>
      <c r="Q37" s="1"/>
      <c r="R37" s="1"/>
      <c r="S37" s="1"/>
      <c r="T37" s="1"/>
      <c r="U37" s="1"/>
      <c r="V37" s="1"/>
      <c r="W37" s="897"/>
    </row>
    <row r="38" spans="2:23" x14ac:dyDescent="0.2">
      <c r="B38" s="1"/>
      <c r="C38" s="1"/>
      <c r="D38" s="1"/>
      <c r="Q38" s="1"/>
      <c r="R38" s="1"/>
      <c r="S38" s="1"/>
      <c r="T38" s="1"/>
      <c r="U38" s="1"/>
      <c r="V38" s="1"/>
      <c r="W38" s="897"/>
    </row>
    <row r="39" spans="2:23" x14ac:dyDescent="0.2">
      <c r="B39" s="1"/>
      <c r="C39" s="1"/>
      <c r="D39" s="1"/>
      <c r="Q39" s="1"/>
      <c r="R39" s="1"/>
      <c r="S39" s="1"/>
      <c r="T39" s="1"/>
      <c r="U39" s="1"/>
      <c r="V39" s="1"/>
      <c r="W39" s="897"/>
    </row>
    <row r="40" spans="2:23" x14ac:dyDescent="0.2">
      <c r="B40" s="1"/>
      <c r="C40" s="1"/>
      <c r="D40" s="1"/>
      <c r="Q40" s="1"/>
      <c r="R40" s="1"/>
      <c r="S40" s="1"/>
      <c r="T40" s="1"/>
      <c r="U40" s="1"/>
      <c r="V40" s="1"/>
      <c r="W40" s="897"/>
    </row>
    <row r="41" spans="2:23" x14ac:dyDescent="0.2">
      <c r="B41" s="1"/>
      <c r="C41" s="1"/>
      <c r="D41" s="1"/>
      <c r="Q41" s="1"/>
      <c r="R41" s="1"/>
      <c r="S41" s="1"/>
      <c r="T41" s="1"/>
      <c r="U41" s="1"/>
      <c r="V41" s="1"/>
      <c r="W41" s="897"/>
    </row>
    <row r="42" spans="2:23" x14ac:dyDescent="0.2">
      <c r="B42" s="1"/>
      <c r="C42" s="1"/>
      <c r="D42" s="1"/>
      <c r="Q42" s="1"/>
      <c r="R42" s="1"/>
      <c r="S42" s="1"/>
      <c r="T42" s="1"/>
      <c r="U42" s="1"/>
      <c r="V42" s="1"/>
      <c r="W42" s="897"/>
    </row>
    <row r="43" spans="2:23" x14ac:dyDescent="0.2">
      <c r="B43" s="1"/>
      <c r="C43" s="1"/>
      <c r="D43" s="1"/>
      <c r="Q43" s="1"/>
      <c r="R43" s="1"/>
      <c r="S43" s="1"/>
      <c r="T43" s="1"/>
      <c r="U43" s="1"/>
      <c r="V43" s="1"/>
      <c r="W43" s="897"/>
    </row>
    <row r="44" spans="2:23" x14ac:dyDescent="0.2">
      <c r="B44" s="1"/>
      <c r="C44" s="1"/>
      <c r="D44" s="1"/>
      <c r="Q44" s="1"/>
      <c r="R44" s="1"/>
      <c r="S44" s="1"/>
      <c r="T44" s="1"/>
      <c r="U44" s="1"/>
      <c r="V44" s="1"/>
      <c r="W44" s="897"/>
    </row>
    <row r="45" spans="2:23" x14ac:dyDescent="0.2">
      <c r="B45" s="1"/>
      <c r="C45" s="1"/>
      <c r="D45" s="1"/>
      <c r="Q45" s="1"/>
      <c r="R45" s="1"/>
      <c r="S45" s="1"/>
      <c r="T45" s="1"/>
      <c r="U45" s="1"/>
      <c r="V45" s="1"/>
      <c r="W45" s="897"/>
    </row>
    <row r="46" spans="2:23" x14ac:dyDescent="0.2">
      <c r="B46" s="1"/>
      <c r="C46" s="1"/>
      <c r="D46" s="1"/>
      <c r="Q46" s="1"/>
      <c r="R46" s="1"/>
      <c r="S46" s="1"/>
      <c r="T46" s="1"/>
      <c r="U46" s="1"/>
      <c r="V46" s="1"/>
      <c r="W46" s="897"/>
    </row>
    <row r="47" spans="2:23" x14ac:dyDescent="0.2">
      <c r="B47" s="1"/>
      <c r="C47" s="1"/>
      <c r="D47" s="1"/>
      <c r="Q47" s="1"/>
      <c r="R47" s="1"/>
      <c r="S47" s="1"/>
      <c r="T47" s="1"/>
      <c r="U47" s="1"/>
      <c r="V47" s="1"/>
      <c r="W47" s="897"/>
    </row>
    <row r="48" spans="2:23" x14ac:dyDescent="0.2">
      <c r="B48" s="1"/>
      <c r="C48" s="1"/>
      <c r="D48" s="1"/>
      <c r="Q48" s="1"/>
      <c r="R48" s="1"/>
      <c r="S48" s="1"/>
      <c r="T48" s="1"/>
      <c r="U48" s="1"/>
      <c r="V48" s="1"/>
      <c r="W48" s="897"/>
    </row>
    <row r="49" spans="2:24" x14ac:dyDescent="0.2">
      <c r="B49" s="1"/>
      <c r="C49" s="1"/>
      <c r="D49" s="1"/>
      <c r="S49" s="1"/>
      <c r="T49" s="1"/>
      <c r="U49" s="1"/>
      <c r="V49" s="1"/>
    </row>
    <row r="50" spans="2:24" x14ac:dyDescent="0.2">
      <c r="B50" s="1"/>
      <c r="C50" s="1"/>
      <c r="D50" s="1"/>
      <c r="S50" s="1"/>
      <c r="T50" s="1"/>
      <c r="U50" s="1"/>
      <c r="V50" s="1"/>
    </row>
    <row r="51" spans="2:24" x14ac:dyDescent="0.2">
      <c r="B51" s="1"/>
      <c r="C51" s="1"/>
      <c r="D51" s="1"/>
      <c r="S51" s="1"/>
      <c r="T51" s="1"/>
      <c r="U51" s="1"/>
      <c r="V51" s="1"/>
    </row>
    <row r="52" spans="2:24" x14ac:dyDescent="0.2">
      <c r="F52" s="5"/>
      <c r="G52" s="5"/>
      <c r="H52" s="5"/>
      <c r="I52" s="5"/>
      <c r="J52" s="5"/>
      <c r="K52" s="5"/>
      <c r="L52" s="5"/>
      <c r="M52" s="5"/>
      <c r="N52" s="5"/>
      <c r="O52" s="5"/>
      <c r="P52" s="5"/>
      <c r="Q52" s="5"/>
      <c r="R52" s="5"/>
      <c r="S52" s="1"/>
      <c r="T52" s="1"/>
      <c r="U52" s="1"/>
      <c r="V52" s="1"/>
      <c r="W52" s="5"/>
      <c r="X52" s="5"/>
    </row>
    <row r="53" spans="2:24" x14ac:dyDescent="0.2">
      <c r="F53" s="5"/>
      <c r="G53" s="5"/>
      <c r="H53" s="5"/>
      <c r="I53" s="5"/>
      <c r="J53" s="5"/>
      <c r="K53" s="5"/>
      <c r="L53" s="5"/>
      <c r="M53" s="5"/>
      <c r="N53" s="5"/>
      <c r="O53" s="5"/>
      <c r="P53" s="5"/>
      <c r="Q53" s="5"/>
      <c r="R53" s="5"/>
      <c r="S53" s="1"/>
      <c r="T53" s="1"/>
      <c r="U53" s="1"/>
      <c r="V53" s="1"/>
      <c r="W53" s="5"/>
      <c r="X53" s="5"/>
    </row>
    <row r="54" spans="2:24" x14ac:dyDescent="0.2">
      <c r="F54" s="5"/>
      <c r="G54" s="5"/>
      <c r="H54" s="5"/>
      <c r="I54" s="5"/>
      <c r="J54" s="5"/>
      <c r="K54" s="5"/>
      <c r="L54" s="5"/>
      <c r="M54" s="5"/>
      <c r="N54" s="5"/>
      <c r="O54" s="5"/>
      <c r="P54" s="5"/>
      <c r="Q54" s="5"/>
      <c r="R54" s="5"/>
      <c r="S54" s="1"/>
      <c r="T54" s="1"/>
      <c r="U54" s="1"/>
      <c r="V54" s="1"/>
      <c r="W54" s="5"/>
      <c r="X54" s="5"/>
    </row>
    <row r="55" spans="2:24" x14ac:dyDescent="0.2">
      <c r="F55" s="5"/>
      <c r="G55" s="5"/>
      <c r="H55" s="5"/>
      <c r="I55" s="5"/>
      <c r="J55" s="5"/>
      <c r="K55" s="5"/>
      <c r="L55" s="5"/>
      <c r="M55" s="5"/>
      <c r="N55" s="5"/>
      <c r="O55" s="5"/>
      <c r="P55" s="5"/>
      <c r="Q55" s="5"/>
      <c r="R55" s="5"/>
      <c r="S55" s="1"/>
      <c r="T55" s="1"/>
      <c r="U55" s="1"/>
      <c r="V55" s="1"/>
      <c r="W55" s="5"/>
      <c r="X55" s="5"/>
    </row>
    <row r="56" spans="2:24" x14ac:dyDescent="0.2">
      <c r="F56" s="5"/>
      <c r="G56" s="5"/>
      <c r="H56" s="5"/>
      <c r="I56" s="5"/>
      <c r="J56" s="5"/>
      <c r="K56" s="5"/>
      <c r="L56" s="5"/>
      <c r="M56" s="5"/>
      <c r="N56" s="5"/>
      <c r="O56" s="5"/>
      <c r="P56" s="5"/>
      <c r="Q56" s="5"/>
      <c r="R56" s="5"/>
      <c r="S56" s="5"/>
      <c r="T56" s="5"/>
      <c r="U56" s="5"/>
      <c r="V56" s="5"/>
      <c r="W56" s="5"/>
      <c r="X56" s="5"/>
    </row>
    <row r="57" spans="2:24" x14ac:dyDescent="0.2">
      <c r="F57" s="5"/>
      <c r="G57" s="5"/>
      <c r="H57" s="5"/>
      <c r="I57" s="5"/>
      <c r="J57" s="5"/>
      <c r="K57" s="5"/>
      <c r="L57" s="5"/>
      <c r="M57" s="5"/>
      <c r="N57" s="5"/>
      <c r="O57" s="5"/>
      <c r="P57" s="5"/>
      <c r="Q57" s="5"/>
      <c r="R57" s="5"/>
      <c r="S57" s="5"/>
      <c r="T57" s="5"/>
      <c r="U57" s="5"/>
      <c r="V57" s="5"/>
      <c r="W57" s="5"/>
      <c r="X57" s="5"/>
    </row>
    <row r="58" spans="2:24" x14ac:dyDescent="0.2">
      <c r="F58" s="5"/>
      <c r="G58" s="5"/>
      <c r="H58" s="5"/>
      <c r="I58" s="5"/>
      <c r="J58" s="5"/>
      <c r="K58" s="5"/>
      <c r="L58" s="5"/>
      <c r="M58" s="5"/>
      <c r="N58" s="5"/>
      <c r="O58" s="5"/>
      <c r="P58" s="5"/>
      <c r="Q58" s="5"/>
      <c r="R58" s="5"/>
      <c r="S58" s="5"/>
      <c r="T58" s="5"/>
      <c r="U58" s="5"/>
      <c r="V58" s="5"/>
      <c r="W58" s="5"/>
      <c r="X58" s="5"/>
    </row>
    <row r="59" spans="2:24" x14ac:dyDescent="0.2">
      <c r="F59" s="5"/>
      <c r="G59" s="5"/>
      <c r="H59" s="5"/>
      <c r="I59" s="5"/>
      <c r="J59" s="5"/>
      <c r="K59" s="5"/>
      <c r="L59" s="5"/>
      <c r="M59" s="5"/>
      <c r="N59" s="5"/>
      <c r="O59" s="5"/>
      <c r="P59" s="5"/>
      <c r="Q59" s="5"/>
      <c r="R59" s="5"/>
      <c r="S59" s="5"/>
      <c r="T59" s="5"/>
      <c r="U59" s="5"/>
      <c r="V59" s="5"/>
      <c r="W59" s="5"/>
      <c r="X59" s="5"/>
    </row>
    <row r="60" spans="2:24" x14ac:dyDescent="0.2">
      <c r="F60" s="5"/>
      <c r="G60" s="5"/>
      <c r="H60" s="5"/>
      <c r="I60" s="5"/>
      <c r="J60" s="5"/>
      <c r="K60" s="5"/>
      <c r="L60" s="5"/>
      <c r="M60" s="5"/>
      <c r="N60" s="5"/>
      <c r="O60" s="5"/>
      <c r="P60" s="5"/>
      <c r="Q60" s="5"/>
      <c r="R60" s="5"/>
      <c r="S60" s="5"/>
      <c r="T60" s="5"/>
      <c r="U60" s="5"/>
      <c r="V60" s="5"/>
      <c r="W60" s="5"/>
      <c r="X60" s="5"/>
    </row>
    <row r="61" spans="2:24" x14ac:dyDescent="0.2">
      <c r="F61" s="5"/>
      <c r="G61" s="5"/>
      <c r="H61" s="5"/>
      <c r="I61" s="5"/>
      <c r="J61" s="5"/>
      <c r="K61" s="5"/>
      <c r="L61" s="5"/>
      <c r="M61" s="5"/>
      <c r="N61" s="5"/>
      <c r="O61" s="5"/>
      <c r="P61" s="5"/>
      <c r="Q61" s="5"/>
      <c r="R61" s="5"/>
      <c r="S61" s="5"/>
      <c r="T61" s="5"/>
      <c r="U61" s="5"/>
      <c r="V61" s="5"/>
      <c r="W61" s="5"/>
      <c r="X61" s="5"/>
    </row>
    <row r="62" spans="2:24" x14ac:dyDescent="0.2">
      <c r="F62" s="5"/>
      <c r="G62" s="5"/>
      <c r="H62" s="5"/>
      <c r="I62" s="5"/>
      <c r="J62" s="5"/>
      <c r="K62" s="5"/>
      <c r="L62" s="5"/>
      <c r="M62" s="5"/>
      <c r="N62" s="5"/>
      <c r="O62" s="5"/>
      <c r="P62" s="5"/>
      <c r="Q62" s="5"/>
      <c r="R62" s="5"/>
      <c r="S62" s="5"/>
      <c r="T62" s="5"/>
      <c r="U62" s="5"/>
      <c r="V62" s="5"/>
      <c r="W62" s="5"/>
      <c r="X62" s="5"/>
    </row>
    <row r="63" spans="2:24" x14ac:dyDescent="0.2">
      <c r="F63" s="5"/>
      <c r="G63" s="5"/>
      <c r="H63" s="5"/>
      <c r="I63" s="5"/>
      <c r="J63" s="5"/>
      <c r="K63" s="5"/>
      <c r="L63" s="5"/>
      <c r="M63" s="5"/>
      <c r="N63" s="5"/>
      <c r="O63" s="5"/>
      <c r="P63" s="5"/>
      <c r="Q63" s="5"/>
      <c r="R63" s="5"/>
      <c r="S63" s="5"/>
      <c r="T63" s="5"/>
      <c r="U63" s="5"/>
      <c r="V63" s="5"/>
      <c r="W63" s="5"/>
      <c r="X63" s="5"/>
    </row>
    <row r="64" spans="2:24" x14ac:dyDescent="0.2">
      <c r="F64" s="5"/>
      <c r="G64" s="5"/>
      <c r="H64" s="5"/>
      <c r="I64" s="5"/>
      <c r="J64" s="5"/>
      <c r="K64" s="5"/>
      <c r="L64" s="5"/>
      <c r="M64" s="5"/>
      <c r="N64" s="5"/>
      <c r="O64" s="5"/>
      <c r="P64" s="5"/>
      <c r="Q64" s="5"/>
      <c r="R64" s="5"/>
      <c r="S64" s="5"/>
      <c r="T64" s="5"/>
      <c r="U64" s="5"/>
      <c r="V64" s="5"/>
      <c r="W64" s="5"/>
      <c r="X64" s="5"/>
    </row>
    <row r="65" spans="6:24" x14ac:dyDescent="0.2">
      <c r="F65" s="5"/>
      <c r="G65" s="5"/>
      <c r="H65" s="5"/>
      <c r="I65" s="5"/>
      <c r="J65" s="5"/>
      <c r="K65" s="5"/>
      <c r="L65" s="5"/>
      <c r="M65" s="5"/>
      <c r="N65" s="5"/>
      <c r="O65" s="5"/>
      <c r="P65" s="5"/>
      <c r="Q65" s="5"/>
      <c r="R65" s="5"/>
      <c r="S65" s="5"/>
      <c r="T65" s="5"/>
      <c r="U65" s="5"/>
      <c r="V65" s="5"/>
      <c r="W65" s="5"/>
      <c r="X65" s="5"/>
    </row>
    <row r="66" spans="6:24" x14ac:dyDescent="0.2">
      <c r="F66" s="5"/>
      <c r="G66" s="5"/>
      <c r="H66" s="5"/>
      <c r="I66" s="5"/>
      <c r="J66" s="5"/>
      <c r="K66" s="5"/>
      <c r="L66" s="5"/>
      <c r="M66" s="5"/>
      <c r="N66" s="5"/>
      <c r="O66" s="5"/>
      <c r="P66" s="5"/>
      <c r="Q66" s="5"/>
      <c r="R66" s="5"/>
      <c r="S66" s="5"/>
      <c r="T66" s="5"/>
      <c r="U66" s="5"/>
      <c r="V66" s="5"/>
      <c r="W66" s="5"/>
      <c r="X66" s="5"/>
    </row>
    <row r="67" spans="6:24" x14ac:dyDescent="0.2">
      <c r="F67" s="5"/>
      <c r="G67" s="5"/>
      <c r="H67" s="5"/>
      <c r="I67" s="5"/>
      <c r="J67" s="5"/>
      <c r="K67" s="5"/>
      <c r="L67" s="5"/>
      <c r="M67" s="5"/>
      <c r="N67" s="5"/>
      <c r="O67" s="5"/>
      <c r="P67" s="5"/>
      <c r="Q67" s="5"/>
      <c r="R67" s="5"/>
      <c r="S67" s="5"/>
      <c r="T67" s="5"/>
      <c r="U67" s="5"/>
      <c r="V67" s="5"/>
      <c r="W67" s="5"/>
      <c r="X67" s="5"/>
    </row>
    <row r="68" spans="6:24" x14ac:dyDescent="0.2">
      <c r="F68" s="5"/>
      <c r="G68" s="5"/>
      <c r="H68" s="5"/>
      <c r="I68" s="5"/>
      <c r="J68" s="5"/>
      <c r="K68" s="5"/>
      <c r="L68" s="5"/>
      <c r="M68" s="5"/>
      <c r="N68" s="5"/>
      <c r="O68" s="5"/>
      <c r="P68" s="5"/>
      <c r="Q68" s="5"/>
      <c r="R68" s="5"/>
      <c r="S68" s="5"/>
      <c r="T68" s="5"/>
      <c r="U68" s="5"/>
      <c r="V68" s="5"/>
      <c r="W68" s="5"/>
      <c r="X68" s="5"/>
    </row>
    <row r="69" spans="6:24" x14ac:dyDescent="0.2">
      <c r="F69" s="5"/>
      <c r="G69" s="5"/>
      <c r="H69" s="5"/>
      <c r="I69" s="5"/>
      <c r="J69" s="5"/>
      <c r="K69" s="5"/>
      <c r="L69" s="5"/>
      <c r="M69" s="5"/>
      <c r="N69" s="5"/>
      <c r="O69" s="5"/>
      <c r="P69" s="5"/>
      <c r="Q69" s="5"/>
      <c r="R69" s="5"/>
      <c r="S69" s="5"/>
      <c r="T69" s="5"/>
      <c r="U69" s="5"/>
      <c r="V69" s="5"/>
      <c r="W69" s="5"/>
      <c r="X69" s="5"/>
    </row>
    <row r="70" spans="6:24" x14ac:dyDescent="0.2">
      <c r="F70" s="5"/>
      <c r="G70" s="5"/>
      <c r="H70" s="5"/>
      <c r="I70" s="5"/>
      <c r="J70" s="5"/>
      <c r="K70" s="5"/>
      <c r="L70" s="5"/>
      <c r="M70" s="5"/>
      <c r="N70" s="5"/>
      <c r="O70" s="5"/>
      <c r="P70" s="5"/>
      <c r="Q70" s="5"/>
      <c r="R70" s="5"/>
      <c r="S70" s="5"/>
      <c r="T70" s="5"/>
      <c r="U70" s="5"/>
      <c r="V70" s="5"/>
      <c r="W70" s="5"/>
      <c r="X70" s="5"/>
    </row>
    <row r="71" spans="6:24" x14ac:dyDescent="0.2">
      <c r="F71" s="5"/>
      <c r="G71" s="5"/>
      <c r="H71" s="5"/>
      <c r="I71" s="5"/>
      <c r="J71" s="5"/>
      <c r="K71" s="5"/>
      <c r="L71" s="5"/>
      <c r="M71" s="5"/>
      <c r="N71" s="5"/>
      <c r="O71" s="5"/>
      <c r="P71" s="5"/>
      <c r="Q71" s="5"/>
      <c r="R71" s="5"/>
      <c r="S71" s="5"/>
      <c r="T71" s="5"/>
      <c r="U71" s="5"/>
      <c r="V71" s="5"/>
      <c r="W71" s="5"/>
      <c r="X71" s="5"/>
    </row>
    <row r="72" spans="6:24" x14ac:dyDescent="0.2">
      <c r="F72" s="5"/>
      <c r="G72" s="5"/>
      <c r="H72" s="5"/>
      <c r="I72" s="5"/>
      <c r="J72" s="5"/>
      <c r="K72" s="5"/>
      <c r="L72" s="5"/>
      <c r="M72" s="5"/>
      <c r="N72" s="5"/>
      <c r="O72" s="5"/>
      <c r="P72" s="5"/>
      <c r="Q72" s="5"/>
      <c r="R72" s="5"/>
      <c r="S72" s="5"/>
      <c r="T72" s="5"/>
      <c r="U72" s="5"/>
      <c r="V72" s="5"/>
      <c r="W72" s="5"/>
      <c r="X72" s="5"/>
    </row>
    <row r="73" spans="6:24" x14ac:dyDescent="0.2">
      <c r="F73" s="5"/>
      <c r="G73" s="5"/>
      <c r="H73" s="5"/>
      <c r="I73" s="5"/>
      <c r="J73" s="5"/>
      <c r="K73" s="5"/>
      <c r="L73" s="5"/>
      <c r="M73" s="5"/>
      <c r="N73" s="5"/>
      <c r="O73" s="5"/>
      <c r="P73" s="5"/>
      <c r="Q73" s="5"/>
      <c r="R73" s="5"/>
      <c r="S73" s="5"/>
      <c r="T73" s="5"/>
      <c r="U73" s="5"/>
      <c r="V73" s="5"/>
      <c r="W73" s="5"/>
      <c r="X73" s="5"/>
    </row>
    <row r="74" spans="6:24" x14ac:dyDescent="0.2">
      <c r="F74" s="5"/>
      <c r="G74" s="5"/>
      <c r="H74" s="5"/>
      <c r="I74" s="5"/>
      <c r="J74" s="5"/>
      <c r="K74" s="5"/>
      <c r="L74" s="5"/>
      <c r="M74" s="5"/>
      <c r="N74" s="5"/>
      <c r="O74" s="5"/>
      <c r="P74" s="5"/>
      <c r="Q74" s="5"/>
      <c r="R74" s="5"/>
      <c r="S74" s="5"/>
      <c r="T74" s="5"/>
      <c r="U74" s="5"/>
      <c r="V74" s="5"/>
      <c r="W74" s="5"/>
      <c r="X74" s="5"/>
    </row>
    <row r="75" spans="6:24" x14ac:dyDescent="0.2">
      <c r="F75" s="5"/>
      <c r="G75" s="5"/>
      <c r="H75" s="5"/>
      <c r="I75" s="5"/>
      <c r="J75" s="5"/>
      <c r="K75" s="5"/>
      <c r="L75" s="5"/>
      <c r="M75" s="5"/>
      <c r="N75" s="5"/>
      <c r="O75" s="5"/>
      <c r="P75" s="5"/>
      <c r="Q75" s="5"/>
      <c r="R75" s="5"/>
      <c r="S75" s="5"/>
      <c r="T75" s="5"/>
      <c r="U75" s="5"/>
      <c r="V75" s="5"/>
      <c r="W75" s="5"/>
      <c r="X75" s="5"/>
    </row>
    <row r="76" spans="6:24" x14ac:dyDescent="0.2">
      <c r="F76" s="5"/>
      <c r="G76" s="5"/>
      <c r="H76" s="5"/>
      <c r="I76" s="5"/>
      <c r="J76" s="5"/>
      <c r="K76" s="5"/>
      <c r="L76" s="5"/>
      <c r="M76" s="5"/>
      <c r="N76" s="5"/>
      <c r="O76" s="5"/>
      <c r="P76" s="5"/>
      <c r="Q76" s="5"/>
      <c r="R76" s="5"/>
      <c r="S76" s="5"/>
      <c r="T76" s="5"/>
      <c r="U76" s="5"/>
      <c r="V76" s="5"/>
      <c r="W76" s="5"/>
      <c r="X76" s="5"/>
    </row>
    <row r="77" spans="6:24" x14ac:dyDescent="0.2">
      <c r="F77" s="5"/>
      <c r="G77" s="5"/>
      <c r="H77" s="5"/>
      <c r="I77" s="5"/>
      <c r="J77" s="5"/>
      <c r="K77" s="5"/>
      <c r="L77" s="5"/>
      <c r="M77" s="5"/>
      <c r="N77" s="5"/>
      <c r="O77" s="5"/>
      <c r="P77" s="5"/>
      <c r="Q77" s="5"/>
      <c r="R77" s="5"/>
      <c r="S77" s="5"/>
      <c r="T77" s="5"/>
      <c r="U77" s="5"/>
      <c r="V77" s="5"/>
      <c r="W77" s="5"/>
      <c r="X77" s="5"/>
    </row>
    <row r="78" spans="6:24" x14ac:dyDescent="0.2">
      <c r="F78" s="5"/>
      <c r="G78" s="5"/>
      <c r="H78" s="5"/>
      <c r="I78" s="5"/>
      <c r="J78" s="5"/>
      <c r="K78" s="5"/>
      <c r="L78" s="5"/>
      <c r="M78" s="5"/>
      <c r="N78" s="5"/>
      <c r="O78" s="5"/>
      <c r="P78" s="5"/>
      <c r="Q78" s="5"/>
      <c r="R78" s="5"/>
      <c r="S78" s="5"/>
      <c r="T78" s="5"/>
      <c r="U78" s="5"/>
      <c r="V78" s="5"/>
      <c r="W78" s="5"/>
      <c r="X78" s="5"/>
    </row>
    <row r="79" spans="6:24" x14ac:dyDescent="0.2">
      <c r="F79" s="5"/>
      <c r="G79" s="5"/>
      <c r="H79" s="5"/>
      <c r="I79" s="5"/>
      <c r="J79" s="5"/>
      <c r="K79" s="5"/>
      <c r="L79" s="5"/>
      <c r="M79" s="5"/>
      <c r="N79" s="5"/>
      <c r="O79" s="5"/>
      <c r="P79" s="5"/>
      <c r="Q79" s="5"/>
      <c r="R79" s="5"/>
      <c r="S79" s="5"/>
      <c r="T79" s="5"/>
      <c r="U79" s="5"/>
      <c r="V79" s="5"/>
      <c r="W79" s="5"/>
      <c r="X79" s="5"/>
    </row>
    <row r="80" spans="6:24" x14ac:dyDescent="0.2">
      <c r="F80" s="5"/>
      <c r="G80" s="5"/>
      <c r="H80" s="5"/>
      <c r="I80" s="5"/>
      <c r="J80" s="5"/>
      <c r="K80" s="5"/>
      <c r="L80" s="5"/>
      <c r="M80" s="5"/>
      <c r="N80" s="5"/>
      <c r="O80" s="5"/>
      <c r="P80" s="5"/>
      <c r="Q80" s="5"/>
      <c r="R80" s="5"/>
      <c r="S80" s="5"/>
      <c r="T80" s="5"/>
      <c r="U80" s="5"/>
      <c r="V80" s="5"/>
      <c r="W80" s="5"/>
      <c r="X80" s="5"/>
    </row>
    <row r="81" spans="6:24" x14ac:dyDescent="0.2">
      <c r="F81" s="5"/>
      <c r="G81" s="5"/>
      <c r="H81" s="5"/>
      <c r="I81" s="5"/>
      <c r="J81" s="5"/>
      <c r="K81" s="5"/>
      <c r="L81" s="5"/>
      <c r="M81" s="5"/>
      <c r="N81" s="5"/>
      <c r="O81" s="5"/>
      <c r="P81" s="5"/>
      <c r="Q81" s="5"/>
      <c r="R81" s="5"/>
      <c r="S81" s="5"/>
      <c r="T81" s="5"/>
      <c r="U81" s="5"/>
      <c r="V81" s="5"/>
      <c r="W81" s="5"/>
      <c r="X81" s="5"/>
    </row>
    <row r="82" spans="6:24" x14ac:dyDescent="0.2">
      <c r="F82" s="5"/>
      <c r="G82" s="5"/>
      <c r="H82" s="5"/>
      <c r="I82" s="5"/>
      <c r="J82" s="5"/>
      <c r="K82" s="5"/>
      <c r="L82" s="5"/>
      <c r="M82" s="5"/>
      <c r="N82" s="5"/>
      <c r="O82" s="5"/>
      <c r="P82" s="5"/>
      <c r="Q82" s="5"/>
      <c r="R82" s="5"/>
      <c r="S82" s="5"/>
      <c r="T82" s="5"/>
      <c r="U82" s="5"/>
      <c r="V82" s="5"/>
      <c r="W82" s="5"/>
      <c r="X82" s="5"/>
    </row>
    <row r="83" spans="6:24" x14ac:dyDescent="0.2">
      <c r="F83" s="5"/>
      <c r="G83" s="5"/>
      <c r="H83" s="5"/>
      <c r="I83" s="5"/>
      <c r="J83" s="5"/>
      <c r="K83" s="5"/>
      <c r="L83" s="5"/>
      <c r="M83" s="5"/>
      <c r="N83" s="5"/>
      <c r="O83" s="5"/>
      <c r="P83" s="5"/>
      <c r="Q83" s="5"/>
      <c r="R83" s="5"/>
      <c r="S83" s="5"/>
      <c r="T83" s="5"/>
      <c r="U83" s="5"/>
      <c r="V83" s="5"/>
      <c r="W83" s="5"/>
      <c r="X83" s="5"/>
    </row>
    <row r="84" spans="6:24" x14ac:dyDescent="0.2">
      <c r="F84" s="5"/>
      <c r="G84" s="5"/>
      <c r="H84" s="5"/>
      <c r="I84" s="5"/>
      <c r="J84" s="5"/>
      <c r="K84" s="5"/>
      <c r="L84" s="5"/>
      <c r="M84" s="5"/>
      <c r="N84" s="5"/>
      <c r="O84" s="5"/>
      <c r="P84" s="5"/>
      <c r="Q84" s="5"/>
      <c r="R84" s="5"/>
      <c r="S84" s="5"/>
      <c r="T84" s="5"/>
      <c r="U84" s="5"/>
      <c r="V84" s="5"/>
      <c r="W84" s="5"/>
      <c r="X84" s="5"/>
    </row>
    <row r="85" spans="6:24" x14ac:dyDescent="0.2">
      <c r="F85" s="5"/>
      <c r="G85" s="5"/>
      <c r="H85" s="5"/>
      <c r="I85" s="5"/>
      <c r="J85" s="5"/>
      <c r="K85" s="5"/>
      <c r="L85" s="5"/>
      <c r="M85" s="5"/>
      <c r="N85" s="5"/>
      <c r="O85" s="5"/>
      <c r="P85" s="5"/>
      <c r="Q85" s="5"/>
      <c r="R85" s="5"/>
      <c r="S85" s="5"/>
      <c r="T85" s="5"/>
      <c r="U85" s="5"/>
      <c r="V85" s="5"/>
      <c r="W85" s="5"/>
      <c r="X85" s="5"/>
    </row>
    <row r="86" spans="6:24" x14ac:dyDescent="0.2">
      <c r="F86" s="5"/>
      <c r="G86" s="5"/>
      <c r="H86" s="5"/>
      <c r="I86" s="5"/>
      <c r="J86" s="5"/>
      <c r="K86" s="5"/>
      <c r="L86" s="5"/>
      <c r="M86" s="5"/>
      <c r="N86" s="5"/>
      <c r="O86" s="5"/>
      <c r="P86" s="5"/>
      <c r="Q86" s="5"/>
      <c r="R86" s="5"/>
      <c r="S86" s="5"/>
      <c r="T86" s="5"/>
      <c r="U86" s="5"/>
      <c r="V86" s="5"/>
      <c r="W86" s="5"/>
      <c r="X86" s="5"/>
    </row>
    <row r="87" spans="6:24" x14ac:dyDescent="0.2">
      <c r="F87" s="5"/>
      <c r="G87" s="5"/>
      <c r="H87" s="5"/>
      <c r="I87" s="5"/>
      <c r="J87" s="5"/>
      <c r="K87" s="5"/>
      <c r="L87" s="5"/>
      <c r="M87" s="5"/>
      <c r="N87" s="5"/>
      <c r="O87" s="5"/>
      <c r="P87" s="5"/>
      <c r="Q87" s="5"/>
      <c r="R87" s="5"/>
      <c r="S87" s="5"/>
      <c r="T87" s="5"/>
      <c r="U87" s="5"/>
      <c r="V87" s="5"/>
      <c r="W87" s="5"/>
      <c r="X87" s="5"/>
    </row>
    <row r="88" spans="6:24" x14ac:dyDescent="0.2">
      <c r="F88" s="5"/>
      <c r="G88" s="5"/>
      <c r="H88" s="5"/>
      <c r="I88" s="5"/>
      <c r="J88" s="5"/>
      <c r="K88" s="5"/>
      <c r="L88" s="5"/>
      <c r="M88" s="5"/>
      <c r="N88" s="5"/>
      <c r="O88" s="5"/>
      <c r="P88" s="5"/>
      <c r="Q88" s="5"/>
      <c r="R88" s="5"/>
      <c r="S88" s="5"/>
      <c r="T88" s="5"/>
      <c r="U88" s="5"/>
      <c r="V88" s="5"/>
      <c r="W88" s="5"/>
      <c r="X88" s="5"/>
    </row>
    <row r="89" spans="6:24" x14ac:dyDescent="0.2">
      <c r="F89" s="5"/>
      <c r="G89" s="5"/>
      <c r="H89" s="5"/>
      <c r="I89" s="5"/>
      <c r="J89" s="5"/>
      <c r="K89" s="5"/>
      <c r="L89" s="5"/>
      <c r="M89" s="5"/>
      <c r="N89" s="5"/>
      <c r="O89" s="5"/>
      <c r="P89" s="5"/>
      <c r="Q89" s="5"/>
      <c r="R89" s="5"/>
      <c r="S89" s="5"/>
      <c r="T89" s="5"/>
      <c r="U89" s="5"/>
      <c r="V89" s="5"/>
      <c r="W89" s="5"/>
      <c r="X89" s="5"/>
    </row>
    <row r="90" spans="6:24" x14ac:dyDescent="0.2">
      <c r="F90" s="5"/>
      <c r="G90" s="5"/>
      <c r="H90" s="5"/>
      <c r="I90" s="5"/>
      <c r="J90" s="5"/>
      <c r="K90" s="5"/>
      <c r="L90" s="5"/>
      <c r="M90" s="5"/>
      <c r="N90" s="5"/>
      <c r="O90" s="5"/>
      <c r="P90" s="5"/>
      <c r="Q90" s="5"/>
      <c r="R90" s="5"/>
      <c r="S90" s="5"/>
      <c r="T90" s="5"/>
      <c r="U90" s="5"/>
      <c r="V90" s="5"/>
      <c r="W90" s="5"/>
      <c r="X90" s="5"/>
    </row>
    <row r="91" spans="6:24" x14ac:dyDescent="0.2">
      <c r="F91" s="5"/>
      <c r="G91" s="5"/>
      <c r="H91" s="5"/>
      <c r="I91" s="5"/>
      <c r="J91" s="5"/>
      <c r="K91" s="5"/>
      <c r="L91" s="5"/>
      <c r="M91" s="5"/>
      <c r="N91" s="5"/>
      <c r="O91" s="5"/>
      <c r="P91" s="5"/>
      <c r="Q91" s="5"/>
      <c r="R91" s="5"/>
      <c r="S91" s="5"/>
      <c r="T91" s="5"/>
      <c r="U91" s="5"/>
      <c r="V91" s="5"/>
      <c r="W91" s="5"/>
      <c r="X91" s="5"/>
    </row>
    <row r="92" spans="6:24" x14ac:dyDescent="0.2">
      <c r="F92" s="5"/>
      <c r="G92" s="5"/>
      <c r="H92" s="5"/>
      <c r="I92" s="5"/>
      <c r="J92" s="5"/>
      <c r="K92" s="5"/>
      <c r="L92" s="5"/>
      <c r="M92" s="5"/>
      <c r="N92" s="5"/>
      <c r="O92" s="5"/>
      <c r="P92" s="5"/>
      <c r="Q92" s="5"/>
      <c r="R92" s="5"/>
      <c r="S92" s="5"/>
      <c r="T92" s="5"/>
      <c r="U92" s="5"/>
      <c r="V92" s="5"/>
      <c r="W92" s="5"/>
      <c r="X92" s="5"/>
    </row>
    <row r="93" spans="6:24" x14ac:dyDescent="0.2">
      <c r="F93" s="5"/>
      <c r="G93" s="5"/>
      <c r="H93" s="5"/>
      <c r="I93" s="5"/>
      <c r="J93" s="5"/>
      <c r="K93" s="5"/>
      <c r="L93" s="5"/>
      <c r="M93" s="5"/>
      <c r="N93" s="5"/>
      <c r="O93" s="5"/>
      <c r="P93" s="5"/>
      <c r="Q93" s="5"/>
      <c r="R93" s="5"/>
      <c r="S93" s="5"/>
      <c r="T93" s="5"/>
      <c r="U93" s="5"/>
      <c r="V93" s="5"/>
      <c r="W93" s="5"/>
      <c r="X93" s="5"/>
    </row>
    <row r="94" spans="6:24" x14ac:dyDescent="0.2">
      <c r="F94" s="5"/>
      <c r="G94" s="5"/>
      <c r="H94" s="5"/>
      <c r="I94" s="5"/>
      <c r="J94" s="5"/>
      <c r="K94" s="5"/>
      <c r="L94" s="5"/>
      <c r="M94" s="5"/>
      <c r="N94" s="5"/>
      <c r="O94" s="5"/>
      <c r="P94" s="5"/>
      <c r="Q94" s="5"/>
      <c r="R94" s="5"/>
      <c r="S94" s="5"/>
      <c r="T94" s="5"/>
      <c r="U94" s="5"/>
      <c r="V94" s="5"/>
      <c r="W94" s="5"/>
      <c r="X94" s="5"/>
    </row>
    <row r="95" spans="6:24" x14ac:dyDescent="0.2">
      <c r="F95" s="5"/>
      <c r="G95" s="5"/>
      <c r="H95" s="5"/>
      <c r="I95" s="5"/>
      <c r="J95" s="5"/>
      <c r="K95" s="5"/>
      <c r="L95" s="5"/>
      <c r="M95" s="5"/>
      <c r="N95" s="5"/>
      <c r="O95" s="5"/>
      <c r="P95" s="5"/>
      <c r="Q95" s="5"/>
      <c r="R95" s="5"/>
      <c r="S95" s="5"/>
      <c r="T95" s="5"/>
      <c r="U95" s="5"/>
      <c r="V95" s="5"/>
      <c r="W95" s="5"/>
      <c r="X95" s="5"/>
    </row>
    <row r="98" spans="6:24" x14ac:dyDescent="0.2">
      <c r="F98" s="5"/>
      <c r="G98" s="5"/>
      <c r="H98" s="5"/>
      <c r="I98" s="5"/>
      <c r="J98" s="5"/>
      <c r="K98" s="5"/>
      <c r="L98" s="5"/>
      <c r="M98" s="5"/>
      <c r="N98" s="5"/>
      <c r="O98" s="5"/>
      <c r="P98" s="5"/>
      <c r="Q98" s="5"/>
      <c r="R98" s="5"/>
      <c r="S98" s="5"/>
      <c r="T98" s="5"/>
      <c r="U98" s="5"/>
      <c r="V98" s="5"/>
      <c r="W98" s="5"/>
      <c r="X98" s="5"/>
    </row>
    <row r="99" spans="6:24" x14ac:dyDescent="0.2">
      <c r="F99" s="5"/>
      <c r="G99" s="5"/>
      <c r="H99" s="5"/>
      <c r="I99" s="5"/>
      <c r="J99" s="5"/>
      <c r="K99" s="5"/>
      <c r="L99" s="5"/>
      <c r="M99" s="5"/>
      <c r="N99" s="5"/>
      <c r="O99" s="5"/>
      <c r="P99" s="5"/>
      <c r="Q99" s="5"/>
      <c r="R99" s="5"/>
      <c r="S99" s="5"/>
      <c r="T99" s="5"/>
      <c r="U99" s="5"/>
      <c r="V99" s="5"/>
      <c r="W99" s="5"/>
      <c r="X99" s="5"/>
    </row>
    <row r="100" spans="6:24" x14ac:dyDescent="0.2">
      <c r="F100" s="5"/>
      <c r="G100" s="5"/>
      <c r="H100" s="5"/>
      <c r="I100" s="5"/>
      <c r="J100" s="5"/>
      <c r="K100" s="5"/>
      <c r="L100" s="5"/>
      <c r="M100" s="5"/>
      <c r="N100" s="5"/>
      <c r="O100" s="5"/>
      <c r="P100" s="5"/>
      <c r="Q100" s="5"/>
      <c r="R100" s="5"/>
      <c r="S100" s="5"/>
      <c r="T100" s="5"/>
      <c r="U100" s="5"/>
      <c r="V100" s="5"/>
      <c r="W100" s="5"/>
      <c r="X100" s="5"/>
    </row>
    <row r="101" spans="6:24" x14ac:dyDescent="0.2">
      <c r="F101" s="5"/>
      <c r="G101" s="5"/>
      <c r="H101" s="5"/>
      <c r="I101" s="5"/>
      <c r="J101" s="5"/>
      <c r="K101" s="5"/>
      <c r="L101" s="5"/>
      <c r="M101" s="5"/>
      <c r="N101" s="5"/>
      <c r="O101" s="5"/>
      <c r="P101" s="5"/>
      <c r="Q101" s="5"/>
      <c r="R101" s="5"/>
      <c r="S101" s="5"/>
      <c r="T101" s="5"/>
      <c r="U101" s="5"/>
      <c r="V101" s="5"/>
      <c r="W101" s="5"/>
      <c r="X101" s="5"/>
    </row>
    <row r="102" spans="6:24" x14ac:dyDescent="0.2">
      <c r="F102" s="5"/>
      <c r="G102" s="5"/>
      <c r="H102" s="5"/>
      <c r="I102" s="5"/>
      <c r="J102" s="5"/>
      <c r="K102" s="5"/>
      <c r="L102" s="5"/>
      <c r="M102" s="5"/>
      <c r="N102" s="5"/>
      <c r="O102" s="5"/>
      <c r="P102" s="5"/>
      <c r="Q102" s="5"/>
      <c r="R102" s="5"/>
      <c r="S102" s="5"/>
      <c r="T102" s="5"/>
      <c r="U102" s="5"/>
      <c r="V102" s="5"/>
      <c r="W102" s="5"/>
      <c r="X102" s="5"/>
    </row>
    <row r="103" spans="6:24" x14ac:dyDescent="0.2">
      <c r="F103" s="5"/>
      <c r="G103" s="5"/>
      <c r="H103" s="5"/>
      <c r="I103" s="5"/>
      <c r="J103" s="5"/>
      <c r="K103" s="5"/>
      <c r="L103" s="5"/>
      <c r="M103" s="5"/>
      <c r="N103" s="5"/>
      <c r="O103" s="5"/>
      <c r="P103" s="5"/>
      <c r="Q103" s="5"/>
      <c r="R103" s="5"/>
      <c r="S103" s="5"/>
      <c r="T103" s="5"/>
      <c r="U103" s="5"/>
      <c r="V103" s="5"/>
      <c r="W103" s="5"/>
      <c r="X103" s="5"/>
    </row>
    <row r="104" spans="6:24" x14ac:dyDescent="0.2">
      <c r="F104" s="5"/>
      <c r="G104" s="5"/>
      <c r="H104" s="5"/>
      <c r="I104" s="5"/>
      <c r="J104" s="5"/>
      <c r="K104" s="5"/>
      <c r="L104" s="5"/>
      <c r="M104" s="5"/>
      <c r="N104" s="5"/>
      <c r="O104" s="5"/>
      <c r="P104" s="5"/>
      <c r="Q104" s="5"/>
      <c r="R104" s="5"/>
      <c r="S104" s="5"/>
      <c r="T104" s="5"/>
      <c r="U104" s="5"/>
      <c r="V104" s="5"/>
      <c r="W104" s="5"/>
      <c r="X104" s="5"/>
    </row>
    <row r="105" spans="6:24" x14ac:dyDescent="0.2">
      <c r="F105" s="5"/>
      <c r="G105" s="5"/>
      <c r="H105" s="5"/>
      <c r="I105" s="5"/>
      <c r="J105" s="5"/>
      <c r="K105" s="5"/>
      <c r="L105" s="5"/>
      <c r="M105" s="5"/>
      <c r="N105" s="5"/>
      <c r="O105" s="5"/>
      <c r="P105" s="5"/>
      <c r="Q105" s="5"/>
      <c r="R105" s="5"/>
      <c r="S105" s="5"/>
      <c r="T105" s="5"/>
      <c r="U105" s="5"/>
      <c r="V105" s="5"/>
      <c r="W105" s="5"/>
      <c r="X105" s="5"/>
    </row>
    <row r="106" spans="6:24" x14ac:dyDescent="0.2">
      <c r="F106" s="5"/>
      <c r="G106" s="5"/>
      <c r="H106" s="5"/>
      <c r="I106" s="5"/>
      <c r="J106" s="5"/>
      <c r="K106" s="5"/>
      <c r="L106" s="5"/>
      <c r="M106" s="5"/>
      <c r="N106" s="5"/>
      <c r="O106" s="5"/>
      <c r="P106" s="5"/>
      <c r="Q106" s="5"/>
      <c r="R106" s="5"/>
      <c r="S106" s="5"/>
      <c r="T106" s="5"/>
      <c r="U106" s="5"/>
      <c r="V106" s="5"/>
      <c r="W106" s="5"/>
      <c r="X106" s="5"/>
    </row>
    <row r="107" spans="6:24" x14ac:dyDescent="0.2">
      <c r="F107" s="5"/>
      <c r="G107" s="5"/>
      <c r="H107" s="5"/>
      <c r="I107" s="5"/>
      <c r="J107" s="5"/>
      <c r="K107" s="5"/>
      <c r="L107" s="5"/>
      <c r="M107" s="5"/>
      <c r="N107" s="5"/>
      <c r="O107" s="5"/>
      <c r="P107" s="5"/>
      <c r="Q107" s="5"/>
      <c r="R107" s="5"/>
      <c r="S107" s="5"/>
      <c r="T107" s="5"/>
      <c r="U107" s="5"/>
      <c r="V107" s="5"/>
      <c r="W107" s="5"/>
      <c r="X107" s="5"/>
    </row>
    <row r="108" spans="6:24" x14ac:dyDescent="0.2">
      <c r="F108" s="5"/>
      <c r="G108" s="5"/>
      <c r="H108" s="5"/>
      <c r="I108" s="5"/>
      <c r="J108" s="5"/>
      <c r="K108" s="5"/>
      <c r="L108" s="5"/>
      <c r="M108" s="5"/>
      <c r="N108" s="5"/>
      <c r="O108" s="5"/>
      <c r="P108" s="5"/>
      <c r="Q108" s="5"/>
      <c r="R108" s="5"/>
      <c r="S108" s="5"/>
      <c r="T108" s="5"/>
      <c r="U108" s="5"/>
      <c r="V108" s="5"/>
      <c r="W108" s="5"/>
      <c r="X108" s="5"/>
    </row>
    <row r="109" spans="6:24" x14ac:dyDescent="0.2">
      <c r="F109" s="5"/>
      <c r="G109" s="5"/>
      <c r="H109" s="5"/>
      <c r="I109" s="5"/>
      <c r="J109" s="5"/>
      <c r="K109" s="5"/>
      <c r="L109" s="5"/>
      <c r="M109" s="5"/>
      <c r="N109" s="5"/>
      <c r="O109" s="5"/>
      <c r="P109" s="5"/>
      <c r="Q109" s="5"/>
      <c r="R109" s="5"/>
      <c r="S109" s="5"/>
      <c r="T109" s="5"/>
      <c r="U109" s="5"/>
      <c r="V109" s="5"/>
      <c r="W109" s="5"/>
      <c r="X109" s="5"/>
    </row>
    <row r="110" spans="6:24" x14ac:dyDescent="0.2">
      <c r="F110" s="5"/>
      <c r="G110" s="5"/>
      <c r="H110" s="5"/>
      <c r="I110" s="5"/>
      <c r="J110" s="5"/>
      <c r="K110" s="5"/>
      <c r="L110" s="5"/>
      <c r="M110" s="5"/>
      <c r="N110" s="5"/>
      <c r="O110" s="5"/>
      <c r="P110" s="5"/>
      <c r="Q110" s="5"/>
      <c r="R110" s="5"/>
      <c r="S110" s="5"/>
      <c r="T110" s="5"/>
      <c r="U110" s="5"/>
      <c r="V110" s="5"/>
      <c r="W110" s="5"/>
      <c r="X110" s="5"/>
    </row>
    <row r="111" spans="6:24" x14ac:dyDescent="0.2">
      <c r="F111" s="5"/>
      <c r="G111" s="5"/>
      <c r="H111" s="5"/>
      <c r="I111" s="5"/>
      <c r="J111" s="5"/>
      <c r="K111" s="5"/>
      <c r="L111" s="5"/>
      <c r="M111" s="5"/>
      <c r="N111" s="5"/>
      <c r="O111" s="5"/>
      <c r="P111" s="5"/>
      <c r="Q111" s="5"/>
      <c r="R111" s="5"/>
      <c r="S111" s="5"/>
      <c r="T111" s="5"/>
      <c r="U111" s="5"/>
      <c r="V111" s="5"/>
      <c r="W111" s="5"/>
      <c r="X111" s="5"/>
    </row>
    <row r="112" spans="6:24" x14ac:dyDescent="0.2">
      <c r="F112" s="5"/>
      <c r="G112" s="5"/>
      <c r="H112" s="5"/>
      <c r="I112" s="5"/>
      <c r="J112" s="5"/>
      <c r="K112" s="5"/>
      <c r="L112" s="5"/>
      <c r="M112" s="5"/>
      <c r="N112" s="5"/>
      <c r="O112" s="5"/>
      <c r="P112" s="5"/>
      <c r="Q112" s="5"/>
      <c r="R112" s="5"/>
      <c r="S112" s="5"/>
      <c r="T112" s="5"/>
      <c r="U112" s="5"/>
      <c r="V112" s="5"/>
      <c r="W112" s="5"/>
      <c r="X112" s="5"/>
    </row>
    <row r="113" spans="6:24" x14ac:dyDescent="0.2">
      <c r="F113" s="5"/>
      <c r="G113" s="5"/>
      <c r="H113" s="5"/>
      <c r="I113" s="5"/>
      <c r="J113" s="5"/>
      <c r="K113" s="5"/>
      <c r="L113" s="5"/>
      <c r="M113" s="5"/>
      <c r="N113" s="5"/>
      <c r="O113" s="5"/>
      <c r="P113" s="5"/>
      <c r="Q113" s="5"/>
      <c r="R113" s="5"/>
      <c r="S113" s="5"/>
      <c r="T113" s="5"/>
      <c r="U113" s="5"/>
      <c r="V113" s="5"/>
      <c r="W113" s="5"/>
      <c r="X113" s="5"/>
    </row>
    <row r="114" spans="6:24" x14ac:dyDescent="0.2">
      <c r="F114" s="5"/>
      <c r="G114" s="5"/>
      <c r="H114" s="5"/>
      <c r="I114" s="5"/>
      <c r="J114" s="5"/>
      <c r="K114" s="5"/>
      <c r="L114" s="5"/>
      <c r="M114" s="5"/>
      <c r="N114" s="5"/>
      <c r="O114" s="5"/>
      <c r="P114" s="5"/>
      <c r="Q114" s="5"/>
      <c r="R114" s="5"/>
      <c r="S114" s="5"/>
      <c r="T114" s="5"/>
      <c r="U114" s="5"/>
      <c r="V114" s="5"/>
      <c r="W114" s="5"/>
      <c r="X114" s="5"/>
    </row>
    <row r="115" spans="6:24" x14ac:dyDescent="0.2">
      <c r="F115" s="5"/>
      <c r="G115" s="5"/>
      <c r="H115" s="5"/>
      <c r="I115" s="5"/>
      <c r="J115" s="5"/>
      <c r="K115" s="5"/>
      <c r="L115" s="5"/>
      <c r="M115" s="5"/>
      <c r="N115" s="5"/>
      <c r="O115" s="5"/>
      <c r="P115" s="5"/>
      <c r="Q115" s="5"/>
      <c r="R115" s="5"/>
      <c r="S115" s="5"/>
      <c r="T115" s="5"/>
      <c r="U115" s="5"/>
      <c r="V115" s="5"/>
      <c r="W115" s="5"/>
      <c r="X115" s="5"/>
    </row>
    <row r="116" spans="6:24" x14ac:dyDescent="0.2">
      <c r="F116" s="5"/>
      <c r="G116" s="5"/>
      <c r="H116" s="5"/>
      <c r="I116" s="5"/>
      <c r="J116" s="5"/>
      <c r="K116" s="5"/>
      <c r="L116" s="5"/>
      <c r="M116" s="5"/>
      <c r="N116" s="5"/>
      <c r="O116" s="5"/>
      <c r="P116" s="5"/>
      <c r="Q116" s="5"/>
      <c r="R116" s="5"/>
      <c r="S116" s="5"/>
      <c r="T116" s="5"/>
      <c r="U116" s="5"/>
      <c r="V116" s="5"/>
      <c r="W116" s="5"/>
      <c r="X116" s="5"/>
    </row>
    <row r="117" spans="6:24" x14ac:dyDescent="0.2">
      <c r="F117" s="5"/>
      <c r="G117" s="5"/>
      <c r="H117" s="5"/>
      <c r="I117" s="5"/>
      <c r="J117" s="5"/>
      <c r="K117" s="5"/>
      <c r="L117" s="5"/>
      <c r="M117" s="5"/>
      <c r="N117" s="5"/>
      <c r="O117" s="5"/>
      <c r="P117" s="5"/>
      <c r="Q117" s="5"/>
      <c r="R117" s="5"/>
      <c r="S117" s="5"/>
      <c r="T117" s="5"/>
      <c r="U117" s="5"/>
      <c r="V117" s="5"/>
      <c r="W117" s="5"/>
      <c r="X117" s="5"/>
    </row>
    <row r="118" spans="6:24" x14ac:dyDescent="0.2">
      <c r="F118" s="5"/>
      <c r="G118" s="5"/>
      <c r="H118" s="5"/>
      <c r="I118" s="5"/>
      <c r="J118" s="5"/>
      <c r="K118" s="5"/>
      <c r="L118" s="5"/>
      <c r="M118" s="5"/>
      <c r="N118" s="5"/>
      <c r="O118" s="5"/>
      <c r="P118" s="5"/>
      <c r="Q118" s="5"/>
      <c r="R118" s="5"/>
      <c r="S118" s="5"/>
      <c r="T118" s="5"/>
      <c r="U118" s="5"/>
      <c r="V118" s="5"/>
      <c r="W118" s="5"/>
      <c r="X118" s="5"/>
    </row>
    <row r="119" spans="6:24" x14ac:dyDescent="0.2">
      <c r="F119" s="5"/>
      <c r="G119" s="5"/>
      <c r="H119" s="5"/>
      <c r="I119" s="5"/>
      <c r="J119" s="5"/>
      <c r="K119" s="5"/>
      <c r="L119" s="5"/>
      <c r="M119" s="5"/>
      <c r="N119" s="5"/>
      <c r="O119" s="5"/>
      <c r="P119" s="5"/>
      <c r="Q119" s="5"/>
      <c r="R119" s="5"/>
      <c r="S119" s="5"/>
      <c r="T119" s="5"/>
      <c r="U119" s="5"/>
      <c r="V119" s="5"/>
      <c r="W119" s="5"/>
      <c r="X119" s="5"/>
    </row>
    <row r="120" spans="6:24" x14ac:dyDescent="0.2">
      <c r="F120" s="5"/>
      <c r="G120" s="5"/>
      <c r="H120" s="5"/>
      <c r="I120" s="5"/>
      <c r="J120" s="5"/>
      <c r="K120" s="5"/>
      <c r="L120" s="5"/>
      <c r="M120" s="5"/>
      <c r="N120" s="5"/>
      <c r="O120" s="5"/>
      <c r="P120" s="5"/>
      <c r="Q120" s="5"/>
      <c r="R120" s="5"/>
      <c r="S120" s="5"/>
      <c r="T120" s="5"/>
      <c r="U120" s="5"/>
      <c r="V120" s="5"/>
      <c r="W120" s="5"/>
      <c r="X120" s="5"/>
    </row>
    <row r="121" spans="6:24" x14ac:dyDescent="0.2">
      <c r="F121" s="5"/>
      <c r="G121" s="5"/>
      <c r="H121" s="5"/>
      <c r="I121" s="5"/>
      <c r="J121" s="5"/>
      <c r="K121" s="5"/>
      <c r="L121" s="5"/>
      <c r="M121" s="5"/>
      <c r="N121" s="5"/>
      <c r="O121" s="5"/>
      <c r="P121" s="5"/>
      <c r="Q121" s="5"/>
      <c r="R121" s="5"/>
      <c r="S121" s="5"/>
      <c r="T121" s="5"/>
      <c r="U121" s="5"/>
      <c r="V121" s="5"/>
      <c r="W121" s="5"/>
      <c r="X121" s="5"/>
    </row>
    <row r="122" spans="6:24" x14ac:dyDescent="0.2">
      <c r="F122" s="5"/>
      <c r="G122" s="5"/>
      <c r="H122" s="5"/>
      <c r="I122" s="5"/>
      <c r="J122" s="5"/>
      <c r="K122" s="5"/>
      <c r="L122" s="5"/>
      <c r="M122" s="5"/>
      <c r="N122" s="5"/>
      <c r="O122" s="5"/>
      <c r="P122" s="5"/>
      <c r="Q122" s="5"/>
      <c r="R122" s="5"/>
      <c r="S122" s="5"/>
      <c r="T122" s="5"/>
      <c r="U122" s="5"/>
      <c r="V122" s="5"/>
      <c r="W122" s="5"/>
      <c r="X122" s="5"/>
    </row>
    <row r="123" spans="6:24" x14ac:dyDescent="0.2">
      <c r="F123" s="5"/>
      <c r="G123" s="5"/>
      <c r="H123" s="5"/>
      <c r="I123" s="5"/>
      <c r="J123" s="5"/>
      <c r="K123" s="5"/>
      <c r="L123" s="5"/>
      <c r="M123" s="5"/>
      <c r="N123" s="5"/>
      <c r="O123" s="5"/>
      <c r="P123" s="5"/>
      <c r="Q123" s="5"/>
      <c r="R123" s="5"/>
      <c r="S123" s="5"/>
      <c r="T123" s="5"/>
      <c r="U123" s="5"/>
      <c r="V123" s="5"/>
      <c r="W123" s="5"/>
      <c r="X123" s="5"/>
    </row>
    <row r="124" spans="6:24" x14ac:dyDescent="0.2">
      <c r="F124" s="5"/>
      <c r="G124" s="5"/>
      <c r="H124" s="5"/>
      <c r="I124" s="5"/>
      <c r="J124" s="5"/>
      <c r="K124" s="5"/>
      <c r="L124" s="5"/>
      <c r="M124" s="5"/>
      <c r="N124" s="5"/>
      <c r="O124" s="5"/>
      <c r="P124" s="5"/>
      <c r="Q124" s="5"/>
      <c r="R124" s="5"/>
      <c r="S124" s="5"/>
      <c r="T124" s="5"/>
      <c r="U124" s="5"/>
      <c r="V124" s="5"/>
      <c r="W124" s="5"/>
      <c r="X124" s="5"/>
    </row>
    <row r="125" spans="6:24" x14ac:dyDescent="0.2">
      <c r="F125" s="5"/>
      <c r="G125" s="5"/>
      <c r="H125" s="5"/>
      <c r="I125" s="5"/>
      <c r="J125" s="5"/>
      <c r="K125" s="5"/>
      <c r="L125" s="5"/>
      <c r="M125" s="5"/>
      <c r="N125" s="5"/>
      <c r="O125" s="5"/>
      <c r="P125" s="5"/>
      <c r="Q125" s="5"/>
      <c r="R125" s="5"/>
      <c r="S125" s="5"/>
      <c r="T125" s="5"/>
      <c r="U125" s="5"/>
      <c r="V125" s="5"/>
      <c r="W125" s="5"/>
      <c r="X125" s="5"/>
    </row>
    <row r="126" spans="6:24" x14ac:dyDescent="0.2">
      <c r="F126" s="5"/>
      <c r="G126" s="5"/>
      <c r="H126" s="5"/>
      <c r="I126" s="5"/>
      <c r="J126" s="5"/>
      <c r="K126" s="5"/>
      <c r="L126" s="5"/>
      <c r="M126" s="5"/>
      <c r="N126" s="5"/>
      <c r="O126" s="5"/>
      <c r="P126" s="5"/>
      <c r="Q126" s="5"/>
      <c r="R126" s="5"/>
      <c r="S126" s="5"/>
      <c r="T126" s="5"/>
      <c r="U126" s="5"/>
      <c r="V126" s="5"/>
      <c r="W126" s="5"/>
      <c r="X126" s="5"/>
    </row>
    <row r="127" spans="6:24" x14ac:dyDescent="0.2">
      <c r="F127" s="5"/>
      <c r="G127" s="5"/>
      <c r="H127" s="5"/>
      <c r="I127" s="5"/>
      <c r="J127" s="5"/>
      <c r="K127" s="5"/>
      <c r="L127" s="5"/>
      <c r="M127" s="5"/>
      <c r="N127" s="5"/>
      <c r="O127" s="5"/>
      <c r="P127" s="5"/>
      <c r="Q127" s="5"/>
      <c r="R127" s="5"/>
      <c r="S127" s="5"/>
      <c r="T127" s="5"/>
      <c r="U127" s="5"/>
      <c r="V127" s="5"/>
      <c r="W127" s="5"/>
      <c r="X127" s="5"/>
    </row>
    <row r="128" spans="6:24" x14ac:dyDescent="0.2">
      <c r="F128" s="5"/>
      <c r="G128" s="5"/>
      <c r="H128" s="5"/>
      <c r="I128" s="5"/>
      <c r="J128" s="5"/>
      <c r="K128" s="5"/>
      <c r="L128" s="5"/>
      <c r="M128" s="5"/>
      <c r="N128" s="5"/>
      <c r="O128" s="5"/>
      <c r="P128" s="5"/>
      <c r="Q128" s="5"/>
      <c r="R128" s="5"/>
      <c r="S128" s="5"/>
      <c r="T128" s="5"/>
      <c r="U128" s="5"/>
      <c r="V128" s="5"/>
      <c r="W128" s="5"/>
      <c r="X128" s="5"/>
    </row>
    <row r="129" spans="6:24" x14ac:dyDescent="0.2">
      <c r="F129" s="5"/>
      <c r="G129" s="5"/>
      <c r="H129" s="5"/>
      <c r="I129" s="5"/>
      <c r="J129" s="5"/>
      <c r="K129" s="5"/>
      <c r="L129" s="5"/>
      <c r="M129" s="5"/>
      <c r="N129" s="5"/>
      <c r="O129" s="5"/>
      <c r="P129" s="5"/>
      <c r="Q129" s="5"/>
      <c r="R129" s="5"/>
      <c r="S129" s="5"/>
      <c r="T129" s="5"/>
      <c r="U129" s="5"/>
      <c r="V129" s="5"/>
      <c r="W129" s="5"/>
      <c r="X129" s="5"/>
    </row>
    <row r="130" spans="6:24" x14ac:dyDescent="0.2">
      <c r="F130" s="5"/>
      <c r="G130" s="5"/>
      <c r="H130" s="5"/>
      <c r="I130" s="5"/>
      <c r="J130" s="5"/>
      <c r="K130" s="5"/>
      <c r="L130" s="5"/>
      <c r="M130" s="5"/>
      <c r="N130" s="5"/>
      <c r="O130" s="5"/>
      <c r="P130" s="5"/>
      <c r="Q130" s="5"/>
      <c r="R130" s="5"/>
      <c r="S130" s="5"/>
      <c r="T130" s="5"/>
      <c r="U130" s="5"/>
      <c r="V130" s="5"/>
      <c r="W130" s="5"/>
      <c r="X130" s="5"/>
    </row>
    <row r="131" spans="6:24" x14ac:dyDescent="0.2">
      <c r="F131" s="5"/>
      <c r="G131" s="5"/>
      <c r="H131" s="5"/>
      <c r="I131" s="5"/>
      <c r="J131" s="5"/>
      <c r="K131" s="5"/>
      <c r="L131" s="5"/>
      <c r="M131" s="5"/>
      <c r="N131" s="5"/>
      <c r="O131" s="5"/>
      <c r="P131" s="5"/>
      <c r="Q131" s="5"/>
      <c r="R131" s="5"/>
      <c r="S131" s="5"/>
      <c r="T131" s="5"/>
      <c r="U131" s="5"/>
      <c r="V131" s="5"/>
      <c r="W131" s="5"/>
      <c r="X131" s="5"/>
    </row>
    <row r="132" spans="6:24" x14ac:dyDescent="0.2">
      <c r="F132" s="5"/>
      <c r="G132" s="5"/>
      <c r="H132" s="5"/>
      <c r="I132" s="5"/>
      <c r="J132" s="5"/>
      <c r="K132" s="5"/>
      <c r="L132" s="5"/>
      <c r="M132" s="5"/>
      <c r="N132" s="5"/>
      <c r="O132" s="5"/>
      <c r="P132" s="5"/>
      <c r="Q132" s="5"/>
      <c r="R132" s="5"/>
      <c r="S132" s="5"/>
      <c r="T132" s="5"/>
      <c r="U132" s="5"/>
      <c r="V132" s="5"/>
      <c r="W132" s="5"/>
      <c r="X132" s="5"/>
    </row>
    <row r="133" spans="6:24" x14ac:dyDescent="0.2">
      <c r="F133" s="5"/>
      <c r="G133" s="5"/>
      <c r="H133" s="5"/>
      <c r="I133" s="5"/>
      <c r="J133" s="5"/>
      <c r="K133" s="5"/>
      <c r="L133" s="5"/>
      <c r="M133" s="5"/>
      <c r="N133" s="5"/>
      <c r="O133" s="5"/>
      <c r="P133" s="5"/>
      <c r="Q133" s="5"/>
      <c r="R133" s="5"/>
      <c r="S133" s="5"/>
      <c r="T133" s="5"/>
      <c r="U133" s="5"/>
      <c r="V133" s="5"/>
      <c r="W133" s="5"/>
      <c r="X133" s="5"/>
    </row>
    <row r="134" spans="6:24" x14ac:dyDescent="0.2">
      <c r="F134" s="5"/>
      <c r="G134" s="5"/>
      <c r="H134" s="5"/>
      <c r="I134" s="5"/>
      <c r="J134" s="5"/>
      <c r="K134" s="5"/>
      <c r="L134" s="5"/>
      <c r="M134" s="5"/>
      <c r="N134" s="5"/>
      <c r="O134" s="5"/>
      <c r="P134" s="5"/>
      <c r="Q134" s="5"/>
      <c r="R134" s="5"/>
      <c r="S134" s="5"/>
      <c r="T134" s="5"/>
      <c r="U134" s="5"/>
      <c r="V134" s="5"/>
      <c r="W134" s="5"/>
      <c r="X134" s="5"/>
    </row>
    <row r="135" spans="6:24" x14ac:dyDescent="0.2">
      <c r="F135" s="5"/>
      <c r="G135" s="5"/>
      <c r="H135" s="5"/>
      <c r="I135" s="5"/>
      <c r="J135" s="5"/>
      <c r="K135" s="5"/>
      <c r="L135" s="5"/>
      <c r="M135" s="5"/>
      <c r="N135" s="5"/>
      <c r="O135" s="5"/>
      <c r="P135" s="5"/>
      <c r="Q135" s="5"/>
      <c r="R135" s="5"/>
      <c r="S135" s="5"/>
      <c r="T135" s="5"/>
      <c r="U135" s="5"/>
      <c r="V135" s="5"/>
      <c r="W135" s="5"/>
      <c r="X135" s="5"/>
    </row>
    <row r="136" spans="6:24" x14ac:dyDescent="0.2">
      <c r="F136" s="5"/>
      <c r="G136" s="5"/>
      <c r="H136" s="5"/>
      <c r="I136" s="5"/>
      <c r="J136" s="5"/>
      <c r="K136" s="5"/>
      <c r="L136" s="5"/>
      <c r="M136" s="5"/>
      <c r="N136" s="5"/>
      <c r="O136" s="5"/>
      <c r="P136" s="5"/>
      <c r="Q136" s="5"/>
      <c r="R136" s="5"/>
      <c r="S136" s="5"/>
      <c r="T136" s="5"/>
      <c r="U136" s="5"/>
      <c r="V136" s="5"/>
      <c r="W136" s="5"/>
      <c r="X136" s="5"/>
    </row>
    <row r="137" spans="6:24" x14ac:dyDescent="0.2">
      <c r="F137" s="5"/>
      <c r="G137" s="5"/>
      <c r="H137" s="5"/>
      <c r="I137" s="5"/>
      <c r="J137" s="5"/>
      <c r="K137" s="5"/>
      <c r="L137" s="5"/>
      <c r="M137" s="5"/>
      <c r="N137" s="5"/>
      <c r="O137" s="5"/>
      <c r="P137" s="5"/>
      <c r="Q137" s="5"/>
      <c r="R137" s="5"/>
      <c r="S137" s="5"/>
      <c r="T137" s="5"/>
      <c r="U137" s="5"/>
      <c r="V137" s="5"/>
      <c r="W137" s="5"/>
      <c r="X137" s="5"/>
    </row>
    <row r="138" spans="6:24" x14ac:dyDescent="0.2">
      <c r="F138" s="5"/>
      <c r="G138" s="5"/>
      <c r="H138" s="5"/>
      <c r="I138" s="5"/>
      <c r="J138" s="5"/>
      <c r="K138" s="5"/>
      <c r="L138" s="5"/>
      <c r="M138" s="5"/>
      <c r="N138" s="5"/>
      <c r="O138" s="5"/>
      <c r="P138" s="5"/>
      <c r="Q138" s="5"/>
      <c r="R138" s="5"/>
      <c r="S138" s="5"/>
      <c r="T138" s="5"/>
      <c r="U138" s="5"/>
      <c r="V138" s="5"/>
      <c r="W138" s="5"/>
      <c r="X138" s="5"/>
    </row>
    <row r="139" spans="6:24" x14ac:dyDescent="0.2">
      <c r="F139" s="5"/>
      <c r="G139" s="5"/>
      <c r="H139" s="5"/>
      <c r="I139" s="5"/>
      <c r="J139" s="5"/>
      <c r="K139" s="5"/>
      <c r="L139" s="5"/>
      <c r="M139" s="5"/>
      <c r="N139" s="5"/>
      <c r="O139" s="5"/>
      <c r="P139" s="5"/>
      <c r="Q139" s="5"/>
      <c r="R139" s="5"/>
      <c r="S139" s="5"/>
      <c r="T139" s="5"/>
      <c r="U139" s="5"/>
      <c r="V139" s="5"/>
      <c r="W139" s="5"/>
      <c r="X139" s="5"/>
    </row>
    <row r="140" spans="6:24" x14ac:dyDescent="0.2">
      <c r="F140" s="5"/>
      <c r="G140" s="5"/>
      <c r="H140" s="5"/>
      <c r="I140" s="5"/>
      <c r="J140" s="5"/>
      <c r="K140" s="5"/>
      <c r="L140" s="5"/>
      <c r="M140" s="5"/>
      <c r="N140" s="5"/>
      <c r="O140" s="5"/>
      <c r="P140" s="5"/>
      <c r="Q140" s="5"/>
      <c r="R140" s="5"/>
      <c r="S140" s="5"/>
      <c r="T140" s="5"/>
      <c r="U140" s="5"/>
      <c r="V140" s="5"/>
      <c r="W140" s="5"/>
      <c r="X140" s="5"/>
    </row>
    <row r="141" spans="6:24" x14ac:dyDescent="0.2">
      <c r="F141" s="5"/>
      <c r="G141" s="5"/>
      <c r="H141" s="5"/>
      <c r="I141" s="5"/>
      <c r="J141" s="5"/>
      <c r="K141" s="5"/>
      <c r="L141" s="5"/>
      <c r="M141" s="5"/>
      <c r="N141" s="5"/>
      <c r="O141" s="5"/>
      <c r="P141" s="5"/>
      <c r="Q141" s="5"/>
      <c r="R141" s="5"/>
      <c r="S141" s="5"/>
      <c r="T141" s="5"/>
      <c r="U141" s="5"/>
      <c r="V141" s="5"/>
      <c r="W141" s="5"/>
      <c r="X141" s="5"/>
    </row>
    <row r="142" spans="6:24" x14ac:dyDescent="0.2">
      <c r="F142" s="5"/>
      <c r="G142" s="5"/>
      <c r="H142" s="5"/>
      <c r="I142" s="5"/>
      <c r="J142" s="5"/>
      <c r="K142" s="5"/>
      <c r="L142" s="5"/>
      <c r="M142" s="5"/>
      <c r="N142" s="5"/>
      <c r="O142" s="5"/>
      <c r="P142" s="5"/>
      <c r="Q142" s="5"/>
      <c r="R142" s="5"/>
      <c r="S142" s="5"/>
      <c r="T142" s="5"/>
      <c r="U142" s="5"/>
      <c r="V142" s="5"/>
      <c r="W142" s="5"/>
      <c r="X142" s="5"/>
    </row>
    <row r="143" spans="6:24" x14ac:dyDescent="0.2">
      <c r="F143" s="5"/>
      <c r="G143" s="5"/>
      <c r="H143" s="5"/>
      <c r="I143" s="5"/>
      <c r="J143" s="5"/>
      <c r="K143" s="5"/>
      <c r="L143" s="5"/>
      <c r="M143" s="5"/>
      <c r="N143" s="5"/>
      <c r="O143" s="5"/>
      <c r="P143" s="5"/>
      <c r="Q143" s="5"/>
      <c r="R143" s="5"/>
      <c r="S143" s="5"/>
      <c r="T143" s="5"/>
      <c r="U143" s="5"/>
      <c r="V143" s="5"/>
      <c r="W143" s="5"/>
      <c r="X143" s="5"/>
    </row>
    <row r="144" spans="6:24" x14ac:dyDescent="0.2">
      <c r="F144" s="5"/>
      <c r="G144" s="5"/>
      <c r="H144" s="5"/>
      <c r="I144" s="5"/>
      <c r="J144" s="5"/>
      <c r="K144" s="5"/>
      <c r="L144" s="5"/>
      <c r="M144" s="5"/>
      <c r="N144" s="5"/>
      <c r="O144" s="5"/>
      <c r="P144" s="5"/>
      <c r="Q144" s="5"/>
      <c r="R144" s="5"/>
      <c r="S144" s="5"/>
      <c r="T144" s="5"/>
      <c r="U144" s="5"/>
      <c r="V144" s="5"/>
      <c r="W144" s="5"/>
      <c r="X144" s="5"/>
    </row>
    <row r="145" spans="6:24" x14ac:dyDescent="0.2">
      <c r="F145" s="5"/>
      <c r="G145" s="5"/>
      <c r="H145" s="5"/>
      <c r="I145" s="5"/>
      <c r="J145" s="5"/>
      <c r="K145" s="5"/>
      <c r="L145" s="5"/>
      <c r="M145" s="5"/>
      <c r="N145" s="5"/>
      <c r="O145" s="5"/>
      <c r="P145" s="5"/>
      <c r="Q145" s="5"/>
      <c r="R145" s="5"/>
      <c r="S145" s="5"/>
      <c r="T145" s="5"/>
      <c r="U145" s="5"/>
      <c r="V145" s="5"/>
      <c r="W145" s="5"/>
      <c r="X145" s="5"/>
    </row>
    <row r="146" spans="6:24" x14ac:dyDescent="0.2">
      <c r="F146" s="5"/>
      <c r="G146" s="5"/>
      <c r="H146" s="5"/>
      <c r="I146" s="5"/>
      <c r="J146" s="5"/>
      <c r="K146" s="5"/>
      <c r="L146" s="5"/>
      <c r="M146" s="5"/>
      <c r="N146" s="5"/>
      <c r="O146" s="5"/>
      <c r="P146" s="5"/>
      <c r="Q146" s="5"/>
      <c r="R146" s="5"/>
      <c r="S146" s="5"/>
      <c r="T146" s="5"/>
      <c r="U146" s="5"/>
      <c r="V146" s="5"/>
      <c r="W146" s="5"/>
      <c r="X146" s="5"/>
    </row>
    <row r="147" spans="6:24" x14ac:dyDescent="0.2">
      <c r="F147" s="5"/>
      <c r="G147" s="5"/>
      <c r="H147" s="5"/>
      <c r="I147" s="5"/>
      <c r="J147" s="5"/>
      <c r="K147" s="5"/>
      <c r="L147" s="5"/>
      <c r="M147" s="5"/>
      <c r="N147" s="5"/>
      <c r="O147" s="5"/>
      <c r="P147" s="5"/>
      <c r="Q147" s="5"/>
      <c r="R147" s="5"/>
      <c r="S147" s="5"/>
      <c r="T147" s="5"/>
      <c r="U147" s="5"/>
      <c r="V147" s="5"/>
      <c r="W147" s="5"/>
      <c r="X147" s="5"/>
    </row>
    <row r="148" spans="6:24" x14ac:dyDescent="0.2">
      <c r="F148" s="5"/>
      <c r="G148" s="5"/>
      <c r="H148" s="5"/>
      <c r="I148" s="5"/>
      <c r="J148" s="5"/>
      <c r="K148" s="5"/>
      <c r="L148" s="5"/>
      <c r="M148" s="5"/>
      <c r="N148" s="5"/>
      <c r="O148" s="5"/>
      <c r="P148" s="5"/>
      <c r="Q148" s="5"/>
      <c r="R148" s="5"/>
      <c r="S148" s="5"/>
      <c r="T148" s="5"/>
      <c r="U148" s="5"/>
      <c r="V148" s="5"/>
      <c r="W148" s="5"/>
      <c r="X148" s="5"/>
    </row>
    <row r="149" spans="6:24" x14ac:dyDescent="0.2">
      <c r="F149" s="5"/>
      <c r="G149" s="5"/>
      <c r="H149" s="5"/>
      <c r="I149" s="5"/>
      <c r="J149" s="5"/>
      <c r="K149" s="5"/>
      <c r="L149" s="5"/>
      <c r="M149" s="5"/>
      <c r="N149" s="5"/>
      <c r="O149" s="5"/>
      <c r="P149" s="5"/>
      <c r="Q149" s="5"/>
      <c r="R149" s="5"/>
      <c r="S149" s="5"/>
      <c r="T149" s="5"/>
      <c r="U149" s="5"/>
      <c r="V149" s="5"/>
      <c r="W149" s="5"/>
      <c r="X149" s="5"/>
    </row>
    <row r="150" spans="6:24" x14ac:dyDescent="0.2">
      <c r="F150" s="5"/>
      <c r="G150" s="5"/>
      <c r="H150" s="5"/>
      <c r="I150" s="5"/>
      <c r="J150" s="5"/>
      <c r="K150" s="5"/>
      <c r="L150" s="5"/>
      <c r="M150" s="5"/>
      <c r="N150" s="5"/>
      <c r="O150" s="5"/>
      <c r="P150" s="5"/>
      <c r="Q150" s="5"/>
      <c r="R150" s="5"/>
      <c r="S150" s="5"/>
      <c r="T150" s="5"/>
      <c r="U150" s="5"/>
      <c r="V150" s="5"/>
      <c r="W150" s="5"/>
      <c r="X150" s="5"/>
    </row>
    <row r="151" spans="6:24" x14ac:dyDescent="0.2">
      <c r="F151" s="5"/>
      <c r="G151" s="5"/>
      <c r="H151" s="5"/>
      <c r="I151" s="5"/>
      <c r="J151" s="5"/>
      <c r="K151" s="5"/>
      <c r="L151" s="5"/>
      <c r="M151" s="5"/>
      <c r="N151" s="5"/>
      <c r="O151" s="5"/>
      <c r="P151" s="5"/>
      <c r="Q151" s="5"/>
      <c r="R151" s="5"/>
      <c r="S151" s="5"/>
      <c r="T151" s="5"/>
      <c r="U151" s="5"/>
      <c r="V151" s="5"/>
      <c r="W151" s="5"/>
      <c r="X151" s="5"/>
    </row>
    <row r="152" spans="6:24" x14ac:dyDescent="0.2">
      <c r="F152" s="5"/>
      <c r="G152" s="5"/>
      <c r="H152" s="5"/>
      <c r="I152" s="5"/>
      <c r="J152" s="5"/>
      <c r="K152" s="5"/>
      <c r="L152" s="5"/>
      <c r="M152" s="5"/>
      <c r="N152" s="5"/>
      <c r="O152" s="5"/>
      <c r="P152" s="5"/>
      <c r="Q152" s="5"/>
      <c r="R152" s="5"/>
      <c r="S152" s="5"/>
      <c r="T152" s="5"/>
      <c r="U152" s="5"/>
      <c r="V152" s="5"/>
      <c r="W152" s="5"/>
      <c r="X152" s="5"/>
    </row>
    <row r="153" spans="6:24" x14ac:dyDescent="0.2">
      <c r="F153" s="5"/>
      <c r="G153" s="5"/>
      <c r="H153" s="5"/>
      <c r="I153" s="5"/>
      <c r="J153" s="5"/>
      <c r="K153" s="5"/>
      <c r="L153" s="5"/>
      <c r="M153" s="5"/>
      <c r="N153" s="5"/>
      <c r="O153" s="5"/>
      <c r="P153" s="5"/>
      <c r="Q153" s="5"/>
      <c r="R153" s="5"/>
      <c r="S153" s="5"/>
      <c r="T153" s="5"/>
      <c r="U153" s="5"/>
      <c r="V153" s="5"/>
      <c r="W153" s="5"/>
      <c r="X153" s="5"/>
    </row>
    <row r="154" spans="6:24" x14ac:dyDescent="0.2">
      <c r="F154" s="5"/>
      <c r="G154" s="5"/>
      <c r="H154" s="5"/>
      <c r="I154" s="5"/>
      <c r="J154" s="5"/>
      <c r="K154" s="5"/>
      <c r="L154" s="5"/>
      <c r="M154" s="5"/>
      <c r="N154" s="5"/>
      <c r="O154" s="5"/>
      <c r="P154" s="5"/>
      <c r="Q154" s="5"/>
      <c r="R154" s="5"/>
      <c r="S154" s="5"/>
      <c r="T154" s="5"/>
      <c r="U154" s="5"/>
      <c r="V154" s="5"/>
      <c r="W154" s="5"/>
      <c r="X154" s="5"/>
    </row>
    <row r="155" spans="6:24" x14ac:dyDescent="0.2">
      <c r="F155" s="5"/>
      <c r="G155" s="5"/>
      <c r="H155" s="5"/>
      <c r="I155" s="5"/>
      <c r="J155" s="5"/>
      <c r="K155" s="5"/>
      <c r="L155" s="5"/>
      <c r="M155" s="5"/>
      <c r="N155" s="5"/>
      <c r="O155" s="5"/>
      <c r="P155" s="5"/>
      <c r="Q155" s="5"/>
      <c r="R155" s="5"/>
      <c r="S155" s="5"/>
      <c r="T155" s="5"/>
      <c r="U155" s="5"/>
      <c r="V155" s="5"/>
      <c r="W155" s="5"/>
      <c r="X155" s="5"/>
    </row>
    <row r="156" spans="6:24" x14ac:dyDescent="0.2">
      <c r="F156" s="5"/>
      <c r="G156" s="5"/>
      <c r="H156" s="5"/>
      <c r="I156" s="5"/>
      <c r="J156" s="5"/>
      <c r="K156" s="5"/>
      <c r="L156" s="5"/>
      <c r="M156" s="5"/>
      <c r="N156" s="5"/>
      <c r="O156" s="5"/>
      <c r="P156" s="5"/>
      <c r="Q156" s="5"/>
      <c r="R156" s="5"/>
      <c r="S156" s="5"/>
      <c r="T156" s="5"/>
      <c r="U156" s="5"/>
      <c r="V156" s="5"/>
      <c r="W156" s="5"/>
      <c r="X156" s="5"/>
    </row>
    <row r="157" spans="6:24" x14ac:dyDescent="0.2">
      <c r="F157" s="5"/>
      <c r="G157" s="5"/>
      <c r="H157" s="5"/>
      <c r="I157" s="5"/>
      <c r="J157" s="5"/>
      <c r="K157" s="5"/>
      <c r="L157" s="5"/>
      <c r="M157" s="5"/>
      <c r="N157" s="5"/>
      <c r="O157" s="5"/>
      <c r="P157" s="5"/>
      <c r="Q157" s="5"/>
      <c r="R157" s="5"/>
      <c r="S157" s="5"/>
      <c r="T157" s="5"/>
      <c r="U157" s="5"/>
      <c r="V157" s="5"/>
      <c r="W157" s="5"/>
      <c r="X157" s="5"/>
    </row>
    <row r="158" spans="6:24" x14ac:dyDescent="0.2">
      <c r="F158" s="5"/>
      <c r="G158" s="5"/>
      <c r="H158" s="5"/>
      <c r="I158" s="5"/>
      <c r="J158" s="5"/>
      <c r="K158" s="5"/>
      <c r="L158" s="5"/>
      <c r="M158" s="5"/>
      <c r="N158" s="5"/>
      <c r="O158" s="5"/>
      <c r="P158" s="5"/>
      <c r="Q158" s="5"/>
      <c r="R158" s="5"/>
      <c r="S158" s="5"/>
      <c r="T158" s="5"/>
      <c r="U158" s="5"/>
      <c r="V158" s="5"/>
      <c r="W158" s="5"/>
      <c r="X158" s="5"/>
    </row>
    <row r="159" spans="6:24" x14ac:dyDescent="0.2">
      <c r="F159" s="5"/>
      <c r="G159" s="5"/>
      <c r="H159" s="5"/>
      <c r="I159" s="5"/>
      <c r="J159" s="5"/>
      <c r="K159" s="5"/>
      <c r="L159" s="5"/>
      <c r="M159" s="5"/>
      <c r="N159" s="5"/>
      <c r="O159" s="5"/>
      <c r="P159" s="5"/>
      <c r="Q159" s="5"/>
      <c r="R159" s="5"/>
      <c r="S159" s="5"/>
      <c r="T159" s="5"/>
      <c r="U159" s="5"/>
      <c r="V159" s="5"/>
      <c r="W159" s="5"/>
      <c r="X159" s="5"/>
    </row>
    <row r="160" spans="6:24" x14ac:dyDescent="0.2">
      <c r="F160" s="5"/>
      <c r="G160" s="5"/>
      <c r="H160" s="5"/>
      <c r="I160" s="5"/>
      <c r="J160" s="5"/>
      <c r="K160" s="5"/>
      <c r="L160" s="5"/>
      <c r="M160" s="5"/>
      <c r="N160" s="5"/>
      <c r="O160" s="5"/>
      <c r="P160" s="5"/>
      <c r="Q160" s="5"/>
      <c r="R160" s="5"/>
      <c r="S160" s="5"/>
      <c r="T160" s="5"/>
      <c r="U160" s="5"/>
      <c r="V160" s="5"/>
      <c r="W160" s="5"/>
      <c r="X160" s="5"/>
    </row>
    <row r="161" spans="6:24" x14ac:dyDescent="0.2">
      <c r="F161" s="5"/>
      <c r="G161" s="5"/>
      <c r="H161" s="5"/>
      <c r="I161" s="5"/>
      <c r="J161" s="5"/>
      <c r="K161" s="5"/>
      <c r="L161" s="5"/>
      <c r="M161" s="5"/>
      <c r="N161" s="5"/>
      <c r="O161" s="5"/>
      <c r="P161" s="5"/>
      <c r="Q161" s="5"/>
      <c r="R161" s="5"/>
      <c r="S161" s="5"/>
      <c r="T161" s="5"/>
      <c r="U161" s="5"/>
      <c r="V161" s="5"/>
      <c r="W161" s="5"/>
      <c r="X161" s="5"/>
    </row>
    <row r="162" spans="6:24" x14ac:dyDescent="0.2">
      <c r="F162" s="5"/>
      <c r="G162" s="5"/>
      <c r="H162" s="5"/>
      <c r="I162" s="5"/>
      <c r="J162" s="5"/>
      <c r="K162" s="5"/>
      <c r="L162" s="5"/>
      <c r="M162" s="5"/>
      <c r="N162" s="5"/>
      <c r="O162" s="5"/>
      <c r="P162" s="5"/>
      <c r="Q162" s="5"/>
      <c r="R162" s="5"/>
      <c r="S162" s="5"/>
      <c r="T162" s="5"/>
      <c r="U162" s="5"/>
      <c r="V162" s="5"/>
      <c r="W162" s="5"/>
      <c r="X162" s="5"/>
    </row>
    <row r="163" spans="6:24" x14ac:dyDescent="0.2">
      <c r="F163" s="5"/>
      <c r="G163" s="5"/>
      <c r="H163" s="5"/>
      <c r="I163" s="5"/>
      <c r="J163" s="5"/>
      <c r="K163" s="5"/>
      <c r="L163" s="5"/>
      <c r="M163" s="5"/>
      <c r="N163" s="5"/>
      <c r="O163" s="5"/>
      <c r="P163" s="5"/>
      <c r="Q163" s="5"/>
      <c r="R163" s="5"/>
      <c r="S163" s="5"/>
      <c r="T163" s="5"/>
      <c r="U163" s="5"/>
      <c r="V163" s="5"/>
      <c r="W163" s="5"/>
      <c r="X163" s="5"/>
    </row>
    <row r="164" spans="6:24" x14ac:dyDescent="0.2">
      <c r="F164" s="5"/>
      <c r="G164" s="5"/>
      <c r="H164" s="5"/>
      <c r="I164" s="5"/>
      <c r="J164" s="5"/>
      <c r="K164" s="5"/>
      <c r="L164" s="5"/>
      <c r="M164" s="5"/>
      <c r="N164" s="5"/>
      <c r="O164" s="5"/>
      <c r="P164" s="5"/>
      <c r="Q164" s="5"/>
      <c r="R164" s="5"/>
      <c r="S164" s="5"/>
      <c r="T164" s="5"/>
      <c r="U164" s="5"/>
      <c r="V164" s="5"/>
      <c r="W164" s="5"/>
      <c r="X164" s="5"/>
    </row>
    <row r="165" spans="6:24" x14ac:dyDescent="0.2">
      <c r="F165" s="5"/>
      <c r="G165" s="5"/>
      <c r="H165" s="5"/>
      <c r="I165" s="5"/>
      <c r="J165" s="5"/>
      <c r="K165" s="5"/>
      <c r="L165" s="5"/>
      <c r="M165" s="5"/>
      <c r="N165" s="5"/>
      <c r="O165" s="5"/>
      <c r="P165" s="5"/>
      <c r="Q165" s="5"/>
      <c r="R165" s="5"/>
      <c r="S165" s="5"/>
      <c r="T165" s="5"/>
      <c r="U165" s="5"/>
      <c r="V165" s="5"/>
      <c r="W165" s="5"/>
      <c r="X165" s="5"/>
    </row>
    <row r="166" spans="6:24" x14ac:dyDescent="0.2">
      <c r="F166" s="5"/>
      <c r="G166" s="5"/>
      <c r="H166" s="5"/>
      <c r="I166" s="5"/>
      <c r="J166" s="5"/>
      <c r="K166" s="5"/>
      <c r="L166" s="5"/>
      <c r="M166" s="5"/>
      <c r="N166" s="5"/>
      <c r="O166" s="5"/>
      <c r="P166" s="5"/>
      <c r="Q166" s="5"/>
      <c r="R166" s="5"/>
      <c r="S166" s="5"/>
      <c r="T166" s="5"/>
      <c r="U166" s="5"/>
      <c r="V166" s="5"/>
      <c r="W166" s="5"/>
      <c r="X166" s="5"/>
    </row>
    <row r="308" spans="6:24" x14ac:dyDescent="0.2">
      <c r="F308" s="5"/>
      <c r="G308" s="5"/>
      <c r="H308" s="5"/>
      <c r="I308" s="5"/>
      <c r="J308" s="5"/>
      <c r="K308" s="5"/>
      <c r="L308" s="5"/>
      <c r="M308" s="5"/>
      <c r="N308" s="5"/>
      <c r="O308" s="5"/>
      <c r="P308" s="5"/>
      <c r="Q308" s="5"/>
      <c r="R308" s="5"/>
      <c r="S308" s="5"/>
      <c r="T308" s="5"/>
      <c r="U308" s="5"/>
      <c r="V308" s="5"/>
      <c r="W308" s="5"/>
      <c r="X308" s="5"/>
    </row>
    <row r="309" spans="6:24" x14ac:dyDescent="0.2">
      <c r="F309" s="5"/>
      <c r="G309" s="5"/>
      <c r="H309" s="5"/>
      <c r="I309" s="5"/>
      <c r="J309" s="5"/>
      <c r="K309" s="5"/>
      <c r="L309" s="5"/>
      <c r="M309" s="5"/>
      <c r="N309" s="5"/>
      <c r="O309" s="5"/>
      <c r="P309" s="5"/>
      <c r="Q309" s="5"/>
      <c r="R309" s="5"/>
      <c r="S309" s="5"/>
      <c r="T309" s="5"/>
      <c r="U309" s="5"/>
      <c r="V309" s="5"/>
      <c r="W309" s="5"/>
      <c r="X309" s="5"/>
    </row>
    <row r="310" spans="6:24" x14ac:dyDescent="0.2">
      <c r="F310" s="5"/>
      <c r="G310" s="5"/>
      <c r="H310" s="5"/>
      <c r="I310" s="5"/>
      <c r="J310" s="5"/>
      <c r="K310" s="5"/>
      <c r="L310" s="5"/>
      <c r="M310" s="5"/>
      <c r="N310" s="5"/>
      <c r="O310" s="5"/>
      <c r="P310" s="5"/>
      <c r="Q310" s="5"/>
      <c r="R310" s="5"/>
      <c r="S310" s="5"/>
      <c r="T310" s="5"/>
      <c r="U310" s="5"/>
      <c r="V310" s="5"/>
      <c r="W310" s="5"/>
      <c r="X310" s="5"/>
    </row>
    <row r="311" spans="6:24" x14ac:dyDescent="0.2">
      <c r="F311" s="5"/>
      <c r="G311" s="5"/>
      <c r="H311" s="5"/>
      <c r="I311" s="5"/>
      <c r="J311" s="5"/>
      <c r="K311" s="5"/>
      <c r="L311" s="5"/>
      <c r="M311" s="5"/>
      <c r="N311" s="5"/>
      <c r="O311" s="5"/>
      <c r="P311" s="5"/>
      <c r="Q311" s="5"/>
      <c r="R311" s="5"/>
      <c r="S311" s="5"/>
      <c r="T311" s="5"/>
      <c r="U311" s="5"/>
      <c r="V311" s="5"/>
      <c r="W311" s="5"/>
      <c r="X311" s="5"/>
    </row>
    <row r="312" spans="6:24" x14ac:dyDescent="0.2">
      <c r="F312" s="5"/>
      <c r="G312" s="5"/>
      <c r="H312" s="5"/>
      <c r="I312" s="5"/>
      <c r="J312" s="5"/>
      <c r="K312" s="5"/>
      <c r="L312" s="5"/>
      <c r="M312" s="5"/>
      <c r="N312" s="5"/>
      <c r="O312" s="5"/>
      <c r="P312" s="5"/>
      <c r="Q312" s="5"/>
      <c r="R312" s="5"/>
      <c r="S312" s="5"/>
      <c r="T312" s="5"/>
      <c r="U312" s="5"/>
      <c r="V312" s="5"/>
      <c r="W312" s="5"/>
      <c r="X312" s="5"/>
    </row>
    <row r="313" spans="6:24" x14ac:dyDescent="0.2">
      <c r="F313" s="5"/>
      <c r="G313" s="5"/>
      <c r="H313" s="5"/>
      <c r="I313" s="5"/>
      <c r="J313" s="5"/>
      <c r="K313" s="5"/>
      <c r="L313" s="5"/>
      <c r="M313" s="5"/>
      <c r="N313" s="5"/>
      <c r="O313" s="5"/>
      <c r="P313" s="5"/>
      <c r="Q313" s="5"/>
      <c r="R313" s="5"/>
      <c r="S313" s="5"/>
      <c r="T313" s="5"/>
      <c r="U313" s="5"/>
      <c r="V313" s="5"/>
      <c r="W313" s="5"/>
      <c r="X313" s="5"/>
    </row>
    <row r="314" spans="6:24" x14ac:dyDescent="0.2">
      <c r="F314" s="5"/>
      <c r="G314" s="5"/>
      <c r="H314" s="5"/>
      <c r="I314" s="5"/>
      <c r="J314" s="5"/>
      <c r="K314" s="5"/>
      <c r="L314" s="5"/>
      <c r="M314" s="5"/>
      <c r="N314" s="5"/>
      <c r="O314" s="5"/>
      <c r="P314" s="5"/>
      <c r="Q314" s="5"/>
      <c r="R314" s="5"/>
      <c r="S314" s="5"/>
      <c r="T314" s="5"/>
      <c r="U314" s="5"/>
      <c r="V314" s="5"/>
      <c r="W314" s="5"/>
      <c r="X314" s="5"/>
    </row>
    <row r="315" spans="6:24" x14ac:dyDescent="0.2">
      <c r="F315" s="5"/>
      <c r="G315" s="5"/>
      <c r="H315" s="5"/>
      <c r="I315" s="5"/>
      <c r="J315" s="5"/>
      <c r="K315" s="5"/>
      <c r="L315" s="5"/>
      <c r="M315" s="5"/>
      <c r="N315" s="5"/>
      <c r="O315" s="5"/>
      <c r="P315" s="5"/>
      <c r="Q315" s="5"/>
      <c r="R315" s="5"/>
      <c r="S315" s="5"/>
      <c r="T315" s="5"/>
      <c r="U315" s="5"/>
      <c r="V315" s="5"/>
      <c r="W315" s="5"/>
      <c r="X315" s="5"/>
    </row>
    <row r="316" spans="6:24" x14ac:dyDescent="0.2">
      <c r="F316" s="5"/>
      <c r="G316" s="5"/>
      <c r="H316" s="5"/>
      <c r="I316" s="5"/>
      <c r="J316" s="5"/>
      <c r="K316" s="5"/>
      <c r="L316" s="5"/>
      <c r="M316" s="5"/>
      <c r="N316" s="5"/>
      <c r="O316" s="5"/>
      <c r="P316" s="5"/>
      <c r="Q316" s="5"/>
      <c r="R316" s="5"/>
      <c r="S316" s="5"/>
      <c r="T316" s="5"/>
      <c r="U316" s="5"/>
      <c r="V316" s="5"/>
      <c r="W316" s="5"/>
      <c r="X316" s="5"/>
    </row>
    <row r="317" spans="6:24" x14ac:dyDescent="0.2">
      <c r="F317" s="5"/>
      <c r="G317" s="5"/>
      <c r="H317" s="5"/>
      <c r="I317" s="5"/>
      <c r="J317" s="5"/>
      <c r="K317" s="5"/>
      <c r="L317" s="5"/>
      <c r="M317" s="5"/>
      <c r="N317" s="5"/>
      <c r="O317" s="5"/>
      <c r="P317" s="5"/>
      <c r="Q317" s="5"/>
      <c r="R317" s="5"/>
      <c r="S317" s="5"/>
      <c r="T317" s="5"/>
      <c r="U317" s="5"/>
      <c r="V317" s="5"/>
      <c r="W317" s="5"/>
      <c r="X317" s="5"/>
    </row>
    <row r="318" spans="6:24" x14ac:dyDescent="0.2">
      <c r="F318" s="5"/>
      <c r="G318" s="5"/>
      <c r="H318" s="5"/>
      <c r="I318" s="5"/>
      <c r="J318" s="5"/>
      <c r="K318" s="5"/>
      <c r="L318" s="5"/>
      <c r="M318" s="5"/>
      <c r="N318" s="5"/>
      <c r="O318" s="5"/>
      <c r="P318" s="5"/>
      <c r="Q318" s="5"/>
      <c r="R318" s="5"/>
      <c r="S318" s="5"/>
      <c r="T318" s="5"/>
      <c r="U318" s="5"/>
      <c r="V318" s="5"/>
      <c r="W318" s="5"/>
      <c r="X318" s="5"/>
    </row>
    <row r="319" spans="6:24" x14ac:dyDescent="0.2">
      <c r="F319" s="5"/>
      <c r="G319" s="5"/>
      <c r="H319" s="5"/>
      <c r="I319" s="5"/>
      <c r="J319" s="5"/>
      <c r="K319" s="5"/>
      <c r="L319" s="5"/>
      <c r="M319" s="5"/>
      <c r="N319" s="5"/>
      <c r="O319" s="5"/>
      <c r="P319" s="5"/>
      <c r="Q319" s="5"/>
      <c r="R319" s="5"/>
      <c r="S319" s="5"/>
      <c r="T319" s="5"/>
      <c r="U319" s="5"/>
      <c r="V319" s="5"/>
      <c r="W319" s="5"/>
      <c r="X319" s="5"/>
    </row>
    <row r="320" spans="6:24" x14ac:dyDescent="0.2">
      <c r="F320" s="5"/>
      <c r="G320" s="5"/>
      <c r="H320" s="5"/>
      <c r="I320" s="5"/>
      <c r="J320" s="5"/>
      <c r="K320" s="5"/>
      <c r="L320" s="5"/>
      <c r="M320" s="5"/>
      <c r="N320" s="5"/>
      <c r="O320" s="5"/>
      <c r="P320" s="5"/>
      <c r="Q320" s="5"/>
      <c r="R320" s="5"/>
      <c r="S320" s="5"/>
      <c r="T320" s="5"/>
      <c r="U320" s="5"/>
      <c r="V320" s="5"/>
      <c r="W320" s="5"/>
      <c r="X320" s="5"/>
    </row>
    <row r="321" spans="6:24" x14ac:dyDescent="0.2">
      <c r="F321" s="5"/>
      <c r="G321" s="5"/>
      <c r="H321" s="5"/>
      <c r="I321" s="5"/>
      <c r="J321" s="5"/>
      <c r="K321" s="5"/>
      <c r="L321" s="5"/>
      <c r="M321" s="5"/>
      <c r="N321" s="5"/>
      <c r="O321" s="5"/>
      <c r="P321" s="5"/>
      <c r="Q321" s="5"/>
      <c r="R321" s="5"/>
      <c r="S321" s="5"/>
      <c r="T321" s="5"/>
      <c r="U321" s="5"/>
      <c r="V321" s="5"/>
      <c r="W321" s="5"/>
      <c r="X321" s="5"/>
    </row>
    <row r="322" spans="6:24" x14ac:dyDescent="0.2">
      <c r="F322" s="5"/>
      <c r="G322" s="5"/>
      <c r="H322" s="5"/>
      <c r="I322" s="5"/>
      <c r="J322" s="5"/>
      <c r="K322" s="5"/>
      <c r="L322" s="5"/>
      <c r="M322" s="5"/>
      <c r="N322" s="5"/>
      <c r="O322" s="5"/>
      <c r="P322" s="5"/>
      <c r="Q322" s="5"/>
      <c r="R322" s="5"/>
      <c r="S322" s="5"/>
      <c r="T322" s="5"/>
      <c r="U322" s="5"/>
      <c r="V322" s="5"/>
      <c r="W322" s="5"/>
      <c r="X322" s="5"/>
    </row>
    <row r="323" spans="6:24" x14ac:dyDescent="0.2">
      <c r="F323" s="5"/>
      <c r="G323" s="5"/>
      <c r="H323" s="5"/>
      <c r="I323" s="5"/>
      <c r="J323" s="5"/>
      <c r="K323" s="5"/>
      <c r="L323" s="5"/>
      <c r="M323" s="5"/>
      <c r="N323" s="5"/>
      <c r="O323" s="5"/>
      <c r="P323" s="5"/>
      <c r="Q323" s="5"/>
      <c r="R323" s="5"/>
      <c r="S323" s="5"/>
      <c r="T323" s="5"/>
      <c r="U323" s="5"/>
      <c r="V323" s="5"/>
      <c r="W323" s="5"/>
      <c r="X323" s="5"/>
    </row>
    <row r="324" spans="6:24" x14ac:dyDescent="0.2">
      <c r="F324" s="5"/>
      <c r="G324" s="5"/>
      <c r="H324" s="5"/>
      <c r="I324" s="5"/>
      <c r="J324" s="5"/>
      <c r="K324" s="5"/>
      <c r="L324" s="5"/>
      <c r="M324" s="5"/>
      <c r="N324" s="5"/>
      <c r="O324" s="5"/>
      <c r="P324" s="5"/>
      <c r="Q324" s="5"/>
      <c r="R324" s="5"/>
      <c r="S324" s="5"/>
      <c r="T324" s="5"/>
      <c r="U324" s="5"/>
      <c r="V324" s="5"/>
      <c r="W324" s="5"/>
      <c r="X324" s="5"/>
    </row>
    <row r="325" spans="6:24" x14ac:dyDescent="0.2">
      <c r="F325" s="5"/>
      <c r="G325" s="5"/>
      <c r="H325" s="5"/>
      <c r="I325" s="5"/>
      <c r="J325" s="5"/>
      <c r="K325" s="5"/>
      <c r="L325" s="5"/>
      <c r="M325" s="5"/>
      <c r="N325" s="5"/>
      <c r="O325" s="5"/>
      <c r="P325" s="5"/>
      <c r="Q325" s="5"/>
      <c r="R325" s="5"/>
      <c r="S325" s="5"/>
      <c r="T325" s="5"/>
      <c r="U325" s="5"/>
      <c r="V325" s="5"/>
      <c r="W325" s="5"/>
      <c r="X325" s="5"/>
    </row>
    <row r="326" spans="6:24" x14ac:dyDescent="0.2">
      <c r="F326" s="5"/>
      <c r="G326" s="5"/>
      <c r="H326" s="5"/>
      <c r="I326" s="5"/>
      <c r="J326" s="5"/>
      <c r="K326" s="5"/>
      <c r="L326" s="5"/>
      <c r="M326" s="5"/>
      <c r="N326" s="5"/>
      <c r="O326" s="5"/>
      <c r="P326" s="5"/>
      <c r="Q326" s="5"/>
      <c r="R326" s="5"/>
      <c r="S326" s="5"/>
      <c r="T326" s="5"/>
      <c r="U326" s="5"/>
      <c r="V326" s="5"/>
      <c r="W326" s="5"/>
      <c r="X326" s="5"/>
    </row>
    <row r="327" spans="6:24" x14ac:dyDescent="0.2">
      <c r="F327" s="5"/>
      <c r="G327" s="5"/>
      <c r="H327" s="5"/>
      <c r="I327" s="5"/>
      <c r="J327" s="5"/>
      <c r="K327" s="5"/>
      <c r="L327" s="5"/>
      <c r="M327" s="5"/>
      <c r="N327" s="5"/>
      <c r="O327" s="5"/>
      <c r="P327" s="5"/>
      <c r="Q327" s="5"/>
      <c r="R327" s="5"/>
      <c r="S327" s="5"/>
      <c r="T327" s="5"/>
      <c r="U327" s="5"/>
      <c r="V327" s="5"/>
      <c r="W327" s="5"/>
      <c r="X327" s="5"/>
    </row>
    <row r="328" spans="6:24" x14ac:dyDescent="0.2">
      <c r="F328" s="5"/>
      <c r="G328" s="5"/>
      <c r="H328" s="5"/>
      <c r="I328" s="5"/>
      <c r="J328" s="5"/>
      <c r="K328" s="5"/>
      <c r="L328" s="5"/>
      <c r="M328" s="5"/>
      <c r="N328" s="5"/>
      <c r="O328" s="5"/>
      <c r="P328" s="5"/>
      <c r="Q328" s="5"/>
      <c r="R328" s="5"/>
      <c r="S328" s="5"/>
      <c r="T328" s="5"/>
      <c r="U328" s="5"/>
      <c r="V328" s="5"/>
      <c r="W328" s="5"/>
      <c r="X328" s="5"/>
    </row>
    <row r="329" spans="6:24" x14ac:dyDescent="0.2">
      <c r="F329" s="5"/>
      <c r="G329" s="5"/>
      <c r="H329" s="5"/>
      <c r="I329" s="5"/>
      <c r="J329" s="5"/>
      <c r="K329" s="5"/>
      <c r="L329" s="5"/>
      <c r="M329" s="5"/>
      <c r="N329" s="5"/>
      <c r="O329" s="5"/>
      <c r="P329" s="5"/>
      <c r="Q329" s="5"/>
      <c r="R329" s="5"/>
      <c r="S329" s="5"/>
      <c r="T329" s="5"/>
      <c r="U329" s="5"/>
      <c r="V329" s="5"/>
      <c r="W329" s="5"/>
      <c r="X329" s="5"/>
    </row>
    <row r="330" spans="6:24" x14ac:dyDescent="0.2">
      <c r="F330" s="5"/>
      <c r="G330" s="5"/>
      <c r="H330" s="5"/>
      <c r="I330" s="5"/>
      <c r="J330" s="5"/>
      <c r="K330" s="5"/>
      <c r="L330" s="5"/>
      <c r="M330" s="5"/>
      <c r="N330" s="5"/>
      <c r="O330" s="5"/>
      <c r="P330" s="5"/>
      <c r="Q330" s="5"/>
      <c r="R330" s="5"/>
      <c r="S330" s="5"/>
      <c r="T330" s="5"/>
      <c r="U330" s="5"/>
      <c r="V330" s="5"/>
      <c r="W330" s="5"/>
      <c r="X330" s="5"/>
    </row>
    <row r="331" spans="6:24" x14ac:dyDescent="0.2">
      <c r="F331" s="5"/>
      <c r="G331" s="5"/>
      <c r="H331" s="5"/>
      <c r="I331" s="5"/>
      <c r="J331" s="5"/>
      <c r="K331" s="5"/>
      <c r="L331" s="5"/>
      <c r="M331" s="5"/>
      <c r="N331" s="5"/>
      <c r="O331" s="5"/>
      <c r="P331" s="5"/>
      <c r="Q331" s="5"/>
      <c r="R331" s="5"/>
      <c r="S331" s="5"/>
      <c r="T331" s="5"/>
      <c r="U331" s="5"/>
      <c r="V331" s="5"/>
      <c r="W331" s="5"/>
      <c r="X331" s="5"/>
    </row>
    <row r="332" spans="6:24" x14ac:dyDescent="0.2">
      <c r="F332" s="5"/>
      <c r="G332" s="5"/>
      <c r="H332" s="5"/>
      <c r="I332" s="5"/>
      <c r="J332" s="5"/>
      <c r="K332" s="5"/>
      <c r="L332" s="5"/>
      <c r="M332" s="5"/>
      <c r="N332" s="5"/>
      <c r="O332" s="5"/>
      <c r="P332" s="5"/>
      <c r="Q332" s="5"/>
      <c r="R332" s="5"/>
      <c r="S332" s="5"/>
      <c r="T332" s="5"/>
      <c r="U332" s="5"/>
      <c r="V332" s="5"/>
      <c r="W332" s="5"/>
      <c r="X332" s="5"/>
    </row>
    <row r="333" spans="6:24" x14ac:dyDescent="0.2">
      <c r="F333" s="5"/>
      <c r="G333" s="5"/>
      <c r="H333" s="5"/>
      <c r="I333" s="5"/>
      <c r="J333" s="5"/>
      <c r="K333" s="5"/>
      <c r="L333" s="5"/>
      <c r="M333" s="5"/>
      <c r="N333" s="5"/>
      <c r="O333" s="5"/>
      <c r="P333" s="5"/>
      <c r="Q333" s="5"/>
      <c r="R333" s="5"/>
      <c r="S333" s="5"/>
      <c r="T333" s="5"/>
      <c r="U333" s="5"/>
      <c r="V333" s="5"/>
      <c r="W333" s="5"/>
      <c r="X333" s="5"/>
    </row>
    <row r="334" spans="6:24" x14ac:dyDescent="0.2">
      <c r="F334" s="5"/>
      <c r="G334" s="5"/>
      <c r="H334" s="5"/>
      <c r="I334" s="5"/>
      <c r="J334" s="5"/>
      <c r="K334" s="5"/>
      <c r="L334" s="5"/>
      <c r="M334" s="5"/>
      <c r="N334" s="5"/>
      <c r="O334" s="5"/>
      <c r="P334" s="5"/>
      <c r="Q334" s="5"/>
      <c r="R334" s="5"/>
      <c r="S334" s="5"/>
      <c r="T334" s="5"/>
      <c r="U334" s="5"/>
      <c r="V334" s="5"/>
      <c r="W334" s="5"/>
      <c r="X334" s="5"/>
    </row>
    <row r="335" spans="6:24" x14ac:dyDescent="0.2">
      <c r="F335" s="5"/>
      <c r="G335" s="5"/>
      <c r="H335" s="5"/>
      <c r="I335" s="5"/>
      <c r="J335" s="5"/>
      <c r="K335" s="5"/>
      <c r="L335" s="5"/>
      <c r="M335" s="5"/>
      <c r="N335" s="5"/>
      <c r="O335" s="5"/>
      <c r="P335" s="5"/>
      <c r="Q335" s="5"/>
      <c r="R335" s="5"/>
      <c r="S335" s="5"/>
      <c r="T335" s="5"/>
      <c r="U335" s="5"/>
      <c r="V335" s="5"/>
      <c r="W335" s="5"/>
      <c r="X335" s="5"/>
    </row>
    <row r="336" spans="6:24" x14ac:dyDescent="0.2">
      <c r="F336" s="5"/>
      <c r="G336" s="5"/>
      <c r="H336" s="5"/>
      <c r="I336" s="5"/>
      <c r="J336" s="5"/>
      <c r="K336" s="5"/>
      <c r="L336" s="5"/>
      <c r="M336" s="5"/>
      <c r="N336" s="5"/>
      <c r="O336" s="5"/>
      <c r="P336" s="5"/>
      <c r="Q336" s="5"/>
      <c r="R336" s="5"/>
      <c r="S336" s="5"/>
      <c r="T336" s="5"/>
      <c r="U336" s="5"/>
      <c r="V336" s="5"/>
      <c r="W336" s="5"/>
      <c r="X336" s="5"/>
    </row>
    <row r="337" spans="6:24" x14ac:dyDescent="0.2">
      <c r="F337" s="5"/>
      <c r="G337" s="5"/>
      <c r="H337" s="5"/>
      <c r="I337" s="5"/>
      <c r="J337" s="5"/>
      <c r="K337" s="5"/>
      <c r="L337" s="5"/>
      <c r="M337" s="5"/>
      <c r="N337" s="5"/>
      <c r="O337" s="5"/>
      <c r="P337" s="5"/>
      <c r="Q337" s="5"/>
      <c r="R337" s="5"/>
      <c r="S337" s="5"/>
      <c r="T337" s="5"/>
      <c r="U337" s="5"/>
      <c r="V337" s="5"/>
      <c r="W337" s="5"/>
      <c r="X337" s="5"/>
    </row>
    <row r="338" spans="6:24" x14ac:dyDescent="0.2">
      <c r="F338" s="5"/>
      <c r="G338" s="5"/>
      <c r="H338" s="5"/>
      <c r="I338" s="5"/>
      <c r="J338" s="5"/>
      <c r="K338" s="5"/>
      <c r="L338" s="5"/>
      <c r="M338" s="5"/>
      <c r="N338" s="5"/>
      <c r="O338" s="5"/>
      <c r="P338" s="5"/>
      <c r="Q338" s="5"/>
      <c r="R338" s="5"/>
      <c r="S338" s="5"/>
      <c r="T338" s="5"/>
      <c r="U338" s="5"/>
      <c r="V338" s="5"/>
      <c r="W338" s="5"/>
      <c r="X338" s="5"/>
    </row>
    <row r="339" spans="6:24" x14ac:dyDescent="0.2">
      <c r="F339" s="5"/>
      <c r="G339" s="5"/>
      <c r="H339" s="5"/>
      <c r="I339" s="5"/>
      <c r="J339" s="5"/>
      <c r="K339" s="5"/>
      <c r="L339" s="5"/>
      <c r="M339" s="5"/>
      <c r="N339" s="5"/>
      <c r="O339" s="5"/>
      <c r="P339" s="5"/>
      <c r="Q339" s="5"/>
      <c r="R339" s="5"/>
      <c r="S339" s="5"/>
      <c r="T339" s="5"/>
      <c r="U339" s="5"/>
      <c r="V339" s="5"/>
      <c r="W339" s="5"/>
      <c r="X339" s="5"/>
    </row>
    <row r="340" spans="6:24" x14ac:dyDescent="0.2">
      <c r="F340" s="5"/>
      <c r="G340" s="5"/>
      <c r="H340" s="5"/>
      <c r="I340" s="5"/>
      <c r="J340" s="5"/>
      <c r="K340" s="5"/>
      <c r="L340" s="5"/>
      <c r="M340" s="5"/>
      <c r="N340" s="5"/>
      <c r="O340" s="5"/>
      <c r="P340" s="5"/>
      <c r="Q340" s="5"/>
      <c r="R340" s="5"/>
      <c r="S340" s="5"/>
      <c r="T340" s="5"/>
      <c r="U340" s="5"/>
      <c r="V340" s="5"/>
      <c r="W340" s="5"/>
      <c r="X340" s="5"/>
    </row>
    <row r="341" spans="6:24" x14ac:dyDescent="0.2">
      <c r="F341" s="5"/>
      <c r="G341" s="5"/>
      <c r="H341" s="5"/>
      <c r="I341" s="5"/>
      <c r="J341" s="5"/>
      <c r="K341" s="5"/>
      <c r="L341" s="5"/>
      <c r="M341" s="5"/>
      <c r="N341" s="5"/>
      <c r="O341" s="5"/>
      <c r="P341" s="5"/>
      <c r="Q341" s="5"/>
      <c r="R341" s="5"/>
      <c r="S341" s="5"/>
      <c r="T341" s="5"/>
      <c r="U341" s="5"/>
      <c r="V341" s="5"/>
      <c r="W341" s="5"/>
      <c r="X341" s="5"/>
    </row>
    <row r="342" spans="6:24" x14ac:dyDescent="0.2">
      <c r="F342" s="5"/>
      <c r="G342" s="5"/>
      <c r="H342" s="5"/>
      <c r="I342" s="5"/>
      <c r="J342" s="5"/>
      <c r="K342" s="5"/>
      <c r="L342" s="5"/>
      <c r="M342" s="5"/>
      <c r="N342" s="5"/>
      <c r="O342" s="5"/>
      <c r="P342" s="5"/>
      <c r="Q342" s="5"/>
      <c r="R342" s="5"/>
      <c r="S342" s="5"/>
      <c r="T342" s="5"/>
      <c r="U342" s="5"/>
      <c r="V342" s="5"/>
      <c r="W342" s="5"/>
      <c r="X342" s="5"/>
    </row>
    <row r="343" spans="6:24" x14ac:dyDescent="0.2">
      <c r="F343" s="5"/>
      <c r="G343" s="5"/>
      <c r="H343" s="5"/>
      <c r="I343" s="5"/>
      <c r="J343" s="5"/>
      <c r="K343" s="5"/>
      <c r="L343" s="5"/>
      <c r="M343" s="5"/>
      <c r="N343" s="5"/>
      <c r="O343" s="5"/>
      <c r="P343" s="5"/>
      <c r="Q343" s="5"/>
      <c r="R343" s="5"/>
      <c r="S343" s="5"/>
      <c r="T343" s="5"/>
      <c r="U343" s="5"/>
      <c r="V343" s="5"/>
      <c r="W343" s="5"/>
      <c r="X343" s="5"/>
    </row>
    <row r="344" spans="6:24" x14ac:dyDescent="0.2">
      <c r="F344" s="5"/>
      <c r="G344" s="5"/>
      <c r="H344" s="5"/>
      <c r="I344" s="5"/>
      <c r="J344" s="5"/>
      <c r="K344" s="5"/>
      <c r="L344" s="5"/>
      <c r="M344" s="5"/>
      <c r="N344" s="5"/>
      <c r="O344" s="5"/>
      <c r="P344" s="5"/>
      <c r="Q344" s="5"/>
      <c r="R344" s="5"/>
      <c r="S344" s="5"/>
      <c r="T344" s="5"/>
      <c r="U344" s="5"/>
      <c r="V344" s="5"/>
      <c r="W344" s="5"/>
      <c r="X344" s="5"/>
    </row>
    <row r="345" spans="6:24" x14ac:dyDescent="0.2">
      <c r="F345" s="5"/>
      <c r="G345" s="5"/>
      <c r="H345" s="5"/>
      <c r="I345" s="5"/>
      <c r="J345" s="5"/>
      <c r="K345" s="5"/>
      <c r="L345" s="5"/>
      <c r="M345" s="5"/>
      <c r="N345" s="5"/>
      <c r="O345" s="5"/>
      <c r="P345" s="5"/>
      <c r="Q345" s="5"/>
      <c r="R345" s="5"/>
      <c r="S345" s="5"/>
      <c r="T345" s="5"/>
      <c r="U345" s="5"/>
      <c r="V345" s="5"/>
      <c r="W345" s="5"/>
      <c r="X345" s="5"/>
    </row>
    <row r="346" spans="6:24" x14ac:dyDescent="0.2">
      <c r="F346" s="5"/>
      <c r="G346" s="5"/>
      <c r="H346" s="5"/>
      <c r="I346" s="5"/>
      <c r="J346" s="5"/>
      <c r="K346" s="5"/>
      <c r="L346" s="5"/>
      <c r="M346" s="5"/>
      <c r="N346" s="5"/>
      <c r="O346" s="5"/>
      <c r="P346" s="5"/>
      <c r="Q346" s="5"/>
      <c r="R346" s="5"/>
      <c r="S346" s="5"/>
      <c r="T346" s="5"/>
      <c r="U346" s="5"/>
      <c r="V346" s="5"/>
      <c r="W346" s="5"/>
      <c r="X346" s="5"/>
    </row>
    <row r="347" spans="6:24" x14ac:dyDescent="0.2">
      <c r="F347" s="5"/>
      <c r="G347" s="5"/>
      <c r="H347" s="5"/>
      <c r="I347" s="5"/>
      <c r="J347" s="5"/>
      <c r="K347" s="5"/>
      <c r="L347" s="5"/>
      <c r="M347" s="5"/>
      <c r="N347" s="5"/>
      <c r="O347" s="5"/>
      <c r="P347" s="5"/>
      <c r="Q347" s="5"/>
      <c r="R347" s="5"/>
      <c r="S347" s="5"/>
      <c r="T347" s="5"/>
      <c r="U347" s="5"/>
      <c r="V347" s="5"/>
      <c r="W347" s="5"/>
      <c r="X347" s="5"/>
    </row>
    <row r="348" spans="6:24" x14ac:dyDescent="0.2">
      <c r="F348" s="5"/>
      <c r="G348" s="5"/>
      <c r="H348" s="5"/>
      <c r="I348" s="5"/>
      <c r="J348" s="5"/>
      <c r="K348" s="5"/>
      <c r="L348" s="5"/>
      <c r="M348" s="5"/>
      <c r="N348" s="5"/>
      <c r="O348" s="5"/>
      <c r="P348" s="5"/>
      <c r="Q348" s="5"/>
      <c r="R348" s="5"/>
      <c r="S348" s="5"/>
      <c r="T348" s="5"/>
      <c r="U348" s="5"/>
      <c r="V348" s="5"/>
      <c r="W348" s="5"/>
      <c r="X348" s="5"/>
    </row>
    <row r="349" spans="6:24" x14ac:dyDescent="0.2">
      <c r="F349" s="5"/>
      <c r="G349" s="5"/>
      <c r="H349" s="5"/>
      <c r="I349" s="5"/>
      <c r="J349" s="5"/>
      <c r="K349" s="5"/>
      <c r="L349" s="5"/>
      <c r="M349" s="5"/>
      <c r="N349" s="5"/>
      <c r="O349" s="5"/>
      <c r="P349" s="5"/>
      <c r="Q349" s="5"/>
      <c r="R349" s="5"/>
      <c r="S349" s="5"/>
      <c r="T349" s="5"/>
      <c r="U349" s="5"/>
      <c r="V349" s="5"/>
      <c r="W349" s="5"/>
      <c r="X349" s="5"/>
    </row>
    <row r="350" spans="6:24" x14ac:dyDescent="0.2">
      <c r="F350" s="5"/>
      <c r="G350" s="5"/>
      <c r="H350" s="5"/>
      <c r="I350" s="5"/>
      <c r="J350" s="5"/>
      <c r="K350" s="5"/>
      <c r="L350" s="5"/>
      <c r="M350" s="5"/>
      <c r="N350" s="5"/>
      <c r="O350" s="5"/>
      <c r="P350" s="5"/>
      <c r="Q350" s="5"/>
      <c r="R350" s="5"/>
      <c r="S350" s="5"/>
      <c r="T350" s="5"/>
      <c r="U350" s="5"/>
      <c r="V350" s="5"/>
      <c r="W350" s="5"/>
      <c r="X350" s="5"/>
    </row>
    <row r="351" spans="6:24" x14ac:dyDescent="0.2">
      <c r="F351" s="5"/>
      <c r="G351" s="5"/>
      <c r="H351" s="5"/>
      <c r="I351" s="5"/>
      <c r="J351" s="5"/>
      <c r="K351" s="5"/>
      <c r="L351" s="5"/>
      <c r="M351" s="5"/>
      <c r="N351" s="5"/>
      <c r="O351" s="5"/>
      <c r="P351" s="5"/>
      <c r="Q351" s="5"/>
      <c r="R351" s="5"/>
      <c r="S351" s="5"/>
      <c r="T351" s="5"/>
      <c r="U351" s="5"/>
      <c r="V351" s="5"/>
      <c r="W351" s="5"/>
      <c r="X351" s="5"/>
    </row>
    <row r="352" spans="6:24" x14ac:dyDescent="0.2">
      <c r="F352" s="5"/>
      <c r="G352" s="5"/>
      <c r="H352" s="5"/>
      <c r="I352" s="5"/>
      <c r="J352" s="5"/>
      <c r="K352" s="5"/>
      <c r="L352" s="5"/>
      <c r="M352" s="5"/>
      <c r="N352" s="5"/>
      <c r="O352" s="5"/>
      <c r="P352" s="5"/>
      <c r="Q352" s="5"/>
      <c r="R352" s="5"/>
      <c r="S352" s="5"/>
      <c r="T352" s="5"/>
      <c r="U352" s="5"/>
      <c r="V352" s="5"/>
      <c r="W352" s="5"/>
      <c r="X352" s="5"/>
    </row>
    <row r="353" spans="6:24" x14ac:dyDescent="0.2">
      <c r="F353" s="5"/>
      <c r="G353" s="5"/>
      <c r="H353" s="5"/>
      <c r="I353" s="5"/>
      <c r="J353" s="5"/>
      <c r="K353" s="5"/>
      <c r="L353" s="5"/>
      <c r="M353" s="5"/>
      <c r="N353" s="5"/>
      <c r="O353" s="5"/>
      <c r="P353" s="5"/>
      <c r="Q353" s="5"/>
      <c r="R353" s="5"/>
      <c r="S353" s="5"/>
      <c r="T353" s="5"/>
      <c r="U353" s="5"/>
      <c r="V353" s="5"/>
      <c r="W353" s="5"/>
      <c r="X353" s="5"/>
    </row>
    <row r="354" spans="6:24" x14ac:dyDescent="0.2">
      <c r="F354" s="5"/>
      <c r="G354" s="5"/>
      <c r="H354" s="5"/>
      <c r="I354" s="5"/>
      <c r="J354" s="5"/>
      <c r="K354" s="5"/>
      <c r="L354" s="5"/>
      <c r="M354" s="5"/>
      <c r="N354" s="5"/>
      <c r="O354" s="5"/>
      <c r="P354" s="5"/>
      <c r="Q354" s="5"/>
      <c r="R354" s="5"/>
      <c r="S354" s="5"/>
      <c r="T354" s="5"/>
      <c r="U354" s="5"/>
      <c r="V354" s="5"/>
      <c r="W354" s="5"/>
      <c r="X354" s="5"/>
    </row>
    <row r="355" spans="6:24" x14ac:dyDescent="0.2">
      <c r="F355" s="5"/>
      <c r="G355" s="5"/>
      <c r="H355" s="5"/>
      <c r="I355" s="5"/>
      <c r="J355" s="5"/>
      <c r="K355" s="5"/>
      <c r="L355" s="5"/>
      <c r="M355" s="5"/>
      <c r="N355" s="5"/>
      <c r="O355" s="5"/>
      <c r="P355" s="5"/>
      <c r="Q355" s="5"/>
      <c r="R355" s="5"/>
      <c r="S355" s="5"/>
      <c r="T355" s="5"/>
      <c r="U355" s="5"/>
      <c r="V355" s="5"/>
      <c r="W355" s="5"/>
      <c r="X355" s="5"/>
    </row>
    <row r="356" spans="6:24" x14ac:dyDescent="0.2">
      <c r="F356" s="5"/>
      <c r="G356" s="5"/>
      <c r="H356" s="5"/>
      <c r="I356" s="5"/>
      <c r="J356" s="5"/>
      <c r="K356" s="5"/>
      <c r="L356" s="5"/>
      <c r="M356" s="5"/>
      <c r="N356" s="5"/>
      <c r="O356" s="5"/>
      <c r="P356" s="5"/>
      <c r="Q356" s="5"/>
      <c r="R356" s="5"/>
      <c r="S356" s="5"/>
      <c r="T356" s="5"/>
      <c r="U356" s="5"/>
      <c r="V356" s="5"/>
      <c r="W356" s="5"/>
      <c r="X356" s="5"/>
    </row>
    <row r="357" spans="6:24" x14ac:dyDescent="0.2">
      <c r="F357" s="5"/>
      <c r="G357" s="5"/>
      <c r="H357" s="5"/>
      <c r="I357" s="5"/>
      <c r="J357" s="5"/>
      <c r="K357" s="5"/>
      <c r="L357" s="5"/>
      <c r="M357" s="5"/>
      <c r="N357" s="5"/>
      <c r="O357" s="5"/>
      <c r="P357" s="5"/>
      <c r="Q357" s="5"/>
      <c r="R357" s="5"/>
      <c r="S357" s="5"/>
      <c r="T357" s="5"/>
      <c r="U357" s="5"/>
      <c r="V357" s="5"/>
      <c r="W357" s="5"/>
      <c r="X357" s="5"/>
    </row>
    <row r="358" spans="6:24" x14ac:dyDescent="0.2">
      <c r="F358" s="5"/>
      <c r="G358" s="5"/>
      <c r="H358" s="5"/>
      <c r="I358" s="5"/>
      <c r="J358" s="5"/>
      <c r="K358" s="5"/>
      <c r="L358" s="5"/>
      <c r="M358" s="5"/>
      <c r="N358" s="5"/>
      <c r="O358" s="5"/>
      <c r="P358" s="5"/>
      <c r="Q358" s="5"/>
      <c r="R358" s="5"/>
      <c r="S358" s="5"/>
      <c r="T358" s="5"/>
      <c r="U358" s="5"/>
      <c r="V358" s="5"/>
      <c r="W358" s="5"/>
      <c r="X358" s="5"/>
    </row>
    <row r="359" spans="6:24" x14ac:dyDescent="0.2">
      <c r="F359" s="5"/>
      <c r="G359" s="5"/>
      <c r="H359" s="5"/>
      <c r="I359" s="5"/>
      <c r="J359" s="5"/>
      <c r="K359" s="5"/>
      <c r="L359" s="5"/>
      <c r="M359" s="5"/>
      <c r="N359" s="5"/>
      <c r="O359" s="5"/>
      <c r="P359" s="5"/>
      <c r="Q359" s="5"/>
      <c r="R359" s="5"/>
      <c r="S359" s="5"/>
      <c r="T359" s="5"/>
      <c r="U359" s="5"/>
      <c r="V359" s="5"/>
      <c r="W359" s="5"/>
      <c r="X359" s="5"/>
    </row>
    <row r="360" spans="6:24" x14ac:dyDescent="0.2">
      <c r="F360" s="5"/>
      <c r="G360" s="5"/>
      <c r="H360" s="5"/>
      <c r="I360" s="5"/>
      <c r="J360" s="5"/>
      <c r="K360" s="5"/>
      <c r="L360" s="5"/>
      <c r="M360" s="5"/>
      <c r="N360" s="5"/>
      <c r="O360" s="5"/>
      <c r="P360" s="5"/>
      <c r="Q360" s="5"/>
      <c r="R360" s="5"/>
      <c r="S360" s="5"/>
      <c r="T360" s="5"/>
      <c r="U360" s="5"/>
      <c r="V360" s="5"/>
      <c r="W360" s="5"/>
      <c r="X360" s="5"/>
    </row>
    <row r="361" spans="6:24" x14ac:dyDescent="0.2">
      <c r="F361" s="5"/>
      <c r="G361" s="5"/>
      <c r="H361" s="5"/>
      <c r="I361" s="5"/>
      <c r="J361" s="5"/>
      <c r="K361" s="5"/>
      <c r="L361" s="5"/>
      <c r="M361" s="5"/>
      <c r="N361" s="5"/>
      <c r="O361" s="5"/>
      <c r="P361" s="5"/>
      <c r="Q361" s="5"/>
      <c r="R361" s="5"/>
      <c r="S361" s="5"/>
      <c r="T361" s="5"/>
      <c r="U361" s="5"/>
      <c r="V361" s="5"/>
      <c r="W361" s="5"/>
      <c r="X361" s="5"/>
    </row>
    <row r="362" spans="6:24" x14ac:dyDescent="0.2">
      <c r="F362" s="5"/>
      <c r="G362" s="5"/>
      <c r="H362" s="5"/>
      <c r="I362" s="5"/>
      <c r="J362" s="5"/>
      <c r="K362" s="5"/>
      <c r="L362" s="5"/>
      <c r="M362" s="5"/>
      <c r="N362" s="5"/>
      <c r="O362" s="5"/>
      <c r="P362" s="5"/>
      <c r="Q362" s="5"/>
      <c r="R362" s="5"/>
      <c r="S362" s="5"/>
      <c r="T362" s="5"/>
      <c r="U362" s="5"/>
      <c r="V362" s="5"/>
      <c r="W362" s="5"/>
      <c r="X362" s="5"/>
    </row>
    <row r="363" spans="6:24" x14ac:dyDescent="0.2">
      <c r="F363" s="5"/>
      <c r="G363" s="5"/>
      <c r="H363" s="5"/>
      <c r="I363" s="5"/>
      <c r="J363" s="5"/>
      <c r="K363" s="5"/>
      <c r="L363" s="5"/>
      <c r="M363" s="5"/>
      <c r="N363" s="5"/>
      <c r="O363" s="5"/>
      <c r="P363" s="5"/>
      <c r="Q363" s="5"/>
      <c r="R363" s="5"/>
      <c r="S363" s="5"/>
      <c r="T363" s="5"/>
      <c r="U363" s="5"/>
      <c r="V363" s="5"/>
      <c r="W363" s="5"/>
      <c r="X363" s="5"/>
    </row>
    <row r="364" spans="6:24" x14ac:dyDescent="0.2">
      <c r="F364" s="5"/>
      <c r="G364" s="5"/>
      <c r="H364" s="5"/>
      <c r="I364" s="5"/>
      <c r="J364" s="5"/>
      <c r="K364" s="5"/>
      <c r="L364" s="5"/>
      <c r="M364" s="5"/>
      <c r="N364" s="5"/>
      <c r="O364" s="5"/>
      <c r="P364" s="5"/>
      <c r="Q364" s="5"/>
      <c r="R364" s="5"/>
      <c r="S364" s="5"/>
      <c r="T364" s="5"/>
      <c r="U364" s="5"/>
      <c r="V364" s="5"/>
      <c r="W364" s="5"/>
      <c r="X364" s="5"/>
    </row>
    <row r="365" spans="6:24" x14ac:dyDescent="0.2">
      <c r="F365" s="5"/>
      <c r="G365" s="5"/>
      <c r="H365" s="5"/>
      <c r="I365" s="5"/>
      <c r="J365" s="5"/>
      <c r="K365" s="5"/>
      <c r="L365" s="5"/>
      <c r="M365" s="5"/>
      <c r="N365" s="5"/>
      <c r="O365" s="5"/>
      <c r="P365" s="5"/>
      <c r="Q365" s="5"/>
      <c r="R365" s="5"/>
      <c r="S365" s="5"/>
      <c r="T365" s="5"/>
      <c r="U365" s="5"/>
      <c r="V365" s="5"/>
      <c r="W365" s="5"/>
      <c r="X365" s="5"/>
    </row>
    <row r="366" spans="6:24" x14ac:dyDescent="0.2">
      <c r="F366" s="5"/>
      <c r="G366" s="5"/>
      <c r="H366" s="5"/>
      <c r="I366" s="5"/>
      <c r="J366" s="5"/>
      <c r="K366" s="5"/>
      <c r="L366" s="5"/>
      <c r="M366" s="5"/>
      <c r="N366" s="5"/>
      <c r="O366" s="5"/>
      <c r="P366" s="5"/>
      <c r="Q366" s="5"/>
      <c r="R366" s="5"/>
      <c r="S366" s="5"/>
      <c r="T366" s="5"/>
      <c r="U366" s="5"/>
      <c r="V366" s="5"/>
      <c r="W366" s="5"/>
      <c r="X366" s="5"/>
    </row>
    <row r="367" spans="6:24" x14ac:dyDescent="0.2">
      <c r="F367" s="5"/>
      <c r="G367" s="5"/>
      <c r="H367" s="5"/>
      <c r="I367" s="5"/>
      <c r="J367" s="5"/>
      <c r="K367" s="5"/>
      <c r="L367" s="5"/>
      <c r="M367" s="5"/>
      <c r="N367" s="5"/>
      <c r="O367" s="5"/>
      <c r="P367" s="5"/>
      <c r="Q367" s="5"/>
      <c r="R367" s="5"/>
      <c r="S367" s="5"/>
      <c r="T367" s="5"/>
      <c r="U367" s="5"/>
      <c r="V367" s="5"/>
      <c r="W367" s="5"/>
      <c r="X367" s="5"/>
    </row>
    <row r="368" spans="6:24" x14ac:dyDescent="0.2">
      <c r="F368" s="5"/>
      <c r="G368" s="5"/>
      <c r="H368" s="5"/>
      <c r="I368" s="5"/>
      <c r="J368" s="5"/>
      <c r="K368" s="5"/>
      <c r="L368" s="5"/>
      <c r="M368" s="5"/>
      <c r="N368" s="5"/>
      <c r="O368" s="5"/>
      <c r="P368" s="5"/>
      <c r="Q368" s="5"/>
      <c r="R368" s="5"/>
      <c r="S368" s="5"/>
      <c r="T368" s="5"/>
      <c r="U368" s="5"/>
      <c r="V368" s="5"/>
      <c r="W368" s="5"/>
      <c r="X368" s="5"/>
    </row>
    <row r="369" spans="6:24" x14ac:dyDescent="0.2">
      <c r="F369" s="5"/>
      <c r="G369" s="5"/>
      <c r="H369" s="5"/>
      <c r="I369" s="5"/>
      <c r="J369" s="5"/>
      <c r="K369" s="5"/>
      <c r="L369" s="5"/>
      <c r="M369" s="5"/>
      <c r="N369" s="5"/>
      <c r="O369" s="5"/>
      <c r="P369" s="5"/>
      <c r="Q369" s="5"/>
      <c r="R369" s="5"/>
      <c r="S369" s="5"/>
      <c r="T369" s="5"/>
      <c r="U369" s="5"/>
      <c r="V369" s="5"/>
      <c r="W369" s="5"/>
      <c r="X369" s="5"/>
    </row>
    <row r="370" spans="6:24" x14ac:dyDescent="0.2">
      <c r="F370" s="5"/>
      <c r="G370" s="5"/>
      <c r="H370" s="5"/>
      <c r="I370" s="5"/>
      <c r="J370" s="5"/>
      <c r="K370" s="5"/>
      <c r="L370" s="5"/>
      <c r="M370" s="5"/>
      <c r="N370" s="5"/>
      <c r="O370" s="5"/>
      <c r="P370" s="5"/>
      <c r="Q370" s="5"/>
      <c r="R370" s="5"/>
      <c r="S370" s="5"/>
      <c r="T370" s="5"/>
      <c r="U370" s="5"/>
      <c r="V370" s="5"/>
      <c r="W370" s="5"/>
      <c r="X370" s="5"/>
    </row>
    <row r="371" spans="6:24" x14ac:dyDescent="0.2">
      <c r="F371" s="5"/>
      <c r="G371" s="5"/>
      <c r="H371" s="5"/>
      <c r="I371" s="5"/>
      <c r="J371" s="5"/>
      <c r="K371" s="5"/>
      <c r="L371" s="5"/>
      <c r="M371" s="5"/>
      <c r="N371" s="5"/>
      <c r="O371" s="5"/>
      <c r="P371" s="5"/>
      <c r="Q371" s="5"/>
      <c r="R371" s="5"/>
      <c r="S371" s="5"/>
      <c r="T371" s="5"/>
      <c r="U371" s="5"/>
      <c r="V371" s="5"/>
      <c r="W371" s="5"/>
      <c r="X371" s="5"/>
    </row>
    <row r="372" spans="6:24" x14ac:dyDescent="0.2">
      <c r="F372" s="5"/>
      <c r="G372" s="5"/>
      <c r="H372" s="5"/>
      <c r="I372" s="5"/>
      <c r="J372" s="5"/>
      <c r="K372" s="5"/>
      <c r="L372" s="5"/>
      <c r="M372" s="5"/>
      <c r="N372" s="5"/>
      <c r="O372" s="5"/>
      <c r="P372" s="5"/>
      <c r="Q372" s="5"/>
      <c r="R372" s="5"/>
      <c r="S372" s="5"/>
      <c r="T372" s="5"/>
      <c r="U372" s="5"/>
      <c r="V372" s="5"/>
      <c r="W372" s="5"/>
      <c r="X372" s="5"/>
    </row>
    <row r="373" spans="6:24" x14ac:dyDescent="0.2">
      <c r="F373" s="5"/>
      <c r="G373" s="5"/>
      <c r="H373" s="5"/>
      <c r="I373" s="5"/>
      <c r="J373" s="5"/>
      <c r="K373" s="5"/>
      <c r="L373" s="5"/>
      <c r="M373" s="5"/>
      <c r="N373" s="5"/>
      <c r="O373" s="5"/>
      <c r="P373" s="5"/>
      <c r="Q373" s="5"/>
      <c r="R373" s="5"/>
      <c r="S373" s="5"/>
      <c r="T373" s="5"/>
      <c r="U373" s="5"/>
      <c r="V373" s="5"/>
      <c r="W373" s="5"/>
      <c r="X373" s="5"/>
    </row>
    <row r="374" spans="6:24" x14ac:dyDescent="0.2">
      <c r="F374" s="5"/>
      <c r="G374" s="5"/>
      <c r="H374" s="5"/>
      <c r="I374" s="5"/>
      <c r="J374" s="5"/>
      <c r="K374" s="5"/>
      <c r="L374" s="5"/>
      <c r="M374" s="5"/>
      <c r="N374" s="5"/>
      <c r="O374" s="5"/>
      <c r="P374" s="5"/>
      <c r="Q374" s="5"/>
      <c r="R374" s="5"/>
      <c r="S374" s="5"/>
      <c r="T374" s="5"/>
      <c r="U374" s="5"/>
      <c r="V374" s="5"/>
      <c r="W374" s="5"/>
      <c r="X374" s="5"/>
    </row>
    <row r="375" spans="6:24" x14ac:dyDescent="0.2">
      <c r="F375" s="5"/>
      <c r="G375" s="5"/>
      <c r="H375" s="5"/>
      <c r="I375" s="5"/>
      <c r="J375" s="5"/>
      <c r="K375" s="5"/>
      <c r="L375" s="5"/>
      <c r="M375" s="5"/>
      <c r="N375" s="5"/>
      <c r="O375" s="5"/>
      <c r="P375" s="5"/>
      <c r="Q375" s="5"/>
      <c r="R375" s="5"/>
      <c r="S375" s="5"/>
      <c r="T375" s="5"/>
      <c r="U375" s="5"/>
      <c r="V375" s="5"/>
      <c r="W375" s="5"/>
      <c r="X375" s="5"/>
    </row>
    <row r="376" spans="6:24" x14ac:dyDescent="0.2">
      <c r="F376" s="5"/>
      <c r="G376" s="5"/>
      <c r="H376" s="5"/>
      <c r="I376" s="5"/>
      <c r="J376" s="5"/>
      <c r="K376" s="5"/>
      <c r="L376" s="5"/>
      <c r="M376" s="5"/>
      <c r="N376" s="5"/>
      <c r="O376" s="5"/>
      <c r="P376" s="5"/>
      <c r="Q376" s="5"/>
      <c r="R376" s="5"/>
      <c r="S376" s="5"/>
      <c r="T376" s="5"/>
      <c r="U376" s="5"/>
      <c r="V376" s="5"/>
      <c r="W376" s="5"/>
      <c r="X376" s="5"/>
    </row>
    <row r="377" spans="6:24" x14ac:dyDescent="0.2">
      <c r="F377" s="5"/>
      <c r="G377" s="5"/>
      <c r="H377" s="5"/>
      <c r="I377" s="5"/>
      <c r="J377" s="5"/>
      <c r="K377" s="5"/>
      <c r="L377" s="5"/>
      <c r="M377" s="5"/>
      <c r="N377" s="5"/>
      <c r="O377" s="5"/>
      <c r="P377" s="5"/>
      <c r="Q377" s="5"/>
      <c r="R377" s="5"/>
      <c r="S377" s="5"/>
      <c r="T377" s="5"/>
      <c r="U377" s="5"/>
      <c r="V377" s="5"/>
      <c r="W377" s="5"/>
      <c r="X377" s="5"/>
    </row>
    <row r="378" spans="6:24" x14ac:dyDescent="0.2">
      <c r="F378" s="5"/>
      <c r="G378" s="5"/>
      <c r="H378" s="5"/>
      <c r="I378" s="5"/>
      <c r="J378" s="5"/>
      <c r="K378" s="5"/>
      <c r="L378" s="5"/>
      <c r="M378" s="5"/>
      <c r="N378" s="5"/>
      <c r="O378" s="5"/>
      <c r="P378" s="5"/>
      <c r="Q378" s="5"/>
      <c r="R378" s="5"/>
      <c r="S378" s="5"/>
      <c r="T378" s="5"/>
      <c r="U378" s="5"/>
      <c r="V378" s="5"/>
      <c r="W378" s="5"/>
      <c r="X378" s="5"/>
    </row>
    <row r="379" spans="6:24" x14ac:dyDescent="0.2">
      <c r="F379" s="5"/>
      <c r="G379" s="5"/>
      <c r="H379" s="5"/>
      <c r="I379" s="5"/>
      <c r="J379" s="5"/>
      <c r="K379" s="5"/>
      <c r="L379" s="5"/>
      <c r="M379" s="5"/>
      <c r="N379" s="5"/>
      <c r="O379" s="5"/>
      <c r="P379" s="5"/>
      <c r="Q379" s="5"/>
      <c r="R379" s="5"/>
      <c r="S379" s="5"/>
      <c r="T379" s="5"/>
      <c r="U379" s="5"/>
      <c r="V379" s="5"/>
      <c r="W379" s="5"/>
      <c r="X379" s="5"/>
    </row>
    <row r="382" spans="6:24" x14ac:dyDescent="0.2">
      <c r="F382" s="5"/>
      <c r="G382" s="5"/>
      <c r="H382" s="5"/>
      <c r="I382" s="5"/>
      <c r="J382" s="5"/>
      <c r="K382" s="5"/>
      <c r="L382" s="5"/>
      <c r="M382" s="5"/>
      <c r="N382" s="5"/>
      <c r="O382" s="5"/>
      <c r="P382" s="5"/>
      <c r="Q382" s="5"/>
      <c r="R382" s="5"/>
      <c r="S382" s="5"/>
      <c r="T382" s="5"/>
      <c r="U382" s="5"/>
      <c r="V382" s="5"/>
      <c r="W382" s="5"/>
      <c r="X382" s="5"/>
    </row>
    <row r="383" spans="6:24" x14ac:dyDescent="0.2">
      <c r="F383" s="5"/>
      <c r="G383" s="5"/>
      <c r="H383" s="5"/>
      <c r="I383" s="5"/>
      <c r="J383" s="5"/>
      <c r="K383" s="5"/>
      <c r="L383" s="5"/>
      <c r="M383" s="5"/>
      <c r="N383" s="5"/>
      <c r="O383" s="5"/>
      <c r="P383" s="5"/>
      <c r="Q383" s="5"/>
      <c r="R383" s="5"/>
      <c r="S383" s="5"/>
      <c r="T383" s="5"/>
      <c r="U383" s="5"/>
      <c r="V383" s="5"/>
      <c r="W383" s="5"/>
      <c r="X383" s="5"/>
    </row>
    <row r="384" spans="6:24" x14ac:dyDescent="0.2">
      <c r="F384" s="5"/>
      <c r="G384" s="5"/>
      <c r="H384" s="5"/>
      <c r="I384" s="5"/>
      <c r="J384" s="5"/>
      <c r="K384" s="5"/>
      <c r="L384" s="5"/>
      <c r="M384" s="5"/>
      <c r="N384" s="5"/>
      <c r="O384" s="5"/>
      <c r="P384" s="5"/>
      <c r="Q384" s="5"/>
      <c r="R384" s="5"/>
      <c r="S384" s="5"/>
      <c r="T384" s="5"/>
      <c r="U384" s="5"/>
      <c r="V384" s="5"/>
      <c r="W384" s="5"/>
      <c r="X384" s="5"/>
    </row>
    <row r="385" spans="6:24" x14ac:dyDescent="0.2">
      <c r="F385" s="5"/>
      <c r="G385" s="5"/>
      <c r="H385" s="5"/>
      <c r="I385" s="5"/>
      <c r="J385" s="5"/>
      <c r="K385" s="5"/>
      <c r="L385" s="5"/>
      <c r="M385" s="5"/>
      <c r="N385" s="5"/>
      <c r="O385" s="5"/>
      <c r="P385" s="5"/>
      <c r="Q385" s="5"/>
      <c r="R385" s="5"/>
      <c r="S385" s="5"/>
      <c r="T385" s="5"/>
      <c r="U385" s="5"/>
      <c r="V385" s="5"/>
      <c r="W385" s="5"/>
      <c r="X385" s="5"/>
    </row>
    <row r="386" spans="6:24" x14ac:dyDescent="0.2">
      <c r="F386" s="5"/>
      <c r="G386" s="5"/>
      <c r="H386" s="5"/>
      <c r="I386" s="5"/>
      <c r="J386" s="5"/>
      <c r="K386" s="5"/>
      <c r="L386" s="5"/>
      <c r="M386" s="5"/>
      <c r="N386" s="5"/>
      <c r="O386" s="5"/>
      <c r="P386" s="5"/>
      <c r="Q386" s="5"/>
      <c r="R386" s="5"/>
      <c r="S386" s="5"/>
      <c r="T386" s="5"/>
      <c r="U386" s="5"/>
      <c r="V386" s="5"/>
      <c r="W386" s="5"/>
      <c r="X386" s="5"/>
    </row>
    <row r="387" spans="6:24" x14ac:dyDescent="0.2">
      <c r="F387" s="5"/>
      <c r="G387" s="5"/>
      <c r="H387" s="5"/>
      <c r="I387" s="5"/>
      <c r="J387" s="5"/>
      <c r="K387" s="5"/>
      <c r="L387" s="5"/>
      <c r="M387" s="5"/>
      <c r="N387" s="5"/>
      <c r="O387" s="5"/>
      <c r="P387" s="5"/>
      <c r="Q387" s="5"/>
      <c r="R387" s="5"/>
      <c r="S387" s="5"/>
      <c r="T387" s="5"/>
      <c r="U387" s="5"/>
      <c r="V387" s="5"/>
      <c r="W387" s="5"/>
      <c r="X387" s="5"/>
    </row>
    <row r="388" spans="6:24" x14ac:dyDescent="0.2">
      <c r="F388" s="5"/>
      <c r="G388" s="5"/>
      <c r="H388" s="5"/>
      <c r="I388" s="5"/>
      <c r="J388" s="5"/>
      <c r="K388" s="5"/>
      <c r="L388" s="5"/>
      <c r="M388" s="5"/>
      <c r="N388" s="5"/>
      <c r="O388" s="5"/>
      <c r="P388" s="5"/>
      <c r="Q388" s="5"/>
      <c r="R388" s="5"/>
      <c r="S388" s="5"/>
      <c r="T388" s="5"/>
      <c r="U388" s="5"/>
      <c r="V388" s="5"/>
      <c r="W388" s="5"/>
      <c r="X388" s="5"/>
    </row>
    <row r="389" spans="6:24" x14ac:dyDescent="0.2">
      <c r="F389" s="5"/>
      <c r="G389" s="5"/>
      <c r="H389" s="5"/>
      <c r="I389" s="5"/>
      <c r="J389" s="5"/>
      <c r="K389" s="5"/>
      <c r="L389" s="5"/>
      <c r="M389" s="5"/>
      <c r="N389" s="5"/>
      <c r="O389" s="5"/>
      <c r="P389" s="5"/>
      <c r="Q389" s="5"/>
      <c r="R389" s="5"/>
      <c r="S389" s="5"/>
      <c r="T389" s="5"/>
      <c r="U389" s="5"/>
      <c r="V389" s="5"/>
      <c r="W389" s="5"/>
      <c r="X389" s="5"/>
    </row>
    <row r="390" spans="6:24" x14ac:dyDescent="0.2">
      <c r="F390" s="5"/>
      <c r="G390" s="5"/>
      <c r="H390" s="5"/>
      <c r="I390" s="5"/>
      <c r="J390" s="5"/>
      <c r="K390" s="5"/>
      <c r="L390" s="5"/>
      <c r="M390" s="5"/>
      <c r="N390" s="5"/>
      <c r="O390" s="5"/>
      <c r="P390" s="5"/>
      <c r="Q390" s="5"/>
      <c r="R390" s="5"/>
      <c r="S390" s="5"/>
      <c r="T390" s="5"/>
      <c r="U390" s="5"/>
      <c r="V390" s="5"/>
      <c r="W390" s="5"/>
      <c r="X390" s="5"/>
    </row>
    <row r="391" spans="6:24" x14ac:dyDescent="0.2">
      <c r="F391" s="5"/>
      <c r="G391" s="5"/>
      <c r="H391" s="5"/>
      <c r="I391" s="5"/>
      <c r="J391" s="5"/>
      <c r="K391" s="5"/>
      <c r="L391" s="5"/>
      <c r="M391" s="5"/>
      <c r="N391" s="5"/>
      <c r="O391" s="5"/>
      <c r="P391" s="5"/>
      <c r="Q391" s="5"/>
      <c r="R391" s="5"/>
      <c r="S391" s="5"/>
      <c r="T391" s="5"/>
      <c r="U391" s="5"/>
      <c r="V391" s="5"/>
      <c r="W391" s="5"/>
      <c r="X391" s="5"/>
    </row>
    <row r="392" spans="6:24" x14ac:dyDescent="0.2">
      <c r="F392" s="5"/>
      <c r="G392" s="5"/>
      <c r="H392" s="5"/>
      <c r="I392" s="5"/>
      <c r="J392" s="5"/>
      <c r="K392" s="5"/>
      <c r="L392" s="5"/>
      <c r="M392" s="5"/>
      <c r="N392" s="5"/>
      <c r="O392" s="5"/>
      <c r="P392" s="5"/>
      <c r="Q392" s="5"/>
      <c r="R392" s="5"/>
      <c r="S392" s="5"/>
      <c r="T392" s="5"/>
      <c r="U392" s="5"/>
      <c r="V392" s="5"/>
      <c r="W392" s="5"/>
      <c r="X392" s="5"/>
    </row>
    <row r="393" spans="6:24" x14ac:dyDescent="0.2">
      <c r="F393" s="5"/>
      <c r="G393" s="5"/>
      <c r="H393" s="5"/>
      <c r="I393" s="5"/>
      <c r="J393" s="5"/>
      <c r="K393" s="5"/>
      <c r="L393" s="5"/>
      <c r="M393" s="5"/>
      <c r="N393" s="5"/>
      <c r="O393" s="5"/>
      <c r="P393" s="5"/>
      <c r="Q393" s="5"/>
      <c r="R393" s="5"/>
      <c r="S393" s="5"/>
      <c r="T393" s="5"/>
      <c r="U393" s="5"/>
      <c r="V393" s="5"/>
      <c r="W393" s="5"/>
      <c r="X393" s="5"/>
    </row>
    <row r="394" spans="6:24" x14ac:dyDescent="0.2">
      <c r="F394" s="5"/>
      <c r="G394" s="5"/>
      <c r="H394" s="5"/>
      <c r="I394" s="5"/>
      <c r="J394" s="5"/>
      <c r="K394" s="5"/>
      <c r="L394" s="5"/>
      <c r="M394" s="5"/>
      <c r="N394" s="5"/>
      <c r="O394" s="5"/>
      <c r="P394" s="5"/>
      <c r="Q394" s="5"/>
      <c r="R394" s="5"/>
      <c r="S394" s="5"/>
      <c r="T394" s="5"/>
      <c r="U394" s="5"/>
      <c r="V394" s="5"/>
      <c r="W394" s="5"/>
      <c r="X394" s="5"/>
    </row>
    <row r="395" spans="6:24" x14ac:dyDescent="0.2">
      <c r="F395" s="5"/>
      <c r="G395" s="5"/>
      <c r="H395" s="5"/>
      <c r="I395" s="5"/>
      <c r="J395" s="5"/>
      <c r="K395" s="5"/>
      <c r="L395" s="5"/>
      <c r="M395" s="5"/>
      <c r="N395" s="5"/>
      <c r="O395" s="5"/>
      <c r="P395" s="5"/>
      <c r="Q395" s="5"/>
      <c r="R395" s="5"/>
      <c r="S395" s="5"/>
      <c r="T395" s="5"/>
      <c r="U395" s="5"/>
      <c r="V395" s="5"/>
      <c r="W395" s="5"/>
      <c r="X395" s="5"/>
    </row>
    <row r="396" spans="6:24" x14ac:dyDescent="0.2">
      <c r="F396" s="5"/>
      <c r="G396" s="5"/>
      <c r="H396" s="5"/>
      <c r="I396" s="5"/>
      <c r="J396" s="5"/>
      <c r="K396" s="5"/>
      <c r="L396" s="5"/>
      <c r="M396" s="5"/>
      <c r="N396" s="5"/>
      <c r="O396" s="5"/>
      <c r="P396" s="5"/>
      <c r="Q396" s="5"/>
      <c r="R396" s="5"/>
      <c r="S396" s="5"/>
      <c r="T396" s="5"/>
      <c r="U396" s="5"/>
      <c r="V396" s="5"/>
      <c r="W396" s="5"/>
      <c r="X396" s="5"/>
    </row>
    <row r="397" spans="6:24" x14ac:dyDescent="0.2">
      <c r="F397" s="5"/>
      <c r="G397" s="5"/>
      <c r="H397" s="5"/>
      <c r="I397" s="5"/>
      <c r="J397" s="5"/>
      <c r="K397" s="5"/>
      <c r="L397" s="5"/>
      <c r="M397" s="5"/>
      <c r="N397" s="5"/>
      <c r="O397" s="5"/>
      <c r="P397" s="5"/>
      <c r="Q397" s="5"/>
      <c r="R397" s="5"/>
      <c r="S397" s="5"/>
      <c r="T397" s="5"/>
      <c r="U397" s="5"/>
      <c r="V397" s="5"/>
      <c r="W397" s="5"/>
      <c r="X397" s="5"/>
    </row>
    <row r="398" spans="6:24" x14ac:dyDescent="0.2">
      <c r="F398" s="5"/>
      <c r="G398" s="5"/>
      <c r="H398" s="5"/>
      <c r="I398" s="5"/>
      <c r="J398" s="5"/>
      <c r="K398" s="5"/>
      <c r="L398" s="5"/>
      <c r="M398" s="5"/>
      <c r="N398" s="5"/>
      <c r="O398" s="5"/>
      <c r="P398" s="5"/>
      <c r="Q398" s="5"/>
      <c r="R398" s="5"/>
      <c r="S398" s="5"/>
      <c r="T398" s="5"/>
      <c r="U398" s="5"/>
      <c r="V398" s="5"/>
      <c r="W398" s="5"/>
      <c r="X398" s="5"/>
    </row>
    <row r="399" spans="6:24" x14ac:dyDescent="0.2">
      <c r="F399" s="5"/>
      <c r="G399" s="5"/>
      <c r="H399" s="5"/>
      <c r="I399" s="5"/>
      <c r="J399" s="5"/>
      <c r="K399" s="5"/>
      <c r="L399" s="5"/>
      <c r="M399" s="5"/>
      <c r="N399" s="5"/>
      <c r="O399" s="5"/>
      <c r="P399" s="5"/>
      <c r="Q399" s="5"/>
      <c r="R399" s="5"/>
      <c r="S399" s="5"/>
      <c r="T399" s="5"/>
      <c r="U399" s="5"/>
      <c r="V399" s="5"/>
      <c r="W399" s="5"/>
      <c r="X399" s="5"/>
    </row>
    <row r="400" spans="6:24" x14ac:dyDescent="0.2">
      <c r="F400" s="5"/>
      <c r="G400" s="5"/>
      <c r="H400" s="5"/>
      <c r="I400" s="5"/>
      <c r="J400" s="5"/>
      <c r="K400" s="5"/>
      <c r="L400" s="5"/>
      <c r="M400" s="5"/>
      <c r="N400" s="5"/>
      <c r="O400" s="5"/>
      <c r="P400" s="5"/>
      <c r="Q400" s="5"/>
      <c r="R400" s="5"/>
      <c r="S400" s="5"/>
      <c r="T400" s="5"/>
      <c r="U400" s="5"/>
      <c r="V400" s="5"/>
      <c r="W400" s="5"/>
      <c r="X400" s="5"/>
    </row>
    <row r="401" spans="6:24" x14ac:dyDescent="0.2">
      <c r="F401" s="5"/>
      <c r="G401" s="5"/>
      <c r="H401" s="5"/>
      <c r="I401" s="5"/>
      <c r="J401" s="5"/>
      <c r="K401" s="5"/>
      <c r="L401" s="5"/>
      <c r="M401" s="5"/>
      <c r="N401" s="5"/>
      <c r="O401" s="5"/>
      <c r="P401" s="5"/>
      <c r="Q401" s="5"/>
      <c r="R401" s="5"/>
      <c r="S401" s="5"/>
      <c r="T401" s="5"/>
      <c r="U401" s="5"/>
      <c r="V401" s="5"/>
      <c r="W401" s="5"/>
      <c r="X401" s="5"/>
    </row>
    <row r="402" spans="6:24" x14ac:dyDescent="0.2">
      <c r="F402" s="5"/>
      <c r="G402" s="5"/>
      <c r="H402" s="5"/>
      <c r="I402" s="5"/>
      <c r="J402" s="5"/>
      <c r="K402" s="5"/>
      <c r="L402" s="5"/>
      <c r="M402" s="5"/>
      <c r="N402" s="5"/>
      <c r="O402" s="5"/>
      <c r="P402" s="5"/>
      <c r="Q402" s="5"/>
      <c r="R402" s="5"/>
      <c r="S402" s="5"/>
      <c r="T402" s="5"/>
      <c r="U402" s="5"/>
      <c r="V402" s="5"/>
      <c r="W402" s="5"/>
      <c r="X402" s="5"/>
    </row>
    <row r="404" spans="6:24" x14ac:dyDescent="0.2">
      <c r="F404" s="5"/>
      <c r="G404" s="5"/>
      <c r="H404" s="5"/>
      <c r="I404" s="5"/>
      <c r="J404" s="5"/>
      <c r="K404" s="5"/>
      <c r="L404" s="5"/>
      <c r="M404" s="5"/>
      <c r="N404" s="5"/>
      <c r="O404" s="5"/>
      <c r="P404" s="5"/>
      <c r="Q404" s="5"/>
      <c r="R404" s="5"/>
      <c r="S404" s="5"/>
      <c r="T404" s="5"/>
      <c r="U404" s="5"/>
      <c r="V404" s="5"/>
      <c r="W404" s="5"/>
      <c r="X404" s="5"/>
    </row>
    <row r="405" spans="6:24" x14ac:dyDescent="0.2">
      <c r="F405" s="5"/>
      <c r="G405" s="5"/>
      <c r="H405" s="5"/>
      <c r="I405" s="5"/>
      <c r="J405" s="5"/>
      <c r="K405" s="5"/>
      <c r="L405" s="5"/>
      <c r="M405" s="5"/>
      <c r="N405" s="5"/>
      <c r="O405" s="5"/>
      <c r="P405" s="5"/>
      <c r="Q405" s="5"/>
      <c r="R405" s="5"/>
      <c r="S405" s="5"/>
      <c r="T405" s="5"/>
      <c r="U405" s="5"/>
      <c r="V405" s="5"/>
      <c r="W405" s="5"/>
      <c r="X405" s="5"/>
    </row>
    <row r="406" spans="6:24" x14ac:dyDescent="0.2">
      <c r="F406" s="5"/>
      <c r="G406" s="5"/>
      <c r="H406" s="5"/>
      <c r="I406" s="5"/>
      <c r="J406" s="5"/>
      <c r="K406" s="5"/>
      <c r="L406" s="5"/>
      <c r="M406" s="5"/>
      <c r="N406" s="5"/>
      <c r="O406" s="5"/>
      <c r="P406" s="5"/>
      <c r="Q406" s="5"/>
      <c r="R406" s="5"/>
      <c r="S406" s="5"/>
      <c r="T406" s="5"/>
      <c r="U406" s="5"/>
      <c r="V406" s="5"/>
      <c r="W406" s="5"/>
      <c r="X406" s="5"/>
    </row>
    <row r="407" spans="6:24" x14ac:dyDescent="0.2">
      <c r="F407" s="5"/>
      <c r="G407" s="5"/>
      <c r="H407" s="5"/>
      <c r="I407" s="5"/>
      <c r="J407" s="5"/>
      <c r="K407" s="5"/>
      <c r="L407" s="5"/>
      <c r="M407" s="5"/>
      <c r="N407" s="5"/>
      <c r="O407" s="5"/>
      <c r="P407" s="5"/>
      <c r="Q407" s="5"/>
      <c r="R407" s="5"/>
      <c r="S407" s="5"/>
      <c r="T407" s="5"/>
      <c r="U407" s="5"/>
      <c r="V407" s="5"/>
      <c r="W407" s="5"/>
      <c r="X407" s="5"/>
    </row>
    <row r="408" spans="6:24" x14ac:dyDescent="0.2">
      <c r="F408" s="5"/>
      <c r="G408" s="5"/>
      <c r="H408" s="5"/>
      <c r="I408" s="5"/>
      <c r="J408" s="5"/>
      <c r="K408" s="5"/>
      <c r="L408" s="5"/>
      <c r="M408" s="5"/>
      <c r="N408" s="5"/>
      <c r="O408" s="5"/>
      <c r="P408" s="5"/>
      <c r="Q408" s="5"/>
      <c r="R408" s="5"/>
      <c r="S408" s="5"/>
      <c r="T408" s="5"/>
      <c r="U408" s="5"/>
      <c r="V408" s="5"/>
      <c r="W408" s="5"/>
      <c r="X408" s="5"/>
    </row>
    <row r="409" spans="6:24" x14ac:dyDescent="0.2">
      <c r="F409" s="5"/>
      <c r="G409" s="5"/>
      <c r="H409" s="5"/>
      <c r="I409" s="5"/>
      <c r="J409" s="5"/>
      <c r="K409" s="5"/>
      <c r="L409" s="5"/>
      <c r="M409" s="5"/>
      <c r="N409" s="5"/>
      <c r="O409" s="5"/>
      <c r="P409" s="5"/>
      <c r="Q409" s="5"/>
      <c r="R409" s="5"/>
      <c r="S409" s="5"/>
      <c r="T409" s="5"/>
      <c r="U409" s="5"/>
      <c r="V409" s="5"/>
      <c r="W409" s="5"/>
      <c r="X409" s="5"/>
    </row>
    <row r="410" spans="6:24" x14ac:dyDescent="0.2">
      <c r="F410" s="5"/>
      <c r="G410" s="5"/>
      <c r="H410" s="5"/>
      <c r="I410" s="5"/>
      <c r="J410" s="5"/>
      <c r="K410" s="5"/>
      <c r="L410" s="5"/>
      <c r="M410" s="5"/>
      <c r="N410" s="5"/>
      <c r="O410" s="5"/>
      <c r="P410" s="5"/>
      <c r="Q410" s="5"/>
      <c r="R410" s="5"/>
      <c r="S410" s="5"/>
      <c r="T410" s="5"/>
      <c r="U410" s="5"/>
      <c r="V410" s="5"/>
      <c r="W410" s="5"/>
      <c r="X410" s="5"/>
    </row>
    <row r="411" spans="6:24" x14ac:dyDescent="0.2">
      <c r="F411" s="5"/>
      <c r="G411" s="5"/>
      <c r="H411" s="5"/>
      <c r="I411" s="5"/>
      <c r="J411" s="5"/>
      <c r="K411" s="5"/>
      <c r="L411" s="5"/>
      <c r="M411" s="5"/>
      <c r="N411" s="5"/>
      <c r="O411" s="5"/>
      <c r="P411" s="5"/>
      <c r="Q411" s="5"/>
      <c r="R411" s="5"/>
      <c r="S411" s="5"/>
      <c r="T411" s="5"/>
      <c r="U411" s="5"/>
      <c r="V411" s="5"/>
      <c r="W411" s="5"/>
      <c r="X411" s="5"/>
    </row>
    <row r="412" spans="6:24" x14ac:dyDescent="0.2">
      <c r="F412" s="5"/>
      <c r="G412" s="5"/>
      <c r="H412" s="5"/>
      <c r="I412" s="5"/>
      <c r="J412" s="5"/>
      <c r="K412" s="5"/>
      <c r="L412" s="5"/>
      <c r="M412" s="5"/>
      <c r="N412" s="5"/>
      <c r="O412" s="5"/>
      <c r="P412" s="5"/>
      <c r="Q412" s="5"/>
      <c r="R412" s="5"/>
      <c r="S412" s="5"/>
      <c r="T412" s="5"/>
      <c r="U412" s="5"/>
      <c r="V412" s="5"/>
      <c r="W412" s="5"/>
      <c r="X412" s="5"/>
    </row>
    <row r="413" spans="6:24" x14ac:dyDescent="0.2">
      <c r="F413" s="5"/>
      <c r="G413" s="5"/>
      <c r="H413" s="5"/>
      <c r="I413" s="5"/>
      <c r="J413" s="5"/>
      <c r="K413" s="5"/>
      <c r="L413" s="5"/>
      <c r="M413" s="5"/>
      <c r="N413" s="5"/>
      <c r="O413" s="5"/>
      <c r="P413" s="5"/>
      <c r="Q413" s="5"/>
      <c r="R413" s="5"/>
      <c r="S413" s="5"/>
      <c r="T413" s="5"/>
      <c r="U413" s="5"/>
      <c r="V413" s="5"/>
      <c r="W413" s="5"/>
      <c r="X413" s="5"/>
    </row>
    <row r="414" spans="6:24" x14ac:dyDescent="0.2">
      <c r="F414" s="5"/>
      <c r="G414" s="5"/>
      <c r="H414" s="5"/>
      <c r="I414" s="5"/>
      <c r="J414" s="5"/>
      <c r="K414" s="5"/>
      <c r="L414" s="5"/>
      <c r="M414" s="5"/>
      <c r="N414" s="5"/>
      <c r="O414" s="5"/>
      <c r="P414" s="5"/>
      <c r="Q414" s="5"/>
      <c r="R414" s="5"/>
      <c r="S414" s="5"/>
      <c r="T414" s="5"/>
      <c r="U414" s="5"/>
      <c r="V414" s="5"/>
      <c r="W414" s="5"/>
      <c r="X414" s="5"/>
    </row>
    <row r="415" spans="6:24" x14ac:dyDescent="0.2">
      <c r="F415" s="5"/>
      <c r="G415" s="5"/>
      <c r="H415" s="5"/>
      <c r="I415" s="5"/>
      <c r="J415" s="5"/>
      <c r="K415" s="5"/>
      <c r="L415" s="5"/>
      <c r="M415" s="5"/>
      <c r="N415" s="5"/>
      <c r="O415" s="5"/>
      <c r="P415" s="5"/>
      <c r="Q415" s="5"/>
      <c r="R415" s="5"/>
      <c r="S415" s="5"/>
      <c r="T415" s="5"/>
      <c r="U415" s="5"/>
      <c r="V415" s="5"/>
      <c r="W415" s="5"/>
      <c r="X415" s="5"/>
    </row>
    <row r="416" spans="6:24" x14ac:dyDescent="0.2">
      <c r="F416" s="5"/>
      <c r="G416" s="5"/>
      <c r="H416" s="5"/>
      <c r="I416" s="5"/>
      <c r="J416" s="5"/>
      <c r="K416" s="5"/>
      <c r="L416" s="5"/>
      <c r="M416" s="5"/>
      <c r="N416" s="5"/>
      <c r="O416" s="5"/>
      <c r="P416" s="5"/>
      <c r="Q416" s="5"/>
      <c r="R416" s="5"/>
      <c r="S416" s="5"/>
      <c r="T416" s="5"/>
      <c r="U416" s="5"/>
      <c r="V416" s="5"/>
      <c r="W416" s="5"/>
      <c r="X416" s="5"/>
    </row>
    <row r="417" spans="6:24" x14ac:dyDescent="0.2">
      <c r="F417" s="5"/>
      <c r="G417" s="5"/>
      <c r="H417" s="5"/>
      <c r="I417" s="5"/>
      <c r="J417" s="5"/>
      <c r="K417" s="5"/>
      <c r="L417" s="5"/>
      <c r="M417" s="5"/>
      <c r="N417" s="5"/>
      <c r="O417" s="5"/>
      <c r="P417" s="5"/>
      <c r="Q417" s="5"/>
      <c r="R417" s="5"/>
      <c r="S417" s="5"/>
      <c r="T417" s="5"/>
      <c r="U417" s="5"/>
      <c r="V417" s="5"/>
      <c r="W417" s="5"/>
      <c r="X417" s="5"/>
    </row>
    <row r="418" spans="6:24" x14ac:dyDescent="0.2">
      <c r="F418" s="5"/>
      <c r="G418" s="5"/>
      <c r="H418" s="5"/>
      <c r="I418" s="5"/>
      <c r="J418" s="5"/>
      <c r="K418" s="5"/>
      <c r="L418" s="5"/>
      <c r="M418" s="5"/>
      <c r="N418" s="5"/>
      <c r="O418" s="5"/>
      <c r="P418" s="5"/>
      <c r="Q418" s="5"/>
      <c r="R418" s="5"/>
      <c r="S418" s="5"/>
      <c r="T418" s="5"/>
      <c r="U418" s="5"/>
      <c r="V418" s="5"/>
      <c r="W418" s="5"/>
      <c r="X418" s="5"/>
    </row>
    <row r="419" spans="6:24" x14ac:dyDescent="0.2">
      <c r="F419" s="5"/>
      <c r="G419" s="5"/>
      <c r="H419" s="5"/>
      <c r="I419" s="5"/>
      <c r="J419" s="5"/>
      <c r="K419" s="5"/>
      <c r="L419" s="5"/>
      <c r="M419" s="5"/>
      <c r="N419" s="5"/>
      <c r="O419" s="5"/>
      <c r="P419" s="5"/>
      <c r="Q419" s="5"/>
      <c r="R419" s="5"/>
      <c r="S419" s="5"/>
      <c r="T419" s="5"/>
      <c r="U419" s="5"/>
      <c r="V419" s="5"/>
      <c r="W419" s="5"/>
      <c r="X419" s="5"/>
    </row>
    <row r="420" spans="6:24" x14ac:dyDescent="0.2">
      <c r="F420" s="5"/>
      <c r="G420" s="5"/>
      <c r="H420" s="5"/>
      <c r="I420" s="5"/>
      <c r="J420" s="5"/>
      <c r="K420" s="5"/>
      <c r="L420" s="5"/>
      <c r="M420" s="5"/>
      <c r="N420" s="5"/>
      <c r="O420" s="5"/>
      <c r="P420" s="5"/>
      <c r="Q420" s="5"/>
      <c r="R420" s="5"/>
      <c r="S420" s="5"/>
      <c r="T420" s="5"/>
      <c r="U420" s="5"/>
      <c r="V420" s="5"/>
      <c r="W420" s="5"/>
      <c r="X420" s="5"/>
    </row>
    <row r="421" spans="6:24" x14ac:dyDescent="0.2">
      <c r="F421" s="5"/>
      <c r="G421" s="5"/>
      <c r="H421" s="5"/>
      <c r="I421" s="5"/>
      <c r="J421" s="5"/>
      <c r="K421" s="5"/>
      <c r="L421" s="5"/>
      <c r="M421" s="5"/>
      <c r="N421" s="5"/>
      <c r="O421" s="5"/>
      <c r="P421" s="5"/>
      <c r="Q421" s="5"/>
      <c r="R421" s="5"/>
      <c r="S421" s="5"/>
      <c r="T421" s="5"/>
      <c r="U421" s="5"/>
      <c r="V421" s="5"/>
      <c r="W421" s="5"/>
      <c r="X421" s="5"/>
    </row>
    <row r="422" spans="6:24" x14ac:dyDescent="0.2">
      <c r="F422" s="5"/>
      <c r="G422" s="5"/>
      <c r="H422" s="5"/>
      <c r="I422" s="5"/>
      <c r="J422" s="5"/>
      <c r="K422" s="5"/>
      <c r="L422" s="5"/>
      <c r="M422" s="5"/>
      <c r="N422" s="5"/>
      <c r="O422" s="5"/>
      <c r="P422" s="5"/>
      <c r="Q422" s="5"/>
      <c r="R422" s="5"/>
      <c r="S422" s="5"/>
      <c r="T422" s="5"/>
      <c r="U422" s="5"/>
      <c r="V422" s="5"/>
      <c r="W422" s="5"/>
      <c r="X422" s="5"/>
    </row>
    <row r="423" spans="6:24" x14ac:dyDescent="0.2">
      <c r="F423" s="5"/>
      <c r="G423" s="5"/>
      <c r="H423" s="5"/>
      <c r="I423" s="5"/>
      <c r="J423" s="5"/>
      <c r="K423" s="5"/>
      <c r="L423" s="5"/>
      <c r="M423" s="5"/>
      <c r="N423" s="5"/>
      <c r="O423" s="5"/>
      <c r="P423" s="5"/>
      <c r="Q423" s="5"/>
      <c r="R423" s="5"/>
      <c r="S423" s="5"/>
      <c r="T423" s="5"/>
      <c r="U423" s="5"/>
      <c r="V423" s="5"/>
      <c r="W423" s="5"/>
      <c r="X423" s="5"/>
    </row>
    <row r="424" spans="6:24" x14ac:dyDescent="0.2">
      <c r="F424" s="5"/>
      <c r="G424" s="5"/>
      <c r="H424" s="5"/>
      <c r="I424" s="5"/>
      <c r="J424" s="5"/>
      <c r="K424" s="5"/>
      <c r="L424" s="5"/>
      <c r="M424" s="5"/>
      <c r="N424" s="5"/>
      <c r="O424" s="5"/>
      <c r="P424" s="5"/>
      <c r="Q424" s="5"/>
      <c r="R424" s="5"/>
      <c r="S424" s="5"/>
      <c r="T424" s="5"/>
      <c r="U424" s="5"/>
      <c r="V424" s="5"/>
      <c r="W424" s="5"/>
      <c r="X424" s="5"/>
    </row>
    <row r="425" spans="6:24" x14ac:dyDescent="0.2">
      <c r="F425" s="5"/>
      <c r="G425" s="5"/>
      <c r="H425" s="5"/>
      <c r="I425" s="5"/>
      <c r="J425" s="5"/>
      <c r="K425" s="5"/>
      <c r="L425" s="5"/>
      <c r="M425" s="5"/>
      <c r="N425" s="5"/>
      <c r="O425" s="5"/>
      <c r="P425" s="5"/>
      <c r="Q425" s="5"/>
      <c r="R425" s="5"/>
      <c r="S425" s="5"/>
      <c r="T425" s="5"/>
      <c r="U425" s="5"/>
      <c r="V425" s="5"/>
      <c r="W425" s="5"/>
      <c r="X425" s="5"/>
    </row>
    <row r="426" spans="6:24" x14ac:dyDescent="0.2">
      <c r="F426" s="5"/>
      <c r="G426" s="5"/>
      <c r="H426" s="5"/>
      <c r="I426" s="5"/>
      <c r="J426" s="5"/>
      <c r="K426" s="5"/>
      <c r="L426" s="5"/>
      <c r="M426" s="5"/>
      <c r="N426" s="5"/>
      <c r="O426" s="5"/>
      <c r="P426" s="5"/>
      <c r="Q426" s="5"/>
      <c r="R426" s="5"/>
      <c r="S426" s="5"/>
      <c r="T426" s="5"/>
      <c r="U426" s="5"/>
      <c r="V426" s="5"/>
      <c r="W426" s="5"/>
      <c r="X426" s="5"/>
    </row>
    <row r="427" spans="6:24" x14ac:dyDescent="0.2">
      <c r="F427" s="5"/>
      <c r="G427" s="5"/>
      <c r="H427" s="5"/>
      <c r="I427" s="5"/>
      <c r="J427" s="5"/>
      <c r="K427" s="5"/>
      <c r="L427" s="5"/>
      <c r="M427" s="5"/>
      <c r="N427" s="5"/>
      <c r="O427" s="5"/>
      <c r="P427" s="5"/>
      <c r="Q427" s="5"/>
      <c r="R427" s="5"/>
      <c r="S427" s="5"/>
      <c r="T427" s="5"/>
      <c r="U427" s="5"/>
      <c r="V427" s="5"/>
      <c r="W427" s="5"/>
      <c r="X427" s="5"/>
    </row>
    <row r="428" spans="6:24" x14ac:dyDescent="0.2">
      <c r="F428" s="5"/>
      <c r="G428" s="5"/>
      <c r="H428" s="5"/>
      <c r="I428" s="5"/>
      <c r="J428" s="5"/>
      <c r="K428" s="5"/>
      <c r="L428" s="5"/>
      <c r="M428" s="5"/>
      <c r="N428" s="5"/>
      <c r="O428" s="5"/>
      <c r="P428" s="5"/>
      <c r="Q428" s="5"/>
      <c r="R428" s="5"/>
      <c r="S428" s="5"/>
      <c r="T428" s="5"/>
      <c r="U428" s="5"/>
      <c r="V428" s="5"/>
      <c r="W428" s="5"/>
      <c r="X428" s="5"/>
    </row>
    <row r="429" spans="6:24" x14ac:dyDescent="0.2">
      <c r="F429" s="5"/>
      <c r="G429" s="5"/>
      <c r="H429" s="5"/>
      <c r="I429" s="5"/>
      <c r="J429" s="5"/>
      <c r="K429" s="5"/>
      <c r="L429" s="5"/>
      <c r="M429" s="5"/>
      <c r="N429" s="5"/>
      <c r="O429" s="5"/>
      <c r="P429" s="5"/>
      <c r="Q429" s="5"/>
      <c r="R429" s="5"/>
      <c r="S429" s="5"/>
      <c r="T429" s="5"/>
      <c r="U429" s="5"/>
      <c r="V429" s="5"/>
      <c r="W429" s="5"/>
      <c r="X429" s="5"/>
    </row>
    <row r="430" spans="6:24" x14ac:dyDescent="0.2">
      <c r="F430" s="5"/>
      <c r="G430" s="5"/>
      <c r="H430" s="5"/>
      <c r="I430" s="5"/>
      <c r="J430" s="5"/>
      <c r="K430" s="5"/>
      <c r="L430" s="5"/>
      <c r="M430" s="5"/>
      <c r="N430" s="5"/>
      <c r="O430" s="5"/>
      <c r="P430" s="5"/>
      <c r="Q430" s="5"/>
      <c r="R430" s="5"/>
      <c r="S430" s="5"/>
      <c r="T430" s="5"/>
      <c r="U430" s="5"/>
      <c r="V430" s="5"/>
      <c r="W430" s="5"/>
      <c r="X430" s="5"/>
    </row>
    <row r="431" spans="6:24" x14ac:dyDescent="0.2">
      <c r="F431" s="5"/>
      <c r="G431" s="5"/>
      <c r="H431" s="5"/>
      <c r="I431" s="5"/>
      <c r="J431" s="5"/>
      <c r="K431" s="5"/>
      <c r="L431" s="5"/>
      <c r="M431" s="5"/>
      <c r="N431" s="5"/>
      <c r="O431" s="5"/>
      <c r="P431" s="5"/>
      <c r="Q431" s="5"/>
      <c r="R431" s="5"/>
      <c r="S431" s="5"/>
      <c r="T431" s="5"/>
      <c r="U431" s="5"/>
      <c r="V431" s="5"/>
      <c r="W431" s="5"/>
      <c r="X431" s="5"/>
    </row>
    <row r="432" spans="6:24" x14ac:dyDescent="0.2">
      <c r="F432" s="5"/>
      <c r="G432" s="5"/>
      <c r="H432" s="5"/>
      <c r="I432" s="5"/>
      <c r="J432" s="5"/>
      <c r="K432" s="5"/>
      <c r="L432" s="5"/>
      <c r="M432" s="5"/>
      <c r="N432" s="5"/>
      <c r="O432" s="5"/>
      <c r="P432" s="5"/>
      <c r="Q432" s="5"/>
      <c r="R432" s="5"/>
      <c r="S432" s="5"/>
      <c r="T432" s="5"/>
      <c r="U432" s="5"/>
      <c r="V432" s="5"/>
      <c r="W432" s="5"/>
      <c r="X432" s="5"/>
    </row>
    <row r="433" spans="6:24" x14ac:dyDescent="0.2">
      <c r="F433" s="5"/>
      <c r="G433" s="5"/>
      <c r="H433" s="5"/>
      <c r="I433" s="5"/>
      <c r="J433" s="5"/>
      <c r="K433" s="5"/>
      <c r="L433" s="5"/>
      <c r="M433" s="5"/>
      <c r="N433" s="5"/>
      <c r="O433" s="5"/>
      <c r="P433" s="5"/>
      <c r="Q433" s="5"/>
      <c r="R433" s="5"/>
      <c r="S433" s="5"/>
      <c r="T433" s="5"/>
      <c r="U433" s="5"/>
      <c r="V433" s="5"/>
      <c r="W433" s="5"/>
      <c r="X433" s="5"/>
    </row>
    <row r="434" spans="6:24" x14ac:dyDescent="0.2">
      <c r="F434" s="5"/>
      <c r="G434" s="5"/>
      <c r="H434" s="5"/>
      <c r="I434" s="5"/>
      <c r="J434" s="5"/>
      <c r="K434" s="5"/>
      <c r="L434" s="5"/>
      <c r="M434" s="5"/>
      <c r="N434" s="5"/>
      <c r="O434" s="5"/>
      <c r="P434" s="5"/>
      <c r="Q434" s="5"/>
      <c r="R434" s="5"/>
      <c r="S434" s="5"/>
      <c r="T434" s="5"/>
      <c r="U434" s="5"/>
      <c r="V434" s="5"/>
      <c r="W434" s="5"/>
      <c r="X434" s="5"/>
    </row>
    <row r="435" spans="6:24" x14ac:dyDescent="0.2">
      <c r="F435" s="5"/>
      <c r="G435" s="5"/>
      <c r="H435" s="5"/>
      <c r="I435" s="5"/>
      <c r="J435" s="5"/>
      <c r="K435" s="5"/>
      <c r="L435" s="5"/>
      <c r="M435" s="5"/>
      <c r="N435" s="5"/>
      <c r="O435" s="5"/>
      <c r="P435" s="5"/>
      <c r="Q435" s="5"/>
      <c r="R435" s="5"/>
      <c r="S435" s="5"/>
      <c r="T435" s="5"/>
      <c r="U435" s="5"/>
      <c r="V435" s="5"/>
      <c r="W435" s="5"/>
      <c r="X435" s="5"/>
    </row>
    <row r="436" spans="6:24" x14ac:dyDescent="0.2">
      <c r="F436" s="5"/>
      <c r="G436" s="5"/>
      <c r="H436" s="5"/>
      <c r="I436" s="5"/>
      <c r="J436" s="5"/>
      <c r="K436" s="5"/>
      <c r="L436" s="5"/>
      <c r="M436" s="5"/>
      <c r="N436" s="5"/>
      <c r="O436" s="5"/>
      <c r="P436" s="5"/>
      <c r="Q436" s="5"/>
      <c r="R436" s="5"/>
      <c r="S436" s="5"/>
      <c r="T436" s="5"/>
      <c r="U436" s="5"/>
      <c r="V436" s="5"/>
      <c r="W436" s="5"/>
      <c r="X436" s="5"/>
    </row>
    <row r="437" spans="6:24" x14ac:dyDescent="0.2">
      <c r="F437" s="5"/>
      <c r="G437" s="5"/>
      <c r="H437" s="5"/>
      <c r="I437" s="5"/>
      <c r="J437" s="5"/>
      <c r="K437" s="5"/>
      <c r="L437" s="5"/>
      <c r="M437" s="5"/>
      <c r="N437" s="5"/>
      <c r="O437" s="5"/>
      <c r="P437" s="5"/>
      <c r="Q437" s="5"/>
      <c r="R437" s="5"/>
      <c r="S437" s="5"/>
      <c r="T437" s="5"/>
      <c r="U437" s="5"/>
      <c r="V437" s="5"/>
      <c r="W437" s="5"/>
      <c r="X437" s="5"/>
    </row>
    <row r="438" spans="6:24" x14ac:dyDescent="0.2">
      <c r="F438" s="5"/>
      <c r="G438" s="5"/>
      <c r="H438" s="5"/>
      <c r="I438" s="5"/>
      <c r="J438" s="5"/>
      <c r="K438" s="5"/>
      <c r="L438" s="5"/>
      <c r="M438" s="5"/>
      <c r="N438" s="5"/>
      <c r="O438" s="5"/>
      <c r="P438" s="5"/>
      <c r="Q438" s="5"/>
      <c r="R438" s="5"/>
      <c r="S438" s="5"/>
      <c r="T438" s="5"/>
      <c r="U438" s="5"/>
      <c r="V438" s="5"/>
      <c r="W438" s="5"/>
      <c r="X438" s="5"/>
    </row>
    <row r="439" spans="6:24" x14ac:dyDescent="0.2">
      <c r="F439" s="5"/>
      <c r="G439" s="5"/>
      <c r="H439" s="5"/>
      <c r="I439" s="5"/>
      <c r="J439" s="5"/>
      <c r="K439" s="5"/>
      <c r="L439" s="5"/>
      <c r="M439" s="5"/>
      <c r="N439" s="5"/>
      <c r="O439" s="5"/>
      <c r="P439" s="5"/>
      <c r="Q439" s="5"/>
      <c r="R439" s="5"/>
      <c r="S439" s="5"/>
      <c r="T439" s="5"/>
      <c r="U439" s="5"/>
      <c r="V439" s="5"/>
      <c r="W439" s="5"/>
      <c r="X439" s="5"/>
    </row>
    <row r="440" spans="6:24" x14ac:dyDescent="0.2">
      <c r="F440" s="5"/>
      <c r="G440" s="5"/>
      <c r="H440" s="5"/>
      <c r="I440" s="5"/>
      <c r="J440" s="5"/>
      <c r="K440" s="5"/>
      <c r="L440" s="5"/>
      <c r="M440" s="5"/>
      <c r="N440" s="5"/>
      <c r="O440" s="5"/>
      <c r="P440" s="5"/>
      <c r="Q440" s="5"/>
      <c r="R440" s="5"/>
      <c r="S440" s="5"/>
      <c r="T440" s="5"/>
      <c r="U440" s="5"/>
      <c r="V440" s="5"/>
      <c r="W440" s="5"/>
      <c r="X440" s="5"/>
    </row>
    <row r="441" spans="6:24" x14ac:dyDescent="0.2">
      <c r="F441" s="5"/>
      <c r="G441" s="5"/>
      <c r="H441" s="5"/>
      <c r="I441" s="5"/>
      <c r="J441" s="5"/>
      <c r="K441" s="5"/>
      <c r="L441" s="5"/>
      <c r="M441" s="5"/>
      <c r="N441" s="5"/>
      <c r="O441" s="5"/>
      <c r="P441" s="5"/>
      <c r="Q441" s="5"/>
      <c r="R441" s="5"/>
      <c r="S441" s="5"/>
      <c r="T441" s="5"/>
      <c r="U441" s="5"/>
      <c r="V441" s="5"/>
      <c r="W441" s="5"/>
      <c r="X441" s="5"/>
    </row>
    <row r="442" spans="6:24" x14ac:dyDescent="0.2">
      <c r="F442" s="5"/>
      <c r="G442" s="5"/>
      <c r="H442" s="5"/>
      <c r="I442" s="5"/>
      <c r="J442" s="5"/>
      <c r="K442" s="5"/>
      <c r="L442" s="5"/>
      <c r="M442" s="5"/>
      <c r="N442" s="5"/>
      <c r="O442" s="5"/>
      <c r="P442" s="5"/>
      <c r="Q442" s="5"/>
      <c r="R442" s="5"/>
      <c r="S442" s="5"/>
      <c r="T442" s="5"/>
      <c r="U442" s="5"/>
      <c r="V442" s="5"/>
      <c r="W442" s="5"/>
      <c r="X442" s="5"/>
    </row>
    <row r="443" spans="6:24" x14ac:dyDescent="0.2">
      <c r="F443" s="5"/>
      <c r="G443" s="5"/>
      <c r="H443" s="5"/>
      <c r="I443" s="5"/>
      <c r="J443" s="5"/>
      <c r="K443" s="5"/>
      <c r="L443" s="5"/>
      <c r="M443" s="5"/>
      <c r="N443" s="5"/>
      <c r="O443" s="5"/>
      <c r="P443" s="5"/>
      <c r="Q443" s="5"/>
      <c r="R443" s="5"/>
      <c r="S443" s="5"/>
      <c r="T443" s="5"/>
      <c r="U443" s="5"/>
      <c r="V443" s="5"/>
      <c r="W443" s="5"/>
      <c r="X443" s="5"/>
    </row>
    <row r="444" spans="6:24" x14ac:dyDescent="0.2">
      <c r="F444" s="5"/>
      <c r="G444" s="5"/>
      <c r="H444" s="5"/>
      <c r="I444" s="5"/>
      <c r="J444" s="5"/>
      <c r="K444" s="5"/>
      <c r="L444" s="5"/>
      <c r="M444" s="5"/>
      <c r="N444" s="5"/>
      <c r="O444" s="5"/>
      <c r="P444" s="5"/>
      <c r="Q444" s="5"/>
      <c r="R444" s="5"/>
      <c r="S444" s="5"/>
      <c r="T444" s="5"/>
      <c r="U444" s="5"/>
      <c r="V444" s="5"/>
      <c r="W444" s="5"/>
      <c r="X444" s="5"/>
    </row>
    <row r="445" spans="6:24" x14ac:dyDescent="0.2">
      <c r="F445" s="5"/>
      <c r="G445" s="5"/>
      <c r="H445" s="5"/>
      <c r="I445" s="5"/>
      <c r="J445" s="5"/>
      <c r="K445" s="5"/>
      <c r="L445" s="5"/>
      <c r="M445" s="5"/>
      <c r="N445" s="5"/>
      <c r="O445" s="5"/>
      <c r="P445" s="5"/>
      <c r="Q445" s="5"/>
      <c r="R445" s="5"/>
      <c r="S445" s="5"/>
      <c r="T445" s="5"/>
      <c r="U445" s="5"/>
      <c r="V445" s="5"/>
      <c r="W445" s="5"/>
      <c r="X445" s="5"/>
    </row>
    <row r="446" spans="6:24" x14ac:dyDescent="0.2">
      <c r="F446" s="5"/>
      <c r="G446" s="5"/>
      <c r="H446" s="5"/>
      <c r="I446" s="5"/>
      <c r="J446" s="5"/>
      <c r="K446" s="5"/>
      <c r="L446" s="5"/>
      <c r="M446" s="5"/>
      <c r="N446" s="5"/>
      <c r="O446" s="5"/>
      <c r="P446" s="5"/>
      <c r="Q446" s="5"/>
      <c r="R446" s="5"/>
      <c r="S446" s="5"/>
      <c r="T446" s="5"/>
      <c r="U446" s="5"/>
      <c r="V446" s="5"/>
      <c r="W446" s="5"/>
      <c r="X446" s="5"/>
    </row>
    <row r="447" spans="6:24" x14ac:dyDescent="0.2">
      <c r="F447" s="5"/>
      <c r="G447" s="5"/>
      <c r="H447" s="5"/>
      <c r="I447" s="5"/>
      <c r="J447" s="5"/>
      <c r="K447" s="5"/>
      <c r="L447" s="5"/>
      <c r="M447" s="5"/>
      <c r="N447" s="5"/>
      <c r="O447" s="5"/>
      <c r="P447" s="5"/>
      <c r="Q447" s="5"/>
      <c r="R447" s="5"/>
      <c r="S447" s="5"/>
      <c r="T447" s="5"/>
      <c r="U447" s="5"/>
      <c r="V447" s="5"/>
      <c r="W447" s="5"/>
      <c r="X447" s="5"/>
    </row>
    <row r="448" spans="6:24" x14ac:dyDescent="0.2">
      <c r="F448" s="5"/>
      <c r="G448" s="5"/>
      <c r="H448" s="5"/>
      <c r="I448" s="5"/>
      <c r="J448" s="5"/>
      <c r="K448" s="5"/>
      <c r="L448" s="5"/>
      <c r="M448" s="5"/>
      <c r="N448" s="5"/>
      <c r="O448" s="5"/>
      <c r="P448" s="5"/>
      <c r="Q448" s="5"/>
      <c r="R448" s="5"/>
      <c r="S448" s="5"/>
      <c r="T448" s="5"/>
      <c r="U448" s="5"/>
      <c r="V448" s="5"/>
      <c r="W448" s="5"/>
      <c r="X448" s="5"/>
    </row>
    <row r="449" spans="6:24" x14ac:dyDescent="0.2">
      <c r="F449" s="5"/>
      <c r="G449" s="5"/>
      <c r="H449" s="5"/>
      <c r="I449" s="5"/>
      <c r="J449" s="5"/>
      <c r="K449" s="5"/>
      <c r="L449" s="5"/>
      <c r="M449" s="5"/>
      <c r="N449" s="5"/>
      <c r="O449" s="5"/>
      <c r="P449" s="5"/>
      <c r="Q449" s="5"/>
      <c r="R449" s="5"/>
      <c r="S449" s="5"/>
      <c r="T449" s="5"/>
      <c r="U449" s="5"/>
      <c r="V449" s="5"/>
      <c r="W449" s="5"/>
      <c r="X449" s="5"/>
    </row>
  </sheetData>
  <sheetProtection algorithmName="SHA-512" hashValue="thQl8qXGRjxavM3g0qs9WWVcQvMQ7TKD9Q3BM2Ibn33iwH22wLoZwDZYWt7NiQx3wZDnbGq5GUaejWO81As/bA==" saltValue="9P8/ti5D7qfFS+iPuoCuIA==" spinCount="100000" sheet="1" objects="1" scenarios="1"/>
  <mergeCells count="4">
    <mergeCell ref="A4:A5"/>
    <mergeCell ref="A18:B18"/>
    <mergeCell ref="C3:D3"/>
    <mergeCell ref="J3:J4"/>
  </mergeCells>
  <conditionalFormatting sqref="B57:C72 D60:E75">
    <cfRule type="cellIs" dxfId="0" priority="22" operator="between">
      <formula>101</formula>
      <formula>101.5</formula>
    </cfRule>
  </conditionalFormatting>
  <pageMargins left="0.7" right="0.7" top="0.75" bottom="0.75" header="0.3" footer="0.3"/>
  <pageSetup orientation="portrait" horizontalDpi="200" verticalDpi="200" r:id="rId1"/>
  <ignoredErrors>
    <ignoredError sqref="W17"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2345-D02A-4977-BDD5-5D32C0B76A60}">
  <sheetPr codeName="Sheet5"/>
  <dimension ref="A1:K29"/>
  <sheetViews>
    <sheetView showGridLines="0" workbookViewId="0">
      <pane ySplit="3" topLeftCell="A4" activePane="bottomLeft" state="frozen"/>
      <selection activeCell="B1" sqref="B1"/>
      <selection pane="bottomLeft" activeCell="I16" sqref="I16"/>
    </sheetView>
  </sheetViews>
  <sheetFormatPr defaultColWidth="9.140625" defaultRowHeight="11.25" customHeight="1" x14ac:dyDescent="0.2"/>
  <cols>
    <col min="1" max="1" width="3.140625" style="1" customWidth="1"/>
    <col min="2" max="2" width="13.28515625" style="1" bestFit="1" customWidth="1"/>
    <col min="3" max="3" width="13.28515625" style="1" customWidth="1"/>
    <col min="4" max="4" width="8.42578125" style="1" customWidth="1"/>
    <col min="5" max="5" width="9.28515625" style="1" bestFit="1" customWidth="1"/>
    <col min="6" max="7" width="1.7109375" style="1" customWidth="1"/>
    <col min="8" max="9" width="9.140625" style="1"/>
    <col min="10" max="10" width="4.28515625" style="1" customWidth="1"/>
    <col min="11" max="11" width="9.140625" style="1" hidden="1" customWidth="1"/>
    <col min="12" max="16384" width="9.140625" style="1"/>
  </cols>
  <sheetData>
    <row r="1" spans="1:11" ht="11.25" customHeight="1" x14ac:dyDescent="0.2">
      <c r="B1" s="2513" t="s">
        <v>3878</v>
      </c>
      <c r="C1" s="2514" t="s">
        <v>3911</v>
      </c>
    </row>
    <row r="2" spans="1:11" x14ac:dyDescent="0.2">
      <c r="H2" s="2815" t="s">
        <v>3910</v>
      </c>
      <c r="I2" s="2815"/>
      <c r="K2" s="2515" t="s">
        <v>3912</v>
      </c>
    </row>
    <row r="3" spans="1:11" ht="11.25" customHeight="1" x14ac:dyDescent="0.2">
      <c r="C3" s="2516" t="s">
        <v>160</v>
      </c>
      <c r="D3" s="2517" t="s">
        <v>199</v>
      </c>
      <c r="E3" s="2518" t="s">
        <v>3903</v>
      </c>
      <c r="H3" s="2519" t="s">
        <v>199</v>
      </c>
      <c r="I3" s="2520" t="s">
        <v>3903</v>
      </c>
      <c r="K3" s="2521" t="s">
        <v>3881</v>
      </c>
    </row>
    <row r="4" spans="1:11" ht="11.25" customHeight="1" x14ac:dyDescent="0.2">
      <c r="A4" s="2522" t="s">
        <v>486</v>
      </c>
      <c r="B4" s="2522" t="s">
        <v>483</v>
      </c>
      <c r="C4" s="2562" t="str" cm="1">
        <f t="array" ref="C4">INDEX([1]!Range_Incentive_Name,1,IF(Input_Ratesheet_Source="Corr1",1,IF(Input_Ratesheet_Source="Corr2",2,IF(Input_Ratesheet_Source="Corr3",3,IF(Input_Ratesheet_Source="CorrND",4,IF(Input_Ratesheet_Source="Whol",5,IF(Input_Ratesheet_Source="Retl",6,0)))))))</f>
        <v>NonQM OO</v>
      </c>
      <c r="D4" s="2523" t="e" cm="1">
        <f t="array" ref="D4">INDEX([1]!Range_Incentive_Spread,1,IF(Input_Ratesheet_Source="Corr1",1,IF(Input_Ratesheet_Source="Corr2",2,IF(Input_Ratesheet_Source="Corr3",3,IF(Input_Ratesheet_Source="CorrND",4,IF(Input_Ratesheet_Source="Whol",5,IF(Input_Ratesheet_Source="Retl",6,0)))))))+Input_PL_Incentive_Add_PN</f>
        <v>#N/A</v>
      </c>
      <c r="E4" s="2524" cm="1">
        <f t="array" ref="E4">INDEX([1]!Range_Incentive_MaxPriceAdj,1,IF(Input_Ratesheet_Source="Corr1",1,IF(Input_Ratesheet_Source="Corr2",2,IF(Input_Ratesheet_Source="Corr3",3,IF(Input_Ratesheet_Source="CorrND",4,IF(Input_Ratesheet_Source="Whol",5,IF(Input_Ratesheet_Source="Retl",6,0)))))))+Input_PL_IncentiveMaxAdj_Add_PN</f>
        <v>0</v>
      </c>
      <c r="H4" s="2157" t="e">
        <v>#N/A</v>
      </c>
      <c r="I4" s="2158">
        <v>0</v>
      </c>
      <c r="K4" s="2525" t="s">
        <v>3876</v>
      </c>
    </row>
    <row r="5" spans="1:11" ht="11.25" customHeight="1" x14ac:dyDescent="0.2">
      <c r="A5" s="2526" t="s">
        <v>379</v>
      </c>
      <c r="B5" s="2526" t="s">
        <v>484</v>
      </c>
      <c r="C5" s="2563" t="str" cm="1">
        <f t="array" ref="C5">INDEX([1]!Range_Incentive_Name,2,IF(Input_Ratesheet_Source="Corr1",1,IF(Input_Ratesheet_Source="Corr2",2,IF(Input_Ratesheet_Source="Corr3",3,IF(Input_Ratesheet_Source="CorrND",4,IF(Input_Ratesheet_Source="Whol",5,IF(Input_Ratesheet_Source="Retl",6,0)))))))</f>
        <v>NonQM NOO</v>
      </c>
      <c r="D5" s="2527" t="e" cm="1">
        <f t="array" ref="D5">INDEX([1]!Range_Incentive_Spread,2,IF(Input_Ratesheet_Source="Corr1",1,IF(Input_Ratesheet_Source="Corr2",2,IF(Input_Ratesheet_Source="Corr3",3,IF(Input_Ratesheet_Source="CorrND",4,IF(Input_Ratesheet_Source="Whol",5,IF(Input_Ratesheet_Source="Retl",6,0)))))))+Input_PL_Incentive_Add_IN</f>
        <v>#N/A</v>
      </c>
      <c r="E5" s="2528" cm="1">
        <f t="array" ref="E5">INDEX([1]!Range_Incentive_MaxPriceAdj,2,IF(Input_Ratesheet_Source="Corr1",1,IF(Input_Ratesheet_Source="Corr2",2,IF(Input_Ratesheet_Source="Corr3",3,IF(Input_Ratesheet_Source="CorrND",4,IF(Input_Ratesheet_Source="Whol",5,IF(Input_Ratesheet_Source="Retl",6,0)))))))+Input_PL_IncentiveMaxAdj_Add_IN</f>
        <v>0</v>
      </c>
      <c r="H5" s="2159" t="e">
        <v>#N/A</v>
      </c>
      <c r="I5" s="2160">
        <v>0</v>
      </c>
      <c r="K5" s="2529" t="s">
        <v>3877</v>
      </c>
    </row>
    <row r="6" spans="1:11" ht="10.9" hidden="1" customHeight="1" x14ac:dyDescent="0.2">
      <c r="A6" s="2530" t="s">
        <v>2130</v>
      </c>
      <c r="B6" s="2530" t="s">
        <v>3900</v>
      </c>
      <c r="C6" s="2562" t="str" cm="1">
        <f t="array" ref="C6">INDEX([1]!Range_Incentive_Name,3,IF(Input_Ratesheet_Source="Corr1",1,IF(Input_Ratesheet_Source="Corr2",2,IF(Input_Ratesheet_Source="Corr3",3,IF(Input_Ratesheet_Source="CorrND",4,IF(Input_Ratesheet_Source="Whol",5,IF(Input_Ratesheet_Source="Retl",6,0)))))))</f>
        <v xml:space="preserve">  </v>
      </c>
      <c r="D6" s="2523" cm="1">
        <f t="array" ref="D6">INDEX([1]!Range_Incentive_Spread,3,IF(Input_Ratesheet_Source="Corr1",1,IF(Input_Ratesheet_Source="Corr2",2,IF(Input_Ratesheet_Source="Corr3",3,IF(Input_Ratesheet_Source="CorrND",4,IF(Input_Ratesheet_Source="Whol",5,IF(Input_Ratesheet_Source="Retl",6,0)))))))+Input_PL_Incentive_Add_PE</f>
        <v>0</v>
      </c>
      <c r="E6" s="2524" cm="1">
        <f t="array" ref="E6">INDEX([1]!Range_Incentive_MaxPriceAdj,3,IF(Input_Ratesheet_Source="Corr1",1,IF(Input_Ratesheet_Source="Corr2",2,IF(Input_Ratesheet_Source="Corr3",3,IF(Input_Ratesheet_Source="CorrND",4,IF(Input_Ratesheet_Source="Whol",5,IF(Input_Ratesheet_Source="Retl",6,0)))))))+Input_PL_IncentiveMaxAdj_Add_PE</f>
        <v>0</v>
      </c>
      <c r="H6" s="2161">
        <v>0</v>
      </c>
      <c r="I6" s="2162">
        <v>0</v>
      </c>
      <c r="K6" s="2529" t="s">
        <v>3878</v>
      </c>
    </row>
    <row r="7" spans="1:11" ht="10.9" hidden="1" customHeight="1" x14ac:dyDescent="0.2">
      <c r="A7" s="2531" t="s">
        <v>2131</v>
      </c>
      <c r="B7" s="2531" t="s">
        <v>3901</v>
      </c>
      <c r="C7" s="2564" t="str" cm="1">
        <f t="array" ref="C7">INDEX([1]!Range_Incentive_Name,4,IF(Input_Ratesheet_Source="Corr1",1,IF(Input_Ratesheet_Source="Corr2",2,IF(Input_Ratesheet_Source="Corr3",3,IF(Input_Ratesheet_Source="CorrND",4,IF(Input_Ratesheet_Source="Whol",5,IF(Input_Ratesheet_Source="Retl",6,0)))))))</f>
        <v xml:space="preserve"> </v>
      </c>
      <c r="D7" s="2532" cm="1">
        <f t="array" ref="D7">INDEX([1]!Range_Incentive_Spread,4,IF(Input_Ratesheet_Source="Corr1",1,IF(Input_Ratesheet_Source="Corr2",2,IF(Input_Ratesheet_Source="Corr3",3,IF(Input_Ratesheet_Source="CorrND",4,IF(Input_Ratesheet_Source="Whol",5,IF(Input_Ratesheet_Source="Retl",6,0)))))))+Input_PL_Incentive_Add_IE</f>
        <v>0</v>
      </c>
      <c r="E7" s="2533" cm="1">
        <f t="array" ref="E7">INDEX([1]!Range_Incentive_MaxPriceAdj,4,IF(Input_Ratesheet_Source="Corr1",1,IF(Input_Ratesheet_Source="Corr2",2,IF(Input_Ratesheet_Source="Corr3",3,IF(Input_Ratesheet_Source="CorrND",4,IF(Input_Ratesheet_Source="Whol",5,IF(Input_Ratesheet_Source="Retl",6,0)))))))+Input_PL_IncentiveMaxAdj_Add_IE</f>
        <v>0</v>
      </c>
      <c r="H7" s="2163">
        <v>0</v>
      </c>
      <c r="I7" s="2164">
        <v>0</v>
      </c>
      <c r="K7" s="2534" t="s">
        <v>3879</v>
      </c>
    </row>
    <row r="8" spans="1:11" ht="10.9" hidden="1" customHeight="1" x14ac:dyDescent="0.2">
      <c r="A8" s="2535" t="s">
        <v>374</v>
      </c>
      <c r="B8" s="2535" t="s">
        <v>3902</v>
      </c>
      <c r="C8" s="2565" t="str" cm="1">
        <f t="array" ref="C8">INDEX([1]!Range_Incentive_Name,5,IF(Input_Ratesheet_Source="Corr1",1,IF(Input_Ratesheet_Source="Corr2",2,IF(Input_Ratesheet_Source="Corr3",3,IF(Input_Ratesheet_Source="CorrND",4,IF(Input_Ratesheet_Source="Whol",5,IF(Input_Ratesheet_Source="Retl",6,0)))))))</f>
        <v xml:space="preserve"> </v>
      </c>
      <c r="D8" s="2536" cm="1">
        <f t="array" ref="D8">INDEX([1]!Range_Incentive_Spread,5,IF(Input_Ratesheet_Source="Corr1",1,IF(Input_Ratesheet_Source="Corr2",2,IF(Input_Ratesheet_Source="Corr3",3,IF(Input_Ratesheet_Source="CorrND",4,IF(Input_Ratesheet_Source="Whol",5,IF(Input_Ratesheet_Source="Retl",6,0)))))))+Input_PL_Incentive_Add_DE</f>
        <v>0</v>
      </c>
      <c r="E8" s="2537" cm="1">
        <f t="array" ref="E8">INDEX([1]!Range_Incentive_MaxPriceAdj,5,IF(Input_Ratesheet_Source="Corr1",1,IF(Input_Ratesheet_Source="Corr2",2,IF(Input_Ratesheet_Source="Corr3",3,IF(Input_Ratesheet_Source="CorrND",4,IF(Input_Ratesheet_Source="Whol",5,IF(Input_Ratesheet_Source="Retl",6,0)))))))+Input_PL_IncentiveMaxAdj_Add_DE</f>
        <v>0</v>
      </c>
      <c r="H8" s="2165">
        <v>0</v>
      </c>
      <c r="I8" s="2166">
        <v>0</v>
      </c>
      <c r="K8" s="2538" t="s">
        <v>3880</v>
      </c>
    </row>
    <row r="9" spans="1:11" ht="10.9" hidden="1" customHeight="1" x14ac:dyDescent="0.2">
      <c r="A9" s="2539" t="s">
        <v>2735</v>
      </c>
      <c r="B9" s="2539" t="s">
        <v>2730</v>
      </c>
      <c r="C9" s="2562" t="str" cm="1">
        <f t="array" ref="C9">INDEX([1]!Range_Incentive_Name,6,IF(Input_Ratesheet_Source="Corr1",1,IF(Input_Ratesheet_Source="Corr2",2,IF(Input_Ratesheet_Source="Corr3",3,IF(Input_Ratesheet_Source="CorrND",4,IF(Input_Ratesheet_Source="Whol",5,IF(Input_Ratesheet_Source="Retl",6,0)))))))</f>
        <v xml:space="preserve"> </v>
      </c>
      <c r="D9" s="2523" cm="1">
        <f t="array" ref="D9">INDEX([1]!Range_Incentive_Spread,6,IF(Input_Ratesheet_Source="Corr1",1,IF(Input_Ratesheet_Source="Corr2",2,IF(Input_Ratesheet_Source="Corr3",3,IF(Input_Ratesheet_Source="CorrND",4,IF(Input_Ratesheet_Source="Whol",5,IF(Input_Ratesheet_Source="Retl",6,0)))))))+Input_PL_Incentive_Add_XP</f>
        <v>0</v>
      </c>
      <c r="E9" s="2524" cm="1">
        <f t="array" ref="E9">INDEX([1]!Range_Incentive_MaxPriceAdj,6,IF(Input_Ratesheet_Source="Corr1",1,IF(Input_Ratesheet_Source="Corr2",2,IF(Input_Ratesheet_Source="Corr3",3,IF(Input_Ratesheet_Source="CorrND",4,IF(Input_Ratesheet_Source="Whol",5,IF(Input_Ratesheet_Source="Retl",6,0)))))))+Input_PL_IncentiveMaxAdj_Add_XP</f>
        <v>0</v>
      </c>
      <c r="H9" s="2161">
        <v>0</v>
      </c>
      <c r="I9" s="2162">
        <v>0</v>
      </c>
      <c r="K9" s="2540" t="s">
        <v>3882</v>
      </c>
    </row>
    <row r="10" spans="1:11" ht="11.25" hidden="1" customHeight="1" x14ac:dyDescent="0.2">
      <c r="A10" s="2541" t="s">
        <v>2736</v>
      </c>
      <c r="B10" s="2541" t="s">
        <v>2731</v>
      </c>
      <c r="C10" s="2564" t="str" cm="1">
        <f t="array" ref="C10">INDEX([1]!Range_Incentive_Name,7,IF(Input_Ratesheet_Source="Corr1",1,IF(Input_Ratesheet_Source="Corr2",2,IF(Input_Ratesheet_Source="Corr3",3,IF(Input_Ratesheet_Source="CorrND",4,IF(Input_Ratesheet_Source="Whol",5,IF(Input_Ratesheet_Source="Retl",6,0)))))))</f>
        <v xml:space="preserve"> </v>
      </c>
      <c r="D10" s="2532" cm="1">
        <f t="array" ref="D10">INDEX([1]!Range_Incentive_Spread,7,IF(Input_Ratesheet_Source="Corr1",1,IF(Input_Ratesheet_Source="Corr2",2,IF(Input_Ratesheet_Source="Corr3",3,IF(Input_Ratesheet_Source="CorrND",4,IF(Input_Ratesheet_Source="Whol",5,IF(Input_Ratesheet_Source="Retl",6,0)))))))+Input_PL_Incentive_Add_XX</f>
        <v>0</v>
      </c>
      <c r="E10" s="2533" cm="1">
        <f t="array" ref="E10">INDEX([1]!Range_Incentive_MaxPriceAdj,7,IF(Input_Ratesheet_Source="Corr1",1,IF(Input_Ratesheet_Source="Corr2",2,IF(Input_Ratesheet_Source="Corr3",3,IF(Input_Ratesheet_Source="CorrND",4,IF(Input_Ratesheet_Source="Whol",5,IF(Input_Ratesheet_Source="Retl",6,0)))))))+Input_PL_IncentiveMaxAdj_Add_XX</f>
        <v>0</v>
      </c>
      <c r="H10" s="2163">
        <v>0</v>
      </c>
      <c r="I10" s="2164">
        <v>0</v>
      </c>
    </row>
    <row r="11" spans="1:11" ht="11.25" hidden="1" customHeight="1" x14ac:dyDescent="0.2">
      <c r="A11" s="2542" t="s">
        <v>2737</v>
      </c>
      <c r="B11" s="2542" t="s">
        <v>2732</v>
      </c>
      <c r="C11" s="2564" t="str" cm="1">
        <f t="array" ref="C11">INDEX([1]!Range_Incentive_Name,8,IF(Input_Ratesheet_Source="Corr1",1,IF(Input_Ratesheet_Source="Corr2",2,IF(Input_Ratesheet_Source="Corr3",3,IF(Input_Ratesheet_Source="CorrND",4,IF(Input_Ratesheet_Source="Whol",5,IF(Input_Ratesheet_Source="Retl",6,0)))))))</f>
        <v xml:space="preserve"> </v>
      </c>
      <c r="D11" s="2532" cm="1">
        <f t="array" ref="D11">INDEX([1]!Range_Incentive_Spread,8,IF(Input_Ratesheet_Source="Corr1",1,IF(Input_Ratesheet_Source="Corr2",2,IF(Input_Ratesheet_Source="Corr3",3,IF(Input_Ratesheet_Source="CorrND",4,IF(Input_Ratesheet_Source="Whol",5,IF(Input_Ratesheet_Source="Retl",6,0)))))))+Input_PL_Incentive_Add_XF</f>
        <v>0</v>
      </c>
      <c r="E11" s="2533" cm="1">
        <f t="array" ref="E11">INDEX([1]!Range_Incentive_MaxPriceAdj,8,IF(Input_Ratesheet_Source="Corr1",1,IF(Input_Ratesheet_Source="Corr2",2,IF(Input_Ratesheet_Source="Corr3",3,IF(Input_Ratesheet_Source="CorrND",4,IF(Input_Ratesheet_Source="Whol",5,IF(Input_Ratesheet_Source="Retl",6,0)))))))+Input_PL_IncentiveMaxAdj_Add_XF</f>
        <v>0</v>
      </c>
      <c r="H11" s="2163">
        <v>0</v>
      </c>
      <c r="I11" s="2164">
        <v>0</v>
      </c>
    </row>
    <row r="12" spans="1:11" ht="11.25" hidden="1" customHeight="1" x14ac:dyDescent="0.2">
      <c r="A12" s="2543" t="s">
        <v>2738</v>
      </c>
      <c r="B12" s="2543" t="s">
        <v>2733</v>
      </c>
      <c r="C12" s="2564" t="str" cm="1">
        <f t="array" ref="C12">INDEX([1]!Range_Incentive_Name,9,IF(Input_Ratesheet_Source="Corr1",1,IF(Input_Ratesheet_Source="Corr2",2,IF(Input_Ratesheet_Source="Corr3",3,IF(Input_Ratesheet_Source="CorrND",4,IF(Input_Ratesheet_Source="Whol",5,IF(Input_Ratesheet_Source="Retl",6,0)))))))</f>
        <v xml:space="preserve"> </v>
      </c>
      <c r="D12" s="2532" cm="1">
        <f t="array" ref="D12">INDEX([1]!Range_Incentive_Spread,9,IF(Input_Ratesheet_Source="Corr1",1,IF(Input_Ratesheet_Source="Corr2",2,IF(Input_Ratesheet_Source="Corr3",3,IF(Input_Ratesheet_Source="CorrND",4,IF(Input_Ratesheet_Source="Whol",5,IF(Input_Ratesheet_Source="Retl",6,0)))))))+Input_PL_Incentive_Add_XM</f>
        <v>0</v>
      </c>
      <c r="E12" s="2533" cm="1">
        <f t="array" ref="E12">INDEX([1]!Range_Incentive_MaxPriceAdj,9,IF(Input_Ratesheet_Source="Corr1",1,IF(Input_Ratesheet_Source="Corr2",2,IF(Input_Ratesheet_Source="Corr3",3,IF(Input_Ratesheet_Source="CorrND",4,IF(Input_Ratesheet_Source="Whol",5,IF(Input_Ratesheet_Source="Retl",6,0)))))))+Input_PL_IncentiveMaxAdj_Add_XM</f>
        <v>0</v>
      </c>
      <c r="H12" s="2163">
        <v>0</v>
      </c>
      <c r="I12" s="2164">
        <v>0</v>
      </c>
    </row>
    <row r="13" spans="1:11" ht="11.25" hidden="1" customHeight="1" x14ac:dyDescent="0.2">
      <c r="A13" s="2544" t="s">
        <v>2739</v>
      </c>
      <c r="B13" s="2544" t="s">
        <v>2734</v>
      </c>
      <c r="C13" s="2565" t="str" cm="1">
        <f t="array" ref="C13">INDEX([1]!Range_Incentive_Name,10,IF(Input_Ratesheet_Source="Corr1",1,IF(Input_Ratesheet_Source="Corr2",2,IF(Input_Ratesheet_Source="Corr3",3,IF(Input_Ratesheet_Source="CorrND",4,IF(Input_Ratesheet_Source="Whol",5,IF(Input_Ratesheet_Source="Retl",6,0)))))))</f>
        <v xml:space="preserve"> </v>
      </c>
      <c r="D13" s="2536" cm="1">
        <f t="array" ref="D13">INDEX([1]!Range_Incentive_Spread,10,IF(Input_Ratesheet_Source="Corr1",1,IF(Input_Ratesheet_Source="Corr2",2,IF(Input_Ratesheet_Source="Corr3",3,IF(Input_Ratesheet_Source="CorrND",4,IF(Input_Ratesheet_Source="Whol",5,IF(Input_Ratesheet_Source="Retl",6,0)))))))+Input_PL_Incentive_Add_XN</f>
        <v>0</v>
      </c>
      <c r="E13" s="2537" cm="1">
        <f t="array" ref="E13">INDEX([1]!Range_Incentive_MaxPriceAdj,10,IF(Input_Ratesheet_Source="Corr1",1,IF(Input_Ratesheet_Source="Corr2",2,IF(Input_Ratesheet_Source="Corr3",3,IF(Input_Ratesheet_Source="CorrND",4,IF(Input_Ratesheet_Source="Whol",5,IF(Input_Ratesheet_Source="Retl",6,0)))))))+Input_PL_IncentiveMaxAdj_Add_XN</f>
        <v>0</v>
      </c>
      <c r="H13" s="2165">
        <v>0</v>
      </c>
      <c r="I13" s="2166">
        <v>0</v>
      </c>
    </row>
    <row r="14" spans="1:11" ht="11.25" hidden="1" customHeight="1" x14ac:dyDescent="0.2">
      <c r="A14" s="2545" t="s">
        <v>386</v>
      </c>
      <c r="B14" s="2545" t="s">
        <v>485</v>
      </c>
      <c r="C14" s="2566" t="str" cm="1">
        <f t="array" ref="C14">INDEX([1]!Range_Incentive_Name,11,IF(Input_Ratesheet_Source="Corr1",1,IF(Input_Ratesheet_Source="Corr2",2,IF(Input_Ratesheet_Source="Corr3",3,IF(Input_Ratesheet_Source="CorrND",4,IF(Input_Ratesheet_Source="Whol",5,IF(Input_Ratesheet_Source="Retl",6,0)))))))</f>
        <v>Multi NOO</v>
      </c>
      <c r="D14" s="2546" t="e" cm="1">
        <f t="array" ref="D14">INDEX([1]!Range_Incentive_Spread,11,IF(Input_Ratesheet_Source="Corr1",1,IF(Input_Ratesheet_Source="Corr2",2,IF(Input_Ratesheet_Source="Corr3",3,IF(Input_Ratesheet_Source="CorrND",4,IF(Input_Ratesheet_Source="Whol",5,IF(Input_Ratesheet_Source="Retl",6,0)))))))+Input_PL_Incentive_Add_MN</f>
        <v>#N/A</v>
      </c>
      <c r="E14" s="2547" cm="1">
        <f t="array" ref="E14">INDEX([1]!Range_Incentive_MaxPriceAdj,11,IF(Input_Ratesheet_Source="Corr1",1,IF(Input_Ratesheet_Source="Corr2",2,IF(Input_Ratesheet_Source="Corr3",3,IF(Input_Ratesheet_Source="CorrND",4,IF(Input_Ratesheet_Source="Whol",5,IF(Input_Ratesheet_Source="Retl",6,0)))))))+Input_PL_IncentiveMaxAdj_Add_MN</f>
        <v>0</v>
      </c>
      <c r="H14" s="2167">
        <v>0</v>
      </c>
      <c r="I14" s="2168">
        <v>0</v>
      </c>
    </row>
    <row r="15" spans="1:11" ht="11.25" customHeight="1" x14ac:dyDescent="0.2">
      <c r="A15" s="2548" t="s">
        <v>400</v>
      </c>
      <c r="B15" s="2548" t="s">
        <v>1247</v>
      </c>
      <c r="C15" s="2562" t="str" cm="1">
        <f t="array" ref="C15">INDEX([1]!Range_Incentive_Name,12,IF(Input_Ratesheet_Source="Corr1",1,IF(Input_Ratesheet_Source="Corr2",2,IF(Input_Ratesheet_Source="Corr3",3,IF(Input_Ratesheet_Source="CorrND",4,IF(Input_Ratesheet_Source="Whol",5,IF(Input_Ratesheet_Source="Retl",6,0)))))))</f>
        <v>Second OO</v>
      </c>
      <c r="D15" s="2523" cm="1">
        <f t="array" ref="D15">INDEX([1]!Range_Incentive_Spread,12,IF(Input_Ratesheet_Source="Corr1",1,IF(Input_Ratesheet_Source="Corr2",2,IF(Input_Ratesheet_Source="Corr3",3,IF(Input_Ratesheet_Source="CorrND",4,IF(Input_Ratesheet_Source="Whol",5,IF(Input_Ratesheet_Source="Retl",6,0)))))))+Input_PL_Incentive_Add_PR</f>
        <v>-2</v>
      </c>
      <c r="E15" s="2524" cm="1">
        <f t="array" ref="E15">INDEX([1]!Range_Incentive_MaxPriceAdj,12,IF(Input_Ratesheet_Source="Corr1",1,IF(Input_Ratesheet_Source="Corr2",2,IF(Input_Ratesheet_Source="Corr3",3,IF(Input_Ratesheet_Source="CorrND",4,IF(Input_Ratesheet_Source="Whol",5,IF(Input_Ratesheet_Source="Retl",6,0)))))))+Input_PL_IncentiveMaxAdj_Add_PR</f>
        <v>-1.5</v>
      </c>
      <c r="H15" s="2161">
        <v>-2</v>
      </c>
      <c r="I15" s="2162">
        <v>-1.5</v>
      </c>
    </row>
    <row r="16" spans="1:11" ht="11.25" customHeight="1" x14ac:dyDescent="0.2">
      <c r="A16" s="2549" t="s">
        <v>487</v>
      </c>
      <c r="B16" s="2549" t="s">
        <v>1248</v>
      </c>
      <c r="C16" s="2564" t="str" cm="1">
        <f t="array" ref="C16">INDEX([1]!Range_Incentive_Name,13,IF(Input_Ratesheet_Source="Corr1",1,IF(Input_Ratesheet_Source="Corr2",2,IF(Input_Ratesheet_Source="Corr3",3,IF(Input_Ratesheet_Source="CorrND",4,IF(Input_Ratesheet_Source="Whol",5,IF(Input_Ratesheet_Source="Retl",6,0)))))))</f>
        <v>Second NOO</v>
      </c>
      <c r="D16" s="2532" cm="1">
        <f t="array" ref="D16">INDEX([1]!Range_Incentive_Spread,13,IF(Input_Ratesheet_Source="Corr1",1,IF(Input_Ratesheet_Source="Corr2",2,IF(Input_Ratesheet_Source="Corr3",3,IF(Input_Ratesheet_Source="CorrND",4,IF(Input_Ratesheet_Source="Whol",5,IF(Input_Ratesheet_Source="Retl",6,0)))))))+Input_PL_Incentive_Add_IR</f>
        <v>-2</v>
      </c>
      <c r="E16" s="2533" cm="1">
        <f t="array" ref="E16">INDEX([1]!Range_Incentive_MaxPriceAdj,13,IF(Input_Ratesheet_Source="Corr1",1,IF(Input_Ratesheet_Source="Corr2",2,IF(Input_Ratesheet_Source="Corr3",3,IF(Input_Ratesheet_Source="CorrND",4,IF(Input_Ratesheet_Source="Whol",5,IF(Input_Ratesheet_Source="Retl",6,0)))))))+Input_PL_IncentiveMaxAdj_Add_IR</f>
        <v>-1</v>
      </c>
      <c r="H16" s="2163">
        <v>-2</v>
      </c>
      <c r="I16" s="2164">
        <v>-1</v>
      </c>
    </row>
    <row r="17" spans="1:9" ht="11.25" customHeight="1" x14ac:dyDescent="0.2">
      <c r="A17" s="2550" t="s">
        <v>1765</v>
      </c>
      <c r="B17" s="2550" t="s">
        <v>1767</v>
      </c>
      <c r="C17" s="2562" t="str" cm="1">
        <f t="array" ref="C17">INDEX([1]!Range_Incentive_Name,14,IF(Input_Ratesheet_Source="Corr1",1,IF(Input_Ratesheet_Source="Corr2",2,IF(Input_Ratesheet_Source="Corr3",3,IF(Input_Ratesheet_Source="CorrND",4,IF(Input_Ratesheet_Source="Whol",5,IF(Input_Ratesheet_Source="Retl",6,0)))))))</f>
        <v>HELOC OO</v>
      </c>
      <c r="D17" s="2523" t="e" cm="1">
        <f t="array" ref="D17">INDEX([1]!Range_Incentive_Spread,14,IF(Input_Ratesheet_Source="Corr1",1,IF(Input_Ratesheet_Source="Corr2",2,IF(Input_Ratesheet_Source="Corr3",3,IF(Input_Ratesheet_Source="CorrND",4,IF(Input_Ratesheet_Source="Whol",5,IF(Input_Ratesheet_Source="Retl",6,0)))))))+Input_PL_Incentive_Add_PH</f>
        <v>#N/A</v>
      </c>
      <c r="E17" s="2524" cm="1">
        <f t="array" ref="E17">INDEX([1]!Range_Incentive_MaxPriceAdj,14,IF(Input_Ratesheet_Source="Corr1",1,IF(Input_Ratesheet_Source="Corr2",2,IF(Input_Ratesheet_Source="Corr3",3,IF(Input_Ratesheet_Source="CorrND",4,IF(Input_Ratesheet_Source="Whol",5,IF(Input_Ratesheet_Source="Retl",6,0)))))))+Input_PL_IncentiveMaxAdj_Add_PH</f>
        <v>-0.5</v>
      </c>
      <c r="H17" s="2161" t="e">
        <v>#N/A</v>
      </c>
      <c r="I17" s="2162">
        <v>-0.5</v>
      </c>
    </row>
    <row r="18" spans="1:9" ht="10.9" customHeight="1" x14ac:dyDescent="0.2">
      <c r="A18" s="2551" t="s">
        <v>1990</v>
      </c>
      <c r="B18" s="2551" t="s">
        <v>1989</v>
      </c>
      <c r="C18" s="2565" t="str" cm="1">
        <f t="array" ref="C18">INDEX([1]!Range_Incentive_Name,15,IF(Input_Ratesheet_Source="Corr1",1,IF(Input_Ratesheet_Source="Corr2",2,IF(Input_Ratesheet_Source="Corr3",3,IF(Input_Ratesheet_Source="CorrND",4,IF(Input_Ratesheet_Source="Whol",5,IF(Input_Ratesheet_Source="Retl",6,0)))))))</f>
        <v>HELOC NOO</v>
      </c>
      <c r="D18" s="2536" t="e" cm="1">
        <f t="array" ref="D18">INDEX([1]!Range_Incentive_Spread,15,IF(Input_Ratesheet_Source="Corr1",1,IF(Input_Ratesheet_Source="Corr2",2,IF(Input_Ratesheet_Source="Corr3",3,IF(Input_Ratesheet_Source="CorrND",4,IF(Input_Ratesheet_Source="Whol",5,IF(Input_Ratesheet_Source="Retl",6,0)))))))+Input_PL_Incentive_Add_IH</f>
        <v>#N/A</v>
      </c>
      <c r="E18" s="2537" cm="1">
        <f t="array" ref="E18">INDEX([1]!Range_Incentive_MaxPriceAdj,15,IF(Input_Ratesheet_Source="Corr1",1,IF(Input_Ratesheet_Source="Corr2",2,IF(Input_Ratesheet_Source="Corr3",3,IF(Input_Ratesheet_Source="CorrND",4,IF(Input_Ratesheet_Source="Whol",5,IF(Input_Ratesheet_Source="Retl",6,0)))))))+Input_PL_IncentiveMaxAdj_Add_IH</f>
        <v>-0.5</v>
      </c>
      <c r="H18" s="2169" t="e">
        <v>#N/A</v>
      </c>
      <c r="I18" s="2170">
        <v>-0.5</v>
      </c>
    </row>
    <row r="19" spans="1:9" ht="10.9" customHeight="1" x14ac:dyDescent="0.2">
      <c r="B19" s="2552" t="s">
        <v>525</v>
      </c>
      <c r="C19" s="2567" t="s">
        <v>76</v>
      </c>
      <c r="D19" s="1" t="s">
        <v>76</v>
      </c>
    </row>
    <row r="20" spans="1:9" ht="10.9" hidden="1" customHeight="1" x14ac:dyDescent="0.2">
      <c r="B20" s="2553" t="s">
        <v>2132</v>
      </c>
      <c r="C20" s="2568" t="str" cm="1">
        <f t="array" ref="C20">INDEX([1]!Range_Incentive_Name,17,IF(Input_Ratesheet_Source="Corr1",1,IF(Input_Ratesheet_Source="Corr2",2,IF(Input_Ratesheet_Source="Corr3",3,IF(Input_Ratesheet_Source="CorrND",4,IF(Input_Ratesheet_Source="Whol",5,IF(Input_Ratesheet_Source="Retl",6,0)))))))</f>
        <v xml:space="preserve"> </v>
      </c>
      <c r="D20" s="1" t="s">
        <v>76</v>
      </c>
    </row>
    <row r="21" spans="1:9" ht="11.25" hidden="1" customHeight="1" x14ac:dyDescent="0.2">
      <c r="B21" s="2554" t="s">
        <v>464</v>
      </c>
      <c r="C21" s="2568" t="str" cm="1">
        <f t="array" ref="C21">INDEX([1]!Range_Incentive_Name,18,IF(Input_Ratesheet_Source="Corr1",1,IF(Input_Ratesheet_Source="Corr2",2,IF(Input_Ratesheet_Source="Corr3",3,IF(Input_Ratesheet_Source="CorrND",4,IF(Input_Ratesheet_Source="Whol",5,IF(Input_Ratesheet_Source="Retl",6,0)))))))</f>
        <v>Multi</v>
      </c>
      <c r="D21" s="1" t="s">
        <v>76</v>
      </c>
    </row>
    <row r="22" spans="1:9" ht="10.9" customHeight="1" x14ac:dyDescent="0.2">
      <c r="B22" s="2555" t="s">
        <v>1246</v>
      </c>
      <c r="C22" s="2568" t="s">
        <v>4241</v>
      </c>
      <c r="D22" s="1" t="s">
        <v>76</v>
      </c>
    </row>
    <row r="23" spans="1:9" ht="10.9" customHeight="1" x14ac:dyDescent="0.2">
      <c r="B23" s="2556" t="s">
        <v>1981</v>
      </c>
      <c r="C23" s="2569" t="s">
        <v>4242</v>
      </c>
      <c r="D23" s="1" t="s">
        <v>76</v>
      </c>
    </row>
    <row r="24" spans="1:9" ht="10.9" hidden="1" customHeight="1" x14ac:dyDescent="0.2">
      <c r="B24" s="2557" t="s">
        <v>2740</v>
      </c>
      <c r="C24" s="2568" t="str" cm="1">
        <f t="array" ref="C24">INDEX([1]!Range_Incentive_Name,21,IF(Input_Ratesheet_Source="Corr1",1,IF(Input_Ratesheet_Source="Corr2",2,IF(Input_Ratesheet_Source="Corr3",3,IF(Input_Ratesheet_Source="CorrND",4,IF(Input_Ratesheet_Source="Whol",5,IF(Input_Ratesheet_Source="Retl",6,0)))))))</f>
        <v xml:space="preserve"> </v>
      </c>
      <c r="D24" s="1" t="s">
        <v>76</v>
      </c>
    </row>
    <row r="25" spans="1:9" ht="11.25" customHeight="1" x14ac:dyDescent="0.2">
      <c r="B25" s="2558" t="s">
        <v>195</v>
      </c>
      <c r="C25" s="2570" t="s">
        <v>4243</v>
      </c>
      <c r="D25" s="1" t="s">
        <v>76</v>
      </c>
    </row>
    <row r="26" spans="1:9" ht="11.25" customHeight="1" x14ac:dyDescent="0.2">
      <c r="B26" s="2559" t="s">
        <v>452</v>
      </c>
      <c r="C26" s="2571" t="s">
        <v>4239</v>
      </c>
      <c r="D26" s="1" t="s">
        <v>76</v>
      </c>
    </row>
    <row r="27" spans="1:9" ht="11.25" customHeight="1" x14ac:dyDescent="0.2">
      <c r="B27" s="2558" t="s">
        <v>196</v>
      </c>
      <c r="C27" s="2572" t="s">
        <v>4240</v>
      </c>
      <c r="D27" s="1" t="s">
        <v>76</v>
      </c>
    </row>
    <row r="28" spans="1:9" ht="11.25" customHeight="1" x14ac:dyDescent="0.2">
      <c r="B28" s="2560" t="s">
        <v>197</v>
      </c>
      <c r="C28" s="2570" t="s">
        <v>4244</v>
      </c>
      <c r="D28" s="1" t="s">
        <v>76</v>
      </c>
    </row>
    <row r="29" spans="1:9" ht="11.25" customHeight="1" x14ac:dyDescent="0.2">
      <c r="B29" s="2561" t="s">
        <v>198</v>
      </c>
      <c r="C29" s="2573" t="s">
        <v>4245</v>
      </c>
      <c r="D29" s="1" t="s">
        <v>76</v>
      </c>
    </row>
  </sheetData>
  <sheetProtection algorithmName="SHA-512" hashValue="sWJ9seLTUiHwvUZomuhFUZjUJ9wGoPBSffjWVNLQskfW6GUaScGKzP44Vc+q8xl48KENjdembmfyS1ShT+UXkg==" saltValue="oOq9T634HdquHKkabNUG+Q==" spinCount="100000" sheet="1" objects="1" scenarios="1"/>
  <mergeCells count="1">
    <mergeCell ref="H2:I2"/>
  </mergeCells>
  <dataValidations count="1">
    <dataValidation type="list" allowBlank="1" showInputMessage="1" showErrorMessage="1" sqref="B1" xr:uid="{2B27B380-301D-4940-AD82-C135F4502650}">
      <formula1>List_Name_Channel</formula1>
    </dataValidation>
  </dataValidations>
  <pageMargins left="0.7" right="0.7" top="0.75" bottom="0.75" header="0.3" footer="0.3"/>
  <pageSetup orientation="portrait" r:id="rId1"/>
  <ignoredErrors>
    <ignoredError sqref="E19 G16 G14 E20 E21:F21 E22:F22 G4 G15 G17 G18 C5:C18 D4:E13 D15:E18 E14" unlockedFormula="1"/>
    <ignoredError sqref="D14" evalError="1"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EDD9F-D743-4103-B4AB-7F5D87CB8675}">
  <dimension ref="A1:J29"/>
  <sheetViews>
    <sheetView showGridLines="0" workbookViewId="0">
      <pane xSplit="1" ySplit="1" topLeftCell="B2" activePane="bottomRight" state="frozen"/>
      <selection activeCell="B1" sqref="B1"/>
      <selection pane="topRight" activeCell="B1" sqref="B1"/>
      <selection pane="bottomLeft" activeCell="B1" sqref="B1"/>
      <selection pane="bottomRight" activeCell="B1" sqref="B1"/>
    </sheetView>
  </sheetViews>
  <sheetFormatPr defaultRowHeight="15" x14ac:dyDescent="0.25"/>
  <cols>
    <col min="1" max="1" width="16.28515625" bestFit="1" customWidth="1"/>
    <col min="2" max="4" width="12.5703125" bestFit="1" customWidth="1"/>
    <col min="5" max="6" width="11.42578125" bestFit="1" customWidth="1"/>
    <col min="7" max="10" width="13.7109375" bestFit="1" customWidth="1"/>
  </cols>
  <sheetData>
    <row r="1" spans="1:10" x14ac:dyDescent="0.25">
      <c r="A1" s="1930" t="s">
        <v>3775</v>
      </c>
      <c r="B1" s="1931" t="s">
        <v>1246</v>
      </c>
      <c r="C1" s="1931" t="s">
        <v>525</v>
      </c>
      <c r="D1" s="1931" t="s">
        <v>2132</v>
      </c>
      <c r="E1" s="1931" t="s">
        <v>2730</v>
      </c>
      <c r="F1" s="1931" t="s">
        <v>2731</v>
      </c>
      <c r="G1" s="1931" t="s">
        <v>2732</v>
      </c>
      <c r="H1" s="1931" t="s">
        <v>2733</v>
      </c>
      <c r="I1" s="1931" t="s">
        <v>2734</v>
      </c>
      <c r="J1" s="1931" t="s">
        <v>1981</v>
      </c>
    </row>
    <row r="2" spans="1:10" x14ac:dyDescent="0.25">
      <c r="A2" s="1930" t="s">
        <v>3776</v>
      </c>
      <c r="B2" s="1928">
        <v>11</v>
      </c>
      <c r="C2" s="1928">
        <v>8.5</v>
      </c>
      <c r="D2" s="1928">
        <v>9</v>
      </c>
      <c r="E2" s="1928">
        <v>7.5</v>
      </c>
      <c r="F2" s="1928">
        <v>7.75</v>
      </c>
      <c r="G2" s="1928">
        <v>7.75</v>
      </c>
      <c r="H2" s="1928">
        <v>9</v>
      </c>
      <c r="I2" s="1928">
        <v>8</v>
      </c>
      <c r="J2" s="1928">
        <v>11</v>
      </c>
    </row>
    <row r="3" spans="1:10" x14ac:dyDescent="0.25">
      <c r="A3" s="1930" t="s">
        <v>3777</v>
      </c>
      <c r="B3" s="1925" t="s">
        <v>37</v>
      </c>
      <c r="C3" s="1925" t="s">
        <v>37</v>
      </c>
      <c r="D3" s="1925" t="s">
        <v>37</v>
      </c>
      <c r="E3" s="1925" t="s">
        <v>37</v>
      </c>
      <c r="F3" s="1925" t="s">
        <v>37</v>
      </c>
      <c r="G3" s="1925" t="s">
        <v>38</v>
      </c>
      <c r="H3" s="1925" t="s">
        <v>38</v>
      </c>
      <c r="I3" s="1925" t="s">
        <v>38</v>
      </c>
      <c r="J3" s="1925" t="s">
        <v>37</v>
      </c>
    </row>
    <row r="4" spans="1:10" x14ac:dyDescent="0.25">
      <c r="A4" s="1930" t="s">
        <v>3778</v>
      </c>
      <c r="B4" s="1926">
        <v>780</v>
      </c>
      <c r="C4" s="1926">
        <v>780</v>
      </c>
      <c r="D4" s="1926">
        <v>780</v>
      </c>
      <c r="E4" s="1926">
        <v>720</v>
      </c>
      <c r="F4" s="1926">
        <v>720</v>
      </c>
      <c r="G4" s="1926">
        <v>720</v>
      </c>
      <c r="H4" s="1926">
        <v>720</v>
      </c>
      <c r="I4" s="1926">
        <v>660</v>
      </c>
      <c r="J4" s="1926">
        <v>780</v>
      </c>
    </row>
    <row r="5" spans="1:10" x14ac:dyDescent="0.25">
      <c r="A5" s="1930" t="s">
        <v>24</v>
      </c>
      <c r="B5" s="1929">
        <v>50</v>
      </c>
      <c r="C5" s="1929">
        <v>50</v>
      </c>
      <c r="D5" s="1929">
        <v>50</v>
      </c>
      <c r="E5" s="1929">
        <v>60</v>
      </c>
      <c r="F5" s="1929">
        <v>60</v>
      </c>
      <c r="G5" s="1929">
        <v>60</v>
      </c>
      <c r="H5" s="1929">
        <v>60</v>
      </c>
      <c r="I5" s="1929">
        <v>60</v>
      </c>
      <c r="J5" s="1929">
        <v>75</v>
      </c>
    </row>
    <row r="6" spans="1:10" x14ac:dyDescent="0.25">
      <c r="A6" s="1930" t="s">
        <v>3779</v>
      </c>
      <c r="B6" s="1927">
        <v>200000</v>
      </c>
      <c r="C6" s="1927">
        <v>200000</v>
      </c>
      <c r="D6" s="1927">
        <v>200000</v>
      </c>
      <c r="E6" s="1927">
        <v>400000</v>
      </c>
      <c r="F6" s="1927">
        <v>400000</v>
      </c>
      <c r="G6" s="1927">
        <v>400000</v>
      </c>
      <c r="H6" s="1927">
        <v>400000</v>
      </c>
      <c r="I6" s="1927">
        <v>400000</v>
      </c>
      <c r="J6" s="1927">
        <v>300000</v>
      </c>
    </row>
    <row r="7" spans="1:10" x14ac:dyDescent="0.25">
      <c r="A7" s="1930" t="s">
        <v>3780</v>
      </c>
      <c r="B7" s="1925" t="s">
        <v>1</v>
      </c>
      <c r="C7" s="1925" t="s">
        <v>1</v>
      </c>
      <c r="D7" s="1925" t="s">
        <v>1</v>
      </c>
      <c r="E7" s="1925" t="s">
        <v>1</v>
      </c>
      <c r="F7" s="1925" t="s">
        <v>1</v>
      </c>
      <c r="G7" s="1925" t="s">
        <v>1</v>
      </c>
      <c r="H7" s="1925" t="s">
        <v>1</v>
      </c>
      <c r="I7" s="1925" t="s">
        <v>1</v>
      </c>
      <c r="J7" s="1925" t="s">
        <v>3356</v>
      </c>
    </row>
    <row r="8" spans="1:10" x14ac:dyDescent="0.25">
      <c r="A8" s="1930" t="s">
        <v>3781</v>
      </c>
      <c r="B8" s="1925" t="s">
        <v>98</v>
      </c>
      <c r="C8" s="1925" t="s">
        <v>98</v>
      </c>
      <c r="D8" s="1925" t="s">
        <v>98</v>
      </c>
      <c r="E8" s="1925" t="s">
        <v>98</v>
      </c>
      <c r="F8" s="1925" t="s">
        <v>98</v>
      </c>
      <c r="G8" s="1925" t="s">
        <v>98</v>
      </c>
      <c r="H8" s="1925" t="s">
        <v>98</v>
      </c>
      <c r="I8" s="1925" t="s">
        <v>98</v>
      </c>
      <c r="J8" s="1925" t="s">
        <v>4</v>
      </c>
    </row>
    <row r="9" spans="1:10" x14ac:dyDescent="0.25">
      <c r="A9" s="1930" t="s">
        <v>3782</v>
      </c>
      <c r="B9" s="1925" t="s">
        <v>186</v>
      </c>
      <c r="C9" s="1925" t="s">
        <v>186</v>
      </c>
      <c r="D9" s="1925" t="s">
        <v>186</v>
      </c>
      <c r="E9" s="1925" t="s">
        <v>1640</v>
      </c>
      <c r="F9" s="1925" t="s">
        <v>1640</v>
      </c>
      <c r="G9" s="1925" t="s">
        <v>190</v>
      </c>
      <c r="H9" s="1925" t="s">
        <v>190</v>
      </c>
      <c r="I9" s="1925" t="s">
        <v>190</v>
      </c>
      <c r="J9" s="1925" t="s">
        <v>1641</v>
      </c>
    </row>
    <row r="10" spans="1:10" x14ac:dyDescent="0.25">
      <c r="A10" s="1930" t="s">
        <v>3783</v>
      </c>
      <c r="B10" s="1925" t="s">
        <v>78</v>
      </c>
      <c r="C10" s="1925" t="s">
        <v>78</v>
      </c>
      <c r="D10" s="1925" t="s">
        <v>78</v>
      </c>
      <c r="E10" s="1925" t="s">
        <v>136</v>
      </c>
      <c r="F10" s="1925" t="s">
        <v>136</v>
      </c>
      <c r="G10" s="1925" t="s">
        <v>136</v>
      </c>
      <c r="H10" s="1925" t="s">
        <v>136</v>
      </c>
      <c r="I10" s="1925" t="s">
        <v>136</v>
      </c>
      <c r="J10" s="1925" t="s">
        <v>136</v>
      </c>
    </row>
    <row r="11" spans="1:10" x14ac:dyDescent="0.25">
      <c r="A11" s="1930" t="s">
        <v>3784</v>
      </c>
      <c r="B11" s="1926">
        <v>6</v>
      </c>
      <c r="C11" s="1926">
        <v>6</v>
      </c>
      <c r="D11" s="1926">
        <v>6</v>
      </c>
      <c r="E11" s="1926">
        <v>12</v>
      </c>
      <c r="F11" s="1926">
        <v>12</v>
      </c>
      <c r="G11" s="1926">
        <v>12</v>
      </c>
      <c r="H11" s="1926">
        <v>12</v>
      </c>
      <c r="I11" s="1926">
        <v>12</v>
      </c>
      <c r="J11" s="1926">
        <v>12</v>
      </c>
    </row>
    <row r="12" spans="1:10" x14ac:dyDescent="0.25">
      <c r="A12" s="1930" t="s">
        <v>14</v>
      </c>
      <c r="B12" s="1926">
        <v>43</v>
      </c>
      <c r="C12" s="1926">
        <v>43</v>
      </c>
      <c r="D12" s="1926">
        <v>43</v>
      </c>
      <c r="E12" s="1926">
        <v>35</v>
      </c>
      <c r="F12" s="1926">
        <v>35</v>
      </c>
      <c r="G12" s="1926">
        <v>0</v>
      </c>
      <c r="H12" s="1926">
        <v>0</v>
      </c>
      <c r="I12" s="1926">
        <v>0</v>
      </c>
      <c r="J12" s="1926">
        <v>35</v>
      </c>
    </row>
    <row r="13" spans="1:10" x14ac:dyDescent="0.25">
      <c r="A13" s="1930" t="s">
        <v>62</v>
      </c>
      <c r="B13" s="1926">
        <v>0</v>
      </c>
      <c r="C13" s="1926">
        <v>0</v>
      </c>
      <c r="D13" s="1926">
        <v>0</v>
      </c>
      <c r="E13" s="1926">
        <v>0</v>
      </c>
      <c r="F13" s="1926">
        <v>0</v>
      </c>
      <c r="G13" s="1926">
        <v>1</v>
      </c>
      <c r="H13" s="1926">
        <v>1</v>
      </c>
      <c r="I13" s="1926">
        <v>1</v>
      </c>
      <c r="J13" s="1926">
        <v>0</v>
      </c>
    </row>
    <row r="14" spans="1:10" x14ac:dyDescent="0.25">
      <c r="A14" s="1930" t="s">
        <v>3785</v>
      </c>
      <c r="B14" s="1925" t="s">
        <v>34</v>
      </c>
      <c r="C14" s="1925" t="s">
        <v>34</v>
      </c>
      <c r="D14" s="1925" t="s">
        <v>34</v>
      </c>
      <c r="E14" s="1925" t="s">
        <v>34</v>
      </c>
      <c r="F14" s="1925" t="s">
        <v>34</v>
      </c>
      <c r="G14" s="1925" t="s">
        <v>34</v>
      </c>
      <c r="H14" s="1925" t="s">
        <v>34</v>
      </c>
      <c r="I14" s="1925" t="s">
        <v>34</v>
      </c>
      <c r="J14" s="1925" t="s">
        <v>34</v>
      </c>
    </row>
    <row r="15" spans="1:10" x14ac:dyDescent="0.25">
      <c r="A15" s="1930" t="s">
        <v>3786</v>
      </c>
      <c r="B15" s="1926">
        <v>0</v>
      </c>
      <c r="C15" s="1926">
        <v>0</v>
      </c>
      <c r="D15" s="1926">
        <v>0</v>
      </c>
      <c r="E15" s="1926">
        <v>0</v>
      </c>
      <c r="F15" s="1926">
        <v>0</v>
      </c>
      <c r="G15" s="1926">
        <v>0</v>
      </c>
      <c r="H15" s="1926">
        <v>0</v>
      </c>
      <c r="I15" s="1926">
        <v>0</v>
      </c>
      <c r="J15" s="1926">
        <v>0</v>
      </c>
    </row>
    <row r="16" spans="1:10" x14ac:dyDescent="0.25">
      <c r="A16" s="1930" t="s">
        <v>3787</v>
      </c>
      <c r="B16" s="1925" t="s">
        <v>83</v>
      </c>
      <c r="C16" s="1925" t="s">
        <v>83</v>
      </c>
      <c r="D16" s="1925" t="s">
        <v>83</v>
      </c>
      <c r="E16" s="1925" t="s">
        <v>83</v>
      </c>
      <c r="F16" s="1925" t="s">
        <v>83</v>
      </c>
      <c r="G16" s="1925" t="s">
        <v>83</v>
      </c>
      <c r="H16" s="1925" t="s">
        <v>233</v>
      </c>
      <c r="I16" s="1925" t="s">
        <v>83</v>
      </c>
      <c r="J16" s="1925" t="s">
        <v>83</v>
      </c>
    </row>
    <row r="17" spans="1:10" x14ac:dyDescent="0.25">
      <c r="A17" s="1930" t="s">
        <v>3788</v>
      </c>
      <c r="B17" s="1925" t="s">
        <v>427</v>
      </c>
      <c r="C17" s="1925" t="s">
        <v>427</v>
      </c>
      <c r="D17" s="1925" t="s">
        <v>427</v>
      </c>
      <c r="E17" s="1925" t="s">
        <v>427</v>
      </c>
      <c r="F17" s="1925" t="s">
        <v>427</v>
      </c>
      <c r="G17" s="1925" t="s">
        <v>427</v>
      </c>
      <c r="H17" s="1925" t="s">
        <v>427</v>
      </c>
      <c r="I17" s="1925" t="s">
        <v>427</v>
      </c>
      <c r="J17" s="1925" t="s">
        <v>427</v>
      </c>
    </row>
    <row r="18" spans="1:10" x14ac:dyDescent="0.25">
      <c r="A18" s="1930" t="s">
        <v>40</v>
      </c>
      <c r="B18" s="1925" t="s">
        <v>41</v>
      </c>
      <c r="C18" s="1925" t="s">
        <v>41</v>
      </c>
      <c r="D18" s="1925" t="s">
        <v>41</v>
      </c>
      <c r="E18" s="1925" t="s">
        <v>41</v>
      </c>
      <c r="F18" s="1925" t="s">
        <v>41</v>
      </c>
      <c r="G18" s="1925" t="s">
        <v>41</v>
      </c>
      <c r="H18" s="1925" t="s">
        <v>41</v>
      </c>
      <c r="I18" s="1925" t="s">
        <v>41</v>
      </c>
      <c r="J18" s="1925" t="s">
        <v>41</v>
      </c>
    </row>
    <row r="19" spans="1:10" x14ac:dyDescent="0.25">
      <c r="A19" s="1930" t="s">
        <v>3789</v>
      </c>
      <c r="B19" s="1925" t="s">
        <v>125</v>
      </c>
      <c r="C19" s="1925" t="s">
        <v>125</v>
      </c>
      <c r="D19" s="1925" t="s">
        <v>125</v>
      </c>
      <c r="E19" s="1925" t="s">
        <v>283</v>
      </c>
      <c r="F19" s="1925" t="s">
        <v>283</v>
      </c>
      <c r="G19" s="1925" t="s">
        <v>283</v>
      </c>
      <c r="H19" s="1925" t="s">
        <v>283</v>
      </c>
      <c r="I19" s="1925" t="s">
        <v>283</v>
      </c>
      <c r="J19" s="1925" t="s">
        <v>283</v>
      </c>
    </row>
    <row r="20" spans="1:10" x14ac:dyDescent="0.25">
      <c r="A20" s="1930" t="s">
        <v>3790</v>
      </c>
      <c r="B20" s="1925" t="s">
        <v>2677</v>
      </c>
      <c r="C20" s="1925" t="s">
        <v>2677</v>
      </c>
      <c r="D20" s="1925" t="s">
        <v>2677</v>
      </c>
      <c r="E20" s="1925" t="s">
        <v>2677</v>
      </c>
      <c r="F20" s="1925" t="s">
        <v>2677</v>
      </c>
      <c r="G20" s="1925" t="s">
        <v>2677</v>
      </c>
      <c r="H20" s="1925" t="s">
        <v>2677</v>
      </c>
      <c r="I20" s="1925" t="s">
        <v>2677</v>
      </c>
      <c r="J20" s="1925" t="s">
        <v>2677</v>
      </c>
    </row>
    <row r="21" spans="1:10" x14ac:dyDescent="0.25">
      <c r="A21" s="1930" t="s">
        <v>3791</v>
      </c>
      <c r="B21" s="1925" t="s">
        <v>217</v>
      </c>
      <c r="C21" s="1925" t="s">
        <v>217</v>
      </c>
      <c r="D21" s="1925" t="s">
        <v>217</v>
      </c>
      <c r="E21" s="1925" t="s">
        <v>217</v>
      </c>
      <c r="F21" s="1925" t="s">
        <v>217</v>
      </c>
      <c r="G21" s="1925" t="s">
        <v>217</v>
      </c>
      <c r="H21" s="1925" t="s">
        <v>217</v>
      </c>
      <c r="I21" s="1925" t="s">
        <v>45</v>
      </c>
      <c r="J21" s="1925" t="s">
        <v>217</v>
      </c>
    </row>
    <row r="22" spans="1:10" x14ac:dyDescent="0.25">
      <c r="A22" s="1930" t="s">
        <v>3792</v>
      </c>
      <c r="B22" s="1925" t="s">
        <v>2636</v>
      </c>
      <c r="C22" s="1925" t="s">
        <v>2636</v>
      </c>
      <c r="D22" s="1925" t="s">
        <v>2636</v>
      </c>
      <c r="E22" s="1925" t="s">
        <v>2636</v>
      </c>
      <c r="F22" s="1925" t="s">
        <v>2636</v>
      </c>
      <c r="G22" s="1925" t="s">
        <v>2636</v>
      </c>
      <c r="H22" s="1925" t="s">
        <v>2636</v>
      </c>
      <c r="I22" s="1925" t="s">
        <v>2636</v>
      </c>
      <c r="J22" s="1925" t="s">
        <v>2636</v>
      </c>
    </row>
    <row r="23" spans="1:10" x14ac:dyDescent="0.25">
      <c r="A23" s="1930" t="s">
        <v>3793</v>
      </c>
      <c r="B23" s="1925" t="s">
        <v>108</v>
      </c>
      <c r="C23" s="1925" t="s">
        <v>108</v>
      </c>
      <c r="D23" s="1925" t="s">
        <v>108</v>
      </c>
      <c r="E23" s="1925" t="s">
        <v>108</v>
      </c>
      <c r="F23" s="1925" t="s">
        <v>108</v>
      </c>
      <c r="G23" s="1925" t="s">
        <v>108</v>
      </c>
      <c r="H23" s="1925" t="s">
        <v>108</v>
      </c>
      <c r="I23" s="1925" t="s">
        <v>108</v>
      </c>
      <c r="J23" s="1925" t="s">
        <v>108</v>
      </c>
    </row>
    <row r="24" spans="1:10" x14ac:dyDescent="0.25">
      <c r="A24" s="1930" t="s">
        <v>3794</v>
      </c>
      <c r="B24" s="1925" t="s">
        <v>20</v>
      </c>
      <c r="C24" s="1925" t="s">
        <v>20</v>
      </c>
      <c r="D24" s="1925" t="s">
        <v>20</v>
      </c>
      <c r="E24" s="1925" t="s">
        <v>20</v>
      </c>
      <c r="F24" s="1925" t="s">
        <v>20</v>
      </c>
      <c r="G24" s="1925" t="s">
        <v>20</v>
      </c>
      <c r="H24" s="1925" t="s">
        <v>20</v>
      </c>
      <c r="I24" s="1925" t="s">
        <v>20</v>
      </c>
      <c r="J24" s="1925" t="s">
        <v>20</v>
      </c>
    </row>
    <row r="25" spans="1:10" x14ac:dyDescent="0.25">
      <c r="A25" s="1930" t="s">
        <v>3795</v>
      </c>
      <c r="B25" s="1925" t="s">
        <v>49</v>
      </c>
      <c r="C25" s="1925" t="s">
        <v>49</v>
      </c>
      <c r="D25" s="1925" t="s">
        <v>49</v>
      </c>
      <c r="E25" s="1925" t="s">
        <v>49</v>
      </c>
      <c r="F25" s="1925" t="s">
        <v>49</v>
      </c>
      <c r="G25" s="1925" t="s">
        <v>49</v>
      </c>
      <c r="H25" s="1925" t="s">
        <v>49</v>
      </c>
      <c r="I25" s="1925" t="s">
        <v>49</v>
      </c>
      <c r="J25" s="1925" t="s">
        <v>49</v>
      </c>
    </row>
    <row r="26" spans="1:10" x14ac:dyDescent="0.25">
      <c r="A26" s="1930" t="s">
        <v>3796</v>
      </c>
      <c r="B26" s="1925" t="s">
        <v>82</v>
      </c>
      <c r="C26" s="1925" t="s">
        <v>82</v>
      </c>
      <c r="D26" s="1925" t="s">
        <v>82</v>
      </c>
      <c r="E26" s="1925" t="s">
        <v>82</v>
      </c>
      <c r="F26" s="1925" t="s">
        <v>82</v>
      </c>
      <c r="G26" s="1925" t="s">
        <v>82</v>
      </c>
      <c r="H26" s="1925" t="s">
        <v>732</v>
      </c>
      <c r="I26" s="1925" t="s">
        <v>732</v>
      </c>
      <c r="J26" s="1925" t="s">
        <v>82</v>
      </c>
    </row>
    <row r="27" spans="1:10" x14ac:dyDescent="0.25">
      <c r="A27" s="1930" t="s">
        <v>3797</v>
      </c>
      <c r="B27" s="1925" t="s">
        <v>74</v>
      </c>
      <c r="C27" s="1925" t="s">
        <v>74</v>
      </c>
      <c r="D27" s="1925" t="s">
        <v>74</v>
      </c>
      <c r="E27" s="1925" t="s">
        <v>73</v>
      </c>
      <c r="F27" s="1925" t="s">
        <v>73</v>
      </c>
      <c r="G27" s="1925" t="s">
        <v>73</v>
      </c>
      <c r="H27" s="1925" t="s">
        <v>73</v>
      </c>
      <c r="I27" s="1925" t="s">
        <v>73</v>
      </c>
      <c r="J27" s="1925" t="s">
        <v>73</v>
      </c>
    </row>
    <row r="28" spans="1:10" x14ac:dyDescent="0.25">
      <c r="A28" s="1930" t="s">
        <v>364</v>
      </c>
      <c r="B28" s="1925" t="s">
        <v>363</v>
      </c>
      <c r="C28" s="1925" t="s">
        <v>363</v>
      </c>
      <c r="D28" s="1925" t="s">
        <v>363</v>
      </c>
      <c r="E28" s="1925" t="s">
        <v>363</v>
      </c>
      <c r="F28" s="1925" t="s">
        <v>363</v>
      </c>
      <c r="G28" s="1925" t="s">
        <v>363</v>
      </c>
      <c r="H28" s="1925" t="s">
        <v>363</v>
      </c>
      <c r="I28" s="1925" t="s">
        <v>363</v>
      </c>
      <c r="J28" s="1925" t="s">
        <v>363</v>
      </c>
    </row>
    <row r="29" spans="1:10" x14ac:dyDescent="0.25">
      <c r="A29" s="1930" t="s">
        <v>1761</v>
      </c>
      <c r="B29" s="1925" t="s">
        <v>1763</v>
      </c>
      <c r="C29" s="1925" t="s">
        <v>1763</v>
      </c>
      <c r="D29" s="1925" t="s">
        <v>1763</v>
      </c>
      <c r="E29" s="1925" t="s">
        <v>1763</v>
      </c>
      <c r="F29" s="1925" t="s">
        <v>1763</v>
      </c>
      <c r="G29" s="1925" t="s">
        <v>1763</v>
      </c>
      <c r="H29" s="1925" t="s">
        <v>1763</v>
      </c>
      <c r="I29" s="1925" t="s">
        <v>1763</v>
      </c>
      <c r="J29" s="1925" t="s">
        <v>1763</v>
      </c>
    </row>
  </sheetData>
  <sheetProtection algorithmName="SHA-512" hashValue="7CqtgG1mx+akJ+NeDeWawPQSXpAiR/Ob1qCJXnJ3AJKi2VBxAu4CXgw+U239A6ZDwVAtWajX/IFoXrl71mW85Q==" saltValue="Cc53w0kQhCF44uSkB+PAV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783</vt:i4>
      </vt:variant>
    </vt:vector>
  </HeadingPairs>
  <TitlesOfParts>
    <vt:vector size="791" baseType="lpstr">
      <vt:lpstr>Price</vt:lpstr>
      <vt:lpstr>Structure</vt:lpstr>
      <vt:lpstr>Elig</vt:lpstr>
      <vt:lpstr>EligOverlay</vt:lpstr>
      <vt:lpstr>Output</vt:lpstr>
      <vt:lpstr>LoanTest</vt:lpstr>
      <vt:lpstr>Input</vt:lpstr>
      <vt:lpstr>ProductInput</vt:lpstr>
      <vt:lpstr>AAA_Change_vs_Price_Multiplier</vt:lpstr>
      <vt:lpstr>Elig_All</vt:lpstr>
      <vt:lpstr>Elig_All_TestMatch</vt:lpstr>
      <vt:lpstr>Elig_AmortTerm</vt:lpstr>
      <vt:lpstr>Elig_AmortType</vt:lpstr>
      <vt:lpstr>Elig_BankStmt</vt:lpstr>
      <vt:lpstr>Elig_BaseLimit_CashoutAmt_Max</vt:lpstr>
      <vt:lpstr>Elig_BaseLimit_CredScore_Min</vt:lpstr>
      <vt:lpstr>Elig_BaseLimit_DSCR_Min</vt:lpstr>
      <vt:lpstr>Elig_BaseLimit_DTI_Max</vt:lpstr>
      <vt:lpstr>Elig_BaseLimit_LoanAmt_Max</vt:lpstr>
      <vt:lpstr>Elig_BaseLimit_LTV_Max</vt:lpstr>
      <vt:lpstr>Elig_BaseLimit_Reserves_Min</vt:lpstr>
      <vt:lpstr>Elig_CashoutAmt_Max</vt:lpstr>
      <vt:lpstr>Elig_CashoutAmt_Min</vt:lpstr>
      <vt:lpstr>Elig_Citizenship</vt:lpstr>
      <vt:lpstr>Elig_CreditHistory</vt:lpstr>
      <vt:lpstr>Elig_CreditScore_Max</vt:lpstr>
      <vt:lpstr>Elig_CreditScore_Min</vt:lpstr>
      <vt:lpstr>Elig_DocType</vt:lpstr>
      <vt:lpstr>Elig_DSCR_Max</vt:lpstr>
      <vt:lpstr>Elig_DSCR_Min</vt:lpstr>
      <vt:lpstr>Elig_DTI_Max</vt:lpstr>
      <vt:lpstr>Elig_DTI_Min</vt:lpstr>
      <vt:lpstr>Elig_FinalLimit_CashoutAmt_Max</vt:lpstr>
      <vt:lpstr>Elig_FinalLimit_CredScore_Min</vt:lpstr>
      <vt:lpstr>Elig_FinalLimit_DSCR_Min</vt:lpstr>
      <vt:lpstr>Elig_FinalLimit_DTI_Max</vt:lpstr>
      <vt:lpstr>Elig_FinalLimit_LoanAmt_Max</vt:lpstr>
      <vt:lpstr>Elig_FinalLimit_LTV_Max</vt:lpstr>
      <vt:lpstr>Elig_FinalLimit_Reserves_Min</vt:lpstr>
      <vt:lpstr>Elig_FindMatrixMatch_All</vt:lpstr>
      <vt:lpstr>Elig_FindMatrixMatch_LTVMax</vt:lpstr>
      <vt:lpstr>Elig_FindMatrixMatch_Program</vt:lpstr>
      <vt:lpstr>Elig_FirstTimeHomeBuyer</vt:lpstr>
      <vt:lpstr>Elig_HousingHistory</vt:lpstr>
      <vt:lpstr>Elig_ID</vt:lpstr>
      <vt:lpstr>Elig_LoanAmt_Max</vt:lpstr>
      <vt:lpstr>Elig_LoanAmt_Min</vt:lpstr>
      <vt:lpstr>Elig_LTV_Max</vt:lpstr>
      <vt:lpstr>Elig_LTV_Min</vt:lpstr>
      <vt:lpstr>Elig_MatchAll_Ct</vt:lpstr>
      <vt:lpstr>Elig_MatchAll_Row</vt:lpstr>
      <vt:lpstr>Elig_MatchCount</vt:lpstr>
      <vt:lpstr>Elig_MatchCountLTV</vt:lpstr>
      <vt:lpstr>Elig_MatchCountMult</vt:lpstr>
      <vt:lpstr>Elig_MatchCountMultResults</vt:lpstr>
      <vt:lpstr>Elig_MatchFindLTV_Ct</vt:lpstr>
      <vt:lpstr>Elig_MatchFindLTV_Row</vt:lpstr>
      <vt:lpstr>Elig_MatchFindProgram_Ct</vt:lpstr>
      <vt:lpstr>Elig_MatchFindProgram_Row</vt:lpstr>
      <vt:lpstr>Elig_MatrixLimit_LTV_Max</vt:lpstr>
      <vt:lpstr>Elig_Occupancy</vt:lpstr>
      <vt:lpstr>Elig_OverlayBaseReductionRange_LTV</vt:lpstr>
      <vt:lpstr>Elig_OverlayLimit_CashoutAmt_Max</vt:lpstr>
      <vt:lpstr>Elig_OverlayLimit_CredScore_Min</vt:lpstr>
      <vt:lpstr>Elig_OverlayLimit_DSCR_Min</vt:lpstr>
      <vt:lpstr>Elig_OverlayLimit_DTI_Max</vt:lpstr>
      <vt:lpstr>Elig_OverlayLimit_LoanAmt_Max</vt:lpstr>
      <vt:lpstr>Elig_OverlayLimit_LTV_Max</vt:lpstr>
      <vt:lpstr>Elig_OverlayLimit_Reserves_Min</vt:lpstr>
      <vt:lpstr>Elig_OverlayLTVMatrix_Reduction</vt:lpstr>
      <vt:lpstr>Elig_OverlayLTVMatrix_ReductionReason</vt:lpstr>
      <vt:lpstr>Elig_OverlayMessage_All</vt:lpstr>
      <vt:lpstr>Elig_OverlayMessage_CashoutAmt_Max</vt:lpstr>
      <vt:lpstr>Elig_OverlayMessage_CredScore_Min</vt:lpstr>
      <vt:lpstr>Elig_OverlayMessage_DSCR_Min</vt:lpstr>
      <vt:lpstr>Elig_OverlayMessage_DTI_Max</vt:lpstr>
      <vt:lpstr>Elig_OverlayMessage_LoanAmt_Max</vt:lpstr>
      <vt:lpstr>Elig_OverlayMessage_LTV_Max</vt:lpstr>
      <vt:lpstr>Elig_OverlayMessage_Reserves_Min</vt:lpstr>
      <vt:lpstr>Elig_OverlayMsg_CashoutAmt</vt:lpstr>
      <vt:lpstr>Elig_OverlayMsg_CredScore</vt:lpstr>
      <vt:lpstr>Elig_OverlayMsg_DSCR</vt:lpstr>
      <vt:lpstr>Elig_OverlayMsg_DTI</vt:lpstr>
      <vt:lpstr>Elig_OverlayMsg_LoanAmt</vt:lpstr>
      <vt:lpstr>Elig_OverlayMsg_LTV</vt:lpstr>
      <vt:lpstr>Elig_OverlayMsg_Reserves</vt:lpstr>
      <vt:lpstr>Elig_OverlayRange_CashoutAmt</vt:lpstr>
      <vt:lpstr>Elig_OverlayRange_CredScore</vt:lpstr>
      <vt:lpstr>Elig_OverlayRange_DSCR</vt:lpstr>
      <vt:lpstr>Elig_OverlayRange_DTI</vt:lpstr>
      <vt:lpstr>Elig_OverlayRange_LoanAmt</vt:lpstr>
      <vt:lpstr>Elig_OverlayRange_LTV</vt:lpstr>
      <vt:lpstr>Elig_OverlayRange_Reason</vt:lpstr>
      <vt:lpstr>Elig_OverlayRange_Reserves</vt:lpstr>
      <vt:lpstr>Elig_OverlayReason_CashoutAmt_Max</vt:lpstr>
      <vt:lpstr>Elig_OverlayReason_CredScore_Min</vt:lpstr>
      <vt:lpstr>Elig_OverlayReason_DSCR_Min</vt:lpstr>
      <vt:lpstr>Elig_OverlayReason_DTI_Max</vt:lpstr>
      <vt:lpstr>Elig_OverlayReason_LoanAmt_Max</vt:lpstr>
      <vt:lpstr>Elig_OverlayReason_LTV_Max</vt:lpstr>
      <vt:lpstr>Elig_OverlayReason_Reserves_Min</vt:lpstr>
      <vt:lpstr>Elig_PrepayPenalty</vt:lpstr>
      <vt:lpstr>Elig_Product</vt:lpstr>
      <vt:lpstr>Elig_PropType</vt:lpstr>
      <vt:lpstr>Elig_Purpose</vt:lpstr>
      <vt:lpstr>Elig_Reserves_Max</vt:lpstr>
      <vt:lpstr>Elig_Reserves_Min</vt:lpstr>
      <vt:lpstr>Elig_Servicing</vt:lpstr>
      <vt:lpstr>Elig_State</vt:lpstr>
      <vt:lpstr>Elig_Total_LTV_OverlayReduction</vt:lpstr>
      <vt:lpstr>Eligible_AmortType</vt:lpstr>
      <vt:lpstr>Eligible_State</vt:lpstr>
      <vt:lpstr>Error_AmortTerm</vt:lpstr>
      <vt:lpstr>Error_BankStmt</vt:lpstr>
      <vt:lpstr>Error_CashoutAmt</vt:lpstr>
      <vt:lpstr>Error_Citizenship</vt:lpstr>
      <vt:lpstr>Error_DocType</vt:lpstr>
      <vt:lpstr>Error_DSCR</vt:lpstr>
      <vt:lpstr>Error_DTI</vt:lpstr>
      <vt:lpstr>Error_Employment</vt:lpstr>
      <vt:lpstr>Error_NoteRate</vt:lpstr>
      <vt:lpstr>Error_PrepayPenalty</vt:lpstr>
      <vt:lpstr>Error_ReservesMonths</vt:lpstr>
      <vt:lpstr>Find_MarginGross01</vt:lpstr>
      <vt:lpstr>Find_MarginGross02</vt:lpstr>
      <vt:lpstr>Find_NoteRate_Max</vt:lpstr>
      <vt:lpstr>Find_NoteRate_Min</vt:lpstr>
      <vt:lpstr>Find_NoteRate01</vt:lpstr>
      <vt:lpstr>Find_NoteRate02</vt:lpstr>
      <vt:lpstr>Find_NoteRatePrice01</vt:lpstr>
      <vt:lpstr>Find_NoteRatePrice02</vt:lpstr>
      <vt:lpstr>Find_PriceGross01</vt:lpstr>
      <vt:lpstr>Find_PriceGross02</vt:lpstr>
      <vt:lpstr>Find_RatePriceGross01</vt:lpstr>
      <vt:lpstr>Find_RatePriceGross02</vt:lpstr>
      <vt:lpstr>HC_Fed_APR_1st_1_APORSpread</vt:lpstr>
      <vt:lpstr>HC_Fed_APR_1st_1_LnAmt_Max</vt:lpstr>
      <vt:lpstr>HC_Fed_APR_1st_1_LnAmt_Min</vt:lpstr>
      <vt:lpstr>HC_Fed_APR_1st_2_APORSpread</vt:lpstr>
      <vt:lpstr>HC_Fed_APR_1st_2_LnAmt_Max</vt:lpstr>
      <vt:lpstr>HC_Fed_APR_1st_2_LnAmt_Min</vt:lpstr>
      <vt:lpstr>HC_Fed_APR_2nd_APORSpread</vt:lpstr>
      <vt:lpstr>HC_Fed_APR_2nd_LnAmt_Max</vt:lpstr>
      <vt:lpstr>HC_Fed_APR_2nd_LnAmt_Min</vt:lpstr>
      <vt:lpstr>HC_Fed_APR_Threshold</vt:lpstr>
      <vt:lpstr>HC_Fed_PtsFees_1_FeeAmt</vt:lpstr>
      <vt:lpstr>HC_Fed_PtsFees_1_FeePct</vt:lpstr>
      <vt:lpstr>HC_Fed_PtsFees_1_LnAmt_Max</vt:lpstr>
      <vt:lpstr>HC_Fed_PtsFees_1_LnAmt_Min</vt:lpstr>
      <vt:lpstr>HC_Fed_PtsFees_2_FeePct</vt:lpstr>
      <vt:lpstr>HC_Fed_PtsFees_2_LnAmt_Max</vt:lpstr>
      <vt:lpstr>HC_Fed_PtsFees_2_LnAmt_Min</vt:lpstr>
      <vt:lpstr>HC_Fed_PtsFees_Threshold</vt:lpstr>
      <vt:lpstr>HC_State_APR_1st_IndexSpread</vt:lpstr>
      <vt:lpstr>HC_State_APR_1st_LnAmt_Max</vt:lpstr>
      <vt:lpstr>HC_State_APR_1st_LnAmt_Min</vt:lpstr>
      <vt:lpstr>HC_State_APR_1st_Occ</vt:lpstr>
      <vt:lpstr>HC_State_APR_1st_Purpose</vt:lpstr>
      <vt:lpstr>HC_State_APR_2nd_IndexSpread</vt:lpstr>
      <vt:lpstr>HC_State_APR_2nd_LnAmt_Max</vt:lpstr>
      <vt:lpstr>HC_State_APR_2nd_LnAmt_Min</vt:lpstr>
      <vt:lpstr>HC_State_APR_2nd_Occ</vt:lpstr>
      <vt:lpstr>HC_State_APR_2nd_Purpose</vt:lpstr>
      <vt:lpstr>HC_State_APR_Index</vt:lpstr>
      <vt:lpstr>HC_State_APR_IndexType</vt:lpstr>
      <vt:lpstr>HC_State_APR_Threshold</vt:lpstr>
      <vt:lpstr>HC_State_APR_ThresholdIndex</vt:lpstr>
      <vt:lpstr>HC_State_HighCost_HELOCExclude</vt:lpstr>
      <vt:lpstr>HC_State_PtsFees_FeePct</vt:lpstr>
      <vt:lpstr>HC_State_PtsFees_LnAmt_Max</vt:lpstr>
      <vt:lpstr>HC_State_PtsFees_LnAmt_Min</vt:lpstr>
      <vt:lpstr>HC_State_PtsFees_Occ</vt:lpstr>
      <vt:lpstr>HC_State_PtsFees_Purpose</vt:lpstr>
      <vt:lpstr>HC_State_PtsFees_Threshold</vt:lpstr>
      <vt:lpstr>HP_Fed_APR_1st_APORSpread</vt:lpstr>
      <vt:lpstr>HP_Fed_APR_2nd_APORSpread</vt:lpstr>
      <vt:lpstr>HP_Fed_APR_Threshold</vt:lpstr>
      <vt:lpstr>Input_ActionRequest</vt:lpstr>
      <vt:lpstr>Input_AmortTerm</vt:lpstr>
      <vt:lpstr>Input_AmortType</vt:lpstr>
      <vt:lpstr>Input_APOR</vt:lpstr>
      <vt:lpstr>Input_APOR_Dt</vt:lpstr>
      <vt:lpstr>Input_BankStmt</vt:lpstr>
      <vt:lpstr>Input_BorrowerName</vt:lpstr>
      <vt:lpstr>Input_Calc_APRTotalFees</vt:lpstr>
      <vt:lpstr>Input_Calc_APRTotalFeesPct</vt:lpstr>
      <vt:lpstr>Input_CashoutAmt</vt:lpstr>
      <vt:lpstr>Input_Citizenship</vt:lpstr>
      <vt:lpstr>Input_CompensationType</vt:lpstr>
      <vt:lpstr>Input_CreditHistory</vt:lpstr>
      <vt:lpstr>Input_CreditScore</vt:lpstr>
      <vt:lpstr>Input_Date</vt:lpstr>
      <vt:lpstr>Input_Disclaimer_01</vt:lpstr>
      <vt:lpstr>Input_Disclaimer_Pricer_01</vt:lpstr>
      <vt:lpstr>Input_Disclaimer_Pricer_02</vt:lpstr>
      <vt:lpstr>Input_DocType</vt:lpstr>
      <vt:lpstr>Input_DocTypeCode</vt:lpstr>
      <vt:lpstr>Input_DSCR</vt:lpstr>
      <vt:lpstr>Input_DTI</vt:lpstr>
      <vt:lpstr>Input_Employment</vt:lpstr>
      <vt:lpstr>Input_Fees_Monthly</vt:lpstr>
      <vt:lpstr>Input_Fees_Points</vt:lpstr>
      <vt:lpstr>Input_Fees_Upfront3rdParty</vt:lpstr>
      <vt:lpstr>Input_Fees_UpfrontBroker</vt:lpstr>
      <vt:lpstr>Input_Fees_UpfrontLender</vt:lpstr>
      <vt:lpstr>Input_Fees_UpfrontOther</vt:lpstr>
      <vt:lpstr>Input_Fees_UpfrontPrepaidInterest</vt:lpstr>
      <vt:lpstr>Input_Fees_UpfrontPrepaidInterestDays</vt:lpstr>
      <vt:lpstr>Input_FirstTimeHomeBuyer</vt:lpstr>
      <vt:lpstr>Input_Header01</vt:lpstr>
      <vt:lpstr>Input_Header02</vt:lpstr>
      <vt:lpstr>Input_Header03</vt:lpstr>
      <vt:lpstr>Input_Header04</vt:lpstr>
      <vt:lpstr>Input_Header05</vt:lpstr>
      <vt:lpstr>Input_Header06</vt:lpstr>
      <vt:lpstr>Input_Header07</vt:lpstr>
      <vt:lpstr>Input_HousingHistory</vt:lpstr>
      <vt:lpstr>Input_LoanAmt</vt:lpstr>
      <vt:lpstr>Input_LoanAmt_NewLien</vt:lpstr>
      <vt:lpstr>Input_LoanAmt_OtherLien</vt:lpstr>
      <vt:lpstr>Input_LockTerm</vt:lpstr>
      <vt:lpstr>Input_LockType</vt:lpstr>
      <vt:lpstr>Input_LTV</vt:lpstr>
      <vt:lpstr>Input_LTV_OtherLien</vt:lpstr>
      <vt:lpstr>Input_Name_Calculator</vt:lpstr>
      <vt:lpstr>Input_Name_ClassA</vt:lpstr>
      <vt:lpstr>Input_Name_ClassB</vt:lpstr>
      <vt:lpstr>Input_Name_ClassC</vt:lpstr>
      <vt:lpstr>Input_Name_ClassF</vt:lpstr>
      <vt:lpstr>Input_Name_ClassH</vt:lpstr>
      <vt:lpstr>Input_Name_ClassI</vt:lpstr>
      <vt:lpstr>Input_Name_Pricer</vt:lpstr>
      <vt:lpstr>Input_Name_Product1</vt:lpstr>
      <vt:lpstr>Input_Name_Product10</vt:lpstr>
      <vt:lpstr>Input_Name_Product11</vt:lpstr>
      <vt:lpstr>Input_Name_Product13</vt:lpstr>
      <vt:lpstr>Input_Name_Product14</vt:lpstr>
      <vt:lpstr>Input_Name_Product15</vt:lpstr>
      <vt:lpstr>Input_Name_Product16</vt:lpstr>
      <vt:lpstr>Input_Name_Product17</vt:lpstr>
      <vt:lpstr>Input_Name_Product18</vt:lpstr>
      <vt:lpstr>Input_Name_Product19</vt:lpstr>
      <vt:lpstr>Input_Name_Product2</vt:lpstr>
      <vt:lpstr>Input_Name_Product20</vt:lpstr>
      <vt:lpstr>Input_Name_Product3</vt:lpstr>
      <vt:lpstr>Input_Name_Product4</vt:lpstr>
      <vt:lpstr>Input_Name_Product5</vt:lpstr>
      <vt:lpstr>Input_NoteRate</vt:lpstr>
      <vt:lpstr>Input_NoteRate_Calc</vt:lpstr>
      <vt:lpstr>Input_NoteRate_NewLien</vt:lpstr>
      <vt:lpstr>Input_NoteRate_OtherLien</vt:lpstr>
      <vt:lpstr>Input_Occupancy</vt:lpstr>
      <vt:lpstr>Input_Payment</vt:lpstr>
      <vt:lpstr>Input_PL_Incentive_Add_DE</vt:lpstr>
      <vt:lpstr>Input_PL_Incentive_Add_IE</vt:lpstr>
      <vt:lpstr>Input_PL_Incentive_Add_IH</vt:lpstr>
      <vt:lpstr>Input_PL_Incentive_Add_IN</vt:lpstr>
      <vt:lpstr>Input_PL_Incentive_Add_IR</vt:lpstr>
      <vt:lpstr>Input_PL_Incentive_Add_MN</vt:lpstr>
      <vt:lpstr>Input_PL_Incentive_Add_PE</vt:lpstr>
      <vt:lpstr>Input_PL_Incentive_Add_PH</vt:lpstr>
      <vt:lpstr>Input_PL_Incentive_Add_PN</vt:lpstr>
      <vt:lpstr>Input_PL_Incentive_Add_PR</vt:lpstr>
      <vt:lpstr>Input_PL_Incentive_Add_XF</vt:lpstr>
      <vt:lpstr>Input_PL_Incentive_Add_XM</vt:lpstr>
      <vt:lpstr>Input_PL_Incentive_Add_XN</vt:lpstr>
      <vt:lpstr>Input_PL_Incentive_Add_XP</vt:lpstr>
      <vt:lpstr>Input_PL_Incentive_Add_XX</vt:lpstr>
      <vt:lpstr>Input_PL_Incentive_DE</vt:lpstr>
      <vt:lpstr>Input_PL_Incentive_IE</vt:lpstr>
      <vt:lpstr>Input_PL_Incentive_IH</vt:lpstr>
      <vt:lpstr>Input_PL_Incentive_IN</vt:lpstr>
      <vt:lpstr>Input_PL_Incentive_IR</vt:lpstr>
      <vt:lpstr>Input_PL_Incentive_MN</vt:lpstr>
      <vt:lpstr>Input_PL_Incentive_MP</vt:lpstr>
      <vt:lpstr>Input_PL_Incentive_PE</vt:lpstr>
      <vt:lpstr>Input_PL_Incentive_PH</vt:lpstr>
      <vt:lpstr>Input_PL_Incentive_PN</vt:lpstr>
      <vt:lpstr>Input_PL_Incentive_PR</vt:lpstr>
      <vt:lpstr>Input_PL_Incentive_XF</vt:lpstr>
      <vt:lpstr>Input_PL_Incentive_XM</vt:lpstr>
      <vt:lpstr>Input_PL_Incentive_XN</vt:lpstr>
      <vt:lpstr>Input_PL_Incentive_XP</vt:lpstr>
      <vt:lpstr>Input_PL_Incentive_XX</vt:lpstr>
      <vt:lpstr>Input_PL_IncentiveMaxAdj_Add_DE</vt:lpstr>
      <vt:lpstr>Input_PL_IncentiveMaxAdj_Add_IE</vt:lpstr>
      <vt:lpstr>Input_PL_IncentiveMaxAdj_Add_IH</vt:lpstr>
      <vt:lpstr>Input_PL_IncentiveMaxAdj_Add_IN</vt:lpstr>
      <vt:lpstr>Input_PL_IncentiveMaxAdj_Add_IR</vt:lpstr>
      <vt:lpstr>Input_PL_IncentiveMaxAdj_Add_MN</vt:lpstr>
      <vt:lpstr>Input_PL_IncentiveMaxAdj_Add_PE</vt:lpstr>
      <vt:lpstr>Input_PL_IncentiveMaxAdj_Add_PH</vt:lpstr>
      <vt:lpstr>Input_PL_IncentiveMaxAdj_Add_PN</vt:lpstr>
      <vt:lpstr>Input_PL_IncentiveMaxAdj_Add_PR</vt:lpstr>
      <vt:lpstr>Input_PL_IncentiveMaxAdj_Add_XF</vt:lpstr>
      <vt:lpstr>Input_PL_IncentiveMaxAdj_Add_XM</vt:lpstr>
      <vt:lpstr>Input_PL_IncentiveMaxAdj_Add_XN</vt:lpstr>
      <vt:lpstr>Input_PL_IncentiveMaxAdj_Add_XP</vt:lpstr>
      <vt:lpstr>Input_PL_IncentiveMaxAdj_Add_XX</vt:lpstr>
      <vt:lpstr>Input_PL_IncentiveMaxAdj_DE</vt:lpstr>
      <vt:lpstr>Input_PL_IncentiveMaxAdj_IE</vt:lpstr>
      <vt:lpstr>Input_PL_IncentiveMaxAdj_IH</vt:lpstr>
      <vt:lpstr>Input_PL_IncentiveMaxAdj_IN</vt:lpstr>
      <vt:lpstr>Input_PL_IncentiveMaxAdj_IR</vt:lpstr>
      <vt:lpstr>Input_PL_IncentiveMaxAdj_LenderPaidComp</vt:lpstr>
      <vt:lpstr>Input_PL_IncentiveMaxAdj_MN</vt:lpstr>
      <vt:lpstr>Input_PL_IncentiveMaxAdj_PE</vt:lpstr>
      <vt:lpstr>Input_PL_IncentiveMaxAdj_PH</vt:lpstr>
      <vt:lpstr>Input_PL_IncentiveMaxAdj_PN</vt:lpstr>
      <vt:lpstr>Input_PL_IncentiveMaxAdj_PR</vt:lpstr>
      <vt:lpstr>Input_PL_IncentiveMaxAdj_XF</vt:lpstr>
      <vt:lpstr>Input_PL_IncentiveMaxAdj_XM</vt:lpstr>
      <vt:lpstr>Input_PL_IncentiveMaxAdj_XN</vt:lpstr>
      <vt:lpstr>Input_PL_IncentiveMaxAdj_XP</vt:lpstr>
      <vt:lpstr>Input_PL_IncentiveMaxAdj_XX</vt:lpstr>
      <vt:lpstr>Input_PL_MaxPriceBase_DE_01PP</vt:lpstr>
      <vt:lpstr>Input_PL_MaxPriceBase_DE_02PP</vt:lpstr>
      <vt:lpstr>Input_PL_MaxPriceBase_DE_03PP</vt:lpstr>
      <vt:lpstr>Input_PL_MaxPriceBase_DE_04PP</vt:lpstr>
      <vt:lpstr>Input_PL_MaxPriceBase_DE_05PP</vt:lpstr>
      <vt:lpstr>Input_PL_MaxPriceBase_DE_NoPP</vt:lpstr>
      <vt:lpstr>Input_PL_MaxPriceBase_IE_01PP</vt:lpstr>
      <vt:lpstr>Input_PL_MaxPriceBase_IE_02PP</vt:lpstr>
      <vt:lpstr>Input_PL_MaxPriceBase_IE_03PP</vt:lpstr>
      <vt:lpstr>Input_PL_MaxPriceBase_IE_04PP</vt:lpstr>
      <vt:lpstr>Input_PL_MaxPriceBase_IE_05PP</vt:lpstr>
      <vt:lpstr>Input_PL_MaxPriceBase_IE_NoPP</vt:lpstr>
      <vt:lpstr>Input_PL_MaxPriceBase_IH_NoPP</vt:lpstr>
      <vt:lpstr>Input_PL_MaxPriceBase_IN_01PP</vt:lpstr>
      <vt:lpstr>Input_PL_MaxPriceBase_IN_02PP</vt:lpstr>
      <vt:lpstr>Input_PL_MaxPriceBase_IN_03PP</vt:lpstr>
      <vt:lpstr>Input_PL_MaxPriceBase_IN_04PP</vt:lpstr>
      <vt:lpstr>Input_PL_MaxPriceBase_IN_05PP</vt:lpstr>
      <vt:lpstr>Input_PL_MaxPriceBase_IN_NoPP</vt:lpstr>
      <vt:lpstr>Input_PL_MaxPriceBase_IR_01PP</vt:lpstr>
      <vt:lpstr>Input_PL_MaxPriceBase_IR_02PP</vt:lpstr>
      <vt:lpstr>Input_PL_MaxPriceBase_IR_03PP</vt:lpstr>
      <vt:lpstr>Input_PL_MaxPriceBase_IR_04PP</vt:lpstr>
      <vt:lpstr>Input_PL_MaxPriceBase_IR_05PP</vt:lpstr>
      <vt:lpstr>Input_PL_MaxPriceBase_IR_NoPP</vt:lpstr>
      <vt:lpstr>Input_PL_MaxPriceBase_MN_01PP</vt:lpstr>
      <vt:lpstr>Input_PL_MaxPriceBase_MN_02PP</vt:lpstr>
      <vt:lpstr>Input_PL_MaxPriceBase_MN_03PP</vt:lpstr>
      <vt:lpstr>Input_PL_MaxPriceBase_MN_04PP</vt:lpstr>
      <vt:lpstr>Input_PL_MaxPriceBase_MN_05PP</vt:lpstr>
      <vt:lpstr>Input_PL_MaxPriceBase_MN_NoPP</vt:lpstr>
      <vt:lpstr>Input_PL_MaxPriceBase_PE_NoPP</vt:lpstr>
      <vt:lpstr>Input_PL_MaxPriceBase_PH_NoPP</vt:lpstr>
      <vt:lpstr>Input_PL_MaxPriceBase_PN_NoPP</vt:lpstr>
      <vt:lpstr>Input_PL_MaxPriceBase_PR_NoPP</vt:lpstr>
      <vt:lpstr>Input_PL_MaxPriceBase_XP_NoPP</vt:lpstr>
      <vt:lpstr>Input_PL_MaxPriceBase_XX_NoPP</vt:lpstr>
      <vt:lpstr>Input_PL_MaxPriceBase_YF_01PP</vt:lpstr>
      <vt:lpstr>Input_PL_MaxPriceBase_YF_02PP</vt:lpstr>
      <vt:lpstr>Input_PL_MaxPriceBase_YF_03PP</vt:lpstr>
      <vt:lpstr>Input_PL_MaxPriceBase_YF_04PP</vt:lpstr>
      <vt:lpstr>Input_PL_MaxPriceBase_YF_05PP</vt:lpstr>
      <vt:lpstr>Input_PL_MaxPriceBase_YF_NoPP</vt:lpstr>
      <vt:lpstr>Input_PL_MaxPriceBase_YM_01PP</vt:lpstr>
      <vt:lpstr>Input_PL_MaxPriceBase_YM_02PP</vt:lpstr>
      <vt:lpstr>Input_PL_MaxPriceBase_YM_03PP</vt:lpstr>
      <vt:lpstr>Input_PL_MaxPriceBase_YM_04PP</vt:lpstr>
      <vt:lpstr>Input_PL_MaxPriceBase_YM_05PP</vt:lpstr>
      <vt:lpstr>Input_PL_MaxPriceBase_YM_NoPP</vt:lpstr>
      <vt:lpstr>Input_PL_MaxPriceBase_YN_01PP</vt:lpstr>
      <vt:lpstr>Input_PL_MaxPriceBase_YN_02PP</vt:lpstr>
      <vt:lpstr>Input_PL_MaxPriceBase_YN_03PP</vt:lpstr>
      <vt:lpstr>Input_PL_MaxPriceBase_YN_04PP</vt:lpstr>
      <vt:lpstr>Input_PL_MaxPriceBase_YN_05PP</vt:lpstr>
      <vt:lpstr>Input_PL_MaxPriceBase_YN_NoPP</vt:lpstr>
      <vt:lpstr>Input_PL_MaxPriceBase_YP_01PP</vt:lpstr>
      <vt:lpstr>Input_PL_MaxPriceBase_YP_02PP</vt:lpstr>
      <vt:lpstr>Input_PL_MaxPriceBase_YP_03PP</vt:lpstr>
      <vt:lpstr>Input_PL_MaxPriceBase_YP_04PP</vt:lpstr>
      <vt:lpstr>Input_PL_MaxPriceBase_YP_05PP</vt:lpstr>
      <vt:lpstr>Input_PL_MaxPriceBase_YP_NoPP</vt:lpstr>
      <vt:lpstr>Input_PL_MaxPriceBase_YX_01PP</vt:lpstr>
      <vt:lpstr>Input_PL_MaxPriceBase_YX_02PP</vt:lpstr>
      <vt:lpstr>Input_PL_MaxPriceBase_YX_03PP</vt:lpstr>
      <vt:lpstr>Input_PL_MaxPriceBase_YX_04PP</vt:lpstr>
      <vt:lpstr>Input_PL_MaxPriceBase_YX_05PP</vt:lpstr>
      <vt:lpstr>Input_PL_MaxPriceBase_YX_NoPP</vt:lpstr>
      <vt:lpstr>Input_PL_MaxPriceFinal_DE_01PP</vt:lpstr>
      <vt:lpstr>Input_PL_MaxPriceFinal_DE_02PP</vt:lpstr>
      <vt:lpstr>Input_PL_MaxPriceFinal_DE_03PP</vt:lpstr>
      <vt:lpstr>Input_PL_MaxPriceFinal_DE_04PP</vt:lpstr>
      <vt:lpstr>Input_PL_MaxPriceFinal_DE_05PP</vt:lpstr>
      <vt:lpstr>Input_PL_MaxPriceFinal_DE_NoPP</vt:lpstr>
      <vt:lpstr>Input_PL_MaxPriceFinal_IE_01PP</vt:lpstr>
      <vt:lpstr>Input_PL_MaxPriceFinal_IE_02PP</vt:lpstr>
      <vt:lpstr>Input_PL_MaxPriceFinal_IE_03PP</vt:lpstr>
      <vt:lpstr>Input_PL_MaxPriceFinal_IE_04PP</vt:lpstr>
      <vt:lpstr>Input_PL_MaxPriceFinal_IE_05PP</vt:lpstr>
      <vt:lpstr>Input_PL_MaxPriceFinal_IE_NoPP</vt:lpstr>
      <vt:lpstr>Input_PL_MaxPriceFinal_IH_NoPP</vt:lpstr>
      <vt:lpstr>Input_PL_MaxPriceFinal_IN_01PP</vt:lpstr>
      <vt:lpstr>Input_PL_MaxPriceFinal_IN_02PP</vt:lpstr>
      <vt:lpstr>Input_PL_MaxPriceFinal_IN_03PP</vt:lpstr>
      <vt:lpstr>Input_PL_MaxPriceFinal_IN_04PP</vt:lpstr>
      <vt:lpstr>Input_PL_MaxPriceFinal_IN_05PP</vt:lpstr>
      <vt:lpstr>Input_PL_MaxPriceFinal_IN_NoPP</vt:lpstr>
      <vt:lpstr>Input_PL_MaxPriceFinal_IR_01PP</vt:lpstr>
      <vt:lpstr>Input_PL_MaxPriceFinal_IR_02PP</vt:lpstr>
      <vt:lpstr>Input_PL_MaxPriceFinal_IR_03PP</vt:lpstr>
      <vt:lpstr>Input_PL_MaxPriceFinal_IR_04PP</vt:lpstr>
      <vt:lpstr>Input_PL_MaxPriceFinal_IR_05PP</vt:lpstr>
      <vt:lpstr>Input_PL_MaxPriceFinal_IR_NoPP</vt:lpstr>
      <vt:lpstr>Input_PL_MaxPriceFinal_MN_01PP</vt:lpstr>
      <vt:lpstr>Input_PL_MaxPriceFinal_MN_02PP</vt:lpstr>
      <vt:lpstr>Input_PL_MaxPriceFinal_MN_03PP</vt:lpstr>
      <vt:lpstr>Input_PL_MaxPriceFinal_MN_04PP</vt:lpstr>
      <vt:lpstr>Input_PL_MaxPriceFinal_MN_05PP</vt:lpstr>
      <vt:lpstr>Input_PL_MaxPriceFinal_MN_NoPP</vt:lpstr>
      <vt:lpstr>Input_PL_MaxPriceFinal_PE_NoPP</vt:lpstr>
      <vt:lpstr>Input_PL_MaxPriceFinal_PH_NoPP</vt:lpstr>
      <vt:lpstr>Input_PL_MaxPriceFinal_PN_NoPP</vt:lpstr>
      <vt:lpstr>Input_PL_MaxPriceFinal_PR_NoPP</vt:lpstr>
      <vt:lpstr>Input_PL_MaxPriceFinal_XP_NoPP</vt:lpstr>
      <vt:lpstr>Input_PL_MaxPriceFinal_XX_NoPP</vt:lpstr>
      <vt:lpstr>Input_PL_MaxPriceFinal_YF_01PP</vt:lpstr>
      <vt:lpstr>Input_PL_MaxPriceFinal_YF_02PP</vt:lpstr>
      <vt:lpstr>Input_PL_MaxPriceFinal_YF_03PP</vt:lpstr>
      <vt:lpstr>Input_PL_MaxPriceFinal_YF_04PP</vt:lpstr>
      <vt:lpstr>Input_PL_MaxPriceFinal_YF_05PP</vt:lpstr>
      <vt:lpstr>Input_PL_MaxPriceFinal_YF_NoPP</vt:lpstr>
      <vt:lpstr>Input_PL_MaxPriceFinal_YM_01PP</vt:lpstr>
      <vt:lpstr>Input_PL_MaxPriceFinal_YM_02PP</vt:lpstr>
      <vt:lpstr>Input_PL_MaxPriceFinal_YM_03PP</vt:lpstr>
      <vt:lpstr>Input_PL_MaxPriceFinal_YM_04PP</vt:lpstr>
      <vt:lpstr>Input_PL_MaxPriceFinal_YM_05PP</vt:lpstr>
      <vt:lpstr>Input_PL_MaxPriceFinal_YM_NoPP</vt:lpstr>
      <vt:lpstr>Input_PL_MaxPriceFinal_YN_01PP</vt:lpstr>
      <vt:lpstr>Input_PL_MaxPriceFinal_YN_02PP</vt:lpstr>
      <vt:lpstr>Input_PL_MaxPriceFinal_YN_03PP</vt:lpstr>
      <vt:lpstr>Input_PL_MaxPriceFinal_YN_04PP</vt:lpstr>
      <vt:lpstr>Input_PL_MaxPriceFinal_YN_05PP</vt:lpstr>
      <vt:lpstr>Input_PL_MaxPriceFinal_YN_NoPP</vt:lpstr>
      <vt:lpstr>Input_PL_MaxPriceFinal_YP_01PP</vt:lpstr>
      <vt:lpstr>Input_PL_MaxPriceFinal_YP_02PP</vt:lpstr>
      <vt:lpstr>Input_PL_MaxPriceFinal_YP_03PP</vt:lpstr>
      <vt:lpstr>Input_PL_MaxPriceFinal_YP_04PP</vt:lpstr>
      <vt:lpstr>Input_PL_MaxPriceFinal_YP_05PP</vt:lpstr>
      <vt:lpstr>Input_PL_MaxPriceFinal_YP_NoPP</vt:lpstr>
      <vt:lpstr>Input_PL_MaxPriceFinal_YX_01PP</vt:lpstr>
      <vt:lpstr>Input_PL_MaxPriceFinal_YX_02PP</vt:lpstr>
      <vt:lpstr>Input_PL_MaxPriceFinal_YX_03PP</vt:lpstr>
      <vt:lpstr>Input_PL_MaxPriceFinal_YX_04PP</vt:lpstr>
      <vt:lpstr>Input_PL_MaxPriceFinal_YX_05PP</vt:lpstr>
      <vt:lpstr>Input_PL_MaxPriceFinal_YX_NoPP</vt:lpstr>
      <vt:lpstr>Input_PrepayEnforce_Type</vt:lpstr>
      <vt:lpstr>Input_PrepayPenalty</vt:lpstr>
      <vt:lpstr>Input_Price_CompensationType</vt:lpstr>
      <vt:lpstr>Input_Price_Target</vt:lpstr>
      <vt:lpstr>Input_PriceNegotiated</vt:lpstr>
      <vt:lpstr>Input_PriceNegotiatedDesc</vt:lpstr>
      <vt:lpstr>Input_Pricing_Type</vt:lpstr>
      <vt:lpstr>Input_Pricing_TypeMult</vt:lpstr>
      <vt:lpstr>Input_Product</vt:lpstr>
      <vt:lpstr>Input_ProductClass</vt:lpstr>
      <vt:lpstr>Input_ProductType</vt:lpstr>
      <vt:lpstr>Input_PropertyAddress</vt:lpstr>
      <vt:lpstr>Input_PropertyCity</vt:lpstr>
      <vt:lpstr>Input_PropertyState</vt:lpstr>
      <vt:lpstr>Input_PropertyType</vt:lpstr>
      <vt:lpstr>Input_PropertyZip</vt:lpstr>
      <vt:lpstr>Input_Purpose</vt:lpstr>
      <vt:lpstr>Input_Ratesheet_Source</vt:lpstr>
      <vt:lpstr>Input_RateSheet_Type</vt:lpstr>
      <vt:lpstr>Input_ReservesMonths</vt:lpstr>
      <vt:lpstr>Input_SellerLoanID</vt:lpstr>
      <vt:lpstr>Input_SellerName</vt:lpstr>
      <vt:lpstr>Input_Servicing</vt:lpstr>
      <vt:lpstr>Input_State</vt:lpstr>
      <vt:lpstr>Input_ValuationType</vt:lpstr>
      <vt:lpstr>Input_Version</vt:lpstr>
      <vt:lpstr>List_ActionRequest</vt:lpstr>
      <vt:lpstr>List_ActionRequest_All</vt:lpstr>
      <vt:lpstr>List_AmortTerm</vt:lpstr>
      <vt:lpstr>List_AmortTerm_Dropdown</vt:lpstr>
      <vt:lpstr>List_AmortTermAll</vt:lpstr>
      <vt:lpstr>List_AmortType</vt:lpstr>
      <vt:lpstr>List_AmortType_All</vt:lpstr>
      <vt:lpstr>List_AVMVendor</vt:lpstr>
      <vt:lpstr>List_AVMVendor_All</vt:lpstr>
      <vt:lpstr>List_AVMVendor_FSDAdj1</vt:lpstr>
      <vt:lpstr>List_AVMVendor_FSDAdj2</vt:lpstr>
      <vt:lpstr>List_AVMVendor_FSDAdj3</vt:lpstr>
      <vt:lpstr>List_BankStmt</vt:lpstr>
      <vt:lpstr>List_BankStmtAll</vt:lpstr>
      <vt:lpstr>List_Citizenship</vt:lpstr>
      <vt:lpstr>List_CompensationType</vt:lpstr>
      <vt:lpstr>List_CreditHistory</vt:lpstr>
      <vt:lpstr>List_CreditHistory_All</vt:lpstr>
      <vt:lpstr>List_CreditScore</vt:lpstr>
      <vt:lpstr>List_CreditScore_All</vt:lpstr>
      <vt:lpstr>List_DocType</vt:lpstr>
      <vt:lpstr>List_DocTypeAll</vt:lpstr>
      <vt:lpstr>List_DSCR</vt:lpstr>
      <vt:lpstr>List_DSCR_All</vt:lpstr>
      <vt:lpstr>List_DTI</vt:lpstr>
      <vt:lpstr>List_DTI_All</vt:lpstr>
      <vt:lpstr>List_Employment</vt:lpstr>
      <vt:lpstr>List_FirstTimeHomebuyer</vt:lpstr>
      <vt:lpstr>List_HousingHistory</vt:lpstr>
      <vt:lpstr>List_HousingHistory_All</vt:lpstr>
      <vt:lpstr>List_LoanAmt</vt:lpstr>
      <vt:lpstr>List_LoanAmt_All</vt:lpstr>
      <vt:lpstr>List_LockTerm</vt:lpstr>
      <vt:lpstr>List_LockType</vt:lpstr>
      <vt:lpstr>List_LTV</vt:lpstr>
      <vt:lpstr>List_LTV_All</vt:lpstr>
      <vt:lpstr>List_MaxPricing</vt:lpstr>
      <vt:lpstr>List_MaxPricingAll</vt:lpstr>
      <vt:lpstr>List_Name_Channel</vt:lpstr>
      <vt:lpstr>List_Occupancy</vt:lpstr>
      <vt:lpstr>List_OccupancyAll</vt:lpstr>
      <vt:lpstr>List_Payment</vt:lpstr>
      <vt:lpstr>List_PrepayPenalty</vt:lpstr>
      <vt:lpstr>List_PrepayPenalty_Find</vt:lpstr>
      <vt:lpstr>List_Product</vt:lpstr>
      <vt:lpstr>List_ProductAll</vt:lpstr>
      <vt:lpstr>List_ProductClass</vt:lpstr>
      <vt:lpstr>List_ProductCode</vt:lpstr>
      <vt:lpstr>List_ProductCodeAll</vt:lpstr>
      <vt:lpstr>List_ProductFind</vt:lpstr>
      <vt:lpstr>List_ProductFindAll</vt:lpstr>
      <vt:lpstr>List_PropertyType</vt:lpstr>
      <vt:lpstr>List_PropertyType_Dropdown</vt:lpstr>
      <vt:lpstr>List_PropertyType_Find</vt:lpstr>
      <vt:lpstr>List_PropertyTypeAll</vt:lpstr>
      <vt:lpstr>List_Purpose</vt:lpstr>
      <vt:lpstr>List_Purpose_All</vt:lpstr>
      <vt:lpstr>List_RequiredDocs_Disclosure</vt:lpstr>
      <vt:lpstr>List_RequiredDocs_DocType</vt:lpstr>
      <vt:lpstr>List_RequiredDocs_Recommended</vt:lpstr>
      <vt:lpstr>List_RequiredDocs_Submission</vt:lpstr>
      <vt:lpstr>List_Reserves</vt:lpstr>
      <vt:lpstr>List_Reserves_All</vt:lpstr>
      <vt:lpstr>List_Servicing</vt:lpstr>
      <vt:lpstr>List_State</vt:lpstr>
      <vt:lpstr>List_State_All</vt:lpstr>
      <vt:lpstr>List_Term</vt:lpstr>
      <vt:lpstr>List_Term_All</vt:lpstr>
      <vt:lpstr>List_Units_AgencyLoanAmount</vt:lpstr>
      <vt:lpstr>List_Units_AgencyLoanAmount_All</vt:lpstr>
      <vt:lpstr>List_ValuationType</vt:lpstr>
      <vt:lpstr>Lookup_AmortType</vt:lpstr>
      <vt:lpstr>Lookup_AmortType_Detail</vt:lpstr>
      <vt:lpstr>Lookup_APR_Federal</vt:lpstr>
      <vt:lpstr>Lookup_APR_State</vt:lpstr>
      <vt:lpstr>Lookup_BankStmtMos</vt:lpstr>
      <vt:lpstr>Lookup_CreditHistory_Lates</vt:lpstr>
      <vt:lpstr>Lookup_DocLevel</vt:lpstr>
      <vt:lpstr>Lookup_LienPosition</vt:lpstr>
      <vt:lpstr>Lookup_LLPA</vt:lpstr>
      <vt:lpstr>Lookup_LLPAAll</vt:lpstr>
      <vt:lpstr>Lookup_NoteRate</vt:lpstr>
      <vt:lpstr>Lookup_NoteRateAll</vt:lpstr>
      <vt:lpstr>Lookup_NoteRateStack</vt:lpstr>
      <vt:lpstr>Lookup_NoteRateText</vt:lpstr>
      <vt:lpstr>Lookup_Price_Code_Lookup_01</vt:lpstr>
      <vt:lpstr>Lookup_Price_Code_Lookup_02</vt:lpstr>
      <vt:lpstr>Lookup_Price_Code_Output_01</vt:lpstr>
      <vt:lpstr>Lookup_Price_Code_Output_02</vt:lpstr>
      <vt:lpstr>Lookup_Price_Margin_Output_01</vt:lpstr>
      <vt:lpstr>Lookup_Price_Margin_Output_02</vt:lpstr>
      <vt:lpstr>Lookup_Price_Output_All</vt:lpstr>
      <vt:lpstr>Lookup_Price_Output_Code</vt:lpstr>
      <vt:lpstr>Lookup_Price_Output_Rate</vt:lpstr>
      <vt:lpstr>Lookup_Price_PriceGross_Output_01</vt:lpstr>
      <vt:lpstr>Lookup_Price_PriceGross_Output_02</vt:lpstr>
      <vt:lpstr>Lookup_Price_Rate_Output_01</vt:lpstr>
      <vt:lpstr>Lookup_Price_Rate_Output_02</vt:lpstr>
      <vt:lpstr>Lookup_PriceText</vt:lpstr>
      <vt:lpstr>Lookup_PriceText_List</vt:lpstr>
      <vt:lpstr>Lookup_ProductClass</vt:lpstr>
      <vt:lpstr>Lookup_ProductPrefix</vt:lpstr>
      <vt:lpstr>Lookup_Property</vt:lpstr>
      <vt:lpstr>Lookup_Property_Units</vt:lpstr>
      <vt:lpstr>Lookup_TermAmort</vt:lpstr>
      <vt:lpstr>Lookup_TermInitial</vt:lpstr>
      <vt:lpstr>Lookup_TermMaturity</vt:lpstr>
      <vt:lpstr>Lookup_Units_AgencyLoanAmount</vt:lpstr>
      <vt:lpstr>Output_Display_ProductRatePriceMatrix</vt:lpstr>
      <vt:lpstr>Output_Display_Required_UWFee</vt:lpstr>
      <vt:lpstr>Output_Display_RequiredDocs_Disclosure</vt:lpstr>
      <vt:lpstr>Output_Display_RequiredDocs_DocType</vt:lpstr>
      <vt:lpstr>Output_Display_RequiredDocs_Recommended</vt:lpstr>
      <vt:lpstr>Output_Display_RequiredDocs_Submission</vt:lpstr>
      <vt:lpstr>Output_Format</vt:lpstr>
      <vt:lpstr>Output_LLPA_AmortTerm</vt:lpstr>
      <vt:lpstr>Output_LLPA_AmortType</vt:lpstr>
      <vt:lpstr>Output_LLPA_BankStmt</vt:lpstr>
      <vt:lpstr>Output_LLPA_CashoutAmt</vt:lpstr>
      <vt:lpstr>Output_LLPA_Citizenship</vt:lpstr>
      <vt:lpstr>Output_LLPA_CreditHistory</vt:lpstr>
      <vt:lpstr>Output_LLPA_DocType</vt:lpstr>
      <vt:lpstr>Output_LLPA_DSCR</vt:lpstr>
      <vt:lpstr>Output_LLPA_DTI</vt:lpstr>
      <vt:lpstr>Output_LLPA_Employment</vt:lpstr>
      <vt:lpstr>Output_LLPA_FirstTimeHomeBuyer</vt:lpstr>
      <vt:lpstr>Output_LLPA_HousingHistory</vt:lpstr>
      <vt:lpstr>Output_LLPA_LoanAmt</vt:lpstr>
      <vt:lpstr>Output_LLPA_LockTerm</vt:lpstr>
      <vt:lpstr>Output_LLPA_LockType</vt:lpstr>
      <vt:lpstr>Output_LLPA_Occupancy</vt:lpstr>
      <vt:lpstr>Output_LLPA_Payment</vt:lpstr>
      <vt:lpstr>Output_LLPA_PrepayPenalty</vt:lpstr>
      <vt:lpstr>Output_LLPA_PropertyType</vt:lpstr>
      <vt:lpstr>Output_LLPA_Purpose</vt:lpstr>
      <vt:lpstr>Output_LLPA_ReservesMonths</vt:lpstr>
      <vt:lpstr>Output_LLPA_Servicing</vt:lpstr>
      <vt:lpstr>Output_LLPA_State</vt:lpstr>
      <vt:lpstr>Output_LLPA_Total</vt:lpstr>
      <vt:lpstr>Output_LLPA_ValuationType</vt:lpstr>
      <vt:lpstr>Output_MarginNoteRate</vt:lpstr>
      <vt:lpstr>Output_Msg_Eligibility</vt:lpstr>
      <vt:lpstr>Output_Msg_LLPA_AmortTerm</vt:lpstr>
      <vt:lpstr>Output_Msg_LLPA_AmortType</vt:lpstr>
      <vt:lpstr>Output_Msg_LLPA_BankStmt</vt:lpstr>
      <vt:lpstr>Output_Msg_LLPA_CashoutAmt</vt:lpstr>
      <vt:lpstr>Output_Msg_LLPA_Citizenship</vt:lpstr>
      <vt:lpstr>Output_Msg_LLPA_CompensationType</vt:lpstr>
      <vt:lpstr>Output_Msg_LLPA_CreditHistory</vt:lpstr>
      <vt:lpstr>Output_Msg_LLPA_CreditScore</vt:lpstr>
      <vt:lpstr>Output_Msg_LLPA_DocType</vt:lpstr>
      <vt:lpstr>Output_Msg_LLPA_DSCR</vt:lpstr>
      <vt:lpstr>Output_Msg_LLPA_DTI</vt:lpstr>
      <vt:lpstr>Output_Msg_LLPA_Employment</vt:lpstr>
      <vt:lpstr>Output_Msg_LLPA_FirstTimeHomeBuyer</vt:lpstr>
      <vt:lpstr>Output_Msg_LLPA_HousingHistory</vt:lpstr>
      <vt:lpstr>Output_Msg_LLPA_LoanAmt</vt:lpstr>
      <vt:lpstr>Output_Msg_LLPA_LockTerm</vt:lpstr>
      <vt:lpstr>Output_Msg_LLPA_LockType</vt:lpstr>
      <vt:lpstr>Output_Msg_LLPA_LTV</vt:lpstr>
      <vt:lpstr>Output_Msg_LLPA_Occupancy</vt:lpstr>
      <vt:lpstr>Output_Msg_LLPA_Payment</vt:lpstr>
      <vt:lpstr>Output_Msg_LLPA_PrepayPenalty</vt:lpstr>
      <vt:lpstr>Output_Msg_LLPA_PropertyType</vt:lpstr>
      <vt:lpstr>Output_Msg_LLPA_Purpose</vt:lpstr>
      <vt:lpstr>Output_Msg_LLPA_ReservesMonths</vt:lpstr>
      <vt:lpstr>Output_Msg_LLPA_Servicing</vt:lpstr>
      <vt:lpstr>Output_Msg_LLPA_State</vt:lpstr>
      <vt:lpstr>Output_Msg_LLPA_Total</vt:lpstr>
      <vt:lpstr>Output_Msg_LLPA_ValuationType</vt:lpstr>
      <vt:lpstr>Output_Msg_PriceFinal</vt:lpstr>
      <vt:lpstr>Output_Msg_PriceMax</vt:lpstr>
      <vt:lpstr>Output_Msg_PriceNegotiated</vt:lpstr>
      <vt:lpstr>Output_Msg_PriceNet</vt:lpstr>
      <vt:lpstr>Output_Msg_PriceNoteRate</vt:lpstr>
      <vt:lpstr>Output_Msg2_ProductCode</vt:lpstr>
      <vt:lpstr>Output_NoteRate_WeightedAverage</vt:lpstr>
      <vt:lpstr>Output_PriceFinal</vt:lpstr>
      <vt:lpstr>Output_PriceMax</vt:lpstr>
      <vt:lpstr>Output_PriceMaxPriceCalc</vt:lpstr>
      <vt:lpstr>Output_PriceNegotiated</vt:lpstr>
      <vt:lpstr>Output_PriceNet</vt:lpstr>
      <vt:lpstr>Output_PriceNoteRate</vt:lpstr>
      <vt:lpstr>Output_ProductCode</vt:lpstr>
      <vt:lpstr>Output_Rate_Target</vt:lpstr>
      <vt:lpstr>Price!Print_Area</vt:lpstr>
      <vt:lpstr>QM_APR_1st_1_APORSpread</vt:lpstr>
      <vt:lpstr>QM_APR_1st_1_LnAmt_Max</vt:lpstr>
      <vt:lpstr>QM_APR_1st_1_LnAmt_Min</vt:lpstr>
      <vt:lpstr>QM_APR_1st_2_APORSpread</vt:lpstr>
      <vt:lpstr>QM_APR_1st_2_LnAmt_Max</vt:lpstr>
      <vt:lpstr>QM_APR_1st_2_LnAmt_Min</vt:lpstr>
      <vt:lpstr>QM_APR_1st_3_APORSpread</vt:lpstr>
      <vt:lpstr>QM_APR_1st_3_LnAmt_Max</vt:lpstr>
      <vt:lpstr>QM_APR_1st_3_LnAmt_Min</vt:lpstr>
      <vt:lpstr>QM_APR_2nd_1_APORSpread</vt:lpstr>
      <vt:lpstr>QM_APR_2nd_1_LnAmt_Max</vt:lpstr>
      <vt:lpstr>QM_APR_2nd_1_LnAmt_Min</vt:lpstr>
      <vt:lpstr>QM_APR_2nd_2_APORSpread</vt:lpstr>
      <vt:lpstr>QM_APR_2nd_2_LnAmt_Max</vt:lpstr>
      <vt:lpstr>QM_APR_2nd_2_LnAmt_Min</vt:lpstr>
      <vt:lpstr>QM_APR_Threshold</vt:lpstr>
      <vt:lpstr>QM_PtsFees_1_FeePct</vt:lpstr>
      <vt:lpstr>QM_PtsFees_1_LnAmt_Max</vt:lpstr>
      <vt:lpstr>QM_PtsFees_1_LnAmt_Min</vt:lpstr>
      <vt:lpstr>QM_PtsFees_2_FeeAmt</vt:lpstr>
      <vt:lpstr>QM_PtsFees_2_LnAmt_Max</vt:lpstr>
      <vt:lpstr>QM_PtsFees_2_LnAmt_Min</vt:lpstr>
      <vt:lpstr>QM_PtsFees_3_FeePct</vt:lpstr>
      <vt:lpstr>QM_PtsFees_3_LnAmt_Max</vt:lpstr>
      <vt:lpstr>QM_PtsFees_3_LnAmt_Min</vt:lpstr>
      <vt:lpstr>QM_PtsFees_Threshold</vt:lpstr>
      <vt:lpstr>Result_AmortTerm</vt:lpstr>
      <vt:lpstr>Result_AmortType</vt:lpstr>
      <vt:lpstr>Result_BankStmt</vt:lpstr>
      <vt:lpstr>Result_CashoutAmt</vt:lpstr>
      <vt:lpstr>Result_Citizenship</vt:lpstr>
      <vt:lpstr>Result_CreditHistory</vt:lpstr>
      <vt:lpstr>Result_DocType</vt:lpstr>
      <vt:lpstr>Result_DSCR</vt:lpstr>
      <vt:lpstr>Result_DTI</vt:lpstr>
      <vt:lpstr>Result_FirstTimeHomeBuyer</vt:lpstr>
      <vt:lpstr>Result_HousingHistory</vt:lpstr>
      <vt:lpstr>Result_LoanAmt</vt:lpstr>
      <vt:lpstr>Result_LockTerm</vt:lpstr>
      <vt:lpstr>Result_LockType</vt:lpstr>
      <vt:lpstr>Result_Msg_LLPA_AmortTerm</vt:lpstr>
      <vt:lpstr>Result_Msg_LLPA_AmortType</vt:lpstr>
      <vt:lpstr>Result_Msg_LLPA_CashoutAmt</vt:lpstr>
      <vt:lpstr>Result_Msg_LLPA_Citizenship</vt:lpstr>
      <vt:lpstr>Result_Msg_LLPA_CreditHistory</vt:lpstr>
      <vt:lpstr>Result_Msg_LLPA_CreditScore</vt:lpstr>
      <vt:lpstr>Result_Msg_LLPA_DocType</vt:lpstr>
      <vt:lpstr>Result_Msg_LLPA_DSCR</vt:lpstr>
      <vt:lpstr>Result_Msg_LLPA_DTI</vt:lpstr>
      <vt:lpstr>Result_Msg_LLPA_FirstTimeHomeBuyer</vt:lpstr>
      <vt:lpstr>Result_Msg_LLPA_HousingHistory</vt:lpstr>
      <vt:lpstr>Result_Msg_LLPA_LoanAmt</vt:lpstr>
      <vt:lpstr>Result_Msg_LLPA_LockTerm</vt:lpstr>
      <vt:lpstr>Result_Msg_LLPA_LTV</vt:lpstr>
      <vt:lpstr>Result_Msg_LLPA_Occupancy</vt:lpstr>
      <vt:lpstr>Result_Msg_LLPA_Payment</vt:lpstr>
      <vt:lpstr>Result_Msg_LLPA_PrepayPenalty</vt:lpstr>
      <vt:lpstr>Result_Msg_LLPA_PropertyType</vt:lpstr>
      <vt:lpstr>Result_Msg_LLPA_Purpose</vt:lpstr>
      <vt:lpstr>Result_Msg_LLPA_ReservesMonths</vt:lpstr>
      <vt:lpstr>Result_Msg_LLPA_Servicing</vt:lpstr>
      <vt:lpstr>Result_Msg_LLPA_State</vt:lpstr>
      <vt:lpstr>Result_Msg_LLPA_Total</vt:lpstr>
      <vt:lpstr>Result_Msg_LLPA_ValuationType</vt:lpstr>
      <vt:lpstr>Result_Msg_PriceFinal</vt:lpstr>
      <vt:lpstr>Result_Msg_PriceMax</vt:lpstr>
      <vt:lpstr>Result_Msg_PriceNegotiated</vt:lpstr>
      <vt:lpstr>Result_Msg_PriceNet</vt:lpstr>
      <vt:lpstr>Result_Msg_PriceNoteRate</vt:lpstr>
      <vt:lpstr>Result_Msg_ProductCode</vt:lpstr>
      <vt:lpstr>Result_Msg2_LLPA_AmortTerm</vt:lpstr>
      <vt:lpstr>Result_Msg2_LLPA_AmortType</vt:lpstr>
      <vt:lpstr>Result_Msg2_LLPA_BankStmt</vt:lpstr>
      <vt:lpstr>Result_Msg2_LLPA_CashoutAmt</vt:lpstr>
      <vt:lpstr>Result_Msg2_LLPA_Citizenship</vt:lpstr>
      <vt:lpstr>Result_Msg2_LLPA_CreditHistory</vt:lpstr>
      <vt:lpstr>Result_Msg2_LLPA_CreditScore</vt:lpstr>
      <vt:lpstr>Result_Msg2_LLPA_DocType</vt:lpstr>
      <vt:lpstr>Result_Msg2_LLPA_DSCR</vt:lpstr>
      <vt:lpstr>Result_Msg2_LLPA_DTI</vt:lpstr>
      <vt:lpstr>Result_Msg2_LLPA_FirstTimeHomeBuyer</vt:lpstr>
      <vt:lpstr>Result_Msg2_LLPA_HousingHistory</vt:lpstr>
      <vt:lpstr>Result_Msg2_LLPA_LoanAmt</vt:lpstr>
      <vt:lpstr>Result_Msg2_LLPA_LTV</vt:lpstr>
      <vt:lpstr>Result_Msg2_LLPA_Occupancy</vt:lpstr>
      <vt:lpstr>Result_Msg2_LLPA_PrepayPenalty</vt:lpstr>
      <vt:lpstr>Result_Msg2_LLPA_PropertyType</vt:lpstr>
      <vt:lpstr>Result_Msg2_LLPA_Purpose</vt:lpstr>
      <vt:lpstr>Result_Msg2_LLPA_ReservesMonths</vt:lpstr>
      <vt:lpstr>Result_Msg2_LLPA_Servicing</vt:lpstr>
      <vt:lpstr>Result_Msg2_LLPA_State</vt:lpstr>
      <vt:lpstr>Result_Msg3_LLPA_State</vt:lpstr>
      <vt:lpstr>Result_NoteRate</vt:lpstr>
      <vt:lpstr>Result_Occupancy</vt:lpstr>
      <vt:lpstr>Result_Payment</vt:lpstr>
      <vt:lpstr>Result_PrepayPenalty</vt:lpstr>
      <vt:lpstr>Result_PriceFinal</vt:lpstr>
      <vt:lpstr>Result_PriceMax</vt:lpstr>
      <vt:lpstr>Result_PriceNegotiated</vt:lpstr>
      <vt:lpstr>Result_PriceNet</vt:lpstr>
      <vt:lpstr>Result_Product</vt:lpstr>
      <vt:lpstr>Result_PropertyType</vt:lpstr>
      <vt:lpstr>Result_Purpose</vt:lpstr>
      <vt:lpstr>Result_ReservesMonths</vt:lpstr>
      <vt:lpstr>Result_Servicing</vt:lpstr>
      <vt:lpstr>Result_State</vt:lpstr>
      <vt:lpstr>Result_TotalLLPA</vt:lpstr>
      <vt:lpstr>Result_ValuationType</vt:lpstr>
      <vt:lpstr>Test_HighCost_Federal</vt:lpstr>
      <vt:lpstr>Test_HighCost_Federal_Msg</vt:lpstr>
      <vt:lpstr>Test_HighCost_Federal_Msg2</vt:lpstr>
      <vt:lpstr>Test_HighCost_Federal_Msg3</vt:lpstr>
      <vt:lpstr>Test_HighCost_State</vt:lpstr>
      <vt:lpstr>Test_HighCost_State_Exemption</vt:lpstr>
      <vt:lpstr>Test_HighCost_State_Msg</vt:lpstr>
      <vt:lpstr>Test_HighCost_State_Msg2</vt:lpstr>
      <vt:lpstr>Test_HighCost_State_Msg3</vt:lpstr>
      <vt:lpstr>Test_HPML</vt:lpstr>
      <vt:lpstr>Test_HPML_Exemption</vt:lpstr>
      <vt:lpstr>Test_HPML_Msg</vt:lpstr>
      <vt:lpstr>Test_HPML_Msg2</vt:lpstr>
      <vt:lpstr>Test_HPML_Msg3</vt:lpstr>
      <vt:lpstr>Test_QM</vt:lpstr>
      <vt:lpstr>Test_QM_Exemption</vt:lpstr>
      <vt:lpstr>Test_QM_Msg</vt:lpstr>
      <vt:lpstr>Test_QM_Msg2</vt:lpstr>
      <vt:lpstr>Test_QM_Msg3</vt:lpstr>
      <vt:lpstr>Test_Results_AVMLoanAmountLimit_VPM</vt:lpstr>
      <vt:lpstr>Test_Results_LoanType</vt:lpstr>
      <vt:lpstr>Test_Results_Valuation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Woodruff</dc:creator>
  <cp:lastModifiedBy>Sandra Negrete</cp:lastModifiedBy>
  <cp:lastPrinted>2025-02-18T17:13:27Z</cp:lastPrinted>
  <dcterms:created xsi:type="dcterms:W3CDTF">2019-02-12T22:01:55Z</dcterms:created>
  <dcterms:modified xsi:type="dcterms:W3CDTF">2025-03-27T15:39:27Z</dcterms:modified>
</cp:coreProperties>
</file>